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slicers/slicer1.xml" ContentType="application/vnd.ms-excel.slicer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9.xml" ContentType="application/vnd.openxmlformats-officedocument.spreadsheetml.query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queryTables/queryTable13.xml" ContentType="application/vnd.openxmlformats-officedocument.spreadsheetml.queryTable+xml"/>
  <Override PartName="/xl/tables/table21.xml" ContentType="application/vnd.openxmlformats-officedocument.spreadsheetml.table+xml"/>
  <Override PartName="/xl/queryTables/queryTable14.xml" ContentType="application/vnd.openxmlformats-officedocument.spreadsheetml.queryTable+xml"/>
  <Override PartName="/xl/comments3.xml" ContentType="application/vnd.openxmlformats-officedocument.spreadsheetml.comments+xml"/>
  <Override PartName="/xl/tables/table22.xml" ContentType="application/vnd.openxmlformats-officedocument.spreadsheetml.table+xml"/>
  <Override PartName="/xl/queryTables/queryTable15.xml" ContentType="application/vnd.openxmlformats-officedocument.spreadsheetml.queryTable+xml"/>
  <Override PartName="/xl/tables/table23.xml" ContentType="application/vnd.openxmlformats-officedocument.spreadsheetml.table+xml"/>
  <Override PartName="/xl/queryTables/queryTable16.xml" ContentType="application/vnd.openxmlformats-officedocument.spreadsheetml.queryTable+xml"/>
  <Override PartName="/xl/tables/table24.xml" ContentType="application/vnd.openxmlformats-officedocument.spreadsheetml.table+xml"/>
  <Override PartName="/xl/queryTables/queryTable17.xml" ContentType="application/vnd.openxmlformats-officedocument.spreadsheetml.queryTable+xml"/>
  <Override PartName="/xl/tables/table25.xml" ContentType="application/vnd.openxmlformats-officedocument.spreadsheetml.table+xml"/>
  <Override PartName="/xl/queryTables/queryTable18.xml" ContentType="application/vnd.openxmlformats-officedocument.spreadsheetml.queryTable+xml"/>
  <Override PartName="/xl/comments4.xml" ContentType="application/vnd.openxmlformats-officedocument.spreadsheetml.comments+xml"/>
  <Override PartName="/xl/tables/table26.xml" ContentType="application/vnd.openxmlformats-officedocument.spreadsheetml.table+xml"/>
  <Override PartName="/xl/queryTables/queryTable19.xml" ContentType="application/vnd.openxmlformats-officedocument.spreadsheetml.queryTable+xml"/>
  <Override PartName="/xl/tables/table27.xml" ContentType="application/vnd.openxmlformats-officedocument.spreadsheetml.table+xml"/>
  <Override PartName="/xl/queryTables/queryTable20.xml" ContentType="application/vnd.openxmlformats-officedocument.spreadsheetml.queryTable+xml"/>
  <Override PartName="/xl/tables/table28.xml" ContentType="application/vnd.openxmlformats-officedocument.spreadsheetml.table+xml"/>
  <Override PartName="/xl/queryTables/queryTable21.xml" ContentType="application/vnd.openxmlformats-officedocument.spreadsheetml.queryTable+xml"/>
  <Override PartName="/xl/tables/table29.xml" ContentType="application/vnd.openxmlformats-officedocument.spreadsheetml.table+xml"/>
  <Override PartName="/xl/queryTables/queryTable22.xml" ContentType="application/vnd.openxmlformats-officedocument.spreadsheetml.queryTable+xml"/>
  <Override PartName="/xl/comments5.xml" ContentType="application/vnd.openxmlformats-officedocument.spreadsheetml.comments+xml"/>
  <Override PartName="/xl/tables/table30.xml" ContentType="application/vnd.openxmlformats-officedocument.spreadsheetml.table+xml"/>
  <Override PartName="/xl/queryTables/queryTable23.xml" ContentType="application/vnd.openxmlformats-officedocument.spreadsheetml.queryTable+xml"/>
  <Override PartName="/xl/tables/table31.xml" ContentType="application/vnd.openxmlformats-officedocument.spreadsheetml.table+xml"/>
  <Override PartName="/xl/queryTables/queryTable24.xml" ContentType="application/vnd.openxmlformats-officedocument.spreadsheetml.queryTable+xml"/>
  <Override PartName="/xl/tables/table32.xml" ContentType="application/vnd.openxmlformats-officedocument.spreadsheetml.table+xml"/>
  <Override PartName="/xl/queryTables/queryTable25.xml" ContentType="application/vnd.openxmlformats-officedocument.spreadsheetml.queryTable+xml"/>
  <Override PartName="/xl/tables/table33.xml" ContentType="application/vnd.openxmlformats-officedocument.spreadsheetml.table+xml"/>
  <Override PartName="/xl/queryTables/queryTable2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Temp\"/>
    </mc:Choice>
  </mc:AlternateContent>
  <xr:revisionPtr revIDLastSave="0" documentId="8_{0C0E14DB-5284-4EC4-8889-A9DD1EF5417C}" xr6:coauthVersionLast="47" xr6:coauthVersionMax="47" xr10:uidLastSave="{00000000-0000-0000-0000-000000000000}"/>
  <bookViews>
    <workbookView xWindow="1170" yWindow="1170" windowWidth="21600" windowHeight="11295" tabRatio="827" activeTab="6" xr2:uid="{065446DD-529C-44EE-BE96-0DDBADBD4855}"/>
  </bookViews>
  <sheets>
    <sheet name="未交素材-淳梓" sheetId="27" r:id="rId1"/>
    <sheet name="報工紀錄 " sheetId="29" r:id="rId2"/>
    <sheet name="employee" sheetId="28" state="hidden" r:id="rId3"/>
    <sheet name="PCUST" sheetId="30" state="hidden" r:id="rId4"/>
    <sheet name="018#1" sheetId="21" r:id="rId5"/>
    <sheet name="4XX" sheetId="46" r:id="rId6"/>
    <sheet name="5XX" sheetId="47" r:id="rId7"/>
    <sheet name="6XX" sheetId="48" r:id="rId8"/>
    <sheet name="370" sheetId="51" r:id="rId9"/>
    <sheet name="400" sheetId="59" r:id="rId10"/>
    <sheet name="420" sheetId="58" r:id="rId11"/>
    <sheet name="450" sheetId="7" r:id="rId12"/>
    <sheet name="470" sheetId="52" r:id="rId13"/>
    <sheet name="500" sheetId="53" r:id="rId14"/>
    <sheet name="520" sheetId="54" r:id="rId15"/>
    <sheet name="550" sheetId="44" r:id="rId16"/>
    <sheet name="570" sheetId="55" r:id="rId17"/>
    <sheet name="600" sheetId="50" r:id="rId18"/>
    <sheet name="620" sheetId="56" r:id="rId19"/>
    <sheet name="650" sheetId="57" r:id="rId20"/>
  </sheets>
  <definedNames>
    <definedName name="_4XX可分料" localSheetId="5">_018_4XX可分料製令[製令單號]</definedName>
    <definedName name="_4XX可分料" localSheetId="6">_018_5XX可分料製令[製令單號]</definedName>
    <definedName name="_4XX可分料" localSheetId="7">_018_6XX可分料製令[製令單號]</definedName>
    <definedName name="Slicer_日期">#N/A</definedName>
    <definedName name="Slicer_料號">#N/A</definedName>
    <definedName name="Slicer_製程">#N/A</definedName>
    <definedName name="Slicer_製程料號">#N/A</definedName>
    <definedName name="可分料152" localSheetId="8">_018_XXX可分料製令[製令單號]</definedName>
    <definedName name="可分料152" localSheetId="9">_018_XXX可分料製令[製令單號]</definedName>
    <definedName name="可分料152" localSheetId="10">_018_XXX可分料製令[製令單號]</definedName>
    <definedName name="可分料152" localSheetId="12">_018_XXX可分料製令[製令單號]</definedName>
    <definedName name="可分料152" localSheetId="5">_519_XXX可分料製令[製令單號]</definedName>
    <definedName name="可分料152" localSheetId="13">_018_XXX可分料製令[製令單號]</definedName>
    <definedName name="可分料152" localSheetId="14">_018_XXX可分料製令[製令單號]</definedName>
    <definedName name="可分料152" localSheetId="16">_018_XXX可分料製令[製令單號]</definedName>
    <definedName name="可分料152" localSheetId="6">_519_XXX可分料製令[製令單號]</definedName>
    <definedName name="可分料152" localSheetId="17">_519_XXX可分料製令[製令單號]</definedName>
    <definedName name="可分料152" localSheetId="18">_018_XXX可分料製令[製令單號]</definedName>
    <definedName name="可分料152" localSheetId="19">_018_XXX可分料製令[製令單號]</definedName>
    <definedName name="可分料152" localSheetId="7">_519_XXX可分料製令[製令單號]</definedName>
    <definedName name="可分料152" localSheetId="2">#REF!</definedName>
    <definedName name="可分料152" localSheetId="3">#REF!</definedName>
    <definedName name="可分料152">_018_XXX可分料製令[製令單號]</definedName>
    <definedName name="可分料4XX" localSheetId="8">_018_XXX可分料製令[製令單號]</definedName>
    <definedName name="可分料4XX" localSheetId="9">_018_XXX可分料製令[製令單號]</definedName>
    <definedName name="可分料4XX" localSheetId="10">_018_XXX可分料製令[製令單號]</definedName>
    <definedName name="可分料4XX" localSheetId="12">_018_XXX可分料製令[製令單號]</definedName>
    <definedName name="可分料4XX" localSheetId="5">_519_XXX可分料製令[製令單號]</definedName>
    <definedName name="可分料4XX" localSheetId="13">_018_XXX可分料製令[製令單號]</definedName>
    <definedName name="可分料4XX" localSheetId="14">_018_XXX可分料製令[製令單號]</definedName>
    <definedName name="可分料4XX" localSheetId="15">_519_XXX可分料製令[製令單號]</definedName>
    <definedName name="可分料4XX" localSheetId="16">_018_XXX可分料製令[製令單號]</definedName>
    <definedName name="可分料4XX" localSheetId="6">_519_XXX可分料製令[製令單號]</definedName>
    <definedName name="可分料4XX" localSheetId="17">_519_XXX可分料製令[製令單號]</definedName>
    <definedName name="可分料4XX" localSheetId="18">_018_XXX可分料製令[製令單號]</definedName>
    <definedName name="可分料4XX" localSheetId="19">_018_XXX可分料製令[製令單號]</definedName>
    <definedName name="可分料4XX" localSheetId="7">_519_XXX可分料製令[製令單號]</definedName>
    <definedName name="可分料4XX">_018_XXX可分料製令[製令單號]</definedName>
    <definedName name="可發料" localSheetId="2">OFFSET(#REF!, 0, 0, COUNTA(#REF!))</definedName>
    <definedName name="可發料" localSheetId="3">OFFSET(#REF!, 0, 0, COUNTA(#REF!))</definedName>
    <definedName name="外部資料_1" localSheetId="0" hidden="1">'未交素材-淳梓'!$N$5:$P$34</definedName>
    <definedName name="外部資料_1" localSheetId="1" hidden="1">'報工紀錄 '!$F$7:$Q$11111</definedName>
    <definedName name="外部資料_3" localSheetId="4" hidden="1">'018#1'!$A$5:$D$34</definedName>
    <definedName name="外部資料_3" localSheetId="8" hidden="1">'370'!$A$5:$D$7</definedName>
    <definedName name="外部資料_3" localSheetId="9" hidden="1">'400'!$A$5:$D$6</definedName>
    <definedName name="外部資料_3" localSheetId="10" hidden="1">'420'!$A$5:$D$6</definedName>
    <definedName name="外部資料_3" localSheetId="11" hidden="1">'450'!$A$5:$D$47</definedName>
    <definedName name="外部資料_3" localSheetId="12" hidden="1">'470'!$A$5:$D$7</definedName>
    <definedName name="外部資料_3" localSheetId="5" hidden="1">'4XX'!$A$5:$D$20</definedName>
    <definedName name="外部資料_3" localSheetId="13" hidden="1">'500'!$A$5:$D$10</definedName>
    <definedName name="外部資料_3" localSheetId="14" hidden="1">'520'!$A$5:$D$7</definedName>
    <definedName name="外部資料_3" localSheetId="15" hidden="1">'550'!$A$5:$D$164</definedName>
    <definedName name="外部資料_3" localSheetId="16" hidden="1">'570'!$A$5:$D$9</definedName>
    <definedName name="外部資料_3" localSheetId="6" hidden="1">'5XX'!$A$5:$D$54</definedName>
    <definedName name="外部資料_3" localSheetId="17" hidden="1">'600'!$A$5:$D$96</definedName>
    <definedName name="外部資料_3" localSheetId="18" hidden="1">'620'!$A$5:$D$9</definedName>
    <definedName name="外部資料_3" localSheetId="19" hidden="1">'650'!$A$5:$D$12</definedName>
    <definedName name="外部資料_3" localSheetId="7" hidden="1">'6XX'!$A$5:$D$38</definedName>
    <definedName name="外部資料_4" localSheetId="4" hidden="1">'018#1'!$AI$5:$AI$6</definedName>
    <definedName name="外部資料_4" localSheetId="8" hidden="1">'370'!#REF!</definedName>
    <definedName name="外部資料_4" localSheetId="9" hidden="1">'400'!#REF!</definedName>
    <definedName name="外部資料_4" localSheetId="10" hidden="1">'420'!#REF!</definedName>
    <definedName name="外部資料_4" localSheetId="11" hidden="1">'450'!#REF!</definedName>
    <definedName name="外部資料_4" localSheetId="12" hidden="1">'470'!#REF!</definedName>
    <definedName name="外部資料_4" localSheetId="13" hidden="1">'500'!#REF!</definedName>
    <definedName name="外部資料_4" localSheetId="14" hidden="1">'520'!#REF!</definedName>
    <definedName name="外部資料_4" localSheetId="15" hidden="1">'550'!#REF!</definedName>
    <definedName name="外部資料_4" localSheetId="16" hidden="1">'570'!#REF!</definedName>
    <definedName name="外部資料_4" localSheetId="17" hidden="1">'600'!#REF!</definedName>
    <definedName name="外部資料_4" localSheetId="18" hidden="1">'620'!#REF!</definedName>
    <definedName name="外部資料_4" localSheetId="19" hidden="1">'650'!#REF!</definedName>
    <definedName name="外部資料_5" localSheetId="4" hidden="1">'018#1'!$AH$5:$AH$6</definedName>
    <definedName name="外部資料_5" localSheetId="2" hidden="1">employee!$A$1:$B$96</definedName>
    <definedName name="外部資料_6" localSheetId="4" hidden="1">'018#1'!$AG$5:$AG$6</definedName>
    <definedName name="外部資料_6" localSheetId="5" hidden="1">'4XX'!$AE$5:$AE$6</definedName>
    <definedName name="外部資料_6" localSheetId="6" hidden="1">'5XX'!$AE$5:$AE$6</definedName>
    <definedName name="外部資料_6" localSheetId="7" hidden="1">'6XX'!$AE$5:$AE$6</definedName>
    <definedName name="外部資料_6" localSheetId="3" hidden="1">PCUST!$A$1:$C$33</definedName>
    <definedName name="製令152" localSheetId="2">#REF!</definedName>
  </definedNames>
  <calcPr calcId="191029"/>
  <fileRecoveryPr repairLoad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1"/>
        <x14:slicerCache r:id="rId22"/>
        <x14:slicerCache r:id="rId23"/>
        <x14:slicerCache r:id="rId24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018-XXX可分料製令_302aeaec-b359-4b0f-956b-7c03bbfc8196" name="018-XXX可分料製令" connection="查詢 - 018-XXX可分料製令(1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57" l="1"/>
  <c r="E6" i="57" s="1"/>
  <c r="F7" i="57"/>
  <c r="E7" i="57" s="1"/>
  <c r="F8" i="57"/>
  <c r="E8" i="57" s="1"/>
  <c r="F9" i="57"/>
  <c r="F10" i="57"/>
  <c r="F11" i="57"/>
  <c r="F12" i="57"/>
  <c r="G12" i="57" s="1"/>
  <c r="I6" i="57"/>
  <c r="I7" i="57"/>
  <c r="I8" i="57"/>
  <c r="I9" i="57"/>
  <c r="I10" i="57"/>
  <c r="I11" i="57"/>
  <c r="I12" i="57"/>
  <c r="J6" i="57"/>
  <c r="J7" i="57"/>
  <c r="K7" i="57" s="1"/>
  <c r="J8" i="57"/>
  <c r="J9" i="57"/>
  <c r="K9" i="57" s="1"/>
  <c r="J10" i="57"/>
  <c r="K10" i="57" s="1"/>
  <c r="J11" i="57"/>
  <c r="K11" i="57" s="1"/>
  <c r="J12" i="57"/>
  <c r="K12" i="57" s="1"/>
  <c r="K8" i="57"/>
  <c r="M6" i="57"/>
  <c r="M7" i="57"/>
  <c r="M8" i="57"/>
  <c r="M9" i="57"/>
  <c r="O9" i="57" s="1"/>
  <c r="M10" i="57"/>
  <c r="M11" i="57"/>
  <c r="M12" i="57"/>
  <c r="N6" i="57"/>
  <c r="N7" i="57"/>
  <c r="N8" i="57"/>
  <c r="N9" i="57"/>
  <c r="N10" i="57"/>
  <c r="N11" i="57"/>
  <c r="N12" i="57"/>
  <c r="P6" i="57"/>
  <c r="P7" i="57"/>
  <c r="P8" i="57"/>
  <c r="P9" i="57"/>
  <c r="R9" i="57" s="1"/>
  <c r="P10" i="57"/>
  <c r="R10" i="57" s="1"/>
  <c r="P11" i="57"/>
  <c r="R11" i="57" s="1"/>
  <c r="P12" i="57"/>
  <c r="Q6" i="57"/>
  <c r="Q7" i="57"/>
  <c r="O7" i="57" s="1"/>
  <c r="Q8" i="57"/>
  <c r="Q9" i="57"/>
  <c r="Q10" i="57"/>
  <c r="Q11" i="57"/>
  <c r="Q12" i="57"/>
  <c r="S6" i="57"/>
  <c r="S7" i="57"/>
  <c r="S8" i="57"/>
  <c r="S9" i="57"/>
  <c r="S10" i="57"/>
  <c r="U10" i="57" s="1"/>
  <c r="S11" i="57"/>
  <c r="U11" i="57" s="1"/>
  <c r="S12" i="57"/>
  <c r="T6" i="57"/>
  <c r="Z6" i="57" s="1"/>
  <c r="T7" i="57"/>
  <c r="Z7" i="57" s="1"/>
  <c r="T8" i="57"/>
  <c r="T9" i="57"/>
  <c r="T10" i="57"/>
  <c r="T11" i="57"/>
  <c r="T12" i="57"/>
  <c r="U7" i="57"/>
  <c r="V6" i="57"/>
  <c r="W6" i="57" s="1"/>
  <c r="V7" i="57"/>
  <c r="V8" i="57"/>
  <c r="V9" i="57"/>
  <c r="V10" i="57"/>
  <c r="V11" i="57"/>
  <c r="W11" i="57" s="1"/>
  <c r="V12" i="57"/>
  <c r="W12" i="57" s="1"/>
  <c r="Y6" i="57"/>
  <c r="Y7" i="57"/>
  <c r="Y8" i="57"/>
  <c r="Y9" i="57"/>
  <c r="Y10" i="57"/>
  <c r="Y11" i="57"/>
  <c r="Y12" i="57"/>
  <c r="F6" i="56"/>
  <c r="E6" i="56" s="1"/>
  <c r="F7" i="56"/>
  <c r="E7" i="56" s="1"/>
  <c r="F8" i="56"/>
  <c r="E8" i="56" s="1"/>
  <c r="F9" i="56"/>
  <c r="E9" i="56" s="1"/>
  <c r="I6" i="56"/>
  <c r="I7" i="56"/>
  <c r="I8" i="56"/>
  <c r="I9" i="56"/>
  <c r="J6" i="56"/>
  <c r="K6" i="56" s="1"/>
  <c r="J7" i="56"/>
  <c r="K7" i="56" s="1"/>
  <c r="J8" i="56"/>
  <c r="J9" i="56"/>
  <c r="K9" i="56" s="1"/>
  <c r="M6" i="56"/>
  <c r="M7" i="56"/>
  <c r="O7" i="56" s="1"/>
  <c r="M8" i="56"/>
  <c r="M9" i="56"/>
  <c r="O9" i="56" s="1"/>
  <c r="N6" i="56"/>
  <c r="N7" i="56"/>
  <c r="N8" i="56"/>
  <c r="N9" i="56"/>
  <c r="P6" i="56"/>
  <c r="P7" i="56"/>
  <c r="P8" i="56"/>
  <c r="P9" i="56"/>
  <c r="Q6" i="56"/>
  <c r="Q7" i="56"/>
  <c r="Q8" i="56"/>
  <c r="Q9" i="56"/>
  <c r="S6" i="56"/>
  <c r="S7" i="56"/>
  <c r="S8" i="56"/>
  <c r="S9" i="56"/>
  <c r="T6" i="56"/>
  <c r="Z6" i="56" s="1"/>
  <c r="T7" i="56"/>
  <c r="Z7" i="56" s="1"/>
  <c r="T8" i="56"/>
  <c r="Z8" i="56" s="1"/>
  <c r="T9" i="56"/>
  <c r="Z9" i="56" s="1"/>
  <c r="V6" i="56"/>
  <c r="W6" i="56" s="1"/>
  <c r="V7" i="56"/>
  <c r="W7" i="56" s="1"/>
  <c r="V8" i="56"/>
  <c r="V9" i="56"/>
  <c r="W9" i="56" s="1"/>
  <c r="Y6" i="56"/>
  <c r="Y7" i="56"/>
  <c r="Y8" i="56"/>
  <c r="Y9" i="56"/>
  <c r="E62" i="50"/>
  <c r="F6" i="50"/>
  <c r="F7" i="50"/>
  <c r="F8" i="50"/>
  <c r="F9" i="50"/>
  <c r="E9" i="50" s="1"/>
  <c r="F10" i="50"/>
  <c r="E10" i="50" s="1"/>
  <c r="F11" i="50"/>
  <c r="E11" i="50" s="1"/>
  <c r="F12" i="50"/>
  <c r="E12" i="50" s="1"/>
  <c r="F13" i="50"/>
  <c r="E13" i="50" s="1"/>
  <c r="F14" i="50"/>
  <c r="E14" i="50" s="1"/>
  <c r="F15" i="50"/>
  <c r="E15" i="50" s="1"/>
  <c r="F16" i="50"/>
  <c r="E16" i="50" s="1"/>
  <c r="F17" i="50"/>
  <c r="E17" i="50" s="1"/>
  <c r="F18" i="50"/>
  <c r="G18" i="50" s="1"/>
  <c r="F19" i="50"/>
  <c r="G19" i="50" s="1"/>
  <c r="F20" i="50"/>
  <c r="F21" i="50"/>
  <c r="E21" i="50" s="1"/>
  <c r="F22" i="50"/>
  <c r="F23" i="50"/>
  <c r="F24" i="50"/>
  <c r="K24" i="50" s="1"/>
  <c r="F25" i="50"/>
  <c r="E25" i="50" s="1"/>
  <c r="F26" i="50"/>
  <c r="E26" i="50" s="1"/>
  <c r="F27" i="50"/>
  <c r="E27" i="50" s="1"/>
  <c r="F28" i="50"/>
  <c r="F29" i="50"/>
  <c r="F30" i="50"/>
  <c r="F31" i="50"/>
  <c r="F32" i="50"/>
  <c r="F33" i="50"/>
  <c r="E33" i="50" s="1"/>
  <c r="F34" i="50"/>
  <c r="E34" i="50" s="1"/>
  <c r="F35" i="50"/>
  <c r="E35" i="50" s="1"/>
  <c r="F36" i="50"/>
  <c r="E36" i="50" s="1"/>
  <c r="F37" i="50"/>
  <c r="E37" i="50" s="1"/>
  <c r="F38" i="50"/>
  <c r="E38" i="50" s="1"/>
  <c r="F39" i="50"/>
  <c r="E39" i="50" s="1"/>
  <c r="F40" i="50"/>
  <c r="E40" i="50" s="1"/>
  <c r="F41" i="50"/>
  <c r="E41" i="50" s="1"/>
  <c r="F42" i="50"/>
  <c r="G42" i="50" s="1"/>
  <c r="F43" i="50"/>
  <c r="G43" i="50" s="1"/>
  <c r="F44" i="50"/>
  <c r="F45" i="50"/>
  <c r="E45" i="50" s="1"/>
  <c r="F46" i="50"/>
  <c r="F47" i="50"/>
  <c r="F48" i="50"/>
  <c r="G48" i="50" s="1"/>
  <c r="F49" i="50"/>
  <c r="E49" i="50" s="1"/>
  <c r="F50" i="50"/>
  <c r="E50" i="50" s="1"/>
  <c r="F51" i="50"/>
  <c r="E51" i="50" s="1"/>
  <c r="F52" i="50"/>
  <c r="F53" i="50"/>
  <c r="F54" i="50"/>
  <c r="F55" i="50"/>
  <c r="F56" i="50"/>
  <c r="F57" i="50"/>
  <c r="E57" i="50" s="1"/>
  <c r="F58" i="50"/>
  <c r="E58" i="50" s="1"/>
  <c r="F59" i="50"/>
  <c r="E59" i="50" s="1"/>
  <c r="F60" i="50"/>
  <c r="E60" i="50" s="1"/>
  <c r="F61" i="50"/>
  <c r="E61" i="50" s="1"/>
  <c r="F62" i="50"/>
  <c r="F63" i="50"/>
  <c r="E63" i="50" s="1"/>
  <c r="F64" i="50"/>
  <c r="E64" i="50" s="1"/>
  <c r="F65" i="50"/>
  <c r="E65" i="50" s="1"/>
  <c r="F66" i="50"/>
  <c r="G66" i="50" s="1"/>
  <c r="F67" i="50"/>
  <c r="G67" i="50" s="1"/>
  <c r="F68" i="50"/>
  <c r="F69" i="50"/>
  <c r="E69" i="50" s="1"/>
  <c r="F70" i="50"/>
  <c r="F71" i="50"/>
  <c r="F72" i="50"/>
  <c r="G72" i="50" s="1"/>
  <c r="F73" i="50"/>
  <c r="E73" i="50" s="1"/>
  <c r="F74" i="50"/>
  <c r="E74" i="50" s="1"/>
  <c r="F75" i="50"/>
  <c r="E75" i="50" s="1"/>
  <c r="F76" i="50"/>
  <c r="G76" i="50" s="1"/>
  <c r="F77" i="50"/>
  <c r="F78" i="50"/>
  <c r="F79" i="50"/>
  <c r="F80" i="50"/>
  <c r="F81" i="50"/>
  <c r="E81" i="50" s="1"/>
  <c r="F82" i="50"/>
  <c r="E82" i="50" s="1"/>
  <c r="F83" i="50"/>
  <c r="E83" i="50" s="1"/>
  <c r="F84" i="50"/>
  <c r="E84" i="50" s="1"/>
  <c r="F85" i="50"/>
  <c r="E85" i="50" s="1"/>
  <c r="F86" i="50"/>
  <c r="E86" i="50" s="1"/>
  <c r="F87" i="50"/>
  <c r="E87" i="50" s="1"/>
  <c r="F88" i="50"/>
  <c r="E88" i="50" s="1"/>
  <c r="F89" i="50"/>
  <c r="E89" i="50" s="1"/>
  <c r="F90" i="50"/>
  <c r="G90" i="50" s="1"/>
  <c r="F91" i="50"/>
  <c r="G91" i="50" s="1"/>
  <c r="F92" i="50"/>
  <c r="F93" i="50"/>
  <c r="E93" i="50" s="1"/>
  <c r="F94" i="50"/>
  <c r="F95" i="50"/>
  <c r="F96" i="50"/>
  <c r="H96" i="50" s="1"/>
  <c r="G9" i="50"/>
  <c r="G10" i="50"/>
  <c r="G11" i="50"/>
  <c r="G12" i="50"/>
  <c r="G13" i="50"/>
  <c r="G14" i="50"/>
  <c r="G15" i="50"/>
  <c r="G17" i="50"/>
  <c r="G21" i="50"/>
  <c r="G25" i="50"/>
  <c r="G26" i="50"/>
  <c r="G27" i="50"/>
  <c r="G28" i="50"/>
  <c r="G33" i="50"/>
  <c r="G34" i="50"/>
  <c r="G35" i="50"/>
  <c r="G36" i="50"/>
  <c r="G37" i="50"/>
  <c r="G38" i="50"/>
  <c r="G39" i="50"/>
  <c r="G41" i="50"/>
  <c r="G45" i="50"/>
  <c r="G49" i="50"/>
  <c r="G50" i="50"/>
  <c r="G51" i="50"/>
  <c r="G52" i="50"/>
  <c r="G57" i="50"/>
  <c r="G58" i="50"/>
  <c r="G59" i="50"/>
  <c r="G60" i="50"/>
  <c r="G61" i="50"/>
  <c r="G62" i="50"/>
  <c r="G63" i="50"/>
  <c r="G65" i="50"/>
  <c r="G69" i="50"/>
  <c r="G73" i="50"/>
  <c r="G74" i="50"/>
  <c r="G75" i="50"/>
  <c r="G81" i="50"/>
  <c r="G83" i="50"/>
  <c r="G93" i="50"/>
  <c r="H63" i="50"/>
  <c r="I6" i="50"/>
  <c r="I7" i="50"/>
  <c r="I8" i="50"/>
  <c r="I9" i="50"/>
  <c r="H9" i="50" s="1"/>
  <c r="I10" i="50"/>
  <c r="I11" i="50"/>
  <c r="I12" i="50"/>
  <c r="I13" i="50"/>
  <c r="I14" i="50"/>
  <c r="I15" i="50"/>
  <c r="H15" i="50" s="1"/>
  <c r="I16" i="50"/>
  <c r="I17" i="50"/>
  <c r="H17" i="50" s="1"/>
  <c r="I18" i="50"/>
  <c r="I19" i="50"/>
  <c r="I20" i="50"/>
  <c r="I21" i="50"/>
  <c r="I22" i="50"/>
  <c r="I23" i="50"/>
  <c r="I24" i="50"/>
  <c r="I25" i="50"/>
  <c r="L25" i="50" s="1"/>
  <c r="I26" i="50"/>
  <c r="I27" i="50"/>
  <c r="I28" i="50"/>
  <c r="I29" i="50"/>
  <c r="I30" i="50"/>
  <c r="I31" i="50"/>
  <c r="L31" i="50" s="1"/>
  <c r="I32" i="50"/>
  <c r="I33" i="50"/>
  <c r="H33" i="50" s="1"/>
  <c r="I34" i="50"/>
  <c r="I35" i="50"/>
  <c r="I36" i="50"/>
  <c r="I37" i="50"/>
  <c r="I38" i="50"/>
  <c r="I39" i="50"/>
  <c r="H39" i="50" s="1"/>
  <c r="I40" i="50"/>
  <c r="I41" i="50"/>
  <c r="H41" i="50" s="1"/>
  <c r="I42" i="50"/>
  <c r="I43" i="50"/>
  <c r="I44" i="50"/>
  <c r="I45" i="50"/>
  <c r="I46" i="50"/>
  <c r="I47" i="50"/>
  <c r="I48" i="50"/>
  <c r="I49" i="50"/>
  <c r="L49" i="50" s="1"/>
  <c r="I50" i="50"/>
  <c r="I51" i="50"/>
  <c r="I52" i="50"/>
  <c r="I53" i="50"/>
  <c r="I54" i="50"/>
  <c r="I55" i="50"/>
  <c r="I56" i="50"/>
  <c r="I57" i="50"/>
  <c r="H57" i="50" s="1"/>
  <c r="I58" i="50"/>
  <c r="I59" i="50"/>
  <c r="I60" i="50"/>
  <c r="I61" i="50"/>
  <c r="I62" i="50"/>
  <c r="I63" i="50"/>
  <c r="I64" i="50"/>
  <c r="I65" i="50"/>
  <c r="H65" i="50" s="1"/>
  <c r="I66" i="50"/>
  <c r="I67" i="50"/>
  <c r="I68" i="50"/>
  <c r="I69" i="50"/>
  <c r="I70" i="50"/>
  <c r="I71" i="50"/>
  <c r="I72" i="50"/>
  <c r="I73" i="50"/>
  <c r="L73" i="50" s="1"/>
  <c r="I74" i="50"/>
  <c r="I75" i="50"/>
  <c r="I76" i="50"/>
  <c r="I77" i="50"/>
  <c r="I78" i="50"/>
  <c r="I79" i="50"/>
  <c r="I80" i="50"/>
  <c r="I81" i="50"/>
  <c r="H81" i="50" s="1"/>
  <c r="I82" i="50"/>
  <c r="I83" i="50"/>
  <c r="I84" i="50"/>
  <c r="I85" i="50"/>
  <c r="I86" i="50"/>
  <c r="I87" i="50"/>
  <c r="H87" i="50" s="1"/>
  <c r="I88" i="50"/>
  <c r="I89" i="50"/>
  <c r="H89" i="50" s="1"/>
  <c r="I90" i="50"/>
  <c r="I91" i="50"/>
  <c r="I92" i="50"/>
  <c r="I93" i="50"/>
  <c r="I94" i="50"/>
  <c r="I95" i="50"/>
  <c r="I96" i="50"/>
  <c r="J6" i="50"/>
  <c r="K6" i="50" s="1"/>
  <c r="J7" i="50"/>
  <c r="J8" i="50"/>
  <c r="J9" i="50"/>
  <c r="J10" i="50"/>
  <c r="J11" i="50"/>
  <c r="J12" i="50"/>
  <c r="K12" i="50" s="1"/>
  <c r="J13" i="50"/>
  <c r="K13" i="50" s="1"/>
  <c r="J14" i="50"/>
  <c r="K14" i="50" s="1"/>
  <c r="J15" i="50"/>
  <c r="K15" i="50" s="1"/>
  <c r="J16" i="50"/>
  <c r="J17" i="50"/>
  <c r="J18" i="50"/>
  <c r="K18" i="50" s="1"/>
  <c r="J19" i="50"/>
  <c r="K19" i="50" s="1"/>
  <c r="J20" i="50"/>
  <c r="J21" i="50"/>
  <c r="J22" i="50"/>
  <c r="J23" i="50"/>
  <c r="J24" i="50"/>
  <c r="J25" i="50"/>
  <c r="K25" i="50" s="1"/>
  <c r="J26" i="50"/>
  <c r="K26" i="50" s="1"/>
  <c r="J27" i="50"/>
  <c r="K27" i="50" s="1"/>
  <c r="J28" i="50"/>
  <c r="K28" i="50" s="1"/>
  <c r="J29" i="50"/>
  <c r="J30" i="50"/>
  <c r="K30" i="50" s="1"/>
  <c r="J31" i="50"/>
  <c r="J32" i="50"/>
  <c r="J33" i="50"/>
  <c r="J34" i="50"/>
  <c r="J35" i="50"/>
  <c r="J36" i="50"/>
  <c r="K36" i="50" s="1"/>
  <c r="J37" i="50"/>
  <c r="K37" i="50" s="1"/>
  <c r="J38" i="50"/>
  <c r="K38" i="50" s="1"/>
  <c r="J39" i="50"/>
  <c r="K39" i="50" s="1"/>
  <c r="J40" i="50"/>
  <c r="J41" i="50"/>
  <c r="K41" i="50" s="1"/>
  <c r="J42" i="50"/>
  <c r="K42" i="50" s="1"/>
  <c r="J43" i="50"/>
  <c r="K43" i="50" s="1"/>
  <c r="J44" i="50"/>
  <c r="J45" i="50"/>
  <c r="K45" i="50" s="1"/>
  <c r="J46" i="50"/>
  <c r="J47" i="50"/>
  <c r="J48" i="50"/>
  <c r="K48" i="50" s="1"/>
  <c r="J49" i="50"/>
  <c r="K49" i="50" s="1"/>
  <c r="J50" i="50"/>
  <c r="K50" i="50" s="1"/>
  <c r="J51" i="50"/>
  <c r="K51" i="50" s="1"/>
  <c r="J52" i="50"/>
  <c r="K52" i="50" s="1"/>
  <c r="J53" i="50"/>
  <c r="J54" i="50"/>
  <c r="J55" i="50"/>
  <c r="J56" i="50"/>
  <c r="J57" i="50"/>
  <c r="K57" i="50" s="1"/>
  <c r="J58" i="50"/>
  <c r="K58" i="50" s="1"/>
  <c r="J59" i="50"/>
  <c r="K59" i="50" s="1"/>
  <c r="J60" i="50"/>
  <c r="K60" i="50" s="1"/>
  <c r="J61" i="50"/>
  <c r="K61" i="50" s="1"/>
  <c r="J62" i="50"/>
  <c r="K62" i="50" s="1"/>
  <c r="J63" i="50"/>
  <c r="K63" i="50" s="1"/>
  <c r="J64" i="50"/>
  <c r="J65" i="50"/>
  <c r="K65" i="50" s="1"/>
  <c r="J66" i="50"/>
  <c r="K66" i="50" s="1"/>
  <c r="J67" i="50"/>
  <c r="K67" i="50" s="1"/>
  <c r="J68" i="50"/>
  <c r="J69" i="50"/>
  <c r="J70" i="50"/>
  <c r="J71" i="50"/>
  <c r="J72" i="50"/>
  <c r="J73" i="50"/>
  <c r="K73" i="50" s="1"/>
  <c r="J74" i="50"/>
  <c r="K74" i="50" s="1"/>
  <c r="J75" i="50"/>
  <c r="K75" i="50" s="1"/>
  <c r="J76" i="50"/>
  <c r="K76" i="50" s="1"/>
  <c r="J77" i="50"/>
  <c r="J78" i="50"/>
  <c r="J79" i="50"/>
  <c r="J80" i="50"/>
  <c r="J81" i="50"/>
  <c r="J82" i="50"/>
  <c r="K82" i="50" s="1"/>
  <c r="J83" i="50"/>
  <c r="K83" i="50" s="1"/>
  <c r="J84" i="50"/>
  <c r="K84" i="50" s="1"/>
  <c r="J85" i="50"/>
  <c r="K85" i="50" s="1"/>
  <c r="J86" i="50"/>
  <c r="K86" i="50" s="1"/>
  <c r="J87" i="50"/>
  <c r="K87" i="50" s="1"/>
  <c r="J88" i="50"/>
  <c r="J89" i="50"/>
  <c r="K89" i="50" s="1"/>
  <c r="J90" i="50"/>
  <c r="K90" i="50" s="1"/>
  <c r="J91" i="50"/>
  <c r="K91" i="50" s="1"/>
  <c r="J92" i="50"/>
  <c r="J93" i="50"/>
  <c r="K93" i="50" s="1"/>
  <c r="J94" i="50"/>
  <c r="J95" i="50"/>
  <c r="J96" i="50"/>
  <c r="K96" i="50" s="1"/>
  <c r="K7" i="50"/>
  <c r="K8" i="50"/>
  <c r="K9" i="50"/>
  <c r="K10" i="50"/>
  <c r="K11" i="50"/>
  <c r="K17" i="50"/>
  <c r="K21" i="50"/>
  <c r="K31" i="50"/>
  <c r="K33" i="50"/>
  <c r="K34" i="50"/>
  <c r="K35" i="50"/>
  <c r="K69" i="50"/>
  <c r="K79" i="50"/>
  <c r="K81" i="50"/>
  <c r="L11" i="50"/>
  <c r="L29" i="50"/>
  <c r="M6" i="50"/>
  <c r="M7" i="50"/>
  <c r="M8" i="50"/>
  <c r="M9" i="50"/>
  <c r="M10" i="50"/>
  <c r="M11" i="50"/>
  <c r="M12" i="50"/>
  <c r="M13" i="50"/>
  <c r="L13" i="50" s="1"/>
  <c r="M14" i="50"/>
  <c r="M15" i="50"/>
  <c r="M16" i="50"/>
  <c r="M17" i="50"/>
  <c r="L17" i="50" s="1"/>
  <c r="M18" i="50"/>
  <c r="M19" i="50"/>
  <c r="M20" i="50"/>
  <c r="M21" i="50"/>
  <c r="M22" i="50"/>
  <c r="M23" i="50"/>
  <c r="M24" i="50"/>
  <c r="M25" i="50"/>
  <c r="M26" i="50"/>
  <c r="L26" i="50" s="1"/>
  <c r="M27" i="50"/>
  <c r="M28" i="50"/>
  <c r="L28" i="50" s="1"/>
  <c r="M29" i="50"/>
  <c r="M30" i="50"/>
  <c r="M31" i="50"/>
  <c r="M32" i="50"/>
  <c r="M33" i="50"/>
  <c r="M34" i="50"/>
  <c r="M35" i="50"/>
  <c r="L35" i="50" s="1"/>
  <c r="M36" i="50"/>
  <c r="M37" i="50"/>
  <c r="L37" i="50" s="1"/>
  <c r="M38" i="50"/>
  <c r="L38" i="50" s="1"/>
  <c r="M39" i="50"/>
  <c r="M40" i="50"/>
  <c r="M41" i="50"/>
  <c r="L41" i="50" s="1"/>
  <c r="M42" i="50"/>
  <c r="M43" i="50"/>
  <c r="M44" i="50"/>
  <c r="M45" i="50"/>
  <c r="M46" i="50"/>
  <c r="M47" i="50"/>
  <c r="M48" i="50"/>
  <c r="M49" i="50"/>
  <c r="M50" i="50"/>
  <c r="L50" i="50" s="1"/>
  <c r="M51" i="50"/>
  <c r="M52" i="50"/>
  <c r="L52" i="50" s="1"/>
  <c r="M53" i="50"/>
  <c r="L53" i="50" s="1"/>
  <c r="M54" i="50"/>
  <c r="M55" i="50"/>
  <c r="M56" i="50"/>
  <c r="M57" i="50"/>
  <c r="M58" i="50"/>
  <c r="M59" i="50"/>
  <c r="L59" i="50" s="1"/>
  <c r="M60" i="50"/>
  <c r="M61" i="50"/>
  <c r="L61" i="50" s="1"/>
  <c r="M62" i="50"/>
  <c r="M63" i="50"/>
  <c r="M64" i="50"/>
  <c r="M65" i="50"/>
  <c r="L65" i="50" s="1"/>
  <c r="M66" i="50"/>
  <c r="M67" i="50"/>
  <c r="M68" i="50"/>
  <c r="M69" i="50"/>
  <c r="M70" i="50"/>
  <c r="M71" i="50"/>
  <c r="M72" i="50"/>
  <c r="M73" i="50"/>
  <c r="M74" i="50"/>
  <c r="L74" i="50" s="1"/>
  <c r="M75" i="50"/>
  <c r="M76" i="50"/>
  <c r="L76" i="50" s="1"/>
  <c r="M77" i="50"/>
  <c r="L77" i="50" s="1"/>
  <c r="M78" i="50"/>
  <c r="M79" i="50"/>
  <c r="M80" i="50"/>
  <c r="M81" i="50"/>
  <c r="M82" i="50"/>
  <c r="M83" i="50"/>
  <c r="L83" i="50" s="1"/>
  <c r="M84" i="50"/>
  <c r="M85" i="50"/>
  <c r="L85" i="50" s="1"/>
  <c r="M86" i="50"/>
  <c r="M87" i="50"/>
  <c r="M88" i="50"/>
  <c r="M89" i="50"/>
  <c r="L89" i="50" s="1"/>
  <c r="M90" i="50"/>
  <c r="M91" i="50"/>
  <c r="M92" i="50"/>
  <c r="M93" i="50"/>
  <c r="M94" i="50"/>
  <c r="M95" i="50"/>
  <c r="M96" i="50"/>
  <c r="N6" i="50"/>
  <c r="N7" i="50"/>
  <c r="N8" i="50"/>
  <c r="N9" i="50"/>
  <c r="N10" i="50"/>
  <c r="N11" i="50"/>
  <c r="N12" i="50"/>
  <c r="L12" i="50" s="1"/>
  <c r="N13" i="50"/>
  <c r="N14" i="50"/>
  <c r="L14" i="50" s="1"/>
  <c r="N15" i="50"/>
  <c r="N16" i="50"/>
  <c r="N17" i="50"/>
  <c r="N18" i="50"/>
  <c r="N19" i="50"/>
  <c r="N20" i="50"/>
  <c r="N21" i="50"/>
  <c r="Z21" i="50" s="1"/>
  <c r="N22" i="50"/>
  <c r="N23" i="50"/>
  <c r="N24" i="50"/>
  <c r="N25" i="50"/>
  <c r="N26" i="50"/>
  <c r="N27" i="50"/>
  <c r="L27" i="50" s="1"/>
  <c r="N28" i="50"/>
  <c r="N29" i="50"/>
  <c r="N30" i="50"/>
  <c r="N31" i="50"/>
  <c r="N32" i="50"/>
  <c r="N33" i="50"/>
  <c r="N34" i="50"/>
  <c r="N35" i="50"/>
  <c r="N36" i="50"/>
  <c r="L36" i="50" s="1"/>
  <c r="N37" i="50"/>
  <c r="N38" i="50"/>
  <c r="N39" i="50"/>
  <c r="N40" i="50"/>
  <c r="N41" i="50"/>
  <c r="N42" i="50"/>
  <c r="N43" i="50"/>
  <c r="N44" i="50"/>
  <c r="N45" i="50"/>
  <c r="N46" i="50"/>
  <c r="N47" i="50"/>
  <c r="N48" i="50"/>
  <c r="N49" i="50"/>
  <c r="N50" i="50"/>
  <c r="N51" i="50"/>
  <c r="L51" i="50" s="1"/>
  <c r="N52" i="50"/>
  <c r="N53" i="50"/>
  <c r="N54" i="50"/>
  <c r="N55" i="50"/>
  <c r="N56" i="50"/>
  <c r="N57" i="50"/>
  <c r="N58" i="50"/>
  <c r="N59" i="50"/>
  <c r="N60" i="50"/>
  <c r="L60" i="50" s="1"/>
  <c r="N61" i="50"/>
  <c r="N62" i="50"/>
  <c r="L62" i="50" s="1"/>
  <c r="N63" i="50"/>
  <c r="N64" i="50"/>
  <c r="N65" i="50"/>
  <c r="N66" i="50"/>
  <c r="N67" i="50"/>
  <c r="N68" i="50"/>
  <c r="N69" i="50"/>
  <c r="N70" i="50"/>
  <c r="N71" i="50"/>
  <c r="N72" i="50"/>
  <c r="N73" i="50"/>
  <c r="N74" i="50"/>
  <c r="N75" i="50"/>
  <c r="L75" i="50" s="1"/>
  <c r="N76" i="50"/>
  <c r="N77" i="50"/>
  <c r="N78" i="50"/>
  <c r="N79" i="50"/>
  <c r="N80" i="50"/>
  <c r="N81" i="50"/>
  <c r="N82" i="50"/>
  <c r="N83" i="50"/>
  <c r="N84" i="50"/>
  <c r="L84" i="50" s="1"/>
  <c r="N85" i="50"/>
  <c r="N86" i="50"/>
  <c r="L86" i="50" s="1"/>
  <c r="N87" i="50"/>
  <c r="N88" i="50"/>
  <c r="N89" i="50"/>
  <c r="N90" i="50"/>
  <c r="N91" i="50"/>
  <c r="N92" i="50"/>
  <c r="N93" i="50"/>
  <c r="N94" i="50"/>
  <c r="N95" i="50"/>
  <c r="N96" i="50"/>
  <c r="O74" i="50"/>
  <c r="O89" i="50"/>
  <c r="P6" i="50"/>
  <c r="P7" i="50"/>
  <c r="R7" i="50" s="1"/>
  <c r="P8" i="50"/>
  <c r="P9" i="50"/>
  <c r="P10" i="50"/>
  <c r="R10" i="50" s="1"/>
  <c r="P11" i="50"/>
  <c r="P12" i="50"/>
  <c r="P13" i="50"/>
  <c r="P14" i="50"/>
  <c r="P15" i="50"/>
  <c r="P16" i="50"/>
  <c r="P17" i="50"/>
  <c r="P18" i="50"/>
  <c r="R18" i="50" s="1"/>
  <c r="P19" i="50"/>
  <c r="P20" i="50"/>
  <c r="P21" i="50"/>
  <c r="P22" i="50"/>
  <c r="P23" i="50"/>
  <c r="P24" i="50"/>
  <c r="P25" i="50"/>
  <c r="P26" i="50"/>
  <c r="R26" i="50" s="1"/>
  <c r="P27" i="50"/>
  <c r="P28" i="50"/>
  <c r="P29" i="50"/>
  <c r="P30" i="50"/>
  <c r="P31" i="50"/>
  <c r="R31" i="50" s="1"/>
  <c r="P32" i="50"/>
  <c r="P33" i="50"/>
  <c r="P34" i="50"/>
  <c r="R34" i="50" s="1"/>
  <c r="P35" i="50"/>
  <c r="P36" i="50"/>
  <c r="P37" i="50"/>
  <c r="P38" i="50"/>
  <c r="P39" i="50"/>
  <c r="P40" i="50"/>
  <c r="P41" i="50"/>
  <c r="P42" i="50"/>
  <c r="P43" i="50"/>
  <c r="R43" i="50" s="1"/>
  <c r="P44" i="50"/>
  <c r="P45" i="50"/>
  <c r="P46" i="50"/>
  <c r="P47" i="50"/>
  <c r="P48" i="50"/>
  <c r="P49" i="50"/>
  <c r="P50" i="50"/>
  <c r="R50" i="50" s="1"/>
  <c r="P51" i="50"/>
  <c r="P52" i="50"/>
  <c r="P53" i="50"/>
  <c r="P54" i="50"/>
  <c r="P55" i="50"/>
  <c r="R55" i="50" s="1"/>
  <c r="P56" i="50"/>
  <c r="P57" i="50"/>
  <c r="P58" i="50"/>
  <c r="R58" i="50" s="1"/>
  <c r="P59" i="50"/>
  <c r="P60" i="50"/>
  <c r="P61" i="50"/>
  <c r="P62" i="50"/>
  <c r="P63" i="50"/>
  <c r="P64" i="50"/>
  <c r="P65" i="50"/>
  <c r="P66" i="50"/>
  <c r="P67" i="50"/>
  <c r="O67" i="50" s="1"/>
  <c r="P68" i="50"/>
  <c r="P69" i="50"/>
  <c r="P70" i="50"/>
  <c r="P71" i="50"/>
  <c r="P72" i="50"/>
  <c r="P73" i="50"/>
  <c r="P74" i="50"/>
  <c r="R74" i="50" s="1"/>
  <c r="P75" i="50"/>
  <c r="P76" i="50"/>
  <c r="P77" i="50"/>
  <c r="P78" i="50"/>
  <c r="P79" i="50"/>
  <c r="R79" i="50" s="1"/>
  <c r="P80" i="50"/>
  <c r="P81" i="50"/>
  <c r="P82" i="50"/>
  <c r="R82" i="50" s="1"/>
  <c r="P83" i="50"/>
  <c r="P84" i="50"/>
  <c r="P85" i="50"/>
  <c r="P86" i="50"/>
  <c r="P87" i="50"/>
  <c r="P88" i="50"/>
  <c r="P89" i="50"/>
  <c r="R89" i="50" s="1"/>
  <c r="P90" i="50"/>
  <c r="R90" i="50" s="1"/>
  <c r="P91" i="50"/>
  <c r="O91" i="50" s="1"/>
  <c r="P92" i="50"/>
  <c r="P93" i="50"/>
  <c r="P94" i="50"/>
  <c r="P95" i="50"/>
  <c r="P96" i="50"/>
  <c r="Q6" i="50"/>
  <c r="Q7" i="50"/>
  <c r="Z7" i="50" s="1"/>
  <c r="Q8" i="50"/>
  <c r="Z8" i="50" s="1"/>
  <c r="Q9" i="50"/>
  <c r="Q10" i="50"/>
  <c r="Q11" i="50"/>
  <c r="Q12" i="50"/>
  <c r="Q13" i="50"/>
  <c r="Q14" i="50"/>
  <c r="Q15" i="50"/>
  <c r="Q16" i="50"/>
  <c r="Q17" i="50"/>
  <c r="O17" i="50" s="1"/>
  <c r="Q18" i="50"/>
  <c r="Q19" i="50"/>
  <c r="Q20" i="50"/>
  <c r="O20" i="50" s="1"/>
  <c r="Q21" i="50"/>
  <c r="Q22" i="50"/>
  <c r="Q23" i="50"/>
  <c r="Q24" i="50"/>
  <c r="Q25" i="50"/>
  <c r="Q26" i="50"/>
  <c r="O26" i="50" s="1"/>
  <c r="Q27" i="50"/>
  <c r="Q28" i="50"/>
  <c r="O28" i="50" s="1"/>
  <c r="Q29" i="50"/>
  <c r="Q30" i="50"/>
  <c r="Q31" i="50"/>
  <c r="Q32" i="50"/>
  <c r="Q33" i="50"/>
  <c r="Q34" i="50"/>
  <c r="Q35" i="50"/>
  <c r="Q36" i="50"/>
  <c r="Q37" i="50"/>
  <c r="Q38" i="50"/>
  <c r="Q39" i="50"/>
  <c r="Q40" i="50"/>
  <c r="Q41" i="50"/>
  <c r="Q42" i="50"/>
  <c r="Q43" i="50"/>
  <c r="Q44" i="50"/>
  <c r="O44" i="50" s="1"/>
  <c r="Q45" i="50"/>
  <c r="Q46" i="50"/>
  <c r="Q47" i="50"/>
  <c r="Q48" i="50"/>
  <c r="Q49" i="50"/>
  <c r="Q50" i="50"/>
  <c r="O50" i="50" s="1"/>
  <c r="Q51" i="50"/>
  <c r="Q52" i="50"/>
  <c r="O52" i="50" s="1"/>
  <c r="Q53" i="50"/>
  <c r="Q54" i="50"/>
  <c r="Q55" i="50"/>
  <c r="Q56" i="50"/>
  <c r="Q57" i="50"/>
  <c r="Q58" i="50"/>
  <c r="Q59" i="50"/>
  <c r="Q60" i="50"/>
  <c r="Q61" i="50"/>
  <c r="Q62" i="50"/>
  <c r="Q63" i="50"/>
  <c r="Q64" i="50"/>
  <c r="Q65" i="50"/>
  <c r="O65" i="50" s="1"/>
  <c r="Q66" i="50"/>
  <c r="Q67" i="50"/>
  <c r="Q68" i="50"/>
  <c r="O68" i="50" s="1"/>
  <c r="Q69" i="50"/>
  <c r="Q70" i="50"/>
  <c r="Q71" i="50"/>
  <c r="Q72" i="50"/>
  <c r="Q73" i="50"/>
  <c r="Q74" i="50"/>
  <c r="Q75" i="50"/>
  <c r="Q76" i="50"/>
  <c r="O76" i="50" s="1"/>
  <c r="Q77" i="50"/>
  <c r="Q78" i="50"/>
  <c r="Q79" i="50"/>
  <c r="Q80" i="50"/>
  <c r="Q81" i="50"/>
  <c r="Q82" i="50"/>
  <c r="Q83" i="50"/>
  <c r="Q84" i="50"/>
  <c r="Q85" i="50"/>
  <c r="Q86" i="50"/>
  <c r="Q87" i="50"/>
  <c r="Q88" i="50"/>
  <c r="Q89" i="50"/>
  <c r="Q90" i="50"/>
  <c r="Q91" i="50"/>
  <c r="Q92" i="50"/>
  <c r="O92" i="50" s="1"/>
  <c r="Q93" i="50"/>
  <c r="Q94" i="50"/>
  <c r="Q95" i="50"/>
  <c r="Q96" i="50"/>
  <c r="R8" i="50"/>
  <c r="R19" i="50"/>
  <c r="R32" i="50"/>
  <c r="R56" i="50"/>
  <c r="R67" i="50"/>
  <c r="S6" i="50"/>
  <c r="S7" i="50"/>
  <c r="S8" i="50"/>
  <c r="S9" i="50"/>
  <c r="U9" i="50" s="1"/>
  <c r="S10" i="50"/>
  <c r="S11" i="50"/>
  <c r="R11" i="50" s="1"/>
  <c r="S12" i="50"/>
  <c r="S13" i="50"/>
  <c r="S14" i="50"/>
  <c r="S15" i="50"/>
  <c r="S16" i="50"/>
  <c r="S17" i="50"/>
  <c r="R17" i="50" s="1"/>
  <c r="S18" i="50"/>
  <c r="S19" i="50"/>
  <c r="S20" i="50"/>
  <c r="S21" i="50"/>
  <c r="S22" i="50"/>
  <c r="U22" i="50" s="1"/>
  <c r="S23" i="50"/>
  <c r="S24" i="50"/>
  <c r="S25" i="50"/>
  <c r="U25" i="50" s="1"/>
  <c r="S26" i="50"/>
  <c r="S27" i="50"/>
  <c r="S28" i="50"/>
  <c r="S29" i="50"/>
  <c r="S30" i="50"/>
  <c r="S31" i="50"/>
  <c r="U31" i="50" s="1"/>
  <c r="S32" i="50"/>
  <c r="U32" i="50" s="1"/>
  <c r="S33" i="50"/>
  <c r="S34" i="50"/>
  <c r="U34" i="50" s="1"/>
  <c r="S35" i="50"/>
  <c r="R35" i="50" s="1"/>
  <c r="S36" i="50"/>
  <c r="S37" i="50"/>
  <c r="S38" i="50"/>
  <c r="S39" i="50"/>
  <c r="S40" i="50"/>
  <c r="S41" i="50"/>
  <c r="R41" i="50" s="1"/>
  <c r="S42" i="50"/>
  <c r="S43" i="50"/>
  <c r="S44" i="50"/>
  <c r="S45" i="50"/>
  <c r="S46" i="50"/>
  <c r="U46" i="50" s="1"/>
  <c r="S47" i="50"/>
  <c r="S48" i="50"/>
  <c r="S49" i="50"/>
  <c r="U49" i="50" s="1"/>
  <c r="S50" i="50"/>
  <c r="S51" i="50"/>
  <c r="S52" i="50"/>
  <c r="S53" i="50"/>
  <c r="S54" i="50"/>
  <c r="S55" i="50"/>
  <c r="S56" i="50"/>
  <c r="U56" i="50" s="1"/>
  <c r="S57" i="50"/>
  <c r="S58" i="50"/>
  <c r="U58" i="50" s="1"/>
  <c r="S59" i="50"/>
  <c r="R59" i="50" s="1"/>
  <c r="S60" i="50"/>
  <c r="S61" i="50"/>
  <c r="S62" i="50"/>
  <c r="S63" i="50"/>
  <c r="S64" i="50"/>
  <c r="S65" i="50"/>
  <c r="R65" i="50" s="1"/>
  <c r="S66" i="50"/>
  <c r="S67" i="50"/>
  <c r="S68" i="50"/>
  <c r="S69" i="50"/>
  <c r="S70" i="50"/>
  <c r="U70" i="50" s="1"/>
  <c r="S71" i="50"/>
  <c r="S72" i="50"/>
  <c r="S73" i="50"/>
  <c r="U73" i="50" s="1"/>
  <c r="S74" i="50"/>
  <c r="S75" i="50"/>
  <c r="S76" i="50"/>
  <c r="S77" i="50"/>
  <c r="S78" i="50"/>
  <c r="S79" i="50"/>
  <c r="S80" i="50"/>
  <c r="S81" i="50"/>
  <c r="U81" i="50" s="1"/>
  <c r="S82" i="50"/>
  <c r="U82" i="50" s="1"/>
  <c r="S83" i="50"/>
  <c r="R83" i="50" s="1"/>
  <c r="S84" i="50"/>
  <c r="S85" i="50"/>
  <c r="S86" i="50"/>
  <c r="S87" i="50"/>
  <c r="S88" i="50"/>
  <c r="S89" i="50"/>
  <c r="S90" i="50"/>
  <c r="S91" i="50"/>
  <c r="S92" i="50"/>
  <c r="S93" i="50"/>
  <c r="S94" i="50"/>
  <c r="U94" i="50" s="1"/>
  <c r="S95" i="50"/>
  <c r="S96" i="50"/>
  <c r="T6" i="50"/>
  <c r="Z6" i="50" s="1"/>
  <c r="T7" i="50"/>
  <c r="T8" i="50"/>
  <c r="T9" i="50"/>
  <c r="T10" i="50"/>
  <c r="T11" i="50"/>
  <c r="Z11" i="50" s="1"/>
  <c r="T12" i="50"/>
  <c r="T13" i="50"/>
  <c r="T14" i="50"/>
  <c r="T15" i="50"/>
  <c r="T16" i="50"/>
  <c r="Z16" i="50" s="1"/>
  <c r="T17" i="50"/>
  <c r="Z17" i="50" s="1"/>
  <c r="T18" i="50"/>
  <c r="T19" i="50"/>
  <c r="T20" i="50"/>
  <c r="T21" i="50"/>
  <c r="T22" i="50"/>
  <c r="T23" i="50"/>
  <c r="T24" i="50"/>
  <c r="T25" i="50"/>
  <c r="T26" i="50"/>
  <c r="T27" i="50"/>
  <c r="R27" i="50" s="1"/>
  <c r="T28" i="50"/>
  <c r="T29" i="50"/>
  <c r="T30" i="50"/>
  <c r="Z30" i="50" s="1"/>
  <c r="T31" i="50"/>
  <c r="T32" i="50"/>
  <c r="T33" i="50"/>
  <c r="T34" i="50"/>
  <c r="T35" i="50"/>
  <c r="Z35" i="50" s="1"/>
  <c r="T36" i="50"/>
  <c r="T37" i="50"/>
  <c r="T38" i="50"/>
  <c r="T39" i="50"/>
  <c r="T40" i="50"/>
  <c r="Z40" i="50" s="1"/>
  <c r="T41" i="50"/>
  <c r="Z41" i="50" s="1"/>
  <c r="T42" i="50"/>
  <c r="T43" i="50"/>
  <c r="Z43" i="50" s="1"/>
  <c r="T44" i="50"/>
  <c r="T45" i="50"/>
  <c r="Z45" i="50" s="1"/>
  <c r="T46" i="50"/>
  <c r="Z46" i="50" s="1"/>
  <c r="T47" i="50"/>
  <c r="T48" i="50"/>
  <c r="T49" i="50"/>
  <c r="T50" i="50"/>
  <c r="T51" i="50"/>
  <c r="R51" i="50" s="1"/>
  <c r="T52" i="50"/>
  <c r="T53" i="50"/>
  <c r="T54" i="50"/>
  <c r="Z54" i="50" s="1"/>
  <c r="T55" i="50"/>
  <c r="T56" i="50"/>
  <c r="T57" i="50"/>
  <c r="T58" i="50"/>
  <c r="T59" i="50"/>
  <c r="Z59" i="50" s="1"/>
  <c r="T60" i="50"/>
  <c r="T61" i="50"/>
  <c r="T62" i="50"/>
  <c r="T63" i="50"/>
  <c r="T64" i="50"/>
  <c r="Z64" i="50" s="1"/>
  <c r="T65" i="50"/>
  <c r="Z65" i="50" s="1"/>
  <c r="T66" i="50"/>
  <c r="T67" i="50"/>
  <c r="T68" i="50"/>
  <c r="T69" i="50"/>
  <c r="Z69" i="50" s="1"/>
  <c r="T70" i="50"/>
  <c r="T71" i="50"/>
  <c r="T72" i="50"/>
  <c r="T73" i="50"/>
  <c r="T74" i="50"/>
  <c r="T75" i="50"/>
  <c r="R75" i="50" s="1"/>
  <c r="T76" i="50"/>
  <c r="T77" i="50"/>
  <c r="T78" i="50"/>
  <c r="Z78" i="50" s="1"/>
  <c r="T79" i="50"/>
  <c r="T80" i="50"/>
  <c r="T81" i="50"/>
  <c r="T82" i="50"/>
  <c r="T83" i="50"/>
  <c r="Z83" i="50" s="1"/>
  <c r="T84" i="50"/>
  <c r="T85" i="50"/>
  <c r="T86" i="50"/>
  <c r="T87" i="50"/>
  <c r="T88" i="50"/>
  <c r="T89" i="50"/>
  <c r="Z89" i="50" s="1"/>
  <c r="T90" i="50"/>
  <c r="T91" i="50"/>
  <c r="T92" i="50"/>
  <c r="T93" i="50"/>
  <c r="T94" i="50"/>
  <c r="Z94" i="50" s="1"/>
  <c r="T95" i="50"/>
  <c r="T96" i="50"/>
  <c r="U8" i="50"/>
  <c r="U10" i="50"/>
  <c r="U11" i="50"/>
  <c r="U18" i="50"/>
  <c r="U23" i="50"/>
  <c r="U33" i="50"/>
  <c r="U35" i="50"/>
  <c r="U42" i="50"/>
  <c r="U50" i="50"/>
  <c r="U57" i="50"/>
  <c r="U59" i="50"/>
  <c r="U66" i="50"/>
  <c r="U74" i="50"/>
  <c r="U83" i="50"/>
  <c r="V6" i="50"/>
  <c r="V7" i="50"/>
  <c r="V8" i="50"/>
  <c r="V9" i="50"/>
  <c r="V10" i="50"/>
  <c r="V11" i="50"/>
  <c r="V12" i="50"/>
  <c r="W12" i="50" s="1"/>
  <c r="V13" i="50"/>
  <c r="W13" i="50" s="1"/>
  <c r="V14" i="50"/>
  <c r="V15" i="50"/>
  <c r="V16" i="50"/>
  <c r="V17" i="50"/>
  <c r="V18" i="50"/>
  <c r="V19" i="50"/>
  <c r="U19" i="50" s="1"/>
  <c r="V20" i="50"/>
  <c r="W20" i="50" s="1"/>
  <c r="V21" i="50"/>
  <c r="W21" i="50" s="1"/>
  <c r="V22" i="50"/>
  <c r="V23" i="50"/>
  <c r="V24" i="50"/>
  <c r="V25" i="50"/>
  <c r="V26" i="50"/>
  <c r="U26" i="50" s="1"/>
  <c r="V27" i="50"/>
  <c r="V28" i="50"/>
  <c r="W28" i="50" s="1"/>
  <c r="V29" i="50"/>
  <c r="V30" i="50"/>
  <c r="V31" i="50"/>
  <c r="W31" i="50" s="1"/>
  <c r="V32" i="50"/>
  <c r="W32" i="50" s="1"/>
  <c r="V33" i="50"/>
  <c r="V34" i="50"/>
  <c r="V35" i="50"/>
  <c r="V36" i="50"/>
  <c r="V37" i="50"/>
  <c r="W37" i="50" s="1"/>
  <c r="V38" i="50"/>
  <c r="V39" i="50"/>
  <c r="V40" i="50"/>
  <c r="V41" i="50"/>
  <c r="V42" i="50"/>
  <c r="V43" i="50"/>
  <c r="U43" i="50" s="1"/>
  <c r="V44" i="50"/>
  <c r="W44" i="50" s="1"/>
  <c r="V45" i="50"/>
  <c r="V46" i="50"/>
  <c r="V47" i="50"/>
  <c r="U47" i="50" s="1"/>
  <c r="V48" i="50"/>
  <c r="V49" i="50"/>
  <c r="V50" i="50"/>
  <c r="V51" i="50"/>
  <c r="V52" i="50"/>
  <c r="W52" i="50" s="1"/>
  <c r="V53" i="50"/>
  <c r="V54" i="50"/>
  <c r="V55" i="50"/>
  <c r="W55" i="50" s="1"/>
  <c r="V56" i="50"/>
  <c r="W56" i="50" s="1"/>
  <c r="V57" i="50"/>
  <c r="V58" i="50"/>
  <c r="V59" i="50"/>
  <c r="V60" i="50"/>
  <c r="V61" i="50"/>
  <c r="W61" i="50" s="1"/>
  <c r="V62" i="50"/>
  <c r="V63" i="50"/>
  <c r="V64" i="50"/>
  <c r="V65" i="50"/>
  <c r="V66" i="50"/>
  <c r="W66" i="50" s="1"/>
  <c r="V67" i="50"/>
  <c r="U67" i="50" s="1"/>
  <c r="V68" i="50"/>
  <c r="W68" i="50" s="1"/>
  <c r="V69" i="50"/>
  <c r="V70" i="50"/>
  <c r="V71" i="50"/>
  <c r="V72" i="50"/>
  <c r="V73" i="50"/>
  <c r="V74" i="50"/>
  <c r="V75" i="50"/>
  <c r="V76" i="50"/>
  <c r="W76" i="50" s="1"/>
  <c r="V77" i="50"/>
  <c r="V78" i="50"/>
  <c r="V79" i="50"/>
  <c r="W79" i="50" s="1"/>
  <c r="V80" i="50"/>
  <c r="U80" i="50" s="1"/>
  <c r="V81" i="50"/>
  <c r="V82" i="50"/>
  <c r="V83" i="50"/>
  <c r="V84" i="50"/>
  <c r="V85" i="50"/>
  <c r="V86" i="50"/>
  <c r="V87" i="50"/>
  <c r="V88" i="50"/>
  <c r="V89" i="50"/>
  <c r="W89" i="50" s="1"/>
  <c r="V90" i="50"/>
  <c r="U90" i="50" s="1"/>
  <c r="V91" i="50"/>
  <c r="U91" i="50" s="1"/>
  <c r="V92" i="50"/>
  <c r="W92" i="50" s="1"/>
  <c r="V93" i="50"/>
  <c r="V94" i="50"/>
  <c r="V95" i="50"/>
  <c r="U95" i="50" s="1"/>
  <c r="V96" i="50"/>
  <c r="W11" i="50"/>
  <c r="W17" i="50"/>
  <c r="W18" i="50"/>
  <c r="W19" i="50"/>
  <c r="W35" i="50"/>
  <c r="W36" i="50"/>
  <c r="W41" i="50"/>
  <c r="W42" i="50"/>
  <c r="W43" i="50"/>
  <c r="W45" i="50"/>
  <c r="W57" i="50"/>
  <c r="W58" i="50"/>
  <c r="W59" i="50"/>
  <c r="W67" i="50"/>
  <c r="W69" i="50"/>
  <c r="W82" i="50"/>
  <c r="W83" i="50"/>
  <c r="Y6" i="50"/>
  <c r="Y7" i="50"/>
  <c r="Y8" i="50"/>
  <c r="W8" i="50" s="1"/>
  <c r="Y9" i="50"/>
  <c r="W9" i="50" s="1"/>
  <c r="Y10" i="50"/>
  <c r="W10" i="50" s="1"/>
  <c r="Y11" i="50"/>
  <c r="Y12" i="50"/>
  <c r="Y13" i="50"/>
  <c r="Y14" i="50"/>
  <c r="Y15" i="50"/>
  <c r="Y16" i="50"/>
  <c r="Y17" i="50"/>
  <c r="Y18" i="50"/>
  <c r="Y19" i="50"/>
  <c r="Y20" i="50"/>
  <c r="Y21" i="50"/>
  <c r="Y22" i="50"/>
  <c r="Y23" i="50"/>
  <c r="Y24" i="50"/>
  <c r="Y25" i="50"/>
  <c r="Y26" i="50"/>
  <c r="Y27" i="50"/>
  <c r="Y28" i="50"/>
  <c r="Y29" i="50"/>
  <c r="Y30" i="50"/>
  <c r="Y31" i="50"/>
  <c r="Y32" i="50"/>
  <c r="Y33" i="50"/>
  <c r="W33" i="50" s="1"/>
  <c r="Y34" i="50"/>
  <c r="Y35" i="50"/>
  <c r="Y36" i="50"/>
  <c r="Y37" i="50"/>
  <c r="Y38" i="50"/>
  <c r="Y39" i="50"/>
  <c r="Y40" i="50"/>
  <c r="Y41" i="50"/>
  <c r="Y42" i="50"/>
  <c r="Y43" i="50"/>
  <c r="Y44" i="50"/>
  <c r="Y45" i="50"/>
  <c r="Y46" i="50"/>
  <c r="Y47" i="50"/>
  <c r="Y48" i="50"/>
  <c r="Y49" i="50"/>
  <c r="Y50" i="50"/>
  <c r="Y51" i="50"/>
  <c r="Y52" i="50"/>
  <c r="Y53" i="50"/>
  <c r="Y54" i="50"/>
  <c r="Y55" i="50"/>
  <c r="Y56" i="50"/>
  <c r="Y57" i="50"/>
  <c r="Y58" i="50"/>
  <c r="Y59" i="50"/>
  <c r="Y60" i="50"/>
  <c r="Y61" i="50"/>
  <c r="Y62" i="50"/>
  <c r="Y63" i="50"/>
  <c r="Y64" i="50"/>
  <c r="Y65" i="50"/>
  <c r="Y66" i="50"/>
  <c r="Y67" i="50"/>
  <c r="Y68" i="50"/>
  <c r="Y69" i="50"/>
  <c r="Y70" i="50"/>
  <c r="Y71" i="50"/>
  <c r="Y72" i="50"/>
  <c r="Y73" i="50"/>
  <c r="Y74" i="50"/>
  <c r="Y75" i="50"/>
  <c r="Y76" i="50"/>
  <c r="Y77" i="50"/>
  <c r="Y78" i="50"/>
  <c r="Y79" i="50"/>
  <c r="Y80" i="50"/>
  <c r="W80" i="50" s="1"/>
  <c r="Y81" i="50"/>
  <c r="W81" i="50" s="1"/>
  <c r="Y82" i="50"/>
  <c r="AA82" i="50" s="1"/>
  <c r="Y83" i="50"/>
  <c r="Y84" i="50"/>
  <c r="Y85" i="50"/>
  <c r="Y86" i="50"/>
  <c r="Y87" i="50"/>
  <c r="Y88" i="50"/>
  <c r="Y89" i="50"/>
  <c r="Y90" i="50"/>
  <c r="Y91" i="50"/>
  <c r="Y92" i="50"/>
  <c r="Y93" i="50"/>
  <c r="W93" i="50" s="1"/>
  <c r="Y94" i="50"/>
  <c r="Y95" i="50"/>
  <c r="Y96" i="50"/>
  <c r="Z10" i="50"/>
  <c r="Z19" i="50"/>
  <c r="AA19" i="50" s="1"/>
  <c r="Z20" i="50"/>
  <c r="Z31" i="50"/>
  <c r="Z32" i="50"/>
  <c r="Z34" i="50"/>
  <c r="Z52" i="50"/>
  <c r="Z55" i="50"/>
  <c r="Z56" i="50"/>
  <c r="Z58" i="50"/>
  <c r="Z67" i="50"/>
  <c r="Z70" i="50"/>
  <c r="Z79" i="50"/>
  <c r="Z82" i="50"/>
  <c r="Z91" i="50"/>
  <c r="AA35" i="50"/>
  <c r="AA83" i="50"/>
  <c r="F6" i="55"/>
  <c r="E6" i="55" s="1"/>
  <c r="F7" i="55"/>
  <c r="E7" i="55" s="1"/>
  <c r="F8" i="55"/>
  <c r="E8" i="55" s="1"/>
  <c r="F9" i="55"/>
  <c r="E9" i="55" s="1"/>
  <c r="I6" i="55"/>
  <c r="I7" i="55"/>
  <c r="I8" i="55"/>
  <c r="L8" i="55" s="1"/>
  <c r="I9" i="55"/>
  <c r="J6" i="55"/>
  <c r="K6" i="55" s="1"/>
  <c r="J7" i="55"/>
  <c r="J8" i="55"/>
  <c r="K8" i="55" s="1"/>
  <c r="J9" i="55"/>
  <c r="K9" i="55" s="1"/>
  <c r="M6" i="55"/>
  <c r="O6" i="55" s="1"/>
  <c r="M7" i="55"/>
  <c r="M8" i="55"/>
  <c r="M9" i="55"/>
  <c r="N6" i="55"/>
  <c r="N7" i="55"/>
  <c r="N8" i="55"/>
  <c r="N9" i="55"/>
  <c r="L9" i="55" s="1"/>
  <c r="P6" i="55"/>
  <c r="R6" i="55" s="1"/>
  <c r="P7" i="55"/>
  <c r="P8" i="55"/>
  <c r="P9" i="55"/>
  <c r="Q6" i="55"/>
  <c r="Q7" i="55"/>
  <c r="Q8" i="55"/>
  <c r="Q9" i="55"/>
  <c r="S6" i="55"/>
  <c r="S7" i="55"/>
  <c r="S8" i="55"/>
  <c r="S9" i="55"/>
  <c r="T6" i="55"/>
  <c r="T7" i="55"/>
  <c r="T8" i="55"/>
  <c r="T9" i="55"/>
  <c r="V6" i="55"/>
  <c r="V7" i="55"/>
  <c r="V8" i="55"/>
  <c r="V9" i="55"/>
  <c r="Y6" i="55"/>
  <c r="Y7" i="55"/>
  <c r="Y8" i="55"/>
  <c r="Y9" i="55"/>
  <c r="F6" i="44"/>
  <c r="E6" i="44" s="1"/>
  <c r="F7" i="44"/>
  <c r="E7" i="44" s="1"/>
  <c r="F8" i="44"/>
  <c r="E8" i="44" s="1"/>
  <c r="F9" i="44"/>
  <c r="E9" i="44" s="1"/>
  <c r="F10" i="44"/>
  <c r="E10" i="44" s="1"/>
  <c r="F11" i="44"/>
  <c r="E11" i="44" s="1"/>
  <c r="F12" i="44"/>
  <c r="E12" i="44" s="1"/>
  <c r="F13" i="44"/>
  <c r="E13" i="44" s="1"/>
  <c r="F14" i="44"/>
  <c r="E14" i="44" s="1"/>
  <c r="F15" i="44"/>
  <c r="E15" i="44" s="1"/>
  <c r="F16" i="44"/>
  <c r="E16" i="44" s="1"/>
  <c r="F17" i="44"/>
  <c r="E17" i="44" s="1"/>
  <c r="F18" i="44"/>
  <c r="E18" i="44" s="1"/>
  <c r="F19" i="44"/>
  <c r="E19" i="44" s="1"/>
  <c r="F20" i="44"/>
  <c r="E20" i="44" s="1"/>
  <c r="F21" i="44"/>
  <c r="E21" i="44" s="1"/>
  <c r="F22" i="44"/>
  <c r="E22" i="44" s="1"/>
  <c r="F23" i="44"/>
  <c r="E23" i="44" s="1"/>
  <c r="F24" i="44"/>
  <c r="E24" i="44" s="1"/>
  <c r="F25" i="44"/>
  <c r="E25" i="44" s="1"/>
  <c r="F26" i="44"/>
  <c r="E26" i="44" s="1"/>
  <c r="F27" i="44"/>
  <c r="E27" i="44" s="1"/>
  <c r="F28" i="44"/>
  <c r="E28" i="44" s="1"/>
  <c r="F29" i="44"/>
  <c r="E29" i="44" s="1"/>
  <c r="F30" i="44"/>
  <c r="E30" i="44" s="1"/>
  <c r="F31" i="44"/>
  <c r="E31" i="44" s="1"/>
  <c r="F32" i="44"/>
  <c r="E32" i="44" s="1"/>
  <c r="F33" i="44"/>
  <c r="E33" i="44" s="1"/>
  <c r="F34" i="44"/>
  <c r="E34" i="44" s="1"/>
  <c r="F35" i="44"/>
  <c r="E35" i="44" s="1"/>
  <c r="F36" i="44"/>
  <c r="E36" i="44" s="1"/>
  <c r="F37" i="44"/>
  <c r="E37" i="44" s="1"/>
  <c r="F38" i="44"/>
  <c r="E38" i="44" s="1"/>
  <c r="F39" i="44"/>
  <c r="E39" i="44" s="1"/>
  <c r="F40" i="44"/>
  <c r="E40" i="44" s="1"/>
  <c r="F41" i="44"/>
  <c r="E41" i="44" s="1"/>
  <c r="F42" i="44"/>
  <c r="E42" i="44" s="1"/>
  <c r="F43" i="44"/>
  <c r="E43" i="44" s="1"/>
  <c r="F44" i="44"/>
  <c r="E44" i="44" s="1"/>
  <c r="F45" i="44"/>
  <c r="E45" i="44" s="1"/>
  <c r="F46" i="44"/>
  <c r="E46" i="44" s="1"/>
  <c r="F47" i="44"/>
  <c r="E47" i="44" s="1"/>
  <c r="F48" i="44"/>
  <c r="E48" i="44" s="1"/>
  <c r="F49" i="44"/>
  <c r="E49" i="44" s="1"/>
  <c r="F50" i="44"/>
  <c r="E50" i="44" s="1"/>
  <c r="F51" i="44"/>
  <c r="E51" i="44" s="1"/>
  <c r="F52" i="44"/>
  <c r="E52" i="44" s="1"/>
  <c r="F53" i="44"/>
  <c r="E53" i="44" s="1"/>
  <c r="F54" i="44"/>
  <c r="E54" i="44" s="1"/>
  <c r="F55" i="44"/>
  <c r="E55" i="44" s="1"/>
  <c r="F56" i="44"/>
  <c r="E56" i="44" s="1"/>
  <c r="F57" i="44"/>
  <c r="E57" i="44" s="1"/>
  <c r="F58" i="44"/>
  <c r="E58" i="44" s="1"/>
  <c r="F59" i="44"/>
  <c r="E59" i="44" s="1"/>
  <c r="F60" i="44"/>
  <c r="E60" i="44" s="1"/>
  <c r="F61" i="44"/>
  <c r="E61" i="44" s="1"/>
  <c r="F62" i="44"/>
  <c r="E62" i="44" s="1"/>
  <c r="F63" i="44"/>
  <c r="E63" i="44" s="1"/>
  <c r="F64" i="44"/>
  <c r="E64" i="44" s="1"/>
  <c r="F65" i="44"/>
  <c r="E65" i="44" s="1"/>
  <c r="F66" i="44"/>
  <c r="E66" i="44" s="1"/>
  <c r="F67" i="44"/>
  <c r="F68" i="44"/>
  <c r="F69" i="44"/>
  <c r="E69" i="44" s="1"/>
  <c r="F70" i="44"/>
  <c r="E70" i="44" s="1"/>
  <c r="F71" i="44"/>
  <c r="E71" i="44" s="1"/>
  <c r="F72" i="44"/>
  <c r="E72" i="44" s="1"/>
  <c r="F73" i="44"/>
  <c r="E73" i="44" s="1"/>
  <c r="F74" i="44"/>
  <c r="E74" i="44" s="1"/>
  <c r="F75" i="44"/>
  <c r="E75" i="44" s="1"/>
  <c r="F76" i="44"/>
  <c r="E76" i="44" s="1"/>
  <c r="F77" i="44"/>
  <c r="E77" i="44" s="1"/>
  <c r="F78" i="44"/>
  <c r="E78" i="44" s="1"/>
  <c r="F79" i="44"/>
  <c r="E79" i="44" s="1"/>
  <c r="F80" i="44"/>
  <c r="E80" i="44" s="1"/>
  <c r="F81" i="44"/>
  <c r="E81" i="44" s="1"/>
  <c r="F82" i="44"/>
  <c r="E82" i="44" s="1"/>
  <c r="F83" i="44"/>
  <c r="E83" i="44" s="1"/>
  <c r="F84" i="44"/>
  <c r="E84" i="44" s="1"/>
  <c r="F85" i="44"/>
  <c r="E85" i="44" s="1"/>
  <c r="F86" i="44"/>
  <c r="E86" i="44" s="1"/>
  <c r="F87" i="44"/>
  <c r="E87" i="44" s="1"/>
  <c r="F88" i="44"/>
  <c r="E88" i="44" s="1"/>
  <c r="F89" i="44"/>
  <c r="E89" i="44" s="1"/>
  <c r="F90" i="44"/>
  <c r="E90" i="44" s="1"/>
  <c r="F91" i="44"/>
  <c r="F92" i="44"/>
  <c r="F93" i="44"/>
  <c r="E93" i="44" s="1"/>
  <c r="F94" i="44"/>
  <c r="F95" i="44"/>
  <c r="E95" i="44" s="1"/>
  <c r="F96" i="44"/>
  <c r="E96" i="44" s="1"/>
  <c r="F97" i="44"/>
  <c r="E97" i="44" s="1"/>
  <c r="F98" i="44"/>
  <c r="E98" i="44" s="1"/>
  <c r="F99" i="44"/>
  <c r="E99" i="44" s="1"/>
  <c r="F100" i="44"/>
  <c r="E100" i="44" s="1"/>
  <c r="F101" i="44"/>
  <c r="E101" i="44" s="1"/>
  <c r="F102" i="44"/>
  <c r="E102" i="44" s="1"/>
  <c r="F103" i="44"/>
  <c r="E103" i="44" s="1"/>
  <c r="F104" i="44"/>
  <c r="E104" i="44" s="1"/>
  <c r="F105" i="44"/>
  <c r="E105" i="44" s="1"/>
  <c r="F106" i="44"/>
  <c r="E106" i="44" s="1"/>
  <c r="F107" i="44"/>
  <c r="E107" i="44" s="1"/>
  <c r="F108" i="44"/>
  <c r="E108" i="44" s="1"/>
  <c r="F109" i="44"/>
  <c r="E109" i="44" s="1"/>
  <c r="F110" i="44"/>
  <c r="E110" i="44" s="1"/>
  <c r="F111" i="44"/>
  <c r="E111" i="44" s="1"/>
  <c r="F112" i="44"/>
  <c r="E112" i="44" s="1"/>
  <c r="F113" i="44"/>
  <c r="E113" i="44" s="1"/>
  <c r="F114" i="44"/>
  <c r="E114" i="44" s="1"/>
  <c r="F115" i="44"/>
  <c r="F116" i="44"/>
  <c r="F117" i="44"/>
  <c r="F118" i="44"/>
  <c r="F119" i="44"/>
  <c r="E119" i="44" s="1"/>
  <c r="F120" i="44"/>
  <c r="E120" i="44" s="1"/>
  <c r="F121" i="44"/>
  <c r="E121" i="44" s="1"/>
  <c r="F122" i="44"/>
  <c r="E122" i="44" s="1"/>
  <c r="F123" i="44"/>
  <c r="E123" i="44" s="1"/>
  <c r="F124" i="44"/>
  <c r="E124" i="44" s="1"/>
  <c r="F125" i="44"/>
  <c r="G125" i="44" s="1"/>
  <c r="F126" i="44"/>
  <c r="E126" i="44" s="1"/>
  <c r="F127" i="44"/>
  <c r="E127" i="44" s="1"/>
  <c r="F128" i="44"/>
  <c r="E128" i="44" s="1"/>
  <c r="F129" i="44"/>
  <c r="E129" i="44" s="1"/>
  <c r="F130" i="44"/>
  <c r="F131" i="44"/>
  <c r="E131" i="44" s="1"/>
  <c r="F132" i="44"/>
  <c r="E132" i="44" s="1"/>
  <c r="F133" i="44"/>
  <c r="E133" i="44" s="1"/>
  <c r="F134" i="44"/>
  <c r="E134" i="44" s="1"/>
  <c r="F135" i="44"/>
  <c r="E135" i="44" s="1"/>
  <c r="F136" i="44"/>
  <c r="E136" i="44" s="1"/>
  <c r="F137" i="44"/>
  <c r="F138" i="44"/>
  <c r="F139" i="44"/>
  <c r="F140" i="44"/>
  <c r="F141" i="44"/>
  <c r="F142" i="44"/>
  <c r="F143" i="44"/>
  <c r="E143" i="44" s="1"/>
  <c r="F144" i="44"/>
  <c r="F145" i="44"/>
  <c r="E145" i="44" s="1"/>
  <c r="F146" i="44"/>
  <c r="E146" i="44" s="1"/>
  <c r="F147" i="44"/>
  <c r="F148" i="44"/>
  <c r="E148" i="44" s="1"/>
  <c r="F149" i="44"/>
  <c r="G149" i="44" s="1"/>
  <c r="F150" i="44"/>
  <c r="E150" i="44" s="1"/>
  <c r="F151" i="44"/>
  <c r="E151" i="44" s="1"/>
  <c r="F152" i="44"/>
  <c r="E152" i="44" s="1"/>
  <c r="F153" i="44"/>
  <c r="E153" i="44" s="1"/>
  <c r="F154" i="44"/>
  <c r="F155" i="44"/>
  <c r="F156" i="44"/>
  <c r="E156" i="44" s="1"/>
  <c r="F157" i="44"/>
  <c r="E157" i="44" s="1"/>
  <c r="F158" i="44"/>
  <c r="E158" i="44" s="1"/>
  <c r="F159" i="44"/>
  <c r="E159" i="44" s="1"/>
  <c r="F160" i="44"/>
  <c r="E160" i="44" s="1"/>
  <c r="F161" i="44"/>
  <c r="F162" i="44"/>
  <c r="F163" i="44"/>
  <c r="F164" i="44"/>
  <c r="G6" i="44"/>
  <c r="G7" i="44"/>
  <c r="G8" i="44"/>
  <c r="G9" i="44"/>
  <c r="G10" i="44"/>
  <c r="G11" i="44"/>
  <c r="G12" i="44"/>
  <c r="G13" i="44"/>
  <c r="G14" i="44"/>
  <c r="G15" i="44"/>
  <c r="G16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1" i="44"/>
  <c r="G32" i="44"/>
  <c r="G34" i="44"/>
  <c r="G35" i="44"/>
  <c r="G36" i="44"/>
  <c r="G37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5" i="44"/>
  <c r="G56" i="44"/>
  <c r="G60" i="44"/>
  <c r="G61" i="44"/>
  <c r="G63" i="44"/>
  <c r="G64" i="44"/>
  <c r="G65" i="44"/>
  <c r="G66" i="44"/>
  <c r="G67" i="44"/>
  <c r="G68" i="44"/>
  <c r="G69" i="44"/>
  <c r="G70" i="44"/>
  <c r="G71" i="44"/>
  <c r="G72" i="44"/>
  <c r="G73" i="44"/>
  <c r="G74" i="44"/>
  <c r="G75" i="44"/>
  <c r="G76" i="44"/>
  <c r="G77" i="44"/>
  <c r="G78" i="44"/>
  <c r="G79" i="44"/>
  <c r="G80" i="44"/>
  <c r="G84" i="44"/>
  <c r="G85" i="44"/>
  <c r="G87" i="44"/>
  <c r="G88" i="44"/>
  <c r="G89" i="44"/>
  <c r="G90" i="44"/>
  <c r="G91" i="44"/>
  <c r="G92" i="44"/>
  <c r="G93" i="44"/>
  <c r="G95" i="44"/>
  <c r="G96" i="44"/>
  <c r="G97" i="44"/>
  <c r="G98" i="44"/>
  <c r="G100" i="44"/>
  <c r="G101" i="44"/>
  <c r="G103" i="44"/>
  <c r="G104" i="44"/>
  <c r="G108" i="44"/>
  <c r="G109" i="44"/>
  <c r="G111" i="44"/>
  <c r="G112" i="44"/>
  <c r="G113" i="44"/>
  <c r="G115" i="44"/>
  <c r="G116" i="44"/>
  <c r="G120" i="44"/>
  <c r="G121" i="44"/>
  <c r="G122" i="44"/>
  <c r="G126" i="44"/>
  <c r="G127" i="44"/>
  <c r="G128" i="44"/>
  <c r="G132" i="44"/>
  <c r="G133" i="44"/>
  <c r="G136" i="44"/>
  <c r="G139" i="44"/>
  <c r="G140" i="44"/>
  <c r="G145" i="44"/>
  <c r="G152" i="44"/>
  <c r="G156" i="44"/>
  <c r="G160" i="44"/>
  <c r="H15" i="44"/>
  <c r="H77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H22" i="44" s="1"/>
  <c r="I23" i="44"/>
  <c r="I24" i="44"/>
  <c r="I25" i="44"/>
  <c r="I26" i="44"/>
  <c r="I27" i="44"/>
  <c r="I28" i="44"/>
  <c r="I29" i="44"/>
  <c r="H29" i="44" s="1"/>
  <c r="I30" i="44"/>
  <c r="I31" i="44"/>
  <c r="I32" i="44"/>
  <c r="I33" i="44"/>
  <c r="I34" i="44"/>
  <c r="I35" i="44"/>
  <c r="I36" i="44"/>
  <c r="I37" i="44"/>
  <c r="I38" i="44"/>
  <c r="I39" i="44"/>
  <c r="H39" i="44" s="1"/>
  <c r="I40" i="44"/>
  <c r="I41" i="44"/>
  <c r="H41" i="44" s="1"/>
  <c r="I42" i="44"/>
  <c r="I43" i="44"/>
  <c r="I44" i="44"/>
  <c r="I45" i="44"/>
  <c r="I46" i="44"/>
  <c r="H46" i="44" s="1"/>
  <c r="I47" i="44"/>
  <c r="I48" i="44"/>
  <c r="I49" i="44"/>
  <c r="I50" i="44"/>
  <c r="I51" i="44"/>
  <c r="I52" i="44"/>
  <c r="I53" i="44"/>
  <c r="H53" i="44" s="1"/>
  <c r="I54" i="44"/>
  <c r="I55" i="44"/>
  <c r="I56" i="44"/>
  <c r="I57" i="44"/>
  <c r="I58" i="44"/>
  <c r="I59" i="44"/>
  <c r="I60" i="44"/>
  <c r="I61" i="44"/>
  <c r="I62" i="44"/>
  <c r="I63" i="44"/>
  <c r="H63" i="44" s="1"/>
  <c r="I64" i="44"/>
  <c r="I65" i="44"/>
  <c r="H65" i="44" s="1"/>
  <c r="I66" i="44"/>
  <c r="I67" i="44"/>
  <c r="I68" i="44"/>
  <c r="I69" i="44"/>
  <c r="I70" i="44"/>
  <c r="H70" i="44" s="1"/>
  <c r="I71" i="44"/>
  <c r="I72" i="44"/>
  <c r="I73" i="44"/>
  <c r="I74" i="44"/>
  <c r="I75" i="44"/>
  <c r="I76" i="44"/>
  <c r="I77" i="44"/>
  <c r="I78" i="44"/>
  <c r="I79" i="44"/>
  <c r="I80" i="44"/>
  <c r="I81" i="44"/>
  <c r="I82" i="44"/>
  <c r="I83" i="44"/>
  <c r="I84" i="44"/>
  <c r="I85" i="44"/>
  <c r="I86" i="44"/>
  <c r="I87" i="44"/>
  <c r="H87" i="44" s="1"/>
  <c r="I88" i="44"/>
  <c r="I89" i="44"/>
  <c r="H89" i="44" s="1"/>
  <c r="I90" i="44"/>
  <c r="I91" i="44"/>
  <c r="I92" i="44"/>
  <c r="I93" i="44"/>
  <c r="I94" i="44"/>
  <c r="I95" i="44"/>
  <c r="I96" i="44"/>
  <c r="I97" i="44"/>
  <c r="I98" i="44"/>
  <c r="I99" i="44"/>
  <c r="I100" i="44"/>
  <c r="I101" i="44"/>
  <c r="H101" i="44" s="1"/>
  <c r="I102" i="44"/>
  <c r="I103" i="44"/>
  <c r="I104" i="44"/>
  <c r="I105" i="44"/>
  <c r="I106" i="44"/>
  <c r="I107" i="44"/>
  <c r="I108" i="44"/>
  <c r="I109" i="44"/>
  <c r="I110" i="44"/>
  <c r="I111" i="44"/>
  <c r="H111" i="44" s="1"/>
  <c r="I112" i="44"/>
  <c r="I113" i="44"/>
  <c r="H113" i="44" s="1"/>
  <c r="I114" i="44"/>
  <c r="I115" i="44"/>
  <c r="I116" i="44"/>
  <c r="I117" i="44"/>
  <c r="I118" i="44"/>
  <c r="I119" i="44"/>
  <c r="I120" i="44"/>
  <c r="I121" i="44"/>
  <c r="I122" i="44"/>
  <c r="I123" i="44"/>
  <c r="I124" i="44"/>
  <c r="I125" i="44"/>
  <c r="H125" i="44" s="1"/>
  <c r="I126" i="44"/>
  <c r="I127" i="44"/>
  <c r="I128" i="44"/>
  <c r="I129" i="44"/>
  <c r="I130" i="44"/>
  <c r="I131" i="44"/>
  <c r="I132" i="44"/>
  <c r="I133" i="44"/>
  <c r="I134" i="44"/>
  <c r="I135" i="44"/>
  <c r="H135" i="44" s="1"/>
  <c r="I136" i="44"/>
  <c r="I137" i="44"/>
  <c r="L137" i="44" s="1"/>
  <c r="I138" i="44"/>
  <c r="I139" i="44"/>
  <c r="I140" i="44"/>
  <c r="I141" i="44"/>
  <c r="I142" i="44"/>
  <c r="I143" i="44"/>
  <c r="I144" i="44"/>
  <c r="I145" i="44"/>
  <c r="I146" i="44"/>
  <c r="I147" i="44"/>
  <c r="I148" i="44"/>
  <c r="I149" i="44"/>
  <c r="H149" i="44" s="1"/>
  <c r="I150" i="44"/>
  <c r="I151" i="44"/>
  <c r="I152" i="44"/>
  <c r="I153" i="44"/>
  <c r="I154" i="44"/>
  <c r="I155" i="44"/>
  <c r="I156" i="44"/>
  <c r="I157" i="44"/>
  <c r="I158" i="44"/>
  <c r="I159" i="44"/>
  <c r="I160" i="44"/>
  <c r="I161" i="44"/>
  <c r="L161" i="44" s="1"/>
  <c r="I162" i="44"/>
  <c r="I163" i="44"/>
  <c r="I164" i="44"/>
  <c r="J6" i="44"/>
  <c r="J7" i="44"/>
  <c r="K7" i="44" s="1"/>
  <c r="J8" i="44"/>
  <c r="J9" i="44"/>
  <c r="H9" i="44" s="1"/>
  <c r="J10" i="44"/>
  <c r="K10" i="44" s="1"/>
  <c r="J11" i="44"/>
  <c r="H11" i="44" s="1"/>
  <c r="J12" i="44"/>
  <c r="H12" i="44" s="1"/>
  <c r="J13" i="44"/>
  <c r="J14" i="44"/>
  <c r="K14" i="44" s="1"/>
  <c r="J15" i="44"/>
  <c r="J16" i="44"/>
  <c r="H16" i="44" s="1"/>
  <c r="J17" i="44"/>
  <c r="J18" i="44"/>
  <c r="J19" i="44"/>
  <c r="J20" i="44"/>
  <c r="J21" i="44"/>
  <c r="J22" i="44"/>
  <c r="K22" i="44" s="1"/>
  <c r="J23" i="44"/>
  <c r="J24" i="44"/>
  <c r="J25" i="44"/>
  <c r="K25" i="44" s="1"/>
  <c r="J26" i="44"/>
  <c r="J27" i="44"/>
  <c r="J28" i="44"/>
  <c r="H28" i="44" s="1"/>
  <c r="J29" i="44"/>
  <c r="J30" i="44"/>
  <c r="K30" i="44" s="1"/>
  <c r="J31" i="44"/>
  <c r="K31" i="44" s="1"/>
  <c r="J32" i="44"/>
  <c r="J33" i="44"/>
  <c r="J34" i="44"/>
  <c r="K34" i="44" s="1"/>
  <c r="J35" i="44"/>
  <c r="H35" i="44" s="1"/>
  <c r="J36" i="44"/>
  <c r="H36" i="44" s="1"/>
  <c r="J37" i="44"/>
  <c r="J38" i="44"/>
  <c r="J39" i="44"/>
  <c r="J40" i="44"/>
  <c r="H40" i="44" s="1"/>
  <c r="J41" i="44"/>
  <c r="J42" i="44"/>
  <c r="J43" i="44"/>
  <c r="K43" i="44" s="1"/>
  <c r="J44" i="44"/>
  <c r="J45" i="44"/>
  <c r="J46" i="44"/>
  <c r="K46" i="44" s="1"/>
  <c r="J47" i="44"/>
  <c r="J48" i="44"/>
  <c r="J49" i="44"/>
  <c r="K49" i="44" s="1"/>
  <c r="J50" i="44"/>
  <c r="J51" i="44"/>
  <c r="J52" i="44"/>
  <c r="H52" i="44" s="1"/>
  <c r="J53" i="44"/>
  <c r="J54" i="44"/>
  <c r="K54" i="44" s="1"/>
  <c r="J55" i="44"/>
  <c r="K55" i="44" s="1"/>
  <c r="J56" i="44"/>
  <c r="J57" i="44"/>
  <c r="J58" i="44"/>
  <c r="K58" i="44" s="1"/>
  <c r="J59" i="44"/>
  <c r="J60" i="44"/>
  <c r="K60" i="44" s="1"/>
  <c r="J61" i="44"/>
  <c r="J62" i="44"/>
  <c r="J63" i="44"/>
  <c r="J64" i="44"/>
  <c r="J65" i="44"/>
  <c r="K65" i="44" s="1"/>
  <c r="J66" i="44"/>
  <c r="J67" i="44"/>
  <c r="K67" i="44" s="1"/>
  <c r="J68" i="44"/>
  <c r="J69" i="44"/>
  <c r="J70" i="44"/>
  <c r="K70" i="44" s="1"/>
  <c r="J71" i="44"/>
  <c r="J72" i="44"/>
  <c r="J73" i="44"/>
  <c r="K73" i="44" s="1"/>
  <c r="J74" i="44"/>
  <c r="K74" i="44" s="1"/>
  <c r="J75" i="44"/>
  <c r="K75" i="44" s="1"/>
  <c r="J76" i="44"/>
  <c r="H76" i="44" s="1"/>
  <c r="J77" i="44"/>
  <c r="J78" i="44"/>
  <c r="K78" i="44" s="1"/>
  <c r="J79" i="44"/>
  <c r="K79" i="44" s="1"/>
  <c r="J80" i="44"/>
  <c r="J81" i="44"/>
  <c r="H81" i="44" s="1"/>
  <c r="J82" i="44"/>
  <c r="K82" i="44" s="1"/>
  <c r="J83" i="44"/>
  <c r="K83" i="44" s="1"/>
  <c r="J84" i="44"/>
  <c r="J85" i="44"/>
  <c r="J86" i="44"/>
  <c r="K86" i="44" s="1"/>
  <c r="J87" i="44"/>
  <c r="J88" i="44"/>
  <c r="J89" i="44"/>
  <c r="K89" i="44" s="1"/>
  <c r="J90" i="44"/>
  <c r="J91" i="44"/>
  <c r="K91" i="44" s="1"/>
  <c r="J92" i="44"/>
  <c r="J93" i="44"/>
  <c r="K93" i="44" s="1"/>
  <c r="J94" i="44"/>
  <c r="K94" i="44" s="1"/>
  <c r="J95" i="44"/>
  <c r="J96" i="44"/>
  <c r="K96" i="44" s="1"/>
  <c r="J97" i="44"/>
  <c r="K97" i="44" s="1"/>
  <c r="J98" i="44"/>
  <c r="K98" i="44" s="1"/>
  <c r="J99" i="44"/>
  <c r="K99" i="44" s="1"/>
  <c r="J100" i="44"/>
  <c r="H100" i="44" s="1"/>
  <c r="J101" i="44"/>
  <c r="J102" i="44"/>
  <c r="K102" i="44" s="1"/>
  <c r="J103" i="44"/>
  <c r="K103" i="44" s="1"/>
  <c r="J104" i="44"/>
  <c r="J105" i="44"/>
  <c r="H105" i="44" s="1"/>
  <c r="J106" i="44"/>
  <c r="K106" i="44" s="1"/>
  <c r="J107" i="44"/>
  <c r="K107" i="44" s="1"/>
  <c r="J108" i="44"/>
  <c r="J109" i="44"/>
  <c r="J110" i="44"/>
  <c r="K110" i="44" s="1"/>
  <c r="J111" i="44"/>
  <c r="J112" i="44"/>
  <c r="K112" i="44" s="1"/>
  <c r="J113" i="44"/>
  <c r="K113" i="44" s="1"/>
  <c r="J114" i="44"/>
  <c r="J115" i="44"/>
  <c r="J116" i="44"/>
  <c r="K116" i="44" s="1"/>
  <c r="J117" i="44"/>
  <c r="J118" i="44"/>
  <c r="K118" i="44" s="1"/>
  <c r="J119" i="44"/>
  <c r="J120" i="44"/>
  <c r="K120" i="44" s="1"/>
  <c r="J121" i="44"/>
  <c r="K121" i="44" s="1"/>
  <c r="J122" i="44"/>
  <c r="K122" i="44" s="1"/>
  <c r="J123" i="44"/>
  <c r="K123" i="44" s="1"/>
  <c r="J124" i="44"/>
  <c r="H124" i="44" s="1"/>
  <c r="J125" i="44"/>
  <c r="J126" i="44"/>
  <c r="K126" i="44" s="1"/>
  <c r="J127" i="44"/>
  <c r="K127" i="44" s="1"/>
  <c r="J128" i="44"/>
  <c r="J129" i="44"/>
  <c r="H129" i="44" s="1"/>
  <c r="J130" i="44"/>
  <c r="K130" i="44" s="1"/>
  <c r="J131" i="44"/>
  <c r="K131" i="44" s="1"/>
  <c r="J132" i="44"/>
  <c r="J133" i="44"/>
  <c r="K133" i="44" s="1"/>
  <c r="J134" i="44"/>
  <c r="K134" i="44" s="1"/>
  <c r="J135" i="44"/>
  <c r="J136" i="44"/>
  <c r="K136" i="44" s="1"/>
  <c r="J137" i="44"/>
  <c r="K137" i="44" s="1"/>
  <c r="J138" i="44"/>
  <c r="J139" i="44"/>
  <c r="K139" i="44" s="1"/>
  <c r="J140" i="44"/>
  <c r="K140" i="44" s="1"/>
  <c r="J141" i="44"/>
  <c r="J142" i="44"/>
  <c r="K142" i="44" s="1"/>
  <c r="J143" i="44"/>
  <c r="J144" i="44"/>
  <c r="K144" i="44" s="1"/>
  <c r="J145" i="44"/>
  <c r="K145" i="44" s="1"/>
  <c r="J146" i="44"/>
  <c r="J147" i="44"/>
  <c r="K147" i="44" s="1"/>
  <c r="J148" i="44"/>
  <c r="J149" i="44"/>
  <c r="K149" i="44" s="1"/>
  <c r="J150" i="44"/>
  <c r="K150" i="44" s="1"/>
  <c r="J151" i="44"/>
  <c r="K151" i="44" s="1"/>
  <c r="J152" i="44"/>
  <c r="J153" i="44"/>
  <c r="H153" i="44" s="1"/>
  <c r="J154" i="44"/>
  <c r="K154" i="44" s="1"/>
  <c r="J155" i="44"/>
  <c r="K155" i="44" s="1"/>
  <c r="J156" i="44"/>
  <c r="J157" i="44"/>
  <c r="J158" i="44"/>
  <c r="K158" i="44" s="1"/>
  <c r="J159" i="44"/>
  <c r="J160" i="44"/>
  <c r="J161" i="44"/>
  <c r="K161" i="44" s="1"/>
  <c r="J162" i="44"/>
  <c r="J163" i="44"/>
  <c r="K163" i="44" s="1"/>
  <c r="J164" i="44"/>
  <c r="K6" i="44"/>
  <c r="K8" i="44"/>
  <c r="K11" i="44"/>
  <c r="K12" i="44"/>
  <c r="K13" i="44"/>
  <c r="K15" i="44"/>
  <c r="K16" i="44"/>
  <c r="K17" i="44"/>
  <c r="K18" i="44"/>
  <c r="K19" i="44"/>
  <c r="K20" i="44"/>
  <c r="K21" i="44"/>
  <c r="K24" i="44"/>
  <c r="K26" i="44"/>
  <c r="K27" i="44"/>
  <c r="K28" i="44"/>
  <c r="K29" i="44"/>
  <c r="K32" i="44"/>
  <c r="K35" i="44"/>
  <c r="K36" i="44"/>
  <c r="K37" i="44"/>
  <c r="K39" i="44"/>
  <c r="K40" i="44"/>
  <c r="K41" i="44"/>
  <c r="K42" i="44"/>
  <c r="K44" i="44"/>
  <c r="K45" i="44"/>
  <c r="K48" i="44"/>
  <c r="K50" i="44"/>
  <c r="K51" i="44"/>
  <c r="K52" i="44"/>
  <c r="K53" i="44"/>
  <c r="K56" i="44"/>
  <c r="K59" i="44"/>
  <c r="K61" i="44"/>
  <c r="K63" i="44"/>
  <c r="K64" i="44"/>
  <c r="K66" i="44"/>
  <c r="K68" i="44"/>
  <c r="K69" i="44"/>
  <c r="K72" i="44"/>
  <c r="K76" i="44"/>
  <c r="K77" i="44"/>
  <c r="K80" i="44"/>
  <c r="K84" i="44"/>
  <c r="K85" i="44"/>
  <c r="K87" i="44"/>
  <c r="K88" i="44"/>
  <c r="K90" i="44"/>
  <c r="K92" i="44"/>
  <c r="K100" i="44"/>
  <c r="K101" i="44"/>
  <c r="K104" i="44"/>
  <c r="K108" i="44"/>
  <c r="K109" i="44"/>
  <c r="K111" i="44"/>
  <c r="K114" i="44"/>
  <c r="K115" i="44"/>
  <c r="K124" i="44"/>
  <c r="K125" i="44"/>
  <c r="K128" i="44"/>
  <c r="K132" i="44"/>
  <c r="K135" i="44"/>
  <c r="K138" i="44"/>
  <c r="K146" i="44"/>
  <c r="K148" i="44"/>
  <c r="K152" i="44"/>
  <c r="K156" i="44"/>
  <c r="K157" i="44"/>
  <c r="K159" i="44"/>
  <c r="K160" i="44"/>
  <c r="K162" i="44"/>
  <c r="K164" i="44"/>
  <c r="L113" i="44"/>
  <c r="M6" i="44"/>
  <c r="M7" i="44"/>
  <c r="L7" i="44" s="1"/>
  <c r="M8" i="44"/>
  <c r="M9" i="44"/>
  <c r="M10" i="44"/>
  <c r="O10" i="44" s="1"/>
  <c r="M11" i="44"/>
  <c r="M12" i="44"/>
  <c r="M13" i="44"/>
  <c r="L13" i="44" s="1"/>
  <c r="M14" i="44"/>
  <c r="M15" i="44"/>
  <c r="M16" i="44"/>
  <c r="M17" i="44"/>
  <c r="M18" i="44"/>
  <c r="M19" i="44"/>
  <c r="M20" i="44"/>
  <c r="M21" i="44"/>
  <c r="M22" i="44"/>
  <c r="M23" i="44"/>
  <c r="M24" i="44"/>
  <c r="M25" i="44"/>
  <c r="L25" i="44" s="1"/>
  <c r="M26" i="44"/>
  <c r="M27" i="44"/>
  <c r="L27" i="44" s="1"/>
  <c r="M28" i="44"/>
  <c r="M29" i="44"/>
  <c r="M30" i="44"/>
  <c r="M31" i="44"/>
  <c r="L31" i="44" s="1"/>
  <c r="M32" i="44"/>
  <c r="M33" i="44"/>
  <c r="M34" i="44"/>
  <c r="O34" i="44" s="1"/>
  <c r="M35" i="44"/>
  <c r="M36" i="44"/>
  <c r="M37" i="44"/>
  <c r="L37" i="44" s="1"/>
  <c r="M38" i="44"/>
  <c r="M39" i="44"/>
  <c r="M40" i="44"/>
  <c r="M41" i="44"/>
  <c r="L41" i="44" s="1"/>
  <c r="M42" i="44"/>
  <c r="M43" i="44"/>
  <c r="M44" i="44"/>
  <c r="M45" i="44"/>
  <c r="M46" i="44"/>
  <c r="M47" i="44"/>
  <c r="M48" i="44"/>
  <c r="M49" i="44"/>
  <c r="L49" i="44" s="1"/>
  <c r="M50" i="44"/>
  <c r="M51" i="44"/>
  <c r="L51" i="44" s="1"/>
  <c r="M52" i="44"/>
  <c r="M53" i="44"/>
  <c r="M54" i="44"/>
  <c r="M55" i="44"/>
  <c r="L55" i="44" s="1"/>
  <c r="M56" i="44"/>
  <c r="M57" i="44"/>
  <c r="M58" i="44"/>
  <c r="O58" i="44" s="1"/>
  <c r="M59" i="44"/>
  <c r="M60" i="44"/>
  <c r="M61" i="44"/>
  <c r="M62" i="44"/>
  <c r="M63" i="44"/>
  <c r="M64" i="44"/>
  <c r="M65" i="44"/>
  <c r="M66" i="44"/>
  <c r="M67" i="44"/>
  <c r="M68" i="44"/>
  <c r="M69" i="44"/>
  <c r="M70" i="44"/>
  <c r="M71" i="44"/>
  <c r="M72" i="44"/>
  <c r="M73" i="44"/>
  <c r="L73" i="44" s="1"/>
  <c r="M74" i="44"/>
  <c r="M75" i="44"/>
  <c r="M76" i="44"/>
  <c r="M77" i="44"/>
  <c r="M78" i="44"/>
  <c r="M79" i="44"/>
  <c r="L79" i="44" s="1"/>
  <c r="M80" i="44"/>
  <c r="M81" i="44"/>
  <c r="M82" i="44"/>
  <c r="O82" i="44" s="1"/>
  <c r="M83" i="44"/>
  <c r="M84" i="44"/>
  <c r="M85" i="44"/>
  <c r="M86" i="44"/>
  <c r="M87" i="44"/>
  <c r="M88" i="44"/>
  <c r="M89" i="44"/>
  <c r="L89" i="44" s="1"/>
  <c r="M90" i="44"/>
  <c r="M91" i="44"/>
  <c r="M92" i="44"/>
  <c r="M93" i="44"/>
  <c r="M94" i="44"/>
  <c r="M95" i="44"/>
  <c r="M96" i="44"/>
  <c r="M97" i="44"/>
  <c r="L97" i="44" s="1"/>
  <c r="M98" i="44"/>
  <c r="M99" i="44"/>
  <c r="M100" i="44"/>
  <c r="M101" i="44"/>
  <c r="M102" i="44"/>
  <c r="M103" i="44"/>
  <c r="L103" i="44" s="1"/>
  <c r="M104" i="44"/>
  <c r="M105" i="44"/>
  <c r="M106" i="44"/>
  <c r="O106" i="44" s="1"/>
  <c r="M107" i="44"/>
  <c r="M108" i="44"/>
  <c r="M109" i="44"/>
  <c r="M110" i="44"/>
  <c r="M111" i="44"/>
  <c r="M112" i="44"/>
  <c r="M113" i="44"/>
  <c r="M114" i="44"/>
  <c r="M115" i="44"/>
  <c r="M116" i="44"/>
  <c r="M117" i="44"/>
  <c r="M118" i="44"/>
  <c r="M119" i="44"/>
  <c r="M120" i="44"/>
  <c r="M121" i="44"/>
  <c r="L121" i="44" s="1"/>
  <c r="M122" i="44"/>
  <c r="M123" i="44"/>
  <c r="M124" i="44"/>
  <c r="M125" i="44"/>
  <c r="M126" i="44"/>
  <c r="M127" i="44"/>
  <c r="L127" i="44" s="1"/>
  <c r="M128" i="44"/>
  <c r="M129" i="44"/>
  <c r="M130" i="44"/>
  <c r="O130" i="44" s="1"/>
  <c r="M131" i="44"/>
  <c r="M132" i="44"/>
  <c r="M133" i="44"/>
  <c r="M134" i="44"/>
  <c r="M135" i="44"/>
  <c r="M136" i="44"/>
  <c r="M137" i="44"/>
  <c r="M138" i="44"/>
  <c r="M139" i="44"/>
  <c r="M140" i="44"/>
  <c r="M141" i="44"/>
  <c r="M142" i="44"/>
  <c r="M143" i="44"/>
  <c r="M144" i="44"/>
  <c r="M145" i="44"/>
  <c r="L145" i="44" s="1"/>
  <c r="M146" i="44"/>
  <c r="M147" i="44"/>
  <c r="L147" i="44" s="1"/>
  <c r="M148" i="44"/>
  <c r="M149" i="44"/>
  <c r="M150" i="44"/>
  <c r="M151" i="44"/>
  <c r="L151" i="44" s="1"/>
  <c r="M152" i="44"/>
  <c r="M153" i="44"/>
  <c r="M154" i="44"/>
  <c r="O154" i="44" s="1"/>
  <c r="M155" i="44"/>
  <c r="M156" i="44"/>
  <c r="M157" i="44"/>
  <c r="M158" i="44"/>
  <c r="M159" i="44"/>
  <c r="M160" i="44"/>
  <c r="M161" i="44"/>
  <c r="M162" i="44"/>
  <c r="M163" i="44"/>
  <c r="M164" i="44"/>
  <c r="N6" i="44"/>
  <c r="N7" i="44"/>
  <c r="N8" i="44"/>
  <c r="N9" i="44"/>
  <c r="N10" i="44"/>
  <c r="Z10" i="44" s="1"/>
  <c r="N11" i="44"/>
  <c r="L11" i="44" s="1"/>
  <c r="N12" i="44"/>
  <c r="N13" i="44"/>
  <c r="N14" i="44"/>
  <c r="N15" i="44"/>
  <c r="N16" i="44"/>
  <c r="L16" i="44" s="1"/>
  <c r="N17" i="44"/>
  <c r="L17" i="44" s="1"/>
  <c r="N18" i="44"/>
  <c r="N19" i="44"/>
  <c r="N20" i="44"/>
  <c r="N21" i="44"/>
  <c r="L21" i="44" s="1"/>
  <c r="N22" i="44"/>
  <c r="N23" i="44"/>
  <c r="N24" i="44"/>
  <c r="N25" i="44"/>
  <c r="N26" i="44"/>
  <c r="N27" i="44"/>
  <c r="N28" i="44"/>
  <c r="L28" i="44" s="1"/>
  <c r="N29" i="44"/>
  <c r="L29" i="44" s="1"/>
  <c r="N30" i="44"/>
  <c r="N31" i="44"/>
  <c r="N32" i="44"/>
  <c r="N33" i="44"/>
  <c r="N34" i="44"/>
  <c r="N35" i="44"/>
  <c r="N36" i="44"/>
  <c r="N37" i="44"/>
  <c r="N38" i="44"/>
  <c r="N39" i="44"/>
  <c r="N40" i="44"/>
  <c r="L40" i="44" s="1"/>
  <c r="N41" i="44"/>
  <c r="N42" i="44"/>
  <c r="N43" i="44"/>
  <c r="N44" i="44"/>
  <c r="N45" i="44"/>
  <c r="L45" i="44" s="1"/>
  <c r="N46" i="44"/>
  <c r="N47" i="44"/>
  <c r="N48" i="44"/>
  <c r="N49" i="44"/>
  <c r="N50" i="44"/>
  <c r="N51" i="44"/>
  <c r="N52" i="44"/>
  <c r="L52" i="44" s="1"/>
  <c r="N53" i="44"/>
  <c r="L53" i="44" s="1"/>
  <c r="N54" i="44"/>
  <c r="N55" i="44"/>
  <c r="N56" i="44"/>
  <c r="N57" i="44"/>
  <c r="N58" i="44"/>
  <c r="Z58" i="44" s="1"/>
  <c r="N59" i="44"/>
  <c r="L59" i="44" s="1"/>
  <c r="N60" i="44"/>
  <c r="N61" i="44"/>
  <c r="N62" i="44"/>
  <c r="N63" i="44"/>
  <c r="N64" i="44"/>
  <c r="L64" i="44" s="1"/>
  <c r="N65" i="44"/>
  <c r="L65" i="44" s="1"/>
  <c r="N66" i="44"/>
  <c r="N67" i="44"/>
  <c r="N68" i="44"/>
  <c r="N69" i="44"/>
  <c r="L69" i="44" s="1"/>
  <c r="N70" i="44"/>
  <c r="N71" i="44"/>
  <c r="N72" i="44"/>
  <c r="N73" i="44"/>
  <c r="N74" i="44"/>
  <c r="N75" i="44"/>
  <c r="L75" i="44" s="1"/>
  <c r="N76" i="44"/>
  <c r="L76" i="44" s="1"/>
  <c r="N77" i="44"/>
  <c r="L77" i="44" s="1"/>
  <c r="N78" i="44"/>
  <c r="N79" i="44"/>
  <c r="N80" i="44"/>
  <c r="N81" i="44"/>
  <c r="N82" i="44"/>
  <c r="Z82" i="44" s="1"/>
  <c r="N83" i="44"/>
  <c r="L83" i="44" s="1"/>
  <c r="N84" i="44"/>
  <c r="N85" i="44"/>
  <c r="N86" i="44"/>
  <c r="N87" i="44"/>
  <c r="N88" i="44"/>
  <c r="L88" i="44" s="1"/>
  <c r="N89" i="44"/>
  <c r="N90" i="44"/>
  <c r="N91" i="44"/>
  <c r="N92" i="44"/>
  <c r="N93" i="44"/>
  <c r="L93" i="44" s="1"/>
  <c r="N94" i="44"/>
  <c r="N95" i="44"/>
  <c r="N96" i="44"/>
  <c r="N97" i="44"/>
  <c r="N98" i="44"/>
  <c r="N99" i="44"/>
  <c r="L99" i="44" s="1"/>
  <c r="N100" i="44"/>
  <c r="L100" i="44" s="1"/>
  <c r="N101" i="44"/>
  <c r="L101" i="44" s="1"/>
  <c r="N102" i="44"/>
  <c r="N103" i="44"/>
  <c r="N104" i="44"/>
  <c r="N105" i="44"/>
  <c r="N106" i="44"/>
  <c r="N107" i="44"/>
  <c r="L107" i="44" s="1"/>
  <c r="N108" i="44"/>
  <c r="N109" i="44"/>
  <c r="N110" i="44"/>
  <c r="N111" i="44"/>
  <c r="N112" i="44"/>
  <c r="L112" i="44" s="1"/>
  <c r="N113" i="44"/>
  <c r="N114" i="44"/>
  <c r="N115" i="44"/>
  <c r="N116" i="44"/>
  <c r="N117" i="44"/>
  <c r="N118" i="44"/>
  <c r="N119" i="44"/>
  <c r="N120" i="44"/>
  <c r="N121" i="44"/>
  <c r="N122" i="44"/>
  <c r="N123" i="44"/>
  <c r="L123" i="44" s="1"/>
  <c r="N124" i="44"/>
  <c r="L124" i="44" s="1"/>
  <c r="N125" i="44"/>
  <c r="L125" i="44" s="1"/>
  <c r="N126" i="44"/>
  <c r="N127" i="44"/>
  <c r="N128" i="44"/>
  <c r="N129" i="44"/>
  <c r="N130" i="44"/>
  <c r="Z130" i="44" s="1"/>
  <c r="N131" i="44"/>
  <c r="N132" i="44"/>
  <c r="N133" i="44"/>
  <c r="N134" i="44"/>
  <c r="N135" i="44"/>
  <c r="N136" i="44"/>
  <c r="L136" i="44" s="1"/>
  <c r="N137" i="44"/>
  <c r="N138" i="44"/>
  <c r="N139" i="44"/>
  <c r="N140" i="44"/>
  <c r="N141" i="44"/>
  <c r="N142" i="44"/>
  <c r="N143" i="44"/>
  <c r="N144" i="44"/>
  <c r="N145" i="44"/>
  <c r="N146" i="44"/>
  <c r="N147" i="44"/>
  <c r="N148" i="44"/>
  <c r="L148" i="44" s="1"/>
  <c r="N149" i="44"/>
  <c r="L149" i="44" s="1"/>
  <c r="N150" i="44"/>
  <c r="N151" i="44"/>
  <c r="N152" i="44"/>
  <c r="N153" i="44"/>
  <c r="N154" i="44"/>
  <c r="Z154" i="44" s="1"/>
  <c r="N155" i="44"/>
  <c r="N156" i="44"/>
  <c r="N157" i="44"/>
  <c r="N158" i="44"/>
  <c r="N159" i="44"/>
  <c r="N160" i="44"/>
  <c r="L160" i="44" s="1"/>
  <c r="N161" i="44"/>
  <c r="N162" i="44"/>
  <c r="N163" i="44"/>
  <c r="N164" i="44"/>
  <c r="O92" i="44"/>
  <c r="O140" i="44"/>
  <c r="P6" i="44"/>
  <c r="R6" i="44" s="1"/>
  <c r="P7" i="44"/>
  <c r="P8" i="44"/>
  <c r="P9" i="44"/>
  <c r="P10" i="44"/>
  <c r="P11" i="44"/>
  <c r="P12" i="44"/>
  <c r="P13" i="44"/>
  <c r="P14" i="44"/>
  <c r="P15" i="44"/>
  <c r="P16" i="44"/>
  <c r="P17" i="44"/>
  <c r="P18" i="44"/>
  <c r="P19" i="44"/>
  <c r="P20" i="44"/>
  <c r="O20" i="44" s="1"/>
  <c r="P21" i="44"/>
  <c r="P22" i="44"/>
  <c r="P23" i="44"/>
  <c r="P24" i="44"/>
  <c r="P25" i="44"/>
  <c r="P26" i="44"/>
  <c r="P27" i="44"/>
  <c r="P28" i="44"/>
  <c r="P29" i="44"/>
  <c r="P30" i="44"/>
  <c r="R30" i="44" s="1"/>
  <c r="P31" i="44"/>
  <c r="P32" i="44"/>
  <c r="P33" i="44"/>
  <c r="P34" i="44"/>
  <c r="P35" i="44"/>
  <c r="P36" i="44"/>
  <c r="P37" i="44"/>
  <c r="P38" i="44"/>
  <c r="P39" i="44"/>
  <c r="P40" i="44"/>
  <c r="P41" i="44"/>
  <c r="P42" i="44"/>
  <c r="P43" i="44"/>
  <c r="P44" i="44"/>
  <c r="P45" i="44"/>
  <c r="P46" i="44"/>
  <c r="P47" i="44"/>
  <c r="P48" i="44"/>
  <c r="P49" i="44"/>
  <c r="P50" i="44"/>
  <c r="P51" i="44"/>
  <c r="P52" i="44"/>
  <c r="P53" i="44"/>
  <c r="P54" i="44"/>
  <c r="R54" i="44" s="1"/>
  <c r="P55" i="44"/>
  <c r="P56" i="44"/>
  <c r="P57" i="44"/>
  <c r="P58" i="44"/>
  <c r="P59" i="44"/>
  <c r="P60" i="44"/>
  <c r="P61" i="44"/>
  <c r="P62" i="44"/>
  <c r="P63" i="44"/>
  <c r="P64" i="44"/>
  <c r="P65" i="44"/>
  <c r="P66" i="44"/>
  <c r="P67" i="44"/>
  <c r="P68" i="44"/>
  <c r="O68" i="44" s="1"/>
  <c r="P69" i="44"/>
  <c r="P70" i="44"/>
  <c r="P71" i="44"/>
  <c r="P72" i="44"/>
  <c r="P73" i="44"/>
  <c r="P74" i="44"/>
  <c r="P75" i="44"/>
  <c r="P76" i="44"/>
  <c r="P77" i="44"/>
  <c r="P78" i="44"/>
  <c r="R78" i="44" s="1"/>
  <c r="P79" i="44"/>
  <c r="P80" i="44"/>
  <c r="P81" i="44"/>
  <c r="P82" i="44"/>
  <c r="P83" i="44"/>
  <c r="P84" i="44"/>
  <c r="P85" i="44"/>
  <c r="P86" i="44"/>
  <c r="P87" i="44"/>
  <c r="P88" i="44"/>
  <c r="P89" i="44"/>
  <c r="P90" i="44"/>
  <c r="P91" i="44"/>
  <c r="P92" i="44"/>
  <c r="P93" i="44"/>
  <c r="P94" i="44"/>
  <c r="P95" i="44"/>
  <c r="P96" i="44"/>
  <c r="P97" i="44"/>
  <c r="P98" i="44"/>
  <c r="P99" i="44"/>
  <c r="P100" i="44"/>
  <c r="P101" i="44"/>
  <c r="P102" i="44"/>
  <c r="R102" i="44" s="1"/>
  <c r="P103" i="44"/>
  <c r="P104" i="44"/>
  <c r="P105" i="44"/>
  <c r="P106" i="44"/>
  <c r="P107" i="44"/>
  <c r="P108" i="44"/>
  <c r="P109" i="44"/>
  <c r="P110" i="44"/>
  <c r="P111" i="44"/>
  <c r="P112" i="44"/>
  <c r="P113" i="44"/>
  <c r="P114" i="44"/>
  <c r="P115" i="44"/>
  <c r="P116" i="44"/>
  <c r="P117" i="44"/>
  <c r="P118" i="44"/>
  <c r="P119" i="44"/>
  <c r="P120" i="44"/>
  <c r="P121" i="44"/>
  <c r="P122" i="44"/>
  <c r="P123" i="44"/>
  <c r="P124" i="44"/>
  <c r="P125" i="44"/>
  <c r="P126" i="44"/>
  <c r="R126" i="44" s="1"/>
  <c r="P127" i="44"/>
  <c r="P128" i="44"/>
  <c r="P129" i="44"/>
  <c r="P130" i="44"/>
  <c r="P131" i="44"/>
  <c r="P132" i="44"/>
  <c r="P133" i="44"/>
  <c r="P134" i="44"/>
  <c r="P135" i="44"/>
  <c r="P136" i="44"/>
  <c r="P137" i="44"/>
  <c r="P138" i="44"/>
  <c r="P139" i="44"/>
  <c r="P140" i="44"/>
  <c r="P141" i="44"/>
  <c r="P142" i="44"/>
  <c r="P143" i="44"/>
  <c r="P144" i="44"/>
  <c r="P145" i="44"/>
  <c r="P146" i="44"/>
  <c r="P147" i="44"/>
  <c r="P148" i="44"/>
  <c r="P149" i="44"/>
  <c r="P150" i="44"/>
  <c r="R150" i="44" s="1"/>
  <c r="P151" i="44"/>
  <c r="P152" i="44"/>
  <c r="P153" i="44"/>
  <c r="R153" i="44" s="1"/>
  <c r="P154" i="44"/>
  <c r="P155" i="44"/>
  <c r="P156" i="44"/>
  <c r="P157" i="44"/>
  <c r="P158" i="44"/>
  <c r="P159" i="44"/>
  <c r="P160" i="44"/>
  <c r="P161" i="44"/>
  <c r="P162" i="44"/>
  <c r="P163" i="44"/>
  <c r="P164" i="44"/>
  <c r="Q6" i="44"/>
  <c r="O6" i="44" s="1"/>
  <c r="Q7" i="44"/>
  <c r="Q8" i="44"/>
  <c r="O8" i="44" s="1"/>
  <c r="Q9" i="44"/>
  <c r="Q10" i="44"/>
  <c r="Q11" i="44"/>
  <c r="O11" i="44" s="1"/>
  <c r="Q12" i="44"/>
  <c r="Q13" i="44"/>
  <c r="O13" i="44" s="1"/>
  <c r="Q14" i="44"/>
  <c r="O14" i="44" s="1"/>
  <c r="Q15" i="44"/>
  <c r="O15" i="44" s="1"/>
  <c r="Q16" i="44"/>
  <c r="Q17" i="44"/>
  <c r="Q18" i="44"/>
  <c r="Q19" i="44"/>
  <c r="O19" i="44" s="1"/>
  <c r="Q20" i="44"/>
  <c r="Q21" i="44"/>
  <c r="Q22" i="44"/>
  <c r="Q23" i="44"/>
  <c r="O23" i="44" s="1"/>
  <c r="Q24" i="44"/>
  <c r="O24" i="44" s="1"/>
  <c r="Q25" i="44"/>
  <c r="Q26" i="44"/>
  <c r="Q27" i="44"/>
  <c r="O27" i="44" s="1"/>
  <c r="Q28" i="44"/>
  <c r="Q29" i="44"/>
  <c r="O29" i="44" s="1"/>
  <c r="Q30" i="44"/>
  <c r="O30" i="44" s="1"/>
  <c r="Q31" i="44"/>
  <c r="Q32" i="44"/>
  <c r="O32" i="44" s="1"/>
  <c r="Q33" i="44"/>
  <c r="Q34" i="44"/>
  <c r="Q35" i="44"/>
  <c r="O35" i="44" s="1"/>
  <c r="Q36" i="44"/>
  <c r="Z36" i="44" s="1"/>
  <c r="Q37" i="44"/>
  <c r="O37" i="44" s="1"/>
  <c r="Q38" i="44"/>
  <c r="O38" i="44" s="1"/>
  <c r="Q39" i="44"/>
  <c r="O39" i="44" s="1"/>
  <c r="Q40" i="44"/>
  <c r="Q41" i="44"/>
  <c r="Q42" i="44"/>
  <c r="Q43" i="44"/>
  <c r="O43" i="44" s="1"/>
  <c r="Q44" i="44"/>
  <c r="O44" i="44" s="1"/>
  <c r="Q45" i="44"/>
  <c r="Q46" i="44"/>
  <c r="Q47" i="44"/>
  <c r="Q48" i="44"/>
  <c r="O48" i="44" s="1"/>
  <c r="Q49" i="44"/>
  <c r="Q50" i="44"/>
  <c r="Q51" i="44"/>
  <c r="O51" i="44" s="1"/>
  <c r="Q52" i="44"/>
  <c r="Q53" i="44"/>
  <c r="O53" i="44" s="1"/>
  <c r="Q54" i="44"/>
  <c r="O54" i="44" s="1"/>
  <c r="Q55" i="44"/>
  <c r="Q56" i="44"/>
  <c r="O56" i="44" s="1"/>
  <c r="Q57" i="44"/>
  <c r="Q58" i="44"/>
  <c r="Q59" i="44"/>
  <c r="O59" i="44" s="1"/>
  <c r="Q60" i="44"/>
  <c r="Z60" i="44" s="1"/>
  <c r="Q61" i="44"/>
  <c r="Q62" i="44"/>
  <c r="O62" i="44" s="1"/>
  <c r="Q63" i="44"/>
  <c r="O63" i="44" s="1"/>
  <c r="Q64" i="44"/>
  <c r="O64" i="44" s="1"/>
  <c r="Q65" i="44"/>
  <c r="Q66" i="44"/>
  <c r="Q67" i="44"/>
  <c r="O67" i="44" s="1"/>
  <c r="Q68" i="44"/>
  <c r="Q69" i="44"/>
  <c r="Q70" i="44"/>
  <c r="Q71" i="44"/>
  <c r="Q72" i="44"/>
  <c r="O72" i="44" s="1"/>
  <c r="Q73" i="44"/>
  <c r="Q74" i="44"/>
  <c r="Q75" i="44"/>
  <c r="O75" i="44" s="1"/>
  <c r="Q76" i="44"/>
  <c r="Q77" i="44"/>
  <c r="O77" i="44" s="1"/>
  <c r="Q78" i="44"/>
  <c r="O78" i="44" s="1"/>
  <c r="Q79" i="44"/>
  <c r="Q80" i="44"/>
  <c r="O80" i="44" s="1"/>
  <c r="Q81" i="44"/>
  <c r="Q82" i="44"/>
  <c r="Q83" i="44"/>
  <c r="O83" i="44" s="1"/>
  <c r="Q84" i="44"/>
  <c r="Z84" i="44" s="1"/>
  <c r="Q85" i="44"/>
  <c r="Q86" i="44"/>
  <c r="O86" i="44" s="1"/>
  <c r="Q87" i="44"/>
  <c r="O87" i="44" s="1"/>
  <c r="Q88" i="44"/>
  <c r="O88" i="44" s="1"/>
  <c r="Q89" i="44"/>
  <c r="O89" i="44" s="1"/>
  <c r="Q90" i="44"/>
  <c r="Q91" i="44"/>
  <c r="O91" i="44" s="1"/>
  <c r="Q92" i="44"/>
  <c r="Q93" i="44"/>
  <c r="Q94" i="44"/>
  <c r="Q95" i="44"/>
  <c r="Q96" i="44"/>
  <c r="O96" i="44" s="1"/>
  <c r="Q97" i="44"/>
  <c r="Q98" i="44"/>
  <c r="Q99" i="44"/>
  <c r="O99" i="44" s="1"/>
  <c r="Q100" i="44"/>
  <c r="Q101" i="44"/>
  <c r="O101" i="44" s="1"/>
  <c r="Q102" i="44"/>
  <c r="O102" i="44" s="1"/>
  <c r="Q103" i="44"/>
  <c r="Q104" i="44"/>
  <c r="O104" i="44" s="1"/>
  <c r="Q105" i="44"/>
  <c r="Q106" i="44"/>
  <c r="Q107" i="44"/>
  <c r="O107" i="44" s="1"/>
  <c r="Q108" i="44"/>
  <c r="Z108" i="44" s="1"/>
  <c r="Q109" i="44"/>
  <c r="Q110" i="44"/>
  <c r="O110" i="44" s="1"/>
  <c r="Q111" i="44"/>
  <c r="O111" i="44" s="1"/>
  <c r="Q112" i="44"/>
  <c r="O112" i="44" s="1"/>
  <c r="Q113" i="44"/>
  <c r="O113" i="44" s="1"/>
  <c r="Q114" i="44"/>
  <c r="Q115" i="44"/>
  <c r="O115" i="44" s="1"/>
  <c r="Q116" i="44"/>
  <c r="Q117" i="44"/>
  <c r="Q118" i="44"/>
  <c r="Q119" i="44"/>
  <c r="Q120" i="44"/>
  <c r="O120" i="44" s="1"/>
  <c r="Q121" i="44"/>
  <c r="Q122" i="44"/>
  <c r="Q123" i="44"/>
  <c r="O123" i="44" s="1"/>
  <c r="Q124" i="44"/>
  <c r="Q125" i="44"/>
  <c r="O125" i="44" s="1"/>
  <c r="Q126" i="44"/>
  <c r="O126" i="44" s="1"/>
  <c r="Q127" i="44"/>
  <c r="Q128" i="44"/>
  <c r="O128" i="44" s="1"/>
  <c r="Q129" i="44"/>
  <c r="Q130" i="44"/>
  <c r="Q131" i="44"/>
  <c r="O131" i="44" s="1"/>
  <c r="Q132" i="44"/>
  <c r="Z132" i="44" s="1"/>
  <c r="Q133" i="44"/>
  <c r="Q134" i="44"/>
  <c r="O134" i="44" s="1"/>
  <c r="Q135" i="44"/>
  <c r="O135" i="44" s="1"/>
  <c r="Q136" i="44"/>
  <c r="O136" i="44" s="1"/>
  <c r="Q137" i="44"/>
  <c r="O137" i="44" s="1"/>
  <c r="Q138" i="44"/>
  <c r="Q139" i="44"/>
  <c r="O139" i="44" s="1"/>
  <c r="Q140" i="44"/>
  <c r="Q141" i="44"/>
  <c r="Q142" i="44"/>
  <c r="Q143" i="44"/>
  <c r="Q144" i="44"/>
  <c r="O144" i="44" s="1"/>
  <c r="Q145" i="44"/>
  <c r="Q146" i="44"/>
  <c r="Q147" i="44"/>
  <c r="Q148" i="44"/>
  <c r="Q149" i="44"/>
  <c r="O149" i="44" s="1"/>
  <c r="Q150" i="44"/>
  <c r="O150" i="44" s="1"/>
  <c r="Q151" i="44"/>
  <c r="Q152" i="44"/>
  <c r="O152" i="44" s="1"/>
  <c r="Q153" i="44"/>
  <c r="Q154" i="44"/>
  <c r="Q155" i="44"/>
  <c r="O155" i="44" s="1"/>
  <c r="Q156" i="44"/>
  <c r="Z156" i="44" s="1"/>
  <c r="Q157" i="44"/>
  <c r="Q158" i="44"/>
  <c r="O158" i="44" s="1"/>
  <c r="Q159" i="44"/>
  <c r="O159" i="44" s="1"/>
  <c r="Q160" i="44"/>
  <c r="O160" i="44" s="1"/>
  <c r="Q161" i="44"/>
  <c r="O161" i="44" s="1"/>
  <c r="Q162" i="44"/>
  <c r="Q163" i="44"/>
  <c r="O163" i="44" s="1"/>
  <c r="Q164" i="44"/>
  <c r="O164" i="44" s="1"/>
  <c r="R57" i="44"/>
  <c r="R95" i="44"/>
  <c r="R105" i="44"/>
  <c r="R106" i="44"/>
  <c r="S6" i="44"/>
  <c r="S7" i="44"/>
  <c r="S8" i="44"/>
  <c r="U8" i="44" s="1"/>
  <c r="S9" i="44"/>
  <c r="R9" i="44" s="1"/>
  <c r="S10" i="44"/>
  <c r="R10" i="44" s="1"/>
  <c r="S11" i="44"/>
  <c r="S12" i="44"/>
  <c r="R12" i="44" s="1"/>
  <c r="S13" i="44"/>
  <c r="U13" i="44" s="1"/>
  <c r="S14" i="44"/>
  <c r="R14" i="44" s="1"/>
  <c r="S15" i="44"/>
  <c r="S16" i="44"/>
  <c r="S17" i="44"/>
  <c r="S18" i="44"/>
  <c r="S19" i="44"/>
  <c r="U19" i="44" s="1"/>
  <c r="S20" i="44"/>
  <c r="S21" i="44"/>
  <c r="R21" i="44" s="1"/>
  <c r="S22" i="44"/>
  <c r="S23" i="44"/>
  <c r="S24" i="44"/>
  <c r="S25" i="44"/>
  <c r="R25" i="44" s="1"/>
  <c r="S26" i="44"/>
  <c r="R26" i="44" s="1"/>
  <c r="S27" i="44"/>
  <c r="S28" i="44"/>
  <c r="S29" i="44"/>
  <c r="S30" i="44"/>
  <c r="S31" i="44"/>
  <c r="S32" i="44"/>
  <c r="U32" i="44" s="1"/>
  <c r="S33" i="44"/>
  <c r="R33" i="44" s="1"/>
  <c r="S34" i="44"/>
  <c r="R34" i="44" s="1"/>
  <c r="S35" i="44"/>
  <c r="S36" i="44"/>
  <c r="S37" i="44"/>
  <c r="U37" i="44" s="1"/>
  <c r="S38" i="44"/>
  <c r="R38" i="44" s="1"/>
  <c r="S39" i="44"/>
  <c r="S40" i="44"/>
  <c r="S41" i="44"/>
  <c r="S42" i="44"/>
  <c r="S43" i="44"/>
  <c r="U43" i="44" s="1"/>
  <c r="S44" i="44"/>
  <c r="S45" i="44"/>
  <c r="R45" i="44" s="1"/>
  <c r="S46" i="44"/>
  <c r="S47" i="44"/>
  <c r="R47" i="44" s="1"/>
  <c r="S48" i="44"/>
  <c r="S49" i="44"/>
  <c r="R49" i="44" s="1"/>
  <c r="S50" i="44"/>
  <c r="R50" i="44" s="1"/>
  <c r="S51" i="44"/>
  <c r="S52" i="44"/>
  <c r="S53" i="44"/>
  <c r="S54" i="44"/>
  <c r="S55" i="44"/>
  <c r="S56" i="44"/>
  <c r="U56" i="44" s="1"/>
  <c r="S57" i="44"/>
  <c r="S58" i="44"/>
  <c r="R58" i="44" s="1"/>
  <c r="S59" i="44"/>
  <c r="S60" i="44"/>
  <c r="S61" i="44"/>
  <c r="U61" i="44" s="1"/>
  <c r="S62" i="44"/>
  <c r="R62" i="44" s="1"/>
  <c r="S63" i="44"/>
  <c r="S64" i="44"/>
  <c r="S65" i="44"/>
  <c r="S66" i="44"/>
  <c r="S67" i="44"/>
  <c r="U67" i="44" s="1"/>
  <c r="S68" i="44"/>
  <c r="S69" i="44"/>
  <c r="S70" i="44"/>
  <c r="S71" i="44"/>
  <c r="R71" i="44" s="1"/>
  <c r="S72" i="44"/>
  <c r="S73" i="44"/>
  <c r="R73" i="44" s="1"/>
  <c r="S74" i="44"/>
  <c r="R74" i="44" s="1"/>
  <c r="S75" i="44"/>
  <c r="S76" i="44"/>
  <c r="S77" i="44"/>
  <c r="S78" i="44"/>
  <c r="S79" i="44"/>
  <c r="S80" i="44"/>
  <c r="U80" i="44" s="1"/>
  <c r="S81" i="44"/>
  <c r="R81" i="44" s="1"/>
  <c r="S82" i="44"/>
  <c r="R82" i="44" s="1"/>
  <c r="S83" i="44"/>
  <c r="S84" i="44"/>
  <c r="S85" i="44"/>
  <c r="U85" i="44" s="1"/>
  <c r="S86" i="44"/>
  <c r="R86" i="44" s="1"/>
  <c r="S87" i="44"/>
  <c r="S88" i="44"/>
  <c r="S89" i="44"/>
  <c r="S90" i="44"/>
  <c r="S91" i="44"/>
  <c r="U91" i="44" s="1"/>
  <c r="S92" i="44"/>
  <c r="S93" i="44"/>
  <c r="S94" i="44"/>
  <c r="S95" i="44"/>
  <c r="S96" i="44"/>
  <c r="S97" i="44"/>
  <c r="S98" i="44"/>
  <c r="S99" i="44"/>
  <c r="S100" i="44"/>
  <c r="S101" i="44"/>
  <c r="S102" i="44"/>
  <c r="S103" i="44"/>
  <c r="S104" i="44"/>
  <c r="U104" i="44" s="1"/>
  <c r="S105" i="44"/>
  <c r="S106" i="44"/>
  <c r="S107" i="44"/>
  <c r="S108" i="44"/>
  <c r="S109" i="44"/>
  <c r="U109" i="44" s="1"/>
  <c r="S110" i="44"/>
  <c r="R110" i="44" s="1"/>
  <c r="S111" i="44"/>
  <c r="S112" i="44"/>
  <c r="S113" i="44"/>
  <c r="S114" i="44"/>
  <c r="S115" i="44"/>
  <c r="U115" i="44" s="1"/>
  <c r="S116" i="44"/>
  <c r="S117" i="44"/>
  <c r="S118" i="44"/>
  <c r="S119" i="44"/>
  <c r="R119" i="44" s="1"/>
  <c r="S120" i="44"/>
  <c r="S121" i="44"/>
  <c r="S122" i="44"/>
  <c r="U122" i="44" s="1"/>
  <c r="S123" i="44"/>
  <c r="S124" i="44"/>
  <c r="S125" i="44"/>
  <c r="S126" i="44"/>
  <c r="S127" i="44"/>
  <c r="S128" i="44"/>
  <c r="U128" i="44" s="1"/>
  <c r="S129" i="44"/>
  <c r="S130" i="44"/>
  <c r="R130" i="44" s="1"/>
  <c r="S131" i="44"/>
  <c r="S132" i="44"/>
  <c r="U132" i="44" s="1"/>
  <c r="S133" i="44"/>
  <c r="U133" i="44" s="1"/>
  <c r="S134" i="44"/>
  <c r="R134" i="44" s="1"/>
  <c r="S135" i="44"/>
  <c r="S136" i="44"/>
  <c r="S137" i="44"/>
  <c r="S138" i="44"/>
  <c r="S139" i="44"/>
  <c r="U139" i="44" s="1"/>
  <c r="S140" i="44"/>
  <c r="S141" i="44"/>
  <c r="S142" i="44"/>
  <c r="S143" i="44"/>
  <c r="R143" i="44" s="1"/>
  <c r="S144" i="44"/>
  <c r="S145" i="44"/>
  <c r="S146" i="44"/>
  <c r="S147" i="44"/>
  <c r="S148" i="44"/>
  <c r="S149" i="44"/>
  <c r="S150" i="44"/>
  <c r="S151" i="44"/>
  <c r="S152" i="44"/>
  <c r="U152" i="44" s="1"/>
  <c r="S153" i="44"/>
  <c r="S154" i="44"/>
  <c r="S155" i="44"/>
  <c r="S156" i="44"/>
  <c r="U156" i="44" s="1"/>
  <c r="S157" i="44"/>
  <c r="U157" i="44" s="1"/>
  <c r="S158" i="44"/>
  <c r="R158" i="44" s="1"/>
  <c r="S159" i="44"/>
  <c r="S160" i="44"/>
  <c r="S161" i="44"/>
  <c r="S162" i="44"/>
  <c r="S163" i="44"/>
  <c r="U163" i="44" s="1"/>
  <c r="S164" i="44"/>
  <c r="T6" i="44"/>
  <c r="Z6" i="44" s="1"/>
  <c r="T7" i="44"/>
  <c r="Z7" i="44" s="1"/>
  <c r="T8" i="44"/>
  <c r="T9" i="44"/>
  <c r="T10" i="44"/>
  <c r="T11" i="44"/>
  <c r="R11" i="44" s="1"/>
  <c r="T12" i="44"/>
  <c r="T13" i="44"/>
  <c r="T14" i="44"/>
  <c r="T15" i="44"/>
  <c r="T16" i="44"/>
  <c r="T17" i="44"/>
  <c r="R17" i="44" s="1"/>
  <c r="T18" i="44"/>
  <c r="T19" i="44"/>
  <c r="T20" i="44"/>
  <c r="T21" i="44"/>
  <c r="T22" i="44"/>
  <c r="T23" i="44"/>
  <c r="R23" i="44" s="1"/>
  <c r="T24" i="44"/>
  <c r="R24" i="44" s="1"/>
  <c r="T25" i="44"/>
  <c r="T26" i="44"/>
  <c r="T27" i="44"/>
  <c r="T28" i="44"/>
  <c r="Z28" i="44" s="1"/>
  <c r="T29" i="44"/>
  <c r="T30" i="44"/>
  <c r="Z30" i="44" s="1"/>
  <c r="T31" i="44"/>
  <c r="Z31" i="44" s="1"/>
  <c r="T32" i="44"/>
  <c r="T33" i="44"/>
  <c r="T34" i="44"/>
  <c r="T35" i="44"/>
  <c r="R35" i="44" s="1"/>
  <c r="T36" i="44"/>
  <c r="T37" i="44"/>
  <c r="T38" i="44"/>
  <c r="T39" i="44"/>
  <c r="T40" i="44"/>
  <c r="T41" i="44"/>
  <c r="R41" i="44" s="1"/>
  <c r="T42" i="44"/>
  <c r="T43" i="44"/>
  <c r="T44" i="44"/>
  <c r="T45" i="44"/>
  <c r="T46" i="44"/>
  <c r="T47" i="44"/>
  <c r="T48" i="44"/>
  <c r="T49" i="44"/>
  <c r="T50" i="44"/>
  <c r="T51" i="44"/>
  <c r="T52" i="44"/>
  <c r="Z52" i="44" s="1"/>
  <c r="T53" i="44"/>
  <c r="T54" i="44"/>
  <c r="Z54" i="44" s="1"/>
  <c r="T55" i="44"/>
  <c r="Z55" i="44" s="1"/>
  <c r="T56" i="44"/>
  <c r="T57" i="44"/>
  <c r="T58" i="44"/>
  <c r="T59" i="44"/>
  <c r="R59" i="44" s="1"/>
  <c r="T60" i="44"/>
  <c r="T61" i="44"/>
  <c r="T62" i="44"/>
  <c r="T63" i="44"/>
  <c r="T64" i="44"/>
  <c r="T65" i="44"/>
  <c r="R65" i="44" s="1"/>
  <c r="T66" i="44"/>
  <c r="T67" i="44"/>
  <c r="T68" i="44"/>
  <c r="T69" i="44"/>
  <c r="T70" i="44"/>
  <c r="T71" i="44"/>
  <c r="T72" i="44"/>
  <c r="T73" i="44"/>
  <c r="T74" i="44"/>
  <c r="T75" i="44"/>
  <c r="T76" i="44"/>
  <c r="Z76" i="44" s="1"/>
  <c r="T77" i="44"/>
  <c r="T78" i="44"/>
  <c r="Z78" i="44" s="1"/>
  <c r="T79" i="44"/>
  <c r="Z79" i="44" s="1"/>
  <c r="T80" i="44"/>
  <c r="T81" i="44"/>
  <c r="T82" i="44"/>
  <c r="T83" i="44"/>
  <c r="R83" i="44" s="1"/>
  <c r="T84" i="44"/>
  <c r="T85" i="44"/>
  <c r="T86" i="44"/>
  <c r="T87" i="44"/>
  <c r="T88" i="44"/>
  <c r="T89" i="44"/>
  <c r="R89" i="44" s="1"/>
  <c r="T90" i="44"/>
  <c r="T91" i="44"/>
  <c r="T92" i="44"/>
  <c r="T93" i="44"/>
  <c r="T94" i="44"/>
  <c r="Z94" i="44" s="1"/>
  <c r="T95" i="44"/>
  <c r="T96" i="44"/>
  <c r="T97" i="44"/>
  <c r="T98" i="44"/>
  <c r="T99" i="44"/>
  <c r="T100" i="44"/>
  <c r="Z100" i="44" s="1"/>
  <c r="T101" i="44"/>
  <c r="T102" i="44"/>
  <c r="Z102" i="44" s="1"/>
  <c r="T103" i="44"/>
  <c r="Z103" i="44" s="1"/>
  <c r="T104" i="44"/>
  <c r="T105" i="44"/>
  <c r="T106" i="44"/>
  <c r="Z106" i="44" s="1"/>
  <c r="T107" i="44"/>
  <c r="R107" i="44" s="1"/>
  <c r="T108" i="44"/>
  <c r="T109" i="44"/>
  <c r="T110" i="44"/>
  <c r="T111" i="44"/>
  <c r="T112" i="44"/>
  <c r="T113" i="44"/>
  <c r="R113" i="44" s="1"/>
  <c r="T114" i="44"/>
  <c r="T115" i="44"/>
  <c r="T116" i="44"/>
  <c r="T117" i="44"/>
  <c r="T118" i="44"/>
  <c r="T119" i="44"/>
  <c r="T120" i="44"/>
  <c r="T121" i="44"/>
  <c r="T122" i="44"/>
  <c r="T123" i="44"/>
  <c r="Z123" i="44" s="1"/>
  <c r="T124" i="44"/>
  <c r="Z124" i="44" s="1"/>
  <c r="T125" i="44"/>
  <c r="T126" i="44"/>
  <c r="Z126" i="44" s="1"/>
  <c r="T127" i="44"/>
  <c r="Z127" i="44" s="1"/>
  <c r="T128" i="44"/>
  <c r="T129" i="44"/>
  <c r="R129" i="44" s="1"/>
  <c r="T130" i="44"/>
  <c r="T131" i="44"/>
  <c r="R131" i="44" s="1"/>
  <c r="T132" i="44"/>
  <c r="T133" i="44"/>
  <c r="T134" i="44"/>
  <c r="T135" i="44"/>
  <c r="T136" i="44"/>
  <c r="T137" i="44"/>
  <c r="Z137" i="44" s="1"/>
  <c r="T138" i="44"/>
  <c r="T139" i="44"/>
  <c r="Z139" i="44" s="1"/>
  <c r="AA139" i="44" s="1"/>
  <c r="T140" i="44"/>
  <c r="T141" i="44"/>
  <c r="T142" i="44"/>
  <c r="T143" i="44"/>
  <c r="T144" i="44"/>
  <c r="T145" i="44"/>
  <c r="T146" i="44"/>
  <c r="T147" i="44"/>
  <c r="Z147" i="44" s="1"/>
  <c r="T148" i="44"/>
  <c r="Z148" i="44" s="1"/>
  <c r="T149" i="44"/>
  <c r="Z149" i="44" s="1"/>
  <c r="T150" i="44"/>
  <c r="T151" i="44"/>
  <c r="Z151" i="44" s="1"/>
  <c r="T152" i="44"/>
  <c r="T153" i="44"/>
  <c r="T154" i="44"/>
  <c r="R154" i="44" s="1"/>
  <c r="T155" i="44"/>
  <c r="R155" i="44" s="1"/>
  <c r="T156" i="44"/>
  <c r="T157" i="44"/>
  <c r="T158" i="44"/>
  <c r="T159" i="44"/>
  <c r="T160" i="44"/>
  <c r="T161" i="44"/>
  <c r="Z161" i="44" s="1"/>
  <c r="T162" i="44"/>
  <c r="T163" i="44"/>
  <c r="T164" i="44"/>
  <c r="U9" i="44"/>
  <c r="U12" i="44"/>
  <c r="U25" i="44"/>
  <c r="U26" i="44"/>
  <c r="U27" i="44"/>
  <c r="U30" i="44"/>
  <c r="U33" i="44"/>
  <c r="U36" i="44"/>
  <c r="U60" i="44"/>
  <c r="U78" i="44"/>
  <c r="U81" i="44"/>
  <c r="U97" i="44"/>
  <c r="U105" i="44"/>
  <c r="U108" i="44"/>
  <c r="U121" i="44"/>
  <c r="U129" i="44"/>
  <c r="U153" i="44"/>
  <c r="V6" i="44"/>
  <c r="U6" i="44" s="1"/>
  <c r="V7" i="44"/>
  <c r="V8" i="44"/>
  <c r="V9" i="44"/>
  <c r="V10" i="44"/>
  <c r="U10" i="44" s="1"/>
  <c r="V11" i="44"/>
  <c r="U11" i="44" s="1"/>
  <c r="V12" i="44"/>
  <c r="V13" i="44"/>
  <c r="V14" i="44"/>
  <c r="W14" i="44" s="1"/>
  <c r="V15" i="44"/>
  <c r="V16" i="44"/>
  <c r="V17" i="44"/>
  <c r="U17" i="44" s="1"/>
  <c r="V18" i="44"/>
  <c r="V19" i="44"/>
  <c r="V20" i="44"/>
  <c r="U20" i="44" s="1"/>
  <c r="V21" i="44"/>
  <c r="V22" i="44"/>
  <c r="V23" i="44"/>
  <c r="U23" i="44" s="1"/>
  <c r="V24" i="44"/>
  <c r="U24" i="44" s="1"/>
  <c r="V25" i="44"/>
  <c r="V26" i="44"/>
  <c r="V27" i="44"/>
  <c r="V28" i="44"/>
  <c r="U28" i="44" s="1"/>
  <c r="V29" i="44"/>
  <c r="U29" i="44" s="1"/>
  <c r="V30" i="44"/>
  <c r="V31" i="44"/>
  <c r="V32" i="44"/>
  <c r="V33" i="44"/>
  <c r="V34" i="44"/>
  <c r="U34" i="44" s="1"/>
  <c r="V35" i="44"/>
  <c r="U35" i="44" s="1"/>
  <c r="V36" i="44"/>
  <c r="V37" i="44"/>
  <c r="V38" i="44"/>
  <c r="W38" i="44" s="1"/>
  <c r="V39" i="44"/>
  <c r="V40" i="44"/>
  <c r="V41" i="44"/>
  <c r="U41" i="44" s="1"/>
  <c r="V42" i="44"/>
  <c r="V43" i="44"/>
  <c r="V44" i="44"/>
  <c r="U44" i="44" s="1"/>
  <c r="V45" i="44"/>
  <c r="V46" i="44"/>
  <c r="V47" i="44"/>
  <c r="U47" i="44" s="1"/>
  <c r="V48" i="44"/>
  <c r="V49" i="44"/>
  <c r="V50" i="44"/>
  <c r="U50" i="44" s="1"/>
  <c r="V51" i="44"/>
  <c r="U51" i="44" s="1"/>
  <c r="V52" i="44"/>
  <c r="U52" i="44" s="1"/>
  <c r="V53" i="44"/>
  <c r="W53" i="44" s="1"/>
  <c r="V54" i="44"/>
  <c r="W54" i="44" s="1"/>
  <c r="V55" i="44"/>
  <c r="V56" i="44"/>
  <c r="V57" i="44"/>
  <c r="U57" i="44" s="1"/>
  <c r="V58" i="44"/>
  <c r="U58" i="44" s="1"/>
  <c r="V59" i="44"/>
  <c r="U59" i="44" s="1"/>
  <c r="V60" i="44"/>
  <c r="V61" i="44"/>
  <c r="V62" i="44"/>
  <c r="W62" i="44" s="1"/>
  <c r="V63" i="44"/>
  <c r="V64" i="44"/>
  <c r="V65" i="44"/>
  <c r="U65" i="44" s="1"/>
  <c r="V66" i="44"/>
  <c r="V67" i="44"/>
  <c r="V68" i="44"/>
  <c r="U68" i="44" s="1"/>
  <c r="V69" i="44"/>
  <c r="V70" i="44"/>
  <c r="V71" i="44"/>
  <c r="U71" i="44" s="1"/>
  <c r="V72" i="44"/>
  <c r="V73" i="44"/>
  <c r="U73" i="44" s="1"/>
  <c r="V74" i="44"/>
  <c r="U74" i="44" s="1"/>
  <c r="V75" i="44"/>
  <c r="U75" i="44" s="1"/>
  <c r="V76" i="44"/>
  <c r="V77" i="44"/>
  <c r="W77" i="44" s="1"/>
  <c r="V78" i="44"/>
  <c r="W78" i="44" s="1"/>
  <c r="V79" i="44"/>
  <c r="V80" i="44"/>
  <c r="V81" i="44"/>
  <c r="V82" i="44"/>
  <c r="U82" i="44" s="1"/>
  <c r="V83" i="44"/>
  <c r="U83" i="44" s="1"/>
  <c r="V84" i="44"/>
  <c r="V85" i="44"/>
  <c r="V86" i="44"/>
  <c r="U86" i="44" s="1"/>
  <c r="V87" i="44"/>
  <c r="V88" i="44"/>
  <c r="V89" i="44"/>
  <c r="U89" i="44" s="1"/>
  <c r="V90" i="44"/>
  <c r="V91" i="44"/>
  <c r="V92" i="44"/>
  <c r="U92" i="44" s="1"/>
  <c r="V93" i="44"/>
  <c r="V94" i="44"/>
  <c r="V95" i="44"/>
  <c r="U95" i="44" s="1"/>
  <c r="V96" i="44"/>
  <c r="V97" i="44"/>
  <c r="V98" i="44"/>
  <c r="U98" i="44" s="1"/>
  <c r="V99" i="44"/>
  <c r="U99" i="44" s="1"/>
  <c r="V100" i="44"/>
  <c r="V101" i="44"/>
  <c r="W101" i="44" s="1"/>
  <c r="V102" i="44"/>
  <c r="U102" i="44" s="1"/>
  <c r="V103" i="44"/>
  <c r="V104" i="44"/>
  <c r="V105" i="44"/>
  <c r="V106" i="44"/>
  <c r="U106" i="44" s="1"/>
  <c r="V107" i="44"/>
  <c r="U107" i="44" s="1"/>
  <c r="V108" i="44"/>
  <c r="V109" i="44"/>
  <c r="V110" i="44"/>
  <c r="U110" i="44" s="1"/>
  <c r="V111" i="44"/>
  <c r="V112" i="44"/>
  <c r="V113" i="44"/>
  <c r="U113" i="44" s="1"/>
  <c r="V114" i="44"/>
  <c r="V115" i="44"/>
  <c r="V116" i="44"/>
  <c r="U116" i="44" s="1"/>
  <c r="V117" i="44"/>
  <c r="V118" i="44"/>
  <c r="V119" i="44"/>
  <c r="U119" i="44" s="1"/>
  <c r="V120" i="44"/>
  <c r="V121" i="44"/>
  <c r="V122" i="44"/>
  <c r="V123" i="44"/>
  <c r="U123" i="44" s="1"/>
  <c r="V124" i="44"/>
  <c r="V125" i="44"/>
  <c r="W125" i="44" s="1"/>
  <c r="V126" i="44"/>
  <c r="U126" i="44" s="1"/>
  <c r="V127" i="44"/>
  <c r="W127" i="44" s="1"/>
  <c r="V128" i="44"/>
  <c r="V129" i="44"/>
  <c r="V130" i="44"/>
  <c r="U130" i="44" s="1"/>
  <c r="V131" i="44"/>
  <c r="U131" i="44" s="1"/>
  <c r="V132" i="44"/>
  <c r="V133" i="44"/>
  <c r="W133" i="44" s="1"/>
  <c r="V134" i="44"/>
  <c r="U134" i="44" s="1"/>
  <c r="V135" i="44"/>
  <c r="V136" i="44"/>
  <c r="V137" i="44"/>
  <c r="U137" i="44" s="1"/>
  <c r="V138" i="44"/>
  <c r="V139" i="44"/>
  <c r="V140" i="44"/>
  <c r="U140" i="44" s="1"/>
  <c r="V141" i="44"/>
  <c r="V142" i="44"/>
  <c r="V143" i="44"/>
  <c r="U143" i="44" s="1"/>
  <c r="V144" i="44"/>
  <c r="V145" i="44"/>
  <c r="U145" i="44" s="1"/>
  <c r="V146" i="44"/>
  <c r="U146" i="44" s="1"/>
  <c r="V147" i="44"/>
  <c r="U147" i="44" s="1"/>
  <c r="V148" i="44"/>
  <c r="V149" i="44"/>
  <c r="W149" i="44" s="1"/>
  <c r="V150" i="44"/>
  <c r="U150" i="44" s="1"/>
  <c r="V151" i="44"/>
  <c r="V152" i="44"/>
  <c r="V153" i="44"/>
  <c r="V154" i="44"/>
  <c r="U154" i="44" s="1"/>
  <c r="V155" i="44"/>
  <c r="U155" i="44" s="1"/>
  <c r="V156" i="44"/>
  <c r="V157" i="44"/>
  <c r="W157" i="44" s="1"/>
  <c r="V158" i="44"/>
  <c r="U158" i="44" s="1"/>
  <c r="V159" i="44"/>
  <c r="V160" i="44"/>
  <c r="V161" i="44"/>
  <c r="U161" i="44" s="1"/>
  <c r="V162" i="44"/>
  <c r="V163" i="44"/>
  <c r="V164" i="44"/>
  <c r="U164" i="44" s="1"/>
  <c r="W7" i="44"/>
  <c r="W8" i="44"/>
  <c r="W20" i="44"/>
  <c r="W27" i="44"/>
  <c r="W30" i="44"/>
  <c r="W31" i="44"/>
  <c r="W44" i="44"/>
  <c r="W51" i="44"/>
  <c r="W55" i="44"/>
  <c r="W56" i="44"/>
  <c r="AA56" i="44" s="1"/>
  <c r="W67" i="44"/>
  <c r="W68" i="44"/>
  <c r="W79" i="44"/>
  <c r="W92" i="44"/>
  <c r="W103" i="44"/>
  <c r="W115" i="44"/>
  <c r="W116" i="44"/>
  <c r="AA116" i="44" s="1"/>
  <c r="W140" i="44"/>
  <c r="AA140" i="44" s="1"/>
  <c r="W150" i="44"/>
  <c r="W151" i="44"/>
  <c r="W164" i="44"/>
  <c r="AA164" i="44" s="1"/>
  <c r="Y6" i="44"/>
  <c r="Y7" i="44"/>
  <c r="Y8" i="44"/>
  <c r="Y9" i="44"/>
  <c r="W9" i="44" s="1"/>
  <c r="Y10" i="44"/>
  <c r="Y11" i="44"/>
  <c r="Y12" i="44"/>
  <c r="Y13" i="44"/>
  <c r="Y14" i="44"/>
  <c r="Y15" i="44"/>
  <c r="Y16" i="44"/>
  <c r="Y17" i="44"/>
  <c r="Y18" i="44"/>
  <c r="Y19" i="44"/>
  <c r="W19" i="44" s="1"/>
  <c r="AA19" i="44" s="1"/>
  <c r="Y20" i="44"/>
  <c r="Y21" i="44"/>
  <c r="Y22" i="44"/>
  <c r="Y23" i="44"/>
  <c r="Y24" i="44"/>
  <c r="Y25" i="44"/>
  <c r="W25" i="44" s="1"/>
  <c r="Y26" i="44"/>
  <c r="W26" i="44" s="1"/>
  <c r="Y27" i="44"/>
  <c r="Y28" i="44"/>
  <c r="W28" i="44" s="1"/>
  <c r="Y29" i="44"/>
  <c r="Y30" i="44"/>
  <c r="Y31" i="44"/>
  <c r="Y32" i="44"/>
  <c r="W32" i="44" s="1"/>
  <c r="Y33" i="44"/>
  <c r="W33" i="44" s="1"/>
  <c r="Y34" i="44"/>
  <c r="Y35" i="44"/>
  <c r="Y36" i="44"/>
  <c r="Y37" i="44"/>
  <c r="Y38" i="44"/>
  <c r="Y39" i="44"/>
  <c r="Y40" i="44"/>
  <c r="Y41" i="44"/>
  <c r="Y42" i="44"/>
  <c r="Y43" i="44"/>
  <c r="W43" i="44" s="1"/>
  <c r="Y44" i="44"/>
  <c r="Y45" i="44"/>
  <c r="Y46" i="44"/>
  <c r="Y47" i="44"/>
  <c r="Y48" i="44"/>
  <c r="W48" i="44" s="1"/>
  <c r="Y49" i="44"/>
  <c r="W49" i="44" s="1"/>
  <c r="Y50" i="44"/>
  <c r="W50" i="44" s="1"/>
  <c r="Y51" i="44"/>
  <c r="Y52" i="44"/>
  <c r="W52" i="44" s="1"/>
  <c r="Y53" i="44"/>
  <c r="Y54" i="44"/>
  <c r="Y55" i="44"/>
  <c r="Y56" i="44"/>
  <c r="Y57" i="44"/>
  <c r="W57" i="44" s="1"/>
  <c r="Y58" i="44"/>
  <c r="Y59" i="44"/>
  <c r="Y60" i="44"/>
  <c r="Y61" i="44"/>
  <c r="Y62" i="44"/>
  <c r="Y63" i="44"/>
  <c r="Y64" i="44"/>
  <c r="Y65" i="44"/>
  <c r="Y66" i="44"/>
  <c r="Y67" i="44"/>
  <c r="Y68" i="44"/>
  <c r="Y69" i="44"/>
  <c r="Y70" i="44"/>
  <c r="Y71" i="44"/>
  <c r="Y72" i="44"/>
  <c r="W72" i="44" s="1"/>
  <c r="Y73" i="44"/>
  <c r="W73" i="44" s="1"/>
  <c r="Y74" i="44"/>
  <c r="W74" i="44" s="1"/>
  <c r="Y75" i="44"/>
  <c r="W75" i="44" s="1"/>
  <c r="Y76" i="44"/>
  <c r="W76" i="44" s="1"/>
  <c r="Y77" i="44"/>
  <c r="Y78" i="44"/>
  <c r="Y79" i="44"/>
  <c r="Y80" i="44"/>
  <c r="W80" i="44" s="1"/>
  <c r="AA80" i="44" s="1"/>
  <c r="Y81" i="44"/>
  <c r="W81" i="44" s="1"/>
  <c r="Y82" i="44"/>
  <c r="Y83" i="44"/>
  <c r="Y84" i="44"/>
  <c r="Y85" i="44"/>
  <c r="Y86" i="44"/>
  <c r="Y87" i="44"/>
  <c r="Y88" i="44"/>
  <c r="Y89" i="44"/>
  <c r="Y90" i="44"/>
  <c r="Y91" i="44"/>
  <c r="W91" i="44" s="1"/>
  <c r="AA91" i="44" s="1"/>
  <c r="Y92" i="44"/>
  <c r="Y93" i="44"/>
  <c r="Y94" i="44"/>
  <c r="Y95" i="44"/>
  <c r="Y96" i="44"/>
  <c r="W96" i="44" s="1"/>
  <c r="Y97" i="44"/>
  <c r="W97" i="44" s="1"/>
  <c r="Y98" i="44"/>
  <c r="W98" i="44" s="1"/>
  <c r="Y99" i="44"/>
  <c r="W99" i="44" s="1"/>
  <c r="Y100" i="44"/>
  <c r="W100" i="44" s="1"/>
  <c r="Y101" i="44"/>
  <c r="Y102" i="44"/>
  <c r="Y103" i="44"/>
  <c r="Y104" i="44"/>
  <c r="W104" i="44" s="1"/>
  <c r="AA104" i="44" s="1"/>
  <c r="Y105" i="44"/>
  <c r="W105" i="44" s="1"/>
  <c r="Y106" i="44"/>
  <c r="Y107" i="44"/>
  <c r="Y108" i="44"/>
  <c r="Y109" i="44"/>
  <c r="Y110" i="44"/>
  <c r="Y111" i="44"/>
  <c r="Y112" i="44"/>
  <c r="Y113" i="44"/>
  <c r="Y114" i="44"/>
  <c r="Y115" i="44"/>
  <c r="Y116" i="44"/>
  <c r="Y117" i="44"/>
  <c r="Y118" i="44"/>
  <c r="Y119" i="44"/>
  <c r="Y120" i="44"/>
  <c r="W120" i="44" s="1"/>
  <c r="Y121" i="44"/>
  <c r="W121" i="44" s="1"/>
  <c r="Y122" i="44"/>
  <c r="W122" i="44" s="1"/>
  <c r="Y123" i="44"/>
  <c r="W123" i="44" s="1"/>
  <c r="Y124" i="44"/>
  <c r="W124" i="44" s="1"/>
  <c r="Y125" i="44"/>
  <c r="Y126" i="44"/>
  <c r="Y127" i="44"/>
  <c r="Y128" i="44"/>
  <c r="W128" i="44" s="1"/>
  <c r="AA128" i="44" s="1"/>
  <c r="Y129" i="44"/>
  <c r="W129" i="44" s="1"/>
  <c r="Y130" i="44"/>
  <c r="Y131" i="44"/>
  <c r="Y132" i="44"/>
  <c r="Y133" i="44"/>
  <c r="Y134" i="44"/>
  <c r="Y135" i="44"/>
  <c r="Y136" i="44"/>
  <c r="Y137" i="44"/>
  <c r="Y138" i="44"/>
  <c r="Y139" i="44"/>
  <c r="W139" i="44" s="1"/>
  <c r="Y140" i="44"/>
  <c r="Y141" i="44"/>
  <c r="Y142" i="44"/>
  <c r="Y143" i="44"/>
  <c r="Y144" i="44"/>
  <c r="W144" i="44" s="1"/>
  <c r="Y145" i="44"/>
  <c r="W145" i="44" s="1"/>
  <c r="Y146" i="44"/>
  <c r="W146" i="44" s="1"/>
  <c r="Y147" i="44"/>
  <c r="W147" i="44" s="1"/>
  <c r="Y148" i="44"/>
  <c r="Y149" i="44"/>
  <c r="Y150" i="44"/>
  <c r="Y151" i="44"/>
  <c r="Y152" i="44"/>
  <c r="W152" i="44" s="1"/>
  <c r="AA152" i="44" s="1"/>
  <c r="Y153" i="44"/>
  <c r="Y154" i="44"/>
  <c r="Y155" i="44"/>
  <c r="Y156" i="44"/>
  <c r="Y157" i="44"/>
  <c r="Y158" i="44"/>
  <c r="Y159" i="44"/>
  <c r="Y160" i="44"/>
  <c r="Y161" i="44"/>
  <c r="Y162" i="44"/>
  <c r="Y163" i="44"/>
  <c r="Y164" i="44"/>
  <c r="Z8" i="44"/>
  <c r="AA8" i="44" s="1"/>
  <c r="Z12" i="44"/>
  <c r="Z13" i="44"/>
  <c r="Z18" i="44"/>
  <c r="Z19" i="44"/>
  <c r="Z20" i="44"/>
  <c r="Z24" i="44"/>
  <c r="Z26" i="44"/>
  <c r="Z29" i="44"/>
  <c r="Z32" i="44"/>
  <c r="Z34" i="44"/>
  <c r="Z37" i="44"/>
  <c r="Z42" i="44"/>
  <c r="Z43" i="44"/>
  <c r="AA43" i="44" s="1"/>
  <c r="Z44" i="44"/>
  <c r="Z46" i="44"/>
  <c r="Z48" i="44"/>
  <c r="Z50" i="44"/>
  <c r="Z53" i="44"/>
  <c r="Z56" i="44"/>
  <c r="Z61" i="44"/>
  <c r="Z66" i="44"/>
  <c r="Z67" i="44"/>
  <c r="AA67" i="44" s="1"/>
  <c r="Z68" i="44"/>
  <c r="Z72" i="44"/>
  <c r="Z74" i="44"/>
  <c r="Z77" i="44"/>
  <c r="Z80" i="44"/>
  <c r="Z85" i="44"/>
  <c r="Z86" i="44"/>
  <c r="Z90" i="44"/>
  <c r="Z91" i="44"/>
  <c r="Z92" i="44"/>
  <c r="Z96" i="44"/>
  <c r="AA96" i="44" s="1"/>
  <c r="Z98" i="44"/>
  <c r="Z101" i="44"/>
  <c r="Z104" i="44"/>
  <c r="Z109" i="44"/>
  <c r="Z110" i="44"/>
  <c r="Z112" i="44"/>
  <c r="Z114" i="44"/>
  <c r="Z115" i="44"/>
  <c r="Z116" i="44"/>
  <c r="Z120" i="44"/>
  <c r="Z122" i="44"/>
  <c r="Z125" i="44"/>
  <c r="Z128" i="44"/>
  <c r="Z133" i="44"/>
  <c r="Z135" i="44"/>
  <c r="Z138" i="44"/>
  <c r="Z140" i="44"/>
  <c r="Z144" i="44"/>
  <c r="AA144" i="44" s="1"/>
  <c r="Z146" i="44"/>
  <c r="Z150" i="44"/>
  <c r="Z152" i="44"/>
  <c r="Z157" i="44"/>
  <c r="Z162" i="44"/>
  <c r="Z163" i="44"/>
  <c r="Z164" i="44"/>
  <c r="AA115" i="44"/>
  <c r="F6" i="54"/>
  <c r="E6" i="54" s="1"/>
  <c r="F7" i="54"/>
  <c r="E7" i="54" s="1"/>
  <c r="I6" i="54"/>
  <c r="I7" i="54"/>
  <c r="J6" i="54"/>
  <c r="K6" i="54" s="1"/>
  <c r="J7" i="54"/>
  <c r="K7" i="54" s="1"/>
  <c r="M6" i="54"/>
  <c r="M7" i="54"/>
  <c r="N6" i="54"/>
  <c r="N7" i="54"/>
  <c r="P6" i="54"/>
  <c r="P7" i="54"/>
  <c r="Q6" i="54"/>
  <c r="Q7" i="54"/>
  <c r="S6" i="54"/>
  <c r="S7" i="54"/>
  <c r="T6" i="54"/>
  <c r="T7" i="54"/>
  <c r="U6" i="54"/>
  <c r="V6" i="54"/>
  <c r="W6" i="54" s="1"/>
  <c r="V7" i="54"/>
  <c r="Y6" i="54"/>
  <c r="Y7" i="54"/>
  <c r="F6" i="53"/>
  <c r="E6" i="53" s="1"/>
  <c r="F7" i="53"/>
  <c r="E7" i="53" s="1"/>
  <c r="F8" i="53"/>
  <c r="E8" i="53" s="1"/>
  <c r="F9" i="53"/>
  <c r="E9" i="53" s="1"/>
  <c r="F10" i="53"/>
  <c r="E10" i="53" s="1"/>
  <c r="I6" i="53"/>
  <c r="I7" i="53"/>
  <c r="I8" i="53"/>
  <c r="I9" i="53"/>
  <c r="I10" i="53"/>
  <c r="J6" i="53"/>
  <c r="J7" i="53"/>
  <c r="J8" i="53"/>
  <c r="K8" i="53" s="1"/>
  <c r="J9" i="53"/>
  <c r="K9" i="53" s="1"/>
  <c r="J10" i="53"/>
  <c r="K10" i="53" s="1"/>
  <c r="K6" i="53"/>
  <c r="M6" i="53"/>
  <c r="M7" i="53"/>
  <c r="O7" i="53" s="1"/>
  <c r="M8" i="53"/>
  <c r="M9" i="53"/>
  <c r="M10" i="53"/>
  <c r="N6" i="53"/>
  <c r="N7" i="53"/>
  <c r="N8" i="53"/>
  <c r="N9" i="53"/>
  <c r="N10" i="53"/>
  <c r="P6" i="53"/>
  <c r="P7" i="53"/>
  <c r="P8" i="53"/>
  <c r="P9" i="53"/>
  <c r="P10" i="53"/>
  <c r="Q6" i="53"/>
  <c r="Q7" i="53"/>
  <c r="Q8" i="53"/>
  <c r="Q9" i="53"/>
  <c r="Q10" i="53"/>
  <c r="R8" i="53"/>
  <c r="R9" i="53"/>
  <c r="R10" i="53"/>
  <c r="S6" i="53"/>
  <c r="U6" i="53" s="1"/>
  <c r="S7" i="53"/>
  <c r="U7" i="53" s="1"/>
  <c r="S8" i="53"/>
  <c r="S9" i="53"/>
  <c r="U9" i="53" s="1"/>
  <c r="S10" i="53"/>
  <c r="T6" i="53"/>
  <c r="T7" i="53"/>
  <c r="T8" i="53"/>
  <c r="T9" i="53"/>
  <c r="T10" i="53"/>
  <c r="V6" i="53"/>
  <c r="V7" i="53"/>
  <c r="W7" i="53" s="1"/>
  <c r="V8" i="53"/>
  <c r="W8" i="53" s="1"/>
  <c r="V9" i="53"/>
  <c r="V10" i="53"/>
  <c r="U10" i="53" s="1"/>
  <c r="Y6" i="53"/>
  <c r="Y7" i="53"/>
  <c r="Y8" i="53"/>
  <c r="Y9" i="53"/>
  <c r="W9" i="53" s="1"/>
  <c r="Y10" i="53"/>
  <c r="F6" i="52"/>
  <c r="E6" i="52" s="1"/>
  <c r="F7" i="52"/>
  <c r="E7" i="52" s="1"/>
  <c r="I6" i="52"/>
  <c r="I7" i="52"/>
  <c r="J6" i="52"/>
  <c r="K6" i="52" s="1"/>
  <c r="J7" i="52"/>
  <c r="K7" i="52" s="1"/>
  <c r="M6" i="52"/>
  <c r="M7" i="52"/>
  <c r="N6" i="52"/>
  <c r="N7" i="52"/>
  <c r="P6" i="52"/>
  <c r="P7" i="52"/>
  <c r="Q6" i="52"/>
  <c r="Q7" i="52"/>
  <c r="O7" i="52" s="1"/>
  <c r="S6" i="52"/>
  <c r="S7" i="52"/>
  <c r="T6" i="52"/>
  <c r="T7" i="52"/>
  <c r="V6" i="52"/>
  <c r="V7" i="52"/>
  <c r="Y6" i="52"/>
  <c r="W6" i="52" s="1"/>
  <c r="Y7" i="52"/>
  <c r="F6" i="7"/>
  <c r="E6" i="7" s="1"/>
  <c r="F7" i="7"/>
  <c r="E7" i="7" s="1"/>
  <c r="F8" i="7"/>
  <c r="E8" i="7" s="1"/>
  <c r="F9" i="7"/>
  <c r="E9" i="7" s="1"/>
  <c r="F10" i="7"/>
  <c r="E10" i="7" s="1"/>
  <c r="F11" i="7"/>
  <c r="E11" i="7" s="1"/>
  <c r="F12" i="7"/>
  <c r="E12" i="7" s="1"/>
  <c r="F13" i="7"/>
  <c r="E13" i="7" s="1"/>
  <c r="F14" i="7"/>
  <c r="E14" i="7" s="1"/>
  <c r="F15" i="7"/>
  <c r="E15" i="7" s="1"/>
  <c r="F16" i="7"/>
  <c r="E16" i="7" s="1"/>
  <c r="F17" i="7"/>
  <c r="E17" i="7" s="1"/>
  <c r="F18" i="7"/>
  <c r="E18" i="7" s="1"/>
  <c r="F19" i="7"/>
  <c r="G19" i="7" s="1"/>
  <c r="F20" i="7"/>
  <c r="E20" i="7" s="1"/>
  <c r="F21" i="7"/>
  <c r="E21" i="7" s="1"/>
  <c r="F22" i="7"/>
  <c r="E22" i="7" s="1"/>
  <c r="F23" i="7"/>
  <c r="E23" i="7" s="1"/>
  <c r="F24" i="7"/>
  <c r="E24" i="7" s="1"/>
  <c r="F25" i="7"/>
  <c r="H25" i="7" s="1"/>
  <c r="F26" i="7"/>
  <c r="E26" i="7" s="1"/>
  <c r="F27" i="7"/>
  <c r="E27" i="7" s="1"/>
  <c r="F28" i="7"/>
  <c r="E28" i="7" s="1"/>
  <c r="F29" i="7"/>
  <c r="E29" i="7" s="1"/>
  <c r="F30" i="7"/>
  <c r="E30" i="7" s="1"/>
  <c r="F31" i="7"/>
  <c r="E31" i="7" s="1"/>
  <c r="F32" i="7"/>
  <c r="E32" i="7" s="1"/>
  <c r="F33" i="7"/>
  <c r="E33" i="7" s="1"/>
  <c r="F34" i="7"/>
  <c r="E34" i="7" s="1"/>
  <c r="F35" i="7"/>
  <c r="E35" i="7" s="1"/>
  <c r="F36" i="7"/>
  <c r="E36" i="7" s="1"/>
  <c r="F37" i="7"/>
  <c r="E37" i="7" s="1"/>
  <c r="F38" i="7"/>
  <c r="E38" i="7" s="1"/>
  <c r="F39" i="7"/>
  <c r="E39" i="7" s="1"/>
  <c r="F40" i="7"/>
  <c r="E40" i="7" s="1"/>
  <c r="F41" i="7"/>
  <c r="E41" i="7" s="1"/>
  <c r="F42" i="7"/>
  <c r="E42" i="7" s="1"/>
  <c r="F43" i="7"/>
  <c r="G43" i="7" s="1"/>
  <c r="F44" i="7"/>
  <c r="G44" i="7" s="1"/>
  <c r="F45" i="7"/>
  <c r="G45" i="7" s="1"/>
  <c r="F46" i="7"/>
  <c r="E46" i="7" s="1"/>
  <c r="F47" i="7"/>
  <c r="G47" i="7" s="1"/>
  <c r="G6" i="7"/>
  <c r="G7" i="7"/>
  <c r="G13" i="7"/>
  <c r="G14" i="7"/>
  <c r="G15" i="7"/>
  <c r="G16" i="7"/>
  <c r="G17" i="7"/>
  <c r="G18" i="7"/>
  <c r="G20" i="7"/>
  <c r="G21" i="7"/>
  <c r="G22" i="7"/>
  <c r="G23" i="7"/>
  <c r="G24" i="7"/>
  <c r="G26" i="7"/>
  <c r="G27" i="7"/>
  <c r="G28" i="7"/>
  <c r="G29" i="7"/>
  <c r="G31" i="7"/>
  <c r="G37" i="7"/>
  <c r="G38" i="7"/>
  <c r="G39" i="7"/>
  <c r="G40" i="7"/>
  <c r="G42" i="7"/>
  <c r="I6" i="7"/>
  <c r="H6" i="7" s="1"/>
  <c r="I7" i="7"/>
  <c r="H7" i="7" s="1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H22" i="7" s="1"/>
  <c r="I23" i="7"/>
  <c r="H23" i="7" s="1"/>
  <c r="I24" i="7"/>
  <c r="I25" i="7"/>
  <c r="I26" i="7"/>
  <c r="I27" i="7"/>
  <c r="I28" i="7"/>
  <c r="I29" i="7"/>
  <c r="I30" i="7"/>
  <c r="H30" i="7" s="1"/>
  <c r="I31" i="7"/>
  <c r="H31" i="7" s="1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J6" i="7"/>
  <c r="J7" i="7"/>
  <c r="J8" i="7"/>
  <c r="J9" i="7"/>
  <c r="K9" i="7" s="1"/>
  <c r="J10" i="7"/>
  <c r="J11" i="7"/>
  <c r="K11" i="7" s="1"/>
  <c r="J12" i="7"/>
  <c r="K12" i="7" s="1"/>
  <c r="J13" i="7"/>
  <c r="J14" i="7"/>
  <c r="Z14" i="7" s="1"/>
  <c r="J15" i="7"/>
  <c r="K15" i="7" s="1"/>
  <c r="J16" i="7"/>
  <c r="J17" i="7"/>
  <c r="K17" i="7" s="1"/>
  <c r="J18" i="7"/>
  <c r="K18" i="7" s="1"/>
  <c r="J19" i="7"/>
  <c r="K19" i="7" s="1"/>
  <c r="J20" i="7"/>
  <c r="K20" i="7" s="1"/>
  <c r="J21" i="7"/>
  <c r="K21" i="7" s="1"/>
  <c r="J22" i="7"/>
  <c r="K22" i="7" s="1"/>
  <c r="J23" i="7"/>
  <c r="K23" i="7" s="1"/>
  <c r="J24" i="7"/>
  <c r="K24" i="7" s="1"/>
  <c r="J25" i="7"/>
  <c r="K25" i="7" s="1"/>
  <c r="J26" i="7"/>
  <c r="J27" i="7"/>
  <c r="J28" i="7"/>
  <c r="J29" i="7"/>
  <c r="J30" i="7"/>
  <c r="K30" i="7" s="1"/>
  <c r="J31" i="7"/>
  <c r="J32" i="7"/>
  <c r="J33" i="7"/>
  <c r="K33" i="7" s="1"/>
  <c r="J34" i="7"/>
  <c r="J35" i="7"/>
  <c r="K35" i="7" s="1"/>
  <c r="J36" i="7"/>
  <c r="K36" i="7" s="1"/>
  <c r="J37" i="7"/>
  <c r="J38" i="7"/>
  <c r="K38" i="7" s="1"/>
  <c r="J39" i="7"/>
  <c r="J40" i="7"/>
  <c r="J41" i="7"/>
  <c r="J42" i="7"/>
  <c r="J43" i="7"/>
  <c r="K43" i="7" s="1"/>
  <c r="J44" i="7"/>
  <c r="K44" i="7" s="1"/>
  <c r="J45" i="7"/>
  <c r="K45" i="7" s="1"/>
  <c r="J46" i="7"/>
  <c r="H46" i="7" s="1"/>
  <c r="J47" i="7"/>
  <c r="K47" i="7" s="1"/>
  <c r="K6" i="7"/>
  <c r="K7" i="7"/>
  <c r="K13" i="7"/>
  <c r="K16" i="7"/>
  <c r="K26" i="7"/>
  <c r="K27" i="7"/>
  <c r="K28" i="7"/>
  <c r="K29" i="7"/>
  <c r="K31" i="7"/>
  <c r="K37" i="7"/>
  <c r="K39" i="7"/>
  <c r="K40" i="7"/>
  <c r="K41" i="7"/>
  <c r="K42" i="7"/>
  <c r="K46" i="7"/>
  <c r="M6" i="7"/>
  <c r="M7" i="7"/>
  <c r="M8" i="7"/>
  <c r="M9" i="7"/>
  <c r="M10" i="7"/>
  <c r="L10" i="7" s="1"/>
  <c r="M11" i="7"/>
  <c r="M12" i="7"/>
  <c r="M13" i="7"/>
  <c r="M14" i="7"/>
  <c r="M15" i="7"/>
  <c r="M16" i="7"/>
  <c r="M17" i="7"/>
  <c r="L17" i="7" s="1"/>
  <c r="M18" i="7"/>
  <c r="M19" i="7"/>
  <c r="O19" i="7" s="1"/>
  <c r="M20" i="7"/>
  <c r="M21" i="7"/>
  <c r="M22" i="7"/>
  <c r="M23" i="7"/>
  <c r="M24" i="7"/>
  <c r="M25" i="7"/>
  <c r="M26" i="7"/>
  <c r="M27" i="7"/>
  <c r="M28" i="7"/>
  <c r="M29" i="7"/>
  <c r="M30" i="7"/>
  <c r="M31" i="7"/>
  <c r="L31" i="7" s="1"/>
  <c r="M32" i="7"/>
  <c r="M33" i="7"/>
  <c r="M34" i="7"/>
  <c r="L34" i="7" s="1"/>
  <c r="M35" i="7"/>
  <c r="M36" i="7"/>
  <c r="M37" i="7"/>
  <c r="M38" i="7"/>
  <c r="M39" i="7"/>
  <c r="M40" i="7"/>
  <c r="M41" i="7"/>
  <c r="L41" i="7" s="1"/>
  <c r="M42" i="7"/>
  <c r="M43" i="7"/>
  <c r="O43" i="7" s="1"/>
  <c r="M44" i="7"/>
  <c r="M45" i="7"/>
  <c r="M46" i="7"/>
  <c r="M47" i="7"/>
  <c r="N6" i="7"/>
  <c r="N7" i="7"/>
  <c r="L7" i="7" s="1"/>
  <c r="N8" i="7"/>
  <c r="N9" i="7"/>
  <c r="L9" i="7" s="1"/>
  <c r="N10" i="7"/>
  <c r="N11" i="7"/>
  <c r="N12" i="7"/>
  <c r="N13" i="7"/>
  <c r="N14" i="7"/>
  <c r="N15" i="7"/>
  <c r="N16" i="7"/>
  <c r="N17" i="7"/>
  <c r="N18" i="7"/>
  <c r="L18" i="7" s="1"/>
  <c r="N19" i="7"/>
  <c r="N20" i="7"/>
  <c r="L20" i="7" s="1"/>
  <c r="N21" i="7"/>
  <c r="L21" i="7" s="1"/>
  <c r="N22" i="7"/>
  <c r="L22" i="7" s="1"/>
  <c r="N23" i="7"/>
  <c r="L23" i="7" s="1"/>
  <c r="N24" i="7"/>
  <c r="L24" i="7" s="1"/>
  <c r="N25" i="7"/>
  <c r="N26" i="7"/>
  <c r="N27" i="7"/>
  <c r="N28" i="7"/>
  <c r="N29" i="7"/>
  <c r="N30" i="7"/>
  <c r="N31" i="7"/>
  <c r="N32" i="7"/>
  <c r="N33" i="7"/>
  <c r="L33" i="7" s="1"/>
  <c r="N34" i="7"/>
  <c r="N35" i="7"/>
  <c r="N36" i="7"/>
  <c r="N37" i="7"/>
  <c r="N38" i="7"/>
  <c r="N39" i="7"/>
  <c r="N40" i="7"/>
  <c r="N41" i="7"/>
  <c r="N42" i="7"/>
  <c r="N43" i="7"/>
  <c r="N44" i="7"/>
  <c r="L44" i="7" s="1"/>
  <c r="N45" i="7"/>
  <c r="L45" i="7" s="1"/>
  <c r="N46" i="7"/>
  <c r="L46" i="7" s="1"/>
  <c r="N47" i="7"/>
  <c r="L47" i="7" s="1"/>
  <c r="O18" i="7"/>
  <c r="P6" i="7"/>
  <c r="P7" i="7"/>
  <c r="P8" i="7"/>
  <c r="P9" i="7"/>
  <c r="P10" i="7"/>
  <c r="P11" i="7"/>
  <c r="R11" i="7" s="1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R35" i="7" s="1"/>
  <c r="P36" i="7"/>
  <c r="P37" i="7"/>
  <c r="P38" i="7"/>
  <c r="P39" i="7"/>
  <c r="P40" i="7"/>
  <c r="P41" i="7"/>
  <c r="P42" i="7"/>
  <c r="P43" i="7"/>
  <c r="P44" i="7"/>
  <c r="P45" i="7"/>
  <c r="P46" i="7"/>
  <c r="P47" i="7"/>
  <c r="Q6" i="7"/>
  <c r="Q7" i="7"/>
  <c r="Q8" i="7"/>
  <c r="O8" i="7" s="1"/>
  <c r="Q9" i="7"/>
  <c r="O9" i="7" s="1"/>
  <c r="Q10" i="7"/>
  <c r="Q11" i="7"/>
  <c r="Q12" i="7"/>
  <c r="O12" i="7" s="1"/>
  <c r="Q13" i="7"/>
  <c r="Q14" i="7"/>
  <c r="O14" i="7" s="1"/>
  <c r="Q15" i="7"/>
  <c r="O15" i="7" s="1"/>
  <c r="Q16" i="7"/>
  <c r="O16" i="7" s="1"/>
  <c r="Q17" i="7"/>
  <c r="Q18" i="7"/>
  <c r="Q19" i="7"/>
  <c r="Q20" i="7"/>
  <c r="O20" i="7" s="1"/>
  <c r="Q21" i="7"/>
  <c r="O21" i="7" s="1"/>
  <c r="Q22" i="7"/>
  <c r="Q23" i="7"/>
  <c r="O23" i="7" s="1"/>
  <c r="Q24" i="7"/>
  <c r="Q25" i="7"/>
  <c r="Q26" i="7"/>
  <c r="Q27" i="7"/>
  <c r="O27" i="7" s="1"/>
  <c r="Q28" i="7"/>
  <c r="Q29" i="7"/>
  <c r="O29" i="7" s="1"/>
  <c r="Q30" i="7"/>
  <c r="Q31" i="7"/>
  <c r="Q32" i="7"/>
  <c r="O32" i="7" s="1"/>
  <c r="Q33" i="7"/>
  <c r="O33" i="7" s="1"/>
  <c r="Q34" i="7"/>
  <c r="Q35" i="7"/>
  <c r="Q36" i="7"/>
  <c r="O36" i="7" s="1"/>
  <c r="Q37" i="7"/>
  <c r="Q38" i="7"/>
  <c r="O38" i="7" s="1"/>
  <c r="Q39" i="7"/>
  <c r="O39" i="7" s="1"/>
  <c r="Q40" i="7"/>
  <c r="O40" i="7" s="1"/>
  <c r="Q41" i="7"/>
  <c r="Q42" i="7"/>
  <c r="O42" i="7" s="1"/>
  <c r="Q43" i="7"/>
  <c r="Q44" i="7"/>
  <c r="O44" i="7" s="1"/>
  <c r="Q45" i="7"/>
  <c r="O45" i="7" s="1"/>
  <c r="Q46" i="7"/>
  <c r="O46" i="7" s="1"/>
  <c r="Q47" i="7"/>
  <c r="O47" i="7" s="1"/>
  <c r="S6" i="7"/>
  <c r="S7" i="7"/>
  <c r="U7" i="7" s="1"/>
  <c r="S8" i="7"/>
  <c r="S9" i="7"/>
  <c r="S10" i="7"/>
  <c r="S11" i="7"/>
  <c r="S12" i="7"/>
  <c r="R12" i="7" s="1"/>
  <c r="S13" i="7"/>
  <c r="S14" i="7"/>
  <c r="S15" i="7"/>
  <c r="S16" i="7"/>
  <c r="R16" i="7" s="1"/>
  <c r="S17" i="7"/>
  <c r="R17" i="7" s="1"/>
  <c r="S18" i="7"/>
  <c r="R18" i="7" s="1"/>
  <c r="S19" i="7"/>
  <c r="R19" i="7" s="1"/>
  <c r="S20" i="7"/>
  <c r="S21" i="7"/>
  <c r="S22" i="7"/>
  <c r="R22" i="7" s="1"/>
  <c r="S23" i="7"/>
  <c r="S24" i="7"/>
  <c r="S25" i="7"/>
  <c r="S26" i="7"/>
  <c r="S27" i="7"/>
  <c r="S28" i="7"/>
  <c r="S29" i="7"/>
  <c r="S30" i="7"/>
  <c r="S31" i="7"/>
  <c r="U31" i="7" s="1"/>
  <c r="S32" i="7"/>
  <c r="S33" i="7"/>
  <c r="R33" i="7" s="1"/>
  <c r="S34" i="7"/>
  <c r="S35" i="7"/>
  <c r="S36" i="7"/>
  <c r="S37" i="7"/>
  <c r="S38" i="7"/>
  <c r="S39" i="7"/>
  <c r="S40" i="7"/>
  <c r="R40" i="7" s="1"/>
  <c r="S41" i="7"/>
  <c r="R41" i="7" s="1"/>
  <c r="S42" i="7"/>
  <c r="R42" i="7" s="1"/>
  <c r="S43" i="7"/>
  <c r="R43" i="7" s="1"/>
  <c r="S44" i="7"/>
  <c r="S45" i="7"/>
  <c r="R45" i="7" s="1"/>
  <c r="S46" i="7"/>
  <c r="S47" i="7"/>
  <c r="T6" i="7"/>
  <c r="R6" i="7" s="1"/>
  <c r="T7" i="7"/>
  <c r="T8" i="7"/>
  <c r="R8" i="7" s="1"/>
  <c r="T9" i="7"/>
  <c r="T10" i="7"/>
  <c r="R10" i="7" s="1"/>
  <c r="T11" i="7"/>
  <c r="T12" i="7"/>
  <c r="T13" i="7"/>
  <c r="T14" i="7"/>
  <c r="T15" i="7"/>
  <c r="Z15" i="7" s="1"/>
  <c r="T16" i="7"/>
  <c r="T17" i="7"/>
  <c r="Z17" i="7" s="1"/>
  <c r="T18" i="7"/>
  <c r="T19" i="7"/>
  <c r="T20" i="7"/>
  <c r="T21" i="7"/>
  <c r="R21" i="7" s="1"/>
  <c r="T22" i="7"/>
  <c r="Z22" i="7" s="1"/>
  <c r="T23" i="7"/>
  <c r="T24" i="7"/>
  <c r="Z24" i="7" s="1"/>
  <c r="T25" i="7"/>
  <c r="Z25" i="7" s="1"/>
  <c r="T26" i="7"/>
  <c r="T27" i="7"/>
  <c r="Z27" i="7" s="1"/>
  <c r="T28" i="7"/>
  <c r="Z28" i="7" s="1"/>
  <c r="T29" i="7"/>
  <c r="T30" i="7"/>
  <c r="T31" i="7"/>
  <c r="T32" i="7"/>
  <c r="T33" i="7"/>
  <c r="Z33" i="7" s="1"/>
  <c r="T34" i="7"/>
  <c r="R34" i="7" s="1"/>
  <c r="T35" i="7"/>
  <c r="Z35" i="7" s="1"/>
  <c r="T36" i="7"/>
  <c r="T37" i="7"/>
  <c r="T38" i="7"/>
  <c r="Z38" i="7" s="1"/>
  <c r="T39" i="7"/>
  <c r="Z39" i="7" s="1"/>
  <c r="T40" i="7"/>
  <c r="T41" i="7"/>
  <c r="Z41" i="7" s="1"/>
  <c r="T42" i="7"/>
  <c r="Z42" i="7" s="1"/>
  <c r="T43" i="7"/>
  <c r="T44" i="7"/>
  <c r="R44" i="7" s="1"/>
  <c r="T45" i="7"/>
  <c r="Z45" i="7" s="1"/>
  <c r="T46" i="7"/>
  <c r="Z46" i="7" s="1"/>
  <c r="T47" i="7"/>
  <c r="U13" i="7"/>
  <c r="U14" i="7"/>
  <c r="U24" i="7"/>
  <c r="U26" i="7"/>
  <c r="V6" i="7"/>
  <c r="U6" i="7" s="1"/>
  <c r="V7" i="7"/>
  <c r="V8" i="7"/>
  <c r="U8" i="7" s="1"/>
  <c r="V9" i="7"/>
  <c r="V10" i="7"/>
  <c r="U10" i="7" s="1"/>
  <c r="V11" i="7"/>
  <c r="U11" i="7" s="1"/>
  <c r="V12" i="7"/>
  <c r="U12" i="7" s="1"/>
  <c r="V13" i="7"/>
  <c r="V14" i="7"/>
  <c r="V15" i="7"/>
  <c r="U15" i="7" s="1"/>
  <c r="V16" i="7"/>
  <c r="W16" i="7" s="1"/>
  <c r="V17" i="7"/>
  <c r="W17" i="7" s="1"/>
  <c r="V18" i="7"/>
  <c r="V19" i="7"/>
  <c r="U19" i="7" s="1"/>
  <c r="V20" i="7"/>
  <c r="W20" i="7" s="1"/>
  <c r="V21" i="7"/>
  <c r="V22" i="7"/>
  <c r="V23" i="7"/>
  <c r="W23" i="7" s="1"/>
  <c r="V24" i="7"/>
  <c r="V25" i="7"/>
  <c r="V26" i="7"/>
  <c r="V27" i="7"/>
  <c r="W27" i="7" s="1"/>
  <c r="V28" i="7"/>
  <c r="V29" i="7"/>
  <c r="W29" i="7" s="1"/>
  <c r="V30" i="7"/>
  <c r="U30" i="7" s="1"/>
  <c r="V31" i="7"/>
  <c r="V32" i="7"/>
  <c r="U32" i="7" s="1"/>
  <c r="V33" i="7"/>
  <c r="V34" i="7"/>
  <c r="U34" i="7" s="1"/>
  <c r="V35" i="7"/>
  <c r="U35" i="7" s="1"/>
  <c r="V36" i="7"/>
  <c r="U36" i="7" s="1"/>
  <c r="V37" i="7"/>
  <c r="U37" i="7" s="1"/>
  <c r="V38" i="7"/>
  <c r="U38" i="7" s="1"/>
  <c r="V39" i="7"/>
  <c r="V40" i="7"/>
  <c r="W40" i="7" s="1"/>
  <c r="V41" i="7"/>
  <c r="W41" i="7" s="1"/>
  <c r="V42" i="7"/>
  <c r="V43" i="7"/>
  <c r="W43" i="7" s="1"/>
  <c r="V44" i="7"/>
  <c r="W44" i="7" s="1"/>
  <c r="AA44" i="7" s="1"/>
  <c r="V45" i="7"/>
  <c r="V46" i="7"/>
  <c r="V47" i="7"/>
  <c r="W47" i="7" s="1"/>
  <c r="Y6" i="7"/>
  <c r="Y7" i="7"/>
  <c r="W7" i="7" s="1"/>
  <c r="Y8" i="7"/>
  <c r="Y9" i="7"/>
  <c r="Y10" i="7"/>
  <c r="Y11" i="7"/>
  <c r="Y12" i="7"/>
  <c r="Y13" i="7"/>
  <c r="W13" i="7" s="1"/>
  <c r="Y14" i="7"/>
  <c r="Y15" i="7"/>
  <c r="Y16" i="7"/>
  <c r="Y17" i="7"/>
  <c r="Y18" i="7"/>
  <c r="W18" i="7" s="1"/>
  <c r="Y19" i="7"/>
  <c r="Y20" i="7"/>
  <c r="Y21" i="7"/>
  <c r="Y22" i="7"/>
  <c r="Y23" i="7"/>
  <c r="Y24" i="7"/>
  <c r="W24" i="7" s="1"/>
  <c r="Y25" i="7"/>
  <c r="W25" i="7" s="1"/>
  <c r="Y26" i="7"/>
  <c r="W26" i="7" s="1"/>
  <c r="AA26" i="7" s="1"/>
  <c r="Y27" i="7"/>
  <c r="Y28" i="7"/>
  <c r="Y29" i="7"/>
  <c r="Y30" i="7"/>
  <c r="Y31" i="7"/>
  <c r="W31" i="7" s="1"/>
  <c r="Y32" i="7"/>
  <c r="Y33" i="7"/>
  <c r="Y34" i="7"/>
  <c r="Y35" i="7"/>
  <c r="Y36" i="7"/>
  <c r="Y37" i="7"/>
  <c r="Y38" i="7"/>
  <c r="Y39" i="7"/>
  <c r="Y40" i="7"/>
  <c r="Y41" i="7"/>
  <c r="Y42" i="7"/>
  <c r="W42" i="7" s="1"/>
  <c r="Y43" i="7"/>
  <c r="Y44" i="7"/>
  <c r="Y45" i="7"/>
  <c r="Y46" i="7"/>
  <c r="Y47" i="7"/>
  <c r="Z6" i="7"/>
  <c r="Z7" i="7"/>
  <c r="Z9" i="7"/>
  <c r="Z10" i="7"/>
  <c r="Z12" i="7"/>
  <c r="Z13" i="7"/>
  <c r="Z18" i="7"/>
  <c r="Z20" i="7"/>
  <c r="Z26" i="7"/>
  <c r="Z30" i="7"/>
  <c r="Z31" i="7"/>
  <c r="Z34" i="7"/>
  <c r="Z36" i="7"/>
  <c r="Z37" i="7"/>
  <c r="Z44" i="7"/>
  <c r="F6" i="58"/>
  <c r="E6" i="58" s="1"/>
  <c r="I6" i="58"/>
  <c r="L6" i="58" s="1"/>
  <c r="J6" i="58"/>
  <c r="M6" i="58"/>
  <c r="N6" i="58"/>
  <c r="P6" i="58"/>
  <c r="Q6" i="58"/>
  <c r="S6" i="58"/>
  <c r="U6" i="58" s="1"/>
  <c r="T6" i="58"/>
  <c r="Z6" i="58" s="1"/>
  <c r="V6" i="58"/>
  <c r="Y6" i="58"/>
  <c r="F6" i="59"/>
  <c r="E6" i="59" s="1"/>
  <c r="I6" i="59"/>
  <c r="J6" i="59"/>
  <c r="M6" i="59"/>
  <c r="N6" i="59"/>
  <c r="P6" i="59"/>
  <c r="Q6" i="59"/>
  <c r="S6" i="59"/>
  <c r="T6" i="59"/>
  <c r="V6" i="59"/>
  <c r="W6" i="59" s="1"/>
  <c r="Y6" i="59"/>
  <c r="F6" i="51"/>
  <c r="E6" i="51" s="1"/>
  <c r="F7" i="51"/>
  <c r="E7" i="51" s="1"/>
  <c r="I6" i="51"/>
  <c r="I7" i="51"/>
  <c r="J6" i="51"/>
  <c r="K6" i="51" s="1"/>
  <c r="J7" i="51"/>
  <c r="H7" i="51" s="1"/>
  <c r="M6" i="51"/>
  <c r="L6" i="51" s="1"/>
  <c r="M7" i="51"/>
  <c r="L7" i="51" s="1"/>
  <c r="N6" i="51"/>
  <c r="N7" i="51"/>
  <c r="P6" i="51"/>
  <c r="P7" i="51"/>
  <c r="Q6" i="51"/>
  <c r="Q7" i="51"/>
  <c r="S6" i="51"/>
  <c r="S7" i="51"/>
  <c r="T6" i="51"/>
  <c r="T7" i="51"/>
  <c r="V6" i="51"/>
  <c r="W6" i="51" s="1"/>
  <c r="V7" i="51"/>
  <c r="Y6" i="51"/>
  <c r="Y7" i="51"/>
  <c r="F6" i="48"/>
  <c r="E6" i="48" s="1"/>
  <c r="F7" i="48"/>
  <c r="E7" i="48" s="1"/>
  <c r="F8" i="48"/>
  <c r="E8" i="48" s="1"/>
  <c r="F9" i="48"/>
  <c r="E9" i="48" s="1"/>
  <c r="F10" i="48"/>
  <c r="E10" i="48" s="1"/>
  <c r="F11" i="48"/>
  <c r="E11" i="48" s="1"/>
  <c r="F12" i="48"/>
  <c r="F13" i="48"/>
  <c r="F14" i="48"/>
  <c r="F15" i="48"/>
  <c r="F16" i="48"/>
  <c r="F17" i="48"/>
  <c r="F18" i="48"/>
  <c r="F19" i="48"/>
  <c r="G19" i="48" s="1"/>
  <c r="F20" i="48"/>
  <c r="G20" i="48" s="1"/>
  <c r="F21" i="48"/>
  <c r="E21" i="48" s="1"/>
  <c r="F22" i="48"/>
  <c r="E22" i="48" s="1"/>
  <c r="F23" i="48"/>
  <c r="E23" i="48" s="1"/>
  <c r="F24" i="48"/>
  <c r="E24" i="48" s="1"/>
  <c r="F25" i="48"/>
  <c r="E25" i="48" s="1"/>
  <c r="F26" i="48"/>
  <c r="E26" i="48" s="1"/>
  <c r="F27" i="48"/>
  <c r="E27" i="48" s="1"/>
  <c r="F28" i="48"/>
  <c r="E28" i="48" s="1"/>
  <c r="F29" i="48"/>
  <c r="E29" i="48" s="1"/>
  <c r="F30" i="48"/>
  <c r="E30" i="48" s="1"/>
  <c r="F31" i="48"/>
  <c r="E31" i="48" s="1"/>
  <c r="F32" i="48"/>
  <c r="E32" i="48" s="1"/>
  <c r="F33" i="48"/>
  <c r="E33" i="48" s="1"/>
  <c r="F34" i="48"/>
  <c r="E34" i="48" s="1"/>
  <c r="F35" i="48"/>
  <c r="E35" i="48" s="1"/>
  <c r="F36" i="48"/>
  <c r="F37" i="48"/>
  <c r="F38" i="48"/>
  <c r="G28" i="48"/>
  <c r="G29" i="48"/>
  <c r="H6" i="48"/>
  <c r="H7" i="48"/>
  <c r="G7" i="48" s="1"/>
  <c r="H8" i="48"/>
  <c r="H9" i="48"/>
  <c r="G9" i="48" s="1"/>
  <c r="H10" i="48"/>
  <c r="H11" i="48"/>
  <c r="H12" i="48"/>
  <c r="H13" i="48"/>
  <c r="H14" i="48"/>
  <c r="H15" i="48"/>
  <c r="H16" i="48"/>
  <c r="J16" i="48" s="1"/>
  <c r="H17" i="48"/>
  <c r="H18" i="48"/>
  <c r="H19" i="48"/>
  <c r="H20" i="48"/>
  <c r="H21" i="48"/>
  <c r="H22" i="48"/>
  <c r="H23" i="48"/>
  <c r="G23" i="48" s="1"/>
  <c r="H24" i="48"/>
  <c r="H25" i="48"/>
  <c r="H26" i="48"/>
  <c r="G26" i="48" s="1"/>
  <c r="H27" i="48"/>
  <c r="G27" i="48" s="1"/>
  <c r="H28" i="48"/>
  <c r="H29" i="48"/>
  <c r="H30" i="48"/>
  <c r="H31" i="48"/>
  <c r="H32" i="48"/>
  <c r="H33" i="48"/>
  <c r="H34" i="48"/>
  <c r="H35" i="48"/>
  <c r="H36" i="48"/>
  <c r="H37" i="48"/>
  <c r="H38" i="48"/>
  <c r="I6" i="48"/>
  <c r="I7" i="48"/>
  <c r="I8" i="48"/>
  <c r="G8" i="48" s="1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G31" i="48" s="1"/>
  <c r="I32" i="48"/>
  <c r="I33" i="48"/>
  <c r="I34" i="48"/>
  <c r="I35" i="48"/>
  <c r="I36" i="48"/>
  <c r="I37" i="48"/>
  <c r="I38" i="48"/>
  <c r="J25" i="48"/>
  <c r="J28" i="48"/>
  <c r="K6" i="48"/>
  <c r="K7" i="48"/>
  <c r="K8" i="48"/>
  <c r="K9" i="48"/>
  <c r="J9" i="48" s="1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M24" i="48" s="1"/>
  <c r="K25" i="48"/>
  <c r="M25" i="48" s="1"/>
  <c r="K26" i="48"/>
  <c r="M26" i="48" s="1"/>
  <c r="K27" i="48"/>
  <c r="K28" i="48"/>
  <c r="K29" i="48"/>
  <c r="J29" i="48" s="1"/>
  <c r="K30" i="48"/>
  <c r="J30" i="48" s="1"/>
  <c r="K31" i="48"/>
  <c r="K32" i="48"/>
  <c r="K33" i="48"/>
  <c r="J33" i="48" s="1"/>
  <c r="K34" i="48"/>
  <c r="K35" i="48"/>
  <c r="K36" i="48"/>
  <c r="K37" i="48"/>
  <c r="K38" i="48"/>
  <c r="L6" i="48"/>
  <c r="L7" i="48"/>
  <c r="J7" i="48" s="1"/>
  <c r="L8" i="48"/>
  <c r="J8" i="48" s="1"/>
  <c r="L9" i="48"/>
  <c r="L10" i="48"/>
  <c r="L11" i="48"/>
  <c r="L12" i="48"/>
  <c r="J12" i="48" s="1"/>
  <c r="L13" i="48"/>
  <c r="L14" i="48"/>
  <c r="L15" i="48"/>
  <c r="L16" i="48"/>
  <c r="L17" i="48"/>
  <c r="L18" i="48"/>
  <c r="L19" i="48"/>
  <c r="L20" i="48"/>
  <c r="L21" i="48"/>
  <c r="L22" i="48"/>
  <c r="L23" i="48"/>
  <c r="L2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J36" i="48" s="1"/>
  <c r="L37" i="48"/>
  <c r="L38" i="48"/>
  <c r="M6" i="48"/>
  <c r="N6" i="48"/>
  <c r="N7" i="48"/>
  <c r="N8" i="48"/>
  <c r="N9" i="48"/>
  <c r="N10" i="48"/>
  <c r="M10" i="48" s="1"/>
  <c r="N11" i="48"/>
  <c r="N12" i="48"/>
  <c r="N13" i="48"/>
  <c r="N14" i="48"/>
  <c r="P14" i="48" s="1"/>
  <c r="N15" i="48"/>
  <c r="N16" i="48"/>
  <c r="N17" i="48"/>
  <c r="N18" i="48"/>
  <c r="N19" i="48"/>
  <c r="N20" i="48"/>
  <c r="N21" i="48"/>
  <c r="N22" i="48"/>
  <c r="N23" i="48"/>
  <c r="P23" i="48" s="1"/>
  <c r="N24" i="48"/>
  <c r="P24" i="48" s="1"/>
  <c r="N25" i="48"/>
  <c r="N26" i="48"/>
  <c r="N27" i="48"/>
  <c r="M27" i="48" s="1"/>
  <c r="N28" i="48"/>
  <c r="N29" i="48"/>
  <c r="N30" i="48"/>
  <c r="N31" i="48"/>
  <c r="N32" i="48"/>
  <c r="N33" i="48"/>
  <c r="N34" i="48"/>
  <c r="M34" i="48" s="1"/>
  <c r="N35" i="48"/>
  <c r="N36" i="48"/>
  <c r="N37" i="48"/>
  <c r="N38" i="48"/>
  <c r="P38" i="48" s="1"/>
  <c r="O6" i="48"/>
  <c r="O7" i="48"/>
  <c r="O8" i="48"/>
  <c r="O9" i="48"/>
  <c r="M9" i="48" s="1"/>
  <c r="O10" i="48"/>
  <c r="O11" i="48"/>
  <c r="O12" i="48"/>
  <c r="O13" i="48"/>
  <c r="O14" i="48"/>
  <c r="O15" i="48"/>
  <c r="O16" i="48"/>
  <c r="O17" i="48"/>
  <c r="O18" i="48"/>
  <c r="O19" i="48"/>
  <c r="O20" i="48"/>
  <c r="O21" i="48"/>
  <c r="O22" i="48"/>
  <c r="M22" i="48" s="1"/>
  <c r="O23" i="48"/>
  <c r="O24" i="48"/>
  <c r="O25" i="48"/>
  <c r="O26" i="48"/>
  <c r="O27" i="48"/>
  <c r="O28" i="48"/>
  <c r="O29" i="48"/>
  <c r="M29" i="48" s="1"/>
  <c r="O30" i="48"/>
  <c r="M30" i="48" s="1"/>
  <c r="O31" i="48"/>
  <c r="O32" i="48"/>
  <c r="O33" i="48"/>
  <c r="M33" i="48" s="1"/>
  <c r="O34" i="48"/>
  <c r="O35" i="48"/>
  <c r="O36" i="48"/>
  <c r="O37" i="48"/>
  <c r="O38" i="48"/>
  <c r="P20" i="48"/>
  <c r="Q6" i="48"/>
  <c r="Q7" i="48"/>
  <c r="Q8" i="48"/>
  <c r="Q9" i="48"/>
  <c r="Q10" i="48"/>
  <c r="Q11" i="48"/>
  <c r="Q12" i="48"/>
  <c r="Q13" i="48"/>
  <c r="Q14" i="48"/>
  <c r="Q15" i="48"/>
  <c r="Q16" i="48"/>
  <c r="Q17" i="48"/>
  <c r="Q18" i="48"/>
  <c r="Q19" i="48"/>
  <c r="P19" i="48" s="1"/>
  <c r="Q20" i="48"/>
  <c r="S20" i="48" s="1"/>
  <c r="Q21" i="48"/>
  <c r="S21" i="48" s="1"/>
  <c r="Q22" i="48"/>
  <c r="Q23" i="48"/>
  <c r="Q24" i="48"/>
  <c r="S24" i="48" s="1"/>
  <c r="Q25" i="48"/>
  <c r="Q26" i="48"/>
  <c r="Q27" i="48"/>
  <c r="P27" i="48" s="1"/>
  <c r="Q28" i="48"/>
  <c r="Q29" i="48"/>
  <c r="Q30" i="48"/>
  <c r="Q31" i="48"/>
  <c r="Q32" i="48"/>
  <c r="Q33" i="48"/>
  <c r="Q34" i="48"/>
  <c r="Q35" i="48"/>
  <c r="Q36" i="48"/>
  <c r="Q37" i="48"/>
  <c r="Q38" i="48"/>
  <c r="R6" i="48"/>
  <c r="P6" i="48" s="1"/>
  <c r="R7" i="48"/>
  <c r="R8" i="48"/>
  <c r="R9" i="48"/>
  <c r="R10" i="48"/>
  <c r="R11" i="48"/>
  <c r="R12" i="48"/>
  <c r="R13" i="48"/>
  <c r="R14" i="48"/>
  <c r="R15" i="48"/>
  <c r="AC15" i="48" s="1"/>
  <c r="AD15" i="48" s="1"/>
  <c r="R16" i="48"/>
  <c r="R17" i="48"/>
  <c r="R18" i="48"/>
  <c r="R19" i="48"/>
  <c r="R20" i="48"/>
  <c r="R21" i="48"/>
  <c r="R22" i="48"/>
  <c r="R23" i="48"/>
  <c r="R24" i="48"/>
  <c r="R25" i="48"/>
  <c r="P25" i="48" s="1"/>
  <c r="R26" i="48"/>
  <c r="P26" i="48" s="1"/>
  <c r="R27" i="48"/>
  <c r="R28" i="48"/>
  <c r="R29" i="48"/>
  <c r="R30" i="48"/>
  <c r="P30" i="48" s="1"/>
  <c r="R31" i="48"/>
  <c r="R32" i="48"/>
  <c r="R33" i="48"/>
  <c r="R34" i="48"/>
  <c r="R35" i="48"/>
  <c r="R36" i="48"/>
  <c r="R37" i="48"/>
  <c r="R38" i="48"/>
  <c r="S13" i="48"/>
  <c r="T6" i="48"/>
  <c r="T7" i="48"/>
  <c r="T8" i="48"/>
  <c r="T9" i="48"/>
  <c r="T10" i="48"/>
  <c r="T11" i="48"/>
  <c r="T12" i="48"/>
  <c r="T13" i="48"/>
  <c r="T14" i="48"/>
  <c r="T15" i="48"/>
  <c r="T16" i="48"/>
  <c r="T17" i="48"/>
  <c r="V17" i="48" s="1"/>
  <c r="T18" i="48"/>
  <c r="V18" i="48" s="1"/>
  <c r="T19" i="48"/>
  <c r="T20" i="48"/>
  <c r="T21" i="48"/>
  <c r="T22" i="48"/>
  <c r="T23" i="48"/>
  <c r="T24" i="48"/>
  <c r="T25" i="48"/>
  <c r="T26" i="48"/>
  <c r="V26" i="48" s="1"/>
  <c r="T27" i="48"/>
  <c r="T28" i="48"/>
  <c r="T29" i="48"/>
  <c r="T30" i="48"/>
  <c r="T31" i="48"/>
  <c r="T32" i="48"/>
  <c r="T33" i="48"/>
  <c r="T34" i="48"/>
  <c r="T35" i="48"/>
  <c r="T36" i="48"/>
  <c r="T37" i="48"/>
  <c r="T38" i="48"/>
  <c r="U6" i="48"/>
  <c r="U7" i="48"/>
  <c r="U8" i="48"/>
  <c r="U9" i="48"/>
  <c r="U10" i="48"/>
  <c r="U11" i="48"/>
  <c r="U12" i="48"/>
  <c r="U13" i="48"/>
  <c r="U14" i="48"/>
  <c r="U15" i="48"/>
  <c r="U16" i="48"/>
  <c r="S16" i="48" s="1"/>
  <c r="U17" i="48"/>
  <c r="S17" i="48" s="1"/>
  <c r="U18" i="48"/>
  <c r="U19" i="48"/>
  <c r="U20" i="48"/>
  <c r="U21" i="48"/>
  <c r="U22" i="48"/>
  <c r="U23" i="48"/>
  <c r="U24" i="48"/>
  <c r="U25" i="48"/>
  <c r="S25" i="48" s="1"/>
  <c r="U26" i="48"/>
  <c r="U27" i="48"/>
  <c r="S27" i="48" s="1"/>
  <c r="U28" i="48"/>
  <c r="S28" i="48" s="1"/>
  <c r="U29" i="48"/>
  <c r="U30" i="48"/>
  <c r="U31" i="48"/>
  <c r="U32" i="48"/>
  <c r="U33" i="48"/>
  <c r="U34" i="48"/>
  <c r="U35" i="48"/>
  <c r="U36" i="48"/>
  <c r="U37" i="48"/>
  <c r="U38" i="48"/>
  <c r="V13" i="48"/>
  <c r="W6" i="48"/>
  <c r="W7" i="48"/>
  <c r="W8" i="48"/>
  <c r="W9" i="48"/>
  <c r="W10" i="48"/>
  <c r="Y10" i="48" s="1"/>
  <c r="W11" i="48"/>
  <c r="W12" i="48"/>
  <c r="Y12" i="48" s="1"/>
  <c r="W13" i="48"/>
  <c r="Y13" i="48" s="1"/>
  <c r="W14" i="48"/>
  <c r="Y14" i="48" s="1"/>
  <c r="W15" i="48"/>
  <c r="W16" i="48"/>
  <c r="W17" i="48"/>
  <c r="Y17" i="48" s="1"/>
  <c r="W18" i="48"/>
  <c r="Y18" i="48" s="1"/>
  <c r="W19" i="48"/>
  <c r="W20" i="48"/>
  <c r="W21" i="48"/>
  <c r="Y21" i="48" s="1"/>
  <c r="W22" i="48"/>
  <c r="V22" i="48" s="1"/>
  <c r="W23" i="48"/>
  <c r="V23" i="48" s="1"/>
  <c r="W24" i="48"/>
  <c r="Y24" i="48" s="1"/>
  <c r="W25" i="48"/>
  <c r="V25" i="48" s="1"/>
  <c r="W26" i="48"/>
  <c r="W27" i="48"/>
  <c r="W28" i="48"/>
  <c r="W29" i="48"/>
  <c r="W30" i="48"/>
  <c r="Y30" i="48" s="1"/>
  <c r="W31" i="48"/>
  <c r="W32" i="48"/>
  <c r="Y32" i="48" s="1"/>
  <c r="W33" i="48"/>
  <c r="W34" i="48"/>
  <c r="Y34" i="48" s="1"/>
  <c r="W35" i="48"/>
  <c r="W36" i="48"/>
  <c r="Y36" i="48" s="1"/>
  <c r="W37" i="48"/>
  <c r="W38" i="48"/>
  <c r="V38" i="48" s="1"/>
  <c r="X6" i="48"/>
  <c r="X7" i="48"/>
  <c r="AC7" i="48" s="1"/>
  <c r="X8" i="48"/>
  <c r="X9" i="48"/>
  <c r="X10" i="48"/>
  <c r="AC10" i="48" s="1"/>
  <c r="AD10" i="48" s="1"/>
  <c r="X11" i="48"/>
  <c r="AC11" i="48" s="1"/>
  <c r="AD11" i="48" s="1"/>
  <c r="X12" i="48"/>
  <c r="AC12" i="48" s="1"/>
  <c r="X13" i="48"/>
  <c r="AC13" i="48" s="1"/>
  <c r="X14" i="48"/>
  <c r="AC14" i="48" s="1"/>
  <c r="X15" i="48"/>
  <c r="X16" i="48"/>
  <c r="V16" i="48" s="1"/>
  <c r="X17" i="48"/>
  <c r="X18" i="48"/>
  <c r="X19" i="48"/>
  <c r="AC19" i="48" s="1"/>
  <c r="X20" i="48"/>
  <c r="AC20" i="48" s="1"/>
  <c r="X21" i="48"/>
  <c r="X22" i="48"/>
  <c r="AC22" i="48" s="1"/>
  <c r="AD22" i="48" s="1"/>
  <c r="X23" i="48"/>
  <c r="AC23" i="48" s="1"/>
  <c r="AD23" i="48" s="1"/>
  <c r="X24" i="48"/>
  <c r="X25" i="48"/>
  <c r="AC25" i="48" s="1"/>
  <c r="AD25" i="48" s="1"/>
  <c r="X26" i="48"/>
  <c r="X27" i="48"/>
  <c r="AC27" i="48" s="1"/>
  <c r="X28" i="48"/>
  <c r="X29" i="48"/>
  <c r="X30" i="48"/>
  <c r="X31" i="48"/>
  <c r="X32" i="48"/>
  <c r="X33" i="48"/>
  <c r="X34" i="48"/>
  <c r="X35" i="48"/>
  <c r="X36" i="48"/>
  <c r="X37" i="48"/>
  <c r="AC37" i="48" s="1"/>
  <c r="X38" i="48"/>
  <c r="AC38" i="48" s="1"/>
  <c r="Z6" i="48"/>
  <c r="AA6" i="48" s="1"/>
  <c r="Z7" i="48"/>
  <c r="Z8" i="48"/>
  <c r="Z9" i="48"/>
  <c r="Z10" i="48"/>
  <c r="Z11" i="48"/>
  <c r="Y11" i="48" s="1"/>
  <c r="Z12" i="48"/>
  <c r="Z13" i="48"/>
  <c r="Z14" i="48"/>
  <c r="AA14" i="48" s="1"/>
  <c r="Z15" i="48"/>
  <c r="Y15" i="48" s="1"/>
  <c r="Z16" i="48"/>
  <c r="AA16" i="48" s="1"/>
  <c r="Z17" i="48"/>
  <c r="AA17" i="48" s="1"/>
  <c r="Z18" i="48"/>
  <c r="AA18" i="48" s="1"/>
  <c r="Z19" i="48"/>
  <c r="Z20" i="48"/>
  <c r="AA20" i="48" s="1"/>
  <c r="Z21" i="48"/>
  <c r="Z22" i="48"/>
  <c r="Z23" i="48"/>
  <c r="AA23" i="48" s="1"/>
  <c r="Z24" i="48"/>
  <c r="AA24" i="48" s="1"/>
  <c r="Z25" i="48"/>
  <c r="AA25" i="48" s="1"/>
  <c r="Z26" i="48"/>
  <c r="AA26" i="48" s="1"/>
  <c r="Z27" i="48"/>
  <c r="AA27" i="48" s="1"/>
  <c r="Z28" i="48"/>
  <c r="AA28" i="48" s="1"/>
  <c r="Z29" i="48"/>
  <c r="AA29" i="48" s="1"/>
  <c r="Z30" i="48"/>
  <c r="AA30" i="48" s="1"/>
  <c r="Z31" i="48"/>
  <c r="Z32" i="48"/>
  <c r="Z33" i="48"/>
  <c r="Z34" i="48"/>
  <c r="Z35" i="48"/>
  <c r="Y35" i="48" s="1"/>
  <c r="Z36" i="48"/>
  <c r="Z37" i="48"/>
  <c r="Y37" i="48" s="1"/>
  <c r="Z38" i="48"/>
  <c r="AA10" i="48"/>
  <c r="AA11" i="48"/>
  <c r="AA19" i="48"/>
  <c r="AA21" i="48"/>
  <c r="AA22" i="48"/>
  <c r="AA34" i="48"/>
  <c r="AC18" i="48"/>
  <c r="AD18" i="48" s="1"/>
  <c r="AC31" i="48"/>
  <c r="AC34" i="48"/>
  <c r="AD34" i="48" s="1"/>
  <c r="AC35" i="48"/>
  <c r="AD35" i="48" s="1"/>
  <c r="F6" i="47"/>
  <c r="E6" i="47" s="1"/>
  <c r="F7" i="47"/>
  <c r="E7" i="47" s="1"/>
  <c r="F8" i="47"/>
  <c r="E8" i="47" s="1"/>
  <c r="F9" i="47"/>
  <c r="E9" i="47" s="1"/>
  <c r="F10" i="47"/>
  <c r="E10" i="47" s="1"/>
  <c r="F11" i="47"/>
  <c r="E11" i="47" s="1"/>
  <c r="F12" i="47"/>
  <c r="E12" i="47" s="1"/>
  <c r="F13" i="47"/>
  <c r="E13" i="47" s="1"/>
  <c r="F14" i="47"/>
  <c r="E14" i="47" s="1"/>
  <c r="F15" i="47"/>
  <c r="E15" i="47" s="1"/>
  <c r="F16" i="47"/>
  <c r="E16" i="47" s="1"/>
  <c r="F17" i="47"/>
  <c r="E17" i="47" s="1"/>
  <c r="F18" i="47"/>
  <c r="E18" i="47" s="1"/>
  <c r="F19" i="47"/>
  <c r="E19" i="47" s="1"/>
  <c r="F20" i="47"/>
  <c r="E20" i="47" s="1"/>
  <c r="F21" i="47"/>
  <c r="E21" i="47" s="1"/>
  <c r="F22" i="47"/>
  <c r="E22" i="47" s="1"/>
  <c r="F23" i="47"/>
  <c r="E23" i="47" s="1"/>
  <c r="F24" i="47"/>
  <c r="E24" i="47" s="1"/>
  <c r="F25" i="47"/>
  <c r="F26" i="47"/>
  <c r="F27" i="47"/>
  <c r="E27" i="47" s="1"/>
  <c r="F28" i="47"/>
  <c r="F29" i="47"/>
  <c r="E29" i="47" s="1"/>
  <c r="F30" i="47"/>
  <c r="E30" i="47" s="1"/>
  <c r="F31" i="47"/>
  <c r="E31" i="47" s="1"/>
  <c r="F32" i="47"/>
  <c r="E32" i="47" s="1"/>
  <c r="F33" i="47"/>
  <c r="E33" i="47" s="1"/>
  <c r="F34" i="47"/>
  <c r="E34" i="47" s="1"/>
  <c r="F35" i="47"/>
  <c r="E35" i="47" s="1"/>
  <c r="F36" i="47"/>
  <c r="E36" i="47" s="1"/>
  <c r="F37" i="47"/>
  <c r="E37" i="47" s="1"/>
  <c r="F38" i="47"/>
  <c r="E38" i="47" s="1"/>
  <c r="F39" i="47"/>
  <c r="E39" i="47" s="1"/>
  <c r="F40" i="47"/>
  <c r="E40" i="47" s="1"/>
  <c r="F41" i="47"/>
  <c r="E41" i="47" s="1"/>
  <c r="F42" i="47"/>
  <c r="G42" i="47" s="1"/>
  <c r="F43" i="47"/>
  <c r="E43" i="47" s="1"/>
  <c r="F44" i="47"/>
  <c r="E44" i="47" s="1"/>
  <c r="F45" i="47"/>
  <c r="E45" i="47" s="1"/>
  <c r="F46" i="47"/>
  <c r="E46" i="47" s="1"/>
  <c r="F47" i="47"/>
  <c r="E47" i="47" s="1"/>
  <c r="F48" i="47"/>
  <c r="E48" i="47" s="1"/>
  <c r="F49" i="47"/>
  <c r="E49" i="47" s="1"/>
  <c r="F50" i="47"/>
  <c r="E50" i="47" s="1"/>
  <c r="F51" i="47"/>
  <c r="E51" i="47" s="1"/>
  <c r="F52" i="47"/>
  <c r="F53" i="47"/>
  <c r="E53" i="47" s="1"/>
  <c r="F54" i="47"/>
  <c r="E54" i="47" s="1"/>
  <c r="H6" i="47"/>
  <c r="H7" i="47"/>
  <c r="J7" i="47" s="1"/>
  <c r="H8" i="47"/>
  <c r="G8" i="47" s="1"/>
  <c r="H9" i="47"/>
  <c r="H10" i="47"/>
  <c r="G10" i="47" s="1"/>
  <c r="H11" i="47"/>
  <c r="H12" i="47"/>
  <c r="H13" i="47"/>
  <c r="H14" i="47"/>
  <c r="H15" i="47"/>
  <c r="H16" i="47"/>
  <c r="H17" i="47"/>
  <c r="H18" i="47"/>
  <c r="H19" i="47"/>
  <c r="H20" i="47"/>
  <c r="H21" i="47"/>
  <c r="H22" i="47"/>
  <c r="G22" i="47" s="1"/>
  <c r="H23" i="47"/>
  <c r="G23" i="47" s="1"/>
  <c r="H24" i="47"/>
  <c r="H25" i="47"/>
  <c r="H26" i="47"/>
  <c r="H27" i="47"/>
  <c r="H28" i="47"/>
  <c r="H29" i="47"/>
  <c r="H30" i="47"/>
  <c r="H31" i="47"/>
  <c r="J31" i="47" s="1"/>
  <c r="H32" i="47"/>
  <c r="H33" i="47"/>
  <c r="H34" i="47"/>
  <c r="H35" i="47"/>
  <c r="H36" i="47"/>
  <c r="H37" i="47"/>
  <c r="J37" i="47" s="1"/>
  <c r="H38" i="47"/>
  <c r="H39" i="47"/>
  <c r="H40" i="47"/>
  <c r="H41" i="47"/>
  <c r="H42" i="47"/>
  <c r="H43" i="47"/>
  <c r="H44" i="47"/>
  <c r="H45" i="47"/>
  <c r="H46" i="47"/>
  <c r="G46" i="47" s="1"/>
  <c r="H47" i="47"/>
  <c r="G47" i="47" s="1"/>
  <c r="H48" i="47"/>
  <c r="H49" i="47"/>
  <c r="H50" i="47"/>
  <c r="H51" i="47"/>
  <c r="H52" i="47"/>
  <c r="H53" i="47"/>
  <c r="H54" i="47"/>
  <c r="I6" i="47"/>
  <c r="I7" i="47"/>
  <c r="I8" i="47"/>
  <c r="I9" i="47"/>
  <c r="I10" i="47"/>
  <c r="I11" i="47"/>
  <c r="I12" i="47"/>
  <c r="I13" i="47"/>
  <c r="I14" i="47"/>
  <c r="I15" i="47"/>
  <c r="I16" i="47"/>
  <c r="I17" i="47"/>
  <c r="I18" i="47"/>
  <c r="I19" i="47"/>
  <c r="I20" i="47"/>
  <c r="I21" i="47"/>
  <c r="I22" i="47"/>
  <c r="I23" i="47"/>
  <c r="I24" i="47"/>
  <c r="I25" i="47"/>
  <c r="I26" i="47"/>
  <c r="I27" i="47"/>
  <c r="G27" i="47" s="1"/>
  <c r="I28" i="47"/>
  <c r="I29" i="47"/>
  <c r="I30" i="47"/>
  <c r="I31" i="47"/>
  <c r="I32" i="47"/>
  <c r="I33" i="47"/>
  <c r="I34" i="47"/>
  <c r="I35" i="47"/>
  <c r="I36" i="47"/>
  <c r="I37" i="47"/>
  <c r="I38" i="47"/>
  <c r="I39" i="47"/>
  <c r="I40" i="47"/>
  <c r="I41" i="47"/>
  <c r="I42" i="47"/>
  <c r="I43" i="47"/>
  <c r="I44" i="47"/>
  <c r="I45" i="47"/>
  <c r="I46" i="47"/>
  <c r="I47" i="47"/>
  <c r="I48" i="47"/>
  <c r="I49" i="47"/>
  <c r="I50" i="47"/>
  <c r="I51" i="47"/>
  <c r="G51" i="47" s="1"/>
  <c r="I52" i="47"/>
  <c r="I53" i="47"/>
  <c r="I54" i="47"/>
  <c r="J6" i="47"/>
  <c r="J13" i="47"/>
  <c r="K6" i="47"/>
  <c r="K7" i="47"/>
  <c r="K8" i="47"/>
  <c r="K9" i="47"/>
  <c r="K10" i="47"/>
  <c r="K11" i="47"/>
  <c r="K12" i="47"/>
  <c r="K13" i="47"/>
  <c r="K14" i="47"/>
  <c r="K15" i="47"/>
  <c r="K16" i="47"/>
  <c r="K17" i="47"/>
  <c r="K18" i="47"/>
  <c r="K19" i="47"/>
  <c r="K20" i="47"/>
  <c r="M20" i="47" s="1"/>
  <c r="K21" i="47"/>
  <c r="K22" i="47"/>
  <c r="K23" i="47"/>
  <c r="K24" i="47"/>
  <c r="K25" i="47"/>
  <c r="K26" i="47"/>
  <c r="J26" i="47" s="1"/>
  <c r="K27" i="47"/>
  <c r="K28" i="47"/>
  <c r="K29" i="47"/>
  <c r="J29" i="47" s="1"/>
  <c r="K30" i="47"/>
  <c r="K31" i="47"/>
  <c r="K32" i="47"/>
  <c r="K33" i="47"/>
  <c r="K34" i="47"/>
  <c r="K35" i="47"/>
  <c r="K36" i="47"/>
  <c r="J36" i="47" s="1"/>
  <c r="K37" i="47"/>
  <c r="K38" i="47"/>
  <c r="K39" i="47"/>
  <c r="K40" i="47"/>
  <c r="K41" i="47"/>
  <c r="K42" i="47"/>
  <c r="K43" i="47"/>
  <c r="K44" i="47"/>
  <c r="M44" i="47" s="1"/>
  <c r="K45" i="47"/>
  <c r="K46" i="47"/>
  <c r="K47" i="47"/>
  <c r="K48" i="47"/>
  <c r="K49" i="47"/>
  <c r="K50" i="47"/>
  <c r="K51" i="47"/>
  <c r="K52" i="47"/>
  <c r="K53" i="47"/>
  <c r="J53" i="47" s="1"/>
  <c r="K54" i="47"/>
  <c r="L6" i="47"/>
  <c r="L7" i="47"/>
  <c r="L8" i="47"/>
  <c r="L9" i="47"/>
  <c r="L10" i="47"/>
  <c r="J10" i="47" s="1"/>
  <c r="L11" i="47"/>
  <c r="L12" i="47"/>
  <c r="L13" i="47"/>
  <c r="L14" i="47"/>
  <c r="J14" i="47" s="1"/>
  <c r="L15" i="47"/>
  <c r="L16" i="47"/>
  <c r="L17" i="47"/>
  <c r="L18" i="47"/>
  <c r="L19" i="47"/>
  <c r="L20" i="47"/>
  <c r="L21" i="47"/>
  <c r="L22" i="47"/>
  <c r="L23" i="47"/>
  <c r="L24" i="47"/>
  <c r="L25" i="47"/>
  <c r="J25" i="47" s="1"/>
  <c r="L26" i="47"/>
  <c r="L27" i="47"/>
  <c r="L28" i="47"/>
  <c r="J28" i="47" s="1"/>
  <c r="L29" i="47"/>
  <c r="L30" i="47"/>
  <c r="J30" i="47" s="1"/>
  <c r="L31" i="47"/>
  <c r="L32" i="47"/>
  <c r="L33" i="47"/>
  <c r="L34" i="47"/>
  <c r="J34" i="47" s="1"/>
  <c r="L35" i="47"/>
  <c r="L36" i="47"/>
  <c r="L37" i="47"/>
  <c r="L38" i="47"/>
  <c r="L39" i="47"/>
  <c r="L40" i="47"/>
  <c r="L41" i="47"/>
  <c r="L42" i="47"/>
  <c r="L43" i="47"/>
  <c r="AC43" i="47" s="1"/>
  <c r="L44" i="47"/>
  <c r="L45" i="47"/>
  <c r="L46" i="47"/>
  <c r="L47" i="47"/>
  <c r="L48" i="47"/>
  <c r="L49" i="47"/>
  <c r="L50" i="47"/>
  <c r="L51" i="47"/>
  <c r="L52" i="47"/>
  <c r="J52" i="47" s="1"/>
  <c r="L53" i="47"/>
  <c r="L54" i="47"/>
  <c r="J54" i="47" s="1"/>
  <c r="M27" i="47"/>
  <c r="M28" i="47"/>
  <c r="N6" i="47"/>
  <c r="N7" i="47"/>
  <c r="N8" i="47"/>
  <c r="M8" i="47" s="1"/>
  <c r="N9" i="47"/>
  <c r="M9" i="47" s="1"/>
  <c r="N10" i="47"/>
  <c r="M10" i="47" s="1"/>
  <c r="N11" i="47"/>
  <c r="N12" i="47"/>
  <c r="N13" i="47"/>
  <c r="N14" i="47"/>
  <c r="N15" i="47"/>
  <c r="N16" i="47"/>
  <c r="N17" i="47"/>
  <c r="M17" i="47" s="1"/>
  <c r="N18" i="47"/>
  <c r="N19" i="47"/>
  <c r="N20" i="47"/>
  <c r="N21" i="47"/>
  <c r="N22" i="47"/>
  <c r="M22" i="47" s="1"/>
  <c r="N23" i="47"/>
  <c r="N24" i="47"/>
  <c r="M24" i="47" s="1"/>
  <c r="N25" i="47"/>
  <c r="N26" i="47"/>
  <c r="N27" i="47"/>
  <c r="N28" i="47"/>
  <c r="N29" i="47"/>
  <c r="N30" i="47"/>
  <c r="N31" i="47"/>
  <c r="N32" i="47"/>
  <c r="M32" i="47" s="1"/>
  <c r="N33" i="47"/>
  <c r="M33" i="47" s="1"/>
  <c r="N34" i="47"/>
  <c r="M34" i="47" s="1"/>
  <c r="N35" i="47"/>
  <c r="N36" i="47"/>
  <c r="N37" i="47"/>
  <c r="N38" i="47"/>
  <c r="M38" i="47" s="1"/>
  <c r="N39" i="47"/>
  <c r="N40" i="47"/>
  <c r="N41" i="47"/>
  <c r="M41" i="47" s="1"/>
  <c r="N42" i="47"/>
  <c r="N43" i="47"/>
  <c r="N44" i="47"/>
  <c r="N45" i="47"/>
  <c r="N46" i="47"/>
  <c r="M46" i="47" s="1"/>
  <c r="N47" i="47"/>
  <c r="N48" i="47"/>
  <c r="P48" i="47" s="1"/>
  <c r="N49" i="47"/>
  <c r="N50" i="47"/>
  <c r="N51" i="47"/>
  <c r="M51" i="47" s="1"/>
  <c r="N52" i="47"/>
  <c r="M52" i="47" s="1"/>
  <c r="N53" i="47"/>
  <c r="N54" i="47"/>
  <c r="O6" i="47"/>
  <c r="O7" i="47"/>
  <c r="M7" i="47" s="1"/>
  <c r="O8" i="47"/>
  <c r="O9" i="47"/>
  <c r="O10" i="47"/>
  <c r="O11" i="47"/>
  <c r="O12" i="47"/>
  <c r="O13" i="47"/>
  <c r="O14" i="47"/>
  <c r="O15" i="47"/>
  <c r="O16" i="47"/>
  <c r="O17" i="47"/>
  <c r="O18" i="47"/>
  <c r="O19" i="47"/>
  <c r="O20" i="47"/>
  <c r="O21" i="47"/>
  <c r="O22" i="47"/>
  <c r="O23" i="47"/>
  <c r="O24" i="47"/>
  <c r="O25" i="47"/>
  <c r="M25" i="47" s="1"/>
  <c r="O26" i="47"/>
  <c r="O27" i="47"/>
  <c r="O28" i="47"/>
  <c r="O29" i="47"/>
  <c r="O30" i="47"/>
  <c r="O31" i="47"/>
  <c r="M31" i="47" s="1"/>
  <c r="O32" i="47"/>
  <c r="O33" i="47"/>
  <c r="O34" i="47"/>
  <c r="O35" i="47"/>
  <c r="O36" i="47"/>
  <c r="O37" i="47"/>
  <c r="O38" i="47"/>
  <c r="O39" i="47"/>
  <c r="O40" i="47"/>
  <c r="O41" i="47"/>
  <c r="O42" i="47"/>
  <c r="O43" i="47"/>
  <c r="O44" i="47"/>
  <c r="O45" i="47"/>
  <c r="O46" i="47"/>
  <c r="O47" i="47"/>
  <c r="O48" i="47"/>
  <c r="O49" i="47"/>
  <c r="M49" i="47" s="1"/>
  <c r="O50" i="47"/>
  <c r="O51" i="47"/>
  <c r="O52" i="47"/>
  <c r="O53" i="47"/>
  <c r="O54" i="47"/>
  <c r="P7" i="47"/>
  <c r="P31" i="47"/>
  <c r="Q6" i="47"/>
  <c r="Q7" i="47"/>
  <c r="Q8" i="47"/>
  <c r="Q9" i="47"/>
  <c r="Q10" i="47"/>
  <c r="Q11" i="47"/>
  <c r="Q12" i="47"/>
  <c r="Q13" i="47"/>
  <c r="Q14" i="47"/>
  <c r="S14" i="47" s="1"/>
  <c r="Q15" i="47"/>
  <c r="Q16" i="47"/>
  <c r="Q17" i="47"/>
  <c r="Q18" i="47"/>
  <c r="Q19" i="47"/>
  <c r="P19" i="47" s="1"/>
  <c r="Q20" i="47"/>
  <c r="Q21" i="47"/>
  <c r="Q22" i="47"/>
  <c r="Q23" i="47"/>
  <c r="Q24" i="47"/>
  <c r="Q25" i="47"/>
  <c r="P25" i="47" s="1"/>
  <c r="Q26" i="47"/>
  <c r="Q27" i="47"/>
  <c r="Q28" i="47"/>
  <c r="Q29" i="47"/>
  <c r="Q30" i="47"/>
  <c r="Q31" i="47"/>
  <c r="Q32" i="47"/>
  <c r="Q33" i="47"/>
  <c r="Q34" i="47"/>
  <c r="Q35" i="47"/>
  <c r="Q36" i="47"/>
  <c r="Q37" i="47"/>
  <c r="Q38" i="47"/>
  <c r="S38" i="47" s="1"/>
  <c r="Q39" i="47"/>
  <c r="Q40" i="47"/>
  <c r="Q41" i="47"/>
  <c r="Q42" i="47"/>
  <c r="Q43" i="47"/>
  <c r="P43" i="47" s="1"/>
  <c r="Q44" i="47"/>
  <c r="Q45" i="47"/>
  <c r="Q46" i="47"/>
  <c r="Q47" i="47"/>
  <c r="Q48" i="47"/>
  <c r="S48" i="47" s="1"/>
  <c r="Q49" i="47"/>
  <c r="P49" i="47" s="1"/>
  <c r="Q50" i="47"/>
  <c r="Q51" i="47"/>
  <c r="Q52" i="47"/>
  <c r="S52" i="47" s="1"/>
  <c r="Q53" i="47"/>
  <c r="Q54" i="47"/>
  <c r="R6" i="47"/>
  <c r="R7" i="47"/>
  <c r="R8" i="47"/>
  <c r="R9" i="47"/>
  <c r="R10" i="47"/>
  <c r="R11" i="47"/>
  <c r="R12" i="47"/>
  <c r="R13" i="47"/>
  <c r="AC13" i="47" s="1"/>
  <c r="R14" i="47"/>
  <c r="R15" i="47"/>
  <c r="R16" i="47"/>
  <c r="R17" i="47"/>
  <c r="R18" i="47"/>
  <c r="R19" i="47"/>
  <c r="R20" i="47"/>
  <c r="R21" i="47"/>
  <c r="R22" i="47"/>
  <c r="R23" i="47"/>
  <c r="R24" i="47"/>
  <c r="R25" i="47"/>
  <c r="R26" i="47"/>
  <c r="R27" i="47"/>
  <c r="R28" i="47"/>
  <c r="R29" i="47"/>
  <c r="R30" i="47"/>
  <c r="R31" i="47"/>
  <c r="R32" i="47"/>
  <c r="R33" i="47"/>
  <c r="R34" i="47"/>
  <c r="R35" i="47"/>
  <c r="R36" i="47"/>
  <c r="R37" i="47"/>
  <c r="AC37" i="47" s="1"/>
  <c r="R38" i="47"/>
  <c r="R39" i="47"/>
  <c r="R40" i="47"/>
  <c r="R41" i="47"/>
  <c r="R42" i="47"/>
  <c r="R43" i="47"/>
  <c r="R44" i="47"/>
  <c r="R45" i="47"/>
  <c r="R46" i="47"/>
  <c r="R47" i="47"/>
  <c r="R48" i="47"/>
  <c r="R49" i="47"/>
  <c r="R50" i="47"/>
  <c r="R51" i="47"/>
  <c r="R52" i="47"/>
  <c r="R53" i="47"/>
  <c r="R54" i="47"/>
  <c r="S28" i="47"/>
  <c r="T6" i="47"/>
  <c r="T7" i="47"/>
  <c r="T8" i="47"/>
  <c r="T9" i="47"/>
  <c r="T10" i="47"/>
  <c r="V10" i="47" s="1"/>
  <c r="T11" i="47"/>
  <c r="T12" i="47"/>
  <c r="V12" i="47" s="1"/>
  <c r="T13" i="47"/>
  <c r="V13" i="47" s="1"/>
  <c r="T14" i="47"/>
  <c r="T15" i="47"/>
  <c r="T16" i="47"/>
  <c r="T17" i="47"/>
  <c r="T18" i="47"/>
  <c r="T19" i="47"/>
  <c r="T20" i="47"/>
  <c r="T21" i="47"/>
  <c r="T22" i="47"/>
  <c r="T23" i="47"/>
  <c r="T24" i="47"/>
  <c r="T25" i="47"/>
  <c r="T26" i="47"/>
  <c r="T27" i="47"/>
  <c r="T28" i="47"/>
  <c r="T29" i="47"/>
  <c r="T30" i="47"/>
  <c r="T31" i="47"/>
  <c r="T32" i="47"/>
  <c r="T33" i="47"/>
  <c r="T34" i="47"/>
  <c r="V34" i="47" s="1"/>
  <c r="T35" i="47"/>
  <c r="T36" i="47"/>
  <c r="V36" i="47" s="1"/>
  <c r="T37" i="47"/>
  <c r="V37" i="47" s="1"/>
  <c r="T38" i="47"/>
  <c r="T39" i="47"/>
  <c r="T40" i="47"/>
  <c r="T41" i="47"/>
  <c r="T42" i="47"/>
  <c r="T43" i="47"/>
  <c r="T44" i="47"/>
  <c r="T45" i="47"/>
  <c r="T46" i="47"/>
  <c r="T47" i="47"/>
  <c r="T48" i="47"/>
  <c r="T49" i="47"/>
  <c r="T50" i="47"/>
  <c r="T51" i="47"/>
  <c r="T52" i="47"/>
  <c r="T53" i="47"/>
  <c r="T54" i="47"/>
  <c r="U6" i="47"/>
  <c r="U7" i="47"/>
  <c r="U8" i="47"/>
  <c r="U9" i="47"/>
  <c r="S9" i="47" s="1"/>
  <c r="U10" i="47"/>
  <c r="U11" i="47"/>
  <c r="U12" i="47"/>
  <c r="S12" i="47" s="1"/>
  <c r="U13" i="47"/>
  <c r="U14" i="47"/>
  <c r="U15" i="47"/>
  <c r="U16" i="47"/>
  <c r="S16" i="47" s="1"/>
  <c r="U17" i="47"/>
  <c r="S17" i="47" s="1"/>
  <c r="U18" i="47"/>
  <c r="U19" i="47"/>
  <c r="U20" i="47"/>
  <c r="S20" i="47" s="1"/>
  <c r="U21" i="47"/>
  <c r="S21" i="47" s="1"/>
  <c r="U22" i="47"/>
  <c r="U23" i="47"/>
  <c r="U24" i="47"/>
  <c r="U25" i="47"/>
  <c r="U26" i="47"/>
  <c r="U27" i="47"/>
  <c r="U28" i="47"/>
  <c r="U29" i="47"/>
  <c r="U30" i="47"/>
  <c r="U31" i="47"/>
  <c r="U32" i="47"/>
  <c r="U33" i="47"/>
  <c r="S33" i="47" s="1"/>
  <c r="U34" i="47"/>
  <c r="U35" i="47"/>
  <c r="S35" i="47" s="1"/>
  <c r="U36" i="47"/>
  <c r="S36" i="47" s="1"/>
  <c r="U37" i="47"/>
  <c r="U38" i="47"/>
  <c r="U39" i="47"/>
  <c r="U40" i="47"/>
  <c r="S40" i="47" s="1"/>
  <c r="U41" i="47"/>
  <c r="S41" i="47" s="1"/>
  <c r="U42" i="47"/>
  <c r="U43" i="47"/>
  <c r="U44" i="47"/>
  <c r="S44" i="47" s="1"/>
  <c r="U45" i="47"/>
  <c r="S45" i="47" s="1"/>
  <c r="U46" i="47"/>
  <c r="U47" i="47"/>
  <c r="U48" i="47"/>
  <c r="U49" i="47"/>
  <c r="U50" i="47"/>
  <c r="U51" i="47"/>
  <c r="U52" i="47"/>
  <c r="U53" i="47"/>
  <c r="U54" i="47"/>
  <c r="V18" i="47"/>
  <c r="V33" i="47"/>
  <c r="V42" i="47"/>
  <c r="W6" i="47"/>
  <c r="V6" i="47" s="1"/>
  <c r="W7" i="47"/>
  <c r="W8" i="47"/>
  <c r="V8" i="47" s="1"/>
  <c r="W9" i="47"/>
  <c r="Y9" i="47" s="1"/>
  <c r="W10" i="47"/>
  <c r="Y10" i="47" s="1"/>
  <c r="W11" i="47"/>
  <c r="W12" i="47"/>
  <c r="W13" i="47"/>
  <c r="W14" i="47"/>
  <c r="W15" i="47"/>
  <c r="Y15" i="47" s="1"/>
  <c r="W16" i="47"/>
  <c r="W17" i="47"/>
  <c r="V17" i="47" s="1"/>
  <c r="W18" i="47"/>
  <c r="W19" i="47"/>
  <c r="W20" i="47"/>
  <c r="W21" i="47"/>
  <c r="W22" i="47"/>
  <c r="Y22" i="47" s="1"/>
  <c r="W23" i="47"/>
  <c r="V23" i="47" s="1"/>
  <c r="W24" i="47"/>
  <c r="W25" i="47"/>
  <c r="Y25" i="47" s="1"/>
  <c r="W26" i="47"/>
  <c r="W27" i="47"/>
  <c r="W28" i="47"/>
  <c r="W29" i="47"/>
  <c r="V29" i="47" s="1"/>
  <c r="W30" i="47"/>
  <c r="V30" i="47" s="1"/>
  <c r="W31" i="47"/>
  <c r="W32" i="47"/>
  <c r="W33" i="47"/>
  <c r="Y33" i="47" s="1"/>
  <c r="W34" i="47"/>
  <c r="Y34" i="47" s="1"/>
  <c r="W35" i="47"/>
  <c r="W36" i="47"/>
  <c r="W37" i="47"/>
  <c r="W38" i="47"/>
  <c r="W39" i="47"/>
  <c r="W40" i="47"/>
  <c r="W41" i="47"/>
  <c r="V41" i="47" s="1"/>
  <c r="W42" i="47"/>
  <c r="W43" i="47"/>
  <c r="W44" i="47"/>
  <c r="W45" i="47"/>
  <c r="W46" i="47"/>
  <c r="W47" i="47"/>
  <c r="V47" i="47" s="1"/>
  <c r="W48" i="47"/>
  <c r="W49" i="47"/>
  <c r="Y49" i="47" s="1"/>
  <c r="W50" i="47"/>
  <c r="W51" i="47"/>
  <c r="W52" i="47"/>
  <c r="W53" i="47"/>
  <c r="V53" i="47" s="1"/>
  <c r="W54" i="47"/>
  <c r="V54" i="47" s="1"/>
  <c r="X6" i="47"/>
  <c r="X7" i="47"/>
  <c r="X8" i="47"/>
  <c r="X9" i="47"/>
  <c r="X10" i="47"/>
  <c r="X11" i="47"/>
  <c r="X12" i="47"/>
  <c r="X13" i="47"/>
  <c r="X14" i="47"/>
  <c r="X15" i="47"/>
  <c r="AC15" i="47" s="1"/>
  <c r="X16" i="47"/>
  <c r="V16" i="47" s="1"/>
  <c r="X17" i="47"/>
  <c r="X18" i="47"/>
  <c r="X19" i="47"/>
  <c r="X20" i="47"/>
  <c r="X21" i="47"/>
  <c r="X22" i="47"/>
  <c r="X23" i="47"/>
  <c r="X24" i="47"/>
  <c r="AC24" i="47" s="1"/>
  <c r="AD24" i="47" s="1"/>
  <c r="X25" i="47"/>
  <c r="AC25" i="47" s="1"/>
  <c r="AD25" i="47" s="1"/>
  <c r="X26" i="47"/>
  <c r="AC26" i="47" s="1"/>
  <c r="AD26" i="47" s="1"/>
  <c r="X27" i="47"/>
  <c r="AC27" i="47" s="1"/>
  <c r="X28" i="47"/>
  <c r="X29" i="47"/>
  <c r="AC29" i="47" s="1"/>
  <c r="X30" i="47"/>
  <c r="X31" i="47"/>
  <c r="X32" i="47"/>
  <c r="X33" i="47"/>
  <c r="X34" i="47"/>
  <c r="X35" i="47"/>
  <c r="X36" i="47"/>
  <c r="X37" i="47"/>
  <c r="X38" i="47"/>
  <c r="X39" i="47"/>
  <c r="AC39" i="47" s="1"/>
  <c r="X40" i="47"/>
  <c r="V40" i="47" s="1"/>
  <c r="X41" i="47"/>
  <c r="X42" i="47"/>
  <c r="X43" i="47"/>
  <c r="X44" i="47"/>
  <c r="X45" i="47"/>
  <c r="X46" i="47"/>
  <c r="X47" i="47"/>
  <c r="X48" i="47"/>
  <c r="AC48" i="47" s="1"/>
  <c r="X49" i="47"/>
  <c r="AC49" i="47" s="1"/>
  <c r="X50" i="47"/>
  <c r="AC50" i="47" s="1"/>
  <c r="X51" i="47"/>
  <c r="AC51" i="47" s="1"/>
  <c r="X52" i="47"/>
  <c r="X53" i="47"/>
  <c r="AC53" i="47" s="1"/>
  <c r="X54" i="47"/>
  <c r="Y6" i="47"/>
  <c r="Y46" i="47"/>
  <c r="Z6" i="47"/>
  <c r="Z7" i="47"/>
  <c r="Z8" i="47"/>
  <c r="AA8" i="47" s="1"/>
  <c r="Z9" i="47"/>
  <c r="Z10" i="47"/>
  <c r="AA10" i="47" s="1"/>
  <c r="Z11" i="47"/>
  <c r="Y11" i="47" s="1"/>
  <c r="Z12" i="47"/>
  <c r="AA12" i="47" s="1"/>
  <c r="Z13" i="47"/>
  <c r="AA13" i="47" s="1"/>
  <c r="Z14" i="47"/>
  <c r="Y14" i="47" s="1"/>
  <c r="Z15" i="47"/>
  <c r="AA15" i="47" s="1"/>
  <c r="Z16" i="47"/>
  <c r="Z17" i="47"/>
  <c r="Z18" i="47"/>
  <c r="Z19" i="47"/>
  <c r="Z20" i="47"/>
  <c r="Y20" i="47" s="1"/>
  <c r="Z21" i="47"/>
  <c r="Z22" i="47"/>
  <c r="AA22" i="47" s="1"/>
  <c r="Z23" i="47"/>
  <c r="Z24" i="47"/>
  <c r="AA24" i="47" s="1"/>
  <c r="Z25" i="47"/>
  <c r="Z26" i="47"/>
  <c r="Y26" i="47" s="1"/>
  <c r="Z27" i="47"/>
  <c r="Y27" i="47" s="1"/>
  <c r="Z28" i="47"/>
  <c r="Z29" i="47"/>
  <c r="Z30" i="47"/>
  <c r="AA30" i="47" s="1"/>
  <c r="Z31" i="47"/>
  <c r="Z32" i="47"/>
  <c r="AA32" i="47" s="1"/>
  <c r="Z33" i="47"/>
  <c r="Z34" i="47"/>
  <c r="AA34" i="47" s="1"/>
  <c r="Z35" i="47"/>
  <c r="Y35" i="47" s="1"/>
  <c r="Z36" i="47"/>
  <c r="AA36" i="47" s="1"/>
  <c r="Z37" i="47"/>
  <c r="AA37" i="47" s="1"/>
  <c r="Z38" i="47"/>
  <c r="Y38" i="47" s="1"/>
  <c r="Z39" i="47"/>
  <c r="Y39" i="47" s="1"/>
  <c r="Z40" i="47"/>
  <c r="Z41" i="47"/>
  <c r="AA41" i="47" s="1"/>
  <c r="Z42" i="47"/>
  <c r="AA42" i="47" s="1"/>
  <c r="Z43" i="47"/>
  <c r="AA43" i="47" s="1"/>
  <c r="Z44" i="47"/>
  <c r="Y44" i="47" s="1"/>
  <c r="Z45" i="47"/>
  <c r="Z46" i="47"/>
  <c r="AA46" i="47" s="1"/>
  <c r="Z47" i="47"/>
  <c r="Z48" i="47"/>
  <c r="AA48" i="47" s="1"/>
  <c r="Z49" i="47"/>
  <c r="AD49" i="47" s="1"/>
  <c r="Z50" i="47"/>
  <c r="Y50" i="47" s="1"/>
  <c r="Z51" i="47"/>
  <c r="Y51" i="47" s="1"/>
  <c r="Z52" i="47"/>
  <c r="Z53" i="47"/>
  <c r="Z54" i="47"/>
  <c r="AA6" i="47"/>
  <c r="AA9" i="47"/>
  <c r="AA17" i="47"/>
  <c r="AA18" i="47"/>
  <c r="AA19" i="47"/>
  <c r="AA20" i="47"/>
  <c r="AA23" i="47"/>
  <c r="AA25" i="47"/>
  <c r="AA28" i="47"/>
  <c r="AA33" i="47"/>
  <c r="AA44" i="47"/>
  <c r="AA47" i="47"/>
  <c r="AA50" i="47"/>
  <c r="AA52" i="47"/>
  <c r="AA54" i="47"/>
  <c r="AC19" i="47"/>
  <c r="F6" i="46"/>
  <c r="E6" i="46" s="1"/>
  <c r="F7" i="46"/>
  <c r="E7" i="46" s="1"/>
  <c r="F8" i="46"/>
  <c r="E8" i="46" s="1"/>
  <c r="F9" i="46"/>
  <c r="E9" i="46" s="1"/>
  <c r="F10" i="46"/>
  <c r="E10" i="46" s="1"/>
  <c r="F11" i="46"/>
  <c r="E11" i="46" s="1"/>
  <c r="F12" i="46"/>
  <c r="E12" i="46" s="1"/>
  <c r="F13" i="46"/>
  <c r="E13" i="46" s="1"/>
  <c r="F14" i="46"/>
  <c r="E14" i="46" s="1"/>
  <c r="F15" i="46"/>
  <c r="E15" i="46" s="1"/>
  <c r="F16" i="46"/>
  <c r="E16" i="46" s="1"/>
  <c r="F17" i="46"/>
  <c r="E17" i="46" s="1"/>
  <c r="F18" i="46"/>
  <c r="E18" i="46" s="1"/>
  <c r="F19" i="46"/>
  <c r="E19" i="46" s="1"/>
  <c r="F20" i="46"/>
  <c r="E20" i="46" s="1"/>
  <c r="H6" i="46"/>
  <c r="H7" i="46"/>
  <c r="H8" i="46"/>
  <c r="J8" i="46" s="1"/>
  <c r="H9" i="46"/>
  <c r="J9" i="46" s="1"/>
  <c r="H10" i="46"/>
  <c r="J10" i="46" s="1"/>
  <c r="H11" i="46"/>
  <c r="J11" i="46" s="1"/>
  <c r="H12" i="46"/>
  <c r="J12" i="46" s="1"/>
  <c r="H13" i="46"/>
  <c r="H14" i="46"/>
  <c r="H15" i="46"/>
  <c r="H16" i="46"/>
  <c r="H17" i="46"/>
  <c r="H18" i="46"/>
  <c r="H19" i="46"/>
  <c r="H20" i="46"/>
  <c r="I6" i="46"/>
  <c r="I7" i="46"/>
  <c r="I8" i="46"/>
  <c r="I9" i="46"/>
  <c r="I10" i="46"/>
  <c r="I11" i="46"/>
  <c r="I12" i="46"/>
  <c r="I13" i="46"/>
  <c r="I14" i="46"/>
  <c r="I15" i="46"/>
  <c r="I16" i="46"/>
  <c r="G16" i="46" s="1"/>
  <c r="I17" i="46"/>
  <c r="G17" i="46" s="1"/>
  <c r="I18" i="46"/>
  <c r="I19" i="46"/>
  <c r="I20" i="46"/>
  <c r="K6" i="46"/>
  <c r="M6" i="46" s="1"/>
  <c r="K7" i="46"/>
  <c r="K8" i="46"/>
  <c r="K9" i="46"/>
  <c r="K10" i="46"/>
  <c r="K11" i="46"/>
  <c r="K12" i="46"/>
  <c r="K13" i="46"/>
  <c r="M13" i="46" s="1"/>
  <c r="K14" i="46"/>
  <c r="K15" i="46"/>
  <c r="M15" i="46" s="1"/>
  <c r="K16" i="46"/>
  <c r="K17" i="46"/>
  <c r="K18" i="46"/>
  <c r="K19" i="46"/>
  <c r="K20" i="46"/>
  <c r="L6" i="46"/>
  <c r="L7" i="46"/>
  <c r="L8" i="46"/>
  <c r="L9" i="46"/>
  <c r="L10" i="46"/>
  <c r="L11" i="46"/>
  <c r="L12" i="46"/>
  <c r="L13" i="46"/>
  <c r="L14" i="46"/>
  <c r="AC14" i="46" s="1"/>
  <c r="L15" i="46"/>
  <c r="L16" i="46"/>
  <c r="L17" i="46"/>
  <c r="L18" i="46"/>
  <c r="L19" i="46"/>
  <c r="L20" i="46"/>
  <c r="J20" i="46" s="1"/>
  <c r="N6" i="46"/>
  <c r="P6" i="46" s="1"/>
  <c r="N7" i="46"/>
  <c r="N8" i="46"/>
  <c r="P8" i="46" s="1"/>
  <c r="N9" i="46"/>
  <c r="P9" i="46" s="1"/>
  <c r="N10" i="46"/>
  <c r="N11" i="46"/>
  <c r="N12" i="46"/>
  <c r="N13" i="46"/>
  <c r="N14" i="46"/>
  <c r="N15" i="46"/>
  <c r="N16" i="46"/>
  <c r="N17" i="46"/>
  <c r="N18" i="46"/>
  <c r="N19" i="46"/>
  <c r="N20" i="46"/>
  <c r="O6" i="46"/>
  <c r="O7" i="46"/>
  <c r="O8" i="46"/>
  <c r="O9" i="46"/>
  <c r="O10" i="46"/>
  <c r="O11" i="46"/>
  <c r="O12" i="46"/>
  <c r="O13" i="46"/>
  <c r="O14" i="46"/>
  <c r="O15" i="46"/>
  <c r="O16" i="46"/>
  <c r="O17" i="46"/>
  <c r="O18" i="46"/>
  <c r="O19" i="46"/>
  <c r="O20" i="46"/>
  <c r="Q6" i="46"/>
  <c r="Q7" i="46"/>
  <c r="P7" i="46" s="1"/>
  <c r="Q8" i="46"/>
  <c r="Q9" i="46"/>
  <c r="S9" i="46" s="1"/>
  <c r="Q10" i="46"/>
  <c r="Q11" i="46"/>
  <c r="S11" i="46" s="1"/>
  <c r="Q12" i="46"/>
  <c r="Q13" i="46"/>
  <c r="S13" i="46" s="1"/>
  <c r="Q14" i="46"/>
  <c r="S14" i="46" s="1"/>
  <c r="Q15" i="46"/>
  <c r="Q16" i="46"/>
  <c r="Q17" i="46"/>
  <c r="Q18" i="46"/>
  <c r="S18" i="46" s="1"/>
  <c r="Q19" i="46"/>
  <c r="Q20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S7" i="46"/>
  <c r="S8" i="46"/>
  <c r="T6" i="46"/>
  <c r="T7" i="46"/>
  <c r="T8" i="46"/>
  <c r="T9" i="46"/>
  <c r="T10" i="46"/>
  <c r="T11" i="46"/>
  <c r="T12" i="46"/>
  <c r="V12" i="46" s="1"/>
  <c r="T13" i="46"/>
  <c r="V13" i="46" s="1"/>
  <c r="T14" i="46"/>
  <c r="V14" i="46" s="1"/>
  <c r="T15" i="46"/>
  <c r="T16" i="46"/>
  <c r="T17" i="46"/>
  <c r="T18" i="46"/>
  <c r="T19" i="46"/>
  <c r="T20" i="46"/>
  <c r="U6" i="46"/>
  <c r="S6" i="46" s="1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S19" i="46" s="1"/>
  <c r="U20" i="46"/>
  <c r="W6" i="46"/>
  <c r="W7" i="46"/>
  <c r="W8" i="46"/>
  <c r="W9" i="46"/>
  <c r="W10" i="46"/>
  <c r="W11" i="46"/>
  <c r="V11" i="46" s="1"/>
  <c r="W12" i="46"/>
  <c r="W13" i="46"/>
  <c r="Y13" i="46" s="1"/>
  <c r="W14" i="46"/>
  <c r="Y14" i="46" s="1"/>
  <c r="W15" i="46"/>
  <c r="Y15" i="46" s="1"/>
  <c r="W16" i="46"/>
  <c r="Y16" i="46" s="1"/>
  <c r="W17" i="46"/>
  <c r="Y17" i="46" s="1"/>
  <c r="W18" i="46"/>
  <c r="W19" i="46"/>
  <c r="W20" i="46"/>
  <c r="X6" i="46"/>
  <c r="X7" i="46"/>
  <c r="X8" i="46"/>
  <c r="V8" i="46" s="1"/>
  <c r="X9" i="46"/>
  <c r="X10" i="46"/>
  <c r="V10" i="46" s="1"/>
  <c r="X11" i="46"/>
  <c r="X12" i="46"/>
  <c r="X13" i="46"/>
  <c r="X14" i="46"/>
  <c r="X15" i="46"/>
  <c r="X16" i="46"/>
  <c r="AC16" i="46" s="1"/>
  <c r="AD16" i="46" s="1"/>
  <c r="X17" i="46"/>
  <c r="X18" i="46"/>
  <c r="X19" i="46"/>
  <c r="AC19" i="46" s="1"/>
  <c r="X20" i="46"/>
  <c r="AC20" i="46" s="1"/>
  <c r="Y6" i="46"/>
  <c r="Z6" i="46"/>
  <c r="Z7" i="46"/>
  <c r="Z8" i="46"/>
  <c r="Z9" i="46"/>
  <c r="AA9" i="46" s="1"/>
  <c r="Z10" i="46"/>
  <c r="Z11" i="46"/>
  <c r="AA11" i="46" s="1"/>
  <c r="Z12" i="46"/>
  <c r="AA12" i="46" s="1"/>
  <c r="Z13" i="46"/>
  <c r="AA13" i="46" s="1"/>
  <c r="Z14" i="46"/>
  <c r="AA14" i="46" s="1"/>
  <c r="Z15" i="46"/>
  <c r="AA15" i="46" s="1"/>
  <c r="Z16" i="46"/>
  <c r="AA16" i="46" s="1"/>
  <c r="Z17" i="46"/>
  <c r="AA17" i="46" s="1"/>
  <c r="Z18" i="46"/>
  <c r="AA18" i="46" s="1"/>
  <c r="Z19" i="46"/>
  <c r="AA19" i="46" s="1"/>
  <c r="Z20" i="46"/>
  <c r="AA20" i="46" s="1"/>
  <c r="AA6" i="46"/>
  <c r="AA7" i="46"/>
  <c r="AA8" i="46"/>
  <c r="AA10" i="46"/>
  <c r="F6" i="21"/>
  <c r="F7" i="21"/>
  <c r="F8" i="21"/>
  <c r="F9" i="21"/>
  <c r="F10" i="21"/>
  <c r="F11" i="21"/>
  <c r="F12" i="21"/>
  <c r="F13" i="21"/>
  <c r="F14" i="21"/>
  <c r="F15" i="21"/>
  <c r="F16" i="21"/>
  <c r="F17" i="21"/>
  <c r="H17" i="21" s="1"/>
  <c r="F18" i="21"/>
  <c r="H18" i="21" s="1"/>
  <c r="F19" i="21"/>
  <c r="H19" i="21" s="1"/>
  <c r="F20" i="21"/>
  <c r="F21" i="21"/>
  <c r="F22" i="21"/>
  <c r="F23" i="21"/>
  <c r="E23" i="21" s="1"/>
  <c r="F24" i="21"/>
  <c r="F25" i="21"/>
  <c r="E25" i="21" s="1"/>
  <c r="F26" i="21"/>
  <c r="E26" i="21" s="1"/>
  <c r="F27" i="21"/>
  <c r="E27" i="21" s="1"/>
  <c r="F28" i="21"/>
  <c r="E28" i="21" s="1"/>
  <c r="F29" i="21"/>
  <c r="E29" i="21" s="1"/>
  <c r="F30" i="21"/>
  <c r="F31" i="21"/>
  <c r="F32" i="21"/>
  <c r="F33" i="21"/>
  <c r="F34" i="21"/>
  <c r="G6" i="21"/>
  <c r="G7" i="21"/>
  <c r="G8" i="21"/>
  <c r="G9" i="21"/>
  <c r="G10" i="21"/>
  <c r="G11" i="21"/>
  <c r="E11" i="21" s="1"/>
  <c r="G12" i="21"/>
  <c r="G13" i="21"/>
  <c r="G14" i="21"/>
  <c r="E14" i="21" s="1"/>
  <c r="G15" i="21"/>
  <c r="E15" i="21" s="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H10" i="21"/>
  <c r="H11" i="21"/>
  <c r="H12" i="21"/>
  <c r="H13" i="21"/>
  <c r="H14" i="21"/>
  <c r="H34" i="21"/>
  <c r="I6" i="21"/>
  <c r="I7" i="21"/>
  <c r="I8" i="21"/>
  <c r="I9" i="21"/>
  <c r="J9" i="21" s="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H25" i="21" s="1"/>
  <c r="I26" i="21"/>
  <c r="H26" i="21" s="1"/>
  <c r="I27" i="21"/>
  <c r="H27" i="21" s="1"/>
  <c r="I28" i="21"/>
  <c r="H28" i="21" s="1"/>
  <c r="I29" i="21"/>
  <c r="I30" i="21"/>
  <c r="I31" i="21"/>
  <c r="I32" i="21"/>
  <c r="I33" i="21"/>
  <c r="J33" i="21" s="1"/>
  <c r="I34" i="21"/>
  <c r="J24" i="21"/>
  <c r="K6" i="21"/>
  <c r="K7" i="21"/>
  <c r="K8" i="21"/>
  <c r="K9" i="21"/>
  <c r="K10" i="21"/>
  <c r="K11" i="21"/>
  <c r="M11" i="21" s="1"/>
  <c r="K12" i="21"/>
  <c r="K13" i="21"/>
  <c r="K14" i="21"/>
  <c r="K15" i="21"/>
  <c r="M15" i="21" s="1"/>
  <c r="K16" i="21"/>
  <c r="K17" i="21"/>
  <c r="K18" i="21"/>
  <c r="K19" i="21"/>
  <c r="K20" i="21"/>
  <c r="K21" i="21"/>
  <c r="K22" i="21"/>
  <c r="K23" i="21"/>
  <c r="M23" i="21" s="1"/>
  <c r="K24" i="21"/>
  <c r="K25" i="21"/>
  <c r="K26" i="21"/>
  <c r="K27" i="21"/>
  <c r="K28" i="21"/>
  <c r="K29" i="21"/>
  <c r="K30" i="21"/>
  <c r="K31" i="21"/>
  <c r="K32" i="21"/>
  <c r="K33" i="21"/>
  <c r="K34" i="21"/>
  <c r="L6" i="21"/>
  <c r="L7" i="21"/>
  <c r="L8" i="21"/>
  <c r="L9" i="21"/>
  <c r="L10" i="21"/>
  <c r="L11" i="21"/>
  <c r="L12" i="21"/>
  <c r="L13" i="21"/>
  <c r="J13" i="21" s="1"/>
  <c r="L14" i="21"/>
  <c r="J14" i="21" s="1"/>
  <c r="L15" i="21"/>
  <c r="L16" i="21"/>
  <c r="L17" i="21"/>
  <c r="L18" i="21"/>
  <c r="AE18" i="21" s="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M9" i="21"/>
  <c r="M10" i="21"/>
  <c r="M34" i="21"/>
  <c r="N6" i="21"/>
  <c r="N7" i="21"/>
  <c r="N8" i="21"/>
  <c r="N9" i="21"/>
  <c r="N10" i="21"/>
  <c r="N11" i="21"/>
  <c r="N12" i="21"/>
  <c r="N13" i="21"/>
  <c r="M13" i="21" s="1"/>
  <c r="N14" i="21"/>
  <c r="M14" i="21" s="1"/>
  <c r="N15" i="21"/>
  <c r="N16" i="21"/>
  <c r="N17" i="21"/>
  <c r="N18" i="21"/>
  <c r="N19" i="21"/>
  <c r="N20" i="21"/>
  <c r="P20" i="21" s="1"/>
  <c r="N21" i="21"/>
  <c r="P21" i="21" s="1"/>
  <c r="N22" i="21"/>
  <c r="P22" i="21" s="1"/>
  <c r="N23" i="21"/>
  <c r="P23" i="21" s="1"/>
  <c r="N24" i="21"/>
  <c r="P24" i="21" s="1"/>
  <c r="N25" i="21"/>
  <c r="P25" i="21" s="1"/>
  <c r="N26" i="21"/>
  <c r="N27" i="21"/>
  <c r="N28" i="21"/>
  <c r="N29" i="21"/>
  <c r="N30" i="21"/>
  <c r="N31" i="21"/>
  <c r="N32" i="21"/>
  <c r="N33" i="21"/>
  <c r="N34" i="21"/>
  <c r="O6" i="21"/>
  <c r="O7" i="21"/>
  <c r="O8" i="21"/>
  <c r="O9" i="21"/>
  <c r="O10" i="21"/>
  <c r="O11" i="21"/>
  <c r="O12" i="21"/>
  <c r="M12" i="21" s="1"/>
  <c r="O13" i="21"/>
  <c r="O14" i="21"/>
  <c r="O15" i="21"/>
  <c r="O16" i="21"/>
  <c r="O17" i="21"/>
  <c r="O18" i="21"/>
  <c r="O19" i="21"/>
  <c r="AE19" i="21" s="1"/>
  <c r="O20" i="21"/>
  <c r="O21" i="21"/>
  <c r="O22" i="21"/>
  <c r="O23" i="21"/>
  <c r="O24" i="21"/>
  <c r="AE24" i="21" s="1"/>
  <c r="O25" i="21"/>
  <c r="O26" i="21"/>
  <c r="O27" i="21"/>
  <c r="O28" i="21"/>
  <c r="O29" i="21"/>
  <c r="O30" i="21"/>
  <c r="O31" i="21"/>
  <c r="O32" i="21"/>
  <c r="O33" i="21"/>
  <c r="M33" i="21" s="1"/>
  <c r="O34" i="21"/>
  <c r="P19" i="21"/>
  <c r="Q6" i="21"/>
  <c r="S6" i="21" s="1"/>
  <c r="Q7" i="21"/>
  <c r="S7" i="21" s="1"/>
  <c r="Q8" i="21"/>
  <c r="S8" i="21" s="1"/>
  <c r="Q9" i="21"/>
  <c r="Q10" i="21"/>
  <c r="S10" i="21" s="1"/>
  <c r="Q11" i="21"/>
  <c r="S11" i="21" s="1"/>
  <c r="Q12" i="21"/>
  <c r="Q13" i="21"/>
  <c r="Q14" i="21"/>
  <c r="S14" i="21" s="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S27" i="21" s="1"/>
  <c r="Q28" i="21"/>
  <c r="S28" i="21" s="1"/>
  <c r="Q29" i="21"/>
  <c r="S29" i="21" s="1"/>
  <c r="Q30" i="21"/>
  <c r="S30" i="21" s="1"/>
  <c r="Q31" i="21"/>
  <c r="S31" i="21" s="1"/>
  <c r="Q32" i="21"/>
  <c r="S32" i="21" s="1"/>
  <c r="Q33" i="21"/>
  <c r="Q34" i="21"/>
  <c r="S34" i="21" s="1"/>
  <c r="R6" i="21"/>
  <c r="R7" i="21"/>
  <c r="R8" i="21"/>
  <c r="R9" i="21"/>
  <c r="AE9" i="21" s="1"/>
  <c r="AF9" i="21" s="1"/>
  <c r="R10" i="21"/>
  <c r="R11" i="21"/>
  <c r="P11" i="21" s="1"/>
  <c r="R12" i="21"/>
  <c r="R13" i="21"/>
  <c r="R14" i="21"/>
  <c r="R15" i="21"/>
  <c r="R16" i="21"/>
  <c r="R17" i="21"/>
  <c r="R18" i="21"/>
  <c r="P18" i="21" s="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AE33" i="21" s="1"/>
  <c r="AF33" i="21" s="1"/>
  <c r="R34" i="21"/>
  <c r="T6" i="21"/>
  <c r="U6" i="21" s="1"/>
  <c r="T7" i="21"/>
  <c r="T8" i="21"/>
  <c r="U8" i="21" s="1"/>
  <c r="T9" i="21"/>
  <c r="U9" i="21" s="1"/>
  <c r="T10" i="21"/>
  <c r="T11" i="21"/>
  <c r="U11" i="21" s="1"/>
  <c r="T12" i="21"/>
  <c r="V12" i="21" s="1"/>
  <c r="T13" i="21"/>
  <c r="V13" i="21" s="1"/>
  <c r="T14" i="21"/>
  <c r="V14" i="21" s="1"/>
  <c r="T15" i="21"/>
  <c r="V15" i="21" s="1"/>
  <c r="T16" i="21"/>
  <c r="V16" i="21" s="1"/>
  <c r="T17" i="21"/>
  <c r="V17" i="21" s="1"/>
  <c r="T18" i="21"/>
  <c r="T19" i="21"/>
  <c r="V19" i="21" s="1"/>
  <c r="T20" i="21"/>
  <c r="T21" i="21"/>
  <c r="V21" i="21" s="1"/>
  <c r="T22" i="21"/>
  <c r="U22" i="21" s="1"/>
  <c r="T23" i="21"/>
  <c r="U23" i="21" s="1"/>
  <c r="T24" i="21"/>
  <c r="U24" i="21" s="1"/>
  <c r="T25" i="21"/>
  <c r="U25" i="21" s="1"/>
  <c r="T26" i="21"/>
  <c r="U26" i="21" s="1"/>
  <c r="T27" i="21"/>
  <c r="U27" i="21" s="1"/>
  <c r="T28" i="21"/>
  <c r="U28" i="21" s="1"/>
  <c r="T29" i="21"/>
  <c r="U29" i="21" s="1"/>
  <c r="T30" i="21"/>
  <c r="U30" i="21" s="1"/>
  <c r="T31" i="21"/>
  <c r="T32" i="21"/>
  <c r="U32" i="21" s="1"/>
  <c r="T33" i="21"/>
  <c r="U33" i="21" s="1"/>
  <c r="T34" i="21"/>
  <c r="U34" i="21" s="1"/>
  <c r="U7" i="21"/>
  <c r="U10" i="21"/>
  <c r="U12" i="21"/>
  <c r="U13" i="21"/>
  <c r="U14" i="21"/>
  <c r="U18" i="21"/>
  <c r="U31" i="21"/>
  <c r="W6" i="21"/>
  <c r="W7" i="21"/>
  <c r="W8" i="21"/>
  <c r="Y8" i="21" s="1"/>
  <c r="W9" i="21"/>
  <c r="V9" i="21" s="1"/>
  <c r="W10" i="21"/>
  <c r="Y10" i="21" s="1"/>
  <c r="W11" i="21"/>
  <c r="Y11" i="21" s="1"/>
  <c r="W12" i="21"/>
  <c r="W13" i="21"/>
  <c r="W14" i="21"/>
  <c r="W15" i="21"/>
  <c r="W16" i="21"/>
  <c r="W17" i="21"/>
  <c r="W18" i="21"/>
  <c r="W19" i="21"/>
  <c r="W20" i="21"/>
  <c r="W21" i="21"/>
  <c r="Y21" i="21" s="1"/>
  <c r="W22" i="21"/>
  <c r="W23" i="21"/>
  <c r="Y23" i="21" s="1"/>
  <c r="W24" i="21"/>
  <c r="Y24" i="21" s="1"/>
  <c r="W25" i="21"/>
  <c r="Y25" i="21" s="1"/>
  <c r="W26" i="21"/>
  <c r="Y26" i="21" s="1"/>
  <c r="W27" i="21"/>
  <c r="Y27" i="21" s="1"/>
  <c r="W28" i="21"/>
  <c r="Y28" i="21" s="1"/>
  <c r="W29" i="21"/>
  <c r="W30" i="21"/>
  <c r="W31" i="21"/>
  <c r="W32" i="21"/>
  <c r="Y32" i="21" s="1"/>
  <c r="W33" i="21"/>
  <c r="Y33" i="21" s="1"/>
  <c r="W34" i="21"/>
  <c r="Y34" i="21" s="1"/>
  <c r="X6" i="21"/>
  <c r="V6" i="21" s="1"/>
  <c r="X7" i="21"/>
  <c r="X8" i="21"/>
  <c r="X9" i="21"/>
  <c r="X10" i="21"/>
  <c r="X11" i="21"/>
  <c r="X12" i="21"/>
  <c r="X13" i="21"/>
  <c r="X14" i="21"/>
  <c r="X15" i="21"/>
  <c r="X16" i="21"/>
  <c r="X17" i="21"/>
  <c r="X18" i="21"/>
  <c r="X19" i="21"/>
  <c r="X20" i="21"/>
  <c r="X21" i="21"/>
  <c r="X22" i="21"/>
  <c r="X23" i="21"/>
  <c r="X24" i="21"/>
  <c r="X25" i="21"/>
  <c r="X26" i="21"/>
  <c r="X27" i="21"/>
  <c r="X28" i="21"/>
  <c r="V28" i="21" s="1"/>
  <c r="X29" i="21"/>
  <c r="V29" i="21" s="1"/>
  <c r="X30" i="21"/>
  <c r="V30" i="21" s="1"/>
  <c r="X31" i="21"/>
  <c r="X32" i="21"/>
  <c r="X33" i="21"/>
  <c r="X34" i="21"/>
  <c r="Z6" i="21"/>
  <c r="Z7" i="21"/>
  <c r="Z8" i="21"/>
  <c r="Z9" i="21"/>
  <c r="Z10" i="21"/>
  <c r="Z11" i="21"/>
  <c r="AB11" i="21" s="1"/>
  <c r="Z12" i="21"/>
  <c r="AB12" i="21" s="1"/>
  <c r="Z13" i="21"/>
  <c r="AB13" i="21" s="1"/>
  <c r="Z14" i="21"/>
  <c r="Z15" i="21"/>
  <c r="Z16" i="21"/>
  <c r="Z17" i="21"/>
  <c r="AB17" i="21" s="1"/>
  <c r="Z18" i="21"/>
  <c r="AB18" i="21" s="1"/>
  <c r="Z19" i="21"/>
  <c r="Y19" i="21" s="1"/>
  <c r="Z20" i="21"/>
  <c r="AB20" i="21" s="1"/>
  <c r="Z21" i="21"/>
  <c r="Z22" i="21"/>
  <c r="Y22" i="21" s="1"/>
  <c r="Z23" i="21"/>
  <c r="Z24" i="21"/>
  <c r="Z25" i="21"/>
  <c r="Z26" i="21"/>
  <c r="Z27" i="21"/>
  <c r="Z28" i="21"/>
  <c r="Z29" i="21"/>
  <c r="Z30" i="21"/>
  <c r="Z31" i="21"/>
  <c r="Z32" i="21"/>
  <c r="Z33" i="21"/>
  <c r="Z34" i="21"/>
  <c r="AB34" i="21" s="1"/>
  <c r="AA6" i="21"/>
  <c r="AA7" i="21"/>
  <c r="AA8" i="21"/>
  <c r="AA9" i="21"/>
  <c r="AA10" i="21"/>
  <c r="AA11" i="21"/>
  <c r="AA12" i="21"/>
  <c r="AA13" i="21"/>
  <c r="AA14" i="21"/>
  <c r="AA15" i="21"/>
  <c r="AA16" i="21"/>
  <c r="AA17" i="21"/>
  <c r="AA18" i="21"/>
  <c r="AA19" i="21"/>
  <c r="AA20" i="21"/>
  <c r="AA21" i="21"/>
  <c r="AA22" i="21"/>
  <c r="AA23" i="21"/>
  <c r="AA24" i="21"/>
  <c r="AA25" i="21"/>
  <c r="AA26" i="21"/>
  <c r="AA27" i="21"/>
  <c r="AA28" i="21"/>
  <c r="AA29" i="21"/>
  <c r="AA30" i="21"/>
  <c r="AA31" i="21"/>
  <c r="AA32" i="21"/>
  <c r="AA33" i="21"/>
  <c r="AA34" i="21"/>
  <c r="AB7" i="21"/>
  <c r="AB8" i="21"/>
  <c r="AB9" i="21"/>
  <c r="AB10" i="21"/>
  <c r="AB31" i="21"/>
  <c r="AB32" i="21"/>
  <c r="AB33" i="21"/>
  <c r="AC6" i="21"/>
  <c r="AD6" i="21" s="1"/>
  <c r="AC7" i="21"/>
  <c r="AC8" i="21"/>
  <c r="AD8" i="21" s="1"/>
  <c r="AC9" i="21"/>
  <c r="AC10" i="21"/>
  <c r="AC11" i="21"/>
  <c r="AD11" i="21" s="1"/>
  <c r="AC12" i="21"/>
  <c r="AC13" i="21"/>
  <c r="AC14" i="21"/>
  <c r="AC15" i="21"/>
  <c r="AC16" i="21"/>
  <c r="AD16" i="21" s="1"/>
  <c r="AC17" i="21"/>
  <c r="AD17" i="21" s="1"/>
  <c r="AC18" i="21"/>
  <c r="AC19" i="21"/>
  <c r="AC20" i="21"/>
  <c r="AC21" i="21"/>
  <c r="AC22" i="21"/>
  <c r="AC23" i="21"/>
  <c r="AD23" i="21" s="1"/>
  <c r="AC24" i="21"/>
  <c r="AF24" i="21" s="1"/>
  <c r="AC25" i="21"/>
  <c r="AD25" i="21" s="1"/>
  <c r="AC26" i="21"/>
  <c r="AD26" i="21" s="1"/>
  <c r="AC27" i="21"/>
  <c r="AD27" i="21" s="1"/>
  <c r="AC28" i="21"/>
  <c r="AD28" i="21" s="1"/>
  <c r="AC29" i="21"/>
  <c r="AB29" i="21" s="1"/>
  <c r="AC30" i="21"/>
  <c r="AD30" i="21" s="1"/>
  <c r="AC31" i="21"/>
  <c r="AC32" i="21"/>
  <c r="AD32" i="21" s="1"/>
  <c r="AC33" i="21"/>
  <c r="AC34" i="21"/>
  <c r="AD34" i="21" s="1"/>
  <c r="AD7" i="21"/>
  <c r="AD9" i="21"/>
  <c r="AD10" i="21"/>
  <c r="AD12" i="21"/>
  <c r="AD13" i="21"/>
  <c r="AD14" i="21"/>
  <c r="AD15" i="21"/>
  <c r="AD18" i="21"/>
  <c r="AD19" i="21"/>
  <c r="AD20" i="21"/>
  <c r="AD21" i="21"/>
  <c r="AD22" i="21"/>
  <c r="AD31" i="21"/>
  <c r="AD33" i="21"/>
  <c r="H11025" i="29"/>
  <c r="H10905" i="29"/>
  <c r="H10904" i="29"/>
  <c r="H10903" i="29"/>
  <c r="H10902" i="29"/>
  <c r="H10901" i="29"/>
  <c r="H10900" i="29"/>
  <c r="H10899" i="29"/>
  <c r="H10898" i="29"/>
  <c r="H10897" i="29"/>
  <c r="H10896" i="29"/>
  <c r="H10895" i="29"/>
  <c r="H10894" i="29"/>
  <c r="H10893" i="29"/>
  <c r="H10892" i="29"/>
  <c r="H10891" i="29"/>
  <c r="H10890" i="29"/>
  <c r="H10960" i="29"/>
  <c r="H10959" i="29"/>
  <c r="H10958" i="29"/>
  <c r="H10957" i="29"/>
  <c r="H10956" i="29"/>
  <c r="H10955" i="29"/>
  <c r="H10954" i="29"/>
  <c r="H10953" i="29"/>
  <c r="H10952" i="29"/>
  <c r="H10951" i="29"/>
  <c r="H10950" i="29"/>
  <c r="H10949" i="29"/>
  <c r="H10948" i="29"/>
  <c r="H10947" i="29"/>
  <c r="H10946" i="29"/>
  <c r="H10945" i="29"/>
  <c r="H10944" i="29"/>
  <c r="H10943" i="29"/>
  <c r="H10942" i="29"/>
  <c r="H11024" i="29"/>
  <c r="H11023" i="29"/>
  <c r="H11022" i="29"/>
  <c r="H11021" i="29"/>
  <c r="H11020" i="29"/>
  <c r="H11019" i="29"/>
  <c r="H11018" i="29"/>
  <c r="H11017" i="29"/>
  <c r="H11016" i="29"/>
  <c r="H11015" i="29"/>
  <c r="H11014" i="29"/>
  <c r="H11013" i="29"/>
  <c r="H10872" i="29"/>
  <c r="H10871" i="29"/>
  <c r="H11012" i="29"/>
  <c r="H11011" i="29"/>
  <c r="H11010" i="29"/>
  <c r="H11009" i="29"/>
  <c r="H11008" i="29"/>
  <c r="H11007" i="29"/>
  <c r="H11006" i="29"/>
  <c r="H11005" i="29"/>
  <c r="H11004" i="29"/>
  <c r="H11003" i="29"/>
  <c r="H11002" i="29"/>
  <c r="H11001" i="29"/>
  <c r="H11000" i="29"/>
  <c r="H10999" i="29"/>
  <c r="H10998" i="29"/>
  <c r="H10997" i="29"/>
  <c r="H10889" i="29"/>
  <c r="H10888" i="29"/>
  <c r="H10887" i="29"/>
  <c r="H10886" i="29"/>
  <c r="H10885" i="29"/>
  <c r="H10884" i="29"/>
  <c r="H10883" i="29"/>
  <c r="H10882" i="29"/>
  <c r="H10941" i="29"/>
  <c r="H10940" i="29"/>
  <c r="H10939" i="29"/>
  <c r="H10938" i="29"/>
  <c r="H10937" i="29"/>
  <c r="H10936" i="29"/>
  <c r="H10935" i="29"/>
  <c r="H10934" i="29"/>
  <c r="H10933" i="29"/>
  <c r="H10932" i="29"/>
  <c r="H10931" i="29"/>
  <c r="H10930" i="29"/>
  <c r="H10929" i="29"/>
  <c r="H10928" i="29"/>
  <c r="H10927" i="29"/>
  <c r="H10926" i="29"/>
  <c r="H10925" i="29"/>
  <c r="H10924" i="29"/>
  <c r="H10923" i="29"/>
  <c r="H10922" i="29"/>
  <c r="H10921" i="29"/>
  <c r="H10996" i="29"/>
  <c r="H10995" i="29"/>
  <c r="H10994" i="29"/>
  <c r="H10993" i="29"/>
  <c r="H10992" i="29"/>
  <c r="H10991" i="29"/>
  <c r="H10990" i="29"/>
  <c r="H10989" i="29"/>
  <c r="H10988" i="29"/>
  <c r="H10987" i="29"/>
  <c r="H10986" i="29"/>
  <c r="H10985" i="29"/>
  <c r="H10984" i="29"/>
  <c r="H10983" i="29"/>
  <c r="H10982" i="29"/>
  <c r="H11111" i="29"/>
  <c r="H11110" i="29"/>
  <c r="H11099" i="29"/>
  <c r="H11109" i="29"/>
  <c r="H11108" i="29"/>
  <c r="H11107" i="29"/>
  <c r="H11106" i="29"/>
  <c r="H11105" i="29"/>
  <c r="H11104" i="29"/>
  <c r="H11103" i="29"/>
  <c r="H11102" i="29"/>
  <c r="H11101" i="29"/>
  <c r="H11100" i="29"/>
  <c r="H11098" i="29"/>
  <c r="H11097" i="29"/>
  <c r="H11096" i="29"/>
  <c r="H11095" i="29"/>
  <c r="H11094" i="29"/>
  <c r="H11093" i="29"/>
  <c r="H11092" i="29"/>
  <c r="H11091" i="29"/>
  <c r="H11090" i="29"/>
  <c r="H11089" i="29"/>
  <c r="H11088" i="29"/>
  <c r="H11087" i="29"/>
  <c r="H11086" i="29"/>
  <c r="H11085" i="29"/>
  <c r="H10881" i="29"/>
  <c r="H10880" i="29"/>
  <c r="H10879" i="29"/>
  <c r="H10878" i="29"/>
  <c r="H10877" i="29"/>
  <c r="H10876" i="29"/>
  <c r="H10875" i="29"/>
  <c r="H10874" i="29"/>
  <c r="H10859" i="29"/>
  <c r="H10858" i="29"/>
  <c r="H10870" i="29"/>
  <c r="H10869" i="29"/>
  <c r="H10868" i="29"/>
  <c r="H10867" i="29"/>
  <c r="H10866" i="29"/>
  <c r="H10865" i="29"/>
  <c r="H10864" i="29"/>
  <c r="H10863" i="29"/>
  <c r="H11084" i="29"/>
  <c r="H11083" i="29"/>
  <c r="H11082" i="29"/>
  <c r="H11081" i="29"/>
  <c r="H11080" i="29"/>
  <c r="H11079" i="29"/>
  <c r="H11078" i="29"/>
  <c r="H11077" i="29"/>
  <c r="H11076" i="29"/>
  <c r="H11075" i="29"/>
  <c r="H11074" i="29"/>
  <c r="H11073" i="29"/>
  <c r="H11072" i="29"/>
  <c r="H11071" i="29"/>
  <c r="H11070" i="29"/>
  <c r="H11069" i="29"/>
  <c r="H11068" i="29"/>
  <c r="H11067" i="29"/>
  <c r="H11066" i="29"/>
  <c r="H11065" i="29"/>
  <c r="H10861" i="29"/>
  <c r="H10860" i="29"/>
  <c r="H10920" i="29"/>
  <c r="H10919" i="29"/>
  <c r="H10918" i="29"/>
  <c r="H10917" i="29"/>
  <c r="H10916" i="29"/>
  <c r="H10915" i="29"/>
  <c r="H10914" i="29"/>
  <c r="H10913" i="29"/>
  <c r="H10912" i="29"/>
  <c r="H10911" i="29"/>
  <c r="H10910" i="29"/>
  <c r="H10909" i="29"/>
  <c r="H10908" i="29"/>
  <c r="H10907" i="29"/>
  <c r="H10906" i="29"/>
  <c r="H11064" i="29"/>
  <c r="H11063" i="29"/>
  <c r="H11062" i="29"/>
  <c r="H11061" i="29"/>
  <c r="H11060" i="29"/>
  <c r="H11059" i="29"/>
  <c r="H11058" i="29"/>
  <c r="H11057" i="29"/>
  <c r="H11056" i="29"/>
  <c r="H11055" i="29"/>
  <c r="H11054" i="29"/>
  <c r="H11053" i="29"/>
  <c r="H11052" i="29"/>
  <c r="H11051" i="29"/>
  <c r="H11050" i="29"/>
  <c r="H11049" i="29"/>
  <c r="H11048" i="29"/>
  <c r="H11047" i="29"/>
  <c r="H10981" i="29"/>
  <c r="H10980" i="29"/>
  <c r="H10979" i="29"/>
  <c r="H10978" i="29"/>
  <c r="H10977" i="29"/>
  <c r="H10976" i="29"/>
  <c r="H10975" i="29"/>
  <c r="H10974" i="29"/>
  <c r="H10973" i="29"/>
  <c r="H10972" i="29"/>
  <c r="H10971" i="29"/>
  <c r="H10970" i="29"/>
  <c r="H10969" i="29"/>
  <c r="H10967" i="29"/>
  <c r="H10966" i="29"/>
  <c r="H10965" i="29"/>
  <c r="H10964" i="29"/>
  <c r="H10963" i="29"/>
  <c r="H10962" i="29"/>
  <c r="H10961" i="29"/>
  <c r="H11046" i="29"/>
  <c r="H11045" i="29"/>
  <c r="H11044" i="29"/>
  <c r="H11043" i="29"/>
  <c r="H11042" i="29"/>
  <c r="H11041" i="29"/>
  <c r="H11040" i="29"/>
  <c r="H11039" i="29"/>
  <c r="H11038" i="29"/>
  <c r="H11037" i="29"/>
  <c r="H11036" i="29"/>
  <c r="H11035" i="29"/>
  <c r="H11033" i="29"/>
  <c r="H11032" i="29"/>
  <c r="H11031" i="29"/>
  <c r="H11030" i="29"/>
  <c r="H11029" i="29"/>
  <c r="H11028" i="29"/>
  <c r="H11027" i="29"/>
  <c r="H11026" i="29"/>
  <c r="H10817" i="29"/>
  <c r="H10873" i="29"/>
  <c r="H10862" i="29"/>
  <c r="H10857" i="29"/>
  <c r="H10856" i="29"/>
  <c r="H654" i="29"/>
  <c r="H10855" i="29"/>
  <c r="H10854" i="29"/>
  <c r="H10853" i="29"/>
  <c r="H10852" i="29"/>
  <c r="H10851" i="29"/>
  <c r="H10850" i="29"/>
  <c r="H10847" i="29"/>
  <c r="H10846" i="29"/>
  <c r="H10845" i="29"/>
  <c r="H10844" i="29"/>
  <c r="H10842" i="29"/>
  <c r="H10841" i="29"/>
  <c r="H10840" i="29"/>
  <c r="H10839" i="29"/>
  <c r="H10838" i="29"/>
  <c r="H10837" i="29"/>
  <c r="H10836" i="29"/>
  <c r="H10835" i="29"/>
  <c r="H10834" i="29"/>
  <c r="H10833" i="29"/>
  <c r="H10832" i="29"/>
  <c r="H10831" i="29"/>
  <c r="H10781" i="29"/>
  <c r="H10848" i="29"/>
  <c r="H10830" i="29"/>
  <c r="H10829" i="29"/>
  <c r="H10638" i="29"/>
  <c r="H10828" i="29"/>
  <c r="H10827" i="29"/>
  <c r="H10826" i="29"/>
  <c r="H10825" i="29"/>
  <c r="H10824" i="29"/>
  <c r="H10820" i="29"/>
  <c r="H10823" i="29"/>
  <c r="H10822" i="29"/>
  <c r="H10815" i="29"/>
  <c r="H10821" i="29"/>
  <c r="H10816" i="29"/>
  <c r="H10819" i="29"/>
  <c r="H10818" i="29"/>
  <c r="H10814" i="29"/>
  <c r="H10813" i="29"/>
  <c r="H10812" i="29"/>
  <c r="H10811" i="29"/>
  <c r="H10810" i="29"/>
  <c r="H10809" i="29"/>
  <c r="H10808" i="29"/>
  <c r="H10807" i="29"/>
  <c r="H10806" i="29"/>
  <c r="H10805" i="29"/>
  <c r="H10804" i="29"/>
  <c r="H10803" i="29"/>
  <c r="H10802" i="29"/>
  <c r="H10801" i="29"/>
  <c r="H10800" i="29"/>
  <c r="H10799" i="29"/>
  <c r="H10798" i="29"/>
  <c r="H10797" i="29"/>
  <c r="H10796" i="29"/>
  <c r="H10793" i="29"/>
  <c r="H10795" i="29"/>
  <c r="H10794" i="29"/>
  <c r="H10792" i="29"/>
  <c r="H10791" i="29"/>
  <c r="H10790" i="29"/>
  <c r="H10789" i="29"/>
  <c r="H10788" i="29"/>
  <c r="H10787" i="29"/>
  <c r="H10786" i="29"/>
  <c r="H10785" i="29"/>
  <c r="H10784" i="29"/>
  <c r="H10783" i="29"/>
  <c r="H10779" i="29"/>
  <c r="H10782" i="29"/>
  <c r="H10780" i="29"/>
  <c r="H10778" i="29"/>
  <c r="H10777" i="29"/>
  <c r="H10776" i="29"/>
  <c r="H10775" i="29"/>
  <c r="H10774" i="29"/>
  <c r="H10773" i="29"/>
  <c r="H10772" i="29"/>
  <c r="H10771" i="29"/>
  <c r="H10770" i="29"/>
  <c r="H10763" i="29"/>
  <c r="H10769" i="29"/>
  <c r="H10768" i="29"/>
  <c r="H10762" i="29"/>
  <c r="H10761" i="29"/>
  <c r="H10760" i="29"/>
  <c r="H10767" i="29"/>
  <c r="H10766" i="29"/>
  <c r="H10765" i="29"/>
  <c r="H10764" i="29"/>
  <c r="H10759" i="29"/>
  <c r="H10757" i="29"/>
  <c r="H10758" i="29"/>
  <c r="H10756" i="29"/>
  <c r="H10755" i="29"/>
  <c r="H10754" i="29"/>
  <c r="H10753" i="29"/>
  <c r="H10752" i="29"/>
  <c r="H10751" i="29"/>
  <c r="H10750" i="29"/>
  <c r="H10749" i="29"/>
  <c r="H10748" i="29"/>
  <c r="H10747" i="29"/>
  <c r="H10746" i="29"/>
  <c r="H10745" i="29"/>
  <c r="H10744" i="29"/>
  <c r="H10743" i="29"/>
  <c r="H10742" i="29"/>
  <c r="H10741" i="29"/>
  <c r="H10740" i="29"/>
  <c r="H10739" i="29"/>
  <c r="H10738" i="29"/>
  <c r="H10737" i="29"/>
  <c r="H10736" i="29"/>
  <c r="H10735" i="29"/>
  <c r="H10734" i="29"/>
  <c r="H10729" i="29"/>
  <c r="H10733" i="29"/>
  <c r="H10732" i="29"/>
  <c r="H10731" i="29"/>
  <c r="H10730" i="29"/>
  <c r="H10728" i="29"/>
  <c r="H10727" i="29"/>
  <c r="H10726" i="29"/>
  <c r="H10725" i="29"/>
  <c r="H10724" i="29"/>
  <c r="H10723" i="29"/>
  <c r="H10722" i="29"/>
  <c r="H10721" i="29"/>
  <c r="H10720" i="29"/>
  <c r="H10719" i="29"/>
  <c r="H10718" i="29"/>
  <c r="H10717" i="29"/>
  <c r="H10716" i="29"/>
  <c r="H10715" i="29"/>
  <c r="H10714" i="29"/>
  <c r="H10713" i="29"/>
  <c r="H10712" i="29"/>
  <c r="H10711" i="29"/>
  <c r="H10710" i="29"/>
  <c r="H10709" i="29"/>
  <c r="H10708" i="29"/>
  <c r="H10707" i="29"/>
  <c r="H10706" i="29"/>
  <c r="H10705" i="29"/>
  <c r="H10704" i="29"/>
  <c r="H10703" i="29"/>
  <c r="H10702" i="29"/>
  <c r="H10701" i="29"/>
  <c r="H10689" i="29"/>
  <c r="H10700" i="29"/>
  <c r="H10699" i="29"/>
  <c r="H10698" i="29"/>
  <c r="H10697" i="29"/>
  <c r="H10696" i="29"/>
  <c r="H10695" i="29"/>
  <c r="H10694" i="29"/>
  <c r="H10693" i="29"/>
  <c r="H10692" i="29"/>
  <c r="H10691" i="29"/>
  <c r="H10690" i="29"/>
  <c r="H10688" i="29"/>
  <c r="H10684" i="29"/>
  <c r="H10681" i="29"/>
  <c r="H10685" i="29"/>
  <c r="H10686" i="29"/>
  <c r="H10680" i="29"/>
  <c r="H10682" i="29"/>
  <c r="H10683" i="29"/>
  <c r="H10687" i="29"/>
  <c r="H10679" i="29"/>
  <c r="H10678" i="29"/>
  <c r="H10677" i="29"/>
  <c r="H10676" i="29"/>
  <c r="H10667" i="29"/>
  <c r="H10666" i="29"/>
  <c r="H10675" i="29"/>
  <c r="H10674" i="29"/>
  <c r="H10673" i="29"/>
  <c r="H10672" i="29"/>
  <c r="H10671" i="29"/>
  <c r="H10670" i="29"/>
  <c r="H10669" i="29"/>
  <c r="H10668" i="29"/>
  <c r="H10665" i="29"/>
  <c r="H10664" i="29"/>
  <c r="H10663" i="29"/>
  <c r="H10661" i="29"/>
  <c r="H10659" i="29"/>
  <c r="H10658" i="29"/>
  <c r="H10662" i="29"/>
  <c r="H10660" i="29"/>
  <c r="H10657" i="29"/>
  <c r="H10656" i="29"/>
  <c r="H10655" i="29"/>
  <c r="H10654" i="29"/>
  <c r="H10653" i="29"/>
  <c r="H10649" i="29"/>
  <c r="H10652" i="29"/>
  <c r="H10651" i="29"/>
  <c r="H10648" i="29"/>
  <c r="H10646" i="29"/>
  <c r="H10647" i="29"/>
  <c r="H10645" i="29"/>
  <c r="H10644" i="29"/>
  <c r="H10641" i="29"/>
  <c r="H10643" i="29"/>
  <c r="H10642" i="29"/>
  <c r="H10640" i="29"/>
  <c r="H10639" i="29"/>
  <c r="H10636" i="29"/>
  <c r="H10637" i="29"/>
  <c r="H10635" i="29"/>
  <c r="H10634" i="29"/>
  <c r="H10633" i="29"/>
  <c r="H10632" i="29"/>
  <c r="H10631" i="29"/>
  <c r="H10630" i="29"/>
  <c r="H10629" i="29"/>
  <c r="H10628" i="29"/>
  <c r="H10627" i="29"/>
  <c r="H10626" i="29"/>
  <c r="H10625" i="29"/>
  <c r="H10624" i="29"/>
  <c r="H10623" i="29"/>
  <c r="H10622" i="29"/>
  <c r="H10621" i="29"/>
  <c r="H10620" i="29"/>
  <c r="H10617" i="29"/>
  <c r="H10616" i="29"/>
  <c r="H10615" i="29"/>
  <c r="H10614" i="29"/>
  <c r="H10613" i="29"/>
  <c r="H10619" i="29"/>
  <c r="H10618" i="29"/>
  <c r="H10612" i="29"/>
  <c r="H10611" i="29"/>
  <c r="H10610" i="29"/>
  <c r="H10609" i="29"/>
  <c r="H10608" i="29"/>
  <c r="H10607" i="29"/>
  <c r="H10606" i="29"/>
  <c r="H10605" i="29"/>
  <c r="H10602" i="29"/>
  <c r="H10601" i="29"/>
  <c r="H10604" i="29"/>
  <c r="H10603" i="29"/>
  <c r="H10600" i="29"/>
  <c r="H10598" i="29"/>
  <c r="H10599" i="29"/>
  <c r="H10596" i="29"/>
  <c r="H10595" i="29"/>
  <c r="H10594" i="29"/>
  <c r="H10650" i="29"/>
  <c r="H10593" i="29"/>
  <c r="H10597" i="29"/>
  <c r="H10592" i="29"/>
  <c r="H10583" i="29"/>
  <c r="H10591" i="29"/>
  <c r="H10590" i="29"/>
  <c r="H10589" i="29"/>
  <c r="H10588" i="29"/>
  <c r="H10587" i="29"/>
  <c r="H10586" i="29"/>
  <c r="H10585" i="29"/>
  <c r="H10584" i="29"/>
  <c r="H10582" i="29"/>
  <c r="H10579" i="29"/>
  <c r="H10578" i="29"/>
  <c r="H10577" i="29"/>
  <c r="H10576" i="29"/>
  <c r="H10575" i="29"/>
  <c r="H10574" i="29"/>
  <c r="H10573" i="29"/>
  <c r="H10580" i="29"/>
  <c r="H10581" i="29"/>
  <c r="H10572" i="29"/>
  <c r="H10571" i="29"/>
  <c r="H10567" i="29"/>
  <c r="H10566" i="29"/>
  <c r="H10568" i="29"/>
  <c r="H10570" i="29"/>
  <c r="H10569" i="29"/>
  <c r="H10565" i="29"/>
  <c r="H10564" i="29"/>
  <c r="H10563" i="29"/>
  <c r="H10562" i="29"/>
  <c r="H10559" i="29"/>
  <c r="H10558" i="29"/>
  <c r="H10557" i="29"/>
  <c r="H10555" i="29"/>
  <c r="H10554" i="29"/>
  <c r="H10552" i="29"/>
  <c r="H10561" i="29"/>
  <c r="H10560" i="29"/>
  <c r="H10556" i="29"/>
  <c r="H10553" i="29"/>
  <c r="H10551" i="29"/>
  <c r="H10550" i="29"/>
  <c r="H10549" i="29"/>
  <c r="H10548" i="29"/>
  <c r="H10547" i="29"/>
  <c r="H10545" i="29"/>
  <c r="H10544" i="29"/>
  <c r="H10543" i="29"/>
  <c r="H10546" i="29"/>
  <c r="H10542" i="29"/>
  <c r="H10541" i="29"/>
  <c r="H10540" i="29"/>
  <c r="H10539" i="29"/>
  <c r="H10538" i="29"/>
  <c r="H10537" i="29"/>
  <c r="H10536" i="29"/>
  <c r="H10535" i="29"/>
  <c r="H10534" i="29"/>
  <c r="H10532" i="29"/>
  <c r="H10531" i="29"/>
  <c r="H10526" i="29"/>
  <c r="H10533" i="29"/>
  <c r="H10530" i="29"/>
  <c r="H10529" i="29"/>
  <c r="H10528" i="29"/>
  <c r="H10524" i="29"/>
  <c r="H10527" i="29"/>
  <c r="H10525" i="29"/>
  <c r="H10523" i="29"/>
  <c r="H10522" i="29"/>
  <c r="H10521" i="29"/>
  <c r="H10520" i="29"/>
  <c r="H10519" i="29"/>
  <c r="H10518" i="29"/>
  <c r="H10517" i="29"/>
  <c r="H10516" i="29"/>
  <c r="H10515" i="29"/>
  <c r="H10514" i="29"/>
  <c r="H10513" i="29"/>
  <c r="H10512" i="29"/>
  <c r="H10511" i="29"/>
  <c r="H10509" i="29"/>
  <c r="H10510" i="29"/>
  <c r="H10508" i="29"/>
  <c r="H10506" i="29"/>
  <c r="H10507" i="29"/>
  <c r="H10498" i="29"/>
  <c r="H10497" i="29"/>
  <c r="H10505" i="29"/>
  <c r="H10504" i="29"/>
  <c r="H10503" i="29"/>
  <c r="H10502" i="29"/>
  <c r="H10501" i="29"/>
  <c r="H10500" i="29"/>
  <c r="H10499" i="29"/>
  <c r="H10496" i="29"/>
  <c r="H10495" i="29"/>
  <c r="H10494" i="29"/>
  <c r="H10493" i="29"/>
  <c r="H10492" i="29"/>
  <c r="H10491" i="29"/>
  <c r="H10360" i="29"/>
  <c r="H10486" i="29"/>
  <c r="H10483" i="29"/>
  <c r="H10489" i="29"/>
  <c r="H10490" i="29"/>
  <c r="H10488" i="29"/>
  <c r="H10487" i="29"/>
  <c r="H10485" i="29"/>
  <c r="H10484" i="29"/>
  <c r="H10481" i="29"/>
  <c r="H10482" i="29"/>
  <c r="H10480" i="29"/>
  <c r="H10478" i="29"/>
  <c r="H10416" i="29"/>
  <c r="H10477" i="29"/>
  <c r="H10479" i="29"/>
  <c r="H10475" i="29"/>
  <c r="H10474" i="29"/>
  <c r="H10473" i="29"/>
  <c r="H10472" i="29"/>
  <c r="H10471" i="29"/>
  <c r="H10469" i="29"/>
  <c r="H10468" i="29"/>
  <c r="H10467" i="29"/>
  <c r="H10466" i="29"/>
  <c r="H10465" i="29"/>
  <c r="H10464" i="29"/>
  <c r="H10463" i="29"/>
  <c r="H10462" i="29"/>
  <c r="H10458" i="29"/>
  <c r="H10461" i="29"/>
  <c r="H10460" i="29"/>
  <c r="H10459" i="29"/>
  <c r="H10457" i="29"/>
  <c r="H10454" i="29"/>
  <c r="H10455" i="29"/>
  <c r="H10456" i="29"/>
  <c r="H10445" i="29"/>
  <c r="H10453" i="29"/>
  <c r="H10452" i="29"/>
  <c r="H10451" i="29"/>
  <c r="H10450" i="29"/>
  <c r="H10449" i="29"/>
  <c r="H10448" i="29"/>
  <c r="H10447" i="29"/>
  <c r="H10446" i="29"/>
  <c r="H10444" i="29"/>
  <c r="H10443" i="29"/>
  <c r="H10442" i="29"/>
  <c r="H10441" i="29"/>
  <c r="H10440" i="29"/>
  <c r="H10439" i="29"/>
  <c r="H10438" i="29"/>
  <c r="H10437" i="29"/>
  <c r="H10436" i="29"/>
  <c r="H10427" i="29"/>
  <c r="H10435" i="29"/>
  <c r="H10434" i="29"/>
  <c r="H10433" i="29"/>
  <c r="H10432" i="29"/>
  <c r="H10431" i="29"/>
  <c r="H10430" i="29"/>
  <c r="H10429" i="29"/>
  <c r="H10428" i="29"/>
  <c r="H10426" i="29"/>
  <c r="H10425" i="29"/>
  <c r="H10423" i="29"/>
  <c r="H10422" i="29"/>
  <c r="H10421" i="29"/>
  <c r="H10420" i="29"/>
  <c r="H10419" i="29"/>
  <c r="H10418" i="29"/>
  <c r="H10424" i="29"/>
  <c r="H10417" i="29"/>
  <c r="H10415" i="29"/>
  <c r="H10414" i="29"/>
  <c r="H10413" i="29"/>
  <c r="H10406" i="29"/>
  <c r="H10412" i="29"/>
  <c r="H10411" i="29"/>
  <c r="H10410" i="29"/>
  <c r="H10409" i="29"/>
  <c r="H10401" i="29"/>
  <c r="H10400" i="29"/>
  <c r="H10399" i="29"/>
  <c r="H10408" i="29"/>
  <c r="H10398" i="29"/>
  <c r="H10407" i="29"/>
  <c r="H10405" i="29"/>
  <c r="H10404" i="29"/>
  <c r="H10403" i="29"/>
  <c r="H10402" i="29"/>
  <c r="H10397" i="29"/>
  <c r="H10396" i="29"/>
  <c r="H10395" i="29"/>
  <c r="H10359" i="29"/>
  <c r="H10394" i="29"/>
  <c r="H10393" i="29"/>
  <c r="H10392" i="29"/>
  <c r="H10391" i="29"/>
  <c r="H10390" i="29"/>
  <c r="H10389" i="29"/>
  <c r="H10388" i="29"/>
  <c r="H10387" i="29"/>
  <c r="H10386" i="29"/>
  <c r="H10385" i="29"/>
  <c r="H10384" i="29"/>
  <c r="H10383" i="29"/>
  <c r="H10376" i="29"/>
  <c r="H10375" i="29"/>
  <c r="H10374" i="29"/>
  <c r="H10382" i="29"/>
  <c r="H10381" i="29"/>
  <c r="H10380" i="29"/>
  <c r="H10379" i="29"/>
  <c r="H10378" i="29"/>
  <c r="H10377" i="29"/>
  <c r="H10373" i="29"/>
  <c r="H10372" i="29"/>
  <c r="H10371" i="29"/>
  <c r="H10370" i="29"/>
  <c r="H10361" i="29"/>
  <c r="H10358" i="29"/>
  <c r="H10369" i="29"/>
  <c r="H10365" i="29"/>
  <c r="H10364" i="29"/>
  <c r="H10363" i="29"/>
  <c r="H10362" i="29"/>
  <c r="H10368" i="29"/>
  <c r="H10367" i="29"/>
  <c r="H10366" i="29"/>
  <c r="H10356" i="29"/>
  <c r="H10355" i="29"/>
  <c r="H10354" i="29"/>
  <c r="H10353" i="29"/>
  <c r="H10352" i="29"/>
  <c r="H10350" i="29"/>
  <c r="H10349" i="29"/>
  <c r="H10348" i="29"/>
  <c r="H10351" i="29"/>
  <c r="H10347" i="29"/>
  <c r="H10346" i="29"/>
  <c r="H10345" i="29"/>
  <c r="H10344" i="29"/>
  <c r="H10343" i="29"/>
  <c r="H10342" i="29"/>
  <c r="H10337" i="29"/>
  <c r="H10336" i="29"/>
  <c r="H10332" i="29"/>
  <c r="H10331" i="29"/>
  <c r="H10328" i="29"/>
  <c r="H10327" i="29"/>
  <c r="H10326" i="29"/>
  <c r="H10325" i="29"/>
  <c r="H10324" i="29"/>
  <c r="H10339" i="29"/>
  <c r="H10357" i="29"/>
  <c r="H10340" i="29"/>
  <c r="H10333" i="29"/>
  <c r="H10329" i="29"/>
  <c r="H10338" i="29"/>
  <c r="H10341" i="29"/>
  <c r="H10334" i="29"/>
  <c r="H10335" i="29"/>
  <c r="H10330" i="29"/>
  <c r="H10319" i="29"/>
  <c r="H10318" i="29"/>
  <c r="H10323" i="29"/>
  <c r="H10322" i="29"/>
  <c r="H10321" i="29"/>
  <c r="H10320" i="29"/>
  <c r="H10314" i="29"/>
  <c r="H10313" i="29"/>
  <c r="H10312" i="29"/>
  <c r="H10317" i="29"/>
  <c r="H10316" i="29"/>
  <c r="H10315" i="29"/>
  <c r="H10309" i="29"/>
  <c r="H10311" i="29"/>
  <c r="H10310" i="29"/>
  <c r="H10308" i="29"/>
  <c r="H10307" i="29"/>
  <c r="H10305" i="29"/>
  <c r="H10304" i="29"/>
  <c r="H10303" i="29"/>
  <c r="H10302" i="29"/>
  <c r="H10301" i="29"/>
  <c r="H10300" i="29"/>
  <c r="H10296" i="29"/>
  <c r="H10299" i="29"/>
  <c r="H10298" i="29"/>
  <c r="H10297" i="29"/>
  <c r="H10293" i="29"/>
  <c r="H10292" i="29"/>
  <c r="H10290" i="29"/>
  <c r="H10289" i="29"/>
  <c r="H10288" i="29"/>
  <c r="H10287" i="29"/>
  <c r="H10277" i="29"/>
  <c r="H10294" i="29"/>
  <c r="H10291" i="29"/>
  <c r="H10286" i="29"/>
  <c r="H10295" i="29"/>
  <c r="H10285" i="29"/>
  <c r="H10284" i="29"/>
  <c r="H10283" i="29"/>
  <c r="H10282" i="29"/>
  <c r="H10281" i="29"/>
  <c r="H10280" i="29"/>
  <c r="H10279" i="29"/>
  <c r="H10278" i="29"/>
  <c r="H10849" i="29"/>
  <c r="H11034" i="29"/>
  <c r="H10843" i="29"/>
  <c r="H10306" i="29"/>
  <c r="H10276" i="29"/>
  <c r="H10275" i="29"/>
  <c r="H10274" i="29"/>
  <c r="H10273" i="29"/>
  <c r="H10272" i="29"/>
  <c r="H10271" i="29"/>
  <c r="H10270" i="29"/>
  <c r="H10968" i="29"/>
  <c r="H10267" i="29"/>
  <c r="H10269" i="29"/>
  <c r="H10268" i="29"/>
  <c r="H10266" i="29"/>
  <c r="H10265" i="29"/>
  <c r="H10264" i="29"/>
  <c r="H10263" i="29"/>
  <c r="H10262" i="29"/>
  <c r="H10261" i="29"/>
  <c r="H10260" i="29"/>
  <c r="H10259" i="29"/>
  <c r="H10258" i="29"/>
  <c r="H10257" i="29"/>
  <c r="H10256" i="29"/>
  <c r="H10255" i="29"/>
  <c r="H10254" i="29"/>
  <c r="H10252" i="29"/>
  <c r="H10248" i="29"/>
  <c r="H10253" i="29"/>
  <c r="H10476" i="29"/>
  <c r="H10470" i="29"/>
  <c r="H10246" i="29"/>
  <c r="H10245" i="29"/>
  <c r="H10242" i="29"/>
  <c r="H10251" i="29"/>
  <c r="H10250" i="29"/>
  <c r="H10249" i="29"/>
  <c r="H10247" i="29"/>
  <c r="H10244" i="29"/>
  <c r="H10243" i="29"/>
  <c r="H10241" i="29"/>
  <c r="H10240" i="29"/>
  <c r="H10239" i="29"/>
  <c r="H10238" i="29"/>
  <c r="H10234" i="29"/>
  <c r="H10233" i="29"/>
  <c r="H10232" i="29"/>
  <c r="H10231" i="29"/>
  <c r="H10230" i="29"/>
  <c r="H10229" i="29"/>
  <c r="H10228" i="29"/>
  <c r="H10227" i="29"/>
  <c r="H10226" i="29"/>
  <c r="H10225" i="29"/>
  <c r="H10224" i="29"/>
  <c r="H10223" i="29"/>
  <c r="H10237" i="29"/>
  <c r="H10236" i="29"/>
  <c r="H10235" i="29"/>
  <c r="H10222" i="29"/>
  <c r="H10221" i="29"/>
  <c r="H10220" i="29"/>
  <c r="H10210" i="29"/>
  <c r="H10209" i="29"/>
  <c r="H10208" i="29"/>
  <c r="H10207" i="29"/>
  <c r="H10206" i="29"/>
  <c r="H10205" i="29"/>
  <c r="H10204" i="29"/>
  <c r="H10203" i="29"/>
  <c r="H10202" i="29"/>
  <c r="H10201" i="29"/>
  <c r="H10219" i="29"/>
  <c r="H10218" i="29"/>
  <c r="H10217" i="29"/>
  <c r="H10216" i="29"/>
  <c r="H10215" i="29"/>
  <c r="H10214" i="29"/>
  <c r="H10213" i="29"/>
  <c r="H10212" i="29"/>
  <c r="H10211" i="29"/>
  <c r="H10200" i="29"/>
  <c r="H10199" i="29"/>
  <c r="H10198" i="29"/>
  <c r="H10197" i="29"/>
  <c r="H10196" i="29"/>
  <c r="H10195" i="29"/>
  <c r="H10194" i="29"/>
  <c r="H10193" i="29"/>
  <c r="H10192" i="29"/>
  <c r="H10191" i="29"/>
  <c r="H10190" i="29"/>
  <c r="H10189" i="29"/>
  <c r="H10188" i="29"/>
  <c r="H10187" i="29"/>
  <c r="H10186" i="29"/>
  <c r="H10185" i="29"/>
  <c r="H10184" i="29"/>
  <c r="H10183" i="29"/>
  <c r="H10182" i="29"/>
  <c r="H10181" i="29"/>
  <c r="H10180" i="29"/>
  <c r="H10179" i="29"/>
  <c r="H10178" i="29"/>
  <c r="H10177" i="29"/>
  <c r="H10176" i="29"/>
  <c r="H10175" i="29"/>
  <c r="H10174" i="29"/>
  <c r="H10173" i="29"/>
  <c r="H10172" i="29"/>
  <c r="H10171" i="29"/>
  <c r="H10170" i="29"/>
  <c r="H10169" i="29"/>
  <c r="H10168" i="29"/>
  <c r="H10166" i="29"/>
  <c r="H10167" i="29"/>
  <c r="H10165" i="29"/>
  <c r="H10164" i="29"/>
  <c r="H10163" i="29"/>
  <c r="H10162" i="29"/>
  <c r="H10160" i="29"/>
  <c r="H10159" i="29"/>
  <c r="H10161" i="29"/>
  <c r="H10158" i="29"/>
  <c r="H10157" i="29"/>
  <c r="H10156" i="29"/>
  <c r="H10155" i="29"/>
  <c r="H10154" i="29"/>
  <c r="H10148" i="29"/>
  <c r="H10147" i="29"/>
  <c r="H10146" i="29"/>
  <c r="H10153" i="29"/>
  <c r="H10152" i="29"/>
  <c r="H10151" i="29"/>
  <c r="H10150" i="29"/>
  <c r="H10149" i="29"/>
  <c r="H10145" i="29"/>
  <c r="H10144" i="29"/>
  <c r="H10143" i="29"/>
  <c r="H10142" i="29"/>
  <c r="H10141" i="29"/>
  <c r="H10140" i="29"/>
  <c r="H10139" i="29"/>
  <c r="H10138" i="29"/>
  <c r="H10137" i="29"/>
  <c r="H10136" i="29"/>
  <c r="H655" i="29"/>
  <c r="H10135" i="29"/>
  <c r="H10134" i="29"/>
  <c r="H10132" i="29"/>
  <c r="H10133" i="29"/>
  <c r="H10131" i="29"/>
  <c r="H10130" i="29"/>
  <c r="H10129" i="29"/>
  <c r="H10128" i="29"/>
  <c r="H10127" i="29"/>
  <c r="H10126" i="29"/>
  <c r="H10125" i="29"/>
  <c r="H10124" i="29"/>
  <c r="H10123" i="29"/>
  <c r="H10122" i="29"/>
  <c r="H10121" i="29"/>
  <c r="H10120" i="29"/>
  <c r="H10119" i="29"/>
  <c r="H10118" i="29"/>
  <c r="H10115" i="29"/>
  <c r="H10114" i="29"/>
  <c r="H10113" i="29"/>
  <c r="H10112" i="29"/>
  <c r="H10111" i="29"/>
  <c r="H10117" i="29"/>
  <c r="H10116" i="29"/>
  <c r="H10110" i="29"/>
  <c r="H10109" i="29"/>
  <c r="H10108" i="29"/>
  <c r="H10107" i="29"/>
  <c r="H10106" i="29"/>
  <c r="H10105" i="29"/>
  <c r="H10104" i="29"/>
  <c r="H10103" i="29"/>
  <c r="H10102" i="29"/>
  <c r="H10101" i="29"/>
  <c r="H10100" i="29"/>
  <c r="H10099" i="29"/>
  <c r="H10098" i="29"/>
  <c r="H10097" i="29"/>
  <c r="H10096" i="29"/>
  <c r="H10093" i="29"/>
  <c r="H10092" i="29"/>
  <c r="H10091" i="29"/>
  <c r="H10090" i="29"/>
  <c r="H10095" i="29"/>
  <c r="H10094" i="29"/>
  <c r="H10089" i="29"/>
  <c r="H10084" i="29"/>
  <c r="H10088" i="29"/>
  <c r="H10087" i="29"/>
  <c r="H10086" i="29"/>
  <c r="H10085" i="29"/>
  <c r="H10083" i="29"/>
  <c r="H10082" i="29"/>
  <c r="H10081" i="29"/>
  <c r="H10080" i="29"/>
  <c r="H10079" i="29"/>
  <c r="H10078" i="29"/>
  <c r="H10077" i="29"/>
  <c r="H10076" i="29"/>
  <c r="H10075" i="29"/>
  <c r="H10074" i="29"/>
  <c r="H10073" i="29"/>
  <c r="H10072" i="29"/>
  <c r="H10071" i="29"/>
  <c r="H10070" i="29"/>
  <c r="H10069" i="29"/>
  <c r="H10068" i="29"/>
  <c r="H10067" i="29"/>
  <c r="H10066" i="29"/>
  <c r="H10065" i="29"/>
  <c r="H10064" i="29"/>
  <c r="H10063" i="29"/>
  <c r="H10061" i="29"/>
  <c r="H10062" i="29"/>
  <c r="H10050" i="29"/>
  <c r="H10060" i="29"/>
  <c r="H10059" i="29"/>
  <c r="H10058" i="29"/>
  <c r="H10057" i="29"/>
  <c r="H10056" i="29"/>
  <c r="H10055" i="29"/>
  <c r="H10054" i="29"/>
  <c r="H10053" i="29"/>
  <c r="H10052" i="29"/>
  <c r="H10051" i="29"/>
  <c r="H10049" i="29"/>
  <c r="H10048" i="29"/>
  <c r="H10047" i="29"/>
  <c r="H10046" i="29"/>
  <c r="H10045" i="29"/>
  <c r="H10032" i="29"/>
  <c r="H10044" i="29"/>
  <c r="H10043" i="29"/>
  <c r="H10042" i="29"/>
  <c r="H10041" i="29"/>
  <c r="H10040" i="29"/>
  <c r="H10039" i="29"/>
  <c r="H10038" i="29"/>
  <c r="H10037" i="29"/>
  <c r="H10036" i="29"/>
  <c r="H10035" i="29"/>
  <c r="H10034" i="29"/>
  <c r="H10033" i="29"/>
  <c r="H10029" i="29"/>
  <c r="H10031" i="29"/>
  <c r="H10030" i="29"/>
  <c r="H10028" i="29"/>
  <c r="H10027" i="29"/>
  <c r="H10026" i="29"/>
  <c r="H10024" i="29"/>
  <c r="H10023" i="29"/>
  <c r="H10025" i="29"/>
  <c r="H10022" i="29"/>
  <c r="H10021" i="29"/>
  <c r="H10017" i="29"/>
  <c r="H10018" i="29"/>
  <c r="H10019" i="29"/>
  <c r="H10009" i="29"/>
  <c r="H10010" i="29"/>
  <c r="H10013" i="29"/>
  <c r="H10014" i="29"/>
  <c r="H10015" i="29"/>
  <c r="H10016" i="29"/>
  <c r="H10011" i="29"/>
  <c r="H10012" i="29"/>
  <c r="H10020" i="29"/>
  <c r="H10008" i="29"/>
  <c r="H10007" i="29"/>
  <c r="H10006" i="29"/>
  <c r="H10005" i="29"/>
  <c r="H10004" i="29"/>
  <c r="H10003" i="29"/>
  <c r="H10002" i="29"/>
  <c r="H10001" i="29"/>
  <c r="H10000" i="29"/>
  <c r="H9999" i="29"/>
  <c r="H9998" i="29"/>
  <c r="H9997" i="29"/>
  <c r="H9996" i="29"/>
  <c r="H9995" i="29"/>
  <c r="H9994" i="29"/>
  <c r="H9993" i="29"/>
  <c r="H9992" i="29"/>
  <c r="H9991" i="29"/>
  <c r="H9990" i="29"/>
  <c r="H9989" i="29"/>
  <c r="H9984" i="29"/>
  <c r="H9988" i="29"/>
  <c r="H9987" i="29"/>
  <c r="H9986" i="29"/>
  <c r="H9985" i="29"/>
  <c r="H9983" i="29"/>
  <c r="H9979" i="29"/>
  <c r="H9982" i="29"/>
  <c r="H9981" i="29"/>
  <c r="H9980" i="29"/>
  <c r="H9978" i="29"/>
  <c r="H9977" i="29"/>
  <c r="H9976" i="29"/>
  <c r="H9975" i="29"/>
  <c r="H9974" i="29"/>
  <c r="H9973" i="29"/>
  <c r="H9972" i="29"/>
  <c r="H9971" i="29"/>
  <c r="H9969" i="29"/>
  <c r="H9970" i="29"/>
  <c r="H9966" i="29"/>
  <c r="H9968" i="29"/>
  <c r="H9967" i="29"/>
  <c r="H9964" i="29"/>
  <c r="H9965" i="29"/>
  <c r="H9903" i="29"/>
  <c r="H9963" i="29"/>
  <c r="H9962" i="29"/>
  <c r="H9961" i="29"/>
  <c r="H9960" i="29"/>
  <c r="H9959" i="29"/>
  <c r="H9958" i="29"/>
  <c r="H9957" i="29"/>
  <c r="H9956" i="29"/>
  <c r="H9955" i="29"/>
  <c r="H9954" i="29"/>
  <c r="H9953" i="29"/>
  <c r="H9952" i="29"/>
  <c r="H9951" i="29"/>
  <c r="H9950" i="29"/>
  <c r="H9949" i="29"/>
  <c r="H9948" i="29"/>
  <c r="H9947" i="29"/>
  <c r="H9946" i="29"/>
  <c r="H9945" i="29"/>
  <c r="H9944" i="29"/>
  <c r="H9943" i="29"/>
  <c r="H9942" i="29"/>
  <c r="H9941" i="29"/>
  <c r="H9940" i="29"/>
  <c r="H9939" i="29"/>
  <c r="H9935" i="29"/>
  <c r="H9934" i="29"/>
  <c r="H9933" i="29"/>
  <c r="H9938" i="29"/>
  <c r="H9937" i="29"/>
  <c r="H9936" i="29"/>
  <c r="H9931" i="29"/>
  <c r="H9932" i="29"/>
  <c r="H9930" i="29"/>
  <c r="H9929" i="29"/>
  <c r="H9928" i="29"/>
  <c r="H9927" i="29"/>
  <c r="H9926" i="29"/>
  <c r="H9925" i="29"/>
  <c r="H9924" i="29"/>
  <c r="H9923" i="29"/>
  <c r="H9921" i="29"/>
  <c r="H9922" i="29"/>
  <c r="H9919" i="29"/>
  <c r="H9918" i="29"/>
  <c r="H9917" i="29"/>
  <c r="H9915" i="29"/>
  <c r="H9914" i="29"/>
  <c r="H9913" i="29"/>
  <c r="H9912" i="29"/>
  <c r="H9920" i="29"/>
  <c r="H9911" i="29"/>
  <c r="H9916" i="29"/>
  <c r="H9910" i="29"/>
  <c r="H9909" i="29"/>
  <c r="H9908" i="29"/>
  <c r="H9907" i="29"/>
  <c r="H9906" i="29"/>
  <c r="H9905" i="29"/>
  <c r="H9904" i="29"/>
  <c r="H9902" i="29"/>
  <c r="H9901" i="29"/>
  <c r="H9900" i="29"/>
  <c r="H9899" i="29"/>
  <c r="H9898" i="29"/>
  <c r="H9897" i="29"/>
  <c r="H9893" i="29"/>
  <c r="H9892" i="29"/>
  <c r="H9891" i="29"/>
  <c r="H9890" i="29"/>
  <c r="H9889" i="29"/>
  <c r="H9886" i="29"/>
  <c r="H9885" i="29"/>
  <c r="H9884" i="29"/>
  <c r="H9883" i="29"/>
  <c r="H9896" i="29"/>
  <c r="H9895" i="29"/>
  <c r="H9894" i="29"/>
  <c r="H9888" i="29"/>
  <c r="H9887" i="29"/>
  <c r="H9882" i="29"/>
  <c r="H9881" i="29"/>
  <c r="H9880" i="29"/>
  <c r="H9879" i="29"/>
  <c r="H9878" i="29"/>
  <c r="H9875" i="29"/>
  <c r="H9874" i="29"/>
  <c r="H9873" i="29"/>
  <c r="H9872" i="29"/>
  <c r="H9871" i="29"/>
  <c r="H9870" i="29"/>
  <c r="H9867" i="29"/>
  <c r="H9865" i="29"/>
  <c r="H9864" i="29"/>
  <c r="H9869" i="29"/>
  <c r="H9868" i="29"/>
  <c r="H9863" i="29"/>
  <c r="H9862" i="29"/>
  <c r="H9861" i="29"/>
  <c r="H9877" i="29"/>
  <c r="H9876" i="29"/>
  <c r="H9866" i="29"/>
  <c r="H9860" i="29"/>
  <c r="H9855" i="29"/>
  <c r="H9854" i="29"/>
  <c r="H9859" i="29"/>
  <c r="H9858" i="29"/>
  <c r="H9857" i="29"/>
  <c r="H9856" i="29"/>
  <c r="H9849" i="29"/>
  <c r="H9853" i="29"/>
  <c r="H9852" i="29"/>
  <c r="H9851" i="29"/>
  <c r="H9850" i="29"/>
  <c r="H9847" i="29"/>
  <c r="H9848" i="29"/>
  <c r="H9846" i="29"/>
  <c r="H9845" i="29"/>
  <c r="H9844" i="29"/>
  <c r="H9842" i="29"/>
  <c r="H9841" i="29"/>
  <c r="H9843" i="29"/>
  <c r="H9840" i="29"/>
  <c r="H9838" i="29"/>
  <c r="H9837" i="29"/>
  <c r="H9836" i="29"/>
  <c r="H9835" i="29"/>
  <c r="H9839" i="29"/>
  <c r="H9834" i="29"/>
  <c r="H9833" i="29"/>
  <c r="H9832" i="29"/>
  <c r="H9831" i="29"/>
  <c r="H9827" i="29"/>
  <c r="H9830" i="29"/>
  <c r="H9829" i="29"/>
  <c r="H9828" i="29"/>
  <c r="H9822" i="29"/>
  <c r="H9826" i="29"/>
  <c r="H9825" i="29"/>
  <c r="H9824" i="29"/>
  <c r="H9823" i="29"/>
  <c r="H9821" i="29"/>
  <c r="H9820" i="29"/>
  <c r="H9819" i="29"/>
  <c r="H9818" i="29"/>
  <c r="H9815" i="29"/>
  <c r="H9817" i="29"/>
  <c r="H9816" i="29"/>
  <c r="H9814" i="29"/>
  <c r="H9813" i="29"/>
  <c r="H9812" i="29"/>
  <c r="H9811" i="29"/>
  <c r="H9810" i="29"/>
  <c r="H9809" i="29"/>
  <c r="H9808" i="29"/>
  <c r="H9730" i="29"/>
  <c r="H9806" i="29"/>
  <c r="H9807" i="29"/>
  <c r="H9804" i="29"/>
  <c r="H9805" i="29"/>
  <c r="H9803" i="29"/>
  <c r="H9802" i="29"/>
  <c r="H9801" i="29"/>
  <c r="H9800" i="29"/>
  <c r="H9799" i="29"/>
  <c r="H9798" i="29"/>
  <c r="H9795" i="29"/>
  <c r="H9797" i="29"/>
  <c r="H9796" i="29"/>
  <c r="H9794" i="29"/>
  <c r="H9793" i="29"/>
  <c r="H9792" i="29"/>
  <c r="H9791" i="29"/>
  <c r="H9790" i="29"/>
  <c r="H9789" i="29"/>
  <c r="H9788" i="29"/>
  <c r="H9787" i="29"/>
  <c r="H9786" i="29"/>
  <c r="H9784" i="29"/>
  <c r="H9785" i="29"/>
  <c r="H9783" i="29"/>
  <c r="H9782" i="29"/>
  <c r="H9781" i="29"/>
  <c r="H9780" i="29"/>
  <c r="H9779" i="29"/>
  <c r="H9778" i="29"/>
  <c r="H9777" i="29"/>
  <c r="H9776" i="29"/>
  <c r="H9775" i="29"/>
  <c r="H9774" i="29"/>
  <c r="H9773" i="29"/>
  <c r="H9772" i="29"/>
  <c r="H9771" i="29"/>
  <c r="H9770" i="29"/>
  <c r="H9769" i="29"/>
  <c r="H9768" i="29"/>
  <c r="H9767" i="29"/>
  <c r="H9752" i="29"/>
  <c r="H9766" i="29"/>
  <c r="H9765" i="29"/>
  <c r="H9763" i="29"/>
  <c r="H9764" i="29"/>
  <c r="H9760" i="29"/>
  <c r="H9759" i="29"/>
  <c r="H9758" i="29"/>
  <c r="H9751" i="29"/>
  <c r="H9762" i="29"/>
  <c r="H9761" i="29"/>
  <c r="H9757" i="29"/>
  <c r="H9756" i="29"/>
  <c r="H9755" i="29"/>
  <c r="H9754" i="29"/>
  <c r="H9753" i="29"/>
  <c r="H9750" i="29"/>
  <c r="H9748" i="29"/>
  <c r="H9749" i="29"/>
  <c r="H9743" i="29"/>
  <c r="H9742" i="29"/>
  <c r="H9747" i="29"/>
  <c r="H9746" i="29"/>
  <c r="H9745" i="29"/>
  <c r="H9744" i="29"/>
  <c r="H9738" i="29"/>
  <c r="H9741" i="29"/>
  <c r="H9740" i="29"/>
  <c r="H9739" i="29"/>
  <c r="H9734" i="29"/>
  <c r="H9733" i="29"/>
  <c r="H9732" i="29"/>
  <c r="H9731" i="29"/>
  <c r="H9729" i="29"/>
  <c r="H9736" i="29"/>
  <c r="H9737" i="29"/>
  <c r="H9735" i="29"/>
  <c r="H9726" i="29"/>
  <c r="H9728" i="29"/>
  <c r="H9727" i="29"/>
  <c r="H9725" i="29"/>
  <c r="H9724" i="29"/>
  <c r="H9723" i="29"/>
  <c r="H9722" i="29"/>
  <c r="H9721" i="29"/>
  <c r="H9720" i="29"/>
  <c r="H9719" i="29"/>
  <c r="H9718" i="29"/>
  <c r="H9717" i="29"/>
  <c r="H9716" i="29"/>
  <c r="H9715" i="29"/>
  <c r="H9709" i="29"/>
  <c r="H9708" i="29"/>
  <c r="H9714" i="29"/>
  <c r="H9713" i="29"/>
  <c r="H9712" i="29"/>
  <c r="H9711" i="29"/>
  <c r="H9710" i="29"/>
  <c r="H9706" i="29"/>
  <c r="H9705" i="29"/>
  <c r="H9704" i="29"/>
  <c r="H9702" i="29"/>
  <c r="H9703" i="29"/>
  <c r="H9701" i="29"/>
  <c r="H9700" i="29"/>
  <c r="H9699" i="29"/>
  <c r="H9698" i="29"/>
  <c r="H9697" i="29"/>
  <c r="H9696" i="29"/>
  <c r="H9695" i="29"/>
  <c r="H9694" i="29"/>
  <c r="H9690" i="29"/>
  <c r="H9689" i="29"/>
  <c r="H9688" i="29"/>
  <c r="H9687" i="29"/>
  <c r="H9686" i="29"/>
  <c r="H9685" i="29"/>
  <c r="H9691" i="29"/>
  <c r="H9693" i="29"/>
  <c r="H9692" i="29"/>
  <c r="H9684" i="29"/>
  <c r="H9683" i="29"/>
  <c r="H9682" i="29"/>
  <c r="H9681" i="29"/>
  <c r="H9680" i="29"/>
  <c r="H9679" i="29"/>
  <c r="H9678" i="29"/>
  <c r="H9677" i="29"/>
  <c r="H9676" i="29"/>
  <c r="H9675" i="29"/>
  <c r="H9674" i="29"/>
  <c r="H9673" i="29"/>
  <c r="H9672" i="29"/>
  <c r="H9671" i="29"/>
  <c r="H9669" i="29"/>
  <c r="H9668" i="29"/>
  <c r="H9670" i="29"/>
  <c r="H9667" i="29"/>
  <c r="H9666" i="29"/>
  <c r="H9665" i="29"/>
  <c r="H9664" i="29"/>
  <c r="H9663" i="29"/>
  <c r="H9662" i="29"/>
  <c r="H9661" i="29"/>
  <c r="H9660" i="29"/>
  <c r="H9659" i="29"/>
  <c r="H9658" i="29"/>
  <c r="H9657" i="29"/>
  <c r="H9656" i="29"/>
  <c r="H9655" i="29"/>
  <c r="H9654" i="29"/>
  <c r="H9653" i="29"/>
  <c r="H9652" i="29"/>
  <c r="H9651" i="29"/>
  <c r="H9650" i="29"/>
  <c r="H9649" i="29"/>
  <c r="H9646" i="29"/>
  <c r="H9645" i="29"/>
  <c r="H9648" i="29"/>
  <c r="H9647" i="29"/>
  <c r="H9640" i="29"/>
  <c r="H9644" i="29"/>
  <c r="H9643" i="29"/>
  <c r="H9642" i="29"/>
  <c r="H9641" i="29"/>
  <c r="H9639" i="29"/>
  <c r="H9638" i="29"/>
  <c r="H9637" i="29"/>
  <c r="H9636" i="29"/>
  <c r="H9635" i="29"/>
  <c r="H9634" i="29"/>
  <c r="H9633" i="29"/>
  <c r="H9632" i="29"/>
  <c r="H9707" i="29"/>
  <c r="H9630" i="29"/>
  <c r="H9626" i="29"/>
  <c r="H9625" i="29"/>
  <c r="H9624" i="29"/>
  <c r="H9621" i="29"/>
  <c r="H9629" i="29"/>
  <c r="H9628" i="29"/>
  <c r="H9627" i="29"/>
  <c r="H9619" i="29"/>
  <c r="H9623" i="29"/>
  <c r="H9622" i="29"/>
  <c r="H9618" i="29"/>
  <c r="H9620" i="29"/>
  <c r="H9617" i="29"/>
  <c r="H9616" i="29"/>
  <c r="H9615" i="29"/>
  <c r="H9614" i="29"/>
  <c r="H9613" i="29"/>
  <c r="H9612" i="29"/>
  <c r="H9611" i="29"/>
  <c r="H9607" i="29"/>
  <c r="H9610" i="29"/>
  <c r="H9609" i="29"/>
  <c r="H9608" i="29"/>
  <c r="H9606" i="29"/>
  <c r="H9604" i="29"/>
  <c r="H9603" i="29"/>
  <c r="H9602" i="29"/>
  <c r="H9601" i="29"/>
  <c r="H9605" i="29"/>
  <c r="H9600" i="29"/>
  <c r="H9599" i="29"/>
  <c r="H9598" i="29"/>
  <c r="H9597" i="29"/>
  <c r="H9596" i="29"/>
  <c r="H9595" i="29"/>
  <c r="H9594" i="29"/>
  <c r="H9593" i="29"/>
  <c r="H9592" i="29"/>
  <c r="H9591" i="29"/>
  <c r="H9590" i="29"/>
  <c r="H9589" i="29"/>
  <c r="H9588" i="29"/>
  <c r="H9585" i="29"/>
  <c r="H9584" i="29"/>
  <c r="H9583" i="29"/>
  <c r="H9582" i="29"/>
  <c r="H9587" i="29"/>
  <c r="H9581" i="29"/>
  <c r="H9580" i="29"/>
  <c r="H9579" i="29"/>
  <c r="H9576" i="29"/>
  <c r="H9575" i="29"/>
  <c r="H9574" i="29"/>
  <c r="H9586" i="29"/>
  <c r="H9578" i="29"/>
  <c r="H9577" i="29"/>
  <c r="H9570" i="29"/>
  <c r="H9573" i="29"/>
  <c r="H9572" i="29"/>
  <c r="H9571" i="29"/>
  <c r="H9569" i="29"/>
  <c r="H9568" i="29"/>
  <c r="H9567" i="29"/>
  <c r="H9566" i="29"/>
  <c r="H9564" i="29"/>
  <c r="H9563" i="29"/>
  <c r="H9562" i="29"/>
  <c r="H9565" i="29"/>
  <c r="H9560" i="29"/>
  <c r="H9559" i="29"/>
  <c r="H9556" i="29"/>
  <c r="H9555" i="29"/>
  <c r="H9553" i="29"/>
  <c r="H9550" i="29"/>
  <c r="H9549" i="29"/>
  <c r="H9548" i="29"/>
  <c r="H9561" i="29"/>
  <c r="H9558" i="29"/>
  <c r="H9557" i="29"/>
  <c r="H9554" i="29"/>
  <c r="H9552" i="29"/>
  <c r="H9551" i="29"/>
  <c r="H9547" i="29"/>
  <c r="H9546" i="29"/>
  <c r="H9545" i="29"/>
  <c r="H9544" i="29"/>
  <c r="H9543" i="29"/>
  <c r="H9542" i="29"/>
  <c r="H9535" i="29"/>
  <c r="H9534" i="29"/>
  <c r="H9533" i="29"/>
  <c r="H9532" i="29"/>
  <c r="H9531" i="29"/>
  <c r="H9529" i="29"/>
  <c r="H9528" i="29"/>
  <c r="H9527" i="29"/>
  <c r="H9526" i="29"/>
  <c r="H9541" i="29"/>
  <c r="H9522" i="29"/>
  <c r="H9521" i="29"/>
  <c r="H9520" i="29"/>
  <c r="H9515" i="29"/>
  <c r="H9514" i="29"/>
  <c r="H9513" i="29"/>
  <c r="H9540" i="29"/>
  <c r="H9539" i="29"/>
  <c r="H9538" i="29"/>
  <c r="H9537" i="29"/>
  <c r="H9536" i="29"/>
  <c r="H9530" i="29"/>
  <c r="H9512" i="29"/>
  <c r="H9525" i="29"/>
  <c r="H9524" i="29"/>
  <c r="H9523" i="29"/>
  <c r="H9519" i="29"/>
  <c r="H9518" i="29"/>
  <c r="H9517" i="29"/>
  <c r="H9516" i="29"/>
  <c r="H9511" i="29"/>
  <c r="H9510" i="29"/>
  <c r="H9509" i="29"/>
  <c r="H9500" i="29"/>
  <c r="H9508" i="29"/>
  <c r="H9507" i="29"/>
  <c r="H9506" i="29"/>
  <c r="H9503" i="29"/>
  <c r="H9502" i="29"/>
  <c r="H9505" i="29"/>
  <c r="H9504" i="29"/>
  <c r="H9501" i="29"/>
  <c r="H9499" i="29"/>
  <c r="H9498" i="29"/>
  <c r="H9497" i="29"/>
  <c r="H9496" i="29"/>
  <c r="H9495" i="29"/>
  <c r="H9494" i="29"/>
  <c r="H9493" i="29"/>
  <c r="H9492" i="29"/>
  <c r="H9491" i="29"/>
  <c r="H9490" i="29"/>
  <c r="H9488" i="29"/>
  <c r="H9487" i="29"/>
  <c r="H9486" i="29"/>
  <c r="H9489" i="29"/>
  <c r="H9485" i="29"/>
  <c r="H9484" i="29"/>
  <c r="H9481" i="29"/>
  <c r="H9480" i="29"/>
  <c r="H9479" i="29"/>
  <c r="H9478" i="29"/>
  <c r="H9477" i="29"/>
  <c r="H9473" i="29"/>
  <c r="H9482" i="29"/>
  <c r="H9483" i="29"/>
  <c r="H9476" i="29"/>
  <c r="H9475" i="29"/>
  <c r="H9474" i="29"/>
  <c r="H9472" i="29"/>
  <c r="H9471" i="29"/>
  <c r="H9470" i="29"/>
  <c r="H9468" i="29"/>
  <c r="H9469" i="29"/>
  <c r="H9467" i="29"/>
  <c r="H9466" i="29"/>
  <c r="H9465" i="29"/>
  <c r="H9464" i="29"/>
  <c r="H9463" i="29"/>
  <c r="H9462" i="29"/>
  <c r="H9461" i="29"/>
  <c r="H9459" i="29"/>
  <c r="H9458" i="29"/>
  <c r="H9456" i="29"/>
  <c r="H9455" i="29"/>
  <c r="H9447" i="29"/>
  <c r="H9450" i="29"/>
  <c r="H9449" i="29"/>
  <c r="H9460" i="29"/>
  <c r="H9457" i="29"/>
  <c r="H9454" i="29"/>
  <c r="H9453" i="29"/>
  <c r="H9452" i="29"/>
  <c r="H9451" i="29"/>
  <c r="H9448" i="29"/>
  <c r="H9445" i="29"/>
  <c r="H9444" i="29"/>
  <c r="H9446" i="29"/>
  <c r="H9437" i="29"/>
  <c r="H9434" i="29"/>
  <c r="H9433" i="29"/>
  <c r="H9432" i="29"/>
  <c r="H9443" i="29"/>
  <c r="H9442" i="29"/>
  <c r="H9441" i="29"/>
  <c r="H9440" i="29"/>
  <c r="H9439" i="29"/>
  <c r="H9438" i="29"/>
  <c r="H9436" i="29"/>
  <c r="H9435" i="29"/>
  <c r="H9431" i="29"/>
  <c r="H9430" i="29"/>
  <c r="H9429" i="29"/>
  <c r="H9425" i="29"/>
  <c r="H9424" i="29"/>
  <c r="H9428" i="29"/>
  <c r="H9427" i="29"/>
  <c r="H9426" i="29"/>
  <c r="H9423" i="29"/>
  <c r="H9422" i="29"/>
  <c r="H9420" i="29"/>
  <c r="H9416" i="29"/>
  <c r="H9415" i="29"/>
  <c r="H9411" i="29"/>
  <c r="H9410" i="29"/>
  <c r="H9407" i="29"/>
  <c r="H9421" i="29"/>
  <c r="H9419" i="29"/>
  <c r="H9418" i="29"/>
  <c r="H9417" i="29"/>
  <c r="H9414" i="29"/>
  <c r="H9413" i="29"/>
  <c r="H9412" i="29"/>
  <c r="H9409" i="29"/>
  <c r="H9408" i="29"/>
  <c r="H9406" i="29"/>
  <c r="H9405" i="29"/>
  <c r="H9404" i="29"/>
  <c r="H9403" i="29"/>
  <c r="H9402" i="29"/>
  <c r="H9401" i="29"/>
  <c r="H9400" i="29"/>
  <c r="H9399" i="29"/>
  <c r="H9398" i="29"/>
  <c r="H9397" i="29"/>
  <c r="H9396" i="29"/>
  <c r="H9395" i="29"/>
  <c r="H9394" i="29"/>
  <c r="H9393" i="29"/>
  <c r="H9392" i="29"/>
  <c r="H9391" i="29"/>
  <c r="H9390" i="29"/>
  <c r="H9389" i="29"/>
  <c r="H9388" i="29"/>
  <c r="H9387" i="29"/>
  <c r="H9386" i="29"/>
  <c r="H9381" i="29"/>
  <c r="H9382" i="29"/>
  <c r="H9385" i="29"/>
  <c r="H9384" i="29"/>
  <c r="H9383" i="29"/>
  <c r="H9378" i="29"/>
  <c r="H9380" i="29"/>
  <c r="H9379" i="29"/>
  <c r="H9377" i="29"/>
  <c r="H9376" i="29"/>
  <c r="H9373" i="29"/>
  <c r="H9371" i="29"/>
  <c r="H9369" i="29"/>
  <c r="H9304" i="29"/>
  <c r="H9368" i="29"/>
  <c r="H9367" i="29"/>
  <c r="H9375" i="29"/>
  <c r="H9374" i="29"/>
  <c r="H9372" i="29"/>
  <c r="H9370" i="29"/>
  <c r="H9366" i="29"/>
  <c r="H9365" i="29"/>
  <c r="H9364" i="29"/>
  <c r="H9363" i="29"/>
  <c r="H9362" i="29"/>
  <c r="H9361" i="29"/>
  <c r="H9360" i="29"/>
  <c r="H9359" i="29"/>
  <c r="H9351" i="29"/>
  <c r="H9350" i="29"/>
  <c r="H9348" i="29"/>
  <c r="H9347" i="29"/>
  <c r="H9345" i="29"/>
  <c r="H9358" i="29"/>
  <c r="H9349" i="29"/>
  <c r="H9312" i="29"/>
  <c r="H9325" i="29"/>
  <c r="H9357" i="29"/>
  <c r="H9356" i="29"/>
  <c r="H9355" i="29"/>
  <c r="H9354" i="29"/>
  <c r="H9353" i="29"/>
  <c r="H9352" i="29"/>
  <c r="H9346" i="29"/>
  <c r="H9344" i="29"/>
  <c r="H9343" i="29"/>
  <c r="H9339" i="29"/>
  <c r="H9338" i="29"/>
  <c r="H9337" i="29"/>
  <c r="H9336" i="29"/>
  <c r="H9335" i="29"/>
  <c r="H9342" i="29"/>
  <c r="H9341" i="29"/>
  <c r="H9340" i="29"/>
  <c r="H9333" i="29"/>
  <c r="H9332" i="29"/>
  <c r="H9331" i="29"/>
  <c r="H9330" i="29"/>
  <c r="H9329" i="29"/>
  <c r="H9334" i="29"/>
  <c r="H9328" i="29"/>
  <c r="H9327" i="29"/>
  <c r="H9326" i="29"/>
  <c r="H9310" i="29"/>
  <c r="H9309" i="29"/>
  <c r="H9308" i="29"/>
  <c r="H9307" i="29"/>
  <c r="H9306" i="29"/>
  <c r="H9302" i="29"/>
  <c r="H9301" i="29"/>
  <c r="H9300" i="29"/>
  <c r="H9299" i="29"/>
  <c r="H9324" i="29"/>
  <c r="H9323" i="29"/>
  <c r="H9322" i="29"/>
  <c r="H9317" i="29"/>
  <c r="H9316" i="29"/>
  <c r="H9315" i="29"/>
  <c r="H9311" i="29"/>
  <c r="H9305" i="29"/>
  <c r="H9321" i="29"/>
  <c r="H9320" i="29"/>
  <c r="H9319" i="29"/>
  <c r="H9318" i="29"/>
  <c r="H9314" i="29"/>
  <c r="H9313" i="29"/>
  <c r="H9303" i="29"/>
  <c r="H9298" i="29"/>
  <c r="H9297" i="29"/>
  <c r="H9296" i="29"/>
  <c r="H9295" i="29"/>
  <c r="H9293" i="29"/>
  <c r="H9294" i="29"/>
  <c r="H9283" i="29"/>
  <c r="H9292" i="29"/>
  <c r="H9291" i="29"/>
  <c r="H9290" i="29"/>
  <c r="H9289" i="29"/>
  <c r="H9288" i="29"/>
  <c r="H9287" i="29"/>
  <c r="H9286" i="29"/>
  <c r="H9285" i="29"/>
  <c r="H9284" i="29"/>
  <c r="H6788" i="29"/>
  <c r="H7429" i="29"/>
  <c r="H7430" i="29"/>
  <c r="H7431" i="29"/>
  <c r="H7432" i="29"/>
  <c r="H7433" i="29"/>
  <c r="H7434" i="29"/>
  <c r="H7435" i="29"/>
  <c r="H7436" i="29"/>
  <c r="H7437" i="29"/>
  <c r="H7438" i="29"/>
  <c r="H7439" i="29"/>
  <c r="H7440" i="29"/>
  <c r="H7441" i="29"/>
  <c r="H7442" i="29"/>
  <c r="H7443" i="29"/>
  <c r="H7444" i="29"/>
  <c r="H7445" i="29"/>
  <c r="H7446" i="29"/>
  <c r="H7447" i="29"/>
  <c r="H7448" i="29"/>
  <c r="H7449" i="29"/>
  <c r="H7450" i="29"/>
  <c r="H7451" i="29"/>
  <c r="H7452" i="29"/>
  <c r="H7453" i="29"/>
  <c r="H7454" i="29"/>
  <c r="H7455" i="29"/>
  <c r="H7456" i="29"/>
  <c r="H7457" i="29"/>
  <c r="H7458" i="29"/>
  <c r="H7459" i="29"/>
  <c r="H7460" i="29"/>
  <c r="H7461" i="29"/>
  <c r="H7462" i="29"/>
  <c r="H7463" i="29"/>
  <c r="H7464" i="29"/>
  <c r="H7465" i="29"/>
  <c r="H7466" i="29"/>
  <c r="H7467" i="29"/>
  <c r="H7468" i="29"/>
  <c r="H7469" i="29"/>
  <c r="H7470" i="29"/>
  <c r="H7471" i="29"/>
  <c r="H7472" i="29"/>
  <c r="H7473" i="29"/>
  <c r="H7474" i="29"/>
  <c r="H7475" i="29"/>
  <c r="H7476" i="29"/>
  <c r="H7477" i="29"/>
  <c r="H7478" i="29"/>
  <c r="H7479" i="29"/>
  <c r="H7480" i="29"/>
  <c r="H7481" i="29"/>
  <c r="H7482" i="29"/>
  <c r="H7483" i="29"/>
  <c r="H7484" i="29"/>
  <c r="H7485" i="29"/>
  <c r="H7486" i="29"/>
  <c r="H7487" i="29"/>
  <c r="H7488" i="29"/>
  <c r="H7489" i="29"/>
  <c r="H7490" i="29"/>
  <c r="H7491" i="29"/>
  <c r="H7492" i="29"/>
  <c r="H7493" i="29"/>
  <c r="H7494" i="29"/>
  <c r="H7495" i="29"/>
  <c r="H7496" i="29"/>
  <c r="H7497" i="29"/>
  <c r="H7498" i="29"/>
  <c r="H7499" i="29"/>
  <c r="H7500" i="29"/>
  <c r="H7501" i="29"/>
  <c r="H7502" i="29"/>
  <c r="H7503" i="29"/>
  <c r="H7504" i="29"/>
  <c r="H7505" i="29"/>
  <c r="H7506" i="29"/>
  <c r="H7507" i="29"/>
  <c r="H7508" i="29"/>
  <c r="H7509" i="29"/>
  <c r="H7510" i="29"/>
  <c r="H7511" i="29"/>
  <c r="H7512" i="29"/>
  <c r="H7513" i="29"/>
  <c r="H7514" i="29"/>
  <c r="H7515" i="29"/>
  <c r="H7516" i="29"/>
  <c r="H7517" i="29"/>
  <c r="H7518" i="29"/>
  <c r="H7519" i="29"/>
  <c r="H7520" i="29"/>
  <c r="H7521" i="29"/>
  <c r="H7522" i="29"/>
  <c r="H7523" i="29"/>
  <c r="H7524" i="29"/>
  <c r="H7525" i="29"/>
  <c r="H7526" i="29"/>
  <c r="H7527" i="29"/>
  <c r="H7528" i="29"/>
  <c r="H7529" i="29"/>
  <c r="H7530" i="29"/>
  <c r="H7531" i="29"/>
  <c r="H7532" i="29"/>
  <c r="H7533" i="29"/>
  <c r="H7534" i="29"/>
  <c r="H7535" i="29"/>
  <c r="H7536" i="29"/>
  <c r="H7537" i="29"/>
  <c r="H7538" i="29"/>
  <c r="H7539" i="29"/>
  <c r="H7540" i="29"/>
  <c r="H7541" i="29"/>
  <c r="H7542" i="29"/>
  <c r="H7543" i="29"/>
  <c r="H7544" i="29"/>
  <c r="H7545" i="29"/>
  <c r="H7546" i="29"/>
  <c r="H7547" i="29"/>
  <c r="H7548" i="29"/>
  <c r="H7549" i="29"/>
  <c r="H7550" i="29"/>
  <c r="H7551" i="29"/>
  <c r="H7552" i="29"/>
  <c r="H7553" i="29"/>
  <c r="H7554" i="29"/>
  <c r="H7555" i="29"/>
  <c r="H7556" i="29"/>
  <c r="H7557" i="29"/>
  <c r="H7558" i="29"/>
  <c r="H7559" i="29"/>
  <c r="H7560" i="29"/>
  <c r="H7561" i="29"/>
  <c r="H7562" i="29"/>
  <c r="H7563" i="29"/>
  <c r="H7564" i="29"/>
  <c r="H7565" i="29"/>
  <c r="H7566" i="29"/>
  <c r="H7567" i="29"/>
  <c r="H7568" i="29"/>
  <c r="H7569" i="29"/>
  <c r="H7570" i="29"/>
  <c r="H7571" i="29"/>
  <c r="H7572" i="29"/>
  <c r="H7573" i="29"/>
  <c r="H7574" i="29"/>
  <c r="H7575" i="29"/>
  <c r="H7576" i="29"/>
  <c r="H7577" i="29"/>
  <c r="H7578" i="29"/>
  <c r="H7579" i="29"/>
  <c r="H7580" i="29"/>
  <c r="H7581" i="29"/>
  <c r="H7582" i="29"/>
  <c r="H7583" i="29"/>
  <c r="H7584" i="29"/>
  <c r="H7585" i="29"/>
  <c r="H7586" i="29"/>
  <c r="H7587" i="29"/>
  <c r="H7588" i="29"/>
  <c r="H7589" i="29"/>
  <c r="H7590" i="29"/>
  <c r="H7591" i="29"/>
  <c r="H7592" i="29"/>
  <c r="H7593" i="29"/>
  <c r="H7594" i="29"/>
  <c r="H7595" i="29"/>
  <c r="H7596" i="29"/>
  <c r="H7597" i="29"/>
  <c r="H7598" i="29"/>
  <c r="H7599" i="29"/>
  <c r="H7600" i="29"/>
  <c r="H7601" i="29"/>
  <c r="H7602" i="29"/>
  <c r="H7603" i="29"/>
  <c r="H7604" i="29"/>
  <c r="H7605" i="29"/>
  <c r="H7606" i="29"/>
  <c r="H7607" i="29"/>
  <c r="H7608" i="29"/>
  <c r="H7609" i="29"/>
  <c r="H7610" i="29"/>
  <c r="H7611" i="29"/>
  <c r="H7612" i="29"/>
  <c r="H7613" i="29"/>
  <c r="H7614" i="29"/>
  <c r="H7615" i="29"/>
  <c r="H7616" i="29"/>
  <c r="H7617" i="29"/>
  <c r="H7618" i="29"/>
  <c r="H7619" i="29"/>
  <c r="H7620" i="29"/>
  <c r="H7621" i="29"/>
  <c r="H7622" i="29"/>
  <c r="H7623" i="29"/>
  <c r="H7624" i="29"/>
  <c r="H7625" i="29"/>
  <c r="H7626" i="29"/>
  <c r="H7627" i="29"/>
  <c r="H7628" i="29"/>
  <c r="H7629" i="29"/>
  <c r="H7630" i="29"/>
  <c r="H7631" i="29"/>
  <c r="H7632" i="29"/>
  <c r="H7633" i="29"/>
  <c r="H7634" i="29"/>
  <c r="H7635" i="29"/>
  <c r="H7636" i="29"/>
  <c r="H7637" i="29"/>
  <c r="H7638" i="29"/>
  <c r="H7639" i="29"/>
  <c r="H7640" i="29"/>
  <c r="H7641" i="29"/>
  <c r="H7642" i="29"/>
  <c r="H7643" i="29"/>
  <c r="H7644" i="29"/>
  <c r="H7645" i="29"/>
  <c r="H7646" i="29"/>
  <c r="H7647" i="29"/>
  <c r="H7648" i="29"/>
  <c r="H7649" i="29"/>
  <c r="H7650" i="29"/>
  <c r="H7651" i="29"/>
  <c r="H7652" i="29"/>
  <c r="H7653" i="29"/>
  <c r="H7654" i="29"/>
  <c r="H7655" i="29"/>
  <c r="H7656" i="29"/>
  <c r="H7657" i="29"/>
  <c r="H7658" i="29"/>
  <c r="H7659" i="29"/>
  <c r="H7660" i="29"/>
  <c r="H7661" i="29"/>
  <c r="H7662" i="29"/>
  <c r="H7663" i="29"/>
  <c r="H7664" i="29"/>
  <c r="H7665" i="29"/>
  <c r="H7666" i="29"/>
  <c r="H7667" i="29"/>
  <c r="H7668" i="29"/>
  <c r="H7669" i="29"/>
  <c r="H7670" i="29"/>
  <c r="H7671" i="29"/>
  <c r="H7672" i="29"/>
  <c r="H7673" i="29"/>
  <c r="H7674" i="29"/>
  <c r="H7675" i="29"/>
  <c r="H7676" i="29"/>
  <c r="H7677" i="29"/>
  <c r="H7678" i="29"/>
  <c r="H7679" i="29"/>
  <c r="H7680" i="29"/>
  <c r="H7681" i="29"/>
  <c r="H7682" i="29"/>
  <c r="H7683" i="29"/>
  <c r="H7684" i="29"/>
  <c r="H7685" i="29"/>
  <c r="H7686" i="29"/>
  <c r="H7687" i="29"/>
  <c r="H7688" i="29"/>
  <c r="H7689" i="29"/>
  <c r="H7690" i="29"/>
  <c r="H7691" i="29"/>
  <c r="H7692" i="29"/>
  <c r="H7693" i="29"/>
  <c r="H7694" i="29"/>
  <c r="H7695" i="29"/>
  <c r="H7696" i="29"/>
  <c r="H7697" i="29"/>
  <c r="H7698" i="29"/>
  <c r="H7699" i="29"/>
  <c r="H7700" i="29"/>
  <c r="H7701" i="29"/>
  <c r="H7702" i="29"/>
  <c r="H7703" i="29"/>
  <c r="H7704" i="29"/>
  <c r="H7705" i="29"/>
  <c r="H7706" i="29"/>
  <c r="H7707" i="29"/>
  <c r="H7708" i="29"/>
  <c r="H7709" i="29"/>
  <c r="H7710" i="29"/>
  <c r="H7711" i="29"/>
  <c r="H7712" i="29"/>
  <c r="H7713" i="29"/>
  <c r="H7714" i="29"/>
  <c r="H7715" i="29"/>
  <c r="H7716" i="29"/>
  <c r="H7717" i="29"/>
  <c r="H7718" i="29"/>
  <c r="H7719" i="29"/>
  <c r="H7720" i="29"/>
  <c r="H7721" i="29"/>
  <c r="H7722" i="29"/>
  <c r="H7723" i="29"/>
  <c r="H7724" i="29"/>
  <c r="H7725" i="29"/>
  <c r="H7726" i="29"/>
  <c r="H7727" i="29"/>
  <c r="H7728" i="29"/>
  <c r="H7729" i="29"/>
  <c r="H7730" i="29"/>
  <c r="H7731" i="29"/>
  <c r="H7732" i="29"/>
  <c r="H7733" i="29"/>
  <c r="H7734" i="29"/>
  <c r="H7735" i="29"/>
  <c r="H7736" i="29"/>
  <c r="H7737" i="29"/>
  <c r="H7738" i="29"/>
  <c r="H7739" i="29"/>
  <c r="H7740" i="29"/>
  <c r="H7741" i="29"/>
  <c r="H7742" i="29"/>
  <c r="H7743" i="29"/>
  <c r="H7744" i="29"/>
  <c r="H7745" i="29"/>
  <c r="H7746" i="29"/>
  <c r="H7747" i="29"/>
  <c r="H7748" i="29"/>
  <c r="H7749" i="29"/>
  <c r="H7750" i="29"/>
  <c r="H7751" i="29"/>
  <c r="H7752" i="29"/>
  <c r="H7753" i="29"/>
  <c r="H7754" i="29"/>
  <c r="H7755" i="29"/>
  <c r="H7756" i="29"/>
  <c r="H7757" i="29"/>
  <c r="H7758" i="29"/>
  <c r="H7759" i="29"/>
  <c r="H7760" i="29"/>
  <c r="H7761" i="29"/>
  <c r="H7762" i="29"/>
  <c r="H7763" i="29"/>
  <c r="H7764" i="29"/>
  <c r="H7765" i="29"/>
  <c r="H7766" i="29"/>
  <c r="H7767" i="29"/>
  <c r="H7768" i="29"/>
  <c r="H7769" i="29"/>
  <c r="H7770" i="29"/>
  <c r="H7771" i="29"/>
  <c r="H7772" i="29"/>
  <c r="H7773" i="29"/>
  <c r="H7774" i="29"/>
  <c r="H7775" i="29"/>
  <c r="H7776" i="29"/>
  <c r="H7777" i="29"/>
  <c r="H7778" i="29"/>
  <c r="H7779" i="29"/>
  <c r="H7780" i="29"/>
  <c r="H7781" i="29"/>
  <c r="H7782" i="29"/>
  <c r="H7783" i="29"/>
  <c r="H7784" i="29"/>
  <c r="H7785" i="29"/>
  <c r="H7786" i="29"/>
  <c r="H7787" i="29"/>
  <c r="H7788" i="29"/>
  <c r="H7789" i="29"/>
  <c r="H7790" i="29"/>
  <c r="H7791" i="29"/>
  <c r="H7792" i="29"/>
  <c r="H7793" i="29"/>
  <c r="H7794" i="29"/>
  <c r="H7795" i="29"/>
  <c r="H7796" i="29"/>
  <c r="H7797" i="29"/>
  <c r="H7798" i="29"/>
  <c r="H7799" i="29"/>
  <c r="H7800" i="29"/>
  <c r="H7801" i="29"/>
  <c r="H7802" i="29"/>
  <c r="H7803" i="29"/>
  <c r="H7804" i="29"/>
  <c r="H7805" i="29"/>
  <c r="H7806" i="29"/>
  <c r="H7807" i="29"/>
  <c r="H7808" i="29"/>
  <c r="H7809" i="29"/>
  <c r="H7810" i="29"/>
  <c r="H7811" i="29"/>
  <c r="H7812" i="29"/>
  <c r="H7813" i="29"/>
  <c r="H7814" i="29"/>
  <c r="H7815" i="29"/>
  <c r="H7816" i="29"/>
  <c r="H7817" i="29"/>
  <c r="H7818" i="29"/>
  <c r="H7819" i="29"/>
  <c r="H7820" i="29"/>
  <c r="H7821" i="29"/>
  <c r="H7822" i="29"/>
  <c r="H7823" i="29"/>
  <c r="H7824" i="29"/>
  <c r="H7825" i="29"/>
  <c r="H7826" i="29"/>
  <c r="H7827" i="29"/>
  <c r="H7828" i="29"/>
  <c r="H7829" i="29"/>
  <c r="H7830" i="29"/>
  <c r="H7831" i="29"/>
  <c r="H7832" i="29"/>
  <c r="H7833" i="29"/>
  <c r="H7834" i="29"/>
  <c r="H7835" i="29"/>
  <c r="H7836" i="29"/>
  <c r="H7837" i="29"/>
  <c r="H7838" i="29"/>
  <c r="H7839" i="29"/>
  <c r="H7840" i="29"/>
  <c r="H7841" i="29"/>
  <c r="H7842" i="29"/>
  <c r="H7843" i="29"/>
  <c r="H7844" i="29"/>
  <c r="H7845" i="29"/>
  <c r="H7846" i="29"/>
  <c r="H7847" i="29"/>
  <c r="H7848" i="29"/>
  <c r="H7849" i="29"/>
  <c r="H7850" i="29"/>
  <c r="H7851" i="29"/>
  <c r="H7852" i="29"/>
  <c r="H7853" i="29"/>
  <c r="H7854" i="29"/>
  <c r="H7855" i="29"/>
  <c r="H7856" i="29"/>
  <c r="H7857" i="29"/>
  <c r="H7858" i="29"/>
  <c r="H7859" i="29"/>
  <c r="H7860" i="29"/>
  <c r="H7861" i="29"/>
  <c r="H7862" i="29"/>
  <c r="H7863" i="29"/>
  <c r="H7864" i="29"/>
  <c r="H7865" i="29"/>
  <c r="H7866" i="29"/>
  <c r="H7867" i="29"/>
  <c r="H7868" i="29"/>
  <c r="H7869" i="29"/>
  <c r="H7870" i="29"/>
  <c r="H7871" i="29"/>
  <c r="H7872" i="29"/>
  <c r="H7873" i="29"/>
  <c r="H7874" i="29"/>
  <c r="H7875" i="29"/>
  <c r="H7876" i="29"/>
  <c r="H7877" i="29"/>
  <c r="H7878" i="29"/>
  <c r="H7879" i="29"/>
  <c r="H7880" i="29"/>
  <c r="H7881" i="29"/>
  <c r="H7882" i="29"/>
  <c r="H7883" i="29"/>
  <c r="H7884" i="29"/>
  <c r="H7885" i="29"/>
  <c r="H7886" i="29"/>
  <c r="H7887" i="29"/>
  <c r="H7888" i="29"/>
  <c r="H7889" i="29"/>
  <c r="H7890" i="29"/>
  <c r="H7891" i="29"/>
  <c r="H7892" i="29"/>
  <c r="H7893" i="29"/>
  <c r="H7894" i="29"/>
  <c r="H7895" i="29"/>
  <c r="H7896" i="29"/>
  <c r="H7897" i="29"/>
  <c r="H7898" i="29"/>
  <c r="H7899" i="29"/>
  <c r="H7900" i="29"/>
  <c r="H7901" i="29"/>
  <c r="H7902" i="29"/>
  <c r="H7903" i="29"/>
  <c r="H7904" i="29"/>
  <c r="H7905" i="29"/>
  <c r="H7906" i="29"/>
  <c r="H7907" i="29"/>
  <c r="H7908" i="29"/>
  <c r="H7909" i="29"/>
  <c r="H7910" i="29"/>
  <c r="H7911" i="29"/>
  <c r="H7912" i="29"/>
  <c r="H7913" i="29"/>
  <c r="H7914" i="29"/>
  <c r="H7915" i="29"/>
  <c r="H7916" i="29"/>
  <c r="H7917" i="29"/>
  <c r="H7918" i="29"/>
  <c r="H7919" i="29"/>
  <c r="H7920" i="29"/>
  <c r="H7921" i="29"/>
  <c r="H7922" i="29"/>
  <c r="H7923" i="29"/>
  <c r="H7924" i="29"/>
  <c r="H7925" i="29"/>
  <c r="H7926" i="29"/>
  <c r="H7927" i="29"/>
  <c r="H7928" i="29"/>
  <c r="H7929" i="29"/>
  <c r="H7930" i="29"/>
  <c r="H7931" i="29"/>
  <c r="H7932" i="29"/>
  <c r="H7933" i="29"/>
  <c r="H7934" i="29"/>
  <c r="H7935" i="29"/>
  <c r="H7936" i="29"/>
  <c r="H7937" i="29"/>
  <c r="H7938" i="29"/>
  <c r="H7939" i="29"/>
  <c r="H7940" i="29"/>
  <c r="H7941" i="29"/>
  <c r="H7942" i="29"/>
  <c r="H7943" i="29"/>
  <c r="H7944" i="29"/>
  <c r="H7945" i="29"/>
  <c r="H7946" i="29"/>
  <c r="H7947" i="29"/>
  <c r="H7948" i="29"/>
  <c r="H7949" i="29"/>
  <c r="H7950" i="29"/>
  <c r="H7951" i="29"/>
  <c r="H7952" i="29"/>
  <c r="H7953" i="29"/>
  <c r="H7954" i="29"/>
  <c r="H7955" i="29"/>
  <c r="H7956" i="29"/>
  <c r="H7957" i="29"/>
  <c r="H7958" i="29"/>
  <c r="H7959" i="29"/>
  <c r="H7960" i="29"/>
  <c r="H7961" i="29"/>
  <c r="H7962" i="29"/>
  <c r="H7963" i="29"/>
  <c r="H7964" i="29"/>
  <c r="H7965" i="29"/>
  <c r="H7966" i="29"/>
  <c r="H7967" i="29"/>
  <c r="H7968" i="29"/>
  <c r="H7969" i="29"/>
  <c r="H7970" i="29"/>
  <c r="H7971" i="29"/>
  <c r="H7972" i="29"/>
  <c r="H7973" i="29"/>
  <c r="H7974" i="29"/>
  <c r="H7975" i="29"/>
  <c r="H7976" i="29"/>
  <c r="H7977" i="29"/>
  <c r="H7978" i="29"/>
  <c r="H7979" i="29"/>
  <c r="H7980" i="29"/>
  <c r="H7981" i="29"/>
  <c r="H7982" i="29"/>
  <c r="H7983" i="29"/>
  <c r="H7984" i="29"/>
  <c r="H7985" i="29"/>
  <c r="H7986" i="29"/>
  <c r="H7987" i="29"/>
  <c r="H7988" i="29"/>
  <c r="H7989" i="29"/>
  <c r="H7990" i="29"/>
  <c r="H7991" i="29"/>
  <c r="H7992" i="29"/>
  <c r="H7993" i="29"/>
  <c r="H7994" i="29"/>
  <c r="H7995" i="29"/>
  <c r="H7996" i="29"/>
  <c r="H7997" i="29"/>
  <c r="H7998" i="29"/>
  <c r="H7999" i="29"/>
  <c r="H8000" i="29"/>
  <c r="H8001" i="29"/>
  <c r="H8002" i="29"/>
  <c r="H8003" i="29"/>
  <c r="H8004" i="29"/>
  <c r="H8005" i="29"/>
  <c r="H8006" i="29"/>
  <c r="H8007" i="29"/>
  <c r="H8008" i="29"/>
  <c r="H8009" i="29"/>
  <c r="H8010" i="29"/>
  <c r="H8011" i="29"/>
  <c r="H8012" i="29"/>
  <c r="H8013" i="29"/>
  <c r="H8014" i="29"/>
  <c r="H8015" i="29"/>
  <c r="H8016" i="29"/>
  <c r="H8017" i="29"/>
  <c r="H8018" i="29"/>
  <c r="H8019" i="29"/>
  <c r="H8020" i="29"/>
  <c r="H8021" i="29"/>
  <c r="H8022" i="29"/>
  <c r="H8023" i="29"/>
  <c r="H8024" i="29"/>
  <c r="H8025" i="29"/>
  <c r="H8026" i="29"/>
  <c r="H8027" i="29"/>
  <c r="H8028" i="29"/>
  <c r="H8029" i="29"/>
  <c r="H8030" i="29"/>
  <c r="H8031" i="29"/>
  <c r="H8032" i="29"/>
  <c r="H8033" i="29"/>
  <c r="H8034" i="29"/>
  <c r="H8035" i="29"/>
  <c r="H8036" i="29"/>
  <c r="H8037" i="29"/>
  <c r="H8038" i="29"/>
  <c r="H8039" i="29"/>
  <c r="H8040" i="29"/>
  <c r="H8041" i="29"/>
  <c r="H8042" i="29"/>
  <c r="H8043" i="29"/>
  <c r="H8044" i="29"/>
  <c r="H8045" i="29"/>
  <c r="H8046" i="29"/>
  <c r="H8047" i="29"/>
  <c r="H8048" i="29"/>
  <c r="H8049" i="29"/>
  <c r="H8050" i="29"/>
  <c r="H8051" i="29"/>
  <c r="H8052" i="29"/>
  <c r="H8053" i="29"/>
  <c r="H8054" i="29"/>
  <c r="H8055" i="29"/>
  <c r="H8056" i="29"/>
  <c r="H8057" i="29"/>
  <c r="H8058" i="29"/>
  <c r="H8059" i="29"/>
  <c r="H8060" i="29"/>
  <c r="H8061" i="29"/>
  <c r="H8062" i="29"/>
  <c r="H8063" i="29"/>
  <c r="H8064" i="29"/>
  <c r="H8065" i="29"/>
  <c r="H8066" i="29"/>
  <c r="H8067" i="29"/>
  <c r="H8068" i="29"/>
  <c r="H8069" i="29"/>
  <c r="H8070" i="29"/>
  <c r="H8071" i="29"/>
  <c r="H8072" i="29"/>
  <c r="H8073" i="29"/>
  <c r="H8074" i="29"/>
  <c r="H8075" i="29"/>
  <c r="H8076" i="29"/>
  <c r="H8077" i="29"/>
  <c r="H8078" i="29"/>
  <c r="H8079" i="29"/>
  <c r="H8080" i="29"/>
  <c r="H8081" i="29"/>
  <c r="H8082" i="29"/>
  <c r="H8083" i="29"/>
  <c r="H8084" i="29"/>
  <c r="H8085" i="29"/>
  <c r="H8086" i="29"/>
  <c r="H8087" i="29"/>
  <c r="H8088" i="29"/>
  <c r="H8089" i="29"/>
  <c r="H8090" i="29"/>
  <c r="H8091" i="29"/>
  <c r="H8092" i="29"/>
  <c r="H8093" i="29"/>
  <c r="H8094" i="29"/>
  <c r="H8095" i="29"/>
  <c r="H8096" i="29"/>
  <c r="H8097" i="29"/>
  <c r="H8098" i="29"/>
  <c r="H8099" i="29"/>
  <c r="H8100" i="29"/>
  <c r="H8101" i="29"/>
  <c r="H8102" i="29"/>
  <c r="H8103" i="29"/>
  <c r="H8104" i="29"/>
  <c r="H8105" i="29"/>
  <c r="H8106" i="29"/>
  <c r="H8107" i="29"/>
  <c r="H8108" i="29"/>
  <c r="H8109" i="29"/>
  <c r="H8110" i="29"/>
  <c r="H8111" i="29"/>
  <c r="H8112" i="29"/>
  <c r="H8113" i="29"/>
  <c r="H8114" i="29"/>
  <c r="H8115" i="29"/>
  <c r="H8116" i="29"/>
  <c r="H8117" i="29"/>
  <c r="H8118" i="29"/>
  <c r="H8119" i="29"/>
  <c r="H8120" i="29"/>
  <c r="H8121" i="29"/>
  <c r="H8122" i="29"/>
  <c r="H8123" i="29"/>
  <c r="H8124" i="29"/>
  <c r="H8125" i="29"/>
  <c r="H8126" i="29"/>
  <c r="H8127" i="29"/>
  <c r="H8128" i="29"/>
  <c r="H8129" i="29"/>
  <c r="H8130" i="29"/>
  <c r="H8131" i="29"/>
  <c r="H8132" i="29"/>
  <c r="H8133" i="29"/>
  <c r="H8134" i="29"/>
  <c r="H8135" i="29"/>
  <c r="H8136" i="29"/>
  <c r="H8137" i="29"/>
  <c r="H8138" i="29"/>
  <c r="H8139" i="29"/>
  <c r="H8140" i="29"/>
  <c r="H8141" i="29"/>
  <c r="H8142" i="29"/>
  <c r="H8143" i="29"/>
  <c r="H8144" i="29"/>
  <c r="H8145" i="29"/>
  <c r="H8146" i="29"/>
  <c r="H8147" i="29"/>
  <c r="H8148" i="29"/>
  <c r="H8149" i="29"/>
  <c r="H8150" i="29"/>
  <c r="H8151" i="29"/>
  <c r="H8152" i="29"/>
  <c r="H8153" i="29"/>
  <c r="H8154" i="29"/>
  <c r="H8155" i="29"/>
  <c r="H8156" i="29"/>
  <c r="H8157" i="29"/>
  <c r="H8158" i="29"/>
  <c r="H8159" i="29"/>
  <c r="H8160" i="29"/>
  <c r="H8161" i="29"/>
  <c r="H8162" i="29"/>
  <c r="H8163" i="29"/>
  <c r="H8164" i="29"/>
  <c r="H8165" i="29"/>
  <c r="H8166" i="29"/>
  <c r="H8167" i="29"/>
  <c r="H8168" i="29"/>
  <c r="H8169" i="29"/>
  <c r="H8170" i="29"/>
  <c r="H8171" i="29"/>
  <c r="H8172" i="29"/>
  <c r="H8173" i="29"/>
  <c r="H8174" i="29"/>
  <c r="H8175" i="29"/>
  <c r="H8176" i="29"/>
  <c r="H8177" i="29"/>
  <c r="H8178" i="29"/>
  <c r="H8179" i="29"/>
  <c r="H8180" i="29"/>
  <c r="H8181" i="29"/>
  <c r="H8182" i="29"/>
  <c r="H8183" i="29"/>
  <c r="H8184" i="29"/>
  <c r="H8185" i="29"/>
  <c r="H8186" i="29"/>
  <c r="H8187" i="29"/>
  <c r="H8188" i="29"/>
  <c r="H8189" i="29"/>
  <c r="H8190" i="29"/>
  <c r="H8191" i="29"/>
  <c r="H8192" i="29"/>
  <c r="H8193" i="29"/>
  <c r="H8194" i="29"/>
  <c r="H8195" i="29"/>
  <c r="H8196" i="29"/>
  <c r="H8197" i="29"/>
  <c r="H8198" i="29"/>
  <c r="H8199" i="29"/>
  <c r="H8200" i="29"/>
  <c r="H8201" i="29"/>
  <c r="H8202" i="29"/>
  <c r="H8203" i="29"/>
  <c r="H8204" i="29"/>
  <c r="H8205" i="29"/>
  <c r="H8206" i="29"/>
  <c r="H8207" i="29"/>
  <c r="H8208" i="29"/>
  <c r="H8209" i="29"/>
  <c r="H8210" i="29"/>
  <c r="H8211" i="29"/>
  <c r="H8212" i="29"/>
  <c r="H8213" i="29"/>
  <c r="H8214" i="29"/>
  <c r="H8215" i="29"/>
  <c r="H8216" i="29"/>
  <c r="H8217" i="29"/>
  <c r="H8218" i="29"/>
  <c r="H8219" i="29"/>
  <c r="H8220" i="29"/>
  <c r="H8221" i="29"/>
  <c r="H8222" i="29"/>
  <c r="H8223" i="29"/>
  <c r="H8224" i="29"/>
  <c r="H8225" i="29"/>
  <c r="H8226" i="29"/>
  <c r="H8227" i="29"/>
  <c r="H8228" i="29"/>
  <c r="H8229" i="29"/>
  <c r="H8230" i="29"/>
  <c r="H8231" i="29"/>
  <c r="H8232" i="29"/>
  <c r="H8233" i="29"/>
  <c r="H8234" i="29"/>
  <c r="H8235" i="29"/>
  <c r="H8236" i="29"/>
  <c r="H8237" i="29"/>
  <c r="H8238" i="29"/>
  <c r="H8239" i="29"/>
  <c r="H8240" i="29"/>
  <c r="H8241" i="29"/>
  <c r="H8242" i="29"/>
  <c r="H8243" i="29"/>
  <c r="H8244" i="29"/>
  <c r="H8245" i="29"/>
  <c r="H8246" i="29"/>
  <c r="H8247" i="29"/>
  <c r="H8248" i="29"/>
  <c r="H8249" i="29"/>
  <c r="H8250" i="29"/>
  <c r="H8251" i="29"/>
  <c r="H8252" i="29"/>
  <c r="H8253" i="29"/>
  <c r="H8254" i="29"/>
  <c r="H8255" i="29"/>
  <c r="H8256" i="29"/>
  <c r="H8257" i="29"/>
  <c r="H8258" i="29"/>
  <c r="H8259" i="29"/>
  <c r="H8260" i="29"/>
  <c r="H8261" i="29"/>
  <c r="H8262" i="29"/>
  <c r="H8263" i="29"/>
  <c r="H8264" i="29"/>
  <c r="H8265" i="29"/>
  <c r="H8266" i="29"/>
  <c r="H8267" i="29"/>
  <c r="H8268" i="29"/>
  <c r="H8269" i="29"/>
  <c r="H8270" i="29"/>
  <c r="H8271" i="29"/>
  <c r="H8272" i="29"/>
  <c r="H8273" i="29"/>
  <c r="H8274" i="29"/>
  <c r="H8275" i="29"/>
  <c r="H8276" i="29"/>
  <c r="H8277" i="29"/>
  <c r="H8278" i="29"/>
  <c r="H8279" i="29"/>
  <c r="H8280" i="29"/>
  <c r="H8281" i="29"/>
  <c r="H8282" i="29"/>
  <c r="H8283" i="29"/>
  <c r="H8284" i="29"/>
  <c r="H8285" i="29"/>
  <c r="H8286" i="29"/>
  <c r="H8287" i="29"/>
  <c r="H8288" i="29"/>
  <c r="H8289" i="29"/>
  <c r="H8290" i="29"/>
  <c r="H8291" i="29"/>
  <c r="H8292" i="29"/>
  <c r="H8293" i="29"/>
  <c r="H8294" i="29"/>
  <c r="H8295" i="29"/>
  <c r="H8296" i="29"/>
  <c r="H8297" i="29"/>
  <c r="H8298" i="29"/>
  <c r="H8299" i="29"/>
  <c r="H8300" i="29"/>
  <c r="H8301" i="29"/>
  <c r="H8302" i="29"/>
  <c r="H8303" i="29"/>
  <c r="H8304" i="29"/>
  <c r="H8305" i="29"/>
  <c r="H8306" i="29"/>
  <c r="H8307" i="29"/>
  <c r="H8308" i="29"/>
  <c r="H8309" i="29"/>
  <c r="H8310" i="29"/>
  <c r="H8311" i="29"/>
  <c r="H8312" i="29"/>
  <c r="H8313" i="29"/>
  <c r="H8314" i="29"/>
  <c r="H8315" i="29"/>
  <c r="H8316" i="29"/>
  <c r="H8317" i="29"/>
  <c r="H8318" i="29"/>
  <c r="H8319" i="29"/>
  <c r="H8320" i="29"/>
  <c r="H8321" i="29"/>
  <c r="H8322" i="29"/>
  <c r="H8323" i="29"/>
  <c r="H8324" i="29"/>
  <c r="H8325" i="29"/>
  <c r="H8326" i="29"/>
  <c r="H8327" i="29"/>
  <c r="H8328" i="29"/>
  <c r="H8329" i="29"/>
  <c r="H8330" i="29"/>
  <c r="H8331" i="29"/>
  <c r="H8332" i="29"/>
  <c r="H8333" i="29"/>
  <c r="H8334" i="29"/>
  <c r="H8335" i="29"/>
  <c r="H8336" i="29"/>
  <c r="H8337" i="29"/>
  <c r="H8338" i="29"/>
  <c r="H8339" i="29"/>
  <c r="H8340" i="29"/>
  <c r="H8341" i="29"/>
  <c r="H8342" i="29"/>
  <c r="H8343" i="29"/>
  <c r="H8344" i="29"/>
  <c r="H8345" i="29"/>
  <c r="H8346" i="29"/>
  <c r="H8347" i="29"/>
  <c r="H8348" i="29"/>
  <c r="H8349" i="29"/>
  <c r="H8350" i="29"/>
  <c r="H8351" i="29"/>
  <c r="H8352" i="29"/>
  <c r="H8353" i="29"/>
  <c r="H8354" i="29"/>
  <c r="H8355" i="29"/>
  <c r="H8356" i="29"/>
  <c r="H8357" i="29"/>
  <c r="H8358" i="29"/>
  <c r="H8359" i="29"/>
  <c r="H8360" i="29"/>
  <c r="H8361" i="29"/>
  <c r="H8362" i="29"/>
  <c r="H8363" i="29"/>
  <c r="H8364" i="29"/>
  <c r="H8365" i="29"/>
  <c r="H8366" i="29"/>
  <c r="H8367" i="29"/>
  <c r="H8368" i="29"/>
  <c r="H8369" i="29"/>
  <c r="H8370" i="29"/>
  <c r="H8371" i="29"/>
  <c r="H8372" i="29"/>
  <c r="H8373" i="29"/>
  <c r="H8374" i="29"/>
  <c r="H8375" i="29"/>
  <c r="H8376" i="29"/>
  <c r="H8377" i="29"/>
  <c r="H8378" i="29"/>
  <c r="H8379" i="29"/>
  <c r="H8380" i="29"/>
  <c r="H8381" i="29"/>
  <c r="H8382" i="29"/>
  <c r="H8383" i="29"/>
  <c r="H8384" i="29"/>
  <c r="H8385" i="29"/>
  <c r="H8386" i="29"/>
  <c r="H8387" i="29"/>
  <c r="H8388" i="29"/>
  <c r="H8389" i="29"/>
  <c r="H8390" i="29"/>
  <c r="H8391" i="29"/>
  <c r="H8392" i="29"/>
  <c r="H8393" i="29"/>
  <c r="H8394" i="29"/>
  <c r="H8395" i="29"/>
  <c r="H8396" i="29"/>
  <c r="H8397" i="29"/>
  <c r="H8398" i="29"/>
  <c r="H8399" i="29"/>
  <c r="H8400" i="29"/>
  <c r="H8401" i="29"/>
  <c r="H8402" i="29"/>
  <c r="H8403" i="29"/>
  <c r="H8404" i="29"/>
  <c r="H8405" i="29"/>
  <c r="H8406" i="29"/>
  <c r="H8407" i="29"/>
  <c r="H8408" i="29"/>
  <c r="H8409" i="29"/>
  <c r="H8410" i="29"/>
  <c r="H8411" i="29"/>
  <c r="H8412" i="29"/>
  <c r="H8413" i="29"/>
  <c r="H8414" i="29"/>
  <c r="H8415" i="29"/>
  <c r="H8416" i="29"/>
  <c r="H8417" i="29"/>
  <c r="H8418" i="29"/>
  <c r="H8419" i="29"/>
  <c r="H8420" i="29"/>
  <c r="H8421" i="29"/>
  <c r="H8422" i="29"/>
  <c r="H8423" i="29"/>
  <c r="H8424" i="29"/>
  <c r="H8425" i="29"/>
  <c r="H8426" i="29"/>
  <c r="H8427" i="29"/>
  <c r="H8428" i="29"/>
  <c r="H8429" i="29"/>
  <c r="H8430" i="29"/>
  <c r="H8431" i="29"/>
  <c r="H8432" i="29"/>
  <c r="H8433" i="29"/>
  <c r="H8434" i="29"/>
  <c r="H8435" i="29"/>
  <c r="H8436" i="29"/>
  <c r="H8437" i="29"/>
  <c r="H8438" i="29"/>
  <c r="H8439" i="29"/>
  <c r="H8440" i="29"/>
  <c r="H8441" i="29"/>
  <c r="H8442" i="29"/>
  <c r="H8443" i="29"/>
  <c r="H8444" i="29"/>
  <c r="H8445" i="29"/>
  <c r="H8446" i="29"/>
  <c r="H8447" i="29"/>
  <c r="H8448" i="29"/>
  <c r="H8449" i="29"/>
  <c r="H8450" i="29"/>
  <c r="H8451" i="29"/>
  <c r="H8452" i="29"/>
  <c r="H8453" i="29"/>
  <c r="H8454" i="29"/>
  <c r="H8455" i="29"/>
  <c r="H8456" i="29"/>
  <c r="H8457" i="29"/>
  <c r="H8458" i="29"/>
  <c r="H8459" i="29"/>
  <c r="H8460" i="29"/>
  <c r="H8461" i="29"/>
  <c r="H8462" i="29"/>
  <c r="H8463" i="29"/>
  <c r="H8464" i="29"/>
  <c r="H8465" i="29"/>
  <c r="H8466" i="29"/>
  <c r="H8467" i="29"/>
  <c r="H8468" i="29"/>
  <c r="H8469" i="29"/>
  <c r="H8470" i="29"/>
  <c r="H8471" i="29"/>
  <c r="H8472" i="29"/>
  <c r="H8473" i="29"/>
  <c r="H8474" i="29"/>
  <c r="H8475" i="29"/>
  <c r="H8476" i="29"/>
  <c r="H8477" i="29"/>
  <c r="H8478" i="29"/>
  <c r="H8479" i="29"/>
  <c r="H8480" i="29"/>
  <c r="H8481" i="29"/>
  <c r="H8482" i="29"/>
  <c r="H8483" i="29"/>
  <c r="H8484" i="29"/>
  <c r="H8485" i="29"/>
  <c r="H8486" i="29"/>
  <c r="H8487" i="29"/>
  <c r="H8488" i="29"/>
  <c r="H8489" i="29"/>
  <c r="H8490" i="29"/>
  <c r="H8491" i="29"/>
  <c r="H8492" i="29"/>
  <c r="H8493" i="29"/>
  <c r="H8494" i="29"/>
  <c r="H8495" i="29"/>
  <c r="H8496" i="29"/>
  <c r="H8497" i="29"/>
  <c r="H8498" i="29"/>
  <c r="H8499" i="29"/>
  <c r="H8500" i="29"/>
  <c r="H8501" i="29"/>
  <c r="H8502" i="29"/>
  <c r="H8503" i="29"/>
  <c r="H8504" i="29"/>
  <c r="H8505" i="29"/>
  <c r="H8506" i="29"/>
  <c r="H8507" i="29"/>
  <c r="H8508" i="29"/>
  <c r="H8509" i="29"/>
  <c r="H8510" i="29"/>
  <c r="H8511" i="29"/>
  <c r="H8512" i="29"/>
  <c r="H8513" i="29"/>
  <c r="H8514" i="29"/>
  <c r="H8515" i="29"/>
  <c r="H8516" i="29"/>
  <c r="H8517" i="29"/>
  <c r="H8518" i="29"/>
  <c r="H8519" i="29"/>
  <c r="H8520" i="29"/>
  <c r="H8521" i="29"/>
  <c r="H8522" i="29"/>
  <c r="H8523" i="29"/>
  <c r="H8524" i="29"/>
  <c r="H8525" i="29"/>
  <c r="H8526" i="29"/>
  <c r="H8527" i="29"/>
  <c r="H8528" i="29"/>
  <c r="H8529" i="29"/>
  <c r="H8530" i="29"/>
  <c r="H8531" i="29"/>
  <c r="H8532" i="29"/>
  <c r="H8533" i="29"/>
  <c r="H8534" i="29"/>
  <c r="H8535" i="29"/>
  <c r="H8536" i="29"/>
  <c r="H8537" i="29"/>
  <c r="H8538" i="29"/>
  <c r="H8539" i="29"/>
  <c r="H8540" i="29"/>
  <c r="H8541" i="29"/>
  <c r="H8542" i="29"/>
  <c r="H8543" i="29"/>
  <c r="H8544" i="29"/>
  <c r="H8545" i="29"/>
  <c r="H8546" i="29"/>
  <c r="H8547" i="29"/>
  <c r="H8548" i="29"/>
  <c r="H8549" i="29"/>
  <c r="H8550" i="29"/>
  <c r="H8551" i="29"/>
  <c r="H8552" i="29"/>
  <c r="H8553" i="29"/>
  <c r="H8554" i="29"/>
  <c r="H8555" i="29"/>
  <c r="H8556" i="29"/>
  <c r="H8557" i="29"/>
  <c r="H8558" i="29"/>
  <c r="H8559" i="29"/>
  <c r="H8560" i="29"/>
  <c r="H8561" i="29"/>
  <c r="H8562" i="29"/>
  <c r="H8563" i="29"/>
  <c r="H8564" i="29"/>
  <c r="H8565" i="29"/>
  <c r="H8566" i="29"/>
  <c r="H8567" i="29"/>
  <c r="H8568" i="29"/>
  <c r="H8569" i="29"/>
  <c r="H8570" i="29"/>
  <c r="H8571" i="29"/>
  <c r="H8572" i="29"/>
  <c r="H8573" i="29"/>
  <c r="H8574" i="29"/>
  <c r="H8575" i="29"/>
  <c r="H8576" i="29"/>
  <c r="H8577" i="29"/>
  <c r="H8578" i="29"/>
  <c r="H8579" i="29"/>
  <c r="H8580" i="29"/>
  <c r="H8581" i="29"/>
  <c r="H8582" i="29"/>
  <c r="H8583" i="29"/>
  <c r="H8584" i="29"/>
  <c r="H8585" i="29"/>
  <c r="H8586" i="29"/>
  <c r="H8587" i="29"/>
  <c r="H8588" i="29"/>
  <c r="H8589" i="29"/>
  <c r="H8590" i="29"/>
  <c r="H8591" i="29"/>
  <c r="H8592" i="29"/>
  <c r="H8593" i="29"/>
  <c r="H8594" i="29"/>
  <c r="H8595" i="29"/>
  <c r="H8596" i="29"/>
  <c r="H8597" i="29"/>
  <c r="H8598" i="29"/>
  <c r="H8599" i="29"/>
  <c r="H8600" i="29"/>
  <c r="H8601" i="29"/>
  <c r="H8602" i="29"/>
  <c r="H8603" i="29"/>
  <c r="H8604" i="29"/>
  <c r="H8605" i="29"/>
  <c r="H8606" i="29"/>
  <c r="H8607" i="29"/>
  <c r="H8608" i="29"/>
  <c r="H8609" i="29"/>
  <c r="H8610" i="29"/>
  <c r="H8611" i="29"/>
  <c r="H8612" i="29"/>
  <c r="H8613" i="29"/>
  <c r="H8614" i="29"/>
  <c r="H8615" i="29"/>
  <c r="H8616" i="29"/>
  <c r="H8617" i="29"/>
  <c r="H8618" i="29"/>
  <c r="H8619" i="29"/>
  <c r="H8620" i="29"/>
  <c r="H8621" i="29"/>
  <c r="H8622" i="29"/>
  <c r="H8623" i="29"/>
  <c r="H8624" i="29"/>
  <c r="H8625" i="29"/>
  <c r="H8626" i="29"/>
  <c r="H8627" i="29"/>
  <c r="H8628" i="29"/>
  <c r="H8629" i="29"/>
  <c r="H8630" i="29"/>
  <c r="H8631" i="29"/>
  <c r="H8632" i="29"/>
  <c r="H8633" i="29"/>
  <c r="H8634" i="29"/>
  <c r="H8635" i="29"/>
  <c r="H8636" i="29"/>
  <c r="H8637" i="29"/>
  <c r="H8638" i="29"/>
  <c r="H8639" i="29"/>
  <c r="H8640" i="29"/>
  <c r="H8641" i="29"/>
  <c r="H8642" i="29"/>
  <c r="H8643" i="29"/>
  <c r="H8644" i="29"/>
  <c r="H8645" i="29"/>
  <c r="H8646" i="29"/>
  <c r="H8647" i="29"/>
  <c r="H8648" i="29"/>
  <c r="H8649" i="29"/>
  <c r="H8650" i="29"/>
  <c r="H8651" i="29"/>
  <c r="H8652" i="29"/>
  <c r="H8653" i="29"/>
  <c r="H8654" i="29"/>
  <c r="H8655" i="29"/>
  <c r="H8656" i="29"/>
  <c r="H8657" i="29"/>
  <c r="H8658" i="29"/>
  <c r="H8659" i="29"/>
  <c r="H8660" i="29"/>
  <c r="H8661" i="29"/>
  <c r="H8662" i="29"/>
  <c r="H8663" i="29"/>
  <c r="H8664" i="29"/>
  <c r="H8665" i="29"/>
  <c r="H8666" i="29"/>
  <c r="H8667" i="29"/>
  <c r="H8668" i="29"/>
  <c r="H8669" i="29"/>
  <c r="H8670" i="29"/>
  <c r="H8671" i="29"/>
  <c r="H8672" i="29"/>
  <c r="H8673" i="29"/>
  <c r="H8674" i="29"/>
  <c r="H8675" i="29"/>
  <c r="H8676" i="29"/>
  <c r="H8677" i="29"/>
  <c r="H8678" i="29"/>
  <c r="H8679" i="29"/>
  <c r="H8680" i="29"/>
  <c r="H8681" i="29"/>
  <c r="H8682" i="29"/>
  <c r="H8683" i="29"/>
  <c r="H8684" i="29"/>
  <c r="H8685" i="29"/>
  <c r="H8686" i="29"/>
  <c r="H8687" i="29"/>
  <c r="H8688" i="29"/>
  <c r="H8689" i="29"/>
  <c r="H8690" i="29"/>
  <c r="H8691" i="29"/>
  <c r="H8692" i="29"/>
  <c r="H8693" i="29"/>
  <c r="H8694" i="29"/>
  <c r="H8695" i="29"/>
  <c r="H8696" i="29"/>
  <c r="H8697" i="29"/>
  <c r="H8698" i="29"/>
  <c r="H8699" i="29"/>
  <c r="H8700" i="29"/>
  <c r="H8701" i="29"/>
  <c r="H8702" i="29"/>
  <c r="H8703" i="29"/>
  <c r="H8704" i="29"/>
  <c r="H8705" i="29"/>
  <c r="H8706" i="29"/>
  <c r="H8707" i="29"/>
  <c r="H8708" i="29"/>
  <c r="H8709" i="29"/>
  <c r="H8710" i="29"/>
  <c r="H8711" i="29"/>
  <c r="H8712" i="29"/>
  <c r="H8713" i="29"/>
  <c r="H8714" i="29"/>
  <c r="H8715" i="29"/>
  <c r="H8716" i="29"/>
  <c r="H8717" i="29"/>
  <c r="H8718" i="29"/>
  <c r="H8719" i="29"/>
  <c r="H8720" i="29"/>
  <c r="H8721" i="29"/>
  <c r="H8722" i="29"/>
  <c r="H8723" i="29"/>
  <c r="H8724" i="29"/>
  <c r="H8725" i="29"/>
  <c r="H8726" i="29"/>
  <c r="H8727" i="29"/>
  <c r="H8728" i="29"/>
  <c r="H8729" i="29"/>
  <c r="H8730" i="29"/>
  <c r="H8731" i="29"/>
  <c r="H8732" i="29"/>
  <c r="H8733" i="29"/>
  <c r="H8734" i="29"/>
  <c r="H8735" i="29"/>
  <c r="H8736" i="29"/>
  <c r="H8737" i="29"/>
  <c r="H8738" i="29"/>
  <c r="H8739" i="29"/>
  <c r="H8740" i="29"/>
  <c r="H8741" i="29"/>
  <c r="H8742" i="29"/>
  <c r="H8743" i="29"/>
  <c r="H8744" i="29"/>
  <c r="H8745" i="29"/>
  <c r="H8746" i="29"/>
  <c r="H8747" i="29"/>
  <c r="H8748" i="29"/>
  <c r="H8749" i="29"/>
  <c r="H8750" i="29"/>
  <c r="H8751" i="29"/>
  <c r="H8752" i="29"/>
  <c r="H8753" i="29"/>
  <c r="H8754" i="29"/>
  <c r="H8755" i="29"/>
  <c r="H8756" i="29"/>
  <c r="H8757" i="29"/>
  <c r="H8758" i="29"/>
  <c r="H8759" i="29"/>
  <c r="H8760" i="29"/>
  <c r="H8761" i="29"/>
  <c r="H8762" i="29"/>
  <c r="H8763" i="29"/>
  <c r="H8764" i="29"/>
  <c r="H8765" i="29"/>
  <c r="H8766" i="29"/>
  <c r="H8767" i="29"/>
  <c r="H8768" i="29"/>
  <c r="H8769" i="29"/>
  <c r="H8770" i="29"/>
  <c r="H8771" i="29"/>
  <c r="H8772" i="29"/>
  <c r="H8773" i="29"/>
  <c r="H8774" i="29"/>
  <c r="H8775" i="29"/>
  <c r="H8776" i="29"/>
  <c r="H8777" i="29"/>
  <c r="H8778" i="29"/>
  <c r="H8779" i="29"/>
  <c r="H8780" i="29"/>
  <c r="H8781" i="29"/>
  <c r="H8782" i="29"/>
  <c r="H8783" i="29"/>
  <c r="H8784" i="29"/>
  <c r="H8785" i="29"/>
  <c r="H8786" i="29"/>
  <c r="H8787" i="29"/>
  <c r="H8788" i="29"/>
  <c r="H8789" i="29"/>
  <c r="H8790" i="29"/>
  <c r="H8791" i="29"/>
  <c r="H8792" i="29"/>
  <c r="H8793" i="29"/>
  <c r="H8794" i="29"/>
  <c r="H8795" i="29"/>
  <c r="H8796" i="29"/>
  <c r="H8797" i="29"/>
  <c r="H8798" i="29"/>
  <c r="H8799" i="29"/>
  <c r="H8800" i="29"/>
  <c r="H8801" i="29"/>
  <c r="H8802" i="29"/>
  <c r="H8803" i="29"/>
  <c r="H8804" i="29"/>
  <c r="H8805" i="29"/>
  <c r="H8806" i="29"/>
  <c r="H8807" i="29"/>
  <c r="H8808" i="29"/>
  <c r="H8809" i="29"/>
  <c r="H8810" i="29"/>
  <c r="H8811" i="29"/>
  <c r="H8812" i="29"/>
  <c r="H8813" i="29"/>
  <c r="H8814" i="29"/>
  <c r="H8815" i="29"/>
  <c r="H8816" i="29"/>
  <c r="H8817" i="29"/>
  <c r="H8818" i="29"/>
  <c r="H8819" i="29"/>
  <c r="H8820" i="29"/>
  <c r="H8821" i="29"/>
  <c r="H8822" i="29"/>
  <c r="H8823" i="29"/>
  <c r="H8824" i="29"/>
  <c r="H8825" i="29"/>
  <c r="H8826" i="29"/>
  <c r="H8827" i="29"/>
  <c r="H8828" i="29"/>
  <c r="H8829" i="29"/>
  <c r="H8830" i="29"/>
  <c r="H8831" i="29"/>
  <c r="H8832" i="29"/>
  <c r="H8833" i="29"/>
  <c r="H8834" i="29"/>
  <c r="H8835" i="29"/>
  <c r="H8836" i="29"/>
  <c r="H8837" i="29"/>
  <c r="H8838" i="29"/>
  <c r="H8839" i="29"/>
  <c r="H8840" i="29"/>
  <c r="H8841" i="29"/>
  <c r="H8842" i="29"/>
  <c r="H8843" i="29"/>
  <c r="H8844" i="29"/>
  <c r="H8845" i="29"/>
  <c r="H8846" i="29"/>
  <c r="H8847" i="29"/>
  <c r="H8848" i="29"/>
  <c r="H8849" i="29"/>
  <c r="H8850" i="29"/>
  <c r="H8851" i="29"/>
  <c r="H8852" i="29"/>
  <c r="H8853" i="29"/>
  <c r="H8854" i="29"/>
  <c r="H8855" i="29"/>
  <c r="H8856" i="29"/>
  <c r="H8857" i="29"/>
  <c r="H8858" i="29"/>
  <c r="H8859" i="29"/>
  <c r="H8860" i="29"/>
  <c r="H8861" i="29"/>
  <c r="H8862" i="29"/>
  <c r="H8863" i="29"/>
  <c r="H8864" i="29"/>
  <c r="H8865" i="29"/>
  <c r="H8866" i="29"/>
  <c r="H8867" i="29"/>
  <c r="H8868" i="29"/>
  <c r="H8869" i="29"/>
  <c r="H8870" i="29"/>
  <c r="H8871" i="29"/>
  <c r="H8872" i="29"/>
  <c r="H8873" i="29"/>
  <c r="H8874" i="29"/>
  <c r="H8875" i="29"/>
  <c r="H8876" i="29"/>
  <c r="H8877" i="29"/>
  <c r="H8878" i="29"/>
  <c r="H8879" i="29"/>
  <c r="H8880" i="29"/>
  <c r="H8881" i="29"/>
  <c r="H8882" i="29"/>
  <c r="H8883" i="29"/>
  <c r="H8884" i="29"/>
  <c r="H8885" i="29"/>
  <c r="H8886" i="29"/>
  <c r="H8887" i="29"/>
  <c r="H8888" i="29"/>
  <c r="H8889" i="29"/>
  <c r="H8890" i="29"/>
  <c r="H8891" i="29"/>
  <c r="H8892" i="29"/>
  <c r="H8893" i="29"/>
  <c r="H8894" i="29"/>
  <c r="H8895" i="29"/>
  <c r="H8896" i="29"/>
  <c r="H8897" i="29"/>
  <c r="H8898" i="29"/>
  <c r="H8899" i="29"/>
  <c r="H8900" i="29"/>
  <c r="H8901" i="29"/>
  <c r="H8902" i="29"/>
  <c r="H8903" i="29"/>
  <c r="H8904" i="29"/>
  <c r="H8905" i="29"/>
  <c r="H8906" i="29"/>
  <c r="H8907" i="29"/>
  <c r="H8908" i="29"/>
  <c r="H8909" i="29"/>
  <c r="H8910" i="29"/>
  <c r="H8911" i="29"/>
  <c r="H8912" i="29"/>
  <c r="H8913" i="29"/>
  <c r="H8914" i="29"/>
  <c r="H8915" i="29"/>
  <c r="H8916" i="29"/>
  <c r="H8917" i="29"/>
  <c r="H8918" i="29"/>
  <c r="H8919" i="29"/>
  <c r="H8920" i="29"/>
  <c r="H8921" i="29"/>
  <c r="H8922" i="29"/>
  <c r="H8923" i="29"/>
  <c r="H8924" i="29"/>
  <c r="H8925" i="29"/>
  <c r="H8926" i="29"/>
  <c r="H8927" i="29"/>
  <c r="H8928" i="29"/>
  <c r="H8929" i="29"/>
  <c r="H8930" i="29"/>
  <c r="H8931" i="29"/>
  <c r="H8932" i="29"/>
  <c r="H8933" i="29"/>
  <c r="H8934" i="29"/>
  <c r="H8935" i="29"/>
  <c r="H8936" i="29"/>
  <c r="H8937" i="29"/>
  <c r="H8938" i="29"/>
  <c r="H8939" i="29"/>
  <c r="H8940" i="29"/>
  <c r="H8941" i="29"/>
  <c r="H8942" i="29"/>
  <c r="H8943" i="29"/>
  <c r="H8944" i="29"/>
  <c r="H8945" i="29"/>
  <c r="H8946" i="29"/>
  <c r="H8947" i="29"/>
  <c r="H8948" i="29"/>
  <c r="H8949" i="29"/>
  <c r="H8950" i="29"/>
  <c r="H8951" i="29"/>
  <c r="H8952" i="29"/>
  <c r="H8953" i="29"/>
  <c r="H8954" i="29"/>
  <c r="H8955" i="29"/>
  <c r="H8956" i="29"/>
  <c r="H8957" i="29"/>
  <c r="H8958" i="29"/>
  <c r="H8959" i="29"/>
  <c r="H8960" i="29"/>
  <c r="H8961" i="29"/>
  <c r="H8962" i="29"/>
  <c r="H8963" i="29"/>
  <c r="H8964" i="29"/>
  <c r="H8965" i="29"/>
  <c r="H8966" i="29"/>
  <c r="H8967" i="29"/>
  <c r="H8968" i="29"/>
  <c r="H8969" i="29"/>
  <c r="H8970" i="29"/>
  <c r="H8971" i="29"/>
  <c r="H8972" i="29"/>
  <c r="H8973" i="29"/>
  <c r="H8974" i="29"/>
  <c r="H8975" i="29"/>
  <c r="H8976" i="29"/>
  <c r="H8977" i="29"/>
  <c r="H8978" i="29"/>
  <c r="H8979" i="29"/>
  <c r="H8980" i="29"/>
  <c r="H8981" i="29"/>
  <c r="H8982" i="29"/>
  <c r="H8983" i="29"/>
  <c r="H8984" i="29"/>
  <c r="H8985" i="29"/>
  <c r="H8986" i="29"/>
  <c r="H8987" i="29"/>
  <c r="H8988" i="29"/>
  <c r="H8989" i="29"/>
  <c r="H8990" i="29"/>
  <c r="H8991" i="29"/>
  <c r="H8992" i="29"/>
  <c r="H8993" i="29"/>
  <c r="H8994" i="29"/>
  <c r="H8995" i="29"/>
  <c r="H8996" i="29"/>
  <c r="H8997" i="29"/>
  <c r="H8998" i="29"/>
  <c r="H8999" i="29"/>
  <c r="H9000" i="29"/>
  <c r="H9001" i="29"/>
  <c r="H9002" i="29"/>
  <c r="H9003" i="29"/>
  <c r="H9004" i="29"/>
  <c r="H9005" i="29"/>
  <c r="H9006" i="29"/>
  <c r="H9007" i="29"/>
  <c r="H9008" i="29"/>
  <c r="H9009" i="29"/>
  <c r="H9010" i="29"/>
  <c r="H9011" i="29"/>
  <c r="H9012" i="29"/>
  <c r="H9013" i="29"/>
  <c r="H9014" i="29"/>
  <c r="H9015" i="29"/>
  <c r="H9016" i="29"/>
  <c r="H9017" i="29"/>
  <c r="H9018" i="29"/>
  <c r="H9019" i="29"/>
  <c r="H9020" i="29"/>
  <c r="H9021" i="29"/>
  <c r="H9022" i="29"/>
  <c r="H9023" i="29"/>
  <c r="H9024" i="29"/>
  <c r="H9025" i="29"/>
  <c r="H9026" i="29"/>
  <c r="H9027" i="29"/>
  <c r="H9028" i="29"/>
  <c r="H9029" i="29"/>
  <c r="H9030" i="29"/>
  <c r="H9031" i="29"/>
  <c r="H9032" i="29"/>
  <c r="H9033" i="29"/>
  <c r="H9034" i="29"/>
  <c r="H9035" i="29"/>
  <c r="H9036" i="29"/>
  <c r="H9037" i="29"/>
  <c r="H9038" i="29"/>
  <c r="H9039" i="29"/>
  <c r="H9040" i="29"/>
  <c r="H9041" i="29"/>
  <c r="H9042" i="29"/>
  <c r="H9043" i="29"/>
  <c r="H9044" i="29"/>
  <c r="H9045" i="29"/>
  <c r="H9046" i="29"/>
  <c r="H9047" i="29"/>
  <c r="H9048" i="29"/>
  <c r="H9049" i="29"/>
  <c r="H9050" i="29"/>
  <c r="H9051" i="29"/>
  <c r="H9052" i="29"/>
  <c r="H9053" i="29"/>
  <c r="H9054" i="29"/>
  <c r="H9055" i="29"/>
  <c r="H9056" i="29"/>
  <c r="H9057" i="29"/>
  <c r="H9058" i="29"/>
  <c r="H9059" i="29"/>
  <c r="H9060" i="29"/>
  <c r="H9061" i="29"/>
  <c r="H9062" i="29"/>
  <c r="H9063" i="29"/>
  <c r="H9064" i="29"/>
  <c r="H9065" i="29"/>
  <c r="H9066" i="29"/>
  <c r="H9067" i="29"/>
  <c r="H9068" i="29"/>
  <c r="H9069" i="29"/>
  <c r="H9070" i="29"/>
  <c r="H9071" i="29"/>
  <c r="H9072" i="29"/>
  <c r="H9073" i="29"/>
  <c r="H9074" i="29"/>
  <c r="H9075" i="29"/>
  <c r="H9076" i="29"/>
  <c r="H9077" i="29"/>
  <c r="H9078" i="29"/>
  <c r="H9079" i="29"/>
  <c r="H9080" i="29"/>
  <c r="H9081" i="29"/>
  <c r="H9082" i="29"/>
  <c r="H9083" i="29"/>
  <c r="H9084" i="29"/>
  <c r="H9085" i="29"/>
  <c r="H9086" i="29"/>
  <c r="H9087" i="29"/>
  <c r="H9088" i="29"/>
  <c r="H9089" i="29"/>
  <c r="H9090" i="29"/>
  <c r="H9091" i="29"/>
  <c r="H9092" i="29"/>
  <c r="H9093" i="29"/>
  <c r="H9094" i="29"/>
  <c r="H9095" i="29"/>
  <c r="H9096" i="29"/>
  <c r="H9097" i="29"/>
  <c r="H9098" i="29"/>
  <c r="H9099" i="29"/>
  <c r="H9100" i="29"/>
  <c r="H9101" i="29"/>
  <c r="H9102" i="29"/>
  <c r="H9103" i="29"/>
  <c r="H9104" i="29"/>
  <c r="H9105" i="29"/>
  <c r="H9106" i="29"/>
  <c r="H9107" i="29"/>
  <c r="H9108" i="29"/>
  <c r="H9109" i="29"/>
  <c r="H9110" i="29"/>
  <c r="H9111" i="29"/>
  <c r="H9112" i="29"/>
  <c r="H9113" i="29"/>
  <c r="H9114" i="29"/>
  <c r="H9115" i="29"/>
  <c r="H9116" i="29"/>
  <c r="H9117" i="29"/>
  <c r="H9118" i="29"/>
  <c r="H9119" i="29"/>
  <c r="H9120" i="29"/>
  <c r="H9121" i="29"/>
  <c r="H9122" i="29"/>
  <c r="H9123" i="29"/>
  <c r="H9124" i="29"/>
  <c r="H9125" i="29"/>
  <c r="H9126" i="29"/>
  <c r="H9127" i="29"/>
  <c r="H9128" i="29"/>
  <c r="H9129" i="29"/>
  <c r="H9130" i="29"/>
  <c r="H9131" i="29"/>
  <c r="H9132" i="29"/>
  <c r="H9133" i="29"/>
  <c r="H9134" i="29"/>
  <c r="H9135" i="29"/>
  <c r="H9136" i="29"/>
  <c r="H9137" i="29"/>
  <c r="H9138" i="29"/>
  <c r="H9139" i="29"/>
  <c r="H9140" i="29"/>
  <c r="H9141" i="29"/>
  <c r="H9142" i="29"/>
  <c r="H9143" i="29"/>
  <c r="H9144" i="29"/>
  <c r="H9145" i="29"/>
  <c r="H9146" i="29"/>
  <c r="H9147" i="29"/>
  <c r="H9148" i="29"/>
  <c r="H9149" i="29"/>
  <c r="H9150" i="29"/>
  <c r="H9151" i="29"/>
  <c r="H9152" i="29"/>
  <c r="H9153" i="29"/>
  <c r="H9154" i="29"/>
  <c r="H9155" i="29"/>
  <c r="H9156" i="29"/>
  <c r="H9157" i="29"/>
  <c r="H9158" i="29"/>
  <c r="H9159" i="29"/>
  <c r="H9160" i="29"/>
  <c r="H9161" i="29"/>
  <c r="H9162" i="29"/>
  <c r="H9163" i="29"/>
  <c r="H9164" i="29"/>
  <c r="H9165" i="29"/>
  <c r="H9166" i="29"/>
  <c r="H9167" i="29"/>
  <c r="H9168" i="29"/>
  <c r="H9169" i="29"/>
  <c r="H9170" i="29"/>
  <c r="H9171" i="29"/>
  <c r="H9172" i="29"/>
  <c r="H9173" i="29"/>
  <c r="H9174" i="29"/>
  <c r="H9175" i="29"/>
  <c r="H9176" i="29"/>
  <c r="H9177" i="29"/>
  <c r="H9178" i="29"/>
  <c r="H9179" i="29"/>
  <c r="H9180" i="29"/>
  <c r="H9181" i="29"/>
  <c r="H9182" i="29"/>
  <c r="H9183" i="29"/>
  <c r="H9184" i="29"/>
  <c r="H9185" i="29"/>
  <c r="H9186" i="29"/>
  <c r="H9187" i="29"/>
  <c r="H9188" i="29"/>
  <c r="H9189" i="29"/>
  <c r="H9190" i="29"/>
  <c r="H9191" i="29"/>
  <c r="H9192" i="29"/>
  <c r="H9193" i="29"/>
  <c r="H9194" i="29"/>
  <c r="H9195" i="29"/>
  <c r="H9196" i="29"/>
  <c r="H9197" i="29"/>
  <c r="H9198" i="29"/>
  <c r="H9199" i="29"/>
  <c r="H9200" i="29"/>
  <c r="H9201" i="29"/>
  <c r="H9202" i="29"/>
  <c r="H9203" i="29"/>
  <c r="H9204" i="29"/>
  <c r="H9205" i="29"/>
  <c r="H9206" i="29"/>
  <c r="H9207" i="29"/>
  <c r="H9208" i="29"/>
  <c r="H9209" i="29"/>
  <c r="H9210" i="29"/>
  <c r="H9211" i="29"/>
  <c r="H9212" i="29"/>
  <c r="H9213" i="29"/>
  <c r="H9214" i="29"/>
  <c r="H9215" i="29"/>
  <c r="H9216" i="29"/>
  <c r="H9217" i="29"/>
  <c r="H9218" i="29"/>
  <c r="H9219" i="29"/>
  <c r="H9220" i="29"/>
  <c r="H9221" i="29"/>
  <c r="H9222" i="29"/>
  <c r="H9223" i="29"/>
  <c r="H9224" i="29"/>
  <c r="H9225" i="29"/>
  <c r="H9226" i="29"/>
  <c r="H9227" i="29"/>
  <c r="H9228" i="29"/>
  <c r="H9229" i="29"/>
  <c r="H9230" i="29"/>
  <c r="H9231" i="29"/>
  <c r="H9232" i="29"/>
  <c r="H9233" i="29"/>
  <c r="H9234" i="29"/>
  <c r="H9235" i="29"/>
  <c r="H9236" i="29"/>
  <c r="H9237" i="29"/>
  <c r="H9238" i="29"/>
  <c r="H9239" i="29"/>
  <c r="H9240" i="29"/>
  <c r="H9241" i="29"/>
  <c r="H9242" i="29"/>
  <c r="H9243" i="29"/>
  <c r="H9244" i="29"/>
  <c r="H9245" i="29"/>
  <c r="H9246" i="29"/>
  <c r="H9247" i="29"/>
  <c r="H9248" i="29"/>
  <c r="H9249" i="29"/>
  <c r="H9250" i="29"/>
  <c r="H9251" i="29"/>
  <c r="H9252" i="29"/>
  <c r="H9253" i="29"/>
  <c r="H9254" i="29"/>
  <c r="H9255" i="29"/>
  <c r="H9256" i="29"/>
  <c r="H9257" i="29"/>
  <c r="H9258" i="29"/>
  <c r="H9259" i="29"/>
  <c r="H9260" i="29"/>
  <c r="H9261" i="29"/>
  <c r="H9262" i="29"/>
  <c r="H9263" i="29"/>
  <c r="H9264" i="29"/>
  <c r="H9265" i="29"/>
  <c r="H9266" i="29"/>
  <c r="H9267" i="29"/>
  <c r="H9268" i="29"/>
  <c r="H9269" i="29"/>
  <c r="H9270" i="29"/>
  <c r="H9271" i="29"/>
  <c r="H9272" i="29"/>
  <c r="H9273" i="29"/>
  <c r="H9274" i="29"/>
  <c r="H9275" i="29"/>
  <c r="H9276" i="29"/>
  <c r="H9277" i="29"/>
  <c r="H9278" i="29"/>
  <c r="H9279" i="29"/>
  <c r="H9280" i="29"/>
  <c r="H9281" i="29"/>
  <c r="H9282" i="29"/>
  <c r="H637" i="29"/>
  <c r="H7319" i="29"/>
  <c r="H7369" i="29"/>
  <c r="H7368" i="29"/>
  <c r="H7367" i="29"/>
  <c r="H7366" i="29"/>
  <c r="H7365" i="29"/>
  <c r="H7364" i="29"/>
  <c r="H7363" i="29"/>
  <c r="H7425" i="29"/>
  <c r="H7424" i="29"/>
  <c r="H7423" i="29"/>
  <c r="H7422" i="29"/>
  <c r="H7421" i="29"/>
  <c r="H7420" i="29"/>
  <c r="H7428" i="29"/>
  <c r="H7427" i="29"/>
  <c r="H7426" i="29"/>
  <c r="H7419" i="29"/>
  <c r="H7417" i="29"/>
  <c r="H7418" i="29"/>
  <c r="H7416" i="29"/>
  <c r="H7415" i="29"/>
  <c r="H7414" i="29"/>
  <c r="H7413" i="29"/>
  <c r="H7412" i="29"/>
  <c r="H7411" i="29"/>
  <c r="H7410" i="29"/>
  <c r="H7409" i="29"/>
  <c r="H7408" i="29"/>
  <c r="H7406" i="29"/>
  <c r="H7407" i="29"/>
  <c r="H7402" i="29"/>
  <c r="H7403" i="29"/>
  <c r="H7401" i="29"/>
  <c r="H7400" i="29"/>
  <c r="H7399" i="29"/>
  <c r="H7398" i="29"/>
  <c r="H7397" i="29"/>
  <c r="H7396" i="29"/>
  <c r="H7395" i="29"/>
  <c r="H7394" i="29"/>
  <c r="H7392" i="29"/>
  <c r="H7391" i="29"/>
  <c r="H7405" i="29"/>
  <c r="H7404" i="29"/>
  <c r="H7393" i="29"/>
  <c r="H7388" i="29"/>
  <c r="H7390" i="29"/>
  <c r="H7389" i="29"/>
  <c r="H7379" i="29"/>
  <c r="H7387" i="29"/>
  <c r="H7386" i="29"/>
  <c r="H7385" i="29"/>
  <c r="H7384" i="29"/>
  <c r="H7383" i="29"/>
  <c r="H7382" i="29"/>
  <c r="H7381" i="29"/>
  <c r="H7380" i="29"/>
  <c r="H7377" i="29"/>
  <c r="H7374" i="29"/>
  <c r="H7373" i="29"/>
  <c r="H7372" i="29"/>
  <c r="H7378" i="29"/>
  <c r="H7376" i="29"/>
  <c r="H7375" i="29"/>
  <c r="H7371" i="29"/>
  <c r="H7370" i="29"/>
  <c r="H7362" i="29"/>
  <c r="H7361" i="29"/>
  <c r="H7360" i="29"/>
  <c r="H7359" i="29"/>
  <c r="H7358" i="29"/>
  <c r="H7357" i="29"/>
  <c r="H7356" i="29"/>
  <c r="H7355" i="29"/>
  <c r="H7354" i="29"/>
  <c r="H7353" i="29"/>
  <c r="H7352" i="29"/>
  <c r="H7348" i="29"/>
  <c r="H7347" i="29"/>
  <c r="H7346" i="29"/>
  <c r="H7345" i="29"/>
  <c r="H7351" i="29"/>
  <c r="H7350" i="29"/>
  <c r="H7349" i="29"/>
  <c r="H7341" i="29"/>
  <c r="H7340" i="29"/>
  <c r="H7344" i="29"/>
  <c r="H7343" i="29"/>
  <c r="H7342" i="29"/>
  <c r="H7339" i="29"/>
  <c r="H7338" i="29"/>
  <c r="H7337" i="29"/>
  <c r="H7336" i="29"/>
  <c r="H7335" i="29"/>
  <c r="H7334" i="29"/>
  <c r="H7333" i="29"/>
  <c r="H7332" i="29"/>
  <c r="H7329" i="29"/>
  <c r="H7328" i="29"/>
  <c r="H7327" i="29"/>
  <c r="H7326" i="29"/>
  <c r="H7331" i="29"/>
  <c r="H7330" i="29"/>
  <c r="H7325" i="29"/>
  <c r="H7324" i="29"/>
  <c r="H659" i="29"/>
  <c r="H7323" i="29"/>
  <c r="H7321" i="29"/>
  <c r="H7320" i="29"/>
  <c r="H7322" i="29"/>
  <c r="H7312" i="29"/>
  <c r="H7315" i="29"/>
  <c r="H7318" i="29"/>
  <c r="H7317" i="29"/>
  <c r="H7316" i="29"/>
  <c r="H7314" i="29"/>
  <c r="H7313" i="29"/>
  <c r="H7311" i="29"/>
  <c r="H7310" i="29"/>
  <c r="H7309" i="29"/>
  <c r="H7308" i="29"/>
  <c r="H7307" i="29"/>
  <c r="H7306" i="29"/>
  <c r="H7305" i="29"/>
  <c r="H7304" i="29"/>
  <c r="H7303" i="29"/>
  <c r="H7302" i="29"/>
  <c r="H7301" i="29"/>
  <c r="H7300" i="29"/>
  <c r="H7296" i="29"/>
  <c r="H7295" i="29"/>
  <c r="H7294" i="29"/>
  <c r="H7299" i="29"/>
  <c r="H7298" i="29"/>
  <c r="H7297" i="29"/>
  <c r="H7293" i="29"/>
  <c r="H7292" i="29"/>
  <c r="H7291" i="29"/>
  <c r="H7290" i="29"/>
  <c r="H7286" i="29"/>
  <c r="H7285" i="29"/>
  <c r="H7284" i="29"/>
  <c r="H7289" i="29"/>
  <c r="H7288" i="29"/>
  <c r="H7287" i="29"/>
  <c r="H7283" i="29"/>
  <c r="H7280" i="29"/>
  <c r="H7279" i="29"/>
  <c r="H7277" i="29"/>
  <c r="H7276" i="29"/>
  <c r="H7282" i="29"/>
  <c r="H7281" i="29"/>
  <c r="H7274" i="29"/>
  <c r="H7272" i="29"/>
  <c r="H7271" i="29"/>
  <c r="H7270" i="29"/>
  <c r="H7269" i="29"/>
  <c r="H7268" i="29"/>
  <c r="H7267" i="29"/>
  <c r="H7278" i="29"/>
  <c r="H7275" i="29"/>
  <c r="H7273" i="29"/>
  <c r="H7266" i="29"/>
  <c r="H7265" i="29"/>
  <c r="H7263" i="29"/>
  <c r="H7262" i="29"/>
  <c r="H7264" i="29"/>
  <c r="H7261" i="29"/>
  <c r="H7260" i="29"/>
  <c r="H7259" i="29"/>
  <c r="H7258" i="29"/>
  <c r="H7257" i="29"/>
  <c r="H7254" i="29"/>
  <c r="H7253" i="29"/>
  <c r="H7256" i="29"/>
  <c r="H7255" i="29"/>
  <c r="H7252" i="29"/>
  <c r="H7251" i="29"/>
  <c r="H7250" i="29"/>
  <c r="H7249" i="29"/>
  <c r="H7248" i="29"/>
  <c r="H7247" i="29"/>
  <c r="H7245" i="29"/>
  <c r="H7244" i="29"/>
  <c r="H7237" i="29"/>
  <c r="H7236" i="29"/>
  <c r="H7235" i="29"/>
  <c r="H7246" i="29"/>
  <c r="H7243" i="29"/>
  <c r="H7242" i="29"/>
  <c r="H7241" i="29"/>
  <c r="H7240" i="29"/>
  <c r="H7239" i="29"/>
  <c r="H7238" i="29"/>
  <c r="H7234" i="29"/>
  <c r="H7233" i="29"/>
  <c r="H7232" i="29"/>
  <c r="H7231" i="29"/>
  <c r="H7229" i="29"/>
  <c r="H7226" i="29"/>
  <c r="H7225" i="29"/>
  <c r="H7224" i="29"/>
  <c r="H7221" i="29"/>
  <c r="H7220" i="29"/>
  <c r="H7219" i="29"/>
  <c r="H7218" i="29"/>
  <c r="H7217" i="29"/>
  <c r="H7230" i="29"/>
  <c r="H7227" i="29"/>
  <c r="H7216" i="29"/>
  <c r="H7215" i="29"/>
  <c r="H7214" i="29"/>
  <c r="H7213" i="29"/>
  <c r="H7212" i="29"/>
  <c r="H7211" i="29"/>
  <c r="H7210" i="29"/>
  <c r="H7209" i="29"/>
  <c r="H7228" i="29"/>
  <c r="H7223" i="29"/>
  <c r="H7222" i="29"/>
  <c r="H7207" i="29"/>
  <c r="H7204" i="29"/>
  <c r="H7201" i="29"/>
  <c r="H7203" i="29"/>
  <c r="H7202" i="29"/>
  <c r="H7208" i="29"/>
  <c r="H7206" i="29"/>
  <c r="H7205" i="29"/>
  <c r="H7200" i="29"/>
  <c r="H7199" i="29"/>
  <c r="H7198" i="29"/>
  <c r="H7197" i="29"/>
  <c r="H7196" i="29"/>
  <c r="H7193" i="29"/>
  <c r="H7192" i="29"/>
  <c r="H7191" i="29"/>
  <c r="H7190" i="29"/>
  <c r="H7189" i="29"/>
  <c r="H7185" i="29"/>
  <c r="H7184" i="29"/>
  <c r="H7182" i="29"/>
  <c r="H7181" i="29"/>
  <c r="H7180" i="29"/>
  <c r="H7179" i="29"/>
  <c r="H7178" i="29"/>
  <c r="H7177" i="29"/>
  <c r="H7176" i="29"/>
  <c r="H7195" i="29"/>
  <c r="H7194" i="29"/>
  <c r="H7188" i="29"/>
  <c r="H7187" i="29"/>
  <c r="H7186" i="29"/>
  <c r="H7183" i="29"/>
  <c r="H7175" i="29"/>
  <c r="H7170" i="29"/>
  <c r="H7168" i="29"/>
  <c r="H7174" i="29"/>
  <c r="H7173" i="29"/>
  <c r="H7172" i="29"/>
  <c r="H7171" i="29"/>
  <c r="H7169" i="29"/>
  <c r="H7167" i="29"/>
  <c r="H7166" i="29"/>
  <c r="H7165" i="29"/>
  <c r="H7164" i="29"/>
  <c r="H7163" i="29"/>
  <c r="H7162" i="29"/>
  <c r="H7161" i="29"/>
  <c r="H7160" i="29"/>
  <c r="H7159" i="29"/>
  <c r="H7158" i="29"/>
  <c r="H7157" i="29"/>
  <c r="H7156" i="29"/>
  <c r="H7155" i="29"/>
  <c r="H7154" i="29"/>
  <c r="H7153" i="29"/>
  <c r="H7152" i="29"/>
  <c r="H7148" i="29"/>
  <c r="H7147" i="29"/>
  <c r="H7146" i="29"/>
  <c r="H7145" i="29"/>
  <c r="H7151" i="29"/>
  <c r="H7149" i="29"/>
  <c r="H7144" i="29"/>
  <c r="H7143" i="29"/>
  <c r="H7142" i="29"/>
  <c r="H7141" i="29"/>
  <c r="H7140" i="29"/>
  <c r="H7150" i="29"/>
  <c r="H7139" i="29"/>
  <c r="H7138" i="29"/>
  <c r="H7137" i="29"/>
  <c r="H7136" i="29"/>
  <c r="H7135" i="29"/>
  <c r="H7134" i="29"/>
  <c r="H7133" i="29"/>
  <c r="H7132" i="29"/>
  <c r="H7131" i="29"/>
  <c r="H7130" i="29"/>
  <c r="H7129" i="29"/>
  <c r="H7126" i="29"/>
  <c r="H7123" i="29"/>
  <c r="H7122" i="29"/>
  <c r="H7121" i="29"/>
  <c r="H7120" i="29"/>
  <c r="H7119" i="29"/>
  <c r="H7118" i="29"/>
  <c r="H7117" i="29"/>
  <c r="H7116" i="29"/>
  <c r="H7115" i="29"/>
  <c r="H7128" i="29"/>
  <c r="H7127" i="29"/>
  <c r="H7114" i="29"/>
  <c r="H7113" i="29"/>
  <c r="H7112" i="29"/>
  <c r="H7111" i="29"/>
  <c r="H7110" i="29"/>
  <c r="H7109" i="29"/>
  <c r="H7108" i="29"/>
  <c r="H7107" i="29"/>
  <c r="H7106" i="29"/>
  <c r="H7125" i="29"/>
  <c r="H7124" i="29"/>
  <c r="H7105" i="29"/>
  <c r="H7104" i="29"/>
  <c r="H7103" i="29"/>
  <c r="H7102" i="29"/>
  <c r="H7101" i="29"/>
  <c r="H7100" i="29"/>
  <c r="H7099" i="29"/>
  <c r="H7097" i="29"/>
  <c r="H7098" i="29"/>
  <c r="H7096" i="29"/>
  <c r="H7093" i="29"/>
  <c r="H7095" i="29"/>
  <c r="H7094" i="29"/>
  <c r="H7092" i="29"/>
  <c r="H7091" i="29"/>
  <c r="H7089" i="29"/>
  <c r="H7088" i="29"/>
  <c r="H7087" i="29"/>
  <c r="H7086" i="29"/>
  <c r="H7085" i="29"/>
  <c r="H7084" i="29"/>
  <c r="H7083" i="29"/>
  <c r="H7082" i="29"/>
  <c r="H7081" i="29"/>
  <c r="H7080" i="29"/>
  <c r="H7079" i="29"/>
  <c r="H7078" i="29"/>
  <c r="H7090" i="29"/>
  <c r="H7075" i="29"/>
  <c r="H7074" i="29"/>
  <c r="H7077" i="29"/>
  <c r="H7076" i="29"/>
  <c r="H7073" i="29"/>
  <c r="H7072" i="29"/>
  <c r="H7071" i="29"/>
  <c r="H7069" i="29"/>
  <c r="H7070" i="29"/>
  <c r="H7060" i="29"/>
  <c r="H7059" i="29"/>
  <c r="H7058" i="29"/>
  <c r="H7057" i="29"/>
  <c r="H7068" i="29"/>
  <c r="H7067" i="29"/>
  <c r="H7066" i="29"/>
  <c r="H7065" i="29"/>
  <c r="H7064" i="29"/>
  <c r="H7056" i="29"/>
  <c r="H7055" i="29"/>
  <c r="H7054" i="29"/>
  <c r="H7053" i="29"/>
  <c r="H7063" i="29"/>
  <c r="H7062" i="29"/>
  <c r="H7061" i="29"/>
  <c r="H7052" i="29"/>
  <c r="H7050" i="29"/>
  <c r="H7049" i="29"/>
  <c r="H7051" i="29"/>
  <c r="H7048" i="29"/>
  <c r="H7047" i="29"/>
  <c r="H7046" i="29"/>
  <c r="H7045" i="29"/>
  <c r="H7043" i="29"/>
  <c r="H7042" i="29"/>
  <c r="H7041" i="29"/>
  <c r="H7040" i="29"/>
  <c r="H7039" i="29"/>
  <c r="H7038" i="29"/>
  <c r="H7037" i="29"/>
  <c r="H7044" i="29"/>
  <c r="H7035" i="29"/>
  <c r="H7034" i="29"/>
  <c r="H7036" i="29"/>
  <c r="H7031" i="29"/>
  <c r="H7030" i="29"/>
  <c r="H7029" i="29"/>
  <c r="H7028" i="29"/>
  <c r="H7027" i="29"/>
  <c r="H7023" i="29"/>
  <c r="H7022" i="29"/>
  <c r="H7021" i="29"/>
  <c r="H7020" i="29"/>
  <c r="H7033" i="29"/>
  <c r="H7032" i="29"/>
  <c r="H7026" i="29"/>
  <c r="H7025" i="29"/>
  <c r="H7024" i="29"/>
  <c r="H7018" i="29"/>
  <c r="H7019" i="29"/>
  <c r="H7017" i="29"/>
  <c r="H7016" i="29"/>
  <c r="H7015" i="29"/>
  <c r="H7014" i="29"/>
  <c r="H7013" i="29"/>
  <c r="H7012" i="29"/>
  <c r="H7011" i="29"/>
  <c r="H7010" i="29"/>
  <c r="H7009" i="29"/>
  <c r="H7008" i="29"/>
  <c r="H7007" i="29"/>
  <c r="H7006" i="29"/>
  <c r="H7005" i="29"/>
  <c r="H7004" i="29"/>
  <c r="H7003" i="29"/>
  <c r="H7002" i="29"/>
  <c r="H7001" i="29"/>
  <c r="H7000" i="29"/>
  <c r="H6999" i="29"/>
  <c r="H6988" i="29"/>
  <c r="H6998" i="29"/>
  <c r="H6997" i="29"/>
  <c r="H6996" i="29"/>
  <c r="H6995" i="29"/>
  <c r="H6994" i="29"/>
  <c r="H6993" i="29"/>
  <c r="H6992" i="29"/>
  <c r="H6991" i="29"/>
  <c r="H6990" i="29"/>
  <c r="H6989" i="29"/>
  <c r="H6987" i="29"/>
  <c r="H6986" i="29"/>
  <c r="H6985" i="29"/>
  <c r="H6984" i="29"/>
  <c r="H6983" i="29"/>
  <c r="H6982" i="29"/>
  <c r="H6981" i="29"/>
  <c r="H6980" i="29"/>
  <c r="H660" i="29"/>
  <c r="H6979" i="29"/>
  <c r="H6977" i="29"/>
  <c r="H6976" i="29"/>
  <c r="H6975" i="29"/>
  <c r="H6968" i="29"/>
  <c r="H6967" i="29"/>
  <c r="H6978" i="29"/>
  <c r="H6974" i="29"/>
  <c r="H6973" i="29"/>
  <c r="H6972" i="29"/>
  <c r="H6971" i="29"/>
  <c r="H6970" i="29"/>
  <c r="H6964" i="29"/>
  <c r="H6963" i="29"/>
  <c r="H6969" i="29"/>
  <c r="H6959" i="29"/>
  <c r="H6958" i="29"/>
  <c r="H6957" i="29"/>
  <c r="H6956" i="29"/>
  <c r="H6955" i="29"/>
  <c r="H6954" i="29"/>
  <c r="H6966" i="29"/>
  <c r="H6965" i="29"/>
  <c r="H6951" i="29"/>
  <c r="H6950" i="29"/>
  <c r="H6949" i="29"/>
  <c r="H6948" i="29"/>
  <c r="H6947" i="29"/>
  <c r="H6946" i="29"/>
  <c r="H6945" i="29"/>
  <c r="H6944" i="29"/>
  <c r="H6943" i="29"/>
  <c r="H6942" i="29"/>
  <c r="H6962" i="29"/>
  <c r="H6961" i="29"/>
  <c r="H6960" i="29"/>
  <c r="H6953" i="29"/>
  <c r="H6952" i="29"/>
  <c r="H6941" i="29"/>
  <c r="H6940" i="29"/>
  <c r="H6939" i="29"/>
  <c r="H6938" i="29"/>
  <c r="H6937" i="29"/>
  <c r="H6936" i="29"/>
  <c r="H6935" i="29"/>
  <c r="H6934" i="29"/>
  <c r="H6933" i="29"/>
  <c r="H6928" i="29"/>
  <c r="H6925" i="29"/>
  <c r="H6924" i="29"/>
  <c r="H6923" i="29"/>
  <c r="H6932" i="29"/>
  <c r="H6931" i="29"/>
  <c r="H6930" i="29"/>
  <c r="H6929" i="29"/>
  <c r="H6927" i="29"/>
  <c r="H6926" i="29"/>
  <c r="H6922" i="29"/>
  <c r="H6921" i="29"/>
  <c r="H6920" i="29"/>
  <c r="H6919" i="29"/>
  <c r="H6918" i="29"/>
  <c r="H6917" i="29"/>
  <c r="H6916" i="29"/>
  <c r="H6915" i="29"/>
  <c r="H6914" i="29"/>
  <c r="H6913" i="29"/>
  <c r="H6912" i="29"/>
  <c r="H6911" i="29"/>
  <c r="H6910" i="29"/>
  <c r="H6909" i="29"/>
  <c r="H6905" i="29"/>
  <c r="H6908" i="29"/>
  <c r="H6907" i="29"/>
  <c r="H6906" i="29"/>
  <c r="H6904" i="29"/>
  <c r="H6903" i="29"/>
  <c r="H6902" i="29"/>
  <c r="H6901" i="29"/>
  <c r="H6898" i="29"/>
  <c r="H6897" i="29"/>
  <c r="H6896" i="29"/>
  <c r="H6895" i="29"/>
  <c r="H6900" i="29"/>
  <c r="H6899" i="29"/>
  <c r="H6893" i="29"/>
  <c r="H6892" i="29"/>
  <c r="H6891" i="29"/>
  <c r="H6890" i="29"/>
  <c r="H6889" i="29"/>
  <c r="H6885" i="29"/>
  <c r="H6884" i="29"/>
  <c r="H6883" i="29"/>
  <c r="H6882" i="29"/>
  <c r="H6894" i="29"/>
  <c r="H6881" i="29"/>
  <c r="H6880" i="29"/>
  <c r="H6879" i="29"/>
  <c r="H6878" i="29"/>
  <c r="H6875" i="29"/>
  <c r="H6888" i="29"/>
  <c r="H6887" i="29"/>
  <c r="H6886" i="29"/>
  <c r="H6874" i="29"/>
  <c r="H6873" i="29"/>
  <c r="H6872" i="29"/>
  <c r="H6871" i="29"/>
  <c r="H6869" i="29"/>
  <c r="H6868" i="29"/>
  <c r="H6877" i="29"/>
  <c r="H6876" i="29"/>
  <c r="H6870" i="29"/>
  <c r="H6867" i="29"/>
  <c r="H6866" i="29"/>
  <c r="H6865" i="29"/>
  <c r="H6864" i="29"/>
  <c r="H6863" i="29"/>
  <c r="H6862" i="29"/>
  <c r="H6861" i="29"/>
  <c r="H6858" i="29"/>
  <c r="H6860" i="29"/>
  <c r="H6859" i="29"/>
  <c r="H6856" i="29"/>
  <c r="H6855" i="29"/>
  <c r="H6854" i="29"/>
  <c r="H6853" i="29"/>
  <c r="H6852" i="29"/>
  <c r="H6857" i="29"/>
  <c r="H6851" i="29"/>
  <c r="H6848" i="29"/>
  <c r="H6846" i="29"/>
  <c r="H6845" i="29"/>
  <c r="H6844" i="29"/>
  <c r="H6842" i="29"/>
  <c r="H6850" i="29"/>
  <c r="H6849" i="29"/>
  <c r="H6839" i="29"/>
  <c r="H6838" i="29"/>
  <c r="H6847" i="29"/>
  <c r="H6843" i="29"/>
  <c r="H6841" i="29"/>
  <c r="H6840" i="29"/>
  <c r="H6837" i="29"/>
  <c r="H6836" i="29"/>
  <c r="H6835" i="29"/>
  <c r="H6827" i="29"/>
  <c r="H6830" i="29"/>
  <c r="H6834" i="29"/>
  <c r="H6833" i="29"/>
  <c r="H6832" i="29"/>
  <c r="H6831" i="29"/>
  <c r="H6829" i="29"/>
  <c r="H6828" i="29"/>
  <c r="H6826" i="29"/>
  <c r="H6825" i="29"/>
  <c r="H6824" i="29"/>
  <c r="H6823" i="29"/>
  <c r="H6822" i="29"/>
  <c r="H6821" i="29"/>
  <c r="H6820" i="29"/>
  <c r="H6818" i="29"/>
  <c r="H6819" i="29"/>
  <c r="H6817" i="29"/>
  <c r="H6816" i="29"/>
  <c r="H6812" i="29"/>
  <c r="H6811" i="29"/>
  <c r="H6810" i="29"/>
  <c r="H6809" i="29"/>
  <c r="H6808" i="29"/>
  <c r="H6807" i="29"/>
  <c r="H6806" i="29"/>
  <c r="H6815" i="29"/>
  <c r="H6814" i="29"/>
  <c r="H6813" i="29"/>
  <c r="H6802" i="29"/>
  <c r="H6801" i="29"/>
  <c r="H6797" i="29"/>
  <c r="H6796" i="29"/>
  <c r="H6805" i="29"/>
  <c r="H6804" i="29"/>
  <c r="H6803" i="29"/>
  <c r="H6800" i="29"/>
  <c r="H6799" i="29"/>
  <c r="H6798" i="29"/>
  <c r="H6795" i="29"/>
  <c r="H6794" i="29"/>
  <c r="H6793" i="29"/>
  <c r="H6790" i="29"/>
  <c r="H6792" i="29"/>
  <c r="H6791" i="29"/>
  <c r="H6789" i="29"/>
  <c r="H6785" i="29"/>
  <c r="H6784" i="29"/>
  <c r="H6783" i="29"/>
  <c r="H6787" i="29"/>
  <c r="H6786" i="29"/>
  <c r="H6782" i="29"/>
  <c r="H6781" i="29"/>
  <c r="H6779" i="29"/>
  <c r="H6780" i="29"/>
  <c r="H6778" i="29"/>
  <c r="H6777" i="29"/>
  <c r="H6776" i="29"/>
  <c r="H6775" i="29"/>
  <c r="H6774" i="29"/>
  <c r="H6773" i="29"/>
  <c r="H6771" i="29"/>
  <c r="H6768" i="29"/>
  <c r="H6764" i="29"/>
  <c r="H6763" i="29"/>
  <c r="H6762" i="29"/>
  <c r="H6772" i="29"/>
  <c r="H6761" i="29"/>
  <c r="H6766" i="29"/>
  <c r="H6765" i="29"/>
  <c r="H6770" i="29"/>
  <c r="H6769" i="29"/>
  <c r="H6767" i="29"/>
  <c r="H6758" i="29"/>
  <c r="H6755" i="29"/>
  <c r="H6754" i="29"/>
  <c r="H6753" i="29"/>
  <c r="H6760" i="29"/>
  <c r="H6759" i="29"/>
  <c r="H6746" i="29"/>
  <c r="H6745" i="29"/>
  <c r="H6744" i="29"/>
  <c r="H6743" i="29"/>
  <c r="H6757" i="29"/>
  <c r="H6756" i="29"/>
  <c r="H6737" i="29"/>
  <c r="H6736" i="29"/>
  <c r="H6752" i="29"/>
  <c r="H6751" i="29"/>
  <c r="H6750" i="29"/>
  <c r="H6749" i="29"/>
  <c r="H6748" i="29"/>
  <c r="H6747" i="29"/>
  <c r="H6741" i="29"/>
  <c r="H6740" i="29"/>
  <c r="H6739" i="29"/>
  <c r="H6738" i="29"/>
  <c r="H6742" i="29"/>
  <c r="H6735" i="29"/>
  <c r="H6734" i="29"/>
  <c r="H6733" i="29"/>
  <c r="H6732" i="29"/>
  <c r="H6731" i="29"/>
  <c r="H6730" i="29"/>
  <c r="H6729" i="29"/>
  <c r="H6728" i="29"/>
  <c r="H6727" i="29"/>
  <c r="H6726" i="29"/>
  <c r="H6725" i="29"/>
  <c r="H6724" i="29"/>
  <c r="H6723" i="29"/>
  <c r="H6722" i="29"/>
  <c r="H6721" i="29"/>
  <c r="H6714" i="29"/>
  <c r="H6713" i="29"/>
  <c r="H6712" i="29"/>
  <c r="H6711" i="29"/>
  <c r="H6710" i="29"/>
  <c r="H6720" i="29"/>
  <c r="H6719" i="29"/>
  <c r="H6718" i="29"/>
  <c r="H6717" i="29"/>
  <c r="H6716" i="29"/>
  <c r="H6715" i="29"/>
  <c r="H6706" i="29"/>
  <c r="H6709" i="29"/>
  <c r="H6705" i="29"/>
  <c r="H6704" i="29"/>
  <c r="H6708" i="29"/>
  <c r="H6707" i="29"/>
  <c r="H6701" i="29"/>
  <c r="H6700" i="29"/>
  <c r="H6699" i="29"/>
  <c r="H6698" i="29"/>
  <c r="H6697" i="29"/>
  <c r="H6688" i="29"/>
  <c r="H6687" i="29"/>
  <c r="H6686" i="29"/>
  <c r="H6703" i="29"/>
  <c r="H6702" i="29"/>
  <c r="H6685" i="29"/>
  <c r="H6681" i="29"/>
  <c r="H6678" i="29"/>
  <c r="H6677" i="29"/>
  <c r="H6676" i="29"/>
  <c r="H6696" i="29"/>
  <c r="H6695" i="29"/>
  <c r="H6694" i="29"/>
  <c r="H6693" i="29"/>
  <c r="H6692" i="29"/>
  <c r="H6691" i="29"/>
  <c r="H6690" i="29"/>
  <c r="H6689" i="29"/>
  <c r="H6684" i="29"/>
  <c r="H6683" i="29"/>
  <c r="H6682" i="29"/>
  <c r="H6680" i="29"/>
  <c r="H6679" i="29"/>
  <c r="H6670" i="29"/>
  <c r="H6669" i="29"/>
  <c r="H6668" i="29"/>
  <c r="H6667" i="29"/>
  <c r="H6666" i="29"/>
  <c r="H6665" i="29"/>
  <c r="H6675" i="29"/>
  <c r="H6674" i="29"/>
  <c r="H6673" i="29"/>
  <c r="H6672" i="29"/>
  <c r="H6671" i="29"/>
  <c r="H6662" i="29"/>
  <c r="H6664" i="29"/>
  <c r="H6663" i="29"/>
  <c r="H6661" i="29"/>
  <c r="H6655" i="29"/>
  <c r="H6654" i="29"/>
  <c r="H6648" i="29"/>
  <c r="H6652" i="29"/>
  <c r="H6650" i="29"/>
  <c r="H6649" i="29"/>
  <c r="H6660" i="29"/>
  <c r="H6659" i="29"/>
  <c r="H6658" i="29"/>
  <c r="H6657" i="29"/>
  <c r="H6656" i="29"/>
  <c r="H6653" i="29"/>
  <c r="H6651" i="29"/>
  <c r="H6647" i="29"/>
  <c r="H6635" i="29"/>
  <c r="H6646" i="29"/>
  <c r="H6645" i="29"/>
  <c r="H6644" i="29"/>
  <c r="H6643" i="29"/>
  <c r="H6642" i="29"/>
  <c r="H6641" i="29"/>
  <c r="H6640" i="29"/>
  <c r="H6639" i="29"/>
  <c r="H6638" i="29"/>
  <c r="H6637" i="29"/>
  <c r="H6636" i="29"/>
  <c r="H6634" i="29"/>
  <c r="H6633" i="29"/>
  <c r="H6632" i="29"/>
  <c r="H6631" i="29"/>
  <c r="H6630" i="29"/>
  <c r="H6629" i="29"/>
  <c r="H6628" i="29"/>
  <c r="H6627" i="29"/>
  <c r="H6626" i="29"/>
  <c r="H6624" i="29"/>
  <c r="H6623" i="29"/>
  <c r="H6622" i="29"/>
  <c r="H6621" i="29"/>
  <c r="H6620" i="29"/>
  <c r="H6619" i="29"/>
  <c r="H6618" i="29"/>
  <c r="H6625" i="29"/>
  <c r="H6615" i="29"/>
  <c r="H6614" i="29"/>
  <c r="H6613" i="29"/>
  <c r="H6612" i="29"/>
  <c r="H6611" i="29"/>
  <c r="H6610" i="29"/>
  <c r="H6609" i="29"/>
  <c r="H6616" i="29"/>
  <c r="H6599" i="29"/>
  <c r="H6598" i="29"/>
  <c r="H6617" i="29"/>
  <c r="H6608" i="29"/>
  <c r="H6607" i="29"/>
  <c r="H6606" i="29"/>
  <c r="H6605" i="29"/>
  <c r="H6604" i="29"/>
  <c r="H6603" i="29"/>
  <c r="H6602" i="29"/>
  <c r="H6601" i="29"/>
  <c r="H6600" i="29"/>
  <c r="H6597" i="29"/>
  <c r="H6596" i="29"/>
  <c r="H6594" i="29"/>
  <c r="H6595" i="29"/>
  <c r="H6533" i="29"/>
  <c r="H6532" i="29"/>
  <c r="H6593" i="29"/>
  <c r="H6592" i="29"/>
  <c r="H6591" i="29"/>
  <c r="H6587" i="29"/>
  <c r="H6590" i="29"/>
  <c r="H6589" i="29"/>
  <c r="H6588" i="29"/>
  <c r="H6586" i="29"/>
  <c r="H6585" i="29"/>
  <c r="H6584" i="29"/>
  <c r="H6583" i="29"/>
  <c r="H6582" i="29"/>
  <c r="H6581" i="29"/>
  <c r="H6580" i="29"/>
  <c r="H6579" i="29"/>
  <c r="H6578" i="29"/>
  <c r="H6573" i="29"/>
  <c r="H6572" i="29"/>
  <c r="H6577" i="29"/>
  <c r="H6576" i="29"/>
  <c r="H6575" i="29"/>
  <c r="H6574" i="29"/>
  <c r="H6568" i="29"/>
  <c r="H6567" i="29"/>
  <c r="H6566" i="29"/>
  <c r="H6565" i="29"/>
  <c r="H6571" i="29"/>
  <c r="H6570" i="29"/>
  <c r="H6569" i="29"/>
  <c r="H6564" i="29"/>
  <c r="H6563" i="29"/>
  <c r="H6562" i="29"/>
  <c r="H6561" i="29"/>
  <c r="H6560" i="29"/>
  <c r="H6558" i="29"/>
  <c r="H6557" i="29"/>
  <c r="H6556" i="29"/>
  <c r="H6555" i="29"/>
  <c r="H6559" i="29"/>
  <c r="H6554" i="29"/>
  <c r="H6553" i="29"/>
  <c r="H6552" i="29"/>
  <c r="H6551" i="29"/>
  <c r="H6550" i="29"/>
  <c r="H6549" i="29"/>
  <c r="H6548" i="29"/>
  <c r="H6547" i="29"/>
  <c r="H6546" i="29"/>
  <c r="H6545" i="29"/>
  <c r="H6544" i="29"/>
  <c r="H6543" i="29"/>
  <c r="H6542" i="29"/>
  <c r="H6541" i="29"/>
  <c r="H6540" i="29"/>
  <c r="H6539" i="29"/>
  <c r="H6538" i="29"/>
  <c r="H6537" i="29"/>
  <c r="H6536" i="29"/>
  <c r="H6535" i="29"/>
  <c r="H6534" i="29"/>
  <c r="H6531" i="29"/>
  <c r="H6530" i="29"/>
  <c r="H6529" i="29"/>
  <c r="H6528" i="29"/>
  <c r="H6527" i="29"/>
  <c r="H6525" i="29"/>
  <c r="H6524" i="29"/>
  <c r="H6523" i="29"/>
  <c r="H6522" i="29"/>
  <c r="H6521" i="29"/>
  <c r="H6520" i="29"/>
  <c r="H6519" i="29"/>
  <c r="H6518" i="29"/>
  <c r="H6517" i="29"/>
  <c r="H6516" i="29"/>
  <c r="H6515" i="29"/>
  <c r="H6513" i="29"/>
  <c r="H6506" i="29"/>
  <c r="H6505" i="29"/>
  <c r="H6504" i="29"/>
  <c r="H6502" i="29"/>
  <c r="H6526" i="29"/>
  <c r="H6500" i="29"/>
  <c r="H6499" i="29"/>
  <c r="H6496" i="29"/>
  <c r="H6514" i="29"/>
  <c r="H6512" i="29"/>
  <c r="H6511" i="29"/>
  <c r="H6510" i="29"/>
  <c r="H6509" i="29"/>
  <c r="H6508" i="29"/>
  <c r="H6507" i="29"/>
  <c r="H6503" i="29"/>
  <c r="H6501" i="29"/>
  <c r="H644" i="29"/>
  <c r="H643" i="29"/>
  <c r="H6498" i="29"/>
  <c r="H6497" i="29"/>
  <c r="H6495" i="29"/>
  <c r="H6494" i="29"/>
  <c r="H6493" i="29"/>
  <c r="H6483" i="29"/>
  <c r="H6485" i="29"/>
  <c r="H6484" i="29"/>
  <c r="H6492" i="29"/>
  <c r="H6491" i="29"/>
  <c r="H6490" i="29"/>
  <c r="H6489" i="29"/>
  <c r="H6488" i="29"/>
  <c r="H6487" i="29"/>
  <c r="H6486" i="29"/>
  <c r="H6482" i="29"/>
  <c r="H6481" i="29"/>
  <c r="H6480" i="29"/>
  <c r="H6479" i="29"/>
  <c r="H6478" i="29"/>
  <c r="H6477" i="29"/>
  <c r="H6476" i="29"/>
  <c r="H6475" i="29"/>
  <c r="H6474" i="29"/>
  <c r="H6473" i="29"/>
  <c r="H6472" i="29"/>
  <c r="H6471" i="29"/>
  <c r="H6470" i="29"/>
  <c r="H6469" i="29"/>
  <c r="H6468" i="29"/>
  <c r="H6467" i="29"/>
  <c r="H6466" i="29"/>
  <c r="H6465" i="29"/>
  <c r="H6463" i="29"/>
  <c r="H6462" i="29"/>
  <c r="H6446" i="29"/>
  <c r="H6445" i="29"/>
  <c r="H6444" i="29"/>
  <c r="H636" i="29"/>
  <c r="H6464" i="29"/>
  <c r="H641" i="29"/>
  <c r="H6440" i="29"/>
  <c r="H6439" i="29"/>
  <c r="H6438" i="29"/>
  <c r="H6437" i="29"/>
  <c r="H6457" i="29"/>
  <c r="H6454" i="29"/>
  <c r="H6453" i="29"/>
  <c r="H6461" i="29"/>
  <c r="H6460" i="29"/>
  <c r="H6459" i="29"/>
  <c r="H6458" i="29"/>
  <c r="H6456" i="29"/>
  <c r="H6455" i="29"/>
  <c r="H6452" i="29"/>
  <c r="H6451" i="29"/>
  <c r="H6450" i="29"/>
  <c r="H6449" i="29"/>
  <c r="H6448" i="29"/>
  <c r="H6447" i="29"/>
  <c r="H6443" i="29"/>
  <c r="H6442" i="29"/>
  <c r="H6441" i="29"/>
  <c r="H6433" i="29"/>
  <c r="H6432" i="29"/>
  <c r="H6431" i="29"/>
  <c r="H6429" i="29"/>
  <c r="H6428" i="29"/>
  <c r="H6436" i="29"/>
  <c r="H6435" i="29"/>
  <c r="H6430" i="29"/>
  <c r="H6427" i="29"/>
  <c r="H6426" i="29"/>
  <c r="H6425" i="29"/>
  <c r="H6434" i="29"/>
  <c r="H6424" i="29"/>
  <c r="H6423" i="29"/>
  <c r="H6422" i="29"/>
  <c r="H6421" i="29"/>
  <c r="H6420" i="29"/>
  <c r="H6408" i="29"/>
  <c r="H6407" i="29"/>
  <c r="H6406" i="29"/>
  <c r="H6405" i="29"/>
  <c r="H6404" i="29"/>
  <c r="H6419" i="29"/>
  <c r="H6418" i="29"/>
  <c r="H6417" i="29"/>
  <c r="H6416" i="29"/>
  <c r="H6415" i="29"/>
  <c r="H6414" i="29"/>
  <c r="H6413" i="29"/>
  <c r="H6412" i="29"/>
  <c r="H6411" i="29"/>
  <c r="H6410" i="29"/>
  <c r="H6409" i="29"/>
  <c r="H6401" i="29"/>
  <c r="H6400" i="29"/>
  <c r="H6403" i="29"/>
  <c r="H6402" i="29"/>
  <c r="H6399" i="29"/>
  <c r="H6398" i="29"/>
  <c r="H6397" i="29"/>
  <c r="H6396" i="29"/>
  <c r="H6395" i="29"/>
  <c r="H6394" i="29"/>
  <c r="H6393" i="29"/>
  <c r="H6392" i="29"/>
  <c r="H6390" i="29"/>
  <c r="H6389" i="29"/>
  <c r="H6386" i="29"/>
  <c r="H6385" i="29"/>
  <c r="H6384" i="29"/>
  <c r="H6383" i="29"/>
  <c r="H6391" i="29"/>
  <c r="H6388" i="29"/>
  <c r="H6377" i="29"/>
  <c r="H6376" i="29"/>
  <c r="H6365" i="29"/>
  <c r="H6364" i="29"/>
  <c r="H6363" i="29"/>
  <c r="H6359" i="29"/>
  <c r="H6387" i="29"/>
  <c r="H6382" i="29"/>
  <c r="H6381" i="29"/>
  <c r="H6380" i="29"/>
  <c r="H6379" i="29"/>
  <c r="H6378" i="29"/>
  <c r="H6375" i="29"/>
  <c r="H6374" i="29"/>
  <c r="H6373" i="29"/>
  <c r="H6372" i="29"/>
  <c r="H6354" i="29"/>
  <c r="H6371" i="29"/>
  <c r="H6361" i="29"/>
  <c r="H6358" i="29"/>
  <c r="H6360" i="29"/>
  <c r="H6370" i="29"/>
  <c r="H6369" i="29"/>
  <c r="H6368" i="29"/>
  <c r="H6367" i="29"/>
  <c r="H6366" i="29"/>
  <c r="H6362" i="29"/>
  <c r="H6357" i="29"/>
  <c r="H6356" i="29"/>
  <c r="H6355" i="29"/>
  <c r="H6333" i="29"/>
  <c r="H6332" i="29"/>
  <c r="H6331" i="29"/>
  <c r="H6348" i="29"/>
  <c r="H6347" i="29"/>
  <c r="H6353" i="29"/>
  <c r="H6352" i="29"/>
  <c r="H6351" i="29"/>
  <c r="H6350" i="29"/>
  <c r="H6349" i="29"/>
  <c r="H6346" i="29"/>
  <c r="H6345" i="29"/>
  <c r="H6344" i="29"/>
  <c r="H6343" i="29"/>
  <c r="H6342" i="29"/>
  <c r="H6341" i="29"/>
  <c r="H6340" i="29"/>
  <c r="H6339" i="29"/>
  <c r="H6338" i="29"/>
  <c r="H6337" i="29"/>
  <c r="H6336" i="29"/>
  <c r="H6335" i="29"/>
  <c r="H6334" i="29"/>
  <c r="H6329" i="29"/>
  <c r="H6328" i="29"/>
  <c r="H6325" i="29"/>
  <c r="H6330" i="29"/>
  <c r="H6320" i="29"/>
  <c r="H6319" i="29"/>
  <c r="H6318" i="29"/>
  <c r="H6317" i="29"/>
  <c r="H6327" i="29"/>
  <c r="H6326" i="29"/>
  <c r="H6324" i="29"/>
  <c r="H6323" i="29"/>
  <c r="H6322" i="29"/>
  <c r="H6321" i="29"/>
  <c r="H6315" i="29"/>
  <c r="H6314" i="29"/>
  <c r="H6313" i="29"/>
  <c r="H6312" i="29"/>
  <c r="H6305" i="29"/>
  <c r="H6304" i="29"/>
  <c r="H6316" i="29"/>
  <c r="H6311" i="29"/>
  <c r="H6310" i="29"/>
  <c r="H6309" i="29"/>
  <c r="H6308" i="29"/>
  <c r="H6307" i="29"/>
  <c r="H6306" i="29"/>
  <c r="H6303" i="29"/>
  <c r="H6302" i="29"/>
  <c r="H6301" i="29"/>
  <c r="H6300" i="29"/>
  <c r="H6299" i="29"/>
  <c r="H6297" i="29"/>
  <c r="H6296" i="29"/>
  <c r="H6294" i="29"/>
  <c r="H6293" i="29"/>
  <c r="H6298" i="29"/>
  <c r="H6295" i="29"/>
  <c r="H6292" i="29"/>
  <c r="H6291" i="29"/>
  <c r="H6290" i="29"/>
  <c r="H6289" i="29"/>
  <c r="H6288" i="29"/>
  <c r="H6287" i="29"/>
  <c r="H6286" i="29"/>
  <c r="H6285" i="29"/>
  <c r="H6284" i="29"/>
  <c r="H6275" i="29"/>
  <c r="H6271" i="29"/>
  <c r="H6270" i="29"/>
  <c r="H6269" i="29"/>
  <c r="H6268" i="29"/>
  <c r="H6267" i="29"/>
  <c r="H6278" i="29"/>
  <c r="H6277" i="29"/>
  <c r="H6276" i="29"/>
  <c r="H6274" i="29"/>
  <c r="H6272" i="29"/>
  <c r="H6273" i="29"/>
  <c r="H6266" i="29"/>
  <c r="H6283" i="29"/>
  <c r="H6282" i="29"/>
  <c r="H6281" i="29"/>
  <c r="H6280" i="29"/>
  <c r="H6279" i="29"/>
  <c r="H6263" i="29"/>
  <c r="H6262" i="29"/>
  <c r="H6261" i="29"/>
  <c r="H6264" i="29"/>
  <c r="H6257" i="29"/>
  <c r="H6249" i="29"/>
  <c r="H6248" i="29"/>
  <c r="H6247" i="29"/>
  <c r="H6246" i="29"/>
  <c r="H6245" i="29"/>
  <c r="H6265" i="29"/>
  <c r="H6260" i="29"/>
  <c r="H6259" i="29"/>
  <c r="H6258" i="29"/>
  <c r="H6256" i="29"/>
  <c r="H6255" i="29"/>
  <c r="H6254" i="29"/>
  <c r="H6253" i="29"/>
  <c r="H6252" i="29"/>
  <c r="H6251" i="29"/>
  <c r="H6250" i="29"/>
  <c r="H6244" i="29"/>
  <c r="H6242" i="29"/>
  <c r="H6238" i="29"/>
  <c r="H6237" i="29"/>
  <c r="H6236" i="29"/>
  <c r="H6243" i="29"/>
  <c r="H6241" i="29"/>
  <c r="H6240" i="29"/>
  <c r="H6239" i="29"/>
  <c r="H6235" i="29"/>
  <c r="H6226" i="29"/>
  <c r="H6225" i="29"/>
  <c r="H6224" i="29"/>
  <c r="H6217" i="29"/>
  <c r="H6234" i="29"/>
  <c r="H6233" i="29"/>
  <c r="H6232" i="29"/>
  <c r="H6231" i="29"/>
  <c r="H6230" i="29"/>
  <c r="H6229" i="29"/>
  <c r="H6228" i="29"/>
  <c r="H6227" i="29"/>
  <c r="H6223" i="29"/>
  <c r="H6222" i="29"/>
  <c r="H6221" i="29"/>
  <c r="H6220" i="29"/>
  <c r="H6219" i="29"/>
  <c r="H6218" i="29"/>
  <c r="H6216" i="29"/>
  <c r="H6215" i="29"/>
  <c r="H6214" i="29"/>
  <c r="H6213" i="29"/>
  <c r="H6212" i="29"/>
  <c r="H6211" i="29"/>
  <c r="H6210" i="29"/>
  <c r="H6209" i="29"/>
  <c r="H6208" i="29"/>
  <c r="H6207" i="29"/>
  <c r="H6206" i="29"/>
  <c r="H6205" i="29"/>
  <c r="H6204" i="29"/>
  <c r="H6203" i="29"/>
  <c r="H6202" i="29"/>
  <c r="H6201" i="29"/>
  <c r="H6200" i="29"/>
  <c r="H6199" i="29"/>
  <c r="H6198" i="29"/>
  <c r="H6197" i="29"/>
  <c r="H6196" i="29"/>
  <c r="H6195" i="29"/>
  <c r="H6194" i="29"/>
  <c r="H6193" i="29"/>
  <c r="H6192" i="29"/>
  <c r="H6191" i="29"/>
  <c r="H6186" i="29"/>
  <c r="H6127" i="29"/>
  <c r="H6126" i="29"/>
  <c r="H6117" i="29"/>
  <c r="H6098" i="29"/>
  <c r="H6171" i="29"/>
  <c r="H6170" i="29"/>
  <c r="H6181" i="29"/>
  <c r="H6180" i="29"/>
  <c r="H6179" i="29"/>
  <c r="H6178" i="29"/>
  <c r="H6177" i="29"/>
  <c r="H6190" i="29"/>
  <c r="H6188" i="29"/>
  <c r="H6176" i="29"/>
  <c r="H6189" i="29"/>
  <c r="H6187" i="29"/>
  <c r="H6175" i="29"/>
  <c r="H6174" i="29"/>
  <c r="H6185" i="29"/>
  <c r="H6184" i="29"/>
  <c r="H6183" i="29"/>
  <c r="H6182" i="29"/>
  <c r="H6173" i="29"/>
  <c r="H6172" i="29"/>
  <c r="H6169" i="29"/>
  <c r="H6168" i="29"/>
  <c r="H6167" i="29"/>
  <c r="H6166" i="29"/>
  <c r="H6165" i="29"/>
  <c r="H6164" i="29"/>
  <c r="H6163" i="29"/>
  <c r="H6162" i="29"/>
  <c r="H6161" i="29"/>
  <c r="H6160" i="29"/>
  <c r="H6159" i="29"/>
  <c r="H6158" i="29"/>
  <c r="H6157" i="29"/>
  <c r="H6156" i="29"/>
  <c r="H6155" i="29"/>
  <c r="H6152" i="29"/>
  <c r="H6154" i="29"/>
  <c r="H6153" i="29"/>
  <c r="H6151" i="29"/>
  <c r="H6150" i="29"/>
  <c r="H6149" i="29"/>
  <c r="H6148" i="29"/>
  <c r="H6147" i="29"/>
  <c r="H6146" i="29"/>
  <c r="H6145" i="29"/>
  <c r="H6144" i="29"/>
  <c r="H6143" i="29"/>
  <c r="H6142" i="29"/>
  <c r="H6141" i="29"/>
  <c r="H6140" i="29"/>
  <c r="H6139" i="29"/>
  <c r="H6138" i="29"/>
  <c r="H6137" i="29"/>
  <c r="H6136" i="29"/>
  <c r="H6135" i="29"/>
  <c r="H9631" i="29"/>
  <c r="H6128" i="29"/>
  <c r="H6134" i="29"/>
  <c r="H6133" i="29"/>
  <c r="H6132" i="29"/>
  <c r="H6131" i="29"/>
  <c r="H6130" i="29"/>
  <c r="H6129" i="29"/>
  <c r="H6125" i="29"/>
  <c r="H6124" i="29"/>
  <c r="H6123" i="29"/>
  <c r="H6122" i="29"/>
  <c r="H6121" i="29"/>
  <c r="H6115" i="29"/>
  <c r="H6114" i="29"/>
  <c r="H6113" i="29"/>
  <c r="H6112" i="29"/>
  <c r="H6111" i="29"/>
  <c r="H6099" i="29"/>
  <c r="H6120" i="29"/>
  <c r="H6119" i="29"/>
  <c r="H6118" i="29"/>
  <c r="H6116" i="29"/>
  <c r="H6097" i="29"/>
  <c r="H6110" i="29"/>
  <c r="H6109" i="29"/>
  <c r="H6108" i="29"/>
  <c r="H6107" i="29"/>
  <c r="H6106" i="29"/>
  <c r="H6105" i="29"/>
  <c r="H6104" i="29"/>
  <c r="H6103" i="29"/>
  <c r="H6102" i="29"/>
  <c r="H6101" i="29"/>
  <c r="H6100" i="29"/>
  <c r="H6096" i="29"/>
  <c r="H6095" i="29"/>
  <c r="H6094" i="29"/>
  <c r="H6093" i="29"/>
  <c r="H6092" i="29"/>
  <c r="H6091" i="29"/>
  <c r="H6090" i="29"/>
  <c r="H6089" i="29"/>
  <c r="H6088" i="29"/>
  <c r="H6087" i="29"/>
  <c r="H6086" i="29"/>
  <c r="H6085" i="29"/>
  <c r="H6084" i="29"/>
  <c r="H6083" i="29"/>
  <c r="H6082" i="29"/>
  <c r="H6080" i="29"/>
  <c r="H6079" i="29"/>
  <c r="H6078" i="29"/>
  <c r="H6081" i="29"/>
  <c r="H6076" i="29"/>
  <c r="H6075" i="29"/>
  <c r="H6074" i="29"/>
  <c r="H6073" i="29"/>
  <c r="H6077" i="29"/>
  <c r="H6060" i="29"/>
  <c r="H6059" i="29"/>
  <c r="H6058" i="29"/>
  <c r="H6057" i="29"/>
  <c r="H6072" i="29"/>
  <c r="H6071" i="29"/>
  <c r="H6070" i="29"/>
  <c r="H6069" i="29"/>
  <c r="H6068" i="29"/>
  <c r="H6067" i="29"/>
  <c r="H6066" i="29"/>
  <c r="H6065" i="29"/>
  <c r="H6063" i="29"/>
  <c r="H6064" i="29"/>
  <c r="H6056" i="29"/>
  <c r="H6049" i="29"/>
  <c r="H6048" i="29"/>
  <c r="H6062" i="29"/>
  <c r="H6061" i="29"/>
  <c r="H6055" i="29"/>
  <c r="H6054" i="29"/>
  <c r="H6053" i="29"/>
  <c r="H6052" i="29"/>
  <c r="H6051" i="29"/>
  <c r="H6050" i="29"/>
  <c r="H6047" i="29"/>
  <c r="H6046" i="29"/>
  <c r="H6045" i="29"/>
  <c r="H6044" i="29"/>
  <c r="H6043" i="29"/>
  <c r="H6037" i="29"/>
  <c r="H6036" i="29"/>
  <c r="H6035" i="29"/>
  <c r="H6034" i="29"/>
  <c r="H6033" i="29"/>
  <c r="H6028" i="29"/>
  <c r="H6027" i="29"/>
  <c r="H6026" i="29"/>
  <c r="H6025" i="29"/>
  <c r="H6024" i="29"/>
  <c r="H6023" i="29"/>
  <c r="H6042" i="29"/>
  <c r="H6041" i="29"/>
  <c r="H6040" i="29"/>
  <c r="H6039" i="29"/>
  <c r="H6038" i="29"/>
  <c r="H6032" i="29"/>
  <c r="H6031" i="29"/>
  <c r="H6030" i="29"/>
  <c r="H6029" i="29"/>
  <c r="H6022" i="29"/>
  <c r="H6021" i="29"/>
  <c r="H6020" i="29"/>
  <c r="H6019" i="29"/>
  <c r="H6018" i="29"/>
  <c r="H6017" i="29"/>
  <c r="H6016" i="29"/>
  <c r="H6015" i="29"/>
  <c r="H6010" i="29"/>
  <c r="H6009" i="29"/>
  <c r="H6008" i="29"/>
  <c r="H6007" i="29"/>
  <c r="H6006" i="29"/>
  <c r="H6005" i="29"/>
  <c r="H5997" i="29"/>
  <c r="H5996" i="29"/>
  <c r="H6014" i="29"/>
  <c r="H6013" i="29"/>
  <c r="H6012" i="29"/>
  <c r="H6011" i="29"/>
  <c r="H6004" i="29"/>
  <c r="H6003" i="29"/>
  <c r="H6002" i="29"/>
  <c r="H5985" i="29"/>
  <c r="H5984" i="29"/>
  <c r="H6001" i="29"/>
  <c r="H6000" i="29"/>
  <c r="H5999" i="29"/>
  <c r="H5998" i="29"/>
  <c r="H5995" i="29"/>
  <c r="H5994" i="29"/>
  <c r="H5993" i="29"/>
  <c r="H5992" i="29"/>
  <c r="H5991" i="29"/>
  <c r="H5990" i="29"/>
  <c r="H5989" i="29"/>
  <c r="H5988" i="29"/>
  <c r="H5987" i="29"/>
  <c r="H5986" i="29"/>
  <c r="H5983" i="29"/>
  <c r="H5980" i="29"/>
  <c r="H5979" i="29"/>
  <c r="H5970" i="29"/>
  <c r="H5969" i="29"/>
  <c r="H5968" i="29"/>
  <c r="H5967" i="29"/>
  <c r="H5982" i="29"/>
  <c r="H5981" i="29"/>
  <c r="H5958" i="29"/>
  <c r="H651" i="29"/>
  <c r="H650" i="29"/>
  <c r="H649" i="29"/>
  <c r="H5957" i="29"/>
  <c r="H5978" i="29"/>
  <c r="H5977" i="29"/>
  <c r="H5976" i="29"/>
  <c r="H5975" i="29"/>
  <c r="H5974" i="29"/>
  <c r="H5973" i="29"/>
  <c r="H5972" i="29"/>
  <c r="H5966" i="29"/>
  <c r="H5965" i="29"/>
  <c r="H5971" i="29"/>
  <c r="H5964" i="29"/>
  <c r="H5963" i="29"/>
  <c r="H5962" i="29"/>
  <c r="H5961" i="29"/>
  <c r="H5960" i="29"/>
  <c r="H5959" i="29"/>
  <c r="H5956" i="29"/>
  <c r="H5954" i="29"/>
  <c r="H5955" i="29"/>
  <c r="H5953" i="29"/>
  <c r="H5952" i="29"/>
  <c r="H5951" i="29"/>
  <c r="H5950" i="29"/>
  <c r="H5949" i="29"/>
  <c r="H5948" i="29"/>
  <c r="H5947" i="29"/>
  <c r="H5946" i="29"/>
  <c r="H5945" i="29"/>
  <c r="H5944" i="29"/>
  <c r="H5943" i="29"/>
  <c r="H5942" i="29"/>
  <c r="H5941" i="29"/>
  <c r="H5940" i="29"/>
  <c r="H5939" i="29"/>
  <c r="H5938" i="29"/>
  <c r="H5934" i="29"/>
  <c r="H5933" i="29"/>
  <c r="H5932" i="29"/>
  <c r="H5931" i="29"/>
  <c r="H5930" i="29"/>
  <c r="H5926" i="29"/>
  <c r="H5925" i="29"/>
  <c r="H5929" i="29"/>
  <c r="H5924" i="29"/>
  <c r="H5937" i="29"/>
  <c r="H5936" i="29"/>
  <c r="H5935" i="29"/>
  <c r="H5928" i="29"/>
  <c r="H5927" i="29"/>
  <c r="H5920" i="29"/>
  <c r="H5923" i="29"/>
  <c r="H5917" i="29"/>
  <c r="H5916" i="29"/>
  <c r="H5905" i="29"/>
  <c r="H5922" i="29"/>
  <c r="H5921" i="29"/>
  <c r="H5911" i="29"/>
  <c r="H5910" i="29"/>
  <c r="H5909" i="29"/>
  <c r="H5908" i="29"/>
  <c r="H5907" i="29"/>
  <c r="H5906" i="29"/>
  <c r="H5904" i="29"/>
  <c r="H5919" i="29"/>
  <c r="H5918" i="29"/>
  <c r="H5915" i="29"/>
  <c r="H5914" i="29"/>
  <c r="H5913" i="29"/>
  <c r="H5912" i="29"/>
  <c r="H5902" i="29"/>
  <c r="H5901" i="29"/>
  <c r="H5900" i="29"/>
  <c r="H5903" i="29"/>
  <c r="H5899" i="29"/>
  <c r="H5898" i="29"/>
  <c r="H5897" i="29"/>
  <c r="H5896" i="29"/>
  <c r="H5894" i="29"/>
  <c r="H5893" i="29"/>
  <c r="H5892" i="29"/>
  <c r="H5891" i="29"/>
  <c r="H5890" i="29"/>
  <c r="H5889" i="29"/>
  <c r="H5888" i="29"/>
  <c r="H5887" i="29"/>
  <c r="H5886" i="29"/>
  <c r="H5885" i="29"/>
  <c r="H5884" i="29"/>
  <c r="H5895" i="29"/>
  <c r="H5883" i="29"/>
  <c r="H5882" i="29"/>
  <c r="H5881" i="29"/>
  <c r="H5880" i="29"/>
  <c r="H5879" i="29"/>
  <c r="H5878" i="29"/>
  <c r="H5877" i="29"/>
  <c r="H5874" i="29"/>
  <c r="H5873" i="29"/>
  <c r="H5872" i="29"/>
  <c r="H5871" i="29"/>
  <c r="H5870" i="29"/>
  <c r="H5869" i="29"/>
  <c r="H5868" i="29"/>
  <c r="H5861" i="29"/>
  <c r="H5876" i="29"/>
  <c r="H5875" i="29"/>
  <c r="H5862" i="29"/>
  <c r="H5860" i="29"/>
  <c r="H5867" i="29"/>
  <c r="H5866" i="29"/>
  <c r="H5865" i="29"/>
  <c r="H5864" i="29"/>
  <c r="H5863" i="29"/>
  <c r="H5847" i="29"/>
  <c r="H5857" i="29"/>
  <c r="H5856" i="29"/>
  <c r="H5855" i="29"/>
  <c r="H5854" i="29"/>
  <c r="H5853" i="29"/>
  <c r="H5859" i="29"/>
  <c r="H5858" i="29"/>
  <c r="H5852" i="29"/>
  <c r="H5851" i="29"/>
  <c r="H5850" i="29"/>
  <c r="H5849" i="29"/>
  <c r="H5848" i="29"/>
  <c r="H5846" i="29"/>
  <c r="H5845" i="29"/>
  <c r="H5844" i="29"/>
  <c r="H5832" i="29"/>
  <c r="H5831" i="29"/>
  <c r="H5830" i="29"/>
  <c r="H5843" i="29"/>
  <c r="H5842" i="29"/>
  <c r="H5841" i="29"/>
  <c r="H5840" i="29"/>
  <c r="H5829" i="29"/>
  <c r="H5822" i="29"/>
  <c r="H5821" i="29"/>
  <c r="H5839" i="29"/>
  <c r="H5838" i="29"/>
  <c r="H5837" i="29"/>
  <c r="H5836" i="29"/>
  <c r="H5835" i="29"/>
  <c r="H5834" i="29"/>
  <c r="H5833" i="29"/>
  <c r="H5828" i="29"/>
  <c r="H5827" i="29"/>
  <c r="H5826" i="29"/>
  <c r="H5825" i="29"/>
  <c r="H5824" i="29"/>
  <c r="H5823" i="29"/>
  <c r="H5820" i="29"/>
  <c r="H5819" i="29"/>
  <c r="H5818" i="29"/>
  <c r="H5815" i="29"/>
  <c r="H5814" i="29"/>
  <c r="H5813" i="29"/>
  <c r="H5812" i="29"/>
  <c r="H5811" i="29"/>
  <c r="H5810" i="29"/>
  <c r="H5817" i="29"/>
  <c r="H5816" i="29"/>
  <c r="H5809" i="29"/>
  <c r="H5808" i="29"/>
  <c r="H5807" i="29"/>
  <c r="H5806" i="29"/>
  <c r="H5805" i="29"/>
  <c r="H5804" i="29"/>
  <c r="H5803" i="29"/>
  <c r="H5802" i="29"/>
  <c r="H5801" i="29"/>
  <c r="H5800" i="29"/>
  <c r="H5799" i="29"/>
  <c r="H5795" i="29"/>
  <c r="H5794" i="29"/>
  <c r="H5793" i="29"/>
  <c r="H5792" i="29"/>
  <c r="H5791" i="29"/>
  <c r="H5790" i="29"/>
  <c r="H5798" i="29"/>
  <c r="H5797" i="29"/>
  <c r="H5796" i="29"/>
  <c r="H5789" i="29"/>
  <c r="H5788" i="29"/>
  <c r="H5787" i="29"/>
  <c r="H5786" i="29"/>
  <c r="H5785" i="29"/>
  <c r="H5784" i="29"/>
  <c r="H5783" i="29"/>
  <c r="H5782" i="29"/>
  <c r="H5781" i="29"/>
  <c r="H5780" i="29"/>
  <c r="H5778" i="29"/>
  <c r="H5777" i="29"/>
  <c r="H5776" i="29"/>
  <c r="H5775" i="29"/>
  <c r="H5779" i="29"/>
  <c r="H5774" i="29"/>
  <c r="H5773" i="29"/>
  <c r="H5772" i="29"/>
  <c r="H5771" i="29"/>
  <c r="H5766" i="29"/>
  <c r="H5770" i="29"/>
  <c r="H5769" i="29"/>
  <c r="H5768" i="29"/>
  <c r="H5767" i="29"/>
  <c r="H5765" i="29"/>
  <c r="H5764" i="29"/>
  <c r="H5763" i="29"/>
  <c r="H5762" i="29"/>
  <c r="H5759" i="29"/>
  <c r="H5758" i="29"/>
  <c r="H5756" i="29"/>
  <c r="H5755" i="29"/>
  <c r="H5754" i="29"/>
  <c r="H5753" i="29"/>
  <c r="H5752" i="29"/>
  <c r="H5751" i="29"/>
  <c r="H5750" i="29"/>
  <c r="H5749" i="29"/>
  <c r="H5745" i="29"/>
  <c r="H5744" i="29"/>
  <c r="H5761" i="29"/>
  <c r="H5760" i="29"/>
  <c r="H5757" i="29"/>
  <c r="H5748" i="29"/>
  <c r="H5746" i="29"/>
  <c r="H5740" i="29"/>
  <c r="H5739" i="29"/>
  <c r="H5737" i="29"/>
  <c r="H5747" i="29"/>
  <c r="H5734" i="29"/>
  <c r="H5732" i="29"/>
  <c r="H5731" i="29"/>
  <c r="H5730" i="29"/>
  <c r="H5729" i="29"/>
  <c r="H5726" i="29"/>
  <c r="H5743" i="29"/>
  <c r="H5742" i="29"/>
  <c r="H5741" i="29"/>
  <c r="H5738" i="29"/>
  <c r="H5728" i="29"/>
  <c r="H5727" i="29"/>
  <c r="H5736" i="29"/>
  <c r="H5735" i="29"/>
  <c r="H5733" i="29"/>
  <c r="H5725" i="29"/>
  <c r="H5724" i="29"/>
  <c r="H5723" i="29"/>
  <c r="H5722" i="29"/>
  <c r="H5721" i="29"/>
  <c r="H5720" i="29"/>
  <c r="H5719" i="29"/>
  <c r="H5718" i="29"/>
  <c r="H5717" i="29"/>
  <c r="H5716" i="29"/>
  <c r="H5715" i="29"/>
  <c r="H5714" i="29"/>
  <c r="H5713" i="29"/>
  <c r="H5712" i="29"/>
  <c r="H5711" i="29"/>
  <c r="H5710" i="29"/>
  <c r="H5707" i="29"/>
  <c r="H5706" i="29"/>
  <c r="H5705" i="29"/>
  <c r="H5704" i="29"/>
  <c r="H5703" i="29"/>
  <c r="H5702" i="29"/>
  <c r="H5709" i="29"/>
  <c r="H5708" i="29"/>
  <c r="H5701" i="29"/>
  <c r="H5700" i="29"/>
  <c r="H5699" i="29"/>
  <c r="H5698" i="29"/>
  <c r="H5697" i="29"/>
  <c r="H5696" i="29"/>
  <c r="H5694" i="29"/>
  <c r="H5693" i="29"/>
  <c r="H5692" i="29"/>
  <c r="H5691" i="29"/>
  <c r="H5690" i="29"/>
  <c r="H5689" i="29"/>
  <c r="H5688" i="29"/>
  <c r="H5687" i="29"/>
  <c r="H5695" i="29"/>
  <c r="H5686" i="29"/>
  <c r="H5675" i="29"/>
  <c r="H5671" i="29"/>
  <c r="H5670" i="29"/>
  <c r="H5669" i="29"/>
  <c r="H5684" i="29"/>
  <c r="H5683" i="29"/>
  <c r="H5682" i="29"/>
  <c r="H5681" i="29"/>
  <c r="H5680" i="29"/>
  <c r="H5679" i="29"/>
  <c r="H5678" i="29"/>
  <c r="H5677" i="29"/>
  <c r="H5676" i="29"/>
  <c r="H5674" i="29"/>
  <c r="H5673" i="29"/>
  <c r="H5672" i="29"/>
  <c r="H5668" i="29"/>
  <c r="H5667" i="29"/>
  <c r="H5657" i="29"/>
  <c r="H5656" i="29"/>
  <c r="H5649" i="29"/>
  <c r="H5648" i="29"/>
  <c r="H5647" i="29"/>
  <c r="H5646" i="29"/>
  <c r="H5645" i="29"/>
  <c r="H5644" i="29"/>
  <c r="H5643" i="29"/>
  <c r="H5642" i="29"/>
  <c r="H5641" i="29"/>
  <c r="H5666" i="29"/>
  <c r="H5665" i="29"/>
  <c r="H5664" i="29"/>
  <c r="H5663" i="29"/>
  <c r="H5662" i="29"/>
  <c r="H5661" i="29"/>
  <c r="H5660" i="29"/>
  <c r="H5659" i="29"/>
  <c r="H5658" i="29"/>
  <c r="H5655" i="29"/>
  <c r="H5654" i="29"/>
  <c r="H5653" i="29"/>
  <c r="H5652" i="29"/>
  <c r="H5685" i="29"/>
  <c r="H5636" i="29"/>
  <c r="H5635" i="29"/>
  <c r="H5620" i="29"/>
  <c r="H5619" i="29"/>
  <c r="H5618" i="29"/>
  <c r="H5616" i="29"/>
  <c r="H5615" i="29"/>
  <c r="H5614" i="29"/>
  <c r="H5613" i="29"/>
  <c r="H5612" i="29"/>
  <c r="H5611" i="29"/>
  <c r="H5640" i="29"/>
  <c r="H5639" i="29"/>
  <c r="H5638" i="29"/>
  <c r="H5637" i="29"/>
  <c r="H5634" i="29"/>
  <c r="H5633" i="29"/>
  <c r="H5632" i="29"/>
  <c r="H5631" i="29"/>
  <c r="H5630" i="29"/>
  <c r="H5629" i="29"/>
  <c r="H5602" i="29"/>
  <c r="H5601" i="29"/>
  <c r="H5600" i="29"/>
  <c r="H5599" i="29"/>
  <c r="H5598" i="29"/>
  <c r="H5597" i="29"/>
  <c r="H5596" i="29"/>
  <c r="H5595" i="29"/>
  <c r="H5594" i="29"/>
  <c r="H5650" i="29"/>
  <c r="H5651" i="29"/>
  <c r="H5628" i="29"/>
  <c r="H5627" i="29"/>
  <c r="H5626" i="29"/>
  <c r="H5625" i="29"/>
  <c r="H5624" i="29"/>
  <c r="H5623" i="29"/>
  <c r="H5622" i="29"/>
  <c r="H5621" i="29"/>
  <c r="H5617" i="29"/>
  <c r="H5606" i="29"/>
  <c r="H5605" i="29"/>
  <c r="H5593" i="29"/>
  <c r="H5610" i="29"/>
  <c r="H5609" i="29"/>
  <c r="H5608" i="29"/>
  <c r="H5607" i="29"/>
  <c r="H5604" i="29"/>
  <c r="H5592" i="29"/>
  <c r="H5591" i="29"/>
  <c r="H5603" i="29"/>
  <c r="H5590" i="29"/>
  <c r="H5589" i="29"/>
  <c r="H5588" i="29"/>
  <c r="H5584" i="29"/>
  <c r="H5578" i="29"/>
  <c r="H5577" i="29"/>
  <c r="H5576" i="29"/>
  <c r="H5575" i="29"/>
  <c r="H5574" i="29"/>
  <c r="H5573" i="29"/>
  <c r="H5572" i="29"/>
  <c r="H5571" i="29"/>
  <c r="H5570" i="29"/>
  <c r="H5569" i="29"/>
  <c r="H5568" i="29"/>
  <c r="H5567" i="29"/>
  <c r="H5587" i="29"/>
  <c r="H5586" i="29"/>
  <c r="H5585" i="29"/>
  <c r="H5583" i="29"/>
  <c r="H5582" i="29"/>
  <c r="H5581" i="29"/>
  <c r="H5580" i="29"/>
  <c r="H5579" i="29"/>
  <c r="H5566" i="29"/>
  <c r="H5565" i="29"/>
  <c r="H5564" i="29"/>
  <c r="H5563" i="29"/>
  <c r="H5559" i="29"/>
  <c r="H5558" i="29"/>
  <c r="H5557" i="29"/>
  <c r="H5556" i="29"/>
  <c r="H5555" i="29"/>
  <c r="H5554" i="29"/>
  <c r="H5553" i="29"/>
  <c r="H5552" i="29"/>
  <c r="H5551" i="29"/>
  <c r="H5550" i="29"/>
  <c r="H5549" i="29"/>
  <c r="H5548" i="29"/>
  <c r="H5547" i="29"/>
  <c r="H5546" i="29"/>
  <c r="H5538" i="29"/>
  <c r="H5562" i="29"/>
  <c r="H5561" i="29"/>
  <c r="H5560" i="29"/>
  <c r="H5543" i="29"/>
  <c r="H5542" i="29"/>
  <c r="H5541" i="29"/>
  <c r="H5540" i="29"/>
  <c r="H5539" i="29"/>
  <c r="H5534" i="29"/>
  <c r="H5533" i="29"/>
  <c r="H5532" i="29"/>
  <c r="H5545" i="29"/>
  <c r="H5544" i="29"/>
  <c r="H5527" i="29"/>
  <c r="H5537" i="29"/>
  <c r="H5536" i="29"/>
  <c r="H5535" i="29"/>
  <c r="H5531" i="29"/>
  <c r="H5530" i="29"/>
  <c r="H5529" i="29"/>
  <c r="H5528" i="29"/>
  <c r="H5513" i="29"/>
  <c r="H5512" i="29"/>
  <c r="H5511" i="29"/>
  <c r="H5525" i="29"/>
  <c r="H5524" i="29"/>
  <c r="H5523" i="29"/>
  <c r="H5521" i="29"/>
  <c r="H5526" i="29"/>
  <c r="H5522" i="29"/>
  <c r="H5520" i="29"/>
  <c r="H5519" i="29"/>
  <c r="H5518" i="29"/>
  <c r="H5517" i="29"/>
  <c r="H5516" i="29"/>
  <c r="H5515" i="29"/>
  <c r="H5514" i="29"/>
  <c r="H5507" i="29"/>
  <c r="H5506" i="29"/>
  <c r="H5510" i="29"/>
  <c r="H5509" i="29"/>
  <c r="H5508" i="29"/>
  <c r="H5505" i="29"/>
  <c r="H5504" i="29"/>
  <c r="H5503" i="29"/>
  <c r="H5499" i="29"/>
  <c r="H5498" i="29"/>
  <c r="H5497" i="29"/>
  <c r="H5496" i="29"/>
  <c r="H5495" i="29"/>
  <c r="H5494" i="29"/>
  <c r="H5493" i="29"/>
  <c r="H5492" i="29"/>
  <c r="H5502" i="29"/>
  <c r="H5501" i="29"/>
  <c r="H5500" i="29"/>
  <c r="H5491" i="29"/>
  <c r="H5490" i="29"/>
  <c r="H5473" i="29"/>
  <c r="H5485" i="29"/>
  <c r="H5484" i="29"/>
  <c r="H5483" i="29"/>
  <c r="H5482" i="29"/>
  <c r="H5481" i="29"/>
  <c r="H5480" i="29"/>
  <c r="H5479" i="29"/>
  <c r="H5478" i="29"/>
  <c r="H5477" i="29"/>
  <c r="H5489" i="29"/>
  <c r="H5488" i="29"/>
  <c r="H5487" i="29"/>
  <c r="H5486" i="29"/>
  <c r="H5476" i="29"/>
  <c r="H5475" i="29"/>
  <c r="H5474" i="29"/>
  <c r="H5472" i="29"/>
  <c r="H5471" i="29"/>
  <c r="H5461" i="29"/>
  <c r="H5456" i="29"/>
  <c r="H5470" i="29"/>
  <c r="H5469" i="29"/>
  <c r="H5468" i="29"/>
  <c r="H5467" i="29"/>
  <c r="H5466" i="29"/>
  <c r="H5465" i="29"/>
  <c r="H5464" i="29"/>
  <c r="H5463" i="29"/>
  <c r="H5462" i="29"/>
  <c r="H5460" i="29"/>
  <c r="H5459" i="29"/>
  <c r="H5458" i="29"/>
  <c r="H5457" i="29"/>
  <c r="H5455" i="29"/>
  <c r="H5454" i="29"/>
  <c r="H5453" i="29"/>
  <c r="H5451" i="29"/>
  <c r="H5452" i="29"/>
  <c r="H5446" i="29"/>
  <c r="H5445" i="29"/>
  <c r="H5444" i="29"/>
  <c r="H5443" i="29"/>
  <c r="H5442" i="29"/>
  <c r="H5441" i="29"/>
  <c r="H5449" i="29"/>
  <c r="H5448" i="29"/>
  <c r="H5447" i="29"/>
  <c r="H5440" i="29"/>
  <c r="H5439" i="29"/>
  <c r="H5450" i="29"/>
  <c r="H5433" i="29"/>
  <c r="H5432" i="29"/>
  <c r="H5438" i="29"/>
  <c r="H5437" i="29"/>
  <c r="H5436" i="29"/>
  <c r="H5435" i="29"/>
  <c r="H5434" i="29"/>
  <c r="H5431" i="29"/>
  <c r="H5430" i="29"/>
  <c r="H5429" i="29"/>
  <c r="H5428" i="29"/>
  <c r="H5427" i="29"/>
  <c r="H5426" i="29"/>
  <c r="H5425" i="29"/>
  <c r="H5424" i="29"/>
  <c r="H5423" i="29"/>
  <c r="H5422" i="29"/>
  <c r="H5421" i="29"/>
  <c r="H5420" i="29"/>
  <c r="H5419" i="29"/>
  <c r="H5418" i="29"/>
  <c r="H5417" i="29"/>
  <c r="H5410" i="29"/>
  <c r="H5402" i="29"/>
  <c r="H5401" i="29"/>
  <c r="H5400" i="29"/>
  <c r="H5399" i="29"/>
  <c r="H5398" i="29"/>
  <c r="H5397" i="29"/>
  <c r="H5396" i="29"/>
  <c r="H5395" i="29"/>
  <c r="H5394" i="29"/>
  <c r="H5393" i="29"/>
  <c r="H5392" i="29"/>
  <c r="H5409" i="29"/>
  <c r="H5408" i="29"/>
  <c r="H5407" i="29"/>
  <c r="H5406" i="29"/>
  <c r="H5405" i="29"/>
  <c r="H5404" i="29"/>
  <c r="H5403" i="29"/>
  <c r="H5416" i="29"/>
  <c r="H5415" i="29"/>
  <c r="H5414" i="29"/>
  <c r="H5413" i="29"/>
  <c r="H5412" i="29"/>
  <c r="H5411" i="29"/>
  <c r="H5390" i="29"/>
  <c r="H5389" i="29"/>
  <c r="H5388" i="29"/>
  <c r="H5387" i="29"/>
  <c r="H5384" i="29"/>
  <c r="H5383" i="29"/>
  <c r="H5382" i="29"/>
  <c r="H5381" i="29"/>
  <c r="H5380" i="29"/>
  <c r="H5379" i="29"/>
  <c r="H5391" i="29"/>
  <c r="H5386" i="29"/>
  <c r="H5385" i="29"/>
  <c r="H5365" i="29"/>
  <c r="H5363" i="29"/>
  <c r="H5378" i="29"/>
  <c r="H5377" i="29"/>
  <c r="H5376" i="29"/>
  <c r="H5375" i="29"/>
  <c r="H2611" i="29"/>
  <c r="H2610" i="29"/>
  <c r="H5355" i="29"/>
  <c r="H5354" i="29"/>
  <c r="H5353" i="29"/>
  <c r="H5352" i="29"/>
  <c r="H5351" i="29"/>
  <c r="H5350" i="29"/>
  <c r="H5374" i="29"/>
  <c r="H5373" i="29"/>
  <c r="H621" i="29"/>
  <c r="H658" i="29"/>
  <c r="H653" i="29"/>
  <c r="H5349" i="29"/>
  <c r="H5348" i="29"/>
  <c r="H5372" i="29"/>
  <c r="H5371" i="29"/>
  <c r="H5370" i="29"/>
  <c r="H5369" i="29"/>
  <c r="H5368" i="29"/>
  <c r="H5364" i="29"/>
  <c r="H5358" i="29"/>
  <c r="H5357" i="29"/>
  <c r="H5367" i="29"/>
  <c r="H5366" i="29"/>
  <c r="H5362" i="29"/>
  <c r="H5361" i="29"/>
  <c r="H5360" i="29"/>
  <c r="H5359" i="29"/>
  <c r="H5346" i="29"/>
  <c r="H5356" i="29"/>
  <c r="H5347" i="29"/>
  <c r="H5345" i="29"/>
  <c r="H4867" i="29"/>
  <c r="H5344" i="29"/>
  <c r="H5343" i="29"/>
  <c r="H5342" i="29"/>
  <c r="H5341" i="29"/>
  <c r="H5339" i="29"/>
  <c r="H4877" i="29"/>
  <c r="H4876" i="29"/>
  <c r="H4875" i="29"/>
  <c r="H4874" i="29"/>
  <c r="H4873" i="29"/>
  <c r="H4872" i="29"/>
  <c r="H5340" i="29"/>
  <c r="H5338" i="29"/>
  <c r="H5336" i="29"/>
  <c r="H5335" i="29"/>
  <c r="H5334" i="29"/>
  <c r="H5299" i="29"/>
  <c r="H5300" i="29"/>
  <c r="H5337" i="29"/>
  <c r="H5301" i="29"/>
  <c r="H5302" i="29"/>
  <c r="H5303" i="29"/>
  <c r="H5304" i="29"/>
  <c r="H5305" i="29"/>
  <c r="H5306" i="29"/>
  <c r="H5307" i="29"/>
  <c r="H5308" i="29"/>
  <c r="H5309" i="29"/>
  <c r="H5310" i="29"/>
  <c r="H5311" i="29"/>
  <c r="H5312" i="29"/>
  <c r="H5313" i="29"/>
  <c r="H5314" i="29"/>
  <c r="H5315" i="29"/>
  <c r="H5316" i="29"/>
  <c r="H5317" i="29"/>
  <c r="H5318" i="29"/>
  <c r="H5333" i="29"/>
  <c r="H5332" i="29"/>
  <c r="H5331" i="29"/>
  <c r="H5330" i="29"/>
  <c r="H5329" i="29"/>
  <c r="H5298" i="29"/>
  <c r="H5297" i="29"/>
  <c r="H5296" i="29"/>
  <c r="H5295" i="29"/>
  <c r="H5294" i="29"/>
  <c r="H5293" i="29"/>
  <c r="H5319" i="29"/>
  <c r="H5320" i="29"/>
  <c r="H5321" i="29"/>
  <c r="H5322" i="29"/>
  <c r="H5323" i="29"/>
  <c r="H5324" i="29"/>
  <c r="H5325" i="29"/>
  <c r="H5326" i="29"/>
  <c r="H5327" i="29"/>
  <c r="H5328" i="29"/>
  <c r="H5286" i="29"/>
  <c r="H5292" i="29"/>
  <c r="H5291" i="29"/>
  <c r="H5290" i="29"/>
  <c r="H5289" i="29"/>
  <c r="H5288" i="29"/>
  <c r="H5287" i="29"/>
  <c r="H5285" i="29"/>
  <c r="H5284" i="29"/>
  <c r="H5283" i="29"/>
  <c r="H5281" i="29"/>
  <c r="H5280" i="29"/>
  <c r="H5279" i="29"/>
  <c r="H5278" i="29"/>
  <c r="H5271" i="29"/>
  <c r="H5267" i="29"/>
  <c r="H5265" i="29"/>
  <c r="H5264" i="29"/>
  <c r="H5263" i="29"/>
  <c r="H5262" i="29"/>
  <c r="H5261" i="29"/>
  <c r="H5260" i="29"/>
  <c r="H5282" i="29"/>
  <c r="H5277" i="29"/>
  <c r="H5276" i="29"/>
  <c r="H5275" i="29"/>
  <c r="H5274" i="29"/>
  <c r="H5273" i="29"/>
  <c r="H5255" i="29"/>
  <c r="H5254" i="29"/>
  <c r="H4998" i="29"/>
  <c r="H5272" i="29"/>
  <c r="H5270" i="29"/>
  <c r="H5269" i="29"/>
  <c r="H5268" i="29"/>
  <c r="H5266" i="29"/>
  <c r="H5001" i="29"/>
  <c r="H5000" i="29"/>
  <c r="H4999" i="29"/>
  <c r="H5259" i="29"/>
  <c r="H5258" i="29"/>
  <c r="H5257" i="29"/>
  <c r="H5256" i="29"/>
  <c r="H5247" i="29"/>
  <c r="H5253" i="29"/>
  <c r="H5252" i="29"/>
  <c r="H5251" i="29"/>
  <c r="H5240" i="29"/>
  <c r="H5234" i="29"/>
  <c r="H5244" i="29"/>
  <c r="H5250" i="29"/>
  <c r="H5249" i="29"/>
  <c r="H5248" i="29"/>
  <c r="H5246" i="29"/>
  <c r="H5245" i="29"/>
  <c r="H5243" i="29"/>
  <c r="H5242" i="29"/>
  <c r="H5241" i="29"/>
  <c r="H5239" i="29"/>
  <c r="H5238" i="29"/>
  <c r="H5237" i="29"/>
  <c r="H5236" i="29"/>
  <c r="H5235" i="29"/>
  <c r="H5220" i="29"/>
  <c r="H5219" i="29"/>
  <c r="H5218" i="29"/>
  <c r="H5217" i="29"/>
  <c r="H5214" i="29"/>
  <c r="H5213" i="29"/>
  <c r="H5212" i="29"/>
  <c r="H5211" i="29"/>
  <c r="H5221" i="29"/>
  <c r="H5216" i="29"/>
  <c r="H5233" i="29"/>
  <c r="H5215" i="29"/>
  <c r="H5232" i="29"/>
  <c r="H5231" i="29"/>
  <c r="H5230" i="29"/>
  <c r="H5229" i="29"/>
  <c r="H5228" i="29"/>
  <c r="H5227" i="29"/>
  <c r="H5210" i="29"/>
  <c r="H5209" i="29"/>
  <c r="H5208" i="29"/>
  <c r="H5207" i="29"/>
  <c r="H5206" i="29"/>
  <c r="H5205" i="29"/>
  <c r="H5204" i="29"/>
  <c r="H5203" i="29"/>
  <c r="H5226" i="29"/>
  <c r="H5225" i="29"/>
  <c r="H5224" i="29"/>
  <c r="H5223" i="29"/>
  <c r="H5222" i="29"/>
  <c r="H5198" i="29"/>
  <c r="H5197" i="29"/>
  <c r="H5196" i="29"/>
  <c r="H5195" i="29"/>
  <c r="H5194" i="29"/>
  <c r="H5188" i="29"/>
  <c r="H5202" i="29"/>
  <c r="H5201" i="29"/>
  <c r="H5200" i="29"/>
  <c r="H5199" i="29"/>
  <c r="H5173" i="29"/>
  <c r="H5172" i="29"/>
  <c r="H5171" i="29"/>
  <c r="H5193" i="29"/>
  <c r="H5192" i="29"/>
  <c r="H5191" i="29"/>
  <c r="H5190" i="29"/>
  <c r="H5189" i="29"/>
  <c r="H5169" i="29"/>
  <c r="H5168" i="29"/>
  <c r="H5167" i="29"/>
  <c r="H5166" i="29"/>
  <c r="H5165" i="29"/>
  <c r="H5164" i="29"/>
  <c r="H5163" i="29"/>
  <c r="H5162" i="29"/>
  <c r="H5161" i="29"/>
  <c r="H5160" i="29"/>
  <c r="H5183" i="29"/>
  <c r="H5182" i="29"/>
  <c r="H5181" i="29"/>
  <c r="H5180" i="29"/>
  <c r="H5179" i="29"/>
  <c r="H5159" i="29"/>
  <c r="H5158" i="29"/>
  <c r="H5157" i="29"/>
  <c r="H5156" i="29"/>
  <c r="H5155" i="29"/>
  <c r="H5154" i="29"/>
  <c r="H5187" i="29"/>
  <c r="H5186" i="29"/>
  <c r="H5185" i="29"/>
  <c r="H5184" i="29"/>
  <c r="H5178" i="29"/>
  <c r="H5177" i="29"/>
  <c r="H5176" i="29"/>
  <c r="H5175" i="29"/>
  <c r="H5174" i="29"/>
  <c r="H5170" i="29"/>
  <c r="H5153" i="29"/>
  <c r="H5152" i="29"/>
  <c r="H5151" i="29"/>
  <c r="H5150" i="29"/>
  <c r="H5149" i="29"/>
  <c r="H5139" i="29"/>
  <c r="H5138" i="29"/>
  <c r="H5137" i="29"/>
  <c r="H5136" i="29"/>
  <c r="H5143" i="29"/>
  <c r="H5142" i="29"/>
  <c r="H5141" i="29"/>
  <c r="H5140" i="29"/>
  <c r="H5133" i="29"/>
  <c r="H5132" i="29"/>
  <c r="H5131" i="29"/>
  <c r="H5130" i="29"/>
  <c r="H5128" i="29"/>
  <c r="H5148" i="29"/>
  <c r="H5147" i="29"/>
  <c r="H5146" i="29"/>
  <c r="H5145" i="29"/>
  <c r="H5144" i="29"/>
  <c r="H5129" i="29"/>
  <c r="H5135" i="29"/>
  <c r="H5134" i="29"/>
  <c r="H5127" i="29"/>
  <c r="H5126" i="29"/>
  <c r="H5125" i="29"/>
  <c r="H5124" i="29"/>
  <c r="H5123" i="29"/>
  <c r="H5118" i="29"/>
  <c r="H5119" i="29"/>
  <c r="H5120" i="29"/>
  <c r="H5121" i="29"/>
  <c r="H5122" i="29"/>
  <c r="H5085" i="29"/>
  <c r="H5111" i="29"/>
  <c r="H5110" i="29"/>
  <c r="H5109" i="29"/>
  <c r="H5108" i="29"/>
  <c r="H5106" i="29"/>
  <c r="H5105" i="29"/>
  <c r="H5104" i="29"/>
  <c r="H5103" i="29"/>
  <c r="H5101" i="29"/>
  <c r="H5112" i="29"/>
  <c r="H5107" i="29"/>
  <c r="H5102" i="29"/>
  <c r="H5100" i="29"/>
  <c r="H5099" i="29"/>
  <c r="H5098" i="29"/>
  <c r="H5097" i="29"/>
  <c r="H5096" i="29"/>
  <c r="H5095" i="29"/>
  <c r="H5094" i="29"/>
  <c r="H5093" i="29"/>
  <c r="H5092" i="29"/>
  <c r="H5117" i="29"/>
  <c r="H5116" i="29"/>
  <c r="H5115" i="29"/>
  <c r="H5114" i="29"/>
  <c r="H5113" i="29"/>
  <c r="H5091" i="29"/>
  <c r="H5090" i="29"/>
  <c r="H5089" i="29"/>
  <c r="H5088" i="29"/>
  <c r="H5087" i="29"/>
  <c r="H5086" i="29"/>
  <c r="H5084" i="29"/>
  <c r="H5083" i="29"/>
  <c r="H5082" i="29"/>
  <c r="H5081" i="29"/>
  <c r="H5080" i="29"/>
  <c r="H5079" i="29"/>
  <c r="H5078" i="29"/>
  <c r="H5077" i="29"/>
  <c r="H5076" i="29"/>
  <c r="H5075" i="29"/>
  <c r="H5074" i="29"/>
  <c r="H5073" i="29"/>
  <c r="H5070" i="29"/>
  <c r="H5069" i="29"/>
  <c r="H5068" i="29"/>
  <c r="H5067" i="29"/>
  <c r="H5063" i="29"/>
  <c r="H5065" i="29"/>
  <c r="H5064" i="29"/>
  <c r="H5062" i="29"/>
  <c r="H5061" i="29"/>
  <c r="H5058" i="29"/>
  <c r="H5057" i="29"/>
  <c r="H5056" i="29"/>
  <c r="H5055" i="29"/>
  <c r="H5054" i="29"/>
  <c r="H5053" i="29"/>
  <c r="H5046" i="29"/>
  <c r="H5045" i="29"/>
  <c r="H5044" i="29"/>
  <c r="H5043" i="29"/>
  <c r="H5042" i="29"/>
  <c r="H5041" i="29"/>
  <c r="H5040" i="29"/>
  <c r="H5039" i="29"/>
  <c r="H5072" i="29"/>
  <c r="H5071" i="29"/>
  <c r="H5066" i="29"/>
  <c r="H5060" i="29"/>
  <c r="H5059" i="29"/>
  <c r="H5052" i="29"/>
  <c r="H5051" i="29"/>
  <c r="H5050" i="29"/>
  <c r="H5049" i="29"/>
  <c r="H5048" i="29"/>
  <c r="H5047" i="29"/>
  <c r="H5038" i="29"/>
  <c r="H5037" i="29"/>
  <c r="H5028" i="29"/>
  <c r="H5026" i="29"/>
  <c r="H5025" i="29"/>
  <c r="H5021" i="29"/>
  <c r="H5020" i="29"/>
  <c r="H5019" i="29"/>
  <c r="H5018" i="29"/>
  <c r="H5017" i="29"/>
  <c r="H5036" i="29"/>
  <c r="H5035" i="29"/>
  <c r="H5034" i="29"/>
  <c r="H5033" i="29"/>
  <c r="H5032" i="29"/>
  <c r="H5031" i="29"/>
  <c r="H5030" i="29"/>
  <c r="H5029" i="29"/>
  <c r="H5027" i="29"/>
  <c r="H5024" i="29"/>
  <c r="H5023" i="29"/>
  <c r="H5022" i="29"/>
  <c r="H5015" i="29"/>
  <c r="H5014" i="29"/>
  <c r="H5013" i="29"/>
  <c r="H5012" i="29"/>
  <c r="H5011" i="29"/>
  <c r="H5010" i="29"/>
  <c r="H5009" i="29"/>
  <c r="H5008" i="29"/>
  <c r="H5007" i="29"/>
  <c r="H5016" i="29"/>
  <c r="H5005" i="29"/>
  <c r="H5004" i="29"/>
  <c r="H5006" i="29"/>
  <c r="H4994" i="29"/>
  <c r="H4993" i="29"/>
  <c r="H4997" i="29"/>
  <c r="H5003" i="29"/>
  <c r="H5002" i="29"/>
  <c r="H4996" i="29"/>
  <c r="H4995" i="29"/>
  <c r="H4991" i="29"/>
  <c r="H4990" i="29"/>
  <c r="H4989" i="29"/>
  <c r="H4986" i="29"/>
  <c r="H4985" i="29"/>
  <c r="H4984" i="29"/>
  <c r="H4983" i="29"/>
  <c r="H4980" i="29"/>
  <c r="H4979" i="29"/>
  <c r="H4978" i="29"/>
  <c r="H4977" i="29"/>
  <c r="H4974" i="29"/>
  <c r="H4992" i="29"/>
  <c r="H4988" i="29"/>
  <c r="H4987" i="29"/>
  <c r="H4982" i="29"/>
  <c r="H4981" i="29"/>
  <c r="H4976" i="29"/>
  <c r="H4963" i="29"/>
  <c r="H4962" i="29"/>
  <c r="H4961" i="29"/>
  <c r="H4975" i="29"/>
  <c r="H4973" i="29"/>
  <c r="H4972" i="29"/>
  <c r="H4971" i="29"/>
  <c r="H4970" i="29"/>
  <c r="H4969" i="29"/>
  <c r="H4968" i="29"/>
  <c r="H4960" i="29"/>
  <c r="H4959" i="29"/>
  <c r="H4958" i="29"/>
  <c r="H4957" i="29"/>
  <c r="H4956" i="29"/>
  <c r="H4955" i="29"/>
  <c r="H4954" i="29"/>
  <c r="H4953" i="29"/>
  <c r="H4967" i="29"/>
  <c r="H4966" i="29"/>
  <c r="H4965" i="29"/>
  <c r="H4964" i="29"/>
  <c r="H4952" i="29"/>
  <c r="H4951" i="29"/>
  <c r="H4950" i="29"/>
  <c r="H4949" i="29"/>
  <c r="H4948" i="29"/>
  <c r="H4946" i="29"/>
  <c r="H4945" i="29"/>
  <c r="H4944" i="29"/>
  <c r="H4943" i="29"/>
  <c r="H4942" i="29"/>
  <c r="H4941" i="29"/>
  <c r="H4940" i="29"/>
  <c r="H4939" i="29"/>
  <c r="H4935" i="29"/>
  <c r="H4934" i="29"/>
  <c r="H4947" i="29"/>
  <c r="H4938" i="29"/>
  <c r="H4937" i="29"/>
  <c r="H4936" i="29"/>
  <c r="H4933" i="29"/>
  <c r="H4932" i="29"/>
  <c r="H4931" i="29"/>
  <c r="H4930" i="29"/>
  <c r="H4929" i="29"/>
  <c r="H4928" i="29"/>
  <c r="H4927" i="29"/>
  <c r="H4925" i="29"/>
  <c r="H4924" i="29"/>
  <c r="H4923" i="29"/>
  <c r="H4922" i="29"/>
  <c r="H4919" i="29"/>
  <c r="H4916" i="29"/>
  <c r="H4915" i="29"/>
  <c r="H4914" i="29"/>
  <c r="H4926" i="29"/>
  <c r="H4921" i="29"/>
  <c r="H4920" i="29"/>
  <c r="H4913" i="29"/>
  <c r="H4912" i="29"/>
  <c r="H4911" i="29"/>
  <c r="H4910" i="29"/>
  <c r="H4909" i="29"/>
  <c r="H4918" i="29"/>
  <c r="H4917" i="29"/>
  <c r="H4908" i="29"/>
  <c r="H4906" i="29"/>
  <c r="H4905" i="29"/>
  <c r="H4904" i="29"/>
  <c r="H4902" i="29"/>
  <c r="H4907" i="29"/>
  <c r="H4898" i="29"/>
  <c r="H4903" i="29"/>
  <c r="H4901" i="29"/>
  <c r="H4900" i="29"/>
  <c r="H4899" i="29"/>
  <c r="H4897" i="29"/>
  <c r="H4892" i="29"/>
  <c r="H4891" i="29"/>
  <c r="H4890" i="29"/>
  <c r="H4889" i="29"/>
  <c r="H4887" i="29"/>
  <c r="H4886" i="29"/>
  <c r="H4884" i="29"/>
  <c r="H4883" i="29"/>
  <c r="H4882" i="29"/>
  <c r="H4881" i="29"/>
  <c r="H4880" i="29"/>
  <c r="H4878" i="29"/>
  <c r="H4871" i="29"/>
  <c r="H4870" i="29"/>
  <c r="H4869" i="29"/>
  <c r="H4868" i="29"/>
  <c r="H4885" i="29"/>
  <c r="H4896" i="29"/>
  <c r="H4895" i="29"/>
  <c r="H4894" i="29"/>
  <c r="H4893" i="29"/>
  <c r="H4888" i="29"/>
  <c r="H4879" i="29"/>
  <c r="H4866" i="29"/>
  <c r="H4865" i="29"/>
  <c r="H4862" i="29"/>
  <c r="H4861" i="29"/>
  <c r="H4860" i="29"/>
  <c r="H4859" i="29"/>
  <c r="H4858" i="29"/>
  <c r="H4857" i="29"/>
  <c r="H4856" i="29"/>
  <c r="H4853" i="29"/>
  <c r="H4847" i="29"/>
  <c r="H4864" i="29"/>
  <c r="H4855" i="29"/>
  <c r="H4854" i="29"/>
  <c r="H4852" i="29"/>
  <c r="H4851" i="29"/>
  <c r="H4850" i="29"/>
  <c r="H4849" i="29"/>
  <c r="H4844" i="29"/>
  <c r="H4843" i="29"/>
  <c r="H4863" i="29"/>
  <c r="H4848" i="29"/>
  <c r="H4846" i="29"/>
  <c r="H4845" i="29"/>
  <c r="H4839" i="29"/>
  <c r="H4842" i="29"/>
  <c r="H4841" i="29"/>
  <c r="H4840" i="29"/>
  <c r="H4838" i="29"/>
  <c r="H4837" i="29"/>
  <c r="H4836" i="29"/>
  <c r="H4835" i="29"/>
  <c r="H4834" i="29"/>
  <c r="H4833" i="29"/>
  <c r="H4826" i="29"/>
  <c r="H4825" i="29"/>
  <c r="H4824" i="29"/>
  <c r="H4823" i="29"/>
  <c r="H4832" i="29"/>
  <c r="H4831" i="29"/>
  <c r="H4830" i="29"/>
  <c r="H4829" i="29"/>
  <c r="H4828" i="29"/>
  <c r="H4827" i="29"/>
  <c r="H4822" i="29"/>
  <c r="H4821" i="29"/>
  <c r="H4814" i="29"/>
  <c r="H4813" i="29"/>
  <c r="H4812" i="29"/>
  <c r="H4811" i="29"/>
  <c r="H4810" i="29"/>
  <c r="H4820" i="29"/>
  <c r="H4819" i="29"/>
  <c r="H4818" i="29"/>
  <c r="H4817" i="29"/>
  <c r="H4816" i="29"/>
  <c r="H4815" i="29"/>
  <c r="H4808" i="29"/>
  <c r="H4807" i="29"/>
  <c r="H4809" i="29"/>
  <c r="H4802" i="29"/>
  <c r="H4801" i="29"/>
  <c r="H4805" i="29"/>
  <c r="H4804" i="29"/>
  <c r="H4803" i="29"/>
  <c r="H4795" i="29"/>
  <c r="H4794" i="29"/>
  <c r="H4793" i="29"/>
  <c r="H4792" i="29"/>
  <c r="H4791" i="29"/>
  <c r="H4790" i="29"/>
  <c r="H4806" i="29"/>
  <c r="H4800" i="29"/>
  <c r="H4799" i="29"/>
  <c r="H4798" i="29"/>
  <c r="H4797" i="29"/>
  <c r="H4796" i="29"/>
  <c r="H4789" i="29"/>
  <c r="H4788" i="29"/>
  <c r="H4786" i="29"/>
  <c r="H4785" i="29"/>
  <c r="H4784" i="29"/>
  <c r="H4782" i="29"/>
  <c r="H4780" i="29"/>
  <c r="H4779" i="29"/>
  <c r="H4778" i="29"/>
  <c r="H4777" i="29"/>
  <c r="H4776" i="29"/>
  <c r="H4774" i="29"/>
  <c r="H4787" i="29"/>
  <c r="H4781" i="29"/>
  <c r="H4783" i="29"/>
  <c r="H4775" i="29"/>
  <c r="H4772" i="29"/>
  <c r="H4770" i="29"/>
  <c r="H4769" i="29"/>
  <c r="H4768" i="29"/>
  <c r="H4767" i="29"/>
  <c r="H4762" i="29"/>
  <c r="H4773" i="29"/>
  <c r="H4771" i="29"/>
  <c r="H4766" i="29"/>
  <c r="H4765" i="29"/>
  <c r="H4764" i="29"/>
  <c r="H4763" i="29"/>
  <c r="H4756" i="29"/>
  <c r="H4761" i="29"/>
  <c r="H4760" i="29"/>
  <c r="H4759" i="29"/>
  <c r="H4758" i="29"/>
  <c r="H4757" i="29"/>
  <c r="H4755" i="29"/>
  <c r="H4754" i="29"/>
  <c r="H4751" i="29"/>
  <c r="H4750" i="29"/>
  <c r="H4749" i="29"/>
  <c r="H4748" i="29"/>
  <c r="H4747" i="29"/>
  <c r="H4746" i="29"/>
  <c r="H4743" i="29"/>
  <c r="H4741" i="29"/>
  <c r="H4739" i="29"/>
  <c r="H4732" i="29"/>
  <c r="H4731" i="29"/>
  <c r="H4728" i="29"/>
  <c r="H4727" i="29"/>
  <c r="H4726" i="29"/>
  <c r="H4725" i="29"/>
  <c r="H4724" i="29"/>
  <c r="H4723" i="29"/>
  <c r="H4722" i="29"/>
  <c r="H4721" i="29"/>
  <c r="H4720" i="29"/>
  <c r="H4719" i="29"/>
  <c r="H4717" i="29"/>
  <c r="H4716" i="29"/>
  <c r="H4753" i="29"/>
  <c r="H4752" i="29"/>
  <c r="H4745" i="29"/>
  <c r="H4744" i="29"/>
  <c r="H4742" i="29"/>
  <c r="H4740" i="29"/>
  <c r="H4738" i="29"/>
  <c r="H4737" i="29"/>
  <c r="H4736" i="29"/>
  <c r="H4735" i="29"/>
  <c r="H4734" i="29"/>
  <c r="H4733" i="29"/>
  <c r="H4730" i="29"/>
  <c r="H4729" i="29"/>
  <c r="H4718" i="29"/>
  <c r="H4715" i="29"/>
  <c r="H4714" i="29"/>
  <c r="H4711" i="29"/>
  <c r="H4710" i="29"/>
  <c r="H4713" i="29"/>
  <c r="H4712" i="29"/>
  <c r="H4697" i="29"/>
  <c r="H4696" i="29"/>
  <c r="H4695" i="29"/>
  <c r="H4694" i="29"/>
  <c r="H4691" i="29"/>
  <c r="H4689" i="29"/>
  <c r="H4688" i="29"/>
  <c r="H4687" i="29"/>
  <c r="H4692" i="29"/>
  <c r="H4709" i="29"/>
  <c r="H4708" i="29"/>
  <c r="H4707" i="29"/>
  <c r="H4706" i="29"/>
  <c r="H4693" i="29"/>
  <c r="H4690" i="29"/>
  <c r="H4686" i="29"/>
  <c r="H4685" i="29"/>
  <c r="H4684" i="29"/>
  <c r="H4683" i="29"/>
  <c r="H4682" i="29"/>
  <c r="H4681" i="29"/>
  <c r="H4680" i="29"/>
  <c r="H4679" i="29"/>
  <c r="H4678" i="29"/>
  <c r="H4675" i="29"/>
  <c r="H4705" i="29"/>
  <c r="H4704" i="29"/>
  <c r="H4703" i="29"/>
  <c r="H4702" i="29"/>
  <c r="H4701" i="29"/>
  <c r="H4700" i="29"/>
  <c r="H4699" i="29"/>
  <c r="H4698" i="29"/>
  <c r="H4677" i="29"/>
  <c r="H4676" i="29"/>
  <c r="H4674" i="29"/>
  <c r="H4673" i="29"/>
  <c r="H4672" i="29"/>
  <c r="H4671" i="29"/>
  <c r="H4670" i="29"/>
  <c r="H4669" i="29"/>
  <c r="H4668" i="29"/>
  <c r="H4667" i="29"/>
  <c r="H4666" i="29"/>
  <c r="H4665" i="29"/>
  <c r="H4664" i="29"/>
  <c r="H4662" i="29"/>
  <c r="H4661" i="29"/>
  <c r="H4659" i="29"/>
  <c r="H4663" i="29"/>
  <c r="H4656" i="29"/>
  <c r="H4655" i="29"/>
  <c r="H4654" i="29"/>
  <c r="H4653" i="29"/>
  <c r="H4652" i="29"/>
  <c r="H4651" i="29"/>
  <c r="H4660" i="29"/>
  <c r="H4658" i="29"/>
  <c r="H4657" i="29"/>
  <c r="H4650" i="29"/>
  <c r="H4649" i="29"/>
  <c r="H4648" i="29"/>
  <c r="H4647" i="29"/>
  <c r="H4646" i="29"/>
  <c r="H4643" i="29"/>
  <c r="H4642" i="29"/>
  <c r="H4636" i="29"/>
  <c r="H4635" i="29"/>
  <c r="H4641" i="29"/>
  <c r="H4640" i="29"/>
  <c r="H4639" i="29"/>
  <c r="H4638" i="29"/>
  <c r="H4637" i="29"/>
  <c r="H4634" i="29"/>
  <c r="H4645" i="29"/>
  <c r="H4644" i="29"/>
  <c r="H4633" i="29"/>
  <c r="H4632" i="29"/>
  <c r="H4631" i="29"/>
  <c r="H4630" i="29"/>
  <c r="H4629" i="29"/>
  <c r="H4628" i="29"/>
  <c r="H4627" i="29"/>
  <c r="H4626" i="29"/>
  <c r="H4625" i="29"/>
  <c r="H4624" i="29"/>
  <c r="H4620" i="29"/>
  <c r="H4619" i="29"/>
  <c r="H4618" i="29"/>
  <c r="H4617" i="29"/>
  <c r="H4616" i="29"/>
  <c r="H4615" i="29"/>
  <c r="H4612" i="29"/>
  <c r="H4611" i="29"/>
  <c r="H4623" i="29"/>
  <c r="H4621" i="29"/>
  <c r="H4610" i="29"/>
  <c r="H4609" i="29"/>
  <c r="H4608" i="29"/>
  <c r="H4607" i="29"/>
  <c r="H4622" i="29"/>
  <c r="H4599" i="29"/>
  <c r="H4614" i="29"/>
  <c r="H4613" i="29"/>
  <c r="H4598" i="29"/>
  <c r="H4597" i="29"/>
  <c r="H4596" i="29"/>
  <c r="H4595" i="29"/>
  <c r="H4594" i="29"/>
  <c r="H4593" i="29"/>
  <c r="H4592" i="29"/>
  <c r="H4591" i="29"/>
  <c r="H4606" i="29"/>
  <c r="H4605" i="29"/>
  <c r="H4604" i="29"/>
  <c r="H4603" i="29"/>
  <c r="H4602" i="29"/>
  <c r="H4601" i="29"/>
  <c r="H4600" i="29"/>
  <c r="H4590" i="29"/>
  <c r="H4589" i="29"/>
  <c r="H4588" i="29"/>
  <c r="H4587" i="29"/>
  <c r="H4586" i="29"/>
  <c r="H4585" i="29"/>
  <c r="H4584" i="29"/>
  <c r="H4583" i="29"/>
  <c r="H4581" i="29"/>
  <c r="H4580" i="29"/>
  <c r="H4575" i="29"/>
  <c r="H4582" i="29"/>
  <c r="H4579" i="29"/>
  <c r="H4578" i="29"/>
  <c r="H4577" i="29"/>
  <c r="H4576" i="29"/>
  <c r="H4574" i="29"/>
  <c r="H4573" i="29"/>
  <c r="H4565" i="29"/>
  <c r="H4564" i="29"/>
  <c r="H4563" i="29"/>
  <c r="H4562" i="29"/>
  <c r="H4561" i="29"/>
  <c r="H4560" i="29"/>
  <c r="H4559" i="29"/>
  <c r="H4558" i="29"/>
  <c r="H4557" i="29"/>
  <c r="H4572" i="29"/>
  <c r="H4571" i="29"/>
  <c r="H4570" i="29"/>
  <c r="H4569" i="29"/>
  <c r="H4568" i="29"/>
  <c r="H4567" i="29"/>
  <c r="H4566" i="29"/>
  <c r="H4545" i="29"/>
  <c r="H4539" i="29"/>
  <c r="H4538" i="29"/>
  <c r="H4519" i="29"/>
  <c r="H4556" i="29"/>
  <c r="H4555" i="29"/>
  <c r="H4554" i="29"/>
  <c r="H4553" i="29"/>
  <c r="H4552" i="29"/>
  <c r="H4549" i="29"/>
  <c r="H4551" i="29"/>
  <c r="H4550" i="29"/>
  <c r="H4548" i="29"/>
  <c r="H4547" i="29"/>
  <c r="H4546" i="29"/>
  <c r="H4540" i="29"/>
  <c r="H4537" i="29"/>
  <c r="H4536" i="29"/>
  <c r="H4535" i="29"/>
  <c r="H4534" i="29"/>
  <c r="H4532" i="29"/>
  <c r="H4531" i="29"/>
  <c r="H4530" i="29"/>
  <c r="H4544" i="29"/>
  <c r="H4543" i="29"/>
  <c r="H4542" i="29"/>
  <c r="H4541" i="29"/>
  <c r="H4533" i="29"/>
  <c r="H4529" i="29"/>
  <c r="H4528" i="29"/>
  <c r="H4527" i="29"/>
  <c r="H4526" i="29"/>
  <c r="H4525" i="29"/>
  <c r="H4524" i="29"/>
  <c r="H4523" i="29"/>
  <c r="H4522" i="29"/>
  <c r="H4521" i="29"/>
  <c r="H4520" i="29"/>
  <c r="H4518" i="29"/>
  <c r="H4517" i="29"/>
  <c r="H4516" i="29"/>
  <c r="H4509" i="29"/>
  <c r="H4515" i="29"/>
  <c r="H4514" i="29"/>
  <c r="H4513" i="29"/>
  <c r="H4512" i="29"/>
  <c r="H4511" i="29"/>
  <c r="H4510" i="29"/>
  <c r="H4178" i="29"/>
  <c r="H4505" i="29"/>
  <c r="H4504" i="29"/>
  <c r="H4508" i="29"/>
  <c r="H4507" i="29"/>
  <c r="H4506" i="29"/>
  <c r="H4503" i="29"/>
  <c r="H4502" i="29"/>
  <c r="H4501" i="29"/>
  <c r="H4500" i="29"/>
  <c r="H4499" i="29"/>
  <c r="H4498" i="29"/>
  <c r="H4497" i="29"/>
  <c r="H4339" i="29"/>
  <c r="H4338" i="29"/>
  <c r="H4496" i="29"/>
  <c r="H4495" i="29"/>
  <c r="H4494" i="29"/>
  <c r="H4493" i="29"/>
  <c r="H4492" i="29"/>
  <c r="H4491" i="29"/>
  <c r="H4490" i="29"/>
  <c r="H4489" i="29"/>
  <c r="H4488" i="29"/>
  <c r="H4486" i="29"/>
  <c r="H4484" i="29"/>
  <c r="H4482" i="29"/>
  <c r="H4487" i="29"/>
  <c r="H4485" i="29"/>
  <c r="H4483" i="29"/>
  <c r="H4481" i="29"/>
  <c r="H4480" i="29"/>
  <c r="H4479" i="29"/>
  <c r="H4478" i="29"/>
  <c r="H4477" i="29"/>
  <c r="H4476" i="29"/>
  <c r="H4475" i="29"/>
  <c r="H4471" i="29"/>
  <c r="H4470" i="29"/>
  <c r="H4341" i="29"/>
  <c r="H4340" i="29"/>
  <c r="H4469" i="29"/>
  <c r="H4468" i="29"/>
  <c r="H4467" i="29"/>
  <c r="H4466" i="29"/>
  <c r="H4465" i="29"/>
  <c r="H4464" i="29"/>
  <c r="H4463" i="29"/>
  <c r="H4462" i="29"/>
  <c r="H4474" i="29"/>
  <c r="H4473" i="29"/>
  <c r="H4472" i="29"/>
  <c r="H4461" i="29"/>
  <c r="H4449" i="29"/>
  <c r="H4460" i="29"/>
  <c r="H4459" i="29"/>
  <c r="H4458" i="29"/>
  <c r="H4457" i="29"/>
  <c r="H4456" i="29"/>
  <c r="H4455" i="29"/>
  <c r="H4454" i="29"/>
  <c r="H4453" i="29"/>
  <c r="H4452" i="29"/>
  <c r="H4451" i="29"/>
  <c r="H4450" i="29"/>
  <c r="H4447" i="29"/>
  <c r="H4446" i="29"/>
  <c r="H4445" i="29"/>
  <c r="H4444" i="29"/>
  <c r="H4443" i="29"/>
  <c r="H4442" i="29"/>
  <c r="H4448" i="29"/>
  <c r="H4441" i="29"/>
  <c r="H4440" i="29"/>
  <c r="H4439" i="29"/>
  <c r="H4438" i="29"/>
  <c r="H4437" i="29"/>
  <c r="H4436" i="29"/>
  <c r="H4430" i="29"/>
  <c r="H4429" i="29"/>
  <c r="H4435" i="29"/>
  <c r="H4434" i="29"/>
  <c r="H4433" i="29"/>
  <c r="H4432" i="29"/>
  <c r="H4431" i="29"/>
  <c r="H4428" i="29"/>
  <c r="H4426" i="29"/>
  <c r="H4425" i="29"/>
  <c r="H4424" i="29"/>
  <c r="H4423" i="29"/>
  <c r="H4422" i="29"/>
  <c r="H4421" i="29"/>
  <c r="H4420" i="29"/>
  <c r="H4419" i="29"/>
  <c r="H4413" i="29"/>
  <c r="H4412" i="29"/>
  <c r="H4411" i="29"/>
  <c r="H4406" i="29"/>
  <c r="H4427" i="29"/>
  <c r="H4405" i="29"/>
  <c r="H4403" i="29"/>
  <c r="H4402" i="29"/>
  <c r="H4418" i="29"/>
  <c r="H4401" i="29"/>
  <c r="H4394" i="29"/>
  <c r="H4393" i="29"/>
  <c r="H4392" i="29"/>
  <c r="H4391" i="29"/>
  <c r="H4417" i="29"/>
  <c r="H4416" i="29"/>
  <c r="H4415" i="29"/>
  <c r="H4414" i="29"/>
  <c r="H4410" i="29"/>
  <c r="H4409" i="29"/>
  <c r="H4408" i="29"/>
  <c r="H4407" i="29"/>
  <c r="H4404" i="29"/>
  <c r="H4390" i="29"/>
  <c r="H4389" i="29"/>
  <c r="H4400" i="29"/>
  <c r="H4399" i="29"/>
  <c r="H4398" i="29"/>
  <c r="H4397" i="29"/>
  <c r="H4396" i="29"/>
  <c r="H4395" i="29"/>
  <c r="H4388" i="29"/>
  <c r="H4387" i="29"/>
  <c r="H4386" i="29"/>
  <c r="H4385" i="29"/>
  <c r="H4384" i="29"/>
  <c r="H4383" i="29"/>
  <c r="H4382" i="29"/>
  <c r="H4381" i="29"/>
  <c r="H4380" i="29"/>
  <c r="H4379" i="29"/>
  <c r="H4378" i="29"/>
  <c r="H4377" i="29"/>
  <c r="H4376" i="29"/>
  <c r="H4374" i="29"/>
  <c r="H4372" i="29"/>
  <c r="H4371" i="29"/>
  <c r="H4362" i="29"/>
  <c r="H4361" i="29"/>
  <c r="H4360" i="29"/>
  <c r="H4359" i="29"/>
  <c r="H4375" i="29"/>
  <c r="H4364" i="29"/>
  <c r="H4358" i="29"/>
  <c r="H4357" i="29"/>
  <c r="H4356" i="29"/>
  <c r="H4355" i="29"/>
  <c r="H4354" i="29"/>
  <c r="H4353" i="29"/>
  <c r="H4352" i="29"/>
  <c r="H4373" i="29"/>
  <c r="H4370" i="29"/>
  <c r="H4369" i="29"/>
  <c r="H4368" i="29"/>
  <c r="H4367" i="29"/>
  <c r="H4366" i="29"/>
  <c r="H4365" i="29"/>
  <c r="H4363" i="29"/>
  <c r="H4351" i="29"/>
  <c r="H4348" i="29"/>
  <c r="H4343" i="29"/>
  <c r="H4342" i="29"/>
  <c r="H4350" i="29"/>
  <c r="H4349" i="29"/>
  <c r="H4337" i="29"/>
  <c r="H4336" i="29"/>
  <c r="H4329" i="29"/>
  <c r="H4347" i="29"/>
  <c r="H4346" i="29"/>
  <c r="H4345" i="29"/>
  <c r="H4344" i="29"/>
  <c r="H4312" i="29"/>
  <c r="H4311" i="29"/>
  <c r="H4310" i="29"/>
  <c r="H4335" i="29"/>
  <c r="H4334" i="29"/>
  <c r="H4333" i="29"/>
  <c r="H4332" i="29"/>
  <c r="H4331" i="29"/>
  <c r="H4330" i="29"/>
  <c r="H4318" i="29"/>
  <c r="H4317" i="29"/>
  <c r="H4316" i="29"/>
  <c r="H4314" i="29"/>
  <c r="H4313" i="29"/>
  <c r="H4309" i="29"/>
  <c r="H4308" i="29"/>
  <c r="H4328" i="29"/>
  <c r="H4327" i="29"/>
  <c r="H4326" i="29"/>
  <c r="H4325" i="29"/>
  <c r="H4324" i="29"/>
  <c r="H4323" i="29"/>
  <c r="H4322" i="29"/>
  <c r="H4321" i="29"/>
  <c r="H4320" i="29"/>
  <c r="H4319" i="29"/>
  <c r="H4307" i="29"/>
  <c r="H4315" i="29"/>
  <c r="H4306" i="29"/>
  <c r="H4305" i="29"/>
  <c r="H4304" i="29"/>
  <c r="H4303" i="29"/>
  <c r="H4302" i="29"/>
  <c r="H4301" i="29"/>
  <c r="H4300" i="29"/>
  <c r="H4299" i="29"/>
  <c r="H4298" i="29"/>
  <c r="H4297" i="29"/>
  <c r="H4296" i="29"/>
  <c r="H4295" i="29"/>
  <c r="H4294" i="29"/>
  <c r="H4293" i="29"/>
  <c r="H4292" i="29"/>
  <c r="H4291" i="29"/>
  <c r="H4290" i="29"/>
  <c r="H4289" i="29"/>
  <c r="H4288" i="29"/>
  <c r="H4287" i="29"/>
  <c r="H4286" i="29"/>
  <c r="H4285" i="29"/>
  <c r="H4284" i="29"/>
  <c r="H4283" i="29"/>
  <c r="H4282" i="29"/>
  <c r="H4281" i="29"/>
  <c r="H4279" i="29"/>
  <c r="H4280" i="29"/>
  <c r="H4278" i="29"/>
  <c r="H4277" i="29"/>
  <c r="H4276" i="29"/>
  <c r="H4272" i="29"/>
  <c r="H4271" i="29"/>
  <c r="H4270" i="29"/>
  <c r="H4275" i="29"/>
  <c r="H4274" i="29"/>
  <c r="H4273" i="29"/>
  <c r="H632" i="29"/>
  <c r="H4269" i="29"/>
  <c r="H4268" i="29"/>
  <c r="H4267" i="29"/>
  <c r="H4259" i="29"/>
  <c r="H4266" i="29"/>
  <c r="H4265" i="29"/>
  <c r="H4261" i="29"/>
  <c r="H4260" i="29"/>
  <c r="H4247" i="29"/>
  <c r="H4264" i="29"/>
  <c r="H4263" i="29"/>
  <c r="H4262" i="29"/>
  <c r="H4257" i="29"/>
  <c r="H4256" i="29"/>
  <c r="H4255" i="29"/>
  <c r="H4254" i="29"/>
  <c r="H4253" i="29"/>
  <c r="H4252" i="29"/>
  <c r="H4258" i="29"/>
  <c r="H4251" i="29"/>
  <c r="H4250" i="29"/>
  <c r="H4249" i="29"/>
  <c r="H4248" i="29"/>
  <c r="H4246" i="29"/>
  <c r="H4245" i="29"/>
  <c r="H4244" i="29"/>
  <c r="H4243" i="29"/>
  <c r="H4242" i="29"/>
  <c r="H4241" i="29"/>
  <c r="H4240" i="29"/>
  <c r="H4239" i="29"/>
  <c r="H4238" i="29"/>
  <c r="H4233" i="29"/>
  <c r="H4232" i="29"/>
  <c r="H4230" i="29"/>
  <c r="H4237" i="29"/>
  <c r="H4236" i="29"/>
  <c r="H4235" i="29"/>
  <c r="H4229" i="29"/>
  <c r="H4228" i="29"/>
  <c r="H4234" i="29"/>
  <c r="H4227" i="29"/>
  <c r="H4226" i="29"/>
  <c r="H4225" i="29"/>
  <c r="H4224" i="29"/>
  <c r="H4223" i="29"/>
  <c r="H4222" i="29"/>
  <c r="H4221" i="29"/>
  <c r="H4220" i="29"/>
  <c r="H4231" i="29"/>
  <c r="H4218" i="29"/>
  <c r="H4211" i="29"/>
  <c r="H4210" i="29"/>
  <c r="H4216" i="29"/>
  <c r="H4219" i="29"/>
  <c r="H4217" i="29"/>
  <c r="H4215" i="29"/>
  <c r="H4214" i="29"/>
  <c r="H4213" i="29"/>
  <c r="H4212" i="29"/>
  <c r="H4209" i="29"/>
  <c r="H4208" i="29"/>
  <c r="H4207" i="29"/>
  <c r="H4206" i="29"/>
  <c r="H4205" i="29"/>
  <c r="H4195" i="29"/>
  <c r="H4194" i="29"/>
  <c r="H4193" i="29"/>
  <c r="H4192" i="29"/>
  <c r="H4191" i="29"/>
  <c r="H4190" i="29"/>
  <c r="H4189" i="29"/>
  <c r="H4188" i="29"/>
  <c r="H4203" i="29"/>
  <c r="H4187" i="29"/>
  <c r="H4186" i="29"/>
  <c r="H4185" i="29"/>
  <c r="H4184" i="29"/>
  <c r="H4183" i="29"/>
  <c r="H4182" i="29"/>
  <c r="H4181" i="29"/>
  <c r="H4204" i="29"/>
  <c r="H4202" i="29"/>
  <c r="H4201" i="29"/>
  <c r="H4200" i="29"/>
  <c r="H4199" i="29"/>
  <c r="H4198" i="29"/>
  <c r="H4197" i="29"/>
  <c r="H4196" i="29"/>
  <c r="H4177" i="29"/>
  <c r="H4175" i="29"/>
  <c r="H4174" i="29"/>
  <c r="H4173" i="29"/>
  <c r="H4172" i="29"/>
  <c r="H4171" i="29"/>
  <c r="H4170" i="29"/>
  <c r="H4169" i="29"/>
  <c r="H4180" i="29"/>
  <c r="H4179" i="29"/>
  <c r="H4163" i="29"/>
  <c r="H4161" i="29"/>
  <c r="H4176" i="29"/>
  <c r="H4168" i="29"/>
  <c r="H4167" i="29"/>
  <c r="H4166" i="29"/>
  <c r="H4165" i="29"/>
  <c r="H4164" i="29"/>
  <c r="H4158" i="29"/>
  <c r="H4152" i="29"/>
  <c r="H4151" i="29"/>
  <c r="H4150" i="29"/>
  <c r="H4141" i="29"/>
  <c r="H4140" i="29"/>
  <c r="H4139" i="29"/>
  <c r="H4138" i="29"/>
  <c r="H4137" i="29"/>
  <c r="H4136" i="29"/>
  <c r="H4135" i="29"/>
  <c r="H4134" i="29"/>
  <c r="H4133" i="29"/>
  <c r="H4132" i="29"/>
  <c r="H4131" i="29"/>
  <c r="H4162" i="29"/>
  <c r="H4160" i="29"/>
  <c r="H4159" i="29"/>
  <c r="H4122" i="29"/>
  <c r="H4118" i="29"/>
  <c r="H4115" i="29"/>
  <c r="H4114" i="29"/>
  <c r="H4154" i="29"/>
  <c r="H4153" i="29"/>
  <c r="H4157" i="29"/>
  <c r="H4156" i="29"/>
  <c r="H4155" i="29"/>
  <c r="H4149" i="29"/>
  <c r="H4148" i="29"/>
  <c r="H4147" i="29"/>
  <c r="H4146" i="29"/>
  <c r="H4145" i="29"/>
  <c r="H4144" i="29"/>
  <c r="H4143" i="29"/>
  <c r="H4142" i="29"/>
  <c r="H4117" i="29"/>
  <c r="H4108" i="29"/>
  <c r="H4130" i="29"/>
  <c r="H4129" i="29"/>
  <c r="H4128" i="29"/>
  <c r="H4127" i="29"/>
  <c r="H4126" i="29"/>
  <c r="H4125" i="29"/>
  <c r="H4124" i="29"/>
  <c r="H4123" i="29"/>
  <c r="H4121" i="29"/>
  <c r="H4120" i="29"/>
  <c r="H4119" i="29"/>
  <c r="H4116" i="29"/>
  <c r="H4113" i="29"/>
  <c r="H4112" i="29"/>
  <c r="H4111" i="29"/>
  <c r="H4110" i="29"/>
  <c r="H4109" i="29"/>
  <c r="H4107" i="29"/>
  <c r="H4106" i="29"/>
  <c r="H4105" i="29"/>
  <c r="H4104" i="29"/>
  <c r="H4103" i="29"/>
  <c r="H4102" i="29"/>
  <c r="H4101" i="29"/>
  <c r="H4100" i="29"/>
  <c r="H4093" i="29"/>
  <c r="H4082" i="29"/>
  <c r="H4081" i="29"/>
  <c r="H4099" i="29"/>
  <c r="H4098" i="29"/>
  <c r="H4097" i="29"/>
  <c r="H4096" i="29"/>
  <c r="H4095" i="29"/>
  <c r="H4094" i="29"/>
  <c r="H4091" i="29"/>
  <c r="H4090" i="29"/>
  <c r="H4089" i="29"/>
  <c r="H4088" i="29"/>
  <c r="H4087" i="29"/>
  <c r="H4086" i="29"/>
  <c r="H4085" i="29"/>
  <c r="H4084" i="29"/>
  <c r="H4083" i="29"/>
  <c r="H4080" i="29"/>
  <c r="H4079" i="29"/>
  <c r="H4078" i="29"/>
  <c r="H4092" i="29"/>
  <c r="H4077" i="29"/>
  <c r="H4076" i="29"/>
  <c r="H4075" i="29"/>
  <c r="H4074" i="29"/>
  <c r="H4066" i="29"/>
  <c r="H4073" i="29"/>
  <c r="H4072" i="29"/>
  <c r="H4071" i="29"/>
  <c r="H4070" i="29"/>
  <c r="H4069" i="29"/>
  <c r="H4068" i="29"/>
  <c r="H4067" i="29"/>
  <c r="H4065" i="29"/>
  <c r="H4064" i="29"/>
  <c r="H4063" i="29"/>
  <c r="H4062" i="29"/>
  <c r="H4055" i="29"/>
  <c r="H4054" i="29"/>
  <c r="H4053" i="29"/>
  <c r="H4052" i="29"/>
  <c r="H4051" i="29"/>
  <c r="H4050" i="29"/>
  <c r="H4049" i="29"/>
  <c r="H4048" i="29"/>
  <c r="H4047" i="29"/>
  <c r="H4044" i="29"/>
  <c r="H4038" i="29"/>
  <c r="H4037" i="29"/>
  <c r="H4036" i="29"/>
  <c r="H4035" i="29"/>
  <c r="H4034" i="29"/>
  <c r="H4033" i="29"/>
  <c r="H4032" i="29"/>
  <c r="H4031" i="29"/>
  <c r="H4030" i="29"/>
  <c r="H4029" i="29"/>
  <c r="H4028" i="29"/>
  <c r="H4027" i="29"/>
  <c r="H4026" i="29"/>
  <c r="H4025" i="29"/>
  <c r="H4024" i="29"/>
  <c r="H4046" i="29"/>
  <c r="H4045" i="29"/>
  <c r="H4061" i="29"/>
  <c r="H4060" i="29"/>
  <c r="H4059" i="29"/>
  <c r="H4058" i="29"/>
  <c r="H4057" i="29"/>
  <c r="H4056" i="29"/>
  <c r="H4040" i="29"/>
  <c r="H4043" i="29"/>
  <c r="H4042" i="29"/>
  <c r="H4041" i="29"/>
  <c r="H4039" i="29"/>
  <c r="H4018" i="29"/>
  <c r="H4017" i="29"/>
  <c r="H4016" i="29"/>
  <c r="H4015" i="29"/>
  <c r="H4023" i="29"/>
  <c r="H4022" i="29"/>
  <c r="H4021" i="29"/>
  <c r="H4020" i="29"/>
  <c r="H4019" i="29"/>
  <c r="H4013" i="29"/>
  <c r="H4012" i="29"/>
  <c r="H4014" i="29"/>
  <c r="H4011" i="29"/>
  <c r="H4010" i="29"/>
  <c r="H4006" i="29"/>
  <c r="H4009" i="29"/>
  <c r="H4008" i="29"/>
  <c r="H4005" i="29"/>
  <c r="H4004" i="29"/>
  <c r="H4003" i="29"/>
  <c r="H4002" i="29"/>
  <c r="H4001" i="29"/>
  <c r="H4000" i="29"/>
  <c r="H3999" i="29"/>
  <c r="H3998" i="29"/>
  <c r="H3997" i="29"/>
  <c r="H4007" i="29"/>
  <c r="H3996" i="29"/>
  <c r="H3991" i="29"/>
  <c r="H3990" i="29"/>
  <c r="H3995" i="29"/>
  <c r="H3994" i="29"/>
  <c r="H3993" i="29"/>
  <c r="H3992" i="29"/>
  <c r="H3989" i="29"/>
  <c r="H3988" i="29"/>
  <c r="H3984" i="29"/>
  <c r="H3983" i="29"/>
  <c r="H3982" i="29"/>
  <c r="H3980" i="29"/>
  <c r="H3979" i="29"/>
  <c r="H3987" i="29"/>
  <c r="H3986" i="29"/>
  <c r="H3985" i="29"/>
  <c r="H3978" i="29"/>
  <c r="H3977" i="29"/>
  <c r="H3976" i="29"/>
  <c r="H3975" i="29"/>
  <c r="H3974" i="29"/>
  <c r="H3973" i="29"/>
  <c r="H3981" i="29"/>
  <c r="H3962" i="29"/>
  <c r="H3961" i="29"/>
  <c r="H3960" i="29"/>
  <c r="H3972" i="29"/>
  <c r="H3971" i="29"/>
  <c r="H3970" i="29"/>
  <c r="H3969" i="29"/>
  <c r="H3968" i="29"/>
  <c r="H3967" i="29"/>
  <c r="H3966" i="29"/>
  <c r="H3965" i="29"/>
  <c r="H3964" i="29"/>
  <c r="H3963" i="29"/>
  <c r="H3959" i="29"/>
  <c r="H3958" i="29"/>
  <c r="H3957" i="29"/>
  <c r="H3956" i="29"/>
  <c r="H3955" i="29"/>
  <c r="H3954" i="29"/>
  <c r="H3952" i="29"/>
  <c r="H3953" i="29"/>
  <c r="H3946" i="29"/>
  <c r="H3945" i="29"/>
  <c r="H3951" i="29"/>
  <c r="H3950" i="29"/>
  <c r="H3949" i="29"/>
  <c r="H3948" i="29"/>
  <c r="H3947" i="29"/>
  <c r="H3944" i="29"/>
  <c r="H3940" i="29"/>
  <c r="H3939" i="29"/>
  <c r="H3938" i="29"/>
  <c r="H3937" i="29"/>
  <c r="H3942" i="29"/>
  <c r="H3941" i="29"/>
  <c r="H3936" i="29"/>
  <c r="H3943" i="29"/>
  <c r="H3934" i="29"/>
  <c r="H3933" i="29"/>
  <c r="H3935" i="29"/>
  <c r="H3922" i="29"/>
  <c r="H3932" i="29"/>
  <c r="H3931" i="29"/>
  <c r="H3930" i="29"/>
  <c r="H3929" i="29"/>
  <c r="H3928" i="29"/>
  <c r="H3927" i="29"/>
  <c r="H3926" i="29"/>
  <c r="H3924" i="29"/>
  <c r="H3923" i="29"/>
  <c r="H3916" i="29"/>
  <c r="H3915" i="29"/>
  <c r="H3925" i="29"/>
  <c r="H3912" i="29"/>
  <c r="H3911" i="29"/>
  <c r="H3908" i="29"/>
  <c r="H3907" i="29"/>
  <c r="H3906" i="29"/>
  <c r="H3905" i="29"/>
  <c r="H3904" i="29"/>
  <c r="H3903" i="29"/>
  <c r="H3921" i="29"/>
  <c r="H3920" i="29"/>
  <c r="H3919" i="29"/>
  <c r="H3918" i="29"/>
  <c r="H3917" i="29"/>
  <c r="H3902" i="29"/>
  <c r="H3901" i="29"/>
  <c r="H3900" i="29"/>
  <c r="H3909" i="29"/>
  <c r="H3899" i="29"/>
  <c r="H3914" i="29"/>
  <c r="H3913" i="29"/>
  <c r="H3910" i="29"/>
  <c r="H3898" i="29"/>
  <c r="H3897" i="29"/>
  <c r="H3896" i="29"/>
  <c r="H3895" i="29"/>
  <c r="H3894" i="29"/>
  <c r="H3893" i="29"/>
  <c r="H3892" i="29"/>
  <c r="H3891" i="29"/>
  <c r="H3890" i="29"/>
  <c r="H3889" i="29"/>
  <c r="H3883" i="29"/>
  <c r="H3882" i="29"/>
  <c r="H3881" i="29"/>
  <c r="H3888" i="29"/>
  <c r="H3887" i="29"/>
  <c r="H3886" i="29"/>
  <c r="H3885" i="29"/>
  <c r="H3884" i="29"/>
  <c r="H3880" i="29"/>
  <c r="H3874" i="29"/>
  <c r="H3873" i="29"/>
  <c r="H3872" i="29"/>
  <c r="H3871" i="29"/>
  <c r="H3870" i="29"/>
  <c r="H3869" i="29"/>
  <c r="H3879" i="29"/>
  <c r="H3878" i="29"/>
  <c r="H3877" i="29"/>
  <c r="H3876" i="29"/>
  <c r="H3875" i="29"/>
  <c r="H3867" i="29"/>
  <c r="H3866" i="29"/>
  <c r="H3868" i="29"/>
  <c r="H3865" i="29"/>
  <c r="H3864" i="29"/>
  <c r="H3863" i="29"/>
  <c r="H3862" i="29"/>
  <c r="H3861" i="29"/>
  <c r="H3860" i="29"/>
  <c r="H3859" i="29"/>
  <c r="H3856" i="29"/>
  <c r="H3858" i="29"/>
  <c r="H3857" i="29"/>
  <c r="H3855" i="29"/>
  <c r="H3854" i="29"/>
  <c r="H3853" i="29"/>
  <c r="H3852" i="29"/>
  <c r="H3847" i="29"/>
  <c r="H3790" i="29"/>
  <c r="H3851" i="29"/>
  <c r="H3850" i="29"/>
  <c r="H3849" i="29"/>
  <c r="H3848" i="29"/>
  <c r="H3846" i="29"/>
  <c r="H3841" i="29"/>
  <c r="H3840" i="29"/>
  <c r="H3839" i="29"/>
  <c r="H3837" i="29"/>
  <c r="H3845" i="29"/>
  <c r="H3844" i="29"/>
  <c r="H3843" i="29"/>
  <c r="H3836" i="29"/>
  <c r="H3835" i="29"/>
  <c r="H3842" i="29"/>
  <c r="H3838" i="29"/>
  <c r="H3834" i="29"/>
  <c r="H3833" i="29"/>
  <c r="H3832" i="29"/>
  <c r="H3831" i="29"/>
  <c r="H3830" i="29"/>
  <c r="H3829" i="29"/>
  <c r="H3828" i="29"/>
  <c r="H3827" i="29"/>
  <c r="H3826" i="29"/>
  <c r="H3825" i="29"/>
  <c r="H3824" i="29"/>
  <c r="H3823" i="29"/>
  <c r="H3819" i="29"/>
  <c r="H3813" i="29"/>
  <c r="H3812" i="29"/>
  <c r="H3811" i="29"/>
  <c r="H3810" i="29"/>
  <c r="H3822" i="29"/>
  <c r="H3821" i="29"/>
  <c r="H3820" i="29"/>
  <c r="H3818" i="29"/>
  <c r="H3817" i="29"/>
  <c r="H3816" i="29"/>
  <c r="H3815" i="29"/>
  <c r="H3814" i="29"/>
  <c r="H3807" i="29"/>
  <c r="H3809" i="29"/>
  <c r="H3808" i="29"/>
  <c r="H3806" i="29"/>
  <c r="H3805" i="29"/>
  <c r="H3804" i="29"/>
  <c r="H3802" i="29"/>
  <c r="H3801" i="29"/>
  <c r="H3799" i="29"/>
  <c r="H3798" i="29"/>
  <c r="H3797" i="29"/>
  <c r="H3800" i="29"/>
  <c r="H3803" i="29"/>
  <c r="H3796" i="29"/>
  <c r="H3795" i="29"/>
  <c r="H3794" i="29"/>
  <c r="H3793" i="29"/>
  <c r="H3792" i="29"/>
  <c r="H3791" i="29"/>
  <c r="H3789" i="29"/>
  <c r="H3786" i="29"/>
  <c r="H3785" i="29"/>
  <c r="H3788" i="29"/>
  <c r="H3787" i="29"/>
  <c r="H3784" i="29"/>
  <c r="H3783" i="29"/>
  <c r="H3782" i="29"/>
  <c r="H3781" i="29"/>
  <c r="H3780" i="29"/>
  <c r="H3779" i="29"/>
  <c r="H3778" i="29"/>
  <c r="H3776" i="29"/>
  <c r="H3775" i="29"/>
  <c r="H3774" i="29"/>
  <c r="H3777" i="29"/>
  <c r="H3773" i="29"/>
  <c r="H3770" i="29"/>
  <c r="H3769" i="29"/>
  <c r="H3768" i="29"/>
  <c r="H3767" i="29"/>
  <c r="H3772" i="29"/>
  <c r="H3771" i="29"/>
  <c r="H3766" i="29"/>
  <c r="H3765" i="29"/>
  <c r="H3764" i="29"/>
  <c r="H3763" i="29"/>
  <c r="H3762" i="29"/>
  <c r="H3761" i="29"/>
  <c r="H3760" i="29"/>
  <c r="H3759" i="29"/>
  <c r="H3758" i="29"/>
  <c r="H3757" i="29"/>
  <c r="H648" i="29"/>
  <c r="H647" i="29"/>
  <c r="H633" i="29"/>
  <c r="H3756" i="29"/>
  <c r="H3753" i="29"/>
  <c r="H3752" i="29"/>
  <c r="H3751" i="29"/>
  <c r="H3750" i="29"/>
  <c r="H3749" i="29"/>
  <c r="H3748" i="29"/>
  <c r="H3747" i="29"/>
  <c r="H3755" i="29"/>
  <c r="H3754" i="29"/>
  <c r="H3746" i="29"/>
  <c r="H3743" i="29"/>
  <c r="H3742" i="29"/>
  <c r="H3741" i="29"/>
  <c r="H3740" i="29"/>
  <c r="H3745" i="29"/>
  <c r="H3744" i="29"/>
  <c r="H3737" i="29"/>
  <c r="H3739" i="29"/>
  <c r="H3738" i="29"/>
  <c r="H3736" i="29"/>
  <c r="H3735" i="29"/>
  <c r="H3734" i="29"/>
  <c r="H3733" i="29"/>
  <c r="H3732" i="29"/>
  <c r="H3731" i="29"/>
  <c r="H3730" i="29"/>
  <c r="H3725" i="29"/>
  <c r="H3724" i="29"/>
  <c r="H3723" i="29"/>
  <c r="H3729" i="29"/>
  <c r="H3728" i="29"/>
  <c r="H3727" i="29"/>
  <c r="H3726" i="29"/>
  <c r="H3722" i="29"/>
  <c r="H3721" i="29"/>
  <c r="H3714" i="29"/>
  <c r="H3713" i="29"/>
  <c r="H3712" i="29"/>
  <c r="H3711" i="29"/>
  <c r="H3720" i="29"/>
  <c r="H3719" i="29"/>
  <c r="H3718" i="29"/>
  <c r="H3717" i="29"/>
  <c r="H3716" i="29"/>
  <c r="H3715" i="29"/>
  <c r="H3710" i="29"/>
  <c r="H3709" i="29"/>
  <c r="H3708" i="29"/>
  <c r="H3706" i="29"/>
  <c r="H3702" i="29"/>
  <c r="H3701" i="29"/>
  <c r="H3700" i="29"/>
  <c r="H3707" i="29"/>
  <c r="H3705" i="29"/>
  <c r="H3704" i="29"/>
  <c r="H3703" i="29"/>
  <c r="H3699" i="29"/>
  <c r="H3698" i="29"/>
  <c r="H3697" i="29"/>
  <c r="H3696" i="29"/>
  <c r="H3695" i="29"/>
  <c r="H3694" i="29"/>
  <c r="H3681" i="29"/>
  <c r="H3680" i="29"/>
  <c r="H3679" i="29"/>
  <c r="H3678" i="29"/>
  <c r="H3688" i="29"/>
  <c r="H3677" i="29"/>
  <c r="H3676" i="29"/>
  <c r="H3675" i="29"/>
  <c r="H3693" i="29"/>
  <c r="H3692" i="29"/>
  <c r="H3691" i="29"/>
  <c r="H3690" i="29"/>
  <c r="H3689" i="29"/>
  <c r="H3687" i="29"/>
  <c r="H3686" i="29"/>
  <c r="H3685" i="29"/>
  <c r="H3684" i="29"/>
  <c r="H3683" i="29"/>
  <c r="H3669" i="29"/>
  <c r="H3682" i="29"/>
  <c r="H3673" i="29"/>
  <c r="H3672" i="29"/>
  <c r="H3671" i="29"/>
  <c r="H3670" i="29"/>
  <c r="H3674" i="29"/>
  <c r="H3668" i="29"/>
  <c r="H3667" i="29"/>
  <c r="H3666" i="29"/>
  <c r="H3657" i="29"/>
  <c r="H3656" i="29"/>
  <c r="H3655" i="29"/>
  <c r="H3665" i="29"/>
  <c r="H3664" i="29"/>
  <c r="H3663" i="29"/>
  <c r="H3662" i="29"/>
  <c r="H3661" i="29"/>
  <c r="H3660" i="29"/>
  <c r="H3659" i="29"/>
  <c r="H3658" i="29"/>
  <c r="H3654" i="29"/>
  <c r="H3653" i="29"/>
  <c r="H3652" i="29"/>
  <c r="H3647" i="29"/>
  <c r="H3646" i="29"/>
  <c r="H3645" i="29"/>
  <c r="H3644" i="29"/>
  <c r="H3643" i="29"/>
  <c r="H3642" i="29"/>
  <c r="H3641" i="29"/>
  <c r="H3640" i="29"/>
  <c r="H3651" i="29"/>
  <c r="H3650" i="29"/>
  <c r="H3649" i="29"/>
  <c r="H3648" i="29"/>
  <c r="H3638" i="29"/>
  <c r="H3637" i="29"/>
  <c r="H3636" i="29"/>
  <c r="H3635" i="29"/>
  <c r="H3634" i="29"/>
  <c r="H3631" i="29"/>
  <c r="H3630" i="29"/>
  <c r="H3639" i="29"/>
  <c r="H3633" i="29"/>
  <c r="H3632" i="29"/>
  <c r="H3629" i="29"/>
  <c r="H3628" i="29"/>
  <c r="H3627" i="29"/>
  <c r="H3626" i="29"/>
  <c r="H3625" i="29"/>
  <c r="H3624" i="29"/>
  <c r="H3622" i="29"/>
  <c r="H3617" i="29"/>
  <c r="H3616" i="29"/>
  <c r="H3623" i="29"/>
  <c r="H3615" i="29"/>
  <c r="H3614" i="29"/>
  <c r="H3621" i="29"/>
  <c r="H3620" i="29"/>
  <c r="H3619" i="29"/>
  <c r="H3618" i="29"/>
  <c r="H3613" i="29"/>
  <c r="H3612" i="29"/>
  <c r="H3609" i="29"/>
  <c r="H3611" i="29"/>
  <c r="H3559" i="29"/>
  <c r="H3560" i="29"/>
  <c r="H3561" i="29"/>
  <c r="H3562" i="29"/>
  <c r="H3610" i="29"/>
  <c r="H3115" i="29"/>
  <c r="H3114" i="29"/>
  <c r="H3563" i="29"/>
  <c r="H3564" i="29"/>
  <c r="H3565" i="29"/>
  <c r="H3566" i="29"/>
  <c r="H3567" i="29"/>
  <c r="H3568" i="29"/>
  <c r="H3569" i="29"/>
  <c r="H3570" i="29"/>
  <c r="H3571" i="29"/>
  <c r="H3572" i="29"/>
  <c r="H3573" i="29"/>
  <c r="H3574" i="29"/>
  <c r="H3575" i="29"/>
  <c r="H3576" i="29"/>
  <c r="H3577" i="29"/>
  <c r="H3578" i="29"/>
  <c r="H3579" i="29"/>
  <c r="H3580" i="29"/>
  <c r="H3581" i="29"/>
  <c r="H3582" i="29"/>
  <c r="H3583" i="29"/>
  <c r="H3584" i="29"/>
  <c r="H3585" i="29"/>
  <c r="H3586" i="29"/>
  <c r="H3558" i="29"/>
  <c r="H3557" i="29"/>
  <c r="H3556" i="29"/>
  <c r="H3554" i="29"/>
  <c r="H3587" i="29"/>
  <c r="H3588" i="29"/>
  <c r="H3589" i="29"/>
  <c r="H3590" i="29"/>
  <c r="H3591" i="29"/>
  <c r="H3592" i="29"/>
  <c r="H3593" i="29"/>
  <c r="H3594" i="29"/>
  <c r="H3595" i="29"/>
  <c r="H3596" i="29"/>
  <c r="H3597" i="29"/>
  <c r="H3598" i="29"/>
  <c r="H3599" i="29"/>
  <c r="H3600" i="29"/>
  <c r="H3601" i="29"/>
  <c r="H3602" i="29"/>
  <c r="H3603" i="29"/>
  <c r="H3604" i="29"/>
  <c r="H3605" i="29"/>
  <c r="H3606" i="29"/>
  <c r="H3607" i="29"/>
  <c r="H3608" i="29"/>
  <c r="H3555" i="29"/>
  <c r="H3546" i="29"/>
  <c r="H3545" i="29"/>
  <c r="H3544" i="29"/>
  <c r="H3542" i="29"/>
  <c r="H3540" i="29"/>
  <c r="H3539" i="29"/>
  <c r="H3553" i="29"/>
  <c r="H3552" i="29"/>
  <c r="H3551" i="29"/>
  <c r="H3550" i="29"/>
  <c r="H3549" i="29"/>
  <c r="H3548" i="29"/>
  <c r="H3547" i="29"/>
  <c r="H3543" i="29"/>
  <c r="H3541" i="29"/>
  <c r="H3538" i="29"/>
  <c r="H3536" i="29"/>
  <c r="H3535" i="29"/>
  <c r="H3537" i="29"/>
  <c r="H3534" i="29"/>
  <c r="H3533" i="29"/>
  <c r="H3528" i="29"/>
  <c r="H3527" i="29"/>
  <c r="H3526" i="29"/>
  <c r="H3525" i="29"/>
  <c r="H3524" i="29"/>
  <c r="H3523" i="29"/>
  <c r="H3522" i="29"/>
  <c r="H3532" i="29"/>
  <c r="H3531" i="29"/>
  <c r="H3530" i="29"/>
  <c r="H3529" i="29"/>
  <c r="H3521" i="29"/>
  <c r="H3520" i="29"/>
  <c r="H3519" i="29"/>
  <c r="H3518" i="29"/>
  <c r="H3517" i="29"/>
  <c r="H3507" i="29"/>
  <c r="H3513" i="29"/>
  <c r="H3512" i="29"/>
  <c r="H3511" i="29"/>
  <c r="H3510" i="29"/>
  <c r="H3509" i="29"/>
  <c r="H3506" i="29"/>
  <c r="H3498" i="29"/>
  <c r="H3516" i="29"/>
  <c r="H3515" i="29"/>
  <c r="H3514" i="29"/>
  <c r="H3494" i="29"/>
  <c r="H3492" i="29"/>
  <c r="H3491" i="29"/>
  <c r="H3508" i="29"/>
  <c r="H3487" i="29"/>
  <c r="H3505" i="29"/>
  <c r="H3504" i="29"/>
  <c r="H3503" i="29"/>
  <c r="H3502" i="29"/>
  <c r="H3501" i="29"/>
  <c r="H3500" i="29"/>
  <c r="H3499" i="29"/>
  <c r="H3497" i="29"/>
  <c r="H3496" i="29"/>
  <c r="H3495" i="29"/>
  <c r="H3493" i="29"/>
  <c r="H3490" i="29"/>
  <c r="H3489" i="29"/>
  <c r="H3488" i="29"/>
  <c r="H3486" i="29"/>
  <c r="H3485" i="29"/>
  <c r="H3484" i="29"/>
  <c r="H3483" i="29"/>
  <c r="H3482" i="29"/>
  <c r="H3481" i="29"/>
  <c r="H3480" i="29"/>
  <c r="H3479" i="29"/>
  <c r="H3478" i="29"/>
  <c r="H3477" i="29"/>
  <c r="H3476" i="29"/>
  <c r="H3475" i="29"/>
  <c r="H3474" i="29"/>
  <c r="H3473" i="29"/>
  <c r="H3472" i="29"/>
  <c r="H3471" i="29"/>
  <c r="H3470" i="29"/>
  <c r="H3469" i="29"/>
  <c r="H3468" i="29"/>
  <c r="H3467" i="29"/>
  <c r="H3466" i="29"/>
  <c r="H3465" i="29"/>
  <c r="H3464" i="29"/>
  <c r="H3462" i="29"/>
  <c r="H3459" i="29"/>
  <c r="H3457" i="29"/>
  <c r="H3456" i="29"/>
  <c r="H3455" i="29"/>
  <c r="H3463" i="29"/>
  <c r="H3461" i="29"/>
  <c r="H3460" i="29"/>
  <c r="H3454" i="29"/>
  <c r="H3458" i="29"/>
  <c r="H3453" i="29"/>
  <c r="H3452" i="29"/>
  <c r="H3451" i="29"/>
  <c r="H3450" i="29"/>
  <c r="H3449" i="29"/>
  <c r="H3446" i="29"/>
  <c r="H3445" i="29"/>
  <c r="H3444" i="29"/>
  <c r="H3448" i="29"/>
  <c r="H3447" i="29"/>
  <c r="H3443" i="29"/>
  <c r="H3440" i="29"/>
  <c r="H3439" i="29"/>
  <c r="H3438" i="29"/>
  <c r="H3442" i="29"/>
  <c r="H3441" i="29"/>
  <c r="H3437" i="29"/>
  <c r="H3430" i="29"/>
  <c r="H3428" i="29"/>
  <c r="H3427" i="29"/>
  <c r="H3426" i="29"/>
  <c r="H3425" i="29"/>
  <c r="H3424" i="29"/>
  <c r="H3423" i="29"/>
  <c r="H3436" i="29"/>
  <c r="H3435" i="29"/>
  <c r="H3434" i="29"/>
  <c r="H3433" i="29"/>
  <c r="H3432" i="29"/>
  <c r="H3431" i="29"/>
  <c r="H3429" i="29"/>
  <c r="H3420" i="29"/>
  <c r="H3419" i="29"/>
  <c r="H3422" i="29"/>
  <c r="H3421" i="29"/>
  <c r="H3418" i="29"/>
  <c r="H3417" i="29"/>
  <c r="H3416" i="29"/>
  <c r="H3415" i="29"/>
  <c r="H3414" i="29"/>
  <c r="H3413" i="29"/>
  <c r="H3408" i="29"/>
  <c r="H3407" i="29"/>
  <c r="H3412" i="29"/>
  <c r="H3411" i="29"/>
  <c r="H3405" i="29"/>
  <c r="H3404" i="29"/>
  <c r="H3403" i="29"/>
  <c r="H3402" i="29"/>
  <c r="H3401" i="29"/>
  <c r="H3394" i="29"/>
  <c r="H3393" i="29"/>
  <c r="H3392" i="29"/>
  <c r="H3391" i="29"/>
  <c r="H3410" i="29"/>
  <c r="H3409" i="29"/>
  <c r="H3406" i="29"/>
  <c r="H3400" i="29"/>
  <c r="H3399" i="29"/>
  <c r="H3398" i="29"/>
  <c r="H3397" i="29"/>
  <c r="H3388" i="29"/>
  <c r="H3387" i="29"/>
  <c r="H3386" i="29"/>
  <c r="H3385" i="29"/>
  <c r="H3384" i="29"/>
  <c r="H3383" i="29"/>
  <c r="H3396" i="29"/>
  <c r="H3395" i="29"/>
  <c r="H3390" i="29"/>
  <c r="H3389" i="29"/>
  <c r="H3382" i="29"/>
  <c r="H3381" i="29"/>
  <c r="H3380" i="29"/>
  <c r="H3371" i="29"/>
  <c r="H3366" i="29"/>
  <c r="H3365" i="29"/>
  <c r="H3364" i="29"/>
  <c r="H3379" i="29"/>
  <c r="H3378" i="29"/>
  <c r="H3377" i="29"/>
  <c r="H3376" i="29"/>
  <c r="H3375" i="29"/>
  <c r="H3374" i="29"/>
  <c r="H3363" i="29"/>
  <c r="H3373" i="29"/>
  <c r="H3372" i="29"/>
  <c r="H3370" i="29"/>
  <c r="H3369" i="29"/>
  <c r="H3368" i="29"/>
  <c r="H3367" i="29"/>
  <c r="H3355" i="29"/>
  <c r="H3362" i="29"/>
  <c r="H3361" i="29"/>
  <c r="H3360" i="29"/>
  <c r="H3359" i="29"/>
  <c r="H3358" i="29"/>
  <c r="H3357" i="29"/>
  <c r="H3356" i="29"/>
  <c r="H3353" i="29"/>
  <c r="H3352" i="29"/>
  <c r="H3354" i="29"/>
  <c r="H3348" i="29"/>
  <c r="H3347" i="29"/>
  <c r="H3350" i="29"/>
  <c r="H3349" i="29"/>
  <c r="H3344" i="29"/>
  <c r="H3343" i="29"/>
  <c r="H3342" i="29"/>
  <c r="H3351" i="29"/>
  <c r="H3346" i="29"/>
  <c r="H3345" i="29"/>
  <c r="H3340" i="29"/>
  <c r="H3339" i="29"/>
  <c r="H3338" i="29"/>
  <c r="H3337" i="29"/>
  <c r="H3336" i="29"/>
  <c r="H3335" i="29"/>
  <c r="H3334" i="29"/>
  <c r="H3333" i="29"/>
  <c r="H3329" i="29"/>
  <c r="H3328" i="29"/>
  <c r="H3327" i="29"/>
  <c r="H3341" i="29"/>
  <c r="H3332" i="29"/>
  <c r="H3331" i="29"/>
  <c r="H3330" i="29"/>
  <c r="H3326" i="29"/>
  <c r="H3325" i="29"/>
  <c r="H3324" i="29"/>
  <c r="H3323" i="29"/>
  <c r="H3322" i="29"/>
  <c r="H3321" i="29"/>
  <c r="H3320" i="29"/>
  <c r="H3319" i="29"/>
  <c r="H3318" i="29"/>
  <c r="H3317" i="29"/>
  <c r="H3315" i="29"/>
  <c r="H3314" i="29"/>
  <c r="H3316" i="29"/>
  <c r="H3313" i="29"/>
  <c r="H3312" i="29"/>
  <c r="H3311" i="29"/>
  <c r="H3310" i="29"/>
  <c r="H3309" i="29"/>
  <c r="H3307" i="29"/>
  <c r="H3306" i="29"/>
  <c r="H3305" i="29"/>
  <c r="H3304" i="29"/>
  <c r="H3301" i="29"/>
  <c r="H3303" i="29"/>
  <c r="H3302" i="29"/>
  <c r="H3300" i="29"/>
  <c r="H3299" i="29"/>
  <c r="H2298" i="29"/>
  <c r="H3308" i="29"/>
  <c r="H3298" i="29"/>
  <c r="H3297" i="29"/>
  <c r="H3292" i="29"/>
  <c r="H3291" i="29"/>
  <c r="H3289" i="29"/>
  <c r="H3288" i="29"/>
  <c r="H3287" i="29"/>
  <c r="H3286" i="29"/>
  <c r="H3285" i="29"/>
  <c r="H3296" i="29"/>
  <c r="H3294" i="29"/>
  <c r="H3293" i="29"/>
  <c r="H3290" i="29"/>
  <c r="H3284" i="29"/>
  <c r="H3283" i="29"/>
  <c r="H3295" i="29"/>
  <c r="H3281" i="29"/>
  <c r="H3273" i="29"/>
  <c r="H3272" i="29"/>
  <c r="H3271" i="29"/>
  <c r="H3269" i="29"/>
  <c r="H3280" i="29"/>
  <c r="H3279" i="29"/>
  <c r="H3278" i="29"/>
  <c r="H3277" i="29"/>
  <c r="H3276" i="29"/>
  <c r="H3275" i="29"/>
  <c r="H3268" i="29"/>
  <c r="H3267" i="29"/>
  <c r="H3259" i="29"/>
  <c r="H3258" i="29"/>
  <c r="H3282" i="29"/>
  <c r="H3274" i="29"/>
  <c r="H3250" i="29"/>
  <c r="H3249" i="29"/>
  <c r="H3248" i="29"/>
  <c r="H3270" i="29"/>
  <c r="H3266" i="29"/>
  <c r="H3265" i="29"/>
  <c r="H3264" i="29"/>
  <c r="H3263" i="29"/>
  <c r="H3262" i="29"/>
  <c r="H3261" i="29"/>
  <c r="H3260" i="29"/>
  <c r="H3257" i="29"/>
  <c r="H3256" i="29"/>
  <c r="H3255" i="29"/>
  <c r="H3254" i="29"/>
  <c r="H3253" i="29"/>
  <c r="H3252" i="29"/>
  <c r="H3251" i="29"/>
  <c r="H3247" i="29"/>
  <c r="H3237" i="29"/>
  <c r="H3236" i="29"/>
  <c r="H3235" i="29"/>
  <c r="H3246" i="29"/>
  <c r="H3245" i="29"/>
  <c r="H3244" i="29"/>
  <c r="H3243" i="29"/>
  <c r="H3242" i="29"/>
  <c r="H3241" i="29"/>
  <c r="H3240" i="29"/>
  <c r="H3239" i="29"/>
  <c r="H3238" i="29"/>
  <c r="H3234" i="29"/>
  <c r="H3232" i="29"/>
  <c r="H3231" i="29"/>
  <c r="H3230" i="29"/>
  <c r="H3229" i="29"/>
  <c r="H3233" i="29"/>
  <c r="H3228" i="29"/>
  <c r="H3227" i="29"/>
  <c r="H3226" i="29"/>
  <c r="H3225" i="29"/>
  <c r="H3224" i="29"/>
  <c r="H3215" i="29"/>
  <c r="H3220" i="29"/>
  <c r="H3219" i="29"/>
  <c r="H3218" i="29"/>
  <c r="H3217" i="29"/>
  <c r="H3216" i="29"/>
  <c r="H3223" i="29"/>
  <c r="H3222" i="29"/>
  <c r="H3221" i="29"/>
  <c r="H3207" i="29"/>
  <c r="H3206" i="29"/>
  <c r="H3214" i="29"/>
  <c r="H3213" i="29"/>
  <c r="H3212" i="29"/>
  <c r="H3211" i="29"/>
  <c r="H3210" i="29"/>
  <c r="H3209" i="29"/>
  <c r="H3208" i="29"/>
  <c r="H3205" i="29"/>
  <c r="H3204" i="29"/>
  <c r="H3203" i="29"/>
  <c r="H3202" i="29"/>
  <c r="H3194" i="29"/>
  <c r="H3193" i="29"/>
  <c r="H3192" i="29"/>
  <c r="H3191" i="29"/>
  <c r="H3190" i="29"/>
  <c r="H3189" i="29"/>
  <c r="H3187" i="29"/>
  <c r="H3186" i="29"/>
  <c r="H3201" i="29"/>
  <c r="H3200" i="29"/>
  <c r="H3199" i="29"/>
  <c r="H3198" i="29"/>
  <c r="H3197" i="29"/>
  <c r="H3196" i="29"/>
  <c r="H3195" i="29"/>
  <c r="H3188" i="29"/>
  <c r="H3185" i="29"/>
  <c r="H3184" i="29"/>
  <c r="H3183" i="29"/>
  <c r="H3182" i="29"/>
  <c r="H3176" i="29"/>
  <c r="H3175" i="29"/>
  <c r="H3173" i="29"/>
  <c r="H3172" i="29"/>
  <c r="H3171" i="29"/>
  <c r="H3169" i="29"/>
  <c r="H3168" i="29"/>
  <c r="H3167" i="29"/>
  <c r="H3166" i="29"/>
  <c r="H3165" i="29"/>
  <c r="H3164" i="29"/>
  <c r="H3174" i="29"/>
  <c r="H3181" i="29"/>
  <c r="H3180" i="29"/>
  <c r="H3179" i="29"/>
  <c r="H3178" i="29"/>
  <c r="H3177" i="29"/>
  <c r="H3160" i="29"/>
  <c r="H3170" i="29"/>
  <c r="H3161" i="29"/>
  <c r="H3163" i="29"/>
  <c r="H3162" i="29"/>
  <c r="H3156" i="29"/>
  <c r="H3159" i="29"/>
  <c r="H3158" i="29"/>
  <c r="H3157" i="29"/>
  <c r="H3151" i="29"/>
  <c r="H3150" i="29"/>
  <c r="H3149" i="29"/>
  <c r="H3148" i="29"/>
  <c r="H3147" i="29"/>
  <c r="H3155" i="29"/>
  <c r="H3154" i="29"/>
  <c r="H3153" i="29"/>
  <c r="H3152" i="29"/>
  <c r="H3145" i="29"/>
  <c r="H3138" i="29"/>
  <c r="H3137" i="29"/>
  <c r="H3146" i="29"/>
  <c r="H3139" i="29"/>
  <c r="H3132" i="29"/>
  <c r="H3131" i="29"/>
  <c r="H3144" i="29"/>
  <c r="H3143" i="29"/>
  <c r="H3142" i="29"/>
  <c r="H3141" i="29"/>
  <c r="H3140" i="29"/>
  <c r="H3126" i="29"/>
  <c r="H3125" i="29"/>
  <c r="H3124" i="29"/>
  <c r="H3136" i="29"/>
  <c r="H3135" i="29"/>
  <c r="H3134" i="29"/>
  <c r="H3133" i="29"/>
  <c r="H3122" i="29"/>
  <c r="H3121" i="29"/>
  <c r="H3130" i="29"/>
  <c r="H3129" i="29"/>
  <c r="H3128" i="29"/>
  <c r="H3127" i="29"/>
  <c r="H3123" i="29"/>
  <c r="H3120" i="29"/>
  <c r="H3119" i="29"/>
  <c r="H3117" i="29"/>
  <c r="H3116" i="29"/>
  <c r="H3112" i="29"/>
  <c r="H3111" i="29"/>
  <c r="H3102" i="29"/>
  <c r="H3101" i="29"/>
  <c r="H3100" i="29"/>
  <c r="H3099" i="29"/>
  <c r="H3098" i="29"/>
  <c r="H3095" i="29"/>
  <c r="H3094" i="29"/>
  <c r="H3093" i="29"/>
  <c r="H3080" i="29"/>
  <c r="H3110" i="29"/>
  <c r="H3118" i="29"/>
  <c r="H3113" i="29"/>
  <c r="H3109" i="29"/>
  <c r="H3108" i="29"/>
  <c r="H3107" i="29"/>
  <c r="H3106" i="29"/>
  <c r="H3105" i="29"/>
  <c r="H3104" i="29"/>
  <c r="H3103" i="29"/>
  <c r="H3097" i="29"/>
  <c r="H3096" i="29"/>
  <c r="H3092" i="29"/>
  <c r="H3091" i="29"/>
  <c r="H3090" i="29"/>
  <c r="H3089" i="29"/>
  <c r="H3088" i="29"/>
  <c r="H3087" i="29"/>
  <c r="H3072" i="29"/>
  <c r="H3071" i="29"/>
  <c r="H3070" i="29"/>
  <c r="H3069" i="29"/>
  <c r="H3068" i="29"/>
  <c r="H3086" i="29"/>
  <c r="H3085" i="29"/>
  <c r="H3084" i="29"/>
  <c r="H3083" i="29"/>
  <c r="H3082" i="29"/>
  <c r="H3081" i="29"/>
  <c r="H3079" i="29"/>
  <c r="H3078" i="29"/>
  <c r="H3067" i="29"/>
  <c r="H3077" i="29"/>
  <c r="H3076" i="29"/>
  <c r="H3075" i="29"/>
  <c r="H3074" i="29"/>
  <c r="H3073" i="29"/>
  <c r="H3066" i="29"/>
  <c r="H3065" i="29"/>
  <c r="H3064" i="29"/>
  <c r="H3063" i="29"/>
  <c r="H3062" i="29"/>
  <c r="H3061" i="29"/>
  <c r="H3054" i="29"/>
  <c r="H3053" i="29"/>
  <c r="H3052" i="29"/>
  <c r="H3051" i="29"/>
  <c r="H3050" i="29"/>
  <c r="H3049" i="29"/>
  <c r="H3048" i="29"/>
  <c r="H3060" i="29"/>
  <c r="H3059" i="29"/>
  <c r="H3058" i="29"/>
  <c r="H3057" i="29"/>
  <c r="H3056" i="29"/>
  <c r="H3055" i="29"/>
  <c r="H3045" i="29"/>
  <c r="H3044" i="29"/>
  <c r="H3043" i="29"/>
  <c r="H3042" i="29"/>
  <c r="H3047" i="29"/>
  <c r="H3040" i="29"/>
  <c r="H3039" i="29"/>
  <c r="H3046" i="29"/>
  <c r="H3041" i="29"/>
  <c r="H3038" i="29"/>
  <c r="H3037" i="29"/>
  <c r="H3036" i="29"/>
  <c r="H3035" i="29"/>
  <c r="H3028" i="29"/>
  <c r="H3034" i="29"/>
  <c r="H3033" i="29"/>
  <c r="H3032" i="29"/>
  <c r="H3031" i="29"/>
  <c r="H3027" i="29"/>
  <c r="H3026" i="29"/>
  <c r="H3025" i="29"/>
  <c r="H3024" i="29"/>
  <c r="H3023" i="29"/>
  <c r="H3030" i="29"/>
  <c r="H3029" i="29"/>
  <c r="H3022" i="29"/>
  <c r="H3021" i="29"/>
  <c r="H3020" i="29"/>
  <c r="H3017" i="29"/>
  <c r="H3016" i="29"/>
  <c r="H3019" i="29"/>
  <c r="H3018" i="29"/>
  <c r="H3012" i="29"/>
  <c r="H3009" i="29"/>
  <c r="H3003" i="29"/>
  <c r="H3002" i="29"/>
  <c r="H3001" i="29"/>
  <c r="H3000" i="29"/>
  <c r="H2999" i="29"/>
  <c r="H2998" i="29"/>
  <c r="H2993" i="29"/>
  <c r="H2992" i="29"/>
  <c r="H2991" i="29"/>
  <c r="H2990" i="29"/>
  <c r="H2989" i="29"/>
  <c r="H1681" i="29"/>
  <c r="H2987" i="29"/>
  <c r="H3015" i="29"/>
  <c r="H3014" i="29"/>
  <c r="H3013" i="29"/>
  <c r="H3011" i="29"/>
  <c r="H3010" i="29"/>
  <c r="H3005" i="29"/>
  <c r="H3004" i="29"/>
  <c r="H2996" i="29"/>
  <c r="H2994" i="29"/>
  <c r="H3008" i="29"/>
  <c r="H3007" i="29"/>
  <c r="H3006" i="29"/>
  <c r="H2997" i="29"/>
  <c r="H2995" i="29"/>
  <c r="H2984" i="29"/>
  <c r="H2983" i="29"/>
  <c r="H2988" i="29"/>
  <c r="H2986" i="29"/>
  <c r="H2985" i="29"/>
  <c r="H2982" i="29"/>
  <c r="H2981" i="29"/>
  <c r="H2980" i="29"/>
  <c r="H2973" i="29"/>
  <c r="H2972" i="29"/>
  <c r="H2971" i="29"/>
  <c r="H2970" i="29"/>
  <c r="H2969" i="29"/>
  <c r="H2979" i="29"/>
  <c r="H2978" i="29"/>
  <c r="H2977" i="29"/>
  <c r="H2976" i="29"/>
  <c r="H2975" i="29"/>
  <c r="H2974" i="29"/>
  <c r="H2968" i="29"/>
  <c r="H2964" i="29"/>
  <c r="H2967" i="29"/>
  <c r="H2966" i="29"/>
  <c r="H2965" i="29"/>
  <c r="H2963" i="29"/>
  <c r="H2962" i="29"/>
  <c r="H2961" i="29"/>
  <c r="H2960" i="29"/>
  <c r="H2959" i="29"/>
  <c r="H2958" i="29"/>
  <c r="H2957" i="29"/>
  <c r="H2956" i="29"/>
  <c r="H2954" i="29"/>
  <c r="H2955" i="29"/>
  <c r="H2953" i="29"/>
  <c r="H2951" i="29"/>
  <c r="H2950" i="29"/>
  <c r="H2949" i="29"/>
  <c r="H2948" i="29"/>
  <c r="H2947" i="29"/>
  <c r="H2946" i="29"/>
  <c r="H2945" i="29"/>
  <c r="H2944" i="29"/>
  <c r="H2943" i="29"/>
  <c r="H2952" i="29"/>
  <c r="H2942" i="29"/>
  <c r="H2941" i="29"/>
  <c r="H2940" i="29"/>
  <c r="H2939" i="29"/>
  <c r="H2938" i="29"/>
  <c r="H2937" i="29"/>
  <c r="H2936" i="29"/>
  <c r="H2935" i="29"/>
  <c r="H2934" i="29"/>
  <c r="H2927" i="29"/>
  <c r="H2926" i="29"/>
  <c r="H2925" i="29"/>
  <c r="H2933" i="29"/>
  <c r="H2932" i="29"/>
  <c r="H2931" i="29"/>
  <c r="H2930" i="29"/>
  <c r="H2929" i="29"/>
  <c r="H2928" i="29"/>
  <c r="H2923" i="29"/>
  <c r="H2922" i="29"/>
  <c r="H2921" i="29"/>
  <c r="H2920" i="29"/>
  <c r="H2919" i="29"/>
  <c r="H2918" i="29"/>
  <c r="H2917" i="29"/>
  <c r="H2915" i="29"/>
  <c r="H2916" i="29"/>
  <c r="H2924" i="29"/>
  <c r="H2912" i="29"/>
  <c r="H2914" i="29"/>
  <c r="H2913" i="29"/>
  <c r="H2911" i="29"/>
  <c r="H2910" i="29"/>
  <c r="H2903" i="29"/>
  <c r="H2896" i="29"/>
  <c r="H2895" i="29"/>
  <c r="H2894" i="29"/>
  <c r="H2893" i="29"/>
  <c r="H2899" i="29"/>
  <c r="H2898" i="29"/>
  <c r="H2897" i="29"/>
  <c r="H2909" i="29"/>
  <c r="H2908" i="29"/>
  <c r="H2907" i="29"/>
  <c r="H2906" i="29"/>
  <c r="H2905" i="29"/>
  <c r="H2904" i="29"/>
  <c r="H2902" i="29"/>
  <c r="H2892" i="29"/>
  <c r="H2891" i="29"/>
  <c r="H2890" i="29"/>
  <c r="H2889" i="29"/>
  <c r="H2888" i="29"/>
  <c r="H2901" i="29"/>
  <c r="H2887" i="29"/>
  <c r="H2900" i="29"/>
  <c r="H2886" i="29"/>
  <c r="H2885" i="29"/>
  <c r="H2884" i="29"/>
  <c r="H2872" i="29"/>
  <c r="H2871" i="29"/>
  <c r="H2862" i="29"/>
  <c r="H2861" i="29"/>
  <c r="H2860" i="29"/>
  <c r="H2859" i="29"/>
  <c r="H2858" i="29"/>
  <c r="H2883" i="29"/>
  <c r="H2882" i="29"/>
  <c r="H2881" i="29"/>
  <c r="H2880" i="29"/>
  <c r="H2879" i="29"/>
  <c r="H2878" i="29"/>
  <c r="H2877" i="29"/>
  <c r="H2876" i="29"/>
  <c r="H2875" i="29"/>
  <c r="H2874" i="29"/>
  <c r="H2873" i="29"/>
  <c r="H2870" i="29"/>
  <c r="H2869" i="29"/>
  <c r="H2868" i="29"/>
  <c r="H2867" i="29"/>
  <c r="H2866" i="29"/>
  <c r="H2865" i="29"/>
  <c r="H2864" i="29"/>
  <c r="H2863" i="29"/>
  <c r="H2855" i="29"/>
  <c r="H2854" i="29"/>
  <c r="H2857" i="29"/>
  <c r="H2856" i="29"/>
  <c r="H2849" i="29"/>
  <c r="H2848" i="29"/>
  <c r="H2847" i="29"/>
  <c r="H2846" i="29"/>
  <c r="H2853" i="29"/>
  <c r="H2852" i="29"/>
  <c r="H2851" i="29"/>
  <c r="H2850" i="29"/>
  <c r="H2844" i="29"/>
  <c r="H2843" i="29"/>
  <c r="H2842" i="29"/>
  <c r="H2841" i="29"/>
  <c r="H2840" i="29"/>
  <c r="H2838" i="29"/>
  <c r="H2837" i="29"/>
  <c r="H2845" i="29"/>
  <c r="H2839" i="29"/>
  <c r="H2836" i="29"/>
  <c r="H2833" i="29"/>
  <c r="H2830" i="29"/>
  <c r="H2829" i="29"/>
  <c r="H2835" i="29"/>
  <c r="H2834" i="29"/>
  <c r="H2832" i="29"/>
  <c r="H2831" i="29"/>
  <c r="H2828" i="29"/>
  <c r="H2827" i="29"/>
  <c r="H2826" i="29"/>
  <c r="H2825" i="29"/>
  <c r="H2824" i="29"/>
  <c r="H2823" i="29"/>
  <c r="H2822" i="29"/>
  <c r="H2821" i="29"/>
  <c r="H2813" i="29"/>
  <c r="H2820" i="29"/>
  <c r="H2819" i="29"/>
  <c r="H2818" i="29"/>
  <c r="H2817" i="29"/>
  <c r="H2816" i="29"/>
  <c r="H2815" i="29"/>
  <c r="H2814" i="29"/>
  <c r="H2812" i="29"/>
  <c r="H2810" i="29"/>
  <c r="H2803" i="29"/>
  <c r="H2802" i="29"/>
  <c r="H2801" i="29"/>
  <c r="H2811" i="29"/>
  <c r="H2805" i="29"/>
  <c r="H2804" i="29"/>
  <c r="H2800" i="29"/>
  <c r="H2794" i="29"/>
  <c r="H2793" i="29"/>
  <c r="H2792" i="29"/>
  <c r="H2791" i="29"/>
  <c r="H2790" i="29"/>
  <c r="H2789" i="29"/>
  <c r="H2788" i="29"/>
  <c r="H2787" i="29"/>
  <c r="H2786" i="29"/>
  <c r="H2785" i="29"/>
  <c r="H2784" i="29"/>
  <c r="H2783" i="29"/>
  <c r="H2782" i="29"/>
  <c r="H2809" i="29"/>
  <c r="H2808" i="29"/>
  <c r="H2807" i="29"/>
  <c r="H2806" i="29"/>
  <c r="H2777" i="29"/>
  <c r="H2775" i="29"/>
  <c r="H2774" i="29"/>
  <c r="H2773" i="29"/>
  <c r="H2772" i="29"/>
  <c r="H2799" i="29"/>
  <c r="H2798" i="29"/>
  <c r="H2797" i="29"/>
  <c r="H2796" i="29"/>
  <c r="H2795" i="29"/>
  <c r="H2781" i="29"/>
  <c r="H2780" i="29"/>
  <c r="H2779" i="29"/>
  <c r="H2778" i="29"/>
  <c r="H2771" i="29"/>
  <c r="H2770" i="29"/>
  <c r="H2769" i="29"/>
  <c r="H2776" i="29"/>
  <c r="H2768" i="29"/>
  <c r="H2767" i="29"/>
  <c r="H2766" i="29"/>
  <c r="H2765" i="29"/>
  <c r="H2754" i="29"/>
  <c r="H2753" i="29"/>
  <c r="H2752" i="29"/>
  <c r="H2751" i="29"/>
  <c r="H2750" i="29"/>
  <c r="H2747" i="29"/>
  <c r="H2746" i="29"/>
  <c r="H2745" i="29"/>
  <c r="H2744" i="29"/>
  <c r="H2743" i="29"/>
  <c r="H2742" i="29"/>
  <c r="H2741" i="29"/>
  <c r="H2740" i="29"/>
  <c r="H2738" i="29"/>
  <c r="H2737" i="29"/>
  <c r="H2736" i="29"/>
  <c r="H2735" i="29"/>
  <c r="H2733" i="29"/>
  <c r="H2764" i="29"/>
  <c r="H2749" i="29"/>
  <c r="H2748" i="29"/>
  <c r="H2763" i="29"/>
  <c r="H2762" i="29"/>
  <c r="H2761" i="29"/>
  <c r="H2760" i="29"/>
  <c r="H2759" i="29"/>
  <c r="H2758" i="29"/>
  <c r="H2757" i="29"/>
  <c r="H2756" i="29"/>
  <c r="H2755" i="29"/>
  <c r="H2739" i="29"/>
  <c r="H2734" i="29"/>
  <c r="H2732" i="29"/>
  <c r="H2729" i="29"/>
  <c r="H2728" i="29"/>
  <c r="H2727" i="29"/>
  <c r="H2726" i="29"/>
  <c r="H2722" i="29"/>
  <c r="H2721" i="29"/>
  <c r="H2720" i="29"/>
  <c r="H2719" i="29"/>
  <c r="H2718" i="29"/>
  <c r="H2717" i="29"/>
  <c r="H2716" i="29"/>
  <c r="H2715" i="29"/>
  <c r="H2714" i="29"/>
  <c r="H2713" i="29"/>
  <c r="H2712" i="29"/>
  <c r="H2711" i="29"/>
  <c r="H2697" i="29"/>
  <c r="H2692" i="29"/>
  <c r="H2691" i="29"/>
  <c r="H2690" i="29"/>
  <c r="H2689" i="29"/>
  <c r="H2688" i="29"/>
  <c r="H2687" i="29"/>
  <c r="H2725" i="29"/>
  <c r="H2724" i="29"/>
  <c r="H2723" i="29"/>
  <c r="H2710" i="29"/>
  <c r="H2709" i="29"/>
  <c r="H2708" i="29"/>
  <c r="H2686" i="29"/>
  <c r="H2731" i="29"/>
  <c r="H2730" i="29"/>
  <c r="H2707" i="29"/>
  <c r="H2706" i="29"/>
  <c r="H2705" i="29"/>
  <c r="H2704" i="29"/>
  <c r="H2703" i="29"/>
  <c r="H2702" i="29"/>
  <c r="H2701" i="29"/>
  <c r="H2700" i="29"/>
  <c r="H2699" i="29"/>
  <c r="H2698" i="29"/>
  <c r="H2696" i="29"/>
  <c r="H2695" i="29"/>
  <c r="H2694" i="29"/>
  <c r="H2693" i="29"/>
  <c r="H2685" i="29"/>
  <c r="H2684" i="29"/>
  <c r="H2677" i="29"/>
  <c r="H2676" i="29"/>
  <c r="H2675" i="29"/>
  <c r="H2674" i="29"/>
  <c r="H2673" i="29"/>
  <c r="H2682" i="29"/>
  <c r="H2681" i="29"/>
  <c r="H2679" i="29"/>
  <c r="H2678" i="29"/>
  <c r="H2672" i="29"/>
  <c r="H2683" i="29"/>
  <c r="H2680" i="29"/>
  <c r="H2668" i="29"/>
  <c r="H2667" i="29"/>
  <c r="H2666" i="29"/>
  <c r="H2663" i="29"/>
  <c r="H2662" i="29"/>
  <c r="H2661" i="29"/>
  <c r="H2671" i="29"/>
  <c r="H2670" i="29"/>
  <c r="H2669" i="29"/>
  <c r="H2665" i="29"/>
  <c r="H2664" i="29"/>
  <c r="H2660" i="29"/>
  <c r="H2658" i="29"/>
  <c r="H2656" i="29"/>
  <c r="H2650" i="29"/>
  <c r="H2649" i="29"/>
  <c r="H2648" i="29"/>
  <c r="H2644" i="29"/>
  <c r="H2643" i="29"/>
  <c r="H2642" i="29"/>
  <c r="H2641" i="29"/>
  <c r="H2640" i="29"/>
  <c r="H2639" i="29"/>
  <c r="H2638" i="29"/>
  <c r="H2659" i="29"/>
  <c r="H2657" i="29"/>
  <c r="H2655" i="29"/>
  <c r="H2654" i="29"/>
  <c r="H2651" i="29"/>
  <c r="H2647" i="29"/>
  <c r="H2646" i="29"/>
  <c r="H2645" i="29"/>
  <c r="H2637" i="29"/>
  <c r="H2636" i="29"/>
  <c r="H2635" i="29"/>
  <c r="H2653" i="29"/>
  <c r="H2652" i="29"/>
  <c r="H2634" i="29"/>
  <c r="H2633" i="29"/>
  <c r="H2632" i="29"/>
  <c r="H2630" i="29"/>
  <c r="H2620" i="29"/>
  <c r="H2619" i="29"/>
  <c r="H2618" i="29"/>
  <c r="H2617" i="29"/>
  <c r="H2631" i="29"/>
  <c r="H2629" i="29"/>
  <c r="H2628" i="29"/>
  <c r="H2627" i="29"/>
  <c r="H2626" i="29"/>
  <c r="H2625" i="29"/>
  <c r="H2624" i="29"/>
  <c r="H2623" i="29"/>
  <c r="H2622" i="29"/>
  <c r="H2621" i="29"/>
  <c r="H2616" i="29"/>
  <c r="H2615" i="29"/>
  <c r="H2605" i="29"/>
  <c r="H2604" i="29"/>
  <c r="H2602" i="29"/>
  <c r="H2609" i="29"/>
  <c r="H2608" i="29"/>
  <c r="H2593" i="29"/>
  <c r="H2592" i="29"/>
  <c r="H2591" i="29"/>
  <c r="H2590" i="29"/>
  <c r="H2589" i="29"/>
  <c r="H2614" i="29"/>
  <c r="H2613" i="29"/>
  <c r="H2612" i="29"/>
  <c r="H2607" i="29"/>
  <c r="H2606" i="29"/>
  <c r="H2603" i="29"/>
  <c r="H2601" i="29"/>
  <c r="H2600" i="29"/>
  <c r="H2599" i="29"/>
  <c r="H2598" i="29"/>
  <c r="H2597" i="29"/>
  <c r="H2596" i="29"/>
  <c r="H2595" i="29"/>
  <c r="H2594" i="29"/>
  <c r="H2584" i="29"/>
  <c r="H2583" i="29"/>
  <c r="H2582" i="29"/>
  <c r="H2581" i="29"/>
  <c r="H2588" i="29"/>
  <c r="H2587" i="29"/>
  <c r="H2586" i="29"/>
  <c r="H2585" i="29"/>
  <c r="H2580" i="29"/>
  <c r="H2576" i="29"/>
  <c r="H2575" i="29"/>
  <c r="H2574" i="29"/>
  <c r="H2568" i="29"/>
  <c r="H2567" i="29"/>
  <c r="H2566" i="29"/>
  <c r="H2565" i="29"/>
  <c r="H2564" i="29"/>
  <c r="H2563" i="29"/>
  <c r="H2577" i="29"/>
  <c r="H2562" i="29"/>
  <c r="H2557" i="29"/>
  <c r="H2556" i="29"/>
  <c r="H2555" i="29"/>
  <c r="H2579" i="29"/>
  <c r="H2578" i="29"/>
  <c r="H2573" i="29"/>
  <c r="H2572" i="29"/>
  <c r="H2571" i="29"/>
  <c r="H2570" i="29"/>
  <c r="H2569" i="29"/>
  <c r="H2561" i="29"/>
  <c r="H2560" i="29"/>
  <c r="H2559" i="29"/>
  <c r="H2558" i="29"/>
  <c r="H2554" i="29"/>
  <c r="H2550" i="29"/>
  <c r="H2553" i="29"/>
  <c r="H2552" i="29"/>
  <c r="H2551" i="29"/>
  <c r="H2547" i="29"/>
  <c r="H2546" i="29"/>
  <c r="H2545" i="29"/>
  <c r="H2549" i="29"/>
  <c r="H2548" i="29"/>
  <c r="H2544" i="29"/>
  <c r="H2543" i="29"/>
  <c r="H2538" i="29"/>
  <c r="H2537" i="29"/>
  <c r="H2527" i="29"/>
  <c r="H2110" i="29"/>
  <c r="H2534" i="29"/>
  <c r="H2533" i="29"/>
  <c r="H2532" i="29"/>
  <c r="H2531" i="29"/>
  <c r="H2530" i="29"/>
  <c r="H2529" i="29"/>
  <c r="H2542" i="29"/>
  <c r="H2541" i="29"/>
  <c r="H2540" i="29"/>
  <c r="H2539" i="29"/>
  <c r="H2536" i="29"/>
  <c r="H2535" i="29"/>
  <c r="H2528" i="29"/>
  <c r="H2526" i="29"/>
  <c r="H2525" i="29"/>
  <c r="H2524" i="29"/>
  <c r="H2521" i="29"/>
  <c r="H2523" i="29"/>
  <c r="H2522" i="29"/>
  <c r="H2519" i="29"/>
  <c r="H2518" i="29"/>
  <c r="H2517" i="29"/>
  <c r="H2514" i="29"/>
  <c r="H2513" i="29"/>
  <c r="H2512" i="29"/>
  <c r="H2511" i="29"/>
  <c r="H2510" i="29"/>
  <c r="H2509" i="29"/>
  <c r="H2508" i="29"/>
  <c r="H2507" i="29"/>
  <c r="H2506" i="29"/>
  <c r="H2520" i="29"/>
  <c r="H2237" i="29"/>
  <c r="H2516" i="29"/>
  <c r="H2515" i="29"/>
  <c r="H2504" i="29"/>
  <c r="H2503" i="29"/>
  <c r="H2502" i="29"/>
  <c r="H2501" i="29"/>
  <c r="H2496" i="29"/>
  <c r="H2495" i="29"/>
  <c r="H2505" i="29"/>
  <c r="H2497" i="29"/>
  <c r="H2484" i="29"/>
  <c r="H2483" i="29"/>
  <c r="H2482" i="29"/>
  <c r="H2481" i="29"/>
  <c r="H2480" i="29"/>
  <c r="H2479" i="29"/>
  <c r="H2478" i="29"/>
  <c r="H2477" i="29"/>
  <c r="H2500" i="29"/>
  <c r="H2499" i="29"/>
  <c r="H2498" i="29"/>
  <c r="H2494" i="29"/>
  <c r="H2493" i="29"/>
  <c r="H2492" i="29"/>
  <c r="H2491" i="29"/>
  <c r="H2490" i="29"/>
  <c r="H2489" i="29"/>
  <c r="H2488" i="29"/>
  <c r="H2487" i="29"/>
  <c r="H2486" i="29"/>
  <c r="H2485" i="29"/>
  <c r="H2476" i="29"/>
  <c r="H2475" i="29"/>
  <c r="H2466" i="29"/>
  <c r="H2464" i="29"/>
  <c r="H2467" i="29"/>
  <c r="H2465" i="29"/>
  <c r="H2463" i="29"/>
  <c r="H2462" i="29"/>
  <c r="H2472" i="29"/>
  <c r="H2471" i="29"/>
  <c r="H2460" i="29"/>
  <c r="H2459" i="29"/>
  <c r="H2458" i="29"/>
  <c r="H2457" i="29"/>
  <c r="H2456" i="29"/>
  <c r="H2455" i="29"/>
  <c r="H2454" i="29"/>
  <c r="H2453" i="29"/>
  <c r="H2452" i="29"/>
  <c r="H2451" i="29"/>
  <c r="H2461" i="29"/>
  <c r="H2474" i="29"/>
  <c r="H2473" i="29"/>
  <c r="H2470" i="29"/>
  <c r="H2469" i="29"/>
  <c r="H2468" i="29"/>
  <c r="H2450" i="29"/>
  <c r="H2449" i="29"/>
  <c r="H2448" i="29"/>
  <c r="H2447" i="29"/>
  <c r="H2446" i="29"/>
  <c r="H2445" i="29"/>
  <c r="H2444" i="29"/>
  <c r="H2443" i="29"/>
  <c r="H2442" i="29"/>
  <c r="H2441" i="29"/>
  <c r="H2440" i="29"/>
  <c r="H2439" i="29"/>
  <c r="H2436" i="29"/>
  <c r="H2435" i="29"/>
  <c r="H2426" i="29"/>
  <c r="H2425" i="29"/>
  <c r="H2424" i="29"/>
  <c r="H2423" i="29"/>
  <c r="H2419" i="29"/>
  <c r="H2418" i="29"/>
  <c r="H2416" i="29"/>
  <c r="H2415" i="29"/>
  <c r="H2414" i="29"/>
  <c r="H2413" i="29"/>
  <c r="H2411" i="29"/>
  <c r="H2438" i="29"/>
  <c r="H2437" i="29"/>
  <c r="H2428" i="29"/>
  <c r="H2427" i="29"/>
  <c r="H2412" i="29"/>
  <c r="H2409" i="29"/>
  <c r="H2408" i="29"/>
  <c r="H2402" i="29"/>
  <c r="H2433" i="29"/>
  <c r="H2432" i="29"/>
  <c r="H2431" i="29"/>
  <c r="H2430" i="29"/>
  <c r="H2429" i="29"/>
  <c r="H2420" i="29"/>
  <c r="H2417" i="29"/>
  <c r="H2404" i="29"/>
  <c r="H2401" i="29"/>
  <c r="H2434" i="29"/>
  <c r="H2422" i="29"/>
  <c r="H2421" i="29"/>
  <c r="H2407" i="29"/>
  <c r="H2406" i="29"/>
  <c r="H2398" i="29"/>
  <c r="H2395" i="29"/>
  <c r="H2405" i="29"/>
  <c r="H2397" i="29"/>
  <c r="H2396" i="29"/>
  <c r="H2394" i="29"/>
  <c r="H2393" i="29"/>
  <c r="H2410" i="29"/>
  <c r="H2014" i="29"/>
  <c r="H2392" i="29"/>
  <c r="H2391" i="29"/>
  <c r="H2390" i="29"/>
  <c r="H2403" i="29"/>
  <c r="H2400" i="29"/>
  <c r="H2389" i="29"/>
  <c r="H2388" i="29"/>
  <c r="H2399" i="29"/>
  <c r="H2386" i="29"/>
  <c r="H2384" i="29"/>
  <c r="H2383" i="29"/>
  <c r="H2382" i="29"/>
  <c r="H2381" i="29"/>
  <c r="H2380" i="29"/>
  <c r="H2379" i="29"/>
  <c r="H2378" i="29"/>
  <c r="H2377" i="29"/>
  <c r="H2387" i="29"/>
  <c r="H2385" i="29"/>
  <c r="H2376" i="29"/>
  <c r="H2375" i="29"/>
  <c r="H2374" i="29"/>
  <c r="H2373" i="29"/>
  <c r="H2372" i="29"/>
  <c r="H2371" i="29"/>
  <c r="H2370" i="29"/>
  <c r="H2368" i="29"/>
  <c r="H2365" i="29"/>
  <c r="H2364" i="29"/>
  <c r="H2369" i="29"/>
  <c r="H2367" i="29"/>
  <c r="H2366" i="29"/>
  <c r="H2363" i="29"/>
  <c r="H2362" i="29"/>
  <c r="H2361" i="29"/>
  <c r="H2360" i="29"/>
  <c r="H2352" i="29"/>
  <c r="H2351" i="29"/>
  <c r="H2350" i="29"/>
  <c r="H2349" i="29"/>
  <c r="H2348" i="29"/>
  <c r="H2347" i="29"/>
  <c r="H2345" i="29"/>
  <c r="H2343" i="29"/>
  <c r="H2342" i="29"/>
  <c r="H2341" i="29"/>
  <c r="H2332" i="29"/>
  <c r="H2359" i="29"/>
  <c r="H2358" i="29"/>
  <c r="H2357" i="29"/>
  <c r="H2356" i="29"/>
  <c r="H2355" i="29"/>
  <c r="H2354" i="29"/>
  <c r="H2353" i="29"/>
  <c r="H2344" i="29"/>
  <c r="H2334" i="29"/>
  <c r="H2346" i="29"/>
  <c r="H2340" i="29"/>
  <c r="H2337" i="29"/>
  <c r="H2336" i="29"/>
  <c r="H2335" i="29"/>
  <c r="H2333" i="29"/>
  <c r="H2331" i="29"/>
  <c r="H2330" i="29"/>
  <c r="H2329" i="29"/>
  <c r="H2328" i="29"/>
  <c r="H2327" i="29"/>
  <c r="H2326" i="29"/>
  <c r="H2339" i="29"/>
  <c r="H2338" i="29"/>
  <c r="H2325" i="29"/>
  <c r="H2324" i="29"/>
  <c r="H2321" i="29"/>
  <c r="H2320" i="29"/>
  <c r="H2323" i="29"/>
  <c r="H2322" i="29"/>
  <c r="H2307" i="29"/>
  <c r="H2306" i="29"/>
  <c r="H2305" i="29"/>
  <c r="H2304" i="29"/>
  <c r="H2303" i="29"/>
  <c r="H2301" i="29"/>
  <c r="H2319" i="29"/>
  <c r="H2318" i="29"/>
  <c r="H2311" i="29"/>
  <c r="H2310" i="29"/>
  <c r="H2309" i="29"/>
  <c r="H2308" i="29"/>
  <c r="H2317" i="29"/>
  <c r="H2316" i="29"/>
  <c r="H2315" i="29"/>
  <c r="H2314" i="29"/>
  <c r="H2313" i="29"/>
  <c r="H2312" i="29"/>
  <c r="H2302" i="29"/>
  <c r="H2297" i="29"/>
  <c r="H2295" i="29"/>
  <c r="H2291" i="29"/>
  <c r="H2300" i="29"/>
  <c r="H2299" i="29"/>
  <c r="H2296" i="29"/>
  <c r="H2294" i="29"/>
  <c r="H2293" i="29"/>
  <c r="H2292" i="29"/>
  <c r="H2290" i="29"/>
  <c r="H2289" i="29"/>
  <c r="H2288" i="29"/>
  <c r="H2278" i="29"/>
  <c r="H2287" i="29"/>
  <c r="H2286" i="29"/>
  <c r="H2285" i="29"/>
  <c r="H2284" i="29"/>
  <c r="H2283" i="29"/>
  <c r="H2282" i="29"/>
  <c r="H2281" i="29"/>
  <c r="H2280" i="29"/>
  <c r="H2279" i="29"/>
  <c r="H2277" i="29"/>
  <c r="H1862" i="29"/>
  <c r="H1863" i="29"/>
  <c r="H1864" i="29"/>
  <c r="H1865" i="29"/>
  <c r="H1866" i="29"/>
  <c r="H1867" i="29"/>
  <c r="H1868" i="29"/>
  <c r="H1869" i="29"/>
  <c r="H2276" i="29"/>
  <c r="H2275" i="29"/>
  <c r="H2274" i="29"/>
  <c r="H2273" i="29"/>
  <c r="H2264" i="29"/>
  <c r="H2272" i="29"/>
  <c r="H2271" i="29"/>
  <c r="H2270" i="29"/>
  <c r="H2269" i="29"/>
  <c r="H2262" i="29"/>
  <c r="H2261" i="29"/>
  <c r="H2260" i="29"/>
  <c r="H2259" i="29"/>
  <c r="H2258" i="29"/>
  <c r="H2256" i="29"/>
  <c r="H2255" i="29"/>
  <c r="H694" i="29"/>
  <c r="H2238" i="29"/>
  <c r="H2268" i="29"/>
  <c r="H2267" i="29"/>
  <c r="H2263" i="29"/>
  <c r="H2239" i="29"/>
  <c r="H2266" i="29"/>
  <c r="H2265" i="29"/>
  <c r="H2254" i="29"/>
  <c r="H2240" i="29"/>
  <c r="H2229" i="29"/>
  <c r="H2227" i="29"/>
  <c r="H2220" i="29"/>
  <c r="H2219" i="29"/>
  <c r="H2218" i="29"/>
  <c r="H2217" i="29"/>
  <c r="H2216" i="29"/>
  <c r="H2257" i="29"/>
  <c r="H2253" i="29"/>
  <c r="H2252" i="29"/>
  <c r="H2251" i="29"/>
  <c r="H2250" i="29"/>
  <c r="H2249" i="29"/>
  <c r="H2248" i="29"/>
  <c r="H2247" i="29"/>
  <c r="H2246" i="29"/>
  <c r="H2245" i="29"/>
  <c r="H2244" i="29"/>
  <c r="H2243" i="29"/>
  <c r="H2242" i="29"/>
  <c r="H2241" i="29"/>
  <c r="H2236" i="29"/>
  <c r="H2235" i="29"/>
  <c r="H2234" i="29"/>
  <c r="H2233" i="29"/>
  <c r="H2232" i="29"/>
  <c r="H2231" i="29"/>
  <c r="H2230" i="29"/>
  <c r="H2228" i="29"/>
  <c r="H2223" i="29"/>
  <c r="H2226" i="29"/>
  <c r="H2225" i="29"/>
  <c r="H2224" i="29"/>
  <c r="H2222" i="29"/>
  <c r="H2221" i="29"/>
  <c r="H2215" i="29"/>
  <c r="H2211" i="29"/>
  <c r="H2210" i="29"/>
  <c r="H2209" i="29"/>
  <c r="H2208" i="29"/>
  <c r="H2207" i="29"/>
  <c r="H2206" i="29"/>
  <c r="H2205" i="29"/>
  <c r="H2214" i="29"/>
  <c r="H2213" i="29"/>
  <c r="H2212" i="29"/>
  <c r="H2204" i="29"/>
  <c r="H2181" i="29"/>
  <c r="H2180" i="29"/>
  <c r="H2179" i="29"/>
  <c r="H2201" i="29"/>
  <c r="H2200" i="29"/>
  <c r="H2199" i="29"/>
  <c r="H2198" i="29"/>
  <c r="H2197" i="29"/>
  <c r="H2196" i="29"/>
  <c r="H2203" i="29"/>
  <c r="H2202" i="29"/>
  <c r="H2195" i="29"/>
  <c r="H2192" i="29"/>
  <c r="H2187" i="29"/>
  <c r="H2186" i="29"/>
  <c r="H2185" i="29"/>
  <c r="H2184" i="29"/>
  <c r="H2183" i="29"/>
  <c r="H2182" i="29"/>
  <c r="H2188" i="29"/>
  <c r="H2194" i="29"/>
  <c r="H2193" i="29"/>
  <c r="H2191" i="29"/>
  <c r="H2190" i="29"/>
  <c r="H2189" i="29"/>
  <c r="H2178" i="29"/>
  <c r="H2177" i="29"/>
  <c r="H2176" i="29"/>
  <c r="H2175" i="29"/>
  <c r="H2174" i="29"/>
  <c r="H2173" i="29"/>
  <c r="H2172" i="29"/>
  <c r="H2171" i="29"/>
  <c r="H2170" i="29"/>
  <c r="H2169" i="29"/>
  <c r="H2168" i="29"/>
  <c r="H2163" i="29"/>
  <c r="H2162" i="29"/>
  <c r="H2161" i="29"/>
  <c r="H2167" i="29"/>
  <c r="H2155" i="29"/>
  <c r="H2154" i="29"/>
  <c r="H2153" i="29"/>
  <c r="H2166" i="29"/>
  <c r="H2157" i="29"/>
  <c r="H2156" i="29"/>
  <c r="H2136" i="29"/>
  <c r="H2135" i="29"/>
  <c r="H2165" i="29"/>
  <c r="H2164" i="29"/>
  <c r="H2160" i="29"/>
  <c r="H2159" i="29"/>
  <c r="H2144" i="29"/>
  <c r="H2143" i="29"/>
  <c r="H2142" i="29"/>
  <c r="H2141" i="29"/>
  <c r="H2140" i="29"/>
  <c r="H2139" i="29"/>
  <c r="H2138" i="29"/>
  <c r="H2137" i="29"/>
  <c r="H2133" i="29"/>
  <c r="H2158" i="29"/>
  <c r="H2150" i="29"/>
  <c r="H2149" i="29"/>
  <c r="H2148" i="29"/>
  <c r="H2147" i="29"/>
  <c r="H2146" i="29"/>
  <c r="H2145" i="29"/>
  <c r="H2134" i="29"/>
  <c r="H2152" i="29"/>
  <c r="H2151" i="29"/>
  <c r="H2132" i="29"/>
  <c r="H2131" i="29"/>
  <c r="H2130" i="29"/>
  <c r="H2129" i="29"/>
  <c r="H2128" i="29"/>
  <c r="H2127" i="29"/>
  <c r="H2126" i="29"/>
  <c r="H2125" i="29"/>
  <c r="H2124" i="29"/>
  <c r="H2123" i="29"/>
  <c r="H2122" i="29"/>
  <c r="H2121" i="29"/>
  <c r="H2120" i="29"/>
  <c r="H2119" i="29"/>
  <c r="H2118" i="29"/>
  <c r="H2117" i="29"/>
  <c r="H2116" i="29"/>
  <c r="H2115" i="29"/>
  <c r="H2114" i="29"/>
  <c r="H2113" i="29"/>
  <c r="H2112" i="29"/>
  <c r="H2111" i="29"/>
  <c r="H2109" i="29"/>
  <c r="H2105" i="29"/>
  <c r="H2108" i="29"/>
  <c r="H2107" i="29"/>
  <c r="H2104" i="29"/>
  <c r="H2103" i="29"/>
  <c r="H2102" i="29"/>
  <c r="H2101" i="29"/>
  <c r="H2100" i="29"/>
  <c r="H2098" i="29"/>
  <c r="H2096" i="29"/>
  <c r="H2094" i="29"/>
  <c r="H2093" i="29"/>
  <c r="H2090" i="29"/>
  <c r="H2106" i="29"/>
  <c r="H2087" i="29"/>
  <c r="H2099" i="29"/>
  <c r="H2097" i="29"/>
  <c r="H2095" i="29"/>
  <c r="H2092" i="29"/>
  <c r="H2091" i="29"/>
  <c r="H2089" i="29"/>
  <c r="H2086" i="29"/>
  <c r="H2085" i="29"/>
  <c r="H2081" i="29"/>
  <c r="H2079" i="29"/>
  <c r="H2078" i="29"/>
  <c r="H2088" i="29"/>
  <c r="H2084" i="29"/>
  <c r="H2083" i="29"/>
  <c r="H2082" i="29"/>
  <c r="H2080" i="29"/>
  <c r="H2077" i="29"/>
  <c r="H2076" i="29"/>
  <c r="H2074" i="29"/>
  <c r="H2073" i="29"/>
  <c r="H2072" i="29"/>
  <c r="H2070" i="29"/>
  <c r="H2069" i="29"/>
  <c r="H2067" i="29"/>
  <c r="H2064" i="29"/>
  <c r="H2063" i="29"/>
  <c r="H2062" i="29"/>
  <c r="H2061" i="29"/>
  <c r="H2075" i="29"/>
  <c r="H2071" i="29"/>
  <c r="H2068" i="29"/>
  <c r="H2066" i="29"/>
  <c r="H2065" i="29"/>
  <c r="H2055" i="29"/>
  <c r="H2060" i="29"/>
  <c r="H2059" i="29"/>
  <c r="H2058" i="29"/>
  <c r="H2057" i="29"/>
  <c r="H2056" i="29"/>
  <c r="H2051" i="29"/>
  <c r="H2053" i="29"/>
  <c r="H2052" i="29"/>
  <c r="H2043" i="29"/>
  <c r="H2042" i="29"/>
  <c r="H2041" i="29"/>
  <c r="H2040" i="29"/>
  <c r="H2039" i="29"/>
  <c r="H2038" i="29"/>
  <c r="H2037" i="29"/>
  <c r="H2036" i="29"/>
  <c r="H2054" i="29"/>
  <c r="H2045" i="29"/>
  <c r="H2050" i="29"/>
  <c r="H2049" i="29"/>
  <c r="H2048" i="29"/>
  <c r="H2047" i="29"/>
  <c r="H2046" i="29"/>
  <c r="H2044" i="29"/>
  <c r="H2035" i="29"/>
  <c r="H2032" i="29"/>
  <c r="H2031" i="29"/>
  <c r="H2029" i="29"/>
  <c r="H2028" i="29"/>
  <c r="H2027" i="29"/>
  <c r="H689" i="29"/>
  <c r="H2025" i="29"/>
  <c r="H2024" i="29"/>
  <c r="H2034" i="29"/>
  <c r="H2033" i="29"/>
  <c r="H2030" i="29"/>
  <c r="H2026" i="29"/>
  <c r="H2023" i="29"/>
  <c r="H2022" i="29"/>
  <c r="H2021" i="29"/>
  <c r="H2020" i="29"/>
  <c r="H2019" i="29"/>
  <c r="H2018" i="29"/>
  <c r="H2017" i="29"/>
  <c r="H2016" i="29"/>
  <c r="H2015" i="29"/>
  <c r="H2007" i="29"/>
  <c r="H2006" i="29"/>
  <c r="H2005" i="29"/>
  <c r="H2013" i="29"/>
  <c r="H2012" i="29"/>
  <c r="H2011" i="29"/>
  <c r="H2010" i="29"/>
  <c r="H2009" i="29"/>
  <c r="H2008" i="29"/>
  <c r="H2004" i="29"/>
  <c r="H2003" i="29"/>
  <c r="H2002" i="29"/>
  <c r="H1998" i="29"/>
  <c r="H1997" i="29"/>
  <c r="H1996" i="29"/>
  <c r="H1993" i="29"/>
  <c r="H1992" i="29"/>
  <c r="H1991" i="29"/>
  <c r="H1990" i="29"/>
  <c r="H1989" i="29"/>
  <c r="H1988" i="29"/>
  <c r="H1995" i="29"/>
  <c r="H1986" i="29"/>
  <c r="H1983" i="29"/>
  <c r="H1982" i="29"/>
  <c r="H1980" i="29"/>
  <c r="H1979" i="29"/>
  <c r="H1978" i="29"/>
  <c r="H2001" i="29"/>
  <c r="H2000" i="29"/>
  <c r="H1999" i="29"/>
  <c r="H1994" i="29"/>
  <c r="H1987" i="29"/>
  <c r="H1985" i="29"/>
  <c r="H1984" i="29"/>
  <c r="H1977" i="29"/>
  <c r="H1976" i="29"/>
  <c r="H1975" i="29"/>
  <c r="H1981" i="29"/>
  <c r="H1974" i="29"/>
  <c r="H1967" i="29"/>
  <c r="H1966" i="29"/>
  <c r="H1965" i="29"/>
  <c r="H1964" i="29"/>
  <c r="H1963" i="29"/>
  <c r="H1962" i="29"/>
  <c r="H1961" i="29"/>
  <c r="H1960" i="29"/>
  <c r="H1959" i="29"/>
  <c r="H1958" i="29"/>
  <c r="H1946" i="29"/>
  <c r="H1945" i="29"/>
  <c r="H1941" i="29"/>
  <c r="H1957" i="29"/>
  <c r="H1956" i="29"/>
  <c r="H1955" i="29"/>
  <c r="H1973" i="29"/>
  <c r="H1972" i="29"/>
  <c r="H1971" i="29"/>
  <c r="H1970" i="29"/>
  <c r="H1969" i="29"/>
  <c r="H1968" i="29"/>
  <c r="H1954" i="29"/>
  <c r="H1953" i="29"/>
  <c r="H1952" i="29"/>
  <c r="H1951" i="29"/>
  <c r="H695" i="29"/>
  <c r="H1944" i="29"/>
  <c r="H1943" i="29"/>
  <c r="H1939" i="29"/>
  <c r="H1950" i="29"/>
  <c r="H1949" i="29"/>
  <c r="H1948" i="29"/>
  <c r="H1947" i="29"/>
  <c r="H1942" i="29"/>
  <c r="H1938" i="29"/>
  <c r="H1937" i="29"/>
  <c r="H1936" i="29"/>
  <c r="H1935" i="29"/>
  <c r="H1934" i="29"/>
  <c r="H1933" i="29"/>
  <c r="H1932" i="29"/>
  <c r="H1940" i="29"/>
  <c r="H1931" i="29"/>
  <c r="H1930" i="29"/>
  <c r="H1928" i="29"/>
  <c r="H1927" i="29"/>
  <c r="H1926" i="29"/>
  <c r="H1925" i="29"/>
  <c r="H1916" i="29"/>
  <c r="H1912" i="29"/>
  <c r="H1910" i="29"/>
  <c r="H1924" i="29"/>
  <c r="H1922" i="29"/>
  <c r="H1921" i="29"/>
  <c r="H1915" i="29"/>
  <c r="H1914" i="29"/>
  <c r="H1911" i="29"/>
  <c r="H1929" i="29"/>
  <c r="H1919" i="29"/>
  <c r="H1918" i="29"/>
  <c r="H1913" i="29"/>
  <c r="H1907" i="29"/>
  <c r="H1906" i="29"/>
  <c r="H1905" i="29"/>
  <c r="H1898" i="29"/>
  <c r="H1923" i="29"/>
  <c r="H1920" i="29"/>
  <c r="H1917" i="29"/>
  <c r="H1909" i="29"/>
  <c r="H1908" i="29"/>
  <c r="H1903" i="29"/>
  <c r="H1902" i="29"/>
  <c r="H1901" i="29"/>
  <c r="H1900" i="29"/>
  <c r="H1899" i="29"/>
  <c r="H1904" i="29"/>
  <c r="H1897" i="29"/>
  <c r="H1896" i="29"/>
  <c r="H1895" i="29"/>
  <c r="H1894" i="29"/>
  <c r="H1889" i="29"/>
  <c r="H1888" i="29"/>
  <c r="H1893" i="29"/>
  <c r="H1892" i="29"/>
  <c r="H1891" i="29"/>
  <c r="H1890" i="29"/>
  <c r="H473" i="29"/>
  <c r="H1737" i="29"/>
  <c r="H1887" i="29"/>
  <c r="H1886" i="29"/>
  <c r="H1885" i="29"/>
  <c r="H1884" i="29"/>
  <c r="H1883" i="29"/>
  <c r="H1875" i="29"/>
  <c r="H1861" i="29"/>
  <c r="H1860" i="29"/>
  <c r="H1859" i="29"/>
  <c r="H1881" i="29"/>
  <c r="H1880" i="29"/>
  <c r="H1879" i="29"/>
  <c r="H1878" i="29"/>
  <c r="H1877" i="29"/>
  <c r="H1876" i="29"/>
  <c r="H1874" i="29"/>
  <c r="H1873" i="29"/>
  <c r="H1872" i="29"/>
  <c r="H1871" i="29"/>
  <c r="H1857" i="29"/>
  <c r="H1882" i="29"/>
  <c r="H1870" i="29"/>
  <c r="H1856" i="29"/>
  <c r="H1855" i="29"/>
  <c r="H1854" i="29"/>
  <c r="H1853" i="29"/>
  <c r="H1845" i="29"/>
  <c r="H1858" i="29"/>
  <c r="H1831" i="29"/>
  <c r="H1815" i="29"/>
  <c r="H1814" i="29"/>
  <c r="H1813" i="29"/>
  <c r="H1812" i="29"/>
  <c r="H1811" i="29"/>
  <c r="H1810" i="29"/>
  <c r="H1808" i="29"/>
  <c r="H1806" i="29"/>
  <c r="H1804" i="29"/>
  <c r="H1803" i="29"/>
  <c r="H1852" i="29"/>
  <c r="H1851" i="29"/>
  <c r="H1850" i="29"/>
  <c r="H1849" i="29"/>
  <c r="H1848" i="29"/>
  <c r="H1847" i="29"/>
  <c r="H1846" i="29"/>
  <c r="H1844" i="29"/>
  <c r="H1843" i="29"/>
  <c r="H1842" i="29"/>
  <c r="H1841" i="29"/>
  <c r="H1840" i="29"/>
  <c r="H1839" i="29"/>
  <c r="H1838" i="29"/>
  <c r="H1837" i="29"/>
  <c r="H1836" i="29"/>
  <c r="H1835" i="29"/>
  <c r="H1834" i="29"/>
  <c r="H1833" i="29"/>
  <c r="H1832" i="29"/>
  <c r="H1830" i="29"/>
  <c r="H1829" i="29"/>
  <c r="H1828" i="29"/>
  <c r="H1827" i="29"/>
  <c r="H1826" i="29"/>
  <c r="H1825" i="29"/>
  <c r="H1824" i="29"/>
  <c r="H1823" i="29"/>
  <c r="H1822" i="29"/>
  <c r="H1821" i="29"/>
  <c r="H1820" i="29"/>
  <c r="H1819" i="29"/>
  <c r="H1818" i="29"/>
  <c r="H1817" i="29"/>
  <c r="H1816" i="29"/>
  <c r="H1789" i="29"/>
  <c r="H1788" i="29"/>
  <c r="H1787" i="29"/>
  <c r="H1786" i="29"/>
  <c r="H1783" i="29"/>
  <c r="H1782" i="29"/>
  <c r="H1781" i="29"/>
  <c r="H1779" i="29"/>
  <c r="H1776" i="29"/>
  <c r="H1809" i="29"/>
  <c r="H1774" i="29"/>
  <c r="H1773" i="29"/>
  <c r="H1772" i="29"/>
  <c r="H1767" i="29"/>
  <c r="H1766" i="29"/>
  <c r="H1764" i="29"/>
  <c r="H1763" i="29"/>
  <c r="H1762" i="29"/>
  <c r="H1761" i="29"/>
  <c r="H1760" i="29"/>
  <c r="H1755" i="29"/>
  <c r="H1754" i="29"/>
  <c r="H1753" i="29"/>
  <c r="H1752" i="29"/>
  <c r="H1751" i="29"/>
  <c r="H1750" i="29"/>
  <c r="H1807" i="29"/>
  <c r="H1805" i="29"/>
  <c r="H1802" i="29"/>
  <c r="H1801" i="29"/>
  <c r="H1800" i="29"/>
  <c r="H1799" i="29"/>
  <c r="H1798" i="29"/>
  <c r="H1797" i="29"/>
  <c r="H1796" i="29"/>
  <c r="H1795" i="29"/>
  <c r="H1794" i="29"/>
  <c r="H1793" i="29"/>
  <c r="H1792" i="29"/>
  <c r="H1791" i="29"/>
  <c r="H1790" i="29"/>
  <c r="H1757" i="29"/>
  <c r="H1756" i="29"/>
  <c r="H1785" i="29"/>
  <c r="H1784" i="29"/>
  <c r="H1780" i="29"/>
  <c r="H1778" i="29"/>
  <c r="H1777" i="29"/>
  <c r="H1775" i="29"/>
  <c r="H1736" i="29"/>
  <c r="H1771" i="29"/>
  <c r="H1770" i="29"/>
  <c r="H1769" i="29"/>
  <c r="H1768" i="29"/>
  <c r="H1759" i="29"/>
  <c r="H1758" i="29"/>
  <c r="H1463" i="29"/>
  <c r="H1462" i="29"/>
  <c r="H1461" i="29"/>
  <c r="H1765" i="29"/>
  <c r="H1742" i="29"/>
  <c r="H1741" i="29"/>
  <c r="H1740" i="29"/>
  <c r="H1739" i="29"/>
  <c r="H1738" i="29"/>
  <c r="H1455" i="29"/>
  <c r="H1454" i="29"/>
  <c r="H1453" i="29"/>
  <c r="H1452" i="29"/>
  <c r="H1707" i="29"/>
  <c r="H1706" i="29"/>
  <c r="H1705" i="29"/>
  <c r="H1704" i="29"/>
  <c r="H1749" i="29"/>
  <c r="H1748" i="29"/>
  <c r="H1747" i="29"/>
  <c r="H1746" i="29"/>
  <c r="H1708" i="29"/>
  <c r="H1745" i="29"/>
  <c r="H1744" i="29"/>
  <c r="H1743" i="29"/>
  <c r="H1703" i="29"/>
  <c r="H1701" i="29"/>
  <c r="H1699" i="29"/>
  <c r="H1698" i="29"/>
  <c r="H1694" i="29"/>
  <c r="H1692" i="29"/>
  <c r="H1735" i="29"/>
  <c r="H1733" i="29"/>
  <c r="H1730" i="29"/>
  <c r="H1727" i="29"/>
  <c r="H1719" i="29"/>
  <c r="H1715" i="29"/>
  <c r="H1713" i="29"/>
  <c r="H1712" i="29"/>
  <c r="H1689" i="29"/>
  <c r="H1717" i="29"/>
  <c r="H1716" i="29"/>
  <c r="H1711" i="29"/>
  <c r="H1710" i="29"/>
  <c r="H1709" i="29"/>
  <c r="H1734" i="29"/>
  <c r="H1732" i="29"/>
  <c r="H1731" i="29"/>
  <c r="H1729" i="29"/>
  <c r="H1728" i="29"/>
  <c r="H1726" i="29"/>
  <c r="H1725" i="29"/>
  <c r="H1724" i="29"/>
  <c r="H1723" i="29"/>
  <c r="H1722" i="29"/>
  <c r="H1721" i="29"/>
  <c r="H1720" i="29"/>
  <c r="H1718" i="29"/>
  <c r="H1702" i="29"/>
  <c r="H1700" i="29"/>
  <c r="H1697" i="29"/>
  <c r="H1696" i="29"/>
  <c r="H1695" i="29"/>
  <c r="H1693" i="29"/>
  <c r="H1691" i="29"/>
  <c r="H1690" i="29"/>
  <c r="H1688" i="29"/>
  <c r="H1687" i="29"/>
  <c r="H1686" i="29"/>
  <c r="H1685" i="29"/>
  <c r="H1684" i="29"/>
  <c r="H1683" i="29"/>
  <c r="H1682" i="29"/>
  <c r="H1680" i="29"/>
  <c r="H1674" i="29"/>
  <c r="H1673" i="29"/>
  <c r="H1672" i="29"/>
  <c r="H1671" i="29"/>
  <c r="H1670" i="29"/>
  <c r="H1669" i="29"/>
  <c r="H1679" i="29"/>
  <c r="H1678" i="29"/>
  <c r="H1677" i="29"/>
  <c r="H1676" i="29"/>
  <c r="H1675" i="29"/>
  <c r="H1659" i="29"/>
  <c r="H1658" i="29"/>
  <c r="H1668" i="29"/>
  <c r="H1667" i="29"/>
  <c r="H1642" i="29"/>
  <c r="H1640" i="29"/>
  <c r="H1639" i="29"/>
  <c r="H1637" i="29"/>
  <c r="H1635" i="29"/>
  <c r="H1634" i="29"/>
  <c r="H1633" i="29"/>
  <c r="H1632" i="29"/>
  <c r="H1631" i="29"/>
  <c r="H1666" i="29"/>
  <c r="H1665" i="29"/>
  <c r="H1568" i="29"/>
  <c r="H1567" i="29"/>
  <c r="H1661" i="29"/>
  <c r="H1660" i="29"/>
  <c r="H1556" i="29"/>
  <c r="H1657" i="29"/>
  <c r="H1656" i="29"/>
  <c r="H1655" i="29"/>
  <c r="H1654" i="29"/>
  <c r="H1653" i="29"/>
  <c r="H1652" i="29"/>
  <c r="H1651" i="29"/>
  <c r="H1650" i="29"/>
  <c r="H1649" i="29"/>
  <c r="H1648" i="29"/>
  <c r="H1647" i="29"/>
  <c r="H1646" i="29"/>
  <c r="H1641" i="29"/>
  <c r="H1664" i="29"/>
  <c r="H1663" i="29"/>
  <c r="H1662" i="29"/>
  <c r="H1643" i="29"/>
  <c r="H1638" i="29"/>
  <c r="H1636" i="29"/>
  <c r="H1623" i="29"/>
  <c r="H1622" i="29"/>
  <c r="H1618" i="29"/>
  <c r="H1616" i="29"/>
  <c r="H1615" i="29"/>
  <c r="H1614" i="29"/>
  <c r="H1645" i="29"/>
  <c r="H1644" i="29"/>
  <c r="H1610" i="29"/>
  <c r="H1609" i="29"/>
  <c r="H1608" i="29"/>
  <c r="H1607" i="29"/>
  <c r="H1606" i="29"/>
  <c r="H1605" i="29"/>
  <c r="H1604" i="29"/>
  <c r="H1603" i="29"/>
  <c r="H1602" i="29"/>
  <c r="H1601" i="29"/>
  <c r="H1600" i="29"/>
  <c r="H1599" i="29"/>
  <c r="H1598" i="29"/>
  <c r="H1597" i="29"/>
  <c r="H1630" i="29"/>
  <c r="H1629" i="29"/>
  <c r="H1628" i="29"/>
  <c r="H1627" i="29"/>
  <c r="H1626" i="29"/>
  <c r="H1625" i="29"/>
  <c r="H1624" i="29"/>
  <c r="H1621" i="29"/>
  <c r="H1620" i="29"/>
  <c r="H1619" i="29"/>
  <c r="H1617" i="29"/>
  <c r="H1613" i="29"/>
  <c r="H1565" i="29"/>
  <c r="H1611" i="29"/>
  <c r="H1612" i="29"/>
  <c r="H1596" i="29"/>
  <c r="H1595" i="29"/>
  <c r="H1594" i="29"/>
  <c r="H1593" i="29"/>
  <c r="H1592" i="29"/>
  <c r="H1591" i="29"/>
  <c r="H1590" i="29"/>
  <c r="H1589" i="29"/>
  <c r="H1588" i="29"/>
  <c r="H1587" i="29"/>
  <c r="H1586" i="29"/>
  <c r="H1585" i="29"/>
  <c r="H1584" i="29"/>
  <c r="H1583" i="29"/>
  <c r="H1582" i="29"/>
  <c r="H1714" i="29"/>
  <c r="H1581" i="29"/>
  <c r="H1580" i="29"/>
  <c r="H1579" i="29"/>
  <c r="H1570" i="29"/>
  <c r="H1569" i="29"/>
  <c r="H1564" i="29"/>
  <c r="H1551" i="29"/>
  <c r="H1550" i="29"/>
  <c r="H1549" i="29"/>
  <c r="H1548" i="29"/>
  <c r="H1547" i="29"/>
  <c r="H1546" i="29"/>
  <c r="H1542" i="29"/>
  <c r="H1541" i="29"/>
  <c r="H1578" i="29"/>
  <c r="H1577" i="29"/>
  <c r="H1576" i="29"/>
  <c r="H1575" i="29"/>
  <c r="H1574" i="29"/>
  <c r="H1573" i="29"/>
  <c r="H1572" i="29"/>
  <c r="H1563" i="29"/>
  <c r="H1562" i="29"/>
  <c r="H1561" i="29"/>
  <c r="H1560" i="29"/>
  <c r="H1559" i="29"/>
  <c r="H1558" i="29"/>
  <c r="H1571" i="29"/>
  <c r="H1566" i="29"/>
  <c r="H1557" i="29"/>
  <c r="H1555" i="29"/>
  <c r="H1552" i="29"/>
  <c r="H1554" i="29"/>
  <c r="H1553" i="29"/>
  <c r="H1545" i="29"/>
  <c r="H1544" i="29"/>
  <c r="H1543" i="29"/>
  <c r="H1540" i="29"/>
  <c r="H1539" i="29"/>
  <c r="H1538" i="29"/>
  <c r="H1537" i="29"/>
  <c r="H1536" i="29"/>
  <c r="H1535" i="29"/>
  <c r="H1534" i="29"/>
  <c r="H1533" i="29"/>
  <c r="H1532" i="29"/>
  <c r="H1531" i="29"/>
  <c r="H1530" i="29"/>
  <c r="H1529" i="29"/>
  <c r="H1528" i="29"/>
  <c r="H1527" i="29"/>
  <c r="H1526" i="29"/>
  <c r="H1525" i="29"/>
  <c r="H1523" i="29"/>
  <c r="H1522" i="29"/>
  <c r="H1521" i="29"/>
  <c r="H1520" i="29"/>
  <c r="H1519" i="29"/>
  <c r="H1518" i="29"/>
  <c r="H1517" i="29"/>
  <c r="H1516" i="29"/>
  <c r="H1524" i="29"/>
  <c r="H1511" i="29"/>
  <c r="H1510" i="29"/>
  <c r="H1509" i="29"/>
  <c r="H1508" i="29"/>
  <c r="H1507" i="29"/>
  <c r="H1515" i="29"/>
  <c r="H1514" i="29"/>
  <c r="H1513" i="29"/>
  <c r="H1512" i="29"/>
  <c r="H1503" i="29"/>
  <c r="H1502" i="29"/>
  <c r="H1500" i="29"/>
  <c r="H1499" i="29"/>
  <c r="H1498" i="29"/>
  <c r="H1497" i="29"/>
  <c r="H1496" i="29"/>
  <c r="H1495" i="29"/>
  <c r="H1492" i="29"/>
  <c r="H1491" i="29"/>
  <c r="H1488" i="29"/>
  <c r="H1487" i="29"/>
  <c r="H1486" i="29"/>
  <c r="H1485" i="29"/>
  <c r="H1484" i="29"/>
  <c r="H1477" i="29"/>
  <c r="H1506" i="29"/>
  <c r="H1505" i="29"/>
  <c r="H1490" i="29"/>
  <c r="H1489" i="29"/>
  <c r="H1483" i="29"/>
  <c r="H1471" i="29"/>
  <c r="H1470" i="29"/>
  <c r="H1469" i="29"/>
  <c r="H1468" i="29"/>
  <c r="H1467" i="29"/>
  <c r="H1466" i="29"/>
  <c r="H1465" i="29"/>
  <c r="H1504" i="29"/>
  <c r="H1501" i="29"/>
  <c r="H1494" i="29"/>
  <c r="H1493" i="29"/>
  <c r="H1464" i="29"/>
  <c r="H1460" i="29"/>
  <c r="H1459" i="29"/>
  <c r="H1458" i="29"/>
  <c r="H1482" i="29"/>
  <c r="H1481" i="29"/>
  <c r="H1480" i="29"/>
  <c r="H1479" i="29"/>
  <c r="H1478" i="29"/>
  <c r="H1476" i="29"/>
  <c r="H1475" i="29"/>
  <c r="H1474" i="29"/>
  <c r="H1473" i="29"/>
  <c r="H1472" i="29"/>
  <c r="H1457" i="29"/>
  <c r="H1456" i="29"/>
  <c r="H1451" i="29"/>
  <c r="H1450" i="29"/>
  <c r="H1449" i="29"/>
  <c r="H1448" i="29"/>
  <c r="H1412" i="29"/>
  <c r="H1413" i="29"/>
  <c r="H1414" i="29"/>
  <c r="H1415" i="29"/>
  <c r="H1416" i="29"/>
  <c r="H1417" i="29"/>
  <c r="H1418" i="29"/>
  <c r="H1419" i="29"/>
  <c r="H1420" i="29"/>
  <c r="H1421" i="29"/>
  <c r="H1434" i="29"/>
  <c r="H1432" i="29"/>
  <c r="H1443" i="29"/>
  <c r="H1442" i="29"/>
  <c r="H1441" i="29"/>
  <c r="H1440" i="29"/>
  <c r="H1439" i="29"/>
  <c r="H1438" i="29"/>
  <c r="H1435" i="29"/>
  <c r="H1433" i="29"/>
  <c r="H1431" i="29"/>
  <c r="H1430" i="29"/>
  <c r="H1429" i="29"/>
  <c r="H1428" i="29"/>
  <c r="H1427" i="29"/>
  <c r="H1426" i="29"/>
  <c r="H1423" i="29"/>
  <c r="H1447" i="29"/>
  <c r="H1446" i="29"/>
  <c r="H1445" i="29"/>
  <c r="H1444" i="29"/>
  <c r="H1437" i="29"/>
  <c r="H1436" i="29"/>
  <c r="H1425" i="29"/>
  <c r="H1424" i="29"/>
  <c r="H1422" i="29"/>
  <c r="H1411" i="29"/>
  <c r="H1410" i="29"/>
  <c r="H1409" i="29"/>
  <c r="H1408" i="29"/>
  <c r="H1401" i="29"/>
  <c r="H1400" i="29"/>
  <c r="H1399" i="29"/>
  <c r="H1395" i="29"/>
  <c r="H1407" i="29"/>
  <c r="H1406" i="29"/>
  <c r="H1405" i="29"/>
  <c r="H1402" i="29"/>
  <c r="H1398" i="29"/>
  <c r="H1397" i="29"/>
  <c r="H1394" i="29"/>
  <c r="H1393" i="29"/>
  <c r="H1383" i="29"/>
  <c r="H1382" i="29"/>
  <c r="H1381" i="29"/>
  <c r="H1380" i="29"/>
  <c r="H1375" i="29"/>
  <c r="H1374" i="29"/>
  <c r="H1373" i="29"/>
  <c r="H1388" i="29"/>
  <c r="H1387" i="29"/>
  <c r="H1386" i="29"/>
  <c r="H1385" i="29"/>
  <c r="H1384" i="29"/>
  <c r="H1372" i="29"/>
  <c r="H1371" i="29"/>
  <c r="H1365" i="29"/>
  <c r="H696" i="29"/>
  <c r="H1404" i="29"/>
  <c r="H1403" i="29"/>
  <c r="H1396" i="29"/>
  <c r="H1390" i="29"/>
  <c r="H1389" i="29"/>
  <c r="H1392" i="29"/>
  <c r="H1391" i="29"/>
  <c r="H1377" i="29"/>
  <c r="H1376" i="29"/>
  <c r="H1366" i="29"/>
  <c r="H1360" i="29"/>
  <c r="H1359" i="29"/>
  <c r="H1379" i="29"/>
  <c r="H1378" i="29"/>
  <c r="H1368" i="29"/>
  <c r="H1367" i="29"/>
  <c r="H1363" i="29"/>
  <c r="H1361" i="29"/>
  <c r="H1356" i="29"/>
  <c r="H1355" i="29"/>
  <c r="H1354" i="29"/>
  <c r="H1370" i="29"/>
  <c r="H1369" i="29"/>
  <c r="H1362" i="29"/>
  <c r="H1358" i="29"/>
  <c r="H1357" i="29"/>
  <c r="H1353" i="29"/>
  <c r="H1352" i="29"/>
  <c r="H1351" i="29"/>
  <c r="H1364" i="29"/>
  <c r="H1350" i="29"/>
  <c r="H1349" i="29"/>
  <c r="H1348" i="29"/>
  <c r="H1347" i="29"/>
  <c r="H1346" i="29"/>
  <c r="H1345" i="29"/>
  <c r="H1341" i="29"/>
  <c r="H1339" i="29"/>
  <c r="H1335" i="29"/>
  <c r="H1334" i="29"/>
  <c r="H1333" i="29"/>
  <c r="H1332" i="29"/>
  <c r="H1331" i="29"/>
  <c r="H1330" i="29"/>
  <c r="H1328" i="29"/>
  <c r="H1327" i="29"/>
  <c r="H1326" i="29"/>
  <c r="H1325" i="29"/>
  <c r="H1322" i="29"/>
  <c r="H1321" i="29"/>
  <c r="H1329" i="29"/>
  <c r="H1324" i="29"/>
  <c r="H1323" i="29"/>
  <c r="H1316" i="29"/>
  <c r="H1315" i="29"/>
  <c r="H1314" i="29"/>
  <c r="H1313" i="29"/>
  <c r="H1312" i="29"/>
  <c r="H1311" i="29"/>
  <c r="H1344" i="29"/>
  <c r="H1343" i="29"/>
  <c r="H1342" i="29"/>
  <c r="H1340" i="29"/>
  <c r="H1338" i="29"/>
  <c r="H1337" i="29"/>
  <c r="H1336" i="29"/>
  <c r="H1310" i="29"/>
  <c r="H1309" i="29"/>
  <c r="H693" i="29"/>
  <c r="H1320" i="29"/>
  <c r="H1319" i="29"/>
  <c r="H1318" i="29"/>
  <c r="H1317" i="29"/>
  <c r="H1303" i="29"/>
  <c r="H1300" i="29"/>
  <c r="H1299" i="29"/>
  <c r="H1307" i="29"/>
  <c r="H1308" i="29"/>
  <c r="H1306" i="29"/>
  <c r="H1298" i="29"/>
  <c r="H1297" i="29"/>
  <c r="H1296" i="29"/>
  <c r="H1295" i="29"/>
  <c r="H1294" i="29"/>
  <c r="H1293" i="29"/>
  <c r="H1292" i="29"/>
  <c r="H1291" i="29"/>
  <c r="H1290" i="29"/>
  <c r="H1289" i="29"/>
  <c r="H1287" i="29"/>
  <c r="H1305" i="29"/>
  <c r="H1304" i="29"/>
  <c r="H1302" i="29"/>
  <c r="H1301" i="29"/>
  <c r="H1288" i="29"/>
  <c r="H1282" i="29"/>
  <c r="H1281" i="29"/>
  <c r="H1276" i="29"/>
  <c r="H1286" i="29"/>
  <c r="H1285" i="29"/>
  <c r="H1284" i="29"/>
  <c r="H1283" i="29"/>
  <c r="H1280" i="29"/>
  <c r="H1279" i="29"/>
  <c r="H1274" i="29"/>
  <c r="H1273" i="29"/>
  <c r="H1278" i="29"/>
  <c r="H1277" i="29"/>
  <c r="H1275" i="29"/>
  <c r="H1250" i="29"/>
  <c r="H1249" i="29"/>
  <c r="H1248" i="29"/>
  <c r="H1246" i="29"/>
  <c r="H1245" i="29"/>
  <c r="H1244" i="29"/>
  <c r="H1272" i="29"/>
  <c r="H1271" i="29"/>
  <c r="H1265" i="29"/>
  <c r="H1263" i="29"/>
  <c r="H1262" i="29"/>
  <c r="H1261" i="29"/>
  <c r="H1260" i="29"/>
  <c r="H1259" i="29"/>
  <c r="H1258" i="29"/>
  <c r="H1257" i="29"/>
  <c r="H1256" i="29"/>
  <c r="H1255" i="29"/>
  <c r="H1254" i="29"/>
  <c r="H1253" i="29"/>
  <c r="H1252" i="29"/>
  <c r="H1270" i="29"/>
  <c r="H1269" i="29"/>
  <c r="H1268" i="29"/>
  <c r="H1267" i="29"/>
  <c r="H1266" i="29"/>
  <c r="H1264" i="29"/>
  <c r="H1251" i="29"/>
  <c r="H1247" i="29"/>
  <c r="H1243" i="29"/>
  <c r="H1240" i="29"/>
  <c r="H1239" i="29"/>
  <c r="H1233" i="29"/>
  <c r="H1230" i="29"/>
  <c r="H1229" i="29"/>
  <c r="H1228" i="29"/>
  <c r="H1227" i="29"/>
  <c r="H1226" i="29"/>
  <c r="H1220" i="29"/>
  <c r="H1218" i="29"/>
  <c r="H1217" i="29"/>
  <c r="H1216" i="29"/>
  <c r="H1215" i="29"/>
  <c r="H1214" i="29"/>
  <c r="H1213" i="29"/>
  <c r="H1207" i="29"/>
  <c r="H1202" i="29"/>
  <c r="H1201" i="29"/>
  <c r="H1198" i="29"/>
  <c r="H1241" i="29"/>
  <c r="H1232" i="29"/>
  <c r="H1231" i="29"/>
  <c r="H1242" i="29"/>
  <c r="H1223" i="29"/>
  <c r="H1222" i="29"/>
  <c r="H1221" i="29"/>
  <c r="H1219" i="29"/>
  <c r="H1212" i="29"/>
  <c r="H1211" i="29"/>
  <c r="H1210" i="29"/>
  <c r="H1209" i="29"/>
  <c r="H1208" i="29"/>
  <c r="H1238" i="29"/>
  <c r="H1237" i="29"/>
  <c r="H1236" i="29"/>
  <c r="H1235" i="29"/>
  <c r="H1234" i="29"/>
  <c r="H1225" i="29"/>
  <c r="H1224" i="29"/>
  <c r="H1206" i="29"/>
  <c r="H1205" i="29"/>
  <c r="H1204" i="29"/>
  <c r="H1203" i="29"/>
  <c r="H620" i="29"/>
  <c r="H619" i="29"/>
  <c r="H618" i="29"/>
  <c r="H617" i="29"/>
  <c r="H616" i="29"/>
  <c r="H1200" i="29"/>
  <c r="H1199" i="29"/>
  <c r="H1196" i="29"/>
  <c r="H1195" i="29"/>
  <c r="H1193" i="29"/>
  <c r="H1197" i="29"/>
  <c r="H1192" i="29"/>
  <c r="H1191" i="29"/>
  <c r="H1190" i="29"/>
  <c r="H1189" i="29"/>
  <c r="H1188" i="29"/>
  <c r="H1185" i="29"/>
  <c r="H1182" i="29"/>
  <c r="H1181" i="29"/>
  <c r="H1180" i="29"/>
  <c r="H1194" i="29"/>
  <c r="H1187" i="29"/>
  <c r="H1186" i="29"/>
  <c r="H1173" i="29"/>
  <c r="H1184" i="29"/>
  <c r="H1183" i="29"/>
  <c r="H1179" i="29"/>
  <c r="H1178" i="29"/>
  <c r="H1177" i="29"/>
  <c r="H1176" i="29"/>
  <c r="H1175" i="29"/>
  <c r="H1174" i="29"/>
  <c r="H1167" i="29"/>
  <c r="H1164" i="29"/>
  <c r="H1163" i="29"/>
  <c r="H1161" i="29"/>
  <c r="H1160" i="29"/>
  <c r="H1159" i="29"/>
  <c r="H1158" i="29"/>
  <c r="H1157" i="29"/>
  <c r="H1156" i="29"/>
  <c r="H1112" i="29"/>
  <c r="H1172" i="29"/>
  <c r="H1171" i="29"/>
  <c r="H1162" i="29"/>
  <c r="H1170" i="29"/>
  <c r="H1155" i="29"/>
  <c r="H1154" i="29"/>
  <c r="H1153" i="29"/>
  <c r="H1152" i="29"/>
  <c r="H1151" i="29"/>
  <c r="H1150" i="29"/>
  <c r="H1149" i="29"/>
  <c r="H1148" i="29"/>
  <c r="H1147" i="29"/>
  <c r="H1146" i="29"/>
  <c r="H1143" i="29"/>
  <c r="H1166" i="29"/>
  <c r="H1165" i="29"/>
  <c r="H1144" i="29"/>
  <c r="H1142" i="29"/>
  <c r="H1141" i="29"/>
  <c r="H1140" i="29"/>
  <c r="H1139" i="29"/>
  <c r="H1138" i="29"/>
  <c r="H1137" i="29"/>
  <c r="H1136" i="29"/>
  <c r="H1169" i="29"/>
  <c r="H1168" i="29"/>
  <c r="H1135" i="29"/>
  <c r="H1134" i="29"/>
  <c r="H1133" i="29"/>
  <c r="H1145" i="29"/>
  <c r="H1132" i="29"/>
  <c r="H1129" i="29"/>
  <c r="H1128" i="29"/>
  <c r="H1127" i="29"/>
  <c r="H1126" i="29"/>
  <c r="H1125" i="29"/>
  <c r="H1120" i="29"/>
  <c r="H1119" i="29"/>
  <c r="H1118" i="29"/>
  <c r="H1114" i="29"/>
  <c r="H1113" i="29"/>
  <c r="H1131" i="29"/>
  <c r="H1130" i="29"/>
  <c r="H1124" i="29"/>
  <c r="H1123" i="29"/>
  <c r="H1122" i="29"/>
  <c r="H1121" i="29"/>
  <c r="H1103" i="29"/>
  <c r="H1102" i="29"/>
  <c r="H1101" i="29"/>
  <c r="H1100" i="29"/>
  <c r="H1099" i="29"/>
  <c r="H1098" i="29"/>
  <c r="H1097" i="29"/>
  <c r="H1096" i="29"/>
  <c r="H1095" i="29"/>
  <c r="H1094" i="29"/>
  <c r="H1093" i="29"/>
  <c r="H1089" i="29"/>
  <c r="H1088" i="29"/>
  <c r="H1084" i="29"/>
  <c r="H1082" i="29"/>
  <c r="H1081" i="29"/>
  <c r="H1080" i="29"/>
  <c r="H1079" i="29"/>
  <c r="H1078" i="29"/>
  <c r="H1117" i="29"/>
  <c r="H1116" i="29"/>
  <c r="H1115" i="29"/>
  <c r="H1111" i="29"/>
  <c r="H1110" i="29"/>
  <c r="H1109" i="29"/>
  <c r="H1108" i="29"/>
  <c r="H1107" i="29"/>
  <c r="H1092" i="29"/>
  <c r="H1091" i="29"/>
  <c r="H1090" i="29"/>
  <c r="H1074" i="29"/>
  <c r="H1073" i="29"/>
  <c r="H1072" i="29"/>
  <c r="H1070" i="29"/>
  <c r="H1069" i="29"/>
  <c r="H1062" i="29"/>
  <c r="H1061" i="29"/>
  <c r="H1060" i="29"/>
  <c r="H1059" i="29"/>
  <c r="H1058" i="29"/>
  <c r="H1057" i="29"/>
  <c r="H1106" i="29"/>
  <c r="H1105" i="29"/>
  <c r="H1104" i="29"/>
  <c r="H1087" i="29"/>
  <c r="H1086" i="29"/>
  <c r="H1085" i="29"/>
  <c r="H1083" i="29"/>
  <c r="H1077" i="29"/>
  <c r="H1076" i="29"/>
  <c r="H1075" i="29"/>
  <c r="H1068" i="29"/>
  <c r="H1067" i="29"/>
  <c r="H1066" i="29"/>
  <c r="H1065" i="29"/>
  <c r="H1064" i="29"/>
  <c r="H1053" i="29"/>
  <c r="H1051" i="29"/>
  <c r="H1050" i="29"/>
  <c r="H1049" i="29"/>
  <c r="H1047" i="29"/>
  <c r="H1046" i="29"/>
  <c r="H1045" i="29"/>
  <c r="H1044" i="29"/>
  <c r="H1043" i="29"/>
  <c r="H1042" i="29"/>
  <c r="H1041" i="29"/>
  <c r="H1040" i="29"/>
  <c r="H1039" i="29"/>
  <c r="H1038" i="29"/>
  <c r="H1037" i="29"/>
  <c r="H1071" i="29"/>
  <c r="H1063" i="29"/>
  <c r="H1055" i="29"/>
  <c r="H1054" i="29"/>
  <c r="H1035" i="29"/>
  <c r="H1056" i="29"/>
  <c r="H1052" i="29"/>
  <c r="H1048" i="29"/>
  <c r="H1036" i="29"/>
  <c r="H1034" i="29"/>
  <c r="H1033" i="29"/>
  <c r="H1032" i="29"/>
  <c r="H1012" i="29"/>
  <c r="H1011" i="29"/>
  <c r="H1006" i="29"/>
  <c r="H1005" i="29"/>
  <c r="H1004" i="29"/>
  <c r="H1003" i="29"/>
  <c r="H1031" i="29"/>
  <c r="H1030" i="29"/>
  <c r="H1029" i="29"/>
  <c r="H1028" i="29"/>
  <c r="H1027" i="29"/>
  <c r="H1026" i="29"/>
  <c r="H1025" i="29"/>
  <c r="H1024" i="29"/>
  <c r="H1023" i="29"/>
  <c r="H1022" i="29"/>
  <c r="H1021" i="29"/>
  <c r="H1020" i="29"/>
  <c r="H1019" i="29"/>
  <c r="H1018" i="29"/>
  <c r="H1017" i="29"/>
  <c r="H1016" i="29"/>
  <c r="H1015" i="29"/>
  <c r="H1014" i="29"/>
  <c r="H1013" i="29"/>
  <c r="H1002" i="29"/>
  <c r="H1001" i="29"/>
  <c r="H1000" i="29"/>
  <c r="H999" i="29"/>
  <c r="H998" i="29"/>
  <c r="H1010" i="29"/>
  <c r="H1009" i="29"/>
  <c r="H1008" i="29"/>
  <c r="H1007" i="29"/>
  <c r="H995" i="29"/>
  <c r="H994" i="29"/>
  <c r="H993" i="29"/>
  <c r="H992" i="29"/>
  <c r="H991" i="29"/>
  <c r="H990" i="29"/>
  <c r="H985" i="29"/>
  <c r="H981" i="29"/>
  <c r="H866" i="29"/>
  <c r="H979" i="29"/>
  <c r="H978" i="29"/>
  <c r="H977" i="29"/>
  <c r="H997" i="29"/>
  <c r="H996" i="29"/>
  <c r="H980" i="29"/>
  <c r="H976" i="29"/>
  <c r="H975" i="29"/>
  <c r="H974" i="29"/>
  <c r="H989" i="29"/>
  <c r="H988" i="29"/>
  <c r="H987" i="29"/>
  <c r="H986" i="29"/>
  <c r="H984" i="29"/>
  <c r="H983" i="29"/>
  <c r="H982" i="29"/>
  <c r="H960" i="29"/>
  <c r="H958" i="29"/>
  <c r="H957" i="29"/>
  <c r="H973" i="29"/>
  <c r="H972" i="29"/>
  <c r="H971" i="29"/>
  <c r="H970" i="29"/>
  <c r="H969" i="29"/>
  <c r="H968" i="29"/>
  <c r="H967" i="29"/>
  <c r="H966" i="29"/>
  <c r="H965" i="29"/>
  <c r="H964" i="29"/>
  <c r="H963" i="29"/>
  <c r="H962" i="29"/>
  <c r="H961" i="29"/>
  <c r="H959" i="29"/>
  <c r="H956" i="29"/>
  <c r="H955" i="29"/>
  <c r="H952" i="29"/>
  <c r="H949" i="29"/>
  <c r="H954" i="29"/>
  <c r="H953" i="29"/>
  <c r="H951" i="29"/>
  <c r="H950" i="29"/>
  <c r="H944" i="29"/>
  <c r="H943" i="29"/>
  <c r="H942" i="29"/>
  <c r="H948" i="29"/>
  <c r="H947" i="29"/>
  <c r="H946" i="29"/>
  <c r="H945" i="29"/>
  <c r="H940" i="29"/>
  <c r="H939" i="29"/>
  <c r="H927" i="29"/>
  <c r="H926" i="29"/>
  <c r="H941" i="29"/>
  <c r="H938" i="29"/>
  <c r="H937" i="29"/>
  <c r="H936" i="29"/>
  <c r="H935" i="29"/>
  <c r="H934" i="29"/>
  <c r="H933" i="29"/>
  <c r="H905" i="29"/>
  <c r="H932" i="29"/>
  <c r="H931" i="29"/>
  <c r="H930" i="29"/>
  <c r="H929" i="29"/>
  <c r="H928" i="29"/>
  <c r="H925" i="29"/>
  <c r="H924" i="29"/>
  <c r="H922" i="29"/>
  <c r="H921" i="29"/>
  <c r="H917" i="29"/>
  <c r="H916" i="29"/>
  <c r="H915" i="29"/>
  <c r="H920" i="29"/>
  <c r="H919" i="29"/>
  <c r="H918" i="29"/>
  <c r="H914" i="29"/>
  <c r="H913" i="29"/>
  <c r="H904" i="29"/>
  <c r="H903" i="29"/>
  <c r="H902" i="29"/>
  <c r="H901" i="29"/>
  <c r="H892" i="29"/>
  <c r="H923" i="29"/>
  <c r="H909" i="29"/>
  <c r="H908" i="29"/>
  <c r="H888" i="29"/>
  <c r="H910" i="29"/>
  <c r="H907" i="29"/>
  <c r="H906" i="29"/>
  <c r="H642" i="29"/>
  <c r="H891" i="29"/>
  <c r="H890" i="29"/>
  <c r="H912" i="29"/>
  <c r="H911" i="29"/>
  <c r="H889" i="29"/>
  <c r="H887" i="29"/>
  <c r="H882" i="29"/>
  <c r="H881" i="29"/>
  <c r="H900" i="29"/>
  <c r="H899" i="29"/>
  <c r="H898" i="29"/>
  <c r="H897" i="29"/>
  <c r="H896" i="29"/>
  <c r="H895" i="29"/>
  <c r="H894" i="29"/>
  <c r="H893" i="29"/>
  <c r="H879" i="29"/>
  <c r="H878" i="29"/>
  <c r="H877" i="29"/>
  <c r="H876" i="29"/>
  <c r="H886" i="29"/>
  <c r="H885" i="29"/>
  <c r="H875" i="29"/>
  <c r="H874" i="29"/>
  <c r="H873" i="29"/>
  <c r="H872" i="29"/>
  <c r="H871" i="29"/>
  <c r="H884" i="29"/>
  <c r="H883" i="29"/>
  <c r="H880" i="29"/>
  <c r="H869" i="29"/>
  <c r="H865" i="29"/>
  <c r="H864" i="29"/>
  <c r="H863" i="29"/>
  <c r="H862" i="29"/>
  <c r="H861" i="29"/>
  <c r="H860" i="29"/>
  <c r="H859" i="29"/>
  <c r="H858" i="29"/>
  <c r="H857" i="29"/>
  <c r="H870" i="29"/>
  <c r="H868" i="29"/>
  <c r="H867" i="29"/>
  <c r="H856" i="29"/>
  <c r="H855" i="29"/>
  <c r="H710" i="29"/>
  <c r="H850" i="29"/>
  <c r="H849" i="29"/>
  <c r="H848" i="29"/>
  <c r="H847" i="29"/>
  <c r="H852" i="29"/>
  <c r="H851" i="29"/>
  <c r="H846" i="29"/>
  <c r="H845" i="29"/>
  <c r="H844" i="29"/>
  <c r="H843" i="29"/>
  <c r="H842" i="29"/>
  <c r="H841" i="29"/>
  <c r="H854" i="29"/>
  <c r="H853" i="29"/>
  <c r="H840" i="29"/>
  <c r="H839" i="29"/>
  <c r="H838" i="29"/>
  <c r="H837" i="29"/>
  <c r="H836" i="29"/>
  <c r="H833" i="29"/>
  <c r="H834" i="29"/>
  <c r="H815" i="29"/>
  <c r="H835" i="29"/>
  <c r="H832" i="29"/>
  <c r="H831" i="29"/>
  <c r="H830" i="29"/>
  <c r="H829" i="29"/>
  <c r="H828" i="29"/>
  <c r="H827" i="29"/>
  <c r="H826" i="29"/>
  <c r="H825" i="29"/>
  <c r="H824" i="29"/>
  <c r="H823" i="29"/>
  <c r="H822" i="29"/>
  <c r="H821" i="29"/>
  <c r="H820" i="29"/>
  <c r="H819" i="29"/>
  <c r="H818" i="29"/>
  <c r="H817" i="29"/>
  <c r="H816" i="29"/>
  <c r="H814" i="29"/>
  <c r="H813" i="29"/>
  <c r="H808" i="29"/>
  <c r="H802" i="29"/>
  <c r="H801" i="29"/>
  <c r="H800" i="29"/>
  <c r="H799" i="29"/>
  <c r="H812" i="29"/>
  <c r="H798" i="29"/>
  <c r="H797" i="29"/>
  <c r="H792" i="29"/>
  <c r="H791" i="29"/>
  <c r="H790" i="29"/>
  <c r="H789" i="29"/>
  <c r="H780" i="29"/>
  <c r="H778" i="29"/>
  <c r="H777" i="29"/>
  <c r="H776" i="29"/>
  <c r="H775" i="29"/>
  <c r="H774" i="29"/>
  <c r="H771" i="29"/>
  <c r="H811" i="29"/>
  <c r="H810" i="29"/>
  <c r="H809" i="29"/>
  <c r="H807" i="29"/>
  <c r="H806" i="29"/>
  <c r="H805" i="29"/>
  <c r="H804" i="29"/>
  <c r="H803" i="29"/>
  <c r="H796" i="29"/>
  <c r="H795" i="29"/>
  <c r="H794" i="29"/>
  <c r="H793" i="29"/>
  <c r="H788" i="29"/>
  <c r="H787" i="29"/>
  <c r="H786" i="29"/>
  <c r="H785" i="29"/>
  <c r="H784" i="29"/>
  <c r="H783" i="29"/>
  <c r="H782" i="29"/>
  <c r="H781" i="29"/>
  <c r="H779" i="29"/>
  <c r="H773" i="29"/>
  <c r="H772" i="29"/>
  <c r="H770" i="29"/>
  <c r="H769" i="29"/>
  <c r="H768" i="29"/>
  <c r="H767" i="29"/>
  <c r="H766" i="29"/>
  <c r="H765" i="29"/>
  <c r="H764" i="29"/>
  <c r="H763" i="29"/>
  <c r="H744" i="29"/>
  <c r="H739" i="29"/>
  <c r="H738" i="29"/>
  <c r="H750" i="29"/>
  <c r="H746" i="29"/>
  <c r="H745" i="29"/>
  <c r="H743" i="29"/>
  <c r="H742" i="29"/>
  <c r="H762" i="29"/>
  <c r="H761" i="29"/>
  <c r="H760" i="29"/>
  <c r="H759" i="29"/>
  <c r="H758" i="29"/>
  <c r="H757" i="29"/>
  <c r="H756" i="29"/>
  <c r="H755" i="29"/>
  <c r="H754" i="29"/>
  <c r="H753" i="29"/>
  <c r="H752" i="29"/>
  <c r="H751" i="29"/>
  <c r="H749" i="29"/>
  <c r="H748" i="29"/>
  <c r="H747" i="29"/>
  <c r="H735" i="29"/>
  <c r="H732" i="29"/>
  <c r="H731" i="29"/>
  <c r="H730" i="29"/>
  <c r="H729" i="29"/>
  <c r="H728" i="29"/>
  <c r="H720" i="29"/>
  <c r="H718" i="29"/>
  <c r="H713" i="29"/>
  <c r="H712" i="29"/>
  <c r="H741" i="29"/>
  <c r="H740" i="29"/>
  <c r="H734" i="29"/>
  <c r="H733" i="29"/>
  <c r="H727" i="29"/>
  <c r="H726" i="29"/>
  <c r="H725" i="29"/>
  <c r="H724" i="29"/>
  <c r="H723" i="29"/>
  <c r="H714" i="29"/>
  <c r="H615" i="29"/>
  <c r="H737" i="29"/>
  <c r="H736" i="29"/>
  <c r="H719" i="29"/>
  <c r="H711" i="29"/>
  <c r="H692" i="29"/>
  <c r="H709" i="29"/>
  <c r="H708" i="29"/>
  <c r="H707" i="29"/>
  <c r="H722" i="29"/>
  <c r="H721" i="29"/>
  <c r="H717" i="29"/>
  <c r="H716" i="29"/>
  <c r="H715" i="29"/>
  <c r="H688" i="29"/>
  <c r="H687" i="29"/>
  <c r="H686" i="29"/>
  <c r="H685" i="29"/>
  <c r="H684" i="29"/>
  <c r="H706" i="29"/>
  <c r="H705" i="29"/>
  <c r="H704" i="29"/>
  <c r="H703" i="29"/>
  <c r="H702" i="29"/>
  <c r="H701" i="29"/>
  <c r="H700" i="29"/>
  <c r="H699" i="29"/>
  <c r="H698" i="29"/>
  <c r="H697" i="29"/>
  <c r="H683" i="29"/>
  <c r="H682" i="29"/>
  <c r="H681" i="29"/>
  <c r="H680" i="29"/>
  <c r="H679" i="29"/>
  <c r="H678" i="29"/>
  <c r="H677" i="29"/>
  <c r="H691" i="29"/>
  <c r="H690" i="29"/>
  <c r="H676" i="29"/>
  <c r="H675" i="29"/>
  <c r="H657" i="29"/>
  <c r="H656" i="29"/>
  <c r="H674" i="29"/>
  <c r="H673" i="29"/>
  <c r="H672" i="29"/>
  <c r="H667" i="29"/>
  <c r="H666" i="29"/>
  <c r="H664" i="29"/>
  <c r="H652" i="29"/>
  <c r="H646" i="29"/>
  <c r="H645" i="29"/>
  <c r="H640" i="29"/>
  <c r="H639" i="29"/>
  <c r="H638" i="29"/>
  <c r="H635" i="29"/>
  <c r="H634" i="29"/>
  <c r="H631" i="29"/>
  <c r="H630" i="29"/>
  <c r="H629" i="29"/>
  <c r="H628" i="29"/>
  <c r="H627" i="29"/>
  <c r="H626" i="29"/>
  <c r="H625" i="29"/>
  <c r="H624" i="29"/>
  <c r="H622" i="29"/>
  <c r="H671" i="29"/>
  <c r="H670" i="29"/>
  <c r="H669" i="29"/>
  <c r="H668" i="29"/>
  <c r="H665" i="29"/>
  <c r="H663" i="29"/>
  <c r="H662" i="29"/>
  <c r="H661" i="29"/>
  <c r="H614" i="29"/>
  <c r="H623" i="29"/>
  <c r="H613" i="29"/>
  <c r="H612" i="29"/>
  <c r="H611" i="29"/>
  <c r="H610" i="29"/>
  <c r="H609" i="29"/>
  <c r="H607" i="29"/>
  <c r="H605" i="29"/>
  <c r="H604" i="29"/>
  <c r="H597" i="29"/>
  <c r="H596" i="29"/>
  <c r="H595" i="29"/>
  <c r="H594" i="29"/>
  <c r="H593" i="29"/>
  <c r="H591" i="29"/>
  <c r="H590" i="29"/>
  <c r="H589" i="29"/>
  <c r="H580" i="29"/>
  <c r="H579" i="29"/>
  <c r="H588" i="29"/>
  <c r="H583" i="29"/>
  <c r="H582" i="29"/>
  <c r="H581" i="29"/>
  <c r="H577" i="29"/>
  <c r="H608" i="29"/>
  <c r="H606" i="29"/>
  <c r="H587" i="29"/>
  <c r="H586" i="29"/>
  <c r="H575" i="29"/>
  <c r="H573" i="29"/>
  <c r="H571" i="29"/>
  <c r="H603" i="29"/>
  <c r="H602" i="29"/>
  <c r="H601" i="29"/>
  <c r="H600" i="29"/>
  <c r="H599" i="29"/>
  <c r="H598" i="29"/>
  <c r="H585" i="29"/>
  <c r="H584" i="29"/>
  <c r="H576" i="29"/>
  <c r="H592" i="29"/>
  <c r="H578" i="29"/>
  <c r="H553" i="29"/>
  <c r="H551" i="29"/>
  <c r="H574" i="29"/>
  <c r="H572" i="29"/>
  <c r="H570" i="29"/>
  <c r="H569" i="29"/>
  <c r="H568" i="29"/>
  <c r="H567" i="29"/>
  <c r="H549" i="29"/>
  <c r="H548" i="29"/>
  <c r="H558" i="29"/>
  <c r="H557" i="29"/>
  <c r="H556" i="29"/>
  <c r="H555" i="29"/>
  <c r="H554" i="29"/>
  <c r="H552" i="29"/>
  <c r="H550" i="29"/>
  <c r="H547" i="29"/>
  <c r="H546" i="29"/>
  <c r="H566" i="29"/>
  <c r="H565" i="29"/>
  <c r="H564" i="29"/>
  <c r="H563" i="29"/>
  <c r="H562" i="29"/>
  <c r="H561" i="29"/>
  <c r="H560" i="29"/>
  <c r="H559" i="29"/>
  <c r="H535" i="29"/>
  <c r="H534" i="29"/>
  <c r="H532" i="29"/>
  <c r="H518" i="29"/>
  <c r="H517" i="29"/>
  <c r="H516" i="29"/>
  <c r="H525" i="29"/>
  <c r="H524" i="29"/>
  <c r="H523" i="29"/>
  <c r="H522" i="29"/>
  <c r="H521" i="29"/>
  <c r="H520" i="29"/>
  <c r="H519" i="29"/>
  <c r="H533" i="29"/>
  <c r="H529" i="29"/>
  <c r="H528" i="29"/>
  <c r="H527" i="29"/>
  <c r="H526" i="29"/>
  <c r="H509" i="29"/>
  <c r="H508" i="29"/>
  <c r="H507" i="29"/>
  <c r="H545" i="29"/>
  <c r="H544" i="29"/>
  <c r="H543" i="29"/>
  <c r="H542" i="29"/>
  <c r="H541" i="29"/>
  <c r="H540" i="29"/>
  <c r="H539" i="29"/>
  <c r="H538" i="29"/>
  <c r="H537" i="29"/>
  <c r="H536" i="29"/>
  <c r="H511" i="29"/>
  <c r="H510" i="29"/>
  <c r="H506" i="29"/>
  <c r="H505" i="29"/>
  <c r="H504" i="29"/>
  <c r="H503" i="29"/>
  <c r="H502" i="29"/>
  <c r="H497" i="29"/>
  <c r="H496" i="29"/>
  <c r="H495" i="29"/>
  <c r="H494" i="29"/>
  <c r="H531" i="29"/>
  <c r="H530" i="29"/>
  <c r="H515" i="29"/>
  <c r="H514" i="29"/>
  <c r="H513" i="29"/>
  <c r="H512" i="29"/>
  <c r="H501" i="29"/>
  <c r="H493" i="29"/>
  <c r="H500" i="29"/>
  <c r="H499" i="29"/>
  <c r="H498" i="29"/>
  <c r="H492" i="29"/>
  <c r="H491" i="29"/>
  <c r="H487" i="29"/>
  <c r="H486" i="29"/>
  <c r="H490" i="29"/>
  <c r="H489" i="29"/>
  <c r="H488" i="29"/>
  <c r="H485" i="29"/>
  <c r="H484" i="29"/>
  <c r="H483" i="29"/>
  <c r="H482" i="29"/>
  <c r="H472" i="29"/>
  <c r="H471" i="29"/>
  <c r="H481" i="29"/>
  <c r="H480" i="29"/>
  <c r="H479" i="29"/>
  <c r="H478" i="29"/>
  <c r="H477" i="29"/>
  <c r="H476" i="29"/>
  <c r="H475" i="29"/>
  <c r="H474" i="29"/>
  <c r="H467" i="29"/>
  <c r="H452" i="29"/>
  <c r="H451" i="29"/>
  <c r="H450" i="29"/>
  <c r="H449" i="29"/>
  <c r="H447" i="29"/>
  <c r="H446" i="29"/>
  <c r="H470" i="29"/>
  <c r="H469" i="29"/>
  <c r="H468" i="29"/>
  <c r="H466" i="29"/>
  <c r="H465" i="29"/>
  <c r="H464" i="29"/>
  <c r="H463" i="29"/>
  <c r="H462" i="29"/>
  <c r="H461" i="29"/>
  <c r="H460" i="29"/>
  <c r="H459" i="29"/>
  <c r="H444" i="29"/>
  <c r="H443" i="29"/>
  <c r="H442" i="29"/>
  <c r="H441" i="29"/>
  <c r="H439" i="29"/>
  <c r="H438" i="29"/>
  <c r="H436" i="29"/>
  <c r="H458" i="29"/>
  <c r="H457" i="29"/>
  <c r="H456" i="29"/>
  <c r="H455" i="29"/>
  <c r="H454" i="29"/>
  <c r="H453" i="29"/>
  <c r="H448" i="29"/>
  <c r="H445" i="29"/>
  <c r="H440" i="29"/>
  <c r="H434" i="29"/>
  <c r="H433" i="29"/>
  <c r="H432" i="29"/>
  <c r="H431" i="29"/>
  <c r="H430" i="29"/>
  <c r="H429" i="29"/>
  <c r="H428" i="29"/>
  <c r="H427" i="29"/>
  <c r="H426" i="29"/>
  <c r="H425" i="29"/>
  <c r="H424" i="29"/>
  <c r="H435" i="29"/>
  <c r="H423" i="29"/>
  <c r="H420" i="29"/>
  <c r="H418" i="29"/>
  <c r="H416" i="29"/>
  <c r="H415" i="29"/>
  <c r="H414" i="29"/>
  <c r="H413" i="29"/>
  <c r="H412" i="29"/>
  <c r="H409" i="29"/>
  <c r="H407" i="29"/>
  <c r="H437" i="29"/>
  <c r="H408" i="29"/>
  <c r="H403" i="29"/>
  <c r="H402" i="29"/>
  <c r="H401" i="29"/>
  <c r="H400" i="29"/>
  <c r="H399" i="29"/>
  <c r="H398" i="29"/>
  <c r="H422" i="29"/>
  <c r="H421" i="29"/>
  <c r="H419" i="29"/>
  <c r="H417" i="29"/>
  <c r="H394" i="29"/>
  <c r="H411" i="29"/>
  <c r="H410" i="29"/>
  <c r="H405" i="29"/>
  <c r="H404" i="29"/>
  <c r="H388" i="29"/>
  <c r="H384" i="29"/>
  <c r="H383" i="29"/>
  <c r="H406" i="29"/>
  <c r="H378" i="29"/>
  <c r="H377" i="29"/>
  <c r="H376" i="29"/>
  <c r="H375" i="29"/>
  <c r="H374" i="29"/>
  <c r="H370" i="29"/>
  <c r="H358" i="29"/>
  <c r="H357" i="29"/>
  <c r="H356" i="29"/>
  <c r="H355" i="29"/>
  <c r="H397" i="29"/>
  <c r="H396" i="29"/>
  <c r="H390" i="29"/>
  <c r="H373" i="29"/>
  <c r="H372" i="29"/>
  <c r="H345" i="29"/>
  <c r="H344" i="29"/>
  <c r="H343" i="29"/>
  <c r="H342" i="29"/>
  <c r="H341" i="29"/>
  <c r="H395" i="29"/>
  <c r="H393" i="29"/>
  <c r="H391" i="29"/>
  <c r="H389" i="29"/>
  <c r="H392" i="29"/>
  <c r="H387" i="29"/>
  <c r="H386" i="29"/>
  <c r="H385" i="29"/>
  <c r="H371" i="29"/>
  <c r="H364" i="29"/>
  <c r="H340" i="29"/>
  <c r="H339" i="29"/>
  <c r="H338" i="29"/>
  <c r="H347" i="29"/>
  <c r="H346" i="29"/>
  <c r="H333" i="29"/>
  <c r="H332" i="29"/>
  <c r="H323" i="29"/>
  <c r="H382" i="29"/>
  <c r="H381" i="29"/>
  <c r="H380" i="29"/>
  <c r="H379" i="29"/>
  <c r="H369" i="29"/>
  <c r="H368" i="29"/>
  <c r="H367" i="29"/>
  <c r="H366" i="29"/>
  <c r="H365" i="29"/>
  <c r="H363" i="29"/>
  <c r="H362" i="29"/>
  <c r="H361" i="29"/>
  <c r="H360" i="29"/>
  <c r="H359" i="29"/>
  <c r="H354" i="29"/>
  <c r="H353" i="29"/>
  <c r="H352" i="29"/>
  <c r="H351" i="29"/>
  <c r="H350" i="29"/>
  <c r="H349" i="29"/>
  <c r="H348" i="29"/>
  <c r="H337" i="29"/>
  <c r="H336" i="29"/>
  <c r="H335" i="29"/>
  <c r="H331" i="29"/>
  <c r="H328" i="29"/>
  <c r="H327" i="29"/>
  <c r="H326" i="29"/>
  <c r="H325" i="29"/>
  <c r="H322" i="29"/>
  <c r="H321" i="29"/>
  <c r="H320" i="29"/>
  <c r="H319" i="29"/>
  <c r="H334" i="29"/>
  <c r="H330" i="29"/>
  <c r="H329" i="29"/>
  <c r="H324" i="29"/>
  <c r="H317" i="29"/>
  <c r="H316" i="29"/>
  <c r="H315" i="29"/>
  <c r="H314" i="29"/>
  <c r="H313" i="29"/>
  <c r="H304" i="29"/>
  <c r="H318" i="29"/>
  <c r="H312" i="29"/>
  <c r="H311" i="29"/>
  <c r="H308" i="29"/>
  <c r="H307" i="29"/>
  <c r="H300" i="29"/>
  <c r="H296" i="29"/>
  <c r="H310" i="29"/>
  <c r="H309" i="29"/>
  <c r="H306" i="29"/>
  <c r="H305" i="29"/>
  <c r="H303" i="29"/>
  <c r="H302" i="29"/>
  <c r="H301" i="29"/>
  <c r="H299" i="29"/>
  <c r="H298" i="29"/>
  <c r="H297" i="29"/>
  <c r="H295" i="29"/>
  <c r="H294" i="29"/>
  <c r="H293" i="29"/>
  <c r="H292" i="29"/>
  <c r="H290" i="29"/>
  <c r="H288" i="29"/>
  <c r="H287" i="29"/>
  <c r="H285" i="29"/>
  <c r="H291" i="29"/>
  <c r="H289" i="29"/>
  <c r="H286" i="29"/>
  <c r="H281" i="29"/>
  <c r="H280" i="29"/>
  <c r="H279" i="29"/>
  <c r="H278" i="29"/>
  <c r="H277" i="29"/>
  <c r="H276" i="29"/>
  <c r="H275" i="29"/>
  <c r="H274" i="29"/>
  <c r="H273" i="29"/>
  <c r="H272" i="29"/>
  <c r="H271" i="29"/>
  <c r="H270" i="29"/>
  <c r="H269" i="29"/>
  <c r="H284" i="29"/>
  <c r="H283" i="29"/>
  <c r="H282" i="29"/>
  <c r="H268" i="29"/>
  <c r="H267" i="29"/>
  <c r="H266" i="29"/>
  <c r="H265" i="29"/>
  <c r="H264" i="29"/>
  <c r="H251" i="29"/>
  <c r="H250" i="29"/>
  <c r="H249" i="29"/>
  <c r="H263" i="29"/>
  <c r="H262" i="29"/>
  <c r="H261" i="29"/>
  <c r="H260" i="29"/>
  <c r="H246" i="29"/>
  <c r="H245" i="29"/>
  <c r="H240" i="29"/>
  <c r="H239" i="29"/>
  <c r="H238" i="29"/>
  <c r="H236" i="29"/>
  <c r="H248" i="29"/>
  <c r="H247" i="29"/>
  <c r="H244" i="29"/>
  <c r="H243" i="29"/>
  <c r="H242" i="29"/>
  <c r="H241" i="29"/>
  <c r="H259" i="29"/>
  <c r="H258" i="29"/>
  <c r="H257" i="29"/>
  <c r="H256" i="29"/>
  <c r="H255" i="29"/>
  <c r="H254" i="29"/>
  <c r="H253" i="29"/>
  <c r="H252" i="29"/>
  <c r="H237" i="29"/>
  <c r="H233" i="29"/>
  <c r="H232" i="29"/>
  <c r="H229" i="29"/>
  <c r="H227" i="29"/>
  <c r="H234" i="29"/>
  <c r="H231" i="29"/>
  <c r="H230" i="29"/>
  <c r="H226" i="29"/>
  <c r="H225" i="29"/>
  <c r="H235" i="29"/>
  <c r="H228" i="29"/>
  <c r="H224" i="29"/>
  <c r="H223" i="29"/>
  <c r="H222" i="29"/>
  <c r="H221" i="29"/>
  <c r="H220" i="29"/>
  <c r="H219" i="29"/>
  <c r="H218" i="29"/>
  <c r="H217" i="29"/>
  <c r="H216" i="29"/>
  <c r="H215" i="29"/>
  <c r="H214" i="29"/>
  <c r="H213" i="29"/>
  <c r="H212" i="29"/>
  <c r="H211" i="29"/>
  <c r="H210" i="29"/>
  <c r="H209" i="29"/>
  <c r="H208" i="29"/>
  <c r="H207" i="29"/>
  <c r="H206" i="29"/>
  <c r="H205" i="29"/>
  <c r="H171" i="29"/>
  <c r="H204" i="29"/>
  <c r="H203" i="29"/>
  <c r="H202" i="29"/>
  <c r="H201" i="29"/>
  <c r="H200" i="29"/>
  <c r="H199" i="29"/>
  <c r="H195" i="29"/>
  <c r="H192" i="29"/>
  <c r="H191" i="29"/>
  <c r="H194" i="29"/>
  <c r="H188" i="29"/>
  <c r="H187" i="29"/>
  <c r="H186" i="29"/>
  <c r="H185" i="29"/>
  <c r="H184" i="29"/>
  <c r="H183" i="29"/>
  <c r="H198" i="29"/>
  <c r="H197" i="29"/>
  <c r="H196" i="29"/>
  <c r="H193" i="29"/>
  <c r="H189" i="29"/>
  <c r="H182" i="29"/>
  <c r="H180" i="29"/>
  <c r="H190" i="29"/>
  <c r="H177" i="29"/>
  <c r="H176" i="29"/>
  <c r="H174" i="29"/>
  <c r="H172" i="29"/>
  <c r="H167" i="29"/>
  <c r="H181" i="29"/>
  <c r="H179" i="29"/>
  <c r="H178" i="29"/>
  <c r="H163" i="29"/>
  <c r="H162" i="29"/>
  <c r="H161" i="29"/>
  <c r="H175" i="29"/>
  <c r="H173" i="29"/>
  <c r="H170" i="29"/>
  <c r="H169" i="29"/>
  <c r="H168" i="29"/>
  <c r="H139" i="29"/>
  <c r="H157" i="29"/>
  <c r="H154" i="29"/>
  <c r="H153" i="29"/>
  <c r="H152" i="29"/>
  <c r="H151" i="29"/>
  <c r="H150" i="29"/>
  <c r="H149" i="29"/>
  <c r="H148" i="29"/>
  <c r="H147" i="29"/>
  <c r="H146" i="29"/>
  <c r="H75" i="29"/>
  <c r="H156" i="29"/>
  <c r="H155" i="29"/>
  <c r="H160" i="29"/>
  <c r="H159" i="29"/>
  <c r="H158" i="29"/>
  <c r="H166" i="29"/>
  <c r="H165" i="29"/>
  <c r="H164" i="29"/>
  <c r="H145" i="29"/>
  <c r="H144" i="29"/>
  <c r="H143" i="29"/>
  <c r="H142" i="29"/>
  <c r="H138" i="29"/>
  <c r="H137" i="29"/>
  <c r="H125" i="29"/>
  <c r="H124" i="29"/>
  <c r="H141" i="29"/>
  <c r="H140" i="29"/>
  <c r="H132" i="29"/>
  <c r="H123" i="29"/>
  <c r="H122" i="29"/>
  <c r="H121" i="29"/>
  <c r="H120" i="29"/>
  <c r="H119" i="29"/>
  <c r="H118" i="29"/>
  <c r="H136" i="29"/>
  <c r="H135" i="29"/>
  <c r="H134" i="29"/>
  <c r="H133" i="29"/>
  <c r="H131" i="29"/>
  <c r="H130" i="29"/>
  <c r="H129" i="29"/>
  <c r="H128" i="29"/>
  <c r="H127" i="29"/>
  <c r="H126" i="29"/>
  <c r="H115" i="29"/>
  <c r="H114" i="29"/>
  <c r="H113" i="29"/>
  <c r="H112" i="29"/>
  <c r="H111" i="29"/>
  <c r="H110" i="29"/>
  <c r="H109" i="29"/>
  <c r="H100" i="29"/>
  <c r="H117" i="29"/>
  <c r="H116" i="29"/>
  <c r="H108" i="29"/>
  <c r="H107" i="29"/>
  <c r="H106" i="29"/>
  <c r="H105" i="29"/>
  <c r="H104" i="29"/>
  <c r="H103" i="29"/>
  <c r="H102" i="29"/>
  <c r="H101" i="29"/>
  <c r="H99" i="29"/>
  <c r="H93" i="29"/>
  <c r="H89" i="29"/>
  <c r="H88" i="29"/>
  <c r="H87" i="29"/>
  <c r="H86" i="29"/>
  <c r="H85" i="29"/>
  <c r="H81" i="29"/>
  <c r="H80" i="29"/>
  <c r="H76" i="29"/>
  <c r="H69" i="29"/>
  <c r="H68" i="29"/>
  <c r="H67" i="29"/>
  <c r="H66" i="29"/>
  <c r="H65" i="29"/>
  <c r="H64" i="29"/>
  <c r="H58" i="29"/>
  <c r="H57" i="29"/>
  <c r="H92" i="29"/>
  <c r="H91" i="29"/>
  <c r="H90" i="29"/>
  <c r="H84" i="29"/>
  <c r="H83" i="29"/>
  <c r="H82" i="29"/>
  <c r="H79" i="29"/>
  <c r="H78" i="29"/>
  <c r="H77" i="29"/>
  <c r="H74" i="29"/>
  <c r="H73" i="29"/>
  <c r="H72" i="29"/>
  <c r="H71" i="29"/>
  <c r="H70" i="29"/>
  <c r="H98" i="29"/>
  <c r="H97" i="29"/>
  <c r="H96" i="29"/>
  <c r="H95" i="29"/>
  <c r="H94" i="29"/>
  <c r="H60" i="29"/>
  <c r="H63" i="29"/>
  <c r="H62" i="29"/>
  <c r="H61" i="29"/>
  <c r="H56" i="29"/>
  <c r="H55" i="29"/>
  <c r="H47" i="29"/>
  <c r="H46" i="29"/>
  <c r="H45" i="29"/>
  <c r="H44" i="29"/>
  <c r="H43" i="29"/>
  <c r="H42" i="29"/>
  <c r="H41" i="29"/>
  <c r="H40" i="29"/>
  <c r="H39" i="29"/>
  <c r="H38" i="29"/>
  <c r="H31" i="29"/>
  <c r="H30" i="29"/>
  <c r="H29" i="29"/>
  <c r="H59" i="29"/>
  <c r="H54" i="29"/>
  <c r="H53" i="29"/>
  <c r="H52" i="29"/>
  <c r="H51" i="29"/>
  <c r="H49" i="29"/>
  <c r="H37" i="29"/>
  <c r="H36" i="29"/>
  <c r="H35" i="29"/>
  <c r="H34" i="29"/>
  <c r="H28" i="29"/>
  <c r="H27" i="29"/>
  <c r="H26" i="29"/>
  <c r="H50" i="29"/>
  <c r="H48" i="29"/>
  <c r="H33" i="29"/>
  <c r="H32" i="29"/>
  <c r="H25" i="29"/>
  <c r="H24" i="29"/>
  <c r="H23" i="29"/>
  <c r="H22" i="29"/>
  <c r="H20" i="29"/>
  <c r="H19" i="29"/>
  <c r="H18" i="29"/>
  <c r="H16" i="29"/>
  <c r="H21" i="29"/>
  <c r="H12" i="29"/>
  <c r="H11" i="29"/>
  <c r="H10" i="29"/>
  <c r="H9" i="29"/>
  <c r="H8" i="29"/>
  <c r="H17" i="29"/>
  <c r="H15" i="29"/>
  <c r="H14" i="29"/>
  <c r="H13" i="29"/>
  <c r="I11025" i="29"/>
  <c r="I10905" i="29"/>
  <c r="I10904" i="29"/>
  <c r="I10903" i="29"/>
  <c r="I10902" i="29"/>
  <c r="I10901" i="29"/>
  <c r="I10900" i="29"/>
  <c r="I10899" i="29"/>
  <c r="I10898" i="29"/>
  <c r="I10897" i="29"/>
  <c r="I10896" i="29"/>
  <c r="I10895" i="29"/>
  <c r="I10894" i="29"/>
  <c r="I10893" i="29"/>
  <c r="I10892" i="29"/>
  <c r="I10891" i="29"/>
  <c r="I10890" i="29"/>
  <c r="I10960" i="29"/>
  <c r="I10959" i="29"/>
  <c r="I10958" i="29"/>
  <c r="I10957" i="29"/>
  <c r="I10956" i="29"/>
  <c r="I10955" i="29"/>
  <c r="I10954" i="29"/>
  <c r="I10953" i="29"/>
  <c r="I10952" i="29"/>
  <c r="I10951" i="29"/>
  <c r="I10950" i="29"/>
  <c r="I10949" i="29"/>
  <c r="I10948" i="29"/>
  <c r="I10947" i="29"/>
  <c r="I10946" i="29"/>
  <c r="I10945" i="29"/>
  <c r="I10944" i="29"/>
  <c r="I10943" i="29"/>
  <c r="I10942" i="29"/>
  <c r="I11024" i="29"/>
  <c r="I11023" i="29"/>
  <c r="I11022" i="29"/>
  <c r="I11021" i="29"/>
  <c r="I11020" i="29"/>
  <c r="I11019" i="29"/>
  <c r="I11018" i="29"/>
  <c r="I11017" i="29"/>
  <c r="I11016" i="29"/>
  <c r="I11015" i="29"/>
  <c r="I11014" i="29"/>
  <c r="I11013" i="29"/>
  <c r="I10872" i="29"/>
  <c r="I10871" i="29"/>
  <c r="I11012" i="29"/>
  <c r="I11011" i="29"/>
  <c r="I11010" i="29"/>
  <c r="I11009" i="29"/>
  <c r="I11008" i="29"/>
  <c r="I11007" i="29"/>
  <c r="I11006" i="29"/>
  <c r="I11005" i="29"/>
  <c r="I11004" i="29"/>
  <c r="I11003" i="29"/>
  <c r="I11002" i="29"/>
  <c r="I11001" i="29"/>
  <c r="I11000" i="29"/>
  <c r="I10999" i="29"/>
  <c r="I10998" i="29"/>
  <c r="I10997" i="29"/>
  <c r="I10889" i="29"/>
  <c r="I10888" i="29"/>
  <c r="I10887" i="29"/>
  <c r="I10886" i="29"/>
  <c r="I10885" i="29"/>
  <c r="I10884" i="29"/>
  <c r="I10883" i="29"/>
  <c r="I10882" i="29"/>
  <c r="I10941" i="29"/>
  <c r="I10940" i="29"/>
  <c r="I10939" i="29"/>
  <c r="I10938" i="29"/>
  <c r="I10937" i="29"/>
  <c r="I10936" i="29"/>
  <c r="I10935" i="29"/>
  <c r="I10934" i="29"/>
  <c r="I10933" i="29"/>
  <c r="I10932" i="29"/>
  <c r="I10931" i="29"/>
  <c r="I10930" i="29"/>
  <c r="I10929" i="29"/>
  <c r="I10928" i="29"/>
  <c r="I10927" i="29"/>
  <c r="I10926" i="29"/>
  <c r="I10925" i="29"/>
  <c r="I10924" i="29"/>
  <c r="I10923" i="29"/>
  <c r="I10922" i="29"/>
  <c r="I10921" i="29"/>
  <c r="I10996" i="29"/>
  <c r="I10995" i="29"/>
  <c r="I10994" i="29"/>
  <c r="I10993" i="29"/>
  <c r="I10992" i="29"/>
  <c r="I10991" i="29"/>
  <c r="I10990" i="29"/>
  <c r="I10989" i="29"/>
  <c r="I10988" i="29"/>
  <c r="I10987" i="29"/>
  <c r="I10986" i="29"/>
  <c r="I10985" i="29"/>
  <c r="I10984" i="29"/>
  <c r="I10983" i="29"/>
  <c r="I10982" i="29"/>
  <c r="I11111" i="29"/>
  <c r="I11110" i="29"/>
  <c r="I11099" i="29"/>
  <c r="I11109" i="29"/>
  <c r="I11108" i="29"/>
  <c r="I11107" i="29"/>
  <c r="I11106" i="29"/>
  <c r="I11105" i="29"/>
  <c r="I11104" i="29"/>
  <c r="I11103" i="29"/>
  <c r="I11102" i="29"/>
  <c r="I11101" i="29"/>
  <c r="I11100" i="29"/>
  <c r="I11098" i="29"/>
  <c r="I11097" i="29"/>
  <c r="I11096" i="29"/>
  <c r="I11095" i="29"/>
  <c r="I11094" i="29"/>
  <c r="I11093" i="29"/>
  <c r="I11092" i="29"/>
  <c r="I11091" i="29"/>
  <c r="I11090" i="29"/>
  <c r="I11089" i="29"/>
  <c r="I11088" i="29"/>
  <c r="I11087" i="29"/>
  <c r="I11086" i="29"/>
  <c r="I11085" i="29"/>
  <c r="I10881" i="29"/>
  <c r="I10880" i="29"/>
  <c r="I10879" i="29"/>
  <c r="I10878" i="29"/>
  <c r="I10877" i="29"/>
  <c r="I10876" i="29"/>
  <c r="I10875" i="29"/>
  <c r="I10874" i="29"/>
  <c r="I10859" i="29"/>
  <c r="I10858" i="29"/>
  <c r="I10870" i="29"/>
  <c r="I10869" i="29"/>
  <c r="I10868" i="29"/>
  <c r="I10867" i="29"/>
  <c r="I10866" i="29"/>
  <c r="I10865" i="29"/>
  <c r="I10864" i="29"/>
  <c r="I10863" i="29"/>
  <c r="I11084" i="29"/>
  <c r="I11083" i="29"/>
  <c r="I11082" i="29"/>
  <c r="I11081" i="29"/>
  <c r="I11080" i="29"/>
  <c r="I11079" i="29"/>
  <c r="I11078" i="29"/>
  <c r="I11077" i="29"/>
  <c r="I11076" i="29"/>
  <c r="I11075" i="29"/>
  <c r="I11074" i="29"/>
  <c r="I11073" i="29"/>
  <c r="I11072" i="29"/>
  <c r="I11071" i="29"/>
  <c r="I11070" i="29"/>
  <c r="I11069" i="29"/>
  <c r="I11068" i="29"/>
  <c r="I11067" i="29"/>
  <c r="I11066" i="29"/>
  <c r="I11065" i="29"/>
  <c r="I10861" i="29"/>
  <c r="I10860" i="29"/>
  <c r="I10920" i="29"/>
  <c r="I10919" i="29"/>
  <c r="I10918" i="29"/>
  <c r="I10917" i="29"/>
  <c r="I10916" i="29"/>
  <c r="I10915" i="29"/>
  <c r="I10914" i="29"/>
  <c r="I10913" i="29"/>
  <c r="I10912" i="29"/>
  <c r="I10911" i="29"/>
  <c r="I10910" i="29"/>
  <c r="I10909" i="29"/>
  <c r="I10908" i="29"/>
  <c r="I10907" i="29"/>
  <c r="I10906" i="29"/>
  <c r="I11064" i="29"/>
  <c r="I11063" i="29"/>
  <c r="I11062" i="29"/>
  <c r="I11061" i="29"/>
  <c r="I11060" i="29"/>
  <c r="I11059" i="29"/>
  <c r="I11058" i="29"/>
  <c r="I11057" i="29"/>
  <c r="I11056" i="29"/>
  <c r="I11055" i="29"/>
  <c r="I11054" i="29"/>
  <c r="I11053" i="29"/>
  <c r="I11052" i="29"/>
  <c r="I11051" i="29"/>
  <c r="I11050" i="29"/>
  <c r="I11049" i="29"/>
  <c r="I11048" i="29"/>
  <c r="I11047" i="29"/>
  <c r="I10981" i="29"/>
  <c r="I10980" i="29"/>
  <c r="I10979" i="29"/>
  <c r="I10978" i="29"/>
  <c r="I10977" i="29"/>
  <c r="I10976" i="29"/>
  <c r="I10975" i="29"/>
  <c r="I10974" i="29"/>
  <c r="I10973" i="29"/>
  <c r="I10972" i="29"/>
  <c r="I10971" i="29"/>
  <c r="I10970" i="29"/>
  <c r="I10969" i="29"/>
  <c r="I10967" i="29"/>
  <c r="I10966" i="29"/>
  <c r="I10965" i="29"/>
  <c r="I10964" i="29"/>
  <c r="I10963" i="29"/>
  <c r="I10962" i="29"/>
  <c r="I10961" i="29"/>
  <c r="I11046" i="29"/>
  <c r="I11045" i="29"/>
  <c r="I11044" i="29"/>
  <c r="I11043" i="29"/>
  <c r="I11042" i="29"/>
  <c r="I11041" i="29"/>
  <c r="I11040" i="29"/>
  <c r="I11039" i="29"/>
  <c r="I11038" i="29"/>
  <c r="I11037" i="29"/>
  <c r="I11036" i="29"/>
  <c r="I11035" i="29"/>
  <c r="I11033" i="29"/>
  <c r="I11032" i="29"/>
  <c r="I11031" i="29"/>
  <c r="I11030" i="29"/>
  <c r="I11029" i="29"/>
  <c r="I11028" i="29"/>
  <c r="I11027" i="29"/>
  <c r="I11026" i="29"/>
  <c r="I10817" i="29"/>
  <c r="I10873" i="29"/>
  <c r="I10862" i="29"/>
  <c r="I10857" i="29"/>
  <c r="I10856" i="29"/>
  <c r="I654" i="29"/>
  <c r="I10855" i="29"/>
  <c r="I10854" i="29"/>
  <c r="I10853" i="29"/>
  <c r="I10852" i="29"/>
  <c r="I10851" i="29"/>
  <c r="I10850" i="29"/>
  <c r="I10847" i="29"/>
  <c r="I10846" i="29"/>
  <c r="I10845" i="29"/>
  <c r="I10844" i="29"/>
  <c r="I10842" i="29"/>
  <c r="I10841" i="29"/>
  <c r="I10840" i="29"/>
  <c r="I10839" i="29"/>
  <c r="I10838" i="29"/>
  <c r="I10837" i="29"/>
  <c r="I10836" i="29"/>
  <c r="I10835" i="29"/>
  <c r="I10834" i="29"/>
  <c r="I10833" i="29"/>
  <c r="I10832" i="29"/>
  <c r="I10831" i="29"/>
  <c r="I10781" i="29"/>
  <c r="I10848" i="29"/>
  <c r="I10830" i="29"/>
  <c r="I10829" i="29"/>
  <c r="I10638" i="29"/>
  <c r="I10828" i="29"/>
  <c r="I10827" i="29"/>
  <c r="I10826" i="29"/>
  <c r="I10825" i="29"/>
  <c r="I10824" i="29"/>
  <c r="I10820" i="29"/>
  <c r="I10823" i="29"/>
  <c r="I10822" i="29"/>
  <c r="I10815" i="29"/>
  <c r="I10821" i="29"/>
  <c r="I10816" i="29"/>
  <c r="I10819" i="29"/>
  <c r="I10818" i="29"/>
  <c r="I10814" i="29"/>
  <c r="I10813" i="29"/>
  <c r="I10812" i="29"/>
  <c r="I10811" i="29"/>
  <c r="I10810" i="29"/>
  <c r="I10809" i="29"/>
  <c r="I10808" i="29"/>
  <c r="I10807" i="29"/>
  <c r="I10806" i="29"/>
  <c r="I10805" i="29"/>
  <c r="I10804" i="29"/>
  <c r="I10803" i="29"/>
  <c r="I10802" i="29"/>
  <c r="I10801" i="29"/>
  <c r="I10800" i="29"/>
  <c r="I10799" i="29"/>
  <c r="I10798" i="29"/>
  <c r="I10797" i="29"/>
  <c r="I10796" i="29"/>
  <c r="I10793" i="29"/>
  <c r="I10795" i="29"/>
  <c r="I10794" i="29"/>
  <c r="I10792" i="29"/>
  <c r="I10791" i="29"/>
  <c r="I10790" i="29"/>
  <c r="I10789" i="29"/>
  <c r="I10788" i="29"/>
  <c r="I10787" i="29"/>
  <c r="I10786" i="29"/>
  <c r="I10785" i="29"/>
  <c r="I10784" i="29"/>
  <c r="I10783" i="29"/>
  <c r="I10779" i="29"/>
  <c r="I10782" i="29"/>
  <c r="I10780" i="29"/>
  <c r="I10778" i="29"/>
  <c r="I10777" i="29"/>
  <c r="I10776" i="29"/>
  <c r="I10775" i="29"/>
  <c r="I10774" i="29"/>
  <c r="I10773" i="29"/>
  <c r="I10772" i="29"/>
  <c r="I10771" i="29"/>
  <c r="I10770" i="29"/>
  <c r="I10763" i="29"/>
  <c r="I10769" i="29"/>
  <c r="I10768" i="29"/>
  <c r="I10762" i="29"/>
  <c r="I10761" i="29"/>
  <c r="I10760" i="29"/>
  <c r="I10767" i="29"/>
  <c r="I10766" i="29"/>
  <c r="I10765" i="29"/>
  <c r="I10764" i="29"/>
  <c r="I10759" i="29"/>
  <c r="I10757" i="29"/>
  <c r="I10758" i="29"/>
  <c r="I10756" i="29"/>
  <c r="I10755" i="29"/>
  <c r="I10754" i="29"/>
  <c r="I10753" i="29"/>
  <c r="I10752" i="29"/>
  <c r="I10751" i="29"/>
  <c r="I10750" i="29"/>
  <c r="I10749" i="29"/>
  <c r="I10748" i="29"/>
  <c r="I10747" i="29"/>
  <c r="I10746" i="29"/>
  <c r="I10745" i="29"/>
  <c r="I10744" i="29"/>
  <c r="I10743" i="29"/>
  <c r="I10742" i="29"/>
  <c r="I10741" i="29"/>
  <c r="I10740" i="29"/>
  <c r="I10739" i="29"/>
  <c r="I10738" i="29"/>
  <c r="I10737" i="29"/>
  <c r="I10736" i="29"/>
  <c r="I10735" i="29"/>
  <c r="I10734" i="29"/>
  <c r="I10729" i="29"/>
  <c r="I10733" i="29"/>
  <c r="I10732" i="29"/>
  <c r="I10731" i="29"/>
  <c r="I10730" i="29"/>
  <c r="I10728" i="29"/>
  <c r="I10727" i="29"/>
  <c r="I10726" i="29"/>
  <c r="I10725" i="29"/>
  <c r="I10724" i="29"/>
  <c r="I10723" i="29"/>
  <c r="I10722" i="29"/>
  <c r="I10721" i="29"/>
  <c r="I10720" i="29"/>
  <c r="I10719" i="29"/>
  <c r="I10718" i="29"/>
  <c r="I10717" i="29"/>
  <c r="I10716" i="29"/>
  <c r="I10715" i="29"/>
  <c r="I10714" i="29"/>
  <c r="I10713" i="29"/>
  <c r="I10712" i="29"/>
  <c r="I10711" i="29"/>
  <c r="I10710" i="29"/>
  <c r="I10709" i="29"/>
  <c r="I10708" i="29"/>
  <c r="I10707" i="29"/>
  <c r="I10706" i="29"/>
  <c r="I10705" i="29"/>
  <c r="I10704" i="29"/>
  <c r="I10703" i="29"/>
  <c r="I10702" i="29"/>
  <c r="I10701" i="29"/>
  <c r="I10689" i="29"/>
  <c r="I10700" i="29"/>
  <c r="I10699" i="29"/>
  <c r="I10698" i="29"/>
  <c r="I10697" i="29"/>
  <c r="I10696" i="29"/>
  <c r="I10695" i="29"/>
  <c r="I10694" i="29"/>
  <c r="I10693" i="29"/>
  <c r="I10692" i="29"/>
  <c r="I10691" i="29"/>
  <c r="I10690" i="29"/>
  <c r="I10688" i="29"/>
  <c r="I10684" i="29"/>
  <c r="I10681" i="29"/>
  <c r="I10685" i="29"/>
  <c r="I10686" i="29"/>
  <c r="I10680" i="29"/>
  <c r="I10682" i="29"/>
  <c r="I10683" i="29"/>
  <c r="I10687" i="29"/>
  <c r="I10679" i="29"/>
  <c r="I10678" i="29"/>
  <c r="I10677" i="29"/>
  <c r="I10676" i="29"/>
  <c r="I10667" i="29"/>
  <c r="I10666" i="29"/>
  <c r="I10675" i="29"/>
  <c r="I10674" i="29"/>
  <c r="I10673" i="29"/>
  <c r="I10672" i="29"/>
  <c r="I10671" i="29"/>
  <c r="I10670" i="29"/>
  <c r="I10669" i="29"/>
  <c r="I10668" i="29"/>
  <c r="I10665" i="29"/>
  <c r="I10664" i="29"/>
  <c r="I10663" i="29"/>
  <c r="I10661" i="29"/>
  <c r="I10659" i="29"/>
  <c r="I10658" i="29"/>
  <c r="I10662" i="29"/>
  <c r="I10660" i="29"/>
  <c r="I10657" i="29"/>
  <c r="I10656" i="29"/>
  <c r="I10655" i="29"/>
  <c r="I10654" i="29"/>
  <c r="I10653" i="29"/>
  <c r="I10649" i="29"/>
  <c r="I10652" i="29"/>
  <c r="I10651" i="29"/>
  <c r="I10648" i="29"/>
  <c r="I10646" i="29"/>
  <c r="I10647" i="29"/>
  <c r="I10645" i="29"/>
  <c r="I10644" i="29"/>
  <c r="I10641" i="29"/>
  <c r="I10643" i="29"/>
  <c r="I10642" i="29"/>
  <c r="I10640" i="29"/>
  <c r="I10639" i="29"/>
  <c r="I10636" i="29"/>
  <c r="I10637" i="29"/>
  <c r="I10635" i="29"/>
  <c r="I10634" i="29"/>
  <c r="I10633" i="29"/>
  <c r="I10632" i="29"/>
  <c r="I10631" i="29"/>
  <c r="I10630" i="29"/>
  <c r="I10629" i="29"/>
  <c r="I10628" i="29"/>
  <c r="I10627" i="29"/>
  <c r="I10626" i="29"/>
  <c r="I10625" i="29"/>
  <c r="I10624" i="29"/>
  <c r="I10623" i="29"/>
  <c r="I10622" i="29"/>
  <c r="I10621" i="29"/>
  <c r="I10620" i="29"/>
  <c r="I10617" i="29"/>
  <c r="I10616" i="29"/>
  <c r="I10615" i="29"/>
  <c r="I10614" i="29"/>
  <c r="I10613" i="29"/>
  <c r="I10619" i="29"/>
  <c r="I10618" i="29"/>
  <c r="I10612" i="29"/>
  <c r="I10611" i="29"/>
  <c r="I10610" i="29"/>
  <c r="I10609" i="29"/>
  <c r="I10608" i="29"/>
  <c r="I10607" i="29"/>
  <c r="I10606" i="29"/>
  <c r="I10605" i="29"/>
  <c r="I10602" i="29"/>
  <c r="I10601" i="29"/>
  <c r="I10604" i="29"/>
  <c r="I10603" i="29"/>
  <c r="I10600" i="29"/>
  <c r="I10598" i="29"/>
  <c r="I10599" i="29"/>
  <c r="I10596" i="29"/>
  <c r="I10595" i="29"/>
  <c r="I10594" i="29"/>
  <c r="I10650" i="29"/>
  <c r="I10593" i="29"/>
  <c r="I10597" i="29"/>
  <c r="I10592" i="29"/>
  <c r="I10583" i="29"/>
  <c r="I10591" i="29"/>
  <c r="I10590" i="29"/>
  <c r="I10589" i="29"/>
  <c r="I10588" i="29"/>
  <c r="I10587" i="29"/>
  <c r="I10586" i="29"/>
  <c r="I10585" i="29"/>
  <c r="I10584" i="29"/>
  <c r="I10582" i="29"/>
  <c r="I10579" i="29"/>
  <c r="I10578" i="29"/>
  <c r="I10577" i="29"/>
  <c r="I10576" i="29"/>
  <c r="I10575" i="29"/>
  <c r="I10574" i="29"/>
  <c r="I10573" i="29"/>
  <c r="I10580" i="29"/>
  <c r="I10581" i="29"/>
  <c r="I10572" i="29"/>
  <c r="I10571" i="29"/>
  <c r="I10567" i="29"/>
  <c r="I10566" i="29"/>
  <c r="I10568" i="29"/>
  <c r="I10570" i="29"/>
  <c r="I10569" i="29"/>
  <c r="I10565" i="29"/>
  <c r="I10564" i="29"/>
  <c r="I10563" i="29"/>
  <c r="I10562" i="29"/>
  <c r="I10559" i="29"/>
  <c r="I10558" i="29"/>
  <c r="I10557" i="29"/>
  <c r="I10555" i="29"/>
  <c r="I10554" i="29"/>
  <c r="I10552" i="29"/>
  <c r="I10561" i="29"/>
  <c r="I10560" i="29"/>
  <c r="I10556" i="29"/>
  <c r="I10553" i="29"/>
  <c r="I10551" i="29"/>
  <c r="I10550" i="29"/>
  <c r="I10549" i="29"/>
  <c r="I10548" i="29"/>
  <c r="I10547" i="29"/>
  <c r="I10545" i="29"/>
  <c r="I10544" i="29"/>
  <c r="I10543" i="29"/>
  <c r="I10546" i="29"/>
  <c r="I10542" i="29"/>
  <c r="I10541" i="29"/>
  <c r="I10540" i="29"/>
  <c r="I10539" i="29"/>
  <c r="I10538" i="29"/>
  <c r="I10537" i="29"/>
  <c r="I10536" i="29"/>
  <c r="I10535" i="29"/>
  <c r="I10534" i="29"/>
  <c r="I10532" i="29"/>
  <c r="I10531" i="29"/>
  <c r="I10526" i="29"/>
  <c r="I10533" i="29"/>
  <c r="I10530" i="29"/>
  <c r="I10529" i="29"/>
  <c r="I10528" i="29"/>
  <c r="I10524" i="29"/>
  <c r="I10527" i="29"/>
  <c r="I10525" i="29"/>
  <c r="I10523" i="29"/>
  <c r="I10522" i="29"/>
  <c r="I10521" i="29"/>
  <c r="I10520" i="29"/>
  <c r="I10519" i="29"/>
  <c r="I10518" i="29"/>
  <c r="I10517" i="29"/>
  <c r="I10516" i="29"/>
  <c r="I10515" i="29"/>
  <c r="I10514" i="29"/>
  <c r="I10513" i="29"/>
  <c r="I10512" i="29"/>
  <c r="I10511" i="29"/>
  <c r="I10509" i="29"/>
  <c r="I10510" i="29"/>
  <c r="I10508" i="29"/>
  <c r="I10506" i="29"/>
  <c r="I10507" i="29"/>
  <c r="I10498" i="29"/>
  <c r="I10497" i="29"/>
  <c r="I10505" i="29"/>
  <c r="I10504" i="29"/>
  <c r="I10503" i="29"/>
  <c r="I10502" i="29"/>
  <c r="I10501" i="29"/>
  <c r="I10500" i="29"/>
  <c r="I10499" i="29"/>
  <c r="I10496" i="29"/>
  <c r="I10495" i="29"/>
  <c r="I10494" i="29"/>
  <c r="I10493" i="29"/>
  <c r="I10492" i="29"/>
  <c r="I10491" i="29"/>
  <c r="I10360" i="29"/>
  <c r="I10486" i="29"/>
  <c r="I10483" i="29"/>
  <c r="I10489" i="29"/>
  <c r="I10490" i="29"/>
  <c r="I10488" i="29"/>
  <c r="I10487" i="29"/>
  <c r="I10485" i="29"/>
  <c r="I10484" i="29"/>
  <c r="I10481" i="29"/>
  <c r="I10482" i="29"/>
  <c r="I10480" i="29"/>
  <c r="I10478" i="29"/>
  <c r="I10416" i="29"/>
  <c r="I10477" i="29"/>
  <c r="I10479" i="29"/>
  <c r="I10475" i="29"/>
  <c r="I10474" i="29"/>
  <c r="I10473" i="29"/>
  <c r="I10472" i="29"/>
  <c r="I10471" i="29"/>
  <c r="I10469" i="29"/>
  <c r="I10468" i="29"/>
  <c r="I10467" i="29"/>
  <c r="I10466" i="29"/>
  <c r="I10465" i="29"/>
  <c r="I10464" i="29"/>
  <c r="I10463" i="29"/>
  <c r="I10462" i="29"/>
  <c r="I10458" i="29"/>
  <c r="I10461" i="29"/>
  <c r="I10460" i="29"/>
  <c r="I10459" i="29"/>
  <c r="I10457" i="29"/>
  <c r="I10454" i="29"/>
  <c r="I10455" i="29"/>
  <c r="I10456" i="29"/>
  <c r="I10445" i="29"/>
  <c r="I10453" i="29"/>
  <c r="I10452" i="29"/>
  <c r="I10451" i="29"/>
  <c r="I10450" i="29"/>
  <c r="I10449" i="29"/>
  <c r="I10448" i="29"/>
  <c r="I10447" i="29"/>
  <c r="I10446" i="29"/>
  <c r="I10444" i="29"/>
  <c r="I10443" i="29"/>
  <c r="I10442" i="29"/>
  <c r="I10441" i="29"/>
  <c r="I10440" i="29"/>
  <c r="I10439" i="29"/>
  <c r="I10438" i="29"/>
  <c r="I10437" i="29"/>
  <c r="I10436" i="29"/>
  <c r="I10427" i="29"/>
  <c r="I10435" i="29"/>
  <c r="I10434" i="29"/>
  <c r="I10433" i="29"/>
  <c r="I10432" i="29"/>
  <c r="I10431" i="29"/>
  <c r="I10430" i="29"/>
  <c r="I10429" i="29"/>
  <c r="I10428" i="29"/>
  <c r="I10426" i="29"/>
  <c r="I10425" i="29"/>
  <c r="I10423" i="29"/>
  <c r="I10422" i="29"/>
  <c r="I10421" i="29"/>
  <c r="I10420" i="29"/>
  <c r="I10419" i="29"/>
  <c r="I10418" i="29"/>
  <c r="I10424" i="29"/>
  <c r="I10417" i="29"/>
  <c r="I10415" i="29"/>
  <c r="I10414" i="29"/>
  <c r="I10413" i="29"/>
  <c r="I10406" i="29"/>
  <c r="I10412" i="29"/>
  <c r="I10411" i="29"/>
  <c r="I10410" i="29"/>
  <c r="I10409" i="29"/>
  <c r="I10401" i="29"/>
  <c r="I10400" i="29"/>
  <c r="I10399" i="29"/>
  <c r="I10408" i="29"/>
  <c r="I10398" i="29"/>
  <c r="I10407" i="29"/>
  <c r="I10405" i="29"/>
  <c r="I10404" i="29"/>
  <c r="I10403" i="29"/>
  <c r="I10402" i="29"/>
  <c r="I10397" i="29"/>
  <c r="I10396" i="29"/>
  <c r="I10395" i="29"/>
  <c r="I10359" i="29"/>
  <c r="I10394" i="29"/>
  <c r="I10393" i="29"/>
  <c r="I10392" i="29"/>
  <c r="I10391" i="29"/>
  <c r="I10390" i="29"/>
  <c r="I10389" i="29"/>
  <c r="I10388" i="29"/>
  <c r="I10387" i="29"/>
  <c r="I10386" i="29"/>
  <c r="I10385" i="29"/>
  <c r="I10384" i="29"/>
  <c r="I10383" i="29"/>
  <c r="I10376" i="29"/>
  <c r="I10375" i="29"/>
  <c r="I10374" i="29"/>
  <c r="I10382" i="29"/>
  <c r="I10381" i="29"/>
  <c r="I10380" i="29"/>
  <c r="I10379" i="29"/>
  <c r="I10378" i="29"/>
  <c r="I10377" i="29"/>
  <c r="I10373" i="29"/>
  <c r="I10372" i="29"/>
  <c r="I10371" i="29"/>
  <c r="I10370" i="29"/>
  <c r="I10361" i="29"/>
  <c r="I10358" i="29"/>
  <c r="I10369" i="29"/>
  <c r="I10365" i="29"/>
  <c r="I10364" i="29"/>
  <c r="I10363" i="29"/>
  <c r="I10362" i="29"/>
  <c r="I10368" i="29"/>
  <c r="I10367" i="29"/>
  <c r="I10366" i="29"/>
  <c r="I10356" i="29"/>
  <c r="I10355" i="29"/>
  <c r="I10354" i="29"/>
  <c r="I10353" i="29"/>
  <c r="I10352" i="29"/>
  <c r="I10350" i="29"/>
  <c r="I10349" i="29"/>
  <c r="I10348" i="29"/>
  <c r="I10351" i="29"/>
  <c r="I10347" i="29"/>
  <c r="I10346" i="29"/>
  <c r="I10345" i="29"/>
  <c r="I10344" i="29"/>
  <c r="I10343" i="29"/>
  <c r="I10342" i="29"/>
  <c r="I10337" i="29"/>
  <c r="I10336" i="29"/>
  <c r="I10332" i="29"/>
  <c r="I10331" i="29"/>
  <c r="I10328" i="29"/>
  <c r="I10327" i="29"/>
  <c r="I10326" i="29"/>
  <c r="I10325" i="29"/>
  <c r="I10324" i="29"/>
  <c r="I10339" i="29"/>
  <c r="I10357" i="29"/>
  <c r="I10340" i="29"/>
  <c r="I10333" i="29"/>
  <c r="I10329" i="29"/>
  <c r="I10338" i="29"/>
  <c r="I10341" i="29"/>
  <c r="I10334" i="29"/>
  <c r="I10335" i="29"/>
  <c r="I10330" i="29"/>
  <c r="I10319" i="29"/>
  <c r="I10318" i="29"/>
  <c r="I10323" i="29"/>
  <c r="I10322" i="29"/>
  <c r="I10321" i="29"/>
  <c r="I10320" i="29"/>
  <c r="I10314" i="29"/>
  <c r="I10313" i="29"/>
  <c r="I10312" i="29"/>
  <c r="I10317" i="29"/>
  <c r="I10316" i="29"/>
  <c r="I10315" i="29"/>
  <c r="I10309" i="29"/>
  <c r="I10311" i="29"/>
  <c r="I10310" i="29"/>
  <c r="I10308" i="29"/>
  <c r="I10307" i="29"/>
  <c r="I10305" i="29"/>
  <c r="I10304" i="29"/>
  <c r="I10303" i="29"/>
  <c r="I10302" i="29"/>
  <c r="I10301" i="29"/>
  <c r="I10300" i="29"/>
  <c r="I10296" i="29"/>
  <c r="I10299" i="29"/>
  <c r="I10298" i="29"/>
  <c r="I10297" i="29"/>
  <c r="I10293" i="29"/>
  <c r="I10292" i="29"/>
  <c r="I10290" i="29"/>
  <c r="I10289" i="29"/>
  <c r="I10288" i="29"/>
  <c r="I10287" i="29"/>
  <c r="I10277" i="29"/>
  <c r="I10294" i="29"/>
  <c r="I10291" i="29"/>
  <c r="I10286" i="29"/>
  <c r="I10295" i="29"/>
  <c r="I10285" i="29"/>
  <c r="I10284" i="29"/>
  <c r="I10283" i="29"/>
  <c r="I10282" i="29"/>
  <c r="I10281" i="29"/>
  <c r="I10280" i="29"/>
  <c r="I10279" i="29"/>
  <c r="I10278" i="29"/>
  <c r="I10849" i="29"/>
  <c r="I11034" i="29"/>
  <c r="I10843" i="29"/>
  <c r="I10306" i="29"/>
  <c r="I10276" i="29"/>
  <c r="I10275" i="29"/>
  <c r="I10274" i="29"/>
  <c r="I10273" i="29"/>
  <c r="I10272" i="29"/>
  <c r="I10271" i="29"/>
  <c r="I10270" i="29"/>
  <c r="I10968" i="29"/>
  <c r="I10267" i="29"/>
  <c r="I10269" i="29"/>
  <c r="I10268" i="29"/>
  <c r="I10266" i="29"/>
  <c r="I10265" i="29"/>
  <c r="I10264" i="29"/>
  <c r="I10263" i="29"/>
  <c r="I10262" i="29"/>
  <c r="I10261" i="29"/>
  <c r="I10260" i="29"/>
  <c r="I10259" i="29"/>
  <c r="I10258" i="29"/>
  <c r="I10257" i="29"/>
  <c r="I10256" i="29"/>
  <c r="I10255" i="29"/>
  <c r="I10254" i="29"/>
  <c r="I10252" i="29"/>
  <c r="I10248" i="29"/>
  <c r="I10253" i="29"/>
  <c r="I10476" i="29"/>
  <c r="I10470" i="29"/>
  <c r="I10246" i="29"/>
  <c r="I10245" i="29"/>
  <c r="I10242" i="29"/>
  <c r="I10251" i="29"/>
  <c r="I10250" i="29"/>
  <c r="I10249" i="29"/>
  <c r="I10247" i="29"/>
  <c r="I10244" i="29"/>
  <c r="I10243" i="29"/>
  <c r="I10241" i="29"/>
  <c r="I10240" i="29"/>
  <c r="I10239" i="29"/>
  <c r="I10238" i="29"/>
  <c r="I10234" i="29"/>
  <c r="I10233" i="29"/>
  <c r="I10232" i="29"/>
  <c r="I10231" i="29"/>
  <c r="I10230" i="29"/>
  <c r="I10229" i="29"/>
  <c r="I10228" i="29"/>
  <c r="I10227" i="29"/>
  <c r="I10226" i="29"/>
  <c r="I10225" i="29"/>
  <c r="I10224" i="29"/>
  <c r="I10223" i="29"/>
  <c r="I10237" i="29"/>
  <c r="I10236" i="29"/>
  <c r="I10235" i="29"/>
  <c r="I10222" i="29"/>
  <c r="I10221" i="29"/>
  <c r="I10220" i="29"/>
  <c r="I10210" i="29"/>
  <c r="I10209" i="29"/>
  <c r="I10208" i="29"/>
  <c r="I10207" i="29"/>
  <c r="I10206" i="29"/>
  <c r="I10205" i="29"/>
  <c r="I10204" i="29"/>
  <c r="I10203" i="29"/>
  <c r="I10202" i="29"/>
  <c r="I10201" i="29"/>
  <c r="I10219" i="29"/>
  <c r="I10218" i="29"/>
  <c r="I10217" i="29"/>
  <c r="I10216" i="29"/>
  <c r="I10215" i="29"/>
  <c r="I10214" i="29"/>
  <c r="I10213" i="29"/>
  <c r="I10212" i="29"/>
  <c r="I10211" i="29"/>
  <c r="I10200" i="29"/>
  <c r="I10199" i="29"/>
  <c r="I10198" i="29"/>
  <c r="I10197" i="29"/>
  <c r="I10196" i="29"/>
  <c r="I10195" i="29"/>
  <c r="I10194" i="29"/>
  <c r="I10193" i="29"/>
  <c r="I10192" i="29"/>
  <c r="I10191" i="29"/>
  <c r="I10190" i="29"/>
  <c r="I10189" i="29"/>
  <c r="I10188" i="29"/>
  <c r="I10187" i="29"/>
  <c r="I10186" i="29"/>
  <c r="I10185" i="29"/>
  <c r="I10184" i="29"/>
  <c r="I10183" i="29"/>
  <c r="I10182" i="29"/>
  <c r="I10181" i="29"/>
  <c r="I10180" i="29"/>
  <c r="I10179" i="29"/>
  <c r="I10178" i="29"/>
  <c r="I10177" i="29"/>
  <c r="I10176" i="29"/>
  <c r="I10175" i="29"/>
  <c r="I10174" i="29"/>
  <c r="I10173" i="29"/>
  <c r="I10172" i="29"/>
  <c r="I10171" i="29"/>
  <c r="I10170" i="29"/>
  <c r="I10169" i="29"/>
  <c r="I10168" i="29"/>
  <c r="I10166" i="29"/>
  <c r="I10167" i="29"/>
  <c r="I10165" i="29"/>
  <c r="I10164" i="29"/>
  <c r="I10163" i="29"/>
  <c r="I10162" i="29"/>
  <c r="I10160" i="29"/>
  <c r="I10159" i="29"/>
  <c r="I10161" i="29"/>
  <c r="I10158" i="29"/>
  <c r="I10157" i="29"/>
  <c r="I10156" i="29"/>
  <c r="I10155" i="29"/>
  <c r="I10154" i="29"/>
  <c r="I10148" i="29"/>
  <c r="I10147" i="29"/>
  <c r="I10146" i="29"/>
  <c r="I10153" i="29"/>
  <c r="I10152" i="29"/>
  <c r="I10151" i="29"/>
  <c r="I10150" i="29"/>
  <c r="I10149" i="29"/>
  <c r="I10145" i="29"/>
  <c r="I10144" i="29"/>
  <c r="I10143" i="29"/>
  <c r="I10142" i="29"/>
  <c r="I10141" i="29"/>
  <c r="I10140" i="29"/>
  <c r="I10139" i="29"/>
  <c r="I10138" i="29"/>
  <c r="I10137" i="29"/>
  <c r="I10136" i="29"/>
  <c r="I655" i="29"/>
  <c r="I10135" i="29"/>
  <c r="I10134" i="29"/>
  <c r="I10132" i="29"/>
  <c r="I10133" i="29"/>
  <c r="I10131" i="29"/>
  <c r="I10130" i="29"/>
  <c r="I10129" i="29"/>
  <c r="I10128" i="29"/>
  <c r="I10127" i="29"/>
  <c r="I10126" i="29"/>
  <c r="I10125" i="29"/>
  <c r="I10124" i="29"/>
  <c r="I10123" i="29"/>
  <c r="I10122" i="29"/>
  <c r="I10121" i="29"/>
  <c r="I10120" i="29"/>
  <c r="I10119" i="29"/>
  <c r="I10118" i="29"/>
  <c r="I10115" i="29"/>
  <c r="I10114" i="29"/>
  <c r="I10113" i="29"/>
  <c r="I10112" i="29"/>
  <c r="I10111" i="29"/>
  <c r="I10117" i="29"/>
  <c r="I10116" i="29"/>
  <c r="I10110" i="29"/>
  <c r="I10109" i="29"/>
  <c r="I10108" i="29"/>
  <c r="I10107" i="29"/>
  <c r="I10106" i="29"/>
  <c r="I10105" i="29"/>
  <c r="I10104" i="29"/>
  <c r="I10103" i="29"/>
  <c r="I10102" i="29"/>
  <c r="I10101" i="29"/>
  <c r="I10100" i="29"/>
  <c r="I10099" i="29"/>
  <c r="I10098" i="29"/>
  <c r="I10097" i="29"/>
  <c r="I10096" i="29"/>
  <c r="I10093" i="29"/>
  <c r="I10092" i="29"/>
  <c r="I10091" i="29"/>
  <c r="I10090" i="29"/>
  <c r="I10095" i="29"/>
  <c r="I10094" i="29"/>
  <c r="I10089" i="29"/>
  <c r="I10084" i="29"/>
  <c r="I10088" i="29"/>
  <c r="I10087" i="29"/>
  <c r="I10086" i="29"/>
  <c r="I10085" i="29"/>
  <c r="I10083" i="29"/>
  <c r="I10082" i="29"/>
  <c r="I10081" i="29"/>
  <c r="I10080" i="29"/>
  <c r="I10079" i="29"/>
  <c r="I10078" i="29"/>
  <c r="I10077" i="29"/>
  <c r="I10076" i="29"/>
  <c r="I10075" i="29"/>
  <c r="I10074" i="29"/>
  <c r="I10073" i="29"/>
  <c r="I10072" i="29"/>
  <c r="I10071" i="29"/>
  <c r="I10070" i="29"/>
  <c r="I10069" i="29"/>
  <c r="I10068" i="29"/>
  <c r="I10067" i="29"/>
  <c r="I10066" i="29"/>
  <c r="I10065" i="29"/>
  <c r="I10064" i="29"/>
  <c r="I10063" i="29"/>
  <c r="I10061" i="29"/>
  <c r="I10062" i="29"/>
  <c r="I10050" i="29"/>
  <c r="I10060" i="29"/>
  <c r="I10059" i="29"/>
  <c r="I10058" i="29"/>
  <c r="I10057" i="29"/>
  <c r="I10056" i="29"/>
  <c r="I10055" i="29"/>
  <c r="I10054" i="29"/>
  <c r="I10053" i="29"/>
  <c r="I10052" i="29"/>
  <c r="I10051" i="29"/>
  <c r="I10049" i="29"/>
  <c r="I10048" i="29"/>
  <c r="I10047" i="29"/>
  <c r="I10046" i="29"/>
  <c r="I10045" i="29"/>
  <c r="I10032" i="29"/>
  <c r="I10044" i="29"/>
  <c r="I10043" i="29"/>
  <c r="I10042" i="29"/>
  <c r="I10041" i="29"/>
  <c r="I10040" i="29"/>
  <c r="I10039" i="29"/>
  <c r="I10038" i="29"/>
  <c r="I10037" i="29"/>
  <c r="I10036" i="29"/>
  <c r="I10035" i="29"/>
  <c r="I10034" i="29"/>
  <c r="I10033" i="29"/>
  <c r="I10029" i="29"/>
  <c r="I10031" i="29"/>
  <c r="I10030" i="29"/>
  <c r="I10028" i="29"/>
  <c r="I10027" i="29"/>
  <c r="I10026" i="29"/>
  <c r="I10024" i="29"/>
  <c r="I10023" i="29"/>
  <c r="I10025" i="29"/>
  <c r="I10022" i="29"/>
  <c r="I10021" i="29"/>
  <c r="I10017" i="29"/>
  <c r="I10018" i="29"/>
  <c r="I10019" i="29"/>
  <c r="I10009" i="29"/>
  <c r="I10010" i="29"/>
  <c r="I10013" i="29"/>
  <c r="I10014" i="29"/>
  <c r="I10015" i="29"/>
  <c r="I10016" i="29"/>
  <c r="I10011" i="29"/>
  <c r="I10012" i="29"/>
  <c r="I10020" i="29"/>
  <c r="I10008" i="29"/>
  <c r="I10007" i="29"/>
  <c r="I10006" i="29"/>
  <c r="I10005" i="29"/>
  <c r="I10004" i="29"/>
  <c r="I10003" i="29"/>
  <c r="I10002" i="29"/>
  <c r="I10001" i="29"/>
  <c r="I10000" i="29"/>
  <c r="I9999" i="29"/>
  <c r="I9998" i="29"/>
  <c r="I9997" i="29"/>
  <c r="I9996" i="29"/>
  <c r="I9995" i="29"/>
  <c r="I9994" i="29"/>
  <c r="I9993" i="29"/>
  <c r="I9992" i="29"/>
  <c r="I9991" i="29"/>
  <c r="I9990" i="29"/>
  <c r="I9989" i="29"/>
  <c r="I9984" i="29"/>
  <c r="I9988" i="29"/>
  <c r="I9987" i="29"/>
  <c r="I9986" i="29"/>
  <c r="I9985" i="29"/>
  <c r="I9983" i="29"/>
  <c r="I9979" i="29"/>
  <c r="I9982" i="29"/>
  <c r="I9981" i="29"/>
  <c r="I9980" i="29"/>
  <c r="I9978" i="29"/>
  <c r="I9977" i="29"/>
  <c r="I9976" i="29"/>
  <c r="I9975" i="29"/>
  <c r="I9974" i="29"/>
  <c r="I9973" i="29"/>
  <c r="I9972" i="29"/>
  <c r="I9971" i="29"/>
  <c r="I9969" i="29"/>
  <c r="I9970" i="29"/>
  <c r="I9966" i="29"/>
  <c r="I9968" i="29"/>
  <c r="I9967" i="29"/>
  <c r="I9964" i="29"/>
  <c r="I9965" i="29"/>
  <c r="I9903" i="29"/>
  <c r="I9963" i="29"/>
  <c r="I9962" i="29"/>
  <c r="I9961" i="29"/>
  <c r="I9960" i="29"/>
  <c r="I9959" i="29"/>
  <c r="I9958" i="29"/>
  <c r="I9957" i="29"/>
  <c r="I9956" i="29"/>
  <c r="I9955" i="29"/>
  <c r="I9954" i="29"/>
  <c r="I9953" i="29"/>
  <c r="I9952" i="29"/>
  <c r="I9951" i="29"/>
  <c r="I9950" i="29"/>
  <c r="I9949" i="29"/>
  <c r="I9948" i="29"/>
  <c r="I9947" i="29"/>
  <c r="I9946" i="29"/>
  <c r="I9945" i="29"/>
  <c r="I9944" i="29"/>
  <c r="I9943" i="29"/>
  <c r="I9942" i="29"/>
  <c r="I9941" i="29"/>
  <c r="I9940" i="29"/>
  <c r="I9939" i="29"/>
  <c r="I9935" i="29"/>
  <c r="I9934" i="29"/>
  <c r="I9933" i="29"/>
  <c r="I9938" i="29"/>
  <c r="I9937" i="29"/>
  <c r="I9936" i="29"/>
  <c r="I9931" i="29"/>
  <c r="I9932" i="29"/>
  <c r="I9930" i="29"/>
  <c r="I9929" i="29"/>
  <c r="I9928" i="29"/>
  <c r="I9927" i="29"/>
  <c r="I9926" i="29"/>
  <c r="I9925" i="29"/>
  <c r="I9924" i="29"/>
  <c r="I9923" i="29"/>
  <c r="I9921" i="29"/>
  <c r="I9922" i="29"/>
  <c r="I9919" i="29"/>
  <c r="I9918" i="29"/>
  <c r="I9917" i="29"/>
  <c r="I9915" i="29"/>
  <c r="I9914" i="29"/>
  <c r="I9913" i="29"/>
  <c r="I9912" i="29"/>
  <c r="I9920" i="29"/>
  <c r="I9911" i="29"/>
  <c r="I9916" i="29"/>
  <c r="I9910" i="29"/>
  <c r="I9909" i="29"/>
  <c r="I9908" i="29"/>
  <c r="I9907" i="29"/>
  <c r="I9906" i="29"/>
  <c r="I9905" i="29"/>
  <c r="I9904" i="29"/>
  <c r="I9902" i="29"/>
  <c r="I9901" i="29"/>
  <c r="I9900" i="29"/>
  <c r="I9899" i="29"/>
  <c r="I9898" i="29"/>
  <c r="I9897" i="29"/>
  <c r="I9893" i="29"/>
  <c r="I9892" i="29"/>
  <c r="I9891" i="29"/>
  <c r="I9890" i="29"/>
  <c r="I9889" i="29"/>
  <c r="I9886" i="29"/>
  <c r="I9885" i="29"/>
  <c r="I9884" i="29"/>
  <c r="I9883" i="29"/>
  <c r="I9896" i="29"/>
  <c r="I9895" i="29"/>
  <c r="I9894" i="29"/>
  <c r="I9888" i="29"/>
  <c r="I9887" i="29"/>
  <c r="I9882" i="29"/>
  <c r="I9881" i="29"/>
  <c r="I9880" i="29"/>
  <c r="I9879" i="29"/>
  <c r="I9878" i="29"/>
  <c r="I9875" i="29"/>
  <c r="I9874" i="29"/>
  <c r="I9873" i="29"/>
  <c r="I9872" i="29"/>
  <c r="I9871" i="29"/>
  <c r="I9870" i="29"/>
  <c r="I9867" i="29"/>
  <c r="I9865" i="29"/>
  <c r="I9864" i="29"/>
  <c r="I9869" i="29"/>
  <c r="I9868" i="29"/>
  <c r="I9863" i="29"/>
  <c r="I9862" i="29"/>
  <c r="I9861" i="29"/>
  <c r="I9877" i="29"/>
  <c r="I9876" i="29"/>
  <c r="I9866" i="29"/>
  <c r="I9860" i="29"/>
  <c r="I9855" i="29"/>
  <c r="I9854" i="29"/>
  <c r="I9859" i="29"/>
  <c r="I9858" i="29"/>
  <c r="I9857" i="29"/>
  <c r="I9856" i="29"/>
  <c r="I9849" i="29"/>
  <c r="I9853" i="29"/>
  <c r="I9852" i="29"/>
  <c r="I9851" i="29"/>
  <c r="I9850" i="29"/>
  <c r="I9847" i="29"/>
  <c r="I9848" i="29"/>
  <c r="I9846" i="29"/>
  <c r="I9845" i="29"/>
  <c r="I9844" i="29"/>
  <c r="I9842" i="29"/>
  <c r="I9841" i="29"/>
  <c r="I9843" i="29"/>
  <c r="I9840" i="29"/>
  <c r="I9838" i="29"/>
  <c r="I9837" i="29"/>
  <c r="I9836" i="29"/>
  <c r="I9835" i="29"/>
  <c r="I9839" i="29"/>
  <c r="I9834" i="29"/>
  <c r="I9833" i="29"/>
  <c r="I9832" i="29"/>
  <c r="I9831" i="29"/>
  <c r="I9827" i="29"/>
  <c r="I9830" i="29"/>
  <c r="I9829" i="29"/>
  <c r="I9828" i="29"/>
  <c r="I9822" i="29"/>
  <c r="I9826" i="29"/>
  <c r="I9825" i="29"/>
  <c r="I9824" i="29"/>
  <c r="I9823" i="29"/>
  <c r="I9821" i="29"/>
  <c r="I9820" i="29"/>
  <c r="I9819" i="29"/>
  <c r="I9818" i="29"/>
  <c r="I9815" i="29"/>
  <c r="I9817" i="29"/>
  <c r="I9816" i="29"/>
  <c r="I9814" i="29"/>
  <c r="I9813" i="29"/>
  <c r="I9812" i="29"/>
  <c r="I9811" i="29"/>
  <c r="I9810" i="29"/>
  <c r="I9809" i="29"/>
  <c r="I9808" i="29"/>
  <c r="I9730" i="29"/>
  <c r="I9806" i="29"/>
  <c r="I9807" i="29"/>
  <c r="I9804" i="29"/>
  <c r="I9805" i="29"/>
  <c r="I9803" i="29"/>
  <c r="I9802" i="29"/>
  <c r="I9801" i="29"/>
  <c r="I9800" i="29"/>
  <c r="I9799" i="29"/>
  <c r="I9798" i="29"/>
  <c r="I9795" i="29"/>
  <c r="I9797" i="29"/>
  <c r="I9796" i="29"/>
  <c r="I9794" i="29"/>
  <c r="I9793" i="29"/>
  <c r="I9792" i="29"/>
  <c r="I9791" i="29"/>
  <c r="I9790" i="29"/>
  <c r="I9789" i="29"/>
  <c r="I9788" i="29"/>
  <c r="I9787" i="29"/>
  <c r="I9786" i="29"/>
  <c r="I9784" i="29"/>
  <c r="I9785" i="29"/>
  <c r="I9783" i="29"/>
  <c r="I9782" i="29"/>
  <c r="I9781" i="29"/>
  <c r="I9780" i="29"/>
  <c r="I9779" i="29"/>
  <c r="I9778" i="29"/>
  <c r="I9777" i="29"/>
  <c r="I9776" i="29"/>
  <c r="I9775" i="29"/>
  <c r="I9774" i="29"/>
  <c r="I9773" i="29"/>
  <c r="I9772" i="29"/>
  <c r="I9771" i="29"/>
  <c r="I9770" i="29"/>
  <c r="I9769" i="29"/>
  <c r="I9768" i="29"/>
  <c r="I9767" i="29"/>
  <c r="I9752" i="29"/>
  <c r="I9766" i="29"/>
  <c r="I9765" i="29"/>
  <c r="I9763" i="29"/>
  <c r="I9764" i="29"/>
  <c r="I9760" i="29"/>
  <c r="I9759" i="29"/>
  <c r="I9758" i="29"/>
  <c r="I9751" i="29"/>
  <c r="I9762" i="29"/>
  <c r="I9761" i="29"/>
  <c r="I9757" i="29"/>
  <c r="I9756" i="29"/>
  <c r="I9755" i="29"/>
  <c r="I9754" i="29"/>
  <c r="I9753" i="29"/>
  <c r="I9750" i="29"/>
  <c r="I9748" i="29"/>
  <c r="I9749" i="29"/>
  <c r="I9743" i="29"/>
  <c r="I9742" i="29"/>
  <c r="I9747" i="29"/>
  <c r="I9746" i="29"/>
  <c r="I9745" i="29"/>
  <c r="I9744" i="29"/>
  <c r="I9738" i="29"/>
  <c r="I9741" i="29"/>
  <c r="I9740" i="29"/>
  <c r="I9739" i="29"/>
  <c r="I9734" i="29"/>
  <c r="I9733" i="29"/>
  <c r="I9732" i="29"/>
  <c r="I9731" i="29"/>
  <c r="I9729" i="29"/>
  <c r="I9736" i="29"/>
  <c r="I9737" i="29"/>
  <c r="I9735" i="29"/>
  <c r="I9726" i="29"/>
  <c r="I9728" i="29"/>
  <c r="I9727" i="29"/>
  <c r="I9725" i="29"/>
  <c r="I9724" i="29"/>
  <c r="I9723" i="29"/>
  <c r="I9722" i="29"/>
  <c r="I9721" i="29"/>
  <c r="I9720" i="29"/>
  <c r="I9719" i="29"/>
  <c r="I9718" i="29"/>
  <c r="I9717" i="29"/>
  <c r="I9716" i="29"/>
  <c r="I9715" i="29"/>
  <c r="I9709" i="29"/>
  <c r="I9708" i="29"/>
  <c r="I9714" i="29"/>
  <c r="I9713" i="29"/>
  <c r="I9712" i="29"/>
  <c r="I9711" i="29"/>
  <c r="I9710" i="29"/>
  <c r="I9706" i="29"/>
  <c r="I9705" i="29"/>
  <c r="I9704" i="29"/>
  <c r="I9702" i="29"/>
  <c r="I9703" i="29"/>
  <c r="I9701" i="29"/>
  <c r="I9700" i="29"/>
  <c r="I9699" i="29"/>
  <c r="I9698" i="29"/>
  <c r="I9697" i="29"/>
  <c r="I9696" i="29"/>
  <c r="I9695" i="29"/>
  <c r="I9694" i="29"/>
  <c r="I9690" i="29"/>
  <c r="I9689" i="29"/>
  <c r="I9688" i="29"/>
  <c r="I9687" i="29"/>
  <c r="I9686" i="29"/>
  <c r="I9685" i="29"/>
  <c r="I9691" i="29"/>
  <c r="I9693" i="29"/>
  <c r="I9692" i="29"/>
  <c r="I9684" i="29"/>
  <c r="I9683" i="29"/>
  <c r="I9682" i="29"/>
  <c r="I9681" i="29"/>
  <c r="I9680" i="29"/>
  <c r="I9679" i="29"/>
  <c r="I9678" i="29"/>
  <c r="I9677" i="29"/>
  <c r="I9676" i="29"/>
  <c r="I9675" i="29"/>
  <c r="I9674" i="29"/>
  <c r="I9673" i="29"/>
  <c r="I9672" i="29"/>
  <c r="I9671" i="29"/>
  <c r="I9669" i="29"/>
  <c r="I9668" i="29"/>
  <c r="I9670" i="29"/>
  <c r="I9667" i="29"/>
  <c r="I9666" i="29"/>
  <c r="I9665" i="29"/>
  <c r="I9664" i="29"/>
  <c r="I9663" i="29"/>
  <c r="I9662" i="29"/>
  <c r="I9661" i="29"/>
  <c r="I9660" i="29"/>
  <c r="I9659" i="29"/>
  <c r="I9658" i="29"/>
  <c r="I9657" i="29"/>
  <c r="I9656" i="29"/>
  <c r="I9655" i="29"/>
  <c r="I9654" i="29"/>
  <c r="I9653" i="29"/>
  <c r="I9652" i="29"/>
  <c r="I9651" i="29"/>
  <c r="I9650" i="29"/>
  <c r="I9649" i="29"/>
  <c r="I9646" i="29"/>
  <c r="I9645" i="29"/>
  <c r="I9648" i="29"/>
  <c r="I9647" i="29"/>
  <c r="I9640" i="29"/>
  <c r="I9644" i="29"/>
  <c r="I9643" i="29"/>
  <c r="I9642" i="29"/>
  <c r="I9641" i="29"/>
  <c r="I9639" i="29"/>
  <c r="I9638" i="29"/>
  <c r="I9637" i="29"/>
  <c r="I9636" i="29"/>
  <c r="I9635" i="29"/>
  <c r="I9634" i="29"/>
  <c r="I9633" i="29"/>
  <c r="I9632" i="29"/>
  <c r="I9707" i="29"/>
  <c r="I9630" i="29"/>
  <c r="I9626" i="29"/>
  <c r="I9625" i="29"/>
  <c r="I9624" i="29"/>
  <c r="I9621" i="29"/>
  <c r="I9629" i="29"/>
  <c r="I9628" i="29"/>
  <c r="I9627" i="29"/>
  <c r="I9619" i="29"/>
  <c r="I9623" i="29"/>
  <c r="I9622" i="29"/>
  <c r="I9618" i="29"/>
  <c r="I9620" i="29"/>
  <c r="I9617" i="29"/>
  <c r="I9616" i="29"/>
  <c r="I9615" i="29"/>
  <c r="I9614" i="29"/>
  <c r="I9613" i="29"/>
  <c r="I9612" i="29"/>
  <c r="I9611" i="29"/>
  <c r="I9607" i="29"/>
  <c r="I9610" i="29"/>
  <c r="I9609" i="29"/>
  <c r="I9608" i="29"/>
  <c r="I9606" i="29"/>
  <c r="I9604" i="29"/>
  <c r="I9603" i="29"/>
  <c r="I9602" i="29"/>
  <c r="I9601" i="29"/>
  <c r="I9605" i="29"/>
  <c r="I9600" i="29"/>
  <c r="I9599" i="29"/>
  <c r="I9598" i="29"/>
  <c r="I9597" i="29"/>
  <c r="I9596" i="29"/>
  <c r="I9595" i="29"/>
  <c r="I9594" i="29"/>
  <c r="I9593" i="29"/>
  <c r="I9592" i="29"/>
  <c r="I9591" i="29"/>
  <c r="I9590" i="29"/>
  <c r="I9589" i="29"/>
  <c r="I9588" i="29"/>
  <c r="I9585" i="29"/>
  <c r="I9584" i="29"/>
  <c r="I9583" i="29"/>
  <c r="I9582" i="29"/>
  <c r="I9587" i="29"/>
  <c r="I9581" i="29"/>
  <c r="I9580" i="29"/>
  <c r="I9579" i="29"/>
  <c r="I9576" i="29"/>
  <c r="I9575" i="29"/>
  <c r="I9574" i="29"/>
  <c r="I9586" i="29"/>
  <c r="I9578" i="29"/>
  <c r="I9577" i="29"/>
  <c r="I9570" i="29"/>
  <c r="I9573" i="29"/>
  <c r="I9572" i="29"/>
  <c r="I9571" i="29"/>
  <c r="I9569" i="29"/>
  <c r="I9568" i="29"/>
  <c r="I9567" i="29"/>
  <c r="I9566" i="29"/>
  <c r="I9564" i="29"/>
  <c r="I9563" i="29"/>
  <c r="I9562" i="29"/>
  <c r="I9565" i="29"/>
  <c r="I9560" i="29"/>
  <c r="I9559" i="29"/>
  <c r="I9556" i="29"/>
  <c r="I9555" i="29"/>
  <c r="I9553" i="29"/>
  <c r="I9550" i="29"/>
  <c r="I9549" i="29"/>
  <c r="I9548" i="29"/>
  <c r="I9561" i="29"/>
  <c r="I9558" i="29"/>
  <c r="I9557" i="29"/>
  <c r="I9554" i="29"/>
  <c r="I9552" i="29"/>
  <c r="I9551" i="29"/>
  <c r="I9547" i="29"/>
  <c r="I9546" i="29"/>
  <c r="I9545" i="29"/>
  <c r="I9544" i="29"/>
  <c r="I9543" i="29"/>
  <c r="I9542" i="29"/>
  <c r="I9535" i="29"/>
  <c r="I9534" i="29"/>
  <c r="I9533" i="29"/>
  <c r="I9532" i="29"/>
  <c r="I9531" i="29"/>
  <c r="I9529" i="29"/>
  <c r="I9528" i="29"/>
  <c r="I9527" i="29"/>
  <c r="I9526" i="29"/>
  <c r="I9541" i="29"/>
  <c r="I9522" i="29"/>
  <c r="I9521" i="29"/>
  <c r="I9520" i="29"/>
  <c r="I9515" i="29"/>
  <c r="I9514" i="29"/>
  <c r="I9513" i="29"/>
  <c r="I9540" i="29"/>
  <c r="I9539" i="29"/>
  <c r="I9538" i="29"/>
  <c r="I9537" i="29"/>
  <c r="I9536" i="29"/>
  <c r="I9530" i="29"/>
  <c r="I9512" i="29"/>
  <c r="I9525" i="29"/>
  <c r="I9524" i="29"/>
  <c r="I9523" i="29"/>
  <c r="I9519" i="29"/>
  <c r="I9518" i="29"/>
  <c r="I9517" i="29"/>
  <c r="I9516" i="29"/>
  <c r="I9511" i="29"/>
  <c r="I9510" i="29"/>
  <c r="I9509" i="29"/>
  <c r="I9500" i="29"/>
  <c r="I9508" i="29"/>
  <c r="I9507" i="29"/>
  <c r="I9506" i="29"/>
  <c r="I9503" i="29"/>
  <c r="I9502" i="29"/>
  <c r="I9505" i="29"/>
  <c r="I9504" i="29"/>
  <c r="I9501" i="29"/>
  <c r="I9499" i="29"/>
  <c r="I9498" i="29"/>
  <c r="I9497" i="29"/>
  <c r="I9496" i="29"/>
  <c r="I9495" i="29"/>
  <c r="I9494" i="29"/>
  <c r="I9493" i="29"/>
  <c r="I9492" i="29"/>
  <c r="I9491" i="29"/>
  <c r="I9490" i="29"/>
  <c r="I9488" i="29"/>
  <c r="I9487" i="29"/>
  <c r="I9486" i="29"/>
  <c r="I9489" i="29"/>
  <c r="I9485" i="29"/>
  <c r="I9484" i="29"/>
  <c r="I9481" i="29"/>
  <c r="I9480" i="29"/>
  <c r="I9479" i="29"/>
  <c r="I9478" i="29"/>
  <c r="I9477" i="29"/>
  <c r="I9473" i="29"/>
  <c r="I9482" i="29"/>
  <c r="I9483" i="29"/>
  <c r="I9476" i="29"/>
  <c r="I9475" i="29"/>
  <c r="I9474" i="29"/>
  <c r="I9472" i="29"/>
  <c r="I9471" i="29"/>
  <c r="I9470" i="29"/>
  <c r="I9468" i="29"/>
  <c r="I9469" i="29"/>
  <c r="I9467" i="29"/>
  <c r="I9466" i="29"/>
  <c r="I9465" i="29"/>
  <c r="I9464" i="29"/>
  <c r="I9463" i="29"/>
  <c r="I9462" i="29"/>
  <c r="I9461" i="29"/>
  <c r="I9459" i="29"/>
  <c r="I9458" i="29"/>
  <c r="I9456" i="29"/>
  <c r="I9455" i="29"/>
  <c r="I9447" i="29"/>
  <c r="I9450" i="29"/>
  <c r="I9449" i="29"/>
  <c r="I9460" i="29"/>
  <c r="I9457" i="29"/>
  <c r="I9454" i="29"/>
  <c r="I9453" i="29"/>
  <c r="I9452" i="29"/>
  <c r="I9451" i="29"/>
  <c r="I9448" i="29"/>
  <c r="I9445" i="29"/>
  <c r="I9444" i="29"/>
  <c r="I9446" i="29"/>
  <c r="I9437" i="29"/>
  <c r="I9434" i="29"/>
  <c r="I9433" i="29"/>
  <c r="I9432" i="29"/>
  <c r="I9443" i="29"/>
  <c r="I9442" i="29"/>
  <c r="I9441" i="29"/>
  <c r="I9440" i="29"/>
  <c r="I9439" i="29"/>
  <c r="I9438" i="29"/>
  <c r="I9436" i="29"/>
  <c r="I9435" i="29"/>
  <c r="I9431" i="29"/>
  <c r="I9430" i="29"/>
  <c r="I9429" i="29"/>
  <c r="I9425" i="29"/>
  <c r="I9424" i="29"/>
  <c r="I9428" i="29"/>
  <c r="I9427" i="29"/>
  <c r="I9426" i="29"/>
  <c r="I9423" i="29"/>
  <c r="I9422" i="29"/>
  <c r="I9420" i="29"/>
  <c r="I9416" i="29"/>
  <c r="I9415" i="29"/>
  <c r="I9411" i="29"/>
  <c r="I9410" i="29"/>
  <c r="I9407" i="29"/>
  <c r="I9421" i="29"/>
  <c r="I9419" i="29"/>
  <c r="I9418" i="29"/>
  <c r="I9417" i="29"/>
  <c r="I9414" i="29"/>
  <c r="I9413" i="29"/>
  <c r="I9412" i="29"/>
  <c r="I9409" i="29"/>
  <c r="I9408" i="29"/>
  <c r="I9406" i="29"/>
  <c r="I9405" i="29"/>
  <c r="I9404" i="29"/>
  <c r="I9403" i="29"/>
  <c r="I9402" i="29"/>
  <c r="I9401" i="29"/>
  <c r="I9400" i="29"/>
  <c r="I9399" i="29"/>
  <c r="I9398" i="29"/>
  <c r="I9397" i="29"/>
  <c r="I9396" i="29"/>
  <c r="I9395" i="29"/>
  <c r="I9394" i="29"/>
  <c r="I9393" i="29"/>
  <c r="I9392" i="29"/>
  <c r="I9391" i="29"/>
  <c r="I9390" i="29"/>
  <c r="I9389" i="29"/>
  <c r="I9388" i="29"/>
  <c r="I9387" i="29"/>
  <c r="I9386" i="29"/>
  <c r="I9381" i="29"/>
  <c r="I9382" i="29"/>
  <c r="I9385" i="29"/>
  <c r="I9384" i="29"/>
  <c r="I9383" i="29"/>
  <c r="I9378" i="29"/>
  <c r="I9380" i="29"/>
  <c r="I9379" i="29"/>
  <c r="I9377" i="29"/>
  <c r="I9376" i="29"/>
  <c r="I9373" i="29"/>
  <c r="I9371" i="29"/>
  <c r="I9369" i="29"/>
  <c r="I9304" i="29"/>
  <c r="I9368" i="29"/>
  <c r="I9367" i="29"/>
  <c r="I9375" i="29"/>
  <c r="I9374" i="29"/>
  <c r="I9372" i="29"/>
  <c r="I9370" i="29"/>
  <c r="I9366" i="29"/>
  <c r="I9365" i="29"/>
  <c r="I9364" i="29"/>
  <c r="I9363" i="29"/>
  <c r="I9362" i="29"/>
  <c r="I9361" i="29"/>
  <c r="I9360" i="29"/>
  <c r="I9359" i="29"/>
  <c r="I9351" i="29"/>
  <c r="I9350" i="29"/>
  <c r="I9348" i="29"/>
  <c r="I9347" i="29"/>
  <c r="I9345" i="29"/>
  <c r="I9358" i="29"/>
  <c r="I9349" i="29"/>
  <c r="I9312" i="29"/>
  <c r="I9325" i="29"/>
  <c r="I9357" i="29"/>
  <c r="I9356" i="29"/>
  <c r="I9355" i="29"/>
  <c r="I9354" i="29"/>
  <c r="I9353" i="29"/>
  <c r="I9352" i="29"/>
  <c r="I9346" i="29"/>
  <c r="I9344" i="29"/>
  <c r="I9343" i="29"/>
  <c r="I9339" i="29"/>
  <c r="I9338" i="29"/>
  <c r="I9337" i="29"/>
  <c r="I9336" i="29"/>
  <c r="I9335" i="29"/>
  <c r="I9342" i="29"/>
  <c r="I9341" i="29"/>
  <c r="I9340" i="29"/>
  <c r="I9333" i="29"/>
  <c r="I9332" i="29"/>
  <c r="I9331" i="29"/>
  <c r="I9330" i="29"/>
  <c r="I9329" i="29"/>
  <c r="I9334" i="29"/>
  <c r="I9328" i="29"/>
  <c r="I9327" i="29"/>
  <c r="I9326" i="29"/>
  <c r="I9310" i="29"/>
  <c r="I9309" i="29"/>
  <c r="I9308" i="29"/>
  <c r="I9307" i="29"/>
  <c r="I9306" i="29"/>
  <c r="I9302" i="29"/>
  <c r="I9301" i="29"/>
  <c r="I9300" i="29"/>
  <c r="I9299" i="29"/>
  <c r="I9324" i="29"/>
  <c r="I9323" i="29"/>
  <c r="I9322" i="29"/>
  <c r="I9317" i="29"/>
  <c r="I9316" i="29"/>
  <c r="I9315" i="29"/>
  <c r="I9311" i="29"/>
  <c r="I9305" i="29"/>
  <c r="I9321" i="29"/>
  <c r="I9320" i="29"/>
  <c r="I9319" i="29"/>
  <c r="I9318" i="29"/>
  <c r="I9314" i="29"/>
  <c r="I9313" i="29"/>
  <c r="I9303" i="29"/>
  <c r="I9298" i="29"/>
  <c r="I9297" i="29"/>
  <c r="I9296" i="29"/>
  <c r="I9295" i="29"/>
  <c r="I9293" i="29"/>
  <c r="I9294" i="29"/>
  <c r="I9283" i="29"/>
  <c r="I9292" i="29"/>
  <c r="I9291" i="29"/>
  <c r="I9290" i="29"/>
  <c r="I9289" i="29"/>
  <c r="I9288" i="29"/>
  <c r="I9287" i="29"/>
  <c r="I9286" i="29"/>
  <c r="I9285" i="29"/>
  <c r="I9284" i="29"/>
  <c r="I6788" i="29"/>
  <c r="I7429" i="29"/>
  <c r="I7430" i="29"/>
  <c r="I7431" i="29"/>
  <c r="I7432" i="29"/>
  <c r="I7433" i="29"/>
  <c r="I7434" i="29"/>
  <c r="I7435" i="29"/>
  <c r="I7436" i="29"/>
  <c r="I7437" i="29"/>
  <c r="I7438" i="29"/>
  <c r="I7439" i="29"/>
  <c r="I7440" i="29"/>
  <c r="I7441" i="29"/>
  <c r="I7442" i="29"/>
  <c r="I7443" i="29"/>
  <c r="I7444" i="29"/>
  <c r="I7445" i="29"/>
  <c r="I7446" i="29"/>
  <c r="I7447" i="29"/>
  <c r="I7448" i="29"/>
  <c r="I7449" i="29"/>
  <c r="I7450" i="29"/>
  <c r="I7451" i="29"/>
  <c r="I7452" i="29"/>
  <c r="I7453" i="29"/>
  <c r="I7454" i="29"/>
  <c r="I7455" i="29"/>
  <c r="I7456" i="29"/>
  <c r="I7457" i="29"/>
  <c r="I7458" i="29"/>
  <c r="I7459" i="29"/>
  <c r="I7460" i="29"/>
  <c r="I7461" i="29"/>
  <c r="I7462" i="29"/>
  <c r="I7463" i="29"/>
  <c r="I7464" i="29"/>
  <c r="I7465" i="29"/>
  <c r="I7466" i="29"/>
  <c r="I7467" i="29"/>
  <c r="I7468" i="29"/>
  <c r="I7469" i="29"/>
  <c r="I7470" i="29"/>
  <c r="I7471" i="29"/>
  <c r="I7472" i="29"/>
  <c r="I7473" i="29"/>
  <c r="I7474" i="29"/>
  <c r="I7475" i="29"/>
  <c r="I7476" i="29"/>
  <c r="I7477" i="29"/>
  <c r="I7478" i="29"/>
  <c r="I7479" i="29"/>
  <c r="I7480" i="29"/>
  <c r="I7481" i="29"/>
  <c r="I7482" i="29"/>
  <c r="I7483" i="29"/>
  <c r="I7484" i="29"/>
  <c r="I7485" i="29"/>
  <c r="I7486" i="29"/>
  <c r="I7487" i="29"/>
  <c r="I7488" i="29"/>
  <c r="I7489" i="29"/>
  <c r="I7490" i="29"/>
  <c r="I7491" i="29"/>
  <c r="I7492" i="29"/>
  <c r="I7493" i="29"/>
  <c r="I7494" i="29"/>
  <c r="I7495" i="29"/>
  <c r="I7496" i="29"/>
  <c r="I7497" i="29"/>
  <c r="I7498" i="29"/>
  <c r="I7499" i="29"/>
  <c r="I7500" i="29"/>
  <c r="I7501" i="29"/>
  <c r="I7502" i="29"/>
  <c r="I7503" i="29"/>
  <c r="I7504" i="29"/>
  <c r="I7505" i="29"/>
  <c r="I7506" i="29"/>
  <c r="I7507" i="29"/>
  <c r="I7508" i="29"/>
  <c r="I7509" i="29"/>
  <c r="I7510" i="29"/>
  <c r="I7511" i="29"/>
  <c r="I7512" i="29"/>
  <c r="I7513" i="29"/>
  <c r="I7514" i="29"/>
  <c r="I7515" i="29"/>
  <c r="I7516" i="29"/>
  <c r="I7517" i="29"/>
  <c r="I7518" i="29"/>
  <c r="I7519" i="29"/>
  <c r="I7520" i="29"/>
  <c r="I7521" i="29"/>
  <c r="I7522" i="29"/>
  <c r="I7523" i="29"/>
  <c r="I7524" i="29"/>
  <c r="I7525" i="29"/>
  <c r="I7526" i="29"/>
  <c r="I7527" i="29"/>
  <c r="I7528" i="29"/>
  <c r="I7529" i="29"/>
  <c r="I7530" i="29"/>
  <c r="I7531" i="29"/>
  <c r="I7532" i="29"/>
  <c r="I7533" i="29"/>
  <c r="I7534" i="29"/>
  <c r="I7535" i="29"/>
  <c r="I7536" i="29"/>
  <c r="I7537" i="29"/>
  <c r="I7538" i="29"/>
  <c r="I7539" i="29"/>
  <c r="I7540" i="29"/>
  <c r="I7541" i="29"/>
  <c r="I7542" i="29"/>
  <c r="I7543" i="29"/>
  <c r="I7544" i="29"/>
  <c r="I7545" i="29"/>
  <c r="I7546" i="29"/>
  <c r="I7547" i="29"/>
  <c r="I7548" i="29"/>
  <c r="I7549" i="29"/>
  <c r="I7550" i="29"/>
  <c r="I7551" i="29"/>
  <c r="I7552" i="29"/>
  <c r="I7553" i="29"/>
  <c r="I7554" i="29"/>
  <c r="I7555" i="29"/>
  <c r="I7556" i="29"/>
  <c r="I7557" i="29"/>
  <c r="I7558" i="29"/>
  <c r="I7559" i="29"/>
  <c r="I7560" i="29"/>
  <c r="I7561" i="29"/>
  <c r="I7562" i="29"/>
  <c r="I7563" i="29"/>
  <c r="I7564" i="29"/>
  <c r="I7565" i="29"/>
  <c r="I7566" i="29"/>
  <c r="I7567" i="29"/>
  <c r="I7568" i="29"/>
  <c r="I7569" i="29"/>
  <c r="I7570" i="29"/>
  <c r="I7571" i="29"/>
  <c r="I7572" i="29"/>
  <c r="I7573" i="29"/>
  <c r="I7574" i="29"/>
  <c r="I7575" i="29"/>
  <c r="I7576" i="29"/>
  <c r="I7577" i="29"/>
  <c r="I7578" i="29"/>
  <c r="I7579" i="29"/>
  <c r="I7580" i="29"/>
  <c r="I7581" i="29"/>
  <c r="I7582" i="29"/>
  <c r="I7583" i="29"/>
  <c r="I7584" i="29"/>
  <c r="I7585" i="29"/>
  <c r="I7586" i="29"/>
  <c r="I7587" i="29"/>
  <c r="I7588" i="29"/>
  <c r="I7589" i="29"/>
  <c r="I7590" i="29"/>
  <c r="I7591" i="29"/>
  <c r="I7592" i="29"/>
  <c r="I7593" i="29"/>
  <c r="I7594" i="29"/>
  <c r="I7595" i="29"/>
  <c r="I7596" i="29"/>
  <c r="I7597" i="29"/>
  <c r="I7598" i="29"/>
  <c r="I7599" i="29"/>
  <c r="I7600" i="29"/>
  <c r="I7601" i="29"/>
  <c r="I7602" i="29"/>
  <c r="I7603" i="29"/>
  <c r="I7604" i="29"/>
  <c r="I7605" i="29"/>
  <c r="I7606" i="29"/>
  <c r="I7607" i="29"/>
  <c r="I7608" i="29"/>
  <c r="I7609" i="29"/>
  <c r="I7610" i="29"/>
  <c r="I7611" i="29"/>
  <c r="I7612" i="29"/>
  <c r="I7613" i="29"/>
  <c r="I7614" i="29"/>
  <c r="I7615" i="29"/>
  <c r="I7616" i="29"/>
  <c r="I7617" i="29"/>
  <c r="I7618" i="29"/>
  <c r="I7619" i="29"/>
  <c r="I7620" i="29"/>
  <c r="I7621" i="29"/>
  <c r="I7622" i="29"/>
  <c r="I7623" i="29"/>
  <c r="I7624" i="29"/>
  <c r="I7625" i="29"/>
  <c r="I7626" i="29"/>
  <c r="I7627" i="29"/>
  <c r="I7628" i="29"/>
  <c r="I7629" i="29"/>
  <c r="I7630" i="29"/>
  <c r="I7631" i="29"/>
  <c r="I7632" i="29"/>
  <c r="I7633" i="29"/>
  <c r="I7634" i="29"/>
  <c r="I7635" i="29"/>
  <c r="I7636" i="29"/>
  <c r="I7637" i="29"/>
  <c r="I7638" i="29"/>
  <c r="I7639" i="29"/>
  <c r="I7640" i="29"/>
  <c r="I7641" i="29"/>
  <c r="I7642" i="29"/>
  <c r="I7643" i="29"/>
  <c r="I7644" i="29"/>
  <c r="I7645" i="29"/>
  <c r="I7646" i="29"/>
  <c r="I7647" i="29"/>
  <c r="I7648" i="29"/>
  <c r="I7649" i="29"/>
  <c r="I7650" i="29"/>
  <c r="I7651" i="29"/>
  <c r="I7652" i="29"/>
  <c r="I7653" i="29"/>
  <c r="I7654" i="29"/>
  <c r="I7655" i="29"/>
  <c r="I7656" i="29"/>
  <c r="I7657" i="29"/>
  <c r="I7658" i="29"/>
  <c r="I7659" i="29"/>
  <c r="I7660" i="29"/>
  <c r="I7661" i="29"/>
  <c r="I7662" i="29"/>
  <c r="I7663" i="29"/>
  <c r="I7664" i="29"/>
  <c r="I7665" i="29"/>
  <c r="I7666" i="29"/>
  <c r="I7667" i="29"/>
  <c r="I7668" i="29"/>
  <c r="I7669" i="29"/>
  <c r="I7670" i="29"/>
  <c r="I7671" i="29"/>
  <c r="I7672" i="29"/>
  <c r="I7673" i="29"/>
  <c r="I7674" i="29"/>
  <c r="I7675" i="29"/>
  <c r="I7676" i="29"/>
  <c r="I7677" i="29"/>
  <c r="I7678" i="29"/>
  <c r="I7679" i="29"/>
  <c r="I7680" i="29"/>
  <c r="I7681" i="29"/>
  <c r="I7682" i="29"/>
  <c r="I7683" i="29"/>
  <c r="I7684" i="29"/>
  <c r="I7685" i="29"/>
  <c r="I7686" i="29"/>
  <c r="I7687" i="29"/>
  <c r="I7688" i="29"/>
  <c r="I7689" i="29"/>
  <c r="I7690" i="29"/>
  <c r="I7691" i="29"/>
  <c r="I7692" i="29"/>
  <c r="I7693" i="29"/>
  <c r="I7694" i="29"/>
  <c r="I7695" i="29"/>
  <c r="I7696" i="29"/>
  <c r="I7697" i="29"/>
  <c r="I7698" i="29"/>
  <c r="I7699" i="29"/>
  <c r="I7700" i="29"/>
  <c r="I7701" i="29"/>
  <c r="I7702" i="29"/>
  <c r="I7703" i="29"/>
  <c r="I7704" i="29"/>
  <c r="I7705" i="29"/>
  <c r="I7706" i="29"/>
  <c r="I7707" i="29"/>
  <c r="I7708" i="29"/>
  <c r="I7709" i="29"/>
  <c r="I7710" i="29"/>
  <c r="I7711" i="29"/>
  <c r="I7712" i="29"/>
  <c r="I7713" i="29"/>
  <c r="I7714" i="29"/>
  <c r="I7715" i="29"/>
  <c r="I7716" i="29"/>
  <c r="I7717" i="29"/>
  <c r="I7718" i="29"/>
  <c r="I7719" i="29"/>
  <c r="I7720" i="29"/>
  <c r="I7721" i="29"/>
  <c r="I7722" i="29"/>
  <c r="I7723" i="29"/>
  <c r="I7724" i="29"/>
  <c r="I7725" i="29"/>
  <c r="I7726" i="29"/>
  <c r="I7727" i="29"/>
  <c r="I7728" i="29"/>
  <c r="I7729" i="29"/>
  <c r="I7730" i="29"/>
  <c r="I7731" i="29"/>
  <c r="I7732" i="29"/>
  <c r="I7733" i="29"/>
  <c r="I7734" i="29"/>
  <c r="I7735" i="29"/>
  <c r="I7736" i="29"/>
  <c r="I7737" i="29"/>
  <c r="I7738" i="29"/>
  <c r="I7739" i="29"/>
  <c r="I7740" i="29"/>
  <c r="I7741" i="29"/>
  <c r="I7742" i="29"/>
  <c r="I7743" i="29"/>
  <c r="I7744" i="29"/>
  <c r="I7745" i="29"/>
  <c r="I7746" i="29"/>
  <c r="I7747" i="29"/>
  <c r="I7748" i="29"/>
  <c r="I7749" i="29"/>
  <c r="I7750" i="29"/>
  <c r="I7751" i="29"/>
  <c r="I7752" i="29"/>
  <c r="I7753" i="29"/>
  <c r="I7754" i="29"/>
  <c r="I7755" i="29"/>
  <c r="I7756" i="29"/>
  <c r="I7757" i="29"/>
  <c r="I7758" i="29"/>
  <c r="I7759" i="29"/>
  <c r="I7760" i="29"/>
  <c r="I7761" i="29"/>
  <c r="I7762" i="29"/>
  <c r="I7763" i="29"/>
  <c r="I7764" i="29"/>
  <c r="I7765" i="29"/>
  <c r="I7766" i="29"/>
  <c r="I7767" i="29"/>
  <c r="I7768" i="29"/>
  <c r="I7769" i="29"/>
  <c r="I7770" i="29"/>
  <c r="I7771" i="29"/>
  <c r="I7772" i="29"/>
  <c r="I7773" i="29"/>
  <c r="I7774" i="29"/>
  <c r="I7775" i="29"/>
  <c r="I7776" i="29"/>
  <c r="I7777" i="29"/>
  <c r="I7778" i="29"/>
  <c r="I7779" i="29"/>
  <c r="I7780" i="29"/>
  <c r="I7781" i="29"/>
  <c r="I7782" i="29"/>
  <c r="I7783" i="29"/>
  <c r="I7784" i="29"/>
  <c r="I7785" i="29"/>
  <c r="I7786" i="29"/>
  <c r="I7787" i="29"/>
  <c r="I7788" i="29"/>
  <c r="I7789" i="29"/>
  <c r="I7790" i="29"/>
  <c r="I7791" i="29"/>
  <c r="I7792" i="29"/>
  <c r="I7793" i="29"/>
  <c r="I7794" i="29"/>
  <c r="I7795" i="29"/>
  <c r="I7796" i="29"/>
  <c r="I7797" i="29"/>
  <c r="I7798" i="29"/>
  <c r="I7799" i="29"/>
  <c r="I7800" i="29"/>
  <c r="I7801" i="29"/>
  <c r="I7802" i="29"/>
  <c r="I7803" i="29"/>
  <c r="I7804" i="29"/>
  <c r="I7805" i="29"/>
  <c r="I7806" i="29"/>
  <c r="I7807" i="29"/>
  <c r="I7808" i="29"/>
  <c r="I7809" i="29"/>
  <c r="I7810" i="29"/>
  <c r="I7811" i="29"/>
  <c r="I7812" i="29"/>
  <c r="I7813" i="29"/>
  <c r="I7814" i="29"/>
  <c r="I7815" i="29"/>
  <c r="I7816" i="29"/>
  <c r="I7817" i="29"/>
  <c r="I7818" i="29"/>
  <c r="I7819" i="29"/>
  <c r="I7820" i="29"/>
  <c r="I7821" i="29"/>
  <c r="I7822" i="29"/>
  <c r="I7823" i="29"/>
  <c r="I7824" i="29"/>
  <c r="I7825" i="29"/>
  <c r="I7826" i="29"/>
  <c r="I7827" i="29"/>
  <c r="I7828" i="29"/>
  <c r="I7829" i="29"/>
  <c r="I7830" i="29"/>
  <c r="I7831" i="29"/>
  <c r="I7832" i="29"/>
  <c r="I7833" i="29"/>
  <c r="I7834" i="29"/>
  <c r="I7835" i="29"/>
  <c r="I7836" i="29"/>
  <c r="I7837" i="29"/>
  <c r="I7838" i="29"/>
  <c r="I7839" i="29"/>
  <c r="I7840" i="29"/>
  <c r="I7841" i="29"/>
  <c r="I7842" i="29"/>
  <c r="I7843" i="29"/>
  <c r="I7844" i="29"/>
  <c r="I7845" i="29"/>
  <c r="I7846" i="29"/>
  <c r="I7847" i="29"/>
  <c r="I7848" i="29"/>
  <c r="I7849" i="29"/>
  <c r="I7850" i="29"/>
  <c r="I7851" i="29"/>
  <c r="I7852" i="29"/>
  <c r="I7853" i="29"/>
  <c r="I7854" i="29"/>
  <c r="I7855" i="29"/>
  <c r="I7856" i="29"/>
  <c r="I7857" i="29"/>
  <c r="I7858" i="29"/>
  <c r="I7859" i="29"/>
  <c r="I7860" i="29"/>
  <c r="I7861" i="29"/>
  <c r="I7862" i="29"/>
  <c r="I7863" i="29"/>
  <c r="I7864" i="29"/>
  <c r="I7865" i="29"/>
  <c r="I7866" i="29"/>
  <c r="I7867" i="29"/>
  <c r="I7868" i="29"/>
  <c r="I7869" i="29"/>
  <c r="I7870" i="29"/>
  <c r="I7871" i="29"/>
  <c r="I7872" i="29"/>
  <c r="I7873" i="29"/>
  <c r="I7874" i="29"/>
  <c r="I7875" i="29"/>
  <c r="I7876" i="29"/>
  <c r="I7877" i="29"/>
  <c r="I7878" i="29"/>
  <c r="I7879" i="29"/>
  <c r="I7880" i="29"/>
  <c r="I7881" i="29"/>
  <c r="I7882" i="29"/>
  <c r="I7883" i="29"/>
  <c r="I7884" i="29"/>
  <c r="I7885" i="29"/>
  <c r="I7886" i="29"/>
  <c r="I7887" i="29"/>
  <c r="I7888" i="29"/>
  <c r="I7889" i="29"/>
  <c r="I7890" i="29"/>
  <c r="I7891" i="29"/>
  <c r="I7892" i="29"/>
  <c r="I7893" i="29"/>
  <c r="I7894" i="29"/>
  <c r="I7895" i="29"/>
  <c r="I7896" i="29"/>
  <c r="I7897" i="29"/>
  <c r="I7898" i="29"/>
  <c r="I7899" i="29"/>
  <c r="I7900" i="29"/>
  <c r="I7901" i="29"/>
  <c r="I7902" i="29"/>
  <c r="I7903" i="29"/>
  <c r="I7904" i="29"/>
  <c r="I7905" i="29"/>
  <c r="I7906" i="29"/>
  <c r="I7907" i="29"/>
  <c r="I7908" i="29"/>
  <c r="I7909" i="29"/>
  <c r="I7910" i="29"/>
  <c r="I7911" i="29"/>
  <c r="I7912" i="29"/>
  <c r="I7913" i="29"/>
  <c r="I7914" i="29"/>
  <c r="I7915" i="29"/>
  <c r="I7916" i="29"/>
  <c r="I7917" i="29"/>
  <c r="I7918" i="29"/>
  <c r="I7919" i="29"/>
  <c r="I7920" i="29"/>
  <c r="I7921" i="29"/>
  <c r="I7922" i="29"/>
  <c r="I7923" i="29"/>
  <c r="I7924" i="29"/>
  <c r="I7925" i="29"/>
  <c r="I7926" i="29"/>
  <c r="I7927" i="29"/>
  <c r="I7928" i="29"/>
  <c r="I7929" i="29"/>
  <c r="I7930" i="29"/>
  <c r="I7931" i="29"/>
  <c r="I7932" i="29"/>
  <c r="I7933" i="29"/>
  <c r="I7934" i="29"/>
  <c r="I7935" i="29"/>
  <c r="I7936" i="29"/>
  <c r="I7937" i="29"/>
  <c r="I7938" i="29"/>
  <c r="I7939" i="29"/>
  <c r="I7940" i="29"/>
  <c r="I7941" i="29"/>
  <c r="I7942" i="29"/>
  <c r="I7943" i="29"/>
  <c r="I7944" i="29"/>
  <c r="I7945" i="29"/>
  <c r="I7946" i="29"/>
  <c r="I7947" i="29"/>
  <c r="I7948" i="29"/>
  <c r="I7949" i="29"/>
  <c r="I7950" i="29"/>
  <c r="I7951" i="29"/>
  <c r="I7952" i="29"/>
  <c r="I7953" i="29"/>
  <c r="I7954" i="29"/>
  <c r="I7955" i="29"/>
  <c r="I7956" i="29"/>
  <c r="I7957" i="29"/>
  <c r="I7958" i="29"/>
  <c r="I7959" i="29"/>
  <c r="I7960" i="29"/>
  <c r="I7961" i="29"/>
  <c r="I7962" i="29"/>
  <c r="I7963" i="29"/>
  <c r="I7964" i="29"/>
  <c r="I7965" i="29"/>
  <c r="I7966" i="29"/>
  <c r="I7967" i="29"/>
  <c r="I7968" i="29"/>
  <c r="I7969" i="29"/>
  <c r="I7970" i="29"/>
  <c r="I7971" i="29"/>
  <c r="I7972" i="29"/>
  <c r="I7973" i="29"/>
  <c r="I7974" i="29"/>
  <c r="I7975" i="29"/>
  <c r="I7976" i="29"/>
  <c r="I7977" i="29"/>
  <c r="I7978" i="29"/>
  <c r="I7979" i="29"/>
  <c r="I7980" i="29"/>
  <c r="I7981" i="29"/>
  <c r="I7982" i="29"/>
  <c r="I7983" i="29"/>
  <c r="I7984" i="29"/>
  <c r="I7985" i="29"/>
  <c r="I7986" i="29"/>
  <c r="I7987" i="29"/>
  <c r="I7988" i="29"/>
  <c r="I7989" i="29"/>
  <c r="I7990" i="29"/>
  <c r="I7991" i="29"/>
  <c r="I7992" i="29"/>
  <c r="I7993" i="29"/>
  <c r="I7994" i="29"/>
  <c r="I7995" i="29"/>
  <c r="I7996" i="29"/>
  <c r="I7997" i="29"/>
  <c r="I7998" i="29"/>
  <c r="I7999" i="29"/>
  <c r="I8000" i="29"/>
  <c r="I8001" i="29"/>
  <c r="I8002" i="29"/>
  <c r="I8003" i="29"/>
  <c r="I8004" i="29"/>
  <c r="I8005" i="29"/>
  <c r="I8006" i="29"/>
  <c r="I8007" i="29"/>
  <c r="I8008" i="29"/>
  <c r="I8009" i="29"/>
  <c r="I8010" i="29"/>
  <c r="I8011" i="29"/>
  <c r="I8012" i="29"/>
  <c r="I8013" i="29"/>
  <c r="I8014" i="29"/>
  <c r="I8015" i="29"/>
  <c r="I8016" i="29"/>
  <c r="I8017" i="29"/>
  <c r="I8018" i="29"/>
  <c r="I8019" i="29"/>
  <c r="I8020" i="29"/>
  <c r="I8021" i="29"/>
  <c r="I8022" i="29"/>
  <c r="I8023" i="29"/>
  <c r="I8024" i="29"/>
  <c r="I8025" i="29"/>
  <c r="I8026" i="29"/>
  <c r="I8027" i="29"/>
  <c r="I8028" i="29"/>
  <c r="I8029" i="29"/>
  <c r="I8030" i="29"/>
  <c r="I8031" i="29"/>
  <c r="I8032" i="29"/>
  <c r="I8033" i="29"/>
  <c r="I8034" i="29"/>
  <c r="I8035" i="29"/>
  <c r="I8036" i="29"/>
  <c r="I8037" i="29"/>
  <c r="I8038" i="29"/>
  <c r="I8039" i="29"/>
  <c r="I8040" i="29"/>
  <c r="I8041" i="29"/>
  <c r="I8042" i="29"/>
  <c r="I8043" i="29"/>
  <c r="I8044" i="29"/>
  <c r="I8045" i="29"/>
  <c r="I8046" i="29"/>
  <c r="I8047" i="29"/>
  <c r="I8048" i="29"/>
  <c r="I8049" i="29"/>
  <c r="I8050" i="29"/>
  <c r="I8051" i="29"/>
  <c r="I8052" i="29"/>
  <c r="I8053" i="29"/>
  <c r="I8054" i="29"/>
  <c r="I8055" i="29"/>
  <c r="I8056" i="29"/>
  <c r="I8057" i="29"/>
  <c r="I8058" i="29"/>
  <c r="I8059" i="29"/>
  <c r="I8060" i="29"/>
  <c r="I8061" i="29"/>
  <c r="I8062" i="29"/>
  <c r="I8063" i="29"/>
  <c r="I8064" i="29"/>
  <c r="I8065" i="29"/>
  <c r="I8066" i="29"/>
  <c r="I8067" i="29"/>
  <c r="I8068" i="29"/>
  <c r="I8069" i="29"/>
  <c r="I8070" i="29"/>
  <c r="I8071" i="29"/>
  <c r="I8072" i="29"/>
  <c r="I8073" i="29"/>
  <c r="I8074" i="29"/>
  <c r="I8075" i="29"/>
  <c r="I8076" i="29"/>
  <c r="I8077" i="29"/>
  <c r="I8078" i="29"/>
  <c r="I8079" i="29"/>
  <c r="I8080" i="29"/>
  <c r="I8081" i="29"/>
  <c r="I8082" i="29"/>
  <c r="I8083" i="29"/>
  <c r="I8084" i="29"/>
  <c r="I8085" i="29"/>
  <c r="I8086" i="29"/>
  <c r="I8087" i="29"/>
  <c r="I8088" i="29"/>
  <c r="I8089" i="29"/>
  <c r="I8090" i="29"/>
  <c r="I8091" i="29"/>
  <c r="I8092" i="29"/>
  <c r="I8093" i="29"/>
  <c r="I8094" i="29"/>
  <c r="I8095" i="29"/>
  <c r="I8096" i="29"/>
  <c r="I8097" i="29"/>
  <c r="I8098" i="29"/>
  <c r="I8099" i="29"/>
  <c r="I8100" i="29"/>
  <c r="I8101" i="29"/>
  <c r="I8102" i="29"/>
  <c r="I8103" i="29"/>
  <c r="I8104" i="29"/>
  <c r="I8105" i="29"/>
  <c r="I8106" i="29"/>
  <c r="I8107" i="29"/>
  <c r="I8108" i="29"/>
  <c r="I8109" i="29"/>
  <c r="I8110" i="29"/>
  <c r="I8111" i="29"/>
  <c r="I8112" i="29"/>
  <c r="I8113" i="29"/>
  <c r="I8114" i="29"/>
  <c r="I8115" i="29"/>
  <c r="I8116" i="29"/>
  <c r="I8117" i="29"/>
  <c r="I8118" i="29"/>
  <c r="I8119" i="29"/>
  <c r="I8120" i="29"/>
  <c r="I8121" i="29"/>
  <c r="I8122" i="29"/>
  <c r="I8123" i="29"/>
  <c r="I8124" i="29"/>
  <c r="I8125" i="29"/>
  <c r="I8126" i="29"/>
  <c r="I8127" i="29"/>
  <c r="I8128" i="29"/>
  <c r="I8129" i="29"/>
  <c r="I8130" i="29"/>
  <c r="I8131" i="29"/>
  <c r="I8132" i="29"/>
  <c r="I8133" i="29"/>
  <c r="I8134" i="29"/>
  <c r="I8135" i="29"/>
  <c r="I8136" i="29"/>
  <c r="I8137" i="29"/>
  <c r="I8138" i="29"/>
  <c r="I8139" i="29"/>
  <c r="I8140" i="29"/>
  <c r="I8141" i="29"/>
  <c r="I8142" i="29"/>
  <c r="I8143" i="29"/>
  <c r="I8144" i="29"/>
  <c r="I8145" i="29"/>
  <c r="I8146" i="29"/>
  <c r="I8147" i="29"/>
  <c r="I8148" i="29"/>
  <c r="I8149" i="29"/>
  <c r="I8150" i="29"/>
  <c r="I8151" i="29"/>
  <c r="I8152" i="29"/>
  <c r="I8153" i="29"/>
  <c r="I8154" i="29"/>
  <c r="I8155" i="29"/>
  <c r="I8156" i="29"/>
  <c r="I8157" i="29"/>
  <c r="I8158" i="29"/>
  <c r="I8159" i="29"/>
  <c r="I8160" i="29"/>
  <c r="I8161" i="29"/>
  <c r="I8162" i="29"/>
  <c r="I8163" i="29"/>
  <c r="I8164" i="29"/>
  <c r="I8165" i="29"/>
  <c r="I8166" i="29"/>
  <c r="I8167" i="29"/>
  <c r="I8168" i="29"/>
  <c r="I8169" i="29"/>
  <c r="I8170" i="29"/>
  <c r="I8171" i="29"/>
  <c r="I8172" i="29"/>
  <c r="I8173" i="29"/>
  <c r="I8174" i="29"/>
  <c r="I8175" i="29"/>
  <c r="I8176" i="29"/>
  <c r="I8177" i="29"/>
  <c r="I8178" i="29"/>
  <c r="I8179" i="29"/>
  <c r="I8180" i="29"/>
  <c r="I8181" i="29"/>
  <c r="I8182" i="29"/>
  <c r="I8183" i="29"/>
  <c r="I8184" i="29"/>
  <c r="I8185" i="29"/>
  <c r="I8186" i="29"/>
  <c r="I8187" i="29"/>
  <c r="I8188" i="29"/>
  <c r="I8189" i="29"/>
  <c r="I8190" i="29"/>
  <c r="I8191" i="29"/>
  <c r="I8192" i="29"/>
  <c r="I8193" i="29"/>
  <c r="I8194" i="29"/>
  <c r="I8195" i="29"/>
  <c r="I8196" i="29"/>
  <c r="I8197" i="29"/>
  <c r="I8198" i="29"/>
  <c r="I8199" i="29"/>
  <c r="I8200" i="29"/>
  <c r="I8201" i="29"/>
  <c r="I8202" i="29"/>
  <c r="I8203" i="29"/>
  <c r="I8204" i="29"/>
  <c r="I8205" i="29"/>
  <c r="I8206" i="29"/>
  <c r="I8207" i="29"/>
  <c r="I8208" i="29"/>
  <c r="I8209" i="29"/>
  <c r="I8210" i="29"/>
  <c r="I8211" i="29"/>
  <c r="I8212" i="29"/>
  <c r="I8213" i="29"/>
  <c r="I8214" i="29"/>
  <c r="I8215" i="29"/>
  <c r="I8216" i="29"/>
  <c r="I8217" i="29"/>
  <c r="I8218" i="29"/>
  <c r="I8219" i="29"/>
  <c r="I8220" i="29"/>
  <c r="I8221" i="29"/>
  <c r="I8222" i="29"/>
  <c r="I8223" i="29"/>
  <c r="I8224" i="29"/>
  <c r="I8225" i="29"/>
  <c r="I8226" i="29"/>
  <c r="I8227" i="29"/>
  <c r="I8228" i="29"/>
  <c r="I8229" i="29"/>
  <c r="I8230" i="29"/>
  <c r="I8231" i="29"/>
  <c r="I8232" i="29"/>
  <c r="I8233" i="29"/>
  <c r="I8234" i="29"/>
  <c r="I8235" i="29"/>
  <c r="I8236" i="29"/>
  <c r="I8237" i="29"/>
  <c r="I8238" i="29"/>
  <c r="I8239" i="29"/>
  <c r="I8240" i="29"/>
  <c r="I8241" i="29"/>
  <c r="I8242" i="29"/>
  <c r="I8243" i="29"/>
  <c r="I8244" i="29"/>
  <c r="I8245" i="29"/>
  <c r="I8246" i="29"/>
  <c r="I8247" i="29"/>
  <c r="I8248" i="29"/>
  <c r="I8249" i="29"/>
  <c r="I8250" i="29"/>
  <c r="I8251" i="29"/>
  <c r="I8252" i="29"/>
  <c r="I8253" i="29"/>
  <c r="I8254" i="29"/>
  <c r="I8255" i="29"/>
  <c r="I8256" i="29"/>
  <c r="I8257" i="29"/>
  <c r="I8258" i="29"/>
  <c r="I8259" i="29"/>
  <c r="I8260" i="29"/>
  <c r="I8261" i="29"/>
  <c r="I8262" i="29"/>
  <c r="I8263" i="29"/>
  <c r="I8264" i="29"/>
  <c r="I8265" i="29"/>
  <c r="I8266" i="29"/>
  <c r="I8267" i="29"/>
  <c r="I8268" i="29"/>
  <c r="I8269" i="29"/>
  <c r="I8270" i="29"/>
  <c r="I8271" i="29"/>
  <c r="I8272" i="29"/>
  <c r="I8273" i="29"/>
  <c r="I8274" i="29"/>
  <c r="I8275" i="29"/>
  <c r="I8276" i="29"/>
  <c r="I8277" i="29"/>
  <c r="I8278" i="29"/>
  <c r="I8279" i="29"/>
  <c r="I8280" i="29"/>
  <c r="I8281" i="29"/>
  <c r="I8282" i="29"/>
  <c r="I8283" i="29"/>
  <c r="I8284" i="29"/>
  <c r="I8285" i="29"/>
  <c r="I8286" i="29"/>
  <c r="I8287" i="29"/>
  <c r="I8288" i="29"/>
  <c r="I8289" i="29"/>
  <c r="I8290" i="29"/>
  <c r="I8291" i="29"/>
  <c r="I8292" i="29"/>
  <c r="I8293" i="29"/>
  <c r="I8294" i="29"/>
  <c r="I8295" i="29"/>
  <c r="I8296" i="29"/>
  <c r="I8297" i="29"/>
  <c r="I8298" i="29"/>
  <c r="I8299" i="29"/>
  <c r="I8300" i="29"/>
  <c r="I8301" i="29"/>
  <c r="I8302" i="29"/>
  <c r="I8303" i="29"/>
  <c r="I8304" i="29"/>
  <c r="I8305" i="29"/>
  <c r="I8306" i="29"/>
  <c r="I8307" i="29"/>
  <c r="I8308" i="29"/>
  <c r="I8309" i="29"/>
  <c r="I8310" i="29"/>
  <c r="I8311" i="29"/>
  <c r="I8312" i="29"/>
  <c r="I8313" i="29"/>
  <c r="I8314" i="29"/>
  <c r="I8315" i="29"/>
  <c r="I8316" i="29"/>
  <c r="I8317" i="29"/>
  <c r="I8318" i="29"/>
  <c r="I8319" i="29"/>
  <c r="I8320" i="29"/>
  <c r="I8321" i="29"/>
  <c r="I8322" i="29"/>
  <c r="I8323" i="29"/>
  <c r="I8324" i="29"/>
  <c r="I8325" i="29"/>
  <c r="I8326" i="29"/>
  <c r="I8327" i="29"/>
  <c r="I8328" i="29"/>
  <c r="I8329" i="29"/>
  <c r="I8330" i="29"/>
  <c r="I8331" i="29"/>
  <c r="I8332" i="29"/>
  <c r="I8333" i="29"/>
  <c r="I8334" i="29"/>
  <c r="I8335" i="29"/>
  <c r="I8336" i="29"/>
  <c r="I8337" i="29"/>
  <c r="I8338" i="29"/>
  <c r="I8339" i="29"/>
  <c r="I8340" i="29"/>
  <c r="I8341" i="29"/>
  <c r="I8342" i="29"/>
  <c r="I8343" i="29"/>
  <c r="I8344" i="29"/>
  <c r="I8345" i="29"/>
  <c r="I8346" i="29"/>
  <c r="I8347" i="29"/>
  <c r="I8348" i="29"/>
  <c r="I8349" i="29"/>
  <c r="I8350" i="29"/>
  <c r="I8351" i="29"/>
  <c r="I8352" i="29"/>
  <c r="I8353" i="29"/>
  <c r="I8354" i="29"/>
  <c r="I8355" i="29"/>
  <c r="I8356" i="29"/>
  <c r="I8357" i="29"/>
  <c r="I8358" i="29"/>
  <c r="I8359" i="29"/>
  <c r="I8360" i="29"/>
  <c r="I8361" i="29"/>
  <c r="I8362" i="29"/>
  <c r="I8363" i="29"/>
  <c r="I8364" i="29"/>
  <c r="I8365" i="29"/>
  <c r="I8366" i="29"/>
  <c r="I8367" i="29"/>
  <c r="I8368" i="29"/>
  <c r="I8369" i="29"/>
  <c r="I8370" i="29"/>
  <c r="I8371" i="29"/>
  <c r="I8372" i="29"/>
  <c r="I8373" i="29"/>
  <c r="I8374" i="29"/>
  <c r="I8375" i="29"/>
  <c r="I8376" i="29"/>
  <c r="I8377" i="29"/>
  <c r="I8378" i="29"/>
  <c r="I8379" i="29"/>
  <c r="I8380" i="29"/>
  <c r="I8381" i="29"/>
  <c r="I8382" i="29"/>
  <c r="I8383" i="29"/>
  <c r="I8384" i="29"/>
  <c r="I8385" i="29"/>
  <c r="I8386" i="29"/>
  <c r="I8387" i="29"/>
  <c r="I8388" i="29"/>
  <c r="I8389" i="29"/>
  <c r="I8390" i="29"/>
  <c r="I8391" i="29"/>
  <c r="I8392" i="29"/>
  <c r="I8393" i="29"/>
  <c r="I8394" i="29"/>
  <c r="I8395" i="29"/>
  <c r="I8396" i="29"/>
  <c r="I8397" i="29"/>
  <c r="I8398" i="29"/>
  <c r="I8399" i="29"/>
  <c r="I8400" i="29"/>
  <c r="I8401" i="29"/>
  <c r="I8402" i="29"/>
  <c r="I8403" i="29"/>
  <c r="I8404" i="29"/>
  <c r="I8405" i="29"/>
  <c r="I8406" i="29"/>
  <c r="I8407" i="29"/>
  <c r="I8408" i="29"/>
  <c r="I8409" i="29"/>
  <c r="I8410" i="29"/>
  <c r="I8411" i="29"/>
  <c r="I8412" i="29"/>
  <c r="I8413" i="29"/>
  <c r="I8414" i="29"/>
  <c r="I8415" i="29"/>
  <c r="I8416" i="29"/>
  <c r="I8417" i="29"/>
  <c r="I8418" i="29"/>
  <c r="I8419" i="29"/>
  <c r="I8420" i="29"/>
  <c r="I8421" i="29"/>
  <c r="I8422" i="29"/>
  <c r="I8423" i="29"/>
  <c r="I8424" i="29"/>
  <c r="I8425" i="29"/>
  <c r="I8426" i="29"/>
  <c r="I8427" i="29"/>
  <c r="I8428" i="29"/>
  <c r="I8429" i="29"/>
  <c r="I8430" i="29"/>
  <c r="I8431" i="29"/>
  <c r="I8432" i="29"/>
  <c r="I8433" i="29"/>
  <c r="I8434" i="29"/>
  <c r="I8435" i="29"/>
  <c r="I8436" i="29"/>
  <c r="I8437" i="29"/>
  <c r="I8438" i="29"/>
  <c r="I8439" i="29"/>
  <c r="I8440" i="29"/>
  <c r="I8441" i="29"/>
  <c r="I8442" i="29"/>
  <c r="I8443" i="29"/>
  <c r="I8444" i="29"/>
  <c r="I8445" i="29"/>
  <c r="I8446" i="29"/>
  <c r="I8447" i="29"/>
  <c r="I8448" i="29"/>
  <c r="I8449" i="29"/>
  <c r="I8450" i="29"/>
  <c r="I8451" i="29"/>
  <c r="I8452" i="29"/>
  <c r="I8453" i="29"/>
  <c r="I8454" i="29"/>
  <c r="I8455" i="29"/>
  <c r="I8456" i="29"/>
  <c r="I8457" i="29"/>
  <c r="I8458" i="29"/>
  <c r="I8459" i="29"/>
  <c r="I8460" i="29"/>
  <c r="I8461" i="29"/>
  <c r="I8462" i="29"/>
  <c r="I8463" i="29"/>
  <c r="I8464" i="29"/>
  <c r="I8465" i="29"/>
  <c r="I8466" i="29"/>
  <c r="I8467" i="29"/>
  <c r="I8468" i="29"/>
  <c r="I8469" i="29"/>
  <c r="I8470" i="29"/>
  <c r="I8471" i="29"/>
  <c r="I8472" i="29"/>
  <c r="I8473" i="29"/>
  <c r="I8474" i="29"/>
  <c r="I8475" i="29"/>
  <c r="I8476" i="29"/>
  <c r="I8477" i="29"/>
  <c r="I8478" i="29"/>
  <c r="I8479" i="29"/>
  <c r="I8480" i="29"/>
  <c r="I8481" i="29"/>
  <c r="I8482" i="29"/>
  <c r="I8483" i="29"/>
  <c r="I8484" i="29"/>
  <c r="I8485" i="29"/>
  <c r="I8486" i="29"/>
  <c r="I8487" i="29"/>
  <c r="I8488" i="29"/>
  <c r="I8489" i="29"/>
  <c r="I8490" i="29"/>
  <c r="I8491" i="29"/>
  <c r="I8492" i="29"/>
  <c r="I8493" i="29"/>
  <c r="I8494" i="29"/>
  <c r="I8495" i="29"/>
  <c r="I8496" i="29"/>
  <c r="I8497" i="29"/>
  <c r="I8498" i="29"/>
  <c r="I8499" i="29"/>
  <c r="I8500" i="29"/>
  <c r="I8501" i="29"/>
  <c r="I8502" i="29"/>
  <c r="I8503" i="29"/>
  <c r="I8504" i="29"/>
  <c r="I8505" i="29"/>
  <c r="I8506" i="29"/>
  <c r="I8507" i="29"/>
  <c r="I8508" i="29"/>
  <c r="I8509" i="29"/>
  <c r="I8510" i="29"/>
  <c r="I8511" i="29"/>
  <c r="I8512" i="29"/>
  <c r="I8513" i="29"/>
  <c r="I8514" i="29"/>
  <c r="I8515" i="29"/>
  <c r="I8516" i="29"/>
  <c r="I8517" i="29"/>
  <c r="I8518" i="29"/>
  <c r="I8519" i="29"/>
  <c r="I8520" i="29"/>
  <c r="I8521" i="29"/>
  <c r="I8522" i="29"/>
  <c r="I8523" i="29"/>
  <c r="I8524" i="29"/>
  <c r="I8525" i="29"/>
  <c r="I8526" i="29"/>
  <c r="I8527" i="29"/>
  <c r="I8528" i="29"/>
  <c r="I8529" i="29"/>
  <c r="I8530" i="29"/>
  <c r="I8531" i="29"/>
  <c r="I8532" i="29"/>
  <c r="I8533" i="29"/>
  <c r="I8534" i="29"/>
  <c r="I8535" i="29"/>
  <c r="I8536" i="29"/>
  <c r="I8537" i="29"/>
  <c r="I8538" i="29"/>
  <c r="I8539" i="29"/>
  <c r="I8540" i="29"/>
  <c r="I8541" i="29"/>
  <c r="I8542" i="29"/>
  <c r="I8543" i="29"/>
  <c r="I8544" i="29"/>
  <c r="I8545" i="29"/>
  <c r="I8546" i="29"/>
  <c r="I8547" i="29"/>
  <c r="I8548" i="29"/>
  <c r="I8549" i="29"/>
  <c r="I8550" i="29"/>
  <c r="I8551" i="29"/>
  <c r="I8552" i="29"/>
  <c r="I8553" i="29"/>
  <c r="I8554" i="29"/>
  <c r="I8555" i="29"/>
  <c r="I8556" i="29"/>
  <c r="I8557" i="29"/>
  <c r="I8558" i="29"/>
  <c r="I8559" i="29"/>
  <c r="I8560" i="29"/>
  <c r="I8561" i="29"/>
  <c r="I8562" i="29"/>
  <c r="I8563" i="29"/>
  <c r="I8564" i="29"/>
  <c r="I8565" i="29"/>
  <c r="I8566" i="29"/>
  <c r="I8567" i="29"/>
  <c r="I8568" i="29"/>
  <c r="I8569" i="29"/>
  <c r="I8570" i="29"/>
  <c r="I8571" i="29"/>
  <c r="I8572" i="29"/>
  <c r="I8573" i="29"/>
  <c r="I8574" i="29"/>
  <c r="I8575" i="29"/>
  <c r="I8576" i="29"/>
  <c r="I8577" i="29"/>
  <c r="I8578" i="29"/>
  <c r="I8579" i="29"/>
  <c r="I8580" i="29"/>
  <c r="I8581" i="29"/>
  <c r="I8582" i="29"/>
  <c r="I8583" i="29"/>
  <c r="I8584" i="29"/>
  <c r="I8585" i="29"/>
  <c r="I8586" i="29"/>
  <c r="I8587" i="29"/>
  <c r="I8588" i="29"/>
  <c r="I8589" i="29"/>
  <c r="I8590" i="29"/>
  <c r="I8591" i="29"/>
  <c r="I8592" i="29"/>
  <c r="I8593" i="29"/>
  <c r="I8594" i="29"/>
  <c r="I8595" i="29"/>
  <c r="I8596" i="29"/>
  <c r="I8597" i="29"/>
  <c r="I8598" i="29"/>
  <c r="I8599" i="29"/>
  <c r="I8600" i="29"/>
  <c r="I8601" i="29"/>
  <c r="I8602" i="29"/>
  <c r="I8603" i="29"/>
  <c r="I8604" i="29"/>
  <c r="I8605" i="29"/>
  <c r="I8606" i="29"/>
  <c r="I8607" i="29"/>
  <c r="I8608" i="29"/>
  <c r="I8609" i="29"/>
  <c r="I8610" i="29"/>
  <c r="I8611" i="29"/>
  <c r="I8612" i="29"/>
  <c r="I8613" i="29"/>
  <c r="I8614" i="29"/>
  <c r="I8615" i="29"/>
  <c r="I8616" i="29"/>
  <c r="I8617" i="29"/>
  <c r="I8618" i="29"/>
  <c r="I8619" i="29"/>
  <c r="I8620" i="29"/>
  <c r="I8621" i="29"/>
  <c r="I8622" i="29"/>
  <c r="I8623" i="29"/>
  <c r="I8624" i="29"/>
  <c r="I8625" i="29"/>
  <c r="I8626" i="29"/>
  <c r="I8627" i="29"/>
  <c r="I8628" i="29"/>
  <c r="I8629" i="29"/>
  <c r="I8630" i="29"/>
  <c r="I8631" i="29"/>
  <c r="I8632" i="29"/>
  <c r="I8633" i="29"/>
  <c r="I8634" i="29"/>
  <c r="I8635" i="29"/>
  <c r="I8636" i="29"/>
  <c r="I8637" i="29"/>
  <c r="I8638" i="29"/>
  <c r="I8639" i="29"/>
  <c r="I8640" i="29"/>
  <c r="I8641" i="29"/>
  <c r="I8642" i="29"/>
  <c r="I8643" i="29"/>
  <c r="I8644" i="29"/>
  <c r="I8645" i="29"/>
  <c r="I8646" i="29"/>
  <c r="I8647" i="29"/>
  <c r="I8648" i="29"/>
  <c r="I8649" i="29"/>
  <c r="I8650" i="29"/>
  <c r="I8651" i="29"/>
  <c r="I8652" i="29"/>
  <c r="I8653" i="29"/>
  <c r="I8654" i="29"/>
  <c r="I8655" i="29"/>
  <c r="I8656" i="29"/>
  <c r="I8657" i="29"/>
  <c r="I8658" i="29"/>
  <c r="I8659" i="29"/>
  <c r="I8660" i="29"/>
  <c r="I8661" i="29"/>
  <c r="I8662" i="29"/>
  <c r="I8663" i="29"/>
  <c r="I8664" i="29"/>
  <c r="I8665" i="29"/>
  <c r="I8666" i="29"/>
  <c r="I8667" i="29"/>
  <c r="I8668" i="29"/>
  <c r="I8669" i="29"/>
  <c r="I8670" i="29"/>
  <c r="I8671" i="29"/>
  <c r="I8672" i="29"/>
  <c r="I8673" i="29"/>
  <c r="I8674" i="29"/>
  <c r="I8675" i="29"/>
  <c r="I8676" i="29"/>
  <c r="I8677" i="29"/>
  <c r="I8678" i="29"/>
  <c r="I8679" i="29"/>
  <c r="I8680" i="29"/>
  <c r="I8681" i="29"/>
  <c r="I8682" i="29"/>
  <c r="I8683" i="29"/>
  <c r="I8684" i="29"/>
  <c r="I8685" i="29"/>
  <c r="I8686" i="29"/>
  <c r="I8687" i="29"/>
  <c r="I8688" i="29"/>
  <c r="I8689" i="29"/>
  <c r="I8690" i="29"/>
  <c r="I8691" i="29"/>
  <c r="I8692" i="29"/>
  <c r="I8693" i="29"/>
  <c r="I8694" i="29"/>
  <c r="I8695" i="29"/>
  <c r="I8696" i="29"/>
  <c r="I8697" i="29"/>
  <c r="I8698" i="29"/>
  <c r="I8699" i="29"/>
  <c r="I8700" i="29"/>
  <c r="I8701" i="29"/>
  <c r="I8702" i="29"/>
  <c r="I8703" i="29"/>
  <c r="I8704" i="29"/>
  <c r="I8705" i="29"/>
  <c r="I8706" i="29"/>
  <c r="I8707" i="29"/>
  <c r="I8708" i="29"/>
  <c r="I8709" i="29"/>
  <c r="I8710" i="29"/>
  <c r="I8711" i="29"/>
  <c r="I8712" i="29"/>
  <c r="I8713" i="29"/>
  <c r="I8714" i="29"/>
  <c r="I8715" i="29"/>
  <c r="I8716" i="29"/>
  <c r="I8717" i="29"/>
  <c r="I8718" i="29"/>
  <c r="I8719" i="29"/>
  <c r="I8720" i="29"/>
  <c r="I8721" i="29"/>
  <c r="I8722" i="29"/>
  <c r="I8723" i="29"/>
  <c r="I8724" i="29"/>
  <c r="I8725" i="29"/>
  <c r="I8726" i="29"/>
  <c r="I8727" i="29"/>
  <c r="I8728" i="29"/>
  <c r="I8729" i="29"/>
  <c r="I8730" i="29"/>
  <c r="I8731" i="29"/>
  <c r="I8732" i="29"/>
  <c r="I8733" i="29"/>
  <c r="I8734" i="29"/>
  <c r="I8735" i="29"/>
  <c r="I8736" i="29"/>
  <c r="I8737" i="29"/>
  <c r="I8738" i="29"/>
  <c r="I8739" i="29"/>
  <c r="I8740" i="29"/>
  <c r="I8741" i="29"/>
  <c r="I8742" i="29"/>
  <c r="I8743" i="29"/>
  <c r="I8744" i="29"/>
  <c r="I8745" i="29"/>
  <c r="I8746" i="29"/>
  <c r="I8747" i="29"/>
  <c r="I8748" i="29"/>
  <c r="I8749" i="29"/>
  <c r="I8750" i="29"/>
  <c r="I8751" i="29"/>
  <c r="I8752" i="29"/>
  <c r="I8753" i="29"/>
  <c r="I8754" i="29"/>
  <c r="I8755" i="29"/>
  <c r="I8756" i="29"/>
  <c r="I8757" i="29"/>
  <c r="I8758" i="29"/>
  <c r="I8759" i="29"/>
  <c r="I8760" i="29"/>
  <c r="I8761" i="29"/>
  <c r="I8762" i="29"/>
  <c r="I8763" i="29"/>
  <c r="I8764" i="29"/>
  <c r="I8765" i="29"/>
  <c r="I8766" i="29"/>
  <c r="I8767" i="29"/>
  <c r="I8768" i="29"/>
  <c r="I8769" i="29"/>
  <c r="I8770" i="29"/>
  <c r="I8771" i="29"/>
  <c r="I8772" i="29"/>
  <c r="I8773" i="29"/>
  <c r="I8774" i="29"/>
  <c r="I8775" i="29"/>
  <c r="I8776" i="29"/>
  <c r="I8777" i="29"/>
  <c r="I8778" i="29"/>
  <c r="I8779" i="29"/>
  <c r="I8780" i="29"/>
  <c r="I8781" i="29"/>
  <c r="I8782" i="29"/>
  <c r="I8783" i="29"/>
  <c r="I8784" i="29"/>
  <c r="I8785" i="29"/>
  <c r="I8786" i="29"/>
  <c r="I8787" i="29"/>
  <c r="I8788" i="29"/>
  <c r="I8789" i="29"/>
  <c r="I8790" i="29"/>
  <c r="I8791" i="29"/>
  <c r="I8792" i="29"/>
  <c r="I8793" i="29"/>
  <c r="I8794" i="29"/>
  <c r="I8795" i="29"/>
  <c r="I8796" i="29"/>
  <c r="I8797" i="29"/>
  <c r="I8798" i="29"/>
  <c r="I8799" i="29"/>
  <c r="I8800" i="29"/>
  <c r="I8801" i="29"/>
  <c r="I8802" i="29"/>
  <c r="I8803" i="29"/>
  <c r="I8804" i="29"/>
  <c r="I8805" i="29"/>
  <c r="I8806" i="29"/>
  <c r="I8807" i="29"/>
  <c r="I8808" i="29"/>
  <c r="I8809" i="29"/>
  <c r="I8810" i="29"/>
  <c r="I8811" i="29"/>
  <c r="I8812" i="29"/>
  <c r="I8813" i="29"/>
  <c r="I8814" i="29"/>
  <c r="I8815" i="29"/>
  <c r="I8816" i="29"/>
  <c r="I8817" i="29"/>
  <c r="I8818" i="29"/>
  <c r="I8819" i="29"/>
  <c r="I8820" i="29"/>
  <c r="I8821" i="29"/>
  <c r="I8822" i="29"/>
  <c r="I8823" i="29"/>
  <c r="I8824" i="29"/>
  <c r="I8825" i="29"/>
  <c r="I8826" i="29"/>
  <c r="I8827" i="29"/>
  <c r="I8828" i="29"/>
  <c r="I8829" i="29"/>
  <c r="I8830" i="29"/>
  <c r="I8831" i="29"/>
  <c r="I8832" i="29"/>
  <c r="I8833" i="29"/>
  <c r="I8834" i="29"/>
  <c r="I8835" i="29"/>
  <c r="I8836" i="29"/>
  <c r="I8837" i="29"/>
  <c r="I8838" i="29"/>
  <c r="I8839" i="29"/>
  <c r="I8840" i="29"/>
  <c r="I8841" i="29"/>
  <c r="I8842" i="29"/>
  <c r="I8843" i="29"/>
  <c r="I8844" i="29"/>
  <c r="I8845" i="29"/>
  <c r="I8846" i="29"/>
  <c r="I8847" i="29"/>
  <c r="I8848" i="29"/>
  <c r="I8849" i="29"/>
  <c r="I8850" i="29"/>
  <c r="I8851" i="29"/>
  <c r="I8852" i="29"/>
  <c r="I8853" i="29"/>
  <c r="I8854" i="29"/>
  <c r="I8855" i="29"/>
  <c r="I8856" i="29"/>
  <c r="I8857" i="29"/>
  <c r="I8858" i="29"/>
  <c r="I8859" i="29"/>
  <c r="I8860" i="29"/>
  <c r="I8861" i="29"/>
  <c r="I8862" i="29"/>
  <c r="I8863" i="29"/>
  <c r="I8864" i="29"/>
  <c r="I8865" i="29"/>
  <c r="I8866" i="29"/>
  <c r="I8867" i="29"/>
  <c r="I8868" i="29"/>
  <c r="I8869" i="29"/>
  <c r="I8870" i="29"/>
  <c r="I8871" i="29"/>
  <c r="I8872" i="29"/>
  <c r="I8873" i="29"/>
  <c r="I8874" i="29"/>
  <c r="I8875" i="29"/>
  <c r="I8876" i="29"/>
  <c r="I8877" i="29"/>
  <c r="I8878" i="29"/>
  <c r="I8879" i="29"/>
  <c r="I8880" i="29"/>
  <c r="I8881" i="29"/>
  <c r="I8882" i="29"/>
  <c r="I8883" i="29"/>
  <c r="I8884" i="29"/>
  <c r="I8885" i="29"/>
  <c r="I8886" i="29"/>
  <c r="I8887" i="29"/>
  <c r="I8888" i="29"/>
  <c r="I8889" i="29"/>
  <c r="I8890" i="29"/>
  <c r="I8891" i="29"/>
  <c r="I8892" i="29"/>
  <c r="I8893" i="29"/>
  <c r="I8894" i="29"/>
  <c r="I8895" i="29"/>
  <c r="I8896" i="29"/>
  <c r="I8897" i="29"/>
  <c r="I8898" i="29"/>
  <c r="I8899" i="29"/>
  <c r="I8900" i="29"/>
  <c r="I8901" i="29"/>
  <c r="I8902" i="29"/>
  <c r="I8903" i="29"/>
  <c r="I8904" i="29"/>
  <c r="I8905" i="29"/>
  <c r="I8906" i="29"/>
  <c r="I8907" i="29"/>
  <c r="I8908" i="29"/>
  <c r="I8909" i="29"/>
  <c r="I8910" i="29"/>
  <c r="I8911" i="29"/>
  <c r="I8912" i="29"/>
  <c r="I8913" i="29"/>
  <c r="I8914" i="29"/>
  <c r="I8915" i="29"/>
  <c r="I8916" i="29"/>
  <c r="I8917" i="29"/>
  <c r="I8918" i="29"/>
  <c r="I8919" i="29"/>
  <c r="I8920" i="29"/>
  <c r="I8921" i="29"/>
  <c r="I8922" i="29"/>
  <c r="I8923" i="29"/>
  <c r="I8924" i="29"/>
  <c r="I8925" i="29"/>
  <c r="I8926" i="29"/>
  <c r="I8927" i="29"/>
  <c r="I8928" i="29"/>
  <c r="I8929" i="29"/>
  <c r="I8930" i="29"/>
  <c r="I8931" i="29"/>
  <c r="I8932" i="29"/>
  <c r="I8933" i="29"/>
  <c r="I8934" i="29"/>
  <c r="I8935" i="29"/>
  <c r="I8936" i="29"/>
  <c r="I8937" i="29"/>
  <c r="I8938" i="29"/>
  <c r="I8939" i="29"/>
  <c r="I8940" i="29"/>
  <c r="I8941" i="29"/>
  <c r="I8942" i="29"/>
  <c r="I8943" i="29"/>
  <c r="I8944" i="29"/>
  <c r="I8945" i="29"/>
  <c r="I8946" i="29"/>
  <c r="I8947" i="29"/>
  <c r="I8948" i="29"/>
  <c r="I8949" i="29"/>
  <c r="I8950" i="29"/>
  <c r="I8951" i="29"/>
  <c r="I8952" i="29"/>
  <c r="I8953" i="29"/>
  <c r="I8954" i="29"/>
  <c r="I8955" i="29"/>
  <c r="I8956" i="29"/>
  <c r="I8957" i="29"/>
  <c r="I8958" i="29"/>
  <c r="I8959" i="29"/>
  <c r="I8960" i="29"/>
  <c r="I8961" i="29"/>
  <c r="I8962" i="29"/>
  <c r="I8963" i="29"/>
  <c r="I8964" i="29"/>
  <c r="I8965" i="29"/>
  <c r="I8966" i="29"/>
  <c r="I8967" i="29"/>
  <c r="I8968" i="29"/>
  <c r="I8969" i="29"/>
  <c r="I8970" i="29"/>
  <c r="I8971" i="29"/>
  <c r="I8972" i="29"/>
  <c r="I8973" i="29"/>
  <c r="I8974" i="29"/>
  <c r="I8975" i="29"/>
  <c r="I8976" i="29"/>
  <c r="I8977" i="29"/>
  <c r="I8978" i="29"/>
  <c r="I8979" i="29"/>
  <c r="I8980" i="29"/>
  <c r="I8981" i="29"/>
  <c r="I8982" i="29"/>
  <c r="I8983" i="29"/>
  <c r="I8984" i="29"/>
  <c r="I8985" i="29"/>
  <c r="I8986" i="29"/>
  <c r="I8987" i="29"/>
  <c r="I8988" i="29"/>
  <c r="I8989" i="29"/>
  <c r="I8990" i="29"/>
  <c r="I8991" i="29"/>
  <c r="I8992" i="29"/>
  <c r="I8993" i="29"/>
  <c r="I8994" i="29"/>
  <c r="I8995" i="29"/>
  <c r="I8996" i="29"/>
  <c r="I8997" i="29"/>
  <c r="I8998" i="29"/>
  <c r="I8999" i="29"/>
  <c r="I9000" i="29"/>
  <c r="I9001" i="29"/>
  <c r="I9002" i="29"/>
  <c r="I9003" i="29"/>
  <c r="I9004" i="29"/>
  <c r="I9005" i="29"/>
  <c r="I9006" i="29"/>
  <c r="I9007" i="29"/>
  <c r="I9008" i="29"/>
  <c r="I9009" i="29"/>
  <c r="I9010" i="29"/>
  <c r="I9011" i="29"/>
  <c r="I9012" i="29"/>
  <c r="I9013" i="29"/>
  <c r="I9014" i="29"/>
  <c r="I9015" i="29"/>
  <c r="I9016" i="29"/>
  <c r="I9017" i="29"/>
  <c r="I9018" i="29"/>
  <c r="I9019" i="29"/>
  <c r="I9020" i="29"/>
  <c r="I9021" i="29"/>
  <c r="I9022" i="29"/>
  <c r="I9023" i="29"/>
  <c r="I9024" i="29"/>
  <c r="I9025" i="29"/>
  <c r="I9026" i="29"/>
  <c r="I9027" i="29"/>
  <c r="I9028" i="29"/>
  <c r="I9029" i="29"/>
  <c r="I9030" i="29"/>
  <c r="I9031" i="29"/>
  <c r="I9032" i="29"/>
  <c r="I9033" i="29"/>
  <c r="I9034" i="29"/>
  <c r="I9035" i="29"/>
  <c r="I9036" i="29"/>
  <c r="I9037" i="29"/>
  <c r="I9038" i="29"/>
  <c r="I9039" i="29"/>
  <c r="I9040" i="29"/>
  <c r="I9041" i="29"/>
  <c r="I9042" i="29"/>
  <c r="I9043" i="29"/>
  <c r="I9044" i="29"/>
  <c r="I9045" i="29"/>
  <c r="I9046" i="29"/>
  <c r="I9047" i="29"/>
  <c r="I9048" i="29"/>
  <c r="I9049" i="29"/>
  <c r="I9050" i="29"/>
  <c r="I9051" i="29"/>
  <c r="I9052" i="29"/>
  <c r="I9053" i="29"/>
  <c r="I9054" i="29"/>
  <c r="I9055" i="29"/>
  <c r="I9056" i="29"/>
  <c r="I9057" i="29"/>
  <c r="I9058" i="29"/>
  <c r="I9059" i="29"/>
  <c r="I9060" i="29"/>
  <c r="I9061" i="29"/>
  <c r="I9062" i="29"/>
  <c r="I9063" i="29"/>
  <c r="I9064" i="29"/>
  <c r="I9065" i="29"/>
  <c r="I9066" i="29"/>
  <c r="I9067" i="29"/>
  <c r="I9068" i="29"/>
  <c r="I9069" i="29"/>
  <c r="I9070" i="29"/>
  <c r="I9071" i="29"/>
  <c r="I9072" i="29"/>
  <c r="I9073" i="29"/>
  <c r="I9074" i="29"/>
  <c r="I9075" i="29"/>
  <c r="I9076" i="29"/>
  <c r="I9077" i="29"/>
  <c r="I9078" i="29"/>
  <c r="I9079" i="29"/>
  <c r="I9080" i="29"/>
  <c r="I9081" i="29"/>
  <c r="I9082" i="29"/>
  <c r="I9083" i="29"/>
  <c r="I9084" i="29"/>
  <c r="I9085" i="29"/>
  <c r="I9086" i="29"/>
  <c r="I9087" i="29"/>
  <c r="I9088" i="29"/>
  <c r="I9089" i="29"/>
  <c r="I9090" i="29"/>
  <c r="I9091" i="29"/>
  <c r="I9092" i="29"/>
  <c r="I9093" i="29"/>
  <c r="I9094" i="29"/>
  <c r="I9095" i="29"/>
  <c r="I9096" i="29"/>
  <c r="I9097" i="29"/>
  <c r="I9098" i="29"/>
  <c r="I9099" i="29"/>
  <c r="I9100" i="29"/>
  <c r="I9101" i="29"/>
  <c r="I9102" i="29"/>
  <c r="I9103" i="29"/>
  <c r="I9104" i="29"/>
  <c r="I9105" i="29"/>
  <c r="I9106" i="29"/>
  <c r="I9107" i="29"/>
  <c r="I9108" i="29"/>
  <c r="I9109" i="29"/>
  <c r="I9110" i="29"/>
  <c r="I9111" i="29"/>
  <c r="I9112" i="29"/>
  <c r="I9113" i="29"/>
  <c r="I9114" i="29"/>
  <c r="I9115" i="29"/>
  <c r="I9116" i="29"/>
  <c r="I9117" i="29"/>
  <c r="I9118" i="29"/>
  <c r="I9119" i="29"/>
  <c r="I9120" i="29"/>
  <c r="I9121" i="29"/>
  <c r="I9122" i="29"/>
  <c r="I9123" i="29"/>
  <c r="I9124" i="29"/>
  <c r="I9125" i="29"/>
  <c r="I9126" i="29"/>
  <c r="I9127" i="29"/>
  <c r="I9128" i="29"/>
  <c r="I9129" i="29"/>
  <c r="I9130" i="29"/>
  <c r="I9131" i="29"/>
  <c r="I9132" i="29"/>
  <c r="I9133" i="29"/>
  <c r="I9134" i="29"/>
  <c r="I9135" i="29"/>
  <c r="I9136" i="29"/>
  <c r="I9137" i="29"/>
  <c r="I9138" i="29"/>
  <c r="I9139" i="29"/>
  <c r="I9140" i="29"/>
  <c r="I9141" i="29"/>
  <c r="I9142" i="29"/>
  <c r="I9143" i="29"/>
  <c r="I9144" i="29"/>
  <c r="I9145" i="29"/>
  <c r="I9146" i="29"/>
  <c r="I9147" i="29"/>
  <c r="I9148" i="29"/>
  <c r="I9149" i="29"/>
  <c r="I9150" i="29"/>
  <c r="I9151" i="29"/>
  <c r="I9152" i="29"/>
  <c r="I9153" i="29"/>
  <c r="I9154" i="29"/>
  <c r="I9155" i="29"/>
  <c r="I9156" i="29"/>
  <c r="I9157" i="29"/>
  <c r="I9158" i="29"/>
  <c r="I9159" i="29"/>
  <c r="I9160" i="29"/>
  <c r="I9161" i="29"/>
  <c r="I9162" i="29"/>
  <c r="I9163" i="29"/>
  <c r="I9164" i="29"/>
  <c r="I9165" i="29"/>
  <c r="I9166" i="29"/>
  <c r="I9167" i="29"/>
  <c r="I9168" i="29"/>
  <c r="I9169" i="29"/>
  <c r="I9170" i="29"/>
  <c r="I9171" i="29"/>
  <c r="I9172" i="29"/>
  <c r="I9173" i="29"/>
  <c r="I9174" i="29"/>
  <c r="I9175" i="29"/>
  <c r="I9176" i="29"/>
  <c r="I9177" i="29"/>
  <c r="I9178" i="29"/>
  <c r="I9179" i="29"/>
  <c r="I9180" i="29"/>
  <c r="I9181" i="29"/>
  <c r="I9182" i="29"/>
  <c r="I9183" i="29"/>
  <c r="I9184" i="29"/>
  <c r="I9185" i="29"/>
  <c r="I9186" i="29"/>
  <c r="I9187" i="29"/>
  <c r="I9188" i="29"/>
  <c r="I9189" i="29"/>
  <c r="I9190" i="29"/>
  <c r="I9191" i="29"/>
  <c r="I9192" i="29"/>
  <c r="I9193" i="29"/>
  <c r="I9194" i="29"/>
  <c r="I9195" i="29"/>
  <c r="I9196" i="29"/>
  <c r="I9197" i="29"/>
  <c r="I9198" i="29"/>
  <c r="I9199" i="29"/>
  <c r="I9200" i="29"/>
  <c r="I9201" i="29"/>
  <c r="I9202" i="29"/>
  <c r="I9203" i="29"/>
  <c r="I9204" i="29"/>
  <c r="I9205" i="29"/>
  <c r="I9206" i="29"/>
  <c r="I9207" i="29"/>
  <c r="I9208" i="29"/>
  <c r="I9209" i="29"/>
  <c r="I9210" i="29"/>
  <c r="I9211" i="29"/>
  <c r="I9212" i="29"/>
  <c r="I9213" i="29"/>
  <c r="I9214" i="29"/>
  <c r="I9215" i="29"/>
  <c r="I9216" i="29"/>
  <c r="I9217" i="29"/>
  <c r="I9218" i="29"/>
  <c r="I9219" i="29"/>
  <c r="I9220" i="29"/>
  <c r="I9221" i="29"/>
  <c r="I9222" i="29"/>
  <c r="I9223" i="29"/>
  <c r="I9224" i="29"/>
  <c r="I9225" i="29"/>
  <c r="I9226" i="29"/>
  <c r="I9227" i="29"/>
  <c r="I9228" i="29"/>
  <c r="I9229" i="29"/>
  <c r="I9230" i="29"/>
  <c r="I9231" i="29"/>
  <c r="I9232" i="29"/>
  <c r="I9233" i="29"/>
  <c r="I9234" i="29"/>
  <c r="I9235" i="29"/>
  <c r="I9236" i="29"/>
  <c r="I9237" i="29"/>
  <c r="I9238" i="29"/>
  <c r="I9239" i="29"/>
  <c r="I9240" i="29"/>
  <c r="I9241" i="29"/>
  <c r="I9242" i="29"/>
  <c r="I9243" i="29"/>
  <c r="I9244" i="29"/>
  <c r="I9245" i="29"/>
  <c r="I9246" i="29"/>
  <c r="I9247" i="29"/>
  <c r="I9248" i="29"/>
  <c r="I9249" i="29"/>
  <c r="I9250" i="29"/>
  <c r="I9251" i="29"/>
  <c r="I9252" i="29"/>
  <c r="I9253" i="29"/>
  <c r="I9254" i="29"/>
  <c r="I9255" i="29"/>
  <c r="I9256" i="29"/>
  <c r="I9257" i="29"/>
  <c r="I9258" i="29"/>
  <c r="I9259" i="29"/>
  <c r="I9260" i="29"/>
  <c r="I9261" i="29"/>
  <c r="I9262" i="29"/>
  <c r="I9263" i="29"/>
  <c r="I9264" i="29"/>
  <c r="I9265" i="29"/>
  <c r="I9266" i="29"/>
  <c r="I9267" i="29"/>
  <c r="I9268" i="29"/>
  <c r="I9269" i="29"/>
  <c r="I9270" i="29"/>
  <c r="I9271" i="29"/>
  <c r="I9272" i="29"/>
  <c r="I9273" i="29"/>
  <c r="I9274" i="29"/>
  <c r="I9275" i="29"/>
  <c r="I9276" i="29"/>
  <c r="I9277" i="29"/>
  <c r="I9278" i="29"/>
  <c r="I9279" i="29"/>
  <c r="I9280" i="29"/>
  <c r="I9281" i="29"/>
  <c r="I9282" i="29"/>
  <c r="I637" i="29"/>
  <c r="I7319" i="29"/>
  <c r="I7369" i="29"/>
  <c r="I7368" i="29"/>
  <c r="I7367" i="29"/>
  <c r="I7366" i="29"/>
  <c r="I7365" i="29"/>
  <c r="I7364" i="29"/>
  <c r="I7363" i="29"/>
  <c r="I7425" i="29"/>
  <c r="I7424" i="29"/>
  <c r="I7423" i="29"/>
  <c r="I7422" i="29"/>
  <c r="I7421" i="29"/>
  <c r="I7420" i="29"/>
  <c r="I7428" i="29"/>
  <c r="I7427" i="29"/>
  <c r="I7426" i="29"/>
  <c r="I7419" i="29"/>
  <c r="I7417" i="29"/>
  <c r="I7418" i="29"/>
  <c r="I7416" i="29"/>
  <c r="I7415" i="29"/>
  <c r="I7414" i="29"/>
  <c r="I7413" i="29"/>
  <c r="I7412" i="29"/>
  <c r="I7411" i="29"/>
  <c r="I7410" i="29"/>
  <c r="I7409" i="29"/>
  <c r="I7408" i="29"/>
  <c r="I7406" i="29"/>
  <c r="I7407" i="29"/>
  <c r="I7402" i="29"/>
  <c r="I7403" i="29"/>
  <c r="I7401" i="29"/>
  <c r="I7400" i="29"/>
  <c r="I7399" i="29"/>
  <c r="I7398" i="29"/>
  <c r="I7397" i="29"/>
  <c r="I7396" i="29"/>
  <c r="I7395" i="29"/>
  <c r="I7394" i="29"/>
  <c r="I7392" i="29"/>
  <c r="I7391" i="29"/>
  <c r="I7405" i="29"/>
  <c r="I7404" i="29"/>
  <c r="I7393" i="29"/>
  <c r="I7388" i="29"/>
  <c r="I7390" i="29"/>
  <c r="I7389" i="29"/>
  <c r="I7379" i="29"/>
  <c r="I7387" i="29"/>
  <c r="I7386" i="29"/>
  <c r="I7385" i="29"/>
  <c r="I7384" i="29"/>
  <c r="I7383" i="29"/>
  <c r="I7382" i="29"/>
  <c r="I7381" i="29"/>
  <c r="I7380" i="29"/>
  <c r="I7377" i="29"/>
  <c r="I7374" i="29"/>
  <c r="I7373" i="29"/>
  <c r="I7372" i="29"/>
  <c r="I7378" i="29"/>
  <c r="I7376" i="29"/>
  <c r="I7375" i="29"/>
  <c r="I7371" i="29"/>
  <c r="I7370" i="29"/>
  <c r="I7362" i="29"/>
  <c r="I7361" i="29"/>
  <c r="I7360" i="29"/>
  <c r="I7359" i="29"/>
  <c r="I7358" i="29"/>
  <c r="I7357" i="29"/>
  <c r="I7356" i="29"/>
  <c r="I7355" i="29"/>
  <c r="I7354" i="29"/>
  <c r="I7353" i="29"/>
  <c r="I7352" i="29"/>
  <c r="I7348" i="29"/>
  <c r="I7347" i="29"/>
  <c r="I7346" i="29"/>
  <c r="I7345" i="29"/>
  <c r="I7351" i="29"/>
  <c r="I7350" i="29"/>
  <c r="I7349" i="29"/>
  <c r="I7341" i="29"/>
  <c r="I7340" i="29"/>
  <c r="I7344" i="29"/>
  <c r="I7343" i="29"/>
  <c r="I7342" i="29"/>
  <c r="I7339" i="29"/>
  <c r="I7338" i="29"/>
  <c r="I7337" i="29"/>
  <c r="I7336" i="29"/>
  <c r="I7335" i="29"/>
  <c r="I7334" i="29"/>
  <c r="I7333" i="29"/>
  <c r="I7332" i="29"/>
  <c r="I7329" i="29"/>
  <c r="I7328" i="29"/>
  <c r="I7327" i="29"/>
  <c r="I7326" i="29"/>
  <c r="I7331" i="29"/>
  <c r="I7330" i="29"/>
  <c r="I7325" i="29"/>
  <c r="I7324" i="29"/>
  <c r="I659" i="29"/>
  <c r="I7323" i="29"/>
  <c r="I7321" i="29"/>
  <c r="I7320" i="29"/>
  <c r="I7322" i="29"/>
  <c r="I7312" i="29"/>
  <c r="I7315" i="29"/>
  <c r="I7318" i="29"/>
  <c r="I7317" i="29"/>
  <c r="I7316" i="29"/>
  <c r="I7314" i="29"/>
  <c r="I7313" i="29"/>
  <c r="I7311" i="29"/>
  <c r="I7310" i="29"/>
  <c r="I7309" i="29"/>
  <c r="I7308" i="29"/>
  <c r="I7307" i="29"/>
  <c r="I7306" i="29"/>
  <c r="I7305" i="29"/>
  <c r="I7304" i="29"/>
  <c r="I7303" i="29"/>
  <c r="I7302" i="29"/>
  <c r="I7301" i="29"/>
  <c r="I7300" i="29"/>
  <c r="I7296" i="29"/>
  <c r="I7295" i="29"/>
  <c r="I7294" i="29"/>
  <c r="I7299" i="29"/>
  <c r="I7298" i="29"/>
  <c r="I7297" i="29"/>
  <c r="I7293" i="29"/>
  <c r="I7292" i="29"/>
  <c r="I7291" i="29"/>
  <c r="I7290" i="29"/>
  <c r="I7286" i="29"/>
  <c r="I7285" i="29"/>
  <c r="I7284" i="29"/>
  <c r="I7289" i="29"/>
  <c r="I7288" i="29"/>
  <c r="I7287" i="29"/>
  <c r="I7283" i="29"/>
  <c r="I7280" i="29"/>
  <c r="I7279" i="29"/>
  <c r="I7277" i="29"/>
  <c r="I7276" i="29"/>
  <c r="I7282" i="29"/>
  <c r="I7281" i="29"/>
  <c r="I7274" i="29"/>
  <c r="I7272" i="29"/>
  <c r="I7271" i="29"/>
  <c r="I7270" i="29"/>
  <c r="I7269" i="29"/>
  <c r="I7268" i="29"/>
  <c r="I7267" i="29"/>
  <c r="I7278" i="29"/>
  <c r="I7275" i="29"/>
  <c r="I7273" i="29"/>
  <c r="I7266" i="29"/>
  <c r="I7265" i="29"/>
  <c r="I7263" i="29"/>
  <c r="I7262" i="29"/>
  <c r="I7264" i="29"/>
  <c r="I7261" i="29"/>
  <c r="I7260" i="29"/>
  <c r="I7259" i="29"/>
  <c r="I7258" i="29"/>
  <c r="I7257" i="29"/>
  <c r="I7254" i="29"/>
  <c r="I7253" i="29"/>
  <c r="I7256" i="29"/>
  <c r="I7255" i="29"/>
  <c r="I7252" i="29"/>
  <c r="I7251" i="29"/>
  <c r="I7250" i="29"/>
  <c r="I7249" i="29"/>
  <c r="I7248" i="29"/>
  <c r="I7247" i="29"/>
  <c r="I7245" i="29"/>
  <c r="I7244" i="29"/>
  <c r="I7237" i="29"/>
  <c r="I7236" i="29"/>
  <c r="I7235" i="29"/>
  <c r="I7246" i="29"/>
  <c r="I7243" i="29"/>
  <c r="I7242" i="29"/>
  <c r="I7241" i="29"/>
  <c r="I7240" i="29"/>
  <c r="I7239" i="29"/>
  <c r="I7238" i="29"/>
  <c r="I7234" i="29"/>
  <c r="I7233" i="29"/>
  <c r="I7232" i="29"/>
  <c r="I7231" i="29"/>
  <c r="I7229" i="29"/>
  <c r="I7226" i="29"/>
  <c r="I7225" i="29"/>
  <c r="I7224" i="29"/>
  <c r="I7221" i="29"/>
  <c r="I7220" i="29"/>
  <c r="I7219" i="29"/>
  <c r="I7218" i="29"/>
  <c r="I7217" i="29"/>
  <c r="I7230" i="29"/>
  <c r="I7227" i="29"/>
  <c r="I7216" i="29"/>
  <c r="I7215" i="29"/>
  <c r="I7214" i="29"/>
  <c r="I7213" i="29"/>
  <c r="I7212" i="29"/>
  <c r="I7211" i="29"/>
  <c r="I7210" i="29"/>
  <c r="I7209" i="29"/>
  <c r="I7228" i="29"/>
  <c r="I7223" i="29"/>
  <c r="I7222" i="29"/>
  <c r="I7207" i="29"/>
  <c r="I7204" i="29"/>
  <c r="I7201" i="29"/>
  <c r="I7203" i="29"/>
  <c r="I7202" i="29"/>
  <c r="I7208" i="29"/>
  <c r="I7206" i="29"/>
  <c r="I7205" i="29"/>
  <c r="I7200" i="29"/>
  <c r="I7199" i="29"/>
  <c r="I7198" i="29"/>
  <c r="I7197" i="29"/>
  <c r="I7196" i="29"/>
  <c r="I7193" i="29"/>
  <c r="I7192" i="29"/>
  <c r="I7191" i="29"/>
  <c r="I7190" i="29"/>
  <c r="I7189" i="29"/>
  <c r="I7185" i="29"/>
  <c r="I7184" i="29"/>
  <c r="I7182" i="29"/>
  <c r="I7181" i="29"/>
  <c r="I7180" i="29"/>
  <c r="I7179" i="29"/>
  <c r="I7178" i="29"/>
  <c r="I7177" i="29"/>
  <c r="I7176" i="29"/>
  <c r="I7195" i="29"/>
  <c r="I7194" i="29"/>
  <c r="I7188" i="29"/>
  <c r="I7187" i="29"/>
  <c r="I7186" i="29"/>
  <c r="I7183" i="29"/>
  <c r="I7175" i="29"/>
  <c r="I7170" i="29"/>
  <c r="I7168" i="29"/>
  <c r="I7174" i="29"/>
  <c r="I7173" i="29"/>
  <c r="I7172" i="29"/>
  <c r="I7171" i="29"/>
  <c r="I7169" i="29"/>
  <c r="I7167" i="29"/>
  <c r="I7166" i="29"/>
  <c r="I7165" i="29"/>
  <c r="I7164" i="29"/>
  <c r="I7163" i="29"/>
  <c r="I7162" i="29"/>
  <c r="I7161" i="29"/>
  <c r="I7160" i="29"/>
  <c r="I7159" i="29"/>
  <c r="I7158" i="29"/>
  <c r="I7157" i="29"/>
  <c r="I7156" i="29"/>
  <c r="I7155" i="29"/>
  <c r="I7154" i="29"/>
  <c r="I7153" i="29"/>
  <c r="I7152" i="29"/>
  <c r="I7148" i="29"/>
  <c r="I7147" i="29"/>
  <c r="I7146" i="29"/>
  <c r="I7145" i="29"/>
  <c r="I7151" i="29"/>
  <c r="I7149" i="29"/>
  <c r="I7144" i="29"/>
  <c r="I7143" i="29"/>
  <c r="I7142" i="29"/>
  <c r="I7141" i="29"/>
  <c r="I7140" i="29"/>
  <c r="I7150" i="29"/>
  <c r="I7139" i="29"/>
  <c r="I7138" i="29"/>
  <c r="I7137" i="29"/>
  <c r="I7136" i="29"/>
  <c r="I7135" i="29"/>
  <c r="I7134" i="29"/>
  <c r="I7133" i="29"/>
  <c r="I7132" i="29"/>
  <c r="I7131" i="29"/>
  <c r="I7130" i="29"/>
  <c r="I7129" i="29"/>
  <c r="I7126" i="29"/>
  <c r="I7123" i="29"/>
  <c r="I7122" i="29"/>
  <c r="I7121" i="29"/>
  <c r="I7120" i="29"/>
  <c r="I7119" i="29"/>
  <c r="I7118" i="29"/>
  <c r="I7117" i="29"/>
  <c r="I7116" i="29"/>
  <c r="I7115" i="29"/>
  <c r="I7128" i="29"/>
  <c r="I7127" i="29"/>
  <c r="I7114" i="29"/>
  <c r="I7113" i="29"/>
  <c r="I7112" i="29"/>
  <c r="I7111" i="29"/>
  <c r="I7110" i="29"/>
  <c r="I7109" i="29"/>
  <c r="I7108" i="29"/>
  <c r="I7107" i="29"/>
  <c r="I7106" i="29"/>
  <c r="I7125" i="29"/>
  <c r="I7124" i="29"/>
  <c r="I7105" i="29"/>
  <c r="I7104" i="29"/>
  <c r="I7103" i="29"/>
  <c r="I7102" i="29"/>
  <c r="I7101" i="29"/>
  <c r="I7100" i="29"/>
  <c r="I7099" i="29"/>
  <c r="I7097" i="29"/>
  <c r="I7098" i="29"/>
  <c r="I7096" i="29"/>
  <c r="I7093" i="29"/>
  <c r="I7095" i="29"/>
  <c r="I7094" i="29"/>
  <c r="I7092" i="29"/>
  <c r="I7091" i="29"/>
  <c r="I7089" i="29"/>
  <c r="I7088" i="29"/>
  <c r="I7087" i="29"/>
  <c r="I7086" i="29"/>
  <c r="I7085" i="29"/>
  <c r="I7084" i="29"/>
  <c r="I7083" i="29"/>
  <c r="I7082" i="29"/>
  <c r="I7081" i="29"/>
  <c r="I7080" i="29"/>
  <c r="I7079" i="29"/>
  <c r="I7078" i="29"/>
  <c r="I7090" i="29"/>
  <c r="I7075" i="29"/>
  <c r="I7074" i="29"/>
  <c r="I7077" i="29"/>
  <c r="I7076" i="29"/>
  <c r="I7073" i="29"/>
  <c r="I7072" i="29"/>
  <c r="I7071" i="29"/>
  <c r="I7069" i="29"/>
  <c r="I7070" i="29"/>
  <c r="I7060" i="29"/>
  <c r="I7059" i="29"/>
  <c r="I7058" i="29"/>
  <c r="I7057" i="29"/>
  <c r="I7068" i="29"/>
  <c r="I7067" i="29"/>
  <c r="I7066" i="29"/>
  <c r="I7065" i="29"/>
  <c r="I7064" i="29"/>
  <c r="I7056" i="29"/>
  <c r="I7055" i="29"/>
  <c r="I7054" i="29"/>
  <c r="I7053" i="29"/>
  <c r="I7063" i="29"/>
  <c r="I7062" i="29"/>
  <c r="I7061" i="29"/>
  <c r="I7052" i="29"/>
  <c r="I7050" i="29"/>
  <c r="I7049" i="29"/>
  <c r="I7051" i="29"/>
  <c r="I7048" i="29"/>
  <c r="I7047" i="29"/>
  <c r="I7046" i="29"/>
  <c r="I7045" i="29"/>
  <c r="I7043" i="29"/>
  <c r="I7042" i="29"/>
  <c r="I7041" i="29"/>
  <c r="I7040" i="29"/>
  <c r="I7039" i="29"/>
  <c r="I7038" i="29"/>
  <c r="I7037" i="29"/>
  <c r="I7044" i="29"/>
  <c r="I7035" i="29"/>
  <c r="I7034" i="29"/>
  <c r="I7036" i="29"/>
  <c r="I7031" i="29"/>
  <c r="I7030" i="29"/>
  <c r="I7029" i="29"/>
  <c r="I7028" i="29"/>
  <c r="I7027" i="29"/>
  <c r="I7023" i="29"/>
  <c r="I7022" i="29"/>
  <c r="I7021" i="29"/>
  <c r="I7020" i="29"/>
  <c r="I7033" i="29"/>
  <c r="I7032" i="29"/>
  <c r="I7026" i="29"/>
  <c r="I7025" i="29"/>
  <c r="I7024" i="29"/>
  <c r="I7018" i="29"/>
  <c r="I7019" i="29"/>
  <c r="I7017" i="29"/>
  <c r="I7016" i="29"/>
  <c r="I7015" i="29"/>
  <c r="I7014" i="29"/>
  <c r="I7013" i="29"/>
  <c r="I7012" i="29"/>
  <c r="I7011" i="29"/>
  <c r="I7010" i="29"/>
  <c r="I7009" i="29"/>
  <c r="I7008" i="29"/>
  <c r="I7007" i="29"/>
  <c r="I7006" i="29"/>
  <c r="I7005" i="29"/>
  <c r="I7004" i="29"/>
  <c r="I7003" i="29"/>
  <c r="I7002" i="29"/>
  <c r="I7001" i="29"/>
  <c r="I7000" i="29"/>
  <c r="I6999" i="29"/>
  <c r="I6988" i="29"/>
  <c r="I6998" i="29"/>
  <c r="I6997" i="29"/>
  <c r="I6996" i="29"/>
  <c r="I6995" i="29"/>
  <c r="I6994" i="29"/>
  <c r="I6993" i="29"/>
  <c r="I6992" i="29"/>
  <c r="I6991" i="29"/>
  <c r="I6990" i="29"/>
  <c r="I6989" i="29"/>
  <c r="I6987" i="29"/>
  <c r="I6986" i="29"/>
  <c r="I6985" i="29"/>
  <c r="I6984" i="29"/>
  <c r="I6983" i="29"/>
  <c r="I6982" i="29"/>
  <c r="I6981" i="29"/>
  <c r="I6980" i="29"/>
  <c r="I660" i="29"/>
  <c r="I6979" i="29"/>
  <c r="I6977" i="29"/>
  <c r="I6976" i="29"/>
  <c r="I6975" i="29"/>
  <c r="I6968" i="29"/>
  <c r="I6967" i="29"/>
  <c r="I6978" i="29"/>
  <c r="I6974" i="29"/>
  <c r="I6973" i="29"/>
  <c r="I6972" i="29"/>
  <c r="I6971" i="29"/>
  <c r="I6970" i="29"/>
  <c r="I6964" i="29"/>
  <c r="I6963" i="29"/>
  <c r="I6969" i="29"/>
  <c r="I6959" i="29"/>
  <c r="I6958" i="29"/>
  <c r="I6957" i="29"/>
  <c r="I6956" i="29"/>
  <c r="I6955" i="29"/>
  <c r="I6954" i="29"/>
  <c r="I6966" i="29"/>
  <c r="I6965" i="29"/>
  <c r="I6951" i="29"/>
  <c r="I6950" i="29"/>
  <c r="I6949" i="29"/>
  <c r="I6948" i="29"/>
  <c r="I6947" i="29"/>
  <c r="I6946" i="29"/>
  <c r="I6945" i="29"/>
  <c r="I6944" i="29"/>
  <c r="I6943" i="29"/>
  <c r="I6942" i="29"/>
  <c r="I6962" i="29"/>
  <c r="I6961" i="29"/>
  <c r="I6960" i="29"/>
  <c r="I6953" i="29"/>
  <c r="I6952" i="29"/>
  <c r="I6941" i="29"/>
  <c r="I6940" i="29"/>
  <c r="I6939" i="29"/>
  <c r="I6938" i="29"/>
  <c r="I6937" i="29"/>
  <c r="I6936" i="29"/>
  <c r="I6935" i="29"/>
  <c r="I6934" i="29"/>
  <c r="I6933" i="29"/>
  <c r="I6928" i="29"/>
  <c r="I6925" i="29"/>
  <c r="I6924" i="29"/>
  <c r="I6923" i="29"/>
  <c r="I6932" i="29"/>
  <c r="I6931" i="29"/>
  <c r="I6930" i="29"/>
  <c r="I6929" i="29"/>
  <c r="I6927" i="29"/>
  <c r="I6926" i="29"/>
  <c r="I6922" i="29"/>
  <c r="I6921" i="29"/>
  <c r="I6920" i="29"/>
  <c r="I6919" i="29"/>
  <c r="I6918" i="29"/>
  <c r="I6917" i="29"/>
  <c r="I6916" i="29"/>
  <c r="I6915" i="29"/>
  <c r="I6914" i="29"/>
  <c r="I6913" i="29"/>
  <c r="I6912" i="29"/>
  <c r="I6911" i="29"/>
  <c r="I6910" i="29"/>
  <c r="I6909" i="29"/>
  <c r="I6905" i="29"/>
  <c r="I6908" i="29"/>
  <c r="I6907" i="29"/>
  <c r="I6906" i="29"/>
  <c r="I6904" i="29"/>
  <c r="I6903" i="29"/>
  <c r="I6902" i="29"/>
  <c r="I6901" i="29"/>
  <c r="I6898" i="29"/>
  <c r="I6897" i="29"/>
  <c r="I6896" i="29"/>
  <c r="I6895" i="29"/>
  <c r="I6900" i="29"/>
  <c r="I6899" i="29"/>
  <c r="I6893" i="29"/>
  <c r="I6892" i="29"/>
  <c r="I6891" i="29"/>
  <c r="I6890" i="29"/>
  <c r="I6889" i="29"/>
  <c r="I6885" i="29"/>
  <c r="I6884" i="29"/>
  <c r="I6883" i="29"/>
  <c r="I6882" i="29"/>
  <c r="I6894" i="29"/>
  <c r="I6881" i="29"/>
  <c r="I6880" i="29"/>
  <c r="I6879" i="29"/>
  <c r="I6878" i="29"/>
  <c r="I6875" i="29"/>
  <c r="I6888" i="29"/>
  <c r="I6887" i="29"/>
  <c r="I6886" i="29"/>
  <c r="I6874" i="29"/>
  <c r="I6873" i="29"/>
  <c r="I6872" i="29"/>
  <c r="I6871" i="29"/>
  <c r="I6869" i="29"/>
  <c r="I6868" i="29"/>
  <c r="I6877" i="29"/>
  <c r="I6876" i="29"/>
  <c r="I6870" i="29"/>
  <c r="I6867" i="29"/>
  <c r="I6866" i="29"/>
  <c r="I6865" i="29"/>
  <c r="I6864" i="29"/>
  <c r="I6863" i="29"/>
  <c r="I6862" i="29"/>
  <c r="I6861" i="29"/>
  <c r="I6858" i="29"/>
  <c r="I6860" i="29"/>
  <c r="I6859" i="29"/>
  <c r="I6856" i="29"/>
  <c r="I6855" i="29"/>
  <c r="I6854" i="29"/>
  <c r="I6853" i="29"/>
  <c r="I6852" i="29"/>
  <c r="I6857" i="29"/>
  <c r="I6851" i="29"/>
  <c r="I6848" i="29"/>
  <c r="I6846" i="29"/>
  <c r="I6845" i="29"/>
  <c r="I6844" i="29"/>
  <c r="I6842" i="29"/>
  <c r="I6850" i="29"/>
  <c r="I6849" i="29"/>
  <c r="I6839" i="29"/>
  <c r="I6838" i="29"/>
  <c r="I6847" i="29"/>
  <c r="I6843" i="29"/>
  <c r="I6841" i="29"/>
  <c r="I6840" i="29"/>
  <c r="I6837" i="29"/>
  <c r="I6836" i="29"/>
  <c r="I6835" i="29"/>
  <c r="I6827" i="29"/>
  <c r="I6830" i="29"/>
  <c r="I6834" i="29"/>
  <c r="I6833" i="29"/>
  <c r="I6832" i="29"/>
  <c r="I6831" i="29"/>
  <c r="I6829" i="29"/>
  <c r="I6828" i="29"/>
  <c r="I6826" i="29"/>
  <c r="I6825" i="29"/>
  <c r="I6824" i="29"/>
  <c r="I6823" i="29"/>
  <c r="I6822" i="29"/>
  <c r="I6821" i="29"/>
  <c r="I6820" i="29"/>
  <c r="I6818" i="29"/>
  <c r="I6819" i="29"/>
  <c r="I6817" i="29"/>
  <c r="I6816" i="29"/>
  <c r="I6812" i="29"/>
  <c r="I6811" i="29"/>
  <c r="I6810" i="29"/>
  <c r="I6809" i="29"/>
  <c r="I6808" i="29"/>
  <c r="I6807" i="29"/>
  <c r="I6806" i="29"/>
  <c r="I6815" i="29"/>
  <c r="I6814" i="29"/>
  <c r="I6813" i="29"/>
  <c r="I6802" i="29"/>
  <c r="I6801" i="29"/>
  <c r="I6797" i="29"/>
  <c r="I6796" i="29"/>
  <c r="I6805" i="29"/>
  <c r="I6804" i="29"/>
  <c r="I6803" i="29"/>
  <c r="I6800" i="29"/>
  <c r="I6799" i="29"/>
  <c r="I6798" i="29"/>
  <c r="I6795" i="29"/>
  <c r="I6794" i="29"/>
  <c r="I6793" i="29"/>
  <c r="I6790" i="29"/>
  <c r="I6792" i="29"/>
  <c r="I6791" i="29"/>
  <c r="I6789" i="29"/>
  <c r="I6785" i="29"/>
  <c r="I6784" i="29"/>
  <c r="I6783" i="29"/>
  <c r="I6787" i="29"/>
  <c r="I6786" i="29"/>
  <c r="I6782" i="29"/>
  <c r="I6781" i="29"/>
  <c r="I6779" i="29"/>
  <c r="I6780" i="29"/>
  <c r="I6778" i="29"/>
  <c r="I6777" i="29"/>
  <c r="I6776" i="29"/>
  <c r="I6775" i="29"/>
  <c r="I6774" i="29"/>
  <c r="I6773" i="29"/>
  <c r="I6771" i="29"/>
  <c r="I6768" i="29"/>
  <c r="I6764" i="29"/>
  <c r="I6763" i="29"/>
  <c r="I6762" i="29"/>
  <c r="I6772" i="29"/>
  <c r="I6761" i="29"/>
  <c r="I6766" i="29"/>
  <c r="I6765" i="29"/>
  <c r="I6770" i="29"/>
  <c r="I6769" i="29"/>
  <c r="I6767" i="29"/>
  <c r="I6758" i="29"/>
  <c r="I6755" i="29"/>
  <c r="I6754" i="29"/>
  <c r="I6753" i="29"/>
  <c r="I6760" i="29"/>
  <c r="I6759" i="29"/>
  <c r="I6746" i="29"/>
  <c r="I6745" i="29"/>
  <c r="I6744" i="29"/>
  <c r="I6743" i="29"/>
  <c r="I6757" i="29"/>
  <c r="I6756" i="29"/>
  <c r="I6737" i="29"/>
  <c r="I6736" i="29"/>
  <c r="I6752" i="29"/>
  <c r="I6751" i="29"/>
  <c r="I6750" i="29"/>
  <c r="I6749" i="29"/>
  <c r="I6748" i="29"/>
  <c r="I6747" i="29"/>
  <c r="I6741" i="29"/>
  <c r="I6740" i="29"/>
  <c r="I6739" i="29"/>
  <c r="I6738" i="29"/>
  <c r="I6742" i="29"/>
  <c r="I6735" i="29"/>
  <c r="I6734" i="29"/>
  <c r="I6733" i="29"/>
  <c r="I6732" i="29"/>
  <c r="I6731" i="29"/>
  <c r="I6730" i="29"/>
  <c r="I6729" i="29"/>
  <c r="I6728" i="29"/>
  <c r="I6727" i="29"/>
  <c r="I6726" i="29"/>
  <c r="I6725" i="29"/>
  <c r="I6724" i="29"/>
  <c r="I6723" i="29"/>
  <c r="I6722" i="29"/>
  <c r="I6721" i="29"/>
  <c r="I6714" i="29"/>
  <c r="I6713" i="29"/>
  <c r="I6712" i="29"/>
  <c r="I6711" i="29"/>
  <c r="I6710" i="29"/>
  <c r="I6720" i="29"/>
  <c r="I6719" i="29"/>
  <c r="I6718" i="29"/>
  <c r="I6717" i="29"/>
  <c r="I6716" i="29"/>
  <c r="I6715" i="29"/>
  <c r="I6706" i="29"/>
  <c r="I6709" i="29"/>
  <c r="I6705" i="29"/>
  <c r="I6704" i="29"/>
  <c r="I6708" i="29"/>
  <c r="I6707" i="29"/>
  <c r="I6701" i="29"/>
  <c r="I6700" i="29"/>
  <c r="I6699" i="29"/>
  <c r="I6698" i="29"/>
  <c r="I6697" i="29"/>
  <c r="I6688" i="29"/>
  <c r="I6687" i="29"/>
  <c r="I6686" i="29"/>
  <c r="I6703" i="29"/>
  <c r="I6702" i="29"/>
  <c r="I6685" i="29"/>
  <c r="I6681" i="29"/>
  <c r="I6678" i="29"/>
  <c r="I6677" i="29"/>
  <c r="I6676" i="29"/>
  <c r="I6696" i="29"/>
  <c r="I6695" i="29"/>
  <c r="I6694" i="29"/>
  <c r="I6693" i="29"/>
  <c r="I6692" i="29"/>
  <c r="I6691" i="29"/>
  <c r="I6690" i="29"/>
  <c r="I6689" i="29"/>
  <c r="I6684" i="29"/>
  <c r="I6683" i="29"/>
  <c r="I6682" i="29"/>
  <c r="I6680" i="29"/>
  <c r="I6679" i="29"/>
  <c r="I6670" i="29"/>
  <c r="I6669" i="29"/>
  <c r="I6668" i="29"/>
  <c r="I6667" i="29"/>
  <c r="I6666" i="29"/>
  <c r="I6665" i="29"/>
  <c r="I6675" i="29"/>
  <c r="I6674" i="29"/>
  <c r="I6673" i="29"/>
  <c r="I6672" i="29"/>
  <c r="I6671" i="29"/>
  <c r="I6662" i="29"/>
  <c r="I6664" i="29"/>
  <c r="I6663" i="29"/>
  <c r="I6661" i="29"/>
  <c r="I6655" i="29"/>
  <c r="I6654" i="29"/>
  <c r="I6648" i="29"/>
  <c r="I6652" i="29"/>
  <c r="I6650" i="29"/>
  <c r="I6649" i="29"/>
  <c r="I6660" i="29"/>
  <c r="I6659" i="29"/>
  <c r="I6658" i="29"/>
  <c r="I6657" i="29"/>
  <c r="I6656" i="29"/>
  <c r="I6653" i="29"/>
  <c r="I6651" i="29"/>
  <c r="I6647" i="29"/>
  <c r="I6635" i="29"/>
  <c r="I6646" i="29"/>
  <c r="I6645" i="29"/>
  <c r="I6644" i="29"/>
  <c r="I6643" i="29"/>
  <c r="I6642" i="29"/>
  <c r="I6641" i="29"/>
  <c r="I6640" i="29"/>
  <c r="I6639" i="29"/>
  <c r="I6638" i="29"/>
  <c r="I6637" i="29"/>
  <c r="I6636" i="29"/>
  <c r="I6634" i="29"/>
  <c r="I6633" i="29"/>
  <c r="I6632" i="29"/>
  <c r="I6631" i="29"/>
  <c r="I6630" i="29"/>
  <c r="I6629" i="29"/>
  <c r="I6628" i="29"/>
  <c r="I6627" i="29"/>
  <c r="I6626" i="29"/>
  <c r="I6624" i="29"/>
  <c r="I6623" i="29"/>
  <c r="I6622" i="29"/>
  <c r="I6621" i="29"/>
  <c r="I6620" i="29"/>
  <c r="I6619" i="29"/>
  <c r="I6618" i="29"/>
  <c r="I6625" i="29"/>
  <c r="I6615" i="29"/>
  <c r="I6614" i="29"/>
  <c r="I6613" i="29"/>
  <c r="I6612" i="29"/>
  <c r="I6611" i="29"/>
  <c r="I6610" i="29"/>
  <c r="I6609" i="29"/>
  <c r="I6616" i="29"/>
  <c r="I6599" i="29"/>
  <c r="I6598" i="29"/>
  <c r="I6617" i="29"/>
  <c r="I6608" i="29"/>
  <c r="I6607" i="29"/>
  <c r="I6606" i="29"/>
  <c r="I6605" i="29"/>
  <c r="I6604" i="29"/>
  <c r="I6603" i="29"/>
  <c r="I6602" i="29"/>
  <c r="I6601" i="29"/>
  <c r="I6600" i="29"/>
  <c r="I6597" i="29"/>
  <c r="I6596" i="29"/>
  <c r="I6594" i="29"/>
  <c r="I6595" i="29"/>
  <c r="I6533" i="29"/>
  <c r="I6532" i="29"/>
  <c r="I6593" i="29"/>
  <c r="I6592" i="29"/>
  <c r="I6591" i="29"/>
  <c r="I6587" i="29"/>
  <c r="I6590" i="29"/>
  <c r="I6589" i="29"/>
  <c r="I6588" i="29"/>
  <c r="I6586" i="29"/>
  <c r="I6585" i="29"/>
  <c r="I6584" i="29"/>
  <c r="I6583" i="29"/>
  <c r="I6582" i="29"/>
  <c r="I6581" i="29"/>
  <c r="I6580" i="29"/>
  <c r="I6579" i="29"/>
  <c r="I6578" i="29"/>
  <c r="I6573" i="29"/>
  <c r="I6572" i="29"/>
  <c r="I6577" i="29"/>
  <c r="I6576" i="29"/>
  <c r="I6575" i="29"/>
  <c r="I6574" i="29"/>
  <c r="I6568" i="29"/>
  <c r="I6567" i="29"/>
  <c r="I6566" i="29"/>
  <c r="I6565" i="29"/>
  <c r="I6571" i="29"/>
  <c r="I6570" i="29"/>
  <c r="I6569" i="29"/>
  <c r="I6564" i="29"/>
  <c r="I6563" i="29"/>
  <c r="I6562" i="29"/>
  <c r="I6561" i="29"/>
  <c r="I6560" i="29"/>
  <c r="I6558" i="29"/>
  <c r="I6557" i="29"/>
  <c r="I6556" i="29"/>
  <c r="I6555" i="29"/>
  <c r="I6559" i="29"/>
  <c r="I6554" i="29"/>
  <c r="I6553" i="29"/>
  <c r="I6552" i="29"/>
  <c r="I6551" i="29"/>
  <c r="I6550" i="29"/>
  <c r="I6549" i="29"/>
  <c r="I6548" i="29"/>
  <c r="I6547" i="29"/>
  <c r="I6546" i="29"/>
  <c r="I6545" i="29"/>
  <c r="I6544" i="29"/>
  <c r="I6543" i="29"/>
  <c r="I6542" i="29"/>
  <c r="I6541" i="29"/>
  <c r="I6540" i="29"/>
  <c r="I6539" i="29"/>
  <c r="I6538" i="29"/>
  <c r="I6537" i="29"/>
  <c r="I6536" i="29"/>
  <c r="I6535" i="29"/>
  <c r="I6534" i="29"/>
  <c r="I6531" i="29"/>
  <c r="I6530" i="29"/>
  <c r="I6529" i="29"/>
  <c r="I6528" i="29"/>
  <c r="I6527" i="29"/>
  <c r="I6525" i="29"/>
  <c r="I6524" i="29"/>
  <c r="I6523" i="29"/>
  <c r="I6522" i="29"/>
  <c r="I6521" i="29"/>
  <c r="I6520" i="29"/>
  <c r="I6519" i="29"/>
  <c r="I6518" i="29"/>
  <c r="I6517" i="29"/>
  <c r="I6516" i="29"/>
  <c r="I6515" i="29"/>
  <c r="I6513" i="29"/>
  <c r="I6506" i="29"/>
  <c r="I6505" i="29"/>
  <c r="I6504" i="29"/>
  <c r="I6502" i="29"/>
  <c r="I6526" i="29"/>
  <c r="I6500" i="29"/>
  <c r="I6499" i="29"/>
  <c r="I6496" i="29"/>
  <c r="I6514" i="29"/>
  <c r="I6512" i="29"/>
  <c r="I6511" i="29"/>
  <c r="I6510" i="29"/>
  <c r="I6509" i="29"/>
  <c r="I6508" i="29"/>
  <c r="I6507" i="29"/>
  <c r="I6503" i="29"/>
  <c r="I6501" i="29"/>
  <c r="I644" i="29"/>
  <c r="I643" i="29"/>
  <c r="I6498" i="29"/>
  <c r="I6497" i="29"/>
  <c r="I6495" i="29"/>
  <c r="I6494" i="29"/>
  <c r="I6493" i="29"/>
  <c r="I6483" i="29"/>
  <c r="I6485" i="29"/>
  <c r="I6484" i="29"/>
  <c r="I6492" i="29"/>
  <c r="I6491" i="29"/>
  <c r="I6490" i="29"/>
  <c r="I6489" i="29"/>
  <c r="I6488" i="29"/>
  <c r="I6487" i="29"/>
  <c r="I6486" i="29"/>
  <c r="I6482" i="29"/>
  <c r="I6481" i="29"/>
  <c r="I6480" i="29"/>
  <c r="I6479" i="29"/>
  <c r="I6478" i="29"/>
  <c r="I6477" i="29"/>
  <c r="I6476" i="29"/>
  <c r="I6475" i="29"/>
  <c r="I6474" i="29"/>
  <c r="I6473" i="29"/>
  <c r="I6472" i="29"/>
  <c r="I6471" i="29"/>
  <c r="I6470" i="29"/>
  <c r="I6469" i="29"/>
  <c r="I6468" i="29"/>
  <c r="I6467" i="29"/>
  <c r="I6466" i="29"/>
  <c r="I6465" i="29"/>
  <c r="I6463" i="29"/>
  <c r="I6462" i="29"/>
  <c r="I6446" i="29"/>
  <c r="I6445" i="29"/>
  <c r="I6444" i="29"/>
  <c r="I636" i="29"/>
  <c r="I6464" i="29"/>
  <c r="I641" i="29"/>
  <c r="I6440" i="29"/>
  <c r="I6439" i="29"/>
  <c r="I6438" i="29"/>
  <c r="I6437" i="29"/>
  <c r="I6457" i="29"/>
  <c r="I6454" i="29"/>
  <c r="I6453" i="29"/>
  <c r="I6461" i="29"/>
  <c r="I6460" i="29"/>
  <c r="I6459" i="29"/>
  <c r="I6458" i="29"/>
  <c r="I6456" i="29"/>
  <c r="I6455" i="29"/>
  <c r="I6452" i="29"/>
  <c r="I6451" i="29"/>
  <c r="I6450" i="29"/>
  <c r="I6449" i="29"/>
  <c r="I6448" i="29"/>
  <c r="I6447" i="29"/>
  <c r="I6443" i="29"/>
  <c r="I6442" i="29"/>
  <c r="I6441" i="29"/>
  <c r="I6433" i="29"/>
  <c r="I6432" i="29"/>
  <c r="I6431" i="29"/>
  <c r="I6429" i="29"/>
  <c r="I6428" i="29"/>
  <c r="I6436" i="29"/>
  <c r="I6435" i="29"/>
  <c r="I6430" i="29"/>
  <c r="I6427" i="29"/>
  <c r="I6426" i="29"/>
  <c r="I6425" i="29"/>
  <c r="I6434" i="29"/>
  <c r="I6424" i="29"/>
  <c r="I6423" i="29"/>
  <c r="I6422" i="29"/>
  <c r="I6421" i="29"/>
  <c r="I6420" i="29"/>
  <c r="I6408" i="29"/>
  <c r="I6407" i="29"/>
  <c r="I6406" i="29"/>
  <c r="I6405" i="29"/>
  <c r="I6404" i="29"/>
  <c r="I6419" i="29"/>
  <c r="I6418" i="29"/>
  <c r="I6417" i="29"/>
  <c r="I6416" i="29"/>
  <c r="I6415" i="29"/>
  <c r="I6414" i="29"/>
  <c r="I6413" i="29"/>
  <c r="I6412" i="29"/>
  <c r="I6411" i="29"/>
  <c r="I6410" i="29"/>
  <c r="I6409" i="29"/>
  <c r="I6401" i="29"/>
  <c r="I6400" i="29"/>
  <c r="I6403" i="29"/>
  <c r="I6402" i="29"/>
  <c r="I6399" i="29"/>
  <c r="I6398" i="29"/>
  <c r="I6397" i="29"/>
  <c r="I6396" i="29"/>
  <c r="I6395" i="29"/>
  <c r="I6394" i="29"/>
  <c r="I6393" i="29"/>
  <c r="I6392" i="29"/>
  <c r="I6390" i="29"/>
  <c r="I6389" i="29"/>
  <c r="I6386" i="29"/>
  <c r="I6385" i="29"/>
  <c r="I6384" i="29"/>
  <c r="I6383" i="29"/>
  <c r="I6391" i="29"/>
  <c r="I6388" i="29"/>
  <c r="I6377" i="29"/>
  <c r="I6376" i="29"/>
  <c r="I6365" i="29"/>
  <c r="I6364" i="29"/>
  <c r="I6363" i="29"/>
  <c r="I6359" i="29"/>
  <c r="I6387" i="29"/>
  <c r="I6382" i="29"/>
  <c r="I6381" i="29"/>
  <c r="I6380" i="29"/>
  <c r="I6379" i="29"/>
  <c r="I6378" i="29"/>
  <c r="I6375" i="29"/>
  <c r="I6374" i="29"/>
  <c r="I6373" i="29"/>
  <c r="I6372" i="29"/>
  <c r="I6354" i="29"/>
  <c r="I6371" i="29"/>
  <c r="I6361" i="29"/>
  <c r="I6358" i="29"/>
  <c r="I6360" i="29"/>
  <c r="I6370" i="29"/>
  <c r="I6369" i="29"/>
  <c r="I6368" i="29"/>
  <c r="I6367" i="29"/>
  <c r="I6366" i="29"/>
  <c r="I6362" i="29"/>
  <c r="I6357" i="29"/>
  <c r="I6356" i="29"/>
  <c r="I6355" i="29"/>
  <c r="I6333" i="29"/>
  <c r="I6332" i="29"/>
  <c r="I6331" i="29"/>
  <c r="I6348" i="29"/>
  <c r="I6347" i="29"/>
  <c r="I6353" i="29"/>
  <c r="I6352" i="29"/>
  <c r="I6351" i="29"/>
  <c r="I6350" i="29"/>
  <c r="I6349" i="29"/>
  <c r="I6346" i="29"/>
  <c r="I6345" i="29"/>
  <c r="I6344" i="29"/>
  <c r="I6343" i="29"/>
  <c r="I6342" i="29"/>
  <c r="I6341" i="29"/>
  <c r="I6340" i="29"/>
  <c r="I6339" i="29"/>
  <c r="I6338" i="29"/>
  <c r="I6337" i="29"/>
  <c r="I6336" i="29"/>
  <c r="I6335" i="29"/>
  <c r="I6334" i="29"/>
  <c r="I6329" i="29"/>
  <c r="I6328" i="29"/>
  <c r="I6325" i="29"/>
  <c r="I6330" i="29"/>
  <c r="I6320" i="29"/>
  <c r="I6319" i="29"/>
  <c r="I6318" i="29"/>
  <c r="I6317" i="29"/>
  <c r="I6327" i="29"/>
  <c r="I6326" i="29"/>
  <c r="I6324" i="29"/>
  <c r="I6323" i="29"/>
  <c r="I6322" i="29"/>
  <c r="I6321" i="29"/>
  <c r="I6315" i="29"/>
  <c r="I6314" i="29"/>
  <c r="I6313" i="29"/>
  <c r="I6312" i="29"/>
  <c r="I6305" i="29"/>
  <c r="I6304" i="29"/>
  <c r="I6316" i="29"/>
  <c r="I6311" i="29"/>
  <c r="I6310" i="29"/>
  <c r="I6309" i="29"/>
  <c r="I6308" i="29"/>
  <c r="I6307" i="29"/>
  <c r="I6306" i="29"/>
  <c r="I6303" i="29"/>
  <c r="I6302" i="29"/>
  <c r="I6301" i="29"/>
  <c r="I6300" i="29"/>
  <c r="I6299" i="29"/>
  <c r="I6297" i="29"/>
  <c r="I6296" i="29"/>
  <c r="I6294" i="29"/>
  <c r="I6293" i="29"/>
  <c r="I6298" i="29"/>
  <c r="I6295" i="29"/>
  <c r="I6292" i="29"/>
  <c r="I6291" i="29"/>
  <c r="I6290" i="29"/>
  <c r="I6289" i="29"/>
  <c r="I6288" i="29"/>
  <c r="I6287" i="29"/>
  <c r="I6286" i="29"/>
  <c r="I6285" i="29"/>
  <c r="I6284" i="29"/>
  <c r="I6275" i="29"/>
  <c r="I6271" i="29"/>
  <c r="I6270" i="29"/>
  <c r="I6269" i="29"/>
  <c r="I6268" i="29"/>
  <c r="I6267" i="29"/>
  <c r="I6278" i="29"/>
  <c r="I6277" i="29"/>
  <c r="I6276" i="29"/>
  <c r="I6274" i="29"/>
  <c r="I6272" i="29"/>
  <c r="I6273" i="29"/>
  <c r="I6266" i="29"/>
  <c r="I6283" i="29"/>
  <c r="I6282" i="29"/>
  <c r="I6281" i="29"/>
  <c r="I6280" i="29"/>
  <c r="I6279" i="29"/>
  <c r="I6263" i="29"/>
  <c r="I6262" i="29"/>
  <c r="I6261" i="29"/>
  <c r="I6264" i="29"/>
  <c r="I6257" i="29"/>
  <c r="I6249" i="29"/>
  <c r="I6248" i="29"/>
  <c r="I6247" i="29"/>
  <c r="I6246" i="29"/>
  <c r="I6245" i="29"/>
  <c r="I6265" i="29"/>
  <c r="I6260" i="29"/>
  <c r="I6259" i="29"/>
  <c r="I6258" i="29"/>
  <c r="I6256" i="29"/>
  <c r="I6255" i="29"/>
  <c r="I6254" i="29"/>
  <c r="I6253" i="29"/>
  <c r="I6252" i="29"/>
  <c r="I6251" i="29"/>
  <c r="I6250" i="29"/>
  <c r="I6244" i="29"/>
  <c r="I6242" i="29"/>
  <c r="I6238" i="29"/>
  <c r="I6237" i="29"/>
  <c r="I6236" i="29"/>
  <c r="I6243" i="29"/>
  <c r="I6241" i="29"/>
  <c r="I6240" i="29"/>
  <c r="I6239" i="29"/>
  <c r="I6235" i="29"/>
  <c r="I6226" i="29"/>
  <c r="I6225" i="29"/>
  <c r="I6224" i="29"/>
  <c r="I6217" i="29"/>
  <c r="I6234" i="29"/>
  <c r="I6233" i="29"/>
  <c r="I6232" i="29"/>
  <c r="I6231" i="29"/>
  <c r="I6230" i="29"/>
  <c r="I6229" i="29"/>
  <c r="I6228" i="29"/>
  <c r="I6227" i="29"/>
  <c r="I6223" i="29"/>
  <c r="I6222" i="29"/>
  <c r="I6221" i="29"/>
  <c r="I6220" i="29"/>
  <c r="I6219" i="29"/>
  <c r="I6218" i="29"/>
  <c r="I6216" i="29"/>
  <c r="I6215" i="29"/>
  <c r="I6214" i="29"/>
  <c r="I6213" i="29"/>
  <c r="I6212" i="29"/>
  <c r="I6211" i="29"/>
  <c r="I6210" i="29"/>
  <c r="I6209" i="29"/>
  <c r="I6208" i="29"/>
  <c r="I6207" i="29"/>
  <c r="I6206" i="29"/>
  <c r="I6205" i="29"/>
  <c r="I6204" i="29"/>
  <c r="I6203" i="29"/>
  <c r="I6202" i="29"/>
  <c r="I6201" i="29"/>
  <c r="I6200" i="29"/>
  <c r="I6199" i="29"/>
  <c r="I6198" i="29"/>
  <c r="I6197" i="29"/>
  <c r="I6196" i="29"/>
  <c r="I6195" i="29"/>
  <c r="I6194" i="29"/>
  <c r="I6193" i="29"/>
  <c r="I6192" i="29"/>
  <c r="I6191" i="29"/>
  <c r="I6186" i="29"/>
  <c r="I6127" i="29"/>
  <c r="I6126" i="29"/>
  <c r="I6117" i="29"/>
  <c r="I6098" i="29"/>
  <c r="I6171" i="29"/>
  <c r="I6170" i="29"/>
  <c r="I6181" i="29"/>
  <c r="I6180" i="29"/>
  <c r="I6179" i="29"/>
  <c r="I6178" i="29"/>
  <c r="I6177" i="29"/>
  <c r="I6190" i="29"/>
  <c r="I6188" i="29"/>
  <c r="I6176" i="29"/>
  <c r="I6189" i="29"/>
  <c r="I6187" i="29"/>
  <c r="I6175" i="29"/>
  <c r="I6174" i="29"/>
  <c r="I6185" i="29"/>
  <c r="I6184" i="29"/>
  <c r="I6183" i="29"/>
  <c r="I6182" i="29"/>
  <c r="I6173" i="29"/>
  <c r="I6172" i="29"/>
  <c r="I6169" i="29"/>
  <c r="I6168" i="29"/>
  <c r="I6167" i="29"/>
  <c r="I6166" i="29"/>
  <c r="I6165" i="29"/>
  <c r="I6164" i="29"/>
  <c r="I6163" i="29"/>
  <c r="I6162" i="29"/>
  <c r="I6161" i="29"/>
  <c r="I6160" i="29"/>
  <c r="I6159" i="29"/>
  <c r="I6158" i="29"/>
  <c r="I6157" i="29"/>
  <c r="I6156" i="29"/>
  <c r="I6155" i="29"/>
  <c r="I6152" i="29"/>
  <c r="I6154" i="29"/>
  <c r="I6153" i="29"/>
  <c r="I6151" i="29"/>
  <c r="I6150" i="29"/>
  <c r="I6149" i="29"/>
  <c r="I6148" i="29"/>
  <c r="I6147" i="29"/>
  <c r="I6146" i="29"/>
  <c r="I6145" i="29"/>
  <c r="I6144" i="29"/>
  <c r="I6143" i="29"/>
  <c r="I6142" i="29"/>
  <c r="I6141" i="29"/>
  <c r="I6140" i="29"/>
  <c r="I6139" i="29"/>
  <c r="I6138" i="29"/>
  <c r="I6137" i="29"/>
  <c r="I6136" i="29"/>
  <c r="I6135" i="29"/>
  <c r="I9631" i="29"/>
  <c r="I6128" i="29"/>
  <c r="I6134" i="29"/>
  <c r="I6133" i="29"/>
  <c r="I6132" i="29"/>
  <c r="I6131" i="29"/>
  <c r="I6130" i="29"/>
  <c r="I6129" i="29"/>
  <c r="I6125" i="29"/>
  <c r="I6124" i="29"/>
  <c r="I6123" i="29"/>
  <c r="I6122" i="29"/>
  <c r="I6121" i="29"/>
  <c r="I6115" i="29"/>
  <c r="I6114" i="29"/>
  <c r="I6113" i="29"/>
  <c r="I6112" i="29"/>
  <c r="I6111" i="29"/>
  <c r="I6099" i="29"/>
  <c r="I6120" i="29"/>
  <c r="I6119" i="29"/>
  <c r="I6118" i="29"/>
  <c r="I6116" i="29"/>
  <c r="I6097" i="29"/>
  <c r="I6110" i="29"/>
  <c r="I6109" i="29"/>
  <c r="I6108" i="29"/>
  <c r="I6107" i="29"/>
  <c r="I6106" i="29"/>
  <c r="I6105" i="29"/>
  <c r="I6104" i="29"/>
  <c r="I6103" i="29"/>
  <c r="I6102" i="29"/>
  <c r="I6101" i="29"/>
  <c r="I6100" i="29"/>
  <c r="I6096" i="29"/>
  <c r="I6095" i="29"/>
  <c r="I6094" i="29"/>
  <c r="I6093" i="29"/>
  <c r="I6092" i="29"/>
  <c r="I6091" i="29"/>
  <c r="I6090" i="29"/>
  <c r="I6089" i="29"/>
  <c r="I6088" i="29"/>
  <c r="I6087" i="29"/>
  <c r="I6086" i="29"/>
  <c r="I6085" i="29"/>
  <c r="I6084" i="29"/>
  <c r="I6083" i="29"/>
  <c r="I6082" i="29"/>
  <c r="I6080" i="29"/>
  <c r="I6079" i="29"/>
  <c r="I6078" i="29"/>
  <c r="I6081" i="29"/>
  <c r="I6076" i="29"/>
  <c r="I6075" i="29"/>
  <c r="I6074" i="29"/>
  <c r="I6073" i="29"/>
  <c r="I6077" i="29"/>
  <c r="I6060" i="29"/>
  <c r="I6059" i="29"/>
  <c r="I6058" i="29"/>
  <c r="I6057" i="29"/>
  <c r="I6072" i="29"/>
  <c r="I6071" i="29"/>
  <c r="I6070" i="29"/>
  <c r="I6069" i="29"/>
  <c r="I6068" i="29"/>
  <c r="I6067" i="29"/>
  <c r="I6066" i="29"/>
  <c r="I6065" i="29"/>
  <c r="I6063" i="29"/>
  <c r="I6064" i="29"/>
  <c r="I6056" i="29"/>
  <c r="I6049" i="29"/>
  <c r="I6048" i="29"/>
  <c r="I6062" i="29"/>
  <c r="I6061" i="29"/>
  <c r="I6055" i="29"/>
  <c r="I6054" i="29"/>
  <c r="I6053" i="29"/>
  <c r="I6052" i="29"/>
  <c r="I6051" i="29"/>
  <c r="I6050" i="29"/>
  <c r="I6047" i="29"/>
  <c r="I6046" i="29"/>
  <c r="I6045" i="29"/>
  <c r="I6044" i="29"/>
  <c r="I6043" i="29"/>
  <c r="I6037" i="29"/>
  <c r="I6036" i="29"/>
  <c r="I6035" i="29"/>
  <c r="I6034" i="29"/>
  <c r="I6033" i="29"/>
  <c r="I6028" i="29"/>
  <c r="I6027" i="29"/>
  <c r="I6026" i="29"/>
  <c r="I6025" i="29"/>
  <c r="I6024" i="29"/>
  <c r="I6023" i="29"/>
  <c r="I6042" i="29"/>
  <c r="I6041" i="29"/>
  <c r="I6040" i="29"/>
  <c r="I6039" i="29"/>
  <c r="I6038" i="29"/>
  <c r="I6032" i="29"/>
  <c r="I6031" i="29"/>
  <c r="I6030" i="29"/>
  <c r="I6029" i="29"/>
  <c r="I6022" i="29"/>
  <c r="I6021" i="29"/>
  <c r="I6020" i="29"/>
  <c r="I6019" i="29"/>
  <c r="I6018" i="29"/>
  <c r="I6017" i="29"/>
  <c r="I6016" i="29"/>
  <c r="I6015" i="29"/>
  <c r="I6010" i="29"/>
  <c r="I6009" i="29"/>
  <c r="I6008" i="29"/>
  <c r="I6007" i="29"/>
  <c r="I6006" i="29"/>
  <c r="I6005" i="29"/>
  <c r="I5997" i="29"/>
  <c r="I5996" i="29"/>
  <c r="I6014" i="29"/>
  <c r="I6013" i="29"/>
  <c r="I6012" i="29"/>
  <c r="I6011" i="29"/>
  <c r="I6004" i="29"/>
  <c r="I6003" i="29"/>
  <c r="I6002" i="29"/>
  <c r="I5985" i="29"/>
  <c r="I5984" i="29"/>
  <c r="I6001" i="29"/>
  <c r="I6000" i="29"/>
  <c r="I5999" i="29"/>
  <c r="I5998" i="29"/>
  <c r="I5995" i="29"/>
  <c r="I5994" i="29"/>
  <c r="I5993" i="29"/>
  <c r="I5992" i="29"/>
  <c r="I5991" i="29"/>
  <c r="I5990" i="29"/>
  <c r="I5989" i="29"/>
  <c r="I5988" i="29"/>
  <c r="I5987" i="29"/>
  <c r="I5986" i="29"/>
  <c r="I5983" i="29"/>
  <c r="I5980" i="29"/>
  <c r="I5979" i="29"/>
  <c r="I5970" i="29"/>
  <c r="I5969" i="29"/>
  <c r="I5968" i="29"/>
  <c r="I5967" i="29"/>
  <c r="I5982" i="29"/>
  <c r="I5981" i="29"/>
  <c r="I5958" i="29"/>
  <c r="I651" i="29"/>
  <c r="I650" i="29"/>
  <c r="I649" i="29"/>
  <c r="I5957" i="29"/>
  <c r="I5978" i="29"/>
  <c r="I5977" i="29"/>
  <c r="I5976" i="29"/>
  <c r="I5975" i="29"/>
  <c r="I5974" i="29"/>
  <c r="I5973" i="29"/>
  <c r="I5972" i="29"/>
  <c r="I5966" i="29"/>
  <c r="I5965" i="29"/>
  <c r="I5971" i="29"/>
  <c r="I5964" i="29"/>
  <c r="I5963" i="29"/>
  <c r="I5962" i="29"/>
  <c r="I5961" i="29"/>
  <c r="I5960" i="29"/>
  <c r="I5959" i="29"/>
  <c r="I5956" i="29"/>
  <c r="I5954" i="29"/>
  <c r="I5955" i="29"/>
  <c r="I5953" i="29"/>
  <c r="I5952" i="29"/>
  <c r="I5951" i="29"/>
  <c r="I5950" i="29"/>
  <c r="I5949" i="29"/>
  <c r="I5948" i="29"/>
  <c r="I5947" i="29"/>
  <c r="I5946" i="29"/>
  <c r="I5945" i="29"/>
  <c r="I5944" i="29"/>
  <c r="I5943" i="29"/>
  <c r="I5942" i="29"/>
  <c r="I5941" i="29"/>
  <c r="I5940" i="29"/>
  <c r="I5939" i="29"/>
  <c r="I5938" i="29"/>
  <c r="I5934" i="29"/>
  <c r="I5933" i="29"/>
  <c r="I5932" i="29"/>
  <c r="I5931" i="29"/>
  <c r="I5930" i="29"/>
  <c r="I5926" i="29"/>
  <c r="I5925" i="29"/>
  <c r="I5929" i="29"/>
  <c r="I5924" i="29"/>
  <c r="I5937" i="29"/>
  <c r="I5936" i="29"/>
  <c r="I5935" i="29"/>
  <c r="I5928" i="29"/>
  <c r="I5927" i="29"/>
  <c r="I5920" i="29"/>
  <c r="I5923" i="29"/>
  <c r="I5917" i="29"/>
  <c r="I5916" i="29"/>
  <c r="I5905" i="29"/>
  <c r="I5922" i="29"/>
  <c r="I5921" i="29"/>
  <c r="I5911" i="29"/>
  <c r="I5910" i="29"/>
  <c r="I5909" i="29"/>
  <c r="I5908" i="29"/>
  <c r="I5907" i="29"/>
  <c r="I5906" i="29"/>
  <c r="I5904" i="29"/>
  <c r="I5919" i="29"/>
  <c r="I5918" i="29"/>
  <c r="I5915" i="29"/>
  <c r="I5914" i="29"/>
  <c r="I5913" i="29"/>
  <c r="I5912" i="29"/>
  <c r="I5902" i="29"/>
  <c r="I5901" i="29"/>
  <c r="I5900" i="29"/>
  <c r="I5903" i="29"/>
  <c r="I5899" i="29"/>
  <c r="I5898" i="29"/>
  <c r="I5897" i="29"/>
  <c r="I5896" i="29"/>
  <c r="I5894" i="29"/>
  <c r="I5893" i="29"/>
  <c r="I5892" i="29"/>
  <c r="I5891" i="29"/>
  <c r="I5890" i="29"/>
  <c r="I5889" i="29"/>
  <c r="I5888" i="29"/>
  <c r="I5887" i="29"/>
  <c r="I5886" i="29"/>
  <c r="I5885" i="29"/>
  <c r="I5884" i="29"/>
  <c r="I5895" i="29"/>
  <c r="I5883" i="29"/>
  <c r="I5882" i="29"/>
  <c r="I5881" i="29"/>
  <c r="I5880" i="29"/>
  <c r="I5879" i="29"/>
  <c r="I5878" i="29"/>
  <c r="I5877" i="29"/>
  <c r="I5874" i="29"/>
  <c r="I5873" i="29"/>
  <c r="I5872" i="29"/>
  <c r="I5871" i="29"/>
  <c r="I5870" i="29"/>
  <c r="I5869" i="29"/>
  <c r="I5868" i="29"/>
  <c r="I5861" i="29"/>
  <c r="I5876" i="29"/>
  <c r="I5875" i="29"/>
  <c r="I5862" i="29"/>
  <c r="I5860" i="29"/>
  <c r="I5867" i="29"/>
  <c r="I5866" i="29"/>
  <c r="I5865" i="29"/>
  <c r="I5864" i="29"/>
  <c r="I5863" i="29"/>
  <c r="I5847" i="29"/>
  <c r="I5857" i="29"/>
  <c r="I5856" i="29"/>
  <c r="I5855" i="29"/>
  <c r="I5854" i="29"/>
  <c r="I5853" i="29"/>
  <c r="I5859" i="29"/>
  <c r="I5858" i="29"/>
  <c r="I5852" i="29"/>
  <c r="I5851" i="29"/>
  <c r="I5850" i="29"/>
  <c r="I5849" i="29"/>
  <c r="I5848" i="29"/>
  <c r="I5846" i="29"/>
  <c r="I5845" i="29"/>
  <c r="I5844" i="29"/>
  <c r="I5832" i="29"/>
  <c r="I5831" i="29"/>
  <c r="I5830" i="29"/>
  <c r="I5843" i="29"/>
  <c r="I5842" i="29"/>
  <c r="I5841" i="29"/>
  <c r="I5840" i="29"/>
  <c r="I5829" i="29"/>
  <c r="I5822" i="29"/>
  <c r="I5821" i="29"/>
  <c r="I5839" i="29"/>
  <c r="I5838" i="29"/>
  <c r="I5837" i="29"/>
  <c r="I5836" i="29"/>
  <c r="I5835" i="29"/>
  <c r="I5834" i="29"/>
  <c r="I5833" i="29"/>
  <c r="I5828" i="29"/>
  <c r="I5827" i="29"/>
  <c r="I5826" i="29"/>
  <c r="I5825" i="29"/>
  <c r="I5824" i="29"/>
  <c r="I5823" i="29"/>
  <c r="I5820" i="29"/>
  <c r="I5819" i="29"/>
  <c r="I5818" i="29"/>
  <c r="I5815" i="29"/>
  <c r="I5814" i="29"/>
  <c r="I5813" i="29"/>
  <c r="I5812" i="29"/>
  <c r="I5811" i="29"/>
  <c r="I5810" i="29"/>
  <c r="I5817" i="29"/>
  <c r="I5816" i="29"/>
  <c r="I5809" i="29"/>
  <c r="I5808" i="29"/>
  <c r="I5807" i="29"/>
  <c r="I5806" i="29"/>
  <c r="I5805" i="29"/>
  <c r="I5804" i="29"/>
  <c r="I5803" i="29"/>
  <c r="I5802" i="29"/>
  <c r="I5801" i="29"/>
  <c r="I5800" i="29"/>
  <c r="I5799" i="29"/>
  <c r="I5795" i="29"/>
  <c r="I5794" i="29"/>
  <c r="I5793" i="29"/>
  <c r="I5792" i="29"/>
  <c r="I5791" i="29"/>
  <c r="I5790" i="29"/>
  <c r="I5798" i="29"/>
  <c r="I5797" i="29"/>
  <c r="I5796" i="29"/>
  <c r="I5789" i="29"/>
  <c r="I5788" i="29"/>
  <c r="I5787" i="29"/>
  <c r="I5786" i="29"/>
  <c r="I5785" i="29"/>
  <c r="I5784" i="29"/>
  <c r="I5783" i="29"/>
  <c r="I5782" i="29"/>
  <c r="I5781" i="29"/>
  <c r="I5780" i="29"/>
  <c r="I5778" i="29"/>
  <c r="I5777" i="29"/>
  <c r="I5776" i="29"/>
  <c r="I5775" i="29"/>
  <c r="I5779" i="29"/>
  <c r="I5774" i="29"/>
  <c r="I5773" i="29"/>
  <c r="I5772" i="29"/>
  <c r="I5771" i="29"/>
  <c r="I5766" i="29"/>
  <c r="I5770" i="29"/>
  <c r="I5769" i="29"/>
  <c r="I5768" i="29"/>
  <c r="I5767" i="29"/>
  <c r="I5765" i="29"/>
  <c r="I5764" i="29"/>
  <c r="I5763" i="29"/>
  <c r="I5762" i="29"/>
  <c r="I5759" i="29"/>
  <c r="I5758" i="29"/>
  <c r="I5756" i="29"/>
  <c r="I5755" i="29"/>
  <c r="I5754" i="29"/>
  <c r="I5753" i="29"/>
  <c r="I5752" i="29"/>
  <c r="I5751" i="29"/>
  <c r="I5750" i="29"/>
  <c r="I5749" i="29"/>
  <c r="I5745" i="29"/>
  <c r="I5744" i="29"/>
  <c r="I5761" i="29"/>
  <c r="I5760" i="29"/>
  <c r="I5757" i="29"/>
  <c r="I5748" i="29"/>
  <c r="I5746" i="29"/>
  <c r="I5740" i="29"/>
  <c r="I5739" i="29"/>
  <c r="I5737" i="29"/>
  <c r="I5747" i="29"/>
  <c r="I5734" i="29"/>
  <c r="I5732" i="29"/>
  <c r="I5731" i="29"/>
  <c r="I5730" i="29"/>
  <c r="I5729" i="29"/>
  <c r="I5726" i="29"/>
  <c r="I5743" i="29"/>
  <c r="I5742" i="29"/>
  <c r="I5741" i="29"/>
  <c r="I5738" i="29"/>
  <c r="I5728" i="29"/>
  <c r="I5727" i="29"/>
  <c r="I5736" i="29"/>
  <c r="I5735" i="29"/>
  <c r="I5733" i="29"/>
  <c r="I5725" i="29"/>
  <c r="I5724" i="29"/>
  <c r="I5723" i="29"/>
  <c r="I5722" i="29"/>
  <c r="I5721" i="29"/>
  <c r="I5720" i="29"/>
  <c r="I5719" i="29"/>
  <c r="I5718" i="29"/>
  <c r="I5717" i="29"/>
  <c r="I5716" i="29"/>
  <c r="I5715" i="29"/>
  <c r="I5714" i="29"/>
  <c r="I5713" i="29"/>
  <c r="I5712" i="29"/>
  <c r="I5711" i="29"/>
  <c r="I5710" i="29"/>
  <c r="I5707" i="29"/>
  <c r="I5706" i="29"/>
  <c r="I5705" i="29"/>
  <c r="I5704" i="29"/>
  <c r="I5703" i="29"/>
  <c r="I5702" i="29"/>
  <c r="I5709" i="29"/>
  <c r="I5708" i="29"/>
  <c r="I5701" i="29"/>
  <c r="I5700" i="29"/>
  <c r="I5699" i="29"/>
  <c r="I5698" i="29"/>
  <c r="I5697" i="29"/>
  <c r="I5696" i="29"/>
  <c r="I5694" i="29"/>
  <c r="I5693" i="29"/>
  <c r="I5692" i="29"/>
  <c r="I5691" i="29"/>
  <c r="I5690" i="29"/>
  <c r="I5689" i="29"/>
  <c r="I5688" i="29"/>
  <c r="I5687" i="29"/>
  <c r="I5695" i="29"/>
  <c r="I5686" i="29"/>
  <c r="I5675" i="29"/>
  <c r="I5671" i="29"/>
  <c r="I5670" i="29"/>
  <c r="I5669" i="29"/>
  <c r="I5684" i="29"/>
  <c r="I5683" i="29"/>
  <c r="I5682" i="29"/>
  <c r="I5681" i="29"/>
  <c r="I5680" i="29"/>
  <c r="I5679" i="29"/>
  <c r="I5678" i="29"/>
  <c r="I5677" i="29"/>
  <c r="I5676" i="29"/>
  <c r="I5674" i="29"/>
  <c r="I5673" i="29"/>
  <c r="I5672" i="29"/>
  <c r="I5668" i="29"/>
  <c r="I5667" i="29"/>
  <c r="I5657" i="29"/>
  <c r="I5656" i="29"/>
  <c r="I5649" i="29"/>
  <c r="I5648" i="29"/>
  <c r="I5647" i="29"/>
  <c r="I5646" i="29"/>
  <c r="I5645" i="29"/>
  <c r="I5644" i="29"/>
  <c r="I5643" i="29"/>
  <c r="I5642" i="29"/>
  <c r="I5641" i="29"/>
  <c r="I5666" i="29"/>
  <c r="I5665" i="29"/>
  <c r="I5664" i="29"/>
  <c r="I5663" i="29"/>
  <c r="I5662" i="29"/>
  <c r="I5661" i="29"/>
  <c r="I5660" i="29"/>
  <c r="I5659" i="29"/>
  <c r="I5658" i="29"/>
  <c r="I5655" i="29"/>
  <c r="I5654" i="29"/>
  <c r="I5653" i="29"/>
  <c r="I5652" i="29"/>
  <c r="I5685" i="29"/>
  <c r="I5636" i="29"/>
  <c r="I5635" i="29"/>
  <c r="I5620" i="29"/>
  <c r="I5619" i="29"/>
  <c r="I5618" i="29"/>
  <c r="I5616" i="29"/>
  <c r="I5615" i="29"/>
  <c r="I5614" i="29"/>
  <c r="I5613" i="29"/>
  <c r="I5612" i="29"/>
  <c r="I5611" i="29"/>
  <c r="I5640" i="29"/>
  <c r="I5639" i="29"/>
  <c r="I5638" i="29"/>
  <c r="I5637" i="29"/>
  <c r="I5634" i="29"/>
  <c r="I5633" i="29"/>
  <c r="I5632" i="29"/>
  <c r="I5631" i="29"/>
  <c r="I5630" i="29"/>
  <c r="I5629" i="29"/>
  <c r="I5602" i="29"/>
  <c r="I5601" i="29"/>
  <c r="I5600" i="29"/>
  <c r="I5599" i="29"/>
  <c r="I5598" i="29"/>
  <c r="I5597" i="29"/>
  <c r="I5596" i="29"/>
  <c r="I5595" i="29"/>
  <c r="I5594" i="29"/>
  <c r="I5650" i="29"/>
  <c r="I5651" i="29"/>
  <c r="I5628" i="29"/>
  <c r="I5627" i="29"/>
  <c r="I5626" i="29"/>
  <c r="I5625" i="29"/>
  <c r="I5624" i="29"/>
  <c r="I5623" i="29"/>
  <c r="I5622" i="29"/>
  <c r="I5621" i="29"/>
  <c r="I5617" i="29"/>
  <c r="I5606" i="29"/>
  <c r="I5605" i="29"/>
  <c r="I5593" i="29"/>
  <c r="I5610" i="29"/>
  <c r="I5609" i="29"/>
  <c r="I5608" i="29"/>
  <c r="I5607" i="29"/>
  <c r="I5604" i="29"/>
  <c r="I5592" i="29"/>
  <c r="I5591" i="29"/>
  <c r="I5603" i="29"/>
  <c r="I5590" i="29"/>
  <c r="I5589" i="29"/>
  <c r="I5588" i="29"/>
  <c r="I5584" i="29"/>
  <c r="I5578" i="29"/>
  <c r="I5577" i="29"/>
  <c r="I5576" i="29"/>
  <c r="I5575" i="29"/>
  <c r="I5574" i="29"/>
  <c r="I5573" i="29"/>
  <c r="I5572" i="29"/>
  <c r="I5571" i="29"/>
  <c r="I5570" i="29"/>
  <c r="I5569" i="29"/>
  <c r="I5568" i="29"/>
  <c r="I5567" i="29"/>
  <c r="I5587" i="29"/>
  <c r="I5586" i="29"/>
  <c r="I5585" i="29"/>
  <c r="I5583" i="29"/>
  <c r="I5582" i="29"/>
  <c r="I5581" i="29"/>
  <c r="I5580" i="29"/>
  <c r="I5579" i="29"/>
  <c r="I5566" i="29"/>
  <c r="I5565" i="29"/>
  <c r="I5564" i="29"/>
  <c r="I5563" i="29"/>
  <c r="I5559" i="29"/>
  <c r="I5558" i="29"/>
  <c r="I5557" i="29"/>
  <c r="I5556" i="29"/>
  <c r="I5555" i="29"/>
  <c r="I5554" i="29"/>
  <c r="I5553" i="29"/>
  <c r="I5552" i="29"/>
  <c r="I5551" i="29"/>
  <c r="I5550" i="29"/>
  <c r="I5549" i="29"/>
  <c r="I5548" i="29"/>
  <c r="I5547" i="29"/>
  <c r="I5546" i="29"/>
  <c r="I5538" i="29"/>
  <c r="I5562" i="29"/>
  <c r="I5561" i="29"/>
  <c r="I5560" i="29"/>
  <c r="I5543" i="29"/>
  <c r="I5542" i="29"/>
  <c r="I5541" i="29"/>
  <c r="I5540" i="29"/>
  <c r="I5539" i="29"/>
  <c r="I5534" i="29"/>
  <c r="I5533" i="29"/>
  <c r="I5532" i="29"/>
  <c r="I5545" i="29"/>
  <c r="I5544" i="29"/>
  <c r="I5527" i="29"/>
  <c r="I5537" i="29"/>
  <c r="I5536" i="29"/>
  <c r="I5535" i="29"/>
  <c r="I5531" i="29"/>
  <c r="I5530" i="29"/>
  <c r="I5529" i="29"/>
  <c r="I5528" i="29"/>
  <c r="I5513" i="29"/>
  <c r="I5512" i="29"/>
  <c r="I5511" i="29"/>
  <c r="I5525" i="29"/>
  <c r="I5524" i="29"/>
  <c r="I5523" i="29"/>
  <c r="I5521" i="29"/>
  <c r="I5526" i="29"/>
  <c r="I5522" i="29"/>
  <c r="I5520" i="29"/>
  <c r="I5519" i="29"/>
  <c r="I5518" i="29"/>
  <c r="I5517" i="29"/>
  <c r="I5516" i="29"/>
  <c r="I5515" i="29"/>
  <c r="I5514" i="29"/>
  <c r="I5507" i="29"/>
  <c r="I5506" i="29"/>
  <c r="I5510" i="29"/>
  <c r="I5509" i="29"/>
  <c r="I5508" i="29"/>
  <c r="I5505" i="29"/>
  <c r="I5504" i="29"/>
  <c r="I5503" i="29"/>
  <c r="I5499" i="29"/>
  <c r="I5498" i="29"/>
  <c r="I5497" i="29"/>
  <c r="I5496" i="29"/>
  <c r="I5495" i="29"/>
  <c r="I5494" i="29"/>
  <c r="I5493" i="29"/>
  <c r="I5492" i="29"/>
  <c r="I5502" i="29"/>
  <c r="I5501" i="29"/>
  <c r="I5500" i="29"/>
  <c r="I5491" i="29"/>
  <c r="I5490" i="29"/>
  <c r="I5473" i="29"/>
  <c r="I5485" i="29"/>
  <c r="I5484" i="29"/>
  <c r="I5483" i="29"/>
  <c r="I5482" i="29"/>
  <c r="I5481" i="29"/>
  <c r="I5480" i="29"/>
  <c r="I5479" i="29"/>
  <c r="I5478" i="29"/>
  <c r="I5477" i="29"/>
  <c r="I5489" i="29"/>
  <c r="I5488" i="29"/>
  <c r="I5487" i="29"/>
  <c r="I5486" i="29"/>
  <c r="I5476" i="29"/>
  <c r="I5475" i="29"/>
  <c r="I5474" i="29"/>
  <c r="I5472" i="29"/>
  <c r="I5471" i="29"/>
  <c r="I5461" i="29"/>
  <c r="I5456" i="29"/>
  <c r="I5470" i="29"/>
  <c r="I5469" i="29"/>
  <c r="I5468" i="29"/>
  <c r="I5467" i="29"/>
  <c r="I5466" i="29"/>
  <c r="I5465" i="29"/>
  <c r="I5464" i="29"/>
  <c r="I5463" i="29"/>
  <c r="I5462" i="29"/>
  <c r="I5460" i="29"/>
  <c r="I5459" i="29"/>
  <c r="I5458" i="29"/>
  <c r="I5457" i="29"/>
  <c r="I5455" i="29"/>
  <c r="I5454" i="29"/>
  <c r="I5453" i="29"/>
  <c r="I5451" i="29"/>
  <c r="I5452" i="29"/>
  <c r="I5446" i="29"/>
  <c r="I5445" i="29"/>
  <c r="I5444" i="29"/>
  <c r="I5443" i="29"/>
  <c r="I5442" i="29"/>
  <c r="I5441" i="29"/>
  <c r="I5449" i="29"/>
  <c r="I5448" i="29"/>
  <c r="I5447" i="29"/>
  <c r="I5440" i="29"/>
  <c r="I5439" i="29"/>
  <c r="I5450" i="29"/>
  <c r="I5433" i="29"/>
  <c r="I5432" i="29"/>
  <c r="I5438" i="29"/>
  <c r="I5437" i="29"/>
  <c r="I5436" i="29"/>
  <c r="I5435" i="29"/>
  <c r="I5434" i="29"/>
  <c r="I5431" i="29"/>
  <c r="I5430" i="29"/>
  <c r="I5429" i="29"/>
  <c r="I5428" i="29"/>
  <c r="I5427" i="29"/>
  <c r="I5426" i="29"/>
  <c r="I5425" i="29"/>
  <c r="I5424" i="29"/>
  <c r="I5423" i="29"/>
  <c r="I5422" i="29"/>
  <c r="I5421" i="29"/>
  <c r="I5420" i="29"/>
  <c r="I5419" i="29"/>
  <c r="I5418" i="29"/>
  <c r="I5417" i="29"/>
  <c r="I5410" i="29"/>
  <c r="I5402" i="29"/>
  <c r="I5401" i="29"/>
  <c r="I5400" i="29"/>
  <c r="I5399" i="29"/>
  <c r="I5398" i="29"/>
  <c r="I5397" i="29"/>
  <c r="I5396" i="29"/>
  <c r="I5395" i="29"/>
  <c r="I5394" i="29"/>
  <c r="I5393" i="29"/>
  <c r="I5392" i="29"/>
  <c r="I5409" i="29"/>
  <c r="I5408" i="29"/>
  <c r="I5407" i="29"/>
  <c r="I5406" i="29"/>
  <c r="I5405" i="29"/>
  <c r="I5404" i="29"/>
  <c r="I5403" i="29"/>
  <c r="I5416" i="29"/>
  <c r="I5415" i="29"/>
  <c r="I5414" i="29"/>
  <c r="I5413" i="29"/>
  <c r="I5412" i="29"/>
  <c r="I5411" i="29"/>
  <c r="I5390" i="29"/>
  <c r="I5389" i="29"/>
  <c r="I5388" i="29"/>
  <c r="I5387" i="29"/>
  <c r="I5384" i="29"/>
  <c r="I5383" i="29"/>
  <c r="I5382" i="29"/>
  <c r="I5381" i="29"/>
  <c r="I5380" i="29"/>
  <c r="I5379" i="29"/>
  <c r="I5391" i="29"/>
  <c r="I5386" i="29"/>
  <c r="I5385" i="29"/>
  <c r="I5365" i="29"/>
  <c r="I5363" i="29"/>
  <c r="I5378" i="29"/>
  <c r="I5377" i="29"/>
  <c r="I5376" i="29"/>
  <c r="I5375" i="29"/>
  <c r="I2611" i="29"/>
  <c r="I2610" i="29"/>
  <c r="I5355" i="29"/>
  <c r="I5354" i="29"/>
  <c r="I5353" i="29"/>
  <c r="I5352" i="29"/>
  <c r="I5351" i="29"/>
  <c r="I5350" i="29"/>
  <c r="I5374" i="29"/>
  <c r="I5373" i="29"/>
  <c r="I621" i="29"/>
  <c r="I658" i="29"/>
  <c r="I653" i="29"/>
  <c r="I5349" i="29"/>
  <c r="I5348" i="29"/>
  <c r="I5372" i="29"/>
  <c r="I5371" i="29"/>
  <c r="I5370" i="29"/>
  <c r="I5369" i="29"/>
  <c r="I5368" i="29"/>
  <c r="I5364" i="29"/>
  <c r="I5358" i="29"/>
  <c r="I5357" i="29"/>
  <c r="I5367" i="29"/>
  <c r="I5366" i="29"/>
  <c r="I5362" i="29"/>
  <c r="I5361" i="29"/>
  <c r="I5360" i="29"/>
  <c r="I5359" i="29"/>
  <c r="I5346" i="29"/>
  <c r="I5356" i="29"/>
  <c r="I5347" i="29"/>
  <c r="I5345" i="29"/>
  <c r="I4867" i="29"/>
  <c r="I5344" i="29"/>
  <c r="I5343" i="29"/>
  <c r="I5342" i="29"/>
  <c r="I5341" i="29"/>
  <c r="I5339" i="29"/>
  <c r="I4877" i="29"/>
  <c r="I4876" i="29"/>
  <c r="I4875" i="29"/>
  <c r="I4874" i="29"/>
  <c r="I4873" i="29"/>
  <c r="I4872" i="29"/>
  <c r="I5340" i="29"/>
  <c r="I5338" i="29"/>
  <c r="I5336" i="29"/>
  <c r="I5335" i="29"/>
  <c r="I5334" i="29"/>
  <c r="I5299" i="29"/>
  <c r="I5300" i="29"/>
  <c r="I5337" i="29"/>
  <c r="I5301" i="29"/>
  <c r="I5302" i="29"/>
  <c r="I5303" i="29"/>
  <c r="I5304" i="29"/>
  <c r="I5305" i="29"/>
  <c r="I5306" i="29"/>
  <c r="I5307" i="29"/>
  <c r="I5308" i="29"/>
  <c r="I5309" i="29"/>
  <c r="I5310" i="29"/>
  <c r="I5311" i="29"/>
  <c r="I5312" i="29"/>
  <c r="I5313" i="29"/>
  <c r="I5314" i="29"/>
  <c r="I5315" i="29"/>
  <c r="I5316" i="29"/>
  <c r="I5317" i="29"/>
  <c r="I5318" i="29"/>
  <c r="I5333" i="29"/>
  <c r="I5332" i="29"/>
  <c r="I5331" i="29"/>
  <c r="I5330" i="29"/>
  <c r="I5329" i="29"/>
  <c r="I5298" i="29"/>
  <c r="I5297" i="29"/>
  <c r="I5296" i="29"/>
  <c r="I5295" i="29"/>
  <c r="I5294" i="29"/>
  <c r="I5293" i="29"/>
  <c r="I5319" i="29"/>
  <c r="I5320" i="29"/>
  <c r="I5321" i="29"/>
  <c r="I5322" i="29"/>
  <c r="I5323" i="29"/>
  <c r="I5324" i="29"/>
  <c r="I5325" i="29"/>
  <c r="I5326" i="29"/>
  <c r="I5327" i="29"/>
  <c r="I5328" i="29"/>
  <c r="I5286" i="29"/>
  <c r="I5292" i="29"/>
  <c r="I5291" i="29"/>
  <c r="I5290" i="29"/>
  <c r="I5289" i="29"/>
  <c r="I5288" i="29"/>
  <c r="I5287" i="29"/>
  <c r="I5285" i="29"/>
  <c r="I5284" i="29"/>
  <c r="I5283" i="29"/>
  <c r="I5281" i="29"/>
  <c r="I5280" i="29"/>
  <c r="I5279" i="29"/>
  <c r="I5278" i="29"/>
  <c r="I5271" i="29"/>
  <c r="I5267" i="29"/>
  <c r="I5265" i="29"/>
  <c r="I5264" i="29"/>
  <c r="I5263" i="29"/>
  <c r="I5262" i="29"/>
  <c r="I5261" i="29"/>
  <c r="I5260" i="29"/>
  <c r="I5282" i="29"/>
  <c r="I5277" i="29"/>
  <c r="I5276" i="29"/>
  <c r="I5275" i="29"/>
  <c r="I5274" i="29"/>
  <c r="I5273" i="29"/>
  <c r="I5255" i="29"/>
  <c r="I5254" i="29"/>
  <c r="I4998" i="29"/>
  <c r="I5272" i="29"/>
  <c r="I5270" i="29"/>
  <c r="I5269" i="29"/>
  <c r="I5268" i="29"/>
  <c r="I5266" i="29"/>
  <c r="I5001" i="29"/>
  <c r="I5000" i="29"/>
  <c r="I4999" i="29"/>
  <c r="I5259" i="29"/>
  <c r="I5258" i="29"/>
  <c r="I5257" i="29"/>
  <c r="I5256" i="29"/>
  <c r="I5247" i="29"/>
  <c r="I5253" i="29"/>
  <c r="I5252" i="29"/>
  <c r="I5251" i="29"/>
  <c r="I5240" i="29"/>
  <c r="I5234" i="29"/>
  <c r="I5244" i="29"/>
  <c r="I5250" i="29"/>
  <c r="I5249" i="29"/>
  <c r="I5248" i="29"/>
  <c r="I5246" i="29"/>
  <c r="I5245" i="29"/>
  <c r="I5243" i="29"/>
  <c r="I5242" i="29"/>
  <c r="I5241" i="29"/>
  <c r="I5239" i="29"/>
  <c r="I5238" i="29"/>
  <c r="I5237" i="29"/>
  <c r="I5236" i="29"/>
  <c r="I5235" i="29"/>
  <c r="I5220" i="29"/>
  <c r="I5219" i="29"/>
  <c r="I5218" i="29"/>
  <c r="I5217" i="29"/>
  <c r="I5214" i="29"/>
  <c r="I5213" i="29"/>
  <c r="I5212" i="29"/>
  <c r="I5211" i="29"/>
  <c r="I5221" i="29"/>
  <c r="I5216" i="29"/>
  <c r="I5233" i="29"/>
  <c r="I5215" i="29"/>
  <c r="I5232" i="29"/>
  <c r="I5231" i="29"/>
  <c r="I5230" i="29"/>
  <c r="I5229" i="29"/>
  <c r="I5228" i="29"/>
  <c r="I5227" i="29"/>
  <c r="I5210" i="29"/>
  <c r="I5209" i="29"/>
  <c r="I5208" i="29"/>
  <c r="I5207" i="29"/>
  <c r="I5206" i="29"/>
  <c r="I5205" i="29"/>
  <c r="I5204" i="29"/>
  <c r="I5203" i="29"/>
  <c r="I5226" i="29"/>
  <c r="I5225" i="29"/>
  <c r="I5224" i="29"/>
  <c r="I5223" i="29"/>
  <c r="I5222" i="29"/>
  <c r="I5198" i="29"/>
  <c r="I5197" i="29"/>
  <c r="I5196" i="29"/>
  <c r="I5195" i="29"/>
  <c r="I5194" i="29"/>
  <c r="I5188" i="29"/>
  <c r="I5202" i="29"/>
  <c r="I5201" i="29"/>
  <c r="I5200" i="29"/>
  <c r="I5199" i="29"/>
  <c r="I5173" i="29"/>
  <c r="I5172" i="29"/>
  <c r="I5171" i="29"/>
  <c r="I5193" i="29"/>
  <c r="I5192" i="29"/>
  <c r="I5191" i="29"/>
  <c r="I5190" i="29"/>
  <c r="I5189" i="29"/>
  <c r="I5169" i="29"/>
  <c r="I5168" i="29"/>
  <c r="I5167" i="29"/>
  <c r="I5166" i="29"/>
  <c r="I5165" i="29"/>
  <c r="I5164" i="29"/>
  <c r="I5163" i="29"/>
  <c r="I5162" i="29"/>
  <c r="I5161" i="29"/>
  <c r="I5160" i="29"/>
  <c r="I5183" i="29"/>
  <c r="I5182" i="29"/>
  <c r="I5181" i="29"/>
  <c r="I5180" i="29"/>
  <c r="I5179" i="29"/>
  <c r="I5159" i="29"/>
  <c r="I5158" i="29"/>
  <c r="I5157" i="29"/>
  <c r="I5156" i="29"/>
  <c r="I5155" i="29"/>
  <c r="I5154" i="29"/>
  <c r="I5187" i="29"/>
  <c r="I5186" i="29"/>
  <c r="I5185" i="29"/>
  <c r="I5184" i="29"/>
  <c r="I5178" i="29"/>
  <c r="I5177" i="29"/>
  <c r="I5176" i="29"/>
  <c r="I5175" i="29"/>
  <c r="I5174" i="29"/>
  <c r="I5170" i="29"/>
  <c r="I5153" i="29"/>
  <c r="I5152" i="29"/>
  <c r="I5151" i="29"/>
  <c r="I5150" i="29"/>
  <c r="I5149" i="29"/>
  <c r="I5139" i="29"/>
  <c r="I5138" i="29"/>
  <c r="I5137" i="29"/>
  <c r="I5136" i="29"/>
  <c r="I5143" i="29"/>
  <c r="I5142" i="29"/>
  <c r="I5141" i="29"/>
  <c r="I5140" i="29"/>
  <c r="I5133" i="29"/>
  <c r="I5132" i="29"/>
  <c r="I5131" i="29"/>
  <c r="I5130" i="29"/>
  <c r="I5128" i="29"/>
  <c r="I5148" i="29"/>
  <c r="I5147" i="29"/>
  <c r="I5146" i="29"/>
  <c r="I5145" i="29"/>
  <c r="I5144" i="29"/>
  <c r="I5129" i="29"/>
  <c r="I5135" i="29"/>
  <c r="I5134" i="29"/>
  <c r="I5127" i="29"/>
  <c r="I5126" i="29"/>
  <c r="I5125" i="29"/>
  <c r="I5124" i="29"/>
  <c r="I5123" i="29"/>
  <c r="I5118" i="29"/>
  <c r="I5119" i="29"/>
  <c r="I5120" i="29"/>
  <c r="I5121" i="29"/>
  <c r="I5122" i="29"/>
  <c r="I5085" i="29"/>
  <c r="I5111" i="29"/>
  <c r="I5110" i="29"/>
  <c r="I5109" i="29"/>
  <c r="I5108" i="29"/>
  <c r="I5106" i="29"/>
  <c r="I5105" i="29"/>
  <c r="I5104" i="29"/>
  <c r="I5103" i="29"/>
  <c r="I5101" i="29"/>
  <c r="I5112" i="29"/>
  <c r="I5107" i="29"/>
  <c r="I5102" i="29"/>
  <c r="I5100" i="29"/>
  <c r="I5099" i="29"/>
  <c r="I5098" i="29"/>
  <c r="I5097" i="29"/>
  <c r="I5096" i="29"/>
  <c r="I5095" i="29"/>
  <c r="I5094" i="29"/>
  <c r="I5093" i="29"/>
  <c r="I5092" i="29"/>
  <c r="I5117" i="29"/>
  <c r="I5116" i="29"/>
  <c r="I5115" i="29"/>
  <c r="I5114" i="29"/>
  <c r="I5113" i="29"/>
  <c r="I5091" i="29"/>
  <c r="I5090" i="29"/>
  <c r="I5089" i="29"/>
  <c r="I5088" i="29"/>
  <c r="I5087" i="29"/>
  <c r="I5086" i="29"/>
  <c r="I5084" i="29"/>
  <c r="I5083" i="29"/>
  <c r="I5082" i="29"/>
  <c r="I5081" i="29"/>
  <c r="I5080" i="29"/>
  <c r="I5079" i="29"/>
  <c r="I5078" i="29"/>
  <c r="I5077" i="29"/>
  <c r="I5076" i="29"/>
  <c r="I5075" i="29"/>
  <c r="I5074" i="29"/>
  <c r="I5073" i="29"/>
  <c r="I5070" i="29"/>
  <c r="I5069" i="29"/>
  <c r="I5068" i="29"/>
  <c r="I5067" i="29"/>
  <c r="I5063" i="29"/>
  <c r="I5065" i="29"/>
  <c r="I5064" i="29"/>
  <c r="I5062" i="29"/>
  <c r="I5061" i="29"/>
  <c r="I5058" i="29"/>
  <c r="I5057" i="29"/>
  <c r="I5056" i="29"/>
  <c r="I5055" i="29"/>
  <c r="I5054" i="29"/>
  <c r="I5053" i="29"/>
  <c r="I5046" i="29"/>
  <c r="I5045" i="29"/>
  <c r="I5044" i="29"/>
  <c r="I5043" i="29"/>
  <c r="I5042" i="29"/>
  <c r="I5041" i="29"/>
  <c r="I5040" i="29"/>
  <c r="I5039" i="29"/>
  <c r="I5072" i="29"/>
  <c r="I5071" i="29"/>
  <c r="I5066" i="29"/>
  <c r="I5060" i="29"/>
  <c r="I5059" i="29"/>
  <c r="I5052" i="29"/>
  <c r="I5051" i="29"/>
  <c r="I5050" i="29"/>
  <c r="I5049" i="29"/>
  <c r="I5048" i="29"/>
  <c r="I5047" i="29"/>
  <c r="I5038" i="29"/>
  <c r="I5037" i="29"/>
  <c r="I5028" i="29"/>
  <c r="I5026" i="29"/>
  <c r="I5025" i="29"/>
  <c r="I5021" i="29"/>
  <c r="I5020" i="29"/>
  <c r="I5019" i="29"/>
  <c r="I5018" i="29"/>
  <c r="I5017" i="29"/>
  <c r="I5036" i="29"/>
  <c r="I5035" i="29"/>
  <c r="I5034" i="29"/>
  <c r="I5033" i="29"/>
  <c r="I5032" i="29"/>
  <c r="I5031" i="29"/>
  <c r="I5030" i="29"/>
  <c r="I5029" i="29"/>
  <c r="I5027" i="29"/>
  <c r="I5024" i="29"/>
  <c r="I5023" i="29"/>
  <c r="I5022" i="29"/>
  <c r="I5015" i="29"/>
  <c r="I5014" i="29"/>
  <c r="I5013" i="29"/>
  <c r="I5012" i="29"/>
  <c r="I5011" i="29"/>
  <c r="I5010" i="29"/>
  <c r="I5009" i="29"/>
  <c r="I5008" i="29"/>
  <c r="I5007" i="29"/>
  <c r="I5016" i="29"/>
  <c r="I5005" i="29"/>
  <c r="I5004" i="29"/>
  <c r="I5006" i="29"/>
  <c r="I4994" i="29"/>
  <c r="I4993" i="29"/>
  <c r="I4997" i="29"/>
  <c r="I5003" i="29"/>
  <c r="I5002" i="29"/>
  <c r="I4996" i="29"/>
  <c r="I4995" i="29"/>
  <c r="I4991" i="29"/>
  <c r="I4990" i="29"/>
  <c r="I4989" i="29"/>
  <c r="I4986" i="29"/>
  <c r="I4985" i="29"/>
  <c r="I4984" i="29"/>
  <c r="I4983" i="29"/>
  <c r="I4980" i="29"/>
  <c r="I4979" i="29"/>
  <c r="I4978" i="29"/>
  <c r="I4977" i="29"/>
  <c r="I4974" i="29"/>
  <c r="I4992" i="29"/>
  <c r="I4988" i="29"/>
  <c r="I4987" i="29"/>
  <c r="I4982" i="29"/>
  <c r="I4981" i="29"/>
  <c r="I4976" i="29"/>
  <c r="I4963" i="29"/>
  <c r="I4962" i="29"/>
  <c r="I4961" i="29"/>
  <c r="I4975" i="29"/>
  <c r="I4973" i="29"/>
  <c r="I4972" i="29"/>
  <c r="I4971" i="29"/>
  <c r="I4970" i="29"/>
  <c r="I4969" i="29"/>
  <c r="I4968" i="29"/>
  <c r="I4960" i="29"/>
  <c r="I4959" i="29"/>
  <c r="I4958" i="29"/>
  <c r="I4957" i="29"/>
  <c r="I4956" i="29"/>
  <c r="I4955" i="29"/>
  <c r="I4954" i="29"/>
  <c r="I4953" i="29"/>
  <c r="I4967" i="29"/>
  <c r="I4966" i="29"/>
  <c r="I4965" i="29"/>
  <c r="I4964" i="29"/>
  <c r="I4952" i="29"/>
  <c r="I4951" i="29"/>
  <c r="I4950" i="29"/>
  <c r="I4949" i="29"/>
  <c r="I4948" i="29"/>
  <c r="I4946" i="29"/>
  <c r="I4945" i="29"/>
  <c r="I4944" i="29"/>
  <c r="I4943" i="29"/>
  <c r="I4942" i="29"/>
  <c r="I4941" i="29"/>
  <c r="I4940" i="29"/>
  <c r="I4939" i="29"/>
  <c r="I4935" i="29"/>
  <c r="I4934" i="29"/>
  <c r="I4947" i="29"/>
  <c r="I4938" i="29"/>
  <c r="I4937" i="29"/>
  <c r="I4936" i="29"/>
  <c r="I4933" i="29"/>
  <c r="I4932" i="29"/>
  <c r="I4931" i="29"/>
  <c r="I4930" i="29"/>
  <c r="I4929" i="29"/>
  <c r="I4928" i="29"/>
  <c r="I4927" i="29"/>
  <c r="I4925" i="29"/>
  <c r="I4924" i="29"/>
  <c r="I4923" i="29"/>
  <c r="I4922" i="29"/>
  <c r="I4919" i="29"/>
  <c r="I4916" i="29"/>
  <c r="I4915" i="29"/>
  <c r="I4914" i="29"/>
  <c r="I4926" i="29"/>
  <c r="I4921" i="29"/>
  <c r="I4920" i="29"/>
  <c r="I4913" i="29"/>
  <c r="I4912" i="29"/>
  <c r="I4911" i="29"/>
  <c r="I4910" i="29"/>
  <c r="I4909" i="29"/>
  <c r="I4918" i="29"/>
  <c r="I4917" i="29"/>
  <c r="I4908" i="29"/>
  <c r="I4906" i="29"/>
  <c r="I4905" i="29"/>
  <c r="I4904" i="29"/>
  <c r="I4902" i="29"/>
  <c r="I4907" i="29"/>
  <c r="I4898" i="29"/>
  <c r="I4903" i="29"/>
  <c r="I4901" i="29"/>
  <c r="I4900" i="29"/>
  <c r="I4899" i="29"/>
  <c r="I4897" i="29"/>
  <c r="I4892" i="29"/>
  <c r="I4891" i="29"/>
  <c r="I4890" i="29"/>
  <c r="I4889" i="29"/>
  <c r="I4887" i="29"/>
  <c r="I4886" i="29"/>
  <c r="I4884" i="29"/>
  <c r="I4883" i="29"/>
  <c r="I4882" i="29"/>
  <c r="I4881" i="29"/>
  <c r="I4880" i="29"/>
  <c r="I4878" i="29"/>
  <c r="I4871" i="29"/>
  <c r="I4870" i="29"/>
  <c r="I4869" i="29"/>
  <c r="I4868" i="29"/>
  <c r="I4885" i="29"/>
  <c r="I4896" i="29"/>
  <c r="I4895" i="29"/>
  <c r="I4894" i="29"/>
  <c r="I4893" i="29"/>
  <c r="I4888" i="29"/>
  <c r="I4879" i="29"/>
  <c r="I4866" i="29"/>
  <c r="I4865" i="29"/>
  <c r="I4862" i="29"/>
  <c r="I4861" i="29"/>
  <c r="I4860" i="29"/>
  <c r="I4859" i="29"/>
  <c r="I4858" i="29"/>
  <c r="I4857" i="29"/>
  <c r="I4856" i="29"/>
  <c r="I4853" i="29"/>
  <c r="I4847" i="29"/>
  <c r="I4864" i="29"/>
  <c r="I4855" i="29"/>
  <c r="I4854" i="29"/>
  <c r="I4852" i="29"/>
  <c r="I4851" i="29"/>
  <c r="I4850" i="29"/>
  <c r="I4849" i="29"/>
  <c r="I4844" i="29"/>
  <c r="I4843" i="29"/>
  <c r="I4863" i="29"/>
  <c r="I4848" i="29"/>
  <c r="I4846" i="29"/>
  <c r="I4845" i="29"/>
  <c r="I4839" i="29"/>
  <c r="I4842" i="29"/>
  <c r="I4841" i="29"/>
  <c r="I4840" i="29"/>
  <c r="I4838" i="29"/>
  <c r="I4837" i="29"/>
  <c r="I4836" i="29"/>
  <c r="I4835" i="29"/>
  <c r="I4834" i="29"/>
  <c r="I4833" i="29"/>
  <c r="I4826" i="29"/>
  <c r="I4825" i="29"/>
  <c r="I4824" i="29"/>
  <c r="I4823" i="29"/>
  <c r="I4832" i="29"/>
  <c r="I4831" i="29"/>
  <c r="I4830" i="29"/>
  <c r="I4829" i="29"/>
  <c r="I4828" i="29"/>
  <c r="I4827" i="29"/>
  <c r="I4822" i="29"/>
  <c r="I4821" i="29"/>
  <c r="I4814" i="29"/>
  <c r="I4813" i="29"/>
  <c r="I4812" i="29"/>
  <c r="I4811" i="29"/>
  <c r="I4810" i="29"/>
  <c r="I4820" i="29"/>
  <c r="I4819" i="29"/>
  <c r="I4818" i="29"/>
  <c r="I4817" i="29"/>
  <c r="I4816" i="29"/>
  <c r="I4815" i="29"/>
  <c r="I4808" i="29"/>
  <c r="I4807" i="29"/>
  <c r="I4809" i="29"/>
  <c r="I4802" i="29"/>
  <c r="I4801" i="29"/>
  <c r="I4805" i="29"/>
  <c r="I4804" i="29"/>
  <c r="I4803" i="29"/>
  <c r="I4795" i="29"/>
  <c r="I4794" i="29"/>
  <c r="I4793" i="29"/>
  <c r="I4792" i="29"/>
  <c r="I4791" i="29"/>
  <c r="I4790" i="29"/>
  <c r="I4806" i="29"/>
  <c r="I4800" i="29"/>
  <c r="I4799" i="29"/>
  <c r="I4798" i="29"/>
  <c r="I4797" i="29"/>
  <c r="I4796" i="29"/>
  <c r="I4789" i="29"/>
  <c r="I4788" i="29"/>
  <c r="I4786" i="29"/>
  <c r="I4785" i="29"/>
  <c r="I4784" i="29"/>
  <c r="I4782" i="29"/>
  <c r="I4780" i="29"/>
  <c r="I4779" i="29"/>
  <c r="I4778" i="29"/>
  <c r="I4777" i="29"/>
  <c r="I4776" i="29"/>
  <c r="I4774" i="29"/>
  <c r="I4787" i="29"/>
  <c r="I4781" i="29"/>
  <c r="I4783" i="29"/>
  <c r="I4775" i="29"/>
  <c r="I4772" i="29"/>
  <c r="I4770" i="29"/>
  <c r="I4769" i="29"/>
  <c r="I4768" i="29"/>
  <c r="I4767" i="29"/>
  <c r="I4762" i="29"/>
  <c r="I4773" i="29"/>
  <c r="I4771" i="29"/>
  <c r="I4766" i="29"/>
  <c r="I4765" i="29"/>
  <c r="I4764" i="29"/>
  <c r="I4763" i="29"/>
  <c r="I4756" i="29"/>
  <c r="I4761" i="29"/>
  <c r="I4760" i="29"/>
  <c r="I4759" i="29"/>
  <c r="I4758" i="29"/>
  <c r="I4757" i="29"/>
  <c r="I4755" i="29"/>
  <c r="I4754" i="29"/>
  <c r="I4751" i="29"/>
  <c r="I4750" i="29"/>
  <c r="I4749" i="29"/>
  <c r="I4748" i="29"/>
  <c r="I4747" i="29"/>
  <c r="I4746" i="29"/>
  <c r="I4743" i="29"/>
  <c r="I4741" i="29"/>
  <c r="I4739" i="29"/>
  <c r="I4732" i="29"/>
  <c r="I4731" i="29"/>
  <c r="I4728" i="29"/>
  <c r="I4727" i="29"/>
  <c r="I4726" i="29"/>
  <c r="I4725" i="29"/>
  <c r="I4724" i="29"/>
  <c r="I4723" i="29"/>
  <c r="I4722" i="29"/>
  <c r="I4721" i="29"/>
  <c r="I4720" i="29"/>
  <c r="I4719" i="29"/>
  <c r="I4717" i="29"/>
  <c r="I4716" i="29"/>
  <c r="I4753" i="29"/>
  <c r="I4752" i="29"/>
  <c r="I4745" i="29"/>
  <c r="I4744" i="29"/>
  <c r="I4742" i="29"/>
  <c r="I4740" i="29"/>
  <c r="I4738" i="29"/>
  <c r="I4737" i="29"/>
  <c r="I4736" i="29"/>
  <c r="I4735" i="29"/>
  <c r="I4734" i="29"/>
  <c r="I4733" i="29"/>
  <c r="I4730" i="29"/>
  <c r="I4729" i="29"/>
  <c r="I4718" i="29"/>
  <c r="I4715" i="29"/>
  <c r="I4714" i="29"/>
  <c r="I4711" i="29"/>
  <c r="I4710" i="29"/>
  <c r="I4713" i="29"/>
  <c r="I4712" i="29"/>
  <c r="I4697" i="29"/>
  <c r="I4696" i="29"/>
  <c r="I4695" i="29"/>
  <c r="I4694" i="29"/>
  <c r="I4691" i="29"/>
  <c r="I4689" i="29"/>
  <c r="I4688" i="29"/>
  <c r="I4687" i="29"/>
  <c r="I4692" i="29"/>
  <c r="I4709" i="29"/>
  <c r="I4708" i="29"/>
  <c r="I4707" i="29"/>
  <c r="I4706" i="29"/>
  <c r="I4693" i="29"/>
  <c r="I4690" i="29"/>
  <c r="I4686" i="29"/>
  <c r="I4685" i="29"/>
  <c r="I4684" i="29"/>
  <c r="I4683" i="29"/>
  <c r="I4682" i="29"/>
  <c r="I4681" i="29"/>
  <c r="I4680" i="29"/>
  <c r="I4679" i="29"/>
  <c r="I4678" i="29"/>
  <c r="I4675" i="29"/>
  <c r="I4705" i="29"/>
  <c r="I4704" i="29"/>
  <c r="I4703" i="29"/>
  <c r="I4702" i="29"/>
  <c r="I4701" i="29"/>
  <c r="I4700" i="29"/>
  <c r="I4699" i="29"/>
  <c r="I4698" i="29"/>
  <c r="I4677" i="29"/>
  <c r="I4676" i="29"/>
  <c r="I4674" i="29"/>
  <c r="I4673" i="29"/>
  <c r="I4672" i="29"/>
  <c r="I4671" i="29"/>
  <c r="I4670" i="29"/>
  <c r="I4669" i="29"/>
  <c r="I4668" i="29"/>
  <c r="I4667" i="29"/>
  <c r="I4666" i="29"/>
  <c r="I4665" i="29"/>
  <c r="I4664" i="29"/>
  <c r="I4662" i="29"/>
  <c r="I4661" i="29"/>
  <c r="I4659" i="29"/>
  <c r="I4663" i="29"/>
  <c r="I4656" i="29"/>
  <c r="I4655" i="29"/>
  <c r="I4654" i="29"/>
  <c r="I4653" i="29"/>
  <c r="I4652" i="29"/>
  <c r="I4651" i="29"/>
  <c r="I4660" i="29"/>
  <c r="I4658" i="29"/>
  <c r="I4657" i="29"/>
  <c r="I4650" i="29"/>
  <c r="I4649" i="29"/>
  <c r="I4648" i="29"/>
  <c r="I4647" i="29"/>
  <c r="I4646" i="29"/>
  <c r="I4643" i="29"/>
  <c r="I4642" i="29"/>
  <c r="I4636" i="29"/>
  <c r="I4635" i="29"/>
  <c r="I4641" i="29"/>
  <c r="I4640" i="29"/>
  <c r="I4639" i="29"/>
  <c r="I4638" i="29"/>
  <c r="I4637" i="29"/>
  <c r="I4634" i="29"/>
  <c r="I4645" i="29"/>
  <c r="I4644" i="29"/>
  <c r="I4633" i="29"/>
  <c r="I4632" i="29"/>
  <c r="I4631" i="29"/>
  <c r="I4630" i="29"/>
  <c r="I4629" i="29"/>
  <c r="I4628" i="29"/>
  <c r="I4627" i="29"/>
  <c r="I4626" i="29"/>
  <c r="I4625" i="29"/>
  <c r="I4624" i="29"/>
  <c r="I4620" i="29"/>
  <c r="I4619" i="29"/>
  <c r="I4618" i="29"/>
  <c r="I4617" i="29"/>
  <c r="I4616" i="29"/>
  <c r="I4615" i="29"/>
  <c r="I4612" i="29"/>
  <c r="I4611" i="29"/>
  <c r="I4623" i="29"/>
  <c r="I4621" i="29"/>
  <c r="I4610" i="29"/>
  <c r="I4609" i="29"/>
  <c r="I4608" i="29"/>
  <c r="I4607" i="29"/>
  <c r="I4622" i="29"/>
  <c r="I4599" i="29"/>
  <c r="I4614" i="29"/>
  <c r="I4613" i="29"/>
  <c r="I4598" i="29"/>
  <c r="I4597" i="29"/>
  <c r="I4596" i="29"/>
  <c r="I4595" i="29"/>
  <c r="I4594" i="29"/>
  <c r="I4593" i="29"/>
  <c r="I4592" i="29"/>
  <c r="I4591" i="29"/>
  <c r="I4606" i="29"/>
  <c r="I4605" i="29"/>
  <c r="I4604" i="29"/>
  <c r="I4603" i="29"/>
  <c r="I4602" i="29"/>
  <c r="I4601" i="29"/>
  <c r="I4600" i="29"/>
  <c r="I4590" i="29"/>
  <c r="I4589" i="29"/>
  <c r="I4588" i="29"/>
  <c r="I4587" i="29"/>
  <c r="I4586" i="29"/>
  <c r="I4585" i="29"/>
  <c r="I4584" i="29"/>
  <c r="I4583" i="29"/>
  <c r="I4581" i="29"/>
  <c r="I4580" i="29"/>
  <c r="I4575" i="29"/>
  <c r="I4582" i="29"/>
  <c r="I4579" i="29"/>
  <c r="I4578" i="29"/>
  <c r="I4577" i="29"/>
  <c r="I4576" i="29"/>
  <c r="I4574" i="29"/>
  <c r="I4573" i="29"/>
  <c r="I4565" i="29"/>
  <c r="I4564" i="29"/>
  <c r="I4563" i="29"/>
  <c r="I4562" i="29"/>
  <c r="I4561" i="29"/>
  <c r="I4560" i="29"/>
  <c r="I4559" i="29"/>
  <c r="I4558" i="29"/>
  <c r="I4557" i="29"/>
  <c r="I4572" i="29"/>
  <c r="I4571" i="29"/>
  <c r="I4570" i="29"/>
  <c r="I4569" i="29"/>
  <c r="I4568" i="29"/>
  <c r="I4567" i="29"/>
  <c r="I4566" i="29"/>
  <c r="I4545" i="29"/>
  <c r="I4539" i="29"/>
  <c r="I4538" i="29"/>
  <c r="I4519" i="29"/>
  <c r="I4556" i="29"/>
  <c r="I4555" i="29"/>
  <c r="I4554" i="29"/>
  <c r="I4553" i="29"/>
  <c r="I4552" i="29"/>
  <c r="I4549" i="29"/>
  <c r="I4551" i="29"/>
  <c r="I4550" i="29"/>
  <c r="I4548" i="29"/>
  <c r="I4547" i="29"/>
  <c r="I4546" i="29"/>
  <c r="I4540" i="29"/>
  <c r="I4537" i="29"/>
  <c r="I4536" i="29"/>
  <c r="I4535" i="29"/>
  <c r="I4534" i="29"/>
  <c r="I4532" i="29"/>
  <c r="I4531" i="29"/>
  <c r="I4530" i="29"/>
  <c r="I4544" i="29"/>
  <c r="I4543" i="29"/>
  <c r="I4542" i="29"/>
  <c r="I4541" i="29"/>
  <c r="I4533" i="29"/>
  <c r="I4529" i="29"/>
  <c r="I4528" i="29"/>
  <c r="I4527" i="29"/>
  <c r="I4526" i="29"/>
  <c r="I4525" i="29"/>
  <c r="I4524" i="29"/>
  <c r="I4523" i="29"/>
  <c r="I4522" i="29"/>
  <c r="I4521" i="29"/>
  <c r="I4520" i="29"/>
  <c r="I4518" i="29"/>
  <c r="I4517" i="29"/>
  <c r="I4516" i="29"/>
  <c r="I4509" i="29"/>
  <c r="I4515" i="29"/>
  <c r="I4514" i="29"/>
  <c r="I4513" i="29"/>
  <c r="I4512" i="29"/>
  <c r="I4511" i="29"/>
  <c r="I4510" i="29"/>
  <c r="I4178" i="29"/>
  <c r="I4505" i="29"/>
  <c r="I4504" i="29"/>
  <c r="I4508" i="29"/>
  <c r="I4507" i="29"/>
  <c r="I4506" i="29"/>
  <c r="I4503" i="29"/>
  <c r="I4502" i="29"/>
  <c r="I4501" i="29"/>
  <c r="I4500" i="29"/>
  <c r="I4499" i="29"/>
  <c r="I4498" i="29"/>
  <c r="I4497" i="29"/>
  <c r="I4339" i="29"/>
  <c r="I4338" i="29"/>
  <c r="I4496" i="29"/>
  <c r="I4495" i="29"/>
  <c r="I4494" i="29"/>
  <c r="I4493" i="29"/>
  <c r="I4492" i="29"/>
  <c r="I4491" i="29"/>
  <c r="I4490" i="29"/>
  <c r="I4489" i="29"/>
  <c r="I4488" i="29"/>
  <c r="I4486" i="29"/>
  <c r="I4484" i="29"/>
  <c r="I4482" i="29"/>
  <c r="I4487" i="29"/>
  <c r="I4485" i="29"/>
  <c r="I4483" i="29"/>
  <c r="I4481" i="29"/>
  <c r="I4480" i="29"/>
  <c r="I4479" i="29"/>
  <c r="I4478" i="29"/>
  <c r="I4477" i="29"/>
  <c r="I4476" i="29"/>
  <c r="I4475" i="29"/>
  <c r="I4471" i="29"/>
  <c r="I4470" i="29"/>
  <c r="I4341" i="29"/>
  <c r="I4340" i="29"/>
  <c r="I4469" i="29"/>
  <c r="I4468" i="29"/>
  <c r="I4467" i="29"/>
  <c r="I4466" i="29"/>
  <c r="I4465" i="29"/>
  <c r="I4464" i="29"/>
  <c r="I4463" i="29"/>
  <c r="I4462" i="29"/>
  <c r="I4474" i="29"/>
  <c r="I4473" i="29"/>
  <c r="I4472" i="29"/>
  <c r="I4461" i="29"/>
  <c r="I4449" i="29"/>
  <c r="I4460" i="29"/>
  <c r="I4459" i="29"/>
  <c r="I4458" i="29"/>
  <c r="I4457" i="29"/>
  <c r="I4456" i="29"/>
  <c r="I4455" i="29"/>
  <c r="I4454" i="29"/>
  <c r="I4453" i="29"/>
  <c r="I4452" i="29"/>
  <c r="I4451" i="29"/>
  <c r="I4450" i="29"/>
  <c r="I4447" i="29"/>
  <c r="I4446" i="29"/>
  <c r="I4445" i="29"/>
  <c r="I4444" i="29"/>
  <c r="I4443" i="29"/>
  <c r="I4442" i="29"/>
  <c r="I4448" i="29"/>
  <c r="I4441" i="29"/>
  <c r="I4440" i="29"/>
  <c r="I4439" i="29"/>
  <c r="I4438" i="29"/>
  <c r="I4437" i="29"/>
  <c r="I4436" i="29"/>
  <c r="I4430" i="29"/>
  <c r="I4429" i="29"/>
  <c r="I4435" i="29"/>
  <c r="I4434" i="29"/>
  <c r="I4433" i="29"/>
  <c r="I4432" i="29"/>
  <c r="I4431" i="29"/>
  <c r="I4428" i="29"/>
  <c r="I4426" i="29"/>
  <c r="I4425" i="29"/>
  <c r="I4424" i="29"/>
  <c r="I4423" i="29"/>
  <c r="I4422" i="29"/>
  <c r="I4421" i="29"/>
  <c r="I4420" i="29"/>
  <c r="I4419" i="29"/>
  <c r="I4413" i="29"/>
  <c r="I4412" i="29"/>
  <c r="I4411" i="29"/>
  <c r="I4406" i="29"/>
  <c r="I4427" i="29"/>
  <c r="I4405" i="29"/>
  <c r="I4403" i="29"/>
  <c r="I4402" i="29"/>
  <c r="I4418" i="29"/>
  <c r="I4401" i="29"/>
  <c r="I4394" i="29"/>
  <c r="I4393" i="29"/>
  <c r="I4392" i="29"/>
  <c r="I4391" i="29"/>
  <c r="I4417" i="29"/>
  <c r="I4416" i="29"/>
  <c r="I4415" i="29"/>
  <c r="I4414" i="29"/>
  <c r="I4410" i="29"/>
  <c r="I4409" i="29"/>
  <c r="I4408" i="29"/>
  <c r="I4407" i="29"/>
  <c r="I4404" i="29"/>
  <c r="I4390" i="29"/>
  <c r="I4389" i="29"/>
  <c r="I4400" i="29"/>
  <c r="I4399" i="29"/>
  <c r="I4398" i="29"/>
  <c r="I4397" i="29"/>
  <c r="I4396" i="29"/>
  <c r="I4395" i="29"/>
  <c r="I4388" i="29"/>
  <c r="I4387" i="29"/>
  <c r="I4386" i="29"/>
  <c r="I4385" i="29"/>
  <c r="I4384" i="29"/>
  <c r="I4383" i="29"/>
  <c r="I4382" i="29"/>
  <c r="I4381" i="29"/>
  <c r="I4380" i="29"/>
  <c r="I4379" i="29"/>
  <c r="I4378" i="29"/>
  <c r="I4377" i="29"/>
  <c r="I4376" i="29"/>
  <c r="I4374" i="29"/>
  <c r="I4372" i="29"/>
  <c r="I4371" i="29"/>
  <c r="I4362" i="29"/>
  <c r="I4361" i="29"/>
  <c r="I4360" i="29"/>
  <c r="I4359" i="29"/>
  <c r="I4375" i="29"/>
  <c r="I4364" i="29"/>
  <c r="I4358" i="29"/>
  <c r="I4357" i="29"/>
  <c r="I4356" i="29"/>
  <c r="I4355" i="29"/>
  <c r="I4354" i="29"/>
  <c r="I4353" i="29"/>
  <c r="I4352" i="29"/>
  <c r="I4373" i="29"/>
  <c r="I4370" i="29"/>
  <c r="I4369" i="29"/>
  <c r="I4368" i="29"/>
  <c r="I4367" i="29"/>
  <c r="I4366" i="29"/>
  <c r="I4365" i="29"/>
  <c r="I4363" i="29"/>
  <c r="I4351" i="29"/>
  <c r="I4348" i="29"/>
  <c r="I4343" i="29"/>
  <c r="I4342" i="29"/>
  <c r="I4350" i="29"/>
  <c r="I4349" i="29"/>
  <c r="I4337" i="29"/>
  <c r="I4336" i="29"/>
  <c r="I4329" i="29"/>
  <c r="I4347" i="29"/>
  <c r="I4346" i="29"/>
  <c r="I4345" i="29"/>
  <c r="I4344" i="29"/>
  <c r="I4312" i="29"/>
  <c r="I4311" i="29"/>
  <c r="I4310" i="29"/>
  <c r="I4335" i="29"/>
  <c r="I4334" i="29"/>
  <c r="I4333" i="29"/>
  <c r="I4332" i="29"/>
  <c r="I4331" i="29"/>
  <c r="I4330" i="29"/>
  <c r="I4318" i="29"/>
  <c r="I4317" i="29"/>
  <c r="I4316" i="29"/>
  <c r="I4314" i="29"/>
  <c r="I4313" i="29"/>
  <c r="I4309" i="29"/>
  <c r="I4308" i="29"/>
  <c r="I4328" i="29"/>
  <c r="I4327" i="29"/>
  <c r="I4326" i="29"/>
  <c r="I4325" i="29"/>
  <c r="I4324" i="29"/>
  <c r="I4323" i="29"/>
  <c r="I4322" i="29"/>
  <c r="I4321" i="29"/>
  <c r="I4320" i="29"/>
  <c r="I4319" i="29"/>
  <c r="I4307" i="29"/>
  <c r="I4315" i="29"/>
  <c r="I4306" i="29"/>
  <c r="I4305" i="29"/>
  <c r="I4304" i="29"/>
  <c r="I4303" i="29"/>
  <c r="I4302" i="29"/>
  <c r="I4301" i="29"/>
  <c r="I4300" i="29"/>
  <c r="I4299" i="29"/>
  <c r="I4298" i="29"/>
  <c r="I4297" i="29"/>
  <c r="I4296" i="29"/>
  <c r="I4295" i="29"/>
  <c r="I4294" i="29"/>
  <c r="I4293" i="29"/>
  <c r="I4292" i="29"/>
  <c r="I4291" i="29"/>
  <c r="I4290" i="29"/>
  <c r="I4289" i="29"/>
  <c r="I4288" i="29"/>
  <c r="I4287" i="29"/>
  <c r="I4286" i="29"/>
  <c r="I4285" i="29"/>
  <c r="I4284" i="29"/>
  <c r="I4283" i="29"/>
  <c r="I4282" i="29"/>
  <c r="I4281" i="29"/>
  <c r="I4279" i="29"/>
  <c r="I4280" i="29"/>
  <c r="I4278" i="29"/>
  <c r="I4277" i="29"/>
  <c r="I4276" i="29"/>
  <c r="I4272" i="29"/>
  <c r="I4271" i="29"/>
  <c r="I4270" i="29"/>
  <c r="I4275" i="29"/>
  <c r="I4274" i="29"/>
  <c r="I4273" i="29"/>
  <c r="I632" i="29"/>
  <c r="I4269" i="29"/>
  <c r="I4268" i="29"/>
  <c r="I4267" i="29"/>
  <c r="I4259" i="29"/>
  <c r="I4266" i="29"/>
  <c r="I4265" i="29"/>
  <c r="I4261" i="29"/>
  <c r="I4260" i="29"/>
  <c r="I4247" i="29"/>
  <c r="I4264" i="29"/>
  <c r="I4263" i="29"/>
  <c r="I4262" i="29"/>
  <c r="I4257" i="29"/>
  <c r="I4256" i="29"/>
  <c r="I4255" i="29"/>
  <c r="I4254" i="29"/>
  <c r="I4253" i="29"/>
  <c r="I4252" i="29"/>
  <c r="I4258" i="29"/>
  <c r="I4251" i="29"/>
  <c r="I4250" i="29"/>
  <c r="I4249" i="29"/>
  <c r="I4248" i="29"/>
  <c r="I4246" i="29"/>
  <c r="I4245" i="29"/>
  <c r="I4244" i="29"/>
  <c r="I4243" i="29"/>
  <c r="I4242" i="29"/>
  <c r="I4241" i="29"/>
  <c r="I4240" i="29"/>
  <c r="I4239" i="29"/>
  <c r="I4238" i="29"/>
  <c r="I4233" i="29"/>
  <c r="I4232" i="29"/>
  <c r="I4230" i="29"/>
  <c r="I4237" i="29"/>
  <c r="I4236" i="29"/>
  <c r="I4235" i="29"/>
  <c r="I4229" i="29"/>
  <c r="I4228" i="29"/>
  <c r="I4234" i="29"/>
  <c r="I4227" i="29"/>
  <c r="I4226" i="29"/>
  <c r="I4225" i="29"/>
  <c r="I4224" i="29"/>
  <c r="I4223" i="29"/>
  <c r="I4222" i="29"/>
  <c r="I4221" i="29"/>
  <c r="I4220" i="29"/>
  <c r="I4231" i="29"/>
  <c r="I4218" i="29"/>
  <c r="I4211" i="29"/>
  <c r="I4210" i="29"/>
  <c r="I4216" i="29"/>
  <c r="I4219" i="29"/>
  <c r="I4217" i="29"/>
  <c r="I4215" i="29"/>
  <c r="I4214" i="29"/>
  <c r="I4213" i="29"/>
  <c r="I4212" i="29"/>
  <c r="I4209" i="29"/>
  <c r="I4208" i="29"/>
  <c r="I4207" i="29"/>
  <c r="I4206" i="29"/>
  <c r="I4205" i="29"/>
  <c r="I4195" i="29"/>
  <c r="I4194" i="29"/>
  <c r="I4193" i="29"/>
  <c r="I4192" i="29"/>
  <c r="I4191" i="29"/>
  <c r="I4190" i="29"/>
  <c r="I4189" i="29"/>
  <c r="I4188" i="29"/>
  <c r="I4203" i="29"/>
  <c r="I4187" i="29"/>
  <c r="I4186" i="29"/>
  <c r="I4185" i="29"/>
  <c r="I4184" i="29"/>
  <c r="I4183" i="29"/>
  <c r="I4182" i="29"/>
  <c r="I4181" i="29"/>
  <c r="I4204" i="29"/>
  <c r="I4202" i="29"/>
  <c r="I4201" i="29"/>
  <c r="I4200" i="29"/>
  <c r="I4199" i="29"/>
  <c r="I4198" i="29"/>
  <c r="I4197" i="29"/>
  <c r="I4196" i="29"/>
  <c r="I4177" i="29"/>
  <c r="I4175" i="29"/>
  <c r="I4174" i="29"/>
  <c r="I4173" i="29"/>
  <c r="I4172" i="29"/>
  <c r="I4171" i="29"/>
  <c r="I4170" i="29"/>
  <c r="I4169" i="29"/>
  <c r="I4180" i="29"/>
  <c r="I4179" i="29"/>
  <c r="I4163" i="29"/>
  <c r="I4161" i="29"/>
  <c r="I4176" i="29"/>
  <c r="I4168" i="29"/>
  <c r="I4167" i="29"/>
  <c r="I4166" i="29"/>
  <c r="I4165" i="29"/>
  <c r="I4164" i="29"/>
  <c r="I4158" i="29"/>
  <c r="I4152" i="29"/>
  <c r="I4151" i="29"/>
  <c r="I4150" i="29"/>
  <c r="I4141" i="29"/>
  <c r="I4140" i="29"/>
  <c r="I4139" i="29"/>
  <c r="I4138" i="29"/>
  <c r="I4137" i="29"/>
  <c r="I4136" i="29"/>
  <c r="I4135" i="29"/>
  <c r="I4134" i="29"/>
  <c r="I4133" i="29"/>
  <c r="I4132" i="29"/>
  <c r="I4131" i="29"/>
  <c r="I4162" i="29"/>
  <c r="I4160" i="29"/>
  <c r="I4159" i="29"/>
  <c r="I4122" i="29"/>
  <c r="I4118" i="29"/>
  <c r="I4115" i="29"/>
  <c r="I4114" i="29"/>
  <c r="I4154" i="29"/>
  <c r="I4153" i="29"/>
  <c r="I4157" i="29"/>
  <c r="I4156" i="29"/>
  <c r="I4155" i="29"/>
  <c r="I4149" i="29"/>
  <c r="I4148" i="29"/>
  <c r="I4147" i="29"/>
  <c r="I4146" i="29"/>
  <c r="I4145" i="29"/>
  <c r="I4144" i="29"/>
  <c r="I4143" i="29"/>
  <c r="I4142" i="29"/>
  <c r="I4117" i="29"/>
  <c r="I4108" i="29"/>
  <c r="I4130" i="29"/>
  <c r="I4129" i="29"/>
  <c r="I4128" i="29"/>
  <c r="I4127" i="29"/>
  <c r="I4126" i="29"/>
  <c r="I4125" i="29"/>
  <c r="I4124" i="29"/>
  <c r="I4123" i="29"/>
  <c r="I4121" i="29"/>
  <c r="I4120" i="29"/>
  <c r="I4119" i="29"/>
  <c r="I4116" i="29"/>
  <c r="I4113" i="29"/>
  <c r="I4112" i="29"/>
  <c r="I4111" i="29"/>
  <c r="I4110" i="29"/>
  <c r="I4109" i="29"/>
  <c r="I4107" i="29"/>
  <c r="I4106" i="29"/>
  <c r="I4105" i="29"/>
  <c r="I4104" i="29"/>
  <c r="I4103" i="29"/>
  <c r="I4102" i="29"/>
  <c r="I4101" i="29"/>
  <c r="I4100" i="29"/>
  <c r="I4093" i="29"/>
  <c r="I4082" i="29"/>
  <c r="I4081" i="29"/>
  <c r="I4099" i="29"/>
  <c r="I4098" i="29"/>
  <c r="I4097" i="29"/>
  <c r="I4096" i="29"/>
  <c r="I4095" i="29"/>
  <c r="I4094" i="29"/>
  <c r="I4091" i="29"/>
  <c r="I4090" i="29"/>
  <c r="I4089" i="29"/>
  <c r="I4088" i="29"/>
  <c r="I4087" i="29"/>
  <c r="I4086" i="29"/>
  <c r="I4085" i="29"/>
  <c r="I4084" i="29"/>
  <c r="I4083" i="29"/>
  <c r="I4080" i="29"/>
  <c r="I4079" i="29"/>
  <c r="I4078" i="29"/>
  <c r="I4092" i="29"/>
  <c r="I4077" i="29"/>
  <c r="I4076" i="29"/>
  <c r="I4075" i="29"/>
  <c r="I4074" i="29"/>
  <c r="I4066" i="29"/>
  <c r="I4073" i="29"/>
  <c r="I4072" i="29"/>
  <c r="I4071" i="29"/>
  <c r="I4070" i="29"/>
  <c r="I4069" i="29"/>
  <c r="I4068" i="29"/>
  <c r="I4067" i="29"/>
  <c r="I4065" i="29"/>
  <c r="I4064" i="29"/>
  <c r="I4063" i="29"/>
  <c r="I4062" i="29"/>
  <c r="I4055" i="29"/>
  <c r="I4054" i="29"/>
  <c r="I4053" i="29"/>
  <c r="I4052" i="29"/>
  <c r="I4051" i="29"/>
  <c r="I4050" i="29"/>
  <c r="I4049" i="29"/>
  <c r="I4048" i="29"/>
  <c r="I4047" i="29"/>
  <c r="I4044" i="29"/>
  <c r="I4038" i="29"/>
  <c r="I4037" i="29"/>
  <c r="I4036" i="29"/>
  <c r="I4035" i="29"/>
  <c r="I4034" i="29"/>
  <c r="I4033" i="29"/>
  <c r="I4032" i="29"/>
  <c r="I4031" i="29"/>
  <c r="I4030" i="29"/>
  <c r="I4029" i="29"/>
  <c r="I4028" i="29"/>
  <c r="I4027" i="29"/>
  <c r="I4026" i="29"/>
  <c r="I4025" i="29"/>
  <c r="I4024" i="29"/>
  <c r="I4046" i="29"/>
  <c r="I4045" i="29"/>
  <c r="I4061" i="29"/>
  <c r="I4060" i="29"/>
  <c r="I4059" i="29"/>
  <c r="I4058" i="29"/>
  <c r="I4057" i="29"/>
  <c r="I4056" i="29"/>
  <c r="I4040" i="29"/>
  <c r="I4043" i="29"/>
  <c r="I4042" i="29"/>
  <c r="I4041" i="29"/>
  <c r="I4039" i="29"/>
  <c r="I4018" i="29"/>
  <c r="I4017" i="29"/>
  <c r="I4016" i="29"/>
  <c r="I4015" i="29"/>
  <c r="I4023" i="29"/>
  <c r="I4022" i="29"/>
  <c r="I4021" i="29"/>
  <c r="I4020" i="29"/>
  <c r="I4019" i="29"/>
  <c r="I4013" i="29"/>
  <c r="I4012" i="29"/>
  <c r="I4014" i="29"/>
  <c r="I4011" i="29"/>
  <c r="I4010" i="29"/>
  <c r="I4006" i="29"/>
  <c r="I4009" i="29"/>
  <c r="I4008" i="29"/>
  <c r="I4005" i="29"/>
  <c r="I4004" i="29"/>
  <c r="I4003" i="29"/>
  <c r="I4002" i="29"/>
  <c r="I4001" i="29"/>
  <c r="I4000" i="29"/>
  <c r="I3999" i="29"/>
  <c r="I3998" i="29"/>
  <c r="I3997" i="29"/>
  <c r="I4007" i="29"/>
  <c r="I3996" i="29"/>
  <c r="I3991" i="29"/>
  <c r="I3990" i="29"/>
  <c r="I3995" i="29"/>
  <c r="I3994" i="29"/>
  <c r="I3993" i="29"/>
  <c r="I3992" i="29"/>
  <c r="I3989" i="29"/>
  <c r="I3988" i="29"/>
  <c r="I3984" i="29"/>
  <c r="I3983" i="29"/>
  <c r="I3982" i="29"/>
  <c r="I3980" i="29"/>
  <c r="I3979" i="29"/>
  <c r="I3987" i="29"/>
  <c r="I3986" i="29"/>
  <c r="I3985" i="29"/>
  <c r="I3978" i="29"/>
  <c r="I3977" i="29"/>
  <c r="I3976" i="29"/>
  <c r="I3975" i="29"/>
  <c r="I3974" i="29"/>
  <c r="I3973" i="29"/>
  <c r="I3981" i="29"/>
  <c r="I3962" i="29"/>
  <c r="I3961" i="29"/>
  <c r="I3960" i="29"/>
  <c r="I3972" i="29"/>
  <c r="I3971" i="29"/>
  <c r="I3970" i="29"/>
  <c r="I3969" i="29"/>
  <c r="I3968" i="29"/>
  <c r="I3967" i="29"/>
  <c r="I3966" i="29"/>
  <c r="I3965" i="29"/>
  <c r="I3964" i="29"/>
  <c r="I3963" i="29"/>
  <c r="I3959" i="29"/>
  <c r="I3958" i="29"/>
  <c r="I3957" i="29"/>
  <c r="I3956" i="29"/>
  <c r="I3955" i="29"/>
  <c r="I3954" i="29"/>
  <c r="I3952" i="29"/>
  <c r="I3953" i="29"/>
  <c r="I3946" i="29"/>
  <c r="I3945" i="29"/>
  <c r="I3951" i="29"/>
  <c r="I3950" i="29"/>
  <c r="I3949" i="29"/>
  <c r="I3948" i="29"/>
  <c r="I3947" i="29"/>
  <c r="I3944" i="29"/>
  <c r="I3940" i="29"/>
  <c r="I3939" i="29"/>
  <c r="I3938" i="29"/>
  <c r="I3937" i="29"/>
  <c r="I3942" i="29"/>
  <c r="I3941" i="29"/>
  <c r="I3936" i="29"/>
  <c r="I3943" i="29"/>
  <c r="I3934" i="29"/>
  <c r="I3933" i="29"/>
  <c r="I3935" i="29"/>
  <c r="I3922" i="29"/>
  <c r="I3932" i="29"/>
  <c r="I3931" i="29"/>
  <c r="I3930" i="29"/>
  <c r="I3929" i="29"/>
  <c r="I3928" i="29"/>
  <c r="I3927" i="29"/>
  <c r="I3926" i="29"/>
  <c r="I3924" i="29"/>
  <c r="I3923" i="29"/>
  <c r="I3916" i="29"/>
  <c r="I3915" i="29"/>
  <c r="I3925" i="29"/>
  <c r="I3912" i="29"/>
  <c r="I3911" i="29"/>
  <c r="I3908" i="29"/>
  <c r="I3907" i="29"/>
  <c r="I3906" i="29"/>
  <c r="I3905" i="29"/>
  <c r="I3904" i="29"/>
  <c r="I3903" i="29"/>
  <c r="I3921" i="29"/>
  <c r="I3920" i="29"/>
  <c r="I3919" i="29"/>
  <c r="I3918" i="29"/>
  <c r="I3917" i="29"/>
  <c r="I3902" i="29"/>
  <c r="I3901" i="29"/>
  <c r="I3900" i="29"/>
  <c r="I3909" i="29"/>
  <c r="I3899" i="29"/>
  <c r="I3914" i="29"/>
  <c r="I3913" i="29"/>
  <c r="I3910" i="29"/>
  <c r="I3898" i="29"/>
  <c r="I3897" i="29"/>
  <c r="I3896" i="29"/>
  <c r="I3895" i="29"/>
  <c r="I3894" i="29"/>
  <c r="I3893" i="29"/>
  <c r="I3892" i="29"/>
  <c r="I3891" i="29"/>
  <c r="I3890" i="29"/>
  <c r="I3889" i="29"/>
  <c r="I3883" i="29"/>
  <c r="I3882" i="29"/>
  <c r="I3881" i="29"/>
  <c r="I3888" i="29"/>
  <c r="I3887" i="29"/>
  <c r="I3886" i="29"/>
  <c r="I3885" i="29"/>
  <c r="I3884" i="29"/>
  <c r="I3880" i="29"/>
  <c r="I3874" i="29"/>
  <c r="I3873" i="29"/>
  <c r="I3872" i="29"/>
  <c r="I3871" i="29"/>
  <c r="I3870" i="29"/>
  <c r="I3869" i="29"/>
  <c r="I3879" i="29"/>
  <c r="I3878" i="29"/>
  <c r="I3877" i="29"/>
  <c r="I3876" i="29"/>
  <c r="I3875" i="29"/>
  <c r="I3867" i="29"/>
  <c r="I3866" i="29"/>
  <c r="I3868" i="29"/>
  <c r="I3865" i="29"/>
  <c r="I3864" i="29"/>
  <c r="I3863" i="29"/>
  <c r="I3862" i="29"/>
  <c r="I3861" i="29"/>
  <c r="I3860" i="29"/>
  <c r="I3859" i="29"/>
  <c r="I3856" i="29"/>
  <c r="I3858" i="29"/>
  <c r="I3857" i="29"/>
  <c r="I3855" i="29"/>
  <c r="I3854" i="29"/>
  <c r="I3853" i="29"/>
  <c r="I3852" i="29"/>
  <c r="I3847" i="29"/>
  <c r="I3790" i="29"/>
  <c r="I3851" i="29"/>
  <c r="I3850" i="29"/>
  <c r="I3849" i="29"/>
  <c r="I3848" i="29"/>
  <c r="I3846" i="29"/>
  <c r="I3841" i="29"/>
  <c r="I3840" i="29"/>
  <c r="I3839" i="29"/>
  <c r="I3837" i="29"/>
  <c r="I3845" i="29"/>
  <c r="I3844" i="29"/>
  <c r="I3843" i="29"/>
  <c r="I3836" i="29"/>
  <c r="I3835" i="29"/>
  <c r="I3842" i="29"/>
  <c r="I3838" i="29"/>
  <c r="I3834" i="29"/>
  <c r="I3833" i="29"/>
  <c r="I3832" i="29"/>
  <c r="I3831" i="29"/>
  <c r="I3830" i="29"/>
  <c r="I3829" i="29"/>
  <c r="I3828" i="29"/>
  <c r="I3827" i="29"/>
  <c r="I3826" i="29"/>
  <c r="I3825" i="29"/>
  <c r="I3824" i="29"/>
  <c r="I3823" i="29"/>
  <c r="I3819" i="29"/>
  <c r="I3813" i="29"/>
  <c r="I3812" i="29"/>
  <c r="I3811" i="29"/>
  <c r="I3810" i="29"/>
  <c r="I3822" i="29"/>
  <c r="I3821" i="29"/>
  <c r="I3820" i="29"/>
  <c r="I3818" i="29"/>
  <c r="I3817" i="29"/>
  <c r="I3816" i="29"/>
  <c r="I3815" i="29"/>
  <c r="I3814" i="29"/>
  <c r="I3807" i="29"/>
  <c r="I3809" i="29"/>
  <c r="I3808" i="29"/>
  <c r="I3806" i="29"/>
  <c r="I3805" i="29"/>
  <c r="I3804" i="29"/>
  <c r="I3802" i="29"/>
  <c r="I3801" i="29"/>
  <c r="I3799" i="29"/>
  <c r="I3798" i="29"/>
  <c r="I3797" i="29"/>
  <c r="I3800" i="29"/>
  <c r="I3803" i="29"/>
  <c r="I3796" i="29"/>
  <c r="I3795" i="29"/>
  <c r="I3794" i="29"/>
  <c r="I3793" i="29"/>
  <c r="I3792" i="29"/>
  <c r="I3791" i="29"/>
  <c r="I3789" i="29"/>
  <c r="I3786" i="29"/>
  <c r="I3785" i="29"/>
  <c r="I3788" i="29"/>
  <c r="I3787" i="29"/>
  <c r="I3784" i="29"/>
  <c r="I3783" i="29"/>
  <c r="I3782" i="29"/>
  <c r="I3781" i="29"/>
  <c r="I3780" i="29"/>
  <c r="I3779" i="29"/>
  <c r="I3778" i="29"/>
  <c r="I3776" i="29"/>
  <c r="I3775" i="29"/>
  <c r="I3774" i="29"/>
  <c r="I3777" i="29"/>
  <c r="I3773" i="29"/>
  <c r="I3770" i="29"/>
  <c r="I3769" i="29"/>
  <c r="I3768" i="29"/>
  <c r="I3767" i="29"/>
  <c r="I3772" i="29"/>
  <c r="I3771" i="29"/>
  <c r="I3766" i="29"/>
  <c r="I3765" i="29"/>
  <c r="I3764" i="29"/>
  <c r="I3763" i="29"/>
  <c r="I3762" i="29"/>
  <c r="I3761" i="29"/>
  <c r="I3760" i="29"/>
  <c r="I3759" i="29"/>
  <c r="I3758" i="29"/>
  <c r="I3757" i="29"/>
  <c r="I648" i="29"/>
  <c r="I647" i="29"/>
  <c r="I633" i="29"/>
  <c r="I3756" i="29"/>
  <c r="I3753" i="29"/>
  <c r="I3752" i="29"/>
  <c r="I3751" i="29"/>
  <c r="I3750" i="29"/>
  <c r="I3749" i="29"/>
  <c r="I3748" i="29"/>
  <c r="I3747" i="29"/>
  <c r="I3755" i="29"/>
  <c r="I3754" i="29"/>
  <c r="I3746" i="29"/>
  <c r="I3743" i="29"/>
  <c r="I3742" i="29"/>
  <c r="I3741" i="29"/>
  <c r="I3740" i="29"/>
  <c r="I3745" i="29"/>
  <c r="I3744" i="29"/>
  <c r="I3737" i="29"/>
  <c r="I3739" i="29"/>
  <c r="I3738" i="29"/>
  <c r="I3736" i="29"/>
  <c r="I3735" i="29"/>
  <c r="I3734" i="29"/>
  <c r="I3733" i="29"/>
  <c r="I3732" i="29"/>
  <c r="I3731" i="29"/>
  <c r="I3730" i="29"/>
  <c r="I3725" i="29"/>
  <c r="I3724" i="29"/>
  <c r="I3723" i="29"/>
  <c r="I3729" i="29"/>
  <c r="I3728" i="29"/>
  <c r="I3727" i="29"/>
  <c r="I3726" i="29"/>
  <c r="I3722" i="29"/>
  <c r="I3721" i="29"/>
  <c r="I3714" i="29"/>
  <c r="I3713" i="29"/>
  <c r="I3712" i="29"/>
  <c r="I3711" i="29"/>
  <c r="I3720" i="29"/>
  <c r="I3719" i="29"/>
  <c r="I3718" i="29"/>
  <c r="I3717" i="29"/>
  <c r="I3716" i="29"/>
  <c r="I3715" i="29"/>
  <c r="I3710" i="29"/>
  <c r="I3709" i="29"/>
  <c r="I3708" i="29"/>
  <c r="I3706" i="29"/>
  <c r="I3702" i="29"/>
  <c r="I3701" i="29"/>
  <c r="I3700" i="29"/>
  <c r="I3707" i="29"/>
  <c r="I3705" i="29"/>
  <c r="I3704" i="29"/>
  <c r="I3703" i="29"/>
  <c r="I3699" i="29"/>
  <c r="I3698" i="29"/>
  <c r="I3697" i="29"/>
  <c r="I3696" i="29"/>
  <c r="I3695" i="29"/>
  <c r="I3694" i="29"/>
  <c r="I3681" i="29"/>
  <c r="I3680" i="29"/>
  <c r="I3679" i="29"/>
  <c r="I3678" i="29"/>
  <c r="I3688" i="29"/>
  <c r="I3677" i="29"/>
  <c r="I3676" i="29"/>
  <c r="I3675" i="29"/>
  <c r="I3693" i="29"/>
  <c r="I3692" i="29"/>
  <c r="I3691" i="29"/>
  <c r="I3690" i="29"/>
  <c r="I3689" i="29"/>
  <c r="I3687" i="29"/>
  <c r="I3686" i="29"/>
  <c r="I3685" i="29"/>
  <c r="I3684" i="29"/>
  <c r="I3683" i="29"/>
  <c r="I3669" i="29"/>
  <c r="I3682" i="29"/>
  <c r="I3673" i="29"/>
  <c r="I3672" i="29"/>
  <c r="I3671" i="29"/>
  <c r="I3670" i="29"/>
  <c r="I3674" i="29"/>
  <c r="I3668" i="29"/>
  <c r="I3667" i="29"/>
  <c r="I3666" i="29"/>
  <c r="I3657" i="29"/>
  <c r="I3656" i="29"/>
  <c r="I3655" i="29"/>
  <c r="I3665" i="29"/>
  <c r="I3664" i="29"/>
  <c r="I3663" i="29"/>
  <c r="I3662" i="29"/>
  <c r="I3661" i="29"/>
  <c r="I3660" i="29"/>
  <c r="I3659" i="29"/>
  <c r="I3658" i="29"/>
  <c r="I3654" i="29"/>
  <c r="I3653" i="29"/>
  <c r="I3652" i="29"/>
  <c r="I3647" i="29"/>
  <c r="I3646" i="29"/>
  <c r="I3645" i="29"/>
  <c r="I3644" i="29"/>
  <c r="I3643" i="29"/>
  <c r="I3642" i="29"/>
  <c r="I3641" i="29"/>
  <c r="I3640" i="29"/>
  <c r="I3651" i="29"/>
  <c r="I3650" i="29"/>
  <c r="I3649" i="29"/>
  <c r="I3648" i="29"/>
  <c r="I3638" i="29"/>
  <c r="I3637" i="29"/>
  <c r="I3636" i="29"/>
  <c r="I3635" i="29"/>
  <c r="I3634" i="29"/>
  <c r="I3631" i="29"/>
  <c r="I3630" i="29"/>
  <c r="I3639" i="29"/>
  <c r="I3633" i="29"/>
  <c r="I3632" i="29"/>
  <c r="I3629" i="29"/>
  <c r="I3628" i="29"/>
  <c r="I3627" i="29"/>
  <c r="I3626" i="29"/>
  <c r="I3625" i="29"/>
  <c r="I3624" i="29"/>
  <c r="I3622" i="29"/>
  <c r="I3617" i="29"/>
  <c r="I3616" i="29"/>
  <c r="I3623" i="29"/>
  <c r="I3615" i="29"/>
  <c r="I3614" i="29"/>
  <c r="I3621" i="29"/>
  <c r="I3620" i="29"/>
  <c r="I3619" i="29"/>
  <c r="I3618" i="29"/>
  <c r="I3613" i="29"/>
  <c r="I3612" i="29"/>
  <c r="I3609" i="29"/>
  <c r="I3611" i="29"/>
  <c r="I3559" i="29"/>
  <c r="I3560" i="29"/>
  <c r="I3561" i="29"/>
  <c r="I3562" i="29"/>
  <c r="I3610" i="29"/>
  <c r="I3115" i="29"/>
  <c r="I3114" i="29"/>
  <c r="I3563" i="29"/>
  <c r="I3564" i="29"/>
  <c r="I3565" i="29"/>
  <c r="I3566" i="29"/>
  <c r="I3567" i="29"/>
  <c r="I3568" i="29"/>
  <c r="I3569" i="29"/>
  <c r="I3570" i="29"/>
  <c r="I3571" i="29"/>
  <c r="I3572" i="29"/>
  <c r="I3573" i="29"/>
  <c r="I3574" i="29"/>
  <c r="I3575" i="29"/>
  <c r="I3576" i="29"/>
  <c r="I3577" i="29"/>
  <c r="I3578" i="29"/>
  <c r="I3579" i="29"/>
  <c r="I3580" i="29"/>
  <c r="I3581" i="29"/>
  <c r="I3582" i="29"/>
  <c r="I3583" i="29"/>
  <c r="I3584" i="29"/>
  <c r="I3585" i="29"/>
  <c r="I3586" i="29"/>
  <c r="I3558" i="29"/>
  <c r="I3557" i="29"/>
  <c r="I3556" i="29"/>
  <c r="I3554" i="29"/>
  <c r="I3587" i="29"/>
  <c r="I3588" i="29"/>
  <c r="I3589" i="29"/>
  <c r="I3590" i="29"/>
  <c r="I3591" i="29"/>
  <c r="I3592" i="29"/>
  <c r="I3593" i="29"/>
  <c r="I3594" i="29"/>
  <c r="I3595" i="29"/>
  <c r="I3596" i="29"/>
  <c r="I3597" i="29"/>
  <c r="I3598" i="29"/>
  <c r="I3599" i="29"/>
  <c r="I3600" i="29"/>
  <c r="I3601" i="29"/>
  <c r="I3602" i="29"/>
  <c r="I3603" i="29"/>
  <c r="I3604" i="29"/>
  <c r="I3605" i="29"/>
  <c r="I3606" i="29"/>
  <c r="I3607" i="29"/>
  <c r="I3608" i="29"/>
  <c r="I3555" i="29"/>
  <c r="I3546" i="29"/>
  <c r="I3545" i="29"/>
  <c r="I3544" i="29"/>
  <c r="I3542" i="29"/>
  <c r="I3540" i="29"/>
  <c r="I3539" i="29"/>
  <c r="I3553" i="29"/>
  <c r="I3552" i="29"/>
  <c r="I3551" i="29"/>
  <c r="I3550" i="29"/>
  <c r="I3549" i="29"/>
  <c r="I3548" i="29"/>
  <c r="I3547" i="29"/>
  <c r="I3543" i="29"/>
  <c r="I3541" i="29"/>
  <c r="I3538" i="29"/>
  <c r="I3536" i="29"/>
  <c r="I3535" i="29"/>
  <c r="I3537" i="29"/>
  <c r="I3534" i="29"/>
  <c r="I3533" i="29"/>
  <c r="I3528" i="29"/>
  <c r="I3527" i="29"/>
  <c r="I3526" i="29"/>
  <c r="I3525" i="29"/>
  <c r="I3524" i="29"/>
  <c r="I3523" i="29"/>
  <c r="I3522" i="29"/>
  <c r="I3532" i="29"/>
  <c r="I3531" i="29"/>
  <c r="I3530" i="29"/>
  <c r="I3529" i="29"/>
  <c r="I3521" i="29"/>
  <c r="I3520" i="29"/>
  <c r="I3519" i="29"/>
  <c r="I3518" i="29"/>
  <c r="I3517" i="29"/>
  <c r="I3507" i="29"/>
  <c r="I3513" i="29"/>
  <c r="I3512" i="29"/>
  <c r="I3511" i="29"/>
  <c r="I3510" i="29"/>
  <c r="I3509" i="29"/>
  <c r="I3506" i="29"/>
  <c r="I3498" i="29"/>
  <c r="I3516" i="29"/>
  <c r="I3515" i="29"/>
  <c r="I3514" i="29"/>
  <c r="I3494" i="29"/>
  <c r="I3492" i="29"/>
  <c r="I3491" i="29"/>
  <c r="I3508" i="29"/>
  <c r="I3487" i="29"/>
  <c r="I3505" i="29"/>
  <c r="I3504" i="29"/>
  <c r="I3503" i="29"/>
  <c r="I3502" i="29"/>
  <c r="I3501" i="29"/>
  <c r="I3500" i="29"/>
  <c r="I3499" i="29"/>
  <c r="I3497" i="29"/>
  <c r="I3496" i="29"/>
  <c r="I3495" i="29"/>
  <c r="I3493" i="29"/>
  <c r="I3490" i="29"/>
  <c r="I3489" i="29"/>
  <c r="I3488" i="29"/>
  <c r="I3486" i="29"/>
  <c r="I3485" i="29"/>
  <c r="I3484" i="29"/>
  <c r="I3483" i="29"/>
  <c r="I3482" i="29"/>
  <c r="I3481" i="29"/>
  <c r="I3480" i="29"/>
  <c r="I3479" i="29"/>
  <c r="I3478" i="29"/>
  <c r="I3477" i="29"/>
  <c r="I3476" i="29"/>
  <c r="I3475" i="29"/>
  <c r="I3474" i="29"/>
  <c r="I3473" i="29"/>
  <c r="I3472" i="29"/>
  <c r="I3471" i="29"/>
  <c r="I3470" i="29"/>
  <c r="I3469" i="29"/>
  <c r="I3468" i="29"/>
  <c r="I3467" i="29"/>
  <c r="I3466" i="29"/>
  <c r="I3465" i="29"/>
  <c r="I3464" i="29"/>
  <c r="I3462" i="29"/>
  <c r="I3459" i="29"/>
  <c r="I3457" i="29"/>
  <c r="I3456" i="29"/>
  <c r="I3455" i="29"/>
  <c r="I3463" i="29"/>
  <c r="I3461" i="29"/>
  <c r="I3460" i="29"/>
  <c r="I3454" i="29"/>
  <c r="I3458" i="29"/>
  <c r="I3453" i="29"/>
  <c r="I3452" i="29"/>
  <c r="I3451" i="29"/>
  <c r="I3450" i="29"/>
  <c r="I3449" i="29"/>
  <c r="I3446" i="29"/>
  <c r="I3445" i="29"/>
  <c r="I3444" i="29"/>
  <c r="I3448" i="29"/>
  <c r="I3447" i="29"/>
  <c r="I3443" i="29"/>
  <c r="I3440" i="29"/>
  <c r="I3439" i="29"/>
  <c r="I3438" i="29"/>
  <c r="I3442" i="29"/>
  <c r="I3441" i="29"/>
  <c r="I3437" i="29"/>
  <c r="I3430" i="29"/>
  <c r="I3428" i="29"/>
  <c r="I3427" i="29"/>
  <c r="I3426" i="29"/>
  <c r="I3425" i="29"/>
  <c r="I3424" i="29"/>
  <c r="I3423" i="29"/>
  <c r="I3436" i="29"/>
  <c r="I3435" i="29"/>
  <c r="I3434" i="29"/>
  <c r="I3433" i="29"/>
  <c r="I3432" i="29"/>
  <c r="I3431" i="29"/>
  <c r="I3429" i="29"/>
  <c r="I3420" i="29"/>
  <c r="I3419" i="29"/>
  <c r="I3422" i="29"/>
  <c r="I3421" i="29"/>
  <c r="I3418" i="29"/>
  <c r="I3417" i="29"/>
  <c r="I3416" i="29"/>
  <c r="I3415" i="29"/>
  <c r="I3414" i="29"/>
  <c r="I3413" i="29"/>
  <c r="I3408" i="29"/>
  <c r="I3407" i="29"/>
  <c r="I3412" i="29"/>
  <c r="I3411" i="29"/>
  <c r="I3405" i="29"/>
  <c r="I3404" i="29"/>
  <c r="I3403" i="29"/>
  <c r="I3402" i="29"/>
  <c r="I3401" i="29"/>
  <c r="I3394" i="29"/>
  <c r="I3393" i="29"/>
  <c r="I3392" i="29"/>
  <c r="I3391" i="29"/>
  <c r="I3410" i="29"/>
  <c r="I3409" i="29"/>
  <c r="I3406" i="29"/>
  <c r="I3400" i="29"/>
  <c r="I3399" i="29"/>
  <c r="I3398" i="29"/>
  <c r="I3397" i="29"/>
  <c r="I3388" i="29"/>
  <c r="I3387" i="29"/>
  <c r="I3386" i="29"/>
  <c r="I3385" i="29"/>
  <c r="I3384" i="29"/>
  <c r="I3383" i="29"/>
  <c r="I3396" i="29"/>
  <c r="I3395" i="29"/>
  <c r="I3390" i="29"/>
  <c r="I3389" i="29"/>
  <c r="I3382" i="29"/>
  <c r="I3381" i="29"/>
  <c r="I3380" i="29"/>
  <c r="I3371" i="29"/>
  <c r="I3366" i="29"/>
  <c r="I3365" i="29"/>
  <c r="I3364" i="29"/>
  <c r="I3379" i="29"/>
  <c r="I3378" i="29"/>
  <c r="I3377" i="29"/>
  <c r="I3376" i="29"/>
  <c r="I3375" i="29"/>
  <c r="I3374" i="29"/>
  <c r="I3363" i="29"/>
  <c r="I3373" i="29"/>
  <c r="I3372" i="29"/>
  <c r="I3370" i="29"/>
  <c r="I3369" i="29"/>
  <c r="I3368" i="29"/>
  <c r="I3367" i="29"/>
  <c r="I3355" i="29"/>
  <c r="I3362" i="29"/>
  <c r="I3361" i="29"/>
  <c r="I3360" i="29"/>
  <c r="I3359" i="29"/>
  <c r="I3358" i="29"/>
  <c r="I3357" i="29"/>
  <c r="I3356" i="29"/>
  <c r="I3353" i="29"/>
  <c r="I3352" i="29"/>
  <c r="I3354" i="29"/>
  <c r="I3348" i="29"/>
  <c r="I3347" i="29"/>
  <c r="I3350" i="29"/>
  <c r="I3349" i="29"/>
  <c r="I3344" i="29"/>
  <c r="I3343" i="29"/>
  <c r="I3342" i="29"/>
  <c r="I3351" i="29"/>
  <c r="I3346" i="29"/>
  <c r="I3345" i="29"/>
  <c r="I3340" i="29"/>
  <c r="I3339" i="29"/>
  <c r="I3338" i="29"/>
  <c r="I3337" i="29"/>
  <c r="I3336" i="29"/>
  <c r="I3335" i="29"/>
  <c r="I3334" i="29"/>
  <c r="I3333" i="29"/>
  <c r="I3329" i="29"/>
  <c r="I3328" i="29"/>
  <c r="I3327" i="29"/>
  <c r="I3341" i="29"/>
  <c r="I3332" i="29"/>
  <c r="I3331" i="29"/>
  <c r="I3330" i="29"/>
  <c r="I3326" i="29"/>
  <c r="I3325" i="29"/>
  <c r="I3324" i="29"/>
  <c r="I3323" i="29"/>
  <c r="I3322" i="29"/>
  <c r="I3321" i="29"/>
  <c r="I3320" i="29"/>
  <c r="I3319" i="29"/>
  <c r="I3318" i="29"/>
  <c r="I3317" i="29"/>
  <c r="I3315" i="29"/>
  <c r="I3314" i="29"/>
  <c r="I3316" i="29"/>
  <c r="I3313" i="29"/>
  <c r="I3312" i="29"/>
  <c r="I3311" i="29"/>
  <c r="I3310" i="29"/>
  <c r="I3309" i="29"/>
  <c r="I3307" i="29"/>
  <c r="I3306" i="29"/>
  <c r="I3305" i="29"/>
  <c r="I3304" i="29"/>
  <c r="I3301" i="29"/>
  <c r="I3303" i="29"/>
  <c r="I3302" i="29"/>
  <c r="I3300" i="29"/>
  <c r="I3299" i="29"/>
  <c r="I2298" i="29"/>
  <c r="I3308" i="29"/>
  <c r="I3298" i="29"/>
  <c r="I3297" i="29"/>
  <c r="I3292" i="29"/>
  <c r="I3291" i="29"/>
  <c r="I3289" i="29"/>
  <c r="I3288" i="29"/>
  <c r="I3287" i="29"/>
  <c r="I3286" i="29"/>
  <c r="I3285" i="29"/>
  <c r="I3296" i="29"/>
  <c r="I3294" i="29"/>
  <c r="I3293" i="29"/>
  <c r="I3290" i="29"/>
  <c r="I3284" i="29"/>
  <c r="I3283" i="29"/>
  <c r="I3295" i="29"/>
  <c r="I3281" i="29"/>
  <c r="I3273" i="29"/>
  <c r="I3272" i="29"/>
  <c r="I3271" i="29"/>
  <c r="I3269" i="29"/>
  <c r="I3280" i="29"/>
  <c r="I3279" i="29"/>
  <c r="I3278" i="29"/>
  <c r="I3277" i="29"/>
  <c r="I3276" i="29"/>
  <c r="I3275" i="29"/>
  <c r="I3268" i="29"/>
  <c r="I3267" i="29"/>
  <c r="I3259" i="29"/>
  <c r="I3258" i="29"/>
  <c r="I3282" i="29"/>
  <c r="I3274" i="29"/>
  <c r="I3250" i="29"/>
  <c r="I3249" i="29"/>
  <c r="I3248" i="29"/>
  <c r="I3270" i="29"/>
  <c r="I3266" i="29"/>
  <c r="I3265" i="29"/>
  <c r="I3264" i="29"/>
  <c r="I3263" i="29"/>
  <c r="I3262" i="29"/>
  <c r="I3261" i="29"/>
  <c r="I3260" i="29"/>
  <c r="I3257" i="29"/>
  <c r="I3256" i="29"/>
  <c r="I3255" i="29"/>
  <c r="I3254" i="29"/>
  <c r="I3253" i="29"/>
  <c r="I3252" i="29"/>
  <c r="I3251" i="29"/>
  <c r="I3247" i="29"/>
  <c r="I3237" i="29"/>
  <c r="I3236" i="29"/>
  <c r="I3235" i="29"/>
  <c r="I3246" i="29"/>
  <c r="I3245" i="29"/>
  <c r="I3244" i="29"/>
  <c r="I3243" i="29"/>
  <c r="I3242" i="29"/>
  <c r="I3241" i="29"/>
  <c r="I3240" i="29"/>
  <c r="I3239" i="29"/>
  <c r="I3238" i="29"/>
  <c r="I3234" i="29"/>
  <c r="I3232" i="29"/>
  <c r="I3231" i="29"/>
  <c r="I3230" i="29"/>
  <c r="I3229" i="29"/>
  <c r="I3233" i="29"/>
  <c r="I3228" i="29"/>
  <c r="I3227" i="29"/>
  <c r="I3226" i="29"/>
  <c r="I3225" i="29"/>
  <c r="I3224" i="29"/>
  <c r="I3215" i="29"/>
  <c r="I3220" i="29"/>
  <c r="I3219" i="29"/>
  <c r="I3218" i="29"/>
  <c r="I3217" i="29"/>
  <c r="I3216" i="29"/>
  <c r="I3223" i="29"/>
  <c r="I3222" i="29"/>
  <c r="I3221" i="29"/>
  <c r="I3207" i="29"/>
  <c r="I3206" i="29"/>
  <c r="I3214" i="29"/>
  <c r="I3213" i="29"/>
  <c r="I3212" i="29"/>
  <c r="I3211" i="29"/>
  <c r="I3210" i="29"/>
  <c r="I3209" i="29"/>
  <c r="I3208" i="29"/>
  <c r="I3205" i="29"/>
  <c r="I3204" i="29"/>
  <c r="I3203" i="29"/>
  <c r="I3202" i="29"/>
  <c r="I3194" i="29"/>
  <c r="I3193" i="29"/>
  <c r="I3192" i="29"/>
  <c r="I3191" i="29"/>
  <c r="I3190" i="29"/>
  <c r="I3189" i="29"/>
  <c r="I3187" i="29"/>
  <c r="I3186" i="29"/>
  <c r="I3201" i="29"/>
  <c r="I3200" i="29"/>
  <c r="I3199" i="29"/>
  <c r="I3198" i="29"/>
  <c r="I3197" i="29"/>
  <c r="I3196" i="29"/>
  <c r="I3195" i="29"/>
  <c r="I3188" i="29"/>
  <c r="I3185" i="29"/>
  <c r="I3184" i="29"/>
  <c r="I3183" i="29"/>
  <c r="I3182" i="29"/>
  <c r="I3176" i="29"/>
  <c r="I3175" i="29"/>
  <c r="I3173" i="29"/>
  <c r="I3172" i="29"/>
  <c r="I3171" i="29"/>
  <c r="I3169" i="29"/>
  <c r="I3168" i="29"/>
  <c r="I3167" i="29"/>
  <c r="I3166" i="29"/>
  <c r="I3165" i="29"/>
  <c r="I3164" i="29"/>
  <c r="I3174" i="29"/>
  <c r="I3181" i="29"/>
  <c r="I3180" i="29"/>
  <c r="I3179" i="29"/>
  <c r="I3178" i="29"/>
  <c r="I3177" i="29"/>
  <c r="I3160" i="29"/>
  <c r="I3170" i="29"/>
  <c r="I3161" i="29"/>
  <c r="I3163" i="29"/>
  <c r="I3162" i="29"/>
  <c r="I3156" i="29"/>
  <c r="I3159" i="29"/>
  <c r="I3158" i="29"/>
  <c r="I3157" i="29"/>
  <c r="I3151" i="29"/>
  <c r="I3150" i="29"/>
  <c r="I3149" i="29"/>
  <c r="I3148" i="29"/>
  <c r="I3147" i="29"/>
  <c r="I3155" i="29"/>
  <c r="I3154" i="29"/>
  <c r="I3153" i="29"/>
  <c r="I3152" i="29"/>
  <c r="I3145" i="29"/>
  <c r="I3138" i="29"/>
  <c r="I3137" i="29"/>
  <c r="I3146" i="29"/>
  <c r="I3139" i="29"/>
  <c r="I3132" i="29"/>
  <c r="I3131" i="29"/>
  <c r="I3144" i="29"/>
  <c r="I3143" i="29"/>
  <c r="I3142" i="29"/>
  <c r="I3141" i="29"/>
  <c r="I3140" i="29"/>
  <c r="I3126" i="29"/>
  <c r="I3125" i="29"/>
  <c r="I3124" i="29"/>
  <c r="I3136" i="29"/>
  <c r="I3135" i="29"/>
  <c r="I3134" i="29"/>
  <c r="I3133" i="29"/>
  <c r="I3122" i="29"/>
  <c r="I3121" i="29"/>
  <c r="I3130" i="29"/>
  <c r="I3129" i="29"/>
  <c r="I3128" i="29"/>
  <c r="I3127" i="29"/>
  <c r="I3123" i="29"/>
  <c r="I3120" i="29"/>
  <c r="I3119" i="29"/>
  <c r="I3117" i="29"/>
  <c r="I3116" i="29"/>
  <c r="I3112" i="29"/>
  <c r="I3111" i="29"/>
  <c r="I3102" i="29"/>
  <c r="I3101" i="29"/>
  <c r="I3100" i="29"/>
  <c r="I3099" i="29"/>
  <c r="I3098" i="29"/>
  <c r="I3095" i="29"/>
  <c r="I3094" i="29"/>
  <c r="I3093" i="29"/>
  <c r="I3080" i="29"/>
  <c r="I3110" i="29"/>
  <c r="I3118" i="29"/>
  <c r="I3113" i="29"/>
  <c r="I3109" i="29"/>
  <c r="I3108" i="29"/>
  <c r="I3107" i="29"/>
  <c r="I3106" i="29"/>
  <c r="I3105" i="29"/>
  <c r="I3104" i="29"/>
  <c r="I3103" i="29"/>
  <c r="I3097" i="29"/>
  <c r="I3096" i="29"/>
  <c r="I3092" i="29"/>
  <c r="I3091" i="29"/>
  <c r="I3090" i="29"/>
  <c r="I3089" i="29"/>
  <c r="I3088" i="29"/>
  <c r="I3087" i="29"/>
  <c r="I3072" i="29"/>
  <c r="I3071" i="29"/>
  <c r="I3070" i="29"/>
  <c r="I3069" i="29"/>
  <c r="I3068" i="29"/>
  <c r="I3086" i="29"/>
  <c r="I3085" i="29"/>
  <c r="I3084" i="29"/>
  <c r="I3083" i="29"/>
  <c r="I3082" i="29"/>
  <c r="I3081" i="29"/>
  <c r="I3079" i="29"/>
  <c r="I3078" i="29"/>
  <c r="I3067" i="29"/>
  <c r="I3077" i="29"/>
  <c r="I3076" i="29"/>
  <c r="I3075" i="29"/>
  <c r="I3074" i="29"/>
  <c r="I3073" i="29"/>
  <c r="I3066" i="29"/>
  <c r="I3065" i="29"/>
  <c r="I3064" i="29"/>
  <c r="I3063" i="29"/>
  <c r="I3062" i="29"/>
  <c r="I3061" i="29"/>
  <c r="I3054" i="29"/>
  <c r="I3053" i="29"/>
  <c r="I3052" i="29"/>
  <c r="I3051" i="29"/>
  <c r="I3050" i="29"/>
  <c r="I3049" i="29"/>
  <c r="I3048" i="29"/>
  <c r="I3060" i="29"/>
  <c r="I3059" i="29"/>
  <c r="I3058" i="29"/>
  <c r="I3057" i="29"/>
  <c r="I3056" i="29"/>
  <c r="I3055" i="29"/>
  <c r="I3045" i="29"/>
  <c r="I3044" i="29"/>
  <c r="I3043" i="29"/>
  <c r="I3042" i="29"/>
  <c r="I3047" i="29"/>
  <c r="I3040" i="29"/>
  <c r="I3039" i="29"/>
  <c r="I3046" i="29"/>
  <c r="I3041" i="29"/>
  <c r="I3038" i="29"/>
  <c r="I3037" i="29"/>
  <c r="I3036" i="29"/>
  <c r="I3035" i="29"/>
  <c r="I3028" i="29"/>
  <c r="I3034" i="29"/>
  <c r="I3033" i="29"/>
  <c r="I3032" i="29"/>
  <c r="I3031" i="29"/>
  <c r="I3027" i="29"/>
  <c r="I3026" i="29"/>
  <c r="I3025" i="29"/>
  <c r="I3024" i="29"/>
  <c r="I3023" i="29"/>
  <c r="I3030" i="29"/>
  <c r="I3029" i="29"/>
  <c r="I3022" i="29"/>
  <c r="I3021" i="29"/>
  <c r="I3020" i="29"/>
  <c r="I3017" i="29"/>
  <c r="I3016" i="29"/>
  <c r="I3019" i="29"/>
  <c r="I3018" i="29"/>
  <c r="I3012" i="29"/>
  <c r="I3009" i="29"/>
  <c r="I3003" i="29"/>
  <c r="I3002" i="29"/>
  <c r="I3001" i="29"/>
  <c r="I3000" i="29"/>
  <c r="I2999" i="29"/>
  <c r="I2998" i="29"/>
  <c r="I2993" i="29"/>
  <c r="I2992" i="29"/>
  <c r="I2991" i="29"/>
  <c r="I2990" i="29"/>
  <c r="I2989" i="29"/>
  <c r="I1681" i="29"/>
  <c r="I2987" i="29"/>
  <c r="I3015" i="29"/>
  <c r="I3014" i="29"/>
  <c r="I3013" i="29"/>
  <c r="I3011" i="29"/>
  <c r="I3010" i="29"/>
  <c r="I3005" i="29"/>
  <c r="I3004" i="29"/>
  <c r="I2996" i="29"/>
  <c r="I2994" i="29"/>
  <c r="I3008" i="29"/>
  <c r="I3007" i="29"/>
  <c r="I3006" i="29"/>
  <c r="I2997" i="29"/>
  <c r="I2995" i="29"/>
  <c r="I2984" i="29"/>
  <c r="I2983" i="29"/>
  <c r="I2988" i="29"/>
  <c r="I2986" i="29"/>
  <c r="I2985" i="29"/>
  <c r="I2982" i="29"/>
  <c r="I2981" i="29"/>
  <c r="I2980" i="29"/>
  <c r="I2973" i="29"/>
  <c r="I2972" i="29"/>
  <c r="I2971" i="29"/>
  <c r="I2970" i="29"/>
  <c r="I2969" i="29"/>
  <c r="I2979" i="29"/>
  <c r="I2978" i="29"/>
  <c r="I2977" i="29"/>
  <c r="I2976" i="29"/>
  <c r="I2975" i="29"/>
  <c r="I2974" i="29"/>
  <c r="I2968" i="29"/>
  <c r="I2964" i="29"/>
  <c r="I2967" i="29"/>
  <c r="I2966" i="29"/>
  <c r="I2965" i="29"/>
  <c r="I2963" i="29"/>
  <c r="I2962" i="29"/>
  <c r="I2961" i="29"/>
  <c r="I2960" i="29"/>
  <c r="I2959" i="29"/>
  <c r="I2958" i="29"/>
  <c r="I2957" i="29"/>
  <c r="I2956" i="29"/>
  <c r="I2954" i="29"/>
  <c r="I2955" i="29"/>
  <c r="I2953" i="29"/>
  <c r="I2951" i="29"/>
  <c r="I2950" i="29"/>
  <c r="I2949" i="29"/>
  <c r="I2948" i="29"/>
  <c r="I2947" i="29"/>
  <c r="I2946" i="29"/>
  <c r="I2945" i="29"/>
  <c r="I2944" i="29"/>
  <c r="I2943" i="29"/>
  <c r="I2952" i="29"/>
  <c r="I2942" i="29"/>
  <c r="I2941" i="29"/>
  <c r="I2940" i="29"/>
  <c r="I2939" i="29"/>
  <c r="I2938" i="29"/>
  <c r="I2937" i="29"/>
  <c r="I2936" i="29"/>
  <c r="I2935" i="29"/>
  <c r="I2934" i="29"/>
  <c r="I2927" i="29"/>
  <c r="I2926" i="29"/>
  <c r="I2925" i="29"/>
  <c r="I2933" i="29"/>
  <c r="I2932" i="29"/>
  <c r="I2931" i="29"/>
  <c r="I2930" i="29"/>
  <c r="I2929" i="29"/>
  <c r="I2928" i="29"/>
  <c r="I2923" i="29"/>
  <c r="I2922" i="29"/>
  <c r="I2921" i="29"/>
  <c r="I2920" i="29"/>
  <c r="I2919" i="29"/>
  <c r="I2918" i="29"/>
  <c r="I2917" i="29"/>
  <c r="I2915" i="29"/>
  <c r="I2916" i="29"/>
  <c r="I2924" i="29"/>
  <c r="I2912" i="29"/>
  <c r="I2914" i="29"/>
  <c r="I2913" i="29"/>
  <c r="I2911" i="29"/>
  <c r="I2910" i="29"/>
  <c r="I2903" i="29"/>
  <c r="I2896" i="29"/>
  <c r="I2895" i="29"/>
  <c r="I2894" i="29"/>
  <c r="I2893" i="29"/>
  <c r="I2899" i="29"/>
  <c r="I2898" i="29"/>
  <c r="I2897" i="29"/>
  <c r="I2909" i="29"/>
  <c r="I2908" i="29"/>
  <c r="I2907" i="29"/>
  <c r="I2906" i="29"/>
  <c r="I2905" i="29"/>
  <c r="I2904" i="29"/>
  <c r="I2902" i="29"/>
  <c r="I2892" i="29"/>
  <c r="I2891" i="29"/>
  <c r="I2890" i="29"/>
  <c r="I2889" i="29"/>
  <c r="I2888" i="29"/>
  <c r="I2901" i="29"/>
  <c r="I2887" i="29"/>
  <c r="I2900" i="29"/>
  <c r="I2886" i="29"/>
  <c r="I2885" i="29"/>
  <c r="I2884" i="29"/>
  <c r="I2872" i="29"/>
  <c r="I2871" i="29"/>
  <c r="I2862" i="29"/>
  <c r="I2861" i="29"/>
  <c r="I2860" i="29"/>
  <c r="I2859" i="29"/>
  <c r="I2858" i="29"/>
  <c r="I2883" i="29"/>
  <c r="I2882" i="29"/>
  <c r="I2881" i="29"/>
  <c r="I2880" i="29"/>
  <c r="I2879" i="29"/>
  <c r="I2878" i="29"/>
  <c r="I2877" i="29"/>
  <c r="I2876" i="29"/>
  <c r="I2875" i="29"/>
  <c r="I2874" i="29"/>
  <c r="I2873" i="29"/>
  <c r="I2870" i="29"/>
  <c r="I2869" i="29"/>
  <c r="I2868" i="29"/>
  <c r="I2867" i="29"/>
  <c r="I2866" i="29"/>
  <c r="I2865" i="29"/>
  <c r="I2864" i="29"/>
  <c r="I2863" i="29"/>
  <c r="I2855" i="29"/>
  <c r="I2854" i="29"/>
  <c r="I2857" i="29"/>
  <c r="I2856" i="29"/>
  <c r="I2849" i="29"/>
  <c r="I2848" i="29"/>
  <c r="I2847" i="29"/>
  <c r="I2846" i="29"/>
  <c r="I2853" i="29"/>
  <c r="I2852" i="29"/>
  <c r="I2851" i="29"/>
  <c r="I2850" i="29"/>
  <c r="I2844" i="29"/>
  <c r="I2843" i="29"/>
  <c r="I2842" i="29"/>
  <c r="I2841" i="29"/>
  <c r="I2840" i="29"/>
  <c r="I2838" i="29"/>
  <c r="I2837" i="29"/>
  <c r="I2845" i="29"/>
  <c r="I2839" i="29"/>
  <c r="I2836" i="29"/>
  <c r="I2833" i="29"/>
  <c r="I2830" i="29"/>
  <c r="I2829" i="29"/>
  <c r="I2835" i="29"/>
  <c r="I2834" i="29"/>
  <c r="I2832" i="29"/>
  <c r="I2831" i="29"/>
  <c r="I2828" i="29"/>
  <c r="I2827" i="29"/>
  <c r="I2826" i="29"/>
  <c r="I2825" i="29"/>
  <c r="I2824" i="29"/>
  <c r="I2823" i="29"/>
  <c r="I2822" i="29"/>
  <c r="I2821" i="29"/>
  <c r="I2813" i="29"/>
  <c r="I2820" i="29"/>
  <c r="I2819" i="29"/>
  <c r="I2818" i="29"/>
  <c r="I2817" i="29"/>
  <c r="I2816" i="29"/>
  <c r="I2815" i="29"/>
  <c r="I2814" i="29"/>
  <c r="I2812" i="29"/>
  <c r="I2810" i="29"/>
  <c r="I2803" i="29"/>
  <c r="I2802" i="29"/>
  <c r="I2801" i="29"/>
  <c r="I2811" i="29"/>
  <c r="I2805" i="29"/>
  <c r="I2804" i="29"/>
  <c r="I2800" i="29"/>
  <c r="I2794" i="29"/>
  <c r="I2793" i="29"/>
  <c r="I2792" i="29"/>
  <c r="I2791" i="29"/>
  <c r="I2790" i="29"/>
  <c r="I2789" i="29"/>
  <c r="I2788" i="29"/>
  <c r="I2787" i="29"/>
  <c r="I2786" i="29"/>
  <c r="I2785" i="29"/>
  <c r="I2784" i="29"/>
  <c r="I2783" i="29"/>
  <c r="I2782" i="29"/>
  <c r="I2809" i="29"/>
  <c r="I2808" i="29"/>
  <c r="I2807" i="29"/>
  <c r="I2806" i="29"/>
  <c r="I2777" i="29"/>
  <c r="I2775" i="29"/>
  <c r="I2774" i="29"/>
  <c r="I2773" i="29"/>
  <c r="I2772" i="29"/>
  <c r="I2799" i="29"/>
  <c r="I2798" i="29"/>
  <c r="I2797" i="29"/>
  <c r="I2796" i="29"/>
  <c r="I2795" i="29"/>
  <c r="I2781" i="29"/>
  <c r="I2780" i="29"/>
  <c r="I2779" i="29"/>
  <c r="I2778" i="29"/>
  <c r="I2771" i="29"/>
  <c r="I2770" i="29"/>
  <c r="I2769" i="29"/>
  <c r="I2776" i="29"/>
  <c r="I2768" i="29"/>
  <c r="I2767" i="29"/>
  <c r="I2766" i="29"/>
  <c r="I2765" i="29"/>
  <c r="I2754" i="29"/>
  <c r="I2753" i="29"/>
  <c r="I2752" i="29"/>
  <c r="I2751" i="29"/>
  <c r="I2750" i="29"/>
  <c r="I2747" i="29"/>
  <c r="I2746" i="29"/>
  <c r="I2745" i="29"/>
  <c r="I2744" i="29"/>
  <c r="I2743" i="29"/>
  <c r="I2742" i="29"/>
  <c r="I2741" i="29"/>
  <c r="I2740" i="29"/>
  <c r="I2738" i="29"/>
  <c r="I2737" i="29"/>
  <c r="I2736" i="29"/>
  <c r="I2735" i="29"/>
  <c r="I2733" i="29"/>
  <c r="I2764" i="29"/>
  <c r="I2749" i="29"/>
  <c r="I2748" i="29"/>
  <c r="I2763" i="29"/>
  <c r="I2762" i="29"/>
  <c r="I2761" i="29"/>
  <c r="I2760" i="29"/>
  <c r="I2759" i="29"/>
  <c r="I2758" i="29"/>
  <c r="I2757" i="29"/>
  <c r="I2756" i="29"/>
  <c r="I2755" i="29"/>
  <c r="I2739" i="29"/>
  <c r="I2734" i="29"/>
  <c r="I2732" i="29"/>
  <c r="I2729" i="29"/>
  <c r="I2728" i="29"/>
  <c r="I2727" i="29"/>
  <c r="I2726" i="29"/>
  <c r="I2722" i="29"/>
  <c r="I2721" i="29"/>
  <c r="I2720" i="29"/>
  <c r="I2719" i="29"/>
  <c r="I2718" i="29"/>
  <c r="I2717" i="29"/>
  <c r="I2716" i="29"/>
  <c r="I2715" i="29"/>
  <c r="I2714" i="29"/>
  <c r="I2713" i="29"/>
  <c r="I2712" i="29"/>
  <c r="I2711" i="29"/>
  <c r="I2697" i="29"/>
  <c r="I2692" i="29"/>
  <c r="I2691" i="29"/>
  <c r="I2690" i="29"/>
  <c r="I2689" i="29"/>
  <c r="I2688" i="29"/>
  <c r="I2687" i="29"/>
  <c r="I2725" i="29"/>
  <c r="I2724" i="29"/>
  <c r="I2723" i="29"/>
  <c r="I2710" i="29"/>
  <c r="I2709" i="29"/>
  <c r="I2708" i="29"/>
  <c r="I2686" i="29"/>
  <c r="I2731" i="29"/>
  <c r="I2730" i="29"/>
  <c r="I2707" i="29"/>
  <c r="I2706" i="29"/>
  <c r="I2705" i="29"/>
  <c r="I2704" i="29"/>
  <c r="I2703" i="29"/>
  <c r="I2702" i="29"/>
  <c r="I2701" i="29"/>
  <c r="I2700" i="29"/>
  <c r="I2699" i="29"/>
  <c r="I2698" i="29"/>
  <c r="I2696" i="29"/>
  <c r="I2695" i="29"/>
  <c r="I2694" i="29"/>
  <c r="I2693" i="29"/>
  <c r="I2685" i="29"/>
  <c r="I2684" i="29"/>
  <c r="I2677" i="29"/>
  <c r="I2676" i="29"/>
  <c r="I2675" i="29"/>
  <c r="I2674" i="29"/>
  <c r="I2673" i="29"/>
  <c r="I2682" i="29"/>
  <c r="I2681" i="29"/>
  <c r="I2679" i="29"/>
  <c r="I2678" i="29"/>
  <c r="I2672" i="29"/>
  <c r="I2683" i="29"/>
  <c r="I2680" i="29"/>
  <c r="I2668" i="29"/>
  <c r="I2667" i="29"/>
  <c r="I2666" i="29"/>
  <c r="I2663" i="29"/>
  <c r="I2662" i="29"/>
  <c r="I2661" i="29"/>
  <c r="I2671" i="29"/>
  <c r="I2670" i="29"/>
  <c r="I2669" i="29"/>
  <c r="I2665" i="29"/>
  <c r="I2664" i="29"/>
  <c r="I2660" i="29"/>
  <c r="I2658" i="29"/>
  <c r="I2656" i="29"/>
  <c r="I2650" i="29"/>
  <c r="I2649" i="29"/>
  <c r="I2648" i="29"/>
  <c r="I2644" i="29"/>
  <c r="I2643" i="29"/>
  <c r="I2642" i="29"/>
  <c r="I2641" i="29"/>
  <c r="I2640" i="29"/>
  <c r="I2639" i="29"/>
  <c r="I2638" i="29"/>
  <c r="I2659" i="29"/>
  <c r="I2657" i="29"/>
  <c r="I2655" i="29"/>
  <c r="I2654" i="29"/>
  <c r="I2651" i="29"/>
  <c r="I2647" i="29"/>
  <c r="I2646" i="29"/>
  <c r="I2645" i="29"/>
  <c r="I2637" i="29"/>
  <c r="I2636" i="29"/>
  <c r="I2635" i="29"/>
  <c r="I2653" i="29"/>
  <c r="I2652" i="29"/>
  <c r="I2634" i="29"/>
  <c r="I2633" i="29"/>
  <c r="I2632" i="29"/>
  <c r="I2630" i="29"/>
  <c r="I2620" i="29"/>
  <c r="I2619" i="29"/>
  <c r="I2618" i="29"/>
  <c r="I2617" i="29"/>
  <c r="I2631" i="29"/>
  <c r="I2629" i="29"/>
  <c r="I2628" i="29"/>
  <c r="I2627" i="29"/>
  <c r="I2626" i="29"/>
  <c r="I2625" i="29"/>
  <c r="I2624" i="29"/>
  <c r="I2623" i="29"/>
  <c r="I2622" i="29"/>
  <c r="I2621" i="29"/>
  <c r="I2616" i="29"/>
  <c r="I2615" i="29"/>
  <c r="I2605" i="29"/>
  <c r="I2604" i="29"/>
  <c r="I2602" i="29"/>
  <c r="I2609" i="29"/>
  <c r="I2608" i="29"/>
  <c r="I2593" i="29"/>
  <c r="I2592" i="29"/>
  <c r="I2591" i="29"/>
  <c r="I2590" i="29"/>
  <c r="I2589" i="29"/>
  <c r="I2614" i="29"/>
  <c r="I2613" i="29"/>
  <c r="I2612" i="29"/>
  <c r="I2607" i="29"/>
  <c r="I2606" i="29"/>
  <c r="I2603" i="29"/>
  <c r="I2601" i="29"/>
  <c r="I2600" i="29"/>
  <c r="I2599" i="29"/>
  <c r="I2598" i="29"/>
  <c r="I2597" i="29"/>
  <c r="I2596" i="29"/>
  <c r="I2595" i="29"/>
  <c r="I2594" i="29"/>
  <c r="I2584" i="29"/>
  <c r="I2583" i="29"/>
  <c r="I2582" i="29"/>
  <c r="I2581" i="29"/>
  <c r="I2588" i="29"/>
  <c r="I2587" i="29"/>
  <c r="I2586" i="29"/>
  <c r="I2585" i="29"/>
  <c r="I2580" i="29"/>
  <c r="I2576" i="29"/>
  <c r="I2575" i="29"/>
  <c r="I2574" i="29"/>
  <c r="I2568" i="29"/>
  <c r="I2567" i="29"/>
  <c r="I2566" i="29"/>
  <c r="I2565" i="29"/>
  <c r="I2564" i="29"/>
  <c r="I2563" i="29"/>
  <c r="I2577" i="29"/>
  <c r="I2562" i="29"/>
  <c r="I2557" i="29"/>
  <c r="I2556" i="29"/>
  <c r="I2555" i="29"/>
  <c r="I2579" i="29"/>
  <c r="I2578" i="29"/>
  <c r="I2573" i="29"/>
  <c r="I2572" i="29"/>
  <c r="I2571" i="29"/>
  <c r="I2570" i="29"/>
  <c r="I2569" i="29"/>
  <c r="I2561" i="29"/>
  <c r="I2560" i="29"/>
  <c r="I2559" i="29"/>
  <c r="I2558" i="29"/>
  <c r="I2554" i="29"/>
  <c r="I2550" i="29"/>
  <c r="I2553" i="29"/>
  <c r="I2552" i="29"/>
  <c r="I2551" i="29"/>
  <c r="I2547" i="29"/>
  <c r="I2546" i="29"/>
  <c r="I2545" i="29"/>
  <c r="I2549" i="29"/>
  <c r="I2548" i="29"/>
  <c r="I2544" i="29"/>
  <c r="I2543" i="29"/>
  <c r="I2538" i="29"/>
  <c r="I2537" i="29"/>
  <c r="I2527" i="29"/>
  <c r="I2110" i="29"/>
  <c r="I2534" i="29"/>
  <c r="I2533" i="29"/>
  <c r="I2532" i="29"/>
  <c r="I2531" i="29"/>
  <c r="I2530" i="29"/>
  <c r="I2529" i="29"/>
  <c r="I2542" i="29"/>
  <c r="I2541" i="29"/>
  <c r="I2540" i="29"/>
  <c r="I2539" i="29"/>
  <c r="I2536" i="29"/>
  <c r="I2535" i="29"/>
  <c r="I2528" i="29"/>
  <c r="I2526" i="29"/>
  <c r="I2525" i="29"/>
  <c r="I2524" i="29"/>
  <c r="I2521" i="29"/>
  <c r="I2523" i="29"/>
  <c r="I2522" i="29"/>
  <c r="I2519" i="29"/>
  <c r="I2518" i="29"/>
  <c r="I2517" i="29"/>
  <c r="I2514" i="29"/>
  <c r="I2513" i="29"/>
  <c r="I2512" i="29"/>
  <c r="I2511" i="29"/>
  <c r="I2510" i="29"/>
  <c r="I2509" i="29"/>
  <c r="I2508" i="29"/>
  <c r="I2507" i="29"/>
  <c r="I2506" i="29"/>
  <c r="I2520" i="29"/>
  <c r="I2237" i="29"/>
  <c r="I2516" i="29"/>
  <c r="I2515" i="29"/>
  <c r="I2504" i="29"/>
  <c r="I2503" i="29"/>
  <c r="I2502" i="29"/>
  <c r="I2501" i="29"/>
  <c r="I2496" i="29"/>
  <c r="I2495" i="29"/>
  <c r="I2505" i="29"/>
  <c r="I2497" i="29"/>
  <c r="I2484" i="29"/>
  <c r="I2483" i="29"/>
  <c r="I2482" i="29"/>
  <c r="I2481" i="29"/>
  <c r="I2480" i="29"/>
  <c r="I2479" i="29"/>
  <c r="I2478" i="29"/>
  <c r="I2477" i="29"/>
  <c r="I2500" i="29"/>
  <c r="I2499" i="29"/>
  <c r="I2498" i="29"/>
  <c r="I2494" i="29"/>
  <c r="I2493" i="29"/>
  <c r="I2492" i="29"/>
  <c r="I2491" i="29"/>
  <c r="I2490" i="29"/>
  <c r="I2489" i="29"/>
  <c r="I2488" i="29"/>
  <c r="I2487" i="29"/>
  <c r="I2486" i="29"/>
  <c r="I2485" i="29"/>
  <c r="I2476" i="29"/>
  <c r="I2475" i="29"/>
  <c r="I2466" i="29"/>
  <c r="I2464" i="29"/>
  <c r="I2467" i="29"/>
  <c r="I2465" i="29"/>
  <c r="I2463" i="29"/>
  <c r="I2462" i="29"/>
  <c r="I2472" i="29"/>
  <c r="I2471" i="29"/>
  <c r="I2460" i="29"/>
  <c r="I2459" i="29"/>
  <c r="I2458" i="29"/>
  <c r="I2457" i="29"/>
  <c r="I2456" i="29"/>
  <c r="I2455" i="29"/>
  <c r="I2454" i="29"/>
  <c r="I2453" i="29"/>
  <c r="I2452" i="29"/>
  <c r="I2451" i="29"/>
  <c r="I2461" i="29"/>
  <c r="I2474" i="29"/>
  <c r="I2473" i="29"/>
  <c r="I2470" i="29"/>
  <c r="I2469" i="29"/>
  <c r="I2468" i="29"/>
  <c r="I2450" i="29"/>
  <c r="I2449" i="29"/>
  <c r="I2448" i="29"/>
  <c r="I2447" i="29"/>
  <c r="I2446" i="29"/>
  <c r="I2445" i="29"/>
  <c r="I2444" i="29"/>
  <c r="I2443" i="29"/>
  <c r="I2442" i="29"/>
  <c r="I2441" i="29"/>
  <c r="I2440" i="29"/>
  <c r="I2439" i="29"/>
  <c r="I2436" i="29"/>
  <c r="I2435" i="29"/>
  <c r="I2426" i="29"/>
  <c r="I2425" i="29"/>
  <c r="I2424" i="29"/>
  <c r="I2423" i="29"/>
  <c r="I2419" i="29"/>
  <c r="I2418" i="29"/>
  <c r="I2416" i="29"/>
  <c r="I2415" i="29"/>
  <c r="I2414" i="29"/>
  <c r="I2413" i="29"/>
  <c r="I2411" i="29"/>
  <c r="I2438" i="29"/>
  <c r="I2437" i="29"/>
  <c r="I2428" i="29"/>
  <c r="I2427" i="29"/>
  <c r="I2412" i="29"/>
  <c r="I2409" i="29"/>
  <c r="I2408" i="29"/>
  <c r="I2402" i="29"/>
  <c r="I2433" i="29"/>
  <c r="I2432" i="29"/>
  <c r="I2431" i="29"/>
  <c r="I2430" i="29"/>
  <c r="I2429" i="29"/>
  <c r="I2420" i="29"/>
  <c r="I2417" i="29"/>
  <c r="I2404" i="29"/>
  <c r="I2401" i="29"/>
  <c r="I2434" i="29"/>
  <c r="I2422" i="29"/>
  <c r="I2421" i="29"/>
  <c r="I2407" i="29"/>
  <c r="I2406" i="29"/>
  <c r="I2398" i="29"/>
  <c r="I2395" i="29"/>
  <c r="I2405" i="29"/>
  <c r="I2397" i="29"/>
  <c r="I2396" i="29"/>
  <c r="I2394" i="29"/>
  <c r="I2393" i="29"/>
  <c r="I2410" i="29"/>
  <c r="I2014" i="29"/>
  <c r="I2392" i="29"/>
  <c r="I2391" i="29"/>
  <c r="I2390" i="29"/>
  <c r="I2403" i="29"/>
  <c r="I2400" i="29"/>
  <c r="I2389" i="29"/>
  <c r="I2388" i="29"/>
  <c r="I2399" i="29"/>
  <c r="I2386" i="29"/>
  <c r="I2384" i="29"/>
  <c r="I2383" i="29"/>
  <c r="I2382" i="29"/>
  <c r="I2381" i="29"/>
  <c r="I2380" i="29"/>
  <c r="I2379" i="29"/>
  <c r="I2378" i="29"/>
  <c r="I2377" i="29"/>
  <c r="I2387" i="29"/>
  <c r="I2385" i="29"/>
  <c r="I2376" i="29"/>
  <c r="I2375" i="29"/>
  <c r="I2374" i="29"/>
  <c r="I2373" i="29"/>
  <c r="I2372" i="29"/>
  <c r="I2371" i="29"/>
  <c r="I2370" i="29"/>
  <c r="I2368" i="29"/>
  <c r="I2365" i="29"/>
  <c r="I2364" i="29"/>
  <c r="I2369" i="29"/>
  <c r="I2367" i="29"/>
  <c r="I2366" i="29"/>
  <c r="I2363" i="29"/>
  <c r="I2362" i="29"/>
  <c r="I2361" i="29"/>
  <c r="I2360" i="29"/>
  <c r="I2352" i="29"/>
  <c r="I2351" i="29"/>
  <c r="I2350" i="29"/>
  <c r="I2349" i="29"/>
  <c r="I2348" i="29"/>
  <c r="I2347" i="29"/>
  <c r="I2345" i="29"/>
  <c r="I2343" i="29"/>
  <c r="I2342" i="29"/>
  <c r="I2341" i="29"/>
  <c r="I2332" i="29"/>
  <c r="I2359" i="29"/>
  <c r="I2358" i="29"/>
  <c r="I2357" i="29"/>
  <c r="I2356" i="29"/>
  <c r="I2355" i="29"/>
  <c r="I2354" i="29"/>
  <c r="I2353" i="29"/>
  <c r="I2344" i="29"/>
  <c r="I2334" i="29"/>
  <c r="I2346" i="29"/>
  <c r="I2340" i="29"/>
  <c r="I2337" i="29"/>
  <c r="I2336" i="29"/>
  <c r="I2335" i="29"/>
  <c r="I2333" i="29"/>
  <c r="I2331" i="29"/>
  <c r="I2330" i="29"/>
  <c r="I2329" i="29"/>
  <c r="I2328" i="29"/>
  <c r="I2327" i="29"/>
  <c r="I2326" i="29"/>
  <c r="I2339" i="29"/>
  <c r="I2338" i="29"/>
  <c r="I2325" i="29"/>
  <c r="I2324" i="29"/>
  <c r="I2321" i="29"/>
  <c r="I2320" i="29"/>
  <c r="I2323" i="29"/>
  <c r="I2322" i="29"/>
  <c r="I2307" i="29"/>
  <c r="I2306" i="29"/>
  <c r="I2305" i="29"/>
  <c r="I2304" i="29"/>
  <c r="I2303" i="29"/>
  <c r="I2301" i="29"/>
  <c r="I2319" i="29"/>
  <c r="I2318" i="29"/>
  <c r="I2311" i="29"/>
  <c r="I2310" i="29"/>
  <c r="I2309" i="29"/>
  <c r="I2308" i="29"/>
  <c r="I2317" i="29"/>
  <c r="I2316" i="29"/>
  <c r="I2315" i="29"/>
  <c r="I2314" i="29"/>
  <c r="I2313" i="29"/>
  <c r="I2312" i="29"/>
  <c r="I2302" i="29"/>
  <c r="I2297" i="29"/>
  <c r="I2295" i="29"/>
  <c r="I2291" i="29"/>
  <c r="I2300" i="29"/>
  <c r="I2299" i="29"/>
  <c r="I2296" i="29"/>
  <c r="I2294" i="29"/>
  <c r="I2293" i="29"/>
  <c r="I2292" i="29"/>
  <c r="I2290" i="29"/>
  <c r="I2289" i="29"/>
  <c r="I2288" i="29"/>
  <c r="I2278" i="29"/>
  <c r="I2287" i="29"/>
  <c r="I2286" i="29"/>
  <c r="I2285" i="29"/>
  <c r="I2284" i="29"/>
  <c r="I2283" i="29"/>
  <c r="I2282" i="29"/>
  <c r="I2281" i="29"/>
  <c r="I2280" i="29"/>
  <c r="I2279" i="29"/>
  <c r="I2277" i="29"/>
  <c r="I1862" i="29"/>
  <c r="I1863" i="29"/>
  <c r="I1864" i="29"/>
  <c r="I1865" i="29"/>
  <c r="I1866" i="29"/>
  <c r="I1867" i="29"/>
  <c r="I1868" i="29"/>
  <c r="I1869" i="29"/>
  <c r="I2276" i="29"/>
  <c r="I2275" i="29"/>
  <c r="I2274" i="29"/>
  <c r="I2273" i="29"/>
  <c r="I2264" i="29"/>
  <c r="I2272" i="29"/>
  <c r="I2271" i="29"/>
  <c r="I2270" i="29"/>
  <c r="I2269" i="29"/>
  <c r="I2262" i="29"/>
  <c r="I2261" i="29"/>
  <c r="I2260" i="29"/>
  <c r="I2259" i="29"/>
  <c r="I2258" i="29"/>
  <c r="I2256" i="29"/>
  <c r="I2255" i="29"/>
  <c r="I694" i="29"/>
  <c r="I2238" i="29"/>
  <c r="I2268" i="29"/>
  <c r="I2267" i="29"/>
  <c r="I2263" i="29"/>
  <c r="I2239" i="29"/>
  <c r="I2266" i="29"/>
  <c r="I2265" i="29"/>
  <c r="I2254" i="29"/>
  <c r="I2240" i="29"/>
  <c r="I2229" i="29"/>
  <c r="I2227" i="29"/>
  <c r="I2220" i="29"/>
  <c r="I2219" i="29"/>
  <c r="I2218" i="29"/>
  <c r="I2217" i="29"/>
  <c r="I2216" i="29"/>
  <c r="I2257" i="29"/>
  <c r="I2253" i="29"/>
  <c r="I2252" i="29"/>
  <c r="I2251" i="29"/>
  <c r="I2250" i="29"/>
  <c r="I2249" i="29"/>
  <c r="I2248" i="29"/>
  <c r="I2247" i="29"/>
  <c r="I2246" i="29"/>
  <c r="I2245" i="29"/>
  <c r="I2244" i="29"/>
  <c r="I2243" i="29"/>
  <c r="I2242" i="29"/>
  <c r="I2241" i="29"/>
  <c r="I2236" i="29"/>
  <c r="I2235" i="29"/>
  <c r="I2234" i="29"/>
  <c r="I2233" i="29"/>
  <c r="I2232" i="29"/>
  <c r="I2231" i="29"/>
  <c r="I2230" i="29"/>
  <c r="I2228" i="29"/>
  <c r="I2223" i="29"/>
  <c r="I2226" i="29"/>
  <c r="I2225" i="29"/>
  <c r="I2224" i="29"/>
  <c r="I2222" i="29"/>
  <c r="I2221" i="29"/>
  <c r="I2215" i="29"/>
  <c r="I2211" i="29"/>
  <c r="I2210" i="29"/>
  <c r="I2209" i="29"/>
  <c r="I2208" i="29"/>
  <c r="I2207" i="29"/>
  <c r="I2206" i="29"/>
  <c r="I2205" i="29"/>
  <c r="I2214" i="29"/>
  <c r="I2213" i="29"/>
  <c r="I2212" i="29"/>
  <c r="I2204" i="29"/>
  <c r="I2181" i="29"/>
  <c r="I2180" i="29"/>
  <c r="I2179" i="29"/>
  <c r="I2201" i="29"/>
  <c r="I2200" i="29"/>
  <c r="I2199" i="29"/>
  <c r="I2198" i="29"/>
  <c r="I2197" i="29"/>
  <c r="I2196" i="29"/>
  <c r="I2203" i="29"/>
  <c r="I2202" i="29"/>
  <c r="I2195" i="29"/>
  <c r="I2192" i="29"/>
  <c r="I2187" i="29"/>
  <c r="I2186" i="29"/>
  <c r="I2185" i="29"/>
  <c r="I2184" i="29"/>
  <c r="I2183" i="29"/>
  <c r="I2182" i="29"/>
  <c r="I2188" i="29"/>
  <c r="I2194" i="29"/>
  <c r="I2193" i="29"/>
  <c r="I2191" i="29"/>
  <c r="I2190" i="29"/>
  <c r="I2189" i="29"/>
  <c r="I2178" i="29"/>
  <c r="I2177" i="29"/>
  <c r="I2176" i="29"/>
  <c r="I2175" i="29"/>
  <c r="I2174" i="29"/>
  <c r="I2173" i="29"/>
  <c r="I2172" i="29"/>
  <c r="I2171" i="29"/>
  <c r="I2170" i="29"/>
  <c r="I2169" i="29"/>
  <c r="I2168" i="29"/>
  <c r="I2163" i="29"/>
  <c r="I2162" i="29"/>
  <c r="I2161" i="29"/>
  <c r="I2167" i="29"/>
  <c r="I2155" i="29"/>
  <c r="I2154" i="29"/>
  <c r="I2153" i="29"/>
  <c r="I2166" i="29"/>
  <c r="I2157" i="29"/>
  <c r="I2156" i="29"/>
  <c r="I2136" i="29"/>
  <c r="I2135" i="29"/>
  <c r="I2165" i="29"/>
  <c r="I2164" i="29"/>
  <c r="I2160" i="29"/>
  <c r="I2159" i="29"/>
  <c r="I2144" i="29"/>
  <c r="I2143" i="29"/>
  <c r="I2142" i="29"/>
  <c r="I2141" i="29"/>
  <c r="I2140" i="29"/>
  <c r="I2139" i="29"/>
  <c r="I2138" i="29"/>
  <c r="I2137" i="29"/>
  <c r="I2133" i="29"/>
  <c r="I2158" i="29"/>
  <c r="I2150" i="29"/>
  <c r="I2149" i="29"/>
  <c r="I2148" i="29"/>
  <c r="I2147" i="29"/>
  <c r="I2146" i="29"/>
  <c r="I2145" i="29"/>
  <c r="I2134" i="29"/>
  <c r="I2152" i="29"/>
  <c r="I2151" i="29"/>
  <c r="I2132" i="29"/>
  <c r="I2131" i="29"/>
  <c r="I2130" i="29"/>
  <c r="I2129" i="29"/>
  <c r="I2128" i="29"/>
  <c r="I2127" i="29"/>
  <c r="I2126" i="29"/>
  <c r="I2125" i="29"/>
  <c r="I2124" i="29"/>
  <c r="I2123" i="29"/>
  <c r="I2122" i="29"/>
  <c r="I2121" i="29"/>
  <c r="I2120" i="29"/>
  <c r="I2119" i="29"/>
  <c r="I2118" i="29"/>
  <c r="I2117" i="29"/>
  <c r="I2116" i="29"/>
  <c r="I2115" i="29"/>
  <c r="I2114" i="29"/>
  <c r="I2113" i="29"/>
  <c r="I2112" i="29"/>
  <c r="I2111" i="29"/>
  <c r="I2109" i="29"/>
  <c r="I2105" i="29"/>
  <c r="I2108" i="29"/>
  <c r="I2107" i="29"/>
  <c r="I2104" i="29"/>
  <c r="I2103" i="29"/>
  <c r="I2102" i="29"/>
  <c r="I2101" i="29"/>
  <c r="I2100" i="29"/>
  <c r="I2098" i="29"/>
  <c r="I2096" i="29"/>
  <c r="I2094" i="29"/>
  <c r="I2093" i="29"/>
  <c r="I2090" i="29"/>
  <c r="I2106" i="29"/>
  <c r="I2087" i="29"/>
  <c r="I2099" i="29"/>
  <c r="I2097" i="29"/>
  <c r="I2095" i="29"/>
  <c r="I2092" i="29"/>
  <c r="I2091" i="29"/>
  <c r="I2089" i="29"/>
  <c r="I2086" i="29"/>
  <c r="I2085" i="29"/>
  <c r="I2081" i="29"/>
  <c r="I2079" i="29"/>
  <c r="I2078" i="29"/>
  <c r="I2088" i="29"/>
  <c r="I2084" i="29"/>
  <c r="I2083" i="29"/>
  <c r="I2082" i="29"/>
  <c r="I2080" i="29"/>
  <c r="I2077" i="29"/>
  <c r="I2076" i="29"/>
  <c r="I2074" i="29"/>
  <c r="I2073" i="29"/>
  <c r="I2072" i="29"/>
  <c r="I2070" i="29"/>
  <c r="I2069" i="29"/>
  <c r="I2067" i="29"/>
  <c r="I2064" i="29"/>
  <c r="I2063" i="29"/>
  <c r="I2062" i="29"/>
  <c r="I2061" i="29"/>
  <c r="I2075" i="29"/>
  <c r="I2071" i="29"/>
  <c r="I2068" i="29"/>
  <c r="I2066" i="29"/>
  <c r="I2065" i="29"/>
  <c r="I2055" i="29"/>
  <c r="I2060" i="29"/>
  <c r="I2059" i="29"/>
  <c r="I2058" i="29"/>
  <c r="I2057" i="29"/>
  <c r="I2056" i="29"/>
  <c r="I2051" i="29"/>
  <c r="I2053" i="29"/>
  <c r="I2052" i="29"/>
  <c r="I2043" i="29"/>
  <c r="I2042" i="29"/>
  <c r="I2041" i="29"/>
  <c r="I2040" i="29"/>
  <c r="I2039" i="29"/>
  <c r="I2038" i="29"/>
  <c r="I2037" i="29"/>
  <c r="I2036" i="29"/>
  <c r="I2054" i="29"/>
  <c r="I2045" i="29"/>
  <c r="I2050" i="29"/>
  <c r="I2049" i="29"/>
  <c r="I2048" i="29"/>
  <c r="I2047" i="29"/>
  <c r="I2046" i="29"/>
  <c r="I2044" i="29"/>
  <c r="I2035" i="29"/>
  <c r="I2032" i="29"/>
  <c r="I2031" i="29"/>
  <c r="I2029" i="29"/>
  <c r="I2028" i="29"/>
  <c r="I2027" i="29"/>
  <c r="I689" i="29"/>
  <c r="I2025" i="29"/>
  <c r="I2024" i="29"/>
  <c r="I2034" i="29"/>
  <c r="I2033" i="29"/>
  <c r="I2030" i="29"/>
  <c r="I2026" i="29"/>
  <c r="I2023" i="29"/>
  <c r="I2022" i="29"/>
  <c r="I2021" i="29"/>
  <c r="I2020" i="29"/>
  <c r="I2019" i="29"/>
  <c r="I2018" i="29"/>
  <c r="I2017" i="29"/>
  <c r="I2016" i="29"/>
  <c r="I2015" i="29"/>
  <c r="I2007" i="29"/>
  <c r="I2006" i="29"/>
  <c r="I2005" i="29"/>
  <c r="I2013" i="29"/>
  <c r="I2012" i="29"/>
  <c r="I2011" i="29"/>
  <c r="I2010" i="29"/>
  <c r="I2009" i="29"/>
  <c r="I2008" i="29"/>
  <c r="I2004" i="29"/>
  <c r="I2003" i="29"/>
  <c r="I2002" i="29"/>
  <c r="I1998" i="29"/>
  <c r="I1997" i="29"/>
  <c r="I1996" i="29"/>
  <c r="I1993" i="29"/>
  <c r="I1992" i="29"/>
  <c r="I1991" i="29"/>
  <c r="I1990" i="29"/>
  <c r="I1989" i="29"/>
  <c r="I1988" i="29"/>
  <c r="I1995" i="29"/>
  <c r="I1986" i="29"/>
  <c r="I1983" i="29"/>
  <c r="I1982" i="29"/>
  <c r="I1980" i="29"/>
  <c r="I1979" i="29"/>
  <c r="I1978" i="29"/>
  <c r="I2001" i="29"/>
  <c r="I2000" i="29"/>
  <c r="I1999" i="29"/>
  <c r="I1994" i="29"/>
  <c r="I1987" i="29"/>
  <c r="I1985" i="29"/>
  <c r="I1984" i="29"/>
  <c r="I1977" i="29"/>
  <c r="I1976" i="29"/>
  <c r="I1975" i="29"/>
  <c r="I1981" i="29"/>
  <c r="I1974" i="29"/>
  <c r="I1967" i="29"/>
  <c r="I1966" i="29"/>
  <c r="I1965" i="29"/>
  <c r="I1964" i="29"/>
  <c r="I1963" i="29"/>
  <c r="I1962" i="29"/>
  <c r="I1961" i="29"/>
  <c r="I1960" i="29"/>
  <c r="I1959" i="29"/>
  <c r="I1958" i="29"/>
  <c r="I1946" i="29"/>
  <c r="I1945" i="29"/>
  <c r="I1941" i="29"/>
  <c r="I1957" i="29"/>
  <c r="I1956" i="29"/>
  <c r="I1955" i="29"/>
  <c r="I1973" i="29"/>
  <c r="I1972" i="29"/>
  <c r="I1971" i="29"/>
  <c r="I1970" i="29"/>
  <c r="I1969" i="29"/>
  <c r="I1968" i="29"/>
  <c r="I1954" i="29"/>
  <c r="I1953" i="29"/>
  <c r="I1952" i="29"/>
  <c r="I1951" i="29"/>
  <c r="I695" i="29"/>
  <c r="I1944" i="29"/>
  <c r="I1943" i="29"/>
  <c r="I1939" i="29"/>
  <c r="I1950" i="29"/>
  <c r="I1949" i="29"/>
  <c r="I1948" i="29"/>
  <c r="I1947" i="29"/>
  <c r="I1942" i="29"/>
  <c r="I1938" i="29"/>
  <c r="I1937" i="29"/>
  <c r="I1936" i="29"/>
  <c r="I1935" i="29"/>
  <c r="I1934" i="29"/>
  <c r="I1933" i="29"/>
  <c r="I1932" i="29"/>
  <c r="I1940" i="29"/>
  <c r="I1931" i="29"/>
  <c r="I1930" i="29"/>
  <c r="I1928" i="29"/>
  <c r="I1927" i="29"/>
  <c r="I1926" i="29"/>
  <c r="I1925" i="29"/>
  <c r="I1916" i="29"/>
  <c r="I1912" i="29"/>
  <c r="I1910" i="29"/>
  <c r="I1924" i="29"/>
  <c r="I1922" i="29"/>
  <c r="I1921" i="29"/>
  <c r="I1915" i="29"/>
  <c r="I1914" i="29"/>
  <c r="I1911" i="29"/>
  <c r="I1929" i="29"/>
  <c r="I1919" i="29"/>
  <c r="I1918" i="29"/>
  <c r="I1913" i="29"/>
  <c r="I1907" i="29"/>
  <c r="I1906" i="29"/>
  <c r="I1905" i="29"/>
  <c r="I1898" i="29"/>
  <c r="I1923" i="29"/>
  <c r="I1920" i="29"/>
  <c r="I1917" i="29"/>
  <c r="I1909" i="29"/>
  <c r="I1908" i="29"/>
  <c r="I1903" i="29"/>
  <c r="I1902" i="29"/>
  <c r="I1901" i="29"/>
  <c r="I1900" i="29"/>
  <c r="I1899" i="29"/>
  <c r="I1904" i="29"/>
  <c r="I1897" i="29"/>
  <c r="I1896" i="29"/>
  <c r="I1895" i="29"/>
  <c r="I1894" i="29"/>
  <c r="I1889" i="29"/>
  <c r="I1888" i="29"/>
  <c r="I1893" i="29"/>
  <c r="I1892" i="29"/>
  <c r="I1891" i="29"/>
  <c r="I1890" i="29"/>
  <c r="I473" i="29"/>
  <c r="I1737" i="29"/>
  <c r="I1887" i="29"/>
  <c r="I1886" i="29"/>
  <c r="I1885" i="29"/>
  <c r="I1884" i="29"/>
  <c r="I1883" i="29"/>
  <c r="I1875" i="29"/>
  <c r="I1861" i="29"/>
  <c r="I1860" i="29"/>
  <c r="I1859" i="29"/>
  <c r="I1881" i="29"/>
  <c r="I1880" i="29"/>
  <c r="I1879" i="29"/>
  <c r="I1878" i="29"/>
  <c r="I1877" i="29"/>
  <c r="I1876" i="29"/>
  <c r="I1874" i="29"/>
  <c r="I1873" i="29"/>
  <c r="I1872" i="29"/>
  <c r="I1871" i="29"/>
  <c r="I1857" i="29"/>
  <c r="I1882" i="29"/>
  <c r="I1870" i="29"/>
  <c r="I1856" i="29"/>
  <c r="I1855" i="29"/>
  <c r="I1854" i="29"/>
  <c r="I1853" i="29"/>
  <c r="I1845" i="29"/>
  <c r="I1858" i="29"/>
  <c r="I1831" i="29"/>
  <c r="I1815" i="29"/>
  <c r="I1814" i="29"/>
  <c r="I1813" i="29"/>
  <c r="I1812" i="29"/>
  <c r="I1811" i="29"/>
  <c r="I1810" i="29"/>
  <c r="I1808" i="29"/>
  <c r="I1806" i="29"/>
  <c r="I1804" i="29"/>
  <c r="I1803" i="29"/>
  <c r="I1852" i="29"/>
  <c r="I1851" i="29"/>
  <c r="I1850" i="29"/>
  <c r="I1849" i="29"/>
  <c r="I1848" i="29"/>
  <c r="I1847" i="29"/>
  <c r="I1846" i="29"/>
  <c r="I1844" i="29"/>
  <c r="I1843" i="29"/>
  <c r="I1842" i="29"/>
  <c r="I1841" i="29"/>
  <c r="I1840" i="29"/>
  <c r="I1839" i="29"/>
  <c r="I1838" i="29"/>
  <c r="I1837" i="29"/>
  <c r="I1836" i="29"/>
  <c r="I1835" i="29"/>
  <c r="I1834" i="29"/>
  <c r="I1833" i="29"/>
  <c r="I1832" i="29"/>
  <c r="I1830" i="29"/>
  <c r="I1829" i="29"/>
  <c r="I1828" i="29"/>
  <c r="I1827" i="29"/>
  <c r="I1826" i="29"/>
  <c r="I1825" i="29"/>
  <c r="I1824" i="29"/>
  <c r="I1823" i="29"/>
  <c r="I1822" i="29"/>
  <c r="I1821" i="29"/>
  <c r="I1820" i="29"/>
  <c r="I1819" i="29"/>
  <c r="I1818" i="29"/>
  <c r="I1817" i="29"/>
  <c r="I1816" i="29"/>
  <c r="I1789" i="29"/>
  <c r="I1788" i="29"/>
  <c r="I1787" i="29"/>
  <c r="I1786" i="29"/>
  <c r="I1783" i="29"/>
  <c r="I1782" i="29"/>
  <c r="I1781" i="29"/>
  <c r="I1779" i="29"/>
  <c r="I1776" i="29"/>
  <c r="I1809" i="29"/>
  <c r="I1774" i="29"/>
  <c r="I1773" i="29"/>
  <c r="I1772" i="29"/>
  <c r="I1767" i="29"/>
  <c r="I1766" i="29"/>
  <c r="I1764" i="29"/>
  <c r="I1763" i="29"/>
  <c r="I1762" i="29"/>
  <c r="I1761" i="29"/>
  <c r="I1760" i="29"/>
  <c r="I1755" i="29"/>
  <c r="I1754" i="29"/>
  <c r="I1753" i="29"/>
  <c r="I1752" i="29"/>
  <c r="I1751" i="29"/>
  <c r="I1750" i="29"/>
  <c r="I1807" i="29"/>
  <c r="I1805" i="29"/>
  <c r="I1802" i="29"/>
  <c r="I1801" i="29"/>
  <c r="I1800" i="29"/>
  <c r="I1799" i="29"/>
  <c r="I1798" i="29"/>
  <c r="I1797" i="29"/>
  <c r="I1796" i="29"/>
  <c r="I1795" i="29"/>
  <c r="I1794" i="29"/>
  <c r="I1793" i="29"/>
  <c r="I1792" i="29"/>
  <c r="I1791" i="29"/>
  <c r="I1790" i="29"/>
  <c r="I1757" i="29"/>
  <c r="I1756" i="29"/>
  <c r="I1785" i="29"/>
  <c r="I1784" i="29"/>
  <c r="I1780" i="29"/>
  <c r="I1778" i="29"/>
  <c r="I1777" i="29"/>
  <c r="I1775" i="29"/>
  <c r="I1736" i="29"/>
  <c r="I1771" i="29"/>
  <c r="I1770" i="29"/>
  <c r="I1769" i="29"/>
  <c r="I1768" i="29"/>
  <c r="I1759" i="29"/>
  <c r="I1758" i="29"/>
  <c r="I1463" i="29"/>
  <c r="I1462" i="29"/>
  <c r="I1461" i="29"/>
  <c r="I1765" i="29"/>
  <c r="I1742" i="29"/>
  <c r="I1741" i="29"/>
  <c r="I1740" i="29"/>
  <c r="I1739" i="29"/>
  <c r="I1738" i="29"/>
  <c r="I1455" i="29"/>
  <c r="I1454" i="29"/>
  <c r="I1453" i="29"/>
  <c r="I1452" i="29"/>
  <c r="I1707" i="29"/>
  <c r="I1706" i="29"/>
  <c r="I1705" i="29"/>
  <c r="I1704" i="29"/>
  <c r="I1749" i="29"/>
  <c r="I1748" i="29"/>
  <c r="I1747" i="29"/>
  <c r="I1746" i="29"/>
  <c r="I1708" i="29"/>
  <c r="I1745" i="29"/>
  <c r="I1744" i="29"/>
  <c r="I1743" i="29"/>
  <c r="I1703" i="29"/>
  <c r="I1701" i="29"/>
  <c r="I1699" i="29"/>
  <c r="I1698" i="29"/>
  <c r="I1694" i="29"/>
  <c r="I1692" i="29"/>
  <c r="I1735" i="29"/>
  <c r="I1733" i="29"/>
  <c r="I1730" i="29"/>
  <c r="I1727" i="29"/>
  <c r="I1719" i="29"/>
  <c r="I1715" i="29"/>
  <c r="I1713" i="29"/>
  <c r="I1712" i="29"/>
  <c r="I1689" i="29"/>
  <c r="I1717" i="29"/>
  <c r="I1716" i="29"/>
  <c r="I1711" i="29"/>
  <c r="I1710" i="29"/>
  <c r="I1709" i="29"/>
  <c r="I1734" i="29"/>
  <c r="I1732" i="29"/>
  <c r="I1731" i="29"/>
  <c r="I1729" i="29"/>
  <c r="I1728" i="29"/>
  <c r="I1726" i="29"/>
  <c r="I1725" i="29"/>
  <c r="I1724" i="29"/>
  <c r="I1723" i="29"/>
  <c r="I1722" i="29"/>
  <c r="I1721" i="29"/>
  <c r="I1720" i="29"/>
  <c r="I1718" i="29"/>
  <c r="I1702" i="29"/>
  <c r="I1700" i="29"/>
  <c r="I1697" i="29"/>
  <c r="I1696" i="29"/>
  <c r="I1695" i="29"/>
  <c r="I1693" i="29"/>
  <c r="I1691" i="29"/>
  <c r="I1690" i="29"/>
  <c r="I1688" i="29"/>
  <c r="I1687" i="29"/>
  <c r="I1686" i="29"/>
  <c r="I1685" i="29"/>
  <c r="I1684" i="29"/>
  <c r="I1683" i="29"/>
  <c r="I1682" i="29"/>
  <c r="I1680" i="29"/>
  <c r="I1674" i="29"/>
  <c r="I1673" i="29"/>
  <c r="I1672" i="29"/>
  <c r="I1671" i="29"/>
  <c r="I1670" i="29"/>
  <c r="I1669" i="29"/>
  <c r="I1679" i="29"/>
  <c r="I1678" i="29"/>
  <c r="I1677" i="29"/>
  <c r="I1676" i="29"/>
  <c r="I1675" i="29"/>
  <c r="I1659" i="29"/>
  <c r="I1658" i="29"/>
  <c r="I1668" i="29"/>
  <c r="I1667" i="29"/>
  <c r="I1642" i="29"/>
  <c r="I1640" i="29"/>
  <c r="I1639" i="29"/>
  <c r="I1637" i="29"/>
  <c r="I1635" i="29"/>
  <c r="I1634" i="29"/>
  <c r="I1633" i="29"/>
  <c r="I1632" i="29"/>
  <c r="I1631" i="29"/>
  <c r="I1666" i="29"/>
  <c r="I1665" i="29"/>
  <c r="I1568" i="29"/>
  <c r="I1567" i="29"/>
  <c r="I1661" i="29"/>
  <c r="I1660" i="29"/>
  <c r="I1556" i="29"/>
  <c r="I1657" i="29"/>
  <c r="I1656" i="29"/>
  <c r="I1655" i="29"/>
  <c r="I1654" i="29"/>
  <c r="I1653" i="29"/>
  <c r="I1652" i="29"/>
  <c r="I1651" i="29"/>
  <c r="I1650" i="29"/>
  <c r="I1649" i="29"/>
  <c r="I1648" i="29"/>
  <c r="I1647" i="29"/>
  <c r="I1646" i="29"/>
  <c r="I1641" i="29"/>
  <c r="I1664" i="29"/>
  <c r="I1663" i="29"/>
  <c r="I1662" i="29"/>
  <c r="I1643" i="29"/>
  <c r="I1638" i="29"/>
  <c r="I1636" i="29"/>
  <c r="I1623" i="29"/>
  <c r="I1622" i="29"/>
  <c r="I1618" i="29"/>
  <c r="I1616" i="29"/>
  <c r="I1615" i="29"/>
  <c r="I1614" i="29"/>
  <c r="I1645" i="29"/>
  <c r="I1644" i="29"/>
  <c r="I1610" i="29"/>
  <c r="I1609" i="29"/>
  <c r="I1608" i="29"/>
  <c r="I1607" i="29"/>
  <c r="I1606" i="29"/>
  <c r="I1605" i="29"/>
  <c r="I1604" i="29"/>
  <c r="I1603" i="29"/>
  <c r="I1602" i="29"/>
  <c r="I1601" i="29"/>
  <c r="I1600" i="29"/>
  <c r="I1599" i="29"/>
  <c r="I1598" i="29"/>
  <c r="I1597" i="29"/>
  <c r="I1630" i="29"/>
  <c r="I1629" i="29"/>
  <c r="I1628" i="29"/>
  <c r="I1627" i="29"/>
  <c r="I1626" i="29"/>
  <c r="I1625" i="29"/>
  <c r="I1624" i="29"/>
  <c r="I1621" i="29"/>
  <c r="I1620" i="29"/>
  <c r="I1619" i="29"/>
  <c r="I1617" i="29"/>
  <c r="I1613" i="29"/>
  <c r="I1565" i="29"/>
  <c r="I1611" i="29"/>
  <c r="I1612" i="29"/>
  <c r="I1596" i="29"/>
  <c r="I1595" i="29"/>
  <c r="I1594" i="29"/>
  <c r="I1593" i="29"/>
  <c r="I1592" i="29"/>
  <c r="I1591" i="29"/>
  <c r="I1590" i="29"/>
  <c r="I1589" i="29"/>
  <c r="I1588" i="29"/>
  <c r="I1587" i="29"/>
  <c r="I1586" i="29"/>
  <c r="I1585" i="29"/>
  <c r="I1584" i="29"/>
  <c r="I1583" i="29"/>
  <c r="I1582" i="29"/>
  <c r="I1714" i="29"/>
  <c r="I1581" i="29"/>
  <c r="I1580" i="29"/>
  <c r="I1579" i="29"/>
  <c r="I1570" i="29"/>
  <c r="I1569" i="29"/>
  <c r="I1564" i="29"/>
  <c r="I1551" i="29"/>
  <c r="I1550" i="29"/>
  <c r="I1549" i="29"/>
  <c r="I1548" i="29"/>
  <c r="I1547" i="29"/>
  <c r="I1546" i="29"/>
  <c r="I1542" i="29"/>
  <c r="I1541" i="29"/>
  <c r="I1578" i="29"/>
  <c r="I1577" i="29"/>
  <c r="I1576" i="29"/>
  <c r="I1575" i="29"/>
  <c r="I1574" i="29"/>
  <c r="I1573" i="29"/>
  <c r="I1572" i="29"/>
  <c r="I1563" i="29"/>
  <c r="I1562" i="29"/>
  <c r="I1561" i="29"/>
  <c r="I1560" i="29"/>
  <c r="I1559" i="29"/>
  <c r="I1558" i="29"/>
  <c r="I1571" i="29"/>
  <c r="I1566" i="29"/>
  <c r="I1557" i="29"/>
  <c r="I1555" i="29"/>
  <c r="I1552" i="29"/>
  <c r="I1554" i="29"/>
  <c r="I1553" i="29"/>
  <c r="I1545" i="29"/>
  <c r="I1544" i="29"/>
  <c r="I1543" i="29"/>
  <c r="I1540" i="29"/>
  <c r="I1539" i="29"/>
  <c r="I1538" i="29"/>
  <c r="I1537" i="29"/>
  <c r="I1536" i="29"/>
  <c r="I1535" i="29"/>
  <c r="I1534" i="29"/>
  <c r="I1533" i="29"/>
  <c r="I1532" i="29"/>
  <c r="I1531" i="29"/>
  <c r="I1530" i="29"/>
  <c r="I1529" i="29"/>
  <c r="I1528" i="29"/>
  <c r="I1527" i="29"/>
  <c r="I1526" i="29"/>
  <c r="I1525" i="29"/>
  <c r="I1523" i="29"/>
  <c r="I1522" i="29"/>
  <c r="I1521" i="29"/>
  <c r="I1520" i="29"/>
  <c r="I1519" i="29"/>
  <c r="I1518" i="29"/>
  <c r="I1517" i="29"/>
  <c r="I1516" i="29"/>
  <c r="I1524" i="29"/>
  <c r="I1511" i="29"/>
  <c r="I1510" i="29"/>
  <c r="I1509" i="29"/>
  <c r="I1508" i="29"/>
  <c r="I1507" i="29"/>
  <c r="I1515" i="29"/>
  <c r="I1514" i="29"/>
  <c r="I1513" i="29"/>
  <c r="I1512" i="29"/>
  <c r="I1503" i="29"/>
  <c r="I1502" i="29"/>
  <c r="I1500" i="29"/>
  <c r="I1499" i="29"/>
  <c r="I1498" i="29"/>
  <c r="I1497" i="29"/>
  <c r="I1496" i="29"/>
  <c r="I1495" i="29"/>
  <c r="I1492" i="29"/>
  <c r="I1491" i="29"/>
  <c r="I1488" i="29"/>
  <c r="I1487" i="29"/>
  <c r="I1486" i="29"/>
  <c r="I1485" i="29"/>
  <c r="I1484" i="29"/>
  <c r="I1477" i="29"/>
  <c r="I1506" i="29"/>
  <c r="I1505" i="29"/>
  <c r="I1490" i="29"/>
  <c r="I1489" i="29"/>
  <c r="I1483" i="29"/>
  <c r="I1471" i="29"/>
  <c r="I1470" i="29"/>
  <c r="I1469" i="29"/>
  <c r="I1468" i="29"/>
  <c r="I1467" i="29"/>
  <c r="I1466" i="29"/>
  <c r="I1465" i="29"/>
  <c r="I1504" i="29"/>
  <c r="I1501" i="29"/>
  <c r="I1494" i="29"/>
  <c r="I1493" i="29"/>
  <c r="I1464" i="29"/>
  <c r="I1460" i="29"/>
  <c r="I1459" i="29"/>
  <c r="I1458" i="29"/>
  <c r="I1482" i="29"/>
  <c r="I1481" i="29"/>
  <c r="I1480" i="29"/>
  <c r="I1479" i="29"/>
  <c r="I1478" i="29"/>
  <c r="I1476" i="29"/>
  <c r="I1475" i="29"/>
  <c r="I1474" i="29"/>
  <c r="I1473" i="29"/>
  <c r="I1472" i="29"/>
  <c r="I1457" i="29"/>
  <c r="I1456" i="29"/>
  <c r="I1451" i="29"/>
  <c r="I1450" i="29"/>
  <c r="I1449" i="29"/>
  <c r="I1448" i="29"/>
  <c r="I1412" i="29"/>
  <c r="I1413" i="29"/>
  <c r="I1414" i="29"/>
  <c r="I1415" i="29"/>
  <c r="I1416" i="29"/>
  <c r="I1417" i="29"/>
  <c r="I1418" i="29"/>
  <c r="I1419" i="29"/>
  <c r="I1420" i="29"/>
  <c r="I1421" i="29"/>
  <c r="I1434" i="29"/>
  <c r="I1432" i="29"/>
  <c r="I1443" i="29"/>
  <c r="I1442" i="29"/>
  <c r="I1441" i="29"/>
  <c r="I1440" i="29"/>
  <c r="I1439" i="29"/>
  <c r="I1438" i="29"/>
  <c r="I1435" i="29"/>
  <c r="I1433" i="29"/>
  <c r="I1431" i="29"/>
  <c r="I1430" i="29"/>
  <c r="I1429" i="29"/>
  <c r="I1428" i="29"/>
  <c r="I1427" i="29"/>
  <c r="I1426" i="29"/>
  <c r="I1423" i="29"/>
  <c r="I1447" i="29"/>
  <c r="I1446" i="29"/>
  <c r="I1445" i="29"/>
  <c r="I1444" i="29"/>
  <c r="I1437" i="29"/>
  <c r="I1436" i="29"/>
  <c r="I1425" i="29"/>
  <c r="I1424" i="29"/>
  <c r="I1422" i="29"/>
  <c r="I1411" i="29"/>
  <c r="I1410" i="29"/>
  <c r="I1409" i="29"/>
  <c r="I1408" i="29"/>
  <c r="I1401" i="29"/>
  <c r="I1400" i="29"/>
  <c r="I1399" i="29"/>
  <c r="I1395" i="29"/>
  <c r="I1407" i="29"/>
  <c r="I1406" i="29"/>
  <c r="I1405" i="29"/>
  <c r="I1402" i="29"/>
  <c r="I1398" i="29"/>
  <c r="I1397" i="29"/>
  <c r="I1394" i="29"/>
  <c r="I1393" i="29"/>
  <c r="I1383" i="29"/>
  <c r="I1382" i="29"/>
  <c r="I1381" i="29"/>
  <c r="I1380" i="29"/>
  <c r="I1375" i="29"/>
  <c r="I1374" i="29"/>
  <c r="I1373" i="29"/>
  <c r="I1388" i="29"/>
  <c r="I1387" i="29"/>
  <c r="I1386" i="29"/>
  <c r="I1385" i="29"/>
  <c r="I1384" i="29"/>
  <c r="I1372" i="29"/>
  <c r="I1371" i="29"/>
  <c r="I1365" i="29"/>
  <c r="I696" i="29"/>
  <c r="I1404" i="29"/>
  <c r="I1403" i="29"/>
  <c r="I1396" i="29"/>
  <c r="I1390" i="29"/>
  <c r="I1389" i="29"/>
  <c r="I1392" i="29"/>
  <c r="I1391" i="29"/>
  <c r="I1377" i="29"/>
  <c r="I1376" i="29"/>
  <c r="I1366" i="29"/>
  <c r="I1360" i="29"/>
  <c r="I1359" i="29"/>
  <c r="I1379" i="29"/>
  <c r="I1378" i="29"/>
  <c r="I1368" i="29"/>
  <c r="I1367" i="29"/>
  <c r="I1363" i="29"/>
  <c r="I1361" i="29"/>
  <c r="I1356" i="29"/>
  <c r="I1355" i="29"/>
  <c r="I1354" i="29"/>
  <c r="I1370" i="29"/>
  <c r="I1369" i="29"/>
  <c r="I1362" i="29"/>
  <c r="I1358" i="29"/>
  <c r="I1357" i="29"/>
  <c r="I1353" i="29"/>
  <c r="I1352" i="29"/>
  <c r="I1351" i="29"/>
  <c r="I1364" i="29"/>
  <c r="I1350" i="29"/>
  <c r="I1349" i="29"/>
  <c r="I1348" i="29"/>
  <c r="I1347" i="29"/>
  <c r="I1346" i="29"/>
  <c r="I1345" i="29"/>
  <c r="I1341" i="29"/>
  <c r="I1339" i="29"/>
  <c r="I1335" i="29"/>
  <c r="I1334" i="29"/>
  <c r="I1333" i="29"/>
  <c r="I1332" i="29"/>
  <c r="I1331" i="29"/>
  <c r="I1330" i="29"/>
  <c r="I1328" i="29"/>
  <c r="I1327" i="29"/>
  <c r="I1326" i="29"/>
  <c r="I1325" i="29"/>
  <c r="I1322" i="29"/>
  <c r="I1321" i="29"/>
  <c r="I1329" i="29"/>
  <c r="I1324" i="29"/>
  <c r="I1323" i="29"/>
  <c r="I1316" i="29"/>
  <c r="I1315" i="29"/>
  <c r="I1314" i="29"/>
  <c r="I1313" i="29"/>
  <c r="I1312" i="29"/>
  <c r="I1311" i="29"/>
  <c r="I1344" i="29"/>
  <c r="I1343" i="29"/>
  <c r="I1342" i="29"/>
  <c r="I1340" i="29"/>
  <c r="I1338" i="29"/>
  <c r="I1337" i="29"/>
  <c r="I1336" i="29"/>
  <c r="I1310" i="29"/>
  <c r="I1309" i="29"/>
  <c r="I693" i="29"/>
  <c r="I1320" i="29"/>
  <c r="I1319" i="29"/>
  <c r="I1318" i="29"/>
  <c r="I1317" i="29"/>
  <c r="I1303" i="29"/>
  <c r="I1300" i="29"/>
  <c r="I1299" i="29"/>
  <c r="I1307" i="29"/>
  <c r="I1308" i="29"/>
  <c r="I1306" i="29"/>
  <c r="I1298" i="29"/>
  <c r="I1297" i="29"/>
  <c r="I1296" i="29"/>
  <c r="I1295" i="29"/>
  <c r="I1294" i="29"/>
  <c r="I1293" i="29"/>
  <c r="I1292" i="29"/>
  <c r="I1291" i="29"/>
  <c r="I1290" i="29"/>
  <c r="I1289" i="29"/>
  <c r="I1287" i="29"/>
  <c r="I1305" i="29"/>
  <c r="I1304" i="29"/>
  <c r="I1302" i="29"/>
  <c r="I1301" i="29"/>
  <c r="I1288" i="29"/>
  <c r="I1282" i="29"/>
  <c r="I1281" i="29"/>
  <c r="I1276" i="29"/>
  <c r="I1286" i="29"/>
  <c r="I1285" i="29"/>
  <c r="I1284" i="29"/>
  <c r="I1283" i="29"/>
  <c r="I1280" i="29"/>
  <c r="I1279" i="29"/>
  <c r="I1274" i="29"/>
  <c r="I1273" i="29"/>
  <c r="I1278" i="29"/>
  <c r="I1277" i="29"/>
  <c r="I1275" i="29"/>
  <c r="I1250" i="29"/>
  <c r="I1249" i="29"/>
  <c r="I1248" i="29"/>
  <c r="I1246" i="29"/>
  <c r="I1245" i="29"/>
  <c r="I1244" i="29"/>
  <c r="I1272" i="29"/>
  <c r="I1271" i="29"/>
  <c r="I1265" i="29"/>
  <c r="I1263" i="29"/>
  <c r="I1262" i="29"/>
  <c r="I1261" i="29"/>
  <c r="I1260" i="29"/>
  <c r="I1259" i="29"/>
  <c r="I1258" i="29"/>
  <c r="I1257" i="29"/>
  <c r="I1256" i="29"/>
  <c r="I1255" i="29"/>
  <c r="I1254" i="29"/>
  <c r="I1253" i="29"/>
  <c r="I1252" i="29"/>
  <c r="I1270" i="29"/>
  <c r="I1269" i="29"/>
  <c r="I1268" i="29"/>
  <c r="I1267" i="29"/>
  <c r="I1266" i="29"/>
  <c r="I1264" i="29"/>
  <c r="I1251" i="29"/>
  <c r="I1247" i="29"/>
  <c r="I1243" i="29"/>
  <c r="I1240" i="29"/>
  <c r="I1239" i="29"/>
  <c r="I1233" i="29"/>
  <c r="I1230" i="29"/>
  <c r="I1229" i="29"/>
  <c r="I1228" i="29"/>
  <c r="I1227" i="29"/>
  <c r="I1226" i="29"/>
  <c r="I1220" i="29"/>
  <c r="I1218" i="29"/>
  <c r="I1217" i="29"/>
  <c r="I1216" i="29"/>
  <c r="I1215" i="29"/>
  <c r="I1214" i="29"/>
  <c r="I1213" i="29"/>
  <c r="I1207" i="29"/>
  <c r="I1202" i="29"/>
  <c r="I1201" i="29"/>
  <c r="I1198" i="29"/>
  <c r="I1241" i="29"/>
  <c r="I1232" i="29"/>
  <c r="I1231" i="29"/>
  <c r="I1242" i="29"/>
  <c r="I1223" i="29"/>
  <c r="I1222" i="29"/>
  <c r="I1221" i="29"/>
  <c r="I1219" i="29"/>
  <c r="I1212" i="29"/>
  <c r="I1211" i="29"/>
  <c r="I1210" i="29"/>
  <c r="I1209" i="29"/>
  <c r="I1208" i="29"/>
  <c r="I1238" i="29"/>
  <c r="I1237" i="29"/>
  <c r="I1236" i="29"/>
  <c r="I1235" i="29"/>
  <c r="I1234" i="29"/>
  <c r="I1225" i="29"/>
  <c r="I1224" i="29"/>
  <c r="I1206" i="29"/>
  <c r="I1205" i="29"/>
  <c r="I1204" i="29"/>
  <c r="I1203" i="29"/>
  <c r="I620" i="29"/>
  <c r="I619" i="29"/>
  <c r="I618" i="29"/>
  <c r="I617" i="29"/>
  <c r="I616" i="29"/>
  <c r="I1200" i="29"/>
  <c r="I1199" i="29"/>
  <c r="I1196" i="29"/>
  <c r="I1195" i="29"/>
  <c r="I1193" i="29"/>
  <c r="I1197" i="29"/>
  <c r="I1192" i="29"/>
  <c r="I1191" i="29"/>
  <c r="I1190" i="29"/>
  <c r="I1189" i="29"/>
  <c r="I1188" i="29"/>
  <c r="I1185" i="29"/>
  <c r="I1182" i="29"/>
  <c r="I1181" i="29"/>
  <c r="I1180" i="29"/>
  <c r="I1194" i="29"/>
  <c r="I1187" i="29"/>
  <c r="I1186" i="29"/>
  <c r="I1173" i="29"/>
  <c r="I1184" i="29"/>
  <c r="I1183" i="29"/>
  <c r="I1179" i="29"/>
  <c r="I1178" i="29"/>
  <c r="I1177" i="29"/>
  <c r="I1176" i="29"/>
  <c r="I1175" i="29"/>
  <c r="I1174" i="29"/>
  <c r="I1167" i="29"/>
  <c r="I1164" i="29"/>
  <c r="I1163" i="29"/>
  <c r="I1161" i="29"/>
  <c r="I1160" i="29"/>
  <c r="I1159" i="29"/>
  <c r="I1158" i="29"/>
  <c r="I1157" i="29"/>
  <c r="I1156" i="29"/>
  <c r="I1112" i="29"/>
  <c r="I1172" i="29"/>
  <c r="I1171" i="29"/>
  <c r="I1162" i="29"/>
  <c r="I1170" i="29"/>
  <c r="I1155" i="29"/>
  <c r="I1154" i="29"/>
  <c r="I1153" i="29"/>
  <c r="I1152" i="29"/>
  <c r="I1151" i="29"/>
  <c r="I1150" i="29"/>
  <c r="I1149" i="29"/>
  <c r="I1148" i="29"/>
  <c r="I1147" i="29"/>
  <c r="I1146" i="29"/>
  <c r="I1143" i="29"/>
  <c r="I1166" i="29"/>
  <c r="I1165" i="29"/>
  <c r="I1144" i="29"/>
  <c r="I1142" i="29"/>
  <c r="I1141" i="29"/>
  <c r="I1140" i="29"/>
  <c r="I1139" i="29"/>
  <c r="I1138" i="29"/>
  <c r="I1137" i="29"/>
  <c r="I1136" i="29"/>
  <c r="I1169" i="29"/>
  <c r="I1168" i="29"/>
  <c r="I1135" i="29"/>
  <c r="I1134" i="29"/>
  <c r="I1133" i="29"/>
  <c r="I1145" i="29"/>
  <c r="I1132" i="29"/>
  <c r="I1129" i="29"/>
  <c r="I1128" i="29"/>
  <c r="I1127" i="29"/>
  <c r="I1126" i="29"/>
  <c r="I1125" i="29"/>
  <c r="I1120" i="29"/>
  <c r="I1119" i="29"/>
  <c r="I1118" i="29"/>
  <c r="I1114" i="29"/>
  <c r="I1113" i="29"/>
  <c r="I1131" i="29"/>
  <c r="I1130" i="29"/>
  <c r="I1124" i="29"/>
  <c r="I1123" i="29"/>
  <c r="I1122" i="29"/>
  <c r="I1121" i="29"/>
  <c r="I1103" i="29"/>
  <c r="I1102" i="29"/>
  <c r="I1101" i="29"/>
  <c r="I1100" i="29"/>
  <c r="I1099" i="29"/>
  <c r="I1098" i="29"/>
  <c r="I1097" i="29"/>
  <c r="I1096" i="29"/>
  <c r="I1095" i="29"/>
  <c r="I1094" i="29"/>
  <c r="I1093" i="29"/>
  <c r="I1089" i="29"/>
  <c r="I1088" i="29"/>
  <c r="I1084" i="29"/>
  <c r="I1082" i="29"/>
  <c r="I1081" i="29"/>
  <c r="I1080" i="29"/>
  <c r="I1079" i="29"/>
  <c r="I1078" i="29"/>
  <c r="I1117" i="29"/>
  <c r="I1116" i="29"/>
  <c r="I1115" i="29"/>
  <c r="I1111" i="29"/>
  <c r="I1110" i="29"/>
  <c r="I1109" i="29"/>
  <c r="I1108" i="29"/>
  <c r="I1107" i="29"/>
  <c r="I1092" i="29"/>
  <c r="I1091" i="29"/>
  <c r="I1090" i="29"/>
  <c r="I1074" i="29"/>
  <c r="I1073" i="29"/>
  <c r="I1072" i="29"/>
  <c r="I1070" i="29"/>
  <c r="I1069" i="29"/>
  <c r="I1062" i="29"/>
  <c r="I1061" i="29"/>
  <c r="I1060" i="29"/>
  <c r="I1059" i="29"/>
  <c r="I1058" i="29"/>
  <c r="I1057" i="29"/>
  <c r="I1106" i="29"/>
  <c r="I1105" i="29"/>
  <c r="I1104" i="29"/>
  <c r="I1087" i="29"/>
  <c r="I1086" i="29"/>
  <c r="I1085" i="29"/>
  <c r="I1083" i="29"/>
  <c r="I1077" i="29"/>
  <c r="I1076" i="29"/>
  <c r="I1075" i="29"/>
  <c r="I1068" i="29"/>
  <c r="I1067" i="29"/>
  <c r="I1066" i="29"/>
  <c r="I1065" i="29"/>
  <c r="I1064" i="29"/>
  <c r="I1053" i="29"/>
  <c r="I1051" i="29"/>
  <c r="I1050" i="29"/>
  <c r="I1049" i="29"/>
  <c r="I1047" i="29"/>
  <c r="I1046" i="29"/>
  <c r="I1045" i="29"/>
  <c r="I1044" i="29"/>
  <c r="I1043" i="29"/>
  <c r="I1042" i="29"/>
  <c r="I1041" i="29"/>
  <c r="I1040" i="29"/>
  <c r="I1039" i="29"/>
  <c r="I1038" i="29"/>
  <c r="I1037" i="29"/>
  <c r="I1071" i="29"/>
  <c r="I1063" i="29"/>
  <c r="I1055" i="29"/>
  <c r="I1054" i="29"/>
  <c r="I1035" i="29"/>
  <c r="I1056" i="29"/>
  <c r="I1052" i="29"/>
  <c r="I1048" i="29"/>
  <c r="I1036" i="29"/>
  <c r="I1034" i="29"/>
  <c r="I1033" i="29"/>
  <c r="I1032" i="29"/>
  <c r="I1012" i="29"/>
  <c r="I1011" i="29"/>
  <c r="I1006" i="29"/>
  <c r="I1005" i="29"/>
  <c r="I1004" i="29"/>
  <c r="I1003" i="29"/>
  <c r="I1031" i="29"/>
  <c r="I1030" i="29"/>
  <c r="I1029" i="29"/>
  <c r="I1028" i="29"/>
  <c r="I1027" i="29"/>
  <c r="I1026" i="29"/>
  <c r="I1025" i="29"/>
  <c r="I1024" i="29"/>
  <c r="I1023" i="29"/>
  <c r="I1022" i="29"/>
  <c r="I1021" i="29"/>
  <c r="I1020" i="29"/>
  <c r="I1019" i="29"/>
  <c r="I1018" i="29"/>
  <c r="I1017" i="29"/>
  <c r="I1016" i="29"/>
  <c r="I1015" i="29"/>
  <c r="I1014" i="29"/>
  <c r="I1013" i="29"/>
  <c r="I1002" i="29"/>
  <c r="I1001" i="29"/>
  <c r="I1000" i="29"/>
  <c r="I999" i="29"/>
  <c r="I998" i="29"/>
  <c r="I1010" i="29"/>
  <c r="I1009" i="29"/>
  <c r="I1008" i="29"/>
  <c r="I1007" i="29"/>
  <c r="I995" i="29"/>
  <c r="I994" i="29"/>
  <c r="I993" i="29"/>
  <c r="I992" i="29"/>
  <c r="I991" i="29"/>
  <c r="I990" i="29"/>
  <c r="I985" i="29"/>
  <c r="I981" i="29"/>
  <c r="I866" i="29"/>
  <c r="I979" i="29"/>
  <c r="I978" i="29"/>
  <c r="I977" i="29"/>
  <c r="I997" i="29"/>
  <c r="I996" i="29"/>
  <c r="I980" i="29"/>
  <c r="I976" i="29"/>
  <c r="I975" i="29"/>
  <c r="I974" i="29"/>
  <c r="I989" i="29"/>
  <c r="I988" i="29"/>
  <c r="I987" i="29"/>
  <c r="I986" i="29"/>
  <c r="I984" i="29"/>
  <c r="I983" i="29"/>
  <c r="I982" i="29"/>
  <c r="I960" i="29"/>
  <c r="I958" i="29"/>
  <c r="I957" i="29"/>
  <c r="I973" i="29"/>
  <c r="I972" i="29"/>
  <c r="I971" i="29"/>
  <c r="I970" i="29"/>
  <c r="I969" i="29"/>
  <c r="I968" i="29"/>
  <c r="I967" i="29"/>
  <c r="I966" i="29"/>
  <c r="I965" i="29"/>
  <c r="I964" i="29"/>
  <c r="I963" i="29"/>
  <c r="I962" i="29"/>
  <c r="I961" i="29"/>
  <c r="I959" i="29"/>
  <c r="I956" i="29"/>
  <c r="I955" i="29"/>
  <c r="I952" i="29"/>
  <c r="I949" i="29"/>
  <c r="I954" i="29"/>
  <c r="I953" i="29"/>
  <c r="I951" i="29"/>
  <c r="I950" i="29"/>
  <c r="I944" i="29"/>
  <c r="I943" i="29"/>
  <c r="I942" i="29"/>
  <c r="I948" i="29"/>
  <c r="I947" i="29"/>
  <c r="I946" i="29"/>
  <c r="I945" i="29"/>
  <c r="I940" i="29"/>
  <c r="I939" i="29"/>
  <c r="I927" i="29"/>
  <c r="I926" i="29"/>
  <c r="I941" i="29"/>
  <c r="I938" i="29"/>
  <c r="I937" i="29"/>
  <c r="I936" i="29"/>
  <c r="I935" i="29"/>
  <c r="I934" i="29"/>
  <c r="I933" i="29"/>
  <c r="I905" i="29"/>
  <c r="I932" i="29"/>
  <c r="I931" i="29"/>
  <c r="I930" i="29"/>
  <c r="I929" i="29"/>
  <c r="I928" i="29"/>
  <c r="I925" i="29"/>
  <c r="I924" i="29"/>
  <c r="I922" i="29"/>
  <c r="I921" i="29"/>
  <c r="I917" i="29"/>
  <c r="I916" i="29"/>
  <c r="I915" i="29"/>
  <c r="I920" i="29"/>
  <c r="I919" i="29"/>
  <c r="I918" i="29"/>
  <c r="I914" i="29"/>
  <c r="I913" i="29"/>
  <c r="I904" i="29"/>
  <c r="I903" i="29"/>
  <c r="I902" i="29"/>
  <c r="I901" i="29"/>
  <c r="I892" i="29"/>
  <c r="I923" i="29"/>
  <c r="I909" i="29"/>
  <c r="I908" i="29"/>
  <c r="I888" i="29"/>
  <c r="I910" i="29"/>
  <c r="I907" i="29"/>
  <c r="I906" i="29"/>
  <c r="I642" i="29"/>
  <c r="I891" i="29"/>
  <c r="I890" i="29"/>
  <c r="I912" i="29"/>
  <c r="I911" i="29"/>
  <c r="I889" i="29"/>
  <c r="I887" i="29"/>
  <c r="I882" i="29"/>
  <c r="I881" i="29"/>
  <c r="I900" i="29"/>
  <c r="I899" i="29"/>
  <c r="I898" i="29"/>
  <c r="I897" i="29"/>
  <c r="I896" i="29"/>
  <c r="I895" i="29"/>
  <c r="I894" i="29"/>
  <c r="I893" i="29"/>
  <c r="I879" i="29"/>
  <c r="I878" i="29"/>
  <c r="I877" i="29"/>
  <c r="I876" i="29"/>
  <c r="I886" i="29"/>
  <c r="I885" i="29"/>
  <c r="I875" i="29"/>
  <c r="I874" i="29"/>
  <c r="I873" i="29"/>
  <c r="I872" i="29"/>
  <c r="I871" i="29"/>
  <c r="I884" i="29"/>
  <c r="I883" i="29"/>
  <c r="I880" i="29"/>
  <c r="I869" i="29"/>
  <c r="I865" i="29"/>
  <c r="I864" i="29"/>
  <c r="I863" i="29"/>
  <c r="I862" i="29"/>
  <c r="I861" i="29"/>
  <c r="I860" i="29"/>
  <c r="I859" i="29"/>
  <c r="I858" i="29"/>
  <c r="I857" i="29"/>
  <c r="I870" i="29"/>
  <c r="I868" i="29"/>
  <c r="I867" i="29"/>
  <c r="I856" i="29"/>
  <c r="I855" i="29"/>
  <c r="I710" i="29"/>
  <c r="I850" i="29"/>
  <c r="I849" i="29"/>
  <c r="I848" i="29"/>
  <c r="I847" i="29"/>
  <c r="I852" i="29"/>
  <c r="I851" i="29"/>
  <c r="I846" i="29"/>
  <c r="I845" i="29"/>
  <c r="I844" i="29"/>
  <c r="I843" i="29"/>
  <c r="I842" i="29"/>
  <c r="I841" i="29"/>
  <c r="I854" i="29"/>
  <c r="I853" i="29"/>
  <c r="I840" i="29"/>
  <c r="I839" i="29"/>
  <c r="I838" i="29"/>
  <c r="I837" i="29"/>
  <c r="I836" i="29"/>
  <c r="I833" i="29"/>
  <c r="I834" i="29"/>
  <c r="I815" i="29"/>
  <c r="I835" i="29"/>
  <c r="I832" i="29"/>
  <c r="I831" i="29"/>
  <c r="I830" i="29"/>
  <c r="I829" i="29"/>
  <c r="I828" i="29"/>
  <c r="I827" i="29"/>
  <c r="I826" i="29"/>
  <c r="I825" i="29"/>
  <c r="I824" i="29"/>
  <c r="I823" i="29"/>
  <c r="I822" i="29"/>
  <c r="I821" i="29"/>
  <c r="I820" i="29"/>
  <c r="I819" i="29"/>
  <c r="I818" i="29"/>
  <c r="I817" i="29"/>
  <c r="I816" i="29"/>
  <c r="I814" i="29"/>
  <c r="I813" i="29"/>
  <c r="I808" i="29"/>
  <c r="I802" i="29"/>
  <c r="I801" i="29"/>
  <c r="I800" i="29"/>
  <c r="I799" i="29"/>
  <c r="I812" i="29"/>
  <c r="I798" i="29"/>
  <c r="I797" i="29"/>
  <c r="I792" i="29"/>
  <c r="I791" i="29"/>
  <c r="I790" i="29"/>
  <c r="I789" i="29"/>
  <c r="I780" i="29"/>
  <c r="I778" i="29"/>
  <c r="I777" i="29"/>
  <c r="I776" i="29"/>
  <c r="I775" i="29"/>
  <c r="I774" i="29"/>
  <c r="I771" i="29"/>
  <c r="I811" i="29"/>
  <c r="I810" i="29"/>
  <c r="I809" i="29"/>
  <c r="I807" i="29"/>
  <c r="I806" i="29"/>
  <c r="I805" i="29"/>
  <c r="I804" i="29"/>
  <c r="I803" i="29"/>
  <c r="I796" i="29"/>
  <c r="I795" i="29"/>
  <c r="I794" i="29"/>
  <c r="I793" i="29"/>
  <c r="I788" i="29"/>
  <c r="I787" i="29"/>
  <c r="I786" i="29"/>
  <c r="I785" i="29"/>
  <c r="I784" i="29"/>
  <c r="I783" i="29"/>
  <c r="I782" i="29"/>
  <c r="I781" i="29"/>
  <c r="I779" i="29"/>
  <c r="I773" i="29"/>
  <c r="I772" i="29"/>
  <c r="I770" i="29"/>
  <c r="I769" i="29"/>
  <c r="I768" i="29"/>
  <c r="I767" i="29"/>
  <c r="I766" i="29"/>
  <c r="I765" i="29"/>
  <c r="I764" i="29"/>
  <c r="I763" i="29"/>
  <c r="I744" i="29"/>
  <c r="I739" i="29"/>
  <c r="I738" i="29"/>
  <c r="I750" i="29"/>
  <c r="I746" i="29"/>
  <c r="I745" i="29"/>
  <c r="I743" i="29"/>
  <c r="I742" i="29"/>
  <c r="I762" i="29"/>
  <c r="I761" i="29"/>
  <c r="I760" i="29"/>
  <c r="I759" i="29"/>
  <c r="I758" i="29"/>
  <c r="I757" i="29"/>
  <c r="I756" i="29"/>
  <c r="I755" i="29"/>
  <c r="I754" i="29"/>
  <c r="I753" i="29"/>
  <c r="I752" i="29"/>
  <c r="I751" i="29"/>
  <c r="I749" i="29"/>
  <c r="I748" i="29"/>
  <c r="I747" i="29"/>
  <c r="I735" i="29"/>
  <c r="I732" i="29"/>
  <c r="I731" i="29"/>
  <c r="I730" i="29"/>
  <c r="I729" i="29"/>
  <c r="I728" i="29"/>
  <c r="I720" i="29"/>
  <c r="I718" i="29"/>
  <c r="I713" i="29"/>
  <c r="I712" i="29"/>
  <c r="I741" i="29"/>
  <c r="I740" i="29"/>
  <c r="I734" i="29"/>
  <c r="I733" i="29"/>
  <c r="I727" i="29"/>
  <c r="I726" i="29"/>
  <c r="I725" i="29"/>
  <c r="I724" i="29"/>
  <c r="I723" i="29"/>
  <c r="I714" i="29"/>
  <c r="I615" i="29"/>
  <c r="I737" i="29"/>
  <c r="I736" i="29"/>
  <c r="I719" i="29"/>
  <c r="I711" i="29"/>
  <c r="I692" i="29"/>
  <c r="I709" i="29"/>
  <c r="I708" i="29"/>
  <c r="I707" i="29"/>
  <c r="I722" i="29"/>
  <c r="I721" i="29"/>
  <c r="I717" i="29"/>
  <c r="I716" i="29"/>
  <c r="I715" i="29"/>
  <c r="I688" i="29"/>
  <c r="I687" i="29"/>
  <c r="I686" i="29"/>
  <c r="I685" i="29"/>
  <c r="I684" i="29"/>
  <c r="I706" i="29"/>
  <c r="I705" i="29"/>
  <c r="I704" i="29"/>
  <c r="I703" i="29"/>
  <c r="I702" i="29"/>
  <c r="I701" i="29"/>
  <c r="I700" i="29"/>
  <c r="I699" i="29"/>
  <c r="I698" i="29"/>
  <c r="I697" i="29"/>
  <c r="I683" i="29"/>
  <c r="I682" i="29"/>
  <c r="I681" i="29"/>
  <c r="I680" i="29"/>
  <c r="I679" i="29"/>
  <c r="I678" i="29"/>
  <c r="I677" i="29"/>
  <c r="I691" i="29"/>
  <c r="I690" i="29"/>
  <c r="I676" i="29"/>
  <c r="I675" i="29"/>
  <c r="I657" i="29"/>
  <c r="I656" i="29"/>
  <c r="I674" i="29"/>
  <c r="I673" i="29"/>
  <c r="I672" i="29"/>
  <c r="I667" i="29"/>
  <c r="I666" i="29"/>
  <c r="I664" i="29"/>
  <c r="I652" i="29"/>
  <c r="I646" i="29"/>
  <c r="I645" i="29"/>
  <c r="I640" i="29"/>
  <c r="I639" i="29"/>
  <c r="I638" i="29"/>
  <c r="I635" i="29"/>
  <c r="I634" i="29"/>
  <c r="I631" i="29"/>
  <c r="I630" i="29"/>
  <c r="I629" i="29"/>
  <c r="I628" i="29"/>
  <c r="I627" i="29"/>
  <c r="I626" i="29"/>
  <c r="I625" i="29"/>
  <c r="I624" i="29"/>
  <c r="I622" i="29"/>
  <c r="I671" i="29"/>
  <c r="I670" i="29"/>
  <c r="I669" i="29"/>
  <c r="I668" i="29"/>
  <c r="I665" i="29"/>
  <c r="I663" i="29"/>
  <c r="I662" i="29"/>
  <c r="I661" i="29"/>
  <c r="I614" i="29"/>
  <c r="I623" i="29"/>
  <c r="I613" i="29"/>
  <c r="I612" i="29"/>
  <c r="I611" i="29"/>
  <c r="I610" i="29"/>
  <c r="I609" i="29"/>
  <c r="I607" i="29"/>
  <c r="I605" i="29"/>
  <c r="I604" i="29"/>
  <c r="I597" i="29"/>
  <c r="I596" i="29"/>
  <c r="I595" i="29"/>
  <c r="I594" i="29"/>
  <c r="I593" i="29"/>
  <c r="I591" i="29"/>
  <c r="I590" i="29"/>
  <c r="I589" i="29"/>
  <c r="I580" i="29"/>
  <c r="I579" i="29"/>
  <c r="I588" i="29"/>
  <c r="I583" i="29"/>
  <c r="I582" i="29"/>
  <c r="I581" i="29"/>
  <c r="I577" i="29"/>
  <c r="I608" i="29"/>
  <c r="I606" i="29"/>
  <c r="I587" i="29"/>
  <c r="I586" i="29"/>
  <c r="I575" i="29"/>
  <c r="I573" i="29"/>
  <c r="I571" i="29"/>
  <c r="I603" i="29"/>
  <c r="I602" i="29"/>
  <c r="I601" i="29"/>
  <c r="I600" i="29"/>
  <c r="I599" i="29"/>
  <c r="I598" i="29"/>
  <c r="I585" i="29"/>
  <c r="I584" i="29"/>
  <c r="I576" i="29"/>
  <c r="I592" i="29"/>
  <c r="I578" i="29"/>
  <c r="I553" i="29"/>
  <c r="I551" i="29"/>
  <c r="I574" i="29"/>
  <c r="I572" i="29"/>
  <c r="I570" i="29"/>
  <c r="I569" i="29"/>
  <c r="I568" i="29"/>
  <c r="I567" i="29"/>
  <c r="I549" i="29"/>
  <c r="I548" i="29"/>
  <c r="I558" i="29"/>
  <c r="I557" i="29"/>
  <c r="I556" i="29"/>
  <c r="I555" i="29"/>
  <c r="I554" i="29"/>
  <c r="I552" i="29"/>
  <c r="I550" i="29"/>
  <c r="I547" i="29"/>
  <c r="I546" i="29"/>
  <c r="I566" i="29"/>
  <c r="I565" i="29"/>
  <c r="I564" i="29"/>
  <c r="I563" i="29"/>
  <c r="I562" i="29"/>
  <c r="I561" i="29"/>
  <c r="I560" i="29"/>
  <c r="I559" i="29"/>
  <c r="I535" i="29"/>
  <c r="I534" i="29"/>
  <c r="I532" i="29"/>
  <c r="I518" i="29"/>
  <c r="I517" i="29"/>
  <c r="I516" i="29"/>
  <c r="I525" i="29"/>
  <c r="I524" i="29"/>
  <c r="I523" i="29"/>
  <c r="I522" i="29"/>
  <c r="I521" i="29"/>
  <c r="I520" i="29"/>
  <c r="I519" i="29"/>
  <c r="I533" i="29"/>
  <c r="I529" i="29"/>
  <c r="I528" i="29"/>
  <c r="I527" i="29"/>
  <c r="I526" i="29"/>
  <c r="I509" i="29"/>
  <c r="I508" i="29"/>
  <c r="I507" i="29"/>
  <c r="I545" i="29"/>
  <c r="I544" i="29"/>
  <c r="I543" i="29"/>
  <c r="I542" i="29"/>
  <c r="I541" i="29"/>
  <c r="I540" i="29"/>
  <c r="I539" i="29"/>
  <c r="I538" i="29"/>
  <c r="I537" i="29"/>
  <c r="I536" i="29"/>
  <c r="I511" i="29"/>
  <c r="I510" i="29"/>
  <c r="I506" i="29"/>
  <c r="I505" i="29"/>
  <c r="I504" i="29"/>
  <c r="I503" i="29"/>
  <c r="I502" i="29"/>
  <c r="I497" i="29"/>
  <c r="I496" i="29"/>
  <c r="I495" i="29"/>
  <c r="I494" i="29"/>
  <c r="I531" i="29"/>
  <c r="I530" i="29"/>
  <c r="I515" i="29"/>
  <c r="I514" i="29"/>
  <c r="I513" i="29"/>
  <c r="I512" i="29"/>
  <c r="I501" i="29"/>
  <c r="I493" i="29"/>
  <c r="I500" i="29"/>
  <c r="I499" i="29"/>
  <c r="I498" i="29"/>
  <c r="I492" i="29"/>
  <c r="I491" i="29"/>
  <c r="I487" i="29"/>
  <c r="I486" i="29"/>
  <c r="I490" i="29"/>
  <c r="I489" i="29"/>
  <c r="I488" i="29"/>
  <c r="I485" i="29"/>
  <c r="I484" i="29"/>
  <c r="I483" i="29"/>
  <c r="I482" i="29"/>
  <c r="I472" i="29"/>
  <c r="I471" i="29"/>
  <c r="I481" i="29"/>
  <c r="I480" i="29"/>
  <c r="I479" i="29"/>
  <c r="I478" i="29"/>
  <c r="I477" i="29"/>
  <c r="I476" i="29"/>
  <c r="I475" i="29"/>
  <c r="I474" i="29"/>
  <c r="I467" i="29"/>
  <c r="I452" i="29"/>
  <c r="I451" i="29"/>
  <c r="I450" i="29"/>
  <c r="I449" i="29"/>
  <c r="I447" i="29"/>
  <c r="I446" i="29"/>
  <c r="I470" i="29"/>
  <c r="I469" i="29"/>
  <c r="I468" i="29"/>
  <c r="I466" i="29"/>
  <c r="I465" i="29"/>
  <c r="I464" i="29"/>
  <c r="I463" i="29"/>
  <c r="I462" i="29"/>
  <c r="I461" i="29"/>
  <c r="I460" i="29"/>
  <c r="I459" i="29"/>
  <c r="I444" i="29"/>
  <c r="I443" i="29"/>
  <c r="I442" i="29"/>
  <c r="I441" i="29"/>
  <c r="I439" i="29"/>
  <c r="I438" i="29"/>
  <c r="I436" i="29"/>
  <c r="I458" i="29"/>
  <c r="I457" i="29"/>
  <c r="I456" i="29"/>
  <c r="I455" i="29"/>
  <c r="I454" i="29"/>
  <c r="I453" i="29"/>
  <c r="I448" i="29"/>
  <c r="I445" i="29"/>
  <c r="I440" i="29"/>
  <c r="I434" i="29"/>
  <c r="I433" i="29"/>
  <c r="I432" i="29"/>
  <c r="I431" i="29"/>
  <c r="I430" i="29"/>
  <c r="I429" i="29"/>
  <c r="I428" i="29"/>
  <c r="I427" i="29"/>
  <c r="I426" i="29"/>
  <c r="I425" i="29"/>
  <c r="I424" i="29"/>
  <c r="I435" i="29"/>
  <c r="I423" i="29"/>
  <c r="I420" i="29"/>
  <c r="I418" i="29"/>
  <c r="I416" i="29"/>
  <c r="I415" i="29"/>
  <c r="I414" i="29"/>
  <c r="I413" i="29"/>
  <c r="I412" i="29"/>
  <c r="I409" i="29"/>
  <c r="I407" i="29"/>
  <c r="I437" i="29"/>
  <c r="I408" i="29"/>
  <c r="I403" i="29"/>
  <c r="I402" i="29"/>
  <c r="I401" i="29"/>
  <c r="I400" i="29"/>
  <c r="I399" i="29"/>
  <c r="I398" i="29"/>
  <c r="I422" i="29"/>
  <c r="I421" i="29"/>
  <c r="I419" i="29"/>
  <c r="I417" i="29"/>
  <c r="I394" i="29"/>
  <c r="I411" i="29"/>
  <c r="I410" i="29"/>
  <c r="I405" i="29"/>
  <c r="I404" i="29"/>
  <c r="I388" i="29"/>
  <c r="I384" i="29"/>
  <c r="I383" i="29"/>
  <c r="I406" i="29"/>
  <c r="I378" i="29"/>
  <c r="I377" i="29"/>
  <c r="I376" i="29"/>
  <c r="I375" i="29"/>
  <c r="I374" i="29"/>
  <c r="I370" i="29"/>
  <c r="I358" i="29"/>
  <c r="I357" i="29"/>
  <c r="I356" i="29"/>
  <c r="I355" i="29"/>
  <c r="I397" i="29"/>
  <c r="I396" i="29"/>
  <c r="I390" i="29"/>
  <c r="I373" i="29"/>
  <c r="I372" i="29"/>
  <c r="I345" i="29"/>
  <c r="I344" i="29"/>
  <c r="I343" i="29"/>
  <c r="I342" i="29"/>
  <c r="I341" i="29"/>
  <c r="I395" i="29"/>
  <c r="I393" i="29"/>
  <c r="I391" i="29"/>
  <c r="I389" i="29"/>
  <c r="I392" i="29"/>
  <c r="I387" i="29"/>
  <c r="I386" i="29"/>
  <c r="I385" i="29"/>
  <c r="I371" i="29"/>
  <c r="I364" i="29"/>
  <c r="I340" i="29"/>
  <c r="I339" i="29"/>
  <c r="I338" i="29"/>
  <c r="I347" i="29"/>
  <c r="I346" i="29"/>
  <c r="I333" i="29"/>
  <c r="I332" i="29"/>
  <c r="I323" i="29"/>
  <c r="I382" i="29"/>
  <c r="I381" i="29"/>
  <c r="I380" i="29"/>
  <c r="I379" i="29"/>
  <c r="I369" i="29"/>
  <c r="I368" i="29"/>
  <c r="I367" i="29"/>
  <c r="I366" i="29"/>
  <c r="I365" i="29"/>
  <c r="I363" i="29"/>
  <c r="I362" i="29"/>
  <c r="I361" i="29"/>
  <c r="I360" i="29"/>
  <c r="I359" i="29"/>
  <c r="I354" i="29"/>
  <c r="I353" i="29"/>
  <c r="I352" i="29"/>
  <c r="I351" i="29"/>
  <c r="I350" i="29"/>
  <c r="I349" i="29"/>
  <c r="I348" i="29"/>
  <c r="I337" i="29"/>
  <c r="I336" i="29"/>
  <c r="I335" i="29"/>
  <c r="I331" i="29"/>
  <c r="I328" i="29"/>
  <c r="I327" i="29"/>
  <c r="I326" i="29"/>
  <c r="I325" i="29"/>
  <c r="I322" i="29"/>
  <c r="I321" i="29"/>
  <c r="I320" i="29"/>
  <c r="I319" i="29"/>
  <c r="I334" i="29"/>
  <c r="I330" i="29"/>
  <c r="I329" i="29"/>
  <c r="I324" i="29"/>
  <c r="I317" i="29"/>
  <c r="I316" i="29"/>
  <c r="I315" i="29"/>
  <c r="I314" i="29"/>
  <c r="I313" i="29"/>
  <c r="I304" i="29"/>
  <c r="I318" i="29"/>
  <c r="I312" i="29"/>
  <c r="I311" i="29"/>
  <c r="I308" i="29"/>
  <c r="I307" i="29"/>
  <c r="I300" i="29"/>
  <c r="I296" i="29"/>
  <c r="I310" i="29"/>
  <c r="I309" i="29"/>
  <c r="I306" i="29"/>
  <c r="I305" i="29"/>
  <c r="I303" i="29"/>
  <c r="I302" i="29"/>
  <c r="I301" i="29"/>
  <c r="I299" i="29"/>
  <c r="I298" i="29"/>
  <c r="I297" i="29"/>
  <c r="I295" i="29"/>
  <c r="I294" i="29"/>
  <c r="I293" i="29"/>
  <c r="I292" i="29"/>
  <c r="I290" i="29"/>
  <c r="I288" i="29"/>
  <c r="I287" i="29"/>
  <c r="I285" i="29"/>
  <c r="I291" i="29"/>
  <c r="I289" i="29"/>
  <c r="I286" i="29"/>
  <c r="I281" i="29"/>
  <c r="I280" i="29"/>
  <c r="I279" i="29"/>
  <c r="I278" i="29"/>
  <c r="I277" i="29"/>
  <c r="I276" i="29"/>
  <c r="I275" i="29"/>
  <c r="I274" i="29"/>
  <c r="I273" i="29"/>
  <c r="I272" i="29"/>
  <c r="I271" i="29"/>
  <c r="I270" i="29"/>
  <c r="I269" i="29"/>
  <c r="I284" i="29"/>
  <c r="I283" i="29"/>
  <c r="I282" i="29"/>
  <c r="I268" i="29"/>
  <c r="I267" i="29"/>
  <c r="I266" i="29"/>
  <c r="I265" i="29"/>
  <c r="I264" i="29"/>
  <c r="I251" i="29"/>
  <c r="I250" i="29"/>
  <c r="I249" i="29"/>
  <c r="I263" i="29"/>
  <c r="I262" i="29"/>
  <c r="I261" i="29"/>
  <c r="I260" i="29"/>
  <c r="I246" i="29"/>
  <c r="I245" i="29"/>
  <c r="I240" i="29"/>
  <c r="I239" i="29"/>
  <c r="I238" i="29"/>
  <c r="I236" i="29"/>
  <c r="I248" i="29"/>
  <c r="I247" i="29"/>
  <c r="I244" i="29"/>
  <c r="I243" i="29"/>
  <c r="I242" i="29"/>
  <c r="I241" i="29"/>
  <c r="I259" i="29"/>
  <c r="I258" i="29"/>
  <c r="I257" i="29"/>
  <c r="I256" i="29"/>
  <c r="I255" i="29"/>
  <c r="I254" i="29"/>
  <c r="I253" i="29"/>
  <c r="I252" i="29"/>
  <c r="I237" i="29"/>
  <c r="I233" i="29"/>
  <c r="I232" i="29"/>
  <c r="I229" i="29"/>
  <c r="I227" i="29"/>
  <c r="I234" i="29"/>
  <c r="I231" i="29"/>
  <c r="I230" i="29"/>
  <c r="I226" i="29"/>
  <c r="I225" i="29"/>
  <c r="I235" i="29"/>
  <c r="I228" i="29"/>
  <c r="I224" i="29"/>
  <c r="I223" i="29"/>
  <c r="I222" i="29"/>
  <c r="I221" i="29"/>
  <c r="I220" i="29"/>
  <c r="I219" i="29"/>
  <c r="I218" i="29"/>
  <c r="I217" i="29"/>
  <c r="I216" i="29"/>
  <c r="I215" i="29"/>
  <c r="I214" i="29"/>
  <c r="I213" i="29"/>
  <c r="I212" i="29"/>
  <c r="I211" i="29"/>
  <c r="I210" i="29"/>
  <c r="I209" i="29"/>
  <c r="I208" i="29"/>
  <c r="I207" i="29"/>
  <c r="I206" i="29"/>
  <c r="I205" i="29"/>
  <c r="I171" i="29"/>
  <c r="I204" i="29"/>
  <c r="I203" i="29"/>
  <c r="I202" i="29"/>
  <c r="I201" i="29"/>
  <c r="I200" i="29"/>
  <c r="I199" i="29"/>
  <c r="I195" i="29"/>
  <c r="I192" i="29"/>
  <c r="I191" i="29"/>
  <c r="I194" i="29"/>
  <c r="I188" i="29"/>
  <c r="I187" i="29"/>
  <c r="I186" i="29"/>
  <c r="I185" i="29"/>
  <c r="I184" i="29"/>
  <c r="I183" i="29"/>
  <c r="I198" i="29"/>
  <c r="I197" i="29"/>
  <c r="I196" i="29"/>
  <c r="I193" i="29"/>
  <c r="I189" i="29"/>
  <c r="I182" i="29"/>
  <c r="I180" i="29"/>
  <c r="I190" i="29"/>
  <c r="I177" i="29"/>
  <c r="I176" i="29"/>
  <c r="I174" i="29"/>
  <c r="I172" i="29"/>
  <c r="I167" i="29"/>
  <c r="I181" i="29"/>
  <c r="I179" i="29"/>
  <c r="I178" i="29"/>
  <c r="I163" i="29"/>
  <c r="I162" i="29"/>
  <c r="I161" i="29"/>
  <c r="I175" i="29"/>
  <c r="I173" i="29"/>
  <c r="I170" i="29"/>
  <c r="I169" i="29"/>
  <c r="I168" i="29"/>
  <c r="I139" i="29"/>
  <c r="I157" i="29"/>
  <c r="I154" i="29"/>
  <c r="I153" i="29"/>
  <c r="I152" i="29"/>
  <c r="I151" i="29"/>
  <c r="I150" i="29"/>
  <c r="I149" i="29"/>
  <c r="I148" i="29"/>
  <c r="I147" i="29"/>
  <c r="I146" i="29"/>
  <c r="I75" i="29"/>
  <c r="I156" i="29"/>
  <c r="I155" i="29"/>
  <c r="I160" i="29"/>
  <c r="I159" i="29"/>
  <c r="I158" i="29"/>
  <c r="I166" i="29"/>
  <c r="I165" i="29"/>
  <c r="I164" i="29"/>
  <c r="I145" i="29"/>
  <c r="I144" i="29"/>
  <c r="I143" i="29"/>
  <c r="I142" i="29"/>
  <c r="I138" i="29"/>
  <c r="I137" i="29"/>
  <c r="I125" i="29"/>
  <c r="I124" i="29"/>
  <c r="I141" i="29"/>
  <c r="I140" i="29"/>
  <c r="I132" i="29"/>
  <c r="I123" i="29"/>
  <c r="I122" i="29"/>
  <c r="I121" i="29"/>
  <c r="I120" i="29"/>
  <c r="I119" i="29"/>
  <c r="I118" i="29"/>
  <c r="I136" i="29"/>
  <c r="I135" i="29"/>
  <c r="I134" i="29"/>
  <c r="I133" i="29"/>
  <c r="I131" i="29"/>
  <c r="I130" i="29"/>
  <c r="I129" i="29"/>
  <c r="I128" i="29"/>
  <c r="I127" i="29"/>
  <c r="I126" i="29"/>
  <c r="I115" i="29"/>
  <c r="I114" i="29"/>
  <c r="I113" i="29"/>
  <c r="I112" i="29"/>
  <c r="I111" i="29"/>
  <c r="I110" i="29"/>
  <c r="I109" i="29"/>
  <c r="I100" i="29"/>
  <c r="I117" i="29"/>
  <c r="I116" i="29"/>
  <c r="I108" i="29"/>
  <c r="I107" i="29"/>
  <c r="I106" i="29"/>
  <c r="I105" i="29"/>
  <c r="I104" i="29"/>
  <c r="I103" i="29"/>
  <c r="I102" i="29"/>
  <c r="I101" i="29"/>
  <c r="I99" i="29"/>
  <c r="I93" i="29"/>
  <c r="I89" i="29"/>
  <c r="I88" i="29"/>
  <c r="I87" i="29"/>
  <c r="I86" i="29"/>
  <c r="I85" i="29"/>
  <c r="I81" i="29"/>
  <c r="I80" i="29"/>
  <c r="I76" i="29"/>
  <c r="I69" i="29"/>
  <c r="I68" i="29"/>
  <c r="I67" i="29"/>
  <c r="I66" i="29"/>
  <c r="I65" i="29"/>
  <c r="I64" i="29"/>
  <c r="I58" i="29"/>
  <c r="I57" i="29"/>
  <c r="I92" i="29"/>
  <c r="I91" i="29"/>
  <c r="I90" i="29"/>
  <c r="I84" i="29"/>
  <c r="I83" i="29"/>
  <c r="I82" i="29"/>
  <c r="I79" i="29"/>
  <c r="I78" i="29"/>
  <c r="I77" i="29"/>
  <c r="I74" i="29"/>
  <c r="I73" i="29"/>
  <c r="I72" i="29"/>
  <c r="I71" i="29"/>
  <c r="I70" i="29"/>
  <c r="I98" i="29"/>
  <c r="I97" i="29"/>
  <c r="I96" i="29"/>
  <c r="I95" i="29"/>
  <c r="I94" i="29"/>
  <c r="I60" i="29"/>
  <c r="I63" i="29"/>
  <c r="I62" i="29"/>
  <c r="I61" i="29"/>
  <c r="I56" i="29"/>
  <c r="I55" i="29"/>
  <c r="I47" i="29"/>
  <c r="I46" i="29"/>
  <c r="I45" i="29"/>
  <c r="I44" i="29"/>
  <c r="I43" i="29"/>
  <c r="I42" i="29"/>
  <c r="I41" i="29"/>
  <c r="I40" i="29"/>
  <c r="I39" i="29"/>
  <c r="I38" i="29"/>
  <c r="I31" i="29"/>
  <c r="I30" i="29"/>
  <c r="I29" i="29"/>
  <c r="I59" i="29"/>
  <c r="I54" i="29"/>
  <c r="I53" i="29"/>
  <c r="I52" i="29"/>
  <c r="I51" i="29"/>
  <c r="I49" i="29"/>
  <c r="I37" i="29"/>
  <c r="I36" i="29"/>
  <c r="I35" i="29"/>
  <c r="I34" i="29"/>
  <c r="I28" i="29"/>
  <c r="I27" i="29"/>
  <c r="I26" i="29"/>
  <c r="I50" i="29"/>
  <c r="I48" i="29"/>
  <c r="I33" i="29"/>
  <c r="I32" i="29"/>
  <c r="I25" i="29"/>
  <c r="I24" i="29"/>
  <c r="I23" i="29"/>
  <c r="I22" i="29"/>
  <c r="I20" i="29"/>
  <c r="I19" i="29"/>
  <c r="I18" i="29"/>
  <c r="I16" i="29"/>
  <c r="I21" i="29"/>
  <c r="I12" i="29"/>
  <c r="I11" i="29"/>
  <c r="I10" i="29"/>
  <c r="I9" i="29"/>
  <c r="I8" i="29"/>
  <c r="I17" i="29"/>
  <c r="I15" i="29"/>
  <c r="I14" i="29"/>
  <c r="I13" i="29"/>
  <c r="N11025" i="29"/>
  <c r="N10905" i="29"/>
  <c r="N10904" i="29"/>
  <c r="N10903" i="29"/>
  <c r="N10902" i="29"/>
  <c r="N10901" i="29"/>
  <c r="N10900" i="29"/>
  <c r="N10899" i="29"/>
  <c r="N10898" i="29"/>
  <c r="N10897" i="29"/>
  <c r="N10896" i="29"/>
  <c r="N10895" i="29"/>
  <c r="N10894" i="29"/>
  <c r="N10893" i="29"/>
  <c r="N10892" i="29"/>
  <c r="N10891" i="29"/>
  <c r="N10890" i="29"/>
  <c r="N10960" i="29"/>
  <c r="N10959" i="29"/>
  <c r="N10958" i="29"/>
  <c r="N10957" i="29"/>
  <c r="N10956" i="29"/>
  <c r="N10955" i="29"/>
  <c r="N10954" i="29"/>
  <c r="N10953" i="29"/>
  <c r="N10952" i="29"/>
  <c r="N10951" i="29"/>
  <c r="N10950" i="29"/>
  <c r="N10949" i="29"/>
  <c r="N10948" i="29"/>
  <c r="N10947" i="29"/>
  <c r="N10946" i="29"/>
  <c r="N10945" i="29"/>
  <c r="N10944" i="29"/>
  <c r="N10943" i="29"/>
  <c r="N10942" i="29"/>
  <c r="N11024" i="29"/>
  <c r="N11023" i="29"/>
  <c r="N11022" i="29"/>
  <c r="N11021" i="29"/>
  <c r="N11020" i="29"/>
  <c r="N11019" i="29"/>
  <c r="N11018" i="29"/>
  <c r="N11017" i="29"/>
  <c r="N11016" i="29"/>
  <c r="N11015" i="29"/>
  <c r="N11014" i="29"/>
  <c r="N11013" i="29"/>
  <c r="N10872" i="29"/>
  <c r="N10871" i="29"/>
  <c r="N11012" i="29"/>
  <c r="N11011" i="29"/>
  <c r="N11010" i="29"/>
  <c r="N11009" i="29"/>
  <c r="N11008" i="29"/>
  <c r="N11007" i="29"/>
  <c r="N11006" i="29"/>
  <c r="N11005" i="29"/>
  <c r="N11004" i="29"/>
  <c r="N11003" i="29"/>
  <c r="N11002" i="29"/>
  <c r="N11001" i="29"/>
  <c r="N11000" i="29"/>
  <c r="N10999" i="29"/>
  <c r="N10998" i="29"/>
  <c r="N10997" i="29"/>
  <c r="N10889" i="29"/>
  <c r="N10888" i="29"/>
  <c r="N10887" i="29"/>
  <c r="N10886" i="29"/>
  <c r="N10885" i="29"/>
  <c r="N10884" i="29"/>
  <c r="N10883" i="29"/>
  <c r="N10882" i="29"/>
  <c r="N10941" i="29"/>
  <c r="N10940" i="29"/>
  <c r="N10939" i="29"/>
  <c r="N10938" i="29"/>
  <c r="N10937" i="29"/>
  <c r="N10936" i="29"/>
  <c r="N10935" i="29"/>
  <c r="N10934" i="29"/>
  <c r="N10933" i="29"/>
  <c r="N10932" i="29"/>
  <c r="N10931" i="29"/>
  <c r="N10930" i="29"/>
  <c r="N10929" i="29"/>
  <c r="N10928" i="29"/>
  <c r="N10927" i="29"/>
  <c r="N10926" i="29"/>
  <c r="N10925" i="29"/>
  <c r="N10924" i="29"/>
  <c r="N10923" i="29"/>
  <c r="N10922" i="29"/>
  <c r="N10921" i="29"/>
  <c r="N10996" i="29"/>
  <c r="N10995" i="29"/>
  <c r="N10994" i="29"/>
  <c r="N10993" i="29"/>
  <c r="N10992" i="29"/>
  <c r="N10991" i="29"/>
  <c r="N10990" i="29"/>
  <c r="N10989" i="29"/>
  <c r="N10988" i="29"/>
  <c r="N10987" i="29"/>
  <c r="N10986" i="29"/>
  <c r="N10985" i="29"/>
  <c r="N10984" i="29"/>
  <c r="N10983" i="29"/>
  <c r="N10982" i="29"/>
  <c r="N11111" i="29"/>
  <c r="N11110" i="29"/>
  <c r="N11099" i="29"/>
  <c r="N11109" i="29"/>
  <c r="N11108" i="29"/>
  <c r="N11107" i="29"/>
  <c r="N11106" i="29"/>
  <c r="N11105" i="29"/>
  <c r="N11104" i="29"/>
  <c r="N11103" i="29"/>
  <c r="N11102" i="29"/>
  <c r="N11101" i="29"/>
  <c r="N11100" i="29"/>
  <c r="N11098" i="29"/>
  <c r="N11097" i="29"/>
  <c r="N11096" i="29"/>
  <c r="N11095" i="29"/>
  <c r="N11094" i="29"/>
  <c r="N11093" i="29"/>
  <c r="N11092" i="29"/>
  <c r="N11091" i="29"/>
  <c r="N11090" i="29"/>
  <c r="N11089" i="29"/>
  <c r="N11088" i="29"/>
  <c r="N11087" i="29"/>
  <c r="N11086" i="29"/>
  <c r="N11085" i="29"/>
  <c r="N10881" i="29"/>
  <c r="N10880" i="29"/>
  <c r="N10879" i="29"/>
  <c r="N10878" i="29"/>
  <c r="N10877" i="29"/>
  <c r="N10876" i="29"/>
  <c r="N10875" i="29"/>
  <c r="N10874" i="29"/>
  <c r="N10859" i="29"/>
  <c r="N10858" i="29"/>
  <c r="N10870" i="29"/>
  <c r="N10869" i="29"/>
  <c r="N10868" i="29"/>
  <c r="N10867" i="29"/>
  <c r="N10866" i="29"/>
  <c r="N10865" i="29"/>
  <c r="N10864" i="29"/>
  <c r="N10863" i="29"/>
  <c r="N11084" i="29"/>
  <c r="N11083" i="29"/>
  <c r="N11082" i="29"/>
  <c r="N11081" i="29"/>
  <c r="N11080" i="29"/>
  <c r="N11079" i="29"/>
  <c r="N11078" i="29"/>
  <c r="N11077" i="29"/>
  <c r="N11076" i="29"/>
  <c r="N11075" i="29"/>
  <c r="N11074" i="29"/>
  <c r="N11073" i="29"/>
  <c r="N11072" i="29"/>
  <c r="N11071" i="29"/>
  <c r="N11070" i="29"/>
  <c r="N11069" i="29"/>
  <c r="N11068" i="29"/>
  <c r="N11067" i="29"/>
  <c r="N11066" i="29"/>
  <c r="N11065" i="29"/>
  <c r="N10861" i="29"/>
  <c r="N10860" i="29"/>
  <c r="N10920" i="29"/>
  <c r="N10919" i="29"/>
  <c r="N10918" i="29"/>
  <c r="N10917" i="29"/>
  <c r="N10916" i="29"/>
  <c r="N10915" i="29"/>
  <c r="N10914" i="29"/>
  <c r="N10913" i="29"/>
  <c r="N10912" i="29"/>
  <c r="N10911" i="29"/>
  <c r="N10910" i="29"/>
  <c r="N10909" i="29"/>
  <c r="N10908" i="29"/>
  <c r="N10907" i="29"/>
  <c r="N10906" i="29"/>
  <c r="N11064" i="29"/>
  <c r="N11063" i="29"/>
  <c r="N11062" i="29"/>
  <c r="N11061" i="29"/>
  <c r="N11060" i="29"/>
  <c r="N11059" i="29"/>
  <c r="N11058" i="29"/>
  <c r="N11057" i="29"/>
  <c r="N11056" i="29"/>
  <c r="N11055" i="29"/>
  <c r="N11054" i="29"/>
  <c r="N11053" i="29"/>
  <c r="N11052" i="29"/>
  <c r="N11051" i="29"/>
  <c r="N11050" i="29"/>
  <c r="N11049" i="29"/>
  <c r="N11048" i="29"/>
  <c r="N11047" i="29"/>
  <c r="N10981" i="29"/>
  <c r="N10980" i="29"/>
  <c r="N10979" i="29"/>
  <c r="N10978" i="29"/>
  <c r="N10977" i="29"/>
  <c r="N10976" i="29"/>
  <c r="N10975" i="29"/>
  <c r="N10974" i="29"/>
  <c r="N10973" i="29"/>
  <c r="N10972" i="29"/>
  <c r="N10971" i="29"/>
  <c r="N10970" i="29"/>
  <c r="N10969" i="29"/>
  <c r="N10967" i="29"/>
  <c r="N10966" i="29"/>
  <c r="N10965" i="29"/>
  <c r="N10964" i="29"/>
  <c r="N10963" i="29"/>
  <c r="N10962" i="29"/>
  <c r="N10961" i="29"/>
  <c r="N11046" i="29"/>
  <c r="N11045" i="29"/>
  <c r="N11044" i="29"/>
  <c r="N11043" i="29"/>
  <c r="N11042" i="29"/>
  <c r="N11041" i="29"/>
  <c r="N11040" i="29"/>
  <c r="N11039" i="29"/>
  <c r="N11038" i="29"/>
  <c r="N11037" i="29"/>
  <c r="N11036" i="29"/>
  <c r="N11035" i="29"/>
  <c r="N11033" i="29"/>
  <c r="N11032" i="29"/>
  <c r="N11031" i="29"/>
  <c r="N11030" i="29"/>
  <c r="N11029" i="29"/>
  <c r="N11028" i="29"/>
  <c r="N11027" i="29"/>
  <c r="N11026" i="29"/>
  <c r="N10817" i="29"/>
  <c r="N10873" i="29"/>
  <c r="N10862" i="29"/>
  <c r="N10857" i="29"/>
  <c r="N10856" i="29"/>
  <c r="N654" i="29"/>
  <c r="N10855" i="29"/>
  <c r="N10854" i="29"/>
  <c r="N10853" i="29"/>
  <c r="N10852" i="29"/>
  <c r="N10851" i="29"/>
  <c r="N10850" i="29"/>
  <c r="N10847" i="29"/>
  <c r="N10846" i="29"/>
  <c r="N10845" i="29"/>
  <c r="N10844" i="29"/>
  <c r="N10842" i="29"/>
  <c r="N10841" i="29"/>
  <c r="N10840" i="29"/>
  <c r="N10839" i="29"/>
  <c r="N10838" i="29"/>
  <c r="N10837" i="29"/>
  <c r="N10836" i="29"/>
  <c r="N10835" i="29"/>
  <c r="N10834" i="29"/>
  <c r="N10833" i="29"/>
  <c r="N10832" i="29"/>
  <c r="N10831" i="29"/>
  <c r="N10781" i="29"/>
  <c r="N10848" i="29"/>
  <c r="N10830" i="29"/>
  <c r="N10829" i="29"/>
  <c r="N10638" i="29"/>
  <c r="N10828" i="29"/>
  <c r="N10827" i="29"/>
  <c r="N10826" i="29"/>
  <c r="N10825" i="29"/>
  <c r="N10824" i="29"/>
  <c r="N10820" i="29"/>
  <c r="N10823" i="29"/>
  <c r="N10822" i="29"/>
  <c r="N10815" i="29"/>
  <c r="N10821" i="29"/>
  <c r="N10816" i="29"/>
  <c r="N10819" i="29"/>
  <c r="N10818" i="29"/>
  <c r="N10814" i="29"/>
  <c r="N10813" i="29"/>
  <c r="N10812" i="29"/>
  <c r="N10811" i="29"/>
  <c r="N10810" i="29"/>
  <c r="N10809" i="29"/>
  <c r="N10808" i="29"/>
  <c r="N10807" i="29"/>
  <c r="N10806" i="29"/>
  <c r="N10805" i="29"/>
  <c r="N10804" i="29"/>
  <c r="N10803" i="29"/>
  <c r="N10802" i="29"/>
  <c r="N10801" i="29"/>
  <c r="N10800" i="29"/>
  <c r="N10799" i="29"/>
  <c r="N10798" i="29"/>
  <c r="N10797" i="29"/>
  <c r="N10796" i="29"/>
  <c r="N10793" i="29"/>
  <c r="N10795" i="29"/>
  <c r="N10794" i="29"/>
  <c r="N10792" i="29"/>
  <c r="N10791" i="29"/>
  <c r="N10790" i="29"/>
  <c r="N10789" i="29"/>
  <c r="N10788" i="29"/>
  <c r="N10787" i="29"/>
  <c r="N10786" i="29"/>
  <c r="N10785" i="29"/>
  <c r="N10784" i="29"/>
  <c r="N10783" i="29"/>
  <c r="N10779" i="29"/>
  <c r="N10782" i="29"/>
  <c r="N10780" i="29"/>
  <c r="N10778" i="29"/>
  <c r="N10777" i="29"/>
  <c r="N10776" i="29"/>
  <c r="N10775" i="29"/>
  <c r="N10774" i="29"/>
  <c r="N10773" i="29"/>
  <c r="N10772" i="29"/>
  <c r="N10771" i="29"/>
  <c r="N10770" i="29"/>
  <c r="N10763" i="29"/>
  <c r="N10769" i="29"/>
  <c r="N10768" i="29"/>
  <c r="N10762" i="29"/>
  <c r="N10761" i="29"/>
  <c r="N10760" i="29"/>
  <c r="N10767" i="29"/>
  <c r="N10766" i="29"/>
  <c r="N10765" i="29"/>
  <c r="N10764" i="29"/>
  <c r="N10759" i="29"/>
  <c r="N10757" i="29"/>
  <c r="N10758" i="29"/>
  <c r="N10756" i="29"/>
  <c r="N10755" i="29"/>
  <c r="N10754" i="29"/>
  <c r="N10753" i="29"/>
  <c r="N10752" i="29"/>
  <c r="N10751" i="29"/>
  <c r="N10750" i="29"/>
  <c r="N10749" i="29"/>
  <c r="N10748" i="29"/>
  <c r="N10747" i="29"/>
  <c r="N10746" i="29"/>
  <c r="N10745" i="29"/>
  <c r="N10744" i="29"/>
  <c r="N10743" i="29"/>
  <c r="N10742" i="29"/>
  <c r="N10741" i="29"/>
  <c r="N10740" i="29"/>
  <c r="N10739" i="29"/>
  <c r="N10738" i="29"/>
  <c r="N10737" i="29"/>
  <c r="N10736" i="29"/>
  <c r="N10735" i="29"/>
  <c r="N10734" i="29"/>
  <c r="N10729" i="29"/>
  <c r="N10733" i="29"/>
  <c r="N10732" i="29"/>
  <c r="N10731" i="29"/>
  <c r="N10730" i="29"/>
  <c r="N10728" i="29"/>
  <c r="N10727" i="29"/>
  <c r="N10726" i="29"/>
  <c r="N10725" i="29"/>
  <c r="N10724" i="29"/>
  <c r="N10723" i="29"/>
  <c r="N10722" i="29"/>
  <c r="N10721" i="29"/>
  <c r="N10720" i="29"/>
  <c r="N10719" i="29"/>
  <c r="N10718" i="29"/>
  <c r="N10717" i="29"/>
  <c r="N10716" i="29"/>
  <c r="N10715" i="29"/>
  <c r="N10714" i="29"/>
  <c r="N10713" i="29"/>
  <c r="N10712" i="29"/>
  <c r="N10711" i="29"/>
  <c r="N10710" i="29"/>
  <c r="N10709" i="29"/>
  <c r="N10708" i="29"/>
  <c r="N10707" i="29"/>
  <c r="N10706" i="29"/>
  <c r="N10705" i="29"/>
  <c r="N10704" i="29"/>
  <c r="N10703" i="29"/>
  <c r="N10702" i="29"/>
  <c r="N10701" i="29"/>
  <c r="N10689" i="29"/>
  <c r="N10700" i="29"/>
  <c r="N10699" i="29"/>
  <c r="N10698" i="29"/>
  <c r="N10697" i="29"/>
  <c r="N10696" i="29"/>
  <c r="N10695" i="29"/>
  <c r="N10694" i="29"/>
  <c r="N10693" i="29"/>
  <c r="N10692" i="29"/>
  <c r="N10691" i="29"/>
  <c r="N10690" i="29"/>
  <c r="N10688" i="29"/>
  <c r="N10684" i="29"/>
  <c r="N10681" i="29"/>
  <c r="N10685" i="29"/>
  <c r="N10686" i="29"/>
  <c r="N10680" i="29"/>
  <c r="N10682" i="29"/>
  <c r="N10683" i="29"/>
  <c r="N10687" i="29"/>
  <c r="N10679" i="29"/>
  <c r="N10678" i="29"/>
  <c r="N10677" i="29"/>
  <c r="N10676" i="29"/>
  <c r="N10667" i="29"/>
  <c r="N10666" i="29"/>
  <c r="N10675" i="29"/>
  <c r="N10674" i="29"/>
  <c r="N10673" i="29"/>
  <c r="N10672" i="29"/>
  <c r="N10671" i="29"/>
  <c r="N10670" i="29"/>
  <c r="N10669" i="29"/>
  <c r="N10668" i="29"/>
  <c r="N10665" i="29"/>
  <c r="N10664" i="29"/>
  <c r="N10663" i="29"/>
  <c r="N10661" i="29"/>
  <c r="N10659" i="29"/>
  <c r="N10658" i="29"/>
  <c r="N10662" i="29"/>
  <c r="N10660" i="29"/>
  <c r="N10657" i="29"/>
  <c r="N10656" i="29"/>
  <c r="N10655" i="29"/>
  <c r="N10654" i="29"/>
  <c r="N10653" i="29"/>
  <c r="N10649" i="29"/>
  <c r="N10652" i="29"/>
  <c r="N10651" i="29"/>
  <c r="N10648" i="29"/>
  <c r="N10646" i="29"/>
  <c r="N10647" i="29"/>
  <c r="N10645" i="29"/>
  <c r="N10644" i="29"/>
  <c r="N10641" i="29"/>
  <c r="N10643" i="29"/>
  <c r="N10642" i="29"/>
  <c r="N10640" i="29"/>
  <c r="N10639" i="29"/>
  <c r="N10636" i="29"/>
  <c r="N10637" i="29"/>
  <c r="N10635" i="29"/>
  <c r="N10634" i="29"/>
  <c r="N10633" i="29"/>
  <c r="N10632" i="29"/>
  <c r="N10631" i="29"/>
  <c r="N10630" i="29"/>
  <c r="N10629" i="29"/>
  <c r="N10628" i="29"/>
  <c r="N10627" i="29"/>
  <c r="N10626" i="29"/>
  <c r="N10625" i="29"/>
  <c r="N10624" i="29"/>
  <c r="N10623" i="29"/>
  <c r="N10622" i="29"/>
  <c r="N10621" i="29"/>
  <c r="N10620" i="29"/>
  <c r="N10617" i="29"/>
  <c r="N10616" i="29"/>
  <c r="N10615" i="29"/>
  <c r="N10614" i="29"/>
  <c r="N10613" i="29"/>
  <c r="N10619" i="29"/>
  <c r="N10618" i="29"/>
  <c r="N10612" i="29"/>
  <c r="N10611" i="29"/>
  <c r="N10610" i="29"/>
  <c r="N10609" i="29"/>
  <c r="N10608" i="29"/>
  <c r="N10607" i="29"/>
  <c r="N10606" i="29"/>
  <c r="N10605" i="29"/>
  <c r="N10602" i="29"/>
  <c r="N10601" i="29"/>
  <c r="N10604" i="29"/>
  <c r="N10603" i="29"/>
  <c r="N10600" i="29"/>
  <c r="N10598" i="29"/>
  <c r="N10599" i="29"/>
  <c r="N10596" i="29"/>
  <c r="N10595" i="29"/>
  <c r="N10594" i="29"/>
  <c r="N10650" i="29"/>
  <c r="N10593" i="29"/>
  <c r="N10597" i="29"/>
  <c r="N10592" i="29"/>
  <c r="N10583" i="29"/>
  <c r="N10591" i="29"/>
  <c r="N10590" i="29"/>
  <c r="N10589" i="29"/>
  <c r="N10588" i="29"/>
  <c r="N10587" i="29"/>
  <c r="N10586" i="29"/>
  <c r="N10585" i="29"/>
  <c r="N10584" i="29"/>
  <c r="N10582" i="29"/>
  <c r="N10579" i="29"/>
  <c r="N10578" i="29"/>
  <c r="N10577" i="29"/>
  <c r="N10576" i="29"/>
  <c r="N10575" i="29"/>
  <c r="N10574" i="29"/>
  <c r="N10573" i="29"/>
  <c r="N10580" i="29"/>
  <c r="N10581" i="29"/>
  <c r="N10572" i="29"/>
  <c r="N10571" i="29"/>
  <c r="N10567" i="29"/>
  <c r="N10566" i="29"/>
  <c r="N10568" i="29"/>
  <c r="N10570" i="29"/>
  <c r="N10569" i="29"/>
  <c r="N10565" i="29"/>
  <c r="N10564" i="29"/>
  <c r="N10563" i="29"/>
  <c r="N10562" i="29"/>
  <c r="N10559" i="29"/>
  <c r="N10558" i="29"/>
  <c r="N10557" i="29"/>
  <c r="N10555" i="29"/>
  <c r="N10554" i="29"/>
  <c r="N10552" i="29"/>
  <c r="N10561" i="29"/>
  <c r="N10560" i="29"/>
  <c r="N10556" i="29"/>
  <c r="N10553" i="29"/>
  <c r="N10551" i="29"/>
  <c r="N10550" i="29"/>
  <c r="N10549" i="29"/>
  <c r="N10548" i="29"/>
  <c r="N10547" i="29"/>
  <c r="N10545" i="29"/>
  <c r="N10544" i="29"/>
  <c r="N10543" i="29"/>
  <c r="N10546" i="29"/>
  <c r="N10542" i="29"/>
  <c r="N10541" i="29"/>
  <c r="N10540" i="29"/>
  <c r="N10539" i="29"/>
  <c r="N10538" i="29"/>
  <c r="N10537" i="29"/>
  <c r="N10536" i="29"/>
  <c r="N10535" i="29"/>
  <c r="N10534" i="29"/>
  <c r="N10532" i="29"/>
  <c r="N10531" i="29"/>
  <c r="N10526" i="29"/>
  <c r="N10533" i="29"/>
  <c r="N10530" i="29"/>
  <c r="N10529" i="29"/>
  <c r="N10528" i="29"/>
  <c r="N10524" i="29"/>
  <c r="N10527" i="29"/>
  <c r="N10525" i="29"/>
  <c r="N10523" i="29"/>
  <c r="N10522" i="29"/>
  <c r="N10521" i="29"/>
  <c r="N10520" i="29"/>
  <c r="N10519" i="29"/>
  <c r="N10518" i="29"/>
  <c r="N10517" i="29"/>
  <c r="N10516" i="29"/>
  <c r="N10515" i="29"/>
  <c r="N10514" i="29"/>
  <c r="N10513" i="29"/>
  <c r="N10512" i="29"/>
  <c r="N10511" i="29"/>
  <c r="N10509" i="29"/>
  <c r="N10510" i="29"/>
  <c r="N10508" i="29"/>
  <c r="N10506" i="29"/>
  <c r="N10507" i="29"/>
  <c r="N10498" i="29"/>
  <c r="N10497" i="29"/>
  <c r="N10505" i="29"/>
  <c r="N10504" i="29"/>
  <c r="N10503" i="29"/>
  <c r="N10502" i="29"/>
  <c r="N10501" i="29"/>
  <c r="N10500" i="29"/>
  <c r="N10499" i="29"/>
  <c r="N10496" i="29"/>
  <c r="N10495" i="29"/>
  <c r="N10494" i="29"/>
  <c r="N10493" i="29"/>
  <c r="N10492" i="29"/>
  <c r="N10491" i="29"/>
  <c r="N10360" i="29"/>
  <c r="N10486" i="29"/>
  <c r="N10483" i="29"/>
  <c r="N10489" i="29"/>
  <c r="N10490" i="29"/>
  <c r="N10488" i="29"/>
  <c r="N10487" i="29"/>
  <c r="N10485" i="29"/>
  <c r="N10484" i="29"/>
  <c r="N10481" i="29"/>
  <c r="N10482" i="29"/>
  <c r="N10480" i="29"/>
  <c r="N10478" i="29"/>
  <c r="N10416" i="29"/>
  <c r="N10477" i="29"/>
  <c r="N10479" i="29"/>
  <c r="N10475" i="29"/>
  <c r="N10474" i="29"/>
  <c r="N10473" i="29"/>
  <c r="N10472" i="29"/>
  <c r="N10471" i="29"/>
  <c r="N10469" i="29"/>
  <c r="N10468" i="29"/>
  <c r="N10467" i="29"/>
  <c r="N10466" i="29"/>
  <c r="N10465" i="29"/>
  <c r="N10464" i="29"/>
  <c r="N10463" i="29"/>
  <c r="N10462" i="29"/>
  <c r="N10458" i="29"/>
  <c r="N10461" i="29"/>
  <c r="N10460" i="29"/>
  <c r="N10459" i="29"/>
  <c r="N10457" i="29"/>
  <c r="N10454" i="29"/>
  <c r="N10455" i="29"/>
  <c r="N10456" i="29"/>
  <c r="N10445" i="29"/>
  <c r="N10453" i="29"/>
  <c r="N10452" i="29"/>
  <c r="N10451" i="29"/>
  <c r="N10450" i="29"/>
  <c r="N10449" i="29"/>
  <c r="N10448" i="29"/>
  <c r="N10447" i="29"/>
  <c r="N10446" i="29"/>
  <c r="N10444" i="29"/>
  <c r="N10443" i="29"/>
  <c r="N10442" i="29"/>
  <c r="N10441" i="29"/>
  <c r="N10440" i="29"/>
  <c r="N10439" i="29"/>
  <c r="N10438" i="29"/>
  <c r="N10437" i="29"/>
  <c r="N10436" i="29"/>
  <c r="N10427" i="29"/>
  <c r="N10435" i="29"/>
  <c r="N10434" i="29"/>
  <c r="N10433" i="29"/>
  <c r="N10432" i="29"/>
  <c r="N10431" i="29"/>
  <c r="N10430" i="29"/>
  <c r="N10429" i="29"/>
  <c r="N10428" i="29"/>
  <c r="N10426" i="29"/>
  <c r="N10425" i="29"/>
  <c r="N10423" i="29"/>
  <c r="N10422" i="29"/>
  <c r="N10421" i="29"/>
  <c r="N10420" i="29"/>
  <c r="N10419" i="29"/>
  <c r="N10418" i="29"/>
  <c r="N10424" i="29"/>
  <c r="N10417" i="29"/>
  <c r="N10415" i="29"/>
  <c r="N10414" i="29"/>
  <c r="N10413" i="29"/>
  <c r="N10406" i="29"/>
  <c r="N10412" i="29"/>
  <c r="N10411" i="29"/>
  <c r="N10410" i="29"/>
  <c r="N10409" i="29"/>
  <c r="N10401" i="29"/>
  <c r="N10400" i="29"/>
  <c r="N10399" i="29"/>
  <c r="N10408" i="29"/>
  <c r="N10398" i="29"/>
  <c r="N10407" i="29"/>
  <c r="N10405" i="29"/>
  <c r="N10404" i="29"/>
  <c r="N10403" i="29"/>
  <c r="N10402" i="29"/>
  <c r="N10397" i="29"/>
  <c r="N10396" i="29"/>
  <c r="N10395" i="29"/>
  <c r="N10359" i="29"/>
  <c r="N10394" i="29"/>
  <c r="N10393" i="29"/>
  <c r="N10392" i="29"/>
  <c r="N10391" i="29"/>
  <c r="N10390" i="29"/>
  <c r="N10389" i="29"/>
  <c r="N10388" i="29"/>
  <c r="N10387" i="29"/>
  <c r="N10386" i="29"/>
  <c r="N10385" i="29"/>
  <c r="N10384" i="29"/>
  <c r="N10383" i="29"/>
  <c r="N10376" i="29"/>
  <c r="N10375" i="29"/>
  <c r="N10374" i="29"/>
  <c r="N10382" i="29"/>
  <c r="N10381" i="29"/>
  <c r="N10380" i="29"/>
  <c r="N10379" i="29"/>
  <c r="N10378" i="29"/>
  <c r="N10377" i="29"/>
  <c r="N10373" i="29"/>
  <c r="N10372" i="29"/>
  <c r="N10371" i="29"/>
  <c r="N10370" i="29"/>
  <c r="N10361" i="29"/>
  <c r="N10358" i="29"/>
  <c r="N10369" i="29"/>
  <c r="N10365" i="29"/>
  <c r="N10364" i="29"/>
  <c r="N10363" i="29"/>
  <c r="N10362" i="29"/>
  <c r="N10368" i="29"/>
  <c r="N10367" i="29"/>
  <c r="N10366" i="29"/>
  <c r="N10356" i="29"/>
  <c r="N10355" i="29"/>
  <c r="N10354" i="29"/>
  <c r="N10353" i="29"/>
  <c r="N10352" i="29"/>
  <c r="N10350" i="29"/>
  <c r="N10349" i="29"/>
  <c r="N10348" i="29"/>
  <c r="N10351" i="29"/>
  <c r="N10347" i="29"/>
  <c r="N10346" i="29"/>
  <c r="N10345" i="29"/>
  <c r="N10344" i="29"/>
  <c r="N10343" i="29"/>
  <c r="N10342" i="29"/>
  <c r="N10337" i="29"/>
  <c r="N10336" i="29"/>
  <c r="N10332" i="29"/>
  <c r="N10331" i="29"/>
  <c r="N10328" i="29"/>
  <c r="N10327" i="29"/>
  <c r="N10326" i="29"/>
  <c r="N10325" i="29"/>
  <c r="N10324" i="29"/>
  <c r="N10339" i="29"/>
  <c r="N10357" i="29"/>
  <c r="N10340" i="29"/>
  <c r="N10333" i="29"/>
  <c r="N10329" i="29"/>
  <c r="N10338" i="29"/>
  <c r="N10341" i="29"/>
  <c r="N10334" i="29"/>
  <c r="N10335" i="29"/>
  <c r="N10330" i="29"/>
  <c r="N10319" i="29"/>
  <c r="N10318" i="29"/>
  <c r="N10323" i="29"/>
  <c r="N10322" i="29"/>
  <c r="N10321" i="29"/>
  <c r="N10320" i="29"/>
  <c r="N10314" i="29"/>
  <c r="N10313" i="29"/>
  <c r="N10312" i="29"/>
  <c r="N10317" i="29"/>
  <c r="N10316" i="29"/>
  <c r="N10315" i="29"/>
  <c r="N10309" i="29"/>
  <c r="N10311" i="29"/>
  <c r="N10310" i="29"/>
  <c r="N10308" i="29"/>
  <c r="N10307" i="29"/>
  <c r="N10305" i="29"/>
  <c r="N10304" i="29"/>
  <c r="N10303" i="29"/>
  <c r="N10302" i="29"/>
  <c r="N10301" i="29"/>
  <c r="N10300" i="29"/>
  <c r="N10296" i="29"/>
  <c r="N10299" i="29"/>
  <c r="N10298" i="29"/>
  <c r="N10297" i="29"/>
  <c r="N10293" i="29"/>
  <c r="N10292" i="29"/>
  <c r="N10290" i="29"/>
  <c r="N10289" i="29"/>
  <c r="N10288" i="29"/>
  <c r="N10287" i="29"/>
  <c r="N10277" i="29"/>
  <c r="N10294" i="29"/>
  <c r="N10291" i="29"/>
  <c r="N10286" i="29"/>
  <c r="N10295" i="29"/>
  <c r="N10285" i="29"/>
  <c r="N10284" i="29"/>
  <c r="N10283" i="29"/>
  <c r="N10282" i="29"/>
  <c r="N10281" i="29"/>
  <c r="N10280" i="29"/>
  <c r="N10279" i="29"/>
  <c r="N10278" i="29"/>
  <c r="N10849" i="29"/>
  <c r="N11034" i="29"/>
  <c r="N10843" i="29"/>
  <c r="N10306" i="29"/>
  <c r="N10276" i="29"/>
  <c r="N10275" i="29"/>
  <c r="N10274" i="29"/>
  <c r="N10273" i="29"/>
  <c r="N10272" i="29"/>
  <c r="N10271" i="29"/>
  <c r="N10270" i="29"/>
  <c r="N10968" i="29"/>
  <c r="N10267" i="29"/>
  <c r="N10269" i="29"/>
  <c r="N10268" i="29"/>
  <c r="N10266" i="29"/>
  <c r="N10265" i="29"/>
  <c r="N10264" i="29"/>
  <c r="N10263" i="29"/>
  <c r="N10262" i="29"/>
  <c r="N10261" i="29"/>
  <c r="N10260" i="29"/>
  <c r="N10259" i="29"/>
  <c r="N10258" i="29"/>
  <c r="N10257" i="29"/>
  <c r="N10256" i="29"/>
  <c r="N10255" i="29"/>
  <c r="N10254" i="29"/>
  <c r="N10252" i="29"/>
  <c r="N10248" i="29"/>
  <c r="N10253" i="29"/>
  <c r="N10476" i="29"/>
  <c r="N10470" i="29"/>
  <c r="N10246" i="29"/>
  <c r="N10245" i="29"/>
  <c r="N10242" i="29"/>
  <c r="N10251" i="29"/>
  <c r="N10250" i="29"/>
  <c r="N10249" i="29"/>
  <c r="N10247" i="29"/>
  <c r="N10244" i="29"/>
  <c r="N10243" i="29"/>
  <c r="N10241" i="29"/>
  <c r="N10240" i="29"/>
  <c r="N10239" i="29"/>
  <c r="N10238" i="29"/>
  <c r="N10234" i="29"/>
  <c r="N10233" i="29"/>
  <c r="N10232" i="29"/>
  <c r="N10231" i="29"/>
  <c r="N10230" i="29"/>
  <c r="N10229" i="29"/>
  <c r="N10228" i="29"/>
  <c r="N10227" i="29"/>
  <c r="N10226" i="29"/>
  <c r="N10225" i="29"/>
  <c r="N10224" i="29"/>
  <c r="N10223" i="29"/>
  <c r="N10237" i="29"/>
  <c r="N10236" i="29"/>
  <c r="N10235" i="29"/>
  <c r="N10222" i="29"/>
  <c r="N10221" i="29"/>
  <c r="N10220" i="29"/>
  <c r="N10210" i="29"/>
  <c r="N10209" i="29"/>
  <c r="N10208" i="29"/>
  <c r="N10207" i="29"/>
  <c r="N10206" i="29"/>
  <c r="N10205" i="29"/>
  <c r="N10204" i="29"/>
  <c r="N10203" i="29"/>
  <c r="N10202" i="29"/>
  <c r="N10201" i="29"/>
  <c r="N10219" i="29"/>
  <c r="N10218" i="29"/>
  <c r="N10217" i="29"/>
  <c r="N10216" i="29"/>
  <c r="N10215" i="29"/>
  <c r="N10214" i="29"/>
  <c r="N10213" i="29"/>
  <c r="N10212" i="29"/>
  <c r="N10211" i="29"/>
  <c r="N10200" i="29"/>
  <c r="N10199" i="29"/>
  <c r="N10198" i="29"/>
  <c r="N10197" i="29"/>
  <c r="N10196" i="29"/>
  <c r="N10195" i="29"/>
  <c r="N10194" i="29"/>
  <c r="N10193" i="29"/>
  <c r="N10192" i="29"/>
  <c r="N10191" i="29"/>
  <c r="N10190" i="29"/>
  <c r="N10189" i="29"/>
  <c r="N10188" i="29"/>
  <c r="N10187" i="29"/>
  <c r="N10186" i="29"/>
  <c r="N10185" i="29"/>
  <c r="N10184" i="29"/>
  <c r="N10183" i="29"/>
  <c r="N10182" i="29"/>
  <c r="N10181" i="29"/>
  <c r="N10180" i="29"/>
  <c r="N10179" i="29"/>
  <c r="N10178" i="29"/>
  <c r="N10177" i="29"/>
  <c r="N10176" i="29"/>
  <c r="N10175" i="29"/>
  <c r="N10174" i="29"/>
  <c r="N10173" i="29"/>
  <c r="N10172" i="29"/>
  <c r="N10171" i="29"/>
  <c r="N10170" i="29"/>
  <c r="N10169" i="29"/>
  <c r="N10168" i="29"/>
  <c r="N10166" i="29"/>
  <c r="N10167" i="29"/>
  <c r="N10165" i="29"/>
  <c r="N10164" i="29"/>
  <c r="N10163" i="29"/>
  <c r="N10162" i="29"/>
  <c r="N10160" i="29"/>
  <c r="N10159" i="29"/>
  <c r="N10161" i="29"/>
  <c r="N10158" i="29"/>
  <c r="N10157" i="29"/>
  <c r="N10156" i="29"/>
  <c r="N10155" i="29"/>
  <c r="N10154" i="29"/>
  <c r="N10148" i="29"/>
  <c r="N10147" i="29"/>
  <c r="N10146" i="29"/>
  <c r="N10153" i="29"/>
  <c r="N10152" i="29"/>
  <c r="N10151" i="29"/>
  <c r="N10150" i="29"/>
  <c r="N10149" i="29"/>
  <c r="N10145" i="29"/>
  <c r="N10144" i="29"/>
  <c r="N10143" i="29"/>
  <c r="N10142" i="29"/>
  <c r="N10141" i="29"/>
  <c r="N10140" i="29"/>
  <c r="N10139" i="29"/>
  <c r="N10138" i="29"/>
  <c r="N10137" i="29"/>
  <c r="N10136" i="29"/>
  <c r="N655" i="29"/>
  <c r="N10135" i="29"/>
  <c r="N10134" i="29"/>
  <c r="N10132" i="29"/>
  <c r="N10133" i="29"/>
  <c r="N10131" i="29"/>
  <c r="N10130" i="29"/>
  <c r="N10129" i="29"/>
  <c r="N10128" i="29"/>
  <c r="N10127" i="29"/>
  <c r="N10126" i="29"/>
  <c r="N10125" i="29"/>
  <c r="N10124" i="29"/>
  <c r="N10123" i="29"/>
  <c r="N10122" i="29"/>
  <c r="N10121" i="29"/>
  <c r="N10120" i="29"/>
  <c r="N10119" i="29"/>
  <c r="N10118" i="29"/>
  <c r="N10115" i="29"/>
  <c r="N10114" i="29"/>
  <c r="N10113" i="29"/>
  <c r="N10112" i="29"/>
  <c r="N10111" i="29"/>
  <c r="N10117" i="29"/>
  <c r="N10116" i="29"/>
  <c r="N10110" i="29"/>
  <c r="N10109" i="29"/>
  <c r="N10108" i="29"/>
  <c r="N10107" i="29"/>
  <c r="N10106" i="29"/>
  <c r="N10105" i="29"/>
  <c r="N10104" i="29"/>
  <c r="N10103" i="29"/>
  <c r="N10102" i="29"/>
  <c r="N10101" i="29"/>
  <c r="N10100" i="29"/>
  <c r="N10099" i="29"/>
  <c r="N10098" i="29"/>
  <c r="N10097" i="29"/>
  <c r="N10096" i="29"/>
  <c r="N10093" i="29"/>
  <c r="N10092" i="29"/>
  <c r="N10091" i="29"/>
  <c r="N10090" i="29"/>
  <c r="N10095" i="29"/>
  <c r="N10094" i="29"/>
  <c r="N10089" i="29"/>
  <c r="N10084" i="29"/>
  <c r="N10088" i="29"/>
  <c r="N10087" i="29"/>
  <c r="N10086" i="29"/>
  <c r="N10085" i="29"/>
  <c r="N10083" i="29"/>
  <c r="N10082" i="29"/>
  <c r="N10081" i="29"/>
  <c r="N10080" i="29"/>
  <c r="N10079" i="29"/>
  <c r="N10078" i="29"/>
  <c r="N10077" i="29"/>
  <c r="N10076" i="29"/>
  <c r="N10075" i="29"/>
  <c r="N10074" i="29"/>
  <c r="N10073" i="29"/>
  <c r="N10072" i="29"/>
  <c r="N10071" i="29"/>
  <c r="N10070" i="29"/>
  <c r="N10069" i="29"/>
  <c r="N10068" i="29"/>
  <c r="N10067" i="29"/>
  <c r="N10066" i="29"/>
  <c r="N10065" i="29"/>
  <c r="N10064" i="29"/>
  <c r="N10063" i="29"/>
  <c r="N10061" i="29"/>
  <c r="N10062" i="29"/>
  <c r="N10050" i="29"/>
  <c r="N10060" i="29"/>
  <c r="N10059" i="29"/>
  <c r="N10058" i="29"/>
  <c r="N10057" i="29"/>
  <c r="N10056" i="29"/>
  <c r="N10055" i="29"/>
  <c r="N10054" i="29"/>
  <c r="N10053" i="29"/>
  <c r="N10052" i="29"/>
  <c r="N10051" i="29"/>
  <c r="N10049" i="29"/>
  <c r="N10048" i="29"/>
  <c r="N10047" i="29"/>
  <c r="N10046" i="29"/>
  <c r="N10045" i="29"/>
  <c r="N10032" i="29"/>
  <c r="N10044" i="29"/>
  <c r="N10043" i="29"/>
  <c r="N10042" i="29"/>
  <c r="N10041" i="29"/>
  <c r="N10040" i="29"/>
  <c r="N10039" i="29"/>
  <c r="N10038" i="29"/>
  <c r="N10037" i="29"/>
  <c r="N10036" i="29"/>
  <c r="N10035" i="29"/>
  <c r="N10034" i="29"/>
  <c r="N10033" i="29"/>
  <c r="N10029" i="29"/>
  <c r="N10031" i="29"/>
  <c r="N10030" i="29"/>
  <c r="N10028" i="29"/>
  <c r="N10027" i="29"/>
  <c r="N10026" i="29"/>
  <c r="N10024" i="29"/>
  <c r="N10023" i="29"/>
  <c r="N10025" i="29"/>
  <c r="N10022" i="29"/>
  <c r="N10021" i="29"/>
  <c r="N10017" i="29"/>
  <c r="N10018" i="29"/>
  <c r="N10019" i="29"/>
  <c r="N10009" i="29"/>
  <c r="N10010" i="29"/>
  <c r="N10013" i="29"/>
  <c r="N10014" i="29"/>
  <c r="N10015" i="29"/>
  <c r="N10016" i="29"/>
  <c r="N10011" i="29"/>
  <c r="N10012" i="29"/>
  <c r="N10020" i="29"/>
  <c r="N10008" i="29"/>
  <c r="N10007" i="29"/>
  <c r="N10006" i="29"/>
  <c r="N10005" i="29"/>
  <c r="N10004" i="29"/>
  <c r="N10003" i="29"/>
  <c r="N10002" i="29"/>
  <c r="N10001" i="29"/>
  <c r="N10000" i="29"/>
  <c r="N9999" i="29"/>
  <c r="N9998" i="29"/>
  <c r="N9997" i="29"/>
  <c r="N9996" i="29"/>
  <c r="N9995" i="29"/>
  <c r="N9994" i="29"/>
  <c r="N9993" i="29"/>
  <c r="N9992" i="29"/>
  <c r="N9991" i="29"/>
  <c r="N9990" i="29"/>
  <c r="N9989" i="29"/>
  <c r="N9984" i="29"/>
  <c r="N9988" i="29"/>
  <c r="N9987" i="29"/>
  <c r="N9986" i="29"/>
  <c r="N9985" i="29"/>
  <c r="N9983" i="29"/>
  <c r="N9979" i="29"/>
  <c r="N9982" i="29"/>
  <c r="N9981" i="29"/>
  <c r="N9980" i="29"/>
  <c r="N9978" i="29"/>
  <c r="N9977" i="29"/>
  <c r="N9976" i="29"/>
  <c r="N9975" i="29"/>
  <c r="N9974" i="29"/>
  <c r="N9973" i="29"/>
  <c r="N9972" i="29"/>
  <c r="N9971" i="29"/>
  <c r="N9969" i="29"/>
  <c r="N9970" i="29"/>
  <c r="N9966" i="29"/>
  <c r="N9968" i="29"/>
  <c r="N9967" i="29"/>
  <c r="N9964" i="29"/>
  <c r="N9965" i="29"/>
  <c r="N9903" i="29"/>
  <c r="N9963" i="29"/>
  <c r="N9962" i="29"/>
  <c r="N9961" i="29"/>
  <c r="N9960" i="29"/>
  <c r="N9959" i="29"/>
  <c r="N9958" i="29"/>
  <c r="N9957" i="29"/>
  <c r="N9956" i="29"/>
  <c r="N9955" i="29"/>
  <c r="N9954" i="29"/>
  <c r="N9953" i="29"/>
  <c r="N9952" i="29"/>
  <c r="N9951" i="29"/>
  <c r="N9950" i="29"/>
  <c r="N9949" i="29"/>
  <c r="N9948" i="29"/>
  <c r="N9947" i="29"/>
  <c r="N9946" i="29"/>
  <c r="N9945" i="29"/>
  <c r="N9944" i="29"/>
  <c r="N9943" i="29"/>
  <c r="N9942" i="29"/>
  <c r="N9941" i="29"/>
  <c r="N9940" i="29"/>
  <c r="N9939" i="29"/>
  <c r="N9935" i="29"/>
  <c r="N9934" i="29"/>
  <c r="N9933" i="29"/>
  <c r="N9938" i="29"/>
  <c r="N9937" i="29"/>
  <c r="N9936" i="29"/>
  <c r="N9931" i="29"/>
  <c r="N9932" i="29"/>
  <c r="N9930" i="29"/>
  <c r="N9929" i="29"/>
  <c r="N9928" i="29"/>
  <c r="N9927" i="29"/>
  <c r="N9926" i="29"/>
  <c r="N9925" i="29"/>
  <c r="N9924" i="29"/>
  <c r="N9923" i="29"/>
  <c r="N9921" i="29"/>
  <c r="N9922" i="29"/>
  <c r="N9919" i="29"/>
  <c r="N9918" i="29"/>
  <c r="N9917" i="29"/>
  <c r="N9915" i="29"/>
  <c r="N9914" i="29"/>
  <c r="N9913" i="29"/>
  <c r="N9912" i="29"/>
  <c r="N9920" i="29"/>
  <c r="N9911" i="29"/>
  <c r="N9916" i="29"/>
  <c r="N9910" i="29"/>
  <c r="N9909" i="29"/>
  <c r="N9908" i="29"/>
  <c r="N9907" i="29"/>
  <c r="N9906" i="29"/>
  <c r="N9905" i="29"/>
  <c r="N9904" i="29"/>
  <c r="N9902" i="29"/>
  <c r="N9901" i="29"/>
  <c r="N9900" i="29"/>
  <c r="N9899" i="29"/>
  <c r="N9898" i="29"/>
  <c r="N9897" i="29"/>
  <c r="N9893" i="29"/>
  <c r="N9892" i="29"/>
  <c r="N9891" i="29"/>
  <c r="N9890" i="29"/>
  <c r="N9889" i="29"/>
  <c r="N9886" i="29"/>
  <c r="N9885" i="29"/>
  <c r="N9884" i="29"/>
  <c r="N9883" i="29"/>
  <c r="N9896" i="29"/>
  <c r="N9895" i="29"/>
  <c r="N9894" i="29"/>
  <c r="N9888" i="29"/>
  <c r="N9887" i="29"/>
  <c r="N9882" i="29"/>
  <c r="N9881" i="29"/>
  <c r="N9880" i="29"/>
  <c r="N9879" i="29"/>
  <c r="N9878" i="29"/>
  <c r="N9875" i="29"/>
  <c r="N9874" i="29"/>
  <c r="N9873" i="29"/>
  <c r="N9872" i="29"/>
  <c r="N9871" i="29"/>
  <c r="N9870" i="29"/>
  <c r="N9867" i="29"/>
  <c r="N9865" i="29"/>
  <c r="N9864" i="29"/>
  <c r="N9869" i="29"/>
  <c r="N9868" i="29"/>
  <c r="N9863" i="29"/>
  <c r="N9862" i="29"/>
  <c r="N9861" i="29"/>
  <c r="N9877" i="29"/>
  <c r="N9876" i="29"/>
  <c r="N9866" i="29"/>
  <c r="N9860" i="29"/>
  <c r="N9855" i="29"/>
  <c r="N9854" i="29"/>
  <c r="N9859" i="29"/>
  <c r="N9858" i="29"/>
  <c r="N9857" i="29"/>
  <c r="N9856" i="29"/>
  <c r="N9849" i="29"/>
  <c r="N9853" i="29"/>
  <c r="N9852" i="29"/>
  <c r="N9851" i="29"/>
  <c r="N9850" i="29"/>
  <c r="N9847" i="29"/>
  <c r="N9848" i="29"/>
  <c r="N9846" i="29"/>
  <c r="N9845" i="29"/>
  <c r="N9844" i="29"/>
  <c r="N9842" i="29"/>
  <c r="N9841" i="29"/>
  <c r="N9843" i="29"/>
  <c r="N9840" i="29"/>
  <c r="N9838" i="29"/>
  <c r="N9837" i="29"/>
  <c r="N9836" i="29"/>
  <c r="N9835" i="29"/>
  <c r="N9839" i="29"/>
  <c r="N9834" i="29"/>
  <c r="N9833" i="29"/>
  <c r="N9832" i="29"/>
  <c r="N9831" i="29"/>
  <c r="N9827" i="29"/>
  <c r="N9830" i="29"/>
  <c r="N9829" i="29"/>
  <c r="N9828" i="29"/>
  <c r="N9822" i="29"/>
  <c r="N9826" i="29"/>
  <c r="N9825" i="29"/>
  <c r="N9824" i="29"/>
  <c r="N9823" i="29"/>
  <c r="N9821" i="29"/>
  <c r="N9820" i="29"/>
  <c r="N9819" i="29"/>
  <c r="N9818" i="29"/>
  <c r="N9815" i="29"/>
  <c r="N9817" i="29"/>
  <c r="N9816" i="29"/>
  <c r="N9814" i="29"/>
  <c r="N9813" i="29"/>
  <c r="N9812" i="29"/>
  <c r="N9811" i="29"/>
  <c r="N9810" i="29"/>
  <c r="N9809" i="29"/>
  <c r="N9808" i="29"/>
  <c r="N9730" i="29"/>
  <c r="N9806" i="29"/>
  <c r="N9807" i="29"/>
  <c r="N9804" i="29"/>
  <c r="N9805" i="29"/>
  <c r="N9803" i="29"/>
  <c r="N9802" i="29"/>
  <c r="N9801" i="29"/>
  <c r="N9800" i="29"/>
  <c r="N9799" i="29"/>
  <c r="N9798" i="29"/>
  <c r="N9795" i="29"/>
  <c r="N9797" i="29"/>
  <c r="N9796" i="29"/>
  <c r="N9794" i="29"/>
  <c r="N9793" i="29"/>
  <c r="N9792" i="29"/>
  <c r="N9791" i="29"/>
  <c r="N9790" i="29"/>
  <c r="N9789" i="29"/>
  <c r="N9788" i="29"/>
  <c r="N9787" i="29"/>
  <c r="N9786" i="29"/>
  <c r="N9784" i="29"/>
  <c r="N9785" i="29"/>
  <c r="N9783" i="29"/>
  <c r="N9782" i="29"/>
  <c r="N9781" i="29"/>
  <c r="N9780" i="29"/>
  <c r="N9779" i="29"/>
  <c r="N9778" i="29"/>
  <c r="N9777" i="29"/>
  <c r="N9776" i="29"/>
  <c r="N9775" i="29"/>
  <c r="N9774" i="29"/>
  <c r="N9773" i="29"/>
  <c r="N9772" i="29"/>
  <c r="N9771" i="29"/>
  <c r="N9770" i="29"/>
  <c r="N9769" i="29"/>
  <c r="N9768" i="29"/>
  <c r="N9767" i="29"/>
  <c r="N9752" i="29"/>
  <c r="N9766" i="29"/>
  <c r="N9765" i="29"/>
  <c r="N9763" i="29"/>
  <c r="N9764" i="29"/>
  <c r="N9760" i="29"/>
  <c r="N9759" i="29"/>
  <c r="N9758" i="29"/>
  <c r="N9751" i="29"/>
  <c r="N9762" i="29"/>
  <c r="N9761" i="29"/>
  <c r="N9757" i="29"/>
  <c r="N9756" i="29"/>
  <c r="N9755" i="29"/>
  <c r="N9754" i="29"/>
  <c r="N9753" i="29"/>
  <c r="N9750" i="29"/>
  <c r="N9748" i="29"/>
  <c r="N9749" i="29"/>
  <c r="N9743" i="29"/>
  <c r="N9742" i="29"/>
  <c r="N9747" i="29"/>
  <c r="N9746" i="29"/>
  <c r="N9745" i="29"/>
  <c r="N9744" i="29"/>
  <c r="N9738" i="29"/>
  <c r="N9741" i="29"/>
  <c r="N9740" i="29"/>
  <c r="N9739" i="29"/>
  <c r="N9734" i="29"/>
  <c r="N9733" i="29"/>
  <c r="N9732" i="29"/>
  <c r="N9731" i="29"/>
  <c r="N9729" i="29"/>
  <c r="N9736" i="29"/>
  <c r="N9737" i="29"/>
  <c r="N9735" i="29"/>
  <c r="N9726" i="29"/>
  <c r="N9728" i="29"/>
  <c r="N9727" i="29"/>
  <c r="N9725" i="29"/>
  <c r="N9724" i="29"/>
  <c r="N9723" i="29"/>
  <c r="N9722" i="29"/>
  <c r="N9721" i="29"/>
  <c r="N9720" i="29"/>
  <c r="N9719" i="29"/>
  <c r="N9718" i="29"/>
  <c r="N9717" i="29"/>
  <c r="N9716" i="29"/>
  <c r="N9715" i="29"/>
  <c r="N9709" i="29"/>
  <c r="N9708" i="29"/>
  <c r="N9714" i="29"/>
  <c r="N9713" i="29"/>
  <c r="N9712" i="29"/>
  <c r="N9711" i="29"/>
  <c r="N9710" i="29"/>
  <c r="N9706" i="29"/>
  <c r="N9705" i="29"/>
  <c r="N9704" i="29"/>
  <c r="N9702" i="29"/>
  <c r="N9703" i="29"/>
  <c r="N9701" i="29"/>
  <c r="N9700" i="29"/>
  <c r="N9699" i="29"/>
  <c r="N9698" i="29"/>
  <c r="N9697" i="29"/>
  <c r="N9696" i="29"/>
  <c r="N9695" i="29"/>
  <c r="N9694" i="29"/>
  <c r="N9690" i="29"/>
  <c r="N9689" i="29"/>
  <c r="N9688" i="29"/>
  <c r="N9687" i="29"/>
  <c r="N9686" i="29"/>
  <c r="N9685" i="29"/>
  <c r="N9691" i="29"/>
  <c r="N9693" i="29"/>
  <c r="N9692" i="29"/>
  <c r="N9684" i="29"/>
  <c r="N9683" i="29"/>
  <c r="N9682" i="29"/>
  <c r="N9681" i="29"/>
  <c r="N9680" i="29"/>
  <c r="N9679" i="29"/>
  <c r="N9678" i="29"/>
  <c r="N9677" i="29"/>
  <c r="N9676" i="29"/>
  <c r="N9675" i="29"/>
  <c r="N9674" i="29"/>
  <c r="N9673" i="29"/>
  <c r="N9672" i="29"/>
  <c r="N9671" i="29"/>
  <c r="N9669" i="29"/>
  <c r="N9668" i="29"/>
  <c r="N9670" i="29"/>
  <c r="N9667" i="29"/>
  <c r="N9666" i="29"/>
  <c r="N9665" i="29"/>
  <c r="N9664" i="29"/>
  <c r="N9663" i="29"/>
  <c r="N9662" i="29"/>
  <c r="N9661" i="29"/>
  <c r="N9660" i="29"/>
  <c r="N9659" i="29"/>
  <c r="N9658" i="29"/>
  <c r="N9657" i="29"/>
  <c r="N9656" i="29"/>
  <c r="N9655" i="29"/>
  <c r="N9654" i="29"/>
  <c r="N9653" i="29"/>
  <c r="N9652" i="29"/>
  <c r="N9651" i="29"/>
  <c r="N9650" i="29"/>
  <c r="N9649" i="29"/>
  <c r="N9646" i="29"/>
  <c r="N9645" i="29"/>
  <c r="N9648" i="29"/>
  <c r="N9647" i="29"/>
  <c r="N9640" i="29"/>
  <c r="N9644" i="29"/>
  <c r="N9643" i="29"/>
  <c r="N9642" i="29"/>
  <c r="N9641" i="29"/>
  <c r="N9639" i="29"/>
  <c r="N9638" i="29"/>
  <c r="N9637" i="29"/>
  <c r="N9636" i="29"/>
  <c r="N9635" i="29"/>
  <c r="N9634" i="29"/>
  <c r="N9633" i="29"/>
  <c r="N9632" i="29"/>
  <c r="N9707" i="29"/>
  <c r="N9630" i="29"/>
  <c r="N9626" i="29"/>
  <c r="N9625" i="29"/>
  <c r="N9624" i="29"/>
  <c r="N9621" i="29"/>
  <c r="N9629" i="29"/>
  <c r="N9628" i="29"/>
  <c r="N9627" i="29"/>
  <c r="N9619" i="29"/>
  <c r="N9623" i="29"/>
  <c r="N9622" i="29"/>
  <c r="N9618" i="29"/>
  <c r="N9620" i="29"/>
  <c r="N9617" i="29"/>
  <c r="N9616" i="29"/>
  <c r="N9615" i="29"/>
  <c r="N9614" i="29"/>
  <c r="N9613" i="29"/>
  <c r="N9612" i="29"/>
  <c r="N9611" i="29"/>
  <c r="N9607" i="29"/>
  <c r="N9610" i="29"/>
  <c r="N9609" i="29"/>
  <c r="N9608" i="29"/>
  <c r="N9606" i="29"/>
  <c r="N9604" i="29"/>
  <c r="N9603" i="29"/>
  <c r="N9602" i="29"/>
  <c r="N9601" i="29"/>
  <c r="N9605" i="29"/>
  <c r="N9600" i="29"/>
  <c r="N9599" i="29"/>
  <c r="N9598" i="29"/>
  <c r="N9597" i="29"/>
  <c r="N9596" i="29"/>
  <c r="N9595" i="29"/>
  <c r="N9594" i="29"/>
  <c r="N9593" i="29"/>
  <c r="N9592" i="29"/>
  <c r="N9591" i="29"/>
  <c r="N9590" i="29"/>
  <c r="N9589" i="29"/>
  <c r="N9588" i="29"/>
  <c r="N9585" i="29"/>
  <c r="N9584" i="29"/>
  <c r="N9583" i="29"/>
  <c r="N9582" i="29"/>
  <c r="N9587" i="29"/>
  <c r="N9581" i="29"/>
  <c r="N9580" i="29"/>
  <c r="N9579" i="29"/>
  <c r="N9576" i="29"/>
  <c r="N9575" i="29"/>
  <c r="N9574" i="29"/>
  <c r="N9586" i="29"/>
  <c r="N9578" i="29"/>
  <c r="N9577" i="29"/>
  <c r="N9570" i="29"/>
  <c r="N9573" i="29"/>
  <c r="N9572" i="29"/>
  <c r="N9571" i="29"/>
  <c r="N9569" i="29"/>
  <c r="N9568" i="29"/>
  <c r="N9567" i="29"/>
  <c r="N9566" i="29"/>
  <c r="N9564" i="29"/>
  <c r="N9563" i="29"/>
  <c r="N9562" i="29"/>
  <c r="N9565" i="29"/>
  <c r="N9560" i="29"/>
  <c r="N9559" i="29"/>
  <c r="N9556" i="29"/>
  <c r="N9555" i="29"/>
  <c r="N9553" i="29"/>
  <c r="N9550" i="29"/>
  <c r="N9549" i="29"/>
  <c r="N9548" i="29"/>
  <c r="N9561" i="29"/>
  <c r="N9558" i="29"/>
  <c r="N9557" i="29"/>
  <c r="N9554" i="29"/>
  <c r="N9552" i="29"/>
  <c r="N9551" i="29"/>
  <c r="N9547" i="29"/>
  <c r="N9546" i="29"/>
  <c r="N9545" i="29"/>
  <c r="N9544" i="29"/>
  <c r="N9543" i="29"/>
  <c r="N9542" i="29"/>
  <c r="N9535" i="29"/>
  <c r="N9534" i="29"/>
  <c r="N9533" i="29"/>
  <c r="N9532" i="29"/>
  <c r="N9531" i="29"/>
  <c r="N9529" i="29"/>
  <c r="N9528" i="29"/>
  <c r="N9527" i="29"/>
  <c r="N9526" i="29"/>
  <c r="N9541" i="29"/>
  <c r="N9522" i="29"/>
  <c r="N9521" i="29"/>
  <c r="N9520" i="29"/>
  <c r="N9515" i="29"/>
  <c r="N9514" i="29"/>
  <c r="N9513" i="29"/>
  <c r="N9540" i="29"/>
  <c r="N9539" i="29"/>
  <c r="N9538" i="29"/>
  <c r="N9537" i="29"/>
  <c r="N9536" i="29"/>
  <c r="N9530" i="29"/>
  <c r="N9512" i="29"/>
  <c r="N9525" i="29"/>
  <c r="N9524" i="29"/>
  <c r="N9523" i="29"/>
  <c r="N9519" i="29"/>
  <c r="N9518" i="29"/>
  <c r="N9517" i="29"/>
  <c r="N9516" i="29"/>
  <c r="N9511" i="29"/>
  <c r="N9510" i="29"/>
  <c r="N9509" i="29"/>
  <c r="N9500" i="29"/>
  <c r="N9508" i="29"/>
  <c r="N9507" i="29"/>
  <c r="N9506" i="29"/>
  <c r="N9503" i="29"/>
  <c r="N9502" i="29"/>
  <c r="N9505" i="29"/>
  <c r="N9504" i="29"/>
  <c r="N9501" i="29"/>
  <c r="N9499" i="29"/>
  <c r="N9498" i="29"/>
  <c r="N9497" i="29"/>
  <c r="N9496" i="29"/>
  <c r="N9495" i="29"/>
  <c r="N9494" i="29"/>
  <c r="N9493" i="29"/>
  <c r="N9492" i="29"/>
  <c r="N9491" i="29"/>
  <c r="N9490" i="29"/>
  <c r="N9488" i="29"/>
  <c r="N9487" i="29"/>
  <c r="N9486" i="29"/>
  <c r="N9489" i="29"/>
  <c r="N9485" i="29"/>
  <c r="N9484" i="29"/>
  <c r="N9481" i="29"/>
  <c r="N9480" i="29"/>
  <c r="N9479" i="29"/>
  <c r="N9478" i="29"/>
  <c r="N9477" i="29"/>
  <c r="N9473" i="29"/>
  <c r="N9482" i="29"/>
  <c r="N9483" i="29"/>
  <c r="N9476" i="29"/>
  <c r="N9475" i="29"/>
  <c r="N9474" i="29"/>
  <c r="N9472" i="29"/>
  <c r="N9471" i="29"/>
  <c r="N9470" i="29"/>
  <c r="N9468" i="29"/>
  <c r="N9469" i="29"/>
  <c r="N9467" i="29"/>
  <c r="N9466" i="29"/>
  <c r="N9465" i="29"/>
  <c r="N9464" i="29"/>
  <c r="N9463" i="29"/>
  <c r="N9462" i="29"/>
  <c r="N9461" i="29"/>
  <c r="N9459" i="29"/>
  <c r="N9458" i="29"/>
  <c r="N9456" i="29"/>
  <c r="N9455" i="29"/>
  <c r="N9447" i="29"/>
  <c r="N9450" i="29"/>
  <c r="N9449" i="29"/>
  <c r="N9460" i="29"/>
  <c r="N9457" i="29"/>
  <c r="N9454" i="29"/>
  <c r="N9453" i="29"/>
  <c r="N9452" i="29"/>
  <c r="N9451" i="29"/>
  <c r="N9448" i="29"/>
  <c r="N9445" i="29"/>
  <c r="N9444" i="29"/>
  <c r="N9446" i="29"/>
  <c r="N9437" i="29"/>
  <c r="N9434" i="29"/>
  <c r="N9433" i="29"/>
  <c r="N9432" i="29"/>
  <c r="N9443" i="29"/>
  <c r="N9442" i="29"/>
  <c r="N9441" i="29"/>
  <c r="N9440" i="29"/>
  <c r="N9439" i="29"/>
  <c r="N9438" i="29"/>
  <c r="N9436" i="29"/>
  <c r="N9435" i="29"/>
  <c r="N9431" i="29"/>
  <c r="N9430" i="29"/>
  <c r="N9429" i="29"/>
  <c r="N9425" i="29"/>
  <c r="N9424" i="29"/>
  <c r="N9428" i="29"/>
  <c r="N9427" i="29"/>
  <c r="N9426" i="29"/>
  <c r="N9423" i="29"/>
  <c r="N9422" i="29"/>
  <c r="N9420" i="29"/>
  <c r="N9416" i="29"/>
  <c r="N9415" i="29"/>
  <c r="N9411" i="29"/>
  <c r="N9410" i="29"/>
  <c r="N9407" i="29"/>
  <c r="N9421" i="29"/>
  <c r="N9419" i="29"/>
  <c r="N9418" i="29"/>
  <c r="N9417" i="29"/>
  <c r="N9414" i="29"/>
  <c r="N9413" i="29"/>
  <c r="N9412" i="29"/>
  <c r="N9409" i="29"/>
  <c r="N9408" i="29"/>
  <c r="N9406" i="29"/>
  <c r="N9405" i="29"/>
  <c r="N9404" i="29"/>
  <c r="N9403" i="29"/>
  <c r="N9402" i="29"/>
  <c r="N9401" i="29"/>
  <c r="N9400" i="29"/>
  <c r="N9399" i="29"/>
  <c r="N9398" i="29"/>
  <c r="N9397" i="29"/>
  <c r="N9396" i="29"/>
  <c r="N9395" i="29"/>
  <c r="N9394" i="29"/>
  <c r="N9393" i="29"/>
  <c r="N9392" i="29"/>
  <c r="N9391" i="29"/>
  <c r="N9390" i="29"/>
  <c r="N9389" i="29"/>
  <c r="N9388" i="29"/>
  <c r="N9387" i="29"/>
  <c r="N9386" i="29"/>
  <c r="N9381" i="29"/>
  <c r="N9382" i="29"/>
  <c r="N9385" i="29"/>
  <c r="N9384" i="29"/>
  <c r="N9383" i="29"/>
  <c r="N9378" i="29"/>
  <c r="N9380" i="29"/>
  <c r="N9379" i="29"/>
  <c r="N9377" i="29"/>
  <c r="N9376" i="29"/>
  <c r="N9373" i="29"/>
  <c r="N9371" i="29"/>
  <c r="N9369" i="29"/>
  <c r="N9304" i="29"/>
  <c r="N9368" i="29"/>
  <c r="N9367" i="29"/>
  <c r="N9375" i="29"/>
  <c r="N9374" i="29"/>
  <c r="N9372" i="29"/>
  <c r="N9370" i="29"/>
  <c r="N9366" i="29"/>
  <c r="N9365" i="29"/>
  <c r="N9364" i="29"/>
  <c r="N9363" i="29"/>
  <c r="N9362" i="29"/>
  <c r="N9361" i="29"/>
  <c r="N9360" i="29"/>
  <c r="N9359" i="29"/>
  <c r="N9351" i="29"/>
  <c r="N9350" i="29"/>
  <c r="N9348" i="29"/>
  <c r="N9347" i="29"/>
  <c r="N9345" i="29"/>
  <c r="N9358" i="29"/>
  <c r="N9349" i="29"/>
  <c r="N9312" i="29"/>
  <c r="N9325" i="29"/>
  <c r="N9357" i="29"/>
  <c r="N9356" i="29"/>
  <c r="N9355" i="29"/>
  <c r="N9354" i="29"/>
  <c r="N9353" i="29"/>
  <c r="N9352" i="29"/>
  <c r="N9346" i="29"/>
  <c r="N9344" i="29"/>
  <c r="N9343" i="29"/>
  <c r="N9339" i="29"/>
  <c r="N9338" i="29"/>
  <c r="N9337" i="29"/>
  <c r="N9336" i="29"/>
  <c r="N9335" i="29"/>
  <c r="N9342" i="29"/>
  <c r="N9341" i="29"/>
  <c r="N9340" i="29"/>
  <c r="N9333" i="29"/>
  <c r="N9332" i="29"/>
  <c r="N9331" i="29"/>
  <c r="N9330" i="29"/>
  <c r="N9329" i="29"/>
  <c r="N9334" i="29"/>
  <c r="N9328" i="29"/>
  <c r="N9327" i="29"/>
  <c r="N9326" i="29"/>
  <c r="N9310" i="29"/>
  <c r="N9309" i="29"/>
  <c r="N9308" i="29"/>
  <c r="N9307" i="29"/>
  <c r="N9306" i="29"/>
  <c r="N9302" i="29"/>
  <c r="N9301" i="29"/>
  <c r="N9300" i="29"/>
  <c r="N9299" i="29"/>
  <c r="N9324" i="29"/>
  <c r="N9323" i="29"/>
  <c r="N9322" i="29"/>
  <c r="N9317" i="29"/>
  <c r="N9316" i="29"/>
  <c r="N9315" i="29"/>
  <c r="N9311" i="29"/>
  <c r="N9305" i="29"/>
  <c r="N9321" i="29"/>
  <c r="N9320" i="29"/>
  <c r="N9319" i="29"/>
  <c r="N9318" i="29"/>
  <c r="N9314" i="29"/>
  <c r="N9313" i="29"/>
  <c r="N9303" i="29"/>
  <c r="N9298" i="29"/>
  <c r="N9297" i="29"/>
  <c r="N9296" i="29"/>
  <c r="N9295" i="29"/>
  <c r="N9293" i="29"/>
  <c r="N9294" i="29"/>
  <c r="N9283" i="29"/>
  <c r="N9292" i="29"/>
  <c r="N9291" i="29"/>
  <c r="N9290" i="29"/>
  <c r="N9289" i="29"/>
  <c r="N9288" i="29"/>
  <c r="N9287" i="29"/>
  <c r="N9286" i="29"/>
  <c r="N9285" i="29"/>
  <c r="N9284" i="29"/>
  <c r="N6788" i="29"/>
  <c r="N7429" i="29"/>
  <c r="N7430" i="29"/>
  <c r="N7431" i="29"/>
  <c r="N7432" i="29"/>
  <c r="N7433" i="29"/>
  <c r="N7434" i="29"/>
  <c r="N7435" i="29"/>
  <c r="N7436" i="29"/>
  <c r="N7437" i="29"/>
  <c r="N7438" i="29"/>
  <c r="N7439" i="29"/>
  <c r="N7440" i="29"/>
  <c r="N7441" i="29"/>
  <c r="N7442" i="29"/>
  <c r="N7443" i="29"/>
  <c r="N7444" i="29"/>
  <c r="N7445" i="29"/>
  <c r="N7446" i="29"/>
  <c r="N7447" i="29"/>
  <c r="N7448" i="29"/>
  <c r="N7449" i="29"/>
  <c r="N7450" i="29"/>
  <c r="N7451" i="29"/>
  <c r="N7452" i="29"/>
  <c r="N7453" i="29"/>
  <c r="N7454" i="29"/>
  <c r="N7455" i="29"/>
  <c r="N7456" i="29"/>
  <c r="N7457" i="29"/>
  <c r="N7458" i="29"/>
  <c r="N7459" i="29"/>
  <c r="N7460" i="29"/>
  <c r="N7461" i="29"/>
  <c r="N7462" i="29"/>
  <c r="N7463" i="29"/>
  <c r="N7464" i="29"/>
  <c r="N7465" i="29"/>
  <c r="N7466" i="29"/>
  <c r="N7467" i="29"/>
  <c r="N7468" i="29"/>
  <c r="N7469" i="29"/>
  <c r="N7470" i="29"/>
  <c r="N7471" i="29"/>
  <c r="N7472" i="29"/>
  <c r="N7473" i="29"/>
  <c r="N7474" i="29"/>
  <c r="N7475" i="29"/>
  <c r="N7476" i="29"/>
  <c r="N7477" i="29"/>
  <c r="N7478" i="29"/>
  <c r="N7479" i="29"/>
  <c r="N7480" i="29"/>
  <c r="N7481" i="29"/>
  <c r="N7482" i="29"/>
  <c r="N7483" i="29"/>
  <c r="N7484" i="29"/>
  <c r="N7485" i="29"/>
  <c r="N7486" i="29"/>
  <c r="N7487" i="29"/>
  <c r="N7488" i="29"/>
  <c r="N7489" i="29"/>
  <c r="N7490" i="29"/>
  <c r="N7491" i="29"/>
  <c r="N7492" i="29"/>
  <c r="N7493" i="29"/>
  <c r="N7494" i="29"/>
  <c r="N7495" i="29"/>
  <c r="N7496" i="29"/>
  <c r="N7497" i="29"/>
  <c r="N7498" i="29"/>
  <c r="N7499" i="29"/>
  <c r="N7500" i="29"/>
  <c r="N7501" i="29"/>
  <c r="N7502" i="29"/>
  <c r="N7503" i="29"/>
  <c r="N7504" i="29"/>
  <c r="N7505" i="29"/>
  <c r="N7506" i="29"/>
  <c r="N7507" i="29"/>
  <c r="N7508" i="29"/>
  <c r="N7509" i="29"/>
  <c r="N7510" i="29"/>
  <c r="N7511" i="29"/>
  <c r="N7512" i="29"/>
  <c r="N7513" i="29"/>
  <c r="N7514" i="29"/>
  <c r="N7515" i="29"/>
  <c r="N7516" i="29"/>
  <c r="N7517" i="29"/>
  <c r="N7518" i="29"/>
  <c r="N7519" i="29"/>
  <c r="N7520" i="29"/>
  <c r="N7521" i="29"/>
  <c r="N7522" i="29"/>
  <c r="N7523" i="29"/>
  <c r="N7524" i="29"/>
  <c r="N7525" i="29"/>
  <c r="N7526" i="29"/>
  <c r="N7527" i="29"/>
  <c r="N7528" i="29"/>
  <c r="N7529" i="29"/>
  <c r="N7530" i="29"/>
  <c r="N7531" i="29"/>
  <c r="N7532" i="29"/>
  <c r="N7533" i="29"/>
  <c r="N7534" i="29"/>
  <c r="N7535" i="29"/>
  <c r="N7536" i="29"/>
  <c r="N7537" i="29"/>
  <c r="N7538" i="29"/>
  <c r="N7539" i="29"/>
  <c r="N7540" i="29"/>
  <c r="N7541" i="29"/>
  <c r="N7542" i="29"/>
  <c r="N7543" i="29"/>
  <c r="N7544" i="29"/>
  <c r="N7545" i="29"/>
  <c r="N7546" i="29"/>
  <c r="N7547" i="29"/>
  <c r="N7548" i="29"/>
  <c r="N7549" i="29"/>
  <c r="N7550" i="29"/>
  <c r="N7551" i="29"/>
  <c r="N7552" i="29"/>
  <c r="N7553" i="29"/>
  <c r="N7554" i="29"/>
  <c r="N7555" i="29"/>
  <c r="N7556" i="29"/>
  <c r="N7557" i="29"/>
  <c r="N7558" i="29"/>
  <c r="N7559" i="29"/>
  <c r="N7560" i="29"/>
  <c r="N7561" i="29"/>
  <c r="N7562" i="29"/>
  <c r="N7563" i="29"/>
  <c r="N7564" i="29"/>
  <c r="N7565" i="29"/>
  <c r="N7566" i="29"/>
  <c r="N7567" i="29"/>
  <c r="N7568" i="29"/>
  <c r="N7569" i="29"/>
  <c r="N7570" i="29"/>
  <c r="N7571" i="29"/>
  <c r="N7572" i="29"/>
  <c r="N7573" i="29"/>
  <c r="N7574" i="29"/>
  <c r="N7575" i="29"/>
  <c r="N7576" i="29"/>
  <c r="N7577" i="29"/>
  <c r="N7578" i="29"/>
  <c r="N7579" i="29"/>
  <c r="N7580" i="29"/>
  <c r="N7581" i="29"/>
  <c r="N7582" i="29"/>
  <c r="N7583" i="29"/>
  <c r="N7584" i="29"/>
  <c r="N7585" i="29"/>
  <c r="N7586" i="29"/>
  <c r="N7587" i="29"/>
  <c r="N7588" i="29"/>
  <c r="N7589" i="29"/>
  <c r="N7590" i="29"/>
  <c r="N7591" i="29"/>
  <c r="N7592" i="29"/>
  <c r="N7593" i="29"/>
  <c r="N7594" i="29"/>
  <c r="N7595" i="29"/>
  <c r="N7596" i="29"/>
  <c r="N7597" i="29"/>
  <c r="N7598" i="29"/>
  <c r="N7599" i="29"/>
  <c r="N7600" i="29"/>
  <c r="N7601" i="29"/>
  <c r="N7602" i="29"/>
  <c r="N7603" i="29"/>
  <c r="N7604" i="29"/>
  <c r="N7605" i="29"/>
  <c r="N7606" i="29"/>
  <c r="N7607" i="29"/>
  <c r="N7608" i="29"/>
  <c r="N7609" i="29"/>
  <c r="N7610" i="29"/>
  <c r="N7611" i="29"/>
  <c r="N7612" i="29"/>
  <c r="N7613" i="29"/>
  <c r="N7614" i="29"/>
  <c r="N7615" i="29"/>
  <c r="N7616" i="29"/>
  <c r="N7617" i="29"/>
  <c r="N7618" i="29"/>
  <c r="N7619" i="29"/>
  <c r="N7620" i="29"/>
  <c r="N7621" i="29"/>
  <c r="N7622" i="29"/>
  <c r="N7623" i="29"/>
  <c r="N7624" i="29"/>
  <c r="N7625" i="29"/>
  <c r="N7626" i="29"/>
  <c r="N7627" i="29"/>
  <c r="N7628" i="29"/>
  <c r="N7629" i="29"/>
  <c r="N7630" i="29"/>
  <c r="N7631" i="29"/>
  <c r="N7632" i="29"/>
  <c r="N7633" i="29"/>
  <c r="N7634" i="29"/>
  <c r="N7635" i="29"/>
  <c r="N7636" i="29"/>
  <c r="N7637" i="29"/>
  <c r="N7638" i="29"/>
  <c r="N7639" i="29"/>
  <c r="N7640" i="29"/>
  <c r="N7641" i="29"/>
  <c r="N7642" i="29"/>
  <c r="N7643" i="29"/>
  <c r="N7644" i="29"/>
  <c r="N7645" i="29"/>
  <c r="N7646" i="29"/>
  <c r="N7647" i="29"/>
  <c r="N7648" i="29"/>
  <c r="N7649" i="29"/>
  <c r="N7650" i="29"/>
  <c r="N7651" i="29"/>
  <c r="N7652" i="29"/>
  <c r="N7653" i="29"/>
  <c r="N7654" i="29"/>
  <c r="N7655" i="29"/>
  <c r="N7656" i="29"/>
  <c r="N7657" i="29"/>
  <c r="N7658" i="29"/>
  <c r="N7659" i="29"/>
  <c r="N7660" i="29"/>
  <c r="N7661" i="29"/>
  <c r="N7662" i="29"/>
  <c r="N7663" i="29"/>
  <c r="N7664" i="29"/>
  <c r="N7665" i="29"/>
  <c r="N7666" i="29"/>
  <c r="N7667" i="29"/>
  <c r="N7668" i="29"/>
  <c r="N7669" i="29"/>
  <c r="N7670" i="29"/>
  <c r="N7671" i="29"/>
  <c r="N7672" i="29"/>
  <c r="N7673" i="29"/>
  <c r="N7674" i="29"/>
  <c r="N7675" i="29"/>
  <c r="N7676" i="29"/>
  <c r="N7677" i="29"/>
  <c r="N7678" i="29"/>
  <c r="N7679" i="29"/>
  <c r="N7680" i="29"/>
  <c r="N7681" i="29"/>
  <c r="N7682" i="29"/>
  <c r="N7683" i="29"/>
  <c r="N7684" i="29"/>
  <c r="N7685" i="29"/>
  <c r="N7686" i="29"/>
  <c r="N7687" i="29"/>
  <c r="N7688" i="29"/>
  <c r="N7689" i="29"/>
  <c r="N7690" i="29"/>
  <c r="N7691" i="29"/>
  <c r="N7692" i="29"/>
  <c r="N7693" i="29"/>
  <c r="N7694" i="29"/>
  <c r="N7695" i="29"/>
  <c r="N7696" i="29"/>
  <c r="N7697" i="29"/>
  <c r="N7698" i="29"/>
  <c r="N7699" i="29"/>
  <c r="N7700" i="29"/>
  <c r="N7701" i="29"/>
  <c r="N7702" i="29"/>
  <c r="N7703" i="29"/>
  <c r="N7704" i="29"/>
  <c r="N7705" i="29"/>
  <c r="N7706" i="29"/>
  <c r="N7707" i="29"/>
  <c r="N7708" i="29"/>
  <c r="N7709" i="29"/>
  <c r="N7710" i="29"/>
  <c r="N7711" i="29"/>
  <c r="N7712" i="29"/>
  <c r="N7713" i="29"/>
  <c r="N7714" i="29"/>
  <c r="N7715" i="29"/>
  <c r="N7716" i="29"/>
  <c r="N7717" i="29"/>
  <c r="N7718" i="29"/>
  <c r="N7719" i="29"/>
  <c r="N7720" i="29"/>
  <c r="N7721" i="29"/>
  <c r="N7722" i="29"/>
  <c r="N7723" i="29"/>
  <c r="N7724" i="29"/>
  <c r="N7725" i="29"/>
  <c r="N7726" i="29"/>
  <c r="N7727" i="29"/>
  <c r="N7728" i="29"/>
  <c r="N7729" i="29"/>
  <c r="N7730" i="29"/>
  <c r="N7731" i="29"/>
  <c r="N7732" i="29"/>
  <c r="N7733" i="29"/>
  <c r="N7734" i="29"/>
  <c r="N7735" i="29"/>
  <c r="N7736" i="29"/>
  <c r="N7737" i="29"/>
  <c r="N7738" i="29"/>
  <c r="N7739" i="29"/>
  <c r="N7740" i="29"/>
  <c r="N7741" i="29"/>
  <c r="N7742" i="29"/>
  <c r="N7743" i="29"/>
  <c r="N7744" i="29"/>
  <c r="N7745" i="29"/>
  <c r="N7746" i="29"/>
  <c r="N7747" i="29"/>
  <c r="N7748" i="29"/>
  <c r="N7749" i="29"/>
  <c r="N7750" i="29"/>
  <c r="N7751" i="29"/>
  <c r="N7752" i="29"/>
  <c r="N7753" i="29"/>
  <c r="N7754" i="29"/>
  <c r="N7755" i="29"/>
  <c r="N7756" i="29"/>
  <c r="N7757" i="29"/>
  <c r="N7758" i="29"/>
  <c r="N7759" i="29"/>
  <c r="N7760" i="29"/>
  <c r="N7761" i="29"/>
  <c r="N7762" i="29"/>
  <c r="N7763" i="29"/>
  <c r="N7764" i="29"/>
  <c r="N7765" i="29"/>
  <c r="N7766" i="29"/>
  <c r="N7767" i="29"/>
  <c r="N7768" i="29"/>
  <c r="N7769" i="29"/>
  <c r="N7770" i="29"/>
  <c r="N7771" i="29"/>
  <c r="N7772" i="29"/>
  <c r="N7773" i="29"/>
  <c r="N7774" i="29"/>
  <c r="N7775" i="29"/>
  <c r="N7776" i="29"/>
  <c r="N7777" i="29"/>
  <c r="N7778" i="29"/>
  <c r="N7779" i="29"/>
  <c r="N7780" i="29"/>
  <c r="N7781" i="29"/>
  <c r="N7782" i="29"/>
  <c r="N7783" i="29"/>
  <c r="N7784" i="29"/>
  <c r="N7785" i="29"/>
  <c r="N7786" i="29"/>
  <c r="N7787" i="29"/>
  <c r="N7788" i="29"/>
  <c r="N7789" i="29"/>
  <c r="N7790" i="29"/>
  <c r="N7791" i="29"/>
  <c r="N7792" i="29"/>
  <c r="N7793" i="29"/>
  <c r="N7794" i="29"/>
  <c r="N7795" i="29"/>
  <c r="N7796" i="29"/>
  <c r="N7797" i="29"/>
  <c r="N7798" i="29"/>
  <c r="N7799" i="29"/>
  <c r="N7800" i="29"/>
  <c r="N7801" i="29"/>
  <c r="N7802" i="29"/>
  <c r="N7803" i="29"/>
  <c r="N7804" i="29"/>
  <c r="N7805" i="29"/>
  <c r="N7806" i="29"/>
  <c r="N7807" i="29"/>
  <c r="N7808" i="29"/>
  <c r="N7809" i="29"/>
  <c r="N7810" i="29"/>
  <c r="N7811" i="29"/>
  <c r="N7812" i="29"/>
  <c r="N7813" i="29"/>
  <c r="N7814" i="29"/>
  <c r="N7815" i="29"/>
  <c r="N7816" i="29"/>
  <c r="N7817" i="29"/>
  <c r="N7818" i="29"/>
  <c r="N7819" i="29"/>
  <c r="N7820" i="29"/>
  <c r="N7821" i="29"/>
  <c r="N7822" i="29"/>
  <c r="N7823" i="29"/>
  <c r="N7824" i="29"/>
  <c r="N7825" i="29"/>
  <c r="N7826" i="29"/>
  <c r="N7827" i="29"/>
  <c r="N7828" i="29"/>
  <c r="N7829" i="29"/>
  <c r="N7830" i="29"/>
  <c r="N7831" i="29"/>
  <c r="N7832" i="29"/>
  <c r="N7833" i="29"/>
  <c r="N7834" i="29"/>
  <c r="N7835" i="29"/>
  <c r="N7836" i="29"/>
  <c r="N7837" i="29"/>
  <c r="N7838" i="29"/>
  <c r="N7839" i="29"/>
  <c r="N7840" i="29"/>
  <c r="N7841" i="29"/>
  <c r="N7842" i="29"/>
  <c r="N7843" i="29"/>
  <c r="N7844" i="29"/>
  <c r="N7845" i="29"/>
  <c r="N7846" i="29"/>
  <c r="N7847" i="29"/>
  <c r="N7848" i="29"/>
  <c r="N7849" i="29"/>
  <c r="N7850" i="29"/>
  <c r="N7851" i="29"/>
  <c r="N7852" i="29"/>
  <c r="N7853" i="29"/>
  <c r="N7854" i="29"/>
  <c r="N7855" i="29"/>
  <c r="N7856" i="29"/>
  <c r="N7857" i="29"/>
  <c r="N7858" i="29"/>
  <c r="N7859" i="29"/>
  <c r="N7860" i="29"/>
  <c r="N7861" i="29"/>
  <c r="N7862" i="29"/>
  <c r="N7863" i="29"/>
  <c r="N7864" i="29"/>
  <c r="N7865" i="29"/>
  <c r="N7866" i="29"/>
  <c r="N7867" i="29"/>
  <c r="N7868" i="29"/>
  <c r="N7869" i="29"/>
  <c r="N7870" i="29"/>
  <c r="N7871" i="29"/>
  <c r="N7872" i="29"/>
  <c r="N7873" i="29"/>
  <c r="N7874" i="29"/>
  <c r="N7875" i="29"/>
  <c r="N7876" i="29"/>
  <c r="N7877" i="29"/>
  <c r="N7878" i="29"/>
  <c r="N7879" i="29"/>
  <c r="N7880" i="29"/>
  <c r="N7881" i="29"/>
  <c r="N7882" i="29"/>
  <c r="N7883" i="29"/>
  <c r="N7884" i="29"/>
  <c r="N7885" i="29"/>
  <c r="N7886" i="29"/>
  <c r="N7887" i="29"/>
  <c r="N7888" i="29"/>
  <c r="N7889" i="29"/>
  <c r="N7890" i="29"/>
  <c r="N7891" i="29"/>
  <c r="N7892" i="29"/>
  <c r="N7893" i="29"/>
  <c r="N7894" i="29"/>
  <c r="N7895" i="29"/>
  <c r="N7896" i="29"/>
  <c r="N7897" i="29"/>
  <c r="N7898" i="29"/>
  <c r="N7899" i="29"/>
  <c r="N7900" i="29"/>
  <c r="N7901" i="29"/>
  <c r="N7902" i="29"/>
  <c r="N7903" i="29"/>
  <c r="N7904" i="29"/>
  <c r="N7905" i="29"/>
  <c r="N7906" i="29"/>
  <c r="N7907" i="29"/>
  <c r="N7908" i="29"/>
  <c r="N7909" i="29"/>
  <c r="N7910" i="29"/>
  <c r="N7911" i="29"/>
  <c r="N7912" i="29"/>
  <c r="N7913" i="29"/>
  <c r="N7914" i="29"/>
  <c r="N7915" i="29"/>
  <c r="N7916" i="29"/>
  <c r="N7917" i="29"/>
  <c r="N7918" i="29"/>
  <c r="N7919" i="29"/>
  <c r="N7920" i="29"/>
  <c r="N7921" i="29"/>
  <c r="N7922" i="29"/>
  <c r="N7923" i="29"/>
  <c r="N7924" i="29"/>
  <c r="N7925" i="29"/>
  <c r="N7926" i="29"/>
  <c r="N7927" i="29"/>
  <c r="N7928" i="29"/>
  <c r="N7929" i="29"/>
  <c r="N7930" i="29"/>
  <c r="N7931" i="29"/>
  <c r="N7932" i="29"/>
  <c r="N7933" i="29"/>
  <c r="N7934" i="29"/>
  <c r="N7935" i="29"/>
  <c r="N7936" i="29"/>
  <c r="N7937" i="29"/>
  <c r="N7938" i="29"/>
  <c r="N7939" i="29"/>
  <c r="N7940" i="29"/>
  <c r="N7941" i="29"/>
  <c r="N7942" i="29"/>
  <c r="N7943" i="29"/>
  <c r="N7944" i="29"/>
  <c r="N7945" i="29"/>
  <c r="N7946" i="29"/>
  <c r="N7947" i="29"/>
  <c r="N7948" i="29"/>
  <c r="N7949" i="29"/>
  <c r="N7950" i="29"/>
  <c r="N7951" i="29"/>
  <c r="N7952" i="29"/>
  <c r="N7953" i="29"/>
  <c r="N7954" i="29"/>
  <c r="N7955" i="29"/>
  <c r="N7956" i="29"/>
  <c r="N7957" i="29"/>
  <c r="N7958" i="29"/>
  <c r="N7959" i="29"/>
  <c r="N7960" i="29"/>
  <c r="N7961" i="29"/>
  <c r="N7962" i="29"/>
  <c r="N7963" i="29"/>
  <c r="N7964" i="29"/>
  <c r="N7965" i="29"/>
  <c r="N7966" i="29"/>
  <c r="N7967" i="29"/>
  <c r="N7968" i="29"/>
  <c r="N7969" i="29"/>
  <c r="N7970" i="29"/>
  <c r="N7971" i="29"/>
  <c r="N7972" i="29"/>
  <c r="N7973" i="29"/>
  <c r="N7974" i="29"/>
  <c r="N7975" i="29"/>
  <c r="N7976" i="29"/>
  <c r="N7977" i="29"/>
  <c r="N7978" i="29"/>
  <c r="N7979" i="29"/>
  <c r="N7980" i="29"/>
  <c r="N7981" i="29"/>
  <c r="N7982" i="29"/>
  <c r="N7983" i="29"/>
  <c r="N7984" i="29"/>
  <c r="N7985" i="29"/>
  <c r="N7986" i="29"/>
  <c r="N7987" i="29"/>
  <c r="N7988" i="29"/>
  <c r="N7989" i="29"/>
  <c r="N7990" i="29"/>
  <c r="N7991" i="29"/>
  <c r="N7992" i="29"/>
  <c r="N7993" i="29"/>
  <c r="N7994" i="29"/>
  <c r="N7995" i="29"/>
  <c r="N7996" i="29"/>
  <c r="N7997" i="29"/>
  <c r="N7998" i="29"/>
  <c r="N7999" i="29"/>
  <c r="N8000" i="29"/>
  <c r="N8001" i="29"/>
  <c r="N8002" i="29"/>
  <c r="N8003" i="29"/>
  <c r="N8004" i="29"/>
  <c r="N8005" i="29"/>
  <c r="N8006" i="29"/>
  <c r="N8007" i="29"/>
  <c r="N8008" i="29"/>
  <c r="N8009" i="29"/>
  <c r="N8010" i="29"/>
  <c r="N8011" i="29"/>
  <c r="N8012" i="29"/>
  <c r="N8013" i="29"/>
  <c r="N8014" i="29"/>
  <c r="N8015" i="29"/>
  <c r="N8016" i="29"/>
  <c r="N8017" i="29"/>
  <c r="N8018" i="29"/>
  <c r="N8019" i="29"/>
  <c r="N8020" i="29"/>
  <c r="N8021" i="29"/>
  <c r="N8022" i="29"/>
  <c r="N8023" i="29"/>
  <c r="N8024" i="29"/>
  <c r="N8025" i="29"/>
  <c r="N8026" i="29"/>
  <c r="N8027" i="29"/>
  <c r="N8028" i="29"/>
  <c r="N8029" i="29"/>
  <c r="N8030" i="29"/>
  <c r="N8031" i="29"/>
  <c r="N8032" i="29"/>
  <c r="N8033" i="29"/>
  <c r="N8034" i="29"/>
  <c r="N8035" i="29"/>
  <c r="N8036" i="29"/>
  <c r="N8037" i="29"/>
  <c r="N8038" i="29"/>
  <c r="N8039" i="29"/>
  <c r="N8040" i="29"/>
  <c r="N8041" i="29"/>
  <c r="N8042" i="29"/>
  <c r="N8043" i="29"/>
  <c r="N8044" i="29"/>
  <c r="N8045" i="29"/>
  <c r="N8046" i="29"/>
  <c r="N8047" i="29"/>
  <c r="N8048" i="29"/>
  <c r="N8049" i="29"/>
  <c r="N8050" i="29"/>
  <c r="N8051" i="29"/>
  <c r="N8052" i="29"/>
  <c r="N8053" i="29"/>
  <c r="N8054" i="29"/>
  <c r="N8055" i="29"/>
  <c r="N8056" i="29"/>
  <c r="N8057" i="29"/>
  <c r="N8058" i="29"/>
  <c r="N8059" i="29"/>
  <c r="N8060" i="29"/>
  <c r="N8061" i="29"/>
  <c r="N8062" i="29"/>
  <c r="N8063" i="29"/>
  <c r="N8064" i="29"/>
  <c r="N8065" i="29"/>
  <c r="N8066" i="29"/>
  <c r="N8067" i="29"/>
  <c r="N8068" i="29"/>
  <c r="N8069" i="29"/>
  <c r="N8070" i="29"/>
  <c r="N8071" i="29"/>
  <c r="N8072" i="29"/>
  <c r="N8073" i="29"/>
  <c r="N8074" i="29"/>
  <c r="N8075" i="29"/>
  <c r="N8076" i="29"/>
  <c r="N8077" i="29"/>
  <c r="N8078" i="29"/>
  <c r="N8079" i="29"/>
  <c r="N8080" i="29"/>
  <c r="N8081" i="29"/>
  <c r="N8082" i="29"/>
  <c r="N8083" i="29"/>
  <c r="N8084" i="29"/>
  <c r="N8085" i="29"/>
  <c r="N8086" i="29"/>
  <c r="N8087" i="29"/>
  <c r="N8088" i="29"/>
  <c r="N8089" i="29"/>
  <c r="N8090" i="29"/>
  <c r="N8091" i="29"/>
  <c r="N8092" i="29"/>
  <c r="N8093" i="29"/>
  <c r="N8094" i="29"/>
  <c r="N8095" i="29"/>
  <c r="N8096" i="29"/>
  <c r="N8097" i="29"/>
  <c r="N8098" i="29"/>
  <c r="N8099" i="29"/>
  <c r="N8100" i="29"/>
  <c r="N8101" i="29"/>
  <c r="N8102" i="29"/>
  <c r="N8103" i="29"/>
  <c r="N8104" i="29"/>
  <c r="N8105" i="29"/>
  <c r="N8106" i="29"/>
  <c r="N8107" i="29"/>
  <c r="N8108" i="29"/>
  <c r="N8109" i="29"/>
  <c r="N8110" i="29"/>
  <c r="N8111" i="29"/>
  <c r="N8112" i="29"/>
  <c r="N8113" i="29"/>
  <c r="N8114" i="29"/>
  <c r="N8115" i="29"/>
  <c r="N8116" i="29"/>
  <c r="N8117" i="29"/>
  <c r="N8118" i="29"/>
  <c r="N8119" i="29"/>
  <c r="N8120" i="29"/>
  <c r="N8121" i="29"/>
  <c r="N8122" i="29"/>
  <c r="N8123" i="29"/>
  <c r="N8124" i="29"/>
  <c r="N8125" i="29"/>
  <c r="N8126" i="29"/>
  <c r="N8127" i="29"/>
  <c r="N8128" i="29"/>
  <c r="N8129" i="29"/>
  <c r="N8130" i="29"/>
  <c r="N8131" i="29"/>
  <c r="N8132" i="29"/>
  <c r="N8133" i="29"/>
  <c r="N8134" i="29"/>
  <c r="N8135" i="29"/>
  <c r="N8136" i="29"/>
  <c r="N8137" i="29"/>
  <c r="N8138" i="29"/>
  <c r="N8139" i="29"/>
  <c r="N8140" i="29"/>
  <c r="N8141" i="29"/>
  <c r="N8142" i="29"/>
  <c r="N8143" i="29"/>
  <c r="N8144" i="29"/>
  <c r="N8145" i="29"/>
  <c r="N8146" i="29"/>
  <c r="N8147" i="29"/>
  <c r="N8148" i="29"/>
  <c r="N8149" i="29"/>
  <c r="N8150" i="29"/>
  <c r="N8151" i="29"/>
  <c r="N8152" i="29"/>
  <c r="N8153" i="29"/>
  <c r="N8154" i="29"/>
  <c r="N8155" i="29"/>
  <c r="N8156" i="29"/>
  <c r="N8157" i="29"/>
  <c r="N8158" i="29"/>
  <c r="N8159" i="29"/>
  <c r="N8160" i="29"/>
  <c r="N8161" i="29"/>
  <c r="N8162" i="29"/>
  <c r="N8163" i="29"/>
  <c r="N8164" i="29"/>
  <c r="N8165" i="29"/>
  <c r="N8166" i="29"/>
  <c r="N8167" i="29"/>
  <c r="N8168" i="29"/>
  <c r="N8169" i="29"/>
  <c r="N8170" i="29"/>
  <c r="N8171" i="29"/>
  <c r="N8172" i="29"/>
  <c r="N8173" i="29"/>
  <c r="N8174" i="29"/>
  <c r="N8175" i="29"/>
  <c r="N8176" i="29"/>
  <c r="N8177" i="29"/>
  <c r="N8178" i="29"/>
  <c r="N8179" i="29"/>
  <c r="N8180" i="29"/>
  <c r="N8181" i="29"/>
  <c r="N8182" i="29"/>
  <c r="N8183" i="29"/>
  <c r="N8184" i="29"/>
  <c r="N8185" i="29"/>
  <c r="N8186" i="29"/>
  <c r="N8187" i="29"/>
  <c r="N8188" i="29"/>
  <c r="N8189" i="29"/>
  <c r="N8190" i="29"/>
  <c r="N8191" i="29"/>
  <c r="N8192" i="29"/>
  <c r="N8193" i="29"/>
  <c r="N8194" i="29"/>
  <c r="N8195" i="29"/>
  <c r="N8196" i="29"/>
  <c r="N8197" i="29"/>
  <c r="N8198" i="29"/>
  <c r="N8199" i="29"/>
  <c r="N8200" i="29"/>
  <c r="N8201" i="29"/>
  <c r="N8202" i="29"/>
  <c r="N8203" i="29"/>
  <c r="N8204" i="29"/>
  <c r="N8205" i="29"/>
  <c r="N8206" i="29"/>
  <c r="N8207" i="29"/>
  <c r="N8208" i="29"/>
  <c r="N8209" i="29"/>
  <c r="N8210" i="29"/>
  <c r="N8211" i="29"/>
  <c r="N8212" i="29"/>
  <c r="N8213" i="29"/>
  <c r="N8214" i="29"/>
  <c r="N8215" i="29"/>
  <c r="N8216" i="29"/>
  <c r="N8217" i="29"/>
  <c r="N8218" i="29"/>
  <c r="N8219" i="29"/>
  <c r="N8220" i="29"/>
  <c r="N8221" i="29"/>
  <c r="N8222" i="29"/>
  <c r="N8223" i="29"/>
  <c r="N8224" i="29"/>
  <c r="N8225" i="29"/>
  <c r="N8226" i="29"/>
  <c r="N8227" i="29"/>
  <c r="N8228" i="29"/>
  <c r="N8229" i="29"/>
  <c r="N8230" i="29"/>
  <c r="N8231" i="29"/>
  <c r="N8232" i="29"/>
  <c r="N8233" i="29"/>
  <c r="N8234" i="29"/>
  <c r="N8235" i="29"/>
  <c r="N8236" i="29"/>
  <c r="N8237" i="29"/>
  <c r="N8238" i="29"/>
  <c r="N8239" i="29"/>
  <c r="N8240" i="29"/>
  <c r="N8241" i="29"/>
  <c r="N8242" i="29"/>
  <c r="N8243" i="29"/>
  <c r="N8244" i="29"/>
  <c r="N8245" i="29"/>
  <c r="N8246" i="29"/>
  <c r="N8247" i="29"/>
  <c r="N8248" i="29"/>
  <c r="N8249" i="29"/>
  <c r="N8250" i="29"/>
  <c r="N8251" i="29"/>
  <c r="N8252" i="29"/>
  <c r="N8253" i="29"/>
  <c r="N8254" i="29"/>
  <c r="N8255" i="29"/>
  <c r="N8256" i="29"/>
  <c r="N8257" i="29"/>
  <c r="N8258" i="29"/>
  <c r="N8259" i="29"/>
  <c r="N8260" i="29"/>
  <c r="N8261" i="29"/>
  <c r="N8262" i="29"/>
  <c r="N8263" i="29"/>
  <c r="N8264" i="29"/>
  <c r="N8265" i="29"/>
  <c r="N8266" i="29"/>
  <c r="N8267" i="29"/>
  <c r="N8268" i="29"/>
  <c r="N8269" i="29"/>
  <c r="N8270" i="29"/>
  <c r="N8271" i="29"/>
  <c r="N8272" i="29"/>
  <c r="N8273" i="29"/>
  <c r="N8274" i="29"/>
  <c r="N8275" i="29"/>
  <c r="N8276" i="29"/>
  <c r="N8277" i="29"/>
  <c r="N8278" i="29"/>
  <c r="N8279" i="29"/>
  <c r="N8280" i="29"/>
  <c r="N8281" i="29"/>
  <c r="N8282" i="29"/>
  <c r="N8283" i="29"/>
  <c r="N8284" i="29"/>
  <c r="N8285" i="29"/>
  <c r="N8286" i="29"/>
  <c r="N8287" i="29"/>
  <c r="N8288" i="29"/>
  <c r="N8289" i="29"/>
  <c r="N8290" i="29"/>
  <c r="N8291" i="29"/>
  <c r="N8292" i="29"/>
  <c r="N8293" i="29"/>
  <c r="N8294" i="29"/>
  <c r="N8295" i="29"/>
  <c r="N8296" i="29"/>
  <c r="N8297" i="29"/>
  <c r="N8298" i="29"/>
  <c r="N8299" i="29"/>
  <c r="N8300" i="29"/>
  <c r="N8301" i="29"/>
  <c r="N8302" i="29"/>
  <c r="N8303" i="29"/>
  <c r="N8304" i="29"/>
  <c r="N8305" i="29"/>
  <c r="N8306" i="29"/>
  <c r="N8307" i="29"/>
  <c r="N8308" i="29"/>
  <c r="N8309" i="29"/>
  <c r="N8310" i="29"/>
  <c r="N8311" i="29"/>
  <c r="N8312" i="29"/>
  <c r="N8313" i="29"/>
  <c r="N8314" i="29"/>
  <c r="N8315" i="29"/>
  <c r="N8316" i="29"/>
  <c r="N8317" i="29"/>
  <c r="N8318" i="29"/>
  <c r="N8319" i="29"/>
  <c r="N8320" i="29"/>
  <c r="N8321" i="29"/>
  <c r="N8322" i="29"/>
  <c r="N8323" i="29"/>
  <c r="N8324" i="29"/>
  <c r="N8325" i="29"/>
  <c r="N8326" i="29"/>
  <c r="N8327" i="29"/>
  <c r="N8328" i="29"/>
  <c r="N8329" i="29"/>
  <c r="N8330" i="29"/>
  <c r="N8331" i="29"/>
  <c r="N8332" i="29"/>
  <c r="N8333" i="29"/>
  <c r="N8334" i="29"/>
  <c r="N8335" i="29"/>
  <c r="N8336" i="29"/>
  <c r="N8337" i="29"/>
  <c r="N8338" i="29"/>
  <c r="N8339" i="29"/>
  <c r="N8340" i="29"/>
  <c r="N8341" i="29"/>
  <c r="N8342" i="29"/>
  <c r="N8343" i="29"/>
  <c r="N8344" i="29"/>
  <c r="N8345" i="29"/>
  <c r="N8346" i="29"/>
  <c r="N8347" i="29"/>
  <c r="N8348" i="29"/>
  <c r="N8349" i="29"/>
  <c r="N8350" i="29"/>
  <c r="N8351" i="29"/>
  <c r="N8352" i="29"/>
  <c r="N8353" i="29"/>
  <c r="N8354" i="29"/>
  <c r="N8355" i="29"/>
  <c r="N8356" i="29"/>
  <c r="N8357" i="29"/>
  <c r="N8358" i="29"/>
  <c r="N8359" i="29"/>
  <c r="N8360" i="29"/>
  <c r="N8361" i="29"/>
  <c r="N8362" i="29"/>
  <c r="N8363" i="29"/>
  <c r="N8364" i="29"/>
  <c r="N8365" i="29"/>
  <c r="N8366" i="29"/>
  <c r="N8367" i="29"/>
  <c r="N8368" i="29"/>
  <c r="N8369" i="29"/>
  <c r="N8370" i="29"/>
  <c r="N8371" i="29"/>
  <c r="N8372" i="29"/>
  <c r="N8373" i="29"/>
  <c r="N8374" i="29"/>
  <c r="N8375" i="29"/>
  <c r="N8376" i="29"/>
  <c r="N8377" i="29"/>
  <c r="N8378" i="29"/>
  <c r="N8379" i="29"/>
  <c r="N8380" i="29"/>
  <c r="N8381" i="29"/>
  <c r="N8382" i="29"/>
  <c r="N8383" i="29"/>
  <c r="N8384" i="29"/>
  <c r="N8385" i="29"/>
  <c r="N8386" i="29"/>
  <c r="N8387" i="29"/>
  <c r="N8388" i="29"/>
  <c r="N8389" i="29"/>
  <c r="N8390" i="29"/>
  <c r="N8391" i="29"/>
  <c r="N8392" i="29"/>
  <c r="N8393" i="29"/>
  <c r="N8394" i="29"/>
  <c r="N8395" i="29"/>
  <c r="N8396" i="29"/>
  <c r="N8397" i="29"/>
  <c r="N8398" i="29"/>
  <c r="N8399" i="29"/>
  <c r="N8400" i="29"/>
  <c r="N8401" i="29"/>
  <c r="N8402" i="29"/>
  <c r="N8403" i="29"/>
  <c r="N8404" i="29"/>
  <c r="N8405" i="29"/>
  <c r="N8406" i="29"/>
  <c r="N8407" i="29"/>
  <c r="N8408" i="29"/>
  <c r="N8409" i="29"/>
  <c r="N8410" i="29"/>
  <c r="N8411" i="29"/>
  <c r="N8412" i="29"/>
  <c r="N8413" i="29"/>
  <c r="N8414" i="29"/>
  <c r="N8415" i="29"/>
  <c r="N8416" i="29"/>
  <c r="N8417" i="29"/>
  <c r="N8418" i="29"/>
  <c r="N8419" i="29"/>
  <c r="N8420" i="29"/>
  <c r="N8421" i="29"/>
  <c r="N8422" i="29"/>
  <c r="N8423" i="29"/>
  <c r="N8424" i="29"/>
  <c r="N8425" i="29"/>
  <c r="N8426" i="29"/>
  <c r="N8427" i="29"/>
  <c r="N8428" i="29"/>
  <c r="N8429" i="29"/>
  <c r="N8430" i="29"/>
  <c r="N8431" i="29"/>
  <c r="N8432" i="29"/>
  <c r="N8433" i="29"/>
  <c r="N8434" i="29"/>
  <c r="N8435" i="29"/>
  <c r="N8436" i="29"/>
  <c r="N8437" i="29"/>
  <c r="N8438" i="29"/>
  <c r="N8439" i="29"/>
  <c r="N8440" i="29"/>
  <c r="N8441" i="29"/>
  <c r="N8442" i="29"/>
  <c r="N8443" i="29"/>
  <c r="N8444" i="29"/>
  <c r="N8445" i="29"/>
  <c r="N8446" i="29"/>
  <c r="N8447" i="29"/>
  <c r="N8448" i="29"/>
  <c r="N8449" i="29"/>
  <c r="N8450" i="29"/>
  <c r="N8451" i="29"/>
  <c r="N8452" i="29"/>
  <c r="N8453" i="29"/>
  <c r="N8454" i="29"/>
  <c r="N8455" i="29"/>
  <c r="N8456" i="29"/>
  <c r="N8457" i="29"/>
  <c r="N8458" i="29"/>
  <c r="N8459" i="29"/>
  <c r="N8460" i="29"/>
  <c r="N8461" i="29"/>
  <c r="N8462" i="29"/>
  <c r="N8463" i="29"/>
  <c r="N8464" i="29"/>
  <c r="N8465" i="29"/>
  <c r="N8466" i="29"/>
  <c r="N8467" i="29"/>
  <c r="N8468" i="29"/>
  <c r="N8469" i="29"/>
  <c r="N8470" i="29"/>
  <c r="N8471" i="29"/>
  <c r="N8472" i="29"/>
  <c r="N8473" i="29"/>
  <c r="N8474" i="29"/>
  <c r="N8475" i="29"/>
  <c r="N8476" i="29"/>
  <c r="N8477" i="29"/>
  <c r="N8478" i="29"/>
  <c r="N8479" i="29"/>
  <c r="N8480" i="29"/>
  <c r="N8481" i="29"/>
  <c r="N8482" i="29"/>
  <c r="N8483" i="29"/>
  <c r="N8484" i="29"/>
  <c r="N8485" i="29"/>
  <c r="N8486" i="29"/>
  <c r="N8487" i="29"/>
  <c r="N8488" i="29"/>
  <c r="N8489" i="29"/>
  <c r="N8490" i="29"/>
  <c r="N8491" i="29"/>
  <c r="N8492" i="29"/>
  <c r="N8493" i="29"/>
  <c r="N8494" i="29"/>
  <c r="N8495" i="29"/>
  <c r="N8496" i="29"/>
  <c r="N8497" i="29"/>
  <c r="N8498" i="29"/>
  <c r="N8499" i="29"/>
  <c r="N8500" i="29"/>
  <c r="N8501" i="29"/>
  <c r="N8502" i="29"/>
  <c r="N8503" i="29"/>
  <c r="N8504" i="29"/>
  <c r="N8505" i="29"/>
  <c r="N8506" i="29"/>
  <c r="N8507" i="29"/>
  <c r="N8508" i="29"/>
  <c r="N8509" i="29"/>
  <c r="N8510" i="29"/>
  <c r="N8511" i="29"/>
  <c r="N8512" i="29"/>
  <c r="N8513" i="29"/>
  <c r="N8514" i="29"/>
  <c r="N8515" i="29"/>
  <c r="N8516" i="29"/>
  <c r="N8517" i="29"/>
  <c r="N8518" i="29"/>
  <c r="N8519" i="29"/>
  <c r="N8520" i="29"/>
  <c r="N8521" i="29"/>
  <c r="N8522" i="29"/>
  <c r="N8523" i="29"/>
  <c r="N8524" i="29"/>
  <c r="N8525" i="29"/>
  <c r="N8526" i="29"/>
  <c r="N8527" i="29"/>
  <c r="N8528" i="29"/>
  <c r="N8529" i="29"/>
  <c r="N8530" i="29"/>
  <c r="N8531" i="29"/>
  <c r="N8532" i="29"/>
  <c r="N8533" i="29"/>
  <c r="N8534" i="29"/>
  <c r="N8535" i="29"/>
  <c r="N8536" i="29"/>
  <c r="N8537" i="29"/>
  <c r="N8538" i="29"/>
  <c r="N8539" i="29"/>
  <c r="N8540" i="29"/>
  <c r="N8541" i="29"/>
  <c r="N8542" i="29"/>
  <c r="N8543" i="29"/>
  <c r="N8544" i="29"/>
  <c r="N8545" i="29"/>
  <c r="N8546" i="29"/>
  <c r="N8547" i="29"/>
  <c r="N8548" i="29"/>
  <c r="N8549" i="29"/>
  <c r="N8550" i="29"/>
  <c r="N8551" i="29"/>
  <c r="N8552" i="29"/>
  <c r="N8553" i="29"/>
  <c r="N8554" i="29"/>
  <c r="N8555" i="29"/>
  <c r="N8556" i="29"/>
  <c r="N8557" i="29"/>
  <c r="N8558" i="29"/>
  <c r="N8559" i="29"/>
  <c r="N8560" i="29"/>
  <c r="N8561" i="29"/>
  <c r="N8562" i="29"/>
  <c r="N8563" i="29"/>
  <c r="N8564" i="29"/>
  <c r="N8565" i="29"/>
  <c r="N8566" i="29"/>
  <c r="N8567" i="29"/>
  <c r="N8568" i="29"/>
  <c r="N8569" i="29"/>
  <c r="N8570" i="29"/>
  <c r="N8571" i="29"/>
  <c r="N8572" i="29"/>
  <c r="N8573" i="29"/>
  <c r="N8574" i="29"/>
  <c r="N8575" i="29"/>
  <c r="N8576" i="29"/>
  <c r="N8577" i="29"/>
  <c r="N8578" i="29"/>
  <c r="N8579" i="29"/>
  <c r="N8580" i="29"/>
  <c r="N8581" i="29"/>
  <c r="N8582" i="29"/>
  <c r="N8583" i="29"/>
  <c r="N8584" i="29"/>
  <c r="N8585" i="29"/>
  <c r="N8586" i="29"/>
  <c r="N8587" i="29"/>
  <c r="N8588" i="29"/>
  <c r="N8589" i="29"/>
  <c r="N8590" i="29"/>
  <c r="N8591" i="29"/>
  <c r="N8592" i="29"/>
  <c r="N8593" i="29"/>
  <c r="N8594" i="29"/>
  <c r="N8595" i="29"/>
  <c r="N8596" i="29"/>
  <c r="N8597" i="29"/>
  <c r="N8598" i="29"/>
  <c r="N8599" i="29"/>
  <c r="N8600" i="29"/>
  <c r="N8601" i="29"/>
  <c r="N8602" i="29"/>
  <c r="N8603" i="29"/>
  <c r="N8604" i="29"/>
  <c r="N8605" i="29"/>
  <c r="N8606" i="29"/>
  <c r="N8607" i="29"/>
  <c r="N8608" i="29"/>
  <c r="N8609" i="29"/>
  <c r="N8610" i="29"/>
  <c r="N8611" i="29"/>
  <c r="N8612" i="29"/>
  <c r="N8613" i="29"/>
  <c r="N8614" i="29"/>
  <c r="N8615" i="29"/>
  <c r="N8616" i="29"/>
  <c r="N8617" i="29"/>
  <c r="N8618" i="29"/>
  <c r="N8619" i="29"/>
  <c r="N8620" i="29"/>
  <c r="N8621" i="29"/>
  <c r="N8622" i="29"/>
  <c r="N8623" i="29"/>
  <c r="N8624" i="29"/>
  <c r="N8625" i="29"/>
  <c r="N8626" i="29"/>
  <c r="N8627" i="29"/>
  <c r="N8628" i="29"/>
  <c r="N8629" i="29"/>
  <c r="N8630" i="29"/>
  <c r="N8631" i="29"/>
  <c r="N8632" i="29"/>
  <c r="N8633" i="29"/>
  <c r="N8634" i="29"/>
  <c r="N8635" i="29"/>
  <c r="N8636" i="29"/>
  <c r="N8637" i="29"/>
  <c r="N8638" i="29"/>
  <c r="N8639" i="29"/>
  <c r="N8640" i="29"/>
  <c r="N8641" i="29"/>
  <c r="N8642" i="29"/>
  <c r="N8643" i="29"/>
  <c r="N8644" i="29"/>
  <c r="N8645" i="29"/>
  <c r="N8646" i="29"/>
  <c r="N8647" i="29"/>
  <c r="N8648" i="29"/>
  <c r="N8649" i="29"/>
  <c r="N8650" i="29"/>
  <c r="N8651" i="29"/>
  <c r="N8652" i="29"/>
  <c r="N8653" i="29"/>
  <c r="N8654" i="29"/>
  <c r="N8655" i="29"/>
  <c r="N8656" i="29"/>
  <c r="N8657" i="29"/>
  <c r="N8658" i="29"/>
  <c r="N8659" i="29"/>
  <c r="N8660" i="29"/>
  <c r="N8661" i="29"/>
  <c r="N8662" i="29"/>
  <c r="N8663" i="29"/>
  <c r="N8664" i="29"/>
  <c r="N8665" i="29"/>
  <c r="N8666" i="29"/>
  <c r="N8667" i="29"/>
  <c r="N8668" i="29"/>
  <c r="N8669" i="29"/>
  <c r="N8670" i="29"/>
  <c r="N8671" i="29"/>
  <c r="N8672" i="29"/>
  <c r="N8673" i="29"/>
  <c r="N8674" i="29"/>
  <c r="N8675" i="29"/>
  <c r="N8676" i="29"/>
  <c r="N8677" i="29"/>
  <c r="N8678" i="29"/>
  <c r="N8679" i="29"/>
  <c r="N8680" i="29"/>
  <c r="N8681" i="29"/>
  <c r="N8682" i="29"/>
  <c r="N8683" i="29"/>
  <c r="N8684" i="29"/>
  <c r="N8685" i="29"/>
  <c r="N8686" i="29"/>
  <c r="N8687" i="29"/>
  <c r="N8688" i="29"/>
  <c r="N8689" i="29"/>
  <c r="N8690" i="29"/>
  <c r="N8691" i="29"/>
  <c r="N8692" i="29"/>
  <c r="N8693" i="29"/>
  <c r="N8694" i="29"/>
  <c r="N8695" i="29"/>
  <c r="N8696" i="29"/>
  <c r="N8697" i="29"/>
  <c r="N8698" i="29"/>
  <c r="N8699" i="29"/>
  <c r="N8700" i="29"/>
  <c r="N8701" i="29"/>
  <c r="N8702" i="29"/>
  <c r="N8703" i="29"/>
  <c r="N8704" i="29"/>
  <c r="N8705" i="29"/>
  <c r="N8706" i="29"/>
  <c r="N8707" i="29"/>
  <c r="N8708" i="29"/>
  <c r="N8709" i="29"/>
  <c r="N8710" i="29"/>
  <c r="N8711" i="29"/>
  <c r="N8712" i="29"/>
  <c r="N8713" i="29"/>
  <c r="N8714" i="29"/>
  <c r="N8715" i="29"/>
  <c r="N8716" i="29"/>
  <c r="N8717" i="29"/>
  <c r="N8718" i="29"/>
  <c r="N8719" i="29"/>
  <c r="N8720" i="29"/>
  <c r="N8721" i="29"/>
  <c r="N8722" i="29"/>
  <c r="N8723" i="29"/>
  <c r="N8724" i="29"/>
  <c r="N8725" i="29"/>
  <c r="N8726" i="29"/>
  <c r="N8727" i="29"/>
  <c r="N8728" i="29"/>
  <c r="N8729" i="29"/>
  <c r="N8730" i="29"/>
  <c r="N8731" i="29"/>
  <c r="N8732" i="29"/>
  <c r="N8733" i="29"/>
  <c r="N8734" i="29"/>
  <c r="N8735" i="29"/>
  <c r="N8736" i="29"/>
  <c r="N8737" i="29"/>
  <c r="N8738" i="29"/>
  <c r="N8739" i="29"/>
  <c r="N8740" i="29"/>
  <c r="N8741" i="29"/>
  <c r="N8742" i="29"/>
  <c r="N8743" i="29"/>
  <c r="N8744" i="29"/>
  <c r="N8745" i="29"/>
  <c r="N8746" i="29"/>
  <c r="N8747" i="29"/>
  <c r="N8748" i="29"/>
  <c r="N8749" i="29"/>
  <c r="N8750" i="29"/>
  <c r="N8751" i="29"/>
  <c r="N8752" i="29"/>
  <c r="N8753" i="29"/>
  <c r="N8754" i="29"/>
  <c r="N8755" i="29"/>
  <c r="N8756" i="29"/>
  <c r="N8757" i="29"/>
  <c r="N8758" i="29"/>
  <c r="N8759" i="29"/>
  <c r="N8760" i="29"/>
  <c r="N8761" i="29"/>
  <c r="N8762" i="29"/>
  <c r="N8763" i="29"/>
  <c r="N8764" i="29"/>
  <c r="N8765" i="29"/>
  <c r="N8766" i="29"/>
  <c r="N8767" i="29"/>
  <c r="N8768" i="29"/>
  <c r="N8769" i="29"/>
  <c r="N8770" i="29"/>
  <c r="N8771" i="29"/>
  <c r="N8772" i="29"/>
  <c r="N8773" i="29"/>
  <c r="N8774" i="29"/>
  <c r="N8775" i="29"/>
  <c r="N8776" i="29"/>
  <c r="N8777" i="29"/>
  <c r="N8778" i="29"/>
  <c r="N8779" i="29"/>
  <c r="N8780" i="29"/>
  <c r="N8781" i="29"/>
  <c r="N8782" i="29"/>
  <c r="N8783" i="29"/>
  <c r="N8784" i="29"/>
  <c r="N8785" i="29"/>
  <c r="N8786" i="29"/>
  <c r="N8787" i="29"/>
  <c r="N8788" i="29"/>
  <c r="N8789" i="29"/>
  <c r="N8790" i="29"/>
  <c r="N8791" i="29"/>
  <c r="N8792" i="29"/>
  <c r="N8793" i="29"/>
  <c r="N8794" i="29"/>
  <c r="N8795" i="29"/>
  <c r="N8796" i="29"/>
  <c r="N8797" i="29"/>
  <c r="N8798" i="29"/>
  <c r="N8799" i="29"/>
  <c r="N8800" i="29"/>
  <c r="N8801" i="29"/>
  <c r="N8802" i="29"/>
  <c r="N8803" i="29"/>
  <c r="N8804" i="29"/>
  <c r="N8805" i="29"/>
  <c r="N8806" i="29"/>
  <c r="N8807" i="29"/>
  <c r="N8808" i="29"/>
  <c r="N8809" i="29"/>
  <c r="N8810" i="29"/>
  <c r="N8811" i="29"/>
  <c r="N8812" i="29"/>
  <c r="N8813" i="29"/>
  <c r="N8814" i="29"/>
  <c r="N8815" i="29"/>
  <c r="N8816" i="29"/>
  <c r="N8817" i="29"/>
  <c r="N8818" i="29"/>
  <c r="N8819" i="29"/>
  <c r="N8820" i="29"/>
  <c r="N8821" i="29"/>
  <c r="N8822" i="29"/>
  <c r="N8823" i="29"/>
  <c r="N8824" i="29"/>
  <c r="N8825" i="29"/>
  <c r="N8826" i="29"/>
  <c r="N8827" i="29"/>
  <c r="N8828" i="29"/>
  <c r="N8829" i="29"/>
  <c r="N8830" i="29"/>
  <c r="N8831" i="29"/>
  <c r="N8832" i="29"/>
  <c r="N8833" i="29"/>
  <c r="N8834" i="29"/>
  <c r="N8835" i="29"/>
  <c r="N8836" i="29"/>
  <c r="N8837" i="29"/>
  <c r="N8838" i="29"/>
  <c r="N8839" i="29"/>
  <c r="N8840" i="29"/>
  <c r="N8841" i="29"/>
  <c r="N8842" i="29"/>
  <c r="N8843" i="29"/>
  <c r="N8844" i="29"/>
  <c r="N8845" i="29"/>
  <c r="N8846" i="29"/>
  <c r="N8847" i="29"/>
  <c r="N8848" i="29"/>
  <c r="N8849" i="29"/>
  <c r="N8850" i="29"/>
  <c r="N8851" i="29"/>
  <c r="N8852" i="29"/>
  <c r="N8853" i="29"/>
  <c r="N8854" i="29"/>
  <c r="N8855" i="29"/>
  <c r="N8856" i="29"/>
  <c r="N8857" i="29"/>
  <c r="N8858" i="29"/>
  <c r="N8859" i="29"/>
  <c r="N8860" i="29"/>
  <c r="N8861" i="29"/>
  <c r="N8862" i="29"/>
  <c r="N8863" i="29"/>
  <c r="N8864" i="29"/>
  <c r="N8865" i="29"/>
  <c r="N8866" i="29"/>
  <c r="N8867" i="29"/>
  <c r="N8868" i="29"/>
  <c r="N8869" i="29"/>
  <c r="N8870" i="29"/>
  <c r="N8871" i="29"/>
  <c r="N8872" i="29"/>
  <c r="N8873" i="29"/>
  <c r="N8874" i="29"/>
  <c r="N8875" i="29"/>
  <c r="N8876" i="29"/>
  <c r="N8877" i="29"/>
  <c r="N8878" i="29"/>
  <c r="N8879" i="29"/>
  <c r="N8880" i="29"/>
  <c r="N8881" i="29"/>
  <c r="N8882" i="29"/>
  <c r="N8883" i="29"/>
  <c r="N8884" i="29"/>
  <c r="N8885" i="29"/>
  <c r="N8886" i="29"/>
  <c r="N8887" i="29"/>
  <c r="N8888" i="29"/>
  <c r="N8889" i="29"/>
  <c r="N8890" i="29"/>
  <c r="N8891" i="29"/>
  <c r="N8892" i="29"/>
  <c r="N8893" i="29"/>
  <c r="N8894" i="29"/>
  <c r="N8895" i="29"/>
  <c r="N8896" i="29"/>
  <c r="N8897" i="29"/>
  <c r="N8898" i="29"/>
  <c r="N8899" i="29"/>
  <c r="N8900" i="29"/>
  <c r="N8901" i="29"/>
  <c r="N8902" i="29"/>
  <c r="N8903" i="29"/>
  <c r="N8904" i="29"/>
  <c r="N8905" i="29"/>
  <c r="N8906" i="29"/>
  <c r="N8907" i="29"/>
  <c r="N8908" i="29"/>
  <c r="N8909" i="29"/>
  <c r="N8910" i="29"/>
  <c r="N8911" i="29"/>
  <c r="N8912" i="29"/>
  <c r="N8913" i="29"/>
  <c r="N8914" i="29"/>
  <c r="N8915" i="29"/>
  <c r="N8916" i="29"/>
  <c r="N8917" i="29"/>
  <c r="N8918" i="29"/>
  <c r="N8919" i="29"/>
  <c r="N8920" i="29"/>
  <c r="N8921" i="29"/>
  <c r="N8922" i="29"/>
  <c r="N8923" i="29"/>
  <c r="N8924" i="29"/>
  <c r="N8925" i="29"/>
  <c r="N8926" i="29"/>
  <c r="N8927" i="29"/>
  <c r="N8928" i="29"/>
  <c r="N8929" i="29"/>
  <c r="N8930" i="29"/>
  <c r="N8931" i="29"/>
  <c r="N8932" i="29"/>
  <c r="N8933" i="29"/>
  <c r="N8934" i="29"/>
  <c r="N8935" i="29"/>
  <c r="N8936" i="29"/>
  <c r="N8937" i="29"/>
  <c r="N8938" i="29"/>
  <c r="N8939" i="29"/>
  <c r="N8940" i="29"/>
  <c r="N8941" i="29"/>
  <c r="N8942" i="29"/>
  <c r="N8943" i="29"/>
  <c r="N8944" i="29"/>
  <c r="N8945" i="29"/>
  <c r="N8946" i="29"/>
  <c r="N8947" i="29"/>
  <c r="N8948" i="29"/>
  <c r="N8949" i="29"/>
  <c r="N8950" i="29"/>
  <c r="N8951" i="29"/>
  <c r="N8952" i="29"/>
  <c r="N8953" i="29"/>
  <c r="N8954" i="29"/>
  <c r="N8955" i="29"/>
  <c r="N8956" i="29"/>
  <c r="N8957" i="29"/>
  <c r="N8958" i="29"/>
  <c r="N8959" i="29"/>
  <c r="N8960" i="29"/>
  <c r="N8961" i="29"/>
  <c r="N8962" i="29"/>
  <c r="N8963" i="29"/>
  <c r="N8964" i="29"/>
  <c r="N8965" i="29"/>
  <c r="N8966" i="29"/>
  <c r="N8967" i="29"/>
  <c r="N8968" i="29"/>
  <c r="N8969" i="29"/>
  <c r="N8970" i="29"/>
  <c r="N8971" i="29"/>
  <c r="N8972" i="29"/>
  <c r="N8973" i="29"/>
  <c r="N8974" i="29"/>
  <c r="N8975" i="29"/>
  <c r="N8976" i="29"/>
  <c r="N8977" i="29"/>
  <c r="N8978" i="29"/>
  <c r="N8979" i="29"/>
  <c r="N8980" i="29"/>
  <c r="N8981" i="29"/>
  <c r="N8982" i="29"/>
  <c r="N8983" i="29"/>
  <c r="N8984" i="29"/>
  <c r="N8985" i="29"/>
  <c r="N8986" i="29"/>
  <c r="N8987" i="29"/>
  <c r="N8988" i="29"/>
  <c r="N8989" i="29"/>
  <c r="N8990" i="29"/>
  <c r="N8991" i="29"/>
  <c r="N8992" i="29"/>
  <c r="N8993" i="29"/>
  <c r="N8994" i="29"/>
  <c r="N8995" i="29"/>
  <c r="N8996" i="29"/>
  <c r="N8997" i="29"/>
  <c r="N8998" i="29"/>
  <c r="N8999" i="29"/>
  <c r="N9000" i="29"/>
  <c r="N9001" i="29"/>
  <c r="N9002" i="29"/>
  <c r="N9003" i="29"/>
  <c r="N9004" i="29"/>
  <c r="N9005" i="29"/>
  <c r="N9006" i="29"/>
  <c r="N9007" i="29"/>
  <c r="N9008" i="29"/>
  <c r="N9009" i="29"/>
  <c r="N9010" i="29"/>
  <c r="N9011" i="29"/>
  <c r="N9012" i="29"/>
  <c r="N9013" i="29"/>
  <c r="N9014" i="29"/>
  <c r="N9015" i="29"/>
  <c r="N9016" i="29"/>
  <c r="N9017" i="29"/>
  <c r="N9018" i="29"/>
  <c r="N9019" i="29"/>
  <c r="N9020" i="29"/>
  <c r="N9021" i="29"/>
  <c r="N9022" i="29"/>
  <c r="N9023" i="29"/>
  <c r="N9024" i="29"/>
  <c r="N9025" i="29"/>
  <c r="N9026" i="29"/>
  <c r="N9027" i="29"/>
  <c r="N9028" i="29"/>
  <c r="N9029" i="29"/>
  <c r="N9030" i="29"/>
  <c r="N9031" i="29"/>
  <c r="N9032" i="29"/>
  <c r="N9033" i="29"/>
  <c r="N9034" i="29"/>
  <c r="N9035" i="29"/>
  <c r="N9036" i="29"/>
  <c r="N9037" i="29"/>
  <c r="N9038" i="29"/>
  <c r="N9039" i="29"/>
  <c r="N9040" i="29"/>
  <c r="N9041" i="29"/>
  <c r="N9042" i="29"/>
  <c r="N9043" i="29"/>
  <c r="N9044" i="29"/>
  <c r="N9045" i="29"/>
  <c r="N9046" i="29"/>
  <c r="N9047" i="29"/>
  <c r="N9048" i="29"/>
  <c r="N9049" i="29"/>
  <c r="N9050" i="29"/>
  <c r="N9051" i="29"/>
  <c r="N9052" i="29"/>
  <c r="N9053" i="29"/>
  <c r="N9054" i="29"/>
  <c r="N9055" i="29"/>
  <c r="N9056" i="29"/>
  <c r="N9057" i="29"/>
  <c r="N9058" i="29"/>
  <c r="N9059" i="29"/>
  <c r="N9060" i="29"/>
  <c r="N9061" i="29"/>
  <c r="N9062" i="29"/>
  <c r="N9063" i="29"/>
  <c r="N9064" i="29"/>
  <c r="N9065" i="29"/>
  <c r="N9066" i="29"/>
  <c r="N9067" i="29"/>
  <c r="N9068" i="29"/>
  <c r="N9069" i="29"/>
  <c r="N9070" i="29"/>
  <c r="N9071" i="29"/>
  <c r="N9072" i="29"/>
  <c r="N9073" i="29"/>
  <c r="N9074" i="29"/>
  <c r="N9075" i="29"/>
  <c r="N9076" i="29"/>
  <c r="N9077" i="29"/>
  <c r="N9078" i="29"/>
  <c r="N9079" i="29"/>
  <c r="N9080" i="29"/>
  <c r="N9081" i="29"/>
  <c r="N9082" i="29"/>
  <c r="N9083" i="29"/>
  <c r="N9084" i="29"/>
  <c r="N9085" i="29"/>
  <c r="N9086" i="29"/>
  <c r="N9087" i="29"/>
  <c r="N9088" i="29"/>
  <c r="N9089" i="29"/>
  <c r="N9090" i="29"/>
  <c r="N9091" i="29"/>
  <c r="N9092" i="29"/>
  <c r="N9093" i="29"/>
  <c r="N9094" i="29"/>
  <c r="N9095" i="29"/>
  <c r="N9096" i="29"/>
  <c r="N9097" i="29"/>
  <c r="N9098" i="29"/>
  <c r="N9099" i="29"/>
  <c r="N9100" i="29"/>
  <c r="N9101" i="29"/>
  <c r="N9102" i="29"/>
  <c r="N9103" i="29"/>
  <c r="N9104" i="29"/>
  <c r="N9105" i="29"/>
  <c r="N9106" i="29"/>
  <c r="N9107" i="29"/>
  <c r="N9108" i="29"/>
  <c r="N9109" i="29"/>
  <c r="N9110" i="29"/>
  <c r="N9111" i="29"/>
  <c r="N9112" i="29"/>
  <c r="N9113" i="29"/>
  <c r="N9114" i="29"/>
  <c r="N9115" i="29"/>
  <c r="N9116" i="29"/>
  <c r="N9117" i="29"/>
  <c r="N9118" i="29"/>
  <c r="N9119" i="29"/>
  <c r="N9120" i="29"/>
  <c r="N9121" i="29"/>
  <c r="N9122" i="29"/>
  <c r="N9123" i="29"/>
  <c r="N9124" i="29"/>
  <c r="N9125" i="29"/>
  <c r="N9126" i="29"/>
  <c r="N9127" i="29"/>
  <c r="N9128" i="29"/>
  <c r="N9129" i="29"/>
  <c r="N9130" i="29"/>
  <c r="N9131" i="29"/>
  <c r="N9132" i="29"/>
  <c r="N9133" i="29"/>
  <c r="N9134" i="29"/>
  <c r="N9135" i="29"/>
  <c r="N9136" i="29"/>
  <c r="N9137" i="29"/>
  <c r="N9138" i="29"/>
  <c r="N9139" i="29"/>
  <c r="N9140" i="29"/>
  <c r="N9141" i="29"/>
  <c r="N9142" i="29"/>
  <c r="N9143" i="29"/>
  <c r="N9144" i="29"/>
  <c r="N9145" i="29"/>
  <c r="N9146" i="29"/>
  <c r="N9147" i="29"/>
  <c r="N9148" i="29"/>
  <c r="N9149" i="29"/>
  <c r="N9150" i="29"/>
  <c r="N9151" i="29"/>
  <c r="N9152" i="29"/>
  <c r="N9153" i="29"/>
  <c r="N9154" i="29"/>
  <c r="N9155" i="29"/>
  <c r="N9156" i="29"/>
  <c r="N9157" i="29"/>
  <c r="N9158" i="29"/>
  <c r="N9159" i="29"/>
  <c r="N9160" i="29"/>
  <c r="N9161" i="29"/>
  <c r="N9162" i="29"/>
  <c r="N9163" i="29"/>
  <c r="N9164" i="29"/>
  <c r="N9165" i="29"/>
  <c r="N9166" i="29"/>
  <c r="N9167" i="29"/>
  <c r="N9168" i="29"/>
  <c r="N9169" i="29"/>
  <c r="N9170" i="29"/>
  <c r="N9171" i="29"/>
  <c r="N9172" i="29"/>
  <c r="N9173" i="29"/>
  <c r="N9174" i="29"/>
  <c r="N9175" i="29"/>
  <c r="N9176" i="29"/>
  <c r="N9177" i="29"/>
  <c r="N9178" i="29"/>
  <c r="N9179" i="29"/>
  <c r="N9180" i="29"/>
  <c r="N9181" i="29"/>
  <c r="N9182" i="29"/>
  <c r="N9183" i="29"/>
  <c r="N9184" i="29"/>
  <c r="N9185" i="29"/>
  <c r="N9186" i="29"/>
  <c r="N9187" i="29"/>
  <c r="N9188" i="29"/>
  <c r="N9189" i="29"/>
  <c r="N9190" i="29"/>
  <c r="N9191" i="29"/>
  <c r="N9192" i="29"/>
  <c r="N9193" i="29"/>
  <c r="N9194" i="29"/>
  <c r="N9195" i="29"/>
  <c r="N9196" i="29"/>
  <c r="N9197" i="29"/>
  <c r="N9198" i="29"/>
  <c r="N9199" i="29"/>
  <c r="N9200" i="29"/>
  <c r="N9201" i="29"/>
  <c r="N9202" i="29"/>
  <c r="N9203" i="29"/>
  <c r="N9204" i="29"/>
  <c r="N9205" i="29"/>
  <c r="N9206" i="29"/>
  <c r="N9207" i="29"/>
  <c r="N9208" i="29"/>
  <c r="N9209" i="29"/>
  <c r="N9210" i="29"/>
  <c r="N9211" i="29"/>
  <c r="N9212" i="29"/>
  <c r="N9213" i="29"/>
  <c r="N9214" i="29"/>
  <c r="N9215" i="29"/>
  <c r="N9216" i="29"/>
  <c r="N9217" i="29"/>
  <c r="N9218" i="29"/>
  <c r="N9219" i="29"/>
  <c r="N9220" i="29"/>
  <c r="N9221" i="29"/>
  <c r="N9222" i="29"/>
  <c r="N9223" i="29"/>
  <c r="N9224" i="29"/>
  <c r="N9225" i="29"/>
  <c r="N9226" i="29"/>
  <c r="N9227" i="29"/>
  <c r="N9228" i="29"/>
  <c r="N9229" i="29"/>
  <c r="N9230" i="29"/>
  <c r="N9231" i="29"/>
  <c r="N9232" i="29"/>
  <c r="N9233" i="29"/>
  <c r="N9234" i="29"/>
  <c r="N9235" i="29"/>
  <c r="N9236" i="29"/>
  <c r="N9237" i="29"/>
  <c r="N9238" i="29"/>
  <c r="N9239" i="29"/>
  <c r="N9240" i="29"/>
  <c r="N9241" i="29"/>
  <c r="N9242" i="29"/>
  <c r="N9243" i="29"/>
  <c r="N9244" i="29"/>
  <c r="N9245" i="29"/>
  <c r="N9246" i="29"/>
  <c r="N9247" i="29"/>
  <c r="N9248" i="29"/>
  <c r="N9249" i="29"/>
  <c r="N9250" i="29"/>
  <c r="N9251" i="29"/>
  <c r="N9252" i="29"/>
  <c r="N9253" i="29"/>
  <c r="N9254" i="29"/>
  <c r="N9255" i="29"/>
  <c r="N9256" i="29"/>
  <c r="N9257" i="29"/>
  <c r="N9258" i="29"/>
  <c r="N9259" i="29"/>
  <c r="N9260" i="29"/>
  <c r="N9261" i="29"/>
  <c r="N9262" i="29"/>
  <c r="N9263" i="29"/>
  <c r="N9264" i="29"/>
  <c r="N9265" i="29"/>
  <c r="N9266" i="29"/>
  <c r="N9267" i="29"/>
  <c r="N9268" i="29"/>
  <c r="N9269" i="29"/>
  <c r="N9270" i="29"/>
  <c r="N9271" i="29"/>
  <c r="N9272" i="29"/>
  <c r="N9273" i="29"/>
  <c r="N9274" i="29"/>
  <c r="N9275" i="29"/>
  <c r="N9276" i="29"/>
  <c r="N9277" i="29"/>
  <c r="N9278" i="29"/>
  <c r="N9279" i="29"/>
  <c r="N9280" i="29"/>
  <c r="N9281" i="29"/>
  <c r="N9282" i="29"/>
  <c r="N637" i="29"/>
  <c r="N7319" i="29"/>
  <c r="N7369" i="29"/>
  <c r="N7368" i="29"/>
  <c r="N7367" i="29"/>
  <c r="N7366" i="29"/>
  <c r="N7365" i="29"/>
  <c r="N7364" i="29"/>
  <c r="N7363" i="29"/>
  <c r="N7425" i="29"/>
  <c r="N7424" i="29"/>
  <c r="N7423" i="29"/>
  <c r="N7422" i="29"/>
  <c r="N7421" i="29"/>
  <c r="N7420" i="29"/>
  <c r="N7428" i="29"/>
  <c r="N7427" i="29"/>
  <c r="N7426" i="29"/>
  <c r="N7419" i="29"/>
  <c r="N7417" i="29"/>
  <c r="N7418" i="29"/>
  <c r="N7416" i="29"/>
  <c r="N7415" i="29"/>
  <c r="N7414" i="29"/>
  <c r="N7413" i="29"/>
  <c r="N7412" i="29"/>
  <c r="N7411" i="29"/>
  <c r="N7410" i="29"/>
  <c r="N7409" i="29"/>
  <c r="N7408" i="29"/>
  <c r="N7406" i="29"/>
  <c r="N7407" i="29"/>
  <c r="N7402" i="29"/>
  <c r="N7403" i="29"/>
  <c r="N7401" i="29"/>
  <c r="N7400" i="29"/>
  <c r="N7399" i="29"/>
  <c r="N7398" i="29"/>
  <c r="N7397" i="29"/>
  <c r="N7396" i="29"/>
  <c r="N7395" i="29"/>
  <c r="N7394" i="29"/>
  <c r="N7392" i="29"/>
  <c r="N7391" i="29"/>
  <c r="N7405" i="29"/>
  <c r="N7404" i="29"/>
  <c r="N7393" i="29"/>
  <c r="N7388" i="29"/>
  <c r="N7390" i="29"/>
  <c r="N7389" i="29"/>
  <c r="N7379" i="29"/>
  <c r="N7387" i="29"/>
  <c r="N7386" i="29"/>
  <c r="N7385" i="29"/>
  <c r="N7384" i="29"/>
  <c r="N7383" i="29"/>
  <c r="N7382" i="29"/>
  <c r="N7381" i="29"/>
  <c r="N7380" i="29"/>
  <c r="N7377" i="29"/>
  <c r="N7374" i="29"/>
  <c r="N7373" i="29"/>
  <c r="N7372" i="29"/>
  <c r="N7378" i="29"/>
  <c r="N7376" i="29"/>
  <c r="N7375" i="29"/>
  <c r="N7371" i="29"/>
  <c r="N7370" i="29"/>
  <c r="N7362" i="29"/>
  <c r="N7361" i="29"/>
  <c r="N7360" i="29"/>
  <c r="N7359" i="29"/>
  <c r="N7358" i="29"/>
  <c r="N7357" i="29"/>
  <c r="N7356" i="29"/>
  <c r="N7355" i="29"/>
  <c r="N7354" i="29"/>
  <c r="N7353" i="29"/>
  <c r="N7352" i="29"/>
  <c r="N7348" i="29"/>
  <c r="N7347" i="29"/>
  <c r="N7346" i="29"/>
  <c r="N7345" i="29"/>
  <c r="N7351" i="29"/>
  <c r="N7350" i="29"/>
  <c r="N7349" i="29"/>
  <c r="N7341" i="29"/>
  <c r="N7340" i="29"/>
  <c r="N7344" i="29"/>
  <c r="N7343" i="29"/>
  <c r="N7342" i="29"/>
  <c r="N7339" i="29"/>
  <c r="N7338" i="29"/>
  <c r="N7337" i="29"/>
  <c r="N7336" i="29"/>
  <c r="N7335" i="29"/>
  <c r="N7334" i="29"/>
  <c r="N7333" i="29"/>
  <c r="N7332" i="29"/>
  <c r="N7329" i="29"/>
  <c r="N7328" i="29"/>
  <c r="N7327" i="29"/>
  <c r="N7326" i="29"/>
  <c r="N7331" i="29"/>
  <c r="N7330" i="29"/>
  <c r="N7325" i="29"/>
  <c r="N7324" i="29"/>
  <c r="N659" i="29"/>
  <c r="N7323" i="29"/>
  <c r="N7321" i="29"/>
  <c r="N7320" i="29"/>
  <c r="N7322" i="29"/>
  <c r="N7312" i="29"/>
  <c r="N7315" i="29"/>
  <c r="N7318" i="29"/>
  <c r="N7317" i="29"/>
  <c r="N7316" i="29"/>
  <c r="N7314" i="29"/>
  <c r="N7313" i="29"/>
  <c r="N7311" i="29"/>
  <c r="N7310" i="29"/>
  <c r="N7309" i="29"/>
  <c r="N7308" i="29"/>
  <c r="N7307" i="29"/>
  <c r="N7306" i="29"/>
  <c r="N7305" i="29"/>
  <c r="N7304" i="29"/>
  <c r="N7303" i="29"/>
  <c r="N7302" i="29"/>
  <c r="N7301" i="29"/>
  <c r="N7300" i="29"/>
  <c r="N7296" i="29"/>
  <c r="N7295" i="29"/>
  <c r="N7294" i="29"/>
  <c r="N7299" i="29"/>
  <c r="N7298" i="29"/>
  <c r="N7297" i="29"/>
  <c r="N7293" i="29"/>
  <c r="N7292" i="29"/>
  <c r="N7291" i="29"/>
  <c r="N7290" i="29"/>
  <c r="N7286" i="29"/>
  <c r="N7285" i="29"/>
  <c r="N7284" i="29"/>
  <c r="N7289" i="29"/>
  <c r="N7288" i="29"/>
  <c r="N7287" i="29"/>
  <c r="N7283" i="29"/>
  <c r="N7280" i="29"/>
  <c r="N7279" i="29"/>
  <c r="N7277" i="29"/>
  <c r="N7276" i="29"/>
  <c r="N7282" i="29"/>
  <c r="N7281" i="29"/>
  <c r="N7274" i="29"/>
  <c r="N7272" i="29"/>
  <c r="N7271" i="29"/>
  <c r="N7270" i="29"/>
  <c r="N7269" i="29"/>
  <c r="N7268" i="29"/>
  <c r="N7267" i="29"/>
  <c r="N7278" i="29"/>
  <c r="N7275" i="29"/>
  <c r="N7273" i="29"/>
  <c r="N7266" i="29"/>
  <c r="N7265" i="29"/>
  <c r="N7263" i="29"/>
  <c r="N7262" i="29"/>
  <c r="N7264" i="29"/>
  <c r="N7261" i="29"/>
  <c r="N7260" i="29"/>
  <c r="N7259" i="29"/>
  <c r="N7258" i="29"/>
  <c r="N7257" i="29"/>
  <c r="N7254" i="29"/>
  <c r="N7253" i="29"/>
  <c r="N7256" i="29"/>
  <c r="N7255" i="29"/>
  <c r="N7252" i="29"/>
  <c r="N7251" i="29"/>
  <c r="N7250" i="29"/>
  <c r="N7249" i="29"/>
  <c r="N7248" i="29"/>
  <c r="N7247" i="29"/>
  <c r="N7245" i="29"/>
  <c r="N7244" i="29"/>
  <c r="N7237" i="29"/>
  <c r="N7236" i="29"/>
  <c r="N7235" i="29"/>
  <c r="N7246" i="29"/>
  <c r="N7243" i="29"/>
  <c r="N7242" i="29"/>
  <c r="N7241" i="29"/>
  <c r="N7240" i="29"/>
  <c r="N7239" i="29"/>
  <c r="N7238" i="29"/>
  <c r="N7234" i="29"/>
  <c r="N7233" i="29"/>
  <c r="N7232" i="29"/>
  <c r="N7231" i="29"/>
  <c r="N7229" i="29"/>
  <c r="N7226" i="29"/>
  <c r="N7225" i="29"/>
  <c r="N7224" i="29"/>
  <c r="N7221" i="29"/>
  <c r="N7220" i="29"/>
  <c r="N7219" i="29"/>
  <c r="N7218" i="29"/>
  <c r="N7217" i="29"/>
  <c r="N7230" i="29"/>
  <c r="N7227" i="29"/>
  <c r="N7216" i="29"/>
  <c r="N7215" i="29"/>
  <c r="N7214" i="29"/>
  <c r="N7213" i="29"/>
  <c r="N7212" i="29"/>
  <c r="N7211" i="29"/>
  <c r="N7210" i="29"/>
  <c r="N7209" i="29"/>
  <c r="N7228" i="29"/>
  <c r="N7223" i="29"/>
  <c r="N7222" i="29"/>
  <c r="N7207" i="29"/>
  <c r="N7204" i="29"/>
  <c r="N7201" i="29"/>
  <c r="N7203" i="29"/>
  <c r="N7202" i="29"/>
  <c r="N7208" i="29"/>
  <c r="N7206" i="29"/>
  <c r="N7205" i="29"/>
  <c r="N7200" i="29"/>
  <c r="N7199" i="29"/>
  <c r="N7198" i="29"/>
  <c r="N7197" i="29"/>
  <c r="N7196" i="29"/>
  <c r="N7193" i="29"/>
  <c r="N7192" i="29"/>
  <c r="N7191" i="29"/>
  <c r="N7190" i="29"/>
  <c r="N7189" i="29"/>
  <c r="N7185" i="29"/>
  <c r="N7184" i="29"/>
  <c r="N7182" i="29"/>
  <c r="N7181" i="29"/>
  <c r="N7180" i="29"/>
  <c r="N7179" i="29"/>
  <c r="N7178" i="29"/>
  <c r="N7177" i="29"/>
  <c r="N7176" i="29"/>
  <c r="N7195" i="29"/>
  <c r="N7194" i="29"/>
  <c r="N7188" i="29"/>
  <c r="N7187" i="29"/>
  <c r="N7186" i="29"/>
  <c r="N7183" i="29"/>
  <c r="N7175" i="29"/>
  <c r="N7170" i="29"/>
  <c r="N7168" i="29"/>
  <c r="N7174" i="29"/>
  <c r="N7173" i="29"/>
  <c r="N7172" i="29"/>
  <c r="N7171" i="29"/>
  <c r="N7169" i="29"/>
  <c r="N7167" i="29"/>
  <c r="N7166" i="29"/>
  <c r="N7165" i="29"/>
  <c r="N7164" i="29"/>
  <c r="N7163" i="29"/>
  <c r="N7162" i="29"/>
  <c r="N7161" i="29"/>
  <c r="N7160" i="29"/>
  <c r="N7159" i="29"/>
  <c r="N7158" i="29"/>
  <c r="N7157" i="29"/>
  <c r="N7156" i="29"/>
  <c r="N7155" i="29"/>
  <c r="N7154" i="29"/>
  <c r="N7153" i="29"/>
  <c r="N7152" i="29"/>
  <c r="N7148" i="29"/>
  <c r="N7147" i="29"/>
  <c r="N7146" i="29"/>
  <c r="N7145" i="29"/>
  <c r="N7151" i="29"/>
  <c r="N7149" i="29"/>
  <c r="N7144" i="29"/>
  <c r="N7143" i="29"/>
  <c r="N7142" i="29"/>
  <c r="N7141" i="29"/>
  <c r="N7140" i="29"/>
  <c r="N7150" i="29"/>
  <c r="N7139" i="29"/>
  <c r="N7138" i="29"/>
  <c r="N7137" i="29"/>
  <c r="N7136" i="29"/>
  <c r="N7135" i="29"/>
  <c r="N7134" i="29"/>
  <c r="N7133" i="29"/>
  <c r="N7132" i="29"/>
  <c r="N7131" i="29"/>
  <c r="N7130" i="29"/>
  <c r="N7129" i="29"/>
  <c r="N7126" i="29"/>
  <c r="N7123" i="29"/>
  <c r="N7122" i="29"/>
  <c r="N7121" i="29"/>
  <c r="N7120" i="29"/>
  <c r="N7119" i="29"/>
  <c r="N7118" i="29"/>
  <c r="N7117" i="29"/>
  <c r="N7116" i="29"/>
  <c r="N7115" i="29"/>
  <c r="N7128" i="29"/>
  <c r="N7127" i="29"/>
  <c r="N7114" i="29"/>
  <c r="N7113" i="29"/>
  <c r="N7112" i="29"/>
  <c r="N7111" i="29"/>
  <c r="N7110" i="29"/>
  <c r="N7109" i="29"/>
  <c r="N7108" i="29"/>
  <c r="N7107" i="29"/>
  <c r="N7106" i="29"/>
  <c r="N7125" i="29"/>
  <c r="N7124" i="29"/>
  <c r="N7105" i="29"/>
  <c r="N7104" i="29"/>
  <c r="N7103" i="29"/>
  <c r="N7102" i="29"/>
  <c r="N7101" i="29"/>
  <c r="N7100" i="29"/>
  <c r="N7099" i="29"/>
  <c r="N7097" i="29"/>
  <c r="N7098" i="29"/>
  <c r="N7096" i="29"/>
  <c r="N7093" i="29"/>
  <c r="N7095" i="29"/>
  <c r="N7094" i="29"/>
  <c r="N7092" i="29"/>
  <c r="N7091" i="29"/>
  <c r="N7089" i="29"/>
  <c r="N7088" i="29"/>
  <c r="N7087" i="29"/>
  <c r="N7086" i="29"/>
  <c r="N7085" i="29"/>
  <c r="N7084" i="29"/>
  <c r="N7083" i="29"/>
  <c r="N7082" i="29"/>
  <c r="N7081" i="29"/>
  <c r="N7080" i="29"/>
  <c r="N7079" i="29"/>
  <c r="N7078" i="29"/>
  <c r="N7090" i="29"/>
  <c r="N7075" i="29"/>
  <c r="N7074" i="29"/>
  <c r="N7077" i="29"/>
  <c r="N7076" i="29"/>
  <c r="N7073" i="29"/>
  <c r="N7072" i="29"/>
  <c r="N7071" i="29"/>
  <c r="N7069" i="29"/>
  <c r="N7070" i="29"/>
  <c r="N7060" i="29"/>
  <c r="N7059" i="29"/>
  <c r="N7058" i="29"/>
  <c r="N7057" i="29"/>
  <c r="N7068" i="29"/>
  <c r="N7067" i="29"/>
  <c r="N7066" i="29"/>
  <c r="N7065" i="29"/>
  <c r="N7064" i="29"/>
  <c r="N7056" i="29"/>
  <c r="N7055" i="29"/>
  <c r="N7054" i="29"/>
  <c r="N7053" i="29"/>
  <c r="N7063" i="29"/>
  <c r="N7062" i="29"/>
  <c r="N7061" i="29"/>
  <c r="N7052" i="29"/>
  <c r="N7050" i="29"/>
  <c r="N7049" i="29"/>
  <c r="N7051" i="29"/>
  <c r="N7048" i="29"/>
  <c r="N7047" i="29"/>
  <c r="N7046" i="29"/>
  <c r="N7045" i="29"/>
  <c r="N7043" i="29"/>
  <c r="N7042" i="29"/>
  <c r="N7041" i="29"/>
  <c r="N7040" i="29"/>
  <c r="N7039" i="29"/>
  <c r="N7038" i="29"/>
  <c r="N7037" i="29"/>
  <c r="N7044" i="29"/>
  <c r="N7035" i="29"/>
  <c r="N7034" i="29"/>
  <c r="N7036" i="29"/>
  <c r="N7031" i="29"/>
  <c r="N7030" i="29"/>
  <c r="N7029" i="29"/>
  <c r="N7028" i="29"/>
  <c r="N7027" i="29"/>
  <c r="N7023" i="29"/>
  <c r="N7022" i="29"/>
  <c r="N7021" i="29"/>
  <c r="N7020" i="29"/>
  <c r="N7033" i="29"/>
  <c r="N7032" i="29"/>
  <c r="N7026" i="29"/>
  <c r="N7025" i="29"/>
  <c r="N7024" i="29"/>
  <c r="N7018" i="29"/>
  <c r="N7019" i="29"/>
  <c r="N7017" i="29"/>
  <c r="N7016" i="29"/>
  <c r="N7015" i="29"/>
  <c r="N7014" i="29"/>
  <c r="N7013" i="29"/>
  <c r="N7012" i="29"/>
  <c r="N7011" i="29"/>
  <c r="N7010" i="29"/>
  <c r="N7009" i="29"/>
  <c r="N7008" i="29"/>
  <c r="N7007" i="29"/>
  <c r="N7006" i="29"/>
  <c r="N7005" i="29"/>
  <c r="N7004" i="29"/>
  <c r="N7003" i="29"/>
  <c r="N7002" i="29"/>
  <c r="N7001" i="29"/>
  <c r="N7000" i="29"/>
  <c r="N6999" i="29"/>
  <c r="N6988" i="29"/>
  <c r="N6998" i="29"/>
  <c r="N6997" i="29"/>
  <c r="N6996" i="29"/>
  <c r="N6995" i="29"/>
  <c r="N6994" i="29"/>
  <c r="N6993" i="29"/>
  <c r="N6992" i="29"/>
  <c r="N6991" i="29"/>
  <c r="N6990" i="29"/>
  <c r="N6989" i="29"/>
  <c r="N6987" i="29"/>
  <c r="N6986" i="29"/>
  <c r="N6985" i="29"/>
  <c r="N6984" i="29"/>
  <c r="N6983" i="29"/>
  <c r="N6982" i="29"/>
  <c r="N6981" i="29"/>
  <c r="N6980" i="29"/>
  <c r="N660" i="29"/>
  <c r="N6979" i="29"/>
  <c r="N6977" i="29"/>
  <c r="N6976" i="29"/>
  <c r="N6975" i="29"/>
  <c r="N6968" i="29"/>
  <c r="N6967" i="29"/>
  <c r="N6978" i="29"/>
  <c r="N6974" i="29"/>
  <c r="N6973" i="29"/>
  <c r="N6972" i="29"/>
  <c r="N6971" i="29"/>
  <c r="N6970" i="29"/>
  <c r="N6964" i="29"/>
  <c r="N6963" i="29"/>
  <c r="N6969" i="29"/>
  <c r="N6959" i="29"/>
  <c r="N6958" i="29"/>
  <c r="N6957" i="29"/>
  <c r="N6956" i="29"/>
  <c r="N6955" i="29"/>
  <c r="N6954" i="29"/>
  <c r="N6966" i="29"/>
  <c r="N6965" i="29"/>
  <c r="N6951" i="29"/>
  <c r="N6950" i="29"/>
  <c r="N6949" i="29"/>
  <c r="N6948" i="29"/>
  <c r="N6947" i="29"/>
  <c r="N6946" i="29"/>
  <c r="N6945" i="29"/>
  <c r="N6944" i="29"/>
  <c r="N6943" i="29"/>
  <c r="N6942" i="29"/>
  <c r="N6962" i="29"/>
  <c r="N6961" i="29"/>
  <c r="N6960" i="29"/>
  <c r="N6953" i="29"/>
  <c r="N6952" i="29"/>
  <c r="N6941" i="29"/>
  <c r="N6940" i="29"/>
  <c r="N6939" i="29"/>
  <c r="N6938" i="29"/>
  <c r="N6937" i="29"/>
  <c r="N6936" i="29"/>
  <c r="N6935" i="29"/>
  <c r="N6934" i="29"/>
  <c r="N6933" i="29"/>
  <c r="N6928" i="29"/>
  <c r="N6925" i="29"/>
  <c r="N6924" i="29"/>
  <c r="N6923" i="29"/>
  <c r="N6932" i="29"/>
  <c r="N6931" i="29"/>
  <c r="N6930" i="29"/>
  <c r="N6929" i="29"/>
  <c r="N6927" i="29"/>
  <c r="N6926" i="29"/>
  <c r="N6922" i="29"/>
  <c r="N6921" i="29"/>
  <c r="N6920" i="29"/>
  <c r="N6919" i="29"/>
  <c r="N6918" i="29"/>
  <c r="N6917" i="29"/>
  <c r="N6916" i="29"/>
  <c r="N6915" i="29"/>
  <c r="N6914" i="29"/>
  <c r="N6913" i="29"/>
  <c r="N6912" i="29"/>
  <c r="N6911" i="29"/>
  <c r="N6910" i="29"/>
  <c r="N6909" i="29"/>
  <c r="N6905" i="29"/>
  <c r="N6908" i="29"/>
  <c r="N6907" i="29"/>
  <c r="N6906" i="29"/>
  <c r="N6904" i="29"/>
  <c r="N6903" i="29"/>
  <c r="N6902" i="29"/>
  <c r="N6901" i="29"/>
  <c r="N6898" i="29"/>
  <c r="N6897" i="29"/>
  <c r="N6896" i="29"/>
  <c r="N6895" i="29"/>
  <c r="N6900" i="29"/>
  <c r="N6899" i="29"/>
  <c r="N6893" i="29"/>
  <c r="N6892" i="29"/>
  <c r="N6891" i="29"/>
  <c r="N6890" i="29"/>
  <c r="N6889" i="29"/>
  <c r="N6885" i="29"/>
  <c r="N6884" i="29"/>
  <c r="N6883" i="29"/>
  <c r="N6882" i="29"/>
  <c r="N6894" i="29"/>
  <c r="N6881" i="29"/>
  <c r="N6880" i="29"/>
  <c r="N6879" i="29"/>
  <c r="N6878" i="29"/>
  <c r="N6875" i="29"/>
  <c r="N6888" i="29"/>
  <c r="N6887" i="29"/>
  <c r="N6886" i="29"/>
  <c r="N6874" i="29"/>
  <c r="N6873" i="29"/>
  <c r="N6872" i="29"/>
  <c r="N6871" i="29"/>
  <c r="N6869" i="29"/>
  <c r="N6868" i="29"/>
  <c r="N6877" i="29"/>
  <c r="N6876" i="29"/>
  <c r="N6870" i="29"/>
  <c r="N6867" i="29"/>
  <c r="N6866" i="29"/>
  <c r="N6865" i="29"/>
  <c r="N6864" i="29"/>
  <c r="N6863" i="29"/>
  <c r="N6862" i="29"/>
  <c r="N6861" i="29"/>
  <c r="N6858" i="29"/>
  <c r="N6860" i="29"/>
  <c r="N6859" i="29"/>
  <c r="N6856" i="29"/>
  <c r="N6855" i="29"/>
  <c r="N6854" i="29"/>
  <c r="N6853" i="29"/>
  <c r="N6852" i="29"/>
  <c r="N6857" i="29"/>
  <c r="N6851" i="29"/>
  <c r="N6848" i="29"/>
  <c r="N6846" i="29"/>
  <c r="N6845" i="29"/>
  <c r="N6844" i="29"/>
  <c r="N6842" i="29"/>
  <c r="N6850" i="29"/>
  <c r="N6849" i="29"/>
  <c r="N6839" i="29"/>
  <c r="N6838" i="29"/>
  <c r="N6847" i="29"/>
  <c r="N6843" i="29"/>
  <c r="N6841" i="29"/>
  <c r="N6840" i="29"/>
  <c r="N6837" i="29"/>
  <c r="N6836" i="29"/>
  <c r="N6835" i="29"/>
  <c r="N6827" i="29"/>
  <c r="N6830" i="29"/>
  <c r="N6834" i="29"/>
  <c r="N6833" i="29"/>
  <c r="N6832" i="29"/>
  <c r="N6831" i="29"/>
  <c r="N6829" i="29"/>
  <c r="N6828" i="29"/>
  <c r="N6826" i="29"/>
  <c r="N6825" i="29"/>
  <c r="N6824" i="29"/>
  <c r="N6823" i="29"/>
  <c r="N6822" i="29"/>
  <c r="N6821" i="29"/>
  <c r="N6820" i="29"/>
  <c r="N6818" i="29"/>
  <c r="N6819" i="29"/>
  <c r="N6817" i="29"/>
  <c r="N6816" i="29"/>
  <c r="N6812" i="29"/>
  <c r="N6811" i="29"/>
  <c r="N6810" i="29"/>
  <c r="N6809" i="29"/>
  <c r="N6808" i="29"/>
  <c r="N6807" i="29"/>
  <c r="N6806" i="29"/>
  <c r="N6815" i="29"/>
  <c r="N6814" i="29"/>
  <c r="N6813" i="29"/>
  <c r="N6802" i="29"/>
  <c r="N6801" i="29"/>
  <c r="N6797" i="29"/>
  <c r="N6796" i="29"/>
  <c r="N6805" i="29"/>
  <c r="N6804" i="29"/>
  <c r="N6803" i="29"/>
  <c r="N6800" i="29"/>
  <c r="N6799" i="29"/>
  <c r="N6798" i="29"/>
  <c r="N6795" i="29"/>
  <c r="N6794" i="29"/>
  <c r="N6793" i="29"/>
  <c r="N6790" i="29"/>
  <c r="N6792" i="29"/>
  <c r="N6791" i="29"/>
  <c r="N6789" i="29"/>
  <c r="N6785" i="29"/>
  <c r="N6784" i="29"/>
  <c r="N6783" i="29"/>
  <c r="N6787" i="29"/>
  <c r="N6786" i="29"/>
  <c r="N6782" i="29"/>
  <c r="N6781" i="29"/>
  <c r="N6779" i="29"/>
  <c r="N6780" i="29"/>
  <c r="N6778" i="29"/>
  <c r="N6777" i="29"/>
  <c r="N6776" i="29"/>
  <c r="N6775" i="29"/>
  <c r="N6774" i="29"/>
  <c r="N6773" i="29"/>
  <c r="N6771" i="29"/>
  <c r="N6768" i="29"/>
  <c r="N6764" i="29"/>
  <c r="N6763" i="29"/>
  <c r="N6762" i="29"/>
  <c r="N6772" i="29"/>
  <c r="N6761" i="29"/>
  <c r="N6766" i="29"/>
  <c r="N6765" i="29"/>
  <c r="N6770" i="29"/>
  <c r="N6769" i="29"/>
  <c r="N6767" i="29"/>
  <c r="N6758" i="29"/>
  <c r="N6755" i="29"/>
  <c r="N6754" i="29"/>
  <c r="N6753" i="29"/>
  <c r="N6760" i="29"/>
  <c r="N6759" i="29"/>
  <c r="N6746" i="29"/>
  <c r="N6745" i="29"/>
  <c r="N6744" i="29"/>
  <c r="N6743" i="29"/>
  <c r="N6757" i="29"/>
  <c r="N6756" i="29"/>
  <c r="N6737" i="29"/>
  <c r="N6736" i="29"/>
  <c r="N6752" i="29"/>
  <c r="N6751" i="29"/>
  <c r="N6750" i="29"/>
  <c r="N6749" i="29"/>
  <c r="N6748" i="29"/>
  <c r="N6747" i="29"/>
  <c r="N6741" i="29"/>
  <c r="N6740" i="29"/>
  <c r="N6739" i="29"/>
  <c r="N6738" i="29"/>
  <c r="N6742" i="29"/>
  <c r="N6735" i="29"/>
  <c r="N6734" i="29"/>
  <c r="N6733" i="29"/>
  <c r="N6732" i="29"/>
  <c r="N6731" i="29"/>
  <c r="N6730" i="29"/>
  <c r="N6729" i="29"/>
  <c r="N6728" i="29"/>
  <c r="N6727" i="29"/>
  <c r="N6726" i="29"/>
  <c r="N6725" i="29"/>
  <c r="N6724" i="29"/>
  <c r="N6723" i="29"/>
  <c r="N6722" i="29"/>
  <c r="N6721" i="29"/>
  <c r="N6714" i="29"/>
  <c r="N6713" i="29"/>
  <c r="N6712" i="29"/>
  <c r="N6711" i="29"/>
  <c r="N6710" i="29"/>
  <c r="N6720" i="29"/>
  <c r="N6719" i="29"/>
  <c r="N6718" i="29"/>
  <c r="N6717" i="29"/>
  <c r="N6716" i="29"/>
  <c r="N6715" i="29"/>
  <c r="N6706" i="29"/>
  <c r="N6709" i="29"/>
  <c r="N6705" i="29"/>
  <c r="N6704" i="29"/>
  <c r="N6708" i="29"/>
  <c r="N6707" i="29"/>
  <c r="N6701" i="29"/>
  <c r="N6700" i="29"/>
  <c r="N6699" i="29"/>
  <c r="N6698" i="29"/>
  <c r="N6697" i="29"/>
  <c r="N6688" i="29"/>
  <c r="N6687" i="29"/>
  <c r="N6686" i="29"/>
  <c r="N6703" i="29"/>
  <c r="N6702" i="29"/>
  <c r="N6685" i="29"/>
  <c r="N6681" i="29"/>
  <c r="N6678" i="29"/>
  <c r="N6677" i="29"/>
  <c r="N6676" i="29"/>
  <c r="N6696" i="29"/>
  <c r="N6695" i="29"/>
  <c r="N6694" i="29"/>
  <c r="N6693" i="29"/>
  <c r="N6692" i="29"/>
  <c r="N6691" i="29"/>
  <c r="N6690" i="29"/>
  <c r="N6689" i="29"/>
  <c r="N6684" i="29"/>
  <c r="N6683" i="29"/>
  <c r="N6682" i="29"/>
  <c r="N6680" i="29"/>
  <c r="N6679" i="29"/>
  <c r="N6670" i="29"/>
  <c r="N6669" i="29"/>
  <c r="N6668" i="29"/>
  <c r="N6667" i="29"/>
  <c r="N6666" i="29"/>
  <c r="N6665" i="29"/>
  <c r="N6675" i="29"/>
  <c r="N6674" i="29"/>
  <c r="N6673" i="29"/>
  <c r="N6672" i="29"/>
  <c r="N6671" i="29"/>
  <c r="N6662" i="29"/>
  <c r="N6664" i="29"/>
  <c r="N6663" i="29"/>
  <c r="N6661" i="29"/>
  <c r="N6655" i="29"/>
  <c r="N6654" i="29"/>
  <c r="N6648" i="29"/>
  <c r="N6652" i="29"/>
  <c r="N6650" i="29"/>
  <c r="N6649" i="29"/>
  <c r="N6660" i="29"/>
  <c r="N6659" i="29"/>
  <c r="N6658" i="29"/>
  <c r="N6657" i="29"/>
  <c r="N6656" i="29"/>
  <c r="N6653" i="29"/>
  <c r="N6651" i="29"/>
  <c r="N6647" i="29"/>
  <c r="N6635" i="29"/>
  <c r="N6646" i="29"/>
  <c r="N6645" i="29"/>
  <c r="N6644" i="29"/>
  <c r="N6643" i="29"/>
  <c r="N6642" i="29"/>
  <c r="N6641" i="29"/>
  <c r="N6640" i="29"/>
  <c r="N6639" i="29"/>
  <c r="N6638" i="29"/>
  <c r="N6637" i="29"/>
  <c r="N6636" i="29"/>
  <c r="N6634" i="29"/>
  <c r="N6633" i="29"/>
  <c r="N6632" i="29"/>
  <c r="N6631" i="29"/>
  <c r="N6630" i="29"/>
  <c r="N6629" i="29"/>
  <c r="N6628" i="29"/>
  <c r="N6627" i="29"/>
  <c r="N6626" i="29"/>
  <c r="N6624" i="29"/>
  <c r="N6623" i="29"/>
  <c r="N6622" i="29"/>
  <c r="N6621" i="29"/>
  <c r="N6620" i="29"/>
  <c r="N6619" i="29"/>
  <c r="N6618" i="29"/>
  <c r="N6625" i="29"/>
  <c r="N6615" i="29"/>
  <c r="N6614" i="29"/>
  <c r="N6613" i="29"/>
  <c r="N6612" i="29"/>
  <c r="N6611" i="29"/>
  <c r="N6610" i="29"/>
  <c r="N6609" i="29"/>
  <c r="N6616" i="29"/>
  <c r="N6599" i="29"/>
  <c r="N6598" i="29"/>
  <c r="N6617" i="29"/>
  <c r="N6608" i="29"/>
  <c r="N6607" i="29"/>
  <c r="N6606" i="29"/>
  <c r="N6605" i="29"/>
  <c r="N6604" i="29"/>
  <c r="N6603" i="29"/>
  <c r="N6602" i="29"/>
  <c r="N6601" i="29"/>
  <c r="N6600" i="29"/>
  <c r="N6597" i="29"/>
  <c r="N6596" i="29"/>
  <c r="N6594" i="29"/>
  <c r="N6595" i="29"/>
  <c r="N6533" i="29"/>
  <c r="N6532" i="29"/>
  <c r="N6593" i="29"/>
  <c r="N6592" i="29"/>
  <c r="N6591" i="29"/>
  <c r="N6587" i="29"/>
  <c r="N6590" i="29"/>
  <c r="N6589" i="29"/>
  <c r="N6588" i="29"/>
  <c r="N6586" i="29"/>
  <c r="N6585" i="29"/>
  <c r="N6584" i="29"/>
  <c r="N6583" i="29"/>
  <c r="N6582" i="29"/>
  <c r="N6581" i="29"/>
  <c r="N6580" i="29"/>
  <c r="N6579" i="29"/>
  <c r="N6578" i="29"/>
  <c r="N6573" i="29"/>
  <c r="N6572" i="29"/>
  <c r="N6577" i="29"/>
  <c r="N6576" i="29"/>
  <c r="N6575" i="29"/>
  <c r="N6574" i="29"/>
  <c r="N6568" i="29"/>
  <c r="N6567" i="29"/>
  <c r="N6566" i="29"/>
  <c r="N6565" i="29"/>
  <c r="N6571" i="29"/>
  <c r="N6570" i="29"/>
  <c r="N6569" i="29"/>
  <c r="N6564" i="29"/>
  <c r="N6563" i="29"/>
  <c r="N6562" i="29"/>
  <c r="N6561" i="29"/>
  <c r="N6560" i="29"/>
  <c r="N6558" i="29"/>
  <c r="N6557" i="29"/>
  <c r="N6556" i="29"/>
  <c r="N6555" i="29"/>
  <c r="N6559" i="29"/>
  <c r="N6554" i="29"/>
  <c r="N6553" i="29"/>
  <c r="N6552" i="29"/>
  <c r="N6551" i="29"/>
  <c r="N6550" i="29"/>
  <c r="N6549" i="29"/>
  <c r="N6548" i="29"/>
  <c r="N6547" i="29"/>
  <c r="N6546" i="29"/>
  <c r="N6545" i="29"/>
  <c r="N6544" i="29"/>
  <c r="N6543" i="29"/>
  <c r="N6542" i="29"/>
  <c r="N6541" i="29"/>
  <c r="N6540" i="29"/>
  <c r="N6539" i="29"/>
  <c r="N6538" i="29"/>
  <c r="N6537" i="29"/>
  <c r="N6536" i="29"/>
  <c r="N6535" i="29"/>
  <c r="N6534" i="29"/>
  <c r="N6531" i="29"/>
  <c r="N6530" i="29"/>
  <c r="N6529" i="29"/>
  <c r="N6528" i="29"/>
  <c r="N6527" i="29"/>
  <c r="N6525" i="29"/>
  <c r="N6524" i="29"/>
  <c r="N6523" i="29"/>
  <c r="N6522" i="29"/>
  <c r="N6521" i="29"/>
  <c r="N6520" i="29"/>
  <c r="N6519" i="29"/>
  <c r="N6518" i="29"/>
  <c r="N6517" i="29"/>
  <c r="N6516" i="29"/>
  <c r="N6515" i="29"/>
  <c r="N6513" i="29"/>
  <c r="N6506" i="29"/>
  <c r="N6505" i="29"/>
  <c r="N6504" i="29"/>
  <c r="N6502" i="29"/>
  <c r="N6526" i="29"/>
  <c r="N6500" i="29"/>
  <c r="N6499" i="29"/>
  <c r="N6496" i="29"/>
  <c r="N6514" i="29"/>
  <c r="N6512" i="29"/>
  <c r="N6511" i="29"/>
  <c r="N6510" i="29"/>
  <c r="N6509" i="29"/>
  <c r="N6508" i="29"/>
  <c r="N6507" i="29"/>
  <c r="N6503" i="29"/>
  <c r="N6501" i="29"/>
  <c r="N644" i="29"/>
  <c r="N643" i="29"/>
  <c r="N6498" i="29"/>
  <c r="N6497" i="29"/>
  <c r="N6495" i="29"/>
  <c r="N6494" i="29"/>
  <c r="N6493" i="29"/>
  <c r="N6483" i="29"/>
  <c r="N6485" i="29"/>
  <c r="N6484" i="29"/>
  <c r="N6492" i="29"/>
  <c r="N6491" i="29"/>
  <c r="N6490" i="29"/>
  <c r="N6489" i="29"/>
  <c r="N6488" i="29"/>
  <c r="N6487" i="29"/>
  <c r="N6486" i="29"/>
  <c r="N6482" i="29"/>
  <c r="N6481" i="29"/>
  <c r="N6480" i="29"/>
  <c r="N6479" i="29"/>
  <c r="N6478" i="29"/>
  <c r="N6477" i="29"/>
  <c r="N6476" i="29"/>
  <c r="N6475" i="29"/>
  <c r="N6474" i="29"/>
  <c r="N6473" i="29"/>
  <c r="N6472" i="29"/>
  <c r="N6471" i="29"/>
  <c r="N6470" i="29"/>
  <c r="N6469" i="29"/>
  <c r="N6468" i="29"/>
  <c r="N6467" i="29"/>
  <c r="N6466" i="29"/>
  <c r="N6465" i="29"/>
  <c r="N6463" i="29"/>
  <c r="N6462" i="29"/>
  <c r="N6446" i="29"/>
  <c r="N6445" i="29"/>
  <c r="N6444" i="29"/>
  <c r="N636" i="29"/>
  <c r="N6464" i="29"/>
  <c r="N641" i="29"/>
  <c r="N6440" i="29"/>
  <c r="N6439" i="29"/>
  <c r="N6438" i="29"/>
  <c r="N6437" i="29"/>
  <c r="N6457" i="29"/>
  <c r="N6454" i="29"/>
  <c r="N6453" i="29"/>
  <c r="N6461" i="29"/>
  <c r="N6460" i="29"/>
  <c r="N6459" i="29"/>
  <c r="N6458" i="29"/>
  <c r="N6456" i="29"/>
  <c r="N6455" i="29"/>
  <c r="N6452" i="29"/>
  <c r="N6451" i="29"/>
  <c r="N6450" i="29"/>
  <c r="N6449" i="29"/>
  <c r="N6448" i="29"/>
  <c r="N6447" i="29"/>
  <c r="N6443" i="29"/>
  <c r="N6442" i="29"/>
  <c r="N6441" i="29"/>
  <c r="N6433" i="29"/>
  <c r="N6432" i="29"/>
  <c r="N6431" i="29"/>
  <c r="N6429" i="29"/>
  <c r="N6428" i="29"/>
  <c r="N6436" i="29"/>
  <c r="N6435" i="29"/>
  <c r="N6430" i="29"/>
  <c r="N6427" i="29"/>
  <c r="N6426" i="29"/>
  <c r="N6425" i="29"/>
  <c r="N6434" i="29"/>
  <c r="N6424" i="29"/>
  <c r="N6423" i="29"/>
  <c r="N6422" i="29"/>
  <c r="N6421" i="29"/>
  <c r="N6420" i="29"/>
  <c r="N6408" i="29"/>
  <c r="N6407" i="29"/>
  <c r="N6406" i="29"/>
  <c r="N6405" i="29"/>
  <c r="N6404" i="29"/>
  <c r="N6419" i="29"/>
  <c r="N6418" i="29"/>
  <c r="N6417" i="29"/>
  <c r="N6416" i="29"/>
  <c r="N6415" i="29"/>
  <c r="N6414" i="29"/>
  <c r="N6413" i="29"/>
  <c r="N6412" i="29"/>
  <c r="N6411" i="29"/>
  <c r="N6410" i="29"/>
  <c r="N6409" i="29"/>
  <c r="N6401" i="29"/>
  <c r="N6400" i="29"/>
  <c r="N6403" i="29"/>
  <c r="N6402" i="29"/>
  <c r="N6399" i="29"/>
  <c r="N6398" i="29"/>
  <c r="N6397" i="29"/>
  <c r="N6396" i="29"/>
  <c r="N6395" i="29"/>
  <c r="N6394" i="29"/>
  <c r="N6393" i="29"/>
  <c r="N6392" i="29"/>
  <c r="N6390" i="29"/>
  <c r="N6389" i="29"/>
  <c r="N6386" i="29"/>
  <c r="N6385" i="29"/>
  <c r="N6384" i="29"/>
  <c r="N6383" i="29"/>
  <c r="N6391" i="29"/>
  <c r="N6388" i="29"/>
  <c r="N6377" i="29"/>
  <c r="N6376" i="29"/>
  <c r="N6365" i="29"/>
  <c r="N6364" i="29"/>
  <c r="N6363" i="29"/>
  <c r="N6359" i="29"/>
  <c r="N6387" i="29"/>
  <c r="N6382" i="29"/>
  <c r="N6381" i="29"/>
  <c r="N6380" i="29"/>
  <c r="N6379" i="29"/>
  <c r="N6378" i="29"/>
  <c r="N6375" i="29"/>
  <c r="N6374" i="29"/>
  <c r="N6373" i="29"/>
  <c r="N6372" i="29"/>
  <c r="N6354" i="29"/>
  <c r="N6371" i="29"/>
  <c r="N6361" i="29"/>
  <c r="N6358" i="29"/>
  <c r="N6360" i="29"/>
  <c r="N6370" i="29"/>
  <c r="N6369" i="29"/>
  <c r="N6368" i="29"/>
  <c r="N6367" i="29"/>
  <c r="N6366" i="29"/>
  <c r="N6362" i="29"/>
  <c r="N6357" i="29"/>
  <c r="N6356" i="29"/>
  <c r="N6355" i="29"/>
  <c r="N6333" i="29"/>
  <c r="N6332" i="29"/>
  <c r="N6331" i="29"/>
  <c r="N6348" i="29"/>
  <c r="N6347" i="29"/>
  <c r="N6353" i="29"/>
  <c r="N6352" i="29"/>
  <c r="N6351" i="29"/>
  <c r="N6350" i="29"/>
  <c r="N6349" i="29"/>
  <c r="N6346" i="29"/>
  <c r="N6345" i="29"/>
  <c r="N6344" i="29"/>
  <c r="N6343" i="29"/>
  <c r="N6342" i="29"/>
  <c r="N6341" i="29"/>
  <c r="N6340" i="29"/>
  <c r="N6339" i="29"/>
  <c r="N6338" i="29"/>
  <c r="N6337" i="29"/>
  <c r="N6336" i="29"/>
  <c r="N6335" i="29"/>
  <c r="N6334" i="29"/>
  <c r="N6329" i="29"/>
  <c r="N6328" i="29"/>
  <c r="N6325" i="29"/>
  <c r="N6330" i="29"/>
  <c r="N6320" i="29"/>
  <c r="N6319" i="29"/>
  <c r="N6318" i="29"/>
  <c r="N6317" i="29"/>
  <c r="N6327" i="29"/>
  <c r="N6326" i="29"/>
  <c r="N6324" i="29"/>
  <c r="N6323" i="29"/>
  <c r="N6322" i="29"/>
  <c r="N6321" i="29"/>
  <c r="N6315" i="29"/>
  <c r="N6314" i="29"/>
  <c r="N6313" i="29"/>
  <c r="N6312" i="29"/>
  <c r="N6305" i="29"/>
  <c r="N6304" i="29"/>
  <c r="N6316" i="29"/>
  <c r="N6311" i="29"/>
  <c r="N6310" i="29"/>
  <c r="N6309" i="29"/>
  <c r="N6308" i="29"/>
  <c r="N6307" i="29"/>
  <c r="N6306" i="29"/>
  <c r="N6303" i="29"/>
  <c r="N6302" i="29"/>
  <c r="N6301" i="29"/>
  <c r="N6300" i="29"/>
  <c r="N6299" i="29"/>
  <c r="N6297" i="29"/>
  <c r="N6296" i="29"/>
  <c r="N6294" i="29"/>
  <c r="N6293" i="29"/>
  <c r="N6298" i="29"/>
  <c r="N6295" i="29"/>
  <c r="N6292" i="29"/>
  <c r="N6291" i="29"/>
  <c r="N6290" i="29"/>
  <c r="N6289" i="29"/>
  <c r="N6288" i="29"/>
  <c r="N6287" i="29"/>
  <c r="N6286" i="29"/>
  <c r="N6285" i="29"/>
  <c r="N6284" i="29"/>
  <c r="N6275" i="29"/>
  <c r="N6271" i="29"/>
  <c r="N6270" i="29"/>
  <c r="N6269" i="29"/>
  <c r="N6268" i="29"/>
  <c r="N6267" i="29"/>
  <c r="N6278" i="29"/>
  <c r="N6277" i="29"/>
  <c r="N6276" i="29"/>
  <c r="N6274" i="29"/>
  <c r="N6272" i="29"/>
  <c r="N6273" i="29"/>
  <c r="N6266" i="29"/>
  <c r="N6283" i="29"/>
  <c r="N6282" i="29"/>
  <c r="N6281" i="29"/>
  <c r="N6280" i="29"/>
  <c r="N6279" i="29"/>
  <c r="N6263" i="29"/>
  <c r="N6262" i="29"/>
  <c r="N6261" i="29"/>
  <c r="N6264" i="29"/>
  <c r="N6257" i="29"/>
  <c r="N6249" i="29"/>
  <c r="N6248" i="29"/>
  <c r="N6247" i="29"/>
  <c r="N6246" i="29"/>
  <c r="N6245" i="29"/>
  <c r="N6265" i="29"/>
  <c r="N6260" i="29"/>
  <c r="N6259" i="29"/>
  <c r="N6258" i="29"/>
  <c r="N6256" i="29"/>
  <c r="N6255" i="29"/>
  <c r="N6254" i="29"/>
  <c r="N6253" i="29"/>
  <c r="N6252" i="29"/>
  <c r="N6251" i="29"/>
  <c r="N6250" i="29"/>
  <c r="N6244" i="29"/>
  <c r="N6242" i="29"/>
  <c r="N6238" i="29"/>
  <c r="N6237" i="29"/>
  <c r="N6236" i="29"/>
  <c r="N6243" i="29"/>
  <c r="N6241" i="29"/>
  <c r="N6240" i="29"/>
  <c r="N6239" i="29"/>
  <c r="N6235" i="29"/>
  <c r="N6226" i="29"/>
  <c r="N6225" i="29"/>
  <c r="N6224" i="29"/>
  <c r="N6217" i="29"/>
  <c r="N6234" i="29"/>
  <c r="N6233" i="29"/>
  <c r="N6232" i="29"/>
  <c r="N6231" i="29"/>
  <c r="N6230" i="29"/>
  <c r="N6229" i="29"/>
  <c r="N6228" i="29"/>
  <c r="N6227" i="29"/>
  <c r="N6223" i="29"/>
  <c r="N6222" i="29"/>
  <c r="N6221" i="29"/>
  <c r="N6220" i="29"/>
  <c r="N6219" i="29"/>
  <c r="N6218" i="29"/>
  <c r="N6216" i="29"/>
  <c r="N6215" i="29"/>
  <c r="N6214" i="29"/>
  <c r="N6213" i="29"/>
  <c r="N6212" i="29"/>
  <c r="N6211" i="29"/>
  <c r="N6210" i="29"/>
  <c r="N6209" i="29"/>
  <c r="N6208" i="29"/>
  <c r="N6207" i="29"/>
  <c r="N6206" i="29"/>
  <c r="N6205" i="29"/>
  <c r="N6204" i="29"/>
  <c r="N6203" i="29"/>
  <c r="N6202" i="29"/>
  <c r="N6201" i="29"/>
  <c r="N6200" i="29"/>
  <c r="N6199" i="29"/>
  <c r="N6198" i="29"/>
  <c r="N6197" i="29"/>
  <c r="N6196" i="29"/>
  <c r="N6195" i="29"/>
  <c r="N6194" i="29"/>
  <c r="N6193" i="29"/>
  <c r="N6192" i="29"/>
  <c r="N6191" i="29"/>
  <c r="N6186" i="29"/>
  <c r="N6127" i="29"/>
  <c r="N6126" i="29"/>
  <c r="N6117" i="29"/>
  <c r="N6098" i="29"/>
  <c r="N6171" i="29"/>
  <c r="N6170" i="29"/>
  <c r="N6181" i="29"/>
  <c r="N6180" i="29"/>
  <c r="N6179" i="29"/>
  <c r="N6178" i="29"/>
  <c r="N6177" i="29"/>
  <c r="N6190" i="29"/>
  <c r="N6188" i="29"/>
  <c r="N6176" i="29"/>
  <c r="N6189" i="29"/>
  <c r="N6187" i="29"/>
  <c r="N6175" i="29"/>
  <c r="N6174" i="29"/>
  <c r="N6185" i="29"/>
  <c r="N6184" i="29"/>
  <c r="N6183" i="29"/>
  <c r="N6182" i="29"/>
  <c r="N6173" i="29"/>
  <c r="N6172" i="29"/>
  <c r="N6169" i="29"/>
  <c r="N6168" i="29"/>
  <c r="N6167" i="29"/>
  <c r="N6166" i="29"/>
  <c r="N6165" i="29"/>
  <c r="N6164" i="29"/>
  <c r="N6163" i="29"/>
  <c r="N6162" i="29"/>
  <c r="N6161" i="29"/>
  <c r="N6160" i="29"/>
  <c r="N6159" i="29"/>
  <c r="N6158" i="29"/>
  <c r="N6157" i="29"/>
  <c r="N6156" i="29"/>
  <c r="N6155" i="29"/>
  <c r="N6152" i="29"/>
  <c r="N6154" i="29"/>
  <c r="N6153" i="29"/>
  <c r="N6151" i="29"/>
  <c r="N6150" i="29"/>
  <c r="N6149" i="29"/>
  <c r="N6148" i="29"/>
  <c r="N6147" i="29"/>
  <c r="N6146" i="29"/>
  <c r="N6145" i="29"/>
  <c r="N6144" i="29"/>
  <c r="N6143" i="29"/>
  <c r="N6142" i="29"/>
  <c r="N6141" i="29"/>
  <c r="N6140" i="29"/>
  <c r="N6139" i="29"/>
  <c r="N6138" i="29"/>
  <c r="N6137" i="29"/>
  <c r="N6136" i="29"/>
  <c r="N6135" i="29"/>
  <c r="N9631" i="29"/>
  <c r="N6128" i="29"/>
  <c r="N6134" i="29"/>
  <c r="N6133" i="29"/>
  <c r="N6132" i="29"/>
  <c r="N6131" i="29"/>
  <c r="N6130" i="29"/>
  <c r="N6129" i="29"/>
  <c r="N6125" i="29"/>
  <c r="N6124" i="29"/>
  <c r="N6123" i="29"/>
  <c r="N6122" i="29"/>
  <c r="N6121" i="29"/>
  <c r="N6115" i="29"/>
  <c r="N6114" i="29"/>
  <c r="N6113" i="29"/>
  <c r="N6112" i="29"/>
  <c r="N6111" i="29"/>
  <c r="N6099" i="29"/>
  <c r="N6120" i="29"/>
  <c r="N6119" i="29"/>
  <c r="N6118" i="29"/>
  <c r="N6116" i="29"/>
  <c r="N6097" i="29"/>
  <c r="N6110" i="29"/>
  <c r="N6109" i="29"/>
  <c r="N6108" i="29"/>
  <c r="N6107" i="29"/>
  <c r="N6106" i="29"/>
  <c r="N6105" i="29"/>
  <c r="N6104" i="29"/>
  <c r="N6103" i="29"/>
  <c r="N6102" i="29"/>
  <c r="N6101" i="29"/>
  <c r="N6100" i="29"/>
  <c r="N6096" i="29"/>
  <c r="N6095" i="29"/>
  <c r="N6094" i="29"/>
  <c r="N6093" i="29"/>
  <c r="N6092" i="29"/>
  <c r="N6091" i="29"/>
  <c r="N6090" i="29"/>
  <c r="N6089" i="29"/>
  <c r="N6088" i="29"/>
  <c r="N6087" i="29"/>
  <c r="N6086" i="29"/>
  <c r="N6085" i="29"/>
  <c r="N6084" i="29"/>
  <c r="N6083" i="29"/>
  <c r="N6082" i="29"/>
  <c r="N6080" i="29"/>
  <c r="N6079" i="29"/>
  <c r="N6078" i="29"/>
  <c r="N6081" i="29"/>
  <c r="N6076" i="29"/>
  <c r="N6075" i="29"/>
  <c r="N6074" i="29"/>
  <c r="N6073" i="29"/>
  <c r="N6077" i="29"/>
  <c r="N6060" i="29"/>
  <c r="N6059" i="29"/>
  <c r="N6058" i="29"/>
  <c r="N6057" i="29"/>
  <c r="N6072" i="29"/>
  <c r="N6071" i="29"/>
  <c r="N6070" i="29"/>
  <c r="N6069" i="29"/>
  <c r="N6068" i="29"/>
  <c r="N6067" i="29"/>
  <c r="N6066" i="29"/>
  <c r="N6065" i="29"/>
  <c r="N6063" i="29"/>
  <c r="N6064" i="29"/>
  <c r="N6056" i="29"/>
  <c r="N6049" i="29"/>
  <c r="N6048" i="29"/>
  <c r="N6062" i="29"/>
  <c r="N6061" i="29"/>
  <c r="N6055" i="29"/>
  <c r="N6054" i="29"/>
  <c r="N6053" i="29"/>
  <c r="N6052" i="29"/>
  <c r="N6051" i="29"/>
  <c r="N6050" i="29"/>
  <c r="N6047" i="29"/>
  <c r="N6046" i="29"/>
  <c r="N6045" i="29"/>
  <c r="N6044" i="29"/>
  <c r="N6043" i="29"/>
  <c r="N6037" i="29"/>
  <c r="N6036" i="29"/>
  <c r="N6035" i="29"/>
  <c r="N6034" i="29"/>
  <c r="N6033" i="29"/>
  <c r="N6028" i="29"/>
  <c r="N6027" i="29"/>
  <c r="N6026" i="29"/>
  <c r="N6025" i="29"/>
  <c r="N6024" i="29"/>
  <c r="N6023" i="29"/>
  <c r="N6042" i="29"/>
  <c r="N6041" i="29"/>
  <c r="N6040" i="29"/>
  <c r="N6039" i="29"/>
  <c r="N6038" i="29"/>
  <c r="N6032" i="29"/>
  <c r="N6031" i="29"/>
  <c r="N6030" i="29"/>
  <c r="N6029" i="29"/>
  <c r="N6022" i="29"/>
  <c r="N6021" i="29"/>
  <c r="N6020" i="29"/>
  <c r="N6019" i="29"/>
  <c r="N6018" i="29"/>
  <c r="N6017" i="29"/>
  <c r="N6016" i="29"/>
  <c r="N6015" i="29"/>
  <c r="N6010" i="29"/>
  <c r="N6009" i="29"/>
  <c r="N6008" i="29"/>
  <c r="N6007" i="29"/>
  <c r="N6006" i="29"/>
  <c r="N6005" i="29"/>
  <c r="N5997" i="29"/>
  <c r="N5996" i="29"/>
  <c r="N6014" i="29"/>
  <c r="N6013" i="29"/>
  <c r="N6012" i="29"/>
  <c r="N6011" i="29"/>
  <c r="N6004" i="29"/>
  <c r="N6003" i="29"/>
  <c r="N6002" i="29"/>
  <c r="N5985" i="29"/>
  <c r="N5984" i="29"/>
  <c r="N6001" i="29"/>
  <c r="N6000" i="29"/>
  <c r="N5999" i="29"/>
  <c r="N5998" i="29"/>
  <c r="N5995" i="29"/>
  <c r="N5994" i="29"/>
  <c r="N5993" i="29"/>
  <c r="N5992" i="29"/>
  <c r="N5991" i="29"/>
  <c r="N5990" i="29"/>
  <c r="N5989" i="29"/>
  <c r="N5988" i="29"/>
  <c r="N5987" i="29"/>
  <c r="N5986" i="29"/>
  <c r="N5983" i="29"/>
  <c r="N5980" i="29"/>
  <c r="N5979" i="29"/>
  <c r="N5970" i="29"/>
  <c r="N5969" i="29"/>
  <c r="N5968" i="29"/>
  <c r="N5967" i="29"/>
  <c r="N5982" i="29"/>
  <c r="N5981" i="29"/>
  <c r="N5958" i="29"/>
  <c r="N651" i="29"/>
  <c r="N650" i="29"/>
  <c r="N649" i="29"/>
  <c r="N5957" i="29"/>
  <c r="N5978" i="29"/>
  <c r="N5977" i="29"/>
  <c r="N5976" i="29"/>
  <c r="N5975" i="29"/>
  <c r="N5974" i="29"/>
  <c r="N5973" i="29"/>
  <c r="N5972" i="29"/>
  <c r="N5966" i="29"/>
  <c r="N5965" i="29"/>
  <c r="N5971" i="29"/>
  <c r="N5964" i="29"/>
  <c r="N5963" i="29"/>
  <c r="N5962" i="29"/>
  <c r="N5961" i="29"/>
  <c r="N5960" i="29"/>
  <c r="N5959" i="29"/>
  <c r="N5956" i="29"/>
  <c r="N5954" i="29"/>
  <c r="N5955" i="29"/>
  <c r="N5953" i="29"/>
  <c r="N5952" i="29"/>
  <c r="N5951" i="29"/>
  <c r="N5950" i="29"/>
  <c r="N5949" i="29"/>
  <c r="N5948" i="29"/>
  <c r="N5947" i="29"/>
  <c r="N5946" i="29"/>
  <c r="N5945" i="29"/>
  <c r="N5944" i="29"/>
  <c r="N5943" i="29"/>
  <c r="N5942" i="29"/>
  <c r="N5941" i="29"/>
  <c r="N5940" i="29"/>
  <c r="N5939" i="29"/>
  <c r="N5938" i="29"/>
  <c r="N5934" i="29"/>
  <c r="N5933" i="29"/>
  <c r="N5932" i="29"/>
  <c r="N5931" i="29"/>
  <c r="N5930" i="29"/>
  <c r="N5926" i="29"/>
  <c r="N5925" i="29"/>
  <c r="N5929" i="29"/>
  <c r="N5924" i="29"/>
  <c r="N5937" i="29"/>
  <c r="N5936" i="29"/>
  <c r="N5935" i="29"/>
  <c r="N5928" i="29"/>
  <c r="N5927" i="29"/>
  <c r="N5920" i="29"/>
  <c r="N5923" i="29"/>
  <c r="N5917" i="29"/>
  <c r="N5916" i="29"/>
  <c r="N5905" i="29"/>
  <c r="N5922" i="29"/>
  <c r="N5921" i="29"/>
  <c r="N5911" i="29"/>
  <c r="N5910" i="29"/>
  <c r="N5909" i="29"/>
  <c r="N5908" i="29"/>
  <c r="N5907" i="29"/>
  <c r="N5906" i="29"/>
  <c r="N5904" i="29"/>
  <c r="N5919" i="29"/>
  <c r="N5918" i="29"/>
  <c r="N5915" i="29"/>
  <c r="N5914" i="29"/>
  <c r="N5913" i="29"/>
  <c r="N5912" i="29"/>
  <c r="N5902" i="29"/>
  <c r="N5901" i="29"/>
  <c r="N5900" i="29"/>
  <c r="N5903" i="29"/>
  <c r="N5899" i="29"/>
  <c r="N5898" i="29"/>
  <c r="N5897" i="29"/>
  <c r="N5896" i="29"/>
  <c r="N5894" i="29"/>
  <c r="N5893" i="29"/>
  <c r="N5892" i="29"/>
  <c r="N5891" i="29"/>
  <c r="N5890" i="29"/>
  <c r="N5889" i="29"/>
  <c r="N5888" i="29"/>
  <c r="N5887" i="29"/>
  <c r="N5886" i="29"/>
  <c r="N5885" i="29"/>
  <c r="N5884" i="29"/>
  <c r="N5895" i="29"/>
  <c r="N5883" i="29"/>
  <c r="N5882" i="29"/>
  <c r="N5881" i="29"/>
  <c r="N5880" i="29"/>
  <c r="N5879" i="29"/>
  <c r="N5878" i="29"/>
  <c r="N5877" i="29"/>
  <c r="N5874" i="29"/>
  <c r="N5873" i="29"/>
  <c r="N5872" i="29"/>
  <c r="N5871" i="29"/>
  <c r="N5870" i="29"/>
  <c r="N5869" i="29"/>
  <c r="N5868" i="29"/>
  <c r="N5861" i="29"/>
  <c r="N5876" i="29"/>
  <c r="N5875" i="29"/>
  <c r="N5862" i="29"/>
  <c r="N5860" i="29"/>
  <c r="N5867" i="29"/>
  <c r="N5866" i="29"/>
  <c r="N5865" i="29"/>
  <c r="N5864" i="29"/>
  <c r="N5863" i="29"/>
  <c r="N5847" i="29"/>
  <c r="N5857" i="29"/>
  <c r="N5856" i="29"/>
  <c r="N5855" i="29"/>
  <c r="N5854" i="29"/>
  <c r="N5853" i="29"/>
  <c r="N5859" i="29"/>
  <c r="N5858" i="29"/>
  <c r="N5852" i="29"/>
  <c r="N5851" i="29"/>
  <c r="N5850" i="29"/>
  <c r="N5849" i="29"/>
  <c r="N5848" i="29"/>
  <c r="N5846" i="29"/>
  <c r="N5845" i="29"/>
  <c r="N5844" i="29"/>
  <c r="N5832" i="29"/>
  <c r="N5831" i="29"/>
  <c r="N5830" i="29"/>
  <c r="N5843" i="29"/>
  <c r="N5842" i="29"/>
  <c r="N5841" i="29"/>
  <c r="N5840" i="29"/>
  <c r="N5829" i="29"/>
  <c r="N5822" i="29"/>
  <c r="N5821" i="29"/>
  <c r="N5839" i="29"/>
  <c r="N5838" i="29"/>
  <c r="N5837" i="29"/>
  <c r="N5836" i="29"/>
  <c r="N5835" i="29"/>
  <c r="N5834" i="29"/>
  <c r="N5833" i="29"/>
  <c r="N5828" i="29"/>
  <c r="N5827" i="29"/>
  <c r="N5826" i="29"/>
  <c r="N5825" i="29"/>
  <c r="N5824" i="29"/>
  <c r="N5823" i="29"/>
  <c r="N5820" i="29"/>
  <c r="N5819" i="29"/>
  <c r="N5818" i="29"/>
  <c r="N5815" i="29"/>
  <c r="N5814" i="29"/>
  <c r="N5813" i="29"/>
  <c r="N5812" i="29"/>
  <c r="N5811" i="29"/>
  <c r="N5810" i="29"/>
  <c r="N5817" i="29"/>
  <c r="N5816" i="29"/>
  <c r="N5809" i="29"/>
  <c r="N5808" i="29"/>
  <c r="N5807" i="29"/>
  <c r="N5806" i="29"/>
  <c r="N5805" i="29"/>
  <c r="N5804" i="29"/>
  <c r="N5803" i="29"/>
  <c r="N5802" i="29"/>
  <c r="N5801" i="29"/>
  <c r="N5800" i="29"/>
  <c r="N5799" i="29"/>
  <c r="N5795" i="29"/>
  <c r="N5794" i="29"/>
  <c r="N5793" i="29"/>
  <c r="N5792" i="29"/>
  <c r="N5791" i="29"/>
  <c r="N5790" i="29"/>
  <c r="N5798" i="29"/>
  <c r="N5797" i="29"/>
  <c r="N5796" i="29"/>
  <c r="N5789" i="29"/>
  <c r="N5788" i="29"/>
  <c r="N5787" i="29"/>
  <c r="N5786" i="29"/>
  <c r="N5785" i="29"/>
  <c r="N5784" i="29"/>
  <c r="N5783" i="29"/>
  <c r="N5782" i="29"/>
  <c r="N5781" i="29"/>
  <c r="N5780" i="29"/>
  <c r="N5778" i="29"/>
  <c r="N5777" i="29"/>
  <c r="N5776" i="29"/>
  <c r="N5775" i="29"/>
  <c r="N5779" i="29"/>
  <c r="N5774" i="29"/>
  <c r="N5773" i="29"/>
  <c r="N5772" i="29"/>
  <c r="N5771" i="29"/>
  <c r="N5766" i="29"/>
  <c r="N5770" i="29"/>
  <c r="N5769" i="29"/>
  <c r="N5768" i="29"/>
  <c r="N5767" i="29"/>
  <c r="N5765" i="29"/>
  <c r="N5764" i="29"/>
  <c r="N5763" i="29"/>
  <c r="N5762" i="29"/>
  <c r="N5759" i="29"/>
  <c r="N5758" i="29"/>
  <c r="N5756" i="29"/>
  <c r="N5755" i="29"/>
  <c r="N5754" i="29"/>
  <c r="N5753" i="29"/>
  <c r="N5752" i="29"/>
  <c r="N5751" i="29"/>
  <c r="N5750" i="29"/>
  <c r="N5749" i="29"/>
  <c r="N5745" i="29"/>
  <c r="N5744" i="29"/>
  <c r="N5761" i="29"/>
  <c r="N5760" i="29"/>
  <c r="N5757" i="29"/>
  <c r="N5748" i="29"/>
  <c r="N5746" i="29"/>
  <c r="N5740" i="29"/>
  <c r="N5739" i="29"/>
  <c r="N5737" i="29"/>
  <c r="N5747" i="29"/>
  <c r="N5734" i="29"/>
  <c r="N5732" i="29"/>
  <c r="N5731" i="29"/>
  <c r="N5730" i="29"/>
  <c r="N5729" i="29"/>
  <c r="N5726" i="29"/>
  <c r="N5743" i="29"/>
  <c r="N5742" i="29"/>
  <c r="N5741" i="29"/>
  <c r="N5738" i="29"/>
  <c r="N5728" i="29"/>
  <c r="N5727" i="29"/>
  <c r="N5736" i="29"/>
  <c r="N5735" i="29"/>
  <c r="N5733" i="29"/>
  <c r="N5725" i="29"/>
  <c r="N5724" i="29"/>
  <c r="N5723" i="29"/>
  <c r="N5722" i="29"/>
  <c r="N5721" i="29"/>
  <c r="N5720" i="29"/>
  <c r="N5719" i="29"/>
  <c r="N5718" i="29"/>
  <c r="N5717" i="29"/>
  <c r="N5716" i="29"/>
  <c r="N5715" i="29"/>
  <c r="N5714" i="29"/>
  <c r="N5713" i="29"/>
  <c r="N5712" i="29"/>
  <c r="N5711" i="29"/>
  <c r="N5710" i="29"/>
  <c r="N5707" i="29"/>
  <c r="N5706" i="29"/>
  <c r="N5705" i="29"/>
  <c r="N5704" i="29"/>
  <c r="N5703" i="29"/>
  <c r="N5702" i="29"/>
  <c r="N5709" i="29"/>
  <c r="N5708" i="29"/>
  <c r="N5701" i="29"/>
  <c r="N5700" i="29"/>
  <c r="N5699" i="29"/>
  <c r="N5698" i="29"/>
  <c r="N5697" i="29"/>
  <c r="N5696" i="29"/>
  <c r="N5694" i="29"/>
  <c r="N5693" i="29"/>
  <c r="N5692" i="29"/>
  <c r="N5691" i="29"/>
  <c r="N5690" i="29"/>
  <c r="N5689" i="29"/>
  <c r="N5688" i="29"/>
  <c r="N5687" i="29"/>
  <c r="N5695" i="29"/>
  <c r="N5686" i="29"/>
  <c r="N5675" i="29"/>
  <c r="N5671" i="29"/>
  <c r="N5670" i="29"/>
  <c r="N5669" i="29"/>
  <c r="N5684" i="29"/>
  <c r="N5683" i="29"/>
  <c r="N5682" i="29"/>
  <c r="N5681" i="29"/>
  <c r="N5680" i="29"/>
  <c r="N5679" i="29"/>
  <c r="N5678" i="29"/>
  <c r="N5677" i="29"/>
  <c r="N5676" i="29"/>
  <c r="N5674" i="29"/>
  <c r="N5673" i="29"/>
  <c r="N5672" i="29"/>
  <c r="N5668" i="29"/>
  <c r="N5667" i="29"/>
  <c r="N5657" i="29"/>
  <c r="N5656" i="29"/>
  <c r="N5649" i="29"/>
  <c r="N5648" i="29"/>
  <c r="N5647" i="29"/>
  <c r="N5646" i="29"/>
  <c r="N5645" i="29"/>
  <c r="N5644" i="29"/>
  <c r="N5643" i="29"/>
  <c r="N5642" i="29"/>
  <c r="N5641" i="29"/>
  <c r="N5666" i="29"/>
  <c r="N5665" i="29"/>
  <c r="N5664" i="29"/>
  <c r="N5663" i="29"/>
  <c r="N5662" i="29"/>
  <c r="N5661" i="29"/>
  <c r="N5660" i="29"/>
  <c r="N5659" i="29"/>
  <c r="N5658" i="29"/>
  <c r="N5655" i="29"/>
  <c r="N5654" i="29"/>
  <c r="N5653" i="29"/>
  <c r="N5652" i="29"/>
  <c r="N5685" i="29"/>
  <c r="N5636" i="29"/>
  <c r="N5635" i="29"/>
  <c r="N5620" i="29"/>
  <c r="N5619" i="29"/>
  <c r="N5618" i="29"/>
  <c r="N5616" i="29"/>
  <c r="N5615" i="29"/>
  <c r="N5614" i="29"/>
  <c r="N5613" i="29"/>
  <c r="N5612" i="29"/>
  <c r="N5611" i="29"/>
  <c r="N5640" i="29"/>
  <c r="N5639" i="29"/>
  <c r="N5638" i="29"/>
  <c r="N5637" i="29"/>
  <c r="N5634" i="29"/>
  <c r="N5633" i="29"/>
  <c r="N5632" i="29"/>
  <c r="N5631" i="29"/>
  <c r="N5630" i="29"/>
  <c r="N5629" i="29"/>
  <c r="N5602" i="29"/>
  <c r="N5601" i="29"/>
  <c r="N5600" i="29"/>
  <c r="N5599" i="29"/>
  <c r="N5598" i="29"/>
  <c r="N5597" i="29"/>
  <c r="N5596" i="29"/>
  <c r="N5595" i="29"/>
  <c r="N5594" i="29"/>
  <c r="N5650" i="29"/>
  <c r="N5651" i="29"/>
  <c r="N5628" i="29"/>
  <c r="N5627" i="29"/>
  <c r="N5626" i="29"/>
  <c r="N5625" i="29"/>
  <c r="N5624" i="29"/>
  <c r="N5623" i="29"/>
  <c r="N5622" i="29"/>
  <c r="N5621" i="29"/>
  <c r="N5617" i="29"/>
  <c r="N5606" i="29"/>
  <c r="N5605" i="29"/>
  <c r="N5593" i="29"/>
  <c r="N5610" i="29"/>
  <c r="N5609" i="29"/>
  <c r="N5608" i="29"/>
  <c r="N5607" i="29"/>
  <c r="N5604" i="29"/>
  <c r="N5592" i="29"/>
  <c r="N5591" i="29"/>
  <c r="N5603" i="29"/>
  <c r="N5590" i="29"/>
  <c r="N5589" i="29"/>
  <c r="N5588" i="29"/>
  <c r="N5584" i="29"/>
  <c r="N5578" i="29"/>
  <c r="N5577" i="29"/>
  <c r="N5576" i="29"/>
  <c r="N5575" i="29"/>
  <c r="N5574" i="29"/>
  <c r="N5573" i="29"/>
  <c r="N5572" i="29"/>
  <c r="N5571" i="29"/>
  <c r="N5570" i="29"/>
  <c r="N5569" i="29"/>
  <c r="N5568" i="29"/>
  <c r="N5567" i="29"/>
  <c r="N5587" i="29"/>
  <c r="N5586" i="29"/>
  <c r="N5585" i="29"/>
  <c r="N5583" i="29"/>
  <c r="N5582" i="29"/>
  <c r="N5581" i="29"/>
  <c r="N5580" i="29"/>
  <c r="N5579" i="29"/>
  <c r="N5566" i="29"/>
  <c r="N5565" i="29"/>
  <c r="N5564" i="29"/>
  <c r="N5563" i="29"/>
  <c r="N5559" i="29"/>
  <c r="N5558" i="29"/>
  <c r="N5557" i="29"/>
  <c r="N5556" i="29"/>
  <c r="N5555" i="29"/>
  <c r="N5554" i="29"/>
  <c r="N5553" i="29"/>
  <c r="N5552" i="29"/>
  <c r="N5551" i="29"/>
  <c r="N5550" i="29"/>
  <c r="N5549" i="29"/>
  <c r="N5548" i="29"/>
  <c r="N5547" i="29"/>
  <c r="N5546" i="29"/>
  <c r="N5538" i="29"/>
  <c r="N5562" i="29"/>
  <c r="N5561" i="29"/>
  <c r="N5560" i="29"/>
  <c r="N5543" i="29"/>
  <c r="N5542" i="29"/>
  <c r="N5541" i="29"/>
  <c r="N5540" i="29"/>
  <c r="N5539" i="29"/>
  <c r="N5534" i="29"/>
  <c r="N5533" i="29"/>
  <c r="N5532" i="29"/>
  <c r="N5545" i="29"/>
  <c r="N5544" i="29"/>
  <c r="N5527" i="29"/>
  <c r="N5537" i="29"/>
  <c r="N5536" i="29"/>
  <c r="N5535" i="29"/>
  <c r="N5531" i="29"/>
  <c r="N5530" i="29"/>
  <c r="N5529" i="29"/>
  <c r="N5528" i="29"/>
  <c r="N5513" i="29"/>
  <c r="N5512" i="29"/>
  <c r="N5511" i="29"/>
  <c r="N5525" i="29"/>
  <c r="N5524" i="29"/>
  <c r="N5523" i="29"/>
  <c r="N5521" i="29"/>
  <c r="N5526" i="29"/>
  <c r="N5522" i="29"/>
  <c r="N5520" i="29"/>
  <c r="N5519" i="29"/>
  <c r="N5518" i="29"/>
  <c r="N5517" i="29"/>
  <c r="N5516" i="29"/>
  <c r="N5515" i="29"/>
  <c r="N5514" i="29"/>
  <c r="N5507" i="29"/>
  <c r="N5506" i="29"/>
  <c r="N5510" i="29"/>
  <c r="N5509" i="29"/>
  <c r="N5508" i="29"/>
  <c r="N5505" i="29"/>
  <c r="N5504" i="29"/>
  <c r="N5503" i="29"/>
  <c r="N5499" i="29"/>
  <c r="N5498" i="29"/>
  <c r="N5497" i="29"/>
  <c r="N5496" i="29"/>
  <c r="N5495" i="29"/>
  <c r="N5494" i="29"/>
  <c r="N5493" i="29"/>
  <c r="N5492" i="29"/>
  <c r="N5502" i="29"/>
  <c r="N5501" i="29"/>
  <c r="N5500" i="29"/>
  <c r="N5491" i="29"/>
  <c r="N5490" i="29"/>
  <c r="N5473" i="29"/>
  <c r="N5485" i="29"/>
  <c r="N5484" i="29"/>
  <c r="N5483" i="29"/>
  <c r="N5482" i="29"/>
  <c r="N5481" i="29"/>
  <c r="N5480" i="29"/>
  <c r="N5479" i="29"/>
  <c r="N5478" i="29"/>
  <c r="N5477" i="29"/>
  <c r="N5489" i="29"/>
  <c r="N5488" i="29"/>
  <c r="N5487" i="29"/>
  <c r="N5486" i="29"/>
  <c r="N5476" i="29"/>
  <c r="N5475" i="29"/>
  <c r="N5474" i="29"/>
  <c r="N5472" i="29"/>
  <c r="N5471" i="29"/>
  <c r="N5461" i="29"/>
  <c r="N5456" i="29"/>
  <c r="N5470" i="29"/>
  <c r="N5469" i="29"/>
  <c r="N5468" i="29"/>
  <c r="N5467" i="29"/>
  <c r="N5466" i="29"/>
  <c r="N5465" i="29"/>
  <c r="N5464" i="29"/>
  <c r="N5463" i="29"/>
  <c r="N5462" i="29"/>
  <c r="N5460" i="29"/>
  <c r="N5459" i="29"/>
  <c r="N5458" i="29"/>
  <c r="N5457" i="29"/>
  <c r="N5455" i="29"/>
  <c r="N5454" i="29"/>
  <c r="N5453" i="29"/>
  <c r="N5451" i="29"/>
  <c r="N5452" i="29"/>
  <c r="N5446" i="29"/>
  <c r="N5445" i="29"/>
  <c r="N5444" i="29"/>
  <c r="N5443" i="29"/>
  <c r="N5442" i="29"/>
  <c r="N5441" i="29"/>
  <c r="N5449" i="29"/>
  <c r="N5448" i="29"/>
  <c r="N5447" i="29"/>
  <c r="N5440" i="29"/>
  <c r="N5439" i="29"/>
  <c r="N5450" i="29"/>
  <c r="N5433" i="29"/>
  <c r="N5432" i="29"/>
  <c r="N5438" i="29"/>
  <c r="N5437" i="29"/>
  <c r="N5436" i="29"/>
  <c r="N5435" i="29"/>
  <c r="N5434" i="29"/>
  <c r="N5431" i="29"/>
  <c r="N5430" i="29"/>
  <c r="N5429" i="29"/>
  <c r="N5428" i="29"/>
  <c r="N5427" i="29"/>
  <c r="N5426" i="29"/>
  <c r="N5425" i="29"/>
  <c r="N5424" i="29"/>
  <c r="N5423" i="29"/>
  <c r="N5422" i="29"/>
  <c r="N5421" i="29"/>
  <c r="N5420" i="29"/>
  <c r="N5419" i="29"/>
  <c r="N5418" i="29"/>
  <c r="N5417" i="29"/>
  <c r="N5410" i="29"/>
  <c r="N5402" i="29"/>
  <c r="N5401" i="29"/>
  <c r="N5400" i="29"/>
  <c r="N5399" i="29"/>
  <c r="N5398" i="29"/>
  <c r="N5397" i="29"/>
  <c r="N5396" i="29"/>
  <c r="N5395" i="29"/>
  <c r="N5394" i="29"/>
  <c r="N5393" i="29"/>
  <c r="N5392" i="29"/>
  <c r="N5409" i="29"/>
  <c r="N5408" i="29"/>
  <c r="N5407" i="29"/>
  <c r="N5406" i="29"/>
  <c r="N5405" i="29"/>
  <c r="N5404" i="29"/>
  <c r="N5403" i="29"/>
  <c r="N5416" i="29"/>
  <c r="N5415" i="29"/>
  <c r="N5414" i="29"/>
  <c r="N5413" i="29"/>
  <c r="N5412" i="29"/>
  <c r="N5411" i="29"/>
  <c r="N5390" i="29"/>
  <c r="N5389" i="29"/>
  <c r="N5388" i="29"/>
  <c r="N5387" i="29"/>
  <c r="N5384" i="29"/>
  <c r="N5383" i="29"/>
  <c r="N5382" i="29"/>
  <c r="N5381" i="29"/>
  <c r="N5380" i="29"/>
  <c r="N5379" i="29"/>
  <c r="N5391" i="29"/>
  <c r="N5386" i="29"/>
  <c r="N5385" i="29"/>
  <c r="N5365" i="29"/>
  <c r="N5363" i="29"/>
  <c r="N5378" i="29"/>
  <c r="N5377" i="29"/>
  <c r="N5376" i="29"/>
  <c r="N5375" i="29"/>
  <c r="N2611" i="29"/>
  <c r="N2610" i="29"/>
  <c r="N5355" i="29"/>
  <c r="N5354" i="29"/>
  <c r="N5353" i="29"/>
  <c r="N5352" i="29"/>
  <c r="N5351" i="29"/>
  <c r="N5350" i="29"/>
  <c r="N5374" i="29"/>
  <c r="N5373" i="29"/>
  <c r="N621" i="29"/>
  <c r="N658" i="29"/>
  <c r="N653" i="29"/>
  <c r="N5349" i="29"/>
  <c r="N5348" i="29"/>
  <c r="N5372" i="29"/>
  <c r="N5371" i="29"/>
  <c r="N5370" i="29"/>
  <c r="N5369" i="29"/>
  <c r="N5368" i="29"/>
  <c r="N5364" i="29"/>
  <c r="N5358" i="29"/>
  <c r="N5357" i="29"/>
  <c r="N5367" i="29"/>
  <c r="N5366" i="29"/>
  <c r="N5362" i="29"/>
  <c r="N5361" i="29"/>
  <c r="N5360" i="29"/>
  <c r="N5359" i="29"/>
  <c r="N5346" i="29"/>
  <c r="N5356" i="29"/>
  <c r="N5347" i="29"/>
  <c r="N5345" i="29"/>
  <c r="N4867" i="29"/>
  <c r="N5344" i="29"/>
  <c r="N5343" i="29"/>
  <c r="N5342" i="29"/>
  <c r="N5341" i="29"/>
  <c r="N5339" i="29"/>
  <c r="N4877" i="29"/>
  <c r="N4876" i="29"/>
  <c r="N4875" i="29"/>
  <c r="N4874" i="29"/>
  <c r="N4873" i="29"/>
  <c r="N4872" i="29"/>
  <c r="N5340" i="29"/>
  <c r="N5338" i="29"/>
  <c r="N5336" i="29"/>
  <c r="N5335" i="29"/>
  <c r="N5334" i="29"/>
  <c r="N5299" i="29"/>
  <c r="N5300" i="29"/>
  <c r="N5337" i="29"/>
  <c r="N5301" i="29"/>
  <c r="N5302" i="29"/>
  <c r="N5303" i="29"/>
  <c r="N5304" i="29"/>
  <c r="N5305" i="29"/>
  <c r="N5306" i="29"/>
  <c r="N5307" i="29"/>
  <c r="N5308" i="29"/>
  <c r="N5309" i="29"/>
  <c r="N5310" i="29"/>
  <c r="N5311" i="29"/>
  <c r="N5312" i="29"/>
  <c r="N5313" i="29"/>
  <c r="N5314" i="29"/>
  <c r="N5315" i="29"/>
  <c r="N5316" i="29"/>
  <c r="N5317" i="29"/>
  <c r="N5318" i="29"/>
  <c r="N5333" i="29"/>
  <c r="N5332" i="29"/>
  <c r="N5331" i="29"/>
  <c r="N5330" i="29"/>
  <c r="N5329" i="29"/>
  <c r="N5298" i="29"/>
  <c r="N5297" i="29"/>
  <c r="N5296" i="29"/>
  <c r="N5295" i="29"/>
  <c r="N5294" i="29"/>
  <c r="N5293" i="29"/>
  <c r="N5319" i="29"/>
  <c r="N5320" i="29"/>
  <c r="N5321" i="29"/>
  <c r="N5322" i="29"/>
  <c r="N5323" i="29"/>
  <c r="N5324" i="29"/>
  <c r="N5325" i="29"/>
  <c r="N5326" i="29"/>
  <c r="N5327" i="29"/>
  <c r="N5328" i="29"/>
  <c r="N5286" i="29"/>
  <c r="N5292" i="29"/>
  <c r="N5291" i="29"/>
  <c r="N5290" i="29"/>
  <c r="N5289" i="29"/>
  <c r="N5288" i="29"/>
  <c r="N5287" i="29"/>
  <c r="N5285" i="29"/>
  <c r="N5284" i="29"/>
  <c r="N5283" i="29"/>
  <c r="N5281" i="29"/>
  <c r="N5280" i="29"/>
  <c r="N5279" i="29"/>
  <c r="N5278" i="29"/>
  <c r="N5271" i="29"/>
  <c r="N5267" i="29"/>
  <c r="N5265" i="29"/>
  <c r="N5264" i="29"/>
  <c r="N5263" i="29"/>
  <c r="N5262" i="29"/>
  <c r="N5261" i="29"/>
  <c r="N5260" i="29"/>
  <c r="N5282" i="29"/>
  <c r="N5277" i="29"/>
  <c r="N5276" i="29"/>
  <c r="N5275" i="29"/>
  <c r="N5274" i="29"/>
  <c r="N5273" i="29"/>
  <c r="N5255" i="29"/>
  <c r="N5254" i="29"/>
  <c r="N4998" i="29"/>
  <c r="N5272" i="29"/>
  <c r="N5270" i="29"/>
  <c r="N5269" i="29"/>
  <c r="N5268" i="29"/>
  <c r="N5266" i="29"/>
  <c r="N5001" i="29"/>
  <c r="N5000" i="29"/>
  <c r="N4999" i="29"/>
  <c r="N5259" i="29"/>
  <c r="N5258" i="29"/>
  <c r="N5257" i="29"/>
  <c r="N5256" i="29"/>
  <c r="N5247" i="29"/>
  <c r="N5253" i="29"/>
  <c r="N5252" i="29"/>
  <c r="N5251" i="29"/>
  <c r="N5240" i="29"/>
  <c r="N5234" i="29"/>
  <c r="N5244" i="29"/>
  <c r="N5250" i="29"/>
  <c r="N5249" i="29"/>
  <c r="N5248" i="29"/>
  <c r="N5246" i="29"/>
  <c r="N5245" i="29"/>
  <c r="N5243" i="29"/>
  <c r="N5242" i="29"/>
  <c r="N5241" i="29"/>
  <c r="N5239" i="29"/>
  <c r="N5238" i="29"/>
  <c r="N5237" i="29"/>
  <c r="N5236" i="29"/>
  <c r="N5235" i="29"/>
  <c r="N5220" i="29"/>
  <c r="N5219" i="29"/>
  <c r="N5218" i="29"/>
  <c r="N5217" i="29"/>
  <c r="N5214" i="29"/>
  <c r="N5213" i="29"/>
  <c r="N5212" i="29"/>
  <c r="N5211" i="29"/>
  <c r="N5221" i="29"/>
  <c r="N5216" i="29"/>
  <c r="N5233" i="29"/>
  <c r="N5215" i="29"/>
  <c r="N5232" i="29"/>
  <c r="N5231" i="29"/>
  <c r="N5230" i="29"/>
  <c r="N5229" i="29"/>
  <c r="N5228" i="29"/>
  <c r="N5227" i="29"/>
  <c r="N5210" i="29"/>
  <c r="N5209" i="29"/>
  <c r="N5208" i="29"/>
  <c r="N5207" i="29"/>
  <c r="N5206" i="29"/>
  <c r="N5205" i="29"/>
  <c r="N5204" i="29"/>
  <c r="N5203" i="29"/>
  <c r="N5226" i="29"/>
  <c r="N5225" i="29"/>
  <c r="N5224" i="29"/>
  <c r="N5223" i="29"/>
  <c r="N5222" i="29"/>
  <c r="N5198" i="29"/>
  <c r="N5197" i="29"/>
  <c r="N5196" i="29"/>
  <c r="N5195" i="29"/>
  <c r="N5194" i="29"/>
  <c r="N5188" i="29"/>
  <c r="N5202" i="29"/>
  <c r="N5201" i="29"/>
  <c r="N5200" i="29"/>
  <c r="N5199" i="29"/>
  <c r="N5173" i="29"/>
  <c r="N5172" i="29"/>
  <c r="N5171" i="29"/>
  <c r="N5193" i="29"/>
  <c r="N5192" i="29"/>
  <c r="N5191" i="29"/>
  <c r="N5190" i="29"/>
  <c r="N5189" i="29"/>
  <c r="N5169" i="29"/>
  <c r="N5168" i="29"/>
  <c r="N5167" i="29"/>
  <c r="N5166" i="29"/>
  <c r="N5165" i="29"/>
  <c r="N5164" i="29"/>
  <c r="N5163" i="29"/>
  <c r="N5162" i="29"/>
  <c r="N5161" i="29"/>
  <c r="N5160" i="29"/>
  <c r="N5183" i="29"/>
  <c r="N5182" i="29"/>
  <c r="N5181" i="29"/>
  <c r="N5180" i="29"/>
  <c r="N5179" i="29"/>
  <c r="N5159" i="29"/>
  <c r="N5158" i="29"/>
  <c r="N5157" i="29"/>
  <c r="N5156" i="29"/>
  <c r="N5155" i="29"/>
  <c r="N5154" i="29"/>
  <c r="N5187" i="29"/>
  <c r="N5186" i="29"/>
  <c r="N5185" i="29"/>
  <c r="N5184" i="29"/>
  <c r="N5178" i="29"/>
  <c r="N5177" i="29"/>
  <c r="N5176" i="29"/>
  <c r="N5175" i="29"/>
  <c r="N5174" i="29"/>
  <c r="N5170" i="29"/>
  <c r="N5153" i="29"/>
  <c r="N5152" i="29"/>
  <c r="N5151" i="29"/>
  <c r="N5150" i="29"/>
  <c r="N5149" i="29"/>
  <c r="N5139" i="29"/>
  <c r="N5138" i="29"/>
  <c r="N5137" i="29"/>
  <c r="N5136" i="29"/>
  <c r="N5143" i="29"/>
  <c r="N5142" i="29"/>
  <c r="N5141" i="29"/>
  <c r="N5140" i="29"/>
  <c r="N5133" i="29"/>
  <c r="N5132" i="29"/>
  <c r="N5131" i="29"/>
  <c r="N5130" i="29"/>
  <c r="N5128" i="29"/>
  <c r="N5148" i="29"/>
  <c r="N5147" i="29"/>
  <c r="N5146" i="29"/>
  <c r="N5145" i="29"/>
  <c r="N5144" i="29"/>
  <c r="N5129" i="29"/>
  <c r="N5135" i="29"/>
  <c r="N5134" i="29"/>
  <c r="N5127" i="29"/>
  <c r="N5126" i="29"/>
  <c r="N5125" i="29"/>
  <c r="N5124" i="29"/>
  <c r="N5123" i="29"/>
  <c r="N5118" i="29"/>
  <c r="N5119" i="29"/>
  <c r="N5120" i="29"/>
  <c r="N5121" i="29"/>
  <c r="N5122" i="29"/>
  <c r="N5085" i="29"/>
  <c r="N5111" i="29"/>
  <c r="N5110" i="29"/>
  <c r="N5109" i="29"/>
  <c r="N5108" i="29"/>
  <c r="N5106" i="29"/>
  <c r="N5105" i="29"/>
  <c r="N5104" i="29"/>
  <c r="N5103" i="29"/>
  <c r="N5101" i="29"/>
  <c r="N5112" i="29"/>
  <c r="N5107" i="29"/>
  <c r="N5102" i="29"/>
  <c r="N5100" i="29"/>
  <c r="N5099" i="29"/>
  <c r="N5098" i="29"/>
  <c r="N5097" i="29"/>
  <c r="N5096" i="29"/>
  <c r="N5095" i="29"/>
  <c r="N5094" i="29"/>
  <c r="N5093" i="29"/>
  <c r="N5092" i="29"/>
  <c r="N5117" i="29"/>
  <c r="N5116" i="29"/>
  <c r="N5115" i="29"/>
  <c r="N5114" i="29"/>
  <c r="N5113" i="29"/>
  <c r="N5091" i="29"/>
  <c r="N5090" i="29"/>
  <c r="N5089" i="29"/>
  <c r="N5088" i="29"/>
  <c r="N5087" i="29"/>
  <c r="N5086" i="29"/>
  <c r="N5084" i="29"/>
  <c r="N5083" i="29"/>
  <c r="N5082" i="29"/>
  <c r="N5081" i="29"/>
  <c r="N5080" i="29"/>
  <c r="N5079" i="29"/>
  <c r="N5078" i="29"/>
  <c r="N5077" i="29"/>
  <c r="N5076" i="29"/>
  <c r="N5075" i="29"/>
  <c r="N5074" i="29"/>
  <c r="N5073" i="29"/>
  <c r="N5070" i="29"/>
  <c r="N5069" i="29"/>
  <c r="N5068" i="29"/>
  <c r="N5067" i="29"/>
  <c r="N5063" i="29"/>
  <c r="N5065" i="29"/>
  <c r="N5064" i="29"/>
  <c r="N5062" i="29"/>
  <c r="N5061" i="29"/>
  <c r="N5058" i="29"/>
  <c r="N5057" i="29"/>
  <c r="N5056" i="29"/>
  <c r="N5055" i="29"/>
  <c r="N5054" i="29"/>
  <c r="N5053" i="29"/>
  <c r="N5046" i="29"/>
  <c r="N5045" i="29"/>
  <c r="N5044" i="29"/>
  <c r="N5043" i="29"/>
  <c r="N5042" i="29"/>
  <c r="N5041" i="29"/>
  <c r="N5040" i="29"/>
  <c r="N5039" i="29"/>
  <c r="N5072" i="29"/>
  <c r="N5071" i="29"/>
  <c r="N5066" i="29"/>
  <c r="N5060" i="29"/>
  <c r="N5059" i="29"/>
  <c r="N5052" i="29"/>
  <c r="N5051" i="29"/>
  <c r="N5050" i="29"/>
  <c r="N5049" i="29"/>
  <c r="N5048" i="29"/>
  <c r="N5047" i="29"/>
  <c r="N5038" i="29"/>
  <c r="N5037" i="29"/>
  <c r="N5028" i="29"/>
  <c r="N5026" i="29"/>
  <c r="N5025" i="29"/>
  <c r="N5021" i="29"/>
  <c r="N5020" i="29"/>
  <c r="N5019" i="29"/>
  <c r="N5018" i="29"/>
  <c r="N5017" i="29"/>
  <c r="N5036" i="29"/>
  <c r="N5035" i="29"/>
  <c r="N5034" i="29"/>
  <c r="N5033" i="29"/>
  <c r="N5032" i="29"/>
  <c r="N5031" i="29"/>
  <c r="N5030" i="29"/>
  <c r="N5029" i="29"/>
  <c r="N5027" i="29"/>
  <c r="N5024" i="29"/>
  <c r="N5023" i="29"/>
  <c r="N5022" i="29"/>
  <c r="N5015" i="29"/>
  <c r="N5014" i="29"/>
  <c r="N5013" i="29"/>
  <c r="N5012" i="29"/>
  <c r="N5011" i="29"/>
  <c r="N5010" i="29"/>
  <c r="N5009" i="29"/>
  <c r="N5008" i="29"/>
  <c r="N5007" i="29"/>
  <c r="N5016" i="29"/>
  <c r="N5005" i="29"/>
  <c r="N5004" i="29"/>
  <c r="N5006" i="29"/>
  <c r="N4994" i="29"/>
  <c r="N4993" i="29"/>
  <c r="N4997" i="29"/>
  <c r="N5003" i="29"/>
  <c r="N5002" i="29"/>
  <c r="N4996" i="29"/>
  <c r="N4995" i="29"/>
  <c r="N4991" i="29"/>
  <c r="N4990" i="29"/>
  <c r="N4989" i="29"/>
  <c r="N4986" i="29"/>
  <c r="N4985" i="29"/>
  <c r="N4984" i="29"/>
  <c r="N4983" i="29"/>
  <c r="N4980" i="29"/>
  <c r="N4979" i="29"/>
  <c r="N4978" i="29"/>
  <c r="N4977" i="29"/>
  <c r="N4974" i="29"/>
  <c r="N4992" i="29"/>
  <c r="N4988" i="29"/>
  <c r="N4987" i="29"/>
  <c r="N4982" i="29"/>
  <c r="N4981" i="29"/>
  <c r="N4976" i="29"/>
  <c r="N4963" i="29"/>
  <c r="N4962" i="29"/>
  <c r="N4961" i="29"/>
  <c r="N4975" i="29"/>
  <c r="N4973" i="29"/>
  <c r="N4972" i="29"/>
  <c r="N4971" i="29"/>
  <c r="N4970" i="29"/>
  <c r="N4969" i="29"/>
  <c r="N4968" i="29"/>
  <c r="N4960" i="29"/>
  <c r="N4959" i="29"/>
  <c r="N4958" i="29"/>
  <c r="N4957" i="29"/>
  <c r="N4956" i="29"/>
  <c r="N4955" i="29"/>
  <c r="N4954" i="29"/>
  <c r="N4953" i="29"/>
  <c r="N4967" i="29"/>
  <c r="N4966" i="29"/>
  <c r="N4965" i="29"/>
  <c r="N4964" i="29"/>
  <c r="N4952" i="29"/>
  <c r="N4951" i="29"/>
  <c r="N4950" i="29"/>
  <c r="N4949" i="29"/>
  <c r="N4948" i="29"/>
  <c r="N4946" i="29"/>
  <c r="N4945" i="29"/>
  <c r="N4944" i="29"/>
  <c r="N4943" i="29"/>
  <c r="N4942" i="29"/>
  <c r="N4941" i="29"/>
  <c r="N4940" i="29"/>
  <c r="N4939" i="29"/>
  <c r="N4935" i="29"/>
  <c r="N4934" i="29"/>
  <c r="N4947" i="29"/>
  <c r="N4938" i="29"/>
  <c r="N4937" i="29"/>
  <c r="N4936" i="29"/>
  <c r="N4933" i="29"/>
  <c r="N4932" i="29"/>
  <c r="N4931" i="29"/>
  <c r="N4930" i="29"/>
  <c r="N4929" i="29"/>
  <c r="N4928" i="29"/>
  <c r="N4927" i="29"/>
  <c r="N4925" i="29"/>
  <c r="N4924" i="29"/>
  <c r="N4923" i="29"/>
  <c r="N4922" i="29"/>
  <c r="N4919" i="29"/>
  <c r="N4916" i="29"/>
  <c r="N4915" i="29"/>
  <c r="N4914" i="29"/>
  <c r="N4926" i="29"/>
  <c r="N4921" i="29"/>
  <c r="N4920" i="29"/>
  <c r="N4913" i="29"/>
  <c r="N4912" i="29"/>
  <c r="N4911" i="29"/>
  <c r="N4910" i="29"/>
  <c r="N4909" i="29"/>
  <c r="N4918" i="29"/>
  <c r="N4917" i="29"/>
  <c r="N4908" i="29"/>
  <c r="N4906" i="29"/>
  <c r="N4905" i="29"/>
  <c r="N4904" i="29"/>
  <c r="N4902" i="29"/>
  <c r="N4907" i="29"/>
  <c r="N4898" i="29"/>
  <c r="N4903" i="29"/>
  <c r="N4901" i="29"/>
  <c r="N4900" i="29"/>
  <c r="N4899" i="29"/>
  <c r="N4897" i="29"/>
  <c r="N4892" i="29"/>
  <c r="N4891" i="29"/>
  <c r="N4890" i="29"/>
  <c r="N4889" i="29"/>
  <c r="N4887" i="29"/>
  <c r="N4886" i="29"/>
  <c r="N4884" i="29"/>
  <c r="N4883" i="29"/>
  <c r="N4882" i="29"/>
  <c r="N4881" i="29"/>
  <c r="N4880" i="29"/>
  <c r="N4878" i="29"/>
  <c r="N4871" i="29"/>
  <c r="N4870" i="29"/>
  <c r="N4869" i="29"/>
  <c r="N4868" i="29"/>
  <c r="N4885" i="29"/>
  <c r="N4896" i="29"/>
  <c r="N4895" i="29"/>
  <c r="N4894" i="29"/>
  <c r="N4893" i="29"/>
  <c r="N4888" i="29"/>
  <c r="N4879" i="29"/>
  <c r="N4866" i="29"/>
  <c r="N4865" i="29"/>
  <c r="N4862" i="29"/>
  <c r="N4861" i="29"/>
  <c r="N4860" i="29"/>
  <c r="N4859" i="29"/>
  <c r="N4858" i="29"/>
  <c r="N4857" i="29"/>
  <c r="N4856" i="29"/>
  <c r="N4853" i="29"/>
  <c r="N4847" i="29"/>
  <c r="N4864" i="29"/>
  <c r="N4855" i="29"/>
  <c r="N4854" i="29"/>
  <c r="N4852" i="29"/>
  <c r="N4851" i="29"/>
  <c r="N4850" i="29"/>
  <c r="N4849" i="29"/>
  <c r="N4844" i="29"/>
  <c r="N4843" i="29"/>
  <c r="N4863" i="29"/>
  <c r="N4848" i="29"/>
  <c r="N4846" i="29"/>
  <c r="N4845" i="29"/>
  <c r="N4839" i="29"/>
  <c r="N4842" i="29"/>
  <c r="N4841" i="29"/>
  <c r="N4840" i="29"/>
  <c r="N4838" i="29"/>
  <c r="N4837" i="29"/>
  <c r="N4836" i="29"/>
  <c r="N4835" i="29"/>
  <c r="N4834" i="29"/>
  <c r="N4833" i="29"/>
  <c r="N4826" i="29"/>
  <c r="N4825" i="29"/>
  <c r="N4824" i="29"/>
  <c r="N4823" i="29"/>
  <c r="N4832" i="29"/>
  <c r="N4831" i="29"/>
  <c r="N4830" i="29"/>
  <c r="N4829" i="29"/>
  <c r="N4828" i="29"/>
  <c r="N4827" i="29"/>
  <c r="N4822" i="29"/>
  <c r="N4821" i="29"/>
  <c r="N4814" i="29"/>
  <c r="N4813" i="29"/>
  <c r="N4812" i="29"/>
  <c r="N4811" i="29"/>
  <c r="N4810" i="29"/>
  <c r="N4820" i="29"/>
  <c r="N4819" i="29"/>
  <c r="N4818" i="29"/>
  <c r="N4817" i="29"/>
  <c r="N4816" i="29"/>
  <c r="N4815" i="29"/>
  <c r="N4808" i="29"/>
  <c r="N4807" i="29"/>
  <c r="N4809" i="29"/>
  <c r="N4802" i="29"/>
  <c r="N4801" i="29"/>
  <c r="N4805" i="29"/>
  <c r="N4804" i="29"/>
  <c r="N4803" i="29"/>
  <c r="N4795" i="29"/>
  <c r="N4794" i="29"/>
  <c r="N4793" i="29"/>
  <c r="N4792" i="29"/>
  <c r="N4791" i="29"/>
  <c r="N4790" i="29"/>
  <c r="N4806" i="29"/>
  <c r="N4800" i="29"/>
  <c r="N4799" i="29"/>
  <c r="N4798" i="29"/>
  <c r="N4797" i="29"/>
  <c r="N4796" i="29"/>
  <c r="N4789" i="29"/>
  <c r="N4788" i="29"/>
  <c r="N4786" i="29"/>
  <c r="N4785" i="29"/>
  <c r="N4784" i="29"/>
  <c r="N4782" i="29"/>
  <c r="N4780" i="29"/>
  <c r="N4779" i="29"/>
  <c r="N4778" i="29"/>
  <c r="N4777" i="29"/>
  <c r="N4776" i="29"/>
  <c r="N4774" i="29"/>
  <c r="N4787" i="29"/>
  <c r="N4781" i="29"/>
  <c r="N4783" i="29"/>
  <c r="N4775" i="29"/>
  <c r="N4772" i="29"/>
  <c r="N4770" i="29"/>
  <c r="N4769" i="29"/>
  <c r="N4768" i="29"/>
  <c r="N4767" i="29"/>
  <c r="N4762" i="29"/>
  <c r="N4773" i="29"/>
  <c r="N4771" i="29"/>
  <c r="N4766" i="29"/>
  <c r="N4765" i="29"/>
  <c r="N4764" i="29"/>
  <c r="N4763" i="29"/>
  <c r="N4756" i="29"/>
  <c r="N4761" i="29"/>
  <c r="N4760" i="29"/>
  <c r="N4759" i="29"/>
  <c r="N4758" i="29"/>
  <c r="N4757" i="29"/>
  <c r="N4755" i="29"/>
  <c r="N4754" i="29"/>
  <c r="N4751" i="29"/>
  <c r="N4750" i="29"/>
  <c r="N4749" i="29"/>
  <c r="N4748" i="29"/>
  <c r="N4747" i="29"/>
  <c r="N4746" i="29"/>
  <c r="N4743" i="29"/>
  <c r="N4741" i="29"/>
  <c r="N4739" i="29"/>
  <c r="N4732" i="29"/>
  <c r="N4731" i="29"/>
  <c r="N4728" i="29"/>
  <c r="N4727" i="29"/>
  <c r="N4726" i="29"/>
  <c r="N4725" i="29"/>
  <c r="N4724" i="29"/>
  <c r="N4723" i="29"/>
  <c r="N4722" i="29"/>
  <c r="N4721" i="29"/>
  <c r="N4720" i="29"/>
  <c r="N4719" i="29"/>
  <c r="N4717" i="29"/>
  <c r="N4716" i="29"/>
  <c r="N4753" i="29"/>
  <c r="N4752" i="29"/>
  <c r="N4745" i="29"/>
  <c r="N4744" i="29"/>
  <c r="N4742" i="29"/>
  <c r="N4740" i="29"/>
  <c r="N4738" i="29"/>
  <c r="N4737" i="29"/>
  <c r="N4736" i="29"/>
  <c r="N4735" i="29"/>
  <c r="N4734" i="29"/>
  <c r="N4733" i="29"/>
  <c r="N4730" i="29"/>
  <c r="N4729" i="29"/>
  <c r="N4718" i="29"/>
  <c r="N4715" i="29"/>
  <c r="N4714" i="29"/>
  <c r="N4711" i="29"/>
  <c r="N4710" i="29"/>
  <c r="N4713" i="29"/>
  <c r="N4712" i="29"/>
  <c r="N4697" i="29"/>
  <c r="N4696" i="29"/>
  <c r="N4695" i="29"/>
  <c r="N4694" i="29"/>
  <c r="N4691" i="29"/>
  <c r="N4689" i="29"/>
  <c r="N4688" i="29"/>
  <c r="N4687" i="29"/>
  <c r="N4692" i="29"/>
  <c r="N4709" i="29"/>
  <c r="N4708" i="29"/>
  <c r="N4707" i="29"/>
  <c r="N4706" i="29"/>
  <c r="N4693" i="29"/>
  <c r="N4690" i="29"/>
  <c r="N4686" i="29"/>
  <c r="N4685" i="29"/>
  <c r="N4684" i="29"/>
  <c r="N4683" i="29"/>
  <c r="N4682" i="29"/>
  <c r="N4681" i="29"/>
  <c r="N4680" i="29"/>
  <c r="N4679" i="29"/>
  <c r="N4678" i="29"/>
  <c r="N4675" i="29"/>
  <c r="N4705" i="29"/>
  <c r="N4704" i="29"/>
  <c r="N4703" i="29"/>
  <c r="N4702" i="29"/>
  <c r="N4701" i="29"/>
  <c r="N4700" i="29"/>
  <c r="N4699" i="29"/>
  <c r="N4698" i="29"/>
  <c r="N4677" i="29"/>
  <c r="N4676" i="29"/>
  <c r="N4674" i="29"/>
  <c r="N4673" i="29"/>
  <c r="N4672" i="29"/>
  <c r="N4671" i="29"/>
  <c r="N4670" i="29"/>
  <c r="N4669" i="29"/>
  <c r="N4668" i="29"/>
  <c r="N4667" i="29"/>
  <c r="N4666" i="29"/>
  <c r="N4665" i="29"/>
  <c r="N4664" i="29"/>
  <c r="N4662" i="29"/>
  <c r="N4661" i="29"/>
  <c r="N4659" i="29"/>
  <c r="N4663" i="29"/>
  <c r="N4656" i="29"/>
  <c r="N4655" i="29"/>
  <c r="N4654" i="29"/>
  <c r="N4653" i="29"/>
  <c r="N4652" i="29"/>
  <c r="N4651" i="29"/>
  <c r="N4660" i="29"/>
  <c r="N4658" i="29"/>
  <c r="N4657" i="29"/>
  <c r="N4650" i="29"/>
  <c r="N4649" i="29"/>
  <c r="N4648" i="29"/>
  <c r="N4647" i="29"/>
  <c r="N4646" i="29"/>
  <c r="N4643" i="29"/>
  <c r="N4642" i="29"/>
  <c r="N4636" i="29"/>
  <c r="N4635" i="29"/>
  <c r="N4641" i="29"/>
  <c r="N4640" i="29"/>
  <c r="N4639" i="29"/>
  <c r="N4638" i="29"/>
  <c r="N4637" i="29"/>
  <c r="N4634" i="29"/>
  <c r="N4645" i="29"/>
  <c r="N4644" i="29"/>
  <c r="N4633" i="29"/>
  <c r="N4632" i="29"/>
  <c r="N4631" i="29"/>
  <c r="N4630" i="29"/>
  <c r="N4629" i="29"/>
  <c r="N4628" i="29"/>
  <c r="N4627" i="29"/>
  <c r="N4626" i="29"/>
  <c r="N4625" i="29"/>
  <c r="N4624" i="29"/>
  <c r="N4620" i="29"/>
  <c r="N4619" i="29"/>
  <c r="N4618" i="29"/>
  <c r="N4617" i="29"/>
  <c r="N4616" i="29"/>
  <c r="N4615" i="29"/>
  <c r="N4612" i="29"/>
  <c r="N4611" i="29"/>
  <c r="N4623" i="29"/>
  <c r="N4621" i="29"/>
  <c r="N4610" i="29"/>
  <c r="N4609" i="29"/>
  <c r="N4608" i="29"/>
  <c r="N4607" i="29"/>
  <c r="N4622" i="29"/>
  <c r="N4599" i="29"/>
  <c r="N4614" i="29"/>
  <c r="N4613" i="29"/>
  <c r="N4598" i="29"/>
  <c r="N4597" i="29"/>
  <c r="N4596" i="29"/>
  <c r="N4595" i="29"/>
  <c r="N4594" i="29"/>
  <c r="N4593" i="29"/>
  <c r="N4592" i="29"/>
  <c r="N4591" i="29"/>
  <c r="N4606" i="29"/>
  <c r="N4605" i="29"/>
  <c r="N4604" i="29"/>
  <c r="N4603" i="29"/>
  <c r="N4602" i="29"/>
  <c r="N4601" i="29"/>
  <c r="N4600" i="29"/>
  <c r="N4590" i="29"/>
  <c r="N4589" i="29"/>
  <c r="N4588" i="29"/>
  <c r="N4587" i="29"/>
  <c r="N4586" i="29"/>
  <c r="N4585" i="29"/>
  <c r="N4584" i="29"/>
  <c r="N4583" i="29"/>
  <c r="N4581" i="29"/>
  <c r="N4580" i="29"/>
  <c r="N4575" i="29"/>
  <c r="N4582" i="29"/>
  <c r="N4579" i="29"/>
  <c r="N4578" i="29"/>
  <c r="N4577" i="29"/>
  <c r="N4576" i="29"/>
  <c r="N4574" i="29"/>
  <c r="N4573" i="29"/>
  <c r="N4565" i="29"/>
  <c r="N4564" i="29"/>
  <c r="N4563" i="29"/>
  <c r="N4562" i="29"/>
  <c r="N4561" i="29"/>
  <c r="N4560" i="29"/>
  <c r="N4559" i="29"/>
  <c r="N4558" i="29"/>
  <c r="N4557" i="29"/>
  <c r="N4572" i="29"/>
  <c r="N4571" i="29"/>
  <c r="N4570" i="29"/>
  <c r="N4569" i="29"/>
  <c r="N4568" i="29"/>
  <c r="N4567" i="29"/>
  <c r="N4566" i="29"/>
  <c r="N4545" i="29"/>
  <c r="N4539" i="29"/>
  <c r="N4538" i="29"/>
  <c r="N4519" i="29"/>
  <c r="N4556" i="29"/>
  <c r="N4555" i="29"/>
  <c r="N4554" i="29"/>
  <c r="N4553" i="29"/>
  <c r="N4552" i="29"/>
  <c r="N4549" i="29"/>
  <c r="N4551" i="29"/>
  <c r="N4550" i="29"/>
  <c r="N4548" i="29"/>
  <c r="N4547" i="29"/>
  <c r="N4546" i="29"/>
  <c r="N4540" i="29"/>
  <c r="N4537" i="29"/>
  <c r="N4536" i="29"/>
  <c r="N4535" i="29"/>
  <c r="N4534" i="29"/>
  <c r="N4532" i="29"/>
  <c r="N4531" i="29"/>
  <c r="N4530" i="29"/>
  <c r="N4544" i="29"/>
  <c r="N4543" i="29"/>
  <c r="N4542" i="29"/>
  <c r="N4541" i="29"/>
  <c r="N4533" i="29"/>
  <c r="N4529" i="29"/>
  <c r="N4528" i="29"/>
  <c r="N4527" i="29"/>
  <c r="N4526" i="29"/>
  <c r="N4525" i="29"/>
  <c r="N4524" i="29"/>
  <c r="N4523" i="29"/>
  <c r="N4522" i="29"/>
  <c r="N4521" i="29"/>
  <c r="N4520" i="29"/>
  <c r="N4518" i="29"/>
  <c r="N4517" i="29"/>
  <c r="N4516" i="29"/>
  <c r="N4509" i="29"/>
  <c r="N4515" i="29"/>
  <c r="N4514" i="29"/>
  <c r="N4513" i="29"/>
  <c r="N4512" i="29"/>
  <c r="N4511" i="29"/>
  <c r="N4510" i="29"/>
  <c r="N4178" i="29"/>
  <c r="N4505" i="29"/>
  <c r="N4504" i="29"/>
  <c r="N4508" i="29"/>
  <c r="N4507" i="29"/>
  <c r="N4506" i="29"/>
  <c r="N4503" i="29"/>
  <c r="N4502" i="29"/>
  <c r="N4501" i="29"/>
  <c r="N4500" i="29"/>
  <c r="N4499" i="29"/>
  <c r="N4498" i="29"/>
  <c r="N4497" i="29"/>
  <c r="N4339" i="29"/>
  <c r="N4338" i="29"/>
  <c r="N4496" i="29"/>
  <c r="N4495" i="29"/>
  <c r="N4494" i="29"/>
  <c r="N4493" i="29"/>
  <c r="N4492" i="29"/>
  <c r="N4491" i="29"/>
  <c r="N4490" i="29"/>
  <c r="N4489" i="29"/>
  <c r="N4488" i="29"/>
  <c r="N4486" i="29"/>
  <c r="N4484" i="29"/>
  <c r="N4482" i="29"/>
  <c r="N4487" i="29"/>
  <c r="N4485" i="29"/>
  <c r="N4483" i="29"/>
  <c r="N4481" i="29"/>
  <c r="N4480" i="29"/>
  <c r="N4479" i="29"/>
  <c r="N4478" i="29"/>
  <c r="N4477" i="29"/>
  <c r="N4476" i="29"/>
  <c r="N4475" i="29"/>
  <c r="N4471" i="29"/>
  <c r="N4470" i="29"/>
  <c r="N4341" i="29"/>
  <c r="N4340" i="29"/>
  <c r="N4469" i="29"/>
  <c r="N4468" i="29"/>
  <c r="N4467" i="29"/>
  <c r="N4466" i="29"/>
  <c r="N4465" i="29"/>
  <c r="N4464" i="29"/>
  <c r="N4463" i="29"/>
  <c r="N4462" i="29"/>
  <c r="N4474" i="29"/>
  <c r="N4473" i="29"/>
  <c r="N4472" i="29"/>
  <c r="N4461" i="29"/>
  <c r="N4449" i="29"/>
  <c r="N4460" i="29"/>
  <c r="N4459" i="29"/>
  <c r="N4458" i="29"/>
  <c r="N4457" i="29"/>
  <c r="N4456" i="29"/>
  <c r="N4455" i="29"/>
  <c r="N4454" i="29"/>
  <c r="N4453" i="29"/>
  <c r="N4452" i="29"/>
  <c r="N4451" i="29"/>
  <c r="N4450" i="29"/>
  <c r="N4447" i="29"/>
  <c r="N4446" i="29"/>
  <c r="N4445" i="29"/>
  <c r="N4444" i="29"/>
  <c r="N4443" i="29"/>
  <c r="N4442" i="29"/>
  <c r="N4448" i="29"/>
  <c r="N4441" i="29"/>
  <c r="N4440" i="29"/>
  <c r="N4439" i="29"/>
  <c r="N4438" i="29"/>
  <c r="N4437" i="29"/>
  <c r="N4436" i="29"/>
  <c r="N4430" i="29"/>
  <c r="N4429" i="29"/>
  <c r="N4435" i="29"/>
  <c r="N4434" i="29"/>
  <c r="N4433" i="29"/>
  <c r="N4432" i="29"/>
  <c r="N4431" i="29"/>
  <c r="N4428" i="29"/>
  <c r="N4426" i="29"/>
  <c r="N4425" i="29"/>
  <c r="N4424" i="29"/>
  <c r="N4423" i="29"/>
  <c r="N4422" i="29"/>
  <c r="N4421" i="29"/>
  <c r="N4420" i="29"/>
  <c r="N4419" i="29"/>
  <c r="N4413" i="29"/>
  <c r="N4412" i="29"/>
  <c r="N4411" i="29"/>
  <c r="N4406" i="29"/>
  <c r="N4427" i="29"/>
  <c r="N4405" i="29"/>
  <c r="N4403" i="29"/>
  <c r="N4402" i="29"/>
  <c r="N4418" i="29"/>
  <c r="N4401" i="29"/>
  <c r="N4394" i="29"/>
  <c r="N4393" i="29"/>
  <c r="N4392" i="29"/>
  <c r="N4391" i="29"/>
  <c r="N4417" i="29"/>
  <c r="N4416" i="29"/>
  <c r="N4415" i="29"/>
  <c r="N4414" i="29"/>
  <c r="N4410" i="29"/>
  <c r="N4409" i="29"/>
  <c r="N4408" i="29"/>
  <c r="N4407" i="29"/>
  <c r="N4404" i="29"/>
  <c r="N4390" i="29"/>
  <c r="N4389" i="29"/>
  <c r="N4400" i="29"/>
  <c r="N4399" i="29"/>
  <c r="N4398" i="29"/>
  <c r="N4397" i="29"/>
  <c r="N4396" i="29"/>
  <c r="N4395" i="29"/>
  <c r="N4388" i="29"/>
  <c r="N4387" i="29"/>
  <c r="N4386" i="29"/>
  <c r="N4385" i="29"/>
  <c r="N4384" i="29"/>
  <c r="N4383" i="29"/>
  <c r="N4382" i="29"/>
  <c r="N4381" i="29"/>
  <c r="N4380" i="29"/>
  <c r="N4379" i="29"/>
  <c r="N4378" i="29"/>
  <c r="N4377" i="29"/>
  <c r="N4376" i="29"/>
  <c r="N4374" i="29"/>
  <c r="N4372" i="29"/>
  <c r="N4371" i="29"/>
  <c r="N4362" i="29"/>
  <c r="N4361" i="29"/>
  <c r="N4360" i="29"/>
  <c r="N4359" i="29"/>
  <c r="N4375" i="29"/>
  <c r="N4364" i="29"/>
  <c r="N4358" i="29"/>
  <c r="N4357" i="29"/>
  <c r="N4356" i="29"/>
  <c r="N4355" i="29"/>
  <c r="N4354" i="29"/>
  <c r="N4353" i="29"/>
  <c r="N4352" i="29"/>
  <c r="N4373" i="29"/>
  <c r="N4370" i="29"/>
  <c r="N4369" i="29"/>
  <c r="N4368" i="29"/>
  <c r="N4367" i="29"/>
  <c r="N4366" i="29"/>
  <c r="N4365" i="29"/>
  <c r="N4363" i="29"/>
  <c r="N4351" i="29"/>
  <c r="N4348" i="29"/>
  <c r="N4343" i="29"/>
  <c r="N4342" i="29"/>
  <c r="N4350" i="29"/>
  <c r="N4349" i="29"/>
  <c r="N4337" i="29"/>
  <c r="N4336" i="29"/>
  <c r="N4329" i="29"/>
  <c r="N4347" i="29"/>
  <c r="N4346" i="29"/>
  <c r="N4345" i="29"/>
  <c r="N4344" i="29"/>
  <c r="N4312" i="29"/>
  <c r="N4311" i="29"/>
  <c r="N4310" i="29"/>
  <c r="N4335" i="29"/>
  <c r="N4334" i="29"/>
  <c r="N4333" i="29"/>
  <c r="N4332" i="29"/>
  <c r="N4331" i="29"/>
  <c r="N4330" i="29"/>
  <c r="N4318" i="29"/>
  <c r="N4317" i="29"/>
  <c r="N4316" i="29"/>
  <c r="N4314" i="29"/>
  <c r="N4313" i="29"/>
  <c r="N4309" i="29"/>
  <c r="N4308" i="29"/>
  <c r="N4328" i="29"/>
  <c r="N4327" i="29"/>
  <c r="N4326" i="29"/>
  <c r="N4325" i="29"/>
  <c r="N4324" i="29"/>
  <c r="N4323" i="29"/>
  <c r="N4322" i="29"/>
  <c r="N4321" i="29"/>
  <c r="N4320" i="29"/>
  <c r="N4319" i="29"/>
  <c r="N4307" i="29"/>
  <c r="N4315" i="29"/>
  <c r="N4306" i="29"/>
  <c r="N4305" i="29"/>
  <c r="N4304" i="29"/>
  <c r="N4303" i="29"/>
  <c r="N4302" i="29"/>
  <c r="N4301" i="29"/>
  <c r="N4300" i="29"/>
  <c r="N4299" i="29"/>
  <c r="N4298" i="29"/>
  <c r="N4297" i="29"/>
  <c r="N4296" i="29"/>
  <c r="N4295" i="29"/>
  <c r="N4294" i="29"/>
  <c r="N4293" i="29"/>
  <c r="N4292" i="29"/>
  <c r="N4291" i="29"/>
  <c r="N4290" i="29"/>
  <c r="N4289" i="29"/>
  <c r="N4288" i="29"/>
  <c r="N4287" i="29"/>
  <c r="N4286" i="29"/>
  <c r="N4285" i="29"/>
  <c r="N4284" i="29"/>
  <c r="N4283" i="29"/>
  <c r="N4282" i="29"/>
  <c r="N4281" i="29"/>
  <c r="N4279" i="29"/>
  <c r="N4280" i="29"/>
  <c r="N4278" i="29"/>
  <c r="N4277" i="29"/>
  <c r="N4276" i="29"/>
  <c r="N4272" i="29"/>
  <c r="N4271" i="29"/>
  <c r="N4270" i="29"/>
  <c r="N4275" i="29"/>
  <c r="N4274" i="29"/>
  <c r="N4273" i="29"/>
  <c r="N632" i="29"/>
  <c r="N4269" i="29"/>
  <c r="N4268" i="29"/>
  <c r="N4267" i="29"/>
  <c r="N4259" i="29"/>
  <c r="N4266" i="29"/>
  <c r="N4265" i="29"/>
  <c r="N4261" i="29"/>
  <c r="N4260" i="29"/>
  <c r="N4247" i="29"/>
  <c r="N4264" i="29"/>
  <c r="N4263" i="29"/>
  <c r="N4262" i="29"/>
  <c r="N4257" i="29"/>
  <c r="N4256" i="29"/>
  <c r="N4255" i="29"/>
  <c r="N4254" i="29"/>
  <c r="N4253" i="29"/>
  <c r="N4252" i="29"/>
  <c r="N4258" i="29"/>
  <c r="N4251" i="29"/>
  <c r="N4250" i="29"/>
  <c r="N4249" i="29"/>
  <c r="N4248" i="29"/>
  <c r="N4246" i="29"/>
  <c r="N4245" i="29"/>
  <c r="N4244" i="29"/>
  <c r="N4243" i="29"/>
  <c r="N4242" i="29"/>
  <c r="N4241" i="29"/>
  <c r="N4240" i="29"/>
  <c r="N4239" i="29"/>
  <c r="N4238" i="29"/>
  <c r="N4233" i="29"/>
  <c r="N4232" i="29"/>
  <c r="N4230" i="29"/>
  <c r="N4237" i="29"/>
  <c r="N4236" i="29"/>
  <c r="N4235" i="29"/>
  <c r="N4229" i="29"/>
  <c r="N4228" i="29"/>
  <c r="N4234" i="29"/>
  <c r="N4227" i="29"/>
  <c r="N4226" i="29"/>
  <c r="N4225" i="29"/>
  <c r="N4224" i="29"/>
  <c r="N4223" i="29"/>
  <c r="N4222" i="29"/>
  <c r="N4221" i="29"/>
  <c r="N4220" i="29"/>
  <c r="N4231" i="29"/>
  <c r="N4218" i="29"/>
  <c r="N4211" i="29"/>
  <c r="N4210" i="29"/>
  <c r="N4216" i="29"/>
  <c r="N4219" i="29"/>
  <c r="N4217" i="29"/>
  <c r="N4215" i="29"/>
  <c r="N4214" i="29"/>
  <c r="N4213" i="29"/>
  <c r="N4212" i="29"/>
  <c r="N4209" i="29"/>
  <c r="N4208" i="29"/>
  <c r="N4207" i="29"/>
  <c r="N4206" i="29"/>
  <c r="N4205" i="29"/>
  <c r="N4195" i="29"/>
  <c r="N4194" i="29"/>
  <c r="N4193" i="29"/>
  <c r="N4192" i="29"/>
  <c r="N4191" i="29"/>
  <c r="N4190" i="29"/>
  <c r="N4189" i="29"/>
  <c r="N4188" i="29"/>
  <c r="N4203" i="29"/>
  <c r="N4187" i="29"/>
  <c r="N4186" i="29"/>
  <c r="N4185" i="29"/>
  <c r="N4184" i="29"/>
  <c r="N4183" i="29"/>
  <c r="N4182" i="29"/>
  <c r="N4181" i="29"/>
  <c r="N4204" i="29"/>
  <c r="N4202" i="29"/>
  <c r="N4201" i="29"/>
  <c r="N4200" i="29"/>
  <c r="N4199" i="29"/>
  <c r="N4198" i="29"/>
  <c r="N4197" i="29"/>
  <c r="N4196" i="29"/>
  <c r="N4177" i="29"/>
  <c r="N4175" i="29"/>
  <c r="N4174" i="29"/>
  <c r="N4173" i="29"/>
  <c r="N4172" i="29"/>
  <c r="N4171" i="29"/>
  <c r="N4170" i="29"/>
  <c r="N4169" i="29"/>
  <c r="N4180" i="29"/>
  <c r="N4179" i="29"/>
  <c r="N4163" i="29"/>
  <c r="N4161" i="29"/>
  <c r="N4176" i="29"/>
  <c r="N4168" i="29"/>
  <c r="N4167" i="29"/>
  <c r="N4166" i="29"/>
  <c r="N4165" i="29"/>
  <c r="N4164" i="29"/>
  <c r="N4158" i="29"/>
  <c r="N4152" i="29"/>
  <c r="N4151" i="29"/>
  <c r="N4150" i="29"/>
  <c r="N4141" i="29"/>
  <c r="N4140" i="29"/>
  <c r="N4139" i="29"/>
  <c r="N4138" i="29"/>
  <c r="N4137" i="29"/>
  <c r="N4136" i="29"/>
  <c r="N4135" i="29"/>
  <c r="N4134" i="29"/>
  <c r="N4133" i="29"/>
  <c r="N4132" i="29"/>
  <c r="N4131" i="29"/>
  <c r="N4162" i="29"/>
  <c r="N4160" i="29"/>
  <c r="N4159" i="29"/>
  <c r="N4122" i="29"/>
  <c r="N4118" i="29"/>
  <c r="N4115" i="29"/>
  <c r="N4114" i="29"/>
  <c r="N4154" i="29"/>
  <c r="N4153" i="29"/>
  <c r="N4157" i="29"/>
  <c r="N4156" i="29"/>
  <c r="N4155" i="29"/>
  <c r="N4149" i="29"/>
  <c r="N4148" i="29"/>
  <c r="N4147" i="29"/>
  <c r="N4146" i="29"/>
  <c r="N4145" i="29"/>
  <c r="N4144" i="29"/>
  <c r="N4143" i="29"/>
  <c r="N4142" i="29"/>
  <c r="N4117" i="29"/>
  <c r="N4108" i="29"/>
  <c r="N4130" i="29"/>
  <c r="N4129" i="29"/>
  <c r="N4128" i="29"/>
  <c r="N4127" i="29"/>
  <c r="N4126" i="29"/>
  <c r="N4125" i="29"/>
  <c r="N4124" i="29"/>
  <c r="N4123" i="29"/>
  <c r="N4121" i="29"/>
  <c r="N4120" i="29"/>
  <c r="N4119" i="29"/>
  <c r="N4116" i="29"/>
  <c r="N4113" i="29"/>
  <c r="N4112" i="29"/>
  <c r="N4111" i="29"/>
  <c r="N4110" i="29"/>
  <c r="N4109" i="29"/>
  <c r="N4107" i="29"/>
  <c r="N4106" i="29"/>
  <c r="N4105" i="29"/>
  <c r="N4104" i="29"/>
  <c r="N4103" i="29"/>
  <c r="N4102" i="29"/>
  <c r="N4101" i="29"/>
  <c r="N4100" i="29"/>
  <c r="N4093" i="29"/>
  <c r="N4082" i="29"/>
  <c r="N4081" i="29"/>
  <c r="N4099" i="29"/>
  <c r="N4098" i="29"/>
  <c r="N4097" i="29"/>
  <c r="N4096" i="29"/>
  <c r="N4095" i="29"/>
  <c r="N4094" i="29"/>
  <c r="N4091" i="29"/>
  <c r="N4090" i="29"/>
  <c r="N4089" i="29"/>
  <c r="N4088" i="29"/>
  <c r="N4087" i="29"/>
  <c r="N4086" i="29"/>
  <c r="N4085" i="29"/>
  <c r="N4084" i="29"/>
  <c r="N4083" i="29"/>
  <c r="N4080" i="29"/>
  <c r="N4079" i="29"/>
  <c r="N4078" i="29"/>
  <c r="N4092" i="29"/>
  <c r="N4077" i="29"/>
  <c r="N4076" i="29"/>
  <c r="N4075" i="29"/>
  <c r="N4074" i="29"/>
  <c r="N4066" i="29"/>
  <c r="N4073" i="29"/>
  <c r="N4072" i="29"/>
  <c r="N4071" i="29"/>
  <c r="N4070" i="29"/>
  <c r="N4069" i="29"/>
  <c r="N4068" i="29"/>
  <c r="N4067" i="29"/>
  <c r="N4065" i="29"/>
  <c r="N4064" i="29"/>
  <c r="N4063" i="29"/>
  <c r="N4062" i="29"/>
  <c r="N4055" i="29"/>
  <c r="N4054" i="29"/>
  <c r="N4053" i="29"/>
  <c r="N4052" i="29"/>
  <c r="N4051" i="29"/>
  <c r="N4050" i="29"/>
  <c r="N4049" i="29"/>
  <c r="N4048" i="29"/>
  <c r="N4047" i="29"/>
  <c r="N4044" i="29"/>
  <c r="N4038" i="29"/>
  <c r="N4037" i="29"/>
  <c r="N4036" i="29"/>
  <c r="N4035" i="29"/>
  <c r="N4034" i="29"/>
  <c r="N4033" i="29"/>
  <c r="N4032" i="29"/>
  <c r="N4031" i="29"/>
  <c r="N4030" i="29"/>
  <c r="N4029" i="29"/>
  <c r="N4028" i="29"/>
  <c r="N4027" i="29"/>
  <c r="N4026" i="29"/>
  <c r="N4025" i="29"/>
  <c r="N4024" i="29"/>
  <c r="N4046" i="29"/>
  <c r="N4045" i="29"/>
  <c r="N4061" i="29"/>
  <c r="N4060" i="29"/>
  <c r="N4059" i="29"/>
  <c r="N4058" i="29"/>
  <c r="N4057" i="29"/>
  <c r="N4056" i="29"/>
  <c r="N4040" i="29"/>
  <c r="N4043" i="29"/>
  <c r="N4042" i="29"/>
  <c r="N4041" i="29"/>
  <c r="N4039" i="29"/>
  <c r="N4018" i="29"/>
  <c r="N4017" i="29"/>
  <c r="N4016" i="29"/>
  <c r="N4015" i="29"/>
  <c r="N4023" i="29"/>
  <c r="N4022" i="29"/>
  <c r="N4021" i="29"/>
  <c r="N4020" i="29"/>
  <c r="N4019" i="29"/>
  <c r="N4013" i="29"/>
  <c r="N4012" i="29"/>
  <c r="N4014" i="29"/>
  <c r="N4011" i="29"/>
  <c r="N4010" i="29"/>
  <c r="N4006" i="29"/>
  <c r="N4009" i="29"/>
  <c r="N4008" i="29"/>
  <c r="N4005" i="29"/>
  <c r="N4004" i="29"/>
  <c r="N4003" i="29"/>
  <c r="N4002" i="29"/>
  <c r="N4001" i="29"/>
  <c r="N4000" i="29"/>
  <c r="N3999" i="29"/>
  <c r="N3998" i="29"/>
  <c r="N3997" i="29"/>
  <c r="N4007" i="29"/>
  <c r="N3996" i="29"/>
  <c r="N3991" i="29"/>
  <c r="N3990" i="29"/>
  <c r="N3995" i="29"/>
  <c r="N3994" i="29"/>
  <c r="N3993" i="29"/>
  <c r="N3992" i="29"/>
  <c r="N3989" i="29"/>
  <c r="N3988" i="29"/>
  <c r="N3984" i="29"/>
  <c r="N3983" i="29"/>
  <c r="N3982" i="29"/>
  <c r="N3980" i="29"/>
  <c r="N3979" i="29"/>
  <c r="N3987" i="29"/>
  <c r="N3986" i="29"/>
  <c r="N3985" i="29"/>
  <c r="N3978" i="29"/>
  <c r="N3977" i="29"/>
  <c r="N3976" i="29"/>
  <c r="N3975" i="29"/>
  <c r="N3974" i="29"/>
  <c r="N3973" i="29"/>
  <c r="N3981" i="29"/>
  <c r="N3962" i="29"/>
  <c r="N3961" i="29"/>
  <c r="N3960" i="29"/>
  <c r="N3972" i="29"/>
  <c r="N3971" i="29"/>
  <c r="N3970" i="29"/>
  <c r="N3969" i="29"/>
  <c r="N3968" i="29"/>
  <c r="N3967" i="29"/>
  <c r="N3966" i="29"/>
  <c r="N3965" i="29"/>
  <c r="N3964" i="29"/>
  <c r="N3963" i="29"/>
  <c r="N3959" i="29"/>
  <c r="N3958" i="29"/>
  <c r="N3957" i="29"/>
  <c r="N3956" i="29"/>
  <c r="N3955" i="29"/>
  <c r="N3954" i="29"/>
  <c r="N3952" i="29"/>
  <c r="N3953" i="29"/>
  <c r="N3946" i="29"/>
  <c r="N3945" i="29"/>
  <c r="N3951" i="29"/>
  <c r="N3950" i="29"/>
  <c r="N3949" i="29"/>
  <c r="N3948" i="29"/>
  <c r="N3947" i="29"/>
  <c r="N3944" i="29"/>
  <c r="N3940" i="29"/>
  <c r="N3939" i="29"/>
  <c r="N3938" i="29"/>
  <c r="N3937" i="29"/>
  <c r="N3942" i="29"/>
  <c r="N3941" i="29"/>
  <c r="N3936" i="29"/>
  <c r="N3943" i="29"/>
  <c r="N3934" i="29"/>
  <c r="N3933" i="29"/>
  <c r="N3935" i="29"/>
  <c r="N3922" i="29"/>
  <c r="N3932" i="29"/>
  <c r="N3931" i="29"/>
  <c r="N3930" i="29"/>
  <c r="N3929" i="29"/>
  <c r="N3928" i="29"/>
  <c r="N3927" i="29"/>
  <c r="N3926" i="29"/>
  <c r="N3924" i="29"/>
  <c r="N3923" i="29"/>
  <c r="N3916" i="29"/>
  <c r="N3915" i="29"/>
  <c r="N3925" i="29"/>
  <c r="N3912" i="29"/>
  <c r="N3911" i="29"/>
  <c r="N3908" i="29"/>
  <c r="N3907" i="29"/>
  <c r="N3906" i="29"/>
  <c r="N3905" i="29"/>
  <c r="N3904" i="29"/>
  <c r="N3903" i="29"/>
  <c r="N3921" i="29"/>
  <c r="N3920" i="29"/>
  <c r="N3919" i="29"/>
  <c r="N3918" i="29"/>
  <c r="N3917" i="29"/>
  <c r="N3902" i="29"/>
  <c r="N3901" i="29"/>
  <c r="N3900" i="29"/>
  <c r="N3909" i="29"/>
  <c r="N3899" i="29"/>
  <c r="N3914" i="29"/>
  <c r="N3913" i="29"/>
  <c r="N3910" i="29"/>
  <c r="N3898" i="29"/>
  <c r="N3897" i="29"/>
  <c r="N3896" i="29"/>
  <c r="N3895" i="29"/>
  <c r="N3894" i="29"/>
  <c r="N3893" i="29"/>
  <c r="N3892" i="29"/>
  <c r="N3891" i="29"/>
  <c r="N3890" i="29"/>
  <c r="N3889" i="29"/>
  <c r="N3883" i="29"/>
  <c r="N3882" i="29"/>
  <c r="N3881" i="29"/>
  <c r="N3888" i="29"/>
  <c r="N3887" i="29"/>
  <c r="N3886" i="29"/>
  <c r="N3885" i="29"/>
  <c r="N3884" i="29"/>
  <c r="N3880" i="29"/>
  <c r="N3874" i="29"/>
  <c r="N3873" i="29"/>
  <c r="N3872" i="29"/>
  <c r="N3871" i="29"/>
  <c r="N3870" i="29"/>
  <c r="N3869" i="29"/>
  <c r="N3879" i="29"/>
  <c r="N3878" i="29"/>
  <c r="N3877" i="29"/>
  <c r="N3876" i="29"/>
  <c r="N3875" i="29"/>
  <c r="N3867" i="29"/>
  <c r="N3866" i="29"/>
  <c r="N3868" i="29"/>
  <c r="N3865" i="29"/>
  <c r="N3864" i="29"/>
  <c r="N3863" i="29"/>
  <c r="N3862" i="29"/>
  <c r="N3861" i="29"/>
  <c r="N3860" i="29"/>
  <c r="N3859" i="29"/>
  <c r="N3856" i="29"/>
  <c r="N3858" i="29"/>
  <c r="N3857" i="29"/>
  <c r="N3855" i="29"/>
  <c r="N3854" i="29"/>
  <c r="N3853" i="29"/>
  <c r="N3852" i="29"/>
  <c r="N3847" i="29"/>
  <c r="N3790" i="29"/>
  <c r="N3851" i="29"/>
  <c r="N3850" i="29"/>
  <c r="N3849" i="29"/>
  <c r="N3848" i="29"/>
  <c r="N3846" i="29"/>
  <c r="N3841" i="29"/>
  <c r="N3840" i="29"/>
  <c r="N3839" i="29"/>
  <c r="N3837" i="29"/>
  <c r="N3845" i="29"/>
  <c r="N3844" i="29"/>
  <c r="N3843" i="29"/>
  <c r="N3836" i="29"/>
  <c r="N3835" i="29"/>
  <c r="N3842" i="29"/>
  <c r="N3838" i="29"/>
  <c r="N3834" i="29"/>
  <c r="N3833" i="29"/>
  <c r="N3832" i="29"/>
  <c r="N3831" i="29"/>
  <c r="N3830" i="29"/>
  <c r="N3829" i="29"/>
  <c r="N3828" i="29"/>
  <c r="N3827" i="29"/>
  <c r="N3826" i="29"/>
  <c r="N3825" i="29"/>
  <c r="N3824" i="29"/>
  <c r="N3823" i="29"/>
  <c r="N3819" i="29"/>
  <c r="N3813" i="29"/>
  <c r="N3812" i="29"/>
  <c r="N3811" i="29"/>
  <c r="N3810" i="29"/>
  <c r="N3822" i="29"/>
  <c r="N3821" i="29"/>
  <c r="N3820" i="29"/>
  <c r="N3818" i="29"/>
  <c r="N3817" i="29"/>
  <c r="N3816" i="29"/>
  <c r="N3815" i="29"/>
  <c r="N3814" i="29"/>
  <c r="N3807" i="29"/>
  <c r="N3809" i="29"/>
  <c r="N3808" i="29"/>
  <c r="N3806" i="29"/>
  <c r="N3805" i="29"/>
  <c r="N3804" i="29"/>
  <c r="N3802" i="29"/>
  <c r="N3801" i="29"/>
  <c r="N3799" i="29"/>
  <c r="N3798" i="29"/>
  <c r="N3797" i="29"/>
  <c r="N3800" i="29"/>
  <c r="N3803" i="29"/>
  <c r="N3796" i="29"/>
  <c r="N3795" i="29"/>
  <c r="N3794" i="29"/>
  <c r="N3793" i="29"/>
  <c r="N3792" i="29"/>
  <c r="N3791" i="29"/>
  <c r="N3789" i="29"/>
  <c r="N3786" i="29"/>
  <c r="N3785" i="29"/>
  <c r="N3788" i="29"/>
  <c r="N3787" i="29"/>
  <c r="N3784" i="29"/>
  <c r="N3783" i="29"/>
  <c r="N3782" i="29"/>
  <c r="N3781" i="29"/>
  <c r="N3780" i="29"/>
  <c r="N3779" i="29"/>
  <c r="N3778" i="29"/>
  <c r="N3776" i="29"/>
  <c r="N3775" i="29"/>
  <c r="N3774" i="29"/>
  <c r="N3777" i="29"/>
  <c r="N3773" i="29"/>
  <c r="N3770" i="29"/>
  <c r="N3769" i="29"/>
  <c r="N3768" i="29"/>
  <c r="N3767" i="29"/>
  <c r="N3772" i="29"/>
  <c r="N3771" i="29"/>
  <c r="N3766" i="29"/>
  <c r="N3765" i="29"/>
  <c r="N3764" i="29"/>
  <c r="N3763" i="29"/>
  <c r="N3762" i="29"/>
  <c r="N3761" i="29"/>
  <c r="N3760" i="29"/>
  <c r="N3759" i="29"/>
  <c r="N3758" i="29"/>
  <c r="N3757" i="29"/>
  <c r="N648" i="29"/>
  <c r="N647" i="29"/>
  <c r="N633" i="29"/>
  <c r="N3756" i="29"/>
  <c r="N3753" i="29"/>
  <c r="N3752" i="29"/>
  <c r="N3751" i="29"/>
  <c r="N3750" i="29"/>
  <c r="N3749" i="29"/>
  <c r="N3748" i="29"/>
  <c r="N3747" i="29"/>
  <c r="N3755" i="29"/>
  <c r="N3754" i="29"/>
  <c r="N3746" i="29"/>
  <c r="N3743" i="29"/>
  <c r="N3742" i="29"/>
  <c r="N3741" i="29"/>
  <c r="N3740" i="29"/>
  <c r="N3745" i="29"/>
  <c r="N3744" i="29"/>
  <c r="N3737" i="29"/>
  <c r="N3739" i="29"/>
  <c r="N3738" i="29"/>
  <c r="N3736" i="29"/>
  <c r="N3735" i="29"/>
  <c r="N3734" i="29"/>
  <c r="N3733" i="29"/>
  <c r="N3732" i="29"/>
  <c r="N3731" i="29"/>
  <c r="N3730" i="29"/>
  <c r="N3725" i="29"/>
  <c r="N3724" i="29"/>
  <c r="N3723" i="29"/>
  <c r="N3729" i="29"/>
  <c r="N3728" i="29"/>
  <c r="N3727" i="29"/>
  <c r="N3726" i="29"/>
  <c r="N3722" i="29"/>
  <c r="N3721" i="29"/>
  <c r="N3714" i="29"/>
  <c r="N3713" i="29"/>
  <c r="N3712" i="29"/>
  <c r="N3711" i="29"/>
  <c r="N3720" i="29"/>
  <c r="N3719" i="29"/>
  <c r="N3718" i="29"/>
  <c r="N3717" i="29"/>
  <c r="N3716" i="29"/>
  <c r="N3715" i="29"/>
  <c r="N3710" i="29"/>
  <c r="N3709" i="29"/>
  <c r="N3708" i="29"/>
  <c r="N3706" i="29"/>
  <c r="N3702" i="29"/>
  <c r="N3701" i="29"/>
  <c r="N3700" i="29"/>
  <c r="N3707" i="29"/>
  <c r="N3705" i="29"/>
  <c r="N3704" i="29"/>
  <c r="N3703" i="29"/>
  <c r="N3699" i="29"/>
  <c r="N3698" i="29"/>
  <c r="N3697" i="29"/>
  <c r="N3696" i="29"/>
  <c r="N3695" i="29"/>
  <c r="N3694" i="29"/>
  <c r="N3681" i="29"/>
  <c r="N3680" i="29"/>
  <c r="N3679" i="29"/>
  <c r="N3678" i="29"/>
  <c r="N3688" i="29"/>
  <c r="N3677" i="29"/>
  <c r="N3676" i="29"/>
  <c r="N3675" i="29"/>
  <c r="N3693" i="29"/>
  <c r="N3692" i="29"/>
  <c r="N3691" i="29"/>
  <c r="N3690" i="29"/>
  <c r="N3689" i="29"/>
  <c r="N3687" i="29"/>
  <c r="N3686" i="29"/>
  <c r="N3685" i="29"/>
  <c r="N3684" i="29"/>
  <c r="N3683" i="29"/>
  <c r="N3669" i="29"/>
  <c r="N3682" i="29"/>
  <c r="N3673" i="29"/>
  <c r="N3672" i="29"/>
  <c r="N3671" i="29"/>
  <c r="N3670" i="29"/>
  <c r="N3674" i="29"/>
  <c r="N3668" i="29"/>
  <c r="N3667" i="29"/>
  <c r="N3666" i="29"/>
  <c r="N3657" i="29"/>
  <c r="N3656" i="29"/>
  <c r="N3655" i="29"/>
  <c r="N3665" i="29"/>
  <c r="N3664" i="29"/>
  <c r="N3663" i="29"/>
  <c r="N3662" i="29"/>
  <c r="N3661" i="29"/>
  <c r="N3660" i="29"/>
  <c r="N3659" i="29"/>
  <c r="N3658" i="29"/>
  <c r="N3654" i="29"/>
  <c r="N3653" i="29"/>
  <c r="N3652" i="29"/>
  <c r="N3647" i="29"/>
  <c r="N3646" i="29"/>
  <c r="N3645" i="29"/>
  <c r="N3644" i="29"/>
  <c r="N3643" i="29"/>
  <c r="N3642" i="29"/>
  <c r="N3641" i="29"/>
  <c r="N3640" i="29"/>
  <c r="N3651" i="29"/>
  <c r="N3650" i="29"/>
  <c r="N3649" i="29"/>
  <c r="N3648" i="29"/>
  <c r="N3638" i="29"/>
  <c r="N3637" i="29"/>
  <c r="N3636" i="29"/>
  <c r="N3635" i="29"/>
  <c r="N3634" i="29"/>
  <c r="N3631" i="29"/>
  <c r="N3630" i="29"/>
  <c r="N3639" i="29"/>
  <c r="N3633" i="29"/>
  <c r="N3632" i="29"/>
  <c r="N3629" i="29"/>
  <c r="N3628" i="29"/>
  <c r="N3627" i="29"/>
  <c r="N3626" i="29"/>
  <c r="N3625" i="29"/>
  <c r="N3624" i="29"/>
  <c r="N3622" i="29"/>
  <c r="N3617" i="29"/>
  <c r="N3616" i="29"/>
  <c r="N3623" i="29"/>
  <c r="N3615" i="29"/>
  <c r="N3614" i="29"/>
  <c r="N3621" i="29"/>
  <c r="N3620" i="29"/>
  <c r="N3619" i="29"/>
  <c r="N3618" i="29"/>
  <c r="N3613" i="29"/>
  <c r="N3612" i="29"/>
  <c r="N3609" i="29"/>
  <c r="N3611" i="29"/>
  <c r="N3559" i="29"/>
  <c r="N3560" i="29"/>
  <c r="N3561" i="29"/>
  <c r="N3562" i="29"/>
  <c r="N3610" i="29"/>
  <c r="N3115" i="29"/>
  <c r="N3114" i="29"/>
  <c r="N3563" i="29"/>
  <c r="N3564" i="29"/>
  <c r="N3565" i="29"/>
  <c r="N3566" i="29"/>
  <c r="N3567" i="29"/>
  <c r="N3568" i="29"/>
  <c r="N3569" i="29"/>
  <c r="N3570" i="29"/>
  <c r="N3571" i="29"/>
  <c r="N3572" i="29"/>
  <c r="N3573" i="29"/>
  <c r="N3574" i="29"/>
  <c r="N3575" i="29"/>
  <c r="N3576" i="29"/>
  <c r="N3577" i="29"/>
  <c r="N3578" i="29"/>
  <c r="N3579" i="29"/>
  <c r="N3580" i="29"/>
  <c r="N3581" i="29"/>
  <c r="N3582" i="29"/>
  <c r="N3583" i="29"/>
  <c r="N3584" i="29"/>
  <c r="N3585" i="29"/>
  <c r="N3586" i="29"/>
  <c r="N3558" i="29"/>
  <c r="N3557" i="29"/>
  <c r="N3556" i="29"/>
  <c r="N3554" i="29"/>
  <c r="N3587" i="29"/>
  <c r="N3588" i="29"/>
  <c r="N3589" i="29"/>
  <c r="N3590" i="29"/>
  <c r="N3591" i="29"/>
  <c r="N3592" i="29"/>
  <c r="N3593" i="29"/>
  <c r="N3594" i="29"/>
  <c r="N3595" i="29"/>
  <c r="N3596" i="29"/>
  <c r="N3597" i="29"/>
  <c r="N3598" i="29"/>
  <c r="N3599" i="29"/>
  <c r="N3600" i="29"/>
  <c r="N3601" i="29"/>
  <c r="N3602" i="29"/>
  <c r="N3603" i="29"/>
  <c r="N3604" i="29"/>
  <c r="N3605" i="29"/>
  <c r="N3606" i="29"/>
  <c r="N3607" i="29"/>
  <c r="N3608" i="29"/>
  <c r="N3555" i="29"/>
  <c r="N3546" i="29"/>
  <c r="N3545" i="29"/>
  <c r="N3544" i="29"/>
  <c r="N3542" i="29"/>
  <c r="N3540" i="29"/>
  <c r="N3539" i="29"/>
  <c r="N3553" i="29"/>
  <c r="N3552" i="29"/>
  <c r="N3551" i="29"/>
  <c r="N3550" i="29"/>
  <c r="N3549" i="29"/>
  <c r="N3548" i="29"/>
  <c r="N3547" i="29"/>
  <c r="N3543" i="29"/>
  <c r="N3541" i="29"/>
  <c r="N3538" i="29"/>
  <c r="N3536" i="29"/>
  <c r="N3535" i="29"/>
  <c r="N3537" i="29"/>
  <c r="N3534" i="29"/>
  <c r="N3533" i="29"/>
  <c r="N3528" i="29"/>
  <c r="N3527" i="29"/>
  <c r="N3526" i="29"/>
  <c r="N3525" i="29"/>
  <c r="N3524" i="29"/>
  <c r="N3523" i="29"/>
  <c r="N3522" i="29"/>
  <c r="N3532" i="29"/>
  <c r="N3531" i="29"/>
  <c r="N3530" i="29"/>
  <c r="N3529" i="29"/>
  <c r="N3521" i="29"/>
  <c r="N3520" i="29"/>
  <c r="N3519" i="29"/>
  <c r="N3518" i="29"/>
  <c r="N3517" i="29"/>
  <c r="N3507" i="29"/>
  <c r="N3513" i="29"/>
  <c r="N3512" i="29"/>
  <c r="N3511" i="29"/>
  <c r="N3510" i="29"/>
  <c r="N3509" i="29"/>
  <c r="N3506" i="29"/>
  <c r="N3498" i="29"/>
  <c r="N3516" i="29"/>
  <c r="N3515" i="29"/>
  <c r="N3514" i="29"/>
  <c r="N3494" i="29"/>
  <c r="N3492" i="29"/>
  <c r="N3491" i="29"/>
  <c r="N3508" i="29"/>
  <c r="N3487" i="29"/>
  <c r="N3505" i="29"/>
  <c r="N3504" i="29"/>
  <c r="N3503" i="29"/>
  <c r="N3502" i="29"/>
  <c r="N3501" i="29"/>
  <c r="N3500" i="29"/>
  <c r="N3499" i="29"/>
  <c r="N3497" i="29"/>
  <c r="N3496" i="29"/>
  <c r="N3495" i="29"/>
  <c r="N3493" i="29"/>
  <c r="N3490" i="29"/>
  <c r="N3489" i="29"/>
  <c r="N3488" i="29"/>
  <c r="N3486" i="29"/>
  <c r="N3485" i="29"/>
  <c r="N3484" i="29"/>
  <c r="N3483" i="29"/>
  <c r="N3482" i="29"/>
  <c r="N3481" i="29"/>
  <c r="N3480" i="29"/>
  <c r="N3479" i="29"/>
  <c r="N3478" i="29"/>
  <c r="N3477" i="29"/>
  <c r="N3476" i="29"/>
  <c r="N3475" i="29"/>
  <c r="N3474" i="29"/>
  <c r="N3473" i="29"/>
  <c r="N3472" i="29"/>
  <c r="N3471" i="29"/>
  <c r="N3470" i="29"/>
  <c r="N3469" i="29"/>
  <c r="N3468" i="29"/>
  <c r="N3467" i="29"/>
  <c r="N3466" i="29"/>
  <c r="N3465" i="29"/>
  <c r="N3464" i="29"/>
  <c r="N3462" i="29"/>
  <c r="N3459" i="29"/>
  <c r="N3457" i="29"/>
  <c r="N3456" i="29"/>
  <c r="N3455" i="29"/>
  <c r="N3463" i="29"/>
  <c r="N3461" i="29"/>
  <c r="N3460" i="29"/>
  <c r="N3454" i="29"/>
  <c r="N3458" i="29"/>
  <c r="N3453" i="29"/>
  <c r="N3452" i="29"/>
  <c r="N3451" i="29"/>
  <c r="N3450" i="29"/>
  <c r="N3449" i="29"/>
  <c r="N3446" i="29"/>
  <c r="N3445" i="29"/>
  <c r="N3444" i="29"/>
  <c r="N3448" i="29"/>
  <c r="N3447" i="29"/>
  <c r="N3443" i="29"/>
  <c r="N3440" i="29"/>
  <c r="N3439" i="29"/>
  <c r="N3438" i="29"/>
  <c r="N3442" i="29"/>
  <c r="N3441" i="29"/>
  <c r="N3437" i="29"/>
  <c r="N3430" i="29"/>
  <c r="N3428" i="29"/>
  <c r="N3427" i="29"/>
  <c r="N3426" i="29"/>
  <c r="N3425" i="29"/>
  <c r="N3424" i="29"/>
  <c r="N3423" i="29"/>
  <c r="N3436" i="29"/>
  <c r="N3435" i="29"/>
  <c r="N3434" i="29"/>
  <c r="N3433" i="29"/>
  <c r="N3432" i="29"/>
  <c r="N3431" i="29"/>
  <c r="N3429" i="29"/>
  <c r="N3420" i="29"/>
  <c r="N3419" i="29"/>
  <c r="N3422" i="29"/>
  <c r="N3421" i="29"/>
  <c r="N3418" i="29"/>
  <c r="N3417" i="29"/>
  <c r="N3416" i="29"/>
  <c r="N3415" i="29"/>
  <c r="N3414" i="29"/>
  <c r="N3413" i="29"/>
  <c r="N3408" i="29"/>
  <c r="N3407" i="29"/>
  <c r="N3412" i="29"/>
  <c r="N3411" i="29"/>
  <c r="N3405" i="29"/>
  <c r="N3404" i="29"/>
  <c r="N3403" i="29"/>
  <c r="N3402" i="29"/>
  <c r="N3401" i="29"/>
  <c r="N3394" i="29"/>
  <c r="N3393" i="29"/>
  <c r="N3392" i="29"/>
  <c r="N3391" i="29"/>
  <c r="N3410" i="29"/>
  <c r="N3409" i="29"/>
  <c r="N3406" i="29"/>
  <c r="N3400" i="29"/>
  <c r="N3399" i="29"/>
  <c r="N3398" i="29"/>
  <c r="N3397" i="29"/>
  <c r="N3388" i="29"/>
  <c r="N3387" i="29"/>
  <c r="N3386" i="29"/>
  <c r="N3385" i="29"/>
  <c r="N3384" i="29"/>
  <c r="N3383" i="29"/>
  <c r="N3396" i="29"/>
  <c r="N3395" i="29"/>
  <c r="N3390" i="29"/>
  <c r="N3389" i="29"/>
  <c r="N3382" i="29"/>
  <c r="N3381" i="29"/>
  <c r="N3380" i="29"/>
  <c r="N3371" i="29"/>
  <c r="N3366" i="29"/>
  <c r="N3365" i="29"/>
  <c r="N3364" i="29"/>
  <c r="N3379" i="29"/>
  <c r="N3378" i="29"/>
  <c r="N3377" i="29"/>
  <c r="N3376" i="29"/>
  <c r="N3375" i="29"/>
  <c r="N3374" i="29"/>
  <c r="N3363" i="29"/>
  <c r="N3373" i="29"/>
  <c r="N3372" i="29"/>
  <c r="N3370" i="29"/>
  <c r="N3369" i="29"/>
  <c r="N3368" i="29"/>
  <c r="N3367" i="29"/>
  <c r="N3355" i="29"/>
  <c r="N3362" i="29"/>
  <c r="N3361" i="29"/>
  <c r="N3360" i="29"/>
  <c r="N3359" i="29"/>
  <c r="N3358" i="29"/>
  <c r="N3357" i="29"/>
  <c r="N3356" i="29"/>
  <c r="N3353" i="29"/>
  <c r="N3352" i="29"/>
  <c r="N3354" i="29"/>
  <c r="N3348" i="29"/>
  <c r="N3347" i="29"/>
  <c r="N3350" i="29"/>
  <c r="N3349" i="29"/>
  <c r="N3344" i="29"/>
  <c r="N3343" i="29"/>
  <c r="N3342" i="29"/>
  <c r="N3351" i="29"/>
  <c r="N3346" i="29"/>
  <c r="N3345" i="29"/>
  <c r="N3340" i="29"/>
  <c r="N3339" i="29"/>
  <c r="N3338" i="29"/>
  <c r="N3337" i="29"/>
  <c r="N3336" i="29"/>
  <c r="N3335" i="29"/>
  <c r="N3334" i="29"/>
  <c r="N3333" i="29"/>
  <c r="N3329" i="29"/>
  <c r="N3328" i="29"/>
  <c r="N3327" i="29"/>
  <c r="N3341" i="29"/>
  <c r="N3332" i="29"/>
  <c r="N3331" i="29"/>
  <c r="N3330" i="29"/>
  <c r="N3326" i="29"/>
  <c r="N3325" i="29"/>
  <c r="N3324" i="29"/>
  <c r="N3323" i="29"/>
  <c r="N3322" i="29"/>
  <c r="N3321" i="29"/>
  <c r="N3320" i="29"/>
  <c r="N3319" i="29"/>
  <c r="N3318" i="29"/>
  <c r="N3317" i="29"/>
  <c r="N3315" i="29"/>
  <c r="N3314" i="29"/>
  <c r="N3316" i="29"/>
  <c r="N3313" i="29"/>
  <c r="N3312" i="29"/>
  <c r="N3311" i="29"/>
  <c r="N3310" i="29"/>
  <c r="N3309" i="29"/>
  <c r="N3307" i="29"/>
  <c r="N3306" i="29"/>
  <c r="N3305" i="29"/>
  <c r="N3304" i="29"/>
  <c r="N3301" i="29"/>
  <c r="N3303" i="29"/>
  <c r="N3302" i="29"/>
  <c r="N3300" i="29"/>
  <c r="N3299" i="29"/>
  <c r="N2298" i="29"/>
  <c r="N3308" i="29"/>
  <c r="N3298" i="29"/>
  <c r="N3297" i="29"/>
  <c r="N3292" i="29"/>
  <c r="N3291" i="29"/>
  <c r="N3289" i="29"/>
  <c r="N3288" i="29"/>
  <c r="N3287" i="29"/>
  <c r="N3286" i="29"/>
  <c r="N3285" i="29"/>
  <c r="N3296" i="29"/>
  <c r="N3294" i="29"/>
  <c r="N3293" i="29"/>
  <c r="N3290" i="29"/>
  <c r="N3284" i="29"/>
  <c r="N3283" i="29"/>
  <c r="N3295" i="29"/>
  <c r="N3281" i="29"/>
  <c r="N3273" i="29"/>
  <c r="N3272" i="29"/>
  <c r="N3271" i="29"/>
  <c r="N3269" i="29"/>
  <c r="N3280" i="29"/>
  <c r="N3279" i="29"/>
  <c r="N3278" i="29"/>
  <c r="N3277" i="29"/>
  <c r="N3276" i="29"/>
  <c r="N3275" i="29"/>
  <c r="N3268" i="29"/>
  <c r="N3267" i="29"/>
  <c r="N3259" i="29"/>
  <c r="N3258" i="29"/>
  <c r="N3282" i="29"/>
  <c r="N3274" i="29"/>
  <c r="N3250" i="29"/>
  <c r="N3249" i="29"/>
  <c r="N3248" i="29"/>
  <c r="N3270" i="29"/>
  <c r="N3266" i="29"/>
  <c r="N3265" i="29"/>
  <c r="N3264" i="29"/>
  <c r="N3263" i="29"/>
  <c r="N3262" i="29"/>
  <c r="N3261" i="29"/>
  <c r="N3260" i="29"/>
  <c r="N3257" i="29"/>
  <c r="N3256" i="29"/>
  <c r="N3255" i="29"/>
  <c r="N3254" i="29"/>
  <c r="N3253" i="29"/>
  <c r="N3252" i="29"/>
  <c r="N3251" i="29"/>
  <c r="N3247" i="29"/>
  <c r="N3237" i="29"/>
  <c r="N3236" i="29"/>
  <c r="N3235" i="29"/>
  <c r="N3246" i="29"/>
  <c r="N3245" i="29"/>
  <c r="N3244" i="29"/>
  <c r="N3243" i="29"/>
  <c r="N3242" i="29"/>
  <c r="N3241" i="29"/>
  <c r="N3240" i="29"/>
  <c r="N3239" i="29"/>
  <c r="N3238" i="29"/>
  <c r="N3234" i="29"/>
  <c r="N3232" i="29"/>
  <c r="N3231" i="29"/>
  <c r="N3230" i="29"/>
  <c r="N3229" i="29"/>
  <c r="N3233" i="29"/>
  <c r="N3228" i="29"/>
  <c r="N3227" i="29"/>
  <c r="N3226" i="29"/>
  <c r="N3225" i="29"/>
  <c r="N3224" i="29"/>
  <c r="N3215" i="29"/>
  <c r="N3220" i="29"/>
  <c r="N3219" i="29"/>
  <c r="N3218" i="29"/>
  <c r="N3217" i="29"/>
  <c r="N3216" i="29"/>
  <c r="N3223" i="29"/>
  <c r="N3222" i="29"/>
  <c r="N3221" i="29"/>
  <c r="N3207" i="29"/>
  <c r="N3206" i="29"/>
  <c r="N3214" i="29"/>
  <c r="N3213" i="29"/>
  <c r="N3212" i="29"/>
  <c r="N3211" i="29"/>
  <c r="N3210" i="29"/>
  <c r="N3209" i="29"/>
  <c r="N3208" i="29"/>
  <c r="N3205" i="29"/>
  <c r="N3204" i="29"/>
  <c r="N3203" i="29"/>
  <c r="N3202" i="29"/>
  <c r="N3194" i="29"/>
  <c r="N3193" i="29"/>
  <c r="N3192" i="29"/>
  <c r="N3191" i="29"/>
  <c r="N3190" i="29"/>
  <c r="N3189" i="29"/>
  <c r="N3187" i="29"/>
  <c r="N3186" i="29"/>
  <c r="N3201" i="29"/>
  <c r="N3200" i="29"/>
  <c r="N3199" i="29"/>
  <c r="N3198" i="29"/>
  <c r="N3197" i="29"/>
  <c r="N3196" i="29"/>
  <c r="N3195" i="29"/>
  <c r="N3188" i="29"/>
  <c r="N3185" i="29"/>
  <c r="N3184" i="29"/>
  <c r="N3183" i="29"/>
  <c r="N3182" i="29"/>
  <c r="N3176" i="29"/>
  <c r="N3175" i="29"/>
  <c r="N3173" i="29"/>
  <c r="N3172" i="29"/>
  <c r="N3171" i="29"/>
  <c r="N3169" i="29"/>
  <c r="N3168" i="29"/>
  <c r="N3167" i="29"/>
  <c r="N3166" i="29"/>
  <c r="N3165" i="29"/>
  <c r="N3164" i="29"/>
  <c r="N3174" i="29"/>
  <c r="N3181" i="29"/>
  <c r="N3180" i="29"/>
  <c r="N3179" i="29"/>
  <c r="N3178" i="29"/>
  <c r="N3177" i="29"/>
  <c r="N3160" i="29"/>
  <c r="N3170" i="29"/>
  <c r="N3161" i="29"/>
  <c r="N3163" i="29"/>
  <c r="N3162" i="29"/>
  <c r="N3156" i="29"/>
  <c r="N3159" i="29"/>
  <c r="N3158" i="29"/>
  <c r="N3157" i="29"/>
  <c r="N3151" i="29"/>
  <c r="N3150" i="29"/>
  <c r="N3149" i="29"/>
  <c r="N3148" i="29"/>
  <c r="N3147" i="29"/>
  <c r="N3155" i="29"/>
  <c r="N3154" i="29"/>
  <c r="N3153" i="29"/>
  <c r="N3152" i="29"/>
  <c r="N3145" i="29"/>
  <c r="N3138" i="29"/>
  <c r="N3137" i="29"/>
  <c r="N3146" i="29"/>
  <c r="N3139" i="29"/>
  <c r="N3132" i="29"/>
  <c r="N3131" i="29"/>
  <c r="N3144" i="29"/>
  <c r="N3143" i="29"/>
  <c r="N3142" i="29"/>
  <c r="N3141" i="29"/>
  <c r="N3140" i="29"/>
  <c r="N3126" i="29"/>
  <c r="N3125" i="29"/>
  <c r="N3124" i="29"/>
  <c r="N3136" i="29"/>
  <c r="N3135" i="29"/>
  <c r="N3134" i="29"/>
  <c r="N3133" i="29"/>
  <c r="N3122" i="29"/>
  <c r="N3121" i="29"/>
  <c r="N3130" i="29"/>
  <c r="N3129" i="29"/>
  <c r="N3128" i="29"/>
  <c r="N3127" i="29"/>
  <c r="N3123" i="29"/>
  <c r="N3120" i="29"/>
  <c r="N3119" i="29"/>
  <c r="N3117" i="29"/>
  <c r="N3116" i="29"/>
  <c r="N3112" i="29"/>
  <c r="N3111" i="29"/>
  <c r="N3102" i="29"/>
  <c r="N3101" i="29"/>
  <c r="N3100" i="29"/>
  <c r="N3099" i="29"/>
  <c r="N3098" i="29"/>
  <c r="N3095" i="29"/>
  <c r="N3094" i="29"/>
  <c r="N3093" i="29"/>
  <c r="N3080" i="29"/>
  <c r="N3110" i="29"/>
  <c r="N3118" i="29"/>
  <c r="N3113" i="29"/>
  <c r="N3109" i="29"/>
  <c r="N3108" i="29"/>
  <c r="N3107" i="29"/>
  <c r="N3106" i="29"/>
  <c r="N3105" i="29"/>
  <c r="N3104" i="29"/>
  <c r="N3103" i="29"/>
  <c r="N3097" i="29"/>
  <c r="N3096" i="29"/>
  <c r="N3092" i="29"/>
  <c r="N3091" i="29"/>
  <c r="N3090" i="29"/>
  <c r="N3089" i="29"/>
  <c r="N3088" i="29"/>
  <c r="N3087" i="29"/>
  <c r="N3072" i="29"/>
  <c r="N3071" i="29"/>
  <c r="N3070" i="29"/>
  <c r="N3069" i="29"/>
  <c r="N3068" i="29"/>
  <c r="N3086" i="29"/>
  <c r="N3085" i="29"/>
  <c r="N3084" i="29"/>
  <c r="N3083" i="29"/>
  <c r="N3082" i="29"/>
  <c r="N3081" i="29"/>
  <c r="N3079" i="29"/>
  <c r="N3078" i="29"/>
  <c r="N3067" i="29"/>
  <c r="N3077" i="29"/>
  <c r="N3076" i="29"/>
  <c r="N3075" i="29"/>
  <c r="N3074" i="29"/>
  <c r="N3073" i="29"/>
  <c r="N3066" i="29"/>
  <c r="N3065" i="29"/>
  <c r="N3064" i="29"/>
  <c r="N3063" i="29"/>
  <c r="N3062" i="29"/>
  <c r="N3061" i="29"/>
  <c r="N3054" i="29"/>
  <c r="N3053" i="29"/>
  <c r="N3052" i="29"/>
  <c r="N3051" i="29"/>
  <c r="N3050" i="29"/>
  <c r="N3049" i="29"/>
  <c r="N3048" i="29"/>
  <c r="N3060" i="29"/>
  <c r="N3059" i="29"/>
  <c r="N3058" i="29"/>
  <c r="N3057" i="29"/>
  <c r="N3056" i="29"/>
  <c r="N3055" i="29"/>
  <c r="N3045" i="29"/>
  <c r="N3044" i="29"/>
  <c r="N3043" i="29"/>
  <c r="N3042" i="29"/>
  <c r="N3047" i="29"/>
  <c r="N3040" i="29"/>
  <c r="N3039" i="29"/>
  <c r="N3046" i="29"/>
  <c r="N3041" i="29"/>
  <c r="N3038" i="29"/>
  <c r="N3037" i="29"/>
  <c r="N3036" i="29"/>
  <c r="N3035" i="29"/>
  <c r="N3028" i="29"/>
  <c r="N3034" i="29"/>
  <c r="N3033" i="29"/>
  <c r="N3032" i="29"/>
  <c r="N3031" i="29"/>
  <c r="N3027" i="29"/>
  <c r="N3026" i="29"/>
  <c r="N3025" i="29"/>
  <c r="N3024" i="29"/>
  <c r="N3023" i="29"/>
  <c r="N3030" i="29"/>
  <c r="N3029" i="29"/>
  <c r="N3022" i="29"/>
  <c r="N3021" i="29"/>
  <c r="N3020" i="29"/>
  <c r="N3017" i="29"/>
  <c r="N3016" i="29"/>
  <c r="N3019" i="29"/>
  <c r="N3018" i="29"/>
  <c r="N3012" i="29"/>
  <c r="N3009" i="29"/>
  <c r="N3003" i="29"/>
  <c r="N3002" i="29"/>
  <c r="N3001" i="29"/>
  <c r="N3000" i="29"/>
  <c r="N2999" i="29"/>
  <c r="N2998" i="29"/>
  <c r="N2993" i="29"/>
  <c r="N2992" i="29"/>
  <c r="N2991" i="29"/>
  <c r="N2990" i="29"/>
  <c r="N2989" i="29"/>
  <c r="N1681" i="29"/>
  <c r="N2987" i="29"/>
  <c r="N3015" i="29"/>
  <c r="N3014" i="29"/>
  <c r="N3013" i="29"/>
  <c r="N3011" i="29"/>
  <c r="N3010" i="29"/>
  <c r="N3005" i="29"/>
  <c r="N3004" i="29"/>
  <c r="N2996" i="29"/>
  <c r="N2994" i="29"/>
  <c r="N3008" i="29"/>
  <c r="N3007" i="29"/>
  <c r="N3006" i="29"/>
  <c r="N2997" i="29"/>
  <c r="N2995" i="29"/>
  <c r="N2984" i="29"/>
  <c r="N2983" i="29"/>
  <c r="N2988" i="29"/>
  <c r="N2986" i="29"/>
  <c r="N2985" i="29"/>
  <c r="N2982" i="29"/>
  <c r="N2981" i="29"/>
  <c r="N2980" i="29"/>
  <c r="N2973" i="29"/>
  <c r="N2972" i="29"/>
  <c r="N2971" i="29"/>
  <c r="N2970" i="29"/>
  <c r="N2969" i="29"/>
  <c r="N2979" i="29"/>
  <c r="N2978" i="29"/>
  <c r="N2977" i="29"/>
  <c r="N2976" i="29"/>
  <c r="N2975" i="29"/>
  <c r="N2974" i="29"/>
  <c r="N2968" i="29"/>
  <c r="N2964" i="29"/>
  <c r="N2967" i="29"/>
  <c r="N2966" i="29"/>
  <c r="N2965" i="29"/>
  <c r="N2963" i="29"/>
  <c r="N2962" i="29"/>
  <c r="N2961" i="29"/>
  <c r="N2960" i="29"/>
  <c r="N2959" i="29"/>
  <c r="N2958" i="29"/>
  <c r="N2957" i="29"/>
  <c r="N2956" i="29"/>
  <c r="N2954" i="29"/>
  <c r="N2955" i="29"/>
  <c r="N2953" i="29"/>
  <c r="N2951" i="29"/>
  <c r="N2950" i="29"/>
  <c r="N2949" i="29"/>
  <c r="N2948" i="29"/>
  <c r="N2947" i="29"/>
  <c r="N2946" i="29"/>
  <c r="N2945" i="29"/>
  <c r="N2944" i="29"/>
  <c r="N2943" i="29"/>
  <c r="N2952" i="29"/>
  <c r="N2942" i="29"/>
  <c r="N2941" i="29"/>
  <c r="N2940" i="29"/>
  <c r="N2939" i="29"/>
  <c r="N2938" i="29"/>
  <c r="N2937" i="29"/>
  <c r="N2936" i="29"/>
  <c r="N2935" i="29"/>
  <c r="N2934" i="29"/>
  <c r="N2927" i="29"/>
  <c r="N2926" i="29"/>
  <c r="N2925" i="29"/>
  <c r="N2933" i="29"/>
  <c r="N2932" i="29"/>
  <c r="N2931" i="29"/>
  <c r="N2930" i="29"/>
  <c r="N2929" i="29"/>
  <c r="N2928" i="29"/>
  <c r="N2923" i="29"/>
  <c r="N2922" i="29"/>
  <c r="N2921" i="29"/>
  <c r="N2920" i="29"/>
  <c r="N2919" i="29"/>
  <c r="N2918" i="29"/>
  <c r="N2917" i="29"/>
  <c r="N2915" i="29"/>
  <c r="N2916" i="29"/>
  <c r="N2924" i="29"/>
  <c r="N2912" i="29"/>
  <c r="N2914" i="29"/>
  <c r="N2913" i="29"/>
  <c r="N2911" i="29"/>
  <c r="N2910" i="29"/>
  <c r="N2903" i="29"/>
  <c r="N2896" i="29"/>
  <c r="N2895" i="29"/>
  <c r="N2894" i="29"/>
  <c r="N2893" i="29"/>
  <c r="N2899" i="29"/>
  <c r="N2898" i="29"/>
  <c r="N2897" i="29"/>
  <c r="N2909" i="29"/>
  <c r="N2908" i="29"/>
  <c r="N2907" i="29"/>
  <c r="N2906" i="29"/>
  <c r="N2905" i="29"/>
  <c r="N2904" i="29"/>
  <c r="N2902" i="29"/>
  <c r="N2892" i="29"/>
  <c r="N2891" i="29"/>
  <c r="N2890" i="29"/>
  <c r="N2889" i="29"/>
  <c r="N2888" i="29"/>
  <c r="N2901" i="29"/>
  <c r="N2887" i="29"/>
  <c r="N2900" i="29"/>
  <c r="N2886" i="29"/>
  <c r="N2885" i="29"/>
  <c r="N2884" i="29"/>
  <c r="N2872" i="29"/>
  <c r="N2871" i="29"/>
  <c r="N2862" i="29"/>
  <c r="N2861" i="29"/>
  <c r="N2860" i="29"/>
  <c r="N2859" i="29"/>
  <c r="N2858" i="29"/>
  <c r="N2883" i="29"/>
  <c r="N2882" i="29"/>
  <c r="N2881" i="29"/>
  <c r="N2880" i="29"/>
  <c r="N2879" i="29"/>
  <c r="N2878" i="29"/>
  <c r="N2877" i="29"/>
  <c r="N2876" i="29"/>
  <c r="N2875" i="29"/>
  <c r="N2874" i="29"/>
  <c r="N2873" i="29"/>
  <c r="N2870" i="29"/>
  <c r="N2869" i="29"/>
  <c r="N2868" i="29"/>
  <c r="N2867" i="29"/>
  <c r="N2866" i="29"/>
  <c r="N2865" i="29"/>
  <c r="N2864" i="29"/>
  <c r="N2863" i="29"/>
  <c r="N2855" i="29"/>
  <c r="N2854" i="29"/>
  <c r="N2857" i="29"/>
  <c r="N2856" i="29"/>
  <c r="N2849" i="29"/>
  <c r="N2848" i="29"/>
  <c r="N2847" i="29"/>
  <c r="N2846" i="29"/>
  <c r="N2853" i="29"/>
  <c r="N2852" i="29"/>
  <c r="N2851" i="29"/>
  <c r="N2850" i="29"/>
  <c r="N2844" i="29"/>
  <c r="N2843" i="29"/>
  <c r="N2842" i="29"/>
  <c r="N2841" i="29"/>
  <c r="N2840" i="29"/>
  <c r="N2838" i="29"/>
  <c r="N2837" i="29"/>
  <c r="N2845" i="29"/>
  <c r="N2839" i="29"/>
  <c r="N2836" i="29"/>
  <c r="N2833" i="29"/>
  <c r="N2830" i="29"/>
  <c r="N2829" i="29"/>
  <c r="N2835" i="29"/>
  <c r="N2834" i="29"/>
  <c r="N2832" i="29"/>
  <c r="N2831" i="29"/>
  <c r="N2828" i="29"/>
  <c r="N2827" i="29"/>
  <c r="N2826" i="29"/>
  <c r="N2825" i="29"/>
  <c r="N2824" i="29"/>
  <c r="N2823" i="29"/>
  <c r="N2822" i="29"/>
  <c r="N2821" i="29"/>
  <c r="N2813" i="29"/>
  <c r="N2820" i="29"/>
  <c r="N2819" i="29"/>
  <c r="N2818" i="29"/>
  <c r="N2817" i="29"/>
  <c r="N2816" i="29"/>
  <c r="N2815" i="29"/>
  <c r="N2814" i="29"/>
  <c r="N2812" i="29"/>
  <c r="N2810" i="29"/>
  <c r="N2803" i="29"/>
  <c r="N2802" i="29"/>
  <c r="N2801" i="29"/>
  <c r="N2811" i="29"/>
  <c r="N2805" i="29"/>
  <c r="N2804" i="29"/>
  <c r="N2800" i="29"/>
  <c r="N2794" i="29"/>
  <c r="N2793" i="29"/>
  <c r="N2792" i="29"/>
  <c r="N2791" i="29"/>
  <c r="N2790" i="29"/>
  <c r="N2789" i="29"/>
  <c r="N2788" i="29"/>
  <c r="N2787" i="29"/>
  <c r="N2786" i="29"/>
  <c r="N2785" i="29"/>
  <c r="N2784" i="29"/>
  <c r="N2783" i="29"/>
  <c r="N2782" i="29"/>
  <c r="N2809" i="29"/>
  <c r="N2808" i="29"/>
  <c r="N2807" i="29"/>
  <c r="N2806" i="29"/>
  <c r="N2777" i="29"/>
  <c r="N2775" i="29"/>
  <c r="N2774" i="29"/>
  <c r="N2773" i="29"/>
  <c r="N2772" i="29"/>
  <c r="N2799" i="29"/>
  <c r="N2798" i="29"/>
  <c r="N2797" i="29"/>
  <c r="N2796" i="29"/>
  <c r="N2795" i="29"/>
  <c r="N2781" i="29"/>
  <c r="N2780" i="29"/>
  <c r="N2779" i="29"/>
  <c r="N2778" i="29"/>
  <c r="N2771" i="29"/>
  <c r="N2770" i="29"/>
  <c r="N2769" i="29"/>
  <c r="N2776" i="29"/>
  <c r="N2768" i="29"/>
  <c r="N2767" i="29"/>
  <c r="N2766" i="29"/>
  <c r="N2765" i="29"/>
  <c r="N2754" i="29"/>
  <c r="N2753" i="29"/>
  <c r="N2752" i="29"/>
  <c r="N2751" i="29"/>
  <c r="N2750" i="29"/>
  <c r="N2747" i="29"/>
  <c r="N2746" i="29"/>
  <c r="N2745" i="29"/>
  <c r="N2744" i="29"/>
  <c r="N2743" i="29"/>
  <c r="N2742" i="29"/>
  <c r="N2741" i="29"/>
  <c r="N2740" i="29"/>
  <c r="N2738" i="29"/>
  <c r="N2737" i="29"/>
  <c r="N2736" i="29"/>
  <c r="N2735" i="29"/>
  <c r="N2733" i="29"/>
  <c r="N2764" i="29"/>
  <c r="N2749" i="29"/>
  <c r="N2748" i="29"/>
  <c r="N2763" i="29"/>
  <c r="N2762" i="29"/>
  <c r="N2761" i="29"/>
  <c r="N2760" i="29"/>
  <c r="N2759" i="29"/>
  <c r="N2758" i="29"/>
  <c r="N2757" i="29"/>
  <c r="N2756" i="29"/>
  <c r="N2755" i="29"/>
  <c r="N2739" i="29"/>
  <c r="N2734" i="29"/>
  <c r="N2732" i="29"/>
  <c r="N2729" i="29"/>
  <c r="N2728" i="29"/>
  <c r="N2727" i="29"/>
  <c r="N2726" i="29"/>
  <c r="N2722" i="29"/>
  <c r="N2721" i="29"/>
  <c r="N2720" i="29"/>
  <c r="N2719" i="29"/>
  <c r="N2718" i="29"/>
  <c r="N2717" i="29"/>
  <c r="N2716" i="29"/>
  <c r="N2715" i="29"/>
  <c r="N2714" i="29"/>
  <c r="N2713" i="29"/>
  <c r="N2712" i="29"/>
  <c r="N2711" i="29"/>
  <c r="N2697" i="29"/>
  <c r="N2692" i="29"/>
  <c r="N2691" i="29"/>
  <c r="N2690" i="29"/>
  <c r="N2689" i="29"/>
  <c r="N2688" i="29"/>
  <c r="N2687" i="29"/>
  <c r="N2725" i="29"/>
  <c r="N2724" i="29"/>
  <c r="N2723" i="29"/>
  <c r="N2710" i="29"/>
  <c r="N2709" i="29"/>
  <c r="N2708" i="29"/>
  <c r="N2686" i="29"/>
  <c r="N2731" i="29"/>
  <c r="N2730" i="29"/>
  <c r="N2707" i="29"/>
  <c r="N2706" i="29"/>
  <c r="N2705" i="29"/>
  <c r="N2704" i="29"/>
  <c r="N2703" i="29"/>
  <c r="N2702" i="29"/>
  <c r="N2701" i="29"/>
  <c r="N2700" i="29"/>
  <c r="N2699" i="29"/>
  <c r="N2698" i="29"/>
  <c r="N2696" i="29"/>
  <c r="N2695" i="29"/>
  <c r="N2694" i="29"/>
  <c r="N2693" i="29"/>
  <c r="N2685" i="29"/>
  <c r="N2684" i="29"/>
  <c r="N2677" i="29"/>
  <c r="N2676" i="29"/>
  <c r="N2675" i="29"/>
  <c r="N2674" i="29"/>
  <c r="N2673" i="29"/>
  <c r="N2682" i="29"/>
  <c r="N2681" i="29"/>
  <c r="N2679" i="29"/>
  <c r="N2678" i="29"/>
  <c r="N2672" i="29"/>
  <c r="N2683" i="29"/>
  <c r="N2680" i="29"/>
  <c r="N2668" i="29"/>
  <c r="N2667" i="29"/>
  <c r="N2666" i="29"/>
  <c r="N2663" i="29"/>
  <c r="N2662" i="29"/>
  <c r="N2661" i="29"/>
  <c r="N2671" i="29"/>
  <c r="N2670" i="29"/>
  <c r="N2669" i="29"/>
  <c r="N2665" i="29"/>
  <c r="N2664" i="29"/>
  <c r="N2660" i="29"/>
  <c r="N2658" i="29"/>
  <c r="N2656" i="29"/>
  <c r="N2650" i="29"/>
  <c r="N2649" i="29"/>
  <c r="N2648" i="29"/>
  <c r="N2644" i="29"/>
  <c r="N2643" i="29"/>
  <c r="N2642" i="29"/>
  <c r="N2641" i="29"/>
  <c r="N2640" i="29"/>
  <c r="N2639" i="29"/>
  <c r="N2638" i="29"/>
  <c r="N2659" i="29"/>
  <c r="N2657" i="29"/>
  <c r="N2655" i="29"/>
  <c r="N2654" i="29"/>
  <c r="N2651" i="29"/>
  <c r="N2647" i="29"/>
  <c r="N2646" i="29"/>
  <c r="N2645" i="29"/>
  <c r="N2637" i="29"/>
  <c r="N2636" i="29"/>
  <c r="N2635" i="29"/>
  <c r="N2653" i="29"/>
  <c r="N2652" i="29"/>
  <c r="N2634" i="29"/>
  <c r="N2633" i="29"/>
  <c r="N2632" i="29"/>
  <c r="N2630" i="29"/>
  <c r="N2620" i="29"/>
  <c r="N2619" i="29"/>
  <c r="N2618" i="29"/>
  <c r="N2617" i="29"/>
  <c r="N2631" i="29"/>
  <c r="N2629" i="29"/>
  <c r="N2628" i="29"/>
  <c r="N2627" i="29"/>
  <c r="N2626" i="29"/>
  <c r="N2625" i="29"/>
  <c r="N2624" i="29"/>
  <c r="N2623" i="29"/>
  <c r="N2622" i="29"/>
  <c r="N2621" i="29"/>
  <c r="N2616" i="29"/>
  <c r="N2615" i="29"/>
  <c r="N2605" i="29"/>
  <c r="N2604" i="29"/>
  <c r="N2602" i="29"/>
  <c r="N2609" i="29"/>
  <c r="N2608" i="29"/>
  <c r="N2593" i="29"/>
  <c r="N2592" i="29"/>
  <c r="N2591" i="29"/>
  <c r="N2590" i="29"/>
  <c r="N2589" i="29"/>
  <c r="N2614" i="29"/>
  <c r="N2613" i="29"/>
  <c r="N2612" i="29"/>
  <c r="N2607" i="29"/>
  <c r="N2606" i="29"/>
  <c r="N2603" i="29"/>
  <c r="N2601" i="29"/>
  <c r="N2600" i="29"/>
  <c r="N2599" i="29"/>
  <c r="N2598" i="29"/>
  <c r="N2597" i="29"/>
  <c r="N2596" i="29"/>
  <c r="N2595" i="29"/>
  <c r="N2594" i="29"/>
  <c r="N2584" i="29"/>
  <c r="N2583" i="29"/>
  <c r="N2582" i="29"/>
  <c r="N2581" i="29"/>
  <c r="N2588" i="29"/>
  <c r="N2587" i="29"/>
  <c r="N2586" i="29"/>
  <c r="N2585" i="29"/>
  <c r="N2580" i="29"/>
  <c r="N2576" i="29"/>
  <c r="N2575" i="29"/>
  <c r="N2574" i="29"/>
  <c r="N2568" i="29"/>
  <c r="N2567" i="29"/>
  <c r="N2566" i="29"/>
  <c r="N2565" i="29"/>
  <c r="N2564" i="29"/>
  <c r="N2563" i="29"/>
  <c r="N2577" i="29"/>
  <c r="N2562" i="29"/>
  <c r="N2557" i="29"/>
  <c r="N2556" i="29"/>
  <c r="N2555" i="29"/>
  <c r="N2579" i="29"/>
  <c r="N2578" i="29"/>
  <c r="N2573" i="29"/>
  <c r="N2572" i="29"/>
  <c r="N2571" i="29"/>
  <c r="N2570" i="29"/>
  <c r="N2569" i="29"/>
  <c r="N2561" i="29"/>
  <c r="N2560" i="29"/>
  <c r="N2559" i="29"/>
  <c r="N2558" i="29"/>
  <c r="N2554" i="29"/>
  <c r="N2550" i="29"/>
  <c r="N2553" i="29"/>
  <c r="N2552" i="29"/>
  <c r="N2551" i="29"/>
  <c r="N2547" i="29"/>
  <c r="N2546" i="29"/>
  <c r="N2545" i="29"/>
  <c r="N2549" i="29"/>
  <c r="N2548" i="29"/>
  <c r="N2544" i="29"/>
  <c r="N2543" i="29"/>
  <c r="N2538" i="29"/>
  <c r="N2537" i="29"/>
  <c r="N2527" i="29"/>
  <c r="N2110" i="29"/>
  <c r="N2534" i="29"/>
  <c r="N2533" i="29"/>
  <c r="N2532" i="29"/>
  <c r="N2531" i="29"/>
  <c r="N2530" i="29"/>
  <c r="N2529" i="29"/>
  <c r="N2542" i="29"/>
  <c r="N2541" i="29"/>
  <c r="N2540" i="29"/>
  <c r="N2539" i="29"/>
  <c r="N2536" i="29"/>
  <c r="N2535" i="29"/>
  <c r="N2528" i="29"/>
  <c r="N2526" i="29"/>
  <c r="N2525" i="29"/>
  <c r="N2524" i="29"/>
  <c r="N2521" i="29"/>
  <c r="N2523" i="29"/>
  <c r="N2522" i="29"/>
  <c r="N2519" i="29"/>
  <c r="N2518" i="29"/>
  <c r="N2517" i="29"/>
  <c r="N2514" i="29"/>
  <c r="N2513" i="29"/>
  <c r="N2512" i="29"/>
  <c r="N2511" i="29"/>
  <c r="N2510" i="29"/>
  <c r="N2509" i="29"/>
  <c r="N2508" i="29"/>
  <c r="N2507" i="29"/>
  <c r="N2506" i="29"/>
  <c r="N2520" i="29"/>
  <c r="N2237" i="29"/>
  <c r="N2516" i="29"/>
  <c r="N2515" i="29"/>
  <c r="N2504" i="29"/>
  <c r="N2503" i="29"/>
  <c r="N2502" i="29"/>
  <c r="N2501" i="29"/>
  <c r="N2496" i="29"/>
  <c r="N2495" i="29"/>
  <c r="N2505" i="29"/>
  <c r="N2497" i="29"/>
  <c r="N2484" i="29"/>
  <c r="N2483" i="29"/>
  <c r="N2482" i="29"/>
  <c r="N2481" i="29"/>
  <c r="N2480" i="29"/>
  <c r="N2479" i="29"/>
  <c r="N2478" i="29"/>
  <c r="N2477" i="29"/>
  <c r="N2500" i="29"/>
  <c r="N2499" i="29"/>
  <c r="N2498" i="29"/>
  <c r="N2494" i="29"/>
  <c r="N2493" i="29"/>
  <c r="N2492" i="29"/>
  <c r="N2491" i="29"/>
  <c r="N2490" i="29"/>
  <c r="N2489" i="29"/>
  <c r="N2488" i="29"/>
  <c r="N2487" i="29"/>
  <c r="N2486" i="29"/>
  <c r="N2485" i="29"/>
  <c r="N2476" i="29"/>
  <c r="N2475" i="29"/>
  <c r="N2466" i="29"/>
  <c r="N2464" i="29"/>
  <c r="N2467" i="29"/>
  <c r="N2465" i="29"/>
  <c r="N2463" i="29"/>
  <c r="N2462" i="29"/>
  <c r="N2472" i="29"/>
  <c r="N2471" i="29"/>
  <c r="N2460" i="29"/>
  <c r="N2459" i="29"/>
  <c r="N2458" i="29"/>
  <c r="N2457" i="29"/>
  <c r="N2456" i="29"/>
  <c r="N2455" i="29"/>
  <c r="N2454" i="29"/>
  <c r="N2453" i="29"/>
  <c r="N2452" i="29"/>
  <c r="N2451" i="29"/>
  <c r="N2461" i="29"/>
  <c r="N2474" i="29"/>
  <c r="N2473" i="29"/>
  <c r="N2470" i="29"/>
  <c r="N2469" i="29"/>
  <c r="N2468" i="29"/>
  <c r="N2450" i="29"/>
  <c r="N2449" i="29"/>
  <c r="N2448" i="29"/>
  <c r="N2447" i="29"/>
  <c r="N2446" i="29"/>
  <c r="N2445" i="29"/>
  <c r="N2444" i="29"/>
  <c r="N2443" i="29"/>
  <c r="N2442" i="29"/>
  <c r="N2441" i="29"/>
  <c r="N2440" i="29"/>
  <c r="N2439" i="29"/>
  <c r="N2436" i="29"/>
  <c r="N2435" i="29"/>
  <c r="N2426" i="29"/>
  <c r="N2425" i="29"/>
  <c r="N2424" i="29"/>
  <c r="N2423" i="29"/>
  <c r="N2419" i="29"/>
  <c r="N2418" i="29"/>
  <c r="N2416" i="29"/>
  <c r="N2415" i="29"/>
  <c r="N2414" i="29"/>
  <c r="N2413" i="29"/>
  <c r="N2411" i="29"/>
  <c r="N2438" i="29"/>
  <c r="N2437" i="29"/>
  <c r="N2428" i="29"/>
  <c r="N2427" i="29"/>
  <c r="N2412" i="29"/>
  <c r="N2409" i="29"/>
  <c r="N2408" i="29"/>
  <c r="N2402" i="29"/>
  <c r="N2433" i="29"/>
  <c r="N2432" i="29"/>
  <c r="N2431" i="29"/>
  <c r="N2430" i="29"/>
  <c r="N2429" i="29"/>
  <c r="N2420" i="29"/>
  <c r="N2417" i="29"/>
  <c r="N2404" i="29"/>
  <c r="N2401" i="29"/>
  <c r="N2434" i="29"/>
  <c r="N2422" i="29"/>
  <c r="N2421" i="29"/>
  <c r="N2407" i="29"/>
  <c r="N2406" i="29"/>
  <c r="N2398" i="29"/>
  <c r="N2395" i="29"/>
  <c r="N2405" i="29"/>
  <c r="N2397" i="29"/>
  <c r="N2396" i="29"/>
  <c r="N2394" i="29"/>
  <c r="N2393" i="29"/>
  <c r="N2410" i="29"/>
  <c r="N2014" i="29"/>
  <c r="N2392" i="29"/>
  <c r="N2391" i="29"/>
  <c r="N2390" i="29"/>
  <c r="N2403" i="29"/>
  <c r="N2400" i="29"/>
  <c r="N2389" i="29"/>
  <c r="N2388" i="29"/>
  <c r="N2399" i="29"/>
  <c r="N2386" i="29"/>
  <c r="N2384" i="29"/>
  <c r="N2383" i="29"/>
  <c r="N2382" i="29"/>
  <c r="N2381" i="29"/>
  <c r="N2380" i="29"/>
  <c r="N2379" i="29"/>
  <c r="N2378" i="29"/>
  <c r="N2377" i="29"/>
  <c r="N2387" i="29"/>
  <c r="N2385" i="29"/>
  <c r="N2376" i="29"/>
  <c r="N2375" i="29"/>
  <c r="N2374" i="29"/>
  <c r="N2373" i="29"/>
  <c r="N2372" i="29"/>
  <c r="N2371" i="29"/>
  <c r="N2370" i="29"/>
  <c r="N2368" i="29"/>
  <c r="N2365" i="29"/>
  <c r="N2364" i="29"/>
  <c r="N2369" i="29"/>
  <c r="N2367" i="29"/>
  <c r="N2366" i="29"/>
  <c r="N2363" i="29"/>
  <c r="N2362" i="29"/>
  <c r="N2361" i="29"/>
  <c r="N2360" i="29"/>
  <c r="N2352" i="29"/>
  <c r="N2351" i="29"/>
  <c r="N2350" i="29"/>
  <c r="N2349" i="29"/>
  <c r="N2348" i="29"/>
  <c r="N2347" i="29"/>
  <c r="N2345" i="29"/>
  <c r="N2343" i="29"/>
  <c r="N2342" i="29"/>
  <c r="N2341" i="29"/>
  <c r="N2332" i="29"/>
  <c r="N2359" i="29"/>
  <c r="N2358" i="29"/>
  <c r="N2357" i="29"/>
  <c r="N2356" i="29"/>
  <c r="N2355" i="29"/>
  <c r="N2354" i="29"/>
  <c r="N2353" i="29"/>
  <c r="N2344" i="29"/>
  <c r="N2334" i="29"/>
  <c r="N2346" i="29"/>
  <c r="N2340" i="29"/>
  <c r="N2337" i="29"/>
  <c r="N2336" i="29"/>
  <c r="N2335" i="29"/>
  <c r="N2333" i="29"/>
  <c r="N2331" i="29"/>
  <c r="N2330" i="29"/>
  <c r="N2329" i="29"/>
  <c r="N2328" i="29"/>
  <c r="N2327" i="29"/>
  <c r="N2326" i="29"/>
  <c r="N2339" i="29"/>
  <c r="N2338" i="29"/>
  <c r="N2325" i="29"/>
  <c r="N2324" i="29"/>
  <c r="N2321" i="29"/>
  <c r="N2320" i="29"/>
  <c r="N2323" i="29"/>
  <c r="N2322" i="29"/>
  <c r="N2307" i="29"/>
  <c r="N2306" i="29"/>
  <c r="N2305" i="29"/>
  <c r="N2304" i="29"/>
  <c r="N2303" i="29"/>
  <c r="N2301" i="29"/>
  <c r="N2319" i="29"/>
  <c r="N2318" i="29"/>
  <c r="N2311" i="29"/>
  <c r="N2310" i="29"/>
  <c r="N2309" i="29"/>
  <c r="N2308" i="29"/>
  <c r="N2317" i="29"/>
  <c r="N2316" i="29"/>
  <c r="N2315" i="29"/>
  <c r="N2314" i="29"/>
  <c r="N2313" i="29"/>
  <c r="N2312" i="29"/>
  <c r="N2302" i="29"/>
  <c r="N2297" i="29"/>
  <c r="N2295" i="29"/>
  <c r="N2291" i="29"/>
  <c r="N2300" i="29"/>
  <c r="N2299" i="29"/>
  <c r="N2296" i="29"/>
  <c r="N2294" i="29"/>
  <c r="N2293" i="29"/>
  <c r="N2292" i="29"/>
  <c r="N2290" i="29"/>
  <c r="N2289" i="29"/>
  <c r="N2288" i="29"/>
  <c r="N2278" i="29"/>
  <c r="N2287" i="29"/>
  <c r="N2286" i="29"/>
  <c r="N2285" i="29"/>
  <c r="N2284" i="29"/>
  <c r="N2283" i="29"/>
  <c r="N2282" i="29"/>
  <c r="N2281" i="29"/>
  <c r="N2280" i="29"/>
  <c r="N2279" i="29"/>
  <c r="N2277" i="29"/>
  <c r="N1862" i="29"/>
  <c r="N1863" i="29"/>
  <c r="N1864" i="29"/>
  <c r="N1865" i="29"/>
  <c r="N1866" i="29"/>
  <c r="N1867" i="29"/>
  <c r="N1868" i="29"/>
  <c r="N1869" i="29"/>
  <c r="N2276" i="29"/>
  <c r="N2275" i="29"/>
  <c r="N2274" i="29"/>
  <c r="N2273" i="29"/>
  <c r="N2264" i="29"/>
  <c r="N2272" i="29"/>
  <c r="N2271" i="29"/>
  <c r="N2270" i="29"/>
  <c r="N2269" i="29"/>
  <c r="N2262" i="29"/>
  <c r="N2261" i="29"/>
  <c r="N2260" i="29"/>
  <c r="N2259" i="29"/>
  <c r="N2258" i="29"/>
  <c r="N2256" i="29"/>
  <c r="N2255" i="29"/>
  <c r="N694" i="29"/>
  <c r="N2238" i="29"/>
  <c r="N2268" i="29"/>
  <c r="N2267" i="29"/>
  <c r="N2263" i="29"/>
  <c r="N2239" i="29"/>
  <c r="N2266" i="29"/>
  <c r="N2265" i="29"/>
  <c r="N2254" i="29"/>
  <c r="N2240" i="29"/>
  <c r="N2229" i="29"/>
  <c r="N2227" i="29"/>
  <c r="N2220" i="29"/>
  <c r="N2219" i="29"/>
  <c r="N2218" i="29"/>
  <c r="N2217" i="29"/>
  <c r="N2216" i="29"/>
  <c r="N2257" i="29"/>
  <c r="N2253" i="29"/>
  <c r="N2252" i="29"/>
  <c r="N2251" i="29"/>
  <c r="N2250" i="29"/>
  <c r="N2249" i="29"/>
  <c r="N2248" i="29"/>
  <c r="N2247" i="29"/>
  <c r="N2246" i="29"/>
  <c r="N2245" i="29"/>
  <c r="N2244" i="29"/>
  <c r="N2243" i="29"/>
  <c r="N2242" i="29"/>
  <c r="N2241" i="29"/>
  <c r="N2236" i="29"/>
  <c r="N2235" i="29"/>
  <c r="N2234" i="29"/>
  <c r="N2233" i="29"/>
  <c r="N2232" i="29"/>
  <c r="N2231" i="29"/>
  <c r="N2230" i="29"/>
  <c r="N2228" i="29"/>
  <c r="N2223" i="29"/>
  <c r="N2226" i="29"/>
  <c r="N2225" i="29"/>
  <c r="N2224" i="29"/>
  <c r="N2222" i="29"/>
  <c r="N2221" i="29"/>
  <c r="N2215" i="29"/>
  <c r="N2211" i="29"/>
  <c r="N2210" i="29"/>
  <c r="N2209" i="29"/>
  <c r="N2208" i="29"/>
  <c r="N2207" i="29"/>
  <c r="N2206" i="29"/>
  <c r="N2205" i="29"/>
  <c r="N2214" i="29"/>
  <c r="N2213" i="29"/>
  <c r="N2212" i="29"/>
  <c r="N2204" i="29"/>
  <c r="N2181" i="29"/>
  <c r="N2180" i="29"/>
  <c r="N2179" i="29"/>
  <c r="N2201" i="29"/>
  <c r="N2200" i="29"/>
  <c r="N2199" i="29"/>
  <c r="N2198" i="29"/>
  <c r="N2197" i="29"/>
  <c r="N2196" i="29"/>
  <c r="N2203" i="29"/>
  <c r="N2202" i="29"/>
  <c r="N2195" i="29"/>
  <c r="N2192" i="29"/>
  <c r="N2187" i="29"/>
  <c r="N2186" i="29"/>
  <c r="N2185" i="29"/>
  <c r="N2184" i="29"/>
  <c r="N2183" i="29"/>
  <c r="N2182" i="29"/>
  <c r="N2188" i="29"/>
  <c r="N2194" i="29"/>
  <c r="N2193" i="29"/>
  <c r="N2191" i="29"/>
  <c r="N2190" i="29"/>
  <c r="N2189" i="29"/>
  <c r="N2178" i="29"/>
  <c r="N2177" i="29"/>
  <c r="N2176" i="29"/>
  <c r="N2175" i="29"/>
  <c r="N2174" i="29"/>
  <c r="N2173" i="29"/>
  <c r="N2172" i="29"/>
  <c r="N2171" i="29"/>
  <c r="N2170" i="29"/>
  <c r="N2169" i="29"/>
  <c r="N2168" i="29"/>
  <c r="N2163" i="29"/>
  <c r="N2162" i="29"/>
  <c r="N2161" i="29"/>
  <c r="N2167" i="29"/>
  <c r="N2155" i="29"/>
  <c r="N2154" i="29"/>
  <c r="N2153" i="29"/>
  <c r="N2166" i="29"/>
  <c r="N2157" i="29"/>
  <c r="N2156" i="29"/>
  <c r="N2136" i="29"/>
  <c r="N2135" i="29"/>
  <c r="N2165" i="29"/>
  <c r="N2164" i="29"/>
  <c r="N2160" i="29"/>
  <c r="N2159" i="29"/>
  <c r="N2144" i="29"/>
  <c r="N2143" i="29"/>
  <c r="N2142" i="29"/>
  <c r="N2141" i="29"/>
  <c r="N2140" i="29"/>
  <c r="N2139" i="29"/>
  <c r="N2138" i="29"/>
  <c r="N2137" i="29"/>
  <c r="N2133" i="29"/>
  <c r="N2158" i="29"/>
  <c r="N2150" i="29"/>
  <c r="N2149" i="29"/>
  <c r="N2148" i="29"/>
  <c r="N2147" i="29"/>
  <c r="N2146" i="29"/>
  <c r="N2145" i="29"/>
  <c r="N2134" i="29"/>
  <c r="N2152" i="29"/>
  <c r="N2151" i="29"/>
  <c r="N2132" i="29"/>
  <c r="N2131" i="29"/>
  <c r="N2130" i="29"/>
  <c r="N2129" i="29"/>
  <c r="N2128" i="29"/>
  <c r="N2127" i="29"/>
  <c r="N2126" i="29"/>
  <c r="N2125" i="29"/>
  <c r="N2124" i="29"/>
  <c r="N2123" i="29"/>
  <c r="N2122" i="29"/>
  <c r="N2121" i="29"/>
  <c r="N2120" i="29"/>
  <c r="N2119" i="29"/>
  <c r="N2118" i="29"/>
  <c r="N2117" i="29"/>
  <c r="N2116" i="29"/>
  <c r="N2115" i="29"/>
  <c r="N2114" i="29"/>
  <c r="N2113" i="29"/>
  <c r="N2112" i="29"/>
  <c r="N2111" i="29"/>
  <c r="N2109" i="29"/>
  <c r="N2105" i="29"/>
  <c r="N2108" i="29"/>
  <c r="N2107" i="29"/>
  <c r="N2104" i="29"/>
  <c r="N2103" i="29"/>
  <c r="N2102" i="29"/>
  <c r="N2101" i="29"/>
  <c r="N2100" i="29"/>
  <c r="N2098" i="29"/>
  <c r="N2096" i="29"/>
  <c r="N2094" i="29"/>
  <c r="N2093" i="29"/>
  <c r="N2090" i="29"/>
  <c r="N2106" i="29"/>
  <c r="N2087" i="29"/>
  <c r="N2099" i="29"/>
  <c r="N2097" i="29"/>
  <c r="N2095" i="29"/>
  <c r="N2092" i="29"/>
  <c r="N2091" i="29"/>
  <c r="N2089" i="29"/>
  <c r="N2086" i="29"/>
  <c r="N2085" i="29"/>
  <c r="N2081" i="29"/>
  <c r="N2079" i="29"/>
  <c r="N2078" i="29"/>
  <c r="N2088" i="29"/>
  <c r="N2084" i="29"/>
  <c r="N2083" i="29"/>
  <c r="N2082" i="29"/>
  <c r="N2080" i="29"/>
  <c r="N2077" i="29"/>
  <c r="N2076" i="29"/>
  <c r="N2074" i="29"/>
  <c r="N2073" i="29"/>
  <c r="N2072" i="29"/>
  <c r="N2070" i="29"/>
  <c r="N2069" i="29"/>
  <c r="N2067" i="29"/>
  <c r="N2064" i="29"/>
  <c r="N2063" i="29"/>
  <c r="N2062" i="29"/>
  <c r="N2061" i="29"/>
  <c r="N2075" i="29"/>
  <c r="N2071" i="29"/>
  <c r="N2068" i="29"/>
  <c r="N2066" i="29"/>
  <c r="N2065" i="29"/>
  <c r="N2055" i="29"/>
  <c r="N2060" i="29"/>
  <c r="N2059" i="29"/>
  <c r="N2058" i="29"/>
  <c r="N2057" i="29"/>
  <c r="N2056" i="29"/>
  <c r="N2051" i="29"/>
  <c r="N2053" i="29"/>
  <c r="N2052" i="29"/>
  <c r="N2043" i="29"/>
  <c r="N2042" i="29"/>
  <c r="N2041" i="29"/>
  <c r="N2040" i="29"/>
  <c r="N2039" i="29"/>
  <c r="N2038" i="29"/>
  <c r="N2037" i="29"/>
  <c r="N2036" i="29"/>
  <c r="N2054" i="29"/>
  <c r="N2045" i="29"/>
  <c r="N2050" i="29"/>
  <c r="N2049" i="29"/>
  <c r="N2048" i="29"/>
  <c r="N2047" i="29"/>
  <c r="N2046" i="29"/>
  <c r="N2044" i="29"/>
  <c r="N2035" i="29"/>
  <c r="N2032" i="29"/>
  <c r="N2031" i="29"/>
  <c r="N2029" i="29"/>
  <c r="N2028" i="29"/>
  <c r="N2027" i="29"/>
  <c r="N689" i="29"/>
  <c r="N2025" i="29"/>
  <c r="N2024" i="29"/>
  <c r="N2034" i="29"/>
  <c r="N2033" i="29"/>
  <c r="N2030" i="29"/>
  <c r="N2026" i="29"/>
  <c r="N2023" i="29"/>
  <c r="N2022" i="29"/>
  <c r="N2021" i="29"/>
  <c r="N2020" i="29"/>
  <c r="N2019" i="29"/>
  <c r="N2018" i="29"/>
  <c r="N2017" i="29"/>
  <c r="N2016" i="29"/>
  <c r="N2015" i="29"/>
  <c r="N2007" i="29"/>
  <c r="N2006" i="29"/>
  <c r="N2005" i="29"/>
  <c r="N2013" i="29"/>
  <c r="N2012" i="29"/>
  <c r="N2011" i="29"/>
  <c r="N2010" i="29"/>
  <c r="N2009" i="29"/>
  <c r="N2008" i="29"/>
  <c r="N2004" i="29"/>
  <c r="N2003" i="29"/>
  <c r="N2002" i="29"/>
  <c r="N1998" i="29"/>
  <c r="N1997" i="29"/>
  <c r="N1996" i="29"/>
  <c r="N1993" i="29"/>
  <c r="N1992" i="29"/>
  <c r="N1991" i="29"/>
  <c r="N1990" i="29"/>
  <c r="N1989" i="29"/>
  <c r="N1988" i="29"/>
  <c r="N1995" i="29"/>
  <c r="N1986" i="29"/>
  <c r="N1983" i="29"/>
  <c r="N1982" i="29"/>
  <c r="N1980" i="29"/>
  <c r="N1979" i="29"/>
  <c r="N1978" i="29"/>
  <c r="N2001" i="29"/>
  <c r="N2000" i="29"/>
  <c r="N1999" i="29"/>
  <c r="N1994" i="29"/>
  <c r="N1987" i="29"/>
  <c r="N1985" i="29"/>
  <c r="N1984" i="29"/>
  <c r="N1977" i="29"/>
  <c r="N1976" i="29"/>
  <c r="N1975" i="29"/>
  <c r="N1981" i="29"/>
  <c r="N1974" i="29"/>
  <c r="N1967" i="29"/>
  <c r="N1966" i="29"/>
  <c r="N1965" i="29"/>
  <c r="N1964" i="29"/>
  <c r="N1963" i="29"/>
  <c r="N1962" i="29"/>
  <c r="N1961" i="29"/>
  <c r="N1960" i="29"/>
  <c r="N1959" i="29"/>
  <c r="N1958" i="29"/>
  <c r="N1946" i="29"/>
  <c r="N1945" i="29"/>
  <c r="N1941" i="29"/>
  <c r="N1957" i="29"/>
  <c r="N1956" i="29"/>
  <c r="N1955" i="29"/>
  <c r="N1973" i="29"/>
  <c r="N1972" i="29"/>
  <c r="N1971" i="29"/>
  <c r="N1970" i="29"/>
  <c r="N1969" i="29"/>
  <c r="N1968" i="29"/>
  <c r="N1954" i="29"/>
  <c r="N1953" i="29"/>
  <c r="N1952" i="29"/>
  <c r="N1951" i="29"/>
  <c r="N695" i="29"/>
  <c r="N1944" i="29"/>
  <c r="N1943" i="29"/>
  <c r="N1939" i="29"/>
  <c r="N1950" i="29"/>
  <c r="N1949" i="29"/>
  <c r="N1948" i="29"/>
  <c r="N1947" i="29"/>
  <c r="N1942" i="29"/>
  <c r="N1938" i="29"/>
  <c r="N1937" i="29"/>
  <c r="N1936" i="29"/>
  <c r="N1935" i="29"/>
  <c r="N1934" i="29"/>
  <c r="N1933" i="29"/>
  <c r="N1932" i="29"/>
  <c r="N1940" i="29"/>
  <c r="N1931" i="29"/>
  <c r="N1930" i="29"/>
  <c r="N1928" i="29"/>
  <c r="N1927" i="29"/>
  <c r="N1926" i="29"/>
  <c r="N1925" i="29"/>
  <c r="N1916" i="29"/>
  <c r="N1912" i="29"/>
  <c r="N1910" i="29"/>
  <c r="N1924" i="29"/>
  <c r="N1922" i="29"/>
  <c r="N1921" i="29"/>
  <c r="N1915" i="29"/>
  <c r="N1914" i="29"/>
  <c r="N1911" i="29"/>
  <c r="N1929" i="29"/>
  <c r="N1919" i="29"/>
  <c r="N1918" i="29"/>
  <c r="N1913" i="29"/>
  <c r="N1907" i="29"/>
  <c r="N1906" i="29"/>
  <c r="N1905" i="29"/>
  <c r="N1898" i="29"/>
  <c r="N1923" i="29"/>
  <c r="N1920" i="29"/>
  <c r="N1917" i="29"/>
  <c r="N1909" i="29"/>
  <c r="N1908" i="29"/>
  <c r="N1903" i="29"/>
  <c r="N1902" i="29"/>
  <c r="N1901" i="29"/>
  <c r="N1900" i="29"/>
  <c r="N1899" i="29"/>
  <c r="N1904" i="29"/>
  <c r="N1897" i="29"/>
  <c r="N1896" i="29"/>
  <c r="N1895" i="29"/>
  <c r="N1894" i="29"/>
  <c r="N1889" i="29"/>
  <c r="N1888" i="29"/>
  <c r="N1893" i="29"/>
  <c r="N1892" i="29"/>
  <c r="N1891" i="29"/>
  <c r="N1890" i="29"/>
  <c r="N473" i="29"/>
  <c r="N1737" i="29"/>
  <c r="N1887" i="29"/>
  <c r="N1886" i="29"/>
  <c r="N1885" i="29"/>
  <c r="N1884" i="29"/>
  <c r="N1883" i="29"/>
  <c r="N1875" i="29"/>
  <c r="N1861" i="29"/>
  <c r="N1860" i="29"/>
  <c r="N1859" i="29"/>
  <c r="N1881" i="29"/>
  <c r="N1880" i="29"/>
  <c r="N1879" i="29"/>
  <c r="N1878" i="29"/>
  <c r="N1877" i="29"/>
  <c r="N1876" i="29"/>
  <c r="N1874" i="29"/>
  <c r="N1873" i="29"/>
  <c r="N1872" i="29"/>
  <c r="N1871" i="29"/>
  <c r="N1857" i="29"/>
  <c r="N1882" i="29"/>
  <c r="N1870" i="29"/>
  <c r="N1856" i="29"/>
  <c r="N1855" i="29"/>
  <c r="N1854" i="29"/>
  <c r="N1853" i="29"/>
  <c r="N1845" i="29"/>
  <c r="N1858" i="29"/>
  <c r="N1831" i="29"/>
  <c r="N1815" i="29"/>
  <c r="N1814" i="29"/>
  <c r="N1813" i="29"/>
  <c r="N1812" i="29"/>
  <c r="N1811" i="29"/>
  <c r="N1810" i="29"/>
  <c r="N1808" i="29"/>
  <c r="N1806" i="29"/>
  <c r="N1804" i="29"/>
  <c r="N1803" i="29"/>
  <c r="N1852" i="29"/>
  <c r="N1851" i="29"/>
  <c r="N1850" i="29"/>
  <c r="N1849" i="29"/>
  <c r="N1848" i="29"/>
  <c r="N1847" i="29"/>
  <c r="N1846" i="29"/>
  <c r="N1844" i="29"/>
  <c r="N1843" i="29"/>
  <c r="N1842" i="29"/>
  <c r="N1841" i="29"/>
  <c r="N1840" i="29"/>
  <c r="N1839" i="29"/>
  <c r="N1838" i="29"/>
  <c r="N1837" i="29"/>
  <c r="N1836" i="29"/>
  <c r="N1835" i="29"/>
  <c r="N1834" i="29"/>
  <c r="N1833" i="29"/>
  <c r="N1832" i="29"/>
  <c r="N1830" i="29"/>
  <c r="N1829" i="29"/>
  <c r="N1828" i="29"/>
  <c r="N1827" i="29"/>
  <c r="N1826" i="29"/>
  <c r="N1825" i="29"/>
  <c r="N1824" i="29"/>
  <c r="N1823" i="29"/>
  <c r="N1822" i="29"/>
  <c r="N1821" i="29"/>
  <c r="N1820" i="29"/>
  <c r="N1819" i="29"/>
  <c r="N1818" i="29"/>
  <c r="N1817" i="29"/>
  <c r="N1816" i="29"/>
  <c r="N1789" i="29"/>
  <c r="N1788" i="29"/>
  <c r="N1787" i="29"/>
  <c r="N1786" i="29"/>
  <c r="N1783" i="29"/>
  <c r="N1782" i="29"/>
  <c r="N1781" i="29"/>
  <c r="N1779" i="29"/>
  <c r="N1776" i="29"/>
  <c r="N1809" i="29"/>
  <c r="N1774" i="29"/>
  <c r="N1773" i="29"/>
  <c r="N1772" i="29"/>
  <c r="N1767" i="29"/>
  <c r="N1766" i="29"/>
  <c r="N1764" i="29"/>
  <c r="N1763" i="29"/>
  <c r="N1762" i="29"/>
  <c r="N1761" i="29"/>
  <c r="N1760" i="29"/>
  <c r="N1755" i="29"/>
  <c r="N1754" i="29"/>
  <c r="N1753" i="29"/>
  <c r="N1752" i="29"/>
  <c r="N1751" i="29"/>
  <c r="N1750" i="29"/>
  <c r="N1807" i="29"/>
  <c r="N1805" i="29"/>
  <c r="N1802" i="29"/>
  <c r="N1801" i="29"/>
  <c r="N1800" i="29"/>
  <c r="N1799" i="29"/>
  <c r="N1798" i="29"/>
  <c r="N1797" i="29"/>
  <c r="N1796" i="29"/>
  <c r="N1795" i="29"/>
  <c r="N1794" i="29"/>
  <c r="N1793" i="29"/>
  <c r="N1792" i="29"/>
  <c r="N1791" i="29"/>
  <c r="N1790" i="29"/>
  <c r="N1757" i="29"/>
  <c r="N1756" i="29"/>
  <c r="N1785" i="29"/>
  <c r="N1784" i="29"/>
  <c r="N1780" i="29"/>
  <c r="N1778" i="29"/>
  <c r="N1777" i="29"/>
  <c r="N1775" i="29"/>
  <c r="N1736" i="29"/>
  <c r="N1771" i="29"/>
  <c r="N1770" i="29"/>
  <c r="N1769" i="29"/>
  <c r="N1768" i="29"/>
  <c r="N1759" i="29"/>
  <c r="N1758" i="29"/>
  <c r="N1463" i="29"/>
  <c r="N1462" i="29"/>
  <c r="N1461" i="29"/>
  <c r="N1765" i="29"/>
  <c r="N1742" i="29"/>
  <c r="N1741" i="29"/>
  <c r="N1740" i="29"/>
  <c r="N1739" i="29"/>
  <c r="N1738" i="29"/>
  <c r="N1455" i="29"/>
  <c r="N1454" i="29"/>
  <c r="N1453" i="29"/>
  <c r="N1452" i="29"/>
  <c r="N1707" i="29"/>
  <c r="N1706" i="29"/>
  <c r="N1705" i="29"/>
  <c r="N1704" i="29"/>
  <c r="N1749" i="29"/>
  <c r="N1748" i="29"/>
  <c r="N1747" i="29"/>
  <c r="N1746" i="29"/>
  <c r="N1708" i="29"/>
  <c r="N1745" i="29"/>
  <c r="N1744" i="29"/>
  <c r="N1743" i="29"/>
  <c r="N1703" i="29"/>
  <c r="N1701" i="29"/>
  <c r="N1699" i="29"/>
  <c r="N1698" i="29"/>
  <c r="N1694" i="29"/>
  <c r="N1692" i="29"/>
  <c r="N1735" i="29"/>
  <c r="N1733" i="29"/>
  <c r="N1730" i="29"/>
  <c r="N1727" i="29"/>
  <c r="N1719" i="29"/>
  <c r="N1715" i="29"/>
  <c r="N1713" i="29"/>
  <c r="N1712" i="29"/>
  <c r="N1689" i="29"/>
  <c r="N1717" i="29"/>
  <c r="N1716" i="29"/>
  <c r="N1711" i="29"/>
  <c r="N1710" i="29"/>
  <c r="N1709" i="29"/>
  <c r="N1734" i="29"/>
  <c r="N1732" i="29"/>
  <c r="N1731" i="29"/>
  <c r="N1729" i="29"/>
  <c r="N1728" i="29"/>
  <c r="N1726" i="29"/>
  <c r="N1725" i="29"/>
  <c r="N1724" i="29"/>
  <c r="N1723" i="29"/>
  <c r="N1722" i="29"/>
  <c r="N1721" i="29"/>
  <c r="N1720" i="29"/>
  <c r="N1718" i="29"/>
  <c r="N1702" i="29"/>
  <c r="N1700" i="29"/>
  <c r="N1697" i="29"/>
  <c r="N1696" i="29"/>
  <c r="N1695" i="29"/>
  <c r="N1693" i="29"/>
  <c r="N1691" i="29"/>
  <c r="N1690" i="29"/>
  <c r="N1688" i="29"/>
  <c r="N1687" i="29"/>
  <c r="N1686" i="29"/>
  <c r="N1685" i="29"/>
  <c r="N1684" i="29"/>
  <c r="N1683" i="29"/>
  <c r="N1682" i="29"/>
  <c r="N1680" i="29"/>
  <c r="N1674" i="29"/>
  <c r="N1673" i="29"/>
  <c r="N1672" i="29"/>
  <c r="N1671" i="29"/>
  <c r="N1670" i="29"/>
  <c r="N1669" i="29"/>
  <c r="N1679" i="29"/>
  <c r="N1678" i="29"/>
  <c r="N1677" i="29"/>
  <c r="N1676" i="29"/>
  <c r="N1675" i="29"/>
  <c r="N1659" i="29"/>
  <c r="N1658" i="29"/>
  <c r="N1668" i="29"/>
  <c r="N1667" i="29"/>
  <c r="N1642" i="29"/>
  <c r="N1640" i="29"/>
  <c r="N1639" i="29"/>
  <c r="N1637" i="29"/>
  <c r="N1635" i="29"/>
  <c r="N1634" i="29"/>
  <c r="N1633" i="29"/>
  <c r="N1632" i="29"/>
  <c r="N1631" i="29"/>
  <c r="N1666" i="29"/>
  <c r="N1665" i="29"/>
  <c r="N1568" i="29"/>
  <c r="N1567" i="29"/>
  <c r="N1661" i="29"/>
  <c r="N1660" i="29"/>
  <c r="N1556" i="29"/>
  <c r="N1657" i="29"/>
  <c r="N1656" i="29"/>
  <c r="N1655" i="29"/>
  <c r="N1654" i="29"/>
  <c r="N1653" i="29"/>
  <c r="N1652" i="29"/>
  <c r="N1651" i="29"/>
  <c r="N1650" i="29"/>
  <c r="N1649" i="29"/>
  <c r="N1648" i="29"/>
  <c r="N1647" i="29"/>
  <c r="N1646" i="29"/>
  <c r="N1641" i="29"/>
  <c r="N1664" i="29"/>
  <c r="N1663" i="29"/>
  <c r="N1662" i="29"/>
  <c r="N1643" i="29"/>
  <c r="N1638" i="29"/>
  <c r="N1636" i="29"/>
  <c r="N1623" i="29"/>
  <c r="N1622" i="29"/>
  <c r="N1618" i="29"/>
  <c r="N1616" i="29"/>
  <c r="N1615" i="29"/>
  <c r="N1614" i="29"/>
  <c r="N1645" i="29"/>
  <c r="N1644" i="29"/>
  <c r="N1610" i="29"/>
  <c r="N1609" i="29"/>
  <c r="N1608" i="29"/>
  <c r="N1607" i="29"/>
  <c r="N1606" i="29"/>
  <c r="N1605" i="29"/>
  <c r="N1604" i="29"/>
  <c r="N1603" i="29"/>
  <c r="N1602" i="29"/>
  <c r="N1601" i="29"/>
  <c r="N1600" i="29"/>
  <c r="N1599" i="29"/>
  <c r="N1598" i="29"/>
  <c r="N1597" i="29"/>
  <c r="N1630" i="29"/>
  <c r="N1629" i="29"/>
  <c r="N1628" i="29"/>
  <c r="N1627" i="29"/>
  <c r="N1626" i="29"/>
  <c r="N1625" i="29"/>
  <c r="N1624" i="29"/>
  <c r="N1621" i="29"/>
  <c r="N1620" i="29"/>
  <c r="N1619" i="29"/>
  <c r="N1617" i="29"/>
  <c r="N1613" i="29"/>
  <c r="N1565" i="29"/>
  <c r="N1611" i="29"/>
  <c r="N1612" i="29"/>
  <c r="N1596" i="29"/>
  <c r="N1595" i="29"/>
  <c r="N1594" i="29"/>
  <c r="N1593" i="29"/>
  <c r="N1592" i="29"/>
  <c r="N1591" i="29"/>
  <c r="N1590" i="29"/>
  <c r="N1589" i="29"/>
  <c r="N1588" i="29"/>
  <c r="N1587" i="29"/>
  <c r="N1586" i="29"/>
  <c r="N1585" i="29"/>
  <c r="N1584" i="29"/>
  <c r="N1583" i="29"/>
  <c r="N1582" i="29"/>
  <c r="N1714" i="29"/>
  <c r="N1581" i="29"/>
  <c r="N1580" i="29"/>
  <c r="N1579" i="29"/>
  <c r="N1570" i="29"/>
  <c r="N1569" i="29"/>
  <c r="N1564" i="29"/>
  <c r="N1551" i="29"/>
  <c r="N1550" i="29"/>
  <c r="N1549" i="29"/>
  <c r="N1548" i="29"/>
  <c r="N1547" i="29"/>
  <c r="N1546" i="29"/>
  <c r="N1542" i="29"/>
  <c r="N1541" i="29"/>
  <c r="N1578" i="29"/>
  <c r="N1577" i="29"/>
  <c r="N1576" i="29"/>
  <c r="N1575" i="29"/>
  <c r="N1574" i="29"/>
  <c r="N1573" i="29"/>
  <c r="N1572" i="29"/>
  <c r="N1563" i="29"/>
  <c r="N1562" i="29"/>
  <c r="N1561" i="29"/>
  <c r="N1560" i="29"/>
  <c r="N1559" i="29"/>
  <c r="N1558" i="29"/>
  <c r="N1571" i="29"/>
  <c r="N1566" i="29"/>
  <c r="N1557" i="29"/>
  <c r="N1555" i="29"/>
  <c r="N1552" i="29"/>
  <c r="N1554" i="29"/>
  <c r="N1553" i="29"/>
  <c r="N1545" i="29"/>
  <c r="N1544" i="29"/>
  <c r="N1543" i="29"/>
  <c r="N1540" i="29"/>
  <c r="N1539" i="29"/>
  <c r="N1538" i="29"/>
  <c r="N1537" i="29"/>
  <c r="N1536" i="29"/>
  <c r="N1535" i="29"/>
  <c r="N1534" i="29"/>
  <c r="N1533" i="29"/>
  <c r="N1532" i="29"/>
  <c r="N1531" i="29"/>
  <c r="N1530" i="29"/>
  <c r="N1529" i="29"/>
  <c r="N1528" i="29"/>
  <c r="N1527" i="29"/>
  <c r="N1526" i="29"/>
  <c r="N1525" i="29"/>
  <c r="N1523" i="29"/>
  <c r="N1522" i="29"/>
  <c r="N1521" i="29"/>
  <c r="N1520" i="29"/>
  <c r="N1519" i="29"/>
  <c r="N1518" i="29"/>
  <c r="N1517" i="29"/>
  <c r="N1516" i="29"/>
  <c r="N1524" i="29"/>
  <c r="N1511" i="29"/>
  <c r="N1510" i="29"/>
  <c r="N1509" i="29"/>
  <c r="N1508" i="29"/>
  <c r="N1507" i="29"/>
  <c r="N1515" i="29"/>
  <c r="N1514" i="29"/>
  <c r="N1513" i="29"/>
  <c r="N1512" i="29"/>
  <c r="N1503" i="29"/>
  <c r="N1502" i="29"/>
  <c r="N1500" i="29"/>
  <c r="N1499" i="29"/>
  <c r="N1498" i="29"/>
  <c r="N1497" i="29"/>
  <c r="N1496" i="29"/>
  <c r="N1495" i="29"/>
  <c r="N1492" i="29"/>
  <c r="N1491" i="29"/>
  <c r="N1488" i="29"/>
  <c r="N1487" i="29"/>
  <c r="N1486" i="29"/>
  <c r="N1485" i="29"/>
  <c r="N1484" i="29"/>
  <c r="N1477" i="29"/>
  <c r="N1506" i="29"/>
  <c r="N1505" i="29"/>
  <c r="N1490" i="29"/>
  <c r="N1489" i="29"/>
  <c r="N1483" i="29"/>
  <c r="N1471" i="29"/>
  <c r="N1470" i="29"/>
  <c r="N1469" i="29"/>
  <c r="N1468" i="29"/>
  <c r="N1467" i="29"/>
  <c r="N1466" i="29"/>
  <c r="N1465" i="29"/>
  <c r="N1504" i="29"/>
  <c r="N1501" i="29"/>
  <c r="N1494" i="29"/>
  <c r="N1493" i="29"/>
  <c r="N1464" i="29"/>
  <c r="N1460" i="29"/>
  <c r="N1459" i="29"/>
  <c r="N1458" i="29"/>
  <c r="N1482" i="29"/>
  <c r="N1481" i="29"/>
  <c r="N1480" i="29"/>
  <c r="N1479" i="29"/>
  <c r="N1478" i="29"/>
  <c r="N1476" i="29"/>
  <c r="N1475" i="29"/>
  <c r="N1474" i="29"/>
  <c r="N1473" i="29"/>
  <c r="N1472" i="29"/>
  <c r="N1457" i="29"/>
  <c r="N1456" i="29"/>
  <c r="N1451" i="29"/>
  <c r="N1450" i="29"/>
  <c r="N1449" i="29"/>
  <c r="N1448" i="29"/>
  <c r="N1412" i="29"/>
  <c r="N1413" i="29"/>
  <c r="N1414" i="29"/>
  <c r="N1415" i="29"/>
  <c r="N1416" i="29"/>
  <c r="N1417" i="29"/>
  <c r="N1418" i="29"/>
  <c r="N1419" i="29"/>
  <c r="N1420" i="29"/>
  <c r="N1421" i="29"/>
  <c r="N1434" i="29"/>
  <c r="N1432" i="29"/>
  <c r="N1443" i="29"/>
  <c r="N1442" i="29"/>
  <c r="N1441" i="29"/>
  <c r="N1440" i="29"/>
  <c r="N1439" i="29"/>
  <c r="N1438" i="29"/>
  <c r="N1435" i="29"/>
  <c r="N1433" i="29"/>
  <c r="N1431" i="29"/>
  <c r="N1430" i="29"/>
  <c r="N1429" i="29"/>
  <c r="N1428" i="29"/>
  <c r="N1427" i="29"/>
  <c r="N1426" i="29"/>
  <c r="N1423" i="29"/>
  <c r="N1447" i="29"/>
  <c r="N1446" i="29"/>
  <c r="N1445" i="29"/>
  <c r="N1444" i="29"/>
  <c r="N1437" i="29"/>
  <c r="N1436" i="29"/>
  <c r="N1425" i="29"/>
  <c r="N1424" i="29"/>
  <c r="N1422" i="29"/>
  <c r="N1411" i="29"/>
  <c r="N1410" i="29"/>
  <c r="N1409" i="29"/>
  <c r="N1408" i="29"/>
  <c r="N1401" i="29"/>
  <c r="N1400" i="29"/>
  <c r="N1399" i="29"/>
  <c r="N1395" i="29"/>
  <c r="N1407" i="29"/>
  <c r="N1406" i="29"/>
  <c r="N1405" i="29"/>
  <c r="N1402" i="29"/>
  <c r="N1398" i="29"/>
  <c r="N1397" i="29"/>
  <c r="N1394" i="29"/>
  <c r="N1393" i="29"/>
  <c r="N1383" i="29"/>
  <c r="N1382" i="29"/>
  <c r="N1381" i="29"/>
  <c r="N1380" i="29"/>
  <c r="N1375" i="29"/>
  <c r="N1374" i="29"/>
  <c r="N1373" i="29"/>
  <c r="N1388" i="29"/>
  <c r="N1387" i="29"/>
  <c r="N1386" i="29"/>
  <c r="N1385" i="29"/>
  <c r="N1384" i="29"/>
  <c r="N1372" i="29"/>
  <c r="N1371" i="29"/>
  <c r="N1365" i="29"/>
  <c r="N696" i="29"/>
  <c r="N1404" i="29"/>
  <c r="N1403" i="29"/>
  <c r="N1396" i="29"/>
  <c r="N1390" i="29"/>
  <c r="N1389" i="29"/>
  <c r="N1392" i="29"/>
  <c r="N1391" i="29"/>
  <c r="N1377" i="29"/>
  <c r="N1376" i="29"/>
  <c r="N1366" i="29"/>
  <c r="N1360" i="29"/>
  <c r="N1359" i="29"/>
  <c r="N1379" i="29"/>
  <c r="N1378" i="29"/>
  <c r="N1368" i="29"/>
  <c r="N1367" i="29"/>
  <c r="N1363" i="29"/>
  <c r="N1361" i="29"/>
  <c r="N1356" i="29"/>
  <c r="N1355" i="29"/>
  <c r="N1354" i="29"/>
  <c r="N1370" i="29"/>
  <c r="N1369" i="29"/>
  <c r="N1362" i="29"/>
  <c r="N1358" i="29"/>
  <c r="N1357" i="29"/>
  <c r="N1353" i="29"/>
  <c r="N1352" i="29"/>
  <c r="N1351" i="29"/>
  <c r="N1364" i="29"/>
  <c r="N1350" i="29"/>
  <c r="N1349" i="29"/>
  <c r="N1348" i="29"/>
  <c r="N1347" i="29"/>
  <c r="N1346" i="29"/>
  <c r="N1345" i="29"/>
  <c r="N1341" i="29"/>
  <c r="N1339" i="29"/>
  <c r="N1335" i="29"/>
  <c r="N1334" i="29"/>
  <c r="N1333" i="29"/>
  <c r="N1332" i="29"/>
  <c r="N1331" i="29"/>
  <c r="N1330" i="29"/>
  <c r="N1328" i="29"/>
  <c r="N1327" i="29"/>
  <c r="N1326" i="29"/>
  <c r="N1325" i="29"/>
  <c r="N1322" i="29"/>
  <c r="N1321" i="29"/>
  <c r="N1329" i="29"/>
  <c r="N1324" i="29"/>
  <c r="N1323" i="29"/>
  <c r="N1316" i="29"/>
  <c r="N1315" i="29"/>
  <c r="N1314" i="29"/>
  <c r="N1313" i="29"/>
  <c r="N1312" i="29"/>
  <c r="N1311" i="29"/>
  <c r="N1344" i="29"/>
  <c r="N1343" i="29"/>
  <c r="N1342" i="29"/>
  <c r="N1340" i="29"/>
  <c r="N1338" i="29"/>
  <c r="N1337" i="29"/>
  <c r="N1336" i="29"/>
  <c r="N1310" i="29"/>
  <c r="N1309" i="29"/>
  <c r="N693" i="29"/>
  <c r="N1320" i="29"/>
  <c r="N1319" i="29"/>
  <c r="N1318" i="29"/>
  <c r="N1317" i="29"/>
  <c r="N1303" i="29"/>
  <c r="N1300" i="29"/>
  <c r="N1299" i="29"/>
  <c r="N1307" i="29"/>
  <c r="N1308" i="29"/>
  <c r="N1306" i="29"/>
  <c r="N1298" i="29"/>
  <c r="N1297" i="29"/>
  <c r="N1296" i="29"/>
  <c r="N1295" i="29"/>
  <c r="N1294" i="29"/>
  <c r="N1293" i="29"/>
  <c r="N1292" i="29"/>
  <c r="N1291" i="29"/>
  <c r="N1290" i="29"/>
  <c r="N1289" i="29"/>
  <c r="N1287" i="29"/>
  <c r="N1305" i="29"/>
  <c r="N1304" i="29"/>
  <c r="N1302" i="29"/>
  <c r="N1301" i="29"/>
  <c r="N1288" i="29"/>
  <c r="N1282" i="29"/>
  <c r="N1281" i="29"/>
  <c r="N1276" i="29"/>
  <c r="N1286" i="29"/>
  <c r="N1285" i="29"/>
  <c r="N1284" i="29"/>
  <c r="N1283" i="29"/>
  <c r="N1280" i="29"/>
  <c r="N1279" i="29"/>
  <c r="N1274" i="29"/>
  <c r="N1273" i="29"/>
  <c r="N1278" i="29"/>
  <c r="N1277" i="29"/>
  <c r="N1275" i="29"/>
  <c r="N1250" i="29"/>
  <c r="N1249" i="29"/>
  <c r="N1248" i="29"/>
  <c r="N1246" i="29"/>
  <c r="N1245" i="29"/>
  <c r="N1244" i="29"/>
  <c r="N1272" i="29"/>
  <c r="N1271" i="29"/>
  <c r="N1265" i="29"/>
  <c r="N1263" i="29"/>
  <c r="N1262" i="29"/>
  <c r="N1261" i="29"/>
  <c r="N1260" i="29"/>
  <c r="N1259" i="29"/>
  <c r="N1258" i="29"/>
  <c r="N1257" i="29"/>
  <c r="N1256" i="29"/>
  <c r="N1255" i="29"/>
  <c r="N1254" i="29"/>
  <c r="N1253" i="29"/>
  <c r="N1252" i="29"/>
  <c r="N1270" i="29"/>
  <c r="N1269" i="29"/>
  <c r="N1268" i="29"/>
  <c r="N1267" i="29"/>
  <c r="N1266" i="29"/>
  <c r="N1264" i="29"/>
  <c r="N1251" i="29"/>
  <c r="N1247" i="29"/>
  <c r="N1243" i="29"/>
  <c r="N1240" i="29"/>
  <c r="N1239" i="29"/>
  <c r="N1233" i="29"/>
  <c r="N1230" i="29"/>
  <c r="N1229" i="29"/>
  <c r="N1228" i="29"/>
  <c r="N1227" i="29"/>
  <c r="N1226" i="29"/>
  <c r="N1220" i="29"/>
  <c r="N1218" i="29"/>
  <c r="N1217" i="29"/>
  <c r="N1216" i="29"/>
  <c r="N1215" i="29"/>
  <c r="N1214" i="29"/>
  <c r="N1213" i="29"/>
  <c r="N1207" i="29"/>
  <c r="N1202" i="29"/>
  <c r="N1201" i="29"/>
  <c r="N1198" i="29"/>
  <c r="N1241" i="29"/>
  <c r="N1232" i="29"/>
  <c r="N1231" i="29"/>
  <c r="N1242" i="29"/>
  <c r="N1223" i="29"/>
  <c r="N1222" i="29"/>
  <c r="N1221" i="29"/>
  <c r="N1219" i="29"/>
  <c r="N1212" i="29"/>
  <c r="N1211" i="29"/>
  <c r="N1210" i="29"/>
  <c r="N1209" i="29"/>
  <c r="N1208" i="29"/>
  <c r="N1238" i="29"/>
  <c r="N1237" i="29"/>
  <c r="N1236" i="29"/>
  <c r="N1235" i="29"/>
  <c r="N1234" i="29"/>
  <c r="N1225" i="29"/>
  <c r="N1224" i="29"/>
  <c r="N1206" i="29"/>
  <c r="N1205" i="29"/>
  <c r="N1204" i="29"/>
  <c r="N1203" i="29"/>
  <c r="N620" i="29"/>
  <c r="N619" i="29"/>
  <c r="N618" i="29"/>
  <c r="N617" i="29"/>
  <c r="N616" i="29"/>
  <c r="N1200" i="29"/>
  <c r="N1199" i="29"/>
  <c r="N1196" i="29"/>
  <c r="N1195" i="29"/>
  <c r="N1193" i="29"/>
  <c r="N1197" i="29"/>
  <c r="N1192" i="29"/>
  <c r="N1191" i="29"/>
  <c r="N1190" i="29"/>
  <c r="N1189" i="29"/>
  <c r="N1188" i="29"/>
  <c r="N1185" i="29"/>
  <c r="N1182" i="29"/>
  <c r="N1181" i="29"/>
  <c r="N1180" i="29"/>
  <c r="N1194" i="29"/>
  <c r="N1187" i="29"/>
  <c r="N1186" i="29"/>
  <c r="N1173" i="29"/>
  <c r="N1184" i="29"/>
  <c r="N1183" i="29"/>
  <c r="N1179" i="29"/>
  <c r="N1178" i="29"/>
  <c r="N1177" i="29"/>
  <c r="N1176" i="29"/>
  <c r="N1175" i="29"/>
  <c r="N1174" i="29"/>
  <c r="N1167" i="29"/>
  <c r="N1164" i="29"/>
  <c r="N1163" i="29"/>
  <c r="N1161" i="29"/>
  <c r="N1160" i="29"/>
  <c r="N1159" i="29"/>
  <c r="N1158" i="29"/>
  <c r="N1157" i="29"/>
  <c r="N1156" i="29"/>
  <c r="N1112" i="29"/>
  <c r="N1172" i="29"/>
  <c r="N1171" i="29"/>
  <c r="N1162" i="29"/>
  <c r="N1170" i="29"/>
  <c r="N1155" i="29"/>
  <c r="N1154" i="29"/>
  <c r="N1153" i="29"/>
  <c r="N1152" i="29"/>
  <c r="N1151" i="29"/>
  <c r="N1150" i="29"/>
  <c r="N1149" i="29"/>
  <c r="N1148" i="29"/>
  <c r="N1147" i="29"/>
  <c r="N1146" i="29"/>
  <c r="N1143" i="29"/>
  <c r="N1166" i="29"/>
  <c r="N1165" i="29"/>
  <c r="N1144" i="29"/>
  <c r="N1142" i="29"/>
  <c r="N1141" i="29"/>
  <c r="N1140" i="29"/>
  <c r="N1139" i="29"/>
  <c r="N1138" i="29"/>
  <c r="N1137" i="29"/>
  <c r="N1136" i="29"/>
  <c r="N1169" i="29"/>
  <c r="N1168" i="29"/>
  <c r="N1135" i="29"/>
  <c r="N1134" i="29"/>
  <c r="N1133" i="29"/>
  <c r="N1145" i="29"/>
  <c r="N1132" i="29"/>
  <c r="N1129" i="29"/>
  <c r="N1128" i="29"/>
  <c r="N1127" i="29"/>
  <c r="N1126" i="29"/>
  <c r="N1125" i="29"/>
  <c r="N1120" i="29"/>
  <c r="N1119" i="29"/>
  <c r="N1118" i="29"/>
  <c r="N1114" i="29"/>
  <c r="N1113" i="29"/>
  <c r="N1131" i="29"/>
  <c r="N1130" i="29"/>
  <c r="N1124" i="29"/>
  <c r="N1123" i="29"/>
  <c r="N1122" i="29"/>
  <c r="N1121" i="29"/>
  <c r="N1103" i="29"/>
  <c r="N1102" i="29"/>
  <c r="N1101" i="29"/>
  <c r="N1100" i="29"/>
  <c r="N1099" i="29"/>
  <c r="N1098" i="29"/>
  <c r="N1097" i="29"/>
  <c r="N1096" i="29"/>
  <c r="N1095" i="29"/>
  <c r="N1094" i="29"/>
  <c r="N1093" i="29"/>
  <c r="N1089" i="29"/>
  <c r="N1088" i="29"/>
  <c r="N1084" i="29"/>
  <c r="N1082" i="29"/>
  <c r="N1081" i="29"/>
  <c r="N1080" i="29"/>
  <c r="N1079" i="29"/>
  <c r="N1078" i="29"/>
  <c r="N1117" i="29"/>
  <c r="N1116" i="29"/>
  <c r="N1115" i="29"/>
  <c r="N1111" i="29"/>
  <c r="N1110" i="29"/>
  <c r="N1109" i="29"/>
  <c r="N1108" i="29"/>
  <c r="N1107" i="29"/>
  <c r="N1092" i="29"/>
  <c r="N1091" i="29"/>
  <c r="N1090" i="29"/>
  <c r="N1074" i="29"/>
  <c r="N1073" i="29"/>
  <c r="N1072" i="29"/>
  <c r="N1070" i="29"/>
  <c r="N1069" i="29"/>
  <c r="N1062" i="29"/>
  <c r="N1061" i="29"/>
  <c r="N1060" i="29"/>
  <c r="N1059" i="29"/>
  <c r="N1058" i="29"/>
  <c r="N1057" i="29"/>
  <c r="N1106" i="29"/>
  <c r="N1105" i="29"/>
  <c r="N1104" i="29"/>
  <c r="N1087" i="29"/>
  <c r="N1086" i="29"/>
  <c r="N1085" i="29"/>
  <c r="N1083" i="29"/>
  <c r="N1077" i="29"/>
  <c r="N1076" i="29"/>
  <c r="N1075" i="29"/>
  <c r="N1068" i="29"/>
  <c r="N1067" i="29"/>
  <c r="N1066" i="29"/>
  <c r="N1065" i="29"/>
  <c r="N1064" i="29"/>
  <c r="N1053" i="29"/>
  <c r="N1051" i="29"/>
  <c r="N1050" i="29"/>
  <c r="N1049" i="29"/>
  <c r="N1047" i="29"/>
  <c r="N1046" i="29"/>
  <c r="N1045" i="29"/>
  <c r="N1044" i="29"/>
  <c r="N1043" i="29"/>
  <c r="N1042" i="29"/>
  <c r="N1041" i="29"/>
  <c r="N1040" i="29"/>
  <c r="N1039" i="29"/>
  <c r="N1038" i="29"/>
  <c r="N1037" i="29"/>
  <c r="N1071" i="29"/>
  <c r="N1063" i="29"/>
  <c r="N1055" i="29"/>
  <c r="N1054" i="29"/>
  <c r="N1035" i="29"/>
  <c r="N1056" i="29"/>
  <c r="N1052" i="29"/>
  <c r="N1048" i="29"/>
  <c r="N1036" i="29"/>
  <c r="N1034" i="29"/>
  <c r="N1033" i="29"/>
  <c r="N1032" i="29"/>
  <c r="N1012" i="29"/>
  <c r="N1011" i="29"/>
  <c r="N1006" i="29"/>
  <c r="N1005" i="29"/>
  <c r="N1004" i="29"/>
  <c r="N1003" i="29"/>
  <c r="N1031" i="29"/>
  <c r="N1030" i="29"/>
  <c r="N1029" i="29"/>
  <c r="N1028" i="29"/>
  <c r="N1027" i="29"/>
  <c r="N1026" i="29"/>
  <c r="N1025" i="29"/>
  <c r="N1024" i="29"/>
  <c r="N1023" i="29"/>
  <c r="N1022" i="29"/>
  <c r="N1021" i="29"/>
  <c r="N1020" i="29"/>
  <c r="N1019" i="29"/>
  <c r="N1018" i="29"/>
  <c r="N1017" i="29"/>
  <c r="N1016" i="29"/>
  <c r="N1015" i="29"/>
  <c r="N1014" i="29"/>
  <c r="N1013" i="29"/>
  <c r="N1002" i="29"/>
  <c r="N1001" i="29"/>
  <c r="N1000" i="29"/>
  <c r="N999" i="29"/>
  <c r="N998" i="29"/>
  <c r="N1010" i="29"/>
  <c r="N1009" i="29"/>
  <c r="N1008" i="29"/>
  <c r="N1007" i="29"/>
  <c r="N995" i="29"/>
  <c r="N994" i="29"/>
  <c r="N993" i="29"/>
  <c r="N992" i="29"/>
  <c r="N991" i="29"/>
  <c r="N990" i="29"/>
  <c r="N985" i="29"/>
  <c r="N981" i="29"/>
  <c r="N866" i="29"/>
  <c r="N979" i="29"/>
  <c r="N978" i="29"/>
  <c r="N977" i="29"/>
  <c r="N997" i="29"/>
  <c r="N996" i="29"/>
  <c r="N980" i="29"/>
  <c r="N976" i="29"/>
  <c r="N975" i="29"/>
  <c r="N974" i="29"/>
  <c r="N989" i="29"/>
  <c r="N988" i="29"/>
  <c r="N987" i="29"/>
  <c r="N986" i="29"/>
  <c r="N984" i="29"/>
  <c r="N983" i="29"/>
  <c r="N982" i="29"/>
  <c r="N960" i="29"/>
  <c r="N958" i="29"/>
  <c r="N957" i="29"/>
  <c r="N973" i="29"/>
  <c r="N972" i="29"/>
  <c r="N971" i="29"/>
  <c r="N970" i="29"/>
  <c r="N969" i="29"/>
  <c r="N968" i="29"/>
  <c r="N967" i="29"/>
  <c r="N966" i="29"/>
  <c r="N965" i="29"/>
  <c r="N964" i="29"/>
  <c r="N963" i="29"/>
  <c r="N962" i="29"/>
  <c r="N961" i="29"/>
  <c r="N959" i="29"/>
  <c r="N956" i="29"/>
  <c r="N955" i="29"/>
  <c r="N952" i="29"/>
  <c r="N949" i="29"/>
  <c r="N954" i="29"/>
  <c r="N953" i="29"/>
  <c r="N951" i="29"/>
  <c r="N950" i="29"/>
  <c r="N944" i="29"/>
  <c r="N943" i="29"/>
  <c r="N942" i="29"/>
  <c r="N948" i="29"/>
  <c r="N947" i="29"/>
  <c r="N946" i="29"/>
  <c r="N945" i="29"/>
  <c r="N940" i="29"/>
  <c r="N939" i="29"/>
  <c r="N927" i="29"/>
  <c r="N926" i="29"/>
  <c r="N941" i="29"/>
  <c r="N938" i="29"/>
  <c r="N937" i="29"/>
  <c r="N936" i="29"/>
  <c r="N935" i="29"/>
  <c r="N934" i="29"/>
  <c r="N933" i="29"/>
  <c r="N905" i="29"/>
  <c r="N932" i="29"/>
  <c r="N931" i="29"/>
  <c r="N930" i="29"/>
  <c r="N929" i="29"/>
  <c r="N928" i="29"/>
  <c r="N925" i="29"/>
  <c r="N924" i="29"/>
  <c r="N922" i="29"/>
  <c r="N921" i="29"/>
  <c r="N917" i="29"/>
  <c r="N916" i="29"/>
  <c r="N915" i="29"/>
  <c r="N920" i="29"/>
  <c r="N919" i="29"/>
  <c r="N918" i="29"/>
  <c r="N914" i="29"/>
  <c r="N913" i="29"/>
  <c r="N904" i="29"/>
  <c r="N903" i="29"/>
  <c r="N902" i="29"/>
  <c r="N901" i="29"/>
  <c r="N892" i="29"/>
  <c r="N923" i="29"/>
  <c r="N909" i="29"/>
  <c r="N908" i="29"/>
  <c r="N888" i="29"/>
  <c r="N910" i="29"/>
  <c r="N907" i="29"/>
  <c r="N906" i="29"/>
  <c r="N642" i="29"/>
  <c r="N891" i="29"/>
  <c r="N890" i="29"/>
  <c r="N912" i="29"/>
  <c r="N911" i="29"/>
  <c r="N889" i="29"/>
  <c r="N887" i="29"/>
  <c r="N882" i="29"/>
  <c r="N881" i="29"/>
  <c r="N900" i="29"/>
  <c r="N899" i="29"/>
  <c r="N898" i="29"/>
  <c r="N897" i="29"/>
  <c r="N896" i="29"/>
  <c r="N895" i="29"/>
  <c r="N894" i="29"/>
  <c r="N893" i="29"/>
  <c r="N879" i="29"/>
  <c r="N878" i="29"/>
  <c r="N877" i="29"/>
  <c r="N876" i="29"/>
  <c r="N886" i="29"/>
  <c r="N885" i="29"/>
  <c r="N875" i="29"/>
  <c r="N874" i="29"/>
  <c r="N873" i="29"/>
  <c r="N872" i="29"/>
  <c r="N871" i="29"/>
  <c r="N884" i="29"/>
  <c r="N883" i="29"/>
  <c r="N880" i="29"/>
  <c r="N869" i="29"/>
  <c r="N865" i="29"/>
  <c r="N864" i="29"/>
  <c r="N863" i="29"/>
  <c r="N862" i="29"/>
  <c r="N861" i="29"/>
  <c r="N860" i="29"/>
  <c r="N859" i="29"/>
  <c r="N858" i="29"/>
  <c r="N857" i="29"/>
  <c r="N870" i="29"/>
  <c r="N868" i="29"/>
  <c r="N867" i="29"/>
  <c r="N856" i="29"/>
  <c r="N855" i="29"/>
  <c r="N710" i="29"/>
  <c r="N850" i="29"/>
  <c r="N849" i="29"/>
  <c r="N848" i="29"/>
  <c r="N847" i="29"/>
  <c r="N852" i="29"/>
  <c r="N851" i="29"/>
  <c r="N846" i="29"/>
  <c r="N845" i="29"/>
  <c r="N844" i="29"/>
  <c r="N843" i="29"/>
  <c r="N842" i="29"/>
  <c r="N841" i="29"/>
  <c r="N854" i="29"/>
  <c r="N853" i="29"/>
  <c r="N840" i="29"/>
  <c r="N839" i="29"/>
  <c r="N838" i="29"/>
  <c r="N837" i="29"/>
  <c r="N836" i="29"/>
  <c r="N833" i="29"/>
  <c r="N834" i="29"/>
  <c r="N815" i="29"/>
  <c r="N835" i="29"/>
  <c r="N832" i="29"/>
  <c r="N831" i="29"/>
  <c r="N830" i="29"/>
  <c r="N829" i="29"/>
  <c r="N828" i="29"/>
  <c r="N827" i="29"/>
  <c r="N826" i="29"/>
  <c r="N825" i="29"/>
  <c r="N824" i="29"/>
  <c r="N823" i="29"/>
  <c r="N822" i="29"/>
  <c r="N821" i="29"/>
  <c r="N820" i="29"/>
  <c r="N819" i="29"/>
  <c r="N818" i="29"/>
  <c r="N817" i="29"/>
  <c r="N816" i="29"/>
  <c r="N814" i="29"/>
  <c r="N813" i="29"/>
  <c r="N808" i="29"/>
  <c r="N802" i="29"/>
  <c r="N801" i="29"/>
  <c r="N800" i="29"/>
  <c r="N799" i="29"/>
  <c r="N812" i="29"/>
  <c r="N798" i="29"/>
  <c r="N797" i="29"/>
  <c r="N792" i="29"/>
  <c r="N791" i="29"/>
  <c r="N790" i="29"/>
  <c r="N789" i="29"/>
  <c r="N780" i="29"/>
  <c r="N778" i="29"/>
  <c r="N777" i="29"/>
  <c r="N776" i="29"/>
  <c r="N775" i="29"/>
  <c r="N774" i="29"/>
  <c r="N771" i="29"/>
  <c r="N811" i="29"/>
  <c r="N810" i="29"/>
  <c r="N809" i="29"/>
  <c r="N807" i="29"/>
  <c r="N806" i="29"/>
  <c r="N805" i="29"/>
  <c r="N804" i="29"/>
  <c r="N803" i="29"/>
  <c r="N796" i="29"/>
  <c r="N795" i="29"/>
  <c r="N794" i="29"/>
  <c r="N793" i="29"/>
  <c r="N788" i="29"/>
  <c r="N787" i="29"/>
  <c r="N786" i="29"/>
  <c r="N785" i="29"/>
  <c r="N784" i="29"/>
  <c r="N783" i="29"/>
  <c r="N782" i="29"/>
  <c r="N781" i="29"/>
  <c r="N779" i="29"/>
  <c r="N773" i="29"/>
  <c r="N772" i="29"/>
  <c r="N770" i="29"/>
  <c r="N769" i="29"/>
  <c r="N768" i="29"/>
  <c r="N767" i="29"/>
  <c r="N766" i="29"/>
  <c r="N765" i="29"/>
  <c r="N764" i="29"/>
  <c r="N763" i="29"/>
  <c r="N744" i="29"/>
  <c r="N739" i="29"/>
  <c r="N738" i="29"/>
  <c r="N750" i="29"/>
  <c r="N746" i="29"/>
  <c r="N745" i="29"/>
  <c r="N743" i="29"/>
  <c r="N742" i="29"/>
  <c r="N762" i="29"/>
  <c r="N761" i="29"/>
  <c r="N760" i="29"/>
  <c r="N759" i="29"/>
  <c r="N758" i="29"/>
  <c r="N757" i="29"/>
  <c r="N756" i="29"/>
  <c r="N755" i="29"/>
  <c r="N754" i="29"/>
  <c r="N753" i="29"/>
  <c r="N752" i="29"/>
  <c r="N751" i="29"/>
  <c r="N749" i="29"/>
  <c r="N748" i="29"/>
  <c r="N747" i="29"/>
  <c r="N735" i="29"/>
  <c r="N732" i="29"/>
  <c r="N731" i="29"/>
  <c r="N730" i="29"/>
  <c r="N729" i="29"/>
  <c r="N728" i="29"/>
  <c r="N720" i="29"/>
  <c r="N718" i="29"/>
  <c r="N713" i="29"/>
  <c r="N712" i="29"/>
  <c r="N741" i="29"/>
  <c r="N740" i="29"/>
  <c r="N734" i="29"/>
  <c r="N733" i="29"/>
  <c r="N727" i="29"/>
  <c r="N726" i="29"/>
  <c r="N725" i="29"/>
  <c r="N724" i="29"/>
  <c r="N723" i="29"/>
  <c r="N714" i="29"/>
  <c r="N615" i="29"/>
  <c r="N737" i="29"/>
  <c r="N736" i="29"/>
  <c r="N719" i="29"/>
  <c r="N711" i="29"/>
  <c r="N692" i="29"/>
  <c r="N709" i="29"/>
  <c r="N708" i="29"/>
  <c r="N707" i="29"/>
  <c r="N722" i="29"/>
  <c r="N721" i="29"/>
  <c r="N717" i="29"/>
  <c r="N716" i="29"/>
  <c r="N715" i="29"/>
  <c r="N688" i="29"/>
  <c r="N687" i="29"/>
  <c r="N686" i="29"/>
  <c r="N685" i="29"/>
  <c r="N684" i="29"/>
  <c r="N706" i="29"/>
  <c r="N705" i="29"/>
  <c r="N704" i="29"/>
  <c r="N703" i="29"/>
  <c r="N702" i="29"/>
  <c r="N701" i="29"/>
  <c r="N700" i="29"/>
  <c r="N699" i="29"/>
  <c r="N698" i="29"/>
  <c r="N697" i="29"/>
  <c r="N683" i="29"/>
  <c r="N682" i="29"/>
  <c r="N681" i="29"/>
  <c r="N680" i="29"/>
  <c r="N679" i="29"/>
  <c r="N678" i="29"/>
  <c r="N677" i="29"/>
  <c r="N691" i="29"/>
  <c r="N690" i="29"/>
  <c r="N676" i="29"/>
  <c r="N675" i="29"/>
  <c r="N657" i="29"/>
  <c r="N656" i="29"/>
  <c r="N674" i="29"/>
  <c r="N673" i="29"/>
  <c r="N672" i="29"/>
  <c r="N667" i="29"/>
  <c r="N666" i="29"/>
  <c r="N664" i="29"/>
  <c r="N652" i="29"/>
  <c r="N646" i="29"/>
  <c r="N645" i="29"/>
  <c r="N640" i="29"/>
  <c r="N639" i="29"/>
  <c r="N638" i="29"/>
  <c r="N635" i="29"/>
  <c r="N634" i="29"/>
  <c r="N631" i="29"/>
  <c r="N630" i="29"/>
  <c r="N629" i="29"/>
  <c r="N628" i="29"/>
  <c r="N627" i="29"/>
  <c r="N626" i="29"/>
  <c r="N625" i="29"/>
  <c r="N624" i="29"/>
  <c r="N622" i="29"/>
  <c r="N671" i="29"/>
  <c r="N670" i="29"/>
  <c r="N669" i="29"/>
  <c r="N668" i="29"/>
  <c r="N665" i="29"/>
  <c r="N663" i="29"/>
  <c r="N662" i="29"/>
  <c r="N661" i="29"/>
  <c r="N614" i="29"/>
  <c r="N623" i="29"/>
  <c r="N613" i="29"/>
  <c r="N612" i="29"/>
  <c r="N611" i="29"/>
  <c r="N610" i="29"/>
  <c r="N609" i="29"/>
  <c r="N607" i="29"/>
  <c r="N605" i="29"/>
  <c r="N604" i="29"/>
  <c r="N597" i="29"/>
  <c r="N596" i="29"/>
  <c r="N595" i="29"/>
  <c r="N594" i="29"/>
  <c r="N593" i="29"/>
  <c r="N591" i="29"/>
  <c r="N590" i="29"/>
  <c r="N589" i="29"/>
  <c r="N580" i="29"/>
  <c r="N579" i="29"/>
  <c r="N588" i="29"/>
  <c r="N583" i="29"/>
  <c r="N582" i="29"/>
  <c r="N581" i="29"/>
  <c r="N577" i="29"/>
  <c r="N608" i="29"/>
  <c r="N606" i="29"/>
  <c r="N587" i="29"/>
  <c r="N586" i="29"/>
  <c r="N575" i="29"/>
  <c r="N573" i="29"/>
  <c r="N571" i="29"/>
  <c r="N603" i="29"/>
  <c r="N602" i="29"/>
  <c r="N601" i="29"/>
  <c r="N600" i="29"/>
  <c r="N599" i="29"/>
  <c r="N598" i="29"/>
  <c r="N585" i="29"/>
  <c r="N584" i="29"/>
  <c r="N576" i="29"/>
  <c r="N592" i="29"/>
  <c r="N578" i="29"/>
  <c r="N553" i="29"/>
  <c r="N551" i="29"/>
  <c r="N574" i="29"/>
  <c r="N572" i="29"/>
  <c r="N570" i="29"/>
  <c r="N569" i="29"/>
  <c r="N568" i="29"/>
  <c r="N567" i="29"/>
  <c r="N549" i="29"/>
  <c r="N548" i="29"/>
  <c r="N558" i="29"/>
  <c r="N557" i="29"/>
  <c r="N556" i="29"/>
  <c r="N555" i="29"/>
  <c r="N554" i="29"/>
  <c r="N552" i="29"/>
  <c r="N550" i="29"/>
  <c r="N547" i="29"/>
  <c r="N546" i="29"/>
  <c r="N566" i="29"/>
  <c r="N565" i="29"/>
  <c r="N564" i="29"/>
  <c r="N563" i="29"/>
  <c r="N562" i="29"/>
  <c r="N561" i="29"/>
  <c r="N560" i="29"/>
  <c r="N559" i="29"/>
  <c r="N535" i="29"/>
  <c r="N534" i="29"/>
  <c r="N532" i="29"/>
  <c r="N518" i="29"/>
  <c r="N517" i="29"/>
  <c r="N516" i="29"/>
  <c r="N525" i="29"/>
  <c r="N524" i="29"/>
  <c r="N523" i="29"/>
  <c r="N522" i="29"/>
  <c r="N521" i="29"/>
  <c r="N520" i="29"/>
  <c r="N519" i="29"/>
  <c r="N533" i="29"/>
  <c r="N529" i="29"/>
  <c r="N528" i="29"/>
  <c r="N527" i="29"/>
  <c r="N526" i="29"/>
  <c r="N509" i="29"/>
  <c r="N508" i="29"/>
  <c r="N507" i="29"/>
  <c r="N545" i="29"/>
  <c r="N544" i="29"/>
  <c r="N543" i="29"/>
  <c r="N542" i="29"/>
  <c r="N541" i="29"/>
  <c r="N540" i="29"/>
  <c r="N539" i="29"/>
  <c r="N538" i="29"/>
  <c r="N537" i="29"/>
  <c r="N536" i="29"/>
  <c r="N511" i="29"/>
  <c r="N510" i="29"/>
  <c r="N506" i="29"/>
  <c r="N505" i="29"/>
  <c r="N504" i="29"/>
  <c r="N503" i="29"/>
  <c r="N502" i="29"/>
  <c r="N497" i="29"/>
  <c r="N496" i="29"/>
  <c r="N495" i="29"/>
  <c r="N494" i="29"/>
  <c r="N531" i="29"/>
  <c r="N530" i="29"/>
  <c r="N515" i="29"/>
  <c r="N514" i="29"/>
  <c r="N513" i="29"/>
  <c r="N512" i="29"/>
  <c r="N501" i="29"/>
  <c r="N493" i="29"/>
  <c r="N500" i="29"/>
  <c r="N499" i="29"/>
  <c r="N498" i="29"/>
  <c r="N492" i="29"/>
  <c r="N491" i="29"/>
  <c r="N487" i="29"/>
  <c r="N486" i="29"/>
  <c r="N490" i="29"/>
  <c r="N489" i="29"/>
  <c r="N488" i="29"/>
  <c r="N485" i="29"/>
  <c r="N484" i="29"/>
  <c r="N483" i="29"/>
  <c r="N482" i="29"/>
  <c r="N472" i="29"/>
  <c r="N471" i="29"/>
  <c r="N481" i="29"/>
  <c r="N480" i="29"/>
  <c r="N479" i="29"/>
  <c r="N478" i="29"/>
  <c r="N477" i="29"/>
  <c r="N476" i="29"/>
  <c r="N475" i="29"/>
  <c r="N474" i="29"/>
  <c r="N467" i="29"/>
  <c r="N452" i="29"/>
  <c r="N451" i="29"/>
  <c r="N450" i="29"/>
  <c r="N449" i="29"/>
  <c r="N447" i="29"/>
  <c r="N446" i="29"/>
  <c r="N470" i="29"/>
  <c r="N469" i="29"/>
  <c r="N468" i="29"/>
  <c r="N466" i="29"/>
  <c r="N465" i="29"/>
  <c r="N464" i="29"/>
  <c r="N463" i="29"/>
  <c r="N462" i="29"/>
  <c r="N461" i="29"/>
  <c r="N460" i="29"/>
  <c r="N459" i="29"/>
  <c r="N444" i="29"/>
  <c r="N443" i="29"/>
  <c r="N442" i="29"/>
  <c r="N441" i="29"/>
  <c r="N439" i="29"/>
  <c r="N438" i="29"/>
  <c r="N436" i="29"/>
  <c r="N458" i="29"/>
  <c r="N457" i="29"/>
  <c r="N456" i="29"/>
  <c r="N455" i="29"/>
  <c r="N454" i="29"/>
  <c r="N453" i="29"/>
  <c r="N448" i="29"/>
  <c r="N445" i="29"/>
  <c r="N440" i="29"/>
  <c r="N434" i="29"/>
  <c r="N433" i="29"/>
  <c r="N432" i="29"/>
  <c r="N431" i="29"/>
  <c r="N430" i="29"/>
  <c r="N429" i="29"/>
  <c r="N428" i="29"/>
  <c r="N427" i="29"/>
  <c r="N426" i="29"/>
  <c r="N425" i="29"/>
  <c r="N424" i="29"/>
  <c r="N435" i="29"/>
  <c r="N423" i="29"/>
  <c r="N420" i="29"/>
  <c r="N418" i="29"/>
  <c r="N416" i="29"/>
  <c r="N415" i="29"/>
  <c r="N414" i="29"/>
  <c r="N413" i="29"/>
  <c r="N412" i="29"/>
  <c r="N409" i="29"/>
  <c r="N407" i="29"/>
  <c r="N437" i="29"/>
  <c r="N408" i="29"/>
  <c r="N403" i="29"/>
  <c r="N402" i="29"/>
  <c r="N401" i="29"/>
  <c r="N400" i="29"/>
  <c r="N399" i="29"/>
  <c r="N398" i="29"/>
  <c r="N422" i="29"/>
  <c r="N421" i="29"/>
  <c r="N419" i="29"/>
  <c r="N417" i="29"/>
  <c r="N394" i="29"/>
  <c r="N411" i="29"/>
  <c r="N410" i="29"/>
  <c r="N405" i="29"/>
  <c r="N404" i="29"/>
  <c r="N388" i="29"/>
  <c r="N384" i="29"/>
  <c r="N383" i="29"/>
  <c r="N406" i="29"/>
  <c r="N378" i="29"/>
  <c r="N377" i="29"/>
  <c r="N376" i="29"/>
  <c r="N375" i="29"/>
  <c r="N374" i="29"/>
  <c r="N370" i="29"/>
  <c r="N358" i="29"/>
  <c r="N357" i="29"/>
  <c r="N356" i="29"/>
  <c r="N355" i="29"/>
  <c r="N397" i="29"/>
  <c r="N396" i="29"/>
  <c r="N390" i="29"/>
  <c r="N373" i="29"/>
  <c r="N372" i="29"/>
  <c r="N345" i="29"/>
  <c r="N344" i="29"/>
  <c r="N343" i="29"/>
  <c r="N342" i="29"/>
  <c r="N341" i="29"/>
  <c r="N395" i="29"/>
  <c r="N393" i="29"/>
  <c r="N391" i="29"/>
  <c r="N389" i="29"/>
  <c r="N392" i="29"/>
  <c r="N387" i="29"/>
  <c r="N386" i="29"/>
  <c r="N385" i="29"/>
  <c r="N371" i="29"/>
  <c r="N364" i="29"/>
  <c r="N340" i="29"/>
  <c r="N339" i="29"/>
  <c r="N338" i="29"/>
  <c r="N347" i="29"/>
  <c r="N346" i="29"/>
  <c r="N333" i="29"/>
  <c r="N332" i="29"/>
  <c r="N323" i="29"/>
  <c r="N382" i="29"/>
  <c r="N381" i="29"/>
  <c r="N380" i="29"/>
  <c r="N379" i="29"/>
  <c r="N369" i="29"/>
  <c r="N368" i="29"/>
  <c r="N367" i="29"/>
  <c r="N366" i="29"/>
  <c r="N365" i="29"/>
  <c r="N363" i="29"/>
  <c r="N362" i="29"/>
  <c r="N361" i="29"/>
  <c r="N360" i="29"/>
  <c r="N359" i="29"/>
  <c r="N354" i="29"/>
  <c r="N353" i="29"/>
  <c r="N352" i="29"/>
  <c r="N351" i="29"/>
  <c r="N350" i="29"/>
  <c r="N349" i="29"/>
  <c r="N348" i="29"/>
  <c r="N337" i="29"/>
  <c r="N336" i="29"/>
  <c r="N335" i="29"/>
  <c r="N331" i="29"/>
  <c r="N328" i="29"/>
  <c r="N327" i="29"/>
  <c r="N326" i="29"/>
  <c r="N325" i="29"/>
  <c r="N322" i="29"/>
  <c r="N321" i="29"/>
  <c r="N320" i="29"/>
  <c r="N319" i="29"/>
  <c r="N334" i="29"/>
  <c r="N330" i="29"/>
  <c r="N329" i="29"/>
  <c r="N324" i="29"/>
  <c r="N317" i="29"/>
  <c r="N316" i="29"/>
  <c r="N315" i="29"/>
  <c r="N314" i="29"/>
  <c r="N313" i="29"/>
  <c r="N304" i="29"/>
  <c r="N318" i="29"/>
  <c r="N312" i="29"/>
  <c r="N311" i="29"/>
  <c r="N308" i="29"/>
  <c r="N307" i="29"/>
  <c r="N300" i="29"/>
  <c r="N296" i="29"/>
  <c r="N310" i="29"/>
  <c r="N309" i="29"/>
  <c r="N306" i="29"/>
  <c r="N305" i="29"/>
  <c r="N303" i="29"/>
  <c r="N302" i="29"/>
  <c r="N301" i="29"/>
  <c r="N299" i="29"/>
  <c r="N298" i="29"/>
  <c r="N297" i="29"/>
  <c r="N295" i="29"/>
  <c r="N294" i="29"/>
  <c r="N293" i="29"/>
  <c r="N292" i="29"/>
  <c r="N290" i="29"/>
  <c r="N288" i="29"/>
  <c r="N287" i="29"/>
  <c r="N285" i="29"/>
  <c r="N291" i="29"/>
  <c r="N289" i="29"/>
  <c r="N286" i="29"/>
  <c r="N281" i="29"/>
  <c r="N280" i="29"/>
  <c r="N279" i="29"/>
  <c r="N278" i="29"/>
  <c r="N277" i="29"/>
  <c r="N276" i="29"/>
  <c r="N275" i="29"/>
  <c r="N274" i="29"/>
  <c r="N273" i="29"/>
  <c r="N272" i="29"/>
  <c r="N271" i="29"/>
  <c r="N270" i="29"/>
  <c r="N269" i="29"/>
  <c r="N284" i="29"/>
  <c r="N283" i="29"/>
  <c r="N282" i="29"/>
  <c r="N268" i="29"/>
  <c r="N267" i="29"/>
  <c r="N266" i="29"/>
  <c r="N265" i="29"/>
  <c r="N264" i="29"/>
  <c r="N251" i="29"/>
  <c r="N250" i="29"/>
  <c r="N249" i="29"/>
  <c r="N263" i="29"/>
  <c r="N262" i="29"/>
  <c r="N261" i="29"/>
  <c r="N260" i="29"/>
  <c r="N246" i="29"/>
  <c r="N245" i="29"/>
  <c r="N240" i="29"/>
  <c r="N239" i="29"/>
  <c r="N238" i="29"/>
  <c r="N236" i="29"/>
  <c r="N248" i="29"/>
  <c r="N247" i="29"/>
  <c r="N244" i="29"/>
  <c r="N243" i="29"/>
  <c r="N242" i="29"/>
  <c r="N241" i="29"/>
  <c r="N259" i="29"/>
  <c r="N258" i="29"/>
  <c r="N257" i="29"/>
  <c r="N256" i="29"/>
  <c r="N255" i="29"/>
  <c r="N254" i="29"/>
  <c r="N253" i="29"/>
  <c r="N252" i="29"/>
  <c r="N237" i="29"/>
  <c r="N233" i="29"/>
  <c r="N232" i="29"/>
  <c r="N229" i="29"/>
  <c r="N227" i="29"/>
  <c r="N234" i="29"/>
  <c r="N231" i="29"/>
  <c r="N230" i="29"/>
  <c r="N226" i="29"/>
  <c r="N225" i="29"/>
  <c r="N235" i="29"/>
  <c r="N228" i="29"/>
  <c r="N224" i="29"/>
  <c r="N223" i="29"/>
  <c r="N222" i="29"/>
  <c r="N221" i="29"/>
  <c r="N220" i="29"/>
  <c r="N219" i="29"/>
  <c r="N218" i="29"/>
  <c r="N217" i="29"/>
  <c r="N216" i="29"/>
  <c r="N215" i="29"/>
  <c r="N214" i="29"/>
  <c r="N213" i="29"/>
  <c r="N212" i="29"/>
  <c r="N211" i="29"/>
  <c r="N210" i="29"/>
  <c r="N209" i="29"/>
  <c r="N208" i="29"/>
  <c r="N207" i="29"/>
  <c r="N206" i="29"/>
  <c r="N205" i="29"/>
  <c r="N171" i="29"/>
  <c r="N204" i="29"/>
  <c r="N203" i="29"/>
  <c r="N202" i="29"/>
  <c r="N201" i="29"/>
  <c r="N200" i="29"/>
  <c r="N199" i="29"/>
  <c r="N195" i="29"/>
  <c r="N192" i="29"/>
  <c r="N191" i="29"/>
  <c r="N194" i="29"/>
  <c r="N188" i="29"/>
  <c r="N187" i="29"/>
  <c r="N186" i="29"/>
  <c r="N185" i="29"/>
  <c r="N184" i="29"/>
  <c r="N183" i="29"/>
  <c r="N198" i="29"/>
  <c r="N197" i="29"/>
  <c r="N196" i="29"/>
  <c r="N193" i="29"/>
  <c r="N189" i="29"/>
  <c r="N182" i="29"/>
  <c r="N180" i="29"/>
  <c r="N190" i="29"/>
  <c r="N177" i="29"/>
  <c r="N176" i="29"/>
  <c r="N174" i="29"/>
  <c r="N172" i="29"/>
  <c r="N167" i="29"/>
  <c r="N181" i="29"/>
  <c r="N179" i="29"/>
  <c r="N178" i="29"/>
  <c r="N163" i="29"/>
  <c r="N162" i="29"/>
  <c r="N161" i="29"/>
  <c r="N175" i="29"/>
  <c r="N173" i="29"/>
  <c r="N170" i="29"/>
  <c r="N169" i="29"/>
  <c r="N168" i="29"/>
  <c r="N139" i="29"/>
  <c r="N157" i="29"/>
  <c r="N154" i="29"/>
  <c r="N153" i="29"/>
  <c r="N152" i="29"/>
  <c r="N151" i="29"/>
  <c r="N150" i="29"/>
  <c r="N149" i="29"/>
  <c r="N148" i="29"/>
  <c r="N147" i="29"/>
  <c r="N146" i="29"/>
  <c r="N75" i="29"/>
  <c r="N156" i="29"/>
  <c r="N155" i="29"/>
  <c r="N160" i="29"/>
  <c r="N159" i="29"/>
  <c r="N158" i="29"/>
  <c r="N166" i="29"/>
  <c r="N165" i="29"/>
  <c r="N164" i="29"/>
  <c r="N145" i="29"/>
  <c r="N144" i="29"/>
  <c r="N143" i="29"/>
  <c r="N142" i="29"/>
  <c r="N138" i="29"/>
  <c r="N137" i="29"/>
  <c r="N125" i="29"/>
  <c r="N124" i="29"/>
  <c r="N141" i="29"/>
  <c r="N140" i="29"/>
  <c r="N132" i="29"/>
  <c r="N123" i="29"/>
  <c r="N122" i="29"/>
  <c r="N121" i="29"/>
  <c r="N120" i="29"/>
  <c r="N119" i="29"/>
  <c r="N118" i="29"/>
  <c r="N136" i="29"/>
  <c r="N135" i="29"/>
  <c r="N134" i="29"/>
  <c r="N133" i="29"/>
  <c r="N131" i="29"/>
  <c r="N130" i="29"/>
  <c r="N129" i="29"/>
  <c r="N128" i="29"/>
  <c r="N127" i="29"/>
  <c r="N126" i="29"/>
  <c r="N115" i="29"/>
  <c r="N114" i="29"/>
  <c r="N113" i="29"/>
  <c r="N112" i="29"/>
  <c r="N111" i="29"/>
  <c r="N110" i="29"/>
  <c r="N109" i="29"/>
  <c r="N100" i="29"/>
  <c r="N117" i="29"/>
  <c r="N116" i="29"/>
  <c r="N108" i="29"/>
  <c r="N107" i="29"/>
  <c r="N106" i="29"/>
  <c r="N105" i="29"/>
  <c r="N104" i="29"/>
  <c r="N103" i="29"/>
  <c r="N102" i="29"/>
  <c r="N101" i="29"/>
  <c r="N99" i="29"/>
  <c r="N93" i="29"/>
  <c r="N89" i="29"/>
  <c r="N88" i="29"/>
  <c r="N87" i="29"/>
  <c r="N86" i="29"/>
  <c r="N85" i="29"/>
  <c r="N81" i="29"/>
  <c r="N80" i="29"/>
  <c r="N76" i="29"/>
  <c r="N69" i="29"/>
  <c r="N68" i="29"/>
  <c r="N67" i="29"/>
  <c r="N66" i="29"/>
  <c r="N65" i="29"/>
  <c r="N64" i="29"/>
  <c r="N58" i="29"/>
  <c r="N57" i="29"/>
  <c r="N92" i="29"/>
  <c r="N91" i="29"/>
  <c r="N90" i="29"/>
  <c r="N84" i="29"/>
  <c r="N83" i="29"/>
  <c r="N82" i="29"/>
  <c r="N79" i="29"/>
  <c r="N78" i="29"/>
  <c r="N77" i="29"/>
  <c r="N74" i="29"/>
  <c r="N73" i="29"/>
  <c r="N72" i="29"/>
  <c r="N71" i="29"/>
  <c r="N70" i="29"/>
  <c r="N98" i="29"/>
  <c r="N97" i="29"/>
  <c r="N96" i="29"/>
  <c r="N95" i="29"/>
  <c r="N94" i="29"/>
  <c r="N60" i="29"/>
  <c r="N63" i="29"/>
  <c r="N62" i="29"/>
  <c r="N61" i="29"/>
  <c r="N56" i="29"/>
  <c r="N55" i="29"/>
  <c r="N47" i="29"/>
  <c r="N46" i="29"/>
  <c r="N45" i="29"/>
  <c r="N44" i="29"/>
  <c r="N43" i="29"/>
  <c r="N42" i="29"/>
  <c r="N41" i="29"/>
  <c r="N40" i="29"/>
  <c r="N39" i="29"/>
  <c r="N38" i="29"/>
  <c r="N31" i="29"/>
  <c r="N30" i="29"/>
  <c r="N29" i="29"/>
  <c r="N59" i="29"/>
  <c r="N54" i="29"/>
  <c r="N53" i="29"/>
  <c r="N52" i="29"/>
  <c r="N51" i="29"/>
  <c r="N49" i="29"/>
  <c r="N37" i="29"/>
  <c r="N36" i="29"/>
  <c r="N35" i="29"/>
  <c r="N34" i="29"/>
  <c r="N28" i="29"/>
  <c r="N27" i="29"/>
  <c r="N26" i="29"/>
  <c r="N50" i="29"/>
  <c r="N48" i="29"/>
  <c r="N33" i="29"/>
  <c r="N32" i="29"/>
  <c r="N25" i="29"/>
  <c r="N24" i="29"/>
  <c r="N23" i="29"/>
  <c r="N22" i="29"/>
  <c r="N20" i="29"/>
  <c r="N19" i="29"/>
  <c r="N18" i="29"/>
  <c r="N16" i="29"/>
  <c r="N21" i="29"/>
  <c r="N12" i="29"/>
  <c r="N11" i="29"/>
  <c r="N10" i="29"/>
  <c r="N9" i="29"/>
  <c r="N8" i="29"/>
  <c r="N17" i="29"/>
  <c r="N15" i="29"/>
  <c r="N14" i="29"/>
  <c r="N13" i="29"/>
  <c r="R11025" i="29"/>
  <c r="R10905" i="29"/>
  <c r="R10904" i="29"/>
  <c r="R10903" i="29"/>
  <c r="R10902" i="29"/>
  <c r="R10901" i="29"/>
  <c r="R10900" i="29"/>
  <c r="R10899" i="29"/>
  <c r="R10898" i="29"/>
  <c r="R10897" i="29"/>
  <c r="R10896" i="29"/>
  <c r="R10895" i="29"/>
  <c r="R10894" i="29"/>
  <c r="R10893" i="29"/>
  <c r="R10892" i="29"/>
  <c r="R10891" i="29"/>
  <c r="R10890" i="29"/>
  <c r="R10960" i="29"/>
  <c r="R10959" i="29"/>
  <c r="R10958" i="29"/>
  <c r="R10957" i="29"/>
  <c r="R10956" i="29"/>
  <c r="R10955" i="29"/>
  <c r="R10954" i="29"/>
  <c r="R10953" i="29"/>
  <c r="R10952" i="29"/>
  <c r="R10951" i="29"/>
  <c r="R10950" i="29"/>
  <c r="R10949" i="29"/>
  <c r="R10948" i="29"/>
  <c r="R10947" i="29"/>
  <c r="R10946" i="29"/>
  <c r="R10945" i="29"/>
  <c r="R10944" i="29"/>
  <c r="R10943" i="29"/>
  <c r="R10942" i="29"/>
  <c r="R11024" i="29"/>
  <c r="R11023" i="29"/>
  <c r="R11022" i="29"/>
  <c r="R11021" i="29"/>
  <c r="R11020" i="29"/>
  <c r="R11019" i="29"/>
  <c r="R11018" i="29"/>
  <c r="R11017" i="29"/>
  <c r="R11016" i="29"/>
  <c r="R11015" i="29"/>
  <c r="R11014" i="29"/>
  <c r="R11013" i="29"/>
  <c r="R10872" i="29"/>
  <c r="R10871" i="29"/>
  <c r="R11012" i="29"/>
  <c r="R11011" i="29"/>
  <c r="R11010" i="29"/>
  <c r="R11009" i="29"/>
  <c r="R11008" i="29"/>
  <c r="R11007" i="29"/>
  <c r="R11006" i="29"/>
  <c r="R11005" i="29"/>
  <c r="R11004" i="29"/>
  <c r="R11003" i="29"/>
  <c r="R11002" i="29"/>
  <c r="R11001" i="29"/>
  <c r="R11000" i="29"/>
  <c r="R10999" i="29"/>
  <c r="R10998" i="29"/>
  <c r="R10997" i="29"/>
  <c r="R10889" i="29"/>
  <c r="R10888" i="29"/>
  <c r="R10887" i="29"/>
  <c r="R10886" i="29"/>
  <c r="R10885" i="29"/>
  <c r="R10884" i="29"/>
  <c r="R10883" i="29"/>
  <c r="R10882" i="29"/>
  <c r="R10941" i="29"/>
  <c r="R10940" i="29"/>
  <c r="R10939" i="29"/>
  <c r="R10938" i="29"/>
  <c r="R10937" i="29"/>
  <c r="R10936" i="29"/>
  <c r="R10935" i="29"/>
  <c r="R10934" i="29"/>
  <c r="R10933" i="29"/>
  <c r="R10932" i="29"/>
  <c r="R10931" i="29"/>
  <c r="R10930" i="29"/>
  <c r="R10929" i="29"/>
  <c r="R10928" i="29"/>
  <c r="R10927" i="29"/>
  <c r="R10926" i="29"/>
  <c r="R10925" i="29"/>
  <c r="R10924" i="29"/>
  <c r="R10923" i="29"/>
  <c r="R10922" i="29"/>
  <c r="R10921" i="29"/>
  <c r="R10996" i="29"/>
  <c r="R10995" i="29"/>
  <c r="R10994" i="29"/>
  <c r="R10993" i="29"/>
  <c r="R10992" i="29"/>
  <c r="R10991" i="29"/>
  <c r="R10990" i="29"/>
  <c r="R10989" i="29"/>
  <c r="R10988" i="29"/>
  <c r="R10987" i="29"/>
  <c r="R10986" i="29"/>
  <c r="R10985" i="29"/>
  <c r="R10984" i="29"/>
  <c r="R10983" i="29"/>
  <c r="R10982" i="29"/>
  <c r="R11111" i="29"/>
  <c r="R11110" i="29"/>
  <c r="R11099" i="29"/>
  <c r="R11109" i="29"/>
  <c r="R11108" i="29"/>
  <c r="R11107" i="29"/>
  <c r="R11106" i="29"/>
  <c r="R11105" i="29"/>
  <c r="R11104" i="29"/>
  <c r="R11103" i="29"/>
  <c r="R11102" i="29"/>
  <c r="R11101" i="29"/>
  <c r="R11100" i="29"/>
  <c r="R11098" i="29"/>
  <c r="R11097" i="29"/>
  <c r="R11096" i="29"/>
  <c r="R11095" i="29"/>
  <c r="R11094" i="29"/>
  <c r="R11093" i="29"/>
  <c r="R11092" i="29"/>
  <c r="R11091" i="29"/>
  <c r="R11090" i="29"/>
  <c r="R11089" i="29"/>
  <c r="R11088" i="29"/>
  <c r="R11087" i="29"/>
  <c r="R11086" i="29"/>
  <c r="R11085" i="29"/>
  <c r="R10881" i="29"/>
  <c r="R10880" i="29"/>
  <c r="R10879" i="29"/>
  <c r="R10878" i="29"/>
  <c r="R10877" i="29"/>
  <c r="R10876" i="29"/>
  <c r="R10875" i="29"/>
  <c r="R10874" i="29"/>
  <c r="R10859" i="29"/>
  <c r="R10858" i="29"/>
  <c r="R10870" i="29"/>
  <c r="R10869" i="29"/>
  <c r="R10868" i="29"/>
  <c r="R10867" i="29"/>
  <c r="R10866" i="29"/>
  <c r="R10865" i="29"/>
  <c r="R10864" i="29"/>
  <c r="R10863" i="29"/>
  <c r="R11084" i="29"/>
  <c r="R11083" i="29"/>
  <c r="R11082" i="29"/>
  <c r="R11081" i="29"/>
  <c r="R11080" i="29"/>
  <c r="R11079" i="29"/>
  <c r="R11078" i="29"/>
  <c r="R11077" i="29"/>
  <c r="R11076" i="29"/>
  <c r="R11075" i="29"/>
  <c r="R11074" i="29"/>
  <c r="R11073" i="29"/>
  <c r="R11072" i="29"/>
  <c r="R11071" i="29"/>
  <c r="R11070" i="29"/>
  <c r="R11069" i="29"/>
  <c r="R11068" i="29"/>
  <c r="R11067" i="29"/>
  <c r="R11066" i="29"/>
  <c r="R11065" i="29"/>
  <c r="R10861" i="29"/>
  <c r="R10860" i="29"/>
  <c r="R10920" i="29"/>
  <c r="R10919" i="29"/>
  <c r="R10918" i="29"/>
  <c r="R10917" i="29"/>
  <c r="R10916" i="29"/>
  <c r="R10915" i="29"/>
  <c r="R10914" i="29"/>
  <c r="R10913" i="29"/>
  <c r="R10912" i="29"/>
  <c r="R10911" i="29"/>
  <c r="R10910" i="29"/>
  <c r="R10909" i="29"/>
  <c r="R10908" i="29"/>
  <c r="R10907" i="29"/>
  <c r="R10906" i="29"/>
  <c r="R11064" i="29"/>
  <c r="R11063" i="29"/>
  <c r="R11062" i="29"/>
  <c r="R11061" i="29"/>
  <c r="R11060" i="29"/>
  <c r="R11059" i="29"/>
  <c r="R11058" i="29"/>
  <c r="R11057" i="29"/>
  <c r="R11056" i="29"/>
  <c r="R11055" i="29"/>
  <c r="R11054" i="29"/>
  <c r="R11053" i="29"/>
  <c r="R11052" i="29"/>
  <c r="R11051" i="29"/>
  <c r="R11050" i="29"/>
  <c r="R11049" i="29"/>
  <c r="R11048" i="29"/>
  <c r="R11047" i="29"/>
  <c r="R10981" i="29"/>
  <c r="R10980" i="29"/>
  <c r="R10979" i="29"/>
  <c r="R10978" i="29"/>
  <c r="R10977" i="29"/>
  <c r="R10976" i="29"/>
  <c r="R10975" i="29"/>
  <c r="R10974" i="29"/>
  <c r="R10973" i="29"/>
  <c r="R10972" i="29"/>
  <c r="R10971" i="29"/>
  <c r="R10970" i="29"/>
  <c r="R10969" i="29"/>
  <c r="R10967" i="29"/>
  <c r="R10966" i="29"/>
  <c r="R10965" i="29"/>
  <c r="R10964" i="29"/>
  <c r="R10963" i="29"/>
  <c r="R10962" i="29"/>
  <c r="R10961" i="29"/>
  <c r="R11046" i="29"/>
  <c r="R11045" i="29"/>
  <c r="R11044" i="29"/>
  <c r="R11043" i="29"/>
  <c r="R11042" i="29"/>
  <c r="R11041" i="29"/>
  <c r="R11040" i="29"/>
  <c r="R11039" i="29"/>
  <c r="R11038" i="29"/>
  <c r="R11037" i="29"/>
  <c r="R11036" i="29"/>
  <c r="R11035" i="29"/>
  <c r="R11033" i="29"/>
  <c r="R11032" i="29"/>
  <c r="R11031" i="29"/>
  <c r="R11030" i="29"/>
  <c r="R11029" i="29"/>
  <c r="R11028" i="29"/>
  <c r="R11027" i="29"/>
  <c r="R11026" i="29"/>
  <c r="R10817" i="29"/>
  <c r="R10873" i="29"/>
  <c r="R10862" i="29"/>
  <c r="R10857" i="29"/>
  <c r="R10856" i="29"/>
  <c r="R654" i="29"/>
  <c r="R10855" i="29"/>
  <c r="R10854" i="29"/>
  <c r="R10853" i="29"/>
  <c r="R10852" i="29"/>
  <c r="R10851" i="29"/>
  <c r="R10850" i="29"/>
  <c r="R10847" i="29"/>
  <c r="R10846" i="29"/>
  <c r="R10845" i="29"/>
  <c r="R10844" i="29"/>
  <c r="R10842" i="29"/>
  <c r="R10841" i="29"/>
  <c r="R10840" i="29"/>
  <c r="R10839" i="29"/>
  <c r="R10838" i="29"/>
  <c r="R10837" i="29"/>
  <c r="R10836" i="29"/>
  <c r="R10835" i="29"/>
  <c r="R10834" i="29"/>
  <c r="R10833" i="29"/>
  <c r="R10832" i="29"/>
  <c r="R10831" i="29"/>
  <c r="R10781" i="29"/>
  <c r="R10848" i="29"/>
  <c r="R10830" i="29"/>
  <c r="R10829" i="29"/>
  <c r="R10638" i="29"/>
  <c r="R10828" i="29"/>
  <c r="R10827" i="29"/>
  <c r="R10826" i="29"/>
  <c r="R10825" i="29"/>
  <c r="R10824" i="29"/>
  <c r="R10820" i="29"/>
  <c r="R10823" i="29"/>
  <c r="R10822" i="29"/>
  <c r="R10815" i="29"/>
  <c r="R10821" i="29"/>
  <c r="R10816" i="29"/>
  <c r="R10819" i="29"/>
  <c r="R10818" i="29"/>
  <c r="R10814" i="29"/>
  <c r="R10813" i="29"/>
  <c r="R10812" i="29"/>
  <c r="R10811" i="29"/>
  <c r="R10810" i="29"/>
  <c r="R10809" i="29"/>
  <c r="R10808" i="29"/>
  <c r="R10807" i="29"/>
  <c r="R10806" i="29"/>
  <c r="R10805" i="29"/>
  <c r="R10804" i="29"/>
  <c r="R10803" i="29"/>
  <c r="R10802" i="29"/>
  <c r="R10801" i="29"/>
  <c r="R10800" i="29"/>
  <c r="R10799" i="29"/>
  <c r="R10798" i="29"/>
  <c r="R10797" i="29"/>
  <c r="R10796" i="29"/>
  <c r="R10793" i="29"/>
  <c r="R10795" i="29"/>
  <c r="R10794" i="29"/>
  <c r="R10792" i="29"/>
  <c r="R10791" i="29"/>
  <c r="R10790" i="29"/>
  <c r="R10789" i="29"/>
  <c r="R10788" i="29"/>
  <c r="R10787" i="29"/>
  <c r="R10786" i="29"/>
  <c r="R10785" i="29"/>
  <c r="R10784" i="29"/>
  <c r="R10783" i="29"/>
  <c r="R10779" i="29"/>
  <c r="R10782" i="29"/>
  <c r="R10780" i="29"/>
  <c r="R10778" i="29"/>
  <c r="R10777" i="29"/>
  <c r="R10776" i="29"/>
  <c r="R10775" i="29"/>
  <c r="R10774" i="29"/>
  <c r="R10773" i="29"/>
  <c r="R10772" i="29"/>
  <c r="R10771" i="29"/>
  <c r="R10770" i="29"/>
  <c r="R10763" i="29"/>
  <c r="R10769" i="29"/>
  <c r="R10768" i="29"/>
  <c r="R10762" i="29"/>
  <c r="R10761" i="29"/>
  <c r="R10760" i="29"/>
  <c r="R10767" i="29"/>
  <c r="R10766" i="29"/>
  <c r="R10765" i="29"/>
  <c r="R10764" i="29"/>
  <c r="R10759" i="29"/>
  <c r="R10757" i="29"/>
  <c r="R10758" i="29"/>
  <c r="R10756" i="29"/>
  <c r="R10755" i="29"/>
  <c r="R10754" i="29"/>
  <c r="R10753" i="29"/>
  <c r="R10752" i="29"/>
  <c r="R10751" i="29"/>
  <c r="R10750" i="29"/>
  <c r="R10749" i="29"/>
  <c r="R10748" i="29"/>
  <c r="R10747" i="29"/>
  <c r="R10746" i="29"/>
  <c r="R10745" i="29"/>
  <c r="R10744" i="29"/>
  <c r="R10743" i="29"/>
  <c r="R10742" i="29"/>
  <c r="R10741" i="29"/>
  <c r="R10740" i="29"/>
  <c r="R10739" i="29"/>
  <c r="R10738" i="29"/>
  <c r="R10737" i="29"/>
  <c r="R10736" i="29"/>
  <c r="R10735" i="29"/>
  <c r="R10734" i="29"/>
  <c r="R10729" i="29"/>
  <c r="R10733" i="29"/>
  <c r="R10732" i="29"/>
  <c r="R10731" i="29"/>
  <c r="R10730" i="29"/>
  <c r="R10728" i="29"/>
  <c r="R10727" i="29"/>
  <c r="R10726" i="29"/>
  <c r="R10725" i="29"/>
  <c r="R10724" i="29"/>
  <c r="R10723" i="29"/>
  <c r="R10722" i="29"/>
  <c r="R10721" i="29"/>
  <c r="R10720" i="29"/>
  <c r="R10719" i="29"/>
  <c r="R10718" i="29"/>
  <c r="R10717" i="29"/>
  <c r="R10716" i="29"/>
  <c r="R10715" i="29"/>
  <c r="R10714" i="29"/>
  <c r="R10713" i="29"/>
  <c r="R10712" i="29"/>
  <c r="R10711" i="29"/>
  <c r="R10710" i="29"/>
  <c r="R10709" i="29"/>
  <c r="R10708" i="29"/>
  <c r="R10707" i="29"/>
  <c r="R10706" i="29"/>
  <c r="R10705" i="29"/>
  <c r="R10704" i="29"/>
  <c r="R10703" i="29"/>
  <c r="R10702" i="29"/>
  <c r="R10701" i="29"/>
  <c r="R10689" i="29"/>
  <c r="R10700" i="29"/>
  <c r="R10699" i="29"/>
  <c r="R10698" i="29"/>
  <c r="R10697" i="29"/>
  <c r="R10696" i="29"/>
  <c r="R10695" i="29"/>
  <c r="R10694" i="29"/>
  <c r="R10693" i="29"/>
  <c r="R10692" i="29"/>
  <c r="R10691" i="29"/>
  <c r="R10690" i="29"/>
  <c r="R10688" i="29"/>
  <c r="R10684" i="29"/>
  <c r="R10681" i="29"/>
  <c r="R10685" i="29"/>
  <c r="R10686" i="29"/>
  <c r="R10680" i="29"/>
  <c r="R10682" i="29"/>
  <c r="R10683" i="29"/>
  <c r="R10687" i="29"/>
  <c r="R10679" i="29"/>
  <c r="R10678" i="29"/>
  <c r="R10677" i="29"/>
  <c r="R10676" i="29"/>
  <c r="R10667" i="29"/>
  <c r="R10666" i="29"/>
  <c r="R10675" i="29"/>
  <c r="R10674" i="29"/>
  <c r="R10673" i="29"/>
  <c r="R10672" i="29"/>
  <c r="R10671" i="29"/>
  <c r="R10670" i="29"/>
  <c r="R10669" i="29"/>
  <c r="R10668" i="29"/>
  <c r="R10665" i="29"/>
  <c r="R10664" i="29"/>
  <c r="R10663" i="29"/>
  <c r="R10661" i="29"/>
  <c r="R10659" i="29"/>
  <c r="R10658" i="29"/>
  <c r="R10662" i="29"/>
  <c r="R10660" i="29"/>
  <c r="R10657" i="29"/>
  <c r="R10656" i="29"/>
  <c r="R10655" i="29"/>
  <c r="R10654" i="29"/>
  <c r="R10653" i="29"/>
  <c r="R10649" i="29"/>
  <c r="R10652" i="29"/>
  <c r="R10651" i="29"/>
  <c r="R10648" i="29"/>
  <c r="R10646" i="29"/>
  <c r="R10647" i="29"/>
  <c r="R10645" i="29"/>
  <c r="R10644" i="29"/>
  <c r="R10641" i="29"/>
  <c r="R10643" i="29"/>
  <c r="R10642" i="29"/>
  <c r="R10640" i="29"/>
  <c r="R10639" i="29"/>
  <c r="R10636" i="29"/>
  <c r="R10637" i="29"/>
  <c r="R10635" i="29"/>
  <c r="R10634" i="29"/>
  <c r="R10633" i="29"/>
  <c r="R10632" i="29"/>
  <c r="R10631" i="29"/>
  <c r="R10630" i="29"/>
  <c r="R10629" i="29"/>
  <c r="R10628" i="29"/>
  <c r="R10627" i="29"/>
  <c r="R10626" i="29"/>
  <c r="R10625" i="29"/>
  <c r="R10624" i="29"/>
  <c r="R10623" i="29"/>
  <c r="R10622" i="29"/>
  <c r="R10621" i="29"/>
  <c r="R10620" i="29"/>
  <c r="R10617" i="29"/>
  <c r="R10616" i="29"/>
  <c r="R10615" i="29"/>
  <c r="R10614" i="29"/>
  <c r="R10613" i="29"/>
  <c r="R10619" i="29"/>
  <c r="R10618" i="29"/>
  <c r="R10612" i="29"/>
  <c r="R10611" i="29"/>
  <c r="R10610" i="29"/>
  <c r="R10609" i="29"/>
  <c r="R10608" i="29"/>
  <c r="R10607" i="29"/>
  <c r="R10606" i="29"/>
  <c r="R10605" i="29"/>
  <c r="R10602" i="29"/>
  <c r="R10601" i="29"/>
  <c r="R10604" i="29"/>
  <c r="R10603" i="29"/>
  <c r="R10600" i="29"/>
  <c r="R10598" i="29"/>
  <c r="R10599" i="29"/>
  <c r="R10596" i="29"/>
  <c r="R10595" i="29"/>
  <c r="R10594" i="29"/>
  <c r="R10650" i="29"/>
  <c r="R10593" i="29"/>
  <c r="R10597" i="29"/>
  <c r="R10592" i="29"/>
  <c r="R10583" i="29"/>
  <c r="R10591" i="29"/>
  <c r="R10590" i="29"/>
  <c r="R10589" i="29"/>
  <c r="R10588" i="29"/>
  <c r="R10587" i="29"/>
  <c r="R10586" i="29"/>
  <c r="R10585" i="29"/>
  <c r="R10584" i="29"/>
  <c r="R10582" i="29"/>
  <c r="R10579" i="29"/>
  <c r="R10578" i="29"/>
  <c r="R10577" i="29"/>
  <c r="R10576" i="29"/>
  <c r="R10575" i="29"/>
  <c r="R10574" i="29"/>
  <c r="R10573" i="29"/>
  <c r="R10580" i="29"/>
  <c r="R10581" i="29"/>
  <c r="R10572" i="29"/>
  <c r="R10571" i="29"/>
  <c r="R10567" i="29"/>
  <c r="R10566" i="29"/>
  <c r="R10568" i="29"/>
  <c r="R10570" i="29"/>
  <c r="R10569" i="29"/>
  <c r="R10565" i="29"/>
  <c r="R10564" i="29"/>
  <c r="R10563" i="29"/>
  <c r="R10562" i="29"/>
  <c r="R10559" i="29"/>
  <c r="R10558" i="29"/>
  <c r="R10557" i="29"/>
  <c r="R10555" i="29"/>
  <c r="R10554" i="29"/>
  <c r="R10552" i="29"/>
  <c r="R10561" i="29"/>
  <c r="R10560" i="29"/>
  <c r="R10556" i="29"/>
  <c r="R10553" i="29"/>
  <c r="R10551" i="29"/>
  <c r="R10550" i="29"/>
  <c r="R10549" i="29"/>
  <c r="R10548" i="29"/>
  <c r="R10547" i="29"/>
  <c r="R10545" i="29"/>
  <c r="R10544" i="29"/>
  <c r="R10543" i="29"/>
  <c r="R10546" i="29"/>
  <c r="R10542" i="29"/>
  <c r="R10541" i="29"/>
  <c r="R10540" i="29"/>
  <c r="R10539" i="29"/>
  <c r="R10538" i="29"/>
  <c r="R10537" i="29"/>
  <c r="R10536" i="29"/>
  <c r="R10535" i="29"/>
  <c r="R10534" i="29"/>
  <c r="R10532" i="29"/>
  <c r="R10531" i="29"/>
  <c r="R10526" i="29"/>
  <c r="R10533" i="29"/>
  <c r="R10530" i="29"/>
  <c r="R10529" i="29"/>
  <c r="R10528" i="29"/>
  <c r="R10524" i="29"/>
  <c r="R10527" i="29"/>
  <c r="R10525" i="29"/>
  <c r="R10523" i="29"/>
  <c r="R10522" i="29"/>
  <c r="R10521" i="29"/>
  <c r="R10520" i="29"/>
  <c r="R10519" i="29"/>
  <c r="R10518" i="29"/>
  <c r="R10517" i="29"/>
  <c r="R10516" i="29"/>
  <c r="R10515" i="29"/>
  <c r="R10514" i="29"/>
  <c r="R10513" i="29"/>
  <c r="R10512" i="29"/>
  <c r="R10511" i="29"/>
  <c r="R10509" i="29"/>
  <c r="R10510" i="29"/>
  <c r="R10508" i="29"/>
  <c r="R10506" i="29"/>
  <c r="R10507" i="29"/>
  <c r="R10498" i="29"/>
  <c r="R10497" i="29"/>
  <c r="R10505" i="29"/>
  <c r="R10504" i="29"/>
  <c r="R10503" i="29"/>
  <c r="R10502" i="29"/>
  <c r="R10501" i="29"/>
  <c r="R10500" i="29"/>
  <c r="R10499" i="29"/>
  <c r="R10496" i="29"/>
  <c r="R10495" i="29"/>
  <c r="R10494" i="29"/>
  <c r="R10493" i="29"/>
  <c r="R10492" i="29"/>
  <c r="R10491" i="29"/>
  <c r="R10360" i="29"/>
  <c r="R10486" i="29"/>
  <c r="R10483" i="29"/>
  <c r="R10489" i="29"/>
  <c r="R10490" i="29"/>
  <c r="R10488" i="29"/>
  <c r="R10487" i="29"/>
  <c r="R10485" i="29"/>
  <c r="R10484" i="29"/>
  <c r="R10481" i="29"/>
  <c r="R10482" i="29"/>
  <c r="R10480" i="29"/>
  <c r="R10478" i="29"/>
  <c r="R10416" i="29"/>
  <c r="R10477" i="29"/>
  <c r="R10479" i="29"/>
  <c r="R10475" i="29"/>
  <c r="R10474" i="29"/>
  <c r="R10473" i="29"/>
  <c r="R10472" i="29"/>
  <c r="R10471" i="29"/>
  <c r="R10469" i="29"/>
  <c r="R10468" i="29"/>
  <c r="R10467" i="29"/>
  <c r="R10466" i="29"/>
  <c r="R10465" i="29"/>
  <c r="R10464" i="29"/>
  <c r="R10463" i="29"/>
  <c r="R10462" i="29"/>
  <c r="R10458" i="29"/>
  <c r="R10461" i="29"/>
  <c r="R10460" i="29"/>
  <c r="R10459" i="29"/>
  <c r="R10457" i="29"/>
  <c r="R10454" i="29"/>
  <c r="R10455" i="29"/>
  <c r="R10456" i="29"/>
  <c r="R10445" i="29"/>
  <c r="R10453" i="29"/>
  <c r="R10452" i="29"/>
  <c r="R10451" i="29"/>
  <c r="R10450" i="29"/>
  <c r="R10449" i="29"/>
  <c r="R10448" i="29"/>
  <c r="R10447" i="29"/>
  <c r="R10446" i="29"/>
  <c r="R10444" i="29"/>
  <c r="R10443" i="29"/>
  <c r="R10442" i="29"/>
  <c r="R10441" i="29"/>
  <c r="R10440" i="29"/>
  <c r="R10439" i="29"/>
  <c r="R10438" i="29"/>
  <c r="R10437" i="29"/>
  <c r="R10436" i="29"/>
  <c r="R10427" i="29"/>
  <c r="R10435" i="29"/>
  <c r="R10434" i="29"/>
  <c r="R10433" i="29"/>
  <c r="R10432" i="29"/>
  <c r="R10431" i="29"/>
  <c r="R10430" i="29"/>
  <c r="R10429" i="29"/>
  <c r="R10428" i="29"/>
  <c r="R10426" i="29"/>
  <c r="R10425" i="29"/>
  <c r="R10423" i="29"/>
  <c r="R10422" i="29"/>
  <c r="R10421" i="29"/>
  <c r="R10420" i="29"/>
  <c r="R10419" i="29"/>
  <c r="R10418" i="29"/>
  <c r="R10424" i="29"/>
  <c r="R10417" i="29"/>
  <c r="R10415" i="29"/>
  <c r="R10414" i="29"/>
  <c r="R10413" i="29"/>
  <c r="R10406" i="29"/>
  <c r="R10412" i="29"/>
  <c r="R10411" i="29"/>
  <c r="R10410" i="29"/>
  <c r="R10409" i="29"/>
  <c r="R10401" i="29"/>
  <c r="R10400" i="29"/>
  <c r="R10399" i="29"/>
  <c r="R10408" i="29"/>
  <c r="R10398" i="29"/>
  <c r="R10407" i="29"/>
  <c r="R10405" i="29"/>
  <c r="R10404" i="29"/>
  <c r="R10403" i="29"/>
  <c r="R10402" i="29"/>
  <c r="R10397" i="29"/>
  <c r="R10396" i="29"/>
  <c r="R10395" i="29"/>
  <c r="R10359" i="29"/>
  <c r="R10394" i="29"/>
  <c r="R10393" i="29"/>
  <c r="R10392" i="29"/>
  <c r="R10391" i="29"/>
  <c r="R10390" i="29"/>
  <c r="R10389" i="29"/>
  <c r="R10388" i="29"/>
  <c r="R10387" i="29"/>
  <c r="R10386" i="29"/>
  <c r="R10385" i="29"/>
  <c r="R10384" i="29"/>
  <c r="R10383" i="29"/>
  <c r="R10376" i="29"/>
  <c r="R10375" i="29"/>
  <c r="R10374" i="29"/>
  <c r="R10382" i="29"/>
  <c r="R10381" i="29"/>
  <c r="R10380" i="29"/>
  <c r="R10379" i="29"/>
  <c r="R10378" i="29"/>
  <c r="R10377" i="29"/>
  <c r="R10373" i="29"/>
  <c r="R10372" i="29"/>
  <c r="R10371" i="29"/>
  <c r="R10370" i="29"/>
  <c r="R10361" i="29"/>
  <c r="R10358" i="29"/>
  <c r="R10369" i="29"/>
  <c r="R10365" i="29"/>
  <c r="R10364" i="29"/>
  <c r="R10363" i="29"/>
  <c r="R10362" i="29"/>
  <c r="R10368" i="29"/>
  <c r="R10367" i="29"/>
  <c r="R10366" i="29"/>
  <c r="R10356" i="29"/>
  <c r="R10355" i="29"/>
  <c r="R10354" i="29"/>
  <c r="R10353" i="29"/>
  <c r="R10352" i="29"/>
  <c r="R10350" i="29"/>
  <c r="R10349" i="29"/>
  <c r="R10348" i="29"/>
  <c r="R10351" i="29"/>
  <c r="R10347" i="29"/>
  <c r="R10346" i="29"/>
  <c r="R10345" i="29"/>
  <c r="R10344" i="29"/>
  <c r="R10343" i="29"/>
  <c r="R10342" i="29"/>
  <c r="R10337" i="29"/>
  <c r="R10336" i="29"/>
  <c r="R10332" i="29"/>
  <c r="R10331" i="29"/>
  <c r="R10328" i="29"/>
  <c r="R10327" i="29"/>
  <c r="R10326" i="29"/>
  <c r="R10325" i="29"/>
  <c r="R10324" i="29"/>
  <c r="R10339" i="29"/>
  <c r="R10357" i="29"/>
  <c r="R10340" i="29"/>
  <c r="R10333" i="29"/>
  <c r="R10329" i="29"/>
  <c r="R10338" i="29"/>
  <c r="R10341" i="29"/>
  <c r="R10334" i="29"/>
  <c r="R10335" i="29"/>
  <c r="R10330" i="29"/>
  <c r="R10319" i="29"/>
  <c r="R10318" i="29"/>
  <c r="R10323" i="29"/>
  <c r="R10322" i="29"/>
  <c r="R10321" i="29"/>
  <c r="R10320" i="29"/>
  <c r="R10314" i="29"/>
  <c r="R10313" i="29"/>
  <c r="R10312" i="29"/>
  <c r="R10317" i="29"/>
  <c r="R10316" i="29"/>
  <c r="R10315" i="29"/>
  <c r="R10309" i="29"/>
  <c r="R10311" i="29"/>
  <c r="R10310" i="29"/>
  <c r="R10308" i="29"/>
  <c r="R10307" i="29"/>
  <c r="R10305" i="29"/>
  <c r="R10304" i="29"/>
  <c r="R10303" i="29"/>
  <c r="R10302" i="29"/>
  <c r="R10301" i="29"/>
  <c r="R10300" i="29"/>
  <c r="R10296" i="29"/>
  <c r="R10299" i="29"/>
  <c r="R10298" i="29"/>
  <c r="R10297" i="29"/>
  <c r="R10293" i="29"/>
  <c r="R10292" i="29"/>
  <c r="R10290" i="29"/>
  <c r="R10289" i="29"/>
  <c r="R10288" i="29"/>
  <c r="R10287" i="29"/>
  <c r="R10277" i="29"/>
  <c r="R10294" i="29"/>
  <c r="R10291" i="29"/>
  <c r="R10286" i="29"/>
  <c r="R10295" i="29"/>
  <c r="R10285" i="29"/>
  <c r="R10284" i="29"/>
  <c r="R10283" i="29"/>
  <c r="R10282" i="29"/>
  <c r="R10281" i="29"/>
  <c r="R10280" i="29"/>
  <c r="R10279" i="29"/>
  <c r="R10278" i="29"/>
  <c r="R10849" i="29"/>
  <c r="R11034" i="29"/>
  <c r="R10843" i="29"/>
  <c r="R10306" i="29"/>
  <c r="R10276" i="29"/>
  <c r="R10275" i="29"/>
  <c r="R10274" i="29"/>
  <c r="R10273" i="29"/>
  <c r="R10272" i="29"/>
  <c r="R10271" i="29"/>
  <c r="R10270" i="29"/>
  <c r="R10968" i="29"/>
  <c r="R10267" i="29"/>
  <c r="R10269" i="29"/>
  <c r="R10268" i="29"/>
  <c r="R10266" i="29"/>
  <c r="R10265" i="29"/>
  <c r="R10264" i="29"/>
  <c r="R10263" i="29"/>
  <c r="R10262" i="29"/>
  <c r="R10261" i="29"/>
  <c r="R10260" i="29"/>
  <c r="R10259" i="29"/>
  <c r="R10258" i="29"/>
  <c r="R10257" i="29"/>
  <c r="R10256" i="29"/>
  <c r="R10255" i="29"/>
  <c r="R10254" i="29"/>
  <c r="R10252" i="29"/>
  <c r="R10248" i="29"/>
  <c r="R10253" i="29"/>
  <c r="R10476" i="29"/>
  <c r="R10470" i="29"/>
  <c r="R10246" i="29"/>
  <c r="R10245" i="29"/>
  <c r="R10242" i="29"/>
  <c r="R10251" i="29"/>
  <c r="R10250" i="29"/>
  <c r="R10249" i="29"/>
  <c r="R10247" i="29"/>
  <c r="R10244" i="29"/>
  <c r="R10243" i="29"/>
  <c r="R10241" i="29"/>
  <c r="R10240" i="29"/>
  <c r="R10239" i="29"/>
  <c r="R10238" i="29"/>
  <c r="R10234" i="29"/>
  <c r="R10233" i="29"/>
  <c r="R10232" i="29"/>
  <c r="R10231" i="29"/>
  <c r="R10230" i="29"/>
  <c r="R10229" i="29"/>
  <c r="R10228" i="29"/>
  <c r="R10227" i="29"/>
  <c r="R10226" i="29"/>
  <c r="R10225" i="29"/>
  <c r="R10224" i="29"/>
  <c r="R10223" i="29"/>
  <c r="R10237" i="29"/>
  <c r="R10236" i="29"/>
  <c r="R10235" i="29"/>
  <c r="R10222" i="29"/>
  <c r="R10221" i="29"/>
  <c r="R10220" i="29"/>
  <c r="R10210" i="29"/>
  <c r="R10209" i="29"/>
  <c r="R10208" i="29"/>
  <c r="R10207" i="29"/>
  <c r="R10206" i="29"/>
  <c r="R10205" i="29"/>
  <c r="R10204" i="29"/>
  <c r="R10203" i="29"/>
  <c r="R10202" i="29"/>
  <c r="R10201" i="29"/>
  <c r="R10219" i="29"/>
  <c r="R10218" i="29"/>
  <c r="R10217" i="29"/>
  <c r="R10216" i="29"/>
  <c r="R10215" i="29"/>
  <c r="R10214" i="29"/>
  <c r="R10213" i="29"/>
  <c r="R10212" i="29"/>
  <c r="R10211" i="29"/>
  <c r="R10200" i="29"/>
  <c r="R10199" i="29"/>
  <c r="R10198" i="29"/>
  <c r="R10197" i="29"/>
  <c r="R10196" i="29"/>
  <c r="R10195" i="29"/>
  <c r="R10194" i="29"/>
  <c r="R10193" i="29"/>
  <c r="R10192" i="29"/>
  <c r="R10191" i="29"/>
  <c r="R10190" i="29"/>
  <c r="R10189" i="29"/>
  <c r="R10188" i="29"/>
  <c r="R10187" i="29"/>
  <c r="R10186" i="29"/>
  <c r="R10185" i="29"/>
  <c r="R10184" i="29"/>
  <c r="R10183" i="29"/>
  <c r="R10182" i="29"/>
  <c r="R10181" i="29"/>
  <c r="R10180" i="29"/>
  <c r="R10179" i="29"/>
  <c r="R10178" i="29"/>
  <c r="R10177" i="29"/>
  <c r="R10176" i="29"/>
  <c r="R10175" i="29"/>
  <c r="R10174" i="29"/>
  <c r="R10173" i="29"/>
  <c r="R10172" i="29"/>
  <c r="R10171" i="29"/>
  <c r="R10170" i="29"/>
  <c r="R10169" i="29"/>
  <c r="R10168" i="29"/>
  <c r="R10166" i="29"/>
  <c r="R10167" i="29"/>
  <c r="R10165" i="29"/>
  <c r="R10164" i="29"/>
  <c r="R10163" i="29"/>
  <c r="R10162" i="29"/>
  <c r="R10160" i="29"/>
  <c r="R10159" i="29"/>
  <c r="R10161" i="29"/>
  <c r="R10158" i="29"/>
  <c r="R10157" i="29"/>
  <c r="R10156" i="29"/>
  <c r="R10155" i="29"/>
  <c r="R10154" i="29"/>
  <c r="R10148" i="29"/>
  <c r="R10147" i="29"/>
  <c r="R10146" i="29"/>
  <c r="R10153" i="29"/>
  <c r="R10152" i="29"/>
  <c r="R10151" i="29"/>
  <c r="R10150" i="29"/>
  <c r="R10149" i="29"/>
  <c r="R10145" i="29"/>
  <c r="R10144" i="29"/>
  <c r="R10143" i="29"/>
  <c r="R10142" i="29"/>
  <c r="R10141" i="29"/>
  <c r="R10140" i="29"/>
  <c r="R10139" i="29"/>
  <c r="R10138" i="29"/>
  <c r="R10137" i="29"/>
  <c r="R10136" i="29"/>
  <c r="R655" i="29"/>
  <c r="R10135" i="29"/>
  <c r="R10134" i="29"/>
  <c r="R10132" i="29"/>
  <c r="R10133" i="29"/>
  <c r="R10131" i="29"/>
  <c r="R10130" i="29"/>
  <c r="R10129" i="29"/>
  <c r="R10128" i="29"/>
  <c r="R10127" i="29"/>
  <c r="R10126" i="29"/>
  <c r="R10125" i="29"/>
  <c r="R10124" i="29"/>
  <c r="R10123" i="29"/>
  <c r="R10122" i="29"/>
  <c r="R10121" i="29"/>
  <c r="R10120" i="29"/>
  <c r="R10119" i="29"/>
  <c r="R10118" i="29"/>
  <c r="R10115" i="29"/>
  <c r="R10114" i="29"/>
  <c r="R10113" i="29"/>
  <c r="R10112" i="29"/>
  <c r="R10111" i="29"/>
  <c r="R10117" i="29"/>
  <c r="R10116" i="29"/>
  <c r="R10110" i="29"/>
  <c r="R10109" i="29"/>
  <c r="R10108" i="29"/>
  <c r="R10107" i="29"/>
  <c r="R10106" i="29"/>
  <c r="R10105" i="29"/>
  <c r="R10104" i="29"/>
  <c r="R10103" i="29"/>
  <c r="R10102" i="29"/>
  <c r="R10101" i="29"/>
  <c r="R10100" i="29"/>
  <c r="R10099" i="29"/>
  <c r="R10098" i="29"/>
  <c r="R10097" i="29"/>
  <c r="R10096" i="29"/>
  <c r="R10093" i="29"/>
  <c r="R10092" i="29"/>
  <c r="R10091" i="29"/>
  <c r="R10090" i="29"/>
  <c r="R10095" i="29"/>
  <c r="R10094" i="29"/>
  <c r="R10089" i="29"/>
  <c r="R10084" i="29"/>
  <c r="R10088" i="29"/>
  <c r="R10087" i="29"/>
  <c r="R10086" i="29"/>
  <c r="R10085" i="29"/>
  <c r="R10083" i="29"/>
  <c r="R10082" i="29"/>
  <c r="R10081" i="29"/>
  <c r="R10080" i="29"/>
  <c r="R10079" i="29"/>
  <c r="R10078" i="29"/>
  <c r="R10077" i="29"/>
  <c r="R10076" i="29"/>
  <c r="R10075" i="29"/>
  <c r="R10074" i="29"/>
  <c r="R10073" i="29"/>
  <c r="R10072" i="29"/>
  <c r="R10071" i="29"/>
  <c r="R10070" i="29"/>
  <c r="R10069" i="29"/>
  <c r="R10068" i="29"/>
  <c r="R10067" i="29"/>
  <c r="R10066" i="29"/>
  <c r="R10065" i="29"/>
  <c r="R10064" i="29"/>
  <c r="R10063" i="29"/>
  <c r="R10061" i="29"/>
  <c r="R10062" i="29"/>
  <c r="R10050" i="29"/>
  <c r="R10060" i="29"/>
  <c r="R10059" i="29"/>
  <c r="R10058" i="29"/>
  <c r="R10057" i="29"/>
  <c r="R10056" i="29"/>
  <c r="R10055" i="29"/>
  <c r="R10054" i="29"/>
  <c r="R10053" i="29"/>
  <c r="R10052" i="29"/>
  <c r="R10051" i="29"/>
  <c r="R10049" i="29"/>
  <c r="R10048" i="29"/>
  <c r="R10047" i="29"/>
  <c r="R10046" i="29"/>
  <c r="R10045" i="29"/>
  <c r="R10032" i="29"/>
  <c r="R10044" i="29"/>
  <c r="R10043" i="29"/>
  <c r="R10042" i="29"/>
  <c r="R10041" i="29"/>
  <c r="R10040" i="29"/>
  <c r="R10039" i="29"/>
  <c r="R10038" i="29"/>
  <c r="R10037" i="29"/>
  <c r="R10036" i="29"/>
  <c r="R10035" i="29"/>
  <c r="R10034" i="29"/>
  <c r="R10033" i="29"/>
  <c r="R10029" i="29"/>
  <c r="R10031" i="29"/>
  <c r="R10030" i="29"/>
  <c r="R10028" i="29"/>
  <c r="R10027" i="29"/>
  <c r="R10026" i="29"/>
  <c r="R10024" i="29"/>
  <c r="R10023" i="29"/>
  <c r="R10025" i="29"/>
  <c r="R10022" i="29"/>
  <c r="R10021" i="29"/>
  <c r="R10017" i="29"/>
  <c r="R10018" i="29"/>
  <c r="R10019" i="29"/>
  <c r="R10009" i="29"/>
  <c r="R10010" i="29"/>
  <c r="R10013" i="29"/>
  <c r="R10014" i="29"/>
  <c r="R10015" i="29"/>
  <c r="R10016" i="29"/>
  <c r="R10011" i="29"/>
  <c r="R10012" i="29"/>
  <c r="R10020" i="29"/>
  <c r="R10008" i="29"/>
  <c r="R10007" i="29"/>
  <c r="R10006" i="29"/>
  <c r="R10005" i="29"/>
  <c r="R10004" i="29"/>
  <c r="R10003" i="29"/>
  <c r="R10002" i="29"/>
  <c r="R10001" i="29"/>
  <c r="R10000" i="29"/>
  <c r="R9999" i="29"/>
  <c r="R9998" i="29"/>
  <c r="R9997" i="29"/>
  <c r="R9996" i="29"/>
  <c r="R9995" i="29"/>
  <c r="R9994" i="29"/>
  <c r="R9993" i="29"/>
  <c r="R9992" i="29"/>
  <c r="R9991" i="29"/>
  <c r="R9990" i="29"/>
  <c r="R9989" i="29"/>
  <c r="R9984" i="29"/>
  <c r="R9988" i="29"/>
  <c r="R9987" i="29"/>
  <c r="R9986" i="29"/>
  <c r="R9985" i="29"/>
  <c r="R9983" i="29"/>
  <c r="R9979" i="29"/>
  <c r="R9982" i="29"/>
  <c r="R9981" i="29"/>
  <c r="R9980" i="29"/>
  <c r="R9978" i="29"/>
  <c r="R9977" i="29"/>
  <c r="R9976" i="29"/>
  <c r="R9975" i="29"/>
  <c r="R9974" i="29"/>
  <c r="R9973" i="29"/>
  <c r="R9972" i="29"/>
  <c r="R9971" i="29"/>
  <c r="R9969" i="29"/>
  <c r="R9970" i="29"/>
  <c r="R9966" i="29"/>
  <c r="R9968" i="29"/>
  <c r="R9967" i="29"/>
  <c r="R9964" i="29"/>
  <c r="R9965" i="29"/>
  <c r="R9903" i="29"/>
  <c r="R9963" i="29"/>
  <c r="R9962" i="29"/>
  <c r="R9961" i="29"/>
  <c r="R9960" i="29"/>
  <c r="R9959" i="29"/>
  <c r="R9958" i="29"/>
  <c r="R9957" i="29"/>
  <c r="R9956" i="29"/>
  <c r="R9955" i="29"/>
  <c r="R9954" i="29"/>
  <c r="R9953" i="29"/>
  <c r="R9952" i="29"/>
  <c r="R9951" i="29"/>
  <c r="R9950" i="29"/>
  <c r="R9949" i="29"/>
  <c r="R9948" i="29"/>
  <c r="R9947" i="29"/>
  <c r="R9946" i="29"/>
  <c r="R9945" i="29"/>
  <c r="R9944" i="29"/>
  <c r="R9943" i="29"/>
  <c r="R9942" i="29"/>
  <c r="R9941" i="29"/>
  <c r="R9940" i="29"/>
  <c r="R9939" i="29"/>
  <c r="R9935" i="29"/>
  <c r="R9934" i="29"/>
  <c r="R9933" i="29"/>
  <c r="R9938" i="29"/>
  <c r="R9937" i="29"/>
  <c r="R9936" i="29"/>
  <c r="R9931" i="29"/>
  <c r="R9932" i="29"/>
  <c r="R9930" i="29"/>
  <c r="R9929" i="29"/>
  <c r="R9928" i="29"/>
  <c r="R9927" i="29"/>
  <c r="R9926" i="29"/>
  <c r="R9925" i="29"/>
  <c r="R9924" i="29"/>
  <c r="R9923" i="29"/>
  <c r="R9921" i="29"/>
  <c r="R9922" i="29"/>
  <c r="R9919" i="29"/>
  <c r="R9918" i="29"/>
  <c r="R9917" i="29"/>
  <c r="R9915" i="29"/>
  <c r="R9914" i="29"/>
  <c r="R9913" i="29"/>
  <c r="R9912" i="29"/>
  <c r="R9920" i="29"/>
  <c r="R9911" i="29"/>
  <c r="R9916" i="29"/>
  <c r="R9910" i="29"/>
  <c r="R9909" i="29"/>
  <c r="R9908" i="29"/>
  <c r="R9907" i="29"/>
  <c r="R9906" i="29"/>
  <c r="R9905" i="29"/>
  <c r="R9904" i="29"/>
  <c r="R9902" i="29"/>
  <c r="R9901" i="29"/>
  <c r="R9900" i="29"/>
  <c r="R9899" i="29"/>
  <c r="R9898" i="29"/>
  <c r="R9897" i="29"/>
  <c r="R9893" i="29"/>
  <c r="R9892" i="29"/>
  <c r="R9891" i="29"/>
  <c r="R9890" i="29"/>
  <c r="R9889" i="29"/>
  <c r="R9886" i="29"/>
  <c r="R9885" i="29"/>
  <c r="R9884" i="29"/>
  <c r="R9883" i="29"/>
  <c r="R9896" i="29"/>
  <c r="R9895" i="29"/>
  <c r="R9894" i="29"/>
  <c r="R9888" i="29"/>
  <c r="R9887" i="29"/>
  <c r="R9882" i="29"/>
  <c r="R9881" i="29"/>
  <c r="R9880" i="29"/>
  <c r="R9879" i="29"/>
  <c r="R9878" i="29"/>
  <c r="R9875" i="29"/>
  <c r="R9874" i="29"/>
  <c r="R9873" i="29"/>
  <c r="R9872" i="29"/>
  <c r="R9871" i="29"/>
  <c r="R9870" i="29"/>
  <c r="R9867" i="29"/>
  <c r="R9865" i="29"/>
  <c r="R9864" i="29"/>
  <c r="R9869" i="29"/>
  <c r="R9868" i="29"/>
  <c r="R9863" i="29"/>
  <c r="R9862" i="29"/>
  <c r="R9861" i="29"/>
  <c r="R9877" i="29"/>
  <c r="R9876" i="29"/>
  <c r="R9866" i="29"/>
  <c r="R9860" i="29"/>
  <c r="R9855" i="29"/>
  <c r="R9854" i="29"/>
  <c r="R9859" i="29"/>
  <c r="R9858" i="29"/>
  <c r="R9857" i="29"/>
  <c r="R9856" i="29"/>
  <c r="R9849" i="29"/>
  <c r="R9853" i="29"/>
  <c r="R9852" i="29"/>
  <c r="R9851" i="29"/>
  <c r="R9850" i="29"/>
  <c r="R9847" i="29"/>
  <c r="R9848" i="29"/>
  <c r="R9846" i="29"/>
  <c r="R9845" i="29"/>
  <c r="R9844" i="29"/>
  <c r="R9842" i="29"/>
  <c r="R9841" i="29"/>
  <c r="R9843" i="29"/>
  <c r="R9840" i="29"/>
  <c r="R9838" i="29"/>
  <c r="R9837" i="29"/>
  <c r="R9836" i="29"/>
  <c r="R9835" i="29"/>
  <c r="R9839" i="29"/>
  <c r="R9834" i="29"/>
  <c r="R9833" i="29"/>
  <c r="R9832" i="29"/>
  <c r="R9831" i="29"/>
  <c r="R9827" i="29"/>
  <c r="R9830" i="29"/>
  <c r="R9829" i="29"/>
  <c r="R9828" i="29"/>
  <c r="R9822" i="29"/>
  <c r="R9826" i="29"/>
  <c r="R9825" i="29"/>
  <c r="R9824" i="29"/>
  <c r="R9823" i="29"/>
  <c r="R9821" i="29"/>
  <c r="R9820" i="29"/>
  <c r="R9819" i="29"/>
  <c r="R9818" i="29"/>
  <c r="R9815" i="29"/>
  <c r="R9817" i="29"/>
  <c r="R9816" i="29"/>
  <c r="R9814" i="29"/>
  <c r="R9813" i="29"/>
  <c r="R9812" i="29"/>
  <c r="R9811" i="29"/>
  <c r="R9810" i="29"/>
  <c r="R9809" i="29"/>
  <c r="R9808" i="29"/>
  <c r="R9730" i="29"/>
  <c r="R9806" i="29"/>
  <c r="R9807" i="29"/>
  <c r="R9804" i="29"/>
  <c r="R9805" i="29"/>
  <c r="R9803" i="29"/>
  <c r="R9802" i="29"/>
  <c r="R9801" i="29"/>
  <c r="R9800" i="29"/>
  <c r="R9799" i="29"/>
  <c r="R9798" i="29"/>
  <c r="R9795" i="29"/>
  <c r="R9797" i="29"/>
  <c r="R9796" i="29"/>
  <c r="R9794" i="29"/>
  <c r="R9793" i="29"/>
  <c r="R9792" i="29"/>
  <c r="R9791" i="29"/>
  <c r="R9790" i="29"/>
  <c r="R9789" i="29"/>
  <c r="R9788" i="29"/>
  <c r="R9787" i="29"/>
  <c r="R9786" i="29"/>
  <c r="R9784" i="29"/>
  <c r="R9785" i="29"/>
  <c r="R9783" i="29"/>
  <c r="R9782" i="29"/>
  <c r="R9781" i="29"/>
  <c r="R9780" i="29"/>
  <c r="R9779" i="29"/>
  <c r="R9778" i="29"/>
  <c r="R9777" i="29"/>
  <c r="R9776" i="29"/>
  <c r="R9775" i="29"/>
  <c r="R9774" i="29"/>
  <c r="R9773" i="29"/>
  <c r="R9772" i="29"/>
  <c r="R9771" i="29"/>
  <c r="R9770" i="29"/>
  <c r="R9769" i="29"/>
  <c r="R9768" i="29"/>
  <c r="R9767" i="29"/>
  <c r="R9752" i="29"/>
  <c r="R9766" i="29"/>
  <c r="R9765" i="29"/>
  <c r="R9763" i="29"/>
  <c r="R9764" i="29"/>
  <c r="R9760" i="29"/>
  <c r="R9759" i="29"/>
  <c r="R9758" i="29"/>
  <c r="R9751" i="29"/>
  <c r="R9762" i="29"/>
  <c r="R9761" i="29"/>
  <c r="R9757" i="29"/>
  <c r="R9756" i="29"/>
  <c r="R9755" i="29"/>
  <c r="R9754" i="29"/>
  <c r="R9753" i="29"/>
  <c r="R9750" i="29"/>
  <c r="R9748" i="29"/>
  <c r="R9749" i="29"/>
  <c r="R9743" i="29"/>
  <c r="R9742" i="29"/>
  <c r="R9747" i="29"/>
  <c r="R9746" i="29"/>
  <c r="R9745" i="29"/>
  <c r="R9744" i="29"/>
  <c r="R9738" i="29"/>
  <c r="R9741" i="29"/>
  <c r="R9740" i="29"/>
  <c r="R9739" i="29"/>
  <c r="R9734" i="29"/>
  <c r="R9733" i="29"/>
  <c r="R9732" i="29"/>
  <c r="R9731" i="29"/>
  <c r="R9729" i="29"/>
  <c r="R9736" i="29"/>
  <c r="R9737" i="29"/>
  <c r="R9735" i="29"/>
  <c r="R9726" i="29"/>
  <c r="R9728" i="29"/>
  <c r="R9727" i="29"/>
  <c r="R9725" i="29"/>
  <c r="R9724" i="29"/>
  <c r="R9723" i="29"/>
  <c r="R9722" i="29"/>
  <c r="R9721" i="29"/>
  <c r="R9720" i="29"/>
  <c r="R9719" i="29"/>
  <c r="R9718" i="29"/>
  <c r="R9717" i="29"/>
  <c r="R9716" i="29"/>
  <c r="R9715" i="29"/>
  <c r="R9709" i="29"/>
  <c r="R9708" i="29"/>
  <c r="R9714" i="29"/>
  <c r="R9713" i="29"/>
  <c r="R9712" i="29"/>
  <c r="R9711" i="29"/>
  <c r="R9710" i="29"/>
  <c r="R9706" i="29"/>
  <c r="R9705" i="29"/>
  <c r="R9704" i="29"/>
  <c r="R9702" i="29"/>
  <c r="R9703" i="29"/>
  <c r="R9701" i="29"/>
  <c r="R9700" i="29"/>
  <c r="R9699" i="29"/>
  <c r="R9698" i="29"/>
  <c r="R9697" i="29"/>
  <c r="R9696" i="29"/>
  <c r="R9695" i="29"/>
  <c r="R9694" i="29"/>
  <c r="R9690" i="29"/>
  <c r="R9689" i="29"/>
  <c r="R9688" i="29"/>
  <c r="R9687" i="29"/>
  <c r="R9686" i="29"/>
  <c r="R9685" i="29"/>
  <c r="R9691" i="29"/>
  <c r="R9693" i="29"/>
  <c r="R9692" i="29"/>
  <c r="R9684" i="29"/>
  <c r="R9683" i="29"/>
  <c r="R9682" i="29"/>
  <c r="R9681" i="29"/>
  <c r="R9680" i="29"/>
  <c r="R9679" i="29"/>
  <c r="R9678" i="29"/>
  <c r="R9677" i="29"/>
  <c r="R9676" i="29"/>
  <c r="R9675" i="29"/>
  <c r="R9674" i="29"/>
  <c r="R9673" i="29"/>
  <c r="R9672" i="29"/>
  <c r="R9671" i="29"/>
  <c r="R9669" i="29"/>
  <c r="R9668" i="29"/>
  <c r="R9670" i="29"/>
  <c r="R9667" i="29"/>
  <c r="R9666" i="29"/>
  <c r="R9665" i="29"/>
  <c r="R9664" i="29"/>
  <c r="R9663" i="29"/>
  <c r="R9662" i="29"/>
  <c r="R9661" i="29"/>
  <c r="R9660" i="29"/>
  <c r="R9659" i="29"/>
  <c r="R9658" i="29"/>
  <c r="R9657" i="29"/>
  <c r="R9656" i="29"/>
  <c r="R9655" i="29"/>
  <c r="R9654" i="29"/>
  <c r="R9653" i="29"/>
  <c r="R9652" i="29"/>
  <c r="R9651" i="29"/>
  <c r="R9650" i="29"/>
  <c r="R9649" i="29"/>
  <c r="R9646" i="29"/>
  <c r="R9645" i="29"/>
  <c r="R9648" i="29"/>
  <c r="R9647" i="29"/>
  <c r="R9640" i="29"/>
  <c r="R9644" i="29"/>
  <c r="R9643" i="29"/>
  <c r="R9642" i="29"/>
  <c r="R9641" i="29"/>
  <c r="R9639" i="29"/>
  <c r="R9638" i="29"/>
  <c r="R9637" i="29"/>
  <c r="R9636" i="29"/>
  <c r="R9635" i="29"/>
  <c r="R9634" i="29"/>
  <c r="R9633" i="29"/>
  <c r="R9632" i="29"/>
  <c r="R9707" i="29"/>
  <c r="R9630" i="29"/>
  <c r="R9626" i="29"/>
  <c r="R9625" i="29"/>
  <c r="R9624" i="29"/>
  <c r="R9621" i="29"/>
  <c r="R9629" i="29"/>
  <c r="R9628" i="29"/>
  <c r="R9627" i="29"/>
  <c r="R9619" i="29"/>
  <c r="R9623" i="29"/>
  <c r="R9622" i="29"/>
  <c r="R9618" i="29"/>
  <c r="R9620" i="29"/>
  <c r="R9617" i="29"/>
  <c r="R9616" i="29"/>
  <c r="R9615" i="29"/>
  <c r="R9614" i="29"/>
  <c r="R9613" i="29"/>
  <c r="R9612" i="29"/>
  <c r="R9611" i="29"/>
  <c r="R9607" i="29"/>
  <c r="R9610" i="29"/>
  <c r="R9609" i="29"/>
  <c r="R9608" i="29"/>
  <c r="R9606" i="29"/>
  <c r="R9604" i="29"/>
  <c r="R9603" i="29"/>
  <c r="R9602" i="29"/>
  <c r="R9601" i="29"/>
  <c r="R9605" i="29"/>
  <c r="R9600" i="29"/>
  <c r="R9599" i="29"/>
  <c r="R9598" i="29"/>
  <c r="R9597" i="29"/>
  <c r="R9596" i="29"/>
  <c r="R9595" i="29"/>
  <c r="R9594" i="29"/>
  <c r="R9593" i="29"/>
  <c r="R9592" i="29"/>
  <c r="R9591" i="29"/>
  <c r="R9590" i="29"/>
  <c r="R9589" i="29"/>
  <c r="R9588" i="29"/>
  <c r="R9585" i="29"/>
  <c r="R9584" i="29"/>
  <c r="R9583" i="29"/>
  <c r="R9582" i="29"/>
  <c r="R9587" i="29"/>
  <c r="R9581" i="29"/>
  <c r="R9580" i="29"/>
  <c r="R9579" i="29"/>
  <c r="R9576" i="29"/>
  <c r="R9575" i="29"/>
  <c r="R9574" i="29"/>
  <c r="R9586" i="29"/>
  <c r="R9578" i="29"/>
  <c r="R9577" i="29"/>
  <c r="R9570" i="29"/>
  <c r="R9573" i="29"/>
  <c r="R9572" i="29"/>
  <c r="R9571" i="29"/>
  <c r="R9569" i="29"/>
  <c r="R9568" i="29"/>
  <c r="R9567" i="29"/>
  <c r="R9566" i="29"/>
  <c r="R9564" i="29"/>
  <c r="R9563" i="29"/>
  <c r="R9562" i="29"/>
  <c r="R9565" i="29"/>
  <c r="R9560" i="29"/>
  <c r="R9559" i="29"/>
  <c r="R9556" i="29"/>
  <c r="R9555" i="29"/>
  <c r="R9553" i="29"/>
  <c r="R9550" i="29"/>
  <c r="R9549" i="29"/>
  <c r="R9548" i="29"/>
  <c r="R9561" i="29"/>
  <c r="R9558" i="29"/>
  <c r="R9557" i="29"/>
  <c r="R9554" i="29"/>
  <c r="R9552" i="29"/>
  <c r="R9551" i="29"/>
  <c r="R9547" i="29"/>
  <c r="R9546" i="29"/>
  <c r="R9545" i="29"/>
  <c r="R9544" i="29"/>
  <c r="R9543" i="29"/>
  <c r="R9542" i="29"/>
  <c r="R9535" i="29"/>
  <c r="R9534" i="29"/>
  <c r="R9533" i="29"/>
  <c r="R9532" i="29"/>
  <c r="R9531" i="29"/>
  <c r="R9529" i="29"/>
  <c r="R9528" i="29"/>
  <c r="R9527" i="29"/>
  <c r="R9526" i="29"/>
  <c r="R9541" i="29"/>
  <c r="R9522" i="29"/>
  <c r="R9521" i="29"/>
  <c r="R9520" i="29"/>
  <c r="R9515" i="29"/>
  <c r="R9514" i="29"/>
  <c r="R9513" i="29"/>
  <c r="R9540" i="29"/>
  <c r="R9539" i="29"/>
  <c r="R9538" i="29"/>
  <c r="R9537" i="29"/>
  <c r="R9536" i="29"/>
  <c r="R9530" i="29"/>
  <c r="R9512" i="29"/>
  <c r="R9525" i="29"/>
  <c r="R9524" i="29"/>
  <c r="R9523" i="29"/>
  <c r="R9519" i="29"/>
  <c r="R9518" i="29"/>
  <c r="R9517" i="29"/>
  <c r="R9516" i="29"/>
  <c r="R9511" i="29"/>
  <c r="R9510" i="29"/>
  <c r="R9509" i="29"/>
  <c r="R9500" i="29"/>
  <c r="R9508" i="29"/>
  <c r="R9507" i="29"/>
  <c r="R9506" i="29"/>
  <c r="R9503" i="29"/>
  <c r="R9502" i="29"/>
  <c r="R9505" i="29"/>
  <c r="R9504" i="29"/>
  <c r="R9501" i="29"/>
  <c r="R9499" i="29"/>
  <c r="R9498" i="29"/>
  <c r="R9497" i="29"/>
  <c r="R9496" i="29"/>
  <c r="R9495" i="29"/>
  <c r="R9494" i="29"/>
  <c r="R9493" i="29"/>
  <c r="R9492" i="29"/>
  <c r="R9491" i="29"/>
  <c r="R9490" i="29"/>
  <c r="R9488" i="29"/>
  <c r="R9487" i="29"/>
  <c r="R9486" i="29"/>
  <c r="R9489" i="29"/>
  <c r="R9485" i="29"/>
  <c r="R9484" i="29"/>
  <c r="R9481" i="29"/>
  <c r="R9480" i="29"/>
  <c r="R9479" i="29"/>
  <c r="R9478" i="29"/>
  <c r="R9477" i="29"/>
  <c r="R9473" i="29"/>
  <c r="R9482" i="29"/>
  <c r="R9483" i="29"/>
  <c r="R9476" i="29"/>
  <c r="R9475" i="29"/>
  <c r="R9474" i="29"/>
  <c r="R9472" i="29"/>
  <c r="R9471" i="29"/>
  <c r="R9470" i="29"/>
  <c r="R9468" i="29"/>
  <c r="R9469" i="29"/>
  <c r="R9467" i="29"/>
  <c r="R9466" i="29"/>
  <c r="R9465" i="29"/>
  <c r="R9464" i="29"/>
  <c r="R9463" i="29"/>
  <c r="R9462" i="29"/>
  <c r="R9461" i="29"/>
  <c r="R9459" i="29"/>
  <c r="R9458" i="29"/>
  <c r="R9456" i="29"/>
  <c r="R9455" i="29"/>
  <c r="R9447" i="29"/>
  <c r="R9450" i="29"/>
  <c r="R9449" i="29"/>
  <c r="R9460" i="29"/>
  <c r="R9457" i="29"/>
  <c r="R9454" i="29"/>
  <c r="R9453" i="29"/>
  <c r="R9452" i="29"/>
  <c r="R9451" i="29"/>
  <c r="R9448" i="29"/>
  <c r="R9445" i="29"/>
  <c r="R9444" i="29"/>
  <c r="R9446" i="29"/>
  <c r="R9437" i="29"/>
  <c r="R9434" i="29"/>
  <c r="R9433" i="29"/>
  <c r="R9432" i="29"/>
  <c r="R9443" i="29"/>
  <c r="R9442" i="29"/>
  <c r="R9441" i="29"/>
  <c r="R9440" i="29"/>
  <c r="R9439" i="29"/>
  <c r="R9438" i="29"/>
  <c r="R9436" i="29"/>
  <c r="R9435" i="29"/>
  <c r="R9431" i="29"/>
  <c r="R9430" i="29"/>
  <c r="R9429" i="29"/>
  <c r="R9425" i="29"/>
  <c r="R9424" i="29"/>
  <c r="R9428" i="29"/>
  <c r="R9427" i="29"/>
  <c r="R9426" i="29"/>
  <c r="R9423" i="29"/>
  <c r="R9422" i="29"/>
  <c r="R9420" i="29"/>
  <c r="R9416" i="29"/>
  <c r="R9415" i="29"/>
  <c r="R9411" i="29"/>
  <c r="R9410" i="29"/>
  <c r="R9407" i="29"/>
  <c r="R9421" i="29"/>
  <c r="R9419" i="29"/>
  <c r="R9418" i="29"/>
  <c r="R9417" i="29"/>
  <c r="R9414" i="29"/>
  <c r="R9413" i="29"/>
  <c r="R9412" i="29"/>
  <c r="R9409" i="29"/>
  <c r="R9408" i="29"/>
  <c r="R9406" i="29"/>
  <c r="R9405" i="29"/>
  <c r="R9404" i="29"/>
  <c r="R9403" i="29"/>
  <c r="R9402" i="29"/>
  <c r="R9401" i="29"/>
  <c r="R9400" i="29"/>
  <c r="R9399" i="29"/>
  <c r="R9398" i="29"/>
  <c r="R9397" i="29"/>
  <c r="R9396" i="29"/>
  <c r="R9395" i="29"/>
  <c r="R9394" i="29"/>
  <c r="R9393" i="29"/>
  <c r="R9392" i="29"/>
  <c r="R9391" i="29"/>
  <c r="R9390" i="29"/>
  <c r="R9389" i="29"/>
  <c r="R9388" i="29"/>
  <c r="R9387" i="29"/>
  <c r="R9386" i="29"/>
  <c r="R9381" i="29"/>
  <c r="R9382" i="29"/>
  <c r="R9385" i="29"/>
  <c r="R9384" i="29"/>
  <c r="R9383" i="29"/>
  <c r="R9378" i="29"/>
  <c r="R9380" i="29"/>
  <c r="R9379" i="29"/>
  <c r="R9377" i="29"/>
  <c r="R9376" i="29"/>
  <c r="R9373" i="29"/>
  <c r="R9371" i="29"/>
  <c r="R9369" i="29"/>
  <c r="R9304" i="29"/>
  <c r="R9368" i="29"/>
  <c r="R9367" i="29"/>
  <c r="R9375" i="29"/>
  <c r="R9374" i="29"/>
  <c r="R9372" i="29"/>
  <c r="R9370" i="29"/>
  <c r="R9366" i="29"/>
  <c r="R9365" i="29"/>
  <c r="R9364" i="29"/>
  <c r="R9363" i="29"/>
  <c r="R9362" i="29"/>
  <c r="R9361" i="29"/>
  <c r="R9360" i="29"/>
  <c r="R9359" i="29"/>
  <c r="R9351" i="29"/>
  <c r="R9350" i="29"/>
  <c r="R9348" i="29"/>
  <c r="R9347" i="29"/>
  <c r="R9345" i="29"/>
  <c r="R9358" i="29"/>
  <c r="R9349" i="29"/>
  <c r="R9312" i="29"/>
  <c r="R9325" i="29"/>
  <c r="R9357" i="29"/>
  <c r="R9356" i="29"/>
  <c r="R9355" i="29"/>
  <c r="R9354" i="29"/>
  <c r="R9353" i="29"/>
  <c r="R9352" i="29"/>
  <c r="R9346" i="29"/>
  <c r="R9344" i="29"/>
  <c r="R9343" i="29"/>
  <c r="R9339" i="29"/>
  <c r="R9338" i="29"/>
  <c r="R9337" i="29"/>
  <c r="R9336" i="29"/>
  <c r="R9335" i="29"/>
  <c r="R9342" i="29"/>
  <c r="R9341" i="29"/>
  <c r="R9340" i="29"/>
  <c r="R9333" i="29"/>
  <c r="R9332" i="29"/>
  <c r="R9331" i="29"/>
  <c r="R9330" i="29"/>
  <c r="R9329" i="29"/>
  <c r="R9334" i="29"/>
  <c r="R9328" i="29"/>
  <c r="R9327" i="29"/>
  <c r="R9326" i="29"/>
  <c r="R9310" i="29"/>
  <c r="R9309" i="29"/>
  <c r="R9308" i="29"/>
  <c r="R9307" i="29"/>
  <c r="R9306" i="29"/>
  <c r="R9302" i="29"/>
  <c r="R9301" i="29"/>
  <c r="R9300" i="29"/>
  <c r="R9299" i="29"/>
  <c r="R9324" i="29"/>
  <c r="R9323" i="29"/>
  <c r="R9322" i="29"/>
  <c r="R9317" i="29"/>
  <c r="R9316" i="29"/>
  <c r="R9315" i="29"/>
  <c r="R9311" i="29"/>
  <c r="R9305" i="29"/>
  <c r="R9321" i="29"/>
  <c r="R9320" i="29"/>
  <c r="R9319" i="29"/>
  <c r="R9318" i="29"/>
  <c r="R9314" i="29"/>
  <c r="R9313" i="29"/>
  <c r="R9303" i="29"/>
  <c r="R9298" i="29"/>
  <c r="R9297" i="29"/>
  <c r="R9296" i="29"/>
  <c r="R9295" i="29"/>
  <c r="R9293" i="29"/>
  <c r="R9294" i="29"/>
  <c r="R9283" i="29"/>
  <c r="R9292" i="29"/>
  <c r="R9291" i="29"/>
  <c r="R9290" i="29"/>
  <c r="R9289" i="29"/>
  <c r="R9288" i="29"/>
  <c r="R9287" i="29"/>
  <c r="R9286" i="29"/>
  <c r="R9285" i="29"/>
  <c r="R9284" i="29"/>
  <c r="R6788" i="29"/>
  <c r="R7429" i="29"/>
  <c r="R7430" i="29"/>
  <c r="R7431" i="29"/>
  <c r="R7432" i="29"/>
  <c r="R7433" i="29"/>
  <c r="R7434" i="29"/>
  <c r="R7435" i="29"/>
  <c r="R7436" i="29"/>
  <c r="R7437" i="29"/>
  <c r="R7438" i="29"/>
  <c r="R7439" i="29"/>
  <c r="R7440" i="29"/>
  <c r="R7441" i="29"/>
  <c r="R7442" i="29"/>
  <c r="R7443" i="29"/>
  <c r="R7444" i="29"/>
  <c r="R7445" i="29"/>
  <c r="R7446" i="29"/>
  <c r="R7447" i="29"/>
  <c r="R7448" i="29"/>
  <c r="R7449" i="29"/>
  <c r="R7450" i="29"/>
  <c r="R7451" i="29"/>
  <c r="R7452" i="29"/>
  <c r="R7453" i="29"/>
  <c r="R7454" i="29"/>
  <c r="R7455" i="29"/>
  <c r="R7456" i="29"/>
  <c r="R7457" i="29"/>
  <c r="R7458" i="29"/>
  <c r="R7459" i="29"/>
  <c r="R7460" i="29"/>
  <c r="R7461" i="29"/>
  <c r="R7462" i="29"/>
  <c r="R7463" i="29"/>
  <c r="R7464" i="29"/>
  <c r="R7465" i="29"/>
  <c r="R7466" i="29"/>
  <c r="R7467" i="29"/>
  <c r="R7468" i="29"/>
  <c r="R7469" i="29"/>
  <c r="R7470" i="29"/>
  <c r="R7471" i="29"/>
  <c r="R7472" i="29"/>
  <c r="R7473" i="29"/>
  <c r="R7474" i="29"/>
  <c r="R7475" i="29"/>
  <c r="R7476" i="29"/>
  <c r="R7477" i="29"/>
  <c r="R7478" i="29"/>
  <c r="R7479" i="29"/>
  <c r="R7480" i="29"/>
  <c r="R7481" i="29"/>
  <c r="R7482" i="29"/>
  <c r="R7483" i="29"/>
  <c r="R7484" i="29"/>
  <c r="R7485" i="29"/>
  <c r="R7486" i="29"/>
  <c r="R7487" i="29"/>
  <c r="R7488" i="29"/>
  <c r="R7489" i="29"/>
  <c r="R7490" i="29"/>
  <c r="R7491" i="29"/>
  <c r="R7492" i="29"/>
  <c r="R7493" i="29"/>
  <c r="R7494" i="29"/>
  <c r="R7495" i="29"/>
  <c r="R7496" i="29"/>
  <c r="R7497" i="29"/>
  <c r="R7498" i="29"/>
  <c r="R7499" i="29"/>
  <c r="R7500" i="29"/>
  <c r="R7501" i="29"/>
  <c r="R7502" i="29"/>
  <c r="R7503" i="29"/>
  <c r="R7504" i="29"/>
  <c r="R7505" i="29"/>
  <c r="R7506" i="29"/>
  <c r="R7507" i="29"/>
  <c r="R7508" i="29"/>
  <c r="R7509" i="29"/>
  <c r="R7510" i="29"/>
  <c r="R7511" i="29"/>
  <c r="R7512" i="29"/>
  <c r="R7513" i="29"/>
  <c r="R7514" i="29"/>
  <c r="R7515" i="29"/>
  <c r="R7516" i="29"/>
  <c r="R7517" i="29"/>
  <c r="R7518" i="29"/>
  <c r="R7519" i="29"/>
  <c r="R7520" i="29"/>
  <c r="R7521" i="29"/>
  <c r="R7522" i="29"/>
  <c r="R7523" i="29"/>
  <c r="R7524" i="29"/>
  <c r="R7525" i="29"/>
  <c r="R7526" i="29"/>
  <c r="R7527" i="29"/>
  <c r="R7528" i="29"/>
  <c r="R7529" i="29"/>
  <c r="R7530" i="29"/>
  <c r="R7531" i="29"/>
  <c r="R7532" i="29"/>
  <c r="R7533" i="29"/>
  <c r="R7534" i="29"/>
  <c r="R7535" i="29"/>
  <c r="R7536" i="29"/>
  <c r="R7537" i="29"/>
  <c r="R7538" i="29"/>
  <c r="R7539" i="29"/>
  <c r="R7540" i="29"/>
  <c r="R7541" i="29"/>
  <c r="R7542" i="29"/>
  <c r="R7543" i="29"/>
  <c r="R7544" i="29"/>
  <c r="R7545" i="29"/>
  <c r="R7546" i="29"/>
  <c r="R7547" i="29"/>
  <c r="R7548" i="29"/>
  <c r="R7549" i="29"/>
  <c r="R7550" i="29"/>
  <c r="R7551" i="29"/>
  <c r="R7552" i="29"/>
  <c r="R7553" i="29"/>
  <c r="R7554" i="29"/>
  <c r="R7555" i="29"/>
  <c r="R7556" i="29"/>
  <c r="R7557" i="29"/>
  <c r="R7558" i="29"/>
  <c r="R7559" i="29"/>
  <c r="R7560" i="29"/>
  <c r="R7561" i="29"/>
  <c r="R7562" i="29"/>
  <c r="R7563" i="29"/>
  <c r="R7564" i="29"/>
  <c r="R7565" i="29"/>
  <c r="R7566" i="29"/>
  <c r="R7567" i="29"/>
  <c r="R7568" i="29"/>
  <c r="R7569" i="29"/>
  <c r="R7570" i="29"/>
  <c r="R7571" i="29"/>
  <c r="R7572" i="29"/>
  <c r="R7573" i="29"/>
  <c r="R7574" i="29"/>
  <c r="R7575" i="29"/>
  <c r="R7576" i="29"/>
  <c r="R7577" i="29"/>
  <c r="R7578" i="29"/>
  <c r="R7579" i="29"/>
  <c r="R7580" i="29"/>
  <c r="R7581" i="29"/>
  <c r="R7582" i="29"/>
  <c r="R7583" i="29"/>
  <c r="R7584" i="29"/>
  <c r="R7585" i="29"/>
  <c r="R7586" i="29"/>
  <c r="R7587" i="29"/>
  <c r="R7588" i="29"/>
  <c r="R7589" i="29"/>
  <c r="R7590" i="29"/>
  <c r="R7591" i="29"/>
  <c r="R7592" i="29"/>
  <c r="R7593" i="29"/>
  <c r="R7594" i="29"/>
  <c r="R7595" i="29"/>
  <c r="R7596" i="29"/>
  <c r="R7597" i="29"/>
  <c r="R7598" i="29"/>
  <c r="R7599" i="29"/>
  <c r="R7600" i="29"/>
  <c r="R7601" i="29"/>
  <c r="R7602" i="29"/>
  <c r="R7603" i="29"/>
  <c r="R7604" i="29"/>
  <c r="R7605" i="29"/>
  <c r="R7606" i="29"/>
  <c r="R7607" i="29"/>
  <c r="R7608" i="29"/>
  <c r="R7609" i="29"/>
  <c r="R7610" i="29"/>
  <c r="R7611" i="29"/>
  <c r="R7612" i="29"/>
  <c r="R7613" i="29"/>
  <c r="R7614" i="29"/>
  <c r="R7615" i="29"/>
  <c r="R7616" i="29"/>
  <c r="R7617" i="29"/>
  <c r="R7618" i="29"/>
  <c r="R7619" i="29"/>
  <c r="R7620" i="29"/>
  <c r="R7621" i="29"/>
  <c r="R7622" i="29"/>
  <c r="R7623" i="29"/>
  <c r="R7624" i="29"/>
  <c r="R7625" i="29"/>
  <c r="R7626" i="29"/>
  <c r="R7627" i="29"/>
  <c r="R7628" i="29"/>
  <c r="R7629" i="29"/>
  <c r="R7630" i="29"/>
  <c r="R7631" i="29"/>
  <c r="R7632" i="29"/>
  <c r="R7633" i="29"/>
  <c r="R7634" i="29"/>
  <c r="R7635" i="29"/>
  <c r="R7636" i="29"/>
  <c r="R7637" i="29"/>
  <c r="R7638" i="29"/>
  <c r="R7639" i="29"/>
  <c r="R7640" i="29"/>
  <c r="R7641" i="29"/>
  <c r="R7642" i="29"/>
  <c r="R7643" i="29"/>
  <c r="R7644" i="29"/>
  <c r="R7645" i="29"/>
  <c r="R7646" i="29"/>
  <c r="R7647" i="29"/>
  <c r="R7648" i="29"/>
  <c r="R7649" i="29"/>
  <c r="R7650" i="29"/>
  <c r="R7651" i="29"/>
  <c r="R7652" i="29"/>
  <c r="R7653" i="29"/>
  <c r="R7654" i="29"/>
  <c r="R7655" i="29"/>
  <c r="R7656" i="29"/>
  <c r="R7657" i="29"/>
  <c r="R7658" i="29"/>
  <c r="R7659" i="29"/>
  <c r="R7660" i="29"/>
  <c r="R7661" i="29"/>
  <c r="R7662" i="29"/>
  <c r="R7663" i="29"/>
  <c r="R7664" i="29"/>
  <c r="R7665" i="29"/>
  <c r="R7666" i="29"/>
  <c r="R7667" i="29"/>
  <c r="R7668" i="29"/>
  <c r="R7669" i="29"/>
  <c r="R7670" i="29"/>
  <c r="R7671" i="29"/>
  <c r="R7672" i="29"/>
  <c r="R7673" i="29"/>
  <c r="R7674" i="29"/>
  <c r="R7675" i="29"/>
  <c r="R7676" i="29"/>
  <c r="R7677" i="29"/>
  <c r="R7678" i="29"/>
  <c r="R7679" i="29"/>
  <c r="R7680" i="29"/>
  <c r="R7681" i="29"/>
  <c r="R7682" i="29"/>
  <c r="R7683" i="29"/>
  <c r="R7684" i="29"/>
  <c r="R7685" i="29"/>
  <c r="R7686" i="29"/>
  <c r="R7687" i="29"/>
  <c r="R7688" i="29"/>
  <c r="R7689" i="29"/>
  <c r="R7690" i="29"/>
  <c r="R7691" i="29"/>
  <c r="R7692" i="29"/>
  <c r="R7693" i="29"/>
  <c r="R7694" i="29"/>
  <c r="R7695" i="29"/>
  <c r="R7696" i="29"/>
  <c r="R7697" i="29"/>
  <c r="R7698" i="29"/>
  <c r="R7699" i="29"/>
  <c r="R7700" i="29"/>
  <c r="R7701" i="29"/>
  <c r="R7702" i="29"/>
  <c r="R7703" i="29"/>
  <c r="R7704" i="29"/>
  <c r="R7705" i="29"/>
  <c r="R7706" i="29"/>
  <c r="R7707" i="29"/>
  <c r="R7708" i="29"/>
  <c r="R7709" i="29"/>
  <c r="R7710" i="29"/>
  <c r="R7711" i="29"/>
  <c r="R7712" i="29"/>
  <c r="R7713" i="29"/>
  <c r="R7714" i="29"/>
  <c r="R7715" i="29"/>
  <c r="R7716" i="29"/>
  <c r="R7717" i="29"/>
  <c r="R7718" i="29"/>
  <c r="R7719" i="29"/>
  <c r="R7720" i="29"/>
  <c r="R7721" i="29"/>
  <c r="R7722" i="29"/>
  <c r="R7723" i="29"/>
  <c r="R7724" i="29"/>
  <c r="R7725" i="29"/>
  <c r="R7726" i="29"/>
  <c r="R7727" i="29"/>
  <c r="R7728" i="29"/>
  <c r="R7729" i="29"/>
  <c r="R7730" i="29"/>
  <c r="R7731" i="29"/>
  <c r="R7732" i="29"/>
  <c r="R7733" i="29"/>
  <c r="R7734" i="29"/>
  <c r="R7735" i="29"/>
  <c r="R7736" i="29"/>
  <c r="R7737" i="29"/>
  <c r="R7738" i="29"/>
  <c r="R7739" i="29"/>
  <c r="R7740" i="29"/>
  <c r="R7741" i="29"/>
  <c r="R7742" i="29"/>
  <c r="R7743" i="29"/>
  <c r="R7744" i="29"/>
  <c r="R7745" i="29"/>
  <c r="R7746" i="29"/>
  <c r="R7747" i="29"/>
  <c r="R7748" i="29"/>
  <c r="R7749" i="29"/>
  <c r="R7750" i="29"/>
  <c r="R7751" i="29"/>
  <c r="R7752" i="29"/>
  <c r="R7753" i="29"/>
  <c r="R7754" i="29"/>
  <c r="R7755" i="29"/>
  <c r="R7756" i="29"/>
  <c r="R7757" i="29"/>
  <c r="R7758" i="29"/>
  <c r="R7759" i="29"/>
  <c r="R7760" i="29"/>
  <c r="R7761" i="29"/>
  <c r="R7762" i="29"/>
  <c r="R7763" i="29"/>
  <c r="R7764" i="29"/>
  <c r="R7765" i="29"/>
  <c r="R7766" i="29"/>
  <c r="R7767" i="29"/>
  <c r="R7768" i="29"/>
  <c r="R7769" i="29"/>
  <c r="R7770" i="29"/>
  <c r="R7771" i="29"/>
  <c r="R7772" i="29"/>
  <c r="R7773" i="29"/>
  <c r="R7774" i="29"/>
  <c r="R7775" i="29"/>
  <c r="R7776" i="29"/>
  <c r="R7777" i="29"/>
  <c r="R7778" i="29"/>
  <c r="R7779" i="29"/>
  <c r="R7780" i="29"/>
  <c r="R7781" i="29"/>
  <c r="R7782" i="29"/>
  <c r="R7783" i="29"/>
  <c r="R7784" i="29"/>
  <c r="R7785" i="29"/>
  <c r="R7786" i="29"/>
  <c r="R7787" i="29"/>
  <c r="R7788" i="29"/>
  <c r="R7789" i="29"/>
  <c r="R7790" i="29"/>
  <c r="R7791" i="29"/>
  <c r="R7792" i="29"/>
  <c r="R7793" i="29"/>
  <c r="R7794" i="29"/>
  <c r="R7795" i="29"/>
  <c r="R7796" i="29"/>
  <c r="R7797" i="29"/>
  <c r="R7798" i="29"/>
  <c r="R7799" i="29"/>
  <c r="R7800" i="29"/>
  <c r="R7801" i="29"/>
  <c r="R7802" i="29"/>
  <c r="R7803" i="29"/>
  <c r="R7804" i="29"/>
  <c r="R7805" i="29"/>
  <c r="R7806" i="29"/>
  <c r="R7807" i="29"/>
  <c r="R7808" i="29"/>
  <c r="R7809" i="29"/>
  <c r="R7810" i="29"/>
  <c r="R7811" i="29"/>
  <c r="R7812" i="29"/>
  <c r="R7813" i="29"/>
  <c r="R7814" i="29"/>
  <c r="R7815" i="29"/>
  <c r="R7816" i="29"/>
  <c r="R7817" i="29"/>
  <c r="R7818" i="29"/>
  <c r="R7819" i="29"/>
  <c r="R7820" i="29"/>
  <c r="R7821" i="29"/>
  <c r="R7822" i="29"/>
  <c r="R7823" i="29"/>
  <c r="R7824" i="29"/>
  <c r="R7825" i="29"/>
  <c r="R7826" i="29"/>
  <c r="R7827" i="29"/>
  <c r="R7828" i="29"/>
  <c r="R7829" i="29"/>
  <c r="R7830" i="29"/>
  <c r="R7831" i="29"/>
  <c r="R7832" i="29"/>
  <c r="R7833" i="29"/>
  <c r="R7834" i="29"/>
  <c r="R7835" i="29"/>
  <c r="R7836" i="29"/>
  <c r="R7837" i="29"/>
  <c r="R7838" i="29"/>
  <c r="R7839" i="29"/>
  <c r="R7840" i="29"/>
  <c r="R7841" i="29"/>
  <c r="R7842" i="29"/>
  <c r="R7843" i="29"/>
  <c r="R7844" i="29"/>
  <c r="R7845" i="29"/>
  <c r="R7846" i="29"/>
  <c r="R7847" i="29"/>
  <c r="R7848" i="29"/>
  <c r="R7849" i="29"/>
  <c r="R7850" i="29"/>
  <c r="R7851" i="29"/>
  <c r="R7852" i="29"/>
  <c r="R7853" i="29"/>
  <c r="R7854" i="29"/>
  <c r="R7855" i="29"/>
  <c r="R7856" i="29"/>
  <c r="R7857" i="29"/>
  <c r="R7858" i="29"/>
  <c r="R7859" i="29"/>
  <c r="R7860" i="29"/>
  <c r="R7861" i="29"/>
  <c r="R7862" i="29"/>
  <c r="R7863" i="29"/>
  <c r="R7864" i="29"/>
  <c r="R7865" i="29"/>
  <c r="R7866" i="29"/>
  <c r="R7867" i="29"/>
  <c r="R7868" i="29"/>
  <c r="R7869" i="29"/>
  <c r="R7870" i="29"/>
  <c r="R7871" i="29"/>
  <c r="R7872" i="29"/>
  <c r="R7873" i="29"/>
  <c r="R7874" i="29"/>
  <c r="R7875" i="29"/>
  <c r="R7876" i="29"/>
  <c r="R7877" i="29"/>
  <c r="R7878" i="29"/>
  <c r="R7879" i="29"/>
  <c r="R7880" i="29"/>
  <c r="R7881" i="29"/>
  <c r="R7882" i="29"/>
  <c r="R7883" i="29"/>
  <c r="R7884" i="29"/>
  <c r="R7885" i="29"/>
  <c r="R7886" i="29"/>
  <c r="R7887" i="29"/>
  <c r="R7888" i="29"/>
  <c r="R7889" i="29"/>
  <c r="R7890" i="29"/>
  <c r="R7891" i="29"/>
  <c r="R7892" i="29"/>
  <c r="R7893" i="29"/>
  <c r="R7894" i="29"/>
  <c r="R7895" i="29"/>
  <c r="R7896" i="29"/>
  <c r="R7897" i="29"/>
  <c r="R7898" i="29"/>
  <c r="R7899" i="29"/>
  <c r="R7900" i="29"/>
  <c r="R7901" i="29"/>
  <c r="R7902" i="29"/>
  <c r="R7903" i="29"/>
  <c r="R7904" i="29"/>
  <c r="R7905" i="29"/>
  <c r="R7906" i="29"/>
  <c r="R7907" i="29"/>
  <c r="R7908" i="29"/>
  <c r="R7909" i="29"/>
  <c r="R7910" i="29"/>
  <c r="R7911" i="29"/>
  <c r="R7912" i="29"/>
  <c r="R7913" i="29"/>
  <c r="R7914" i="29"/>
  <c r="R7915" i="29"/>
  <c r="R7916" i="29"/>
  <c r="R7917" i="29"/>
  <c r="R7918" i="29"/>
  <c r="R7919" i="29"/>
  <c r="R7920" i="29"/>
  <c r="R7921" i="29"/>
  <c r="R7922" i="29"/>
  <c r="R7923" i="29"/>
  <c r="R7924" i="29"/>
  <c r="R7925" i="29"/>
  <c r="R7926" i="29"/>
  <c r="R7927" i="29"/>
  <c r="R7928" i="29"/>
  <c r="R7929" i="29"/>
  <c r="R7930" i="29"/>
  <c r="R7931" i="29"/>
  <c r="R7932" i="29"/>
  <c r="R7933" i="29"/>
  <c r="R7934" i="29"/>
  <c r="R7935" i="29"/>
  <c r="R7936" i="29"/>
  <c r="R7937" i="29"/>
  <c r="R7938" i="29"/>
  <c r="R7939" i="29"/>
  <c r="R7940" i="29"/>
  <c r="R7941" i="29"/>
  <c r="R7942" i="29"/>
  <c r="R7943" i="29"/>
  <c r="R7944" i="29"/>
  <c r="R7945" i="29"/>
  <c r="R7946" i="29"/>
  <c r="R7947" i="29"/>
  <c r="R7948" i="29"/>
  <c r="R7949" i="29"/>
  <c r="R7950" i="29"/>
  <c r="R7951" i="29"/>
  <c r="R7952" i="29"/>
  <c r="R7953" i="29"/>
  <c r="R7954" i="29"/>
  <c r="R7955" i="29"/>
  <c r="R7956" i="29"/>
  <c r="R7957" i="29"/>
  <c r="R7958" i="29"/>
  <c r="R7959" i="29"/>
  <c r="R7960" i="29"/>
  <c r="R7961" i="29"/>
  <c r="R7962" i="29"/>
  <c r="R7963" i="29"/>
  <c r="R7964" i="29"/>
  <c r="R7965" i="29"/>
  <c r="R7966" i="29"/>
  <c r="R7967" i="29"/>
  <c r="R7968" i="29"/>
  <c r="R7969" i="29"/>
  <c r="R7970" i="29"/>
  <c r="R7971" i="29"/>
  <c r="R7972" i="29"/>
  <c r="R7973" i="29"/>
  <c r="R7974" i="29"/>
  <c r="R7975" i="29"/>
  <c r="R7976" i="29"/>
  <c r="R7977" i="29"/>
  <c r="R7978" i="29"/>
  <c r="R7979" i="29"/>
  <c r="R7980" i="29"/>
  <c r="R7981" i="29"/>
  <c r="R7982" i="29"/>
  <c r="R7983" i="29"/>
  <c r="R7984" i="29"/>
  <c r="R7985" i="29"/>
  <c r="R7986" i="29"/>
  <c r="R7987" i="29"/>
  <c r="R7988" i="29"/>
  <c r="R7989" i="29"/>
  <c r="R7990" i="29"/>
  <c r="R7991" i="29"/>
  <c r="R7992" i="29"/>
  <c r="R7993" i="29"/>
  <c r="R7994" i="29"/>
  <c r="R7995" i="29"/>
  <c r="R7996" i="29"/>
  <c r="R7997" i="29"/>
  <c r="R7998" i="29"/>
  <c r="R7999" i="29"/>
  <c r="R8000" i="29"/>
  <c r="R8001" i="29"/>
  <c r="R8002" i="29"/>
  <c r="R8003" i="29"/>
  <c r="R8004" i="29"/>
  <c r="R8005" i="29"/>
  <c r="R8006" i="29"/>
  <c r="R8007" i="29"/>
  <c r="R8008" i="29"/>
  <c r="R8009" i="29"/>
  <c r="R8010" i="29"/>
  <c r="R8011" i="29"/>
  <c r="R8012" i="29"/>
  <c r="R8013" i="29"/>
  <c r="R8014" i="29"/>
  <c r="R8015" i="29"/>
  <c r="R8016" i="29"/>
  <c r="R8017" i="29"/>
  <c r="R8018" i="29"/>
  <c r="R8019" i="29"/>
  <c r="R8020" i="29"/>
  <c r="R8021" i="29"/>
  <c r="R8022" i="29"/>
  <c r="R8023" i="29"/>
  <c r="R8024" i="29"/>
  <c r="R8025" i="29"/>
  <c r="R8026" i="29"/>
  <c r="R8027" i="29"/>
  <c r="R8028" i="29"/>
  <c r="R8029" i="29"/>
  <c r="R8030" i="29"/>
  <c r="R8031" i="29"/>
  <c r="R8032" i="29"/>
  <c r="R8033" i="29"/>
  <c r="R8034" i="29"/>
  <c r="R8035" i="29"/>
  <c r="R8036" i="29"/>
  <c r="R8037" i="29"/>
  <c r="R8038" i="29"/>
  <c r="R8039" i="29"/>
  <c r="R8040" i="29"/>
  <c r="R8041" i="29"/>
  <c r="R8042" i="29"/>
  <c r="R8043" i="29"/>
  <c r="R8044" i="29"/>
  <c r="R8045" i="29"/>
  <c r="R8046" i="29"/>
  <c r="R8047" i="29"/>
  <c r="R8048" i="29"/>
  <c r="R8049" i="29"/>
  <c r="R8050" i="29"/>
  <c r="R8051" i="29"/>
  <c r="R8052" i="29"/>
  <c r="R8053" i="29"/>
  <c r="R8054" i="29"/>
  <c r="R8055" i="29"/>
  <c r="R8056" i="29"/>
  <c r="R8057" i="29"/>
  <c r="R8058" i="29"/>
  <c r="R8059" i="29"/>
  <c r="R8060" i="29"/>
  <c r="R8061" i="29"/>
  <c r="R8062" i="29"/>
  <c r="R8063" i="29"/>
  <c r="R8064" i="29"/>
  <c r="R8065" i="29"/>
  <c r="R8066" i="29"/>
  <c r="R8067" i="29"/>
  <c r="R8068" i="29"/>
  <c r="R8069" i="29"/>
  <c r="R8070" i="29"/>
  <c r="R8071" i="29"/>
  <c r="R8072" i="29"/>
  <c r="R8073" i="29"/>
  <c r="R8074" i="29"/>
  <c r="R8075" i="29"/>
  <c r="R8076" i="29"/>
  <c r="R8077" i="29"/>
  <c r="R8078" i="29"/>
  <c r="R8079" i="29"/>
  <c r="R8080" i="29"/>
  <c r="R8081" i="29"/>
  <c r="R8082" i="29"/>
  <c r="R8083" i="29"/>
  <c r="R8084" i="29"/>
  <c r="R8085" i="29"/>
  <c r="R8086" i="29"/>
  <c r="R8087" i="29"/>
  <c r="R8088" i="29"/>
  <c r="R8089" i="29"/>
  <c r="R8090" i="29"/>
  <c r="R8091" i="29"/>
  <c r="R8092" i="29"/>
  <c r="R8093" i="29"/>
  <c r="R8094" i="29"/>
  <c r="R8095" i="29"/>
  <c r="R8096" i="29"/>
  <c r="R8097" i="29"/>
  <c r="R8098" i="29"/>
  <c r="R8099" i="29"/>
  <c r="R8100" i="29"/>
  <c r="R8101" i="29"/>
  <c r="R8102" i="29"/>
  <c r="R8103" i="29"/>
  <c r="R8104" i="29"/>
  <c r="R8105" i="29"/>
  <c r="R8106" i="29"/>
  <c r="R8107" i="29"/>
  <c r="R8108" i="29"/>
  <c r="R8109" i="29"/>
  <c r="R8110" i="29"/>
  <c r="R8111" i="29"/>
  <c r="R8112" i="29"/>
  <c r="R8113" i="29"/>
  <c r="R8114" i="29"/>
  <c r="R8115" i="29"/>
  <c r="R8116" i="29"/>
  <c r="R8117" i="29"/>
  <c r="R8118" i="29"/>
  <c r="R8119" i="29"/>
  <c r="R8120" i="29"/>
  <c r="R8121" i="29"/>
  <c r="R8122" i="29"/>
  <c r="R8123" i="29"/>
  <c r="R8124" i="29"/>
  <c r="R8125" i="29"/>
  <c r="R8126" i="29"/>
  <c r="R8127" i="29"/>
  <c r="R8128" i="29"/>
  <c r="R8129" i="29"/>
  <c r="R8130" i="29"/>
  <c r="R8131" i="29"/>
  <c r="R8132" i="29"/>
  <c r="R8133" i="29"/>
  <c r="R8134" i="29"/>
  <c r="R8135" i="29"/>
  <c r="R8136" i="29"/>
  <c r="R8137" i="29"/>
  <c r="R8138" i="29"/>
  <c r="R8139" i="29"/>
  <c r="R8140" i="29"/>
  <c r="R8141" i="29"/>
  <c r="R8142" i="29"/>
  <c r="R8143" i="29"/>
  <c r="R8144" i="29"/>
  <c r="R8145" i="29"/>
  <c r="R8146" i="29"/>
  <c r="R8147" i="29"/>
  <c r="R8148" i="29"/>
  <c r="R8149" i="29"/>
  <c r="R8150" i="29"/>
  <c r="R8151" i="29"/>
  <c r="R8152" i="29"/>
  <c r="R8153" i="29"/>
  <c r="R8154" i="29"/>
  <c r="R8155" i="29"/>
  <c r="R8156" i="29"/>
  <c r="R8157" i="29"/>
  <c r="R8158" i="29"/>
  <c r="R8159" i="29"/>
  <c r="R8160" i="29"/>
  <c r="R8161" i="29"/>
  <c r="R8162" i="29"/>
  <c r="R8163" i="29"/>
  <c r="R8164" i="29"/>
  <c r="R8165" i="29"/>
  <c r="R8166" i="29"/>
  <c r="R8167" i="29"/>
  <c r="R8168" i="29"/>
  <c r="R8169" i="29"/>
  <c r="R8170" i="29"/>
  <c r="R8171" i="29"/>
  <c r="R8172" i="29"/>
  <c r="R8173" i="29"/>
  <c r="R8174" i="29"/>
  <c r="R8175" i="29"/>
  <c r="R8176" i="29"/>
  <c r="R8177" i="29"/>
  <c r="R8178" i="29"/>
  <c r="R8179" i="29"/>
  <c r="R8180" i="29"/>
  <c r="R8181" i="29"/>
  <c r="R8182" i="29"/>
  <c r="R8183" i="29"/>
  <c r="R8184" i="29"/>
  <c r="R8185" i="29"/>
  <c r="R8186" i="29"/>
  <c r="R8187" i="29"/>
  <c r="R8188" i="29"/>
  <c r="R8189" i="29"/>
  <c r="R8190" i="29"/>
  <c r="R8191" i="29"/>
  <c r="R8192" i="29"/>
  <c r="R8193" i="29"/>
  <c r="R8194" i="29"/>
  <c r="R8195" i="29"/>
  <c r="R8196" i="29"/>
  <c r="R8197" i="29"/>
  <c r="R8198" i="29"/>
  <c r="R8199" i="29"/>
  <c r="R8200" i="29"/>
  <c r="R8201" i="29"/>
  <c r="R8202" i="29"/>
  <c r="R8203" i="29"/>
  <c r="R8204" i="29"/>
  <c r="R8205" i="29"/>
  <c r="R8206" i="29"/>
  <c r="R8207" i="29"/>
  <c r="R8208" i="29"/>
  <c r="R8209" i="29"/>
  <c r="R8210" i="29"/>
  <c r="R8211" i="29"/>
  <c r="R8212" i="29"/>
  <c r="R8213" i="29"/>
  <c r="R8214" i="29"/>
  <c r="R8215" i="29"/>
  <c r="R8216" i="29"/>
  <c r="R8217" i="29"/>
  <c r="R8218" i="29"/>
  <c r="R8219" i="29"/>
  <c r="R8220" i="29"/>
  <c r="R8221" i="29"/>
  <c r="R8222" i="29"/>
  <c r="R8223" i="29"/>
  <c r="R8224" i="29"/>
  <c r="R8225" i="29"/>
  <c r="R8226" i="29"/>
  <c r="R8227" i="29"/>
  <c r="R8228" i="29"/>
  <c r="R8229" i="29"/>
  <c r="R8230" i="29"/>
  <c r="R8231" i="29"/>
  <c r="R8232" i="29"/>
  <c r="R8233" i="29"/>
  <c r="R8234" i="29"/>
  <c r="R8235" i="29"/>
  <c r="R8236" i="29"/>
  <c r="R8237" i="29"/>
  <c r="R8238" i="29"/>
  <c r="R8239" i="29"/>
  <c r="R8240" i="29"/>
  <c r="R8241" i="29"/>
  <c r="R8242" i="29"/>
  <c r="R8243" i="29"/>
  <c r="R8244" i="29"/>
  <c r="R8245" i="29"/>
  <c r="R8246" i="29"/>
  <c r="R8247" i="29"/>
  <c r="R8248" i="29"/>
  <c r="R8249" i="29"/>
  <c r="R8250" i="29"/>
  <c r="R8251" i="29"/>
  <c r="R8252" i="29"/>
  <c r="R8253" i="29"/>
  <c r="R8254" i="29"/>
  <c r="R8255" i="29"/>
  <c r="R8256" i="29"/>
  <c r="R8257" i="29"/>
  <c r="R8258" i="29"/>
  <c r="R8259" i="29"/>
  <c r="R8260" i="29"/>
  <c r="R8261" i="29"/>
  <c r="R8262" i="29"/>
  <c r="R8263" i="29"/>
  <c r="R8264" i="29"/>
  <c r="R8265" i="29"/>
  <c r="R8266" i="29"/>
  <c r="R8267" i="29"/>
  <c r="R8268" i="29"/>
  <c r="R8269" i="29"/>
  <c r="R8270" i="29"/>
  <c r="R8271" i="29"/>
  <c r="R8272" i="29"/>
  <c r="R8273" i="29"/>
  <c r="R8274" i="29"/>
  <c r="R8275" i="29"/>
  <c r="R8276" i="29"/>
  <c r="R8277" i="29"/>
  <c r="R8278" i="29"/>
  <c r="R8279" i="29"/>
  <c r="R8280" i="29"/>
  <c r="R8281" i="29"/>
  <c r="R8282" i="29"/>
  <c r="R8283" i="29"/>
  <c r="R8284" i="29"/>
  <c r="R8285" i="29"/>
  <c r="R8286" i="29"/>
  <c r="R8287" i="29"/>
  <c r="R8288" i="29"/>
  <c r="R8289" i="29"/>
  <c r="R8290" i="29"/>
  <c r="R8291" i="29"/>
  <c r="R8292" i="29"/>
  <c r="R8293" i="29"/>
  <c r="R8294" i="29"/>
  <c r="R8295" i="29"/>
  <c r="R8296" i="29"/>
  <c r="R8297" i="29"/>
  <c r="R8298" i="29"/>
  <c r="R8299" i="29"/>
  <c r="R8300" i="29"/>
  <c r="R8301" i="29"/>
  <c r="R8302" i="29"/>
  <c r="R8303" i="29"/>
  <c r="R8304" i="29"/>
  <c r="R8305" i="29"/>
  <c r="R8306" i="29"/>
  <c r="R8307" i="29"/>
  <c r="R8308" i="29"/>
  <c r="R8309" i="29"/>
  <c r="R8310" i="29"/>
  <c r="R8311" i="29"/>
  <c r="R8312" i="29"/>
  <c r="R8313" i="29"/>
  <c r="R8314" i="29"/>
  <c r="R8315" i="29"/>
  <c r="R8316" i="29"/>
  <c r="R8317" i="29"/>
  <c r="R8318" i="29"/>
  <c r="R8319" i="29"/>
  <c r="R8320" i="29"/>
  <c r="R8321" i="29"/>
  <c r="R8322" i="29"/>
  <c r="R8323" i="29"/>
  <c r="R8324" i="29"/>
  <c r="R8325" i="29"/>
  <c r="R8326" i="29"/>
  <c r="R8327" i="29"/>
  <c r="R8328" i="29"/>
  <c r="R8329" i="29"/>
  <c r="R8330" i="29"/>
  <c r="R8331" i="29"/>
  <c r="R8332" i="29"/>
  <c r="R8333" i="29"/>
  <c r="R8334" i="29"/>
  <c r="R8335" i="29"/>
  <c r="R8336" i="29"/>
  <c r="R8337" i="29"/>
  <c r="R8338" i="29"/>
  <c r="R8339" i="29"/>
  <c r="R8340" i="29"/>
  <c r="R8341" i="29"/>
  <c r="R8342" i="29"/>
  <c r="R8343" i="29"/>
  <c r="R8344" i="29"/>
  <c r="R8345" i="29"/>
  <c r="R8346" i="29"/>
  <c r="R8347" i="29"/>
  <c r="R8348" i="29"/>
  <c r="R8349" i="29"/>
  <c r="R8350" i="29"/>
  <c r="R8351" i="29"/>
  <c r="R8352" i="29"/>
  <c r="R8353" i="29"/>
  <c r="R8354" i="29"/>
  <c r="R8355" i="29"/>
  <c r="R8356" i="29"/>
  <c r="R8357" i="29"/>
  <c r="R8358" i="29"/>
  <c r="R8359" i="29"/>
  <c r="R8360" i="29"/>
  <c r="R8361" i="29"/>
  <c r="R8362" i="29"/>
  <c r="R8363" i="29"/>
  <c r="R8364" i="29"/>
  <c r="R8365" i="29"/>
  <c r="R8366" i="29"/>
  <c r="R8367" i="29"/>
  <c r="R8368" i="29"/>
  <c r="R8369" i="29"/>
  <c r="R8370" i="29"/>
  <c r="R8371" i="29"/>
  <c r="R8372" i="29"/>
  <c r="R8373" i="29"/>
  <c r="R8374" i="29"/>
  <c r="R8375" i="29"/>
  <c r="R8376" i="29"/>
  <c r="R8377" i="29"/>
  <c r="R8378" i="29"/>
  <c r="R8379" i="29"/>
  <c r="R8380" i="29"/>
  <c r="R8381" i="29"/>
  <c r="R8382" i="29"/>
  <c r="R8383" i="29"/>
  <c r="R8384" i="29"/>
  <c r="R8385" i="29"/>
  <c r="R8386" i="29"/>
  <c r="R8387" i="29"/>
  <c r="R8388" i="29"/>
  <c r="R8389" i="29"/>
  <c r="R8390" i="29"/>
  <c r="R8391" i="29"/>
  <c r="R8392" i="29"/>
  <c r="R8393" i="29"/>
  <c r="R8394" i="29"/>
  <c r="R8395" i="29"/>
  <c r="R8396" i="29"/>
  <c r="R8397" i="29"/>
  <c r="R8398" i="29"/>
  <c r="R8399" i="29"/>
  <c r="R8400" i="29"/>
  <c r="R8401" i="29"/>
  <c r="R8402" i="29"/>
  <c r="R8403" i="29"/>
  <c r="R8404" i="29"/>
  <c r="R8405" i="29"/>
  <c r="R8406" i="29"/>
  <c r="R8407" i="29"/>
  <c r="R8408" i="29"/>
  <c r="R8409" i="29"/>
  <c r="R8410" i="29"/>
  <c r="R8411" i="29"/>
  <c r="R8412" i="29"/>
  <c r="R8413" i="29"/>
  <c r="R8414" i="29"/>
  <c r="R8415" i="29"/>
  <c r="R8416" i="29"/>
  <c r="R8417" i="29"/>
  <c r="R8418" i="29"/>
  <c r="R8419" i="29"/>
  <c r="R8420" i="29"/>
  <c r="R8421" i="29"/>
  <c r="R8422" i="29"/>
  <c r="R8423" i="29"/>
  <c r="R8424" i="29"/>
  <c r="R8425" i="29"/>
  <c r="R8426" i="29"/>
  <c r="R8427" i="29"/>
  <c r="R8428" i="29"/>
  <c r="R8429" i="29"/>
  <c r="R8430" i="29"/>
  <c r="R8431" i="29"/>
  <c r="R8432" i="29"/>
  <c r="R8433" i="29"/>
  <c r="R8434" i="29"/>
  <c r="R8435" i="29"/>
  <c r="R8436" i="29"/>
  <c r="R8437" i="29"/>
  <c r="R8438" i="29"/>
  <c r="R8439" i="29"/>
  <c r="R8440" i="29"/>
  <c r="R8441" i="29"/>
  <c r="R8442" i="29"/>
  <c r="R8443" i="29"/>
  <c r="R8444" i="29"/>
  <c r="R8445" i="29"/>
  <c r="R8446" i="29"/>
  <c r="R8447" i="29"/>
  <c r="R8448" i="29"/>
  <c r="R8449" i="29"/>
  <c r="R8450" i="29"/>
  <c r="R8451" i="29"/>
  <c r="R8452" i="29"/>
  <c r="R8453" i="29"/>
  <c r="R8454" i="29"/>
  <c r="R8455" i="29"/>
  <c r="R8456" i="29"/>
  <c r="R8457" i="29"/>
  <c r="R8458" i="29"/>
  <c r="R8459" i="29"/>
  <c r="R8460" i="29"/>
  <c r="R8461" i="29"/>
  <c r="R8462" i="29"/>
  <c r="R8463" i="29"/>
  <c r="R8464" i="29"/>
  <c r="R8465" i="29"/>
  <c r="R8466" i="29"/>
  <c r="R8467" i="29"/>
  <c r="R8468" i="29"/>
  <c r="R8469" i="29"/>
  <c r="R8470" i="29"/>
  <c r="R8471" i="29"/>
  <c r="R8472" i="29"/>
  <c r="R8473" i="29"/>
  <c r="R8474" i="29"/>
  <c r="R8475" i="29"/>
  <c r="R8476" i="29"/>
  <c r="R8477" i="29"/>
  <c r="R8478" i="29"/>
  <c r="R8479" i="29"/>
  <c r="R8480" i="29"/>
  <c r="R8481" i="29"/>
  <c r="R8482" i="29"/>
  <c r="R8483" i="29"/>
  <c r="R8484" i="29"/>
  <c r="R8485" i="29"/>
  <c r="R8486" i="29"/>
  <c r="R8487" i="29"/>
  <c r="R8488" i="29"/>
  <c r="R8489" i="29"/>
  <c r="R8490" i="29"/>
  <c r="R8491" i="29"/>
  <c r="R8492" i="29"/>
  <c r="R8493" i="29"/>
  <c r="R8494" i="29"/>
  <c r="R8495" i="29"/>
  <c r="R8496" i="29"/>
  <c r="R8497" i="29"/>
  <c r="R8498" i="29"/>
  <c r="R8499" i="29"/>
  <c r="R8500" i="29"/>
  <c r="R8501" i="29"/>
  <c r="R8502" i="29"/>
  <c r="R8503" i="29"/>
  <c r="R8504" i="29"/>
  <c r="R8505" i="29"/>
  <c r="R8506" i="29"/>
  <c r="R8507" i="29"/>
  <c r="R8508" i="29"/>
  <c r="R8509" i="29"/>
  <c r="R8510" i="29"/>
  <c r="R8511" i="29"/>
  <c r="R8512" i="29"/>
  <c r="R8513" i="29"/>
  <c r="R8514" i="29"/>
  <c r="R8515" i="29"/>
  <c r="R8516" i="29"/>
  <c r="R8517" i="29"/>
  <c r="R8518" i="29"/>
  <c r="R8519" i="29"/>
  <c r="R8520" i="29"/>
  <c r="R8521" i="29"/>
  <c r="R8522" i="29"/>
  <c r="R8523" i="29"/>
  <c r="R8524" i="29"/>
  <c r="R8525" i="29"/>
  <c r="R8526" i="29"/>
  <c r="R8527" i="29"/>
  <c r="R8528" i="29"/>
  <c r="R8529" i="29"/>
  <c r="R8530" i="29"/>
  <c r="R8531" i="29"/>
  <c r="R8532" i="29"/>
  <c r="R8533" i="29"/>
  <c r="R8534" i="29"/>
  <c r="R8535" i="29"/>
  <c r="R8536" i="29"/>
  <c r="R8537" i="29"/>
  <c r="R8538" i="29"/>
  <c r="R8539" i="29"/>
  <c r="R8540" i="29"/>
  <c r="R8541" i="29"/>
  <c r="R8542" i="29"/>
  <c r="R8543" i="29"/>
  <c r="R8544" i="29"/>
  <c r="R8545" i="29"/>
  <c r="R8546" i="29"/>
  <c r="R8547" i="29"/>
  <c r="R8548" i="29"/>
  <c r="R8549" i="29"/>
  <c r="R8550" i="29"/>
  <c r="R8551" i="29"/>
  <c r="R8552" i="29"/>
  <c r="R8553" i="29"/>
  <c r="R8554" i="29"/>
  <c r="R8555" i="29"/>
  <c r="R8556" i="29"/>
  <c r="R8557" i="29"/>
  <c r="R8558" i="29"/>
  <c r="R8559" i="29"/>
  <c r="R8560" i="29"/>
  <c r="R8561" i="29"/>
  <c r="R8562" i="29"/>
  <c r="R8563" i="29"/>
  <c r="R8564" i="29"/>
  <c r="R8565" i="29"/>
  <c r="R8566" i="29"/>
  <c r="R8567" i="29"/>
  <c r="R8568" i="29"/>
  <c r="R8569" i="29"/>
  <c r="R8570" i="29"/>
  <c r="R8571" i="29"/>
  <c r="R8572" i="29"/>
  <c r="R8573" i="29"/>
  <c r="R8574" i="29"/>
  <c r="R8575" i="29"/>
  <c r="R8576" i="29"/>
  <c r="R8577" i="29"/>
  <c r="R8578" i="29"/>
  <c r="R8579" i="29"/>
  <c r="R8580" i="29"/>
  <c r="R8581" i="29"/>
  <c r="R8582" i="29"/>
  <c r="R8583" i="29"/>
  <c r="R8584" i="29"/>
  <c r="R8585" i="29"/>
  <c r="R8586" i="29"/>
  <c r="R8587" i="29"/>
  <c r="R8588" i="29"/>
  <c r="R8589" i="29"/>
  <c r="R8590" i="29"/>
  <c r="R8591" i="29"/>
  <c r="R8592" i="29"/>
  <c r="R8593" i="29"/>
  <c r="R8594" i="29"/>
  <c r="R8595" i="29"/>
  <c r="R8596" i="29"/>
  <c r="R8597" i="29"/>
  <c r="R8598" i="29"/>
  <c r="R8599" i="29"/>
  <c r="R8600" i="29"/>
  <c r="R8601" i="29"/>
  <c r="R8602" i="29"/>
  <c r="R8603" i="29"/>
  <c r="R8604" i="29"/>
  <c r="R8605" i="29"/>
  <c r="R8606" i="29"/>
  <c r="R8607" i="29"/>
  <c r="R8608" i="29"/>
  <c r="R8609" i="29"/>
  <c r="R8610" i="29"/>
  <c r="R8611" i="29"/>
  <c r="R8612" i="29"/>
  <c r="R8613" i="29"/>
  <c r="R8614" i="29"/>
  <c r="R8615" i="29"/>
  <c r="R8616" i="29"/>
  <c r="R8617" i="29"/>
  <c r="R8618" i="29"/>
  <c r="R8619" i="29"/>
  <c r="R8620" i="29"/>
  <c r="R8621" i="29"/>
  <c r="R8622" i="29"/>
  <c r="R8623" i="29"/>
  <c r="R8624" i="29"/>
  <c r="R8625" i="29"/>
  <c r="R8626" i="29"/>
  <c r="R8627" i="29"/>
  <c r="R8628" i="29"/>
  <c r="R8629" i="29"/>
  <c r="R8630" i="29"/>
  <c r="R8631" i="29"/>
  <c r="R8632" i="29"/>
  <c r="R8633" i="29"/>
  <c r="R8634" i="29"/>
  <c r="R8635" i="29"/>
  <c r="R8636" i="29"/>
  <c r="R8637" i="29"/>
  <c r="R8638" i="29"/>
  <c r="R8639" i="29"/>
  <c r="R8640" i="29"/>
  <c r="R8641" i="29"/>
  <c r="R8642" i="29"/>
  <c r="R8643" i="29"/>
  <c r="R8644" i="29"/>
  <c r="R8645" i="29"/>
  <c r="R8646" i="29"/>
  <c r="R8647" i="29"/>
  <c r="R8648" i="29"/>
  <c r="R8649" i="29"/>
  <c r="R8650" i="29"/>
  <c r="R8651" i="29"/>
  <c r="R8652" i="29"/>
  <c r="R8653" i="29"/>
  <c r="R8654" i="29"/>
  <c r="R8655" i="29"/>
  <c r="R8656" i="29"/>
  <c r="R8657" i="29"/>
  <c r="R8658" i="29"/>
  <c r="R8659" i="29"/>
  <c r="R8660" i="29"/>
  <c r="R8661" i="29"/>
  <c r="R8662" i="29"/>
  <c r="R8663" i="29"/>
  <c r="R8664" i="29"/>
  <c r="R8665" i="29"/>
  <c r="R8666" i="29"/>
  <c r="R8667" i="29"/>
  <c r="R8668" i="29"/>
  <c r="R8669" i="29"/>
  <c r="R8670" i="29"/>
  <c r="R8671" i="29"/>
  <c r="R8672" i="29"/>
  <c r="R8673" i="29"/>
  <c r="R8674" i="29"/>
  <c r="R8675" i="29"/>
  <c r="R8676" i="29"/>
  <c r="R8677" i="29"/>
  <c r="R8678" i="29"/>
  <c r="R8679" i="29"/>
  <c r="R8680" i="29"/>
  <c r="R8681" i="29"/>
  <c r="R8682" i="29"/>
  <c r="R8683" i="29"/>
  <c r="R8684" i="29"/>
  <c r="R8685" i="29"/>
  <c r="R8686" i="29"/>
  <c r="R8687" i="29"/>
  <c r="R8688" i="29"/>
  <c r="R8689" i="29"/>
  <c r="R8690" i="29"/>
  <c r="R8691" i="29"/>
  <c r="R8692" i="29"/>
  <c r="R8693" i="29"/>
  <c r="R8694" i="29"/>
  <c r="R8695" i="29"/>
  <c r="R8696" i="29"/>
  <c r="R8697" i="29"/>
  <c r="R8698" i="29"/>
  <c r="R8699" i="29"/>
  <c r="R8700" i="29"/>
  <c r="R8701" i="29"/>
  <c r="R8702" i="29"/>
  <c r="R8703" i="29"/>
  <c r="R8704" i="29"/>
  <c r="R8705" i="29"/>
  <c r="R8706" i="29"/>
  <c r="R8707" i="29"/>
  <c r="R8708" i="29"/>
  <c r="R8709" i="29"/>
  <c r="R8710" i="29"/>
  <c r="R8711" i="29"/>
  <c r="R8712" i="29"/>
  <c r="R8713" i="29"/>
  <c r="R8714" i="29"/>
  <c r="R8715" i="29"/>
  <c r="R8716" i="29"/>
  <c r="R8717" i="29"/>
  <c r="R8718" i="29"/>
  <c r="R8719" i="29"/>
  <c r="R8720" i="29"/>
  <c r="R8721" i="29"/>
  <c r="R8722" i="29"/>
  <c r="R8723" i="29"/>
  <c r="R8724" i="29"/>
  <c r="R8725" i="29"/>
  <c r="R8726" i="29"/>
  <c r="R8727" i="29"/>
  <c r="R8728" i="29"/>
  <c r="R8729" i="29"/>
  <c r="R8730" i="29"/>
  <c r="R8731" i="29"/>
  <c r="R8732" i="29"/>
  <c r="R8733" i="29"/>
  <c r="R8734" i="29"/>
  <c r="R8735" i="29"/>
  <c r="R8736" i="29"/>
  <c r="R8737" i="29"/>
  <c r="R8738" i="29"/>
  <c r="R8739" i="29"/>
  <c r="R8740" i="29"/>
  <c r="R8741" i="29"/>
  <c r="R8742" i="29"/>
  <c r="R8743" i="29"/>
  <c r="R8744" i="29"/>
  <c r="R8745" i="29"/>
  <c r="R8746" i="29"/>
  <c r="R8747" i="29"/>
  <c r="R8748" i="29"/>
  <c r="R8749" i="29"/>
  <c r="R8750" i="29"/>
  <c r="R8751" i="29"/>
  <c r="R8752" i="29"/>
  <c r="R8753" i="29"/>
  <c r="R8754" i="29"/>
  <c r="R8755" i="29"/>
  <c r="R8756" i="29"/>
  <c r="R8757" i="29"/>
  <c r="R8758" i="29"/>
  <c r="R8759" i="29"/>
  <c r="R8760" i="29"/>
  <c r="R8761" i="29"/>
  <c r="R8762" i="29"/>
  <c r="R8763" i="29"/>
  <c r="R8764" i="29"/>
  <c r="R8765" i="29"/>
  <c r="R8766" i="29"/>
  <c r="R8767" i="29"/>
  <c r="R8768" i="29"/>
  <c r="R8769" i="29"/>
  <c r="R8770" i="29"/>
  <c r="R8771" i="29"/>
  <c r="R8772" i="29"/>
  <c r="R8773" i="29"/>
  <c r="R8774" i="29"/>
  <c r="R8775" i="29"/>
  <c r="R8776" i="29"/>
  <c r="R8777" i="29"/>
  <c r="R8778" i="29"/>
  <c r="R8779" i="29"/>
  <c r="R8780" i="29"/>
  <c r="R8781" i="29"/>
  <c r="R8782" i="29"/>
  <c r="R8783" i="29"/>
  <c r="R8784" i="29"/>
  <c r="R8785" i="29"/>
  <c r="R8786" i="29"/>
  <c r="R8787" i="29"/>
  <c r="R8788" i="29"/>
  <c r="R8789" i="29"/>
  <c r="R8790" i="29"/>
  <c r="R8791" i="29"/>
  <c r="R8792" i="29"/>
  <c r="R8793" i="29"/>
  <c r="R8794" i="29"/>
  <c r="R8795" i="29"/>
  <c r="R8796" i="29"/>
  <c r="R8797" i="29"/>
  <c r="R8798" i="29"/>
  <c r="R8799" i="29"/>
  <c r="R8800" i="29"/>
  <c r="R8801" i="29"/>
  <c r="R8802" i="29"/>
  <c r="R8803" i="29"/>
  <c r="R8804" i="29"/>
  <c r="R8805" i="29"/>
  <c r="R8806" i="29"/>
  <c r="R8807" i="29"/>
  <c r="R8808" i="29"/>
  <c r="R8809" i="29"/>
  <c r="R8810" i="29"/>
  <c r="R8811" i="29"/>
  <c r="R8812" i="29"/>
  <c r="R8813" i="29"/>
  <c r="R8814" i="29"/>
  <c r="R8815" i="29"/>
  <c r="R8816" i="29"/>
  <c r="R8817" i="29"/>
  <c r="R8818" i="29"/>
  <c r="R8819" i="29"/>
  <c r="R8820" i="29"/>
  <c r="R8821" i="29"/>
  <c r="R8822" i="29"/>
  <c r="R8823" i="29"/>
  <c r="R8824" i="29"/>
  <c r="R8825" i="29"/>
  <c r="R8826" i="29"/>
  <c r="R8827" i="29"/>
  <c r="R8828" i="29"/>
  <c r="R8829" i="29"/>
  <c r="R8830" i="29"/>
  <c r="R8831" i="29"/>
  <c r="R8832" i="29"/>
  <c r="R8833" i="29"/>
  <c r="R8834" i="29"/>
  <c r="R8835" i="29"/>
  <c r="R8836" i="29"/>
  <c r="R8837" i="29"/>
  <c r="R8838" i="29"/>
  <c r="R8839" i="29"/>
  <c r="R8840" i="29"/>
  <c r="R8841" i="29"/>
  <c r="R8842" i="29"/>
  <c r="R8843" i="29"/>
  <c r="R8844" i="29"/>
  <c r="R8845" i="29"/>
  <c r="R8846" i="29"/>
  <c r="R8847" i="29"/>
  <c r="R8848" i="29"/>
  <c r="R8849" i="29"/>
  <c r="R8850" i="29"/>
  <c r="R8851" i="29"/>
  <c r="R8852" i="29"/>
  <c r="R8853" i="29"/>
  <c r="R8854" i="29"/>
  <c r="R8855" i="29"/>
  <c r="R8856" i="29"/>
  <c r="R8857" i="29"/>
  <c r="R8858" i="29"/>
  <c r="R8859" i="29"/>
  <c r="R8860" i="29"/>
  <c r="R8861" i="29"/>
  <c r="R8862" i="29"/>
  <c r="R8863" i="29"/>
  <c r="R8864" i="29"/>
  <c r="R8865" i="29"/>
  <c r="R8866" i="29"/>
  <c r="R8867" i="29"/>
  <c r="R8868" i="29"/>
  <c r="R8869" i="29"/>
  <c r="R8870" i="29"/>
  <c r="R8871" i="29"/>
  <c r="R8872" i="29"/>
  <c r="R8873" i="29"/>
  <c r="R8874" i="29"/>
  <c r="R8875" i="29"/>
  <c r="R8876" i="29"/>
  <c r="R8877" i="29"/>
  <c r="R8878" i="29"/>
  <c r="R8879" i="29"/>
  <c r="R8880" i="29"/>
  <c r="R8881" i="29"/>
  <c r="R8882" i="29"/>
  <c r="R8883" i="29"/>
  <c r="R8884" i="29"/>
  <c r="R8885" i="29"/>
  <c r="R8886" i="29"/>
  <c r="R8887" i="29"/>
  <c r="R8888" i="29"/>
  <c r="R8889" i="29"/>
  <c r="R8890" i="29"/>
  <c r="R8891" i="29"/>
  <c r="R8892" i="29"/>
  <c r="R8893" i="29"/>
  <c r="R8894" i="29"/>
  <c r="R8895" i="29"/>
  <c r="R8896" i="29"/>
  <c r="R8897" i="29"/>
  <c r="R8898" i="29"/>
  <c r="R8899" i="29"/>
  <c r="R8900" i="29"/>
  <c r="R8901" i="29"/>
  <c r="R8902" i="29"/>
  <c r="R8903" i="29"/>
  <c r="R8904" i="29"/>
  <c r="R8905" i="29"/>
  <c r="R8906" i="29"/>
  <c r="R8907" i="29"/>
  <c r="R8908" i="29"/>
  <c r="R8909" i="29"/>
  <c r="R8910" i="29"/>
  <c r="R8911" i="29"/>
  <c r="R8912" i="29"/>
  <c r="R8913" i="29"/>
  <c r="R8914" i="29"/>
  <c r="R8915" i="29"/>
  <c r="R8916" i="29"/>
  <c r="R8917" i="29"/>
  <c r="R8918" i="29"/>
  <c r="R8919" i="29"/>
  <c r="R8920" i="29"/>
  <c r="R8921" i="29"/>
  <c r="R8922" i="29"/>
  <c r="R8923" i="29"/>
  <c r="R8924" i="29"/>
  <c r="R8925" i="29"/>
  <c r="R8926" i="29"/>
  <c r="R8927" i="29"/>
  <c r="R8928" i="29"/>
  <c r="R8929" i="29"/>
  <c r="R8930" i="29"/>
  <c r="R8931" i="29"/>
  <c r="R8932" i="29"/>
  <c r="R8933" i="29"/>
  <c r="R8934" i="29"/>
  <c r="R8935" i="29"/>
  <c r="R8936" i="29"/>
  <c r="R8937" i="29"/>
  <c r="R8938" i="29"/>
  <c r="R8939" i="29"/>
  <c r="R8940" i="29"/>
  <c r="R8941" i="29"/>
  <c r="R8942" i="29"/>
  <c r="R8943" i="29"/>
  <c r="R8944" i="29"/>
  <c r="R8945" i="29"/>
  <c r="R8946" i="29"/>
  <c r="R8947" i="29"/>
  <c r="R8948" i="29"/>
  <c r="R8949" i="29"/>
  <c r="R8950" i="29"/>
  <c r="R8951" i="29"/>
  <c r="R8952" i="29"/>
  <c r="R8953" i="29"/>
  <c r="R8954" i="29"/>
  <c r="R8955" i="29"/>
  <c r="R8956" i="29"/>
  <c r="R8957" i="29"/>
  <c r="R8958" i="29"/>
  <c r="R8959" i="29"/>
  <c r="R8960" i="29"/>
  <c r="R8961" i="29"/>
  <c r="R8962" i="29"/>
  <c r="R8963" i="29"/>
  <c r="R8964" i="29"/>
  <c r="R8965" i="29"/>
  <c r="R8966" i="29"/>
  <c r="R8967" i="29"/>
  <c r="R8968" i="29"/>
  <c r="R8969" i="29"/>
  <c r="R8970" i="29"/>
  <c r="R8971" i="29"/>
  <c r="R8972" i="29"/>
  <c r="R8973" i="29"/>
  <c r="R8974" i="29"/>
  <c r="R8975" i="29"/>
  <c r="R8976" i="29"/>
  <c r="R8977" i="29"/>
  <c r="R8978" i="29"/>
  <c r="R8979" i="29"/>
  <c r="R8980" i="29"/>
  <c r="R8981" i="29"/>
  <c r="R8982" i="29"/>
  <c r="R8983" i="29"/>
  <c r="R8984" i="29"/>
  <c r="R8985" i="29"/>
  <c r="R8986" i="29"/>
  <c r="R8987" i="29"/>
  <c r="R8988" i="29"/>
  <c r="R8989" i="29"/>
  <c r="R8990" i="29"/>
  <c r="R8991" i="29"/>
  <c r="R8992" i="29"/>
  <c r="R8993" i="29"/>
  <c r="R8994" i="29"/>
  <c r="R8995" i="29"/>
  <c r="R8996" i="29"/>
  <c r="R8997" i="29"/>
  <c r="R8998" i="29"/>
  <c r="R8999" i="29"/>
  <c r="R9000" i="29"/>
  <c r="R9001" i="29"/>
  <c r="R9002" i="29"/>
  <c r="R9003" i="29"/>
  <c r="R9004" i="29"/>
  <c r="R9005" i="29"/>
  <c r="R9006" i="29"/>
  <c r="R9007" i="29"/>
  <c r="R9008" i="29"/>
  <c r="R9009" i="29"/>
  <c r="R9010" i="29"/>
  <c r="R9011" i="29"/>
  <c r="R9012" i="29"/>
  <c r="R9013" i="29"/>
  <c r="R9014" i="29"/>
  <c r="R9015" i="29"/>
  <c r="R9016" i="29"/>
  <c r="R9017" i="29"/>
  <c r="R9018" i="29"/>
  <c r="R9019" i="29"/>
  <c r="R9020" i="29"/>
  <c r="R9021" i="29"/>
  <c r="R9022" i="29"/>
  <c r="R9023" i="29"/>
  <c r="R9024" i="29"/>
  <c r="R9025" i="29"/>
  <c r="R9026" i="29"/>
  <c r="R9027" i="29"/>
  <c r="R9028" i="29"/>
  <c r="R9029" i="29"/>
  <c r="R9030" i="29"/>
  <c r="R9031" i="29"/>
  <c r="R9032" i="29"/>
  <c r="R9033" i="29"/>
  <c r="R9034" i="29"/>
  <c r="R9035" i="29"/>
  <c r="R9036" i="29"/>
  <c r="R9037" i="29"/>
  <c r="R9038" i="29"/>
  <c r="R9039" i="29"/>
  <c r="R9040" i="29"/>
  <c r="R9041" i="29"/>
  <c r="R9042" i="29"/>
  <c r="R9043" i="29"/>
  <c r="R9044" i="29"/>
  <c r="R9045" i="29"/>
  <c r="R9046" i="29"/>
  <c r="R9047" i="29"/>
  <c r="R9048" i="29"/>
  <c r="R9049" i="29"/>
  <c r="R9050" i="29"/>
  <c r="R9051" i="29"/>
  <c r="R9052" i="29"/>
  <c r="R9053" i="29"/>
  <c r="R9054" i="29"/>
  <c r="R9055" i="29"/>
  <c r="R9056" i="29"/>
  <c r="R9057" i="29"/>
  <c r="R9058" i="29"/>
  <c r="R9059" i="29"/>
  <c r="R9060" i="29"/>
  <c r="R9061" i="29"/>
  <c r="R9062" i="29"/>
  <c r="R9063" i="29"/>
  <c r="R9064" i="29"/>
  <c r="R9065" i="29"/>
  <c r="R9066" i="29"/>
  <c r="R9067" i="29"/>
  <c r="R9068" i="29"/>
  <c r="R9069" i="29"/>
  <c r="R9070" i="29"/>
  <c r="R9071" i="29"/>
  <c r="R9072" i="29"/>
  <c r="R9073" i="29"/>
  <c r="R9074" i="29"/>
  <c r="R9075" i="29"/>
  <c r="R9076" i="29"/>
  <c r="R9077" i="29"/>
  <c r="R9078" i="29"/>
  <c r="R9079" i="29"/>
  <c r="R9080" i="29"/>
  <c r="R9081" i="29"/>
  <c r="R9082" i="29"/>
  <c r="R9083" i="29"/>
  <c r="R9084" i="29"/>
  <c r="R9085" i="29"/>
  <c r="R9086" i="29"/>
  <c r="R9087" i="29"/>
  <c r="R9088" i="29"/>
  <c r="R9089" i="29"/>
  <c r="R9090" i="29"/>
  <c r="R9091" i="29"/>
  <c r="R9092" i="29"/>
  <c r="R9093" i="29"/>
  <c r="R9094" i="29"/>
  <c r="R9095" i="29"/>
  <c r="R9096" i="29"/>
  <c r="R9097" i="29"/>
  <c r="R9098" i="29"/>
  <c r="R9099" i="29"/>
  <c r="R9100" i="29"/>
  <c r="R9101" i="29"/>
  <c r="R9102" i="29"/>
  <c r="R9103" i="29"/>
  <c r="R9104" i="29"/>
  <c r="R9105" i="29"/>
  <c r="R9106" i="29"/>
  <c r="R9107" i="29"/>
  <c r="R9108" i="29"/>
  <c r="R9109" i="29"/>
  <c r="R9110" i="29"/>
  <c r="R9111" i="29"/>
  <c r="R9112" i="29"/>
  <c r="R9113" i="29"/>
  <c r="R9114" i="29"/>
  <c r="R9115" i="29"/>
  <c r="R9116" i="29"/>
  <c r="R9117" i="29"/>
  <c r="R9118" i="29"/>
  <c r="R9119" i="29"/>
  <c r="R9120" i="29"/>
  <c r="R9121" i="29"/>
  <c r="R9122" i="29"/>
  <c r="R9123" i="29"/>
  <c r="R9124" i="29"/>
  <c r="R9125" i="29"/>
  <c r="R9126" i="29"/>
  <c r="R9127" i="29"/>
  <c r="R9128" i="29"/>
  <c r="R9129" i="29"/>
  <c r="R9130" i="29"/>
  <c r="R9131" i="29"/>
  <c r="R9132" i="29"/>
  <c r="R9133" i="29"/>
  <c r="R9134" i="29"/>
  <c r="R9135" i="29"/>
  <c r="R9136" i="29"/>
  <c r="R9137" i="29"/>
  <c r="R9138" i="29"/>
  <c r="R9139" i="29"/>
  <c r="R9140" i="29"/>
  <c r="R9141" i="29"/>
  <c r="R9142" i="29"/>
  <c r="R9143" i="29"/>
  <c r="R9144" i="29"/>
  <c r="R9145" i="29"/>
  <c r="R9146" i="29"/>
  <c r="R9147" i="29"/>
  <c r="R9148" i="29"/>
  <c r="R9149" i="29"/>
  <c r="R9150" i="29"/>
  <c r="R9151" i="29"/>
  <c r="R9152" i="29"/>
  <c r="R9153" i="29"/>
  <c r="R9154" i="29"/>
  <c r="R9155" i="29"/>
  <c r="R9156" i="29"/>
  <c r="R9157" i="29"/>
  <c r="R9158" i="29"/>
  <c r="R9159" i="29"/>
  <c r="R9160" i="29"/>
  <c r="R9161" i="29"/>
  <c r="R9162" i="29"/>
  <c r="R9163" i="29"/>
  <c r="R9164" i="29"/>
  <c r="R9165" i="29"/>
  <c r="R9166" i="29"/>
  <c r="R9167" i="29"/>
  <c r="R9168" i="29"/>
  <c r="R9169" i="29"/>
  <c r="R9170" i="29"/>
  <c r="R9171" i="29"/>
  <c r="R9172" i="29"/>
  <c r="R9173" i="29"/>
  <c r="R9174" i="29"/>
  <c r="R9175" i="29"/>
  <c r="R9176" i="29"/>
  <c r="R9177" i="29"/>
  <c r="R9178" i="29"/>
  <c r="R9179" i="29"/>
  <c r="R9180" i="29"/>
  <c r="R9181" i="29"/>
  <c r="R9182" i="29"/>
  <c r="R9183" i="29"/>
  <c r="R9184" i="29"/>
  <c r="R9185" i="29"/>
  <c r="R9186" i="29"/>
  <c r="R9187" i="29"/>
  <c r="R9188" i="29"/>
  <c r="R9189" i="29"/>
  <c r="R9190" i="29"/>
  <c r="R9191" i="29"/>
  <c r="R9192" i="29"/>
  <c r="R9193" i="29"/>
  <c r="R9194" i="29"/>
  <c r="R9195" i="29"/>
  <c r="R9196" i="29"/>
  <c r="R9197" i="29"/>
  <c r="R9198" i="29"/>
  <c r="R9199" i="29"/>
  <c r="R9200" i="29"/>
  <c r="R9201" i="29"/>
  <c r="R9202" i="29"/>
  <c r="R9203" i="29"/>
  <c r="R9204" i="29"/>
  <c r="R9205" i="29"/>
  <c r="R9206" i="29"/>
  <c r="R9207" i="29"/>
  <c r="R9208" i="29"/>
  <c r="R9209" i="29"/>
  <c r="R9210" i="29"/>
  <c r="R9211" i="29"/>
  <c r="R9212" i="29"/>
  <c r="R9213" i="29"/>
  <c r="R9214" i="29"/>
  <c r="R9215" i="29"/>
  <c r="R9216" i="29"/>
  <c r="R9217" i="29"/>
  <c r="R9218" i="29"/>
  <c r="R9219" i="29"/>
  <c r="R9220" i="29"/>
  <c r="R9221" i="29"/>
  <c r="R9222" i="29"/>
  <c r="R9223" i="29"/>
  <c r="R9224" i="29"/>
  <c r="R9225" i="29"/>
  <c r="R9226" i="29"/>
  <c r="R9227" i="29"/>
  <c r="R9228" i="29"/>
  <c r="R9229" i="29"/>
  <c r="R9230" i="29"/>
  <c r="R9231" i="29"/>
  <c r="R9232" i="29"/>
  <c r="R9233" i="29"/>
  <c r="R9234" i="29"/>
  <c r="R9235" i="29"/>
  <c r="R9236" i="29"/>
  <c r="R9237" i="29"/>
  <c r="R9238" i="29"/>
  <c r="R9239" i="29"/>
  <c r="R9240" i="29"/>
  <c r="R9241" i="29"/>
  <c r="R9242" i="29"/>
  <c r="R9243" i="29"/>
  <c r="R9244" i="29"/>
  <c r="R9245" i="29"/>
  <c r="R9246" i="29"/>
  <c r="R9247" i="29"/>
  <c r="R9248" i="29"/>
  <c r="R9249" i="29"/>
  <c r="R9250" i="29"/>
  <c r="R9251" i="29"/>
  <c r="R9252" i="29"/>
  <c r="R9253" i="29"/>
  <c r="R9254" i="29"/>
  <c r="R9255" i="29"/>
  <c r="R9256" i="29"/>
  <c r="R9257" i="29"/>
  <c r="R9258" i="29"/>
  <c r="R9259" i="29"/>
  <c r="R9260" i="29"/>
  <c r="R9261" i="29"/>
  <c r="R9262" i="29"/>
  <c r="R9263" i="29"/>
  <c r="R9264" i="29"/>
  <c r="R9265" i="29"/>
  <c r="R9266" i="29"/>
  <c r="R9267" i="29"/>
  <c r="R9268" i="29"/>
  <c r="R9269" i="29"/>
  <c r="R9270" i="29"/>
  <c r="R9271" i="29"/>
  <c r="R9272" i="29"/>
  <c r="R9273" i="29"/>
  <c r="R9274" i="29"/>
  <c r="R9275" i="29"/>
  <c r="R9276" i="29"/>
  <c r="R9277" i="29"/>
  <c r="R9278" i="29"/>
  <c r="R9279" i="29"/>
  <c r="R9280" i="29"/>
  <c r="R9281" i="29"/>
  <c r="R9282" i="29"/>
  <c r="R637" i="29"/>
  <c r="R7319" i="29"/>
  <c r="R7369" i="29"/>
  <c r="R7368" i="29"/>
  <c r="R7367" i="29"/>
  <c r="R7366" i="29"/>
  <c r="R7365" i="29"/>
  <c r="R7364" i="29"/>
  <c r="R7363" i="29"/>
  <c r="R7425" i="29"/>
  <c r="R7424" i="29"/>
  <c r="R7423" i="29"/>
  <c r="R7422" i="29"/>
  <c r="R7421" i="29"/>
  <c r="R7420" i="29"/>
  <c r="R7428" i="29"/>
  <c r="R7427" i="29"/>
  <c r="R7426" i="29"/>
  <c r="R7419" i="29"/>
  <c r="R7417" i="29"/>
  <c r="R7418" i="29"/>
  <c r="R7416" i="29"/>
  <c r="R7415" i="29"/>
  <c r="R7414" i="29"/>
  <c r="R7413" i="29"/>
  <c r="R7412" i="29"/>
  <c r="R7411" i="29"/>
  <c r="R7410" i="29"/>
  <c r="R7409" i="29"/>
  <c r="R7408" i="29"/>
  <c r="R7406" i="29"/>
  <c r="R7407" i="29"/>
  <c r="R7402" i="29"/>
  <c r="R7403" i="29"/>
  <c r="R7401" i="29"/>
  <c r="R7400" i="29"/>
  <c r="R7399" i="29"/>
  <c r="R7398" i="29"/>
  <c r="R7397" i="29"/>
  <c r="R7396" i="29"/>
  <c r="R7395" i="29"/>
  <c r="R7394" i="29"/>
  <c r="R7392" i="29"/>
  <c r="R7391" i="29"/>
  <c r="R7405" i="29"/>
  <c r="R7404" i="29"/>
  <c r="R7393" i="29"/>
  <c r="R7388" i="29"/>
  <c r="R7390" i="29"/>
  <c r="R7389" i="29"/>
  <c r="R7379" i="29"/>
  <c r="R7387" i="29"/>
  <c r="R7386" i="29"/>
  <c r="R7385" i="29"/>
  <c r="R7384" i="29"/>
  <c r="R7383" i="29"/>
  <c r="R7382" i="29"/>
  <c r="R7381" i="29"/>
  <c r="R7380" i="29"/>
  <c r="R7377" i="29"/>
  <c r="R7374" i="29"/>
  <c r="R7373" i="29"/>
  <c r="R7372" i="29"/>
  <c r="R7378" i="29"/>
  <c r="R7376" i="29"/>
  <c r="R7375" i="29"/>
  <c r="R7371" i="29"/>
  <c r="R7370" i="29"/>
  <c r="R7362" i="29"/>
  <c r="R7361" i="29"/>
  <c r="R7360" i="29"/>
  <c r="R7359" i="29"/>
  <c r="R7358" i="29"/>
  <c r="R7357" i="29"/>
  <c r="R7356" i="29"/>
  <c r="R7355" i="29"/>
  <c r="R7354" i="29"/>
  <c r="R7353" i="29"/>
  <c r="R7352" i="29"/>
  <c r="R7348" i="29"/>
  <c r="R7347" i="29"/>
  <c r="R7346" i="29"/>
  <c r="R7345" i="29"/>
  <c r="R7351" i="29"/>
  <c r="R7350" i="29"/>
  <c r="R7349" i="29"/>
  <c r="R7341" i="29"/>
  <c r="R7340" i="29"/>
  <c r="R7344" i="29"/>
  <c r="R7343" i="29"/>
  <c r="R7342" i="29"/>
  <c r="R7339" i="29"/>
  <c r="R7338" i="29"/>
  <c r="R7337" i="29"/>
  <c r="R7336" i="29"/>
  <c r="R7335" i="29"/>
  <c r="R7334" i="29"/>
  <c r="R7333" i="29"/>
  <c r="R7332" i="29"/>
  <c r="R7329" i="29"/>
  <c r="R7328" i="29"/>
  <c r="R7327" i="29"/>
  <c r="R7326" i="29"/>
  <c r="R7331" i="29"/>
  <c r="R7330" i="29"/>
  <c r="R7325" i="29"/>
  <c r="R7324" i="29"/>
  <c r="R659" i="29"/>
  <c r="R7323" i="29"/>
  <c r="R7321" i="29"/>
  <c r="R7320" i="29"/>
  <c r="R7322" i="29"/>
  <c r="R7312" i="29"/>
  <c r="R7315" i="29"/>
  <c r="R7318" i="29"/>
  <c r="R7317" i="29"/>
  <c r="R7316" i="29"/>
  <c r="R7314" i="29"/>
  <c r="R7313" i="29"/>
  <c r="R7311" i="29"/>
  <c r="R7310" i="29"/>
  <c r="R7309" i="29"/>
  <c r="R7308" i="29"/>
  <c r="R7307" i="29"/>
  <c r="R7306" i="29"/>
  <c r="R7305" i="29"/>
  <c r="R7304" i="29"/>
  <c r="R7303" i="29"/>
  <c r="R7302" i="29"/>
  <c r="R7301" i="29"/>
  <c r="R7300" i="29"/>
  <c r="R7296" i="29"/>
  <c r="R7295" i="29"/>
  <c r="R7294" i="29"/>
  <c r="R7299" i="29"/>
  <c r="R7298" i="29"/>
  <c r="R7297" i="29"/>
  <c r="R7293" i="29"/>
  <c r="R7292" i="29"/>
  <c r="R7291" i="29"/>
  <c r="R7290" i="29"/>
  <c r="R7286" i="29"/>
  <c r="R7285" i="29"/>
  <c r="R7284" i="29"/>
  <c r="R7289" i="29"/>
  <c r="R7288" i="29"/>
  <c r="R7287" i="29"/>
  <c r="R7283" i="29"/>
  <c r="R7280" i="29"/>
  <c r="R7279" i="29"/>
  <c r="R7277" i="29"/>
  <c r="R7276" i="29"/>
  <c r="R7282" i="29"/>
  <c r="R7281" i="29"/>
  <c r="R7274" i="29"/>
  <c r="R7272" i="29"/>
  <c r="R7271" i="29"/>
  <c r="R7270" i="29"/>
  <c r="R7269" i="29"/>
  <c r="R7268" i="29"/>
  <c r="R7267" i="29"/>
  <c r="R7278" i="29"/>
  <c r="R7275" i="29"/>
  <c r="R7273" i="29"/>
  <c r="R7266" i="29"/>
  <c r="R7265" i="29"/>
  <c r="R7263" i="29"/>
  <c r="R7262" i="29"/>
  <c r="R7264" i="29"/>
  <c r="R7261" i="29"/>
  <c r="R7260" i="29"/>
  <c r="R7259" i="29"/>
  <c r="R7258" i="29"/>
  <c r="R7257" i="29"/>
  <c r="R7254" i="29"/>
  <c r="R7253" i="29"/>
  <c r="R7256" i="29"/>
  <c r="R7255" i="29"/>
  <c r="R7252" i="29"/>
  <c r="R7251" i="29"/>
  <c r="R7250" i="29"/>
  <c r="R7249" i="29"/>
  <c r="R7248" i="29"/>
  <c r="R7247" i="29"/>
  <c r="R7245" i="29"/>
  <c r="R7244" i="29"/>
  <c r="R7237" i="29"/>
  <c r="R7236" i="29"/>
  <c r="R7235" i="29"/>
  <c r="R7246" i="29"/>
  <c r="R7243" i="29"/>
  <c r="R7242" i="29"/>
  <c r="R7241" i="29"/>
  <c r="R7240" i="29"/>
  <c r="R7239" i="29"/>
  <c r="R7238" i="29"/>
  <c r="R7234" i="29"/>
  <c r="R7233" i="29"/>
  <c r="R7232" i="29"/>
  <c r="R7231" i="29"/>
  <c r="R7229" i="29"/>
  <c r="R7226" i="29"/>
  <c r="R7225" i="29"/>
  <c r="R7224" i="29"/>
  <c r="R7221" i="29"/>
  <c r="R7220" i="29"/>
  <c r="R7219" i="29"/>
  <c r="R7218" i="29"/>
  <c r="R7217" i="29"/>
  <c r="R7230" i="29"/>
  <c r="R7227" i="29"/>
  <c r="R7216" i="29"/>
  <c r="R7215" i="29"/>
  <c r="R7214" i="29"/>
  <c r="R7213" i="29"/>
  <c r="R7212" i="29"/>
  <c r="R7211" i="29"/>
  <c r="R7210" i="29"/>
  <c r="R7209" i="29"/>
  <c r="R7228" i="29"/>
  <c r="R7223" i="29"/>
  <c r="R7222" i="29"/>
  <c r="R7207" i="29"/>
  <c r="R7204" i="29"/>
  <c r="R7201" i="29"/>
  <c r="R7203" i="29"/>
  <c r="R7202" i="29"/>
  <c r="R7208" i="29"/>
  <c r="R7206" i="29"/>
  <c r="R7205" i="29"/>
  <c r="R7200" i="29"/>
  <c r="R7199" i="29"/>
  <c r="R7198" i="29"/>
  <c r="R7197" i="29"/>
  <c r="R7196" i="29"/>
  <c r="R7193" i="29"/>
  <c r="R7192" i="29"/>
  <c r="R7191" i="29"/>
  <c r="R7190" i="29"/>
  <c r="R7189" i="29"/>
  <c r="R7185" i="29"/>
  <c r="R7184" i="29"/>
  <c r="R7182" i="29"/>
  <c r="R7181" i="29"/>
  <c r="R7180" i="29"/>
  <c r="R7179" i="29"/>
  <c r="R7178" i="29"/>
  <c r="R7177" i="29"/>
  <c r="R7176" i="29"/>
  <c r="R7195" i="29"/>
  <c r="R7194" i="29"/>
  <c r="R7188" i="29"/>
  <c r="R7187" i="29"/>
  <c r="R7186" i="29"/>
  <c r="R7183" i="29"/>
  <c r="R7175" i="29"/>
  <c r="R7170" i="29"/>
  <c r="R7168" i="29"/>
  <c r="R7174" i="29"/>
  <c r="R7173" i="29"/>
  <c r="R7172" i="29"/>
  <c r="R7171" i="29"/>
  <c r="R7169" i="29"/>
  <c r="R7167" i="29"/>
  <c r="R7166" i="29"/>
  <c r="R7165" i="29"/>
  <c r="R7164" i="29"/>
  <c r="R7163" i="29"/>
  <c r="R7162" i="29"/>
  <c r="R7161" i="29"/>
  <c r="R7160" i="29"/>
  <c r="R7159" i="29"/>
  <c r="R7158" i="29"/>
  <c r="R7157" i="29"/>
  <c r="R7156" i="29"/>
  <c r="R7155" i="29"/>
  <c r="R7154" i="29"/>
  <c r="R7153" i="29"/>
  <c r="R7152" i="29"/>
  <c r="R7148" i="29"/>
  <c r="R7147" i="29"/>
  <c r="R7146" i="29"/>
  <c r="R7145" i="29"/>
  <c r="R7151" i="29"/>
  <c r="R7149" i="29"/>
  <c r="R7144" i="29"/>
  <c r="R7143" i="29"/>
  <c r="R7142" i="29"/>
  <c r="R7141" i="29"/>
  <c r="R7140" i="29"/>
  <c r="R7150" i="29"/>
  <c r="R7139" i="29"/>
  <c r="R7138" i="29"/>
  <c r="R7137" i="29"/>
  <c r="R7136" i="29"/>
  <c r="R7135" i="29"/>
  <c r="R7134" i="29"/>
  <c r="R7133" i="29"/>
  <c r="R7132" i="29"/>
  <c r="R7131" i="29"/>
  <c r="R7130" i="29"/>
  <c r="R7129" i="29"/>
  <c r="R7126" i="29"/>
  <c r="R7123" i="29"/>
  <c r="R7122" i="29"/>
  <c r="R7121" i="29"/>
  <c r="R7120" i="29"/>
  <c r="R7119" i="29"/>
  <c r="R7118" i="29"/>
  <c r="R7117" i="29"/>
  <c r="R7116" i="29"/>
  <c r="R7115" i="29"/>
  <c r="R7128" i="29"/>
  <c r="R7127" i="29"/>
  <c r="R7114" i="29"/>
  <c r="R7113" i="29"/>
  <c r="R7112" i="29"/>
  <c r="R7111" i="29"/>
  <c r="R7110" i="29"/>
  <c r="R7109" i="29"/>
  <c r="R7108" i="29"/>
  <c r="R7107" i="29"/>
  <c r="R7106" i="29"/>
  <c r="R7125" i="29"/>
  <c r="R7124" i="29"/>
  <c r="R7105" i="29"/>
  <c r="R7104" i="29"/>
  <c r="R7103" i="29"/>
  <c r="R7102" i="29"/>
  <c r="R7101" i="29"/>
  <c r="R7100" i="29"/>
  <c r="R7099" i="29"/>
  <c r="R7097" i="29"/>
  <c r="R7098" i="29"/>
  <c r="R7096" i="29"/>
  <c r="R7093" i="29"/>
  <c r="R7095" i="29"/>
  <c r="R7094" i="29"/>
  <c r="R7092" i="29"/>
  <c r="R7091" i="29"/>
  <c r="R7089" i="29"/>
  <c r="R7088" i="29"/>
  <c r="R7087" i="29"/>
  <c r="R7086" i="29"/>
  <c r="R7085" i="29"/>
  <c r="R7084" i="29"/>
  <c r="R7083" i="29"/>
  <c r="R7082" i="29"/>
  <c r="R7081" i="29"/>
  <c r="R7080" i="29"/>
  <c r="R7079" i="29"/>
  <c r="R7078" i="29"/>
  <c r="R7090" i="29"/>
  <c r="R7075" i="29"/>
  <c r="R7074" i="29"/>
  <c r="R7077" i="29"/>
  <c r="R7076" i="29"/>
  <c r="R7073" i="29"/>
  <c r="R7072" i="29"/>
  <c r="R7071" i="29"/>
  <c r="R7069" i="29"/>
  <c r="R7070" i="29"/>
  <c r="R7060" i="29"/>
  <c r="R7059" i="29"/>
  <c r="R7058" i="29"/>
  <c r="R7057" i="29"/>
  <c r="R7068" i="29"/>
  <c r="R7067" i="29"/>
  <c r="R7066" i="29"/>
  <c r="R7065" i="29"/>
  <c r="R7064" i="29"/>
  <c r="R7056" i="29"/>
  <c r="R7055" i="29"/>
  <c r="R7054" i="29"/>
  <c r="R7053" i="29"/>
  <c r="R7063" i="29"/>
  <c r="R7062" i="29"/>
  <c r="R7061" i="29"/>
  <c r="R7052" i="29"/>
  <c r="R7050" i="29"/>
  <c r="R7049" i="29"/>
  <c r="R7051" i="29"/>
  <c r="R7048" i="29"/>
  <c r="R7047" i="29"/>
  <c r="R7046" i="29"/>
  <c r="R7045" i="29"/>
  <c r="R7043" i="29"/>
  <c r="R7042" i="29"/>
  <c r="R7041" i="29"/>
  <c r="R7040" i="29"/>
  <c r="R7039" i="29"/>
  <c r="R7038" i="29"/>
  <c r="R7037" i="29"/>
  <c r="R7044" i="29"/>
  <c r="R7035" i="29"/>
  <c r="R7034" i="29"/>
  <c r="R7036" i="29"/>
  <c r="R7031" i="29"/>
  <c r="R7030" i="29"/>
  <c r="R7029" i="29"/>
  <c r="R7028" i="29"/>
  <c r="R7027" i="29"/>
  <c r="R7023" i="29"/>
  <c r="R7022" i="29"/>
  <c r="R7021" i="29"/>
  <c r="R7020" i="29"/>
  <c r="R7033" i="29"/>
  <c r="R7032" i="29"/>
  <c r="R7026" i="29"/>
  <c r="R7025" i="29"/>
  <c r="R7024" i="29"/>
  <c r="R7018" i="29"/>
  <c r="R7019" i="29"/>
  <c r="R7017" i="29"/>
  <c r="R7016" i="29"/>
  <c r="R7015" i="29"/>
  <c r="R7014" i="29"/>
  <c r="R7013" i="29"/>
  <c r="R7012" i="29"/>
  <c r="R7011" i="29"/>
  <c r="R7010" i="29"/>
  <c r="R7009" i="29"/>
  <c r="R7008" i="29"/>
  <c r="R7007" i="29"/>
  <c r="R7006" i="29"/>
  <c r="R7005" i="29"/>
  <c r="R7004" i="29"/>
  <c r="R7003" i="29"/>
  <c r="R7002" i="29"/>
  <c r="R7001" i="29"/>
  <c r="R7000" i="29"/>
  <c r="R6999" i="29"/>
  <c r="R6988" i="29"/>
  <c r="R6998" i="29"/>
  <c r="R6997" i="29"/>
  <c r="R6996" i="29"/>
  <c r="R6995" i="29"/>
  <c r="R6994" i="29"/>
  <c r="R6993" i="29"/>
  <c r="R6992" i="29"/>
  <c r="R6991" i="29"/>
  <c r="R6990" i="29"/>
  <c r="R6989" i="29"/>
  <c r="R6987" i="29"/>
  <c r="R6986" i="29"/>
  <c r="R6985" i="29"/>
  <c r="R6984" i="29"/>
  <c r="R6983" i="29"/>
  <c r="R6982" i="29"/>
  <c r="R6981" i="29"/>
  <c r="R6980" i="29"/>
  <c r="R660" i="29"/>
  <c r="R6979" i="29"/>
  <c r="R6977" i="29"/>
  <c r="R6976" i="29"/>
  <c r="R6975" i="29"/>
  <c r="R6968" i="29"/>
  <c r="R6967" i="29"/>
  <c r="R6978" i="29"/>
  <c r="R6974" i="29"/>
  <c r="R6973" i="29"/>
  <c r="R6972" i="29"/>
  <c r="R6971" i="29"/>
  <c r="R6970" i="29"/>
  <c r="R6964" i="29"/>
  <c r="R6963" i="29"/>
  <c r="R6969" i="29"/>
  <c r="R6959" i="29"/>
  <c r="R6958" i="29"/>
  <c r="R6957" i="29"/>
  <c r="R6956" i="29"/>
  <c r="R6955" i="29"/>
  <c r="R6954" i="29"/>
  <c r="R6966" i="29"/>
  <c r="R6965" i="29"/>
  <c r="R6951" i="29"/>
  <c r="R6950" i="29"/>
  <c r="R6949" i="29"/>
  <c r="R6948" i="29"/>
  <c r="R6947" i="29"/>
  <c r="R6946" i="29"/>
  <c r="R6945" i="29"/>
  <c r="R6944" i="29"/>
  <c r="R6943" i="29"/>
  <c r="R6942" i="29"/>
  <c r="R6962" i="29"/>
  <c r="R6961" i="29"/>
  <c r="R6960" i="29"/>
  <c r="R6953" i="29"/>
  <c r="R6952" i="29"/>
  <c r="R6941" i="29"/>
  <c r="R6940" i="29"/>
  <c r="R6939" i="29"/>
  <c r="R6938" i="29"/>
  <c r="R6937" i="29"/>
  <c r="R6936" i="29"/>
  <c r="R6935" i="29"/>
  <c r="R6934" i="29"/>
  <c r="R6933" i="29"/>
  <c r="R6928" i="29"/>
  <c r="R6925" i="29"/>
  <c r="R6924" i="29"/>
  <c r="R6923" i="29"/>
  <c r="R6932" i="29"/>
  <c r="R6931" i="29"/>
  <c r="R6930" i="29"/>
  <c r="R6929" i="29"/>
  <c r="R6927" i="29"/>
  <c r="R6926" i="29"/>
  <c r="R6922" i="29"/>
  <c r="R6921" i="29"/>
  <c r="R6920" i="29"/>
  <c r="R6919" i="29"/>
  <c r="R6918" i="29"/>
  <c r="R6917" i="29"/>
  <c r="R6916" i="29"/>
  <c r="R6915" i="29"/>
  <c r="R6914" i="29"/>
  <c r="R6913" i="29"/>
  <c r="R6912" i="29"/>
  <c r="R6911" i="29"/>
  <c r="R6910" i="29"/>
  <c r="R6909" i="29"/>
  <c r="R6905" i="29"/>
  <c r="R6908" i="29"/>
  <c r="R6907" i="29"/>
  <c r="R6906" i="29"/>
  <c r="R6904" i="29"/>
  <c r="R6903" i="29"/>
  <c r="R6902" i="29"/>
  <c r="R6901" i="29"/>
  <c r="R6898" i="29"/>
  <c r="R6897" i="29"/>
  <c r="R6896" i="29"/>
  <c r="R6895" i="29"/>
  <c r="R6900" i="29"/>
  <c r="R6899" i="29"/>
  <c r="R6893" i="29"/>
  <c r="R6892" i="29"/>
  <c r="R6891" i="29"/>
  <c r="R6890" i="29"/>
  <c r="R6889" i="29"/>
  <c r="R6885" i="29"/>
  <c r="R6884" i="29"/>
  <c r="R6883" i="29"/>
  <c r="R6882" i="29"/>
  <c r="R6894" i="29"/>
  <c r="R6881" i="29"/>
  <c r="R6880" i="29"/>
  <c r="R6879" i="29"/>
  <c r="R6878" i="29"/>
  <c r="R6875" i="29"/>
  <c r="R6888" i="29"/>
  <c r="R6887" i="29"/>
  <c r="R6886" i="29"/>
  <c r="R6874" i="29"/>
  <c r="R6873" i="29"/>
  <c r="R6872" i="29"/>
  <c r="R6871" i="29"/>
  <c r="R6869" i="29"/>
  <c r="R6868" i="29"/>
  <c r="R6877" i="29"/>
  <c r="R6876" i="29"/>
  <c r="R6870" i="29"/>
  <c r="R6867" i="29"/>
  <c r="R6866" i="29"/>
  <c r="R6865" i="29"/>
  <c r="R6864" i="29"/>
  <c r="R6863" i="29"/>
  <c r="R6862" i="29"/>
  <c r="R6861" i="29"/>
  <c r="R6858" i="29"/>
  <c r="R6860" i="29"/>
  <c r="R6859" i="29"/>
  <c r="R6856" i="29"/>
  <c r="R6855" i="29"/>
  <c r="R6854" i="29"/>
  <c r="R6853" i="29"/>
  <c r="R6852" i="29"/>
  <c r="R6857" i="29"/>
  <c r="R6851" i="29"/>
  <c r="R6848" i="29"/>
  <c r="R6846" i="29"/>
  <c r="R6845" i="29"/>
  <c r="R6844" i="29"/>
  <c r="R6842" i="29"/>
  <c r="R6850" i="29"/>
  <c r="R6849" i="29"/>
  <c r="R6839" i="29"/>
  <c r="R6838" i="29"/>
  <c r="R6847" i="29"/>
  <c r="R6843" i="29"/>
  <c r="R6841" i="29"/>
  <c r="R6840" i="29"/>
  <c r="R6837" i="29"/>
  <c r="R6836" i="29"/>
  <c r="R6835" i="29"/>
  <c r="R6827" i="29"/>
  <c r="R6830" i="29"/>
  <c r="R6834" i="29"/>
  <c r="R6833" i="29"/>
  <c r="R6832" i="29"/>
  <c r="R6831" i="29"/>
  <c r="R6829" i="29"/>
  <c r="R6828" i="29"/>
  <c r="R6826" i="29"/>
  <c r="R6825" i="29"/>
  <c r="R6824" i="29"/>
  <c r="R6823" i="29"/>
  <c r="R6822" i="29"/>
  <c r="R6821" i="29"/>
  <c r="R6820" i="29"/>
  <c r="R6818" i="29"/>
  <c r="R6819" i="29"/>
  <c r="R6817" i="29"/>
  <c r="R6816" i="29"/>
  <c r="R6812" i="29"/>
  <c r="R6811" i="29"/>
  <c r="R6810" i="29"/>
  <c r="R6809" i="29"/>
  <c r="R6808" i="29"/>
  <c r="R6807" i="29"/>
  <c r="R6806" i="29"/>
  <c r="R6815" i="29"/>
  <c r="R6814" i="29"/>
  <c r="R6813" i="29"/>
  <c r="R6802" i="29"/>
  <c r="R6801" i="29"/>
  <c r="R6797" i="29"/>
  <c r="R6796" i="29"/>
  <c r="R6805" i="29"/>
  <c r="R6804" i="29"/>
  <c r="R6803" i="29"/>
  <c r="R6800" i="29"/>
  <c r="R6799" i="29"/>
  <c r="R6798" i="29"/>
  <c r="R6795" i="29"/>
  <c r="R6794" i="29"/>
  <c r="R6793" i="29"/>
  <c r="R6790" i="29"/>
  <c r="R6792" i="29"/>
  <c r="R6791" i="29"/>
  <c r="R6789" i="29"/>
  <c r="R6785" i="29"/>
  <c r="R6784" i="29"/>
  <c r="R6783" i="29"/>
  <c r="R6787" i="29"/>
  <c r="R6786" i="29"/>
  <c r="R6782" i="29"/>
  <c r="R6781" i="29"/>
  <c r="R6779" i="29"/>
  <c r="R6780" i="29"/>
  <c r="R6778" i="29"/>
  <c r="R6777" i="29"/>
  <c r="R6776" i="29"/>
  <c r="R6775" i="29"/>
  <c r="R6774" i="29"/>
  <c r="R6773" i="29"/>
  <c r="R6771" i="29"/>
  <c r="R6768" i="29"/>
  <c r="R6764" i="29"/>
  <c r="R6763" i="29"/>
  <c r="R6762" i="29"/>
  <c r="R6772" i="29"/>
  <c r="R6761" i="29"/>
  <c r="R6766" i="29"/>
  <c r="R6765" i="29"/>
  <c r="R6770" i="29"/>
  <c r="R6769" i="29"/>
  <c r="R6767" i="29"/>
  <c r="R6758" i="29"/>
  <c r="R6755" i="29"/>
  <c r="R6754" i="29"/>
  <c r="R6753" i="29"/>
  <c r="R6760" i="29"/>
  <c r="R6759" i="29"/>
  <c r="R6746" i="29"/>
  <c r="R6745" i="29"/>
  <c r="R6744" i="29"/>
  <c r="R6743" i="29"/>
  <c r="R6757" i="29"/>
  <c r="R6756" i="29"/>
  <c r="R6737" i="29"/>
  <c r="R6736" i="29"/>
  <c r="R6752" i="29"/>
  <c r="R6751" i="29"/>
  <c r="R6750" i="29"/>
  <c r="R6749" i="29"/>
  <c r="R6748" i="29"/>
  <c r="R6747" i="29"/>
  <c r="R6741" i="29"/>
  <c r="R6740" i="29"/>
  <c r="R6739" i="29"/>
  <c r="R6738" i="29"/>
  <c r="R6742" i="29"/>
  <c r="R6735" i="29"/>
  <c r="R6734" i="29"/>
  <c r="R6733" i="29"/>
  <c r="R6732" i="29"/>
  <c r="R6731" i="29"/>
  <c r="R6730" i="29"/>
  <c r="R6729" i="29"/>
  <c r="R6728" i="29"/>
  <c r="R6727" i="29"/>
  <c r="R6726" i="29"/>
  <c r="R6725" i="29"/>
  <c r="R6724" i="29"/>
  <c r="R6723" i="29"/>
  <c r="R6722" i="29"/>
  <c r="R6721" i="29"/>
  <c r="R6714" i="29"/>
  <c r="R6713" i="29"/>
  <c r="R6712" i="29"/>
  <c r="R6711" i="29"/>
  <c r="R6710" i="29"/>
  <c r="R6720" i="29"/>
  <c r="R6719" i="29"/>
  <c r="R6718" i="29"/>
  <c r="R6717" i="29"/>
  <c r="R6716" i="29"/>
  <c r="R6715" i="29"/>
  <c r="R6706" i="29"/>
  <c r="R6709" i="29"/>
  <c r="R6705" i="29"/>
  <c r="R6704" i="29"/>
  <c r="R6708" i="29"/>
  <c r="R6707" i="29"/>
  <c r="R6701" i="29"/>
  <c r="R6700" i="29"/>
  <c r="R6699" i="29"/>
  <c r="R6698" i="29"/>
  <c r="R6697" i="29"/>
  <c r="R6688" i="29"/>
  <c r="R6687" i="29"/>
  <c r="R6686" i="29"/>
  <c r="R6703" i="29"/>
  <c r="R6702" i="29"/>
  <c r="R6685" i="29"/>
  <c r="R6681" i="29"/>
  <c r="R6678" i="29"/>
  <c r="R6677" i="29"/>
  <c r="R6676" i="29"/>
  <c r="R6696" i="29"/>
  <c r="R6695" i="29"/>
  <c r="R6694" i="29"/>
  <c r="R6693" i="29"/>
  <c r="R6692" i="29"/>
  <c r="R6691" i="29"/>
  <c r="R6690" i="29"/>
  <c r="R6689" i="29"/>
  <c r="R6684" i="29"/>
  <c r="R6683" i="29"/>
  <c r="R6682" i="29"/>
  <c r="R6680" i="29"/>
  <c r="R6679" i="29"/>
  <c r="R6670" i="29"/>
  <c r="R6669" i="29"/>
  <c r="R6668" i="29"/>
  <c r="R6667" i="29"/>
  <c r="R6666" i="29"/>
  <c r="R6665" i="29"/>
  <c r="R6675" i="29"/>
  <c r="R6674" i="29"/>
  <c r="R6673" i="29"/>
  <c r="R6672" i="29"/>
  <c r="R6671" i="29"/>
  <c r="R6662" i="29"/>
  <c r="R6664" i="29"/>
  <c r="R6663" i="29"/>
  <c r="R6661" i="29"/>
  <c r="R6655" i="29"/>
  <c r="R6654" i="29"/>
  <c r="R6648" i="29"/>
  <c r="R6652" i="29"/>
  <c r="R6650" i="29"/>
  <c r="R6649" i="29"/>
  <c r="R6660" i="29"/>
  <c r="R6659" i="29"/>
  <c r="R6658" i="29"/>
  <c r="R6657" i="29"/>
  <c r="R6656" i="29"/>
  <c r="R6653" i="29"/>
  <c r="R6651" i="29"/>
  <c r="R6647" i="29"/>
  <c r="R6635" i="29"/>
  <c r="R6646" i="29"/>
  <c r="R6645" i="29"/>
  <c r="R6644" i="29"/>
  <c r="R6643" i="29"/>
  <c r="R6642" i="29"/>
  <c r="R6641" i="29"/>
  <c r="R6640" i="29"/>
  <c r="R6639" i="29"/>
  <c r="R6638" i="29"/>
  <c r="R6637" i="29"/>
  <c r="R6636" i="29"/>
  <c r="R6634" i="29"/>
  <c r="R6633" i="29"/>
  <c r="R6632" i="29"/>
  <c r="R6631" i="29"/>
  <c r="R6630" i="29"/>
  <c r="R6629" i="29"/>
  <c r="R6628" i="29"/>
  <c r="R6627" i="29"/>
  <c r="R6626" i="29"/>
  <c r="R6624" i="29"/>
  <c r="R6623" i="29"/>
  <c r="R6622" i="29"/>
  <c r="R6621" i="29"/>
  <c r="R6620" i="29"/>
  <c r="R6619" i="29"/>
  <c r="R6618" i="29"/>
  <c r="R6625" i="29"/>
  <c r="R6615" i="29"/>
  <c r="R6614" i="29"/>
  <c r="R6613" i="29"/>
  <c r="R6612" i="29"/>
  <c r="R6611" i="29"/>
  <c r="R6610" i="29"/>
  <c r="R6609" i="29"/>
  <c r="R6616" i="29"/>
  <c r="R6599" i="29"/>
  <c r="R6598" i="29"/>
  <c r="R6617" i="29"/>
  <c r="R6608" i="29"/>
  <c r="R6607" i="29"/>
  <c r="R6606" i="29"/>
  <c r="R6605" i="29"/>
  <c r="R6604" i="29"/>
  <c r="R6603" i="29"/>
  <c r="R6602" i="29"/>
  <c r="R6601" i="29"/>
  <c r="R6600" i="29"/>
  <c r="R6597" i="29"/>
  <c r="R6596" i="29"/>
  <c r="R6594" i="29"/>
  <c r="R6595" i="29"/>
  <c r="R6533" i="29"/>
  <c r="R6532" i="29"/>
  <c r="R6593" i="29"/>
  <c r="R6592" i="29"/>
  <c r="R6591" i="29"/>
  <c r="R6587" i="29"/>
  <c r="R6590" i="29"/>
  <c r="R6589" i="29"/>
  <c r="R6588" i="29"/>
  <c r="R6586" i="29"/>
  <c r="R6585" i="29"/>
  <c r="R6584" i="29"/>
  <c r="R6583" i="29"/>
  <c r="R6582" i="29"/>
  <c r="R6581" i="29"/>
  <c r="R6580" i="29"/>
  <c r="R6579" i="29"/>
  <c r="R6578" i="29"/>
  <c r="R6573" i="29"/>
  <c r="R6572" i="29"/>
  <c r="R6577" i="29"/>
  <c r="R6576" i="29"/>
  <c r="R6575" i="29"/>
  <c r="R6574" i="29"/>
  <c r="R6568" i="29"/>
  <c r="R6567" i="29"/>
  <c r="R6566" i="29"/>
  <c r="R6565" i="29"/>
  <c r="R6571" i="29"/>
  <c r="R6570" i="29"/>
  <c r="R6569" i="29"/>
  <c r="R6564" i="29"/>
  <c r="R6563" i="29"/>
  <c r="R6562" i="29"/>
  <c r="R6561" i="29"/>
  <c r="R6560" i="29"/>
  <c r="R6558" i="29"/>
  <c r="R6557" i="29"/>
  <c r="R6556" i="29"/>
  <c r="R6555" i="29"/>
  <c r="R6559" i="29"/>
  <c r="R6554" i="29"/>
  <c r="R6553" i="29"/>
  <c r="R6552" i="29"/>
  <c r="R6551" i="29"/>
  <c r="R6550" i="29"/>
  <c r="R6549" i="29"/>
  <c r="R6548" i="29"/>
  <c r="R6547" i="29"/>
  <c r="R6546" i="29"/>
  <c r="R6545" i="29"/>
  <c r="R6544" i="29"/>
  <c r="R6543" i="29"/>
  <c r="R6542" i="29"/>
  <c r="R6541" i="29"/>
  <c r="R6540" i="29"/>
  <c r="R6539" i="29"/>
  <c r="R6538" i="29"/>
  <c r="R6537" i="29"/>
  <c r="R6536" i="29"/>
  <c r="R6535" i="29"/>
  <c r="R6534" i="29"/>
  <c r="R6531" i="29"/>
  <c r="R6530" i="29"/>
  <c r="R6529" i="29"/>
  <c r="R6528" i="29"/>
  <c r="R6527" i="29"/>
  <c r="R6525" i="29"/>
  <c r="R6524" i="29"/>
  <c r="R6523" i="29"/>
  <c r="R6522" i="29"/>
  <c r="R6521" i="29"/>
  <c r="R6520" i="29"/>
  <c r="R6519" i="29"/>
  <c r="R6518" i="29"/>
  <c r="R6517" i="29"/>
  <c r="R6516" i="29"/>
  <c r="R6515" i="29"/>
  <c r="R6513" i="29"/>
  <c r="R6506" i="29"/>
  <c r="R6505" i="29"/>
  <c r="R6504" i="29"/>
  <c r="R6502" i="29"/>
  <c r="R6526" i="29"/>
  <c r="R6500" i="29"/>
  <c r="R6499" i="29"/>
  <c r="R6496" i="29"/>
  <c r="R6514" i="29"/>
  <c r="R6512" i="29"/>
  <c r="R6511" i="29"/>
  <c r="R6510" i="29"/>
  <c r="R6509" i="29"/>
  <c r="R6508" i="29"/>
  <c r="R6507" i="29"/>
  <c r="R6503" i="29"/>
  <c r="R6501" i="29"/>
  <c r="R644" i="29"/>
  <c r="R643" i="29"/>
  <c r="R6498" i="29"/>
  <c r="R6497" i="29"/>
  <c r="R6495" i="29"/>
  <c r="R6494" i="29"/>
  <c r="R6493" i="29"/>
  <c r="R6483" i="29"/>
  <c r="R6485" i="29"/>
  <c r="R6484" i="29"/>
  <c r="R6492" i="29"/>
  <c r="R6491" i="29"/>
  <c r="R6490" i="29"/>
  <c r="R6489" i="29"/>
  <c r="R6488" i="29"/>
  <c r="R6487" i="29"/>
  <c r="R6486" i="29"/>
  <c r="R6482" i="29"/>
  <c r="R6481" i="29"/>
  <c r="R6480" i="29"/>
  <c r="R6479" i="29"/>
  <c r="R6478" i="29"/>
  <c r="R6477" i="29"/>
  <c r="R6476" i="29"/>
  <c r="R6475" i="29"/>
  <c r="R6474" i="29"/>
  <c r="R6473" i="29"/>
  <c r="R6472" i="29"/>
  <c r="R6471" i="29"/>
  <c r="R6470" i="29"/>
  <c r="R6469" i="29"/>
  <c r="R6468" i="29"/>
  <c r="R6467" i="29"/>
  <c r="R6466" i="29"/>
  <c r="R6465" i="29"/>
  <c r="R6463" i="29"/>
  <c r="R6462" i="29"/>
  <c r="R6446" i="29"/>
  <c r="R6445" i="29"/>
  <c r="R6444" i="29"/>
  <c r="R636" i="29"/>
  <c r="R6464" i="29"/>
  <c r="R641" i="29"/>
  <c r="R6440" i="29"/>
  <c r="R6439" i="29"/>
  <c r="R6438" i="29"/>
  <c r="R6437" i="29"/>
  <c r="R6457" i="29"/>
  <c r="R6454" i="29"/>
  <c r="R6453" i="29"/>
  <c r="R6461" i="29"/>
  <c r="R6460" i="29"/>
  <c r="R6459" i="29"/>
  <c r="R6458" i="29"/>
  <c r="R6456" i="29"/>
  <c r="R6455" i="29"/>
  <c r="R6452" i="29"/>
  <c r="R6451" i="29"/>
  <c r="R6450" i="29"/>
  <c r="R6449" i="29"/>
  <c r="R6448" i="29"/>
  <c r="R6447" i="29"/>
  <c r="R6443" i="29"/>
  <c r="R6442" i="29"/>
  <c r="R6441" i="29"/>
  <c r="R6433" i="29"/>
  <c r="R6432" i="29"/>
  <c r="R6431" i="29"/>
  <c r="R6429" i="29"/>
  <c r="R6428" i="29"/>
  <c r="R6436" i="29"/>
  <c r="R6435" i="29"/>
  <c r="R6430" i="29"/>
  <c r="R6427" i="29"/>
  <c r="R6426" i="29"/>
  <c r="R6425" i="29"/>
  <c r="R6434" i="29"/>
  <c r="R6424" i="29"/>
  <c r="R6423" i="29"/>
  <c r="R6422" i="29"/>
  <c r="R6421" i="29"/>
  <c r="R6420" i="29"/>
  <c r="R6408" i="29"/>
  <c r="R6407" i="29"/>
  <c r="R6406" i="29"/>
  <c r="R6405" i="29"/>
  <c r="R6404" i="29"/>
  <c r="R6419" i="29"/>
  <c r="R6418" i="29"/>
  <c r="R6417" i="29"/>
  <c r="R6416" i="29"/>
  <c r="R6415" i="29"/>
  <c r="R6414" i="29"/>
  <c r="R6413" i="29"/>
  <c r="R6412" i="29"/>
  <c r="R6411" i="29"/>
  <c r="R6410" i="29"/>
  <c r="R6409" i="29"/>
  <c r="R6401" i="29"/>
  <c r="R6400" i="29"/>
  <c r="R6403" i="29"/>
  <c r="R6402" i="29"/>
  <c r="R6399" i="29"/>
  <c r="R6398" i="29"/>
  <c r="R6397" i="29"/>
  <c r="R6396" i="29"/>
  <c r="R6395" i="29"/>
  <c r="R6394" i="29"/>
  <c r="R6393" i="29"/>
  <c r="R6392" i="29"/>
  <c r="R6390" i="29"/>
  <c r="R6389" i="29"/>
  <c r="R6386" i="29"/>
  <c r="R6385" i="29"/>
  <c r="R6384" i="29"/>
  <c r="R6383" i="29"/>
  <c r="R6391" i="29"/>
  <c r="R6388" i="29"/>
  <c r="R6377" i="29"/>
  <c r="R6376" i="29"/>
  <c r="R6365" i="29"/>
  <c r="R6364" i="29"/>
  <c r="R6363" i="29"/>
  <c r="R6359" i="29"/>
  <c r="R6387" i="29"/>
  <c r="R6382" i="29"/>
  <c r="R6381" i="29"/>
  <c r="R6380" i="29"/>
  <c r="R6379" i="29"/>
  <c r="R6378" i="29"/>
  <c r="R6375" i="29"/>
  <c r="R6374" i="29"/>
  <c r="R6373" i="29"/>
  <c r="R6372" i="29"/>
  <c r="R6354" i="29"/>
  <c r="R6371" i="29"/>
  <c r="R6361" i="29"/>
  <c r="R6358" i="29"/>
  <c r="R6360" i="29"/>
  <c r="R6370" i="29"/>
  <c r="R6369" i="29"/>
  <c r="R6368" i="29"/>
  <c r="R6367" i="29"/>
  <c r="R6366" i="29"/>
  <c r="R6362" i="29"/>
  <c r="R6357" i="29"/>
  <c r="R6356" i="29"/>
  <c r="R6355" i="29"/>
  <c r="R6333" i="29"/>
  <c r="R6332" i="29"/>
  <c r="R6331" i="29"/>
  <c r="R6348" i="29"/>
  <c r="R6347" i="29"/>
  <c r="R6353" i="29"/>
  <c r="R6352" i="29"/>
  <c r="R6351" i="29"/>
  <c r="R6350" i="29"/>
  <c r="R6349" i="29"/>
  <c r="R6346" i="29"/>
  <c r="R6345" i="29"/>
  <c r="R6344" i="29"/>
  <c r="R6343" i="29"/>
  <c r="R6342" i="29"/>
  <c r="R6341" i="29"/>
  <c r="R6340" i="29"/>
  <c r="R6339" i="29"/>
  <c r="R6338" i="29"/>
  <c r="R6337" i="29"/>
  <c r="R6336" i="29"/>
  <c r="R6335" i="29"/>
  <c r="R6334" i="29"/>
  <c r="R6329" i="29"/>
  <c r="R6328" i="29"/>
  <c r="R6325" i="29"/>
  <c r="R6330" i="29"/>
  <c r="R6320" i="29"/>
  <c r="R6319" i="29"/>
  <c r="R6318" i="29"/>
  <c r="R6317" i="29"/>
  <c r="R6327" i="29"/>
  <c r="R6326" i="29"/>
  <c r="R6324" i="29"/>
  <c r="R6323" i="29"/>
  <c r="R6322" i="29"/>
  <c r="R6321" i="29"/>
  <c r="R6315" i="29"/>
  <c r="R6314" i="29"/>
  <c r="R6313" i="29"/>
  <c r="R6312" i="29"/>
  <c r="R6305" i="29"/>
  <c r="R6304" i="29"/>
  <c r="R6316" i="29"/>
  <c r="R6311" i="29"/>
  <c r="R6310" i="29"/>
  <c r="R6309" i="29"/>
  <c r="R6308" i="29"/>
  <c r="R6307" i="29"/>
  <c r="R6306" i="29"/>
  <c r="R6303" i="29"/>
  <c r="R6302" i="29"/>
  <c r="R6301" i="29"/>
  <c r="R6300" i="29"/>
  <c r="R6299" i="29"/>
  <c r="R6297" i="29"/>
  <c r="R6296" i="29"/>
  <c r="R6294" i="29"/>
  <c r="R6293" i="29"/>
  <c r="R6298" i="29"/>
  <c r="R6295" i="29"/>
  <c r="R6292" i="29"/>
  <c r="R6291" i="29"/>
  <c r="R6290" i="29"/>
  <c r="R6289" i="29"/>
  <c r="R6288" i="29"/>
  <c r="R6287" i="29"/>
  <c r="R6286" i="29"/>
  <c r="R6285" i="29"/>
  <c r="R6284" i="29"/>
  <c r="R6275" i="29"/>
  <c r="R6271" i="29"/>
  <c r="R6270" i="29"/>
  <c r="R6269" i="29"/>
  <c r="R6268" i="29"/>
  <c r="R6267" i="29"/>
  <c r="R6278" i="29"/>
  <c r="R6277" i="29"/>
  <c r="R6276" i="29"/>
  <c r="R6274" i="29"/>
  <c r="R6272" i="29"/>
  <c r="R6273" i="29"/>
  <c r="R6266" i="29"/>
  <c r="R6283" i="29"/>
  <c r="R6282" i="29"/>
  <c r="R6281" i="29"/>
  <c r="R6280" i="29"/>
  <c r="R6279" i="29"/>
  <c r="R6263" i="29"/>
  <c r="R6262" i="29"/>
  <c r="R6261" i="29"/>
  <c r="R6264" i="29"/>
  <c r="R6257" i="29"/>
  <c r="R6249" i="29"/>
  <c r="R6248" i="29"/>
  <c r="R6247" i="29"/>
  <c r="R6246" i="29"/>
  <c r="R6245" i="29"/>
  <c r="R6265" i="29"/>
  <c r="R6260" i="29"/>
  <c r="R6259" i="29"/>
  <c r="R6258" i="29"/>
  <c r="R6256" i="29"/>
  <c r="R6255" i="29"/>
  <c r="R6254" i="29"/>
  <c r="R6253" i="29"/>
  <c r="R6252" i="29"/>
  <c r="R6251" i="29"/>
  <c r="R6250" i="29"/>
  <c r="R6244" i="29"/>
  <c r="R6242" i="29"/>
  <c r="R6238" i="29"/>
  <c r="R6237" i="29"/>
  <c r="R6236" i="29"/>
  <c r="R6243" i="29"/>
  <c r="R6241" i="29"/>
  <c r="R6240" i="29"/>
  <c r="R6239" i="29"/>
  <c r="R6235" i="29"/>
  <c r="R6226" i="29"/>
  <c r="R6225" i="29"/>
  <c r="R6224" i="29"/>
  <c r="R6217" i="29"/>
  <c r="R6234" i="29"/>
  <c r="R6233" i="29"/>
  <c r="R6232" i="29"/>
  <c r="R6231" i="29"/>
  <c r="R6230" i="29"/>
  <c r="R6229" i="29"/>
  <c r="R6228" i="29"/>
  <c r="R6227" i="29"/>
  <c r="R6223" i="29"/>
  <c r="R6222" i="29"/>
  <c r="R6221" i="29"/>
  <c r="R6220" i="29"/>
  <c r="R6219" i="29"/>
  <c r="R6218" i="29"/>
  <c r="R6216" i="29"/>
  <c r="R6215" i="29"/>
  <c r="R6214" i="29"/>
  <c r="R6213" i="29"/>
  <c r="R6212" i="29"/>
  <c r="R6211" i="29"/>
  <c r="R6210" i="29"/>
  <c r="R6209" i="29"/>
  <c r="R6208" i="29"/>
  <c r="R6207" i="29"/>
  <c r="R6206" i="29"/>
  <c r="R6205" i="29"/>
  <c r="R6204" i="29"/>
  <c r="R6203" i="29"/>
  <c r="R6202" i="29"/>
  <c r="R6201" i="29"/>
  <c r="R6200" i="29"/>
  <c r="R6199" i="29"/>
  <c r="R6198" i="29"/>
  <c r="R6197" i="29"/>
  <c r="R6196" i="29"/>
  <c r="R6195" i="29"/>
  <c r="R6194" i="29"/>
  <c r="R6193" i="29"/>
  <c r="R6192" i="29"/>
  <c r="R6191" i="29"/>
  <c r="R6186" i="29"/>
  <c r="R6127" i="29"/>
  <c r="R6126" i="29"/>
  <c r="R6117" i="29"/>
  <c r="R6098" i="29"/>
  <c r="R6171" i="29"/>
  <c r="R6170" i="29"/>
  <c r="R6181" i="29"/>
  <c r="R6180" i="29"/>
  <c r="R6179" i="29"/>
  <c r="R6178" i="29"/>
  <c r="R6177" i="29"/>
  <c r="R6190" i="29"/>
  <c r="R6188" i="29"/>
  <c r="R6176" i="29"/>
  <c r="R6189" i="29"/>
  <c r="R6187" i="29"/>
  <c r="R6175" i="29"/>
  <c r="R6174" i="29"/>
  <c r="R6185" i="29"/>
  <c r="R6184" i="29"/>
  <c r="R6183" i="29"/>
  <c r="R6182" i="29"/>
  <c r="R6173" i="29"/>
  <c r="R6172" i="29"/>
  <c r="R6169" i="29"/>
  <c r="R6168" i="29"/>
  <c r="R6167" i="29"/>
  <c r="R6166" i="29"/>
  <c r="R6165" i="29"/>
  <c r="R6164" i="29"/>
  <c r="R6163" i="29"/>
  <c r="R6162" i="29"/>
  <c r="R6161" i="29"/>
  <c r="R6160" i="29"/>
  <c r="R6159" i="29"/>
  <c r="R6158" i="29"/>
  <c r="R6157" i="29"/>
  <c r="R6156" i="29"/>
  <c r="R6155" i="29"/>
  <c r="R6152" i="29"/>
  <c r="R6154" i="29"/>
  <c r="R6153" i="29"/>
  <c r="R6151" i="29"/>
  <c r="R6150" i="29"/>
  <c r="R6149" i="29"/>
  <c r="R6148" i="29"/>
  <c r="R6147" i="29"/>
  <c r="R6146" i="29"/>
  <c r="R6145" i="29"/>
  <c r="R6144" i="29"/>
  <c r="R6143" i="29"/>
  <c r="R6142" i="29"/>
  <c r="R6141" i="29"/>
  <c r="R6140" i="29"/>
  <c r="R6139" i="29"/>
  <c r="R6138" i="29"/>
  <c r="R6137" i="29"/>
  <c r="R6136" i="29"/>
  <c r="R6135" i="29"/>
  <c r="R9631" i="29"/>
  <c r="R6128" i="29"/>
  <c r="R6134" i="29"/>
  <c r="R6133" i="29"/>
  <c r="R6132" i="29"/>
  <c r="R6131" i="29"/>
  <c r="R6130" i="29"/>
  <c r="R6129" i="29"/>
  <c r="R6125" i="29"/>
  <c r="R6124" i="29"/>
  <c r="R6123" i="29"/>
  <c r="R6122" i="29"/>
  <c r="R6121" i="29"/>
  <c r="R6115" i="29"/>
  <c r="R6114" i="29"/>
  <c r="R6113" i="29"/>
  <c r="R6112" i="29"/>
  <c r="R6111" i="29"/>
  <c r="R6099" i="29"/>
  <c r="R6120" i="29"/>
  <c r="R6119" i="29"/>
  <c r="R6118" i="29"/>
  <c r="R6116" i="29"/>
  <c r="R6097" i="29"/>
  <c r="R6110" i="29"/>
  <c r="R6109" i="29"/>
  <c r="R6108" i="29"/>
  <c r="R6107" i="29"/>
  <c r="R6106" i="29"/>
  <c r="R6105" i="29"/>
  <c r="R6104" i="29"/>
  <c r="R6103" i="29"/>
  <c r="R6102" i="29"/>
  <c r="R6101" i="29"/>
  <c r="R6100" i="29"/>
  <c r="R6096" i="29"/>
  <c r="R6095" i="29"/>
  <c r="R6094" i="29"/>
  <c r="R6093" i="29"/>
  <c r="R6092" i="29"/>
  <c r="R6091" i="29"/>
  <c r="R6090" i="29"/>
  <c r="R6089" i="29"/>
  <c r="R6088" i="29"/>
  <c r="R6087" i="29"/>
  <c r="R6086" i="29"/>
  <c r="R6085" i="29"/>
  <c r="R6084" i="29"/>
  <c r="R6083" i="29"/>
  <c r="R6082" i="29"/>
  <c r="R6080" i="29"/>
  <c r="R6079" i="29"/>
  <c r="R6078" i="29"/>
  <c r="R6081" i="29"/>
  <c r="R6076" i="29"/>
  <c r="R6075" i="29"/>
  <c r="R6074" i="29"/>
  <c r="R6073" i="29"/>
  <c r="R6077" i="29"/>
  <c r="R6060" i="29"/>
  <c r="R6059" i="29"/>
  <c r="R6058" i="29"/>
  <c r="R6057" i="29"/>
  <c r="R6072" i="29"/>
  <c r="R6071" i="29"/>
  <c r="R6070" i="29"/>
  <c r="R6069" i="29"/>
  <c r="R6068" i="29"/>
  <c r="R6067" i="29"/>
  <c r="R6066" i="29"/>
  <c r="R6065" i="29"/>
  <c r="R6063" i="29"/>
  <c r="R6064" i="29"/>
  <c r="R6056" i="29"/>
  <c r="R6049" i="29"/>
  <c r="R6048" i="29"/>
  <c r="R6062" i="29"/>
  <c r="R6061" i="29"/>
  <c r="R6055" i="29"/>
  <c r="R6054" i="29"/>
  <c r="R6053" i="29"/>
  <c r="R6052" i="29"/>
  <c r="R6051" i="29"/>
  <c r="R6050" i="29"/>
  <c r="R6047" i="29"/>
  <c r="R6046" i="29"/>
  <c r="R6045" i="29"/>
  <c r="R6044" i="29"/>
  <c r="R6043" i="29"/>
  <c r="R6037" i="29"/>
  <c r="R6036" i="29"/>
  <c r="R6035" i="29"/>
  <c r="R6034" i="29"/>
  <c r="R6033" i="29"/>
  <c r="R6028" i="29"/>
  <c r="R6027" i="29"/>
  <c r="R6026" i="29"/>
  <c r="R6025" i="29"/>
  <c r="R6024" i="29"/>
  <c r="R6023" i="29"/>
  <c r="R6042" i="29"/>
  <c r="R6041" i="29"/>
  <c r="R6040" i="29"/>
  <c r="R6039" i="29"/>
  <c r="R6038" i="29"/>
  <c r="R6032" i="29"/>
  <c r="R6031" i="29"/>
  <c r="R6030" i="29"/>
  <c r="R6029" i="29"/>
  <c r="R6022" i="29"/>
  <c r="R6021" i="29"/>
  <c r="R6020" i="29"/>
  <c r="R6019" i="29"/>
  <c r="R6018" i="29"/>
  <c r="R6017" i="29"/>
  <c r="R6016" i="29"/>
  <c r="R6015" i="29"/>
  <c r="R6010" i="29"/>
  <c r="R6009" i="29"/>
  <c r="R6008" i="29"/>
  <c r="R6007" i="29"/>
  <c r="R6006" i="29"/>
  <c r="R6005" i="29"/>
  <c r="R5997" i="29"/>
  <c r="R5996" i="29"/>
  <c r="R6014" i="29"/>
  <c r="R6013" i="29"/>
  <c r="R6012" i="29"/>
  <c r="R6011" i="29"/>
  <c r="R6004" i="29"/>
  <c r="R6003" i="29"/>
  <c r="R6002" i="29"/>
  <c r="R5985" i="29"/>
  <c r="R5984" i="29"/>
  <c r="R6001" i="29"/>
  <c r="R6000" i="29"/>
  <c r="R5999" i="29"/>
  <c r="R5998" i="29"/>
  <c r="R5995" i="29"/>
  <c r="R5994" i="29"/>
  <c r="R5993" i="29"/>
  <c r="R5992" i="29"/>
  <c r="R5991" i="29"/>
  <c r="R5990" i="29"/>
  <c r="R5989" i="29"/>
  <c r="R5988" i="29"/>
  <c r="R5987" i="29"/>
  <c r="R5986" i="29"/>
  <c r="R5983" i="29"/>
  <c r="R5980" i="29"/>
  <c r="R5979" i="29"/>
  <c r="R5970" i="29"/>
  <c r="R5969" i="29"/>
  <c r="R5968" i="29"/>
  <c r="R5967" i="29"/>
  <c r="R5982" i="29"/>
  <c r="R5981" i="29"/>
  <c r="R5958" i="29"/>
  <c r="R651" i="29"/>
  <c r="R650" i="29"/>
  <c r="R649" i="29"/>
  <c r="R5957" i="29"/>
  <c r="R5978" i="29"/>
  <c r="R5977" i="29"/>
  <c r="R5976" i="29"/>
  <c r="R5975" i="29"/>
  <c r="R5974" i="29"/>
  <c r="R5973" i="29"/>
  <c r="R5972" i="29"/>
  <c r="R5966" i="29"/>
  <c r="R5965" i="29"/>
  <c r="R5971" i="29"/>
  <c r="R5964" i="29"/>
  <c r="R5963" i="29"/>
  <c r="R5962" i="29"/>
  <c r="R5961" i="29"/>
  <c r="R5960" i="29"/>
  <c r="R5959" i="29"/>
  <c r="R5956" i="29"/>
  <c r="R5954" i="29"/>
  <c r="R5955" i="29"/>
  <c r="R5953" i="29"/>
  <c r="R5952" i="29"/>
  <c r="R5951" i="29"/>
  <c r="R5950" i="29"/>
  <c r="R5949" i="29"/>
  <c r="R5948" i="29"/>
  <c r="R5947" i="29"/>
  <c r="R5946" i="29"/>
  <c r="R5945" i="29"/>
  <c r="R5944" i="29"/>
  <c r="R5943" i="29"/>
  <c r="R5942" i="29"/>
  <c r="R5941" i="29"/>
  <c r="R5940" i="29"/>
  <c r="R5939" i="29"/>
  <c r="R5938" i="29"/>
  <c r="R5934" i="29"/>
  <c r="R5933" i="29"/>
  <c r="R5932" i="29"/>
  <c r="R5931" i="29"/>
  <c r="R5930" i="29"/>
  <c r="R5926" i="29"/>
  <c r="R5925" i="29"/>
  <c r="R5929" i="29"/>
  <c r="R5924" i="29"/>
  <c r="R5937" i="29"/>
  <c r="R5936" i="29"/>
  <c r="R5935" i="29"/>
  <c r="R5928" i="29"/>
  <c r="R5927" i="29"/>
  <c r="R5920" i="29"/>
  <c r="R5923" i="29"/>
  <c r="R5917" i="29"/>
  <c r="R5916" i="29"/>
  <c r="R5905" i="29"/>
  <c r="R5922" i="29"/>
  <c r="R5921" i="29"/>
  <c r="R5911" i="29"/>
  <c r="R5910" i="29"/>
  <c r="R5909" i="29"/>
  <c r="R5908" i="29"/>
  <c r="R5907" i="29"/>
  <c r="R5906" i="29"/>
  <c r="R5904" i="29"/>
  <c r="R5919" i="29"/>
  <c r="R5918" i="29"/>
  <c r="R5915" i="29"/>
  <c r="R5914" i="29"/>
  <c r="R5913" i="29"/>
  <c r="R5912" i="29"/>
  <c r="R5902" i="29"/>
  <c r="R5901" i="29"/>
  <c r="R5900" i="29"/>
  <c r="R5903" i="29"/>
  <c r="R5899" i="29"/>
  <c r="R5898" i="29"/>
  <c r="R5897" i="29"/>
  <c r="R5896" i="29"/>
  <c r="R5894" i="29"/>
  <c r="R5893" i="29"/>
  <c r="R5892" i="29"/>
  <c r="R5891" i="29"/>
  <c r="R5890" i="29"/>
  <c r="R5889" i="29"/>
  <c r="R5888" i="29"/>
  <c r="R5887" i="29"/>
  <c r="R5886" i="29"/>
  <c r="R5885" i="29"/>
  <c r="R5884" i="29"/>
  <c r="R5895" i="29"/>
  <c r="R5883" i="29"/>
  <c r="R5882" i="29"/>
  <c r="R5881" i="29"/>
  <c r="R5880" i="29"/>
  <c r="R5879" i="29"/>
  <c r="R5878" i="29"/>
  <c r="R5877" i="29"/>
  <c r="R5874" i="29"/>
  <c r="R5873" i="29"/>
  <c r="R5872" i="29"/>
  <c r="R5871" i="29"/>
  <c r="R5870" i="29"/>
  <c r="R5869" i="29"/>
  <c r="R5868" i="29"/>
  <c r="R5861" i="29"/>
  <c r="R5876" i="29"/>
  <c r="R5875" i="29"/>
  <c r="R5862" i="29"/>
  <c r="R5860" i="29"/>
  <c r="R5867" i="29"/>
  <c r="R5866" i="29"/>
  <c r="R5865" i="29"/>
  <c r="R5864" i="29"/>
  <c r="R5863" i="29"/>
  <c r="R5847" i="29"/>
  <c r="R5857" i="29"/>
  <c r="R5856" i="29"/>
  <c r="R5855" i="29"/>
  <c r="R5854" i="29"/>
  <c r="R5853" i="29"/>
  <c r="R5859" i="29"/>
  <c r="R5858" i="29"/>
  <c r="R5852" i="29"/>
  <c r="R5851" i="29"/>
  <c r="R5850" i="29"/>
  <c r="R5849" i="29"/>
  <c r="R5848" i="29"/>
  <c r="R5846" i="29"/>
  <c r="R5845" i="29"/>
  <c r="R5844" i="29"/>
  <c r="R5832" i="29"/>
  <c r="R5831" i="29"/>
  <c r="R5830" i="29"/>
  <c r="R5843" i="29"/>
  <c r="R5842" i="29"/>
  <c r="R5841" i="29"/>
  <c r="R5840" i="29"/>
  <c r="R5829" i="29"/>
  <c r="R5822" i="29"/>
  <c r="R5821" i="29"/>
  <c r="R5839" i="29"/>
  <c r="R5838" i="29"/>
  <c r="R5837" i="29"/>
  <c r="R5836" i="29"/>
  <c r="R5835" i="29"/>
  <c r="R5834" i="29"/>
  <c r="R5833" i="29"/>
  <c r="R5828" i="29"/>
  <c r="R5827" i="29"/>
  <c r="R5826" i="29"/>
  <c r="R5825" i="29"/>
  <c r="R5824" i="29"/>
  <c r="R5823" i="29"/>
  <c r="R5820" i="29"/>
  <c r="R5819" i="29"/>
  <c r="R5818" i="29"/>
  <c r="R5815" i="29"/>
  <c r="R5814" i="29"/>
  <c r="R5813" i="29"/>
  <c r="R5812" i="29"/>
  <c r="R5811" i="29"/>
  <c r="R5810" i="29"/>
  <c r="R5817" i="29"/>
  <c r="R5816" i="29"/>
  <c r="R5809" i="29"/>
  <c r="R5808" i="29"/>
  <c r="R5807" i="29"/>
  <c r="R5806" i="29"/>
  <c r="R5805" i="29"/>
  <c r="R5804" i="29"/>
  <c r="R5803" i="29"/>
  <c r="R5802" i="29"/>
  <c r="R5801" i="29"/>
  <c r="R5800" i="29"/>
  <c r="R5799" i="29"/>
  <c r="R5795" i="29"/>
  <c r="R5794" i="29"/>
  <c r="R5793" i="29"/>
  <c r="R5792" i="29"/>
  <c r="R5791" i="29"/>
  <c r="R5790" i="29"/>
  <c r="R5798" i="29"/>
  <c r="R5797" i="29"/>
  <c r="R5796" i="29"/>
  <c r="R5789" i="29"/>
  <c r="R5788" i="29"/>
  <c r="R5787" i="29"/>
  <c r="R5786" i="29"/>
  <c r="R5785" i="29"/>
  <c r="R5784" i="29"/>
  <c r="R5783" i="29"/>
  <c r="R5782" i="29"/>
  <c r="R5781" i="29"/>
  <c r="R5780" i="29"/>
  <c r="R5778" i="29"/>
  <c r="R5777" i="29"/>
  <c r="R5776" i="29"/>
  <c r="R5775" i="29"/>
  <c r="R5779" i="29"/>
  <c r="R5774" i="29"/>
  <c r="R5773" i="29"/>
  <c r="R5772" i="29"/>
  <c r="R5771" i="29"/>
  <c r="R5766" i="29"/>
  <c r="R5770" i="29"/>
  <c r="R5769" i="29"/>
  <c r="R5768" i="29"/>
  <c r="R5767" i="29"/>
  <c r="R5765" i="29"/>
  <c r="R5764" i="29"/>
  <c r="R5763" i="29"/>
  <c r="R5762" i="29"/>
  <c r="R5759" i="29"/>
  <c r="R5758" i="29"/>
  <c r="R5756" i="29"/>
  <c r="R5755" i="29"/>
  <c r="R5754" i="29"/>
  <c r="R5753" i="29"/>
  <c r="R5752" i="29"/>
  <c r="R5751" i="29"/>
  <c r="R5750" i="29"/>
  <c r="R5749" i="29"/>
  <c r="R5745" i="29"/>
  <c r="R5744" i="29"/>
  <c r="R5761" i="29"/>
  <c r="R5760" i="29"/>
  <c r="R5757" i="29"/>
  <c r="R5748" i="29"/>
  <c r="R5746" i="29"/>
  <c r="R5740" i="29"/>
  <c r="R5739" i="29"/>
  <c r="R5737" i="29"/>
  <c r="R5747" i="29"/>
  <c r="R5734" i="29"/>
  <c r="R5732" i="29"/>
  <c r="R5731" i="29"/>
  <c r="R5730" i="29"/>
  <c r="R5729" i="29"/>
  <c r="R5726" i="29"/>
  <c r="R5743" i="29"/>
  <c r="R5742" i="29"/>
  <c r="R5741" i="29"/>
  <c r="R5738" i="29"/>
  <c r="R5728" i="29"/>
  <c r="R5727" i="29"/>
  <c r="R5736" i="29"/>
  <c r="R5735" i="29"/>
  <c r="R5733" i="29"/>
  <c r="R5725" i="29"/>
  <c r="R5724" i="29"/>
  <c r="R5723" i="29"/>
  <c r="R5722" i="29"/>
  <c r="R5721" i="29"/>
  <c r="R5720" i="29"/>
  <c r="R5719" i="29"/>
  <c r="R5718" i="29"/>
  <c r="R5717" i="29"/>
  <c r="R5716" i="29"/>
  <c r="R5715" i="29"/>
  <c r="R5714" i="29"/>
  <c r="R5713" i="29"/>
  <c r="R5712" i="29"/>
  <c r="R5711" i="29"/>
  <c r="R5710" i="29"/>
  <c r="R5707" i="29"/>
  <c r="R5706" i="29"/>
  <c r="R5705" i="29"/>
  <c r="R5704" i="29"/>
  <c r="R5703" i="29"/>
  <c r="R5702" i="29"/>
  <c r="R5709" i="29"/>
  <c r="R5708" i="29"/>
  <c r="R5701" i="29"/>
  <c r="R5700" i="29"/>
  <c r="R5699" i="29"/>
  <c r="R5698" i="29"/>
  <c r="R5697" i="29"/>
  <c r="R5696" i="29"/>
  <c r="R5694" i="29"/>
  <c r="R5693" i="29"/>
  <c r="R5692" i="29"/>
  <c r="R5691" i="29"/>
  <c r="R5690" i="29"/>
  <c r="R5689" i="29"/>
  <c r="R5688" i="29"/>
  <c r="R5687" i="29"/>
  <c r="R5695" i="29"/>
  <c r="R5686" i="29"/>
  <c r="R5675" i="29"/>
  <c r="R5671" i="29"/>
  <c r="R5670" i="29"/>
  <c r="R5669" i="29"/>
  <c r="R5684" i="29"/>
  <c r="R5683" i="29"/>
  <c r="R5682" i="29"/>
  <c r="R5681" i="29"/>
  <c r="R5680" i="29"/>
  <c r="R5679" i="29"/>
  <c r="R5678" i="29"/>
  <c r="R5677" i="29"/>
  <c r="R5676" i="29"/>
  <c r="R5674" i="29"/>
  <c r="R5673" i="29"/>
  <c r="R5672" i="29"/>
  <c r="R5668" i="29"/>
  <c r="R5667" i="29"/>
  <c r="R5657" i="29"/>
  <c r="R5656" i="29"/>
  <c r="R5649" i="29"/>
  <c r="R5648" i="29"/>
  <c r="R5647" i="29"/>
  <c r="R5646" i="29"/>
  <c r="R5645" i="29"/>
  <c r="R5644" i="29"/>
  <c r="R5643" i="29"/>
  <c r="R5642" i="29"/>
  <c r="R5641" i="29"/>
  <c r="R5666" i="29"/>
  <c r="R5665" i="29"/>
  <c r="R5664" i="29"/>
  <c r="R5663" i="29"/>
  <c r="R5662" i="29"/>
  <c r="R5661" i="29"/>
  <c r="R5660" i="29"/>
  <c r="R5659" i="29"/>
  <c r="R5658" i="29"/>
  <c r="R5655" i="29"/>
  <c r="R5654" i="29"/>
  <c r="R5653" i="29"/>
  <c r="R5652" i="29"/>
  <c r="R5685" i="29"/>
  <c r="R5636" i="29"/>
  <c r="R5635" i="29"/>
  <c r="R5620" i="29"/>
  <c r="R5619" i="29"/>
  <c r="R5618" i="29"/>
  <c r="R5616" i="29"/>
  <c r="R5615" i="29"/>
  <c r="R5614" i="29"/>
  <c r="R5613" i="29"/>
  <c r="R5612" i="29"/>
  <c r="R5611" i="29"/>
  <c r="R5640" i="29"/>
  <c r="R5639" i="29"/>
  <c r="R5638" i="29"/>
  <c r="R5637" i="29"/>
  <c r="R5634" i="29"/>
  <c r="R5633" i="29"/>
  <c r="R5632" i="29"/>
  <c r="R5631" i="29"/>
  <c r="R5630" i="29"/>
  <c r="R5629" i="29"/>
  <c r="R5602" i="29"/>
  <c r="R5601" i="29"/>
  <c r="R5600" i="29"/>
  <c r="R5599" i="29"/>
  <c r="R5598" i="29"/>
  <c r="R5597" i="29"/>
  <c r="R5596" i="29"/>
  <c r="R5595" i="29"/>
  <c r="R5594" i="29"/>
  <c r="R5650" i="29"/>
  <c r="R5651" i="29"/>
  <c r="R5628" i="29"/>
  <c r="R5627" i="29"/>
  <c r="R5626" i="29"/>
  <c r="R5625" i="29"/>
  <c r="R5624" i="29"/>
  <c r="R5623" i="29"/>
  <c r="R5622" i="29"/>
  <c r="R5621" i="29"/>
  <c r="R5617" i="29"/>
  <c r="R5606" i="29"/>
  <c r="R5605" i="29"/>
  <c r="R5593" i="29"/>
  <c r="R5610" i="29"/>
  <c r="R5609" i="29"/>
  <c r="R5608" i="29"/>
  <c r="R5607" i="29"/>
  <c r="R5604" i="29"/>
  <c r="R5592" i="29"/>
  <c r="R5591" i="29"/>
  <c r="R5603" i="29"/>
  <c r="R5590" i="29"/>
  <c r="R5589" i="29"/>
  <c r="R5588" i="29"/>
  <c r="R5584" i="29"/>
  <c r="R5578" i="29"/>
  <c r="R5577" i="29"/>
  <c r="R5576" i="29"/>
  <c r="R5575" i="29"/>
  <c r="R5574" i="29"/>
  <c r="R5573" i="29"/>
  <c r="R5572" i="29"/>
  <c r="R5571" i="29"/>
  <c r="R5570" i="29"/>
  <c r="R5569" i="29"/>
  <c r="R5568" i="29"/>
  <c r="R5567" i="29"/>
  <c r="R5587" i="29"/>
  <c r="R5586" i="29"/>
  <c r="R5585" i="29"/>
  <c r="R5583" i="29"/>
  <c r="R5582" i="29"/>
  <c r="R5581" i="29"/>
  <c r="R5580" i="29"/>
  <c r="R5579" i="29"/>
  <c r="R5566" i="29"/>
  <c r="R5565" i="29"/>
  <c r="R5564" i="29"/>
  <c r="R5563" i="29"/>
  <c r="R5559" i="29"/>
  <c r="R5558" i="29"/>
  <c r="R5557" i="29"/>
  <c r="R5556" i="29"/>
  <c r="R5555" i="29"/>
  <c r="R5554" i="29"/>
  <c r="R5553" i="29"/>
  <c r="R5552" i="29"/>
  <c r="R5551" i="29"/>
  <c r="R5550" i="29"/>
  <c r="R5549" i="29"/>
  <c r="R5548" i="29"/>
  <c r="R5547" i="29"/>
  <c r="R5546" i="29"/>
  <c r="R5538" i="29"/>
  <c r="R5562" i="29"/>
  <c r="R5561" i="29"/>
  <c r="R5560" i="29"/>
  <c r="R5543" i="29"/>
  <c r="R5542" i="29"/>
  <c r="R5541" i="29"/>
  <c r="R5540" i="29"/>
  <c r="R5539" i="29"/>
  <c r="R5534" i="29"/>
  <c r="R5533" i="29"/>
  <c r="R5532" i="29"/>
  <c r="R5545" i="29"/>
  <c r="R5544" i="29"/>
  <c r="R5527" i="29"/>
  <c r="R5537" i="29"/>
  <c r="R5536" i="29"/>
  <c r="R5535" i="29"/>
  <c r="R5531" i="29"/>
  <c r="R5530" i="29"/>
  <c r="R5529" i="29"/>
  <c r="R5528" i="29"/>
  <c r="R5513" i="29"/>
  <c r="R5512" i="29"/>
  <c r="R5511" i="29"/>
  <c r="R5525" i="29"/>
  <c r="R5524" i="29"/>
  <c r="R5523" i="29"/>
  <c r="R5521" i="29"/>
  <c r="R5526" i="29"/>
  <c r="R5522" i="29"/>
  <c r="R5520" i="29"/>
  <c r="R5519" i="29"/>
  <c r="R5518" i="29"/>
  <c r="R5517" i="29"/>
  <c r="R5516" i="29"/>
  <c r="R5515" i="29"/>
  <c r="R5514" i="29"/>
  <c r="R5507" i="29"/>
  <c r="R5506" i="29"/>
  <c r="R5510" i="29"/>
  <c r="R5509" i="29"/>
  <c r="R5508" i="29"/>
  <c r="R5505" i="29"/>
  <c r="R5504" i="29"/>
  <c r="R5503" i="29"/>
  <c r="R5499" i="29"/>
  <c r="R5498" i="29"/>
  <c r="R5497" i="29"/>
  <c r="R5496" i="29"/>
  <c r="R5495" i="29"/>
  <c r="R5494" i="29"/>
  <c r="R5493" i="29"/>
  <c r="R5492" i="29"/>
  <c r="R5502" i="29"/>
  <c r="R5501" i="29"/>
  <c r="R5500" i="29"/>
  <c r="R5491" i="29"/>
  <c r="R5490" i="29"/>
  <c r="R5473" i="29"/>
  <c r="R5485" i="29"/>
  <c r="R5484" i="29"/>
  <c r="R5483" i="29"/>
  <c r="R5482" i="29"/>
  <c r="R5481" i="29"/>
  <c r="R5480" i="29"/>
  <c r="R5479" i="29"/>
  <c r="R5478" i="29"/>
  <c r="R5477" i="29"/>
  <c r="R5489" i="29"/>
  <c r="R5488" i="29"/>
  <c r="R5487" i="29"/>
  <c r="R5486" i="29"/>
  <c r="R5476" i="29"/>
  <c r="R5475" i="29"/>
  <c r="R5474" i="29"/>
  <c r="R5472" i="29"/>
  <c r="R5471" i="29"/>
  <c r="R5461" i="29"/>
  <c r="R5456" i="29"/>
  <c r="R5470" i="29"/>
  <c r="R5469" i="29"/>
  <c r="R5468" i="29"/>
  <c r="R5467" i="29"/>
  <c r="R5466" i="29"/>
  <c r="R5465" i="29"/>
  <c r="R5464" i="29"/>
  <c r="R5463" i="29"/>
  <c r="R5462" i="29"/>
  <c r="R5460" i="29"/>
  <c r="R5459" i="29"/>
  <c r="R5458" i="29"/>
  <c r="R5457" i="29"/>
  <c r="R5455" i="29"/>
  <c r="R5454" i="29"/>
  <c r="R5453" i="29"/>
  <c r="R5451" i="29"/>
  <c r="R5452" i="29"/>
  <c r="R5446" i="29"/>
  <c r="R5445" i="29"/>
  <c r="R5444" i="29"/>
  <c r="R5443" i="29"/>
  <c r="R5442" i="29"/>
  <c r="R5441" i="29"/>
  <c r="R5449" i="29"/>
  <c r="R5448" i="29"/>
  <c r="R5447" i="29"/>
  <c r="R5440" i="29"/>
  <c r="R5439" i="29"/>
  <c r="R5450" i="29"/>
  <c r="R5433" i="29"/>
  <c r="R5432" i="29"/>
  <c r="R5438" i="29"/>
  <c r="R5437" i="29"/>
  <c r="R5436" i="29"/>
  <c r="R5435" i="29"/>
  <c r="R5434" i="29"/>
  <c r="R5431" i="29"/>
  <c r="R5430" i="29"/>
  <c r="R5429" i="29"/>
  <c r="R5428" i="29"/>
  <c r="R5427" i="29"/>
  <c r="R5426" i="29"/>
  <c r="R5425" i="29"/>
  <c r="R5424" i="29"/>
  <c r="R5423" i="29"/>
  <c r="R5422" i="29"/>
  <c r="R5421" i="29"/>
  <c r="R5420" i="29"/>
  <c r="R5419" i="29"/>
  <c r="R5418" i="29"/>
  <c r="R5417" i="29"/>
  <c r="R5410" i="29"/>
  <c r="R5402" i="29"/>
  <c r="R5401" i="29"/>
  <c r="R5400" i="29"/>
  <c r="R5399" i="29"/>
  <c r="R5398" i="29"/>
  <c r="R5397" i="29"/>
  <c r="R5396" i="29"/>
  <c r="R5395" i="29"/>
  <c r="R5394" i="29"/>
  <c r="R5393" i="29"/>
  <c r="R5392" i="29"/>
  <c r="R5409" i="29"/>
  <c r="R5408" i="29"/>
  <c r="R5407" i="29"/>
  <c r="R5406" i="29"/>
  <c r="R5405" i="29"/>
  <c r="R5404" i="29"/>
  <c r="R5403" i="29"/>
  <c r="R5416" i="29"/>
  <c r="R5415" i="29"/>
  <c r="R5414" i="29"/>
  <c r="R5413" i="29"/>
  <c r="R5412" i="29"/>
  <c r="R5411" i="29"/>
  <c r="R5390" i="29"/>
  <c r="R5389" i="29"/>
  <c r="R5388" i="29"/>
  <c r="R5387" i="29"/>
  <c r="R5384" i="29"/>
  <c r="R5383" i="29"/>
  <c r="R5382" i="29"/>
  <c r="R5381" i="29"/>
  <c r="R5380" i="29"/>
  <c r="R5379" i="29"/>
  <c r="R5391" i="29"/>
  <c r="R5386" i="29"/>
  <c r="R5385" i="29"/>
  <c r="R5365" i="29"/>
  <c r="R5363" i="29"/>
  <c r="R5378" i="29"/>
  <c r="R5377" i="29"/>
  <c r="R5376" i="29"/>
  <c r="R5375" i="29"/>
  <c r="R2611" i="29"/>
  <c r="R2610" i="29"/>
  <c r="R5355" i="29"/>
  <c r="R5354" i="29"/>
  <c r="R5353" i="29"/>
  <c r="R5352" i="29"/>
  <c r="R5351" i="29"/>
  <c r="R5350" i="29"/>
  <c r="R5374" i="29"/>
  <c r="R5373" i="29"/>
  <c r="R621" i="29"/>
  <c r="R658" i="29"/>
  <c r="R653" i="29"/>
  <c r="R5349" i="29"/>
  <c r="R5348" i="29"/>
  <c r="R5372" i="29"/>
  <c r="R5371" i="29"/>
  <c r="R5370" i="29"/>
  <c r="R5369" i="29"/>
  <c r="R5368" i="29"/>
  <c r="R5364" i="29"/>
  <c r="R5358" i="29"/>
  <c r="R5357" i="29"/>
  <c r="R5367" i="29"/>
  <c r="R5366" i="29"/>
  <c r="R5362" i="29"/>
  <c r="R5361" i="29"/>
  <c r="R5360" i="29"/>
  <c r="R5359" i="29"/>
  <c r="R5346" i="29"/>
  <c r="R5356" i="29"/>
  <c r="R5347" i="29"/>
  <c r="R5345" i="29"/>
  <c r="R4867" i="29"/>
  <c r="R5344" i="29"/>
  <c r="R5343" i="29"/>
  <c r="R5342" i="29"/>
  <c r="R5341" i="29"/>
  <c r="R5339" i="29"/>
  <c r="R4877" i="29"/>
  <c r="R4876" i="29"/>
  <c r="R4875" i="29"/>
  <c r="R4874" i="29"/>
  <c r="R4873" i="29"/>
  <c r="R4872" i="29"/>
  <c r="R5340" i="29"/>
  <c r="R5338" i="29"/>
  <c r="R5336" i="29"/>
  <c r="R5335" i="29"/>
  <c r="R5334" i="29"/>
  <c r="R5299" i="29"/>
  <c r="R5300" i="29"/>
  <c r="R5337" i="29"/>
  <c r="R5301" i="29"/>
  <c r="R5302" i="29"/>
  <c r="R5303" i="29"/>
  <c r="R5304" i="29"/>
  <c r="R5305" i="29"/>
  <c r="R5306" i="29"/>
  <c r="R5307" i="29"/>
  <c r="R5308" i="29"/>
  <c r="R5309" i="29"/>
  <c r="R5310" i="29"/>
  <c r="R5311" i="29"/>
  <c r="R5312" i="29"/>
  <c r="R5313" i="29"/>
  <c r="R5314" i="29"/>
  <c r="R5315" i="29"/>
  <c r="R5316" i="29"/>
  <c r="R5317" i="29"/>
  <c r="R5318" i="29"/>
  <c r="R5333" i="29"/>
  <c r="R5332" i="29"/>
  <c r="R5331" i="29"/>
  <c r="R5330" i="29"/>
  <c r="R5329" i="29"/>
  <c r="R5298" i="29"/>
  <c r="R5297" i="29"/>
  <c r="R5296" i="29"/>
  <c r="R5295" i="29"/>
  <c r="R5294" i="29"/>
  <c r="R5293" i="29"/>
  <c r="R5319" i="29"/>
  <c r="R5320" i="29"/>
  <c r="R5321" i="29"/>
  <c r="R5322" i="29"/>
  <c r="R5323" i="29"/>
  <c r="R5324" i="29"/>
  <c r="R5325" i="29"/>
  <c r="R5326" i="29"/>
  <c r="R5327" i="29"/>
  <c r="R5328" i="29"/>
  <c r="R5286" i="29"/>
  <c r="R5292" i="29"/>
  <c r="R5291" i="29"/>
  <c r="R5290" i="29"/>
  <c r="R5289" i="29"/>
  <c r="R5288" i="29"/>
  <c r="R5287" i="29"/>
  <c r="R5285" i="29"/>
  <c r="R5284" i="29"/>
  <c r="R5283" i="29"/>
  <c r="R5281" i="29"/>
  <c r="R5280" i="29"/>
  <c r="R5279" i="29"/>
  <c r="R5278" i="29"/>
  <c r="R5271" i="29"/>
  <c r="R5267" i="29"/>
  <c r="R5265" i="29"/>
  <c r="R5264" i="29"/>
  <c r="R5263" i="29"/>
  <c r="R5262" i="29"/>
  <c r="R5261" i="29"/>
  <c r="R5260" i="29"/>
  <c r="R5282" i="29"/>
  <c r="R5277" i="29"/>
  <c r="R5276" i="29"/>
  <c r="R5275" i="29"/>
  <c r="R5274" i="29"/>
  <c r="R5273" i="29"/>
  <c r="R5255" i="29"/>
  <c r="R5254" i="29"/>
  <c r="R4998" i="29"/>
  <c r="R5272" i="29"/>
  <c r="R5270" i="29"/>
  <c r="R5269" i="29"/>
  <c r="R5268" i="29"/>
  <c r="R5266" i="29"/>
  <c r="R5001" i="29"/>
  <c r="R5000" i="29"/>
  <c r="R4999" i="29"/>
  <c r="R5259" i="29"/>
  <c r="R5258" i="29"/>
  <c r="R5257" i="29"/>
  <c r="R5256" i="29"/>
  <c r="R5247" i="29"/>
  <c r="R5253" i="29"/>
  <c r="R5252" i="29"/>
  <c r="R5251" i="29"/>
  <c r="R5240" i="29"/>
  <c r="R5234" i="29"/>
  <c r="R5244" i="29"/>
  <c r="R5250" i="29"/>
  <c r="R5249" i="29"/>
  <c r="R5248" i="29"/>
  <c r="R5246" i="29"/>
  <c r="R5245" i="29"/>
  <c r="R5243" i="29"/>
  <c r="R5242" i="29"/>
  <c r="R5241" i="29"/>
  <c r="R5239" i="29"/>
  <c r="R5238" i="29"/>
  <c r="R5237" i="29"/>
  <c r="R5236" i="29"/>
  <c r="R5235" i="29"/>
  <c r="R5220" i="29"/>
  <c r="R5219" i="29"/>
  <c r="R5218" i="29"/>
  <c r="R5217" i="29"/>
  <c r="R5214" i="29"/>
  <c r="R5213" i="29"/>
  <c r="R5212" i="29"/>
  <c r="R5211" i="29"/>
  <c r="R5221" i="29"/>
  <c r="R5216" i="29"/>
  <c r="R5233" i="29"/>
  <c r="R5215" i="29"/>
  <c r="R5232" i="29"/>
  <c r="R5231" i="29"/>
  <c r="R5230" i="29"/>
  <c r="R5229" i="29"/>
  <c r="R5228" i="29"/>
  <c r="R5227" i="29"/>
  <c r="R5210" i="29"/>
  <c r="R5209" i="29"/>
  <c r="R5208" i="29"/>
  <c r="R5207" i="29"/>
  <c r="R5206" i="29"/>
  <c r="R5205" i="29"/>
  <c r="R5204" i="29"/>
  <c r="R5203" i="29"/>
  <c r="R5226" i="29"/>
  <c r="R5225" i="29"/>
  <c r="R5224" i="29"/>
  <c r="R5223" i="29"/>
  <c r="R5222" i="29"/>
  <c r="R5198" i="29"/>
  <c r="R5197" i="29"/>
  <c r="R5196" i="29"/>
  <c r="R5195" i="29"/>
  <c r="R5194" i="29"/>
  <c r="R5188" i="29"/>
  <c r="R5202" i="29"/>
  <c r="R5201" i="29"/>
  <c r="R5200" i="29"/>
  <c r="R5199" i="29"/>
  <c r="R5173" i="29"/>
  <c r="R5172" i="29"/>
  <c r="R5171" i="29"/>
  <c r="R5193" i="29"/>
  <c r="R5192" i="29"/>
  <c r="R5191" i="29"/>
  <c r="R5190" i="29"/>
  <c r="R5189" i="29"/>
  <c r="R5169" i="29"/>
  <c r="R5168" i="29"/>
  <c r="R5167" i="29"/>
  <c r="R5166" i="29"/>
  <c r="R5165" i="29"/>
  <c r="R5164" i="29"/>
  <c r="R5163" i="29"/>
  <c r="R5162" i="29"/>
  <c r="R5161" i="29"/>
  <c r="R5160" i="29"/>
  <c r="R5183" i="29"/>
  <c r="R5182" i="29"/>
  <c r="R5181" i="29"/>
  <c r="R5180" i="29"/>
  <c r="R5179" i="29"/>
  <c r="R5159" i="29"/>
  <c r="R5158" i="29"/>
  <c r="R5157" i="29"/>
  <c r="R5156" i="29"/>
  <c r="R5155" i="29"/>
  <c r="R5154" i="29"/>
  <c r="R5187" i="29"/>
  <c r="R5186" i="29"/>
  <c r="R5185" i="29"/>
  <c r="R5184" i="29"/>
  <c r="R5178" i="29"/>
  <c r="R5177" i="29"/>
  <c r="R5176" i="29"/>
  <c r="R5175" i="29"/>
  <c r="R5174" i="29"/>
  <c r="R5170" i="29"/>
  <c r="R5153" i="29"/>
  <c r="R5152" i="29"/>
  <c r="R5151" i="29"/>
  <c r="R5150" i="29"/>
  <c r="R5149" i="29"/>
  <c r="R5139" i="29"/>
  <c r="R5138" i="29"/>
  <c r="R5137" i="29"/>
  <c r="R5136" i="29"/>
  <c r="R5143" i="29"/>
  <c r="R5142" i="29"/>
  <c r="R5141" i="29"/>
  <c r="R5140" i="29"/>
  <c r="R5133" i="29"/>
  <c r="R5132" i="29"/>
  <c r="R5131" i="29"/>
  <c r="R5130" i="29"/>
  <c r="R5128" i="29"/>
  <c r="R5148" i="29"/>
  <c r="R5147" i="29"/>
  <c r="R5146" i="29"/>
  <c r="R5145" i="29"/>
  <c r="R5144" i="29"/>
  <c r="R5129" i="29"/>
  <c r="R5135" i="29"/>
  <c r="R5134" i="29"/>
  <c r="R5127" i="29"/>
  <c r="R5126" i="29"/>
  <c r="R5125" i="29"/>
  <c r="R5124" i="29"/>
  <c r="R5123" i="29"/>
  <c r="R5118" i="29"/>
  <c r="R5119" i="29"/>
  <c r="R5120" i="29"/>
  <c r="R5121" i="29"/>
  <c r="R5122" i="29"/>
  <c r="R5085" i="29"/>
  <c r="R5111" i="29"/>
  <c r="R5110" i="29"/>
  <c r="R5109" i="29"/>
  <c r="R5108" i="29"/>
  <c r="R5106" i="29"/>
  <c r="R5105" i="29"/>
  <c r="R5104" i="29"/>
  <c r="R5103" i="29"/>
  <c r="R5101" i="29"/>
  <c r="R5112" i="29"/>
  <c r="R5107" i="29"/>
  <c r="R5102" i="29"/>
  <c r="R5100" i="29"/>
  <c r="R5099" i="29"/>
  <c r="R5098" i="29"/>
  <c r="R5097" i="29"/>
  <c r="R5096" i="29"/>
  <c r="R5095" i="29"/>
  <c r="R5094" i="29"/>
  <c r="R5093" i="29"/>
  <c r="R5092" i="29"/>
  <c r="R5117" i="29"/>
  <c r="R5116" i="29"/>
  <c r="R5115" i="29"/>
  <c r="R5114" i="29"/>
  <c r="R5113" i="29"/>
  <c r="R5091" i="29"/>
  <c r="R5090" i="29"/>
  <c r="R5089" i="29"/>
  <c r="R5088" i="29"/>
  <c r="R5087" i="29"/>
  <c r="R5086" i="29"/>
  <c r="R5084" i="29"/>
  <c r="R5083" i="29"/>
  <c r="R5082" i="29"/>
  <c r="R5081" i="29"/>
  <c r="R5080" i="29"/>
  <c r="R5079" i="29"/>
  <c r="R5078" i="29"/>
  <c r="R5077" i="29"/>
  <c r="R5076" i="29"/>
  <c r="R5075" i="29"/>
  <c r="R5074" i="29"/>
  <c r="R5073" i="29"/>
  <c r="R5070" i="29"/>
  <c r="R5069" i="29"/>
  <c r="R5068" i="29"/>
  <c r="R5067" i="29"/>
  <c r="R5063" i="29"/>
  <c r="R5065" i="29"/>
  <c r="R5064" i="29"/>
  <c r="R5062" i="29"/>
  <c r="R5061" i="29"/>
  <c r="R5058" i="29"/>
  <c r="R5057" i="29"/>
  <c r="R5056" i="29"/>
  <c r="R5055" i="29"/>
  <c r="R5054" i="29"/>
  <c r="R5053" i="29"/>
  <c r="R5046" i="29"/>
  <c r="R5045" i="29"/>
  <c r="R5044" i="29"/>
  <c r="R5043" i="29"/>
  <c r="R5042" i="29"/>
  <c r="R5041" i="29"/>
  <c r="R5040" i="29"/>
  <c r="R5039" i="29"/>
  <c r="R5072" i="29"/>
  <c r="R5071" i="29"/>
  <c r="R5066" i="29"/>
  <c r="R5060" i="29"/>
  <c r="R5059" i="29"/>
  <c r="R5052" i="29"/>
  <c r="R5051" i="29"/>
  <c r="R5050" i="29"/>
  <c r="R5049" i="29"/>
  <c r="R5048" i="29"/>
  <c r="R5047" i="29"/>
  <c r="R5038" i="29"/>
  <c r="R5037" i="29"/>
  <c r="R5028" i="29"/>
  <c r="R5026" i="29"/>
  <c r="R5025" i="29"/>
  <c r="R5021" i="29"/>
  <c r="R5020" i="29"/>
  <c r="R5019" i="29"/>
  <c r="R5018" i="29"/>
  <c r="R5017" i="29"/>
  <c r="R5036" i="29"/>
  <c r="R5035" i="29"/>
  <c r="R5034" i="29"/>
  <c r="R5033" i="29"/>
  <c r="R5032" i="29"/>
  <c r="R5031" i="29"/>
  <c r="R5030" i="29"/>
  <c r="R5029" i="29"/>
  <c r="R5027" i="29"/>
  <c r="R5024" i="29"/>
  <c r="R5023" i="29"/>
  <c r="R5022" i="29"/>
  <c r="R5015" i="29"/>
  <c r="R5014" i="29"/>
  <c r="R5013" i="29"/>
  <c r="R5012" i="29"/>
  <c r="R5011" i="29"/>
  <c r="R5010" i="29"/>
  <c r="R5009" i="29"/>
  <c r="R5008" i="29"/>
  <c r="R5007" i="29"/>
  <c r="R5016" i="29"/>
  <c r="R5005" i="29"/>
  <c r="R5004" i="29"/>
  <c r="R5006" i="29"/>
  <c r="R4994" i="29"/>
  <c r="R4993" i="29"/>
  <c r="R4997" i="29"/>
  <c r="R5003" i="29"/>
  <c r="R5002" i="29"/>
  <c r="R4996" i="29"/>
  <c r="R4995" i="29"/>
  <c r="R4991" i="29"/>
  <c r="R4990" i="29"/>
  <c r="R4989" i="29"/>
  <c r="R4986" i="29"/>
  <c r="R4985" i="29"/>
  <c r="R4984" i="29"/>
  <c r="R4983" i="29"/>
  <c r="R4980" i="29"/>
  <c r="R4979" i="29"/>
  <c r="R4978" i="29"/>
  <c r="R4977" i="29"/>
  <c r="R4974" i="29"/>
  <c r="R4992" i="29"/>
  <c r="R4988" i="29"/>
  <c r="R4987" i="29"/>
  <c r="R4982" i="29"/>
  <c r="R4981" i="29"/>
  <c r="R4976" i="29"/>
  <c r="R4963" i="29"/>
  <c r="R4962" i="29"/>
  <c r="R4961" i="29"/>
  <c r="R4975" i="29"/>
  <c r="R4973" i="29"/>
  <c r="R4972" i="29"/>
  <c r="R4971" i="29"/>
  <c r="R4970" i="29"/>
  <c r="R4969" i="29"/>
  <c r="R4968" i="29"/>
  <c r="R4960" i="29"/>
  <c r="R4959" i="29"/>
  <c r="R4958" i="29"/>
  <c r="R4957" i="29"/>
  <c r="R4956" i="29"/>
  <c r="R4955" i="29"/>
  <c r="R4954" i="29"/>
  <c r="R4953" i="29"/>
  <c r="R4967" i="29"/>
  <c r="R4966" i="29"/>
  <c r="R4965" i="29"/>
  <c r="R4964" i="29"/>
  <c r="R4952" i="29"/>
  <c r="R4951" i="29"/>
  <c r="R4950" i="29"/>
  <c r="R4949" i="29"/>
  <c r="R4948" i="29"/>
  <c r="R4946" i="29"/>
  <c r="R4945" i="29"/>
  <c r="R4944" i="29"/>
  <c r="R4943" i="29"/>
  <c r="R4942" i="29"/>
  <c r="R4941" i="29"/>
  <c r="R4940" i="29"/>
  <c r="R4939" i="29"/>
  <c r="R4935" i="29"/>
  <c r="R4934" i="29"/>
  <c r="R4947" i="29"/>
  <c r="R4938" i="29"/>
  <c r="R4937" i="29"/>
  <c r="R4936" i="29"/>
  <c r="R4933" i="29"/>
  <c r="R4932" i="29"/>
  <c r="R4931" i="29"/>
  <c r="R4930" i="29"/>
  <c r="R4929" i="29"/>
  <c r="R4928" i="29"/>
  <c r="R4927" i="29"/>
  <c r="R4925" i="29"/>
  <c r="R4924" i="29"/>
  <c r="R4923" i="29"/>
  <c r="R4922" i="29"/>
  <c r="R4919" i="29"/>
  <c r="R4916" i="29"/>
  <c r="R4915" i="29"/>
  <c r="R4914" i="29"/>
  <c r="R4926" i="29"/>
  <c r="R4921" i="29"/>
  <c r="R4920" i="29"/>
  <c r="R4913" i="29"/>
  <c r="R4912" i="29"/>
  <c r="R4911" i="29"/>
  <c r="R4910" i="29"/>
  <c r="R4909" i="29"/>
  <c r="R4918" i="29"/>
  <c r="R4917" i="29"/>
  <c r="R4908" i="29"/>
  <c r="R4906" i="29"/>
  <c r="R4905" i="29"/>
  <c r="R4904" i="29"/>
  <c r="R4902" i="29"/>
  <c r="R4907" i="29"/>
  <c r="R4898" i="29"/>
  <c r="R4903" i="29"/>
  <c r="R4901" i="29"/>
  <c r="R4900" i="29"/>
  <c r="R4899" i="29"/>
  <c r="R4897" i="29"/>
  <c r="R4892" i="29"/>
  <c r="R4891" i="29"/>
  <c r="R4890" i="29"/>
  <c r="R4889" i="29"/>
  <c r="R4887" i="29"/>
  <c r="R4886" i="29"/>
  <c r="R4884" i="29"/>
  <c r="R4883" i="29"/>
  <c r="R4882" i="29"/>
  <c r="R4881" i="29"/>
  <c r="R4880" i="29"/>
  <c r="R4878" i="29"/>
  <c r="R4871" i="29"/>
  <c r="R4870" i="29"/>
  <c r="R4869" i="29"/>
  <c r="R4868" i="29"/>
  <c r="R4885" i="29"/>
  <c r="R4896" i="29"/>
  <c r="R4895" i="29"/>
  <c r="R4894" i="29"/>
  <c r="R4893" i="29"/>
  <c r="R4888" i="29"/>
  <c r="R4879" i="29"/>
  <c r="R4866" i="29"/>
  <c r="R4865" i="29"/>
  <c r="R4862" i="29"/>
  <c r="R4861" i="29"/>
  <c r="R4860" i="29"/>
  <c r="R4859" i="29"/>
  <c r="R4858" i="29"/>
  <c r="R4857" i="29"/>
  <c r="R4856" i="29"/>
  <c r="R4853" i="29"/>
  <c r="R4847" i="29"/>
  <c r="R4864" i="29"/>
  <c r="R4855" i="29"/>
  <c r="R4854" i="29"/>
  <c r="R4852" i="29"/>
  <c r="R4851" i="29"/>
  <c r="R4850" i="29"/>
  <c r="R4849" i="29"/>
  <c r="R4844" i="29"/>
  <c r="R4843" i="29"/>
  <c r="R4863" i="29"/>
  <c r="R4848" i="29"/>
  <c r="R4846" i="29"/>
  <c r="R4845" i="29"/>
  <c r="R4839" i="29"/>
  <c r="R4842" i="29"/>
  <c r="R4841" i="29"/>
  <c r="R4840" i="29"/>
  <c r="R4838" i="29"/>
  <c r="R4837" i="29"/>
  <c r="R4836" i="29"/>
  <c r="R4835" i="29"/>
  <c r="R4834" i="29"/>
  <c r="R4833" i="29"/>
  <c r="R4826" i="29"/>
  <c r="R4825" i="29"/>
  <c r="R4824" i="29"/>
  <c r="R4823" i="29"/>
  <c r="R4832" i="29"/>
  <c r="R4831" i="29"/>
  <c r="R4830" i="29"/>
  <c r="R4829" i="29"/>
  <c r="R4828" i="29"/>
  <c r="R4827" i="29"/>
  <c r="R4822" i="29"/>
  <c r="R4821" i="29"/>
  <c r="R4814" i="29"/>
  <c r="R4813" i="29"/>
  <c r="R4812" i="29"/>
  <c r="R4811" i="29"/>
  <c r="R4810" i="29"/>
  <c r="R4820" i="29"/>
  <c r="R4819" i="29"/>
  <c r="R4818" i="29"/>
  <c r="R4817" i="29"/>
  <c r="R4816" i="29"/>
  <c r="R4815" i="29"/>
  <c r="R4808" i="29"/>
  <c r="R4807" i="29"/>
  <c r="R4809" i="29"/>
  <c r="R4802" i="29"/>
  <c r="R4801" i="29"/>
  <c r="R4805" i="29"/>
  <c r="R4804" i="29"/>
  <c r="R4803" i="29"/>
  <c r="R4795" i="29"/>
  <c r="R4794" i="29"/>
  <c r="R4793" i="29"/>
  <c r="R4792" i="29"/>
  <c r="R4791" i="29"/>
  <c r="R4790" i="29"/>
  <c r="R4806" i="29"/>
  <c r="R4800" i="29"/>
  <c r="R4799" i="29"/>
  <c r="R4798" i="29"/>
  <c r="R4797" i="29"/>
  <c r="R4796" i="29"/>
  <c r="R4789" i="29"/>
  <c r="R4788" i="29"/>
  <c r="R4786" i="29"/>
  <c r="R4785" i="29"/>
  <c r="R4784" i="29"/>
  <c r="R4782" i="29"/>
  <c r="R4780" i="29"/>
  <c r="R4779" i="29"/>
  <c r="R4778" i="29"/>
  <c r="R4777" i="29"/>
  <c r="R4776" i="29"/>
  <c r="R4774" i="29"/>
  <c r="R4787" i="29"/>
  <c r="R4781" i="29"/>
  <c r="R4783" i="29"/>
  <c r="R4775" i="29"/>
  <c r="R4772" i="29"/>
  <c r="R4770" i="29"/>
  <c r="R4769" i="29"/>
  <c r="R4768" i="29"/>
  <c r="R4767" i="29"/>
  <c r="R4762" i="29"/>
  <c r="R4773" i="29"/>
  <c r="R4771" i="29"/>
  <c r="R4766" i="29"/>
  <c r="R4765" i="29"/>
  <c r="R4764" i="29"/>
  <c r="R4763" i="29"/>
  <c r="R4756" i="29"/>
  <c r="R4761" i="29"/>
  <c r="R4760" i="29"/>
  <c r="R4759" i="29"/>
  <c r="R4758" i="29"/>
  <c r="R4757" i="29"/>
  <c r="R4755" i="29"/>
  <c r="R4754" i="29"/>
  <c r="R4751" i="29"/>
  <c r="R4750" i="29"/>
  <c r="R4749" i="29"/>
  <c r="R4748" i="29"/>
  <c r="R4747" i="29"/>
  <c r="R4746" i="29"/>
  <c r="R4743" i="29"/>
  <c r="R4741" i="29"/>
  <c r="R4739" i="29"/>
  <c r="R4732" i="29"/>
  <c r="R4731" i="29"/>
  <c r="R4728" i="29"/>
  <c r="R4727" i="29"/>
  <c r="R4726" i="29"/>
  <c r="R4725" i="29"/>
  <c r="R4724" i="29"/>
  <c r="R4723" i="29"/>
  <c r="R4722" i="29"/>
  <c r="R4721" i="29"/>
  <c r="R4720" i="29"/>
  <c r="R4719" i="29"/>
  <c r="R4717" i="29"/>
  <c r="R4716" i="29"/>
  <c r="R4753" i="29"/>
  <c r="R4752" i="29"/>
  <c r="R4745" i="29"/>
  <c r="R4744" i="29"/>
  <c r="R4742" i="29"/>
  <c r="R4740" i="29"/>
  <c r="R4738" i="29"/>
  <c r="R4737" i="29"/>
  <c r="R4736" i="29"/>
  <c r="R4735" i="29"/>
  <c r="R4734" i="29"/>
  <c r="R4733" i="29"/>
  <c r="R4730" i="29"/>
  <c r="R4729" i="29"/>
  <c r="R4718" i="29"/>
  <c r="R4715" i="29"/>
  <c r="R4714" i="29"/>
  <c r="R4711" i="29"/>
  <c r="R4710" i="29"/>
  <c r="R4713" i="29"/>
  <c r="R4712" i="29"/>
  <c r="R4697" i="29"/>
  <c r="R4696" i="29"/>
  <c r="R4695" i="29"/>
  <c r="R4694" i="29"/>
  <c r="R4691" i="29"/>
  <c r="R4689" i="29"/>
  <c r="R4688" i="29"/>
  <c r="R4687" i="29"/>
  <c r="R4692" i="29"/>
  <c r="R4709" i="29"/>
  <c r="R4708" i="29"/>
  <c r="R4707" i="29"/>
  <c r="R4706" i="29"/>
  <c r="R4693" i="29"/>
  <c r="R4690" i="29"/>
  <c r="R4686" i="29"/>
  <c r="R4685" i="29"/>
  <c r="R4684" i="29"/>
  <c r="R4683" i="29"/>
  <c r="R4682" i="29"/>
  <c r="R4681" i="29"/>
  <c r="R4680" i="29"/>
  <c r="R4679" i="29"/>
  <c r="R4678" i="29"/>
  <c r="R4675" i="29"/>
  <c r="R4705" i="29"/>
  <c r="R4704" i="29"/>
  <c r="R4703" i="29"/>
  <c r="R4702" i="29"/>
  <c r="R4701" i="29"/>
  <c r="R4700" i="29"/>
  <c r="R4699" i="29"/>
  <c r="R4698" i="29"/>
  <c r="R4677" i="29"/>
  <c r="R4676" i="29"/>
  <c r="R4674" i="29"/>
  <c r="R4673" i="29"/>
  <c r="R4672" i="29"/>
  <c r="R4671" i="29"/>
  <c r="R4670" i="29"/>
  <c r="R4669" i="29"/>
  <c r="R4668" i="29"/>
  <c r="R4667" i="29"/>
  <c r="R4666" i="29"/>
  <c r="R4665" i="29"/>
  <c r="R4664" i="29"/>
  <c r="R4662" i="29"/>
  <c r="R4661" i="29"/>
  <c r="R4659" i="29"/>
  <c r="R4663" i="29"/>
  <c r="R4656" i="29"/>
  <c r="R4655" i="29"/>
  <c r="R4654" i="29"/>
  <c r="R4653" i="29"/>
  <c r="R4652" i="29"/>
  <c r="R4651" i="29"/>
  <c r="R4660" i="29"/>
  <c r="R4658" i="29"/>
  <c r="R4657" i="29"/>
  <c r="R4650" i="29"/>
  <c r="R4649" i="29"/>
  <c r="R4648" i="29"/>
  <c r="R4647" i="29"/>
  <c r="R4646" i="29"/>
  <c r="R4643" i="29"/>
  <c r="R4642" i="29"/>
  <c r="R4636" i="29"/>
  <c r="R4635" i="29"/>
  <c r="R4641" i="29"/>
  <c r="R4640" i="29"/>
  <c r="R4639" i="29"/>
  <c r="R4638" i="29"/>
  <c r="R4637" i="29"/>
  <c r="R4634" i="29"/>
  <c r="R4645" i="29"/>
  <c r="R4644" i="29"/>
  <c r="R4633" i="29"/>
  <c r="R4632" i="29"/>
  <c r="R4631" i="29"/>
  <c r="R4630" i="29"/>
  <c r="R4629" i="29"/>
  <c r="R4628" i="29"/>
  <c r="R4627" i="29"/>
  <c r="R4626" i="29"/>
  <c r="R4625" i="29"/>
  <c r="R4624" i="29"/>
  <c r="R4620" i="29"/>
  <c r="R4619" i="29"/>
  <c r="R4618" i="29"/>
  <c r="R4617" i="29"/>
  <c r="R4616" i="29"/>
  <c r="R4615" i="29"/>
  <c r="R4612" i="29"/>
  <c r="R4611" i="29"/>
  <c r="R4623" i="29"/>
  <c r="R4621" i="29"/>
  <c r="R4610" i="29"/>
  <c r="R4609" i="29"/>
  <c r="R4608" i="29"/>
  <c r="R4607" i="29"/>
  <c r="R4622" i="29"/>
  <c r="R4599" i="29"/>
  <c r="R4614" i="29"/>
  <c r="R4613" i="29"/>
  <c r="R4598" i="29"/>
  <c r="R4597" i="29"/>
  <c r="R4596" i="29"/>
  <c r="R4595" i="29"/>
  <c r="R4594" i="29"/>
  <c r="R4593" i="29"/>
  <c r="R4592" i="29"/>
  <c r="R4591" i="29"/>
  <c r="R4606" i="29"/>
  <c r="R4605" i="29"/>
  <c r="R4604" i="29"/>
  <c r="R4603" i="29"/>
  <c r="R4602" i="29"/>
  <c r="R4601" i="29"/>
  <c r="R4600" i="29"/>
  <c r="R4590" i="29"/>
  <c r="R4589" i="29"/>
  <c r="R4588" i="29"/>
  <c r="R4587" i="29"/>
  <c r="R4586" i="29"/>
  <c r="R4585" i="29"/>
  <c r="R4584" i="29"/>
  <c r="R4583" i="29"/>
  <c r="R4581" i="29"/>
  <c r="R4580" i="29"/>
  <c r="R4575" i="29"/>
  <c r="R4582" i="29"/>
  <c r="R4579" i="29"/>
  <c r="R4578" i="29"/>
  <c r="R4577" i="29"/>
  <c r="R4576" i="29"/>
  <c r="R4574" i="29"/>
  <c r="R4573" i="29"/>
  <c r="R4565" i="29"/>
  <c r="R4564" i="29"/>
  <c r="R4563" i="29"/>
  <c r="R4562" i="29"/>
  <c r="R4561" i="29"/>
  <c r="R4560" i="29"/>
  <c r="R4559" i="29"/>
  <c r="R4558" i="29"/>
  <c r="R4557" i="29"/>
  <c r="R4572" i="29"/>
  <c r="R4571" i="29"/>
  <c r="R4570" i="29"/>
  <c r="R4569" i="29"/>
  <c r="R4568" i="29"/>
  <c r="R4567" i="29"/>
  <c r="R4566" i="29"/>
  <c r="R4545" i="29"/>
  <c r="R4539" i="29"/>
  <c r="R4538" i="29"/>
  <c r="R4519" i="29"/>
  <c r="R4556" i="29"/>
  <c r="R4555" i="29"/>
  <c r="R4554" i="29"/>
  <c r="R4553" i="29"/>
  <c r="R4552" i="29"/>
  <c r="R4549" i="29"/>
  <c r="R4551" i="29"/>
  <c r="R4550" i="29"/>
  <c r="R4548" i="29"/>
  <c r="R4547" i="29"/>
  <c r="R4546" i="29"/>
  <c r="R4540" i="29"/>
  <c r="R4537" i="29"/>
  <c r="R4536" i="29"/>
  <c r="R4535" i="29"/>
  <c r="R4534" i="29"/>
  <c r="R4532" i="29"/>
  <c r="R4531" i="29"/>
  <c r="R4530" i="29"/>
  <c r="R4544" i="29"/>
  <c r="R4543" i="29"/>
  <c r="R4542" i="29"/>
  <c r="R4541" i="29"/>
  <c r="R4533" i="29"/>
  <c r="R4529" i="29"/>
  <c r="R4528" i="29"/>
  <c r="R4527" i="29"/>
  <c r="R4526" i="29"/>
  <c r="R4525" i="29"/>
  <c r="R4524" i="29"/>
  <c r="R4523" i="29"/>
  <c r="R4522" i="29"/>
  <c r="R4521" i="29"/>
  <c r="R4520" i="29"/>
  <c r="R4518" i="29"/>
  <c r="R4517" i="29"/>
  <c r="R4516" i="29"/>
  <c r="R4509" i="29"/>
  <c r="R4515" i="29"/>
  <c r="R4514" i="29"/>
  <c r="R4513" i="29"/>
  <c r="R4512" i="29"/>
  <c r="R4511" i="29"/>
  <c r="R4510" i="29"/>
  <c r="R4178" i="29"/>
  <c r="R4505" i="29"/>
  <c r="R4504" i="29"/>
  <c r="R4508" i="29"/>
  <c r="R4507" i="29"/>
  <c r="R4506" i="29"/>
  <c r="R4503" i="29"/>
  <c r="R4502" i="29"/>
  <c r="R4501" i="29"/>
  <c r="R4500" i="29"/>
  <c r="R4499" i="29"/>
  <c r="R4498" i="29"/>
  <c r="R4497" i="29"/>
  <c r="R4339" i="29"/>
  <c r="R4338" i="29"/>
  <c r="R4496" i="29"/>
  <c r="R4495" i="29"/>
  <c r="R4494" i="29"/>
  <c r="R4493" i="29"/>
  <c r="R4492" i="29"/>
  <c r="R4491" i="29"/>
  <c r="R4490" i="29"/>
  <c r="R4489" i="29"/>
  <c r="R4488" i="29"/>
  <c r="R4486" i="29"/>
  <c r="R4484" i="29"/>
  <c r="R4482" i="29"/>
  <c r="R4487" i="29"/>
  <c r="R4485" i="29"/>
  <c r="R4483" i="29"/>
  <c r="R4481" i="29"/>
  <c r="R4480" i="29"/>
  <c r="R4479" i="29"/>
  <c r="R4478" i="29"/>
  <c r="R4477" i="29"/>
  <c r="R4476" i="29"/>
  <c r="R4475" i="29"/>
  <c r="R4471" i="29"/>
  <c r="R4470" i="29"/>
  <c r="R4341" i="29"/>
  <c r="R4340" i="29"/>
  <c r="R4469" i="29"/>
  <c r="R4468" i="29"/>
  <c r="R4467" i="29"/>
  <c r="R4466" i="29"/>
  <c r="R4465" i="29"/>
  <c r="R4464" i="29"/>
  <c r="R4463" i="29"/>
  <c r="R4462" i="29"/>
  <c r="R4474" i="29"/>
  <c r="R4473" i="29"/>
  <c r="R4472" i="29"/>
  <c r="R4461" i="29"/>
  <c r="R4449" i="29"/>
  <c r="R4460" i="29"/>
  <c r="R4459" i="29"/>
  <c r="R4458" i="29"/>
  <c r="R4457" i="29"/>
  <c r="R4456" i="29"/>
  <c r="R4455" i="29"/>
  <c r="R4454" i="29"/>
  <c r="R4453" i="29"/>
  <c r="R4452" i="29"/>
  <c r="R4451" i="29"/>
  <c r="R4450" i="29"/>
  <c r="R4447" i="29"/>
  <c r="R4446" i="29"/>
  <c r="R4445" i="29"/>
  <c r="R4444" i="29"/>
  <c r="R4443" i="29"/>
  <c r="R4442" i="29"/>
  <c r="R4448" i="29"/>
  <c r="R4441" i="29"/>
  <c r="R4440" i="29"/>
  <c r="R4439" i="29"/>
  <c r="R4438" i="29"/>
  <c r="R4437" i="29"/>
  <c r="R4436" i="29"/>
  <c r="R4430" i="29"/>
  <c r="R4429" i="29"/>
  <c r="R4435" i="29"/>
  <c r="R4434" i="29"/>
  <c r="R4433" i="29"/>
  <c r="R4432" i="29"/>
  <c r="R4431" i="29"/>
  <c r="R4428" i="29"/>
  <c r="R4426" i="29"/>
  <c r="R4425" i="29"/>
  <c r="R4424" i="29"/>
  <c r="R4423" i="29"/>
  <c r="R4422" i="29"/>
  <c r="R4421" i="29"/>
  <c r="R4420" i="29"/>
  <c r="R4419" i="29"/>
  <c r="R4413" i="29"/>
  <c r="R4412" i="29"/>
  <c r="R4411" i="29"/>
  <c r="R4406" i="29"/>
  <c r="R4427" i="29"/>
  <c r="R4405" i="29"/>
  <c r="R4403" i="29"/>
  <c r="R4402" i="29"/>
  <c r="R4418" i="29"/>
  <c r="R4401" i="29"/>
  <c r="R4394" i="29"/>
  <c r="R4393" i="29"/>
  <c r="R4392" i="29"/>
  <c r="R4391" i="29"/>
  <c r="R4417" i="29"/>
  <c r="R4416" i="29"/>
  <c r="R4415" i="29"/>
  <c r="R4414" i="29"/>
  <c r="R4410" i="29"/>
  <c r="R4409" i="29"/>
  <c r="R4408" i="29"/>
  <c r="R4407" i="29"/>
  <c r="R4404" i="29"/>
  <c r="R4390" i="29"/>
  <c r="R4389" i="29"/>
  <c r="R4400" i="29"/>
  <c r="R4399" i="29"/>
  <c r="R4398" i="29"/>
  <c r="R4397" i="29"/>
  <c r="R4396" i="29"/>
  <c r="R4395" i="29"/>
  <c r="R4388" i="29"/>
  <c r="R4387" i="29"/>
  <c r="R4386" i="29"/>
  <c r="R4385" i="29"/>
  <c r="R4384" i="29"/>
  <c r="R4383" i="29"/>
  <c r="R4382" i="29"/>
  <c r="R4381" i="29"/>
  <c r="R4380" i="29"/>
  <c r="R4379" i="29"/>
  <c r="R4378" i="29"/>
  <c r="R4377" i="29"/>
  <c r="R4376" i="29"/>
  <c r="R4374" i="29"/>
  <c r="R4372" i="29"/>
  <c r="R4371" i="29"/>
  <c r="R4362" i="29"/>
  <c r="R4361" i="29"/>
  <c r="R4360" i="29"/>
  <c r="R4359" i="29"/>
  <c r="R4375" i="29"/>
  <c r="R4364" i="29"/>
  <c r="R4358" i="29"/>
  <c r="R4357" i="29"/>
  <c r="R4356" i="29"/>
  <c r="R4355" i="29"/>
  <c r="R4354" i="29"/>
  <c r="R4353" i="29"/>
  <c r="R4352" i="29"/>
  <c r="R4373" i="29"/>
  <c r="R4370" i="29"/>
  <c r="R4369" i="29"/>
  <c r="R4368" i="29"/>
  <c r="R4367" i="29"/>
  <c r="R4366" i="29"/>
  <c r="R4365" i="29"/>
  <c r="R4363" i="29"/>
  <c r="R4351" i="29"/>
  <c r="R4348" i="29"/>
  <c r="R4343" i="29"/>
  <c r="R4342" i="29"/>
  <c r="R4350" i="29"/>
  <c r="R4349" i="29"/>
  <c r="R4337" i="29"/>
  <c r="R4336" i="29"/>
  <c r="R4329" i="29"/>
  <c r="R4347" i="29"/>
  <c r="R4346" i="29"/>
  <c r="R4345" i="29"/>
  <c r="R4344" i="29"/>
  <c r="R4312" i="29"/>
  <c r="R4311" i="29"/>
  <c r="R4310" i="29"/>
  <c r="R4335" i="29"/>
  <c r="R4334" i="29"/>
  <c r="R4333" i="29"/>
  <c r="R4332" i="29"/>
  <c r="R4331" i="29"/>
  <c r="R4330" i="29"/>
  <c r="R4318" i="29"/>
  <c r="R4317" i="29"/>
  <c r="R4316" i="29"/>
  <c r="R4314" i="29"/>
  <c r="R4313" i="29"/>
  <c r="R4309" i="29"/>
  <c r="R4308" i="29"/>
  <c r="R4328" i="29"/>
  <c r="R4327" i="29"/>
  <c r="R4326" i="29"/>
  <c r="R4325" i="29"/>
  <c r="R4324" i="29"/>
  <c r="R4323" i="29"/>
  <c r="R4322" i="29"/>
  <c r="R4321" i="29"/>
  <c r="R4320" i="29"/>
  <c r="R4319" i="29"/>
  <c r="R4307" i="29"/>
  <c r="R4315" i="29"/>
  <c r="R4306" i="29"/>
  <c r="R4305" i="29"/>
  <c r="R4304" i="29"/>
  <c r="R4303" i="29"/>
  <c r="R4302" i="29"/>
  <c r="R4301" i="29"/>
  <c r="R4300" i="29"/>
  <c r="R4299" i="29"/>
  <c r="R4298" i="29"/>
  <c r="R4297" i="29"/>
  <c r="R4296" i="29"/>
  <c r="R4295" i="29"/>
  <c r="R4294" i="29"/>
  <c r="R4293" i="29"/>
  <c r="R4292" i="29"/>
  <c r="R4291" i="29"/>
  <c r="R4290" i="29"/>
  <c r="R4289" i="29"/>
  <c r="R4288" i="29"/>
  <c r="R4287" i="29"/>
  <c r="R4286" i="29"/>
  <c r="R4285" i="29"/>
  <c r="R4284" i="29"/>
  <c r="R4283" i="29"/>
  <c r="R4282" i="29"/>
  <c r="R4281" i="29"/>
  <c r="R4279" i="29"/>
  <c r="R4280" i="29"/>
  <c r="R4278" i="29"/>
  <c r="R4277" i="29"/>
  <c r="R4276" i="29"/>
  <c r="R4272" i="29"/>
  <c r="R4271" i="29"/>
  <c r="R4270" i="29"/>
  <c r="R4275" i="29"/>
  <c r="R4274" i="29"/>
  <c r="R4273" i="29"/>
  <c r="R632" i="29"/>
  <c r="R4269" i="29"/>
  <c r="R4268" i="29"/>
  <c r="R4267" i="29"/>
  <c r="R4259" i="29"/>
  <c r="R4266" i="29"/>
  <c r="R4265" i="29"/>
  <c r="R4261" i="29"/>
  <c r="R4260" i="29"/>
  <c r="R4247" i="29"/>
  <c r="R4264" i="29"/>
  <c r="R4263" i="29"/>
  <c r="R4262" i="29"/>
  <c r="R4257" i="29"/>
  <c r="R4256" i="29"/>
  <c r="R4255" i="29"/>
  <c r="R4254" i="29"/>
  <c r="R4253" i="29"/>
  <c r="R4252" i="29"/>
  <c r="R4258" i="29"/>
  <c r="R4251" i="29"/>
  <c r="R4250" i="29"/>
  <c r="R4249" i="29"/>
  <c r="R4248" i="29"/>
  <c r="R4246" i="29"/>
  <c r="R4245" i="29"/>
  <c r="R4244" i="29"/>
  <c r="R4243" i="29"/>
  <c r="R4242" i="29"/>
  <c r="R4241" i="29"/>
  <c r="R4240" i="29"/>
  <c r="R4239" i="29"/>
  <c r="R4238" i="29"/>
  <c r="R4233" i="29"/>
  <c r="R4232" i="29"/>
  <c r="R4230" i="29"/>
  <c r="R4237" i="29"/>
  <c r="R4236" i="29"/>
  <c r="R4235" i="29"/>
  <c r="R4229" i="29"/>
  <c r="R4228" i="29"/>
  <c r="R4234" i="29"/>
  <c r="R4227" i="29"/>
  <c r="R4226" i="29"/>
  <c r="R4225" i="29"/>
  <c r="R4224" i="29"/>
  <c r="R4223" i="29"/>
  <c r="R4222" i="29"/>
  <c r="R4221" i="29"/>
  <c r="R4220" i="29"/>
  <c r="R4231" i="29"/>
  <c r="R4218" i="29"/>
  <c r="R4211" i="29"/>
  <c r="R4210" i="29"/>
  <c r="R4216" i="29"/>
  <c r="R4219" i="29"/>
  <c r="R4217" i="29"/>
  <c r="R4215" i="29"/>
  <c r="R4214" i="29"/>
  <c r="R4213" i="29"/>
  <c r="R4212" i="29"/>
  <c r="R4209" i="29"/>
  <c r="R4208" i="29"/>
  <c r="R4207" i="29"/>
  <c r="R4206" i="29"/>
  <c r="R4205" i="29"/>
  <c r="R4195" i="29"/>
  <c r="R4194" i="29"/>
  <c r="R4193" i="29"/>
  <c r="R4192" i="29"/>
  <c r="R4191" i="29"/>
  <c r="R4190" i="29"/>
  <c r="R4189" i="29"/>
  <c r="R4188" i="29"/>
  <c r="R4203" i="29"/>
  <c r="R4187" i="29"/>
  <c r="R4186" i="29"/>
  <c r="R4185" i="29"/>
  <c r="R4184" i="29"/>
  <c r="R4183" i="29"/>
  <c r="R4182" i="29"/>
  <c r="R4181" i="29"/>
  <c r="R4204" i="29"/>
  <c r="R4202" i="29"/>
  <c r="R4201" i="29"/>
  <c r="R4200" i="29"/>
  <c r="R4199" i="29"/>
  <c r="R4198" i="29"/>
  <c r="R4197" i="29"/>
  <c r="R4196" i="29"/>
  <c r="R4177" i="29"/>
  <c r="R4175" i="29"/>
  <c r="R4174" i="29"/>
  <c r="R4173" i="29"/>
  <c r="R4172" i="29"/>
  <c r="R4171" i="29"/>
  <c r="R4170" i="29"/>
  <c r="R4169" i="29"/>
  <c r="R4180" i="29"/>
  <c r="R4179" i="29"/>
  <c r="R4163" i="29"/>
  <c r="R4161" i="29"/>
  <c r="R4176" i="29"/>
  <c r="R4168" i="29"/>
  <c r="R4167" i="29"/>
  <c r="R4166" i="29"/>
  <c r="R4165" i="29"/>
  <c r="R4164" i="29"/>
  <c r="R4158" i="29"/>
  <c r="R4152" i="29"/>
  <c r="R4151" i="29"/>
  <c r="R4150" i="29"/>
  <c r="R4141" i="29"/>
  <c r="R4140" i="29"/>
  <c r="R4139" i="29"/>
  <c r="R4138" i="29"/>
  <c r="R4137" i="29"/>
  <c r="R4136" i="29"/>
  <c r="R4135" i="29"/>
  <c r="R4134" i="29"/>
  <c r="R4133" i="29"/>
  <c r="R4132" i="29"/>
  <c r="R4131" i="29"/>
  <c r="R4162" i="29"/>
  <c r="R4160" i="29"/>
  <c r="R4159" i="29"/>
  <c r="R4122" i="29"/>
  <c r="R4118" i="29"/>
  <c r="R4115" i="29"/>
  <c r="R4114" i="29"/>
  <c r="R4154" i="29"/>
  <c r="R4153" i="29"/>
  <c r="R4157" i="29"/>
  <c r="R4156" i="29"/>
  <c r="R4155" i="29"/>
  <c r="R4149" i="29"/>
  <c r="R4148" i="29"/>
  <c r="R4147" i="29"/>
  <c r="R4146" i="29"/>
  <c r="R4145" i="29"/>
  <c r="R4144" i="29"/>
  <c r="R4143" i="29"/>
  <c r="R4142" i="29"/>
  <c r="R4117" i="29"/>
  <c r="R4108" i="29"/>
  <c r="R4130" i="29"/>
  <c r="R4129" i="29"/>
  <c r="R4128" i="29"/>
  <c r="R4127" i="29"/>
  <c r="R4126" i="29"/>
  <c r="R4125" i="29"/>
  <c r="R4124" i="29"/>
  <c r="R4123" i="29"/>
  <c r="R4121" i="29"/>
  <c r="R4120" i="29"/>
  <c r="R4119" i="29"/>
  <c r="R4116" i="29"/>
  <c r="R4113" i="29"/>
  <c r="R4112" i="29"/>
  <c r="R4111" i="29"/>
  <c r="R4110" i="29"/>
  <c r="R4109" i="29"/>
  <c r="R4107" i="29"/>
  <c r="R4106" i="29"/>
  <c r="R4105" i="29"/>
  <c r="R4104" i="29"/>
  <c r="R4103" i="29"/>
  <c r="R4102" i="29"/>
  <c r="R4101" i="29"/>
  <c r="R4100" i="29"/>
  <c r="R4093" i="29"/>
  <c r="R4082" i="29"/>
  <c r="R4081" i="29"/>
  <c r="R4099" i="29"/>
  <c r="R4098" i="29"/>
  <c r="R4097" i="29"/>
  <c r="R4096" i="29"/>
  <c r="R4095" i="29"/>
  <c r="R4094" i="29"/>
  <c r="R4091" i="29"/>
  <c r="R4090" i="29"/>
  <c r="R4089" i="29"/>
  <c r="R4088" i="29"/>
  <c r="R4087" i="29"/>
  <c r="R4086" i="29"/>
  <c r="R4085" i="29"/>
  <c r="R4084" i="29"/>
  <c r="R4083" i="29"/>
  <c r="R4080" i="29"/>
  <c r="R4079" i="29"/>
  <c r="R4078" i="29"/>
  <c r="R4092" i="29"/>
  <c r="R4077" i="29"/>
  <c r="R4076" i="29"/>
  <c r="R4075" i="29"/>
  <c r="R4074" i="29"/>
  <c r="R4066" i="29"/>
  <c r="R4073" i="29"/>
  <c r="R4072" i="29"/>
  <c r="R4071" i="29"/>
  <c r="R4070" i="29"/>
  <c r="R4069" i="29"/>
  <c r="R4068" i="29"/>
  <c r="R4067" i="29"/>
  <c r="R4065" i="29"/>
  <c r="R4064" i="29"/>
  <c r="R4063" i="29"/>
  <c r="R4062" i="29"/>
  <c r="R4055" i="29"/>
  <c r="R4054" i="29"/>
  <c r="R4053" i="29"/>
  <c r="R4052" i="29"/>
  <c r="R4051" i="29"/>
  <c r="R4050" i="29"/>
  <c r="R4049" i="29"/>
  <c r="R4048" i="29"/>
  <c r="R4047" i="29"/>
  <c r="R4044" i="29"/>
  <c r="R4038" i="29"/>
  <c r="R4037" i="29"/>
  <c r="R4036" i="29"/>
  <c r="R4035" i="29"/>
  <c r="R4034" i="29"/>
  <c r="R4033" i="29"/>
  <c r="R4032" i="29"/>
  <c r="R4031" i="29"/>
  <c r="R4030" i="29"/>
  <c r="R4029" i="29"/>
  <c r="R4028" i="29"/>
  <c r="R4027" i="29"/>
  <c r="R4026" i="29"/>
  <c r="R4025" i="29"/>
  <c r="R4024" i="29"/>
  <c r="R4046" i="29"/>
  <c r="R4045" i="29"/>
  <c r="R4061" i="29"/>
  <c r="R4060" i="29"/>
  <c r="R4059" i="29"/>
  <c r="R4058" i="29"/>
  <c r="R4057" i="29"/>
  <c r="R4056" i="29"/>
  <c r="R4040" i="29"/>
  <c r="R4043" i="29"/>
  <c r="R4042" i="29"/>
  <c r="R4041" i="29"/>
  <c r="R4039" i="29"/>
  <c r="R4018" i="29"/>
  <c r="R4017" i="29"/>
  <c r="R4016" i="29"/>
  <c r="R4015" i="29"/>
  <c r="R4023" i="29"/>
  <c r="R4022" i="29"/>
  <c r="R4021" i="29"/>
  <c r="R4020" i="29"/>
  <c r="R4019" i="29"/>
  <c r="R4013" i="29"/>
  <c r="R4012" i="29"/>
  <c r="R4014" i="29"/>
  <c r="R4011" i="29"/>
  <c r="R4010" i="29"/>
  <c r="R4006" i="29"/>
  <c r="R4009" i="29"/>
  <c r="R4008" i="29"/>
  <c r="R4005" i="29"/>
  <c r="R4004" i="29"/>
  <c r="R4003" i="29"/>
  <c r="R4002" i="29"/>
  <c r="R4001" i="29"/>
  <c r="R4000" i="29"/>
  <c r="R3999" i="29"/>
  <c r="R3998" i="29"/>
  <c r="R3997" i="29"/>
  <c r="R4007" i="29"/>
  <c r="R3996" i="29"/>
  <c r="R3991" i="29"/>
  <c r="R3990" i="29"/>
  <c r="R3995" i="29"/>
  <c r="R3994" i="29"/>
  <c r="R3993" i="29"/>
  <c r="R3992" i="29"/>
  <c r="R3989" i="29"/>
  <c r="R3988" i="29"/>
  <c r="R3984" i="29"/>
  <c r="R3983" i="29"/>
  <c r="R3982" i="29"/>
  <c r="R3980" i="29"/>
  <c r="R3979" i="29"/>
  <c r="R3987" i="29"/>
  <c r="R3986" i="29"/>
  <c r="R3985" i="29"/>
  <c r="R3978" i="29"/>
  <c r="R3977" i="29"/>
  <c r="R3976" i="29"/>
  <c r="R3975" i="29"/>
  <c r="R3974" i="29"/>
  <c r="R3973" i="29"/>
  <c r="R3981" i="29"/>
  <c r="R3962" i="29"/>
  <c r="R3961" i="29"/>
  <c r="R3960" i="29"/>
  <c r="R3972" i="29"/>
  <c r="R3971" i="29"/>
  <c r="R3970" i="29"/>
  <c r="R3969" i="29"/>
  <c r="R3968" i="29"/>
  <c r="R3967" i="29"/>
  <c r="R3966" i="29"/>
  <c r="R3965" i="29"/>
  <c r="R3964" i="29"/>
  <c r="R3963" i="29"/>
  <c r="R3959" i="29"/>
  <c r="R3958" i="29"/>
  <c r="R3957" i="29"/>
  <c r="R3956" i="29"/>
  <c r="R3955" i="29"/>
  <c r="R3954" i="29"/>
  <c r="R3952" i="29"/>
  <c r="R3953" i="29"/>
  <c r="R3946" i="29"/>
  <c r="R3945" i="29"/>
  <c r="R3951" i="29"/>
  <c r="R3950" i="29"/>
  <c r="R3949" i="29"/>
  <c r="R3948" i="29"/>
  <c r="R3947" i="29"/>
  <c r="R3944" i="29"/>
  <c r="R3940" i="29"/>
  <c r="R3939" i="29"/>
  <c r="R3938" i="29"/>
  <c r="R3937" i="29"/>
  <c r="R3942" i="29"/>
  <c r="R3941" i="29"/>
  <c r="R3936" i="29"/>
  <c r="R3943" i="29"/>
  <c r="R3934" i="29"/>
  <c r="R3933" i="29"/>
  <c r="R3935" i="29"/>
  <c r="R3922" i="29"/>
  <c r="R3932" i="29"/>
  <c r="R3931" i="29"/>
  <c r="R3930" i="29"/>
  <c r="R3929" i="29"/>
  <c r="R3928" i="29"/>
  <c r="R3927" i="29"/>
  <c r="R3926" i="29"/>
  <c r="R3924" i="29"/>
  <c r="R3923" i="29"/>
  <c r="R3916" i="29"/>
  <c r="R3915" i="29"/>
  <c r="R3925" i="29"/>
  <c r="R3912" i="29"/>
  <c r="R3911" i="29"/>
  <c r="R3908" i="29"/>
  <c r="R3907" i="29"/>
  <c r="R3906" i="29"/>
  <c r="R3905" i="29"/>
  <c r="R3904" i="29"/>
  <c r="R3903" i="29"/>
  <c r="R3921" i="29"/>
  <c r="R3920" i="29"/>
  <c r="R3919" i="29"/>
  <c r="R3918" i="29"/>
  <c r="R3917" i="29"/>
  <c r="R3902" i="29"/>
  <c r="R3901" i="29"/>
  <c r="R3900" i="29"/>
  <c r="R3909" i="29"/>
  <c r="R3899" i="29"/>
  <c r="R3914" i="29"/>
  <c r="R3913" i="29"/>
  <c r="R3910" i="29"/>
  <c r="R3898" i="29"/>
  <c r="R3897" i="29"/>
  <c r="R3896" i="29"/>
  <c r="R3895" i="29"/>
  <c r="R3894" i="29"/>
  <c r="R3893" i="29"/>
  <c r="R3892" i="29"/>
  <c r="R3891" i="29"/>
  <c r="R3890" i="29"/>
  <c r="R3889" i="29"/>
  <c r="R3883" i="29"/>
  <c r="R3882" i="29"/>
  <c r="R3881" i="29"/>
  <c r="R3888" i="29"/>
  <c r="R3887" i="29"/>
  <c r="R3886" i="29"/>
  <c r="R3885" i="29"/>
  <c r="R3884" i="29"/>
  <c r="R3880" i="29"/>
  <c r="R3874" i="29"/>
  <c r="R3873" i="29"/>
  <c r="R3872" i="29"/>
  <c r="R3871" i="29"/>
  <c r="R3870" i="29"/>
  <c r="R3869" i="29"/>
  <c r="R3879" i="29"/>
  <c r="R3878" i="29"/>
  <c r="R3877" i="29"/>
  <c r="R3876" i="29"/>
  <c r="R3875" i="29"/>
  <c r="R3867" i="29"/>
  <c r="R3866" i="29"/>
  <c r="R3868" i="29"/>
  <c r="R3865" i="29"/>
  <c r="R3864" i="29"/>
  <c r="R3863" i="29"/>
  <c r="R3862" i="29"/>
  <c r="R3861" i="29"/>
  <c r="R3860" i="29"/>
  <c r="R3859" i="29"/>
  <c r="R3856" i="29"/>
  <c r="R3858" i="29"/>
  <c r="R3857" i="29"/>
  <c r="R3855" i="29"/>
  <c r="R3854" i="29"/>
  <c r="R3853" i="29"/>
  <c r="R3852" i="29"/>
  <c r="R3847" i="29"/>
  <c r="R3790" i="29"/>
  <c r="R3851" i="29"/>
  <c r="R3850" i="29"/>
  <c r="R3849" i="29"/>
  <c r="R3848" i="29"/>
  <c r="R3846" i="29"/>
  <c r="R3841" i="29"/>
  <c r="R3840" i="29"/>
  <c r="R3839" i="29"/>
  <c r="R3837" i="29"/>
  <c r="R3845" i="29"/>
  <c r="R3844" i="29"/>
  <c r="R3843" i="29"/>
  <c r="R3836" i="29"/>
  <c r="R3835" i="29"/>
  <c r="R3842" i="29"/>
  <c r="R3838" i="29"/>
  <c r="R3834" i="29"/>
  <c r="R3833" i="29"/>
  <c r="R3832" i="29"/>
  <c r="R3831" i="29"/>
  <c r="R3830" i="29"/>
  <c r="R3829" i="29"/>
  <c r="R3828" i="29"/>
  <c r="R3827" i="29"/>
  <c r="R3826" i="29"/>
  <c r="R3825" i="29"/>
  <c r="R3824" i="29"/>
  <c r="R3823" i="29"/>
  <c r="R3819" i="29"/>
  <c r="R3813" i="29"/>
  <c r="R3812" i="29"/>
  <c r="R3811" i="29"/>
  <c r="R3810" i="29"/>
  <c r="R3822" i="29"/>
  <c r="R3821" i="29"/>
  <c r="R3820" i="29"/>
  <c r="R3818" i="29"/>
  <c r="R3817" i="29"/>
  <c r="R3816" i="29"/>
  <c r="R3815" i="29"/>
  <c r="R3814" i="29"/>
  <c r="R3807" i="29"/>
  <c r="R3809" i="29"/>
  <c r="R3808" i="29"/>
  <c r="R3806" i="29"/>
  <c r="R3805" i="29"/>
  <c r="R3804" i="29"/>
  <c r="R3802" i="29"/>
  <c r="R3801" i="29"/>
  <c r="R3799" i="29"/>
  <c r="R3798" i="29"/>
  <c r="R3797" i="29"/>
  <c r="R3800" i="29"/>
  <c r="R3803" i="29"/>
  <c r="R3796" i="29"/>
  <c r="R3795" i="29"/>
  <c r="R3794" i="29"/>
  <c r="R3793" i="29"/>
  <c r="R3792" i="29"/>
  <c r="R3791" i="29"/>
  <c r="R3789" i="29"/>
  <c r="R3786" i="29"/>
  <c r="R3785" i="29"/>
  <c r="R3788" i="29"/>
  <c r="R3787" i="29"/>
  <c r="R3784" i="29"/>
  <c r="R3783" i="29"/>
  <c r="R3782" i="29"/>
  <c r="R3781" i="29"/>
  <c r="R3780" i="29"/>
  <c r="R3779" i="29"/>
  <c r="R3778" i="29"/>
  <c r="R3776" i="29"/>
  <c r="R3775" i="29"/>
  <c r="R3774" i="29"/>
  <c r="R3777" i="29"/>
  <c r="R3773" i="29"/>
  <c r="R3770" i="29"/>
  <c r="R3769" i="29"/>
  <c r="R3768" i="29"/>
  <c r="R3767" i="29"/>
  <c r="R3772" i="29"/>
  <c r="R3771" i="29"/>
  <c r="R3766" i="29"/>
  <c r="R3765" i="29"/>
  <c r="R3764" i="29"/>
  <c r="R3763" i="29"/>
  <c r="R3762" i="29"/>
  <c r="R3761" i="29"/>
  <c r="R3760" i="29"/>
  <c r="R3759" i="29"/>
  <c r="R3758" i="29"/>
  <c r="R3757" i="29"/>
  <c r="R648" i="29"/>
  <c r="R647" i="29"/>
  <c r="R633" i="29"/>
  <c r="R3756" i="29"/>
  <c r="R3753" i="29"/>
  <c r="R3752" i="29"/>
  <c r="R3751" i="29"/>
  <c r="R3750" i="29"/>
  <c r="R3749" i="29"/>
  <c r="R3748" i="29"/>
  <c r="R3747" i="29"/>
  <c r="R3755" i="29"/>
  <c r="R3754" i="29"/>
  <c r="R3746" i="29"/>
  <c r="R3743" i="29"/>
  <c r="R3742" i="29"/>
  <c r="R3741" i="29"/>
  <c r="R3740" i="29"/>
  <c r="R3745" i="29"/>
  <c r="R3744" i="29"/>
  <c r="R3737" i="29"/>
  <c r="R3739" i="29"/>
  <c r="R3738" i="29"/>
  <c r="R3736" i="29"/>
  <c r="R3735" i="29"/>
  <c r="R3734" i="29"/>
  <c r="R3733" i="29"/>
  <c r="R3732" i="29"/>
  <c r="R3731" i="29"/>
  <c r="R3730" i="29"/>
  <c r="R3725" i="29"/>
  <c r="R3724" i="29"/>
  <c r="R3723" i="29"/>
  <c r="R3729" i="29"/>
  <c r="R3728" i="29"/>
  <c r="R3727" i="29"/>
  <c r="R3726" i="29"/>
  <c r="R3722" i="29"/>
  <c r="R3721" i="29"/>
  <c r="R3714" i="29"/>
  <c r="R3713" i="29"/>
  <c r="R3712" i="29"/>
  <c r="R3711" i="29"/>
  <c r="R3720" i="29"/>
  <c r="R3719" i="29"/>
  <c r="R3718" i="29"/>
  <c r="R3717" i="29"/>
  <c r="R3716" i="29"/>
  <c r="R3715" i="29"/>
  <c r="R3710" i="29"/>
  <c r="R3709" i="29"/>
  <c r="R3708" i="29"/>
  <c r="R3706" i="29"/>
  <c r="R3702" i="29"/>
  <c r="R3701" i="29"/>
  <c r="R3700" i="29"/>
  <c r="R3707" i="29"/>
  <c r="R3705" i="29"/>
  <c r="R3704" i="29"/>
  <c r="R3703" i="29"/>
  <c r="R3699" i="29"/>
  <c r="R3698" i="29"/>
  <c r="R3697" i="29"/>
  <c r="R3696" i="29"/>
  <c r="R3695" i="29"/>
  <c r="R3694" i="29"/>
  <c r="R3681" i="29"/>
  <c r="R3680" i="29"/>
  <c r="R3679" i="29"/>
  <c r="R3678" i="29"/>
  <c r="R3688" i="29"/>
  <c r="R3677" i="29"/>
  <c r="R3676" i="29"/>
  <c r="R3675" i="29"/>
  <c r="R3693" i="29"/>
  <c r="R3692" i="29"/>
  <c r="R3691" i="29"/>
  <c r="R3690" i="29"/>
  <c r="R3689" i="29"/>
  <c r="R3687" i="29"/>
  <c r="R3686" i="29"/>
  <c r="R3685" i="29"/>
  <c r="R3684" i="29"/>
  <c r="R3683" i="29"/>
  <c r="R3669" i="29"/>
  <c r="R3682" i="29"/>
  <c r="R3673" i="29"/>
  <c r="R3672" i="29"/>
  <c r="R3671" i="29"/>
  <c r="R3670" i="29"/>
  <c r="R3674" i="29"/>
  <c r="R3668" i="29"/>
  <c r="R3667" i="29"/>
  <c r="R3666" i="29"/>
  <c r="R3657" i="29"/>
  <c r="R3656" i="29"/>
  <c r="R3655" i="29"/>
  <c r="R3665" i="29"/>
  <c r="R3664" i="29"/>
  <c r="R3663" i="29"/>
  <c r="R3662" i="29"/>
  <c r="R3661" i="29"/>
  <c r="R3660" i="29"/>
  <c r="R3659" i="29"/>
  <c r="R3658" i="29"/>
  <c r="R3654" i="29"/>
  <c r="R3653" i="29"/>
  <c r="R3652" i="29"/>
  <c r="R3647" i="29"/>
  <c r="R3646" i="29"/>
  <c r="R3645" i="29"/>
  <c r="R3644" i="29"/>
  <c r="R3643" i="29"/>
  <c r="R3642" i="29"/>
  <c r="R3641" i="29"/>
  <c r="R3640" i="29"/>
  <c r="R3651" i="29"/>
  <c r="R3650" i="29"/>
  <c r="R3649" i="29"/>
  <c r="R3648" i="29"/>
  <c r="R3638" i="29"/>
  <c r="R3637" i="29"/>
  <c r="R3636" i="29"/>
  <c r="R3635" i="29"/>
  <c r="R3634" i="29"/>
  <c r="R3631" i="29"/>
  <c r="R3630" i="29"/>
  <c r="R3639" i="29"/>
  <c r="R3633" i="29"/>
  <c r="R3632" i="29"/>
  <c r="R3629" i="29"/>
  <c r="R3628" i="29"/>
  <c r="R3627" i="29"/>
  <c r="R3626" i="29"/>
  <c r="R3625" i="29"/>
  <c r="R3624" i="29"/>
  <c r="R3622" i="29"/>
  <c r="R3617" i="29"/>
  <c r="R3616" i="29"/>
  <c r="R3623" i="29"/>
  <c r="R3615" i="29"/>
  <c r="R3614" i="29"/>
  <c r="R3621" i="29"/>
  <c r="R3620" i="29"/>
  <c r="R3619" i="29"/>
  <c r="R3618" i="29"/>
  <c r="R3613" i="29"/>
  <c r="R3612" i="29"/>
  <c r="R3609" i="29"/>
  <c r="R3611" i="29"/>
  <c r="R3559" i="29"/>
  <c r="R3560" i="29"/>
  <c r="R3561" i="29"/>
  <c r="R3562" i="29"/>
  <c r="R3610" i="29"/>
  <c r="R3115" i="29"/>
  <c r="R3114" i="29"/>
  <c r="R3563" i="29"/>
  <c r="R3564" i="29"/>
  <c r="R3565" i="29"/>
  <c r="R3566" i="29"/>
  <c r="R3567" i="29"/>
  <c r="R3568" i="29"/>
  <c r="R3569" i="29"/>
  <c r="R3570" i="29"/>
  <c r="R3571" i="29"/>
  <c r="R3572" i="29"/>
  <c r="R3573" i="29"/>
  <c r="R3574" i="29"/>
  <c r="R3575" i="29"/>
  <c r="R3576" i="29"/>
  <c r="R3577" i="29"/>
  <c r="R3578" i="29"/>
  <c r="R3579" i="29"/>
  <c r="R3580" i="29"/>
  <c r="R3581" i="29"/>
  <c r="R3582" i="29"/>
  <c r="R3583" i="29"/>
  <c r="R3584" i="29"/>
  <c r="R3585" i="29"/>
  <c r="R3586" i="29"/>
  <c r="R3558" i="29"/>
  <c r="R3557" i="29"/>
  <c r="R3556" i="29"/>
  <c r="R3554" i="29"/>
  <c r="R3587" i="29"/>
  <c r="R3588" i="29"/>
  <c r="R3589" i="29"/>
  <c r="R3590" i="29"/>
  <c r="R3591" i="29"/>
  <c r="R3592" i="29"/>
  <c r="R3593" i="29"/>
  <c r="R3594" i="29"/>
  <c r="R3595" i="29"/>
  <c r="R3596" i="29"/>
  <c r="R3597" i="29"/>
  <c r="R3598" i="29"/>
  <c r="R3599" i="29"/>
  <c r="R3600" i="29"/>
  <c r="R3601" i="29"/>
  <c r="R3602" i="29"/>
  <c r="R3603" i="29"/>
  <c r="R3604" i="29"/>
  <c r="R3605" i="29"/>
  <c r="R3606" i="29"/>
  <c r="R3607" i="29"/>
  <c r="R3608" i="29"/>
  <c r="R3555" i="29"/>
  <c r="R3546" i="29"/>
  <c r="R3545" i="29"/>
  <c r="R3544" i="29"/>
  <c r="R3542" i="29"/>
  <c r="R3540" i="29"/>
  <c r="R3539" i="29"/>
  <c r="R3553" i="29"/>
  <c r="R3552" i="29"/>
  <c r="R3551" i="29"/>
  <c r="R3550" i="29"/>
  <c r="R3549" i="29"/>
  <c r="R3548" i="29"/>
  <c r="R3547" i="29"/>
  <c r="R3543" i="29"/>
  <c r="R3541" i="29"/>
  <c r="R3538" i="29"/>
  <c r="R3536" i="29"/>
  <c r="R3535" i="29"/>
  <c r="R3537" i="29"/>
  <c r="R3534" i="29"/>
  <c r="R3533" i="29"/>
  <c r="R3528" i="29"/>
  <c r="R3527" i="29"/>
  <c r="R3526" i="29"/>
  <c r="R3525" i="29"/>
  <c r="R3524" i="29"/>
  <c r="R3523" i="29"/>
  <c r="R3522" i="29"/>
  <c r="R3532" i="29"/>
  <c r="R3531" i="29"/>
  <c r="R3530" i="29"/>
  <c r="R3529" i="29"/>
  <c r="R3521" i="29"/>
  <c r="R3520" i="29"/>
  <c r="R3519" i="29"/>
  <c r="R3518" i="29"/>
  <c r="R3517" i="29"/>
  <c r="R3507" i="29"/>
  <c r="R3513" i="29"/>
  <c r="R3512" i="29"/>
  <c r="R3511" i="29"/>
  <c r="R3510" i="29"/>
  <c r="R3509" i="29"/>
  <c r="R3506" i="29"/>
  <c r="R3498" i="29"/>
  <c r="R3516" i="29"/>
  <c r="R3515" i="29"/>
  <c r="R3514" i="29"/>
  <c r="R3494" i="29"/>
  <c r="R3492" i="29"/>
  <c r="R3491" i="29"/>
  <c r="R3508" i="29"/>
  <c r="R3487" i="29"/>
  <c r="R3505" i="29"/>
  <c r="R3504" i="29"/>
  <c r="R3503" i="29"/>
  <c r="R3502" i="29"/>
  <c r="R3501" i="29"/>
  <c r="R3500" i="29"/>
  <c r="R3499" i="29"/>
  <c r="R3497" i="29"/>
  <c r="R3496" i="29"/>
  <c r="R3495" i="29"/>
  <c r="R3493" i="29"/>
  <c r="R3490" i="29"/>
  <c r="R3489" i="29"/>
  <c r="R3488" i="29"/>
  <c r="R3486" i="29"/>
  <c r="R3485" i="29"/>
  <c r="R3484" i="29"/>
  <c r="R3483" i="29"/>
  <c r="R3482" i="29"/>
  <c r="R3481" i="29"/>
  <c r="R3480" i="29"/>
  <c r="R3479" i="29"/>
  <c r="R3478" i="29"/>
  <c r="R3477" i="29"/>
  <c r="R3476" i="29"/>
  <c r="R3475" i="29"/>
  <c r="R3474" i="29"/>
  <c r="R3473" i="29"/>
  <c r="R3472" i="29"/>
  <c r="R3471" i="29"/>
  <c r="R3470" i="29"/>
  <c r="R3469" i="29"/>
  <c r="R3468" i="29"/>
  <c r="R3467" i="29"/>
  <c r="R3466" i="29"/>
  <c r="R3465" i="29"/>
  <c r="R3464" i="29"/>
  <c r="R3462" i="29"/>
  <c r="R3459" i="29"/>
  <c r="R3457" i="29"/>
  <c r="R3456" i="29"/>
  <c r="R3455" i="29"/>
  <c r="R3463" i="29"/>
  <c r="R3461" i="29"/>
  <c r="R3460" i="29"/>
  <c r="R3454" i="29"/>
  <c r="R3458" i="29"/>
  <c r="R3453" i="29"/>
  <c r="R3452" i="29"/>
  <c r="R3451" i="29"/>
  <c r="R3450" i="29"/>
  <c r="R3449" i="29"/>
  <c r="R3446" i="29"/>
  <c r="R3445" i="29"/>
  <c r="R3444" i="29"/>
  <c r="R3448" i="29"/>
  <c r="R3447" i="29"/>
  <c r="R3443" i="29"/>
  <c r="R3440" i="29"/>
  <c r="R3439" i="29"/>
  <c r="R3438" i="29"/>
  <c r="R3442" i="29"/>
  <c r="R3441" i="29"/>
  <c r="R3437" i="29"/>
  <c r="R3430" i="29"/>
  <c r="R3428" i="29"/>
  <c r="R3427" i="29"/>
  <c r="R3426" i="29"/>
  <c r="R3425" i="29"/>
  <c r="R3424" i="29"/>
  <c r="R3423" i="29"/>
  <c r="R3436" i="29"/>
  <c r="R3435" i="29"/>
  <c r="R3434" i="29"/>
  <c r="R3433" i="29"/>
  <c r="R3432" i="29"/>
  <c r="R3431" i="29"/>
  <c r="R3429" i="29"/>
  <c r="R3420" i="29"/>
  <c r="R3419" i="29"/>
  <c r="R3422" i="29"/>
  <c r="R3421" i="29"/>
  <c r="R3418" i="29"/>
  <c r="R3417" i="29"/>
  <c r="R3416" i="29"/>
  <c r="R3415" i="29"/>
  <c r="R3414" i="29"/>
  <c r="R3413" i="29"/>
  <c r="R3408" i="29"/>
  <c r="R3407" i="29"/>
  <c r="R3412" i="29"/>
  <c r="R3411" i="29"/>
  <c r="R3405" i="29"/>
  <c r="R3404" i="29"/>
  <c r="R3403" i="29"/>
  <c r="R3402" i="29"/>
  <c r="R3401" i="29"/>
  <c r="R3394" i="29"/>
  <c r="R3393" i="29"/>
  <c r="R3392" i="29"/>
  <c r="R3391" i="29"/>
  <c r="R3410" i="29"/>
  <c r="R3409" i="29"/>
  <c r="R3406" i="29"/>
  <c r="R3400" i="29"/>
  <c r="R3399" i="29"/>
  <c r="R3398" i="29"/>
  <c r="R3397" i="29"/>
  <c r="R3388" i="29"/>
  <c r="R3387" i="29"/>
  <c r="R3386" i="29"/>
  <c r="R3385" i="29"/>
  <c r="R3384" i="29"/>
  <c r="R3383" i="29"/>
  <c r="R3396" i="29"/>
  <c r="R3395" i="29"/>
  <c r="R3390" i="29"/>
  <c r="R3389" i="29"/>
  <c r="R3382" i="29"/>
  <c r="R3381" i="29"/>
  <c r="R3380" i="29"/>
  <c r="R3371" i="29"/>
  <c r="R3366" i="29"/>
  <c r="R3365" i="29"/>
  <c r="R3364" i="29"/>
  <c r="R3379" i="29"/>
  <c r="R3378" i="29"/>
  <c r="R3377" i="29"/>
  <c r="R3376" i="29"/>
  <c r="R3375" i="29"/>
  <c r="R3374" i="29"/>
  <c r="R3363" i="29"/>
  <c r="R3373" i="29"/>
  <c r="R3372" i="29"/>
  <c r="R3370" i="29"/>
  <c r="R3369" i="29"/>
  <c r="R3368" i="29"/>
  <c r="R3367" i="29"/>
  <c r="R3355" i="29"/>
  <c r="R3362" i="29"/>
  <c r="R3361" i="29"/>
  <c r="R3360" i="29"/>
  <c r="R3359" i="29"/>
  <c r="R3358" i="29"/>
  <c r="R3357" i="29"/>
  <c r="R3356" i="29"/>
  <c r="R3353" i="29"/>
  <c r="R3352" i="29"/>
  <c r="R3354" i="29"/>
  <c r="R3348" i="29"/>
  <c r="R3347" i="29"/>
  <c r="R3350" i="29"/>
  <c r="R3349" i="29"/>
  <c r="R3344" i="29"/>
  <c r="R3343" i="29"/>
  <c r="R3342" i="29"/>
  <c r="R3351" i="29"/>
  <c r="R3346" i="29"/>
  <c r="R3345" i="29"/>
  <c r="R3340" i="29"/>
  <c r="R3339" i="29"/>
  <c r="R3338" i="29"/>
  <c r="R3337" i="29"/>
  <c r="R3336" i="29"/>
  <c r="R3335" i="29"/>
  <c r="R3334" i="29"/>
  <c r="R3333" i="29"/>
  <c r="R3329" i="29"/>
  <c r="R3328" i="29"/>
  <c r="R3327" i="29"/>
  <c r="R3341" i="29"/>
  <c r="R3332" i="29"/>
  <c r="R3331" i="29"/>
  <c r="R3330" i="29"/>
  <c r="R3326" i="29"/>
  <c r="R3325" i="29"/>
  <c r="R3324" i="29"/>
  <c r="R3323" i="29"/>
  <c r="R3322" i="29"/>
  <c r="R3321" i="29"/>
  <c r="R3320" i="29"/>
  <c r="R3319" i="29"/>
  <c r="R3318" i="29"/>
  <c r="R3317" i="29"/>
  <c r="R3315" i="29"/>
  <c r="R3314" i="29"/>
  <c r="R3316" i="29"/>
  <c r="R3313" i="29"/>
  <c r="R3312" i="29"/>
  <c r="R3311" i="29"/>
  <c r="R3310" i="29"/>
  <c r="R3309" i="29"/>
  <c r="R3307" i="29"/>
  <c r="R3306" i="29"/>
  <c r="R3305" i="29"/>
  <c r="R3304" i="29"/>
  <c r="R3301" i="29"/>
  <c r="R3303" i="29"/>
  <c r="R3302" i="29"/>
  <c r="R3300" i="29"/>
  <c r="R3299" i="29"/>
  <c r="R2298" i="29"/>
  <c r="R3308" i="29"/>
  <c r="R3298" i="29"/>
  <c r="R3297" i="29"/>
  <c r="R3292" i="29"/>
  <c r="R3291" i="29"/>
  <c r="R3289" i="29"/>
  <c r="R3288" i="29"/>
  <c r="R3287" i="29"/>
  <c r="R3286" i="29"/>
  <c r="R3285" i="29"/>
  <c r="R3296" i="29"/>
  <c r="R3294" i="29"/>
  <c r="R3293" i="29"/>
  <c r="R3290" i="29"/>
  <c r="R3284" i="29"/>
  <c r="R3283" i="29"/>
  <c r="R3295" i="29"/>
  <c r="R3281" i="29"/>
  <c r="R3273" i="29"/>
  <c r="R3272" i="29"/>
  <c r="R3271" i="29"/>
  <c r="R3269" i="29"/>
  <c r="R3280" i="29"/>
  <c r="R3279" i="29"/>
  <c r="R3278" i="29"/>
  <c r="R3277" i="29"/>
  <c r="R3276" i="29"/>
  <c r="R3275" i="29"/>
  <c r="R3268" i="29"/>
  <c r="R3267" i="29"/>
  <c r="R3259" i="29"/>
  <c r="R3258" i="29"/>
  <c r="R3282" i="29"/>
  <c r="R3274" i="29"/>
  <c r="R3250" i="29"/>
  <c r="R3249" i="29"/>
  <c r="R3248" i="29"/>
  <c r="R3270" i="29"/>
  <c r="R3266" i="29"/>
  <c r="R3265" i="29"/>
  <c r="R3264" i="29"/>
  <c r="R3263" i="29"/>
  <c r="R3262" i="29"/>
  <c r="R3261" i="29"/>
  <c r="R3260" i="29"/>
  <c r="R3257" i="29"/>
  <c r="R3256" i="29"/>
  <c r="R3255" i="29"/>
  <c r="R3254" i="29"/>
  <c r="R3253" i="29"/>
  <c r="R3252" i="29"/>
  <c r="R3251" i="29"/>
  <c r="R3247" i="29"/>
  <c r="R3237" i="29"/>
  <c r="R3236" i="29"/>
  <c r="R3235" i="29"/>
  <c r="R3246" i="29"/>
  <c r="R3245" i="29"/>
  <c r="R3244" i="29"/>
  <c r="R3243" i="29"/>
  <c r="R3242" i="29"/>
  <c r="R3241" i="29"/>
  <c r="R3240" i="29"/>
  <c r="R3239" i="29"/>
  <c r="R3238" i="29"/>
  <c r="R3234" i="29"/>
  <c r="R3232" i="29"/>
  <c r="R3231" i="29"/>
  <c r="R3230" i="29"/>
  <c r="R3229" i="29"/>
  <c r="R3233" i="29"/>
  <c r="R3228" i="29"/>
  <c r="R3227" i="29"/>
  <c r="R3226" i="29"/>
  <c r="R3225" i="29"/>
  <c r="R3224" i="29"/>
  <c r="R3215" i="29"/>
  <c r="R3220" i="29"/>
  <c r="R3219" i="29"/>
  <c r="R3218" i="29"/>
  <c r="R3217" i="29"/>
  <c r="R3216" i="29"/>
  <c r="R3223" i="29"/>
  <c r="R3222" i="29"/>
  <c r="R3221" i="29"/>
  <c r="R3207" i="29"/>
  <c r="R3206" i="29"/>
  <c r="R3214" i="29"/>
  <c r="R3213" i="29"/>
  <c r="R3212" i="29"/>
  <c r="R3211" i="29"/>
  <c r="R3210" i="29"/>
  <c r="R3209" i="29"/>
  <c r="R3208" i="29"/>
  <c r="R3205" i="29"/>
  <c r="R3204" i="29"/>
  <c r="R3203" i="29"/>
  <c r="R3202" i="29"/>
  <c r="R3194" i="29"/>
  <c r="R3193" i="29"/>
  <c r="R3192" i="29"/>
  <c r="R3191" i="29"/>
  <c r="R3190" i="29"/>
  <c r="R3189" i="29"/>
  <c r="R3187" i="29"/>
  <c r="R3186" i="29"/>
  <c r="R3201" i="29"/>
  <c r="R3200" i="29"/>
  <c r="R3199" i="29"/>
  <c r="R3198" i="29"/>
  <c r="R3197" i="29"/>
  <c r="R3196" i="29"/>
  <c r="R3195" i="29"/>
  <c r="R3188" i="29"/>
  <c r="R3185" i="29"/>
  <c r="R3184" i="29"/>
  <c r="R3183" i="29"/>
  <c r="R3182" i="29"/>
  <c r="R3176" i="29"/>
  <c r="R3175" i="29"/>
  <c r="R3173" i="29"/>
  <c r="R3172" i="29"/>
  <c r="R3171" i="29"/>
  <c r="R3169" i="29"/>
  <c r="R3168" i="29"/>
  <c r="R3167" i="29"/>
  <c r="R3166" i="29"/>
  <c r="R3165" i="29"/>
  <c r="R3164" i="29"/>
  <c r="R3174" i="29"/>
  <c r="R3181" i="29"/>
  <c r="R3180" i="29"/>
  <c r="R3179" i="29"/>
  <c r="R3178" i="29"/>
  <c r="R3177" i="29"/>
  <c r="R3160" i="29"/>
  <c r="R3170" i="29"/>
  <c r="R3161" i="29"/>
  <c r="R3163" i="29"/>
  <c r="R3162" i="29"/>
  <c r="R3156" i="29"/>
  <c r="R3159" i="29"/>
  <c r="R3158" i="29"/>
  <c r="R3157" i="29"/>
  <c r="R3151" i="29"/>
  <c r="R3150" i="29"/>
  <c r="R3149" i="29"/>
  <c r="R3148" i="29"/>
  <c r="R3147" i="29"/>
  <c r="R3155" i="29"/>
  <c r="R3154" i="29"/>
  <c r="R3153" i="29"/>
  <c r="R3152" i="29"/>
  <c r="R3145" i="29"/>
  <c r="R3138" i="29"/>
  <c r="R3137" i="29"/>
  <c r="R3146" i="29"/>
  <c r="R3139" i="29"/>
  <c r="R3132" i="29"/>
  <c r="R3131" i="29"/>
  <c r="R3144" i="29"/>
  <c r="R3143" i="29"/>
  <c r="R3142" i="29"/>
  <c r="R3141" i="29"/>
  <c r="R3140" i="29"/>
  <c r="R3126" i="29"/>
  <c r="R3125" i="29"/>
  <c r="R3124" i="29"/>
  <c r="R3136" i="29"/>
  <c r="R3135" i="29"/>
  <c r="R3134" i="29"/>
  <c r="R3133" i="29"/>
  <c r="R3122" i="29"/>
  <c r="R3121" i="29"/>
  <c r="R3130" i="29"/>
  <c r="R3129" i="29"/>
  <c r="R3128" i="29"/>
  <c r="R3127" i="29"/>
  <c r="R3123" i="29"/>
  <c r="R3120" i="29"/>
  <c r="R3119" i="29"/>
  <c r="R3117" i="29"/>
  <c r="R3116" i="29"/>
  <c r="R3112" i="29"/>
  <c r="R3111" i="29"/>
  <c r="R3102" i="29"/>
  <c r="R3101" i="29"/>
  <c r="R3100" i="29"/>
  <c r="R3099" i="29"/>
  <c r="R3098" i="29"/>
  <c r="R3095" i="29"/>
  <c r="R3094" i="29"/>
  <c r="R3093" i="29"/>
  <c r="R3080" i="29"/>
  <c r="R3110" i="29"/>
  <c r="R3118" i="29"/>
  <c r="R3113" i="29"/>
  <c r="R3109" i="29"/>
  <c r="R3108" i="29"/>
  <c r="R3107" i="29"/>
  <c r="R3106" i="29"/>
  <c r="R3105" i="29"/>
  <c r="R3104" i="29"/>
  <c r="R3103" i="29"/>
  <c r="R3097" i="29"/>
  <c r="R3096" i="29"/>
  <c r="R3092" i="29"/>
  <c r="R3091" i="29"/>
  <c r="R3090" i="29"/>
  <c r="R3089" i="29"/>
  <c r="R3088" i="29"/>
  <c r="R3087" i="29"/>
  <c r="R3072" i="29"/>
  <c r="R3071" i="29"/>
  <c r="R3070" i="29"/>
  <c r="R3069" i="29"/>
  <c r="R3068" i="29"/>
  <c r="R3086" i="29"/>
  <c r="R3085" i="29"/>
  <c r="R3084" i="29"/>
  <c r="R3083" i="29"/>
  <c r="R3082" i="29"/>
  <c r="R3081" i="29"/>
  <c r="R3079" i="29"/>
  <c r="R3078" i="29"/>
  <c r="R3067" i="29"/>
  <c r="R3077" i="29"/>
  <c r="R3076" i="29"/>
  <c r="R3075" i="29"/>
  <c r="R3074" i="29"/>
  <c r="R3073" i="29"/>
  <c r="R3066" i="29"/>
  <c r="R3065" i="29"/>
  <c r="R3064" i="29"/>
  <c r="R3063" i="29"/>
  <c r="R3062" i="29"/>
  <c r="R3061" i="29"/>
  <c r="R3054" i="29"/>
  <c r="R3053" i="29"/>
  <c r="R3052" i="29"/>
  <c r="R3051" i="29"/>
  <c r="R3050" i="29"/>
  <c r="R3049" i="29"/>
  <c r="R3048" i="29"/>
  <c r="R3060" i="29"/>
  <c r="R3059" i="29"/>
  <c r="R3058" i="29"/>
  <c r="R3057" i="29"/>
  <c r="R3056" i="29"/>
  <c r="R3055" i="29"/>
  <c r="R3045" i="29"/>
  <c r="R3044" i="29"/>
  <c r="R3043" i="29"/>
  <c r="R3042" i="29"/>
  <c r="R3047" i="29"/>
  <c r="R3040" i="29"/>
  <c r="R3039" i="29"/>
  <c r="R3046" i="29"/>
  <c r="R3041" i="29"/>
  <c r="R3038" i="29"/>
  <c r="R3037" i="29"/>
  <c r="R3036" i="29"/>
  <c r="R3035" i="29"/>
  <c r="R3028" i="29"/>
  <c r="R3034" i="29"/>
  <c r="R3033" i="29"/>
  <c r="R3032" i="29"/>
  <c r="R3031" i="29"/>
  <c r="R3027" i="29"/>
  <c r="R3026" i="29"/>
  <c r="R3025" i="29"/>
  <c r="R3024" i="29"/>
  <c r="R3023" i="29"/>
  <c r="R3030" i="29"/>
  <c r="R3029" i="29"/>
  <c r="R3022" i="29"/>
  <c r="R3021" i="29"/>
  <c r="R3020" i="29"/>
  <c r="R3017" i="29"/>
  <c r="R3016" i="29"/>
  <c r="R3019" i="29"/>
  <c r="R3018" i="29"/>
  <c r="R3012" i="29"/>
  <c r="R3009" i="29"/>
  <c r="R3003" i="29"/>
  <c r="R3002" i="29"/>
  <c r="R3001" i="29"/>
  <c r="R3000" i="29"/>
  <c r="R2999" i="29"/>
  <c r="R2998" i="29"/>
  <c r="R2993" i="29"/>
  <c r="R2992" i="29"/>
  <c r="R2991" i="29"/>
  <c r="R2990" i="29"/>
  <c r="R2989" i="29"/>
  <c r="R1681" i="29"/>
  <c r="R2987" i="29"/>
  <c r="R3015" i="29"/>
  <c r="R3014" i="29"/>
  <c r="R3013" i="29"/>
  <c r="R3011" i="29"/>
  <c r="R3010" i="29"/>
  <c r="R3005" i="29"/>
  <c r="R3004" i="29"/>
  <c r="R2996" i="29"/>
  <c r="R2994" i="29"/>
  <c r="R3008" i="29"/>
  <c r="R3007" i="29"/>
  <c r="R3006" i="29"/>
  <c r="R2997" i="29"/>
  <c r="R2995" i="29"/>
  <c r="R2984" i="29"/>
  <c r="R2983" i="29"/>
  <c r="R2988" i="29"/>
  <c r="R2986" i="29"/>
  <c r="R2985" i="29"/>
  <c r="R2982" i="29"/>
  <c r="R2981" i="29"/>
  <c r="R2980" i="29"/>
  <c r="R2973" i="29"/>
  <c r="R2972" i="29"/>
  <c r="R2971" i="29"/>
  <c r="R2970" i="29"/>
  <c r="R2969" i="29"/>
  <c r="R2979" i="29"/>
  <c r="R2978" i="29"/>
  <c r="R2977" i="29"/>
  <c r="R2976" i="29"/>
  <c r="R2975" i="29"/>
  <c r="R2974" i="29"/>
  <c r="R2968" i="29"/>
  <c r="R2964" i="29"/>
  <c r="R2967" i="29"/>
  <c r="R2966" i="29"/>
  <c r="R2965" i="29"/>
  <c r="R2963" i="29"/>
  <c r="R2962" i="29"/>
  <c r="R2961" i="29"/>
  <c r="R2960" i="29"/>
  <c r="R2959" i="29"/>
  <c r="R2958" i="29"/>
  <c r="R2957" i="29"/>
  <c r="R2956" i="29"/>
  <c r="R2954" i="29"/>
  <c r="R2955" i="29"/>
  <c r="R2953" i="29"/>
  <c r="R2951" i="29"/>
  <c r="R2950" i="29"/>
  <c r="R2949" i="29"/>
  <c r="R2948" i="29"/>
  <c r="R2947" i="29"/>
  <c r="R2946" i="29"/>
  <c r="R2945" i="29"/>
  <c r="R2944" i="29"/>
  <c r="R2943" i="29"/>
  <c r="R2952" i="29"/>
  <c r="R2942" i="29"/>
  <c r="R2941" i="29"/>
  <c r="R2940" i="29"/>
  <c r="R2939" i="29"/>
  <c r="R2938" i="29"/>
  <c r="R2937" i="29"/>
  <c r="R2936" i="29"/>
  <c r="R2935" i="29"/>
  <c r="R2934" i="29"/>
  <c r="R2927" i="29"/>
  <c r="R2926" i="29"/>
  <c r="R2925" i="29"/>
  <c r="R2933" i="29"/>
  <c r="R2932" i="29"/>
  <c r="R2931" i="29"/>
  <c r="R2930" i="29"/>
  <c r="R2929" i="29"/>
  <c r="R2928" i="29"/>
  <c r="R2923" i="29"/>
  <c r="R2922" i="29"/>
  <c r="R2921" i="29"/>
  <c r="R2920" i="29"/>
  <c r="R2919" i="29"/>
  <c r="R2918" i="29"/>
  <c r="R2917" i="29"/>
  <c r="R2915" i="29"/>
  <c r="R2916" i="29"/>
  <c r="R2924" i="29"/>
  <c r="R2912" i="29"/>
  <c r="R2914" i="29"/>
  <c r="R2913" i="29"/>
  <c r="R2911" i="29"/>
  <c r="R2910" i="29"/>
  <c r="R2903" i="29"/>
  <c r="R2896" i="29"/>
  <c r="R2895" i="29"/>
  <c r="R2894" i="29"/>
  <c r="R2893" i="29"/>
  <c r="R2899" i="29"/>
  <c r="R2898" i="29"/>
  <c r="R2897" i="29"/>
  <c r="R2909" i="29"/>
  <c r="R2908" i="29"/>
  <c r="R2907" i="29"/>
  <c r="R2906" i="29"/>
  <c r="R2905" i="29"/>
  <c r="R2904" i="29"/>
  <c r="R2902" i="29"/>
  <c r="R2892" i="29"/>
  <c r="R2891" i="29"/>
  <c r="R2890" i="29"/>
  <c r="R2889" i="29"/>
  <c r="R2888" i="29"/>
  <c r="R2901" i="29"/>
  <c r="R2887" i="29"/>
  <c r="R2900" i="29"/>
  <c r="R2886" i="29"/>
  <c r="R2885" i="29"/>
  <c r="R2884" i="29"/>
  <c r="R2872" i="29"/>
  <c r="R2871" i="29"/>
  <c r="R2862" i="29"/>
  <c r="R2861" i="29"/>
  <c r="R2860" i="29"/>
  <c r="R2859" i="29"/>
  <c r="R2858" i="29"/>
  <c r="R2883" i="29"/>
  <c r="R2882" i="29"/>
  <c r="R2881" i="29"/>
  <c r="R2880" i="29"/>
  <c r="R2879" i="29"/>
  <c r="R2878" i="29"/>
  <c r="R2877" i="29"/>
  <c r="R2876" i="29"/>
  <c r="R2875" i="29"/>
  <c r="R2874" i="29"/>
  <c r="R2873" i="29"/>
  <c r="R2870" i="29"/>
  <c r="R2869" i="29"/>
  <c r="R2868" i="29"/>
  <c r="R2867" i="29"/>
  <c r="R2866" i="29"/>
  <c r="R2865" i="29"/>
  <c r="R2864" i="29"/>
  <c r="R2863" i="29"/>
  <c r="R2855" i="29"/>
  <c r="R2854" i="29"/>
  <c r="R2857" i="29"/>
  <c r="R2856" i="29"/>
  <c r="R2849" i="29"/>
  <c r="R2848" i="29"/>
  <c r="R2847" i="29"/>
  <c r="R2846" i="29"/>
  <c r="R2853" i="29"/>
  <c r="R2852" i="29"/>
  <c r="R2851" i="29"/>
  <c r="R2850" i="29"/>
  <c r="R2844" i="29"/>
  <c r="R2843" i="29"/>
  <c r="R2842" i="29"/>
  <c r="R2841" i="29"/>
  <c r="R2840" i="29"/>
  <c r="R2838" i="29"/>
  <c r="R2837" i="29"/>
  <c r="R2845" i="29"/>
  <c r="R2839" i="29"/>
  <c r="R2836" i="29"/>
  <c r="R2833" i="29"/>
  <c r="R2830" i="29"/>
  <c r="R2829" i="29"/>
  <c r="R2835" i="29"/>
  <c r="R2834" i="29"/>
  <c r="R2832" i="29"/>
  <c r="R2831" i="29"/>
  <c r="R2828" i="29"/>
  <c r="R2827" i="29"/>
  <c r="R2826" i="29"/>
  <c r="R2825" i="29"/>
  <c r="R2824" i="29"/>
  <c r="R2823" i="29"/>
  <c r="R2822" i="29"/>
  <c r="R2821" i="29"/>
  <c r="R2813" i="29"/>
  <c r="R2820" i="29"/>
  <c r="R2819" i="29"/>
  <c r="R2818" i="29"/>
  <c r="R2817" i="29"/>
  <c r="R2816" i="29"/>
  <c r="R2815" i="29"/>
  <c r="R2814" i="29"/>
  <c r="R2812" i="29"/>
  <c r="R2810" i="29"/>
  <c r="R2803" i="29"/>
  <c r="R2802" i="29"/>
  <c r="R2801" i="29"/>
  <c r="R2811" i="29"/>
  <c r="R2805" i="29"/>
  <c r="R2804" i="29"/>
  <c r="R2800" i="29"/>
  <c r="R2794" i="29"/>
  <c r="R2793" i="29"/>
  <c r="R2792" i="29"/>
  <c r="R2791" i="29"/>
  <c r="R2790" i="29"/>
  <c r="R2789" i="29"/>
  <c r="R2788" i="29"/>
  <c r="R2787" i="29"/>
  <c r="R2786" i="29"/>
  <c r="R2785" i="29"/>
  <c r="R2784" i="29"/>
  <c r="R2783" i="29"/>
  <c r="R2782" i="29"/>
  <c r="R2809" i="29"/>
  <c r="R2808" i="29"/>
  <c r="R2807" i="29"/>
  <c r="R2806" i="29"/>
  <c r="R2777" i="29"/>
  <c r="R2775" i="29"/>
  <c r="R2774" i="29"/>
  <c r="R2773" i="29"/>
  <c r="R2772" i="29"/>
  <c r="R2799" i="29"/>
  <c r="R2798" i="29"/>
  <c r="R2797" i="29"/>
  <c r="R2796" i="29"/>
  <c r="R2795" i="29"/>
  <c r="R2781" i="29"/>
  <c r="R2780" i="29"/>
  <c r="R2779" i="29"/>
  <c r="R2778" i="29"/>
  <c r="R2771" i="29"/>
  <c r="R2770" i="29"/>
  <c r="R2769" i="29"/>
  <c r="R2776" i="29"/>
  <c r="R2768" i="29"/>
  <c r="R2767" i="29"/>
  <c r="R2766" i="29"/>
  <c r="R2765" i="29"/>
  <c r="R2754" i="29"/>
  <c r="R2753" i="29"/>
  <c r="R2752" i="29"/>
  <c r="R2751" i="29"/>
  <c r="R2750" i="29"/>
  <c r="R2747" i="29"/>
  <c r="R2746" i="29"/>
  <c r="R2745" i="29"/>
  <c r="R2744" i="29"/>
  <c r="R2743" i="29"/>
  <c r="R2742" i="29"/>
  <c r="R2741" i="29"/>
  <c r="R2740" i="29"/>
  <c r="R2738" i="29"/>
  <c r="R2737" i="29"/>
  <c r="R2736" i="29"/>
  <c r="R2735" i="29"/>
  <c r="R2733" i="29"/>
  <c r="R2764" i="29"/>
  <c r="R2749" i="29"/>
  <c r="R2748" i="29"/>
  <c r="R2763" i="29"/>
  <c r="R2762" i="29"/>
  <c r="R2761" i="29"/>
  <c r="R2760" i="29"/>
  <c r="R2759" i="29"/>
  <c r="R2758" i="29"/>
  <c r="R2757" i="29"/>
  <c r="R2756" i="29"/>
  <c r="R2755" i="29"/>
  <c r="R2739" i="29"/>
  <c r="R2734" i="29"/>
  <c r="R2732" i="29"/>
  <c r="R2729" i="29"/>
  <c r="R2728" i="29"/>
  <c r="R2727" i="29"/>
  <c r="R2726" i="29"/>
  <c r="R2722" i="29"/>
  <c r="R2721" i="29"/>
  <c r="R2720" i="29"/>
  <c r="R2719" i="29"/>
  <c r="R2718" i="29"/>
  <c r="R2717" i="29"/>
  <c r="R2716" i="29"/>
  <c r="R2715" i="29"/>
  <c r="R2714" i="29"/>
  <c r="R2713" i="29"/>
  <c r="R2712" i="29"/>
  <c r="R2711" i="29"/>
  <c r="R2697" i="29"/>
  <c r="R2692" i="29"/>
  <c r="R2691" i="29"/>
  <c r="R2690" i="29"/>
  <c r="R2689" i="29"/>
  <c r="R2688" i="29"/>
  <c r="R2687" i="29"/>
  <c r="R2725" i="29"/>
  <c r="R2724" i="29"/>
  <c r="R2723" i="29"/>
  <c r="R2710" i="29"/>
  <c r="R2709" i="29"/>
  <c r="R2708" i="29"/>
  <c r="R2686" i="29"/>
  <c r="R2731" i="29"/>
  <c r="R2730" i="29"/>
  <c r="R2707" i="29"/>
  <c r="R2706" i="29"/>
  <c r="R2705" i="29"/>
  <c r="R2704" i="29"/>
  <c r="R2703" i="29"/>
  <c r="R2702" i="29"/>
  <c r="R2701" i="29"/>
  <c r="R2700" i="29"/>
  <c r="R2699" i="29"/>
  <c r="R2698" i="29"/>
  <c r="R2696" i="29"/>
  <c r="R2695" i="29"/>
  <c r="R2694" i="29"/>
  <c r="R2693" i="29"/>
  <c r="R2685" i="29"/>
  <c r="R2684" i="29"/>
  <c r="R2677" i="29"/>
  <c r="R2676" i="29"/>
  <c r="R2675" i="29"/>
  <c r="R2674" i="29"/>
  <c r="R2673" i="29"/>
  <c r="R2682" i="29"/>
  <c r="R2681" i="29"/>
  <c r="R2679" i="29"/>
  <c r="R2678" i="29"/>
  <c r="R2672" i="29"/>
  <c r="R2683" i="29"/>
  <c r="R2680" i="29"/>
  <c r="R2668" i="29"/>
  <c r="R2667" i="29"/>
  <c r="R2666" i="29"/>
  <c r="R2663" i="29"/>
  <c r="R2662" i="29"/>
  <c r="R2661" i="29"/>
  <c r="R2671" i="29"/>
  <c r="R2670" i="29"/>
  <c r="R2669" i="29"/>
  <c r="R2665" i="29"/>
  <c r="R2664" i="29"/>
  <c r="R2660" i="29"/>
  <c r="R2658" i="29"/>
  <c r="R2656" i="29"/>
  <c r="R2650" i="29"/>
  <c r="R2649" i="29"/>
  <c r="R2648" i="29"/>
  <c r="R2644" i="29"/>
  <c r="R2643" i="29"/>
  <c r="R2642" i="29"/>
  <c r="R2641" i="29"/>
  <c r="R2640" i="29"/>
  <c r="R2639" i="29"/>
  <c r="R2638" i="29"/>
  <c r="R2659" i="29"/>
  <c r="R2657" i="29"/>
  <c r="R2655" i="29"/>
  <c r="R2654" i="29"/>
  <c r="R2651" i="29"/>
  <c r="R2647" i="29"/>
  <c r="R2646" i="29"/>
  <c r="R2645" i="29"/>
  <c r="R2637" i="29"/>
  <c r="R2636" i="29"/>
  <c r="R2635" i="29"/>
  <c r="R2653" i="29"/>
  <c r="R2652" i="29"/>
  <c r="R2634" i="29"/>
  <c r="R2633" i="29"/>
  <c r="R2632" i="29"/>
  <c r="R2630" i="29"/>
  <c r="R2620" i="29"/>
  <c r="R2619" i="29"/>
  <c r="R2618" i="29"/>
  <c r="R2617" i="29"/>
  <c r="R2631" i="29"/>
  <c r="R2629" i="29"/>
  <c r="R2628" i="29"/>
  <c r="R2627" i="29"/>
  <c r="R2626" i="29"/>
  <c r="R2625" i="29"/>
  <c r="R2624" i="29"/>
  <c r="R2623" i="29"/>
  <c r="R2622" i="29"/>
  <c r="R2621" i="29"/>
  <c r="R2616" i="29"/>
  <c r="R2615" i="29"/>
  <c r="R2605" i="29"/>
  <c r="R2604" i="29"/>
  <c r="R2602" i="29"/>
  <c r="R2609" i="29"/>
  <c r="R2608" i="29"/>
  <c r="R2593" i="29"/>
  <c r="R2592" i="29"/>
  <c r="R2591" i="29"/>
  <c r="R2590" i="29"/>
  <c r="R2589" i="29"/>
  <c r="R2614" i="29"/>
  <c r="R2613" i="29"/>
  <c r="R2612" i="29"/>
  <c r="R2607" i="29"/>
  <c r="R2606" i="29"/>
  <c r="R2603" i="29"/>
  <c r="R2601" i="29"/>
  <c r="R2600" i="29"/>
  <c r="R2599" i="29"/>
  <c r="R2598" i="29"/>
  <c r="R2597" i="29"/>
  <c r="R2596" i="29"/>
  <c r="R2595" i="29"/>
  <c r="R2594" i="29"/>
  <c r="R2584" i="29"/>
  <c r="R2583" i="29"/>
  <c r="R2582" i="29"/>
  <c r="R2581" i="29"/>
  <c r="R2588" i="29"/>
  <c r="R2587" i="29"/>
  <c r="R2586" i="29"/>
  <c r="R2585" i="29"/>
  <c r="R2580" i="29"/>
  <c r="R2576" i="29"/>
  <c r="R2575" i="29"/>
  <c r="R2574" i="29"/>
  <c r="R2568" i="29"/>
  <c r="R2567" i="29"/>
  <c r="R2566" i="29"/>
  <c r="R2565" i="29"/>
  <c r="R2564" i="29"/>
  <c r="R2563" i="29"/>
  <c r="R2577" i="29"/>
  <c r="R2562" i="29"/>
  <c r="R2557" i="29"/>
  <c r="R2556" i="29"/>
  <c r="R2555" i="29"/>
  <c r="R2579" i="29"/>
  <c r="R2578" i="29"/>
  <c r="R2573" i="29"/>
  <c r="R2572" i="29"/>
  <c r="R2571" i="29"/>
  <c r="R2570" i="29"/>
  <c r="R2569" i="29"/>
  <c r="R2561" i="29"/>
  <c r="R2560" i="29"/>
  <c r="R2559" i="29"/>
  <c r="R2558" i="29"/>
  <c r="R2554" i="29"/>
  <c r="R2550" i="29"/>
  <c r="R2553" i="29"/>
  <c r="R2552" i="29"/>
  <c r="R2551" i="29"/>
  <c r="R2547" i="29"/>
  <c r="R2546" i="29"/>
  <c r="R2545" i="29"/>
  <c r="R2549" i="29"/>
  <c r="R2548" i="29"/>
  <c r="R2544" i="29"/>
  <c r="R2543" i="29"/>
  <c r="R2538" i="29"/>
  <c r="R2537" i="29"/>
  <c r="R2527" i="29"/>
  <c r="R2110" i="29"/>
  <c r="R2534" i="29"/>
  <c r="R2533" i="29"/>
  <c r="R2532" i="29"/>
  <c r="R2531" i="29"/>
  <c r="R2530" i="29"/>
  <c r="R2529" i="29"/>
  <c r="R2542" i="29"/>
  <c r="R2541" i="29"/>
  <c r="R2540" i="29"/>
  <c r="R2539" i="29"/>
  <c r="R2536" i="29"/>
  <c r="R2535" i="29"/>
  <c r="R2528" i="29"/>
  <c r="R2526" i="29"/>
  <c r="R2525" i="29"/>
  <c r="R2524" i="29"/>
  <c r="R2521" i="29"/>
  <c r="R2523" i="29"/>
  <c r="R2522" i="29"/>
  <c r="R2519" i="29"/>
  <c r="R2518" i="29"/>
  <c r="R2517" i="29"/>
  <c r="R2514" i="29"/>
  <c r="R2513" i="29"/>
  <c r="R2512" i="29"/>
  <c r="R2511" i="29"/>
  <c r="R2510" i="29"/>
  <c r="R2509" i="29"/>
  <c r="R2508" i="29"/>
  <c r="R2507" i="29"/>
  <c r="R2506" i="29"/>
  <c r="R2520" i="29"/>
  <c r="R2237" i="29"/>
  <c r="R2516" i="29"/>
  <c r="R2515" i="29"/>
  <c r="R2504" i="29"/>
  <c r="R2503" i="29"/>
  <c r="R2502" i="29"/>
  <c r="R2501" i="29"/>
  <c r="R2496" i="29"/>
  <c r="R2495" i="29"/>
  <c r="R2505" i="29"/>
  <c r="R2497" i="29"/>
  <c r="R2484" i="29"/>
  <c r="R2483" i="29"/>
  <c r="R2482" i="29"/>
  <c r="R2481" i="29"/>
  <c r="R2480" i="29"/>
  <c r="R2479" i="29"/>
  <c r="R2478" i="29"/>
  <c r="R2477" i="29"/>
  <c r="R2500" i="29"/>
  <c r="R2499" i="29"/>
  <c r="R2498" i="29"/>
  <c r="R2494" i="29"/>
  <c r="R2493" i="29"/>
  <c r="R2492" i="29"/>
  <c r="R2491" i="29"/>
  <c r="R2490" i="29"/>
  <c r="R2489" i="29"/>
  <c r="R2488" i="29"/>
  <c r="R2487" i="29"/>
  <c r="R2486" i="29"/>
  <c r="R2485" i="29"/>
  <c r="R2476" i="29"/>
  <c r="R2475" i="29"/>
  <c r="R2466" i="29"/>
  <c r="R2464" i="29"/>
  <c r="R2467" i="29"/>
  <c r="R2465" i="29"/>
  <c r="R2463" i="29"/>
  <c r="R2462" i="29"/>
  <c r="R2472" i="29"/>
  <c r="R2471" i="29"/>
  <c r="R2460" i="29"/>
  <c r="R2459" i="29"/>
  <c r="R2458" i="29"/>
  <c r="R2457" i="29"/>
  <c r="R2456" i="29"/>
  <c r="R2455" i="29"/>
  <c r="R2454" i="29"/>
  <c r="R2453" i="29"/>
  <c r="R2452" i="29"/>
  <c r="R2451" i="29"/>
  <c r="R2461" i="29"/>
  <c r="R2474" i="29"/>
  <c r="R2473" i="29"/>
  <c r="R2470" i="29"/>
  <c r="R2469" i="29"/>
  <c r="R2468" i="29"/>
  <c r="R2450" i="29"/>
  <c r="R2449" i="29"/>
  <c r="R2448" i="29"/>
  <c r="R2447" i="29"/>
  <c r="R2446" i="29"/>
  <c r="R2445" i="29"/>
  <c r="R2444" i="29"/>
  <c r="R2443" i="29"/>
  <c r="R2442" i="29"/>
  <c r="R2441" i="29"/>
  <c r="R2440" i="29"/>
  <c r="R2439" i="29"/>
  <c r="R2436" i="29"/>
  <c r="R2435" i="29"/>
  <c r="R2426" i="29"/>
  <c r="R2425" i="29"/>
  <c r="R2424" i="29"/>
  <c r="R2423" i="29"/>
  <c r="R2419" i="29"/>
  <c r="R2418" i="29"/>
  <c r="R2416" i="29"/>
  <c r="R2415" i="29"/>
  <c r="R2414" i="29"/>
  <c r="R2413" i="29"/>
  <c r="R2411" i="29"/>
  <c r="R2438" i="29"/>
  <c r="R2437" i="29"/>
  <c r="R2428" i="29"/>
  <c r="R2427" i="29"/>
  <c r="R2412" i="29"/>
  <c r="R2409" i="29"/>
  <c r="R2408" i="29"/>
  <c r="R2402" i="29"/>
  <c r="R2433" i="29"/>
  <c r="R2432" i="29"/>
  <c r="R2431" i="29"/>
  <c r="R2430" i="29"/>
  <c r="R2429" i="29"/>
  <c r="R2420" i="29"/>
  <c r="R2417" i="29"/>
  <c r="R2404" i="29"/>
  <c r="R2401" i="29"/>
  <c r="R2434" i="29"/>
  <c r="R2422" i="29"/>
  <c r="R2421" i="29"/>
  <c r="R2407" i="29"/>
  <c r="R2406" i="29"/>
  <c r="R2398" i="29"/>
  <c r="R2395" i="29"/>
  <c r="R2405" i="29"/>
  <c r="R2397" i="29"/>
  <c r="R2396" i="29"/>
  <c r="R2394" i="29"/>
  <c r="R2393" i="29"/>
  <c r="R2410" i="29"/>
  <c r="R2014" i="29"/>
  <c r="R2392" i="29"/>
  <c r="R2391" i="29"/>
  <c r="R2390" i="29"/>
  <c r="R2403" i="29"/>
  <c r="R2400" i="29"/>
  <c r="R2389" i="29"/>
  <c r="R2388" i="29"/>
  <c r="R2399" i="29"/>
  <c r="R2386" i="29"/>
  <c r="R2384" i="29"/>
  <c r="R2383" i="29"/>
  <c r="R2382" i="29"/>
  <c r="R2381" i="29"/>
  <c r="R2380" i="29"/>
  <c r="R2379" i="29"/>
  <c r="R2378" i="29"/>
  <c r="R2377" i="29"/>
  <c r="R2387" i="29"/>
  <c r="R2385" i="29"/>
  <c r="R2376" i="29"/>
  <c r="R2375" i="29"/>
  <c r="R2374" i="29"/>
  <c r="R2373" i="29"/>
  <c r="R2372" i="29"/>
  <c r="R2371" i="29"/>
  <c r="R2370" i="29"/>
  <c r="R2368" i="29"/>
  <c r="R2365" i="29"/>
  <c r="R2364" i="29"/>
  <c r="R2369" i="29"/>
  <c r="R2367" i="29"/>
  <c r="R2366" i="29"/>
  <c r="R2363" i="29"/>
  <c r="R2362" i="29"/>
  <c r="R2361" i="29"/>
  <c r="R2360" i="29"/>
  <c r="R2352" i="29"/>
  <c r="R2351" i="29"/>
  <c r="R2350" i="29"/>
  <c r="R2349" i="29"/>
  <c r="R2348" i="29"/>
  <c r="R2347" i="29"/>
  <c r="R2345" i="29"/>
  <c r="R2343" i="29"/>
  <c r="R2342" i="29"/>
  <c r="R2341" i="29"/>
  <c r="R2332" i="29"/>
  <c r="R2359" i="29"/>
  <c r="R2358" i="29"/>
  <c r="R2357" i="29"/>
  <c r="R2356" i="29"/>
  <c r="R2355" i="29"/>
  <c r="R2354" i="29"/>
  <c r="R2353" i="29"/>
  <c r="R2344" i="29"/>
  <c r="R2334" i="29"/>
  <c r="R2346" i="29"/>
  <c r="R2340" i="29"/>
  <c r="R2337" i="29"/>
  <c r="R2336" i="29"/>
  <c r="R2335" i="29"/>
  <c r="R2333" i="29"/>
  <c r="R2331" i="29"/>
  <c r="R2330" i="29"/>
  <c r="R2329" i="29"/>
  <c r="R2328" i="29"/>
  <c r="R2327" i="29"/>
  <c r="R2326" i="29"/>
  <c r="R2339" i="29"/>
  <c r="R2338" i="29"/>
  <c r="R2325" i="29"/>
  <c r="R2324" i="29"/>
  <c r="R2321" i="29"/>
  <c r="R2320" i="29"/>
  <c r="R2323" i="29"/>
  <c r="R2322" i="29"/>
  <c r="R2307" i="29"/>
  <c r="R2306" i="29"/>
  <c r="R2305" i="29"/>
  <c r="R2304" i="29"/>
  <c r="R2303" i="29"/>
  <c r="R2301" i="29"/>
  <c r="R2319" i="29"/>
  <c r="R2318" i="29"/>
  <c r="R2311" i="29"/>
  <c r="R2310" i="29"/>
  <c r="R2309" i="29"/>
  <c r="R2308" i="29"/>
  <c r="R2317" i="29"/>
  <c r="R2316" i="29"/>
  <c r="R2315" i="29"/>
  <c r="R2314" i="29"/>
  <c r="R2313" i="29"/>
  <c r="R2312" i="29"/>
  <c r="R2302" i="29"/>
  <c r="R2297" i="29"/>
  <c r="R2295" i="29"/>
  <c r="R2291" i="29"/>
  <c r="R2300" i="29"/>
  <c r="R2299" i="29"/>
  <c r="R2296" i="29"/>
  <c r="R2294" i="29"/>
  <c r="R2293" i="29"/>
  <c r="R2292" i="29"/>
  <c r="R2290" i="29"/>
  <c r="R2289" i="29"/>
  <c r="R2288" i="29"/>
  <c r="R2278" i="29"/>
  <c r="R2287" i="29"/>
  <c r="R2286" i="29"/>
  <c r="R2285" i="29"/>
  <c r="R2284" i="29"/>
  <c r="R2283" i="29"/>
  <c r="R2282" i="29"/>
  <c r="R2281" i="29"/>
  <c r="R2280" i="29"/>
  <c r="R2279" i="29"/>
  <c r="R2277" i="29"/>
  <c r="R1862" i="29"/>
  <c r="R1863" i="29"/>
  <c r="R1864" i="29"/>
  <c r="R1865" i="29"/>
  <c r="R1866" i="29"/>
  <c r="R1867" i="29"/>
  <c r="R1868" i="29"/>
  <c r="R1869" i="29"/>
  <c r="R2276" i="29"/>
  <c r="R2275" i="29"/>
  <c r="R2274" i="29"/>
  <c r="R2273" i="29"/>
  <c r="R2264" i="29"/>
  <c r="R2272" i="29"/>
  <c r="R2271" i="29"/>
  <c r="R2270" i="29"/>
  <c r="R2269" i="29"/>
  <c r="R2262" i="29"/>
  <c r="R2261" i="29"/>
  <c r="R2260" i="29"/>
  <c r="R2259" i="29"/>
  <c r="R2258" i="29"/>
  <c r="R2256" i="29"/>
  <c r="R2255" i="29"/>
  <c r="R694" i="29"/>
  <c r="R2238" i="29"/>
  <c r="R2268" i="29"/>
  <c r="R2267" i="29"/>
  <c r="R2263" i="29"/>
  <c r="R2239" i="29"/>
  <c r="R2266" i="29"/>
  <c r="R2265" i="29"/>
  <c r="R2254" i="29"/>
  <c r="R2240" i="29"/>
  <c r="R2229" i="29"/>
  <c r="R2227" i="29"/>
  <c r="R2220" i="29"/>
  <c r="R2219" i="29"/>
  <c r="R2218" i="29"/>
  <c r="R2217" i="29"/>
  <c r="R2216" i="29"/>
  <c r="R2257" i="29"/>
  <c r="R2253" i="29"/>
  <c r="R2252" i="29"/>
  <c r="R2251" i="29"/>
  <c r="R2250" i="29"/>
  <c r="R2249" i="29"/>
  <c r="R2248" i="29"/>
  <c r="R2247" i="29"/>
  <c r="R2246" i="29"/>
  <c r="R2245" i="29"/>
  <c r="R2244" i="29"/>
  <c r="R2243" i="29"/>
  <c r="R2242" i="29"/>
  <c r="R2241" i="29"/>
  <c r="R2236" i="29"/>
  <c r="R2235" i="29"/>
  <c r="R2234" i="29"/>
  <c r="R2233" i="29"/>
  <c r="R2232" i="29"/>
  <c r="R2231" i="29"/>
  <c r="R2230" i="29"/>
  <c r="R2228" i="29"/>
  <c r="R2223" i="29"/>
  <c r="R2226" i="29"/>
  <c r="R2225" i="29"/>
  <c r="R2224" i="29"/>
  <c r="R2222" i="29"/>
  <c r="R2221" i="29"/>
  <c r="R2215" i="29"/>
  <c r="R2211" i="29"/>
  <c r="R2210" i="29"/>
  <c r="R2209" i="29"/>
  <c r="R2208" i="29"/>
  <c r="R2207" i="29"/>
  <c r="R2206" i="29"/>
  <c r="R2205" i="29"/>
  <c r="R2214" i="29"/>
  <c r="R2213" i="29"/>
  <c r="R2212" i="29"/>
  <c r="R2204" i="29"/>
  <c r="R2181" i="29"/>
  <c r="R2180" i="29"/>
  <c r="R2179" i="29"/>
  <c r="R2201" i="29"/>
  <c r="R2200" i="29"/>
  <c r="R2199" i="29"/>
  <c r="R2198" i="29"/>
  <c r="R2197" i="29"/>
  <c r="R2196" i="29"/>
  <c r="R2203" i="29"/>
  <c r="R2202" i="29"/>
  <c r="R2195" i="29"/>
  <c r="R2192" i="29"/>
  <c r="R2187" i="29"/>
  <c r="R2186" i="29"/>
  <c r="R2185" i="29"/>
  <c r="R2184" i="29"/>
  <c r="R2183" i="29"/>
  <c r="R2182" i="29"/>
  <c r="R2188" i="29"/>
  <c r="R2194" i="29"/>
  <c r="R2193" i="29"/>
  <c r="R2191" i="29"/>
  <c r="R2190" i="29"/>
  <c r="R2189" i="29"/>
  <c r="R2178" i="29"/>
  <c r="R2177" i="29"/>
  <c r="R2176" i="29"/>
  <c r="R2175" i="29"/>
  <c r="R2174" i="29"/>
  <c r="R2173" i="29"/>
  <c r="R2172" i="29"/>
  <c r="R2171" i="29"/>
  <c r="R2170" i="29"/>
  <c r="R2169" i="29"/>
  <c r="R2168" i="29"/>
  <c r="R2163" i="29"/>
  <c r="R2162" i="29"/>
  <c r="R2161" i="29"/>
  <c r="R2167" i="29"/>
  <c r="R2155" i="29"/>
  <c r="R2154" i="29"/>
  <c r="R2153" i="29"/>
  <c r="R2166" i="29"/>
  <c r="R2157" i="29"/>
  <c r="R2156" i="29"/>
  <c r="R2136" i="29"/>
  <c r="R2135" i="29"/>
  <c r="R2165" i="29"/>
  <c r="R2164" i="29"/>
  <c r="R2160" i="29"/>
  <c r="R2159" i="29"/>
  <c r="R2144" i="29"/>
  <c r="R2143" i="29"/>
  <c r="R2142" i="29"/>
  <c r="R2141" i="29"/>
  <c r="R2140" i="29"/>
  <c r="R2139" i="29"/>
  <c r="R2138" i="29"/>
  <c r="R2137" i="29"/>
  <c r="R2133" i="29"/>
  <c r="R2158" i="29"/>
  <c r="R2150" i="29"/>
  <c r="R2149" i="29"/>
  <c r="R2148" i="29"/>
  <c r="R2147" i="29"/>
  <c r="R2146" i="29"/>
  <c r="R2145" i="29"/>
  <c r="R2134" i="29"/>
  <c r="R2152" i="29"/>
  <c r="R2151" i="29"/>
  <c r="R2132" i="29"/>
  <c r="R2131" i="29"/>
  <c r="R2130" i="29"/>
  <c r="R2129" i="29"/>
  <c r="R2128" i="29"/>
  <c r="R2127" i="29"/>
  <c r="R2126" i="29"/>
  <c r="R2125" i="29"/>
  <c r="R2124" i="29"/>
  <c r="R2123" i="29"/>
  <c r="R2122" i="29"/>
  <c r="R2121" i="29"/>
  <c r="R2120" i="29"/>
  <c r="R2119" i="29"/>
  <c r="R2118" i="29"/>
  <c r="R2117" i="29"/>
  <c r="R2116" i="29"/>
  <c r="R2115" i="29"/>
  <c r="R2114" i="29"/>
  <c r="R2113" i="29"/>
  <c r="R2112" i="29"/>
  <c r="R2111" i="29"/>
  <c r="R2109" i="29"/>
  <c r="R2105" i="29"/>
  <c r="R2108" i="29"/>
  <c r="R2107" i="29"/>
  <c r="R2104" i="29"/>
  <c r="R2103" i="29"/>
  <c r="R2102" i="29"/>
  <c r="R2101" i="29"/>
  <c r="R2100" i="29"/>
  <c r="R2098" i="29"/>
  <c r="R2096" i="29"/>
  <c r="R2094" i="29"/>
  <c r="R2093" i="29"/>
  <c r="R2090" i="29"/>
  <c r="R2106" i="29"/>
  <c r="R2087" i="29"/>
  <c r="R2099" i="29"/>
  <c r="R2097" i="29"/>
  <c r="R2095" i="29"/>
  <c r="R2092" i="29"/>
  <c r="R2091" i="29"/>
  <c r="R2089" i="29"/>
  <c r="R2086" i="29"/>
  <c r="R2085" i="29"/>
  <c r="R2081" i="29"/>
  <c r="R2079" i="29"/>
  <c r="R2078" i="29"/>
  <c r="R2088" i="29"/>
  <c r="R2084" i="29"/>
  <c r="R2083" i="29"/>
  <c r="R2082" i="29"/>
  <c r="R2080" i="29"/>
  <c r="R2077" i="29"/>
  <c r="R2076" i="29"/>
  <c r="R2074" i="29"/>
  <c r="R2073" i="29"/>
  <c r="R2072" i="29"/>
  <c r="R2070" i="29"/>
  <c r="R2069" i="29"/>
  <c r="R2067" i="29"/>
  <c r="R2064" i="29"/>
  <c r="R2063" i="29"/>
  <c r="R2062" i="29"/>
  <c r="R2061" i="29"/>
  <c r="R2075" i="29"/>
  <c r="R2071" i="29"/>
  <c r="R2068" i="29"/>
  <c r="R2066" i="29"/>
  <c r="R2065" i="29"/>
  <c r="R2055" i="29"/>
  <c r="R2060" i="29"/>
  <c r="R2059" i="29"/>
  <c r="R2058" i="29"/>
  <c r="R2057" i="29"/>
  <c r="R2056" i="29"/>
  <c r="R2051" i="29"/>
  <c r="R2053" i="29"/>
  <c r="R2052" i="29"/>
  <c r="R2043" i="29"/>
  <c r="R2042" i="29"/>
  <c r="R2041" i="29"/>
  <c r="R2040" i="29"/>
  <c r="R2039" i="29"/>
  <c r="R2038" i="29"/>
  <c r="R2037" i="29"/>
  <c r="R2036" i="29"/>
  <c r="R2054" i="29"/>
  <c r="R2045" i="29"/>
  <c r="R2050" i="29"/>
  <c r="R2049" i="29"/>
  <c r="R2048" i="29"/>
  <c r="R2047" i="29"/>
  <c r="R2046" i="29"/>
  <c r="R2044" i="29"/>
  <c r="R2035" i="29"/>
  <c r="R2032" i="29"/>
  <c r="R2031" i="29"/>
  <c r="R2029" i="29"/>
  <c r="R2028" i="29"/>
  <c r="R2027" i="29"/>
  <c r="R689" i="29"/>
  <c r="R2025" i="29"/>
  <c r="R2024" i="29"/>
  <c r="R2034" i="29"/>
  <c r="R2033" i="29"/>
  <c r="R2030" i="29"/>
  <c r="R2026" i="29"/>
  <c r="R2023" i="29"/>
  <c r="R2022" i="29"/>
  <c r="R2021" i="29"/>
  <c r="R2020" i="29"/>
  <c r="R2019" i="29"/>
  <c r="R2018" i="29"/>
  <c r="R2017" i="29"/>
  <c r="R2016" i="29"/>
  <c r="R2015" i="29"/>
  <c r="R2007" i="29"/>
  <c r="R2006" i="29"/>
  <c r="R2005" i="29"/>
  <c r="R2013" i="29"/>
  <c r="R2012" i="29"/>
  <c r="R2011" i="29"/>
  <c r="R2010" i="29"/>
  <c r="R2009" i="29"/>
  <c r="R2008" i="29"/>
  <c r="R2004" i="29"/>
  <c r="R2003" i="29"/>
  <c r="R2002" i="29"/>
  <c r="R1998" i="29"/>
  <c r="R1997" i="29"/>
  <c r="R1996" i="29"/>
  <c r="R1993" i="29"/>
  <c r="R1992" i="29"/>
  <c r="R1991" i="29"/>
  <c r="R1990" i="29"/>
  <c r="R1989" i="29"/>
  <c r="R1988" i="29"/>
  <c r="R1995" i="29"/>
  <c r="R1986" i="29"/>
  <c r="R1983" i="29"/>
  <c r="R1982" i="29"/>
  <c r="R1980" i="29"/>
  <c r="R1979" i="29"/>
  <c r="R1978" i="29"/>
  <c r="R2001" i="29"/>
  <c r="R2000" i="29"/>
  <c r="R1999" i="29"/>
  <c r="R1994" i="29"/>
  <c r="R1987" i="29"/>
  <c r="R1985" i="29"/>
  <c r="R1984" i="29"/>
  <c r="R1977" i="29"/>
  <c r="R1976" i="29"/>
  <c r="R1975" i="29"/>
  <c r="R1981" i="29"/>
  <c r="R1974" i="29"/>
  <c r="R1967" i="29"/>
  <c r="R1966" i="29"/>
  <c r="R1965" i="29"/>
  <c r="R1964" i="29"/>
  <c r="R1963" i="29"/>
  <c r="R1962" i="29"/>
  <c r="R1961" i="29"/>
  <c r="R1960" i="29"/>
  <c r="R1959" i="29"/>
  <c r="R1958" i="29"/>
  <c r="R1946" i="29"/>
  <c r="R1945" i="29"/>
  <c r="R1941" i="29"/>
  <c r="R1957" i="29"/>
  <c r="R1956" i="29"/>
  <c r="R1955" i="29"/>
  <c r="R1973" i="29"/>
  <c r="R1972" i="29"/>
  <c r="R1971" i="29"/>
  <c r="R1970" i="29"/>
  <c r="R1969" i="29"/>
  <c r="R1968" i="29"/>
  <c r="R1954" i="29"/>
  <c r="R1953" i="29"/>
  <c r="R1952" i="29"/>
  <c r="R1951" i="29"/>
  <c r="R695" i="29"/>
  <c r="R1944" i="29"/>
  <c r="R1943" i="29"/>
  <c r="R1939" i="29"/>
  <c r="R1950" i="29"/>
  <c r="R1949" i="29"/>
  <c r="R1948" i="29"/>
  <c r="R1947" i="29"/>
  <c r="R1942" i="29"/>
  <c r="R1938" i="29"/>
  <c r="R1937" i="29"/>
  <c r="R1936" i="29"/>
  <c r="R1935" i="29"/>
  <c r="R1934" i="29"/>
  <c r="R1933" i="29"/>
  <c r="R1932" i="29"/>
  <c r="R1940" i="29"/>
  <c r="R1931" i="29"/>
  <c r="R1930" i="29"/>
  <c r="R1928" i="29"/>
  <c r="R1927" i="29"/>
  <c r="R1926" i="29"/>
  <c r="R1925" i="29"/>
  <c r="R1916" i="29"/>
  <c r="R1912" i="29"/>
  <c r="R1910" i="29"/>
  <c r="R1924" i="29"/>
  <c r="R1922" i="29"/>
  <c r="R1921" i="29"/>
  <c r="R1915" i="29"/>
  <c r="R1914" i="29"/>
  <c r="R1911" i="29"/>
  <c r="R1929" i="29"/>
  <c r="R1919" i="29"/>
  <c r="R1918" i="29"/>
  <c r="R1913" i="29"/>
  <c r="R1907" i="29"/>
  <c r="R1906" i="29"/>
  <c r="R1905" i="29"/>
  <c r="R1898" i="29"/>
  <c r="R1923" i="29"/>
  <c r="R1920" i="29"/>
  <c r="R1917" i="29"/>
  <c r="R1909" i="29"/>
  <c r="R1908" i="29"/>
  <c r="R1903" i="29"/>
  <c r="R1902" i="29"/>
  <c r="R1901" i="29"/>
  <c r="R1900" i="29"/>
  <c r="R1899" i="29"/>
  <c r="R1904" i="29"/>
  <c r="R1897" i="29"/>
  <c r="R1896" i="29"/>
  <c r="R1895" i="29"/>
  <c r="R1894" i="29"/>
  <c r="R1889" i="29"/>
  <c r="R1888" i="29"/>
  <c r="R1893" i="29"/>
  <c r="R1892" i="29"/>
  <c r="R1891" i="29"/>
  <c r="R1890" i="29"/>
  <c r="R473" i="29"/>
  <c r="R1737" i="29"/>
  <c r="R1887" i="29"/>
  <c r="R1886" i="29"/>
  <c r="R1885" i="29"/>
  <c r="R1884" i="29"/>
  <c r="R1883" i="29"/>
  <c r="R1875" i="29"/>
  <c r="R1861" i="29"/>
  <c r="R1860" i="29"/>
  <c r="R1859" i="29"/>
  <c r="R1881" i="29"/>
  <c r="R1880" i="29"/>
  <c r="R1879" i="29"/>
  <c r="R1878" i="29"/>
  <c r="R1877" i="29"/>
  <c r="R1876" i="29"/>
  <c r="R1874" i="29"/>
  <c r="R1873" i="29"/>
  <c r="R1872" i="29"/>
  <c r="R1871" i="29"/>
  <c r="R1857" i="29"/>
  <c r="R1882" i="29"/>
  <c r="R1870" i="29"/>
  <c r="R1856" i="29"/>
  <c r="R1855" i="29"/>
  <c r="R1854" i="29"/>
  <c r="R1853" i="29"/>
  <c r="R1845" i="29"/>
  <c r="R1858" i="29"/>
  <c r="R1831" i="29"/>
  <c r="R1815" i="29"/>
  <c r="R1814" i="29"/>
  <c r="R1813" i="29"/>
  <c r="R1812" i="29"/>
  <c r="R1811" i="29"/>
  <c r="R1810" i="29"/>
  <c r="R1808" i="29"/>
  <c r="R1806" i="29"/>
  <c r="R1804" i="29"/>
  <c r="R1803" i="29"/>
  <c r="R1852" i="29"/>
  <c r="R1851" i="29"/>
  <c r="R1850" i="29"/>
  <c r="R1849" i="29"/>
  <c r="R1848" i="29"/>
  <c r="R1847" i="29"/>
  <c r="R1846" i="29"/>
  <c r="R1844" i="29"/>
  <c r="R1843" i="29"/>
  <c r="R1842" i="29"/>
  <c r="R1841" i="29"/>
  <c r="R1840" i="29"/>
  <c r="R1839" i="29"/>
  <c r="R1838" i="29"/>
  <c r="R1837" i="29"/>
  <c r="R1836" i="29"/>
  <c r="R1835" i="29"/>
  <c r="R1834" i="29"/>
  <c r="R1833" i="29"/>
  <c r="R1832" i="29"/>
  <c r="R1830" i="29"/>
  <c r="R1829" i="29"/>
  <c r="R1828" i="29"/>
  <c r="R1827" i="29"/>
  <c r="R1826" i="29"/>
  <c r="R1825" i="29"/>
  <c r="R1824" i="29"/>
  <c r="R1823" i="29"/>
  <c r="R1822" i="29"/>
  <c r="R1821" i="29"/>
  <c r="R1820" i="29"/>
  <c r="R1819" i="29"/>
  <c r="R1818" i="29"/>
  <c r="R1817" i="29"/>
  <c r="R1816" i="29"/>
  <c r="R1789" i="29"/>
  <c r="R1788" i="29"/>
  <c r="R1787" i="29"/>
  <c r="R1786" i="29"/>
  <c r="R1783" i="29"/>
  <c r="R1782" i="29"/>
  <c r="R1781" i="29"/>
  <c r="R1779" i="29"/>
  <c r="R1776" i="29"/>
  <c r="R1809" i="29"/>
  <c r="R1774" i="29"/>
  <c r="R1773" i="29"/>
  <c r="R1772" i="29"/>
  <c r="R1767" i="29"/>
  <c r="R1766" i="29"/>
  <c r="R1764" i="29"/>
  <c r="R1763" i="29"/>
  <c r="R1762" i="29"/>
  <c r="R1761" i="29"/>
  <c r="R1760" i="29"/>
  <c r="R1755" i="29"/>
  <c r="R1754" i="29"/>
  <c r="R1753" i="29"/>
  <c r="R1752" i="29"/>
  <c r="R1751" i="29"/>
  <c r="R1750" i="29"/>
  <c r="R1807" i="29"/>
  <c r="R1805" i="29"/>
  <c r="R1802" i="29"/>
  <c r="R1801" i="29"/>
  <c r="R1800" i="29"/>
  <c r="R1799" i="29"/>
  <c r="R1798" i="29"/>
  <c r="R1797" i="29"/>
  <c r="R1796" i="29"/>
  <c r="R1795" i="29"/>
  <c r="R1794" i="29"/>
  <c r="R1793" i="29"/>
  <c r="R1792" i="29"/>
  <c r="R1791" i="29"/>
  <c r="R1790" i="29"/>
  <c r="R1757" i="29"/>
  <c r="R1756" i="29"/>
  <c r="R1785" i="29"/>
  <c r="R1784" i="29"/>
  <c r="R1780" i="29"/>
  <c r="R1778" i="29"/>
  <c r="R1777" i="29"/>
  <c r="R1775" i="29"/>
  <c r="R1736" i="29"/>
  <c r="R1771" i="29"/>
  <c r="R1770" i="29"/>
  <c r="R1769" i="29"/>
  <c r="R1768" i="29"/>
  <c r="R1759" i="29"/>
  <c r="R1758" i="29"/>
  <c r="R1463" i="29"/>
  <c r="R1462" i="29"/>
  <c r="R1461" i="29"/>
  <c r="R1765" i="29"/>
  <c r="R1742" i="29"/>
  <c r="R1741" i="29"/>
  <c r="R1740" i="29"/>
  <c r="R1739" i="29"/>
  <c r="R1738" i="29"/>
  <c r="R1455" i="29"/>
  <c r="R1454" i="29"/>
  <c r="R1453" i="29"/>
  <c r="R1452" i="29"/>
  <c r="R1707" i="29"/>
  <c r="R1706" i="29"/>
  <c r="R1705" i="29"/>
  <c r="R1704" i="29"/>
  <c r="R1749" i="29"/>
  <c r="R1748" i="29"/>
  <c r="R1747" i="29"/>
  <c r="R1746" i="29"/>
  <c r="R1708" i="29"/>
  <c r="R1745" i="29"/>
  <c r="R1744" i="29"/>
  <c r="R1743" i="29"/>
  <c r="R1703" i="29"/>
  <c r="R1701" i="29"/>
  <c r="R1699" i="29"/>
  <c r="R1698" i="29"/>
  <c r="R1694" i="29"/>
  <c r="R1692" i="29"/>
  <c r="R1735" i="29"/>
  <c r="R1733" i="29"/>
  <c r="R1730" i="29"/>
  <c r="R1727" i="29"/>
  <c r="R1719" i="29"/>
  <c r="R1715" i="29"/>
  <c r="R1713" i="29"/>
  <c r="R1712" i="29"/>
  <c r="R1689" i="29"/>
  <c r="R1717" i="29"/>
  <c r="R1716" i="29"/>
  <c r="R1711" i="29"/>
  <c r="R1710" i="29"/>
  <c r="R1709" i="29"/>
  <c r="R1734" i="29"/>
  <c r="R1732" i="29"/>
  <c r="R1731" i="29"/>
  <c r="R1729" i="29"/>
  <c r="R1728" i="29"/>
  <c r="R1726" i="29"/>
  <c r="R1725" i="29"/>
  <c r="R1724" i="29"/>
  <c r="R1723" i="29"/>
  <c r="R1722" i="29"/>
  <c r="R1721" i="29"/>
  <c r="R1720" i="29"/>
  <c r="R1718" i="29"/>
  <c r="R1702" i="29"/>
  <c r="R1700" i="29"/>
  <c r="R1697" i="29"/>
  <c r="R1696" i="29"/>
  <c r="R1695" i="29"/>
  <c r="R1693" i="29"/>
  <c r="R1691" i="29"/>
  <c r="R1690" i="29"/>
  <c r="R1688" i="29"/>
  <c r="R1687" i="29"/>
  <c r="R1686" i="29"/>
  <c r="R1685" i="29"/>
  <c r="R1684" i="29"/>
  <c r="R1683" i="29"/>
  <c r="R1682" i="29"/>
  <c r="R1680" i="29"/>
  <c r="R1674" i="29"/>
  <c r="R1673" i="29"/>
  <c r="R1672" i="29"/>
  <c r="R1671" i="29"/>
  <c r="R1670" i="29"/>
  <c r="R1669" i="29"/>
  <c r="R1679" i="29"/>
  <c r="R1678" i="29"/>
  <c r="R1677" i="29"/>
  <c r="R1676" i="29"/>
  <c r="R1675" i="29"/>
  <c r="R1659" i="29"/>
  <c r="R1658" i="29"/>
  <c r="R1668" i="29"/>
  <c r="R1667" i="29"/>
  <c r="R1642" i="29"/>
  <c r="R1640" i="29"/>
  <c r="R1639" i="29"/>
  <c r="R1637" i="29"/>
  <c r="R1635" i="29"/>
  <c r="R1634" i="29"/>
  <c r="R1633" i="29"/>
  <c r="R1632" i="29"/>
  <c r="R1631" i="29"/>
  <c r="R1666" i="29"/>
  <c r="R1665" i="29"/>
  <c r="R1568" i="29"/>
  <c r="R1567" i="29"/>
  <c r="R1661" i="29"/>
  <c r="R1660" i="29"/>
  <c r="R1556" i="29"/>
  <c r="R1657" i="29"/>
  <c r="R1656" i="29"/>
  <c r="R1655" i="29"/>
  <c r="R1654" i="29"/>
  <c r="R1653" i="29"/>
  <c r="R1652" i="29"/>
  <c r="R1651" i="29"/>
  <c r="R1650" i="29"/>
  <c r="R1649" i="29"/>
  <c r="R1648" i="29"/>
  <c r="R1647" i="29"/>
  <c r="R1646" i="29"/>
  <c r="R1641" i="29"/>
  <c r="R1664" i="29"/>
  <c r="R1663" i="29"/>
  <c r="R1662" i="29"/>
  <c r="R1643" i="29"/>
  <c r="R1638" i="29"/>
  <c r="R1636" i="29"/>
  <c r="R1623" i="29"/>
  <c r="R1622" i="29"/>
  <c r="R1618" i="29"/>
  <c r="R1616" i="29"/>
  <c r="R1615" i="29"/>
  <c r="R1614" i="29"/>
  <c r="R1645" i="29"/>
  <c r="R1644" i="29"/>
  <c r="R1610" i="29"/>
  <c r="R1609" i="29"/>
  <c r="R1608" i="29"/>
  <c r="R1607" i="29"/>
  <c r="R1606" i="29"/>
  <c r="R1605" i="29"/>
  <c r="R1604" i="29"/>
  <c r="R1603" i="29"/>
  <c r="R1602" i="29"/>
  <c r="R1601" i="29"/>
  <c r="R1600" i="29"/>
  <c r="R1599" i="29"/>
  <c r="R1598" i="29"/>
  <c r="R1597" i="29"/>
  <c r="R1630" i="29"/>
  <c r="R1629" i="29"/>
  <c r="R1628" i="29"/>
  <c r="R1627" i="29"/>
  <c r="R1626" i="29"/>
  <c r="R1625" i="29"/>
  <c r="R1624" i="29"/>
  <c r="R1621" i="29"/>
  <c r="R1620" i="29"/>
  <c r="R1619" i="29"/>
  <c r="R1617" i="29"/>
  <c r="R1613" i="29"/>
  <c r="R1565" i="29"/>
  <c r="R1611" i="29"/>
  <c r="R1612" i="29"/>
  <c r="R1596" i="29"/>
  <c r="R1595" i="29"/>
  <c r="R1594" i="29"/>
  <c r="R1593" i="29"/>
  <c r="R1592" i="29"/>
  <c r="R1591" i="29"/>
  <c r="R1590" i="29"/>
  <c r="R1589" i="29"/>
  <c r="R1588" i="29"/>
  <c r="R1587" i="29"/>
  <c r="R1586" i="29"/>
  <c r="R1585" i="29"/>
  <c r="R1584" i="29"/>
  <c r="R1583" i="29"/>
  <c r="R1582" i="29"/>
  <c r="R1714" i="29"/>
  <c r="R1581" i="29"/>
  <c r="R1580" i="29"/>
  <c r="R1579" i="29"/>
  <c r="R1570" i="29"/>
  <c r="R1569" i="29"/>
  <c r="R1564" i="29"/>
  <c r="R1551" i="29"/>
  <c r="R1550" i="29"/>
  <c r="R1549" i="29"/>
  <c r="R1548" i="29"/>
  <c r="R1547" i="29"/>
  <c r="R1546" i="29"/>
  <c r="R1542" i="29"/>
  <c r="R1541" i="29"/>
  <c r="R1578" i="29"/>
  <c r="R1577" i="29"/>
  <c r="R1576" i="29"/>
  <c r="R1575" i="29"/>
  <c r="R1574" i="29"/>
  <c r="R1573" i="29"/>
  <c r="R1572" i="29"/>
  <c r="R1563" i="29"/>
  <c r="R1562" i="29"/>
  <c r="R1561" i="29"/>
  <c r="R1560" i="29"/>
  <c r="R1559" i="29"/>
  <c r="R1558" i="29"/>
  <c r="R1571" i="29"/>
  <c r="R1566" i="29"/>
  <c r="R1557" i="29"/>
  <c r="R1555" i="29"/>
  <c r="R1552" i="29"/>
  <c r="R1554" i="29"/>
  <c r="R1553" i="29"/>
  <c r="R1545" i="29"/>
  <c r="R1544" i="29"/>
  <c r="R1543" i="29"/>
  <c r="R1540" i="29"/>
  <c r="R1539" i="29"/>
  <c r="R1538" i="29"/>
  <c r="R1537" i="29"/>
  <c r="R1536" i="29"/>
  <c r="R1535" i="29"/>
  <c r="R1534" i="29"/>
  <c r="R1533" i="29"/>
  <c r="R1532" i="29"/>
  <c r="R1531" i="29"/>
  <c r="R1530" i="29"/>
  <c r="R1529" i="29"/>
  <c r="R1528" i="29"/>
  <c r="R1527" i="29"/>
  <c r="R1526" i="29"/>
  <c r="R1525" i="29"/>
  <c r="R1523" i="29"/>
  <c r="R1522" i="29"/>
  <c r="R1521" i="29"/>
  <c r="R1520" i="29"/>
  <c r="R1519" i="29"/>
  <c r="R1518" i="29"/>
  <c r="R1517" i="29"/>
  <c r="R1516" i="29"/>
  <c r="R1524" i="29"/>
  <c r="R1511" i="29"/>
  <c r="R1510" i="29"/>
  <c r="R1509" i="29"/>
  <c r="R1508" i="29"/>
  <c r="R1507" i="29"/>
  <c r="R1515" i="29"/>
  <c r="R1514" i="29"/>
  <c r="R1513" i="29"/>
  <c r="R1512" i="29"/>
  <c r="R1503" i="29"/>
  <c r="R1502" i="29"/>
  <c r="R1500" i="29"/>
  <c r="R1499" i="29"/>
  <c r="R1498" i="29"/>
  <c r="R1497" i="29"/>
  <c r="R1496" i="29"/>
  <c r="R1495" i="29"/>
  <c r="R1492" i="29"/>
  <c r="R1491" i="29"/>
  <c r="R1488" i="29"/>
  <c r="R1487" i="29"/>
  <c r="R1486" i="29"/>
  <c r="R1485" i="29"/>
  <c r="R1484" i="29"/>
  <c r="R1477" i="29"/>
  <c r="R1506" i="29"/>
  <c r="R1505" i="29"/>
  <c r="R1490" i="29"/>
  <c r="R1489" i="29"/>
  <c r="R1483" i="29"/>
  <c r="R1471" i="29"/>
  <c r="R1470" i="29"/>
  <c r="R1469" i="29"/>
  <c r="R1468" i="29"/>
  <c r="R1467" i="29"/>
  <c r="R1466" i="29"/>
  <c r="R1465" i="29"/>
  <c r="R1504" i="29"/>
  <c r="R1501" i="29"/>
  <c r="R1494" i="29"/>
  <c r="R1493" i="29"/>
  <c r="R1464" i="29"/>
  <c r="R1460" i="29"/>
  <c r="R1459" i="29"/>
  <c r="R1458" i="29"/>
  <c r="R1482" i="29"/>
  <c r="R1481" i="29"/>
  <c r="R1480" i="29"/>
  <c r="R1479" i="29"/>
  <c r="R1478" i="29"/>
  <c r="R1476" i="29"/>
  <c r="R1475" i="29"/>
  <c r="R1474" i="29"/>
  <c r="R1473" i="29"/>
  <c r="R1472" i="29"/>
  <c r="R1457" i="29"/>
  <c r="R1456" i="29"/>
  <c r="R1451" i="29"/>
  <c r="R1450" i="29"/>
  <c r="R1449" i="29"/>
  <c r="R1448" i="29"/>
  <c r="R1412" i="29"/>
  <c r="R1413" i="29"/>
  <c r="R1414" i="29"/>
  <c r="R1415" i="29"/>
  <c r="R1416" i="29"/>
  <c r="R1417" i="29"/>
  <c r="R1418" i="29"/>
  <c r="R1419" i="29"/>
  <c r="R1420" i="29"/>
  <c r="R1421" i="29"/>
  <c r="R1434" i="29"/>
  <c r="R1432" i="29"/>
  <c r="R1443" i="29"/>
  <c r="R1442" i="29"/>
  <c r="R1441" i="29"/>
  <c r="R1440" i="29"/>
  <c r="R1439" i="29"/>
  <c r="R1438" i="29"/>
  <c r="R1435" i="29"/>
  <c r="R1433" i="29"/>
  <c r="R1431" i="29"/>
  <c r="R1430" i="29"/>
  <c r="R1429" i="29"/>
  <c r="R1428" i="29"/>
  <c r="R1427" i="29"/>
  <c r="R1426" i="29"/>
  <c r="R1423" i="29"/>
  <c r="R1447" i="29"/>
  <c r="R1446" i="29"/>
  <c r="R1445" i="29"/>
  <c r="R1444" i="29"/>
  <c r="R1437" i="29"/>
  <c r="R1436" i="29"/>
  <c r="R1425" i="29"/>
  <c r="R1424" i="29"/>
  <c r="R1422" i="29"/>
  <c r="R1411" i="29"/>
  <c r="R1410" i="29"/>
  <c r="R1409" i="29"/>
  <c r="R1408" i="29"/>
  <c r="R1401" i="29"/>
  <c r="R1400" i="29"/>
  <c r="R1399" i="29"/>
  <c r="R1395" i="29"/>
  <c r="R1407" i="29"/>
  <c r="R1406" i="29"/>
  <c r="R1405" i="29"/>
  <c r="R1402" i="29"/>
  <c r="R1398" i="29"/>
  <c r="R1397" i="29"/>
  <c r="R1394" i="29"/>
  <c r="R1393" i="29"/>
  <c r="R1383" i="29"/>
  <c r="R1382" i="29"/>
  <c r="R1381" i="29"/>
  <c r="R1380" i="29"/>
  <c r="R1375" i="29"/>
  <c r="R1374" i="29"/>
  <c r="R1373" i="29"/>
  <c r="R1388" i="29"/>
  <c r="R1387" i="29"/>
  <c r="R1386" i="29"/>
  <c r="R1385" i="29"/>
  <c r="R1384" i="29"/>
  <c r="R1372" i="29"/>
  <c r="R1371" i="29"/>
  <c r="R1365" i="29"/>
  <c r="R696" i="29"/>
  <c r="R1404" i="29"/>
  <c r="R1403" i="29"/>
  <c r="R1396" i="29"/>
  <c r="R1390" i="29"/>
  <c r="R1389" i="29"/>
  <c r="R1392" i="29"/>
  <c r="R1391" i="29"/>
  <c r="R1377" i="29"/>
  <c r="R1376" i="29"/>
  <c r="R1366" i="29"/>
  <c r="R1360" i="29"/>
  <c r="R1359" i="29"/>
  <c r="R1379" i="29"/>
  <c r="R1378" i="29"/>
  <c r="R1368" i="29"/>
  <c r="R1367" i="29"/>
  <c r="R1363" i="29"/>
  <c r="R1361" i="29"/>
  <c r="R1356" i="29"/>
  <c r="R1355" i="29"/>
  <c r="R1354" i="29"/>
  <c r="R1370" i="29"/>
  <c r="R1369" i="29"/>
  <c r="R1362" i="29"/>
  <c r="R1358" i="29"/>
  <c r="R1357" i="29"/>
  <c r="R1353" i="29"/>
  <c r="R1352" i="29"/>
  <c r="R1351" i="29"/>
  <c r="R1364" i="29"/>
  <c r="R1350" i="29"/>
  <c r="R1349" i="29"/>
  <c r="R1348" i="29"/>
  <c r="R1347" i="29"/>
  <c r="R1346" i="29"/>
  <c r="R1345" i="29"/>
  <c r="R1341" i="29"/>
  <c r="R1339" i="29"/>
  <c r="R1335" i="29"/>
  <c r="R1334" i="29"/>
  <c r="R1333" i="29"/>
  <c r="R1332" i="29"/>
  <c r="R1331" i="29"/>
  <c r="R1330" i="29"/>
  <c r="R1328" i="29"/>
  <c r="R1327" i="29"/>
  <c r="R1326" i="29"/>
  <c r="R1325" i="29"/>
  <c r="R1322" i="29"/>
  <c r="R1321" i="29"/>
  <c r="R1329" i="29"/>
  <c r="R1324" i="29"/>
  <c r="R1323" i="29"/>
  <c r="R1316" i="29"/>
  <c r="R1315" i="29"/>
  <c r="R1314" i="29"/>
  <c r="R1313" i="29"/>
  <c r="R1312" i="29"/>
  <c r="R1311" i="29"/>
  <c r="R1344" i="29"/>
  <c r="R1343" i="29"/>
  <c r="R1342" i="29"/>
  <c r="R1340" i="29"/>
  <c r="R1338" i="29"/>
  <c r="R1337" i="29"/>
  <c r="R1336" i="29"/>
  <c r="R1310" i="29"/>
  <c r="R1309" i="29"/>
  <c r="R693" i="29"/>
  <c r="R1320" i="29"/>
  <c r="R1319" i="29"/>
  <c r="R1318" i="29"/>
  <c r="R1317" i="29"/>
  <c r="R1303" i="29"/>
  <c r="R1300" i="29"/>
  <c r="R1299" i="29"/>
  <c r="R1307" i="29"/>
  <c r="R1308" i="29"/>
  <c r="R1306" i="29"/>
  <c r="R1298" i="29"/>
  <c r="R1297" i="29"/>
  <c r="R1296" i="29"/>
  <c r="R1295" i="29"/>
  <c r="R1294" i="29"/>
  <c r="R1293" i="29"/>
  <c r="R1292" i="29"/>
  <c r="R1291" i="29"/>
  <c r="R1290" i="29"/>
  <c r="R1289" i="29"/>
  <c r="R1287" i="29"/>
  <c r="R1305" i="29"/>
  <c r="R1304" i="29"/>
  <c r="R1302" i="29"/>
  <c r="R1301" i="29"/>
  <c r="R1288" i="29"/>
  <c r="R1282" i="29"/>
  <c r="R1281" i="29"/>
  <c r="R1276" i="29"/>
  <c r="R1286" i="29"/>
  <c r="R1285" i="29"/>
  <c r="R1284" i="29"/>
  <c r="R1283" i="29"/>
  <c r="R1280" i="29"/>
  <c r="R1279" i="29"/>
  <c r="R1274" i="29"/>
  <c r="R1273" i="29"/>
  <c r="R1278" i="29"/>
  <c r="R1277" i="29"/>
  <c r="R1275" i="29"/>
  <c r="R1250" i="29"/>
  <c r="R1249" i="29"/>
  <c r="R1248" i="29"/>
  <c r="R1246" i="29"/>
  <c r="R1245" i="29"/>
  <c r="R1244" i="29"/>
  <c r="R1272" i="29"/>
  <c r="R1271" i="29"/>
  <c r="R1265" i="29"/>
  <c r="R1263" i="29"/>
  <c r="R1262" i="29"/>
  <c r="R1261" i="29"/>
  <c r="R1260" i="29"/>
  <c r="R1259" i="29"/>
  <c r="R1258" i="29"/>
  <c r="R1257" i="29"/>
  <c r="R1256" i="29"/>
  <c r="R1255" i="29"/>
  <c r="R1254" i="29"/>
  <c r="R1253" i="29"/>
  <c r="R1252" i="29"/>
  <c r="R1270" i="29"/>
  <c r="R1269" i="29"/>
  <c r="R1268" i="29"/>
  <c r="R1267" i="29"/>
  <c r="R1266" i="29"/>
  <c r="R1264" i="29"/>
  <c r="R1251" i="29"/>
  <c r="R1247" i="29"/>
  <c r="R1243" i="29"/>
  <c r="R1240" i="29"/>
  <c r="R1239" i="29"/>
  <c r="R1233" i="29"/>
  <c r="R1230" i="29"/>
  <c r="R1229" i="29"/>
  <c r="R1228" i="29"/>
  <c r="R1227" i="29"/>
  <c r="R1226" i="29"/>
  <c r="R1220" i="29"/>
  <c r="R1218" i="29"/>
  <c r="R1217" i="29"/>
  <c r="R1216" i="29"/>
  <c r="R1215" i="29"/>
  <c r="R1214" i="29"/>
  <c r="R1213" i="29"/>
  <c r="R1207" i="29"/>
  <c r="R1202" i="29"/>
  <c r="R1201" i="29"/>
  <c r="R1198" i="29"/>
  <c r="R1241" i="29"/>
  <c r="R1232" i="29"/>
  <c r="R1231" i="29"/>
  <c r="R1242" i="29"/>
  <c r="R1223" i="29"/>
  <c r="R1222" i="29"/>
  <c r="R1221" i="29"/>
  <c r="R1219" i="29"/>
  <c r="R1212" i="29"/>
  <c r="R1211" i="29"/>
  <c r="R1210" i="29"/>
  <c r="R1209" i="29"/>
  <c r="R1208" i="29"/>
  <c r="R1238" i="29"/>
  <c r="R1237" i="29"/>
  <c r="R1236" i="29"/>
  <c r="R1235" i="29"/>
  <c r="R1234" i="29"/>
  <c r="R1225" i="29"/>
  <c r="R1224" i="29"/>
  <c r="R1206" i="29"/>
  <c r="R1205" i="29"/>
  <c r="R1204" i="29"/>
  <c r="R1203" i="29"/>
  <c r="R620" i="29"/>
  <c r="R619" i="29"/>
  <c r="R618" i="29"/>
  <c r="R617" i="29"/>
  <c r="R616" i="29"/>
  <c r="R1200" i="29"/>
  <c r="R1199" i="29"/>
  <c r="R1196" i="29"/>
  <c r="R1195" i="29"/>
  <c r="R1193" i="29"/>
  <c r="R1197" i="29"/>
  <c r="R1192" i="29"/>
  <c r="R1191" i="29"/>
  <c r="R1190" i="29"/>
  <c r="R1189" i="29"/>
  <c r="R1188" i="29"/>
  <c r="R1185" i="29"/>
  <c r="R1182" i="29"/>
  <c r="R1181" i="29"/>
  <c r="R1180" i="29"/>
  <c r="R1194" i="29"/>
  <c r="R1187" i="29"/>
  <c r="R1186" i="29"/>
  <c r="R1173" i="29"/>
  <c r="R1184" i="29"/>
  <c r="R1183" i="29"/>
  <c r="R1179" i="29"/>
  <c r="R1178" i="29"/>
  <c r="R1177" i="29"/>
  <c r="R1176" i="29"/>
  <c r="R1175" i="29"/>
  <c r="R1174" i="29"/>
  <c r="R1167" i="29"/>
  <c r="R1164" i="29"/>
  <c r="R1163" i="29"/>
  <c r="R1161" i="29"/>
  <c r="R1160" i="29"/>
  <c r="R1159" i="29"/>
  <c r="R1158" i="29"/>
  <c r="R1157" i="29"/>
  <c r="R1156" i="29"/>
  <c r="R1112" i="29"/>
  <c r="R1172" i="29"/>
  <c r="R1171" i="29"/>
  <c r="R1162" i="29"/>
  <c r="R1170" i="29"/>
  <c r="R1155" i="29"/>
  <c r="R1154" i="29"/>
  <c r="R1153" i="29"/>
  <c r="R1152" i="29"/>
  <c r="R1151" i="29"/>
  <c r="R1150" i="29"/>
  <c r="R1149" i="29"/>
  <c r="R1148" i="29"/>
  <c r="R1147" i="29"/>
  <c r="R1146" i="29"/>
  <c r="R1143" i="29"/>
  <c r="R1166" i="29"/>
  <c r="R1165" i="29"/>
  <c r="R1144" i="29"/>
  <c r="R1142" i="29"/>
  <c r="R1141" i="29"/>
  <c r="R1140" i="29"/>
  <c r="R1139" i="29"/>
  <c r="R1138" i="29"/>
  <c r="R1137" i="29"/>
  <c r="R1136" i="29"/>
  <c r="R1169" i="29"/>
  <c r="R1168" i="29"/>
  <c r="R1135" i="29"/>
  <c r="R1134" i="29"/>
  <c r="R1133" i="29"/>
  <c r="R1145" i="29"/>
  <c r="R1132" i="29"/>
  <c r="R1129" i="29"/>
  <c r="R1128" i="29"/>
  <c r="R1127" i="29"/>
  <c r="R1126" i="29"/>
  <c r="R1125" i="29"/>
  <c r="R1120" i="29"/>
  <c r="R1119" i="29"/>
  <c r="R1118" i="29"/>
  <c r="R1114" i="29"/>
  <c r="R1113" i="29"/>
  <c r="R1131" i="29"/>
  <c r="R1130" i="29"/>
  <c r="R1124" i="29"/>
  <c r="R1123" i="29"/>
  <c r="R1122" i="29"/>
  <c r="R1121" i="29"/>
  <c r="R1103" i="29"/>
  <c r="R1102" i="29"/>
  <c r="R1101" i="29"/>
  <c r="R1100" i="29"/>
  <c r="R1099" i="29"/>
  <c r="R1098" i="29"/>
  <c r="R1097" i="29"/>
  <c r="R1096" i="29"/>
  <c r="R1095" i="29"/>
  <c r="R1094" i="29"/>
  <c r="R1093" i="29"/>
  <c r="R1089" i="29"/>
  <c r="R1088" i="29"/>
  <c r="R1084" i="29"/>
  <c r="R1082" i="29"/>
  <c r="R1081" i="29"/>
  <c r="R1080" i="29"/>
  <c r="R1079" i="29"/>
  <c r="R1078" i="29"/>
  <c r="R1117" i="29"/>
  <c r="R1116" i="29"/>
  <c r="R1115" i="29"/>
  <c r="R1111" i="29"/>
  <c r="R1110" i="29"/>
  <c r="R1109" i="29"/>
  <c r="R1108" i="29"/>
  <c r="R1107" i="29"/>
  <c r="R1092" i="29"/>
  <c r="R1091" i="29"/>
  <c r="R1090" i="29"/>
  <c r="R1074" i="29"/>
  <c r="R1073" i="29"/>
  <c r="R1072" i="29"/>
  <c r="R1070" i="29"/>
  <c r="R1069" i="29"/>
  <c r="R1062" i="29"/>
  <c r="R1061" i="29"/>
  <c r="R1060" i="29"/>
  <c r="R1059" i="29"/>
  <c r="R1058" i="29"/>
  <c r="R1057" i="29"/>
  <c r="R1106" i="29"/>
  <c r="R1105" i="29"/>
  <c r="R1104" i="29"/>
  <c r="R1087" i="29"/>
  <c r="R1086" i="29"/>
  <c r="R1085" i="29"/>
  <c r="R1083" i="29"/>
  <c r="R1077" i="29"/>
  <c r="R1076" i="29"/>
  <c r="R1075" i="29"/>
  <c r="R1068" i="29"/>
  <c r="R1067" i="29"/>
  <c r="R1066" i="29"/>
  <c r="R1065" i="29"/>
  <c r="R1064" i="29"/>
  <c r="R1053" i="29"/>
  <c r="R1051" i="29"/>
  <c r="R1050" i="29"/>
  <c r="R1049" i="29"/>
  <c r="R1047" i="29"/>
  <c r="R1046" i="29"/>
  <c r="R1045" i="29"/>
  <c r="R1044" i="29"/>
  <c r="R1043" i="29"/>
  <c r="R1042" i="29"/>
  <c r="R1041" i="29"/>
  <c r="R1040" i="29"/>
  <c r="R1039" i="29"/>
  <c r="R1038" i="29"/>
  <c r="R1037" i="29"/>
  <c r="R1071" i="29"/>
  <c r="R1063" i="29"/>
  <c r="R1055" i="29"/>
  <c r="R1054" i="29"/>
  <c r="R1035" i="29"/>
  <c r="R1056" i="29"/>
  <c r="R1052" i="29"/>
  <c r="R1048" i="29"/>
  <c r="R1036" i="29"/>
  <c r="R1034" i="29"/>
  <c r="R1033" i="29"/>
  <c r="R1032" i="29"/>
  <c r="R1012" i="29"/>
  <c r="R1011" i="29"/>
  <c r="R1006" i="29"/>
  <c r="R1005" i="29"/>
  <c r="R1004" i="29"/>
  <c r="R1003" i="29"/>
  <c r="R1031" i="29"/>
  <c r="R1030" i="29"/>
  <c r="R1029" i="29"/>
  <c r="R1028" i="29"/>
  <c r="R1027" i="29"/>
  <c r="R1026" i="29"/>
  <c r="R1025" i="29"/>
  <c r="R1024" i="29"/>
  <c r="R1023" i="29"/>
  <c r="R1022" i="29"/>
  <c r="R1021" i="29"/>
  <c r="R1020" i="29"/>
  <c r="R1019" i="29"/>
  <c r="R1018" i="29"/>
  <c r="R1017" i="29"/>
  <c r="R1016" i="29"/>
  <c r="R1015" i="29"/>
  <c r="R1014" i="29"/>
  <c r="R1013" i="29"/>
  <c r="R1002" i="29"/>
  <c r="R1001" i="29"/>
  <c r="R1000" i="29"/>
  <c r="R999" i="29"/>
  <c r="R998" i="29"/>
  <c r="R1010" i="29"/>
  <c r="R1009" i="29"/>
  <c r="R1008" i="29"/>
  <c r="R1007" i="29"/>
  <c r="R995" i="29"/>
  <c r="R994" i="29"/>
  <c r="R993" i="29"/>
  <c r="R992" i="29"/>
  <c r="R991" i="29"/>
  <c r="R990" i="29"/>
  <c r="R985" i="29"/>
  <c r="R981" i="29"/>
  <c r="R866" i="29"/>
  <c r="R979" i="29"/>
  <c r="R978" i="29"/>
  <c r="R977" i="29"/>
  <c r="R997" i="29"/>
  <c r="R996" i="29"/>
  <c r="R980" i="29"/>
  <c r="R976" i="29"/>
  <c r="R975" i="29"/>
  <c r="R974" i="29"/>
  <c r="R989" i="29"/>
  <c r="R988" i="29"/>
  <c r="R987" i="29"/>
  <c r="R986" i="29"/>
  <c r="R984" i="29"/>
  <c r="R983" i="29"/>
  <c r="R982" i="29"/>
  <c r="R960" i="29"/>
  <c r="R958" i="29"/>
  <c r="R957" i="29"/>
  <c r="R973" i="29"/>
  <c r="R972" i="29"/>
  <c r="R971" i="29"/>
  <c r="R970" i="29"/>
  <c r="R969" i="29"/>
  <c r="R968" i="29"/>
  <c r="R967" i="29"/>
  <c r="R966" i="29"/>
  <c r="R965" i="29"/>
  <c r="R964" i="29"/>
  <c r="R963" i="29"/>
  <c r="R962" i="29"/>
  <c r="R961" i="29"/>
  <c r="R959" i="29"/>
  <c r="R956" i="29"/>
  <c r="R955" i="29"/>
  <c r="R952" i="29"/>
  <c r="R949" i="29"/>
  <c r="R954" i="29"/>
  <c r="R953" i="29"/>
  <c r="R951" i="29"/>
  <c r="R950" i="29"/>
  <c r="R944" i="29"/>
  <c r="R943" i="29"/>
  <c r="R942" i="29"/>
  <c r="R948" i="29"/>
  <c r="R947" i="29"/>
  <c r="R946" i="29"/>
  <c r="R945" i="29"/>
  <c r="R940" i="29"/>
  <c r="R939" i="29"/>
  <c r="R927" i="29"/>
  <c r="R926" i="29"/>
  <c r="R941" i="29"/>
  <c r="R938" i="29"/>
  <c r="R937" i="29"/>
  <c r="R936" i="29"/>
  <c r="R935" i="29"/>
  <c r="R934" i="29"/>
  <c r="R933" i="29"/>
  <c r="R905" i="29"/>
  <c r="R932" i="29"/>
  <c r="R931" i="29"/>
  <c r="R930" i="29"/>
  <c r="R929" i="29"/>
  <c r="R928" i="29"/>
  <c r="R925" i="29"/>
  <c r="R924" i="29"/>
  <c r="R922" i="29"/>
  <c r="R921" i="29"/>
  <c r="R917" i="29"/>
  <c r="R916" i="29"/>
  <c r="R915" i="29"/>
  <c r="R920" i="29"/>
  <c r="R919" i="29"/>
  <c r="R918" i="29"/>
  <c r="R914" i="29"/>
  <c r="R913" i="29"/>
  <c r="R904" i="29"/>
  <c r="R903" i="29"/>
  <c r="R902" i="29"/>
  <c r="R901" i="29"/>
  <c r="R892" i="29"/>
  <c r="R923" i="29"/>
  <c r="R909" i="29"/>
  <c r="R908" i="29"/>
  <c r="R888" i="29"/>
  <c r="R910" i="29"/>
  <c r="R907" i="29"/>
  <c r="R906" i="29"/>
  <c r="R642" i="29"/>
  <c r="R891" i="29"/>
  <c r="R890" i="29"/>
  <c r="R912" i="29"/>
  <c r="R911" i="29"/>
  <c r="R889" i="29"/>
  <c r="R887" i="29"/>
  <c r="R882" i="29"/>
  <c r="R881" i="29"/>
  <c r="R900" i="29"/>
  <c r="R899" i="29"/>
  <c r="R898" i="29"/>
  <c r="R897" i="29"/>
  <c r="R896" i="29"/>
  <c r="R895" i="29"/>
  <c r="R894" i="29"/>
  <c r="R893" i="29"/>
  <c r="R879" i="29"/>
  <c r="R878" i="29"/>
  <c r="R877" i="29"/>
  <c r="R876" i="29"/>
  <c r="R886" i="29"/>
  <c r="R885" i="29"/>
  <c r="R875" i="29"/>
  <c r="R874" i="29"/>
  <c r="R873" i="29"/>
  <c r="R872" i="29"/>
  <c r="R871" i="29"/>
  <c r="R884" i="29"/>
  <c r="R883" i="29"/>
  <c r="R880" i="29"/>
  <c r="R869" i="29"/>
  <c r="R865" i="29"/>
  <c r="R864" i="29"/>
  <c r="R863" i="29"/>
  <c r="R862" i="29"/>
  <c r="R861" i="29"/>
  <c r="R860" i="29"/>
  <c r="R859" i="29"/>
  <c r="R858" i="29"/>
  <c r="R857" i="29"/>
  <c r="R870" i="29"/>
  <c r="R868" i="29"/>
  <c r="R867" i="29"/>
  <c r="R856" i="29"/>
  <c r="R855" i="29"/>
  <c r="R710" i="29"/>
  <c r="R850" i="29"/>
  <c r="R849" i="29"/>
  <c r="R848" i="29"/>
  <c r="R847" i="29"/>
  <c r="R852" i="29"/>
  <c r="R851" i="29"/>
  <c r="R846" i="29"/>
  <c r="R845" i="29"/>
  <c r="R844" i="29"/>
  <c r="R843" i="29"/>
  <c r="R842" i="29"/>
  <c r="R841" i="29"/>
  <c r="R854" i="29"/>
  <c r="R853" i="29"/>
  <c r="R840" i="29"/>
  <c r="R839" i="29"/>
  <c r="R838" i="29"/>
  <c r="R837" i="29"/>
  <c r="R836" i="29"/>
  <c r="R833" i="29"/>
  <c r="R834" i="29"/>
  <c r="R815" i="29"/>
  <c r="R835" i="29"/>
  <c r="R832" i="29"/>
  <c r="R831" i="29"/>
  <c r="R830" i="29"/>
  <c r="R829" i="29"/>
  <c r="R828" i="29"/>
  <c r="R827" i="29"/>
  <c r="R826" i="29"/>
  <c r="R825" i="29"/>
  <c r="R824" i="29"/>
  <c r="R823" i="29"/>
  <c r="R822" i="29"/>
  <c r="R821" i="29"/>
  <c r="R820" i="29"/>
  <c r="R819" i="29"/>
  <c r="R818" i="29"/>
  <c r="R817" i="29"/>
  <c r="R816" i="29"/>
  <c r="R814" i="29"/>
  <c r="R813" i="29"/>
  <c r="R808" i="29"/>
  <c r="R802" i="29"/>
  <c r="R801" i="29"/>
  <c r="R800" i="29"/>
  <c r="R799" i="29"/>
  <c r="R812" i="29"/>
  <c r="R798" i="29"/>
  <c r="R797" i="29"/>
  <c r="R792" i="29"/>
  <c r="R791" i="29"/>
  <c r="R790" i="29"/>
  <c r="R789" i="29"/>
  <c r="R780" i="29"/>
  <c r="R778" i="29"/>
  <c r="R777" i="29"/>
  <c r="R776" i="29"/>
  <c r="R775" i="29"/>
  <c r="R774" i="29"/>
  <c r="R771" i="29"/>
  <c r="R811" i="29"/>
  <c r="R810" i="29"/>
  <c r="R809" i="29"/>
  <c r="R807" i="29"/>
  <c r="R806" i="29"/>
  <c r="R805" i="29"/>
  <c r="R804" i="29"/>
  <c r="R803" i="29"/>
  <c r="R796" i="29"/>
  <c r="R795" i="29"/>
  <c r="R794" i="29"/>
  <c r="R793" i="29"/>
  <c r="R788" i="29"/>
  <c r="R787" i="29"/>
  <c r="R786" i="29"/>
  <c r="R785" i="29"/>
  <c r="R784" i="29"/>
  <c r="R783" i="29"/>
  <c r="R782" i="29"/>
  <c r="R781" i="29"/>
  <c r="R779" i="29"/>
  <c r="R773" i="29"/>
  <c r="R772" i="29"/>
  <c r="R770" i="29"/>
  <c r="R769" i="29"/>
  <c r="R768" i="29"/>
  <c r="R767" i="29"/>
  <c r="R766" i="29"/>
  <c r="R765" i="29"/>
  <c r="R764" i="29"/>
  <c r="R763" i="29"/>
  <c r="R744" i="29"/>
  <c r="R739" i="29"/>
  <c r="R738" i="29"/>
  <c r="R750" i="29"/>
  <c r="R746" i="29"/>
  <c r="R745" i="29"/>
  <c r="R743" i="29"/>
  <c r="R742" i="29"/>
  <c r="R762" i="29"/>
  <c r="R761" i="29"/>
  <c r="R760" i="29"/>
  <c r="R759" i="29"/>
  <c r="R758" i="29"/>
  <c r="R757" i="29"/>
  <c r="R756" i="29"/>
  <c r="R755" i="29"/>
  <c r="R754" i="29"/>
  <c r="R753" i="29"/>
  <c r="R752" i="29"/>
  <c r="R751" i="29"/>
  <c r="R749" i="29"/>
  <c r="R748" i="29"/>
  <c r="R747" i="29"/>
  <c r="R735" i="29"/>
  <c r="R732" i="29"/>
  <c r="R731" i="29"/>
  <c r="R730" i="29"/>
  <c r="R729" i="29"/>
  <c r="R728" i="29"/>
  <c r="R720" i="29"/>
  <c r="R718" i="29"/>
  <c r="R713" i="29"/>
  <c r="R712" i="29"/>
  <c r="R741" i="29"/>
  <c r="R740" i="29"/>
  <c r="R734" i="29"/>
  <c r="R733" i="29"/>
  <c r="R727" i="29"/>
  <c r="R726" i="29"/>
  <c r="R725" i="29"/>
  <c r="R724" i="29"/>
  <c r="R723" i="29"/>
  <c r="R714" i="29"/>
  <c r="R615" i="29"/>
  <c r="R737" i="29"/>
  <c r="R736" i="29"/>
  <c r="R719" i="29"/>
  <c r="R711" i="29"/>
  <c r="R692" i="29"/>
  <c r="R709" i="29"/>
  <c r="R708" i="29"/>
  <c r="R707" i="29"/>
  <c r="R722" i="29"/>
  <c r="R721" i="29"/>
  <c r="R717" i="29"/>
  <c r="R716" i="29"/>
  <c r="R715" i="29"/>
  <c r="R688" i="29"/>
  <c r="R687" i="29"/>
  <c r="R686" i="29"/>
  <c r="R685" i="29"/>
  <c r="R684" i="29"/>
  <c r="R706" i="29"/>
  <c r="R705" i="29"/>
  <c r="R704" i="29"/>
  <c r="R703" i="29"/>
  <c r="R702" i="29"/>
  <c r="R701" i="29"/>
  <c r="R700" i="29"/>
  <c r="R699" i="29"/>
  <c r="R698" i="29"/>
  <c r="R697" i="29"/>
  <c r="R683" i="29"/>
  <c r="R682" i="29"/>
  <c r="R681" i="29"/>
  <c r="R680" i="29"/>
  <c r="R679" i="29"/>
  <c r="R678" i="29"/>
  <c r="R677" i="29"/>
  <c r="R691" i="29"/>
  <c r="R690" i="29"/>
  <c r="R676" i="29"/>
  <c r="R675" i="29"/>
  <c r="R657" i="29"/>
  <c r="R656" i="29"/>
  <c r="R674" i="29"/>
  <c r="R673" i="29"/>
  <c r="R672" i="29"/>
  <c r="R667" i="29"/>
  <c r="R666" i="29"/>
  <c r="R664" i="29"/>
  <c r="R652" i="29"/>
  <c r="R646" i="29"/>
  <c r="R645" i="29"/>
  <c r="R640" i="29"/>
  <c r="R639" i="29"/>
  <c r="R638" i="29"/>
  <c r="R635" i="29"/>
  <c r="R634" i="29"/>
  <c r="R631" i="29"/>
  <c r="R630" i="29"/>
  <c r="R629" i="29"/>
  <c r="R628" i="29"/>
  <c r="R627" i="29"/>
  <c r="R626" i="29"/>
  <c r="R625" i="29"/>
  <c r="R624" i="29"/>
  <c r="R622" i="29"/>
  <c r="R671" i="29"/>
  <c r="R670" i="29"/>
  <c r="R669" i="29"/>
  <c r="R668" i="29"/>
  <c r="R665" i="29"/>
  <c r="R663" i="29"/>
  <c r="R662" i="29"/>
  <c r="R661" i="29"/>
  <c r="R614" i="29"/>
  <c r="R623" i="29"/>
  <c r="R613" i="29"/>
  <c r="R612" i="29"/>
  <c r="R611" i="29"/>
  <c r="R610" i="29"/>
  <c r="R609" i="29"/>
  <c r="R607" i="29"/>
  <c r="R605" i="29"/>
  <c r="R604" i="29"/>
  <c r="R597" i="29"/>
  <c r="R596" i="29"/>
  <c r="R595" i="29"/>
  <c r="R594" i="29"/>
  <c r="R593" i="29"/>
  <c r="R591" i="29"/>
  <c r="R590" i="29"/>
  <c r="R589" i="29"/>
  <c r="R580" i="29"/>
  <c r="R579" i="29"/>
  <c r="R588" i="29"/>
  <c r="R583" i="29"/>
  <c r="R582" i="29"/>
  <c r="R581" i="29"/>
  <c r="R577" i="29"/>
  <c r="R608" i="29"/>
  <c r="R606" i="29"/>
  <c r="R587" i="29"/>
  <c r="R586" i="29"/>
  <c r="R575" i="29"/>
  <c r="R573" i="29"/>
  <c r="R571" i="29"/>
  <c r="R603" i="29"/>
  <c r="R602" i="29"/>
  <c r="R601" i="29"/>
  <c r="R600" i="29"/>
  <c r="R599" i="29"/>
  <c r="R598" i="29"/>
  <c r="R585" i="29"/>
  <c r="R584" i="29"/>
  <c r="R576" i="29"/>
  <c r="R592" i="29"/>
  <c r="R578" i="29"/>
  <c r="R553" i="29"/>
  <c r="R551" i="29"/>
  <c r="R574" i="29"/>
  <c r="R572" i="29"/>
  <c r="R570" i="29"/>
  <c r="R569" i="29"/>
  <c r="R568" i="29"/>
  <c r="R567" i="29"/>
  <c r="R549" i="29"/>
  <c r="R548" i="29"/>
  <c r="R558" i="29"/>
  <c r="R557" i="29"/>
  <c r="R556" i="29"/>
  <c r="R555" i="29"/>
  <c r="R554" i="29"/>
  <c r="R552" i="29"/>
  <c r="R550" i="29"/>
  <c r="R547" i="29"/>
  <c r="R546" i="29"/>
  <c r="R566" i="29"/>
  <c r="R565" i="29"/>
  <c r="R564" i="29"/>
  <c r="R563" i="29"/>
  <c r="R562" i="29"/>
  <c r="R561" i="29"/>
  <c r="R560" i="29"/>
  <c r="R559" i="29"/>
  <c r="R535" i="29"/>
  <c r="R534" i="29"/>
  <c r="R532" i="29"/>
  <c r="R518" i="29"/>
  <c r="R517" i="29"/>
  <c r="R516" i="29"/>
  <c r="R525" i="29"/>
  <c r="R524" i="29"/>
  <c r="R523" i="29"/>
  <c r="R522" i="29"/>
  <c r="R521" i="29"/>
  <c r="R520" i="29"/>
  <c r="R519" i="29"/>
  <c r="R533" i="29"/>
  <c r="R529" i="29"/>
  <c r="R528" i="29"/>
  <c r="R527" i="29"/>
  <c r="R526" i="29"/>
  <c r="R509" i="29"/>
  <c r="R508" i="29"/>
  <c r="R507" i="29"/>
  <c r="R545" i="29"/>
  <c r="R544" i="29"/>
  <c r="R543" i="29"/>
  <c r="R542" i="29"/>
  <c r="R541" i="29"/>
  <c r="R540" i="29"/>
  <c r="R539" i="29"/>
  <c r="R538" i="29"/>
  <c r="R537" i="29"/>
  <c r="R536" i="29"/>
  <c r="R511" i="29"/>
  <c r="R510" i="29"/>
  <c r="R506" i="29"/>
  <c r="R505" i="29"/>
  <c r="R504" i="29"/>
  <c r="R503" i="29"/>
  <c r="R502" i="29"/>
  <c r="R497" i="29"/>
  <c r="R496" i="29"/>
  <c r="R495" i="29"/>
  <c r="R494" i="29"/>
  <c r="R531" i="29"/>
  <c r="R530" i="29"/>
  <c r="R515" i="29"/>
  <c r="R514" i="29"/>
  <c r="R513" i="29"/>
  <c r="R512" i="29"/>
  <c r="R501" i="29"/>
  <c r="R493" i="29"/>
  <c r="R500" i="29"/>
  <c r="R499" i="29"/>
  <c r="R498" i="29"/>
  <c r="R492" i="29"/>
  <c r="R491" i="29"/>
  <c r="R487" i="29"/>
  <c r="R486" i="29"/>
  <c r="R490" i="29"/>
  <c r="R489" i="29"/>
  <c r="R488" i="29"/>
  <c r="R485" i="29"/>
  <c r="R484" i="29"/>
  <c r="R483" i="29"/>
  <c r="R482" i="29"/>
  <c r="R472" i="29"/>
  <c r="R471" i="29"/>
  <c r="R481" i="29"/>
  <c r="R480" i="29"/>
  <c r="R479" i="29"/>
  <c r="R478" i="29"/>
  <c r="R477" i="29"/>
  <c r="R476" i="29"/>
  <c r="R475" i="29"/>
  <c r="R474" i="29"/>
  <c r="R467" i="29"/>
  <c r="R452" i="29"/>
  <c r="R451" i="29"/>
  <c r="R450" i="29"/>
  <c r="R449" i="29"/>
  <c r="R447" i="29"/>
  <c r="R446" i="29"/>
  <c r="R470" i="29"/>
  <c r="R469" i="29"/>
  <c r="R468" i="29"/>
  <c r="R466" i="29"/>
  <c r="R465" i="29"/>
  <c r="R464" i="29"/>
  <c r="R463" i="29"/>
  <c r="R462" i="29"/>
  <c r="R461" i="29"/>
  <c r="R460" i="29"/>
  <c r="R459" i="29"/>
  <c r="R444" i="29"/>
  <c r="R443" i="29"/>
  <c r="R442" i="29"/>
  <c r="R441" i="29"/>
  <c r="R439" i="29"/>
  <c r="R438" i="29"/>
  <c r="R436" i="29"/>
  <c r="R458" i="29"/>
  <c r="R457" i="29"/>
  <c r="R456" i="29"/>
  <c r="R455" i="29"/>
  <c r="R454" i="29"/>
  <c r="R453" i="29"/>
  <c r="R448" i="29"/>
  <c r="R445" i="29"/>
  <c r="R440" i="29"/>
  <c r="R434" i="29"/>
  <c r="R433" i="29"/>
  <c r="R432" i="29"/>
  <c r="R431" i="29"/>
  <c r="R430" i="29"/>
  <c r="R429" i="29"/>
  <c r="R428" i="29"/>
  <c r="R427" i="29"/>
  <c r="R426" i="29"/>
  <c r="R425" i="29"/>
  <c r="R424" i="29"/>
  <c r="R435" i="29"/>
  <c r="R423" i="29"/>
  <c r="R420" i="29"/>
  <c r="R418" i="29"/>
  <c r="R416" i="29"/>
  <c r="R415" i="29"/>
  <c r="R414" i="29"/>
  <c r="R413" i="29"/>
  <c r="R412" i="29"/>
  <c r="R409" i="29"/>
  <c r="R407" i="29"/>
  <c r="R437" i="29"/>
  <c r="R408" i="29"/>
  <c r="R403" i="29"/>
  <c r="R402" i="29"/>
  <c r="R401" i="29"/>
  <c r="R400" i="29"/>
  <c r="R399" i="29"/>
  <c r="R398" i="29"/>
  <c r="R422" i="29"/>
  <c r="R421" i="29"/>
  <c r="R419" i="29"/>
  <c r="R417" i="29"/>
  <c r="R394" i="29"/>
  <c r="R411" i="29"/>
  <c r="R410" i="29"/>
  <c r="R405" i="29"/>
  <c r="R404" i="29"/>
  <c r="R388" i="29"/>
  <c r="R384" i="29"/>
  <c r="R383" i="29"/>
  <c r="R406" i="29"/>
  <c r="R378" i="29"/>
  <c r="R377" i="29"/>
  <c r="R376" i="29"/>
  <c r="R375" i="29"/>
  <c r="R374" i="29"/>
  <c r="R370" i="29"/>
  <c r="R358" i="29"/>
  <c r="R357" i="29"/>
  <c r="R356" i="29"/>
  <c r="R355" i="29"/>
  <c r="R397" i="29"/>
  <c r="R396" i="29"/>
  <c r="R390" i="29"/>
  <c r="R373" i="29"/>
  <c r="R372" i="29"/>
  <c r="R345" i="29"/>
  <c r="R344" i="29"/>
  <c r="R343" i="29"/>
  <c r="R342" i="29"/>
  <c r="R341" i="29"/>
  <c r="R395" i="29"/>
  <c r="R393" i="29"/>
  <c r="R391" i="29"/>
  <c r="R389" i="29"/>
  <c r="R392" i="29"/>
  <c r="R387" i="29"/>
  <c r="R386" i="29"/>
  <c r="R385" i="29"/>
  <c r="R371" i="29"/>
  <c r="R364" i="29"/>
  <c r="R340" i="29"/>
  <c r="R339" i="29"/>
  <c r="R338" i="29"/>
  <c r="R347" i="29"/>
  <c r="R346" i="29"/>
  <c r="R333" i="29"/>
  <c r="R332" i="29"/>
  <c r="R323" i="29"/>
  <c r="R382" i="29"/>
  <c r="R381" i="29"/>
  <c r="R380" i="29"/>
  <c r="R379" i="29"/>
  <c r="R369" i="29"/>
  <c r="R368" i="29"/>
  <c r="R367" i="29"/>
  <c r="R366" i="29"/>
  <c r="R365" i="29"/>
  <c r="R363" i="29"/>
  <c r="R362" i="29"/>
  <c r="R361" i="29"/>
  <c r="R360" i="29"/>
  <c r="R359" i="29"/>
  <c r="R354" i="29"/>
  <c r="R353" i="29"/>
  <c r="R352" i="29"/>
  <c r="R351" i="29"/>
  <c r="R350" i="29"/>
  <c r="R349" i="29"/>
  <c r="R348" i="29"/>
  <c r="R337" i="29"/>
  <c r="R336" i="29"/>
  <c r="R335" i="29"/>
  <c r="R331" i="29"/>
  <c r="R328" i="29"/>
  <c r="R327" i="29"/>
  <c r="R326" i="29"/>
  <c r="R325" i="29"/>
  <c r="R322" i="29"/>
  <c r="R321" i="29"/>
  <c r="R320" i="29"/>
  <c r="R319" i="29"/>
  <c r="R334" i="29"/>
  <c r="R330" i="29"/>
  <c r="R329" i="29"/>
  <c r="R324" i="29"/>
  <c r="R317" i="29"/>
  <c r="R316" i="29"/>
  <c r="R315" i="29"/>
  <c r="R314" i="29"/>
  <c r="R313" i="29"/>
  <c r="R304" i="29"/>
  <c r="R318" i="29"/>
  <c r="R312" i="29"/>
  <c r="R311" i="29"/>
  <c r="R308" i="29"/>
  <c r="R307" i="29"/>
  <c r="R300" i="29"/>
  <c r="R296" i="29"/>
  <c r="R310" i="29"/>
  <c r="R309" i="29"/>
  <c r="R306" i="29"/>
  <c r="R305" i="29"/>
  <c r="R303" i="29"/>
  <c r="R302" i="29"/>
  <c r="R301" i="29"/>
  <c r="R299" i="29"/>
  <c r="R298" i="29"/>
  <c r="R297" i="29"/>
  <c r="R295" i="29"/>
  <c r="R294" i="29"/>
  <c r="R293" i="29"/>
  <c r="R292" i="29"/>
  <c r="R290" i="29"/>
  <c r="R288" i="29"/>
  <c r="R287" i="29"/>
  <c r="R285" i="29"/>
  <c r="R291" i="29"/>
  <c r="R289" i="29"/>
  <c r="R286" i="29"/>
  <c r="R281" i="29"/>
  <c r="R280" i="29"/>
  <c r="R279" i="29"/>
  <c r="R278" i="29"/>
  <c r="R277" i="29"/>
  <c r="R276" i="29"/>
  <c r="R275" i="29"/>
  <c r="R274" i="29"/>
  <c r="R273" i="29"/>
  <c r="R272" i="29"/>
  <c r="R271" i="29"/>
  <c r="R270" i="29"/>
  <c r="R269" i="29"/>
  <c r="R284" i="29"/>
  <c r="R283" i="29"/>
  <c r="R282" i="29"/>
  <c r="R268" i="29"/>
  <c r="R267" i="29"/>
  <c r="R266" i="29"/>
  <c r="R265" i="29"/>
  <c r="R264" i="29"/>
  <c r="R251" i="29"/>
  <c r="R250" i="29"/>
  <c r="R249" i="29"/>
  <c r="R263" i="29"/>
  <c r="R262" i="29"/>
  <c r="R261" i="29"/>
  <c r="R260" i="29"/>
  <c r="R246" i="29"/>
  <c r="R245" i="29"/>
  <c r="R240" i="29"/>
  <c r="R239" i="29"/>
  <c r="R238" i="29"/>
  <c r="R236" i="29"/>
  <c r="R248" i="29"/>
  <c r="R247" i="29"/>
  <c r="R244" i="29"/>
  <c r="R243" i="29"/>
  <c r="R242" i="29"/>
  <c r="R241" i="29"/>
  <c r="R259" i="29"/>
  <c r="R258" i="29"/>
  <c r="R257" i="29"/>
  <c r="R256" i="29"/>
  <c r="R255" i="29"/>
  <c r="R254" i="29"/>
  <c r="R253" i="29"/>
  <c r="R252" i="29"/>
  <c r="R237" i="29"/>
  <c r="R233" i="29"/>
  <c r="R232" i="29"/>
  <c r="R229" i="29"/>
  <c r="R227" i="29"/>
  <c r="R234" i="29"/>
  <c r="R231" i="29"/>
  <c r="R230" i="29"/>
  <c r="R226" i="29"/>
  <c r="R225" i="29"/>
  <c r="R235" i="29"/>
  <c r="R228" i="29"/>
  <c r="R224" i="29"/>
  <c r="R223" i="29"/>
  <c r="R222" i="29"/>
  <c r="R221" i="29"/>
  <c r="R220" i="29"/>
  <c r="R219" i="29"/>
  <c r="R218" i="29"/>
  <c r="R217" i="29"/>
  <c r="R216" i="29"/>
  <c r="R215" i="29"/>
  <c r="R214" i="29"/>
  <c r="R213" i="29"/>
  <c r="R212" i="29"/>
  <c r="R211" i="29"/>
  <c r="R210" i="29"/>
  <c r="R209" i="29"/>
  <c r="R208" i="29"/>
  <c r="R207" i="29"/>
  <c r="R206" i="29"/>
  <c r="R205" i="29"/>
  <c r="R171" i="29"/>
  <c r="R204" i="29"/>
  <c r="R203" i="29"/>
  <c r="R202" i="29"/>
  <c r="R201" i="29"/>
  <c r="R200" i="29"/>
  <c r="R199" i="29"/>
  <c r="R195" i="29"/>
  <c r="R192" i="29"/>
  <c r="R191" i="29"/>
  <c r="R194" i="29"/>
  <c r="R188" i="29"/>
  <c r="R187" i="29"/>
  <c r="R186" i="29"/>
  <c r="R185" i="29"/>
  <c r="R184" i="29"/>
  <c r="R183" i="29"/>
  <c r="R198" i="29"/>
  <c r="R197" i="29"/>
  <c r="R196" i="29"/>
  <c r="R193" i="29"/>
  <c r="R189" i="29"/>
  <c r="R182" i="29"/>
  <c r="R180" i="29"/>
  <c r="R190" i="29"/>
  <c r="R177" i="29"/>
  <c r="R176" i="29"/>
  <c r="R174" i="29"/>
  <c r="R172" i="29"/>
  <c r="R167" i="29"/>
  <c r="R181" i="29"/>
  <c r="R179" i="29"/>
  <c r="R178" i="29"/>
  <c r="R163" i="29"/>
  <c r="R162" i="29"/>
  <c r="R161" i="29"/>
  <c r="R175" i="29"/>
  <c r="R173" i="29"/>
  <c r="R170" i="29"/>
  <c r="R169" i="29"/>
  <c r="R168" i="29"/>
  <c r="R139" i="29"/>
  <c r="R157" i="29"/>
  <c r="R154" i="29"/>
  <c r="R153" i="29"/>
  <c r="R152" i="29"/>
  <c r="R151" i="29"/>
  <c r="R150" i="29"/>
  <c r="R149" i="29"/>
  <c r="R148" i="29"/>
  <c r="R147" i="29"/>
  <c r="R146" i="29"/>
  <c r="R75" i="29"/>
  <c r="R156" i="29"/>
  <c r="R155" i="29"/>
  <c r="R160" i="29"/>
  <c r="R159" i="29"/>
  <c r="R158" i="29"/>
  <c r="R166" i="29"/>
  <c r="R165" i="29"/>
  <c r="R164" i="29"/>
  <c r="R145" i="29"/>
  <c r="R144" i="29"/>
  <c r="R143" i="29"/>
  <c r="R142" i="29"/>
  <c r="R138" i="29"/>
  <c r="R137" i="29"/>
  <c r="R125" i="29"/>
  <c r="R124" i="29"/>
  <c r="R141" i="29"/>
  <c r="R140" i="29"/>
  <c r="R132" i="29"/>
  <c r="R123" i="29"/>
  <c r="R122" i="29"/>
  <c r="R121" i="29"/>
  <c r="R120" i="29"/>
  <c r="R119" i="29"/>
  <c r="R118" i="29"/>
  <c r="R136" i="29"/>
  <c r="R135" i="29"/>
  <c r="R134" i="29"/>
  <c r="R133" i="29"/>
  <c r="R131" i="29"/>
  <c r="R130" i="29"/>
  <c r="R129" i="29"/>
  <c r="R128" i="29"/>
  <c r="R127" i="29"/>
  <c r="R126" i="29"/>
  <c r="R115" i="29"/>
  <c r="R114" i="29"/>
  <c r="R113" i="29"/>
  <c r="R112" i="29"/>
  <c r="R111" i="29"/>
  <c r="R110" i="29"/>
  <c r="R109" i="29"/>
  <c r="R100" i="29"/>
  <c r="R117" i="29"/>
  <c r="R116" i="29"/>
  <c r="R108" i="29"/>
  <c r="R107" i="29"/>
  <c r="R106" i="29"/>
  <c r="R105" i="29"/>
  <c r="R104" i="29"/>
  <c r="R103" i="29"/>
  <c r="R102" i="29"/>
  <c r="R101" i="29"/>
  <c r="R99" i="29"/>
  <c r="R93" i="29"/>
  <c r="R89" i="29"/>
  <c r="R88" i="29"/>
  <c r="R87" i="29"/>
  <c r="R86" i="29"/>
  <c r="R85" i="29"/>
  <c r="R81" i="29"/>
  <c r="R80" i="29"/>
  <c r="R76" i="29"/>
  <c r="R69" i="29"/>
  <c r="R68" i="29"/>
  <c r="R67" i="29"/>
  <c r="R66" i="29"/>
  <c r="R65" i="29"/>
  <c r="R64" i="29"/>
  <c r="R58" i="29"/>
  <c r="R57" i="29"/>
  <c r="R92" i="29"/>
  <c r="R91" i="29"/>
  <c r="R90" i="29"/>
  <c r="R84" i="29"/>
  <c r="R83" i="29"/>
  <c r="R82" i="29"/>
  <c r="R79" i="29"/>
  <c r="R78" i="29"/>
  <c r="R77" i="29"/>
  <c r="R74" i="29"/>
  <c r="R73" i="29"/>
  <c r="R72" i="29"/>
  <c r="R71" i="29"/>
  <c r="R70" i="29"/>
  <c r="R98" i="29"/>
  <c r="R97" i="29"/>
  <c r="R96" i="29"/>
  <c r="R95" i="29"/>
  <c r="R94" i="29"/>
  <c r="R60" i="29"/>
  <c r="R63" i="29"/>
  <c r="R62" i="29"/>
  <c r="R61" i="29"/>
  <c r="R56" i="29"/>
  <c r="R55" i="29"/>
  <c r="R47" i="29"/>
  <c r="R46" i="29"/>
  <c r="R45" i="29"/>
  <c r="R44" i="29"/>
  <c r="R43" i="29"/>
  <c r="R42" i="29"/>
  <c r="R41" i="29"/>
  <c r="R40" i="29"/>
  <c r="R39" i="29"/>
  <c r="R38" i="29"/>
  <c r="R31" i="29"/>
  <c r="R30" i="29"/>
  <c r="R29" i="29"/>
  <c r="R59" i="29"/>
  <c r="R54" i="29"/>
  <c r="R53" i="29"/>
  <c r="R52" i="29"/>
  <c r="R51" i="29"/>
  <c r="R49" i="29"/>
  <c r="R37" i="29"/>
  <c r="R36" i="29"/>
  <c r="R35" i="29"/>
  <c r="R34" i="29"/>
  <c r="R28" i="29"/>
  <c r="R27" i="29"/>
  <c r="R26" i="29"/>
  <c r="R50" i="29"/>
  <c r="R48" i="29"/>
  <c r="R33" i="29"/>
  <c r="R32" i="29"/>
  <c r="R25" i="29"/>
  <c r="R24" i="29"/>
  <c r="R23" i="29"/>
  <c r="R22" i="29"/>
  <c r="R20" i="29"/>
  <c r="R19" i="29"/>
  <c r="R18" i="29"/>
  <c r="R16" i="29"/>
  <c r="R21" i="29"/>
  <c r="R12" i="29"/>
  <c r="R11" i="29"/>
  <c r="R10" i="29"/>
  <c r="R9" i="29"/>
  <c r="R8" i="29"/>
  <c r="R17" i="29"/>
  <c r="R15" i="29"/>
  <c r="R14" i="29"/>
  <c r="R13" i="29"/>
  <c r="S11025" i="29"/>
  <c r="S10905" i="29"/>
  <c r="S10904" i="29"/>
  <c r="S10903" i="29"/>
  <c r="S10902" i="29"/>
  <c r="S10901" i="29"/>
  <c r="S10900" i="29"/>
  <c r="S10899" i="29"/>
  <c r="S10898" i="29"/>
  <c r="S10897" i="29"/>
  <c r="S10896" i="29"/>
  <c r="S10895" i="29"/>
  <c r="S10894" i="29"/>
  <c r="S10893" i="29"/>
  <c r="S10892" i="29"/>
  <c r="S10891" i="29"/>
  <c r="S10890" i="29"/>
  <c r="S10960" i="29"/>
  <c r="S10959" i="29"/>
  <c r="S10958" i="29"/>
  <c r="S10957" i="29"/>
  <c r="S10956" i="29"/>
  <c r="S10955" i="29"/>
  <c r="S10954" i="29"/>
  <c r="S10953" i="29"/>
  <c r="S10952" i="29"/>
  <c r="S10951" i="29"/>
  <c r="S10950" i="29"/>
  <c r="S10949" i="29"/>
  <c r="S10948" i="29"/>
  <c r="S10947" i="29"/>
  <c r="S10946" i="29"/>
  <c r="S10945" i="29"/>
  <c r="S10944" i="29"/>
  <c r="S10943" i="29"/>
  <c r="S10942" i="29"/>
  <c r="S11024" i="29"/>
  <c r="S11023" i="29"/>
  <c r="S11022" i="29"/>
  <c r="S11021" i="29"/>
  <c r="S11020" i="29"/>
  <c r="S11019" i="29"/>
  <c r="S11018" i="29"/>
  <c r="S11017" i="29"/>
  <c r="S11016" i="29"/>
  <c r="S11015" i="29"/>
  <c r="S11014" i="29"/>
  <c r="S11013" i="29"/>
  <c r="S10872" i="29"/>
  <c r="S10871" i="29"/>
  <c r="S11012" i="29"/>
  <c r="S11011" i="29"/>
  <c r="S11010" i="29"/>
  <c r="S11009" i="29"/>
  <c r="S11008" i="29"/>
  <c r="S11007" i="29"/>
  <c r="S11006" i="29"/>
  <c r="S11005" i="29"/>
  <c r="S11004" i="29"/>
  <c r="S11003" i="29"/>
  <c r="S11002" i="29"/>
  <c r="S11001" i="29"/>
  <c r="S11000" i="29"/>
  <c r="S10999" i="29"/>
  <c r="S10998" i="29"/>
  <c r="S10997" i="29"/>
  <c r="S10889" i="29"/>
  <c r="S10888" i="29"/>
  <c r="S10887" i="29"/>
  <c r="S10886" i="29"/>
  <c r="S10885" i="29"/>
  <c r="S10884" i="29"/>
  <c r="S10883" i="29"/>
  <c r="S10882" i="29"/>
  <c r="S10941" i="29"/>
  <c r="S10940" i="29"/>
  <c r="S10939" i="29"/>
  <c r="S10938" i="29"/>
  <c r="S10937" i="29"/>
  <c r="S10936" i="29"/>
  <c r="S10935" i="29"/>
  <c r="S10934" i="29"/>
  <c r="S10933" i="29"/>
  <c r="S10932" i="29"/>
  <c r="S10931" i="29"/>
  <c r="S10930" i="29"/>
  <c r="S10929" i="29"/>
  <c r="S10928" i="29"/>
  <c r="S10927" i="29"/>
  <c r="S10926" i="29"/>
  <c r="S10925" i="29"/>
  <c r="S10924" i="29"/>
  <c r="S10923" i="29"/>
  <c r="S10922" i="29"/>
  <c r="S10921" i="29"/>
  <c r="S10996" i="29"/>
  <c r="S10995" i="29"/>
  <c r="S10994" i="29"/>
  <c r="S10993" i="29"/>
  <c r="S10992" i="29"/>
  <c r="S10991" i="29"/>
  <c r="S10990" i="29"/>
  <c r="S10989" i="29"/>
  <c r="S10988" i="29"/>
  <c r="S10987" i="29"/>
  <c r="S10986" i="29"/>
  <c r="S10985" i="29"/>
  <c r="S10984" i="29"/>
  <c r="S10983" i="29"/>
  <c r="S10982" i="29"/>
  <c r="S11111" i="29"/>
  <c r="S11110" i="29"/>
  <c r="S11099" i="29"/>
  <c r="S11109" i="29"/>
  <c r="S11108" i="29"/>
  <c r="S11107" i="29"/>
  <c r="S11106" i="29"/>
  <c r="S11105" i="29"/>
  <c r="S11104" i="29"/>
  <c r="S11103" i="29"/>
  <c r="S11102" i="29"/>
  <c r="S11101" i="29"/>
  <c r="S11100" i="29"/>
  <c r="S11098" i="29"/>
  <c r="S11097" i="29"/>
  <c r="S11096" i="29"/>
  <c r="S11095" i="29"/>
  <c r="S11094" i="29"/>
  <c r="S11093" i="29"/>
  <c r="S11092" i="29"/>
  <c r="S11091" i="29"/>
  <c r="S11090" i="29"/>
  <c r="S11089" i="29"/>
  <c r="S11088" i="29"/>
  <c r="S11087" i="29"/>
  <c r="S11086" i="29"/>
  <c r="S11085" i="29"/>
  <c r="S10881" i="29"/>
  <c r="S10880" i="29"/>
  <c r="S10879" i="29"/>
  <c r="S10878" i="29"/>
  <c r="S10877" i="29"/>
  <c r="S10876" i="29"/>
  <c r="S10875" i="29"/>
  <c r="S10874" i="29"/>
  <c r="S10859" i="29"/>
  <c r="S10858" i="29"/>
  <c r="S10870" i="29"/>
  <c r="S10869" i="29"/>
  <c r="S10868" i="29"/>
  <c r="S10867" i="29"/>
  <c r="S10866" i="29"/>
  <c r="S10865" i="29"/>
  <c r="S10864" i="29"/>
  <c r="S10863" i="29"/>
  <c r="S11084" i="29"/>
  <c r="S11083" i="29"/>
  <c r="S11082" i="29"/>
  <c r="S11081" i="29"/>
  <c r="S11080" i="29"/>
  <c r="S11079" i="29"/>
  <c r="S11078" i="29"/>
  <c r="S11077" i="29"/>
  <c r="S11076" i="29"/>
  <c r="S11075" i="29"/>
  <c r="S11074" i="29"/>
  <c r="S11073" i="29"/>
  <c r="S11072" i="29"/>
  <c r="S11071" i="29"/>
  <c r="S11070" i="29"/>
  <c r="S11069" i="29"/>
  <c r="S11068" i="29"/>
  <c r="S11067" i="29"/>
  <c r="S11066" i="29"/>
  <c r="S11065" i="29"/>
  <c r="S10861" i="29"/>
  <c r="S10860" i="29"/>
  <c r="S10920" i="29"/>
  <c r="S10919" i="29"/>
  <c r="S10918" i="29"/>
  <c r="S10917" i="29"/>
  <c r="S10916" i="29"/>
  <c r="S10915" i="29"/>
  <c r="S10914" i="29"/>
  <c r="S10913" i="29"/>
  <c r="S10912" i="29"/>
  <c r="S10911" i="29"/>
  <c r="S10910" i="29"/>
  <c r="S10909" i="29"/>
  <c r="S10908" i="29"/>
  <c r="S10907" i="29"/>
  <c r="S10906" i="29"/>
  <c r="S11064" i="29"/>
  <c r="S11063" i="29"/>
  <c r="S11062" i="29"/>
  <c r="S11061" i="29"/>
  <c r="S11060" i="29"/>
  <c r="S11059" i="29"/>
  <c r="S11058" i="29"/>
  <c r="S11057" i="29"/>
  <c r="S11056" i="29"/>
  <c r="S11055" i="29"/>
  <c r="S11054" i="29"/>
  <c r="S11053" i="29"/>
  <c r="S11052" i="29"/>
  <c r="S11051" i="29"/>
  <c r="S11050" i="29"/>
  <c r="S11049" i="29"/>
  <c r="S11048" i="29"/>
  <c r="S11047" i="29"/>
  <c r="S10981" i="29"/>
  <c r="S10980" i="29"/>
  <c r="S10979" i="29"/>
  <c r="S10978" i="29"/>
  <c r="S10977" i="29"/>
  <c r="S10976" i="29"/>
  <c r="S10975" i="29"/>
  <c r="S10974" i="29"/>
  <c r="S10973" i="29"/>
  <c r="S10972" i="29"/>
  <c r="S10971" i="29"/>
  <c r="S10970" i="29"/>
  <c r="S10969" i="29"/>
  <c r="S10967" i="29"/>
  <c r="S10966" i="29"/>
  <c r="S10965" i="29"/>
  <c r="S10964" i="29"/>
  <c r="S10963" i="29"/>
  <c r="S10962" i="29"/>
  <c r="S10961" i="29"/>
  <c r="S11046" i="29"/>
  <c r="S11045" i="29"/>
  <c r="S11044" i="29"/>
  <c r="S11043" i="29"/>
  <c r="S11042" i="29"/>
  <c r="S11041" i="29"/>
  <c r="S11040" i="29"/>
  <c r="S11039" i="29"/>
  <c r="S11038" i="29"/>
  <c r="S11037" i="29"/>
  <c r="S11036" i="29"/>
  <c r="S11035" i="29"/>
  <c r="S11033" i="29"/>
  <c r="S11032" i="29"/>
  <c r="S11031" i="29"/>
  <c r="S11030" i="29"/>
  <c r="S11029" i="29"/>
  <c r="S11028" i="29"/>
  <c r="S11027" i="29"/>
  <c r="S11026" i="29"/>
  <c r="S10817" i="29"/>
  <c r="S10873" i="29"/>
  <c r="S10862" i="29"/>
  <c r="S10857" i="29"/>
  <c r="S10856" i="29"/>
  <c r="S654" i="29"/>
  <c r="S10855" i="29"/>
  <c r="S10854" i="29"/>
  <c r="S10853" i="29"/>
  <c r="S10852" i="29"/>
  <c r="S10851" i="29"/>
  <c r="S10850" i="29"/>
  <c r="S10847" i="29"/>
  <c r="S10846" i="29"/>
  <c r="S10845" i="29"/>
  <c r="S10844" i="29"/>
  <c r="S10842" i="29"/>
  <c r="S10841" i="29"/>
  <c r="S10840" i="29"/>
  <c r="S10839" i="29"/>
  <c r="S10838" i="29"/>
  <c r="S10837" i="29"/>
  <c r="S10836" i="29"/>
  <c r="S10835" i="29"/>
  <c r="S10834" i="29"/>
  <c r="S10833" i="29"/>
  <c r="S10832" i="29"/>
  <c r="S10831" i="29"/>
  <c r="S10781" i="29"/>
  <c r="S10848" i="29"/>
  <c r="S10830" i="29"/>
  <c r="S10829" i="29"/>
  <c r="S10638" i="29"/>
  <c r="S10828" i="29"/>
  <c r="S10827" i="29"/>
  <c r="S10826" i="29"/>
  <c r="S10825" i="29"/>
  <c r="S10824" i="29"/>
  <c r="S10820" i="29"/>
  <c r="S10823" i="29"/>
  <c r="S10822" i="29"/>
  <c r="S10815" i="29"/>
  <c r="S10821" i="29"/>
  <c r="S10816" i="29"/>
  <c r="S10819" i="29"/>
  <c r="S10818" i="29"/>
  <c r="S10814" i="29"/>
  <c r="S10813" i="29"/>
  <c r="S10812" i="29"/>
  <c r="S10811" i="29"/>
  <c r="S10810" i="29"/>
  <c r="S10809" i="29"/>
  <c r="S10808" i="29"/>
  <c r="S10807" i="29"/>
  <c r="S10806" i="29"/>
  <c r="S10805" i="29"/>
  <c r="S10804" i="29"/>
  <c r="S10803" i="29"/>
  <c r="S10802" i="29"/>
  <c r="S10801" i="29"/>
  <c r="S10800" i="29"/>
  <c r="S10799" i="29"/>
  <c r="S10798" i="29"/>
  <c r="S10797" i="29"/>
  <c r="S10796" i="29"/>
  <c r="S10793" i="29"/>
  <c r="S10795" i="29"/>
  <c r="S10794" i="29"/>
  <c r="S10792" i="29"/>
  <c r="S10791" i="29"/>
  <c r="S10790" i="29"/>
  <c r="S10789" i="29"/>
  <c r="S10788" i="29"/>
  <c r="S10787" i="29"/>
  <c r="S10786" i="29"/>
  <c r="S10785" i="29"/>
  <c r="S10784" i="29"/>
  <c r="S10783" i="29"/>
  <c r="S10779" i="29"/>
  <c r="S10782" i="29"/>
  <c r="S10780" i="29"/>
  <c r="S10778" i="29"/>
  <c r="S10777" i="29"/>
  <c r="S10776" i="29"/>
  <c r="S10775" i="29"/>
  <c r="S10774" i="29"/>
  <c r="S10773" i="29"/>
  <c r="S10772" i="29"/>
  <c r="S10771" i="29"/>
  <c r="S10770" i="29"/>
  <c r="S10763" i="29"/>
  <c r="S10769" i="29"/>
  <c r="S10768" i="29"/>
  <c r="S10762" i="29"/>
  <c r="S10761" i="29"/>
  <c r="S10760" i="29"/>
  <c r="S10767" i="29"/>
  <c r="S10766" i="29"/>
  <c r="S10765" i="29"/>
  <c r="S10764" i="29"/>
  <c r="S10759" i="29"/>
  <c r="S10757" i="29"/>
  <c r="S10758" i="29"/>
  <c r="S10756" i="29"/>
  <c r="S10755" i="29"/>
  <c r="S10754" i="29"/>
  <c r="S10753" i="29"/>
  <c r="S10752" i="29"/>
  <c r="S10751" i="29"/>
  <c r="S10750" i="29"/>
  <c r="S10749" i="29"/>
  <c r="S10748" i="29"/>
  <c r="S10747" i="29"/>
  <c r="S10746" i="29"/>
  <c r="S10745" i="29"/>
  <c r="S10744" i="29"/>
  <c r="S10743" i="29"/>
  <c r="S10742" i="29"/>
  <c r="S10741" i="29"/>
  <c r="S10740" i="29"/>
  <c r="S10739" i="29"/>
  <c r="S10738" i="29"/>
  <c r="S10737" i="29"/>
  <c r="S10736" i="29"/>
  <c r="S10735" i="29"/>
  <c r="S10734" i="29"/>
  <c r="S10729" i="29"/>
  <c r="S10733" i="29"/>
  <c r="S10732" i="29"/>
  <c r="S10731" i="29"/>
  <c r="S10730" i="29"/>
  <c r="S10728" i="29"/>
  <c r="S10727" i="29"/>
  <c r="S10726" i="29"/>
  <c r="S10725" i="29"/>
  <c r="S10724" i="29"/>
  <c r="S10723" i="29"/>
  <c r="S10722" i="29"/>
  <c r="S10721" i="29"/>
  <c r="S10720" i="29"/>
  <c r="S10719" i="29"/>
  <c r="S10718" i="29"/>
  <c r="S10717" i="29"/>
  <c r="S10716" i="29"/>
  <c r="S10715" i="29"/>
  <c r="S10714" i="29"/>
  <c r="S10713" i="29"/>
  <c r="S10712" i="29"/>
  <c r="S10711" i="29"/>
  <c r="S10710" i="29"/>
  <c r="S10709" i="29"/>
  <c r="S10708" i="29"/>
  <c r="S10707" i="29"/>
  <c r="S10706" i="29"/>
  <c r="S10705" i="29"/>
  <c r="S10704" i="29"/>
  <c r="S10703" i="29"/>
  <c r="S10702" i="29"/>
  <c r="S10701" i="29"/>
  <c r="S10689" i="29"/>
  <c r="S10700" i="29"/>
  <c r="S10699" i="29"/>
  <c r="S10698" i="29"/>
  <c r="S10697" i="29"/>
  <c r="S10696" i="29"/>
  <c r="S10695" i="29"/>
  <c r="S10694" i="29"/>
  <c r="S10693" i="29"/>
  <c r="S10692" i="29"/>
  <c r="S10691" i="29"/>
  <c r="S10690" i="29"/>
  <c r="S10688" i="29"/>
  <c r="S10684" i="29"/>
  <c r="S10681" i="29"/>
  <c r="S10685" i="29"/>
  <c r="S10686" i="29"/>
  <c r="S10680" i="29"/>
  <c r="S10682" i="29"/>
  <c r="S10683" i="29"/>
  <c r="S10687" i="29"/>
  <c r="S10679" i="29"/>
  <c r="S10678" i="29"/>
  <c r="S10677" i="29"/>
  <c r="S10676" i="29"/>
  <c r="S10667" i="29"/>
  <c r="S10666" i="29"/>
  <c r="S10675" i="29"/>
  <c r="S10674" i="29"/>
  <c r="S10673" i="29"/>
  <c r="S10672" i="29"/>
  <c r="S10671" i="29"/>
  <c r="S10670" i="29"/>
  <c r="S10669" i="29"/>
  <c r="S10668" i="29"/>
  <c r="S10665" i="29"/>
  <c r="S10664" i="29"/>
  <c r="S10663" i="29"/>
  <c r="S10661" i="29"/>
  <c r="S10659" i="29"/>
  <c r="S10658" i="29"/>
  <c r="S10662" i="29"/>
  <c r="S10660" i="29"/>
  <c r="S10657" i="29"/>
  <c r="S10656" i="29"/>
  <c r="S10655" i="29"/>
  <c r="S10654" i="29"/>
  <c r="S10653" i="29"/>
  <c r="S10649" i="29"/>
  <c r="S10652" i="29"/>
  <c r="S10651" i="29"/>
  <c r="S10648" i="29"/>
  <c r="S10646" i="29"/>
  <c r="S10647" i="29"/>
  <c r="S10645" i="29"/>
  <c r="S10644" i="29"/>
  <c r="S10641" i="29"/>
  <c r="S10643" i="29"/>
  <c r="S10642" i="29"/>
  <c r="S10640" i="29"/>
  <c r="S10639" i="29"/>
  <c r="S10636" i="29"/>
  <c r="S10637" i="29"/>
  <c r="S10635" i="29"/>
  <c r="S10634" i="29"/>
  <c r="S10633" i="29"/>
  <c r="S10632" i="29"/>
  <c r="S10631" i="29"/>
  <c r="S10630" i="29"/>
  <c r="S10629" i="29"/>
  <c r="S10628" i="29"/>
  <c r="S10627" i="29"/>
  <c r="S10626" i="29"/>
  <c r="S10625" i="29"/>
  <c r="S10624" i="29"/>
  <c r="S10623" i="29"/>
  <c r="S10622" i="29"/>
  <c r="S10621" i="29"/>
  <c r="S10620" i="29"/>
  <c r="S10617" i="29"/>
  <c r="S10616" i="29"/>
  <c r="S10615" i="29"/>
  <c r="S10614" i="29"/>
  <c r="S10613" i="29"/>
  <c r="S10619" i="29"/>
  <c r="S10618" i="29"/>
  <c r="S10612" i="29"/>
  <c r="S10611" i="29"/>
  <c r="S10610" i="29"/>
  <c r="S10609" i="29"/>
  <c r="S10608" i="29"/>
  <c r="S10607" i="29"/>
  <c r="S10606" i="29"/>
  <c r="S10605" i="29"/>
  <c r="S10602" i="29"/>
  <c r="S10601" i="29"/>
  <c r="S10604" i="29"/>
  <c r="S10603" i="29"/>
  <c r="S10600" i="29"/>
  <c r="S10598" i="29"/>
  <c r="S10599" i="29"/>
  <c r="S10596" i="29"/>
  <c r="S10595" i="29"/>
  <c r="S10594" i="29"/>
  <c r="S10650" i="29"/>
  <c r="S10593" i="29"/>
  <c r="S10597" i="29"/>
  <c r="S10592" i="29"/>
  <c r="S10583" i="29"/>
  <c r="S10591" i="29"/>
  <c r="S10590" i="29"/>
  <c r="S10589" i="29"/>
  <c r="S10588" i="29"/>
  <c r="S10587" i="29"/>
  <c r="S10586" i="29"/>
  <c r="S10585" i="29"/>
  <c r="S10584" i="29"/>
  <c r="S10582" i="29"/>
  <c r="S10579" i="29"/>
  <c r="S10578" i="29"/>
  <c r="S10577" i="29"/>
  <c r="S10576" i="29"/>
  <c r="S10575" i="29"/>
  <c r="S10574" i="29"/>
  <c r="S10573" i="29"/>
  <c r="S10580" i="29"/>
  <c r="S10581" i="29"/>
  <c r="S10572" i="29"/>
  <c r="S10571" i="29"/>
  <c r="S10567" i="29"/>
  <c r="S10566" i="29"/>
  <c r="S10568" i="29"/>
  <c r="S10570" i="29"/>
  <c r="S10569" i="29"/>
  <c r="S10565" i="29"/>
  <c r="S10564" i="29"/>
  <c r="S10563" i="29"/>
  <c r="S10562" i="29"/>
  <c r="S10559" i="29"/>
  <c r="S10558" i="29"/>
  <c r="S10557" i="29"/>
  <c r="S10555" i="29"/>
  <c r="S10554" i="29"/>
  <c r="S10552" i="29"/>
  <c r="S10561" i="29"/>
  <c r="S10560" i="29"/>
  <c r="S10556" i="29"/>
  <c r="S10553" i="29"/>
  <c r="S10551" i="29"/>
  <c r="S10550" i="29"/>
  <c r="S10549" i="29"/>
  <c r="S10548" i="29"/>
  <c r="S10547" i="29"/>
  <c r="S10545" i="29"/>
  <c r="S10544" i="29"/>
  <c r="S10543" i="29"/>
  <c r="S10546" i="29"/>
  <c r="S10542" i="29"/>
  <c r="S10541" i="29"/>
  <c r="S10540" i="29"/>
  <c r="S10539" i="29"/>
  <c r="S10538" i="29"/>
  <c r="S10537" i="29"/>
  <c r="S10536" i="29"/>
  <c r="S10535" i="29"/>
  <c r="S10534" i="29"/>
  <c r="S10532" i="29"/>
  <c r="S10531" i="29"/>
  <c r="S10526" i="29"/>
  <c r="S10533" i="29"/>
  <c r="S10530" i="29"/>
  <c r="S10529" i="29"/>
  <c r="S10528" i="29"/>
  <c r="S10524" i="29"/>
  <c r="S10527" i="29"/>
  <c r="S10525" i="29"/>
  <c r="S10523" i="29"/>
  <c r="S10522" i="29"/>
  <c r="S10521" i="29"/>
  <c r="S10520" i="29"/>
  <c r="S10519" i="29"/>
  <c r="S10518" i="29"/>
  <c r="S10517" i="29"/>
  <c r="S10516" i="29"/>
  <c r="S10515" i="29"/>
  <c r="S10514" i="29"/>
  <c r="S10513" i="29"/>
  <c r="S10512" i="29"/>
  <c r="S10511" i="29"/>
  <c r="S10509" i="29"/>
  <c r="S10510" i="29"/>
  <c r="S10508" i="29"/>
  <c r="S10506" i="29"/>
  <c r="S10507" i="29"/>
  <c r="S10498" i="29"/>
  <c r="S10497" i="29"/>
  <c r="S10505" i="29"/>
  <c r="S10504" i="29"/>
  <c r="S10503" i="29"/>
  <c r="S10502" i="29"/>
  <c r="S10501" i="29"/>
  <c r="S10500" i="29"/>
  <c r="S10499" i="29"/>
  <c r="S10496" i="29"/>
  <c r="S10495" i="29"/>
  <c r="S10494" i="29"/>
  <c r="S10493" i="29"/>
  <c r="S10492" i="29"/>
  <c r="S10491" i="29"/>
  <c r="S10360" i="29"/>
  <c r="S10486" i="29"/>
  <c r="S10483" i="29"/>
  <c r="S10489" i="29"/>
  <c r="S10490" i="29"/>
  <c r="S10488" i="29"/>
  <c r="S10487" i="29"/>
  <c r="S10485" i="29"/>
  <c r="S10484" i="29"/>
  <c r="S10481" i="29"/>
  <c r="S10482" i="29"/>
  <c r="S10480" i="29"/>
  <c r="S10478" i="29"/>
  <c r="S10416" i="29"/>
  <c r="S10477" i="29"/>
  <c r="S10479" i="29"/>
  <c r="S10475" i="29"/>
  <c r="S10474" i="29"/>
  <c r="S10473" i="29"/>
  <c r="S10472" i="29"/>
  <c r="S10471" i="29"/>
  <c r="S10469" i="29"/>
  <c r="S10468" i="29"/>
  <c r="S10467" i="29"/>
  <c r="S10466" i="29"/>
  <c r="S10465" i="29"/>
  <c r="S10464" i="29"/>
  <c r="S10463" i="29"/>
  <c r="S10462" i="29"/>
  <c r="S10458" i="29"/>
  <c r="S10461" i="29"/>
  <c r="S10460" i="29"/>
  <c r="S10459" i="29"/>
  <c r="S10457" i="29"/>
  <c r="S10454" i="29"/>
  <c r="S10455" i="29"/>
  <c r="S10456" i="29"/>
  <c r="S10445" i="29"/>
  <c r="S10453" i="29"/>
  <c r="S10452" i="29"/>
  <c r="S10451" i="29"/>
  <c r="S10450" i="29"/>
  <c r="S10449" i="29"/>
  <c r="S10448" i="29"/>
  <c r="S10447" i="29"/>
  <c r="S10446" i="29"/>
  <c r="S10444" i="29"/>
  <c r="S10443" i="29"/>
  <c r="S10442" i="29"/>
  <c r="S10441" i="29"/>
  <c r="S10440" i="29"/>
  <c r="S10439" i="29"/>
  <c r="S10438" i="29"/>
  <c r="S10437" i="29"/>
  <c r="S10436" i="29"/>
  <c r="S10427" i="29"/>
  <c r="S10435" i="29"/>
  <c r="S10434" i="29"/>
  <c r="S10433" i="29"/>
  <c r="S10432" i="29"/>
  <c r="S10431" i="29"/>
  <c r="S10430" i="29"/>
  <c r="S10429" i="29"/>
  <c r="S10428" i="29"/>
  <c r="S10426" i="29"/>
  <c r="S10425" i="29"/>
  <c r="S10423" i="29"/>
  <c r="S10422" i="29"/>
  <c r="S10421" i="29"/>
  <c r="S10420" i="29"/>
  <c r="S10419" i="29"/>
  <c r="S10418" i="29"/>
  <c r="S10424" i="29"/>
  <c r="S10417" i="29"/>
  <c r="S10415" i="29"/>
  <c r="S10414" i="29"/>
  <c r="S10413" i="29"/>
  <c r="S10406" i="29"/>
  <c r="S10412" i="29"/>
  <c r="S10411" i="29"/>
  <c r="S10410" i="29"/>
  <c r="S10409" i="29"/>
  <c r="S10401" i="29"/>
  <c r="S10400" i="29"/>
  <c r="S10399" i="29"/>
  <c r="S10408" i="29"/>
  <c r="S10398" i="29"/>
  <c r="S10407" i="29"/>
  <c r="S10405" i="29"/>
  <c r="S10404" i="29"/>
  <c r="S10403" i="29"/>
  <c r="S10402" i="29"/>
  <c r="S10397" i="29"/>
  <c r="S10396" i="29"/>
  <c r="S10395" i="29"/>
  <c r="S10359" i="29"/>
  <c r="S10394" i="29"/>
  <c r="S10393" i="29"/>
  <c r="S10392" i="29"/>
  <c r="S10391" i="29"/>
  <c r="S10390" i="29"/>
  <c r="S10389" i="29"/>
  <c r="S10388" i="29"/>
  <c r="S10387" i="29"/>
  <c r="S10386" i="29"/>
  <c r="S10385" i="29"/>
  <c r="S10384" i="29"/>
  <c r="S10383" i="29"/>
  <c r="S10376" i="29"/>
  <c r="S10375" i="29"/>
  <c r="S10374" i="29"/>
  <c r="S10382" i="29"/>
  <c r="S10381" i="29"/>
  <c r="S10380" i="29"/>
  <c r="S10379" i="29"/>
  <c r="S10378" i="29"/>
  <c r="S10377" i="29"/>
  <c r="S10373" i="29"/>
  <c r="S10372" i="29"/>
  <c r="S10371" i="29"/>
  <c r="S10370" i="29"/>
  <c r="S10361" i="29"/>
  <c r="S10358" i="29"/>
  <c r="S10369" i="29"/>
  <c r="S10365" i="29"/>
  <c r="S10364" i="29"/>
  <c r="S10363" i="29"/>
  <c r="S10362" i="29"/>
  <c r="S10368" i="29"/>
  <c r="S10367" i="29"/>
  <c r="S10366" i="29"/>
  <c r="S10356" i="29"/>
  <c r="S10355" i="29"/>
  <c r="S10354" i="29"/>
  <c r="S10353" i="29"/>
  <c r="S10352" i="29"/>
  <c r="S10350" i="29"/>
  <c r="S10349" i="29"/>
  <c r="S10348" i="29"/>
  <c r="S10351" i="29"/>
  <c r="S10347" i="29"/>
  <c r="S10346" i="29"/>
  <c r="S10345" i="29"/>
  <c r="S10344" i="29"/>
  <c r="S10343" i="29"/>
  <c r="S10342" i="29"/>
  <c r="S10337" i="29"/>
  <c r="S10336" i="29"/>
  <c r="S10332" i="29"/>
  <c r="S10331" i="29"/>
  <c r="S10328" i="29"/>
  <c r="S10327" i="29"/>
  <c r="S10326" i="29"/>
  <c r="S10325" i="29"/>
  <c r="S10324" i="29"/>
  <c r="S10339" i="29"/>
  <c r="S10357" i="29"/>
  <c r="S10340" i="29"/>
  <c r="S10333" i="29"/>
  <c r="S10329" i="29"/>
  <c r="S10338" i="29"/>
  <c r="S10341" i="29"/>
  <c r="S10334" i="29"/>
  <c r="S10335" i="29"/>
  <c r="S10330" i="29"/>
  <c r="S10319" i="29"/>
  <c r="S10318" i="29"/>
  <c r="S10323" i="29"/>
  <c r="S10322" i="29"/>
  <c r="S10321" i="29"/>
  <c r="S10320" i="29"/>
  <c r="S10314" i="29"/>
  <c r="S10313" i="29"/>
  <c r="S10312" i="29"/>
  <c r="S10317" i="29"/>
  <c r="S10316" i="29"/>
  <c r="S10315" i="29"/>
  <c r="S10309" i="29"/>
  <c r="S10311" i="29"/>
  <c r="S10310" i="29"/>
  <c r="S10308" i="29"/>
  <c r="S10307" i="29"/>
  <c r="S10305" i="29"/>
  <c r="S10304" i="29"/>
  <c r="S10303" i="29"/>
  <c r="S10302" i="29"/>
  <c r="S10301" i="29"/>
  <c r="S10300" i="29"/>
  <c r="S10296" i="29"/>
  <c r="S10299" i="29"/>
  <c r="S10298" i="29"/>
  <c r="S10297" i="29"/>
  <c r="S10293" i="29"/>
  <c r="S10292" i="29"/>
  <c r="S10290" i="29"/>
  <c r="S10289" i="29"/>
  <c r="S10288" i="29"/>
  <c r="S10287" i="29"/>
  <c r="S10277" i="29"/>
  <c r="S10294" i="29"/>
  <c r="S10291" i="29"/>
  <c r="S10286" i="29"/>
  <c r="S10295" i="29"/>
  <c r="S10285" i="29"/>
  <c r="S10284" i="29"/>
  <c r="S10283" i="29"/>
  <c r="S10282" i="29"/>
  <c r="S10281" i="29"/>
  <c r="S10280" i="29"/>
  <c r="S10279" i="29"/>
  <c r="S10278" i="29"/>
  <c r="S10849" i="29"/>
  <c r="S11034" i="29"/>
  <c r="S10843" i="29"/>
  <c r="S10306" i="29"/>
  <c r="S10276" i="29"/>
  <c r="S10275" i="29"/>
  <c r="S10274" i="29"/>
  <c r="S10273" i="29"/>
  <c r="S10272" i="29"/>
  <c r="S10271" i="29"/>
  <c r="S10270" i="29"/>
  <c r="S10968" i="29"/>
  <c r="S10267" i="29"/>
  <c r="S10269" i="29"/>
  <c r="S10268" i="29"/>
  <c r="S10266" i="29"/>
  <c r="S10265" i="29"/>
  <c r="S10264" i="29"/>
  <c r="S10263" i="29"/>
  <c r="S10262" i="29"/>
  <c r="S10261" i="29"/>
  <c r="S10260" i="29"/>
  <c r="S10259" i="29"/>
  <c r="S10258" i="29"/>
  <c r="S10257" i="29"/>
  <c r="S10256" i="29"/>
  <c r="S10255" i="29"/>
  <c r="S10254" i="29"/>
  <c r="S10252" i="29"/>
  <c r="S10248" i="29"/>
  <c r="S10253" i="29"/>
  <c r="S10476" i="29"/>
  <c r="S10470" i="29"/>
  <c r="S10246" i="29"/>
  <c r="S10245" i="29"/>
  <c r="S10242" i="29"/>
  <c r="S10251" i="29"/>
  <c r="S10250" i="29"/>
  <c r="S10249" i="29"/>
  <c r="S10247" i="29"/>
  <c r="S10244" i="29"/>
  <c r="S10243" i="29"/>
  <c r="S10241" i="29"/>
  <c r="S10240" i="29"/>
  <c r="S10239" i="29"/>
  <c r="S10238" i="29"/>
  <c r="S10234" i="29"/>
  <c r="S10233" i="29"/>
  <c r="S10232" i="29"/>
  <c r="S10231" i="29"/>
  <c r="S10230" i="29"/>
  <c r="S10229" i="29"/>
  <c r="S10228" i="29"/>
  <c r="S10227" i="29"/>
  <c r="S10226" i="29"/>
  <c r="S10225" i="29"/>
  <c r="S10224" i="29"/>
  <c r="S10223" i="29"/>
  <c r="S10237" i="29"/>
  <c r="S10236" i="29"/>
  <c r="S10235" i="29"/>
  <c r="S10222" i="29"/>
  <c r="S10221" i="29"/>
  <c r="S10220" i="29"/>
  <c r="S10210" i="29"/>
  <c r="S10209" i="29"/>
  <c r="S10208" i="29"/>
  <c r="S10207" i="29"/>
  <c r="S10206" i="29"/>
  <c r="S10205" i="29"/>
  <c r="S10204" i="29"/>
  <c r="S10203" i="29"/>
  <c r="S10202" i="29"/>
  <c r="S10201" i="29"/>
  <c r="S10219" i="29"/>
  <c r="S10218" i="29"/>
  <c r="S10217" i="29"/>
  <c r="S10216" i="29"/>
  <c r="S10215" i="29"/>
  <c r="S10214" i="29"/>
  <c r="S10213" i="29"/>
  <c r="S10212" i="29"/>
  <c r="S10211" i="29"/>
  <c r="S10200" i="29"/>
  <c r="S10199" i="29"/>
  <c r="S10198" i="29"/>
  <c r="S10197" i="29"/>
  <c r="S10196" i="29"/>
  <c r="S10195" i="29"/>
  <c r="S10194" i="29"/>
  <c r="S10193" i="29"/>
  <c r="S10192" i="29"/>
  <c r="S10191" i="29"/>
  <c r="S10190" i="29"/>
  <c r="S10189" i="29"/>
  <c r="S10188" i="29"/>
  <c r="S10187" i="29"/>
  <c r="S10186" i="29"/>
  <c r="S10185" i="29"/>
  <c r="S10184" i="29"/>
  <c r="S10183" i="29"/>
  <c r="S10182" i="29"/>
  <c r="S10181" i="29"/>
  <c r="S10180" i="29"/>
  <c r="S10179" i="29"/>
  <c r="S10178" i="29"/>
  <c r="S10177" i="29"/>
  <c r="S10176" i="29"/>
  <c r="S10175" i="29"/>
  <c r="S10174" i="29"/>
  <c r="S10173" i="29"/>
  <c r="S10172" i="29"/>
  <c r="S10171" i="29"/>
  <c r="S10170" i="29"/>
  <c r="S10169" i="29"/>
  <c r="S10168" i="29"/>
  <c r="S10166" i="29"/>
  <c r="S10167" i="29"/>
  <c r="S10165" i="29"/>
  <c r="S10164" i="29"/>
  <c r="S10163" i="29"/>
  <c r="S10162" i="29"/>
  <c r="S10160" i="29"/>
  <c r="S10159" i="29"/>
  <c r="S10161" i="29"/>
  <c r="S10158" i="29"/>
  <c r="S10157" i="29"/>
  <c r="S10156" i="29"/>
  <c r="S10155" i="29"/>
  <c r="S10154" i="29"/>
  <c r="S10148" i="29"/>
  <c r="S10147" i="29"/>
  <c r="S10146" i="29"/>
  <c r="S10153" i="29"/>
  <c r="S10152" i="29"/>
  <c r="S10151" i="29"/>
  <c r="S10150" i="29"/>
  <c r="S10149" i="29"/>
  <c r="S10145" i="29"/>
  <c r="S10144" i="29"/>
  <c r="S10143" i="29"/>
  <c r="S10142" i="29"/>
  <c r="S10141" i="29"/>
  <c r="S10140" i="29"/>
  <c r="S10139" i="29"/>
  <c r="S10138" i="29"/>
  <c r="S10137" i="29"/>
  <c r="S10136" i="29"/>
  <c r="S655" i="29"/>
  <c r="S10135" i="29"/>
  <c r="S10134" i="29"/>
  <c r="S10132" i="29"/>
  <c r="S10133" i="29"/>
  <c r="S10131" i="29"/>
  <c r="S10130" i="29"/>
  <c r="S10129" i="29"/>
  <c r="S10128" i="29"/>
  <c r="S10127" i="29"/>
  <c r="S10126" i="29"/>
  <c r="S10125" i="29"/>
  <c r="S10124" i="29"/>
  <c r="S10123" i="29"/>
  <c r="S10122" i="29"/>
  <c r="S10121" i="29"/>
  <c r="S10120" i="29"/>
  <c r="S10119" i="29"/>
  <c r="S10118" i="29"/>
  <c r="S10115" i="29"/>
  <c r="S10114" i="29"/>
  <c r="S10113" i="29"/>
  <c r="S10112" i="29"/>
  <c r="S10111" i="29"/>
  <c r="S10117" i="29"/>
  <c r="S10116" i="29"/>
  <c r="S10110" i="29"/>
  <c r="S10109" i="29"/>
  <c r="S10108" i="29"/>
  <c r="S10107" i="29"/>
  <c r="S10106" i="29"/>
  <c r="S10105" i="29"/>
  <c r="S10104" i="29"/>
  <c r="S10103" i="29"/>
  <c r="S10102" i="29"/>
  <c r="S10101" i="29"/>
  <c r="S10100" i="29"/>
  <c r="S10099" i="29"/>
  <c r="S10098" i="29"/>
  <c r="S10097" i="29"/>
  <c r="S10096" i="29"/>
  <c r="S10093" i="29"/>
  <c r="S10092" i="29"/>
  <c r="S10091" i="29"/>
  <c r="S10090" i="29"/>
  <c r="S10095" i="29"/>
  <c r="S10094" i="29"/>
  <c r="S10089" i="29"/>
  <c r="S10084" i="29"/>
  <c r="S10088" i="29"/>
  <c r="S10087" i="29"/>
  <c r="S10086" i="29"/>
  <c r="S10085" i="29"/>
  <c r="S10083" i="29"/>
  <c r="S10082" i="29"/>
  <c r="S10081" i="29"/>
  <c r="S10080" i="29"/>
  <c r="S10079" i="29"/>
  <c r="S10078" i="29"/>
  <c r="S10077" i="29"/>
  <c r="S10076" i="29"/>
  <c r="S10075" i="29"/>
  <c r="S10074" i="29"/>
  <c r="S10073" i="29"/>
  <c r="S10072" i="29"/>
  <c r="S10071" i="29"/>
  <c r="S10070" i="29"/>
  <c r="S10069" i="29"/>
  <c r="S10068" i="29"/>
  <c r="S10067" i="29"/>
  <c r="S10066" i="29"/>
  <c r="S10065" i="29"/>
  <c r="S10064" i="29"/>
  <c r="S10063" i="29"/>
  <c r="S10061" i="29"/>
  <c r="S10062" i="29"/>
  <c r="S10050" i="29"/>
  <c r="S10060" i="29"/>
  <c r="S10059" i="29"/>
  <c r="S10058" i="29"/>
  <c r="S10057" i="29"/>
  <c r="S10056" i="29"/>
  <c r="S10055" i="29"/>
  <c r="S10054" i="29"/>
  <c r="S10053" i="29"/>
  <c r="S10052" i="29"/>
  <c r="S10051" i="29"/>
  <c r="S10049" i="29"/>
  <c r="S10048" i="29"/>
  <c r="S10047" i="29"/>
  <c r="S10046" i="29"/>
  <c r="S10045" i="29"/>
  <c r="S10032" i="29"/>
  <c r="S10044" i="29"/>
  <c r="S10043" i="29"/>
  <c r="S10042" i="29"/>
  <c r="S10041" i="29"/>
  <c r="S10040" i="29"/>
  <c r="S10039" i="29"/>
  <c r="S10038" i="29"/>
  <c r="S10037" i="29"/>
  <c r="S10036" i="29"/>
  <c r="S10035" i="29"/>
  <c r="S10034" i="29"/>
  <c r="S10033" i="29"/>
  <c r="S10029" i="29"/>
  <c r="S10031" i="29"/>
  <c r="S10030" i="29"/>
  <c r="S10028" i="29"/>
  <c r="S10027" i="29"/>
  <c r="S10026" i="29"/>
  <c r="S10024" i="29"/>
  <c r="S10023" i="29"/>
  <c r="S10025" i="29"/>
  <c r="S10022" i="29"/>
  <c r="S10021" i="29"/>
  <c r="S10017" i="29"/>
  <c r="S10018" i="29"/>
  <c r="S10019" i="29"/>
  <c r="S10009" i="29"/>
  <c r="S10010" i="29"/>
  <c r="S10013" i="29"/>
  <c r="S10014" i="29"/>
  <c r="S10015" i="29"/>
  <c r="S10016" i="29"/>
  <c r="S10011" i="29"/>
  <c r="S10012" i="29"/>
  <c r="S10020" i="29"/>
  <c r="S10008" i="29"/>
  <c r="S10007" i="29"/>
  <c r="S10006" i="29"/>
  <c r="S10005" i="29"/>
  <c r="S10004" i="29"/>
  <c r="S10003" i="29"/>
  <c r="S10002" i="29"/>
  <c r="S10001" i="29"/>
  <c r="S10000" i="29"/>
  <c r="S9999" i="29"/>
  <c r="S9998" i="29"/>
  <c r="S9997" i="29"/>
  <c r="S9996" i="29"/>
  <c r="S9995" i="29"/>
  <c r="S9994" i="29"/>
  <c r="S9993" i="29"/>
  <c r="S9992" i="29"/>
  <c r="S9991" i="29"/>
  <c r="S9990" i="29"/>
  <c r="S9989" i="29"/>
  <c r="S9984" i="29"/>
  <c r="S9988" i="29"/>
  <c r="S9987" i="29"/>
  <c r="S9986" i="29"/>
  <c r="S9985" i="29"/>
  <c r="S9983" i="29"/>
  <c r="S9979" i="29"/>
  <c r="S9982" i="29"/>
  <c r="S9981" i="29"/>
  <c r="S9980" i="29"/>
  <c r="S9978" i="29"/>
  <c r="S9977" i="29"/>
  <c r="S9976" i="29"/>
  <c r="S9975" i="29"/>
  <c r="S9974" i="29"/>
  <c r="S9973" i="29"/>
  <c r="S9972" i="29"/>
  <c r="S9971" i="29"/>
  <c r="S9969" i="29"/>
  <c r="S9970" i="29"/>
  <c r="S9966" i="29"/>
  <c r="S9968" i="29"/>
  <c r="S9967" i="29"/>
  <c r="S9964" i="29"/>
  <c r="S9965" i="29"/>
  <c r="S9903" i="29"/>
  <c r="S9963" i="29"/>
  <c r="S9962" i="29"/>
  <c r="S9961" i="29"/>
  <c r="S9960" i="29"/>
  <c r="S9959" i="29"/>
  <c r="S9958" i="29"/>
  <c r="S9957" i="29"/>
  <c r="S9956" i="29"/>
  <c r="S9955" i="29"/>
  <c r="S9954" i="29"/>
  <c r="S9953" i="29"/>
  <c r="S9952" i="29"/>
  <c r="S9951" i="29"/>
  <c r="S9950" i="29"/>
  <c r="S9949" i="29"/>
  <c r="S9948" i="29"/>
  <c r="S9947" i="29"/>
  <c r="S9946" i="29"/>
  <c r="S9945" i="29"/>
  <c r="S9944" i="29"/>
  <c r="S9943" i="29"/>
  <c r="S9942" i="29"/>
  <c r="S9941" i="29"/>
  <c r="S9940" i="29"/>
  <c r="S9939" i="29"/>
  <c r="S9935" i="29"/>
  <c r="S9934" i="29"/>
  <c r="S9933" i="29"/>
  <c r="S9938" i="29"/>
  <c r="S9937" i="29"/>
  <c r="S9936" i="29"/>
  <c r="S9931" i="29"/>
  <c r="S9932" i="29"/>
  <c r="S9930" i="29"/>
  <c r="S9929" i="29"/>
  <c r="S9928" i="29"/>
  <c r="S9927" i="29"/>
  <c r="S9926" i="29"/>
  <c r="S9925" i="29"/>
  <c r="S9924" i="29"/>
  <c r="S9923" i="29"/>
  <c r="S9921" i="29"/>
  <c r="S9922" i="29"/>
  <c r="S9919" i="29"/>
  <c r="S9918" i="29"/>
  <c r="S9917" i="29"/>
  <c r="S9915" i="29"/>
  <c r="S9914" i="29"/>
  <c r="S9913" i="29"/>
  <c r="S9912" i="29"/>
  <c r="S9920" i="29"/>
  <c r="S9911" i="29"/>
  <c r="S9916" i="29"/>
  <c r="S9910" i="29"/>
  <c r="S9909" i="29"/>
  <c r="S9908" i="29"/>
  <c r="S9907" i="29"/>
  <c r="S9906" i="29"/>
  <c r="S9905" i="29"/>
  <c r="S9904" i="29"/>
  <c r="S9902" i="29"/>
  <c r="S9901" i="29"/>
  <c r="S9900" i="29"/>
  <c r="S9899" i="29"/>
  <c r="S9898" i="29"/>
  <c r="S9897" i="29"/>
  <c r="S9893" i="29"/>
  <c r="S9892" i="29"/>
  <c r="S9891" i="29"/>
  <c r="S9890" i="29"/>
  <c r="S9889" i="29"/>
  <c r="S9886" i="29"/>
  <c r="S9885" i="29"/>
  <c r="S9884" i="29"/>
  <c r="S9883" i="29"/>
  <c r="S9896" i="29"/>
  <c r="S9895" i="29"/>
  <c r="S9894" i="29"/>
  <c r="S9888" i="29"/>
  <c r="S9887" i="29"/>
  <c r="S9882" i="29"/>
  <c r="S9881" i="29"/>
  <c r="S9880" i="29"/>
  <c r="S9879" i="29"/>
  <c r="S9878" i="29"/>
  <c r="S9875" i="29"/>
  <c r="S9874" i="29"/>
  <c r="S9873" i="29"/>
  <c r="S9872" i="29"/>
  <c r="S9871" i="29"/>
  <c r="S9870" i="29"/>
  <c r="S9867" i="29"/>
  <c r="S9865" i="29"/>
  <c r="S9864" i="29"/>
  <c r="S9869" i="29"/>
  <c r="S9868" i="29"/>
  <c r="S9863" i="29"/>
  <c r="S9862" i="29"/>
  <c r="S9861" i="29"/>
  <c r="S9877" i="29"/>
  <c r="S9876" i="29"/>
  <c r="S9866" i="29"/>
  <c r="S9860" i="29"/>
  <c r="S9855" i="29"/>
  <c r="S9854" i="29"/>
  <c r="S9859" i="29"/>
  <c r="S9858" i="29"/>
  <c r="S9857" i="29"/>
  <c r="S9856" i="29"/>
  <c r="S9849" i="29"/>
  <c r="S9853" i="29"/>
  <c r="S9852" i="29"/>
  <c r="S9851" i="29"/>
  <c r="S9850" i="29"/>
  <c r="S9847" i="29"/>
  <c r="S9848" i="29"/>
  <c r="S9846" i="29"/>
  <c r="S9845" i="29"/>
  <c r="S9844" i="29"/>
  <c r="S9842" i="29"/>
  <c r="S9841" i="29"/>
  <c r="S9843" i="29"/>
  <c r="S9840" i="29"/>
  <c r="S9838" i="29"/>
  <c r="S9837" i="29"/>
  <c r="S9836" i="29"/>
  <c r="S9835" i="29"/>
  <c r="S9839" i="29"/>
  <c r="S9834" i="29"/>
  <c r="S9833" i="29"/>
  <c r="S9832" i="29"/>
  <c r="S9831" i="29"/>
  <c r="S9827" i="29"/>
  <c r="S9830" i="29"/>
  <c r="S9829" i="29"/>
  <c r="S9828" i="29"/>
  <c r="S9822" i="29"/>
  <c r="S9826" i="29"/>
  <c r="S9825" i="29"/>
  <c r="S9824" i="29"/>
  <c r="S9823" i="29"/>
  <c r="S9821" i="29"/>
  <c r="S9820" i="29"/>
  <c r="S9819" i="29"/>
  <c r="S9818" i="29"/>
  <c r="S9815" i="29"/>
  <c r="S9817" i="29"/>
  <c r="S9816" i="29"/>
  <c r="S9814" i="29"/>
  <c r="S9813" i="29"/>
  <c r="S9812" i="29"/>
  <c r="S9811" i="29"/>
  <c r="S9810" i="29"/>
  <c r="S9809" i="29"/>
  <c r="S9808" i="29"/>
  <c r="S9730" i="29"/>
  <c r="S9806" i="29"/>
  <c r="S9807" i="29"/>
  <c r="S9804" i="29"/>
  <c r="S9805" i="29"/>
  <c r="S9803" i="29"/>
  <c r="S9802" i="29"/>
  <c r="S9801" i="29"/>
  <c r="S9800" i="29"/>
  <c r="S9799" i="29"/>
  <c r="S9798" i="29"/>
  <c r="S9795" i="29"/>
  <c r="S9797" i="29"/>
  <c r="S9796" i="29"/>
  <c r="S9794" i="29"/>
  <c r="S9793" i="29"/>
  <c r="S9792" i="29"/>
  <c r="S9791" i="29"/>
  <c r="S9790" i="29"/>
  <c r="S9789" i="29"/>
  <c r="S9788" i="29"/>
  <c r="S9787" i="29"/>
  <c r="S9786" i="29"/>
  <c r="S9784" i="29"/>
  <c r="S9785" i="29"/>
  <c r="S9783" i="29"/>
  <c r="S9782" i="29"/>
  <c r="S9781" i="29"/>
  <c r="S9780" i="29"/>
  <c r="S9779" i="29"/>
  <c r="S9778" i="29"/>
  <c r="S9777" i="29"/>
  <c r="S9776" i="29"/>
  <c r="S9775" i="29"/>
  <c r="S9774" i="29"/>
  <c r="S9773" i="29"/>
  <c r="S9772" i="29"/>
  <c r="S9771" i="29"/>
  <c r="S9770" i="29"/>
  <c r="S9769" i="29"/>
  <c r="S9768" i="29"/>
  <c r="S9767" i="29"/>
  <c r="S9752" i="29"/>
  <c r="S9766" i="29"/>
  <c r="S9765" i="29"/>
  <c r="S9763" i="29"/>
  <c r="S9764" i="29"/>
  <c r="S9760" i="29"/>
  <c r="S9759" i="29"/>
  <c r="S9758" i="29"/>
  <c r="S9751" i="29"/>
  <c r="S9762" i="29"/>
  <c r="S9761" i="29"/>
  <c r="S9757" i="29"/>
  <c r="S9756" i="29"/>
  <c r="S9755" i="29"/>
  <c r="S9754" i="29"/>
  <c r="S9753" i="29"/>
  <c r="S9750" i="29"/>
  <c r="S9748" i="29"/>
  <c r="S9749" i="29"/>
  <c r="S9743" i="29"/>
  <c r="S9742" i="29"/>
  <c r="S9747" i="29"/>
  <c r="S9746" i="29"/>
  <c r="S9745" i="29"/>
  <c r="S9744" i="29"/>
  <c r="S9738" i="29"/>
  <c r="S9741" i="29"/>
  <c r="S9740" i="29"/>
  <c r="S9739" i="29"/>
  <c r="S9734" i="29"/>
  <c r="S9733" i="29"/>
  <c r="S9732" i="29"/>
  <c r="S9731" i="29"/>
  <c r="S9729" i="29"/>
  <c r="S9736" i="29"/>
  <c r="S9737" i="29"/>
  <c r="S9735" i="29"/>
  <c r="S9726" i="29"/>
  <c r="S9728" i="29"/>
  <c r="S9727" i="29"/>
  <c r="S9725" i="29"/>
  <c r="S9724" i="29"/>
  <c r="S9723" i="29"/>
  <c r="S9722" i="29"/>
  <c r="S9721" i="29"/>
  <c r="S9720" i="29"/>
  <c r="S9719" i="29"/>
  <c r="S9718" i="29"/>
  <c r="S9717" i="29"/>
  <c r="S9716" i="29"/>
  <c r="S9715" i="29"/>
  <c r="S9709" i="29"/>
  <c r="S9708" i="29"/>
  <c r="S9714" i="29"/>
  <c r="S9713" i="29"/>
  <c r="S9712" i="29"/>
  <c r="S9711" i="29"/>
  <c r="S9710" i="29"/>
  <c r="S9706" i="29"/>
  <c r="S9705" i="29"/>
  <c r="S9704" i="29"/>
  <c r="S9702" i="29"/>
  <c r="S9703" i="29"/>
  <c r="S9701" i="29"/>
  <c r="S9700" i="29"/>
  <c r="S9699" i="29"/>
  <c r="S9698" i="29"/>
  <c r="S9697" i="29"/>
  <c r="S9696" i="29"/>
  <c r="S9695" i="29"/>
  <c r="S9694" i="29"/>
  <c r="S9690" i="29"/>
  <c r="S9689" i="29"/>
  <c r="S9688" i="29"/>
  <c r="S9687" i="29"/>
  <c r="S9686" i="29"/>
  <c r="S9685" i="29"/>
  <c r="S9691" i="29"/>
  <c r="S9693" i="29"/>
  <c r="S9692" i="29"/>
  <c r="S9684" i="29"/>
  <c r="S9683" i="29"/>
  <c r="S9682" i="29"/>
  <c r="S9681" i="29"/>
  <c r="S9680" i="29"/>
  <c r="S9679" i="29"/>
  <c r="S9678" i="29"/>
  <c r="S9677" i="29"/>
  <c r="S9676" i="29"/>
  <c r="S9675" i="29"/>
  <c r="S9674" i="29"/>
  <c r="S9673" i="29"/>
  <c r="S9672" i="29"/>
  <c r="S9671" i="29"/>
  <c r="S9669" i="29"/>
  <c r="S9668" i="29"/>
  <c r="S9670" i="29"/>
  <c r="S9667" i="29"/>
  <c r="S9666" i="29"/>
  <c r="S9665" i="29"/>
  <c r="S9664" i="29"/>
  <c r="S9663" i="29"/>
  <c r="S9662" i="29"/>
  <c r="S9661" i="29"/>
  <c r="S9660" i="29"/>
  <c r="S9659" i="29"/>
  <c r="S9658" i="29"/>
  <c r="S9657" i="29"/>
  <c r="S9656" i="29"/>
  <c r="S9655" i="29"/>
  <c r="S9654" i="29"/>
  <c r="S9653" i="29"/>
  <c r="S9652" i="29"/>
  <c r="S9651" i="29"/>
  <c r="S9650" i="29"/>
  <c r="S9649" i="29"/>
  <c r="S9646" i="29"/>
  <c r="S9645" i="29"/>
  <c r="S9648" i="29"/>
  <c r="S9647" i="29"/>
  <c r="S9640" i="29"/>
  <c r="S9644" i="29"/>
  <c r="S9643" i="29"/>
  <c r="S9642" i="29"/>
  <c r="S9641" i="29"/>
  <c r="S9639" i="29"/>
  <c r="S9638" i="29"/>
  <c r="S9637" i="29"/>
  <c r="S9636" i="29"/>
  <c r="S9635" i="29"/>
  <c r="S9634" i="29"/>
  <c r="S9633" i="29"/>
  <c r="S9632" i="29"/>
  <c r="S9707" i="29"/>
  <c r="S9630" i="29"/>
  <c r="S9626" i="29"/>
  <c r="S9625" i="29"/>
  <c r="S9624" i="29"/>
  <c r="S9621" i="29"/>
  <c r="S9629" i="29"/>
  <c r="S9628" i="29"/>
  <c r="S9627" i="29"/>
  <c r="S9619" i="29"/>
  <c r="S9623" i="29"/>
  <c r="S9622" i="29"/>
  <c r="S9618" i="29"/>
  <c r="S9620" i="29"/>
  <c r="S9617" i="29"/>
  <c r="S9616" i="29"/>
  <c r="S9615" i="29"/>
  <c r="S9614" i="29"/>
  <c r="S9613" i="29"/>
  <c r="S9612" i="29"/>
  <c r="S9611" i="29"/>
  <c r="S9607" i="29"/>
  <c r="S9610" i="29"/>
  <c r="S9609" i="29"/>
  <c r="S9608" i="29"/>
  <c r="S9606" i="29"/>
  <c r="S9604" i="29"/>
  <c r="S9603" i="29"/>
  <c r="S9602" i="29"/>
  <c r="S9601" i="29"/>
  <c r="S9605" i="29"/>
  <c r="S9600" i="29"/>
  <c r="S9599" i="29"/>
  <c r="S9598" i="29"/>
  <c r="S9597" i="29"/>
  <c r="S9596" i="29"/>
  <c r="S9595" i="29"/>
  <c r="S9594" i="29"/>
  <c r="S9593" i="29"/>
  <c r="S9592" i="29"/>
  <c r="S9591" i="29"/>
  <c r="S9590" i="29"/>
  <c r="S9589" i="29"/>
  <c r="S9588" i="29"/>
  <c r="S9585" i="29"/>
  <c r="S9584" i="29"/>
  <c r="S9583" i="29"/>
  <c r="S9582" i="29"/>
  <c r="S9587" i="29"/>
  <c r="S9581" i="29"/>
  <c r="S9580" i="29"/>
  <c r="S9579" i="29"/>
  <c r="S9576" i="29"/>
  <c r="S9575" i="29"/>
  <c r="S9574" i="29"/>
  <c r="S9586" i="29"/>
  <c r="S9578" i="29"/>
  <c r="S9577" i="29"/>
  <c r="S9570" i="29"/>
  <c r="S9573" i="29"/>
  <c r="S9572" i="29"/>
  <c r="S9571" i="29"/>
  <c r="S9569" i="29"/>
  <c r="S9568" i="29"/>
  <c r="S9567" i="29"/>
  <c r="S9566" i="29"/>
  <c r="S9564" i="29"/>
  <c r="S9563" i="29"/>
  <c r="S9562" i="29"/>
  <c r="S9565" i="29"/>
  <c r="S9560" i="29"/>
  <c r="S9559" i="29"/>
  <c r="S9556" i="29"/>
  <c r="S9555" i="29"/>
  <c r="S9553" i="29"/>
  <c r="S9550" i="29"/>
  <c r="S9549" i="29"/>
  <c r="S9548" i="29"/>
  <c r="S9561" i="29"/>
  <c r="S9558" i="29"/>
  <c r="S9557" i="29"/>
  <c r="S9554" i="29"/>
  <c r="S9552" i="29"/>
  <c r="S9551" i="29"/>
  <c r="S9547" i="29"/>
  <c r="S9546" i="29"/>
  <c r="S9545" i="29"/>
  <c r="S9544" i="29"/>
  <c r="S9543" i="29"/>
  <c r="S9542" i="29"/>
  <c r="S9535" i="29"/>
  <c r="S9534" i="29"/>
  <c r="S9533" i="29"/>
  <c r="S9532" i="29"/>
  <c r="S9531" i="29"/>
  <c r="S9529" i="29"/>
  <c r="S9528" i="29"/>
  <c r="S9527" i="29"/>
  <c r="S9526" i="29"/>
  <c r="S9541" i="29"/>
  <c r="S9522" i="29"/>
  <c r="S9521" i="29"/>
  <c r="S9520" i="29"/>
  <c r="S9515" i="29"/>
  <c r="S9514" i="29"/>
  <c r="S9513" i="29"/>
  <c r="S9540" i="29"/>
  <c r="S9539" i="29"/>
  <c r="S9538" i="29"/>
  <c r="S9537" i="29"/>
  <c r="S9536" i="29"/>
  <c r="S9530" i="29"/>
  <c r="S9512" i="29"/>
  <c r="S9525" i="29"/>
  <c r="S9524" i="29"/>
  <c r="S9523" i="29"/>
  <c r="S9519" i="29"/>
  <c r="S9518" i="29"/>
  <c r="S9517" i="29"/>
  <c r="S9516" i="29"/>
  <c r="S9511" i="29"/>
  <c r="S9510" i="29"/>
  <c r="S9509" i="29"/>
  <c r="S9500" i="29"/>
  <c r="S9508" i="29"/>
  <c r="S9507" i="29"/>
  <c r="S9506" i="29"/>
  <c r="S9503" i="29"/>
  <c r="S9502" i="29"/>
  <c r="S9505" i="29"/>
  <c r="S9504" i="29"/>
  <c r="S9501" i="29"/>
  <c r="S9499" i="29"/>
  <c r="S9498" i="29"/>
  <c r="S9497" i="29"/>
  <c r="S9496" i="29"/>
  <c r="S9495" i="29"/>
  <c r="S9494" i="29"/>
  <c r="S9493" i="29"/>
  <c r="S9492" i="29"/>
  <c r="S9491" i="29"/>
  <c r="S9490" i="29"/>
  <c r="S9488" i="29"/>
  <c r="S9487" i="29"/>
  <c r="S9486" i="29"/>
  <c r="S9489" i="29"/>
  <c r="S9485" i="29"/>
  <c r="S9484" i="29"/>
  <c r="S9481" i="29"/>
  <c r="S9480" i="29"/>
  <c r="S9479" i="29"/>
  <c r="S9478" i="29"/>
  <c r="S9477" i="29"/>
  <c r="S9473" i="29"/>
  <c r="S9482" i="29"/>
  <c r="S9483" i="29"/>
  <c r="S9476" i="29"/>
  <c r="S9475" i="29"/>
  <c r="S9474" i="29"/>
  <c r="S9472" i="29"/>
  <c r="S9471" i="29"/>
  <c r="S9470" i="29"/>
  <c r="S9468" i="29"/>
  <c r="S9469" i="29"/>
  <c r="S9467" i="29"/>
  <c r="S9466" i="29"/>
  <c r="S9465" i="29"/>
  <c r="S9464" i="29"/>
  <c r="S9463" i="29"/>
  <c r="S9462" i="29"/>
  <c r="S9461" i="29"/>
  <c r="S9459" i="29"/>
  <c r="S9458" i="29"/>
  <c r="S9456" i="29"/>
  <c r="S9455" i="29"/>
  <c r="S9447" i="29"/>
  <c r="S9450" i="29"/>
  <c r="S9449" i="29"/>
  <c r="S9460" i="29"/>
  <c r="S9457" i="29"/>
  <c r="S9454" i="29"/>
  <c r="S9453" i="29"/>
  <c r="S9452" i="29"/>
  <c r="S9451" i="29"/>
  <c r="S9448" i="29"/>
  <c r="S9445" i="29"/>
  <c r="S9444" i="29"/>
  <c r="S9446" i="29"/>
  <c r="S9437" i="29"/>
  <c r="S9434" i="29"/>
  <c r="S9433" i="29"/>
  <c r="S9432" i="29"/>
  <c r="S9443" i="29"/>
  <c r="S9442" i="29"/>
  <c r="S9441" i="29"/>
  <c r="S9440" i="29"/>
  <c r="S9439" i="29"/>
  <c r="S9438" i="29"/>
  <c r="S9436" i="29"/>
  <c r="S9435" i="29"/>
  <c r="S9431" i="29"/>
  <c r="S9430" i="29"/>
  <c r="S9429" i="29"/>
  <c r="S9425" i="29"/>
  <c r="S9424" i="29"/>
  <c r="S9428" i="29"/>
  <c r="S9427" i="29"/>
  <c r="S9426" i="29"/>
  <c r="S9423" i="29"/>
  <c r="S9422" i="29"/>
  <c r="S9420" i="29"/>
  <c r="S9416" i="29"/>
  <c r="S9415" i="29"/>
  <c r="S9411" i="29"/>
  <c r="S9410" i="29"/>
  <c r="S9407" i="29"/>
  <c r="S9421" i="29"/>
  <c r="S9419" i="29"/>
  <c r="S9418" i="29"/>
  <c r="S9417" i="29"/>
  <c r="S9414" i="29"/>
  <c r="S9413" i="29"/>
  <c r="S9412" i="29"/>
  <c r="S9409" i="29"/>
  <c r="S9408" i="29"/>
  <c r="S9406" i="29"/>
  <c r="S9405" i="29"/>
  <c r="S9404" i="29"/>
  <c r="S9403" i="29"/>
  <c r="S9402" i="29"/>
  <c r="S9401" i="29"/>
  <c r="S9400" i="29"/>
  <c r="S9399" i="29"/>
  <c r="S9398" i="29"/>
  <c r="S9397" i="29"/>
  <c r="S9396" i="29"/>
  <c r="S9395" i="29"/>
  <c r="S9394" i="29"/>
  <c r="S9393" i="29"/>
  <c r="S9392" i="29"/>
  <c r="S9391" i="29"/>
  <c r="S9390" i="29"/>
  <c r="S9389" i="29"/>
  <c r="S9388" i="29"/>
  <c r="S9387" i="29"/>
  <c r="S9386" i="29"/>
  <c r="S9381" i="29"/>
  <c r="S9382" i="29"/>
  <c r="S9385" i="29"/>
  <c r="S9384" i="29"/>
  <c r="S9383" i="29"/>
  <c r="S9378" i="29"/>
  <c r="S9380" i="29"/>
  <c r="S9379" i="29"/>
  <c r="S9377" i="29"/>
  <c r="S9376" i="29"/>
  <c r="S9373" i="29"/>
  <c r="S9371" i="29"/>
  <c r="S9369" i="29"/>
  <c r="S9304" i="29"/>
  <c r="S9368" i="29"/>
  <c r="S9367" i="29"/>
  <c r="S9375" i="29"/>
  <c r="S9374" i="29"/>
  <c r="S9372" i="29"/>
  <c r="S9370" i="29"/>
  <c r="S9366" i="29"/>
  <c r="S9365" i="29"/>
  <c r="S9364" i="29"/>
  <c r="S9363" i="29"/>
  <c r="S9362" i="29"/>
  <c r="S9361" i="29"/>
  <c r="S9360" i="29"/>
  <c r="S9359" i="29"/>
  <c r="S9351" i="29"/>
  <c r="S9350" i="29"/>
  <c r="S9348" i="29"/>
  <c r="S9347" i="29"/>
  <c r="S9345" i="29"/>
  <c r="S9358" i="29"/>
  <c r="S9349" i="29"/>
  <c r="S9312" i="29"/>
  <c r="S9325" i="29"/>
  <c r="S9357" i="29"/>
  <c r="S9356" i="29"/>
  <c r="S9355" i="29"/>
  <c r="S9354" i="29"/>
  <c r="S9353" i="29"/>
  <c r="S9352" i="29"/>
  <c r="S9346" i="29"/>
  <c r="S9344" i="29"/>
  <c r="S9343" i="29"/>
  <c r="S9339" i="29"/>
  <c r="S9338" i="29"/>
  <c r="S9337" i="29"/>
  <c r="S9336" i="29"/>
  <c r="S9335" i="29"/>
  <c r="S9342" i="29"/>
  <c r="S9341" i="29"/>
  <c r="S9340" i="29"/>
  <c r="S9333" i="29"/>
  <c r="S9332" i="29"/>
  <c r="S9331" i="29"/>
  <c r="S9330" i="29"/>
  <c r="S9329" i="29"/>
  <c r="S9334" i="29"/>
  <c r="S9328" i="29"/>
  <c r="S9327" i="29"/>
  <c r="S9326" i="29"/>
  <c r="S9310" i="29"/>
  <c r="S9309" i="29"/>
  <c r="S9308" i="29"/>
  <c r="S9307" i="29"/>
  <c r="S9306" i="29"/>
  <c r="S9302" i="29"/>
  <c r="S9301" i="29"/>
  <c r="S9300" i="29"/>
  <c r="S9299" i="29"/>
  <c r="S9324" i="29"/>
  <c r="S9323" i="29"/>
  <c r="S9322" i="29"/>
  <c r="S9317" i="29"/>
  <c r="S9316" i="29"/>
  <c r="S9315" i="29"/>
  <c r="S9311" i="29"/>
  <c r="S9305" i="29"/>
  <c r="S9321" i="29"/>
  <c r="S9320" i="29"/>
  <c r="S9319" i="29"/>
  <c r="S9318" i="29"/>
  <c r="S9314" i="29"/>
  <c r="S9313" i="29"/>
  <c r="S9303" i="29"/>
  <c r="S9298" i="29"/>
  <c r="S9297" i="29"/>
  <c r="S9296" i="29"/>
  <c r="S9295" i="29"/>
  <c r="S9293" i="29"/>
  <c r="S9294" i="29"/>
  <c r="S9283" i="29"/>
  <c r="S9292" i="29"/>
  <c r="S9291" i="29"/>
  <c r="S9290" i="29"/>
  <c r="S9289" i="29"/>
  <c r="S9288" i="29"/>
  <c r="S9287" i="29"/>
  <c r="S9286" i="29"/>
  <c r="S9285" i="29"/>
  <c r="S9284" i="29"/>
  <c r="S6788" i="29"/>
  <c r="S7429" i="29"/>
  <c r="S7430" i="29"/>
  <c r="S7431" i="29"/>
  <c r="S7432" i="29"/>
  <c r="S7433" i="29"/>
  <c r="S7434" i="29"/>
  <c r="S7435" i="29"/>
  <c r="S7436" i="29"/>
  <c r="S7437" i="29"/>
  <c r="S7438" i="29"/>
  <c r="S7439" i="29"/>
  <c r="S7440" i="29"/>
  <c r="S7441" i="29"/>
  <c r="S7442" i="29"/>
  <c r="S7443" i="29"/>
  <c r="S7444" i="29"/>
  <c r="S7445" i="29"/>
  <c r="S7446" i="29"/>
  <c r="S7447" i="29"/>
  <c r="S7448" i="29"/>
  <c r="S7449" i="29"/>
  <c r="S7450" i="29"/>
  <c r="S7451" i="29"/>
  <c r="S7452" i="29"/>
  <c r="S7453" i="29"/>
  <c r="S7454" i="29"/>
  <c r="S7455" i="29"/>
  <c r="S7456" i="29"/>
  <c r="S7457" i="29"/>
  <c r="S7458" i="29"/>
  <c r="S7459" i="29"/>
  <c r="S7460" i="29"/>
  <c r="S7461" i="29"/>
  <c r="S7462" i="29"/>
  <c r="S7463" i="29"/>
  <c r="S7464" i="29"/>
  <c r="S7465" i="29"/>
  <c r="S7466" i="29"/>
  <c r="S7467" i="29"/>
  <c r="S7468" i="29"/>
  <c r="S7469" i="29"/>
  <c r="S7470" i="29"/>
  <c r="S7471" i="29"/>
  <c r="S7472" i="29"/>
  <c r="S7473" i="29"/>
  <c r="S7474" i="29"/>
  <c r="S7475" i="29"/>
  <c r="S7476" i="29"/>
  <c r="S7477" i="29"/>
  <c r="S7478" i="29"/>
  <c r="S7479" i="29"/>
  <c r="S7480" i="29"/>
  <c r="S7481" i="29"/>
  <c r="S7482" i="29"/>
  <c r="S7483" i="29"/>
  <c r="S7484" i="29"/>
  <c r="S7485" i="29"/>
  <c r="S7486" i="29"/>
  <c r="S7487" i="29"/>
  <c r="S7488" i="29"/>
  <c r="S7489" i="29"/>
  <c r="S7490" i="29"/>
  <c r="S7491" i="29"/>
  <c r="S7492" i="29"/>
  <c r="S7493" i="29"/>
  <c r="S7494" i="29"/>
  <c r="S7495" i="29"/>
  <c r="S7496" i="29"/>
  <c r="S7497" i="29"/>
  <c r="S7498" i="29"/>
  <c r="S7499" i="29"/>
  <c r="S7500" i="29"/>
  <c r="S7501" i="29"/>
  <c r="S7502" i="29"/>
  <c r="S7503" i="29"/>
  <c r="S7504" i="29"/>
  <c r="S7505" i="29"/>
  <c r="S7506" i="29"/>
  <c r="S7507" i="29"/>
  <c r="S7508" i="29"/>
  <c r="S7509" i="29"/>
  <c r="S7510" i="29"/>
  <c r="S7511" i="29"/>
  <c r="S7512" i="29"/>
  <c r="S7513" i="29"/>
  <c r="S7514" i="29"/>
  <c r="S7515" i="29"/>
  <c r="S7516" i="29"/>
  <c r="S7517" i="29"/>
  <c r="S7518" i="29"/>
  <c r="S7519" i="29"/>
  <c r="S7520" i="29"/>
  <c r="S7521" i="29"/>
  <c r="S7522" i="29"/>
  <c r="S7523" i="29"/>
  <c r="S7524" i="29"/>
  <c r="S7525" i="29"/>
  <c r="S7526" i="29"/>
  <c r="S7527" i="29"/>
  <c r="S7528" i="29"/>
  <c r="S7529" i="29"/>
  <c r="S7530" i="29"/>
  <c r="S7531" i="29"/>
  <c r="S7532" i="29"/>
  <c r="S7533" i="29"/>
  <c r="S7534" i="29"/>
  <c r="S7535" i="29"/>
  <c r="S7536" i="29"/>
  <c r="S7537" i="29"/>
  <c r="S7538" i="29"/>
  <c r="S7539" i="29"/>
  <c r="S7540" i="29"/>
  <c r="S7541" i="29"/>
  <c r="S7542" i="29"/>
  <c r="S7543" i="29"/>
  <c r="S7544" i="29"/>
  <c r="S7545" i="29"/>
  <c r="S7546" i="29"/>
  <c r="S7547" i="29"/>
  <c r="S7548" i="29"/>
  <c r="S7549" i="29"/>
  <c r="S7550" i="29"/>
  <c r="S7551" i="29"/>
  <c r="S7552" i="29"/>
  <c r="S7553" i="29"/>
  <c r="S7554" i="29"/>
  <c r="S7555" i="29"/>
  <c r="S7556" i="29"/>
  <c r="S7557" i="29"/>
  <c r="S7558" i="29"/>
  <c r="S7559" i="29"/>
  <c r="S7560" i="29"/>
  <c r="S7561" i="29"/>
  <c r="S7562" i="29"/>
  <c r="S7563" i="29"/>
  <c r="S7564" i="29"/>
  <c r="S7565" i="29"/>
  <c r="S7566" i="29"/>
  <c r="S7567" i="29"/>
  <c r="S7568" i="29"/>
  <c r="S7569" i="29"/>
  <c r="S7570" i="29"/>
  <c r="S7571" i="29"/>
  <c r="S7572" i="29"/>
  <c r="S7573" i="29"/>
  <c r="S7574" i="29"/>
  <c r="S7575" i="29"/>
  <c r="S7576" i="29"/>
  <c r="S7577" i="29"/>
  <c r="S7578" i="29"/>
  <c r="S7579" i="29"/>
  <c r="S7580" i="29"/>
  <c r="S7581" i="29"/>
  <c r="S7582" i="29"/>
  <c r="S7583" i="29"/>
  <c r="S7584" i="29"/>
  <c r="S7585" i="29"/>
  <c r="S7586" i="29"/>
  <c r="S7587" i="29"/>
  <c r="S7588" i="29"/>
  <c r="S7589" i="29"/>
  <c r="S7590" i="29"/>
  <c r="S7591" i="29"/>
  <c r="S7592" i="29"/>
  <c r="S7593" i="29"/>
  <c r="S7594" i="29"/>
  <c r="S7595" i="29"/>
  <c r="S7596" i="29"/>
  <c r="S7597" i="29"/>
  <c r="S7598" i="29"/>
  <c r="S7599" i="29"/>
  <c r="S7600" i="29"/>
  <c r="S7601" i="29"/>
  <c r="S7602" i="29"/>
  <c r="S7603" i="29"/>
  <c r="S7604" i="29"/>
  <c r="S7605" i="29"/>
  <c r="S7606" i="29"/>
  <c r="S7607" i="29"/>
  <c r="S7608" i="29"/>
  <c r="S7609" i="29"/>
  <c r="S7610" i="29"/>
  <c r="S7611" i="29"/>
  <c r="S7612" i="29"/>
  <c r="S7613" i="29"/>
  <c r="S7614" i="29"/>
  <c r="S7615" i="29"/>
  <c r="S7616" i="29"/>
  <c r="S7617" i="29"/>
  <c r="S7618" i="29"/>
  <c r="S7619" i="29"/>
  <c r="S7620" i="29"/>
  <c r="S7621" i="29"/>
  <c r="S7622" i="29"/>
  <c r="S7623" i="29"/>
  <c r="S7624" i="29"/>
  <c r="S7625" i="29"/>
  <c r="S7626" i="29"/>
  <c r="S7627" i="29"/>
  <c r="S7628" i="29"/>
  <c r="S7629" i="29"/>
  <c r="S7630" i="29"/>
  <c r="S7631" i="29"/>
  <c r="S7632" i="29"/>
  <c r="S7633" i="29"/>
  <c r="S7634" i="29"/>
  <c r="S7635" i="29"/>
  <c r="S7636" i="29"/>
  <c r="S7637" i="29"/>
  <c r="S7638" i="29"/>
  <c r="S7639" i="29"/>
  <c r="S7640" i="29"/>
  <c r="S7641" i="29"/>
  <c r="S7642" i="29"/>
  <c r="S7643" i="29"/>
  <c r="S7644" i="29"/>
  <c r="S7645" i="29"/>
  <c r="S7646" i="29"/>
  <c r="S7647" i="29"/>
  <c r="S7648" i="29"/>
  <c r="S7649" i="29"/>
  <c r="S7650" i="29"/>
  <c r="S7651" i="29"/>
  <c r="S7652" i="29"/>
  <c r="S7653" i="29"/>
  <c r="S7654" i="29"/>
  <c r="S7655" i="29"/>
  <c r="S7656" i="29"/>
  <c r="S7657" i="29"/>
  <c r="S7658" i="29"/>
  <c r="S7659" i="29"/>
  <c r="S7660" i="29"/>
  <c r="S7661" i="29"/>
  <c r="S7662" i="29"/>
  <c r="S7663" i="29"/>
  <c r="S7664" i="29"/>
  <c r="S7665" i="29"/>
  <c r="S7666" i="29"/>
  <c r="S7667" i="29"/>
  <c r="S7668" i="29"/>
  <c r="S7669" i="29"/>
  <c r="S7670" i="29"/>
  <c r="S7671" i="29"/>
  <c r="S7672" i="29"/>
  <c r="S7673" i="29"/>
  <c r="S7674" i="29"/>
  <c r="S7675" i="29"/>
  <c r="S7676" i="29"/>
  <c r="S7677" i="29"/>
  <c r="S7678" i="29"/>
  <c r="S7679" i="29"/>
  <c r="S7680" i="29"/>
  <c r="S7681" i="29"/>
  <c r="S7682" i="29"/>
  <c r="S7683" i="29"/>
  <c r="S7684" i="29"/>
  <c r="S7685" i="29"/>
  <c r="S7686" i="29"/>
  <c r="S7687" i="29"/>
  <c r="S7688" i="29"/>
  <c r="S7689" i="29"/>
  <c r="S7690" i="29"/>
  <c r="S7691" i="29"/>
  <c r="S7692" i="29"/>
  <c r="S7693" i="29"/>
  <c r="S7694" i="29"/>
  <c r="S7695" i="29"/>
  <c r="S7696" i="29"/>
  <c r="S7697" i="29"/>
  <c r="S7698" i="29"/>
  <c r="S7699" i="29"/>
  <c r="S7700" i="29"/>
  <c r="S7701" i="29"/>
  <c r="S7702" i="29"/>
  <c r="S7703" i="29"/>
  <c r="S7704" i="29"/>
  <c r="S7705" i="29"/>
  <c r="S7706" i="29"/>
  <c r="S7707" i="29"/>
  <c r="S7708" i="29"/>
  <c r="S7709" i="29"/>
  <c r="S7710" i="29"/>
  <c r="S7711" i="29"/>
  <c r="S7712" i="29"/>
  <c r="S7713" i="29"/>
  <c r="S7714" i="29"/>
  <c r="S7715" i="29"/>
  <c r="S7716" i="29"/>
  <c r="S7717" i="29"/>
  <c r="S7718" i="29"/>
  <c r="S7719" i="29"/>
  <c r="S7720" i="29"/>
  <c r="S7721" i="29"/>
  <c r="S7722" i="29"/>
  <c r="S7723" i="29"/>
  <c r="S7724" i="29"/>
  <c r="S7725" i="29"/>
  <c r="S7726" i="29"/>
  <c r="S7727" i="29"/>
  <c r="S7728" i="29"/>
  <c r="S7729" i="29"/>
  <c r="S7730" i="29"/>
  <c r="S7731" i="29"/>
  <c r="S7732" i="29"/>
  <c r="S7733" i="29"/>
  <c r="S7734" i="29"/>
  <c r="S7735" i="29"/>
  <c r="S7736" i="29"/>
  <c r="S7737" i="29"/>
  <c r="S7738" i="29"/>
  <c r="S7739" i="29"/>
  <c r="S7740" i="29"/>
  <c r="S7741" i="29"/>
  <c r="S7742" i="29"/>
  <c r="S7743" i="29"/>
  <c r="S7744" i="29"/>
  <c r="S7745" i="29"/>
  <c r="S7746" i="29"/>
  <c r="S7747" i="29"/>
  <c r="S7748" i="29"/>
  <c r="S7749" i="29"/>
  <c r="S7750" i="29"/>
  <c r="S7751" i="29"/>
  <c r="S7752" i="29"/>
  <c r="S7753" i="29"/>
  <c r="S7754" i="29"/>
  <c r="S7755" i="29"/>
  <c r="S7756" i="29"/>
  <c r="S7757" i="29"/>
  <c r="S7758" i="29"/>
  <c r="S7759" i="29"/>
  <c r="S7760" i="29"/>
  <c r="S7761" i="29"/>
  <c r="S7762" i="29"/>
  <c r="S7763" i="29"/>
  <c r="S7764" i="29"/>
  <c r="S7765" i="29"/>
  <c r="S7766" i="29"/>
  <c r="S7767" i="29"/>
  <c r="S7768" i="29"/>
  <c r="S7769" i="29"/>
  <c r="S7770" i="29"/>
  <c r="S7771" i="29"/>
  <c r="S7772" i="29"/>
  <c r="S7773" i="29"/>
  <c r="S7774" i="29"/>
  <c r="S7775" i="29"/>
  <c r="S7776" i="29"/>
  <c r="S7777" i="29"/>
  <c r="S7778" i="29"/>
  <c r="S7779" i="29"/>
  <c r="S7780" i="29"/>
  <c r="S7781" i="29"/>
  <c r="S7782" i="29"/>
  <c r="S7783" i="29"/>
  <c r="S7784" i="29"/>
  <c r="S7785" i="29"/>
  <c r="S7786" i="29"/>
  <c r="S7787" i="29"/>
  <c r="S7788" i="29"/>
  <c r="S7789" i="29"/>
  <c r="S7790" i="29"/>
  <c r="S7791" i="29"/>
  <c r="S7792" i="29"/>
  <c r="S7793" i="29"/>
  <c r="S7794" i="29"/>
  <c r="S7795" i="29"/>
  <c r="S7796" i="29"/>
  <c r="S7797" i="29"/>
  <c r="S7798" i="29"/>
  <c r="S7799" i="29"/>
  <c r="S7800" i="29"/>
  <c r="S7801" i="29"/>
  <c r="S7802" i="29"/>
  <c r="S7803" i="29"/>
  <c r="S7804" i="29"/>
  <c r="S7805" i="29"/>
  <c r="S7806" i="29"/>
  <c r="S7807" i="29"/>
  <c r="S7808" i="29"/>
  <c r="S7809" i="29"/>
  <c r="S7810" i="29"/>
  <c r="S7811" i="29"/>
  <c r="S7812" i="29"/>
  <c r="S7813" i="29"/>
  <c r="S7814" i="29"/>
  <c r="S7815" i="29"/>
  <c r="S7816" i="29"/>
  <c r="S7817" i="29"/>
  <c r="S7818" i="29"/>
  <c r="S7819" i="29"/>
  <c r="S7820" i="29"/>
  <c r="S7821" i="29"/>
  <c r="S7822" i="29"/>
  <c r="S7823" i="29"/>
  <c r="S7824" i="29"/>
  <c r="S7825" i="29"/>
  <c r="S7826" i="29"/>
  <c r="S7827" i="29"/>
  <c r="S7828" i="29"/>
  <c r="S7829" i="29"/>
  <c r="S7830" i="29"/>
  <c r="S7831" i="29"/>
  <c r="S7832" i="29"/>
  <c r="S7833" i="29"/>
  <c r="S7834" i="29"/>
  <c r="S7835" i="29"/>
  <c r="S7836" i="29"/>
  <c r="S7837" i="29"/>
  <c r="S7838" i="29"/>
  <c r="S7839" i="29"/>
  <c r="S7840" i="29"/>
  <c r="S7841" i="29"/>
  <c r="S7842" i="29"/>
  <c r="S7843" i="29"/>
  <c r="S7844" i="29"/>
  <c r="S7845" i="29"/>
  <c r="S7846" i="29"/>
  <c r="S7847" i="29"/>
  <c r="S7848" i="29"/>
  <c r="S7849" i="29"/>
  <c r="S7850" i="29"/>
  <c r="S7851" i="29"/>
  <c r="S7852" i="29"/>
  <c r="S7853" i="29"/>
  <c r="S7854" i="29"/>
  <c r="S7855" i="29"/>
  <c r="S7856" i="29"/>
  <c r="S7857" i="29"/>
  <c r="S7858" i="29"/>
  <c r="S7859" i="29"/>
  <c r="S7860" i="29"/>
  <c r="S7861" i="29"/>
  <c r="S7862" i="29"/>
  <c r="S7863" i="29"/>
  <c r="S7864" i="29"/>
  <c r="S7865" i="29"/>
  <c r="S7866" i="29"/>
  <c r="S7867" i="29"/>
  <c r="S7868" i="29"/>
  <c r="S7869" i="29"/>
  <c r="S7870" i="29"/>
  <c r="S7871" i="29"/>
  <c r="S7872" i="29"/>
  <c r="S7873" i="29"/>
  <c r="S7874" i="29"/>
  <c r="S7875" i="29"/>
  <c r="S7876" i="29"/>
  <c r="S7877" i="29"/>
  <c r="S7878" i="29"/>
  <c r="S7879" i="29"/>
  <c r="S7880" i="29"/>
  <c r="S7881" i="29"/>
  <c r="S7882" i="29"/>
  <c r="S7883" i="29"/>
  <c r="S7884" i="29"/>
  <c r="S7885" i="29"/>
  <c r="S7886" i="29"/>
  <c r="S7887" i="29"/>
  <c r="S7888" i="29"/>
  <c r="S7889" i="29"/>
  <c r="S7890" i="29"/>
  <c r="S7891" i="29"/>
  <c r="S7892" i="29"/>
  <c r="S7893" i="29"/>
  <c r="S7894" i="29"/>
  <c r="S7895" i="29"/>
  <c r="S7896" i="29"/>
  <c r="S7897" i="29"/>
  <c r="S7898" i="29"/>
  <c r="S7899" i="29"/>
  <c r="S7900" i="29"/>
  <c r="S7901" i="29"/>
  <c r="S7902" i="29"/>
  <c r="S7903" i="29"/>
  <c r="S7904" i="29"/>
  <c r="S7905" i="29"/>
  <c r="S7906" i="29"/>
  <c r="S7907" i="29"/>
  <c r="S7908" i="29"/>
  <c r="S7909" i="29"/>
  <c r="S7910" i="29"/>
  <c r="S7911" i="29"/>
  <c r="S7912" i="29"/>
  <c r="S7913" i="29"/>
  <c r="S7914" i="29"/>
  <c r="S7915" i="29"/>
  <c r="S7916" i="29"/>
  <c r="S7917" i="29"/>
  <c r="S7918" i="29"/>
  <c r="S7919" i="29"/>
  <c r="S7920" i="29"/>
  <c r="S7921" i="29"/>
  <c r="S7922" i="29"/>
  <c r="S7923" i="29"/>
  <c r="S7924" i="29"/>
  <c r="S7925" i="29"/>
  <c r="S7926" i="29"/>
  <c r="S7927" i="29"/>
  <c r="S7928" i="29"/>
  <c r="S7929" i="29"/>
  <c r="S7930" i="29"/>
  <c r="S7931" i="29"/>
  <c r="S7932" i="29"/>
  <c r="S7933" i="29"/>
  <c r="S7934" i="29"/>
  <c r="S7935" i="29"/>
  <c r="S7936" i="29"/>
  <c r="S7937" i="29"/>
  <c r="S7938" i="29"/>
  <c r="S7939" i="29"/>
  <c r="S7940" i="29"/>
  <c r="S7941" i="29"/>
  <c r="S7942" i="29"/>
  <c r="S7943" i="29"/>
  <c r="S7944" i="29"/>
  <c r="S7945" i="29"/>
  <c r="S7946" i="29"/>
  <c r="S7947" i="29"/>
  <c r="S7948" i="29"/>
  <c r="S7949" i="29"/>
  <c r="S7950" i="29"/>
  <c r="S7951" i="29"/>
  <c r="S7952" i="29"/>
  <c r="S7953" i="29"/>
  <c r="S7954" i="29"/>
  <c r="S7955" i="29"/>
  <c r="S7956" i="29"/>
  <c r="S7957" i="29"/>
  <c r="S7958" i="29"/>
  <c r="S7959" i="29"/>
  <c r="S7960" i="29"/>
  <c r="S7961" i="29"/>
  <c r="S7962" i="29"/>
  <c r="S7963" i="29"/>
  <c r="S7964" i="29"/>
  <c r="S7965" i="29"/>
  <c r="S7966" i="29"/>
  <c r="S7967" i="29"/>
  <c r="S7968" i="29"/>
  <c r="S7969" i="29"/>
  <c r="S7970" i="29"/>
  <c r="S7971" i="29"/>
  <c r="S7972" i="29"/>
  <c r="S7973" i="29"/>
  <c r="S7974" i="29"/>
  <c r="S7975" i="29"/>
  <c r="S7976" i="29"/>
  <c r="S7977" i="29"/>
  <c r="S7978" i="29"/>
  <c r="S7979" i="29"/>
  <c r="S7980" i="29"/>
  <c r="S7981" i="29"/>
  <c r="S7982" i="29"/>
  <c r="S7983" i="29"/>
  <c r="S7984" i="29"/>
  <c r="S7985" i="29"/>
  <c r="S7986" i="29"/>
  <c r="S7987" i="29"/>
  <c r="S7988" i="29"/>
  <c r="S7989" i="29"/>
  <c r="S7990" i="29"/>
  <c r="S7991" i="29"/>
  <c r="S7992" i="29"/>
  <c r="S7993" i="29"/>
  <c r="S7994" i="29"/>
  <c r="S7995" i="29"/>
  <c r="S7996" i="29"/>
  <c r="S7997" i="29"/>
  <c r="S7998" i="29"/>
  <c r="S7999" i="29"/>
  <c r="S8000" i="29"/>
  <c r="S8001" i="29"/>
  <c r="S8002" i="29"/>
  <c r="S8003" i="29"/>
  <c r="S8004" i="29"/>
  <c r="S8005" i="29"/>
  <c r="S8006" i="29"/>
  <c r="S8007" i="29"/>
  <c r="S8008" i="29"/>
  <c r="S8009" i="29"/>
  <c r="S8010" i="29"/>
  <c r="S8011" i="29"/>
  <c r="S8012" i="29"/>
  <c r="S8013" i="29"/>
  <c r="S8014" i="29"/>
  <c r="S8015" i="29"/>
  <c r="S8016" i="29"/>
  <c r="S8017" i="29"/>
  <c r="S8018" i="29"/>
  <c r="S8019" i="29"/>
  <c r="S8020" i="29"/>
  <c r="S8021" i="29"/>
  <c r="S8022" i="29"/>
  <c r="S8023" i="29"/>
  <c r="S8024" i="29"/>
  <c r="S8025" i="29"/>
  <c r="S8026" i="29"/>
  <c r="S8027" i="29"/>
  <c r="S8028" i="29"/>
  <c r="S8029" i="29"/>
  <c r="S8030" i="29"/>
  <c r="S8031" i="29"/>
  <c r="S8032" i="29"/>
  <c r="S8033" i="29"/>
  <c r="S8034" i="29"/>
  <c r="S8035" i="29"/>
  <c r="S8036" i="29"/>
  <c r="S8037" i="29"/>
  <c r="S8038" i="29"/>
  <c r="S8039" i="29"/>
  <c r="S8040" i="29"/>
  <c r="S8041" i="29"/>
  <c r="S8042" i="29"/>
  <c r="S8043" i="29"/>
  <c r="S8044" i="29"/>
  <c r="S8045" i="29"/>
  <c r="S8046" i="29"/>
  <c r="S8047" i="29"/>
  <c r="S8048" i="29"/>
  <c r="S8049" i="29"/>
  <c r="S8050" i="29"/>
  <c r="S8051" i="29"/>
  <c r="S8052" i="29"/>
  <c r="S8053" i="29"/>
  <c r="S8054" i="29"/>
  <c r="S8055" i="29"/>
  <c r="S8056" i="29"/>
  <c r="S8057" i="29"/>
  <c r="S8058" i="29"/>
  <c r="S8059" i="29"/>
  <c r="S8060" i="29"/>
  <c r="S8061" i="29"/>
  <c r="S8062" i="29"/>
  <c r="S8063" i="29"/>
  <c r="S8064" i="29"/>
  <c r="S8065" i="29"/>
  <c r="S8066" i="29"/>
  <c r="S8067" i="29"/>
  <c r="S8068" i="29"/>
  <c r="S8069" i="29"/>
  <c r="S8070" i="29"/>
  <c r="S8071" i="29"/>
  <c r="S8072" i="29"/>
  <c r="S8073" i="29"/>
  <c r="S8074" i="29"/>
  <c r="S8075" i="29"/>
  <c r="S8076" i="29"/>
  <c r="S8077" i="29"/>
  <c r="S8078" i="29"/>
  <c r="S8079" i="29"/>
  <c r="S8080" i="29"/>
  <c r="S8081" i="29"/>
  <c r="S8082" i="29"/>
  <c r="S8083" i="29"/>
  <c r="S8084" i="29"/>
  <c r="S8085" i="29"/>
  <c r="S8086" i="29"/>
  <c r="S8087" i="29"/>
  <c r="S8088" i="29"/>
  <c r="S8089" i="29"/>
  <c r="S8090" i="29"/>
  <c r="S8091" i="29"/>
  <c r="S8092" i="29"/>
  <c r="S8093" i="29"/>
  <c r="S8094" i="29"/>
  <c r="S8095" i="29"/>
  <c r="S8096" i="29"/>
  <c r="S8097" i="29"/>
  <c r="S8098" i="29"/>
  <c r="S8099" i="29"/>
  <c r="S8100" i="29"/>
  <c r="S8101" i="29"/>
  <c r="S8102" i="29"/>
  <c r="S8103" i="29"/>
  <c r="S8104" i="29"/>
  <c r="S8105" i="29"/>
  <c r="S8106" i="29"/>
  <c r="S8107" i="29"/>
  <c r="S8108" i="29"/>
  <c r="S8109" i="29"/>
  <c r="S8110" i="29"/>
  <c r="S8111" i="29"/>
  <c r="S8112" i="29"/>
  <c r="S8113" i="29"/>
  <c r="S8114" i="29"/>
  <c r="S8115" i="29"/>
  <c r="S8116" i="29"/>
  <c r="S8117" i="29"/>
  <c r="S8118" i="29"/>
  <c r="S8119" i="29"/>
  <c r="S8120" i="29"/>
  <c r="S8121" i="29"/>
  <c r="S8122" i="29"/>
  <c r="S8123" i="29"/>
  <c r="S8124" i="29"/>
  <c r="S8125" i="29"/>
  <c r="S8126" i="29"/>
  <c r="S8127" i="29"/>
  <c r="S8128" i="29"/>
  <c r="S8129" i="29"/>
  <c r="S8130" i="29"/>
  <c r="S8131" i="29"/>
  <c r="S8132" i="29"/>
  <c r="S8133" i="29"/>
  <c r="S8134" i="29"/>
  <c r="S8135" i="29"/>
  <c r="S8136" i="29"/>
  <c r="S8137" i="29"/>
  <c r="S8138" i="29"/>
  <c r="S8139" i="29"/>
  <c r="S8140" i="29"/>
  <c r="S8141" i="29"/>
  <c r="S8142" i="29"/>
  <c r="S8143" i="29"/>
  <c r="S8144" i="29"/>
  <c r="S8145" i="29"/>
  <c r="S8146" i="29"/>
  <c r="S8147" i="29"/>
  <c r="S8148" i="29"/>
  <c r="S8149" i="29"/>
  <c r="S8150" i="29"/>
  <c r="S8151" i="29"/>
  <c r="S8152" i="29"/>
  <c r="S8153" i="29"/>
  <c r="S8154" i="29"/>
  <c r="S8155" i="29"/>
  <c r="S8156" i="29"/>
  <c r="S8157" i="29"/>
  <c r="S8158" i="29"/>
  <c r="S8159" i="29"/>
  <c r="S8160" i="29"/>
  <c r="S8161" i="29"/>
  <c r="S8162" i="29"/>
  <c r="S8163" i="29"/>
  <c r="S8164" i="29"/>
  <c r="S8165" i="29"/>
  <c r="S8166" i="29"/>
  <c r="S8167" i="29"/>
  <c r="S8168" i="29"/>
  <c r="S8169" i="29"/>
  <c r="S8170" i="29"/>
  <c r="S8171" i="29"/>
  <c r="S8172" i="29"/>
  <c r="S8173" i="29"/>
  <c r="S8174" i="29"/>
  <c r="S8175" i="29"/>
  <c r="S8176" i="29"/>
  <c r="S8177" i="29"/>
  <c r="S8178" i="29"/>
  <c r="S8179" i="29"/>
  <c r="S8180" i="29"/>
  <c r="S8181" i="29"/>
  <c r="S8182" i="29"/>
  <c r="S8183" i="29"/>
  <c r="S8184" i="29"/>
  <c r="S8185" i="29"/>
  <c r="S8186" i="29"/>
  <c r="S8187" i="29"/>
  <c r="S8188" i="29"/>
  <c r="S8189" i="29"/>
  <c r="S8190" i="29"/>
  <c r="S8191" i="29"/>
  <c r="S8192" i="29"/>
  <c r="S8193" i="29"/>
  <c r="S8194" i="29"/>
  <c r="S8195" i="29"/>
  <c r="S8196" i="29"/>
  <c r="S8197" i="29"/>
  <c r="S8198" i="29"/>
  <c r="S8199" i="29"/>
  <c r="S8200" i="29"/>
  <c r="S8201" i="29"/>
  <c r="S8202" i="29"/>
  <c r="S8203" i="29"/>
  <c r="S8204" i="29"/>
  <c r="S8205" i="29"/>
  <c r="S8206" i="29"/>
  <c r="S8207" i="29"/>
  <c r="S8208" i="29"/>
  <c r="S8209" i="29"/>
  <c r="S8210" i="29"/>
  <c r="S8211" i="29"/>
  <c r="S8212" i="29"/>
  <c r="S8213" i="29"/>
  <c r="S8214" i="29"/>
  <c r="S8215" i="29"/>
  <c r="S8216" i="29"/>
  <c r="S8217" i="29"/>
  <c r="S8218" i="29"/>
  <c r="S8219" i="29"/>
  <c r="S8220" i="29"/>
  <c r="S8221" i="29"/>
  <c r="S8222" i="29"/>
  <c r="S8223" i="29"/>
  <c r="S8224" i="29"/>
  <c r="S8225" i="29"/>
  <c r="S8226" i="29"/>
  <c r="S8227" i="29"/>
  <c r="S8228" i="29"/>
  <c r="S8229" i="29"/>
  <c r="S8230" i="29"/>
  <c r="S8231" i="29"/>
  <c r="S8232" i="29"/>
  <c r="S8233" i="29"/>
  <c r="S8234" i="29"/>
  <c r="S8235" i="29"/>
  <c r="S8236" i="29"/>
  <c r="S8237" i="29"/>
  <c r="S8238" i="29"/>
  <c r="S8239" i="29"/>
  <c r="S8240" i="29"/>
  <c r="S8241" i="29"/>
  <c r="S8242" i="29"/>
  <c r="S8243" i="29"/>
  <c r="S8244" i="29"/>
  <c r="S8245" i="29"/>
  <c r="S8246" i="29"/>
  <c r="S8247" i="29"/>
  <c r="S8248" i="29"/>
  <c r="S8249" i="29"/>
  <c r="S8250" i="29"/>
  <c r="S8251" i="29"/>
  <c r="S8252" i="29"/>
  <c r="S8253" i="29"/>
  <c r="S8254" i="29"/>
  <c r="S8255" i="29"/>
  <c r="S8256" i="29"/>
  <c r="S8257" i="29"/>
  <c r="S8258" i="29"/>
  <c r="S8259" i="29"/>
  <c r="S8260" i="29"/>
  <c r="S8261" i="29"/>
  <c r="S8262" i="29"/>
  <c r="S8263" i="29"/>
  <c r="S8264" i="29"/>
  <c r="S8265" i="29"/>
  <c r="S8266" i="29"/>
  <c r="S8267" i="29"/>
  <c r="S8268" i="29"/>
  <c r="S8269" i="29"/>
  <c r="S8270" i="29"/>
  <c r="S8271" i="29"/>
  <c r="S8272" i="29"/>
  <c r="S8273" i="29"/>
  <c r="S8274" i="29"/>
  <c r="S8275" i="29"/>
  <c r="S8276" i="29"/>
  <c r="S8277" i="29"/>
  <c r="S8278" i="29"/>
  <c r="S8279" i="29"/>
  <c r="S8280" i="29"/>
  <c r="S8281" i="29"/>
  <c r="S8282" i="29"/>
  <c r="S8283" i="29"/>
  <c r="S8284" i="29"/>
  <c r="S8285" i="29"/>
  <c r="S8286" i="29"/>
  <c r="S8287" i="29"/>
  <c r="S8288" i="29"/>
  <c r="S8289" i="29"/>
  <c r="S8290" i="29"/>
  <c r="S8291" i="29"/>
  <c r="S8292" i="29"/>
  <c r="S8293" i="29"/>
  <c r="S8294" i="29"/>
  <c r="S8295" i="29"/>
  <c r="S8296" i="29"/>
  <c r="S8297" i="29"/>
  <c r="S8298" i="29"/>
  <c r="S8299" i="29"/>
  <c r="S8300" i="29"/>
  <c r="S8301" i="29"/>
  <c r="S8302" i="29"/>
  <c r="S8303" i="29"/>
  <c r="S8304" i="29"/>
  <c r="S8305" i="29"/>
  <c r="S8306" i="29"/>
  <c r="S8307" i="29"/>
  <c r="S8308" i="29"/>
  <c r="S8309" i="29"/>
  <c r="S8310" i="29"/>
  <c r="S8311" i="29"/>
  <c r="S8312" i="29"/>
  <c r="S8313" i="29"/>
  <c r="S8314" i="29"/>
  <c r="S8315" i="29"/>
  <c r="S8316" i="29"/>
  <c r="S8317" i="29"/>
  <c r="S8318" i="29"/>
  <c r="S8319" i="29"/>
  <c r="S8320" i="29"/>
  <c r="S8321" i="29"/>
  <c r="S8322" i="29"/>
  <c r="S8323" i="29"/>
  <c r="S8324" i="29"/>
  <c r="S8325" i="29"/>
  <c r="S8326" i="29"/>
  <c r="S8327" i="29"/>
  <c r="S8328" i="29"/>
  <c r="S8329" i="29"/>
  <c r="S8330" i="29"/>
  <c r="S8331" i="29"/>
  <c r="S8332" i="29"/>
  <c r="S8333" i="29"/>
  <c r="S8334" i="29"/>
  <c r="S8335" i="29"/>
  <c r="S8336" i="29"/>
  <c r="S8337" i="29"/>
  <c r="S8338" i="29"/>
  <c r="S8339" i="29"/>
  <c r="S8340" i="29"/>
  <c r="S8341" i="29"/>
  <c r="S8342" i="29"/>
  <c r="S8343" i="29"/>
  <c r="S8344" i="29"/>
  <c r="S8345" i="29"/>
  <c r="S8346" i="29"/>
  <c r="S8347" i="29"/>
  <c r="S8348" i="29"/>
  <c r="S8349" i="29"/>
  <c r="S8350" i="29"/>
  <c r="S8351" i="29"/>
  <c r="S8352" i="29"/>
  <c r="S8353" i="29"/>
  <c r="S8354" i="29"/>
  <c r="S8355" i="29"/>
  <c r="S8356" i="29"/>
  <c r="S8357" i="29"/>
  <c r="S8358" i="29"/>
  <c r="S8359" i="29"/>
  <c r="S8360" i="29"/>
  <c r="S8361" i="29"/>
  <c r="S8362" i="29"/>
  <c r="S8363" i="29"/>
  <c r="S8364" i="29"/>
  <c r="S8365" i="29"/>
  <c r="S8366" i="29"/>
  <c r="S8367" i="29"/>
  <c r="S8368" i="29"/>
  <c r="S8369" i="29"/>
  <c r="S8370" i="29"/>
  <c r="S8371" i="29"/>
  <c r="S8372" i="29"/>
  <c r="S8373" i="29"/>
  <c r="S8374" i="29"/>
  <c r="S8375" i="29"/>
  <c r="S8376" i="29"/>
  <c r="S8377" i="29"/>
  <c r="S8378" i="29"/>
  <c r="S8379" i="29"/>
  <c r="S8380" i="29"/>
  <c r="S8381" i="29"/>
  <c r="S8382" i="29"/>
  <c r="S8383" i="29"/>
  <c r="S8384" i="29"/>
  <c r="S8385" i="29"/>
  <c r="S8386" i="29"/>
  <c r="S8387" i="29"/>
  <c r="S8388" i="29"/>
  <c r="S8389" i="29"/>
  <c r="S8390" i="29"/>
  <c r="S8391" i="29"/>
  <c r="S8392" i="29"/>
  <c r="S8393" i="29"/>
  <c r="S8394" i="29"/>
  <c r="S8395" i="29"/>
  <c r="S8396" i="29"/>
  <c r="S8397" i="29"/>
  <c r="S8398" i="29"/>
  <c r="S8399" i="29"/>
  <c r="S8400" i="29"/>
  <c r="S8401" i="29"/>
  <c r="S8402" i="29"/>
  <c r="S8403" i="29"/>
  <c r="S8404" i="29"/>
  <c r="S8405" i="29"/>
  <c r="S8406" i="29"/>
  <c r="S8407" i="29"/>
  <c r="S8408" i="29"/>
  <c r="S8409" i="29"/>
  <c r="S8410" i="29"/>
  <c r="S8411" i="29"/>
  <c r="S8412" i="29"/>
  <c r="S8413" i="29"/>
  <c r="S8414" i="29"/>
  <c r="S8415" i="29"/>
  <c r="S8416" i="29"/>
  <c r="S8417" i="29"/>
  <c r="S8418" i="29"/>
  <c r="S8419" i="29"/>
  <c r="S8420" i="29"/>
  <c r="S8421" i="29"/>
  <c r="S8422" i="29"/>
  <c r="S8423" i="29"/>
  <c r="S8424" i="29"/>
  <c r="S8425" i="29"/>
  <c r="S8426" i="29"/>
  <c r="S8427" i="29"/>
  <c r="S8428" i="29"/>
  <c r="S8429" i="29"/>
  <c r="S8430" i="29"/>
  <c r="S8431" i="29"/>
  <c r="S8432" i="29"/>
  <c r="S8433" i="29"/>
  <c r="S8434" i="29"/>
  <c r="S8435" i="29"/>
  <c r="S8436" i="29"/>
  <c r="S8437" i="29"/>
  <c r="S8438" i="29"/>
  <c r="S8439" i="29"/>
  <c r="S8440" i="29"/>
  <c r="S8441" i="29"/>
  <c r="S8442" i="29"/>
  <c r="S8443" i="29"/>
  <c r="S8444" i="29"/>
  <c r="S8445" i="29"/>
  <c r="S8446" i="29"/>
  <c r="S8447" i="29"/>
  <c r="S8448" i="29"/>
  <c r="S8449" i="29"/>
  <c r="S8450" i="29"/>
  <c r="S8451" i="29"/>
  <c r="S8452" i="29"/>
  <c r="S8453" i="29"/>
  <c r="S8454" i="29"/>
  <c r="S8455" i="29"/>
  <c r="S8456" i="29"/>
  <c r="S8457" i="29"/>
  <c r="S8458" i="29"/>
  <c r="S8459" i="29"/>
  <c r="S8460" i="29"/>
  <c r="S8461" i="29"/>
  <c r="S8462" i="29"/>
  <c r="S8463" i="29"/>
  <c r="S8464" i="29"/>
  <c r="S8465" i="29"/>
  <c r="S8466" i="29"/>
  <c r="S8467" i="29"/>
  <c r="S8468" i="29"/>
  <c r="S8469" i="29"/>
  <c r="S8470" i="29"/>
  <c r="S8471" i="29"/>
  <c r="S8472" i="29"/>
  <c r="S8473" i="29"/>
  <c r="S8474" i="29"/>
  <c r="S8475" i="29"/>
  <c r="S8476" i="29"/>
  <c r="S8477" i="29"/>
  <c r="S8478" i="29"/>
  <c r="S8479" i="29"/>
  <c r="S8480" i="29"/>
  <c r="S8481" i="29"/>
  <c r="S8482" i="29"/>
  <c r="S8483" i="29"/>
  <c r="S8484" i="29"/>
  <c r="S8485" i="29"/>
  <c r="S8486" i="29"/>
  <c r="S8487" i="29"/>
  <c r="S8488" i="29"/>
  <c r="S8489" i="29"/>
  <c r="S8490" i="29"/>
  <c r="S8491" i="29"/>
  <c r="S8492" i="29"/>
  <c r="S8493" i="29"/>
  <c r="S8494" i="29"/>
  <c r="S8495" i="29"/>
  <c r="S8496" i="29"/>
  <c r="S8497" i="29"/>
  <c r="S8498" i="29"/>
  <c r="S8499" i="29"/>
  <c r="S8500" i="29"/>
  <c r="S8501" i="29"/>
  <c r="S8502" i="29"/>
  <c r="S8503" i="29"/>
  <c r="S8504" i="29"/>
  <c r="S8505" i="29"/>
  <c r="S8506" i="29"/>
  <c r="S8507" i="29"/>
  <c r="S8508" i="29"/>
  <c r="S8509" i="29"/>
  <c r="S8510" i="29"/>
  <c r="S8511" i="29"/>
  <c r="S8512" i="29"/>
  <c r="S8513" i="29"/>
  <c r="S8514" i="29"/>
  <c r="S8515" i="29"/>
  <c r="S8516" i="29"/>
  <c r="S8517" i="29"/>
  <c r="S8518" i="29"/>
  <c r="S8519" i="29"/>
  <c r="S8520" i="29"/>
  <c r="S8521" i="29"/>
  <c r="S8522" i="29"/>
  <c r="S8523" i="29"/>
  <c r="S8524" i="29"/>
  <c r="S8525" i="29"/>
  <c r="S8526" i="29"/>
  <c r="S8527" i="29"/>
  <c r="S8528" i="29"/>
  <c r="S8529" i="29"/>
  <c r="S8530" i="29"/>
  <c r="S8531" i="29"/>
  <c r="S8532" i="29"/>
  <c r="S8533" i="29"/>
  <c r="S8534" i="29"/>
  <c r="S8535" i="29"/>
  <c r="S8536" i="29"/>
  <c r="S8537" i="29"/>
  <c r="S8538" i="29"/>
  <c r="S8539" i="29"/>
  <c r="S8540" i="29"/>
  <c r="S8541" i="29"/>
  <c r="S8542" i="29"/>
  <c r="S8543" i="29"/>
  <c r="S8544" i="29"/>
  <c r="S8545" i="29"/>
  <c r="S8546" i="29"/>
  <c r="S8547" i="29"/>
  <c r="S8548" i="29"/>
  <c r="S8549" i="29"/>
  <c r="S8550" i="29"/>
  <c r="S8551" i="29"/>
  <c r="S8552" i="29"/>
  <c r="S8553" i="29"/>
  <c r="S8554" i="29"/>
  <c r="S8555" i="29"/>
  <c r="S8556" i="29"/>
  <c r="S8557" i="29"/>
  <c r="S8558" i="29"/>
  <c r="S8559" i="29"/>
  <c r="S8560" i="29"/>
  <c r="S8561" i="29"/>
  <c r="S8562" i="29"/>
  <c r="S8563" i="29"/>
  <c r="S8564" i="29"/>
  <c r="S8565" i="29"/>
  <c r="S8566" i="29"/>
  <c r="S8567" i="29"/>
  <c r="S8568" i="29"/>
  <c r="S8569" i="29"/>
  <c r="S8570" i="29"/>
  <c r="S8571" i="29"/>
  <c r="S8572" i="29"/>
  <c r="S8573" i="29"/>
  <c r="S8574" i="29"/>
  <c r="S8575" i="29"/>
  <c r="S8576" i="29"/>
  <c r="S8577" i="29"/>
  <c r="S8578" i="29"/>
  <c r="S8579" i="29"/>
  <c r="S8580" i="29"/>
  <c r="S8581" i="29"/>
  <c r="S8582" i="29"/>
  <c r="S8583" i="29"/>
  <c r="S8584" i="29"/>
  <c r="S8585" i="29"/>
  <c r="S8586" i="29"/>
  <c r="S8587" i="29"/>
  <c r="S8588" i="29"/>
  <c r="S8589" i="29"/>
  <c r="S8590" i="29"/>
  <c r="S8591" i="29"/>
  <c r="S8592" i="29"/>
  <c r="S8593" i="29"/>
  <c r="S8594" i="29"/>
  <c r="S8595" i="29"/>
  <c r="S8596" i="29"/>
  <c r="S8597" i="29"/>
  <c r="S8598" i="29"/>
  <c r="S8599" i="29"/>
  <c r="S8600" i="29"/>
  <c r="S8601" i="29"/>
  <c r="S8602" i="29"/>
  <c r="S8603" i="29"/>
  <c r="S8604" i="29"/>
  <c r="S8605" i="29"/>
  <c r="S8606" i="29"/>
  <c r="S8607" i="29"/>
  <c r="S8608" i="29"/>
  <c r="S8609" i="29"/>
  <c r="S8610" i="29"/>
  <c r="S8611" i="29"/>
  <c r="S8612" i="29"/>
  <c r="S8613" i="29"/>
  <c r="S8614" i="29"/>
  <c r="S8615" i="29"/>
  <c r="S8616" i="29"/>
  <c r="S8617" i="29"/>
  <c r="S8618" i="29"/>
  <c r="S8619" i="29"/>
  <c r="S8620" i="29"/>
  <c r="S8621" i="29"/>
  <c r="S8622" i="29"/>
  <c r="S8623" i="29"/>
  <c r="S8624" i="29"/>
  <c r="S8625" i="29"/>
  <c r="S8626" i="29"/>
  <c r="S8627" i="29"/>
  <c r="S8628" i="29"/>
  <c r="S8629" i="29"/>
  <c r="S8630" i="29"/>
  <c r="S8631" i="29"/>
  <c r="S8632" i="29"/>
  <c r="S8633" i="29"/>
  <c r="S8634" i="29"/>
  <c r="S8635" i="29"/>
  <c r="S8636" i="29"/>
  <c r="S8637" i="29"/>
  <c r="S8638" i="29"/>
  <c r="S8639" i="29"/>
  <c r="S8640" i="29"/>
  <c r="S8641" i="29"/>
  <c r="S8642" i="29"/>
  <c r="S8643" i="29"/>
  <c r="S8644" i="29"/>
  <c r="S8645" i="29"/>
  <c r="S8646" i="29"/>
  <c r="S8647" i="29"/>
  <c r="S8648" i="29"/>
  <c r="S8649" i="29"/>
  <c r="S8650" i="29"/>
  <c r="S8651" i="29"/>
  <c r="S8652" i="29"/>
  <c r="S8653" i="29"/>
  <c r="S8654" i="29"/>
  <c r="S8655" i="29"/>
  <c r="S8656" i="29"/>
  <c r="S8657" i="29"/>
  <c r="S8658" i="29"/>
  <c r="S8659" i="29"/>
  <c r="S8660" i="29"/>
  <c r="S8661" i="29"/>
  <c r="S8662" i="29"/>
  <c r="S8663" i="29"/>
  <c r="S8664" i="29"/>
  <c r="S8665" i="29"/>
  <c r="S8666" i="29"/>
  <c r="S8667" i="29"/>
  <c r="S8668" i="29"/>
  <c r="S8669" i="29"/>
  <c r="S8670" i="29"/>
  <c r="S8671" i="29"/>
  <c r="S8672" i="29"/>
  <c r="S8673" i="29"/>
  <c r="S8674" i="29"/>
  <c r="S8675" i="29"/>
  <c r="S8676" i="29"/>
  <c r="S8677" i="29"/>
  <c r="S8678" i="29"/>
  <c r="S8679" i="29"/>
  <c r="S8680" i="29"/>
  <c r="S8681" i="29"/>
  <c r="S8682" i="29"/>
  <c r="S8683" i="29"/>
  <c r="S8684" i="29"/>
  <c r="S8685" i="29"/>
  <c r="S8686" i="29"/>
  <c r="S8687" i="29"/>
  <c r="S8688" i="29"/>
  <c r="S8689" i="29"/>
  <c r="S8690" i="29"/>
  <c r="S8691" i="29"/>
  <c r="S8692" i="29"/>
  <c r="S8693" i="29"/>
  <c r="S8694" i="29"/>
  <c r="S8695" i="29"/>
  <c r="S8696" i="29"/>
  <c r="S8697" i="29"/>
  <c r="S8698" i="29"/>
  <c r="S8699" i="29"/>
  <c r="S8700" i="29"/>
  <c r="S8701" i="29"/>
  <c r="S8702" i="29"/>
  <c r="S8703" i="29"/>
  <c r="S8704" i="29"/>
  <c r="S8705" i="29"/>
  <c r="S8706" i="29"/>
  <c r="S8707" i="29"/>
  <c r="S8708" i="29"/>
  <c r="S8709" i="29"/>
  <c r="S8710" i="29"/>
  <c r="S8711" i="29"/>
  <c r="S8712" i="29"/>
  <c r="S8713" i="29"/>
  <c r="S8714" i="29"/>
  <c r="S8715" i="29"/>
  <c r="S8716" i="29"/>
  <c r="S8717" i="29"/>
  <c r="S8718" i="29"/>
  <c r="S8719" i="29"/>
  <c r="S8720" i="29"/>
  <c r="S8721" i="29"/>
  <c r="S8722" i="29"/>
  <c r="S8723" i="29"/>
  <c r="S8724" i="29"/>
  <c r="S8725" i="29"/>
  <c r="S8726" i="29"/>
  <c r="S8727" i="29"/>
  <c r="S8728" i="29"/>
  <c r="S8729" i="29"/>
  <c r="S8730" i="29"/>
  <c r="S8731" i="29"/>
  <c r="S8732" i="29"/>
  <c r="S8733" i="29"/>
  <c r="S8734" i="29"/>
  <c r="S8735" i="29"/>
  <c r="S8736" i="29"/>
  <c r="S8737" i="29"/>
  <c r="S8738" i="29"/>
  <c r="S8739" i="29"/>
  <c r="S8740" i="29"/>
  <c r="S8741" i="29"/>
  <c r="S8742" i="29"/>
  <c r="S8743" i="29"/>
  <c r="S8744" i="29"/>
  <c r="S8745" i="29"/>
  <c r="S8746" i="29"/>
  <c r="S8747" i="29"/>
  <c r="S8748" i="29"/>
  <c r="S8749" i="29"/>
  <c r="S8750" i="29"/>
  <c r="S8751" i="29"/>
  <c r="S8752" i="29"/>
  <c r="S8753" i="29"/>
  <c r="S8754" i="29"/>
  <c r="S8755" i="29"/>
  <c r="S8756" i="29"/>
  <c r="S8757" i="29"/>
  <c r="S8758" i="29"/>
  <c r="S8759" i="29"/>
  <c r="S8760" i="29"/>
  <c r="S8761" i="29"/>
  <c r="S8762" i="29"/>
  <c r="S8763" i="29"/>
  <c r="S8764" i="29"/>
  <c r="S8765" i="29"/>
  <c r="S8766" i="29"/>
  <c r="S8767" i="29"/>
  <c r="S8768" i="29"/>
  <c r="S8769" i="29"/>
  <c r="S8770" i="29"/>
  <c r="S8771" i="29"/>
  <c r="S8772" i="29"/>
  <c r="S8773" i="29"/>
  <c r="S8774" i="29"/>
  <c r="S8775" i="29"/>
  <c r="S8776" i="29"/>
  <c r="S8777" i="29"/>
  <c r="S8778" i="29"/>
  <c r="S8779" i="29"/>
  <c r="S8780" i="29"/>
  <c r="S8781" i="29"/>
  <c r="S8782" i="29"/>
  <c r="S8783" i="29"/>
  <c r="S8784" i="29"/>
  <c r="S8785" i="29"/>
  <c r="S8786" i="29"/>
  <c r="S8787" i="29"/>
  <c r="S8788" i="29"/>
  <c r="S8789" i="29"/>
  <c r="S8790" i="29"/>
  <c r="S8791" i="29"/>
  <c r="S8792" i="29"/>
  <c r="S8793" i="29"/>
  <c r="S8794" i="29"/>
  <c r="S8795" i="29"/>
  <c r="S8796" i="29"/>
  <c r="S8797" i="29"/>
  <c r="S8798" i="29"/>
  <c r="S8799" i="29"/>
  <c r="S8800" i="29"/>
  <c r="S8801" i="29"/>
  <c r="S8802" i="29"/>
  <c r="S8803" i="29"/>
  <c r="S8804" i="29"/>
  <c r="S8805" i="29"/>
  <c r="S8806" i="29"/>
  <c r="S8807" i="29"/>
  <c r="S8808" i="29"/>
  <c r="S8809" i="29"/>
  <c r="S8810" i="29"/>
  <c r="S8811" i="29"/>
  <c r="S8812" i="29"/>
  <c r="S8813" i="29"/>
  <c r="S8814" i="29"/>
  <c r="S8815" i="29"/>
  <c r="S8816" i="29"/>
  <c r="S8817" i="29"/>
  <c r="S8818" i="29"/>
  <c r="S8819" i="29"/>
  <c r="S8820" i="29"/>
  <c r="S8821" i="29"/>
  <c r="S8822" i="29"/>
  <c r="S8823" i="29"/>
  <c r="S8824" i="29"/>
  <c r="S8825" i="29"/>
  <c r="S8826" i="29"/>
  <c r="S8827" i="29"/>
  <c r="S8828" i="29"/>
  <c r="S8829" i="29"/>
  <c r="S8830" i="29"/>
  <c r="S8831" i="29"/>
  <c r="S8832" i="29"/>
  <c r="S8833" i="29"/>
  <c r="S8834" i="29"/>
  <c r="S8835" i="29"/>
  <c r="S8836" i="29"/>
  <c r="S8837" i="29"/>
  <c r="S8838" i="29"/>
  <c r="S8839" i="29"/>
  <c r="S8840" i="29"/>
  <c r="S8841" i="29"/>
  <c r="S8842" i="29"/>
  <c r="S8843" i="29"/>
  <c r="S8844" i="29"/>
  <c r="S8845" i="29"/>
  <c r="S8846" i="29"/>
  <c r="S8847" i="29"/>
  <c r="S8848" i="29"/>
  <c r="S8849" i="29"/>
  <c r="S8850" i="29"/>
  <c r="S8851" i="29"/>
  <c r="S8852" i="29"/>
  <c r="S8853" i="29"/>
  <c r="S8854" i="29"/>
  <c r="S8855" i="29"/>
  <c r="S8856" i="29"/>
  <c r="S8857" i="29"/>
  <c r="S8858" i="29"/>
  <c r="S8859" i="29"/>
  <c r="S8860" i="29"/>
  <c r="S8861" i="29"/>
  <c r="S8862" i="29"/>
  <c r="S8863" i="29"/>
  <c r="S8864" i="29"/>
  <c r="S8865" i="29"/>
  <c r="S8866" i="29"/>
  <c r="S8867" i="29"/>
  <c r="S8868" i="29"/>
  <c r="S8869" i="29"/>
  <c r="S8870" i="29"/>
  <c r="S8871" i="29"/>
  <c r="S8872" i="29"/>
  <c r="S8873" i="29"/>
  <c r="S8874" i="29"/>
  <c r="S8875" i="29"/>
  <c r="S8876" i="29"/>
  <c r="S8877" i="29"/>
  <c r="S8878" i="29"/>
  <c r="S8879" i="29"/>
  <c r="S8880" i="29"/>
  <c r="S8881" i="29"/>
  <c r="S8882" i="29"/>
  <c r="S8883" i="29"/>
  <c r="S8884" i="29"/>
  <c r="S8885" i="29"/>
  <c r="S8886" i="29"/>
  <c r="S8887" i="29"/>
  <c r="S8888" i="29"/>
  <c r="S8889" i="29"/>
  <c r="S8890" i="29"/>
  <c r="S8891" i="29"/>
  <c r="S8892" i="29"/>
  <c r="S8893" i="29"/>
  <c r="S8894" i="29"/>
  <c r="S8895" i="29"/>
  <c r="S8896" i="29"/>
  <c r="S8897" i="29"/>
  <c r="S8898" i="29"/>
  <c r="S8899" i="29"/>
  <c r="S8900" i="29"/>
  <c r="S8901" i="29"/>
  <c r="S8902" i="29"/>
  <c r="S8903" i="29"/>
  <c r="S8904" i="29"/>
  <c r="S8905" i="29"/>
  <c r="S8906" i="29"/>
  <c r="S8907" i="29"/>
  <c r="S8908" i="29"/>
  <c r="S8909" i="29"/>
  <c r="S8910" i="29"/>
  <c r="S8911" i="29"/>
  <c r="S8912" i="29"/>
  <c r="S8913" i="29"/>
  <c r="S8914" i="29"/>
  <c r="S8915" i="29"/>
  <c r="S8916" i="29"/>
  <c r="S8917" i="29"/>
  <c r="S8918" i="29"/>
  <c r="S8919" i="29"/>
  <c r="S8920" i="29"/>
  <c r="S8921" i="29"/>
  <c r="S8922" i="29"/>
  <c r="S8923" i="29"/>
  <c r="S8924" i="29"/>
  <c r="S8925" i="29"/>
  <c r="S8926" i="29"/>
  <c r="S8927" i="29"/>
  <c r="S8928" i="29"/>
  <c r="S8929" i="29"/>
  <c r="S8930" i="29"/>
  <c r="S8931" i="29"/>
  <c r="S8932" i="29"/>
  <c r="S8933" i="29"/>
  <c r="S8934" i="29"/>
  <c r="S8935" i="29"/>
  <c r="S8936" i="29"/>
  <c r="S8937" i="29"/>
  <c r="S8938" i="29"/>
  <c r="S8939" i="29"/>
  <c r="S8940" i="29"/>
  <c r="S8941" i="29"/>
  <c r="S8942" i="29"/>
  <c r="S8943" i="29"/>
  <c r="S8944" i="29"/>
  <c r="S8945" i="29"/>
  <c r="S8946" i="29"/>
  <c r="S8947" i="29"/>
  <c r="S8948" i="29"/>
  <c r="S8949" i="29"/>
  <c r="S8950" i="29"/>
  <c r="S8951" i="29"/>
  <c r="S8952" i="29"/>
  <c r="S8953" i="29"/>
  <c r="S8954" i="29"/>
  <c r="S8955" i="29"/>
  <c r="S8956" i="29"/>
  <c r="S8957" i="29"/>
  <c r="S8958" i="29"/>
  <c r="S8959" i="29"/>
  <c r="S8960" i="29"/>
  <c r="S8961" i="29"/>
  <c r="S8962" i="29"/>
  <c r="S8963" i="29"/>
  <c r="S8964" i="29"/>
  <c r="S8965" i="29"/>
  <c r="S8966" i="29"/>
  <c r="S8967" i="29"/>
  <c r="S8968" i="29"/>
  <c r="S8969" i="29"/>
  <c r="S8970" i="29"/>
  <c r="S8971" i="29"/>
  <c r="S8972" i="29"/>
  <c r="S8973" i="29"/>
  <c r="S8974" i="29"/>
  <c r="S8975" i="29"/>
  <c r="S8976" i="29"/>
  <c r="S8977" i="29"/>
  <c r="S8978" i="29"/>
  <c r="S8979" i="29"/>
  <c r="S8980" i="29"/>
  <c r="S8981" i="29"/>
  <c r="S8982" i="29"/>
  <c r="S8983" i="29"/>
  <c r="S8984" i="29"/>
  <c r="S8985" i="29"/>
  <c r="S8986" i="29"/>
  <c r="S8987" i="29"/>
  <c r="S8988" i="29"/>
  <c r="S8989" i="29"/>
  <c r="S8990" i="29"/>
  <c r="S8991" i="29"/>
  <c r="S8992" i="29"/>
  <c r="S8993" i="29"/>
  <c r="S8994" i="29"/>
  <c r="S8995" i="29"/>
  <c r="S8996" i="29"/>
  <c r="S8997" i="29"/>
  <c r="S8998" i="29"/>
  <c r="S8999" i="29"/>
  <c r="S9000" i="29"/>
  <c r="S9001" i="29"/>
  <c r="S9002" i="29"/>
  <c r="S9003" i="29"/>
  <c r="S9004" i="29"/>
  <c r="S9005" i="29"/>
  <c r="S9006" i="29"/>
  <c r="S9007" i="29"/>
  <c r="S9008" i="29"/>
  <c r="S9009" i="29"/>
  <c r="S9010" i="29"/>
  <c r="S9011" i="29"/>
  <c r="S9012" i="29"/>
  <c r="S9013" i="29"/>
  <c r="S9014" i="29"/>
  <c r="S9015" i="29"/>
  <c r="S9016" i="29"/>
  <c r="S9017" i="29"/>
  <c r="S9018" i="29"/>
  <c r="S9019" i="29"/>
  <c r="S9020" i="29"/>
  <c r="S9021" i="29"/>
  <c r="S9022" i="29"/>
  <c r="S9023" i="29"/>
  <c r="S9024" i="29"/>
  <c r="S9025" i="29"/>
  <c r="S9026" i="29"/>
  <c r="S9027" i="29"/>
  <c r="S9028" i="29"/>
  <c r="S9029" i="29"/>
  <c r="S9030" i="29"/>
  <c r="S9031" i="29"/>
  <c r="S9032" i="29"/>
  <c r="S9033" i="29"/>
  <c r="S9034" i="29"/>
  <c r="S9035" i="29"/>
  <c r="S9036" i="29"/>
  <c r="S9037" i="29"/>
  <c r="S9038" i="29"/>
  <c r="S9039" i="29"/>
  <c r="S9040" i="29"/>
  <c r="S9041" i="29"/>
  <c r="S9042" i="29"/>
  <c r="S9043" i="29"/>
  <c r="S9044" i="29"/>
  <c r="S9045" i="29"/>
  <c r="S9046" i="29"/>
  <c r="S9047" i="29"/>
  <c r="S9048" i="29"/>
  <c r="S9049" i="29"/>
  <c r="S9050" i="29"/>
  <c r="S9051" i="29"/>
  <c r="S9052" i="29"/>
  <c r="S9053" i="29"/>
  <c r="S9054" i="29"/>
  <c r="S9055" i="29"/>
  <c r="S9056" i="29"/>
  <c r="S9057" i="29"/>
  <c r="S9058" i="29"/>
  <c r="S9059" i="29"/>
  <c r="S9060" i="29"/>
  <c r="S9061" i="29"/>
  <c r="S9062" i="29"/>
  <c r="S9063" i="29"/>
  <c r="S9064" i="29"/>
  <c r="S9065" i="29"/>
  <c r="S9066" i="29"/>
  <c r="S9067" i="29"/>
  <c r="S9068" i="29"/>
  <c r="S9069" i="29"/>
  <c r="S9070" i="29"/>
  <c r="S9071" i="29"/>
  <c r="S9072" i="29"/>
  <c r="S9073" i="29"/>
  <c r="S9074" i="29"/>
  <c r="S9075" i="29"/>
  <c r="S9076" i="29"/>
  <c r="S9077" i="29"/>
  <c r="S9078" i="29"/>
  <c r="S9079" i="29"/>
  <c r="S9080" i="29"/>
  <c r="S9081" i="29"/>
  <c r="S9082" i="29"/>
  <c r="S9083" i="29"/>
  <c r="S9084" i="29"/>
  <c r="S9085" i="29"/>
  <c r="S9086" i="29"/>
  <c r="S9087" i="29"/>
  <c r="S9088" i="29"/>
  <c r="S9089" i="29"/>
  <c r="S9090" i="29"/>
  <c r="S9091" i="29"/>
  <c r="S9092" i="29"/>
  <c r="S9093" i="29"/>
  <c r="S9094" i="29"/>
  <c r="S9095" i="29"/>
  <c r="S9096" i="29"/>
  <c r="S9097" i="29"/>
  <c r="S9098" i="29"/>
  <c r="S9099" i="29"/>
  <c r="S9100" i="29"/>
  <c r="S9101" i="29"/>
  <c r="S9102" i="29"/>
  <c r="S9103" i="29"/>
  <c r="S9104" i="29"/>
  <c r="S9105" i="29"/>
  <c r="S9106" i="29"/>
  <c r="S9107" i="29"/>
  <c r="S9108" i="29"/>
  <c r="S9109" i="29"/>
  <c r="S9110" i="29"/>
  <c r="S9111" i="29"/>
  <c r="S9112" i="29"/>
  <c r="S9113" i="29"/>
  <c r="S9114" i="29"/>
  <c r="S9115" i="29"/>
  <c r="S9116" i="29"/>
  <c r="S9117" i="29"/>
  <c r="S9118" i="29"/>
  <c r="S9119" i="29"/>
  <c r="S9120" i="29"/>
  <c r="S9121" i="29"/>
  <c r="S9122" i="29"/>
  <c r="S9123" i="29"/>
  <c r="S9124" i="29"/>
  <c r="S9125" i="29"/>
  <c r="S9126" i="29"/>
  <c r="S9127" i="29"/>
  <c r="S9128" i="29"/>
  <c r="S9129" i="29"/>
  <c r="S9130" i="29"/>
  <c r="S9131" i="29"/>
  <c r="S9132" i="29"/>
  <c r="S9133" i="29"/>
  <c r="S9134" i="29"/>
  <c r="S9135" i="29"/>
  <c r="S9136" i="29"/>
  <c r="S9137" i="29"/>
  <c r="S9138" i="29"/>
  <c r="S9139" i="29"/>
  <c r="S9140" i="29"/>
  <c r="S9141" i="29"/>
  <c r="S9142" i="29"/>
  <c r="S9143" i="29"/>
  <c r="S9144" i="29"/>
  <c r="S9145" i="29"/>
  <c r="S9146" i="29"/>
  <c r="S9147" i="29"/>
  <c r="S9148" i="29"/>
  <c r="S9149" i="29"/>
  <c r="S9150" i="29"/>
  <c r="S9151" i="29"/>
  <c r="S9152" i="29"/>
  <c r="S9153" i="29"/>
  <c r="S9154" i="29"/>
  <c r="S9155" i="29"/>
  <c r="S9156" i="29"/>
  <c r="S9157" i="29"/>
  <c r="S9158" i="29"/>
  <c r="S9159" i="29"/>
  <c r="S9160" i="29"/>
  <c r="S9161" i="29"/>
  <c r="S9162" i="29"/>
  <c r="S9163" i="29"/>
  <c r="S9164" i="29"/>
  <c r="S9165" i="29"/>
  <c r="S9166" i="29"/>
  <c r="S9167" i="29"/>
  <c r="S9168" i="29"/>
  <c r="S9169" i="29"/>
  <c r="S9170" i="29"/>
  <c r="S9171" i="29"/>
  <c r="S9172" i="29"/>
  <c r="S9173" i="29"/>
  <c r="S9174" i="29"/>
  <c r="S9175" i="29"/>
  <c r="S9176" i="29"/>
  <c r="S9177" i="29"/>
  <c r="S9178" i="29"/>
  <c r="S9179" i="29"/>
  <c r="S9180" i="29"/>
  <c r="S9181" i="29"/>
  <c r="S9182" i="29"/>
  <c r="S9183" i="29"/>
  <c r="S9184" i="29"/>
  <c r="S9185" i="29"/>
  <c r="S9186" i="29"/>
  <c r="S9187" i="29"/>
  <c r="S9188" i="29"/>
  <c r="S9189" i="29"/>
  <c r="S9190" i="29"/>
  <c r="S9191" i="29"/>
  <c r="S9192" i="29"/>
  <c r="S9193" i="29"/>
  <c r="S9194" i="29"/>
  <c r="S9195" i="29"/>
  <c r="S9196" i="29"/>
  <c r="S9197" i="29"/>
  <c r="S9198" i="29"/>
  <c r="S9199" i="29"/>
  <c r="S9200" i="29"/>
  <c r="S9201" i="29"/>
  <c r="S9202" i="29"/>
  <c r="S9203" i="29"/>
  <c r="S9204" i="29"/>
  <c r="S9205" i="29"/>
  <c r="S9206" i="29"/>
  <c r="S9207" i="29"/>
  <c r="S9208" i="29"/>
  <c r="S9209" i="29"/>
  <c r="S9210" i="29"/>
  <c r="S9211" i="29"/>
  <c r="S9212" i="29"/>
  <c r="S9213" i="29"/>
  <c r="S9214" i="29"/>
  <c r="S9215" i="29"/>
  <c r="S9216" i="29"/>
  <c r="S9217" i="29"/>
  <c r="S9218" i="29"/>
  <c r="S9219" i="29"/>
  <c r="S9220" i="29"/>
  <c r="S9221" i="29"/>
  <c r="S9222" i="29"/>
  <c r="S9223" i="29"/>
  <c r="S9224" i="29"/>
  <c r="S9225" i="29"/>
  <c r="S9226" i="29"/>
  <c r="S9227" i="29"/>
  <c r="S9228" i="29"/>
  <c r="S9229" i="29"/>
  <c r="S9230" i="29"/>
  <c r="S9231" i="29"/>
  <c r="S9232" i="29"/>
  <c r="S9233" i="29"/>
  <c r="S9234" i="29"/>
  <c r="S9235" i="29"/>
  <c r="S9236" i="29"/>
  <c r="S9237" i="29"/>
  <c r="S9238" i="29"/>
  <c r="S9239" i="29"/>
  <c r="S9240" i="29"/>
  <c r="S9241" i="29"/>
  <c r="S9242" i="29"/>
  <c r="S9243" i="29"/>
  <c r="S9244" i="29"/>
  <c r="S9245" i="29"/>
  <c r="S9246" i="29"/>
  <c r="S9247" i="29"/>
  <c r="S9248" i="29"/>
  <c r="S9249" i="29"/>
  <c r="S9250" i="29"/>
  <c r="S9251" i="29"/>
  <c r="S9252" i="29"/>
  <c r="S9253" i="29"/>
  <c r="S9254" i="29"/>
  <c r="S9255" i="29"/>
  <c r="S9256" i="29"/>
  <c r="S9257" i="29"/>
  <c r="S9258" i="29"/>
  <c r="S9259" i="29"/>
  <c r="S9260" i="29"/>
  <c r="S9261" i="29"/>
  <c r="S9262" i="29"/>
  <c r="S9263" i="29"/>
  <c r="S9264" i="29"/>
  <c r="S9265" i="29"/>
  <c r="S9266" i="29"/>
  <c r="S9267" i="29"/>
  <c r="S9268" i="29"/>
  <c r="S9269" i="29"/>
  <c r="S9270" i="29"/>
  <c r="S9271" i="29"/>
  <c r="S9272" i="29"/>
  <c r="S9273" i="29"/>
  <c r="S9274" i="29"/>
  <c r="S9275" i="29"/>
  <c r="S9276" i="29"/>
  <c r="S9277" i="29"/>
  <c r="S9278" i="29"/>
  <c r="S9279" i="29"/>
  <c r="S9280" i="29"/>
  <c r="S9281" i="29"/>
  <c r="S9282" i="29"/>
  <c r="S637" i="29"/>
  <c r="S7319" i="29"/>
  <c r="S7369" i="29"/>
  <c r="S7368" i="29"/>
  <c r="S7367" i="29"/>
  <c r="S7366" i="29"/>
  <c r="S7365" i="29"/>
  <c r="S7364" i="29"/>
  <c r="S7363" i="29"/>
  <c r="S7425" i="29"/>
  <c r="S7424" i="29"/>
  <c r="S7423" i="29"/>
  <c r="S7422" i="29"/>
  <c r="S7421" i="29"/>
  <c r="S7420" i="29"/>
  <c r="S7428" i="29"/>
  <c r="S7427" i="29"/>
  <c r="S7426" i="29"/>
  <c r="S7419" i="29"/>
  <c r="S7417" i="29"/>
  <c r="S7418" i="29"/>
  <c r="S7416" i="29"/>
  <c r="S7415" i="29"/>
  <c r="S7414" i="29"/>
  <c r="S7413" i="29"/>
  <c r="S7412" i="29"/>
  <c r="S7411" i="29"/>
  <c r="S7410" i="29"/>
  <c r="S7409" i="29"/>
  <c r="S7408" i="29"/>
  <c r="S7406" i="29"/>
  <c r="S7407" i="29"/>
  <c r="S7402" i="29"/>
  <c r="S7403" i="29"/>
  <c r="S7401" i="29"/>
  <c r="S7400" i="29"/>
  <c r="S7399" i="29"/>
  <c r="S7398" i="29"/>
  <c r="S7397" i="29"/>
  <c r="S7396" i="29"/>
  <c r="S7395" i="29"/>
  <c r="S7394" i="29"/>
  <c r="S7392" i="29"/>
  <c r="S7391" i="29"/>
  <c r="S7405" i="29"/>
  <c r="S7404" i="29"/>
  <c r="S7393" i="29"/>
  <c r="S7388" i="29"/>
  <c r="S7390" i="29"/>
  <c r="S7389" i="29"/>
  <c r="S7379" i="29"/>
  <c r="S7387" i="29"/>
  <c r="S7386" i="29"/>
  <c r="S7385" i="29"/>
  <c r="S7384" i="29"/>
  <c r="S7383" i="29"/>
  <c r="S7382" i="29"/>
  <c r="S7381" i="29"/>
  <c r="S7380" i="29"/>
  <c r="S7377" i="29"/>
  <c r="S7374" i="29"/>
  <c r="S7373" i="29"/>
  <c r="S7372" i="29"/>
  <c r="S7378" i="29"/>
  <c r="S7376" i="29"/>
  <c r="S7375" i="29"/>
  <c r="S7371" i="29"/>
  <c r="S7370" i="29"/>
  <c r="S7362" i="29"/>
  <c r="S7361" i="29"/>
  <c r="S7360" i="29"/>
  <c r="S7359" i="29"/>
  <c r="S7358" i="29"/>
  <c r="S7357" i="29"/>
  <c r="S7356" i="29"/>
  <c r="S7355" i="29"/>
  <c r="S7354" i="29"/>
  <c r="S7353" i="29"/>
  <c r="S7352" i="29"/>
  <c r="S7348" i="29"/>
  <c r="S7347" i="29"/>
  <c r="S7346" i="29"/>
  <c r="S7345" i="29"/>
  <c r="S7351" i="29"/>
  <c r="S7350" i="29"/>
  <c r="S7349" i="29"/>
  <c r="S7341" i="29"/>
  <c r="S7340" i="29"/>
  <c r="S7344" i="29"/>
  <c r="S7343" i="29"/>
  <c r="S7342" i="29"/>
  <c r="S7339" i="29"/>
  <c r="S7338" i="29"/>
  <c r="S7337" i="29"/>
  <c r="S7336" i="29"/>
  <c r="S7335" i="29"/>
  <c r="S7334" i="29"/>
  <c r="S7333" i="29"/>
  <c r="S7332" i="29"/>
  <c r="S7329" i="29"/>
  <c r="S7328" i="29"/>
  <c r="S7327" i="29"/>
  <c r="S7326" i="29"/>
  <c r="S7331" i="29"/>
  <c r="S7330" i="29"/>
  <c r="S7325" i="29"/>
  <c r="S7324" i="29"/>
  <c r="S659" i="29"/>
  <c r="S7323" i="29"/>
  <c r="S7321" i="29"/>
  <c r="S7320" i="29"/>
  <c r="S7322" i="29"/>
  <c r="S7312" i="29"/>
  <c r="S7315" i="29"/>
  <c r="S7318" i="29"/>
  <c r="S7317" i="29"/>
  <c r="S7316" i="29"/>
  <c r="S7314" i="29"/>
  <c r="S7313" i="29"/>
  <c r="S7311" i="29"/>
  <c r="S7310" i="29"/>
  <c r="S7309" i="29"/>
  <c r="S7308" i="29"/>
  <c r="S7307" i="29"/>
  <c r="S7306" i="29"/>
  <c r="S7305" i="29"/>
  <c r="S7304" i="29"/>
  <c r="S7303" i="29"/>
  <c r="S7302" i="29"/>
  <c r="S7301" i="29"/>
  <c r="S7300" i="29"/>
  <c r="S7296" i="29"/>
  <c r="S7295" i="29"/>
  <c r="S7294" i="29"/>
  <c r="S7299" i="29"/>
  <c r="S7298" i="29"/>
  <c r="S7297" i="29"/>
  <c r="S7293" i="29"/>
  <c r="S7292" i="29"/>
  <c r="S7291" i="29"/>
  <c r="S7290" i="29"/>
  <c r="S7286" i="29"/>
  <c r="S7285" i="29"/>
  <c r="S7284" i="29"/>
  <c r="S7289" i="29"/>
  <c r="S7288" i="29"/>
  <c r="S7287" i="29"/>
  <c r="S7283" i="29"/>
  <c r="S7280" i="29"/>
  <c r="S7279" i="29"/>
  <c r="S7277" i="29"/>
  <c r="S7276" i="29"/>
  <c r="S7282" i="29"/>
  <c r="S7281" i="29"/>
  <c r="S7274" i="29"/>
  <c r="S7272" i="29"/>
  <c r="S7271" i="29"/>
  <c r="S7270" i="29"/>
  <c r="S7269" i="29"/>
  <c r="S7268" i="29"/>
  <c r="S7267" i="29"/>
  <c r="S7278" i="29"/>
  <c r="S7275" i="29"/>
  <c r="S7273" i="29"/>
  <c r="S7266" i="29"/>
  <c r="S7265" i="29"/>
  <c r="S7263" i="29"/>
  <c r="S7262" i="29"/>
  <c r="S7264" i="29"/>
  <c r="S7261" i="29"/>
  <c r="S7260" i="29"/>
  <c r="S7259" i="29"/>
  <c r="S7258" i="29"/>
  <c r="S7257" i="29"/>
  <c r="S7254" i="29"/>
  <c r="S7253" i="29"/>
  <c r="S7256" i="29"/>
  <c r="S7255" i="29"/>
  <c r="S7252" i="29"/>
  <c r="S7251" i="29"/>
  <c r="S7250" i="29"/>
  <c r="S7249" i="29"/>
  <c r="S7248" i="29"/>
  <c r="S7247" i="29"/>
  <c r="S7245" i="29"/>
  <c r="S7244" i="29"/>
  <c r="S7237" i="29"/>
  <c r="S7236" i="29"/>
  <c r="S7235" i="29"/>
  <c r="S7246" i="29"/>
  <c r="S7243" i="29"/>
  <c r="S7242" i="29"/>
  <c r="S7241" i="29"/>
  <c r="S7240" i="29"/>
  <c r="S7239" i="29"/>
  <c r="S7238" i="29"/>
  <c r="S7234" i="29"/>
  <c r="S7233" i="29"/>
  <c r="S7232" i="29"/>
  <c r="S7231" i="29"/>
  <c r="S7229" i="29"/>
  <c r="S7226" i="29"/>
  <c r="S7225" i="29"/>
  <c r="S7224" i="29"/>
  <c r="S7221" i="29"/>
  <c r="S7220" i="29"/>
  <c r="S7219" i="29"/>
  <c r="S7218" i="29"/>
  <c r="S7217" i="29"/>
  <c r="S7230" i="29"/>
  <c r="S7227" i="29"/>
  <c r="S7216" i="29"/>
  <c r="S7215" i="29"/>
  <c r="S7214" i="29"/>
  <c r="S7213" i="29"/>
  <c r="S7212" i="29"/>
  <c r="S7211" i="29"/>
  <c r="S7210" i="29"/>
  <c r="S7209" i="29"/>
  <c r="S7228" i="29"/>
  <c r="S7223" i="29"/>
  <c r="S7222" i="29"/>
  <c r="S7207" i="29"/>
  <c r="S7204" i="29"/>
  <c r="S7201" i="29"/>
  <c r="S7203" i="29"/>
  <c r="S7202" i="29"/>
  <c r="S7208" i="29"/>
  <c r="S7206" i="29"/>
  <c r="S7205" i="29"/>
  <c r="S7200" i="29"/>
  <c r="S7199" i="29"/>
  <c r="S7198" i="29"/>
  <c r="S7197" i="29"/>
  <c r="S7196" i="29"/>
  <c r="S7193" i="29"/>
  <c r="S7192" i="29"/>
  <c r="S7191" i="29"/>
  <c r="S7190" i="29"/>
  <c r="S7189" i="29"/>
  <c r="S7185" i="29"/>
  <c r="S7184" i="29"/>
  <c r="S7182" i="29"/>
  <c r="S7181" i="29"/>
  <c r="S7180" i="29"/>
  <c r="S7179" i="29"/>
  <c r="S7178" i="29"/>
  <c r="S7177" i="29"/>
  <c r="S7176" i="29"/>
  <c r="S7195" i="29"/>
  <c r="S7194" i="29"/>
  <c r="S7188" i="29"/>
  <c r="S7187" i="29"/>
  <c r="S7186" i="29"/>
  <c r="S7183" i="29"/>
  <c r="S7175" i="29"/>
  <c r="S7170" i="29"/>
  <c r="S7168" i="29"/>
  <c r="S7174" i="29"/>
  <c r="S7173" i="29"/>
  <c r="S7172" i="29"/>
  <c r="S7171" i="29"/>
  <c r="S7169" i="29"/>
  <c r="S7167" i="29"/>
  <c r="S7166" i="29"/>
  <c r="S7165" i="29"/>
  <c r="S7164" i="29"/>
  <c r="S7163" i="29"/>
  <c r="S7162" i="29"/>
  <c r="S7161" i="29"/>
  <c r="S7160" i="29"/>
  <c r="S7159" i="29"/>
  <c r="S7158" i="29"/>
  <c r="S7157" i="29"/>
  <c r="S7156" i="29"/>
  <c r="S7155" i="29"/>
  <c r="S7154" i="29"/>
  <c r="S7153" i="29"/>
  <c r="S7152" i="29"/>
  <c r="S7148" i="29"/>
  <c r="S7147" i="29"/>
  <c r="S7146" i="29"/>
  <c r="S7145" i="29"/>
  <c r="S7151" i="29"/>
  <c r="S7149" i="29"/>
  <c r="S7144" i="29"/>
  <c r="S7143" i="29"/>
  <c r="S7142" i="29"/>
  <c r="S7141" i="29"/>
  <c r="S7140" i="29"/>
  <c r="S7150" i="29"/>
  <c r="S7139" i="29"/>
  <c r="S7138" i="29"/>
  <c r="S7137" i="29"/>
  <c r="S7136" i="29"/>
  <c r="S7135" i="29"/>
  <c r="S7134" i="29"/>
  <c r="S7133" i="29"/>
  <c r="S7132" i="29"/>
  <c r="S7131" i="29"/>
  <c r="S7130" i="29"/>
  <c r="S7129" i="29"/>
  <c r="S7126" i="29"/>
  <c r="S7123" i="29"/>
  <c r="S7122" i="29"/>
  <c r="S7121" i="29"/>
  <c r="S7120" i="29"/>
  <c r="S7119" i="29"/>
  <c r="S7118" i="29"/>
  <c r="S7117" i="29"/>
  <c r="S7116" i="29"/>
  <c r="S7115" i="29"/>
  <c r="S7128" i="29"/>
  <c r="S7127" i="29"/>
  <c r="S7114" i="29"/>
  <c r="S7113" i="29"/>
  <c r="S7112" i="29"/>
  <c r="S7111" i="29"/>
  <c r="S7110" i="29"/>
  <c r="S7109" i="29"/>
  <c r="S7108" i="29"/>
  <c r="S7107" i="29"/>
  <c r="S7106" i="29"/>
  <c r="S7125" i="29"/>
  <c r="S7124" i="29"/>
  <c r="S7105" i="29"/>
  <c r="S7104" i="29"/>
  <c r="S7103" i="29"/>
  <c r="S7102" i="29"/>
  <c r="S7101" i="29"/>
  <c r="S7100" i="29"/>
  <c r="S7099" i="29"/>
  <c r="S7097" i="29"/>
  <c r="S7098" i="29"/>
  <c r="S7096" i="29"/>
  <c r="S7093" i="29"/>
  <c r="S7095" i="29"/>
  <c r="S7094" i="29"/>
  <c r="S7092" i="29"/>
  <c r="S7091" i="29"/>
  <c r="S7089" i="29"/>
  <c r="S7088" i="29"/>
  <c r="S7087" i="29"/>
  <c r="S7086" i="29"/>
  <c r="S7085" i="29"/>
  <c r="S7084" i="29"/>
  <c r="S7083" i="29"/>
  <c r="S7082" i="29"/>
  <c r="S7081" i="29"/>
  <c r="S7080" i="29"/>
  <c r="S7079" i="29"/>
  <c r="S7078" i="29"/>
  <c r="S7090" i="29"/>
  <c r="S7075" i="29"/>
  <c r="S7074" i="29"/>
  <c r="S7077" i="29"/>
  <c r="S7076" i="29"/>
  <c r="S7073" i="29"/>
  <c r="S7072" i="29"/>
  <c r="S7071" i="29"/>
  <c r="S7069" i="29"/>
  <c r="S7070" i="29"/>
  <c r="S7060" i="29"/>
  <c r="S7059" i="29"/>
  <c r="S7058" i="29"/>
  <c r="S7057" i="29"/>
  <c r="S7068" i="29"/>
  <c r="S7067" i="29"/>
  <c r="S7066" i="29"/>
  <c r="S7065" i="29"/>
  <c r="S7064" i="29"/>
  <c r="S7056" i="29"/>
  <c r="S7055" i="29"/>
  <c r="S7054" i="29"/>
  <c r="S7053" i="29"/>
  <c r="S7063" i="29"/>
  <c r="S7062" i="29"/>
  <c r="S7061" i="29"/>
  <c r="S7052" i="29"/>
  <c r="S7050" i="29"/>
  <c r="S7049" i="29"/>
  <c r="S7051" i="29"/>
  <c r="S7048" i="29"/>
  <c r="S7047" i="29"/>
  <c r="S7046" i="29"/>
  <c r="S7045" i="29"/>
  <c r="S7043" i="29"/>
  <c r="S7042" i="29"/>
  <c r="S7041" i="29"/>
  <c r="S7040" i="29"/>
  <c r="S7039" i="29"/>
  <c r="S7038" i="29"/>
  <c r="S7037" i="29"/>
  <c r="S7044" i="29"/>
  <c r="S7035" i="29"/>
  <c r="S7034" i="29"/>
  <c r="S7036" i="29"/>
  <c r="S7031" i="29"/>
  <c r="S7030" i="29"/>
  <c r="S7029" i="29"/>
  <c r="S7028" i="29"/>
  <c r="S7027" i="29"/>
  <c r="S7023" i="29"/>
  <c r="S7022" i="29"/>
  <c r="S7021" i="29"/>
  <c r="S7020" i="29"/>
  <c r="S7033" i="29"/>
  <c r="S7032" i="29"/>
  <c r="S7026" i="29"/>
  <c r="S7025" i="29"/>
  <c r="S7024" i="29"/>
  <c r="S7018" i="29"/>
  <c r="S7019" i="29"/>
  <c r="S7017" i="29"/>
  <c r="S7016" i="29"/>
  <c r="S7015" i="29"/>
  <c r="S7014" i="29"/>
  <c r="S7013" i="29"/>
  <c r="S7012" i="29"/>
  <c r="S7011" i="29"/>
  <c r="S7010" i="29"/>
  <c r="S7009" i="29"/>
  <c r="S7008" i="29"/>
  <c r="S7007" i="29"/>
  <c r="S7006" i="29"/>
  <c r="S7005" i="29"/>
  <c r="S7004" i="29"/>
  <c r="S7003" i="29"/>
  <c r="S7002" i="29"/>
  <c r="S7001" i="29"/>
  <c r="S7000" i="29"/>
  <c r="S6999" i="29"/>
  <c r="S6988" i="29"/>
  <c r="S6998" i="29"/>
  <c r="S6997" i="29"/>
  <c r="S6996" i="29"/>
  <c r="S6995" i="29"/>
  <c r="S6994" i="29"/>
  <c r="S6993" i="29"/>
  <c r="S6992" i="29"/>
  <c r="S6991" i="29"/>
  <c r="S6990" i="29"/>
  <c r="S6989" i="29"/>
  <c r="S6987" i="29"/>
  <c r="S6986" i="29"/>
  <c r="S6985" i="29"/>
  <c r="S6984" i="29"/>
  <c r="S6983" i="29"/>
  <c r="S6982" i="29"/>
  <c r="S6981" i="29"/>
  <c r="S6980" i="29"/>
  <c r="S660" i="29"/>
  <c r="S6979" i="29"/>
  <c r="S6977" i="29"/>
  <c r="S6976" i="29"/>
  <c r="S6975" i="29"/>
  <c r="S6968" i="29"/>
  <c r="S6967" i="29"/>
  <c r="S6978" i="29"/>
  <c r="S6974" i="29"/>
  <c r="S6973" i="29"/>
  <c r="S6972" i="29"/>
  <c r="S6971" i="29"/>
  <c r="S6970" i="29"/>
  <c r="S6964" i="29"/>
  <c r="S6963" i="29"/>
  <c r="S6969" i="29"/>
  <c r="S6959" i="29"/>
  <c r="S6958" i="29"/>
  <c r="S6957" i="29"/>
  <c r="S6956" i="29"/>
  <c r="S6955" i="29"/>
  <c r="S6954" i="29"/>
  <c r="S6966" i="29"/>
  <c r="S6965" i="29"/>
  <c r="S6951" i="29"/>
  <c r="S6950" i="29"/>
  <c r="S6949" i="29"/>
  <c r="S6948" i="29"/>
  <c r="S6947" i="29"/>
  <c r="S6946" i="29"/>
  <c r="S6945" i="29"/>
  <c r="S6944" i="29"/>
  <c r="S6943" i="29"/>
  <c r="S6942" i="29"/>
  <c r="S6962" i="29"/>
  <c r="S6961" i="29"/>
  <c r="S6960" i="29"/>
  <c r="S6953" i="29"/>
  <c r="S6952" i="29"/>
  <c r="S6941" i="29"/>
  <c r="S6940" i="29"/>
  <c r="S6939" i="29"/>
  <c r="S6938" i="29"/>
  <c r="S6937" i="29"/>
  <c r="S6936" i="29"/>
  <c r="S6935" i="29"/>
  <c r="S6934" i="29"/>
  <c r="S6933" i="29"/>
  <c r="S6928" i="29"/>
  <c r="S6925" i="29"/>
  <c r="S6924" i="29"/>
  <c r="S6923" i="29"/>
  <c r="S6932" i="29"/>
  <c r="S6931" i="29"/>
  <c r="S6930" i="29"/>
  <c r="S6929" i="29"/>
  <c r="S6927" i="29"/>
  <c r="S6926" i="29"/>
  <c r="S6922" i="29"/>
  <c r="S6921" i="29"/>
  <c r="S6920" i="29"/>
  <c r="S6919" i="29"/>
  <c r="S6918" i="29"/>
  <c r="S6917" i="29"/>
  <c r="S6916" i="29"/>
  <c r="S6915" i="29"/>
  <c r="S6914" i="29"/>
  <c r="S6913" i="29"/>
  <c r="S6912" i="29"/>
  <c r="S6911" i="29"/>
  <c r="S6910" i="29"/>
  <c r="S6909" i="29"/>
  <c r="S6905" i="29"/>
  <c r="S6908" i="29"/>
  <c r="S6907" i="29"/>
  <c r="S6906" i="29"/>
  <c r="S6904" i="29"/>
  <c r="S6903" i="29"/>
  <c r="S6902" i="29"/>
  <c r="S6901" i="29"/>
  <c r="S6898" i="29"/>
  <c r="S6897" i="29"/>
  <c r="S6896" i="29"/>
  <c r="S6895" i="29"/>
  <c r="S6900" i="29"/>
  <c r="S6899" i="29"/>
  <c r="S6893" i="29"/>
  <c r="S6892" i="29"/>
  <c r="S6891" i="29"/>
  <c r="S6890" i="29"/>
  <c r="S6889" i="29"/>
  <c r="S6885" i="29"/>
  <c r="S6884" i="29"/>
  <c r="S6883" i="29"/>
  <c r="S6882" i="29"/>
  <c r="S6894" i="29"/>
  <c r="S6881" i="29"/>
  <c r="S6880" i="29"/>
  <c r="S6879" i="29"/>
  <c r="S6878" i="29"/>
  <c r="S6875" i="29"/>
  <c r="S6888" i="29"/>
  <c r="S6887" i="29"/>
  <c r="S6886" i="29"/>
  <c r="S6874" i="29"/>
  <c r="S6873" i="29"/>
  <c r="S6872" i="29"/>
  <c r="S6871" i="29"/>
  <c r="S6869" i="29"/>
  <c r="S6868" i="29"/>
  <c r="S6877" i="29"/>
  <c r="S6876" i="29"/>
  <c r="S6870" i="29"/>
  <c r="S6867" i="29"/>
  <c r="S6866" i="29"/>
  <c r="S6865" i="29"/>
  <c r="S6864" i="29"/>
  <c r="S6863" i="29"/>
  <c r="S6862" i="29"/>
  <c r="S6861" i="29"/>
  <c r="S6858" i="29"/>
  <c r="S6860" i="29"/>
  <c r="S6859" i="29"/>
  <c r="S6856" i="29"/>
  <c r="S6855" i="29"/>
  <c r="S6854" i="29"/>
  <c r="S6853" i="29"/>
  <c r="S6852" i="29"/>
  <c r="S6857" i="29"/>
  <c r="S6851" i="29"/>
  <c r="S6848" i="29"/>
  <c r="S6846" i="29"/>
  <c r="S6845" i="29"/>
  <c r="S6844" i="29"/>
  <c r="S6842" i="29"/>
  <c r="S6850" i="29"/>
  <c r="S6849" i="29"/>
  <c r="S6839" i="29"/>
  <c r="S6838" i="29"/>
  <c r="S6847" i="29"/>
  <c r="S6843" i="29"/>
  <c r="S6841" i="29"/>
  <c r="S6840" i="29"/>
  <c r="S6837" i="29"/>
  <c r="S6836" i="29"/>
  <c r="S6835" i="29"/>
  <c r="S6827" i="29"/>
  <c r="S6830" i="29"/>
  <c r="S6834" i="29"/>
  <c r="S6833" i="29"/>
  <c r="S6832" i="29"/>
  <c r="S6831" i="29"/>
  <c r="S6829" i="29"/>
  <c r="S6828" i="29"/>
  <c r="S6826" i="29"/>
  <c r="S6825" i="29"/>
  <c r="S6824" i="29"/>
  <c r="S6823" i="29"/>
  <c r="S6822" i="29"/>
  <c r="S6821" i="29"/>
  <c r="S6820" i="29"/>
  <c r="S6818" i="29"/>
  <c r="S6819" i="29"/>
  <c r="S6817" i="29"/>
  <c r="S6816" i="29"/>
  <c r="S6812" i="29"/>
  <c r="S6811" i="29"/>
  <c r="S6810" i="29"/>
  <c r="S6809" i="29"/>
  <c r="S6808" i="29"/>
  <c r="S6807" i="29"/>
  <c r="S6806" i="29"/>
  <c r="S6815" i="29"/>
  <c r="S6814" i="29"/>
  <c r="S6813" i="29"/>
  <c r="S6802" i="29"/>
  <c r="S6801" i="29"/>
  <c r="S6797" i="29"/>
  <c r="S6796" i="29"/>
  <c r="S6805" i="29"/>
  <c r="S6804" i="29"/>
  <c r="S6803" i="29"/>
  <c r="S6800" i="29"/>
  <c r="S6799" i="29"/>
  <c r="S6798" i="29"/>
  <c r="S6795" i="29"/>
  <c r="S6794" i="29"/>
  <c r="S6793" i="29"/>
  <c r="S6790" i="29"/>
  <c r="S6792" i="29"/>
  <c r="S6791" i="29"/>
  <c r="S6789" i="29"/>
  <c r="S6785" i="29"/>
  <c r="S6784" i="29"/>
  <c r="S6783" i="29"/>
  <c r="S6787" i="29"/>
  <c r="S6786" i="29"/>
  <c r="S6782" i="29"/>
  <c r="S6781" i="29"/>
  <c r="S6779" i="29"/>
  <c r="S6780" i="29"/>
  <c r="S6778" i="29"/>
  <c r="S6777" i="29"/>
  <c r="S6776" i="29"/>
  <c r="S6775" i="29"/>
  <c r="S6774" i="29"/>
  <c r="S6773" i="29"/>
  <c r="S6771" i="29"/>
  <c r="S6768" i="29"/>
  <c r="S6764" i="29"/>
  <c r="S6763" i="29"/>
  <c r="S6762" i="29"/>
  <c r="S6772" i="29"/>
  <c r="S6761" i="29"/>
  <c r="S6766" i="29"/>
  <c r="S6765" i="29"/>
  <c r="S6770" i="29"/>
  <c r="S6769" i="29"/>
  <c r="S6767" i="29"/>
  <c r="S6758" i="29"/>
  <c r="S6755" i="29"/>
  <c r="S6754" i="29"/>
  <c r="S6753" i="29"/>
  <c r="S6760" i="29"/>
  <c r="S6759" i="29"/>
  <c r="S6746" i="29"/>
  <c r="S6745" i="29"/>
  <c r="S6744" i="29"/>
  <c r="S6743" i="29"/>
  <c r="S6757" i="29"/>
  <c r="S6756" i="29"/>
  <c r="S6737" i="29"/>
  <c r="S6736" i="29"/>
  <c r="S6752" i="29"/>
  <c r="S6751" i="29"/>
  <c r="S6750" i="29"/>
  <c r="S6749" i="29"/>
  <c r="S6748" i="29"/>
  <c r="S6747" i="29"/>
  <c r="S6741" i="29"/>
  <c r="S6740" i="29"/>
  <c r="S6739" i="29"/>
  <c r="S6738" i="29"/>
  <c r="S6742" i="29"/>
  <c r="S6735" i="29"/>
  <c r="S6734" i="29"/>
  <c r="S6733" i="29"/>
  <c r="S6732" i="29"/>
  <c r="S6731" i="29"/>
  <c r="S6730" i="29"/>
  <c r="S6729" i="29"/>
  <c r="S6728" i="29"/>
  <c r="S6727" i="29"/>
  <c r="S6726" i="29"/>
  <c r="S6725" i="29"/>
  <c r="S6724" i="29"/>
  <c r="S6723" i="29"/>
  <c r="S6722" i="29"/>
  <c r="S6721" i="29"/>
  <c r="S6714" i="29"/>
  <c r="S6713" i="29"/>
  <c r="S6712" i="29"/>
  <c r="S6711" i="29"/>
  <c r="S6710" i="29"/>
  <c r="S6720" i="29"/>
  <c r="S6719" i="29"/>
  <c r="S6718" i="29"/>
  <c r="S6717" i="29"/>
  <c r="S6716" i="29"/>
  <c r="S6715" i="29"/>
  <c r="S6706" i="29"/>
  <c r="S6709" i="29"/>
  <c r="S6705" i="29"/>
  <c r="S6704" i="29"/>
  <c r="S6708" i="29"/>
  <c r="S6707" i="29"/>
  <c r="S6701" i="29"/>
  <c r="S6700" i="29"/>
  <c r="S6699" i="29"/>
  <c r="S6698" i="29"/>
  <c r="S6697" i="29"/>
  <c r="S6688" i="29"/>
  <c r="S6687" i="29"/>
  <c r="S6686" i="29"/>
  <c r="S6703" i="29"/>
  <c r="S6702" i="29"/>
  <c r="S6685" i="29"/>
  <c r="S6681" i="29"/>
  <c r="S6678" i="29"/>
  <c r="S6677" i="29"/>
  <c r="S6676" i="29"/>
  <c r="S6696" i="29"/>
  <c r="S6695" i="29"/>
  <c r="S6694" i="29"/>
  <c r="S6693" i="29"/>
  <c r="S6692" i="29"/>
  <c r="S6691" i="29"/>
  <c r="S6690" i="29"/>
  <c r="S6689" i="29"/>
  <c r="S6684" i="29"/>
  <c r="S6683" i="29"/>
  <c r="S6682" i="29"/>
  <c r="S6680" i="29"/>
  <c r="S6679" i="29"/>
  <c r="S6670" i="29"/>
  <c r="S6669" i="29"/>
  <c r="S6668" i="29"/>
  <c r="S6667" i="29"/>
  <c r="S6666" i="29"/>
  <c r="S6665" i="29"/>
  <c r="S6675" i="29"/>
  <c r="S6674" i="29"/>
  <c r="S6673" i="29"/>
  <c r="S6672" i="29"/>
  <c r="S6671" i="29"/>
  <c r="S6662" i="29"/>
  <c r="S6664" i="29"/>
  <c r="S6663" i="29"/>
  <c r="S6661" i="29"/>
  <c r="S6655" i="29"/>
  <c r="S6654" i="29"/>
  <c r="S6648" i="29"/>
  <c r="S6652" i="29"/>
  <c r="S6650" i="29"/>
  <c r="S6649" i="29"/>
  <c r="S6660" i="29"/>
  <c r="S6659" i="29"/>
  <c r="S6658" i="29"/>
  <c r="S6657" i="29"/>
  <c r="S6656" i="29"/>
  <c r="S6653" i="29"/>
  <c r="S6651" i="29"/>
  <c r="S6647" i="29"/>
  <c r="S6635" i="29"/>
  <c r="S6646" i="29"/>
  <c r="S6645" i="29"/>
  <c r="S6644" i="29"/>
  <c r="S6643" i="29"/>
  <c r="S6642" i="29"/>
  <c r="S6641" i="29"/>
  <c r="S6640" i="29"/>
  <c r="S6639" i="29"/>
  <c r="S6638" i="29"/>
  <c r="S6637" i="29"/>
  <c r="S6636" i="29"/>
  <c r="S6634" i="29"/>
  <c r="S6633" i="29"/>
  <c r="S6632" i="29"/>
  <c r="S6631" i="29"/>
  <c r="S6630" i="29"/>
  <c r="S6629" i="29"/>
  <c r="S6628" i="29"/>
  <c r="S6627" i="29"/>
  <c r="S6626" i="29"/>
  <c r="S6624" i="29"/>
  <c r="S6623" i="29"/>
  <c r="S6622" i="29"/>
  <c r="S6621" i="29"/>
  <c r="S6620" i="29"/>
  <c r="S6619" i="29"/>
  <c r="S6618" i="29"/>
  <c r="S6625" i="29"/>
  <c r="S6615" i="29"/>
  <c r="S6614" i="29"/>
  <c r="S6613" i="29"/>
  <c r="S6612" i="29"/>
  <c r="S6611" i="29"/>
  <c r="S6610" i="29"/>
  <c r="S6609" i="29"/>
  <c r="S6616" i="29"/>
  <c r="S6599" i="29"/>
  <c r="S6598" i="29"/>
  <c r="S6617" i="29"/>
  <c r="S6608" i="29"/>
  <c r="S6607" i="29"/>
  <c r="S6606" i="29"/>
  <c r="S6605" i="29"/>
  <c r="S6604" i="29"/>
  <c r="S6603" i="29"/>
  <c r="S6602" i="29"/>
  <c r="S6601" i="29"/>
  <c r="S6600" i="29"/>
  <c r="S6597" i="29"/>
  <c r="S6596" i="29"/>
  <c r="S6594" i="29"/>
  <c r="S6595" i="29"/>
  <c r="S6533" i="29"/>
  <c r="S6532" i="29"/>
  <c r="S6593" i="29"/>
  <c r="S6592" i="29"/>
  <c r="S6591" i="29"/>
  <c r="S6587" i="29"/>
  <c r="S6590" i="29"/>
  <c r="S6589" i="29"/>
  <c r="S6588" i="29"/>
  <c r="S6586" i="29"/>
  <c r="S6585" i="29"/>
  <c r="S6584" i="29"/>
  <c r="S6583" i="29"/>
  <c r="S6582" i="29"/>
  <c r="S6581" i="29"/>
  <c r="S6580" i="29"/>
  <c r="S6579" i="29"/>
  <c r="S6578" i="29"/>
  <c r="S6573" i="29"/>
  <c r="S6572" i="29"/>
  <c r="S6577" i="29"/>
  <c r="S6576" i="29"/>
  <c r="S6575" i="29"/>
  <c r="S6574" i="29"/>
  <c r="S6568" i="29"/>
  <c r="S6567" i="29"/>
  <c r="S6566" i="29"/>
  <c r="S6565" i="29"/>
  <c r="S6571" i="29"/>
  <c r="S6570" i="29"/>
  <c r="S6569" i="29"/>
  <c r="S6564" i="29"/>
  <c r="S6563" i="29"/>
  <c r="S6562" i="29"/>
  <c r="S6561" i="29"/>
  <c r="S6560" i="29"/>
  <c r="S6558" i="29"/>
  <c r="S6557" i="29"/>
  <c r="S6556" i="29"/>
  <c r="S6555" i="29"/>
  <c r="S6559" i="29"/>
  <c r="S6554" i="29"/>
  <c r="S6553" i="29"/>
  <c r="S6552" i="29"/>
  <c r="S6551" i="29"/>
  <c r="S6550" i="29"/>
  <c r="S6549" i="29"/>
  <c r="S6548" i="29"/>
  <c r="S6547" i="29"/>
  <c r="S6546" i="29"/>
  <c r="S6545" i="29"/>
  <c r="S6544" i="29"/>
  <c r="S6543" i="29"/>
  <c r="S6542" i="29"/>
  <c r="S6541" i="29"/>
  <c r="S6540" i="29"/>
  <c r="S6539" i="29"/>
  <c r="S6538" i="29"/>
  <c r="S6537" i="29"/>
  <c r="S6536" i="29"/>
  <c r="S6535" i="29"/>
  <c r="S6534" i="29"/>
  <c r="S6531" i="29"/>
  <c r="S6530" i="29"/>
  <c r="S6529" i="29"/>
  <c r="S6528" i="29"/>
  <c r="S6527" i="29"/>
  <c r="S6525" i="29"/>
  <c r="S6524" i="29"/>
  <c r="S6523" i="29"/>
  <c r="S6522" i="29"/>
  <c r="S6521" i="29"/>
  <c r="S6520" i="29"/>
  <c r="S6519" i="29"/>
  <c r="S6518" i="29"/>
  <c r="S6517" i="29"/>
  <c r="S6516" i="29"/>
  <c r="S6515" i="29"/>
  <c r="S6513" i="29"/>
  <c r="S6506" i="29"/>
  <c r="S6505" i="29"/>
  <c r="S6504" i="29"/>
  <c r="S6502" i="29"/>
  <c r="S6526" i="29"/>
  <c r="S6500" i="29"/>
  <c r="S6499" i="29"/>
  <c r="S6496" i="29"/>
  <c r="S6514" i="29"/>
  <c r="S6512" i="29"/>
  <c r="S6511" i="29"/>
  <c r="S6510" i="29"/>
  <c r="S6509" i="29"/>
  <c r="S6508" i="29"/>
  <c r="S6507" i="29"/>
  <c r="S6503" i="29"/>
  <c r="S6501" i="29"/>
  <c r="S644" i="29"/>
  <c r="S643" i="29"/>
  <c r="S6498" i="29"/>
  <c r="S6497" i="29"/>
  <c r="S6495" i="29"/>
  <c r="S6494" i="29"/>
  <c r="S6493" i="29"/>
  <c r="S6483" i="29"/>
  <c r="S6485" i="29"/>
  <c r="S6484" i="29"/>
  <c r="S6492" i="29"/>
  <c r="S6491" i="29"/>
  <c r="S6490" i="29"/>
  <c r="S6489" i="29"/>
  <c r="S6488" i="29"/>
  <c r="S6487" i="29"/>
  <c r="S6486" i="29"/>
  <c r="S6482" i="29"/>
  <c r="S6481" i="29"/>
  <c r="S6480" i="29"/>
  <c r="S6479" i="29"/>
  <c r="S6478" i="29"/>
  <c r="S6477" i="29"/>
  <c r="S6476" i="29"/>
  <c r="S6475" i="29"/>
  <c r="S6474" i="29"/>
  <c r="S6473" i="29"/>
  <c r="S6472" i="29"/>
  <c r="S6471" i="29"/>
  <c r="S6470" i="29"/>
  <c r="S6469" i="29"/>
  <c r="S6468" i="29"/>
  <c r="S6467" i="29"/>
  <c r="S6466" i="29"/>
  <c r="S6465" i="29"/>
  <c r="S6463" i="29"/>
  <c r="S6462" i="29"/>
  <c r="S6446" i="29"/>
  <c r="S6445" i="29"/>
  <c r="S6444" i="29"/>
  <c r="S636" i="29"/>
  <c r="S6464" i="29"/>
  <c r="S641" i="29"/>
  <c r="S6440" i="29"/>
  <c r="S6439" i="29"/>
  <c r="S6438" i="29"/>
  <c r="S6437" i="29"/>
  <c r="S6457" i="29"/>
  <c r="S6454" i="29"/>
  <c r="S6453" i="29"/>
  <c r="S6461" i="29"/>
  <c r="S6460" i="29"/>
  <c r="S6459" i="29"/>
  <c r="S6458" i="29"/>
  <c r="S6456" i="29"/>
  <c r="S6455" i="29"/>
  <c r="S6452" i="29"/>
  <c r="S6451" i="29"/>
  <c r="S6450" i="29"/>
  <c r="S6449" i="29"/>
  <c r="S6448" i="29"/>
  <c r="S6447" i="29"/>
  <c r="S6443" i="29"/>
  <c r="S6442" i="29"/>
  <c r="S6441" i="29"/>
  <c r="S6433" i="29"/>
  <c r="S6432" i="29"/>
  <c r="S6431" i="29"/>
  <c r="S6429" i="29"/>
  <c r="S6428" i="29"/>
  <c r="S6436" i="29"/>
  <c r="S6435" i="29"/>
  <c r="S6430" i="29"/>
  <c r="S6427" i="29"/>
  <c r="S6426" i="29"/>
  <c r="S6425" i="29"/>
  <c r="S6434" i="29"/>
  <c r="S6424" i="29"/>
  <c r="S6423" i="29"/>
  <c r="S6422" i="29"/>
  <c r="S6421" i="29"/>
  <c r="S6420" i="29"/>
  <c r="S6408" i="29"/>
  <c r="S6407" i="29"/>
  <c r="S6406" i="29"/>
  <c r="S6405" i="29"/>
  <c r="S6404" i="29"/>
  <c r="S6419" i="29"/>
  <c r="S6418" i="29"/>
  <c r="S6417" i="29"/>
  <c r="S6416" i="29"/>
  <c r="S6415" i="29"/>
  <c r="S6414" i="29"/>
  <c r="S6413" i="29"/>
  <c r="S6412" i="29"/>
  <c r="S6411" i="29"/>
  <c r="S6410" i="29"/>
  <c r="S6409" i="29"/>
  <c r="S6401" i="29"/>
  <c r="S6400" i="29"/>
  <c r="S6403" i="29"/>
  <c r="S6402" i="29"/>
  <c r="S6399" i="29"/>
  <c r="S6398" i="29"/>
  <c r="S6397" i="29"/>
  <c r="S6396" i="29"/>
  <c r="S6395" i="29"/>
  <c r="S6394" i="29"/>
  <c r="S6393" i="29"/>
  <c r="S6392" i="29"/>
  <c r="S6390" i="29"/>
  <c r="S6389" i="29"/>
  <c r="S6386" i="29"/>
  <c r="S6385" i="29"/>
  <c r="S6384" i="29"/>
  <c r="S6383" i="29"/>
  <c r="S6391" i="29"/>
  <c r="S6388" i="29"/>
  <c r="S6377" i="29"/>
  <c r="S6376" i="29"/>
  <c r="S6365" i="29"/>
  <c r="S6364" i="29"/>
  <c r="S6363" i="29"/>
  <c r="S6359" i="29"/>
  <c r="S6387" i="29"/>
  <c r="S6382" i="29"/>
  <c r="S6381" i="29"/>
  <c r="S6380" i="29"/>
  <c r="S6379" i="29"/>
  <c r="S6378" i="29"/>
  <c r="S6375" i="29"/>
  <c r="S6374" i="29"/>
  <c r="S6373" i="29"/>
  <c r="S6372" i="29"/>
  <c r="S6354" i="29"/>
  <c r="S6371" i="29"/>
  <c r="S6361" i="29"/>
  <c r="S6358" i="29"/>
  <c r="S6360" i="29"/>
  <c r="S6370" i="29"/>
  <c r="S6369" i="29"/>
  <c r="S6368" i="29"/>
  <c r="S6367" i="29"/>
  <c r="S6366" i="29"/>
  <c r="S6362" i="29"/>
  <c r="S6357" i="29"/>
  <c r="S6356" i="29"/>
  <c r="S6355" i="29"/>
  <c r="S6333" i="29"/>
  <c r="S6332" i="29"/>
  <c r="S6331" i="29"/>
  <c r="S6348" i="29"/>
  <c r="S6347" i="29"/>
  <c r="S6353" i="29"/>
  <c r="S6352" i="29"/>
  <c r="S6351" i="29"/>
  <c r="S6350" i="29"/>
  <c r="S6349" i="29"/>
  <c r="S6346" i="29"/>
  <c r="S6345" i="29"/>
  <c r="S6344" i="29"/>
  <c r="S6343" i="29"/>
  <c r="S6342" i="29"/>
  <c r="S6341" i="29"/>
  <c r="S6340" i="29"/>
  <c r="S6339" i="29"/>
  <c r="S6338" i="29"/>
  <c r="S6337" i="29"/>
  <c r="S6336" i="29"/>
  <c r="S6335" i="29"/>
  <c r="S6334" i="29"/>
  <c r="S6329" i="29"/>
  <c r="S6328" i="29"/>
  <c r="S6325" i="29"/>
  <c r="S6330" i="29"/>
  <c r="S6320" i="29"/>
  <c r="S6319" i="29"/>
  <c r="S6318" i="29"/>
  <c r="S6317" i="29"/>
  <c r="S6327" i="29"/>
  <c r="S6326" i="29"/>
  <c r="S6324" i="29"/>
  <c r="S6323" i="29"/>
  <c r="S6322" i="29"/>
  <c r="S6321" i="29"/>
  <c r="S6315" i="29"/>
  <c r="S6314" i="29"/>
  <c r="S6313" i="29"/>
  <c r="S6312" i="29"/>
  <c r="S6305" i="29"/>
  <c r="S6304" i="29"/>
  <c r="S6316" i="29"/>
  <c r="S6311" i="29"/>
  <c r="S6310" i="29"/>
  <c r="S6309" i="29"/>
  <c r="S6308" i="29"/>
  <c r="S6307" i="29"/>
  <c r="S6306" i="29"/>
  <c r="S6303" i="29"/>
  <c r="S6302" i="29"/>
  <c r="S6301" i="29"/>
  <c r="S6300" i="29"/>
  <c r="S6299" i="29"/>
  <c r="S6297" i="29"/>
  <c r="S6296" i="29"/>
  <c r="S6294" i="29"/>
  <c r="S6293" i="29"/>
  <c r="S6298" i="29"/>
  <c r="S6295" i="29"/>
  <c r="S6292" i="29"/>
  <c r="S6291" i="29"/>
  <c r="S6290" i="29"/>
  <c r="S6289" i="29"/>
  <c r="S6288" i="29"/>
  <c r="S6287" i="29"/>
  <c r="S6286" i="29"/>
  <c r="S6285" i="29"/>
  <c r="S6284" i="29"/>
  <c r="S6275" i="29"/>
  <c r="S6271" i="29"/>
  <c r="S6270" i="29"/>
  <c r="S6269" i="29"/>
  <c r="S6268" i="29"/>
  <c r="S6267" i="29"/>
  <c r="S6278" i="29"/>
  <c r="S6277" i="29"/>
  <c r="S6276" i="29"/>
  <c r="S6274" i="29"/>
  <c r="S6272" i="29"/>
  <c r="S6273" i="29"/>
  <c r="S6266" i="29"/>
  <c r="S6283" i="29"/>
  <c r="S6282" i="29"/>
  <c r="S6281" i="29"/>
  <c r="S6280" i="29"/>
  <c r="S6279" i="29"/>
  <c r="S6263" i="29"/>
  <c r="S6262" i="29"/>
  <c r="S6261" i="29"/>
  <c r="S6264" i="29"/>
  <c r="S6257" i="29"/>
  <c r="S6249" i="29"/>
  <c r="S6248" i="29"/>
  <c r="S6247" i="29"/>
  <c r="S6246" i="29"/>
  <c r="S6245" i="29"/>
  <c r="S6265" i="29"/>
  <c r="S6260" i="29"/>
  <c r="S6259" i="29"/>
  <c r="S6258" i="29"/>
  <c r="S6256" i="29"/>
  <c r="S6255" i="29"/>
  <c r="S6254" i="29"/>
  <c r="S6253" i="29"/>
  <c r="S6252" i="29"/>
  <c r="S6251" i="29"/>
  <c r="S6250" i="29"/>
  <c r="S6244" i="29"/>
  <c r="S6242" i="29"/>
  <c r="S6238" i="29"/>
  <c r="S6237" i="29"/>
  <c r="S6236" i="29"/>
  <c r="S6243" i="29"/>
  <c r="S6241" i="29"/>
  <c r="S6240" i="29"/>
  <c r="S6239" i="29"/>
  <c r="S6235" i="29"/>
  <c r="S6226" i="29"/>
  <c r="S6225" i="29"/>
  <c r="S6224" i="29"/>
  <c r="S6217" i="29"/>
  <c r="S6234" i="29"/>
  <c r="S6233" i="29"/>
  <c r="S6232" i="29"/>
  <c r="S6231" i="29"/>
  <c r="S6230" i="29"/>
  <c r="S6229" i="29"/>
  <c r="S6228" i="29"/>
  <c r="S6227" i="29"/>
  <c r="S6223" i="29"/>
  <c r="S6222" i="29"/>
  <c r="S6221" i="29"/>
  <c r="S6220" i="29"/>
  <c r="S6219" i="29"/>
  <c r="S6218" i="29"/>
  <c r="S6216" i="29"/>
  <c r="S6215" i="29"/>
  <c r="S6214" i="29"/>
  <c r="S6213" i="29"/>
  <c r="S6212" i="29"/>
  <c r="S6211" i="29"/>
  <c r="S6210" i="29"/>
  <c r="S6209" i="29"/>
  <c r="S6208" i="29"/>
  <c r="S6207" i="29"/>
  <c r="S6206" i="29"/>
  <c r="S6205" i="29"/>
  <c r="S6204" i="29"/>
  <c r="S6203" i="29"/>
  <c r="S6202" i="29"/>
  <c r="S6201" i="29"/>
  <c r="S6200" i="29"/>
  <c r="S6199" i="29"/>
  <c r="S6198" i="29"/>
  <c r="S6197" i="29"/>
  <c r="S6196" i="29"/>
  <c r="S6195" i="29"/>
  <c r="S6194" i="29"/>
  <c r="S6193" i="29"/>
  <c r="S6192" i="29"/>
  <c r="S6191" i="29"/>
  <c r="S6186" i="29"/>
  <c r="S6127" i="29"/>
  <c r="S6126" i="29"/>
  <c r="S6117" i="29"/>
  <c r="S6098" i="29"/>
  <c r="S6171" i="29"/>
  <c r="S6170" i="29"/>
  <c r="S6181" i="29"/>
  <c r="S6180" i="29"/>
  <c r="S6179" i="29"/>
  <c r="S6178" i="29"/>
  <c r="S6177" i="29"/>
  <c r="S6190" i="29"/>
  <c r="S6188" i="29"/>
  <c r="S6176" i="29"/>
  <c r="S6189" i="29"/>
  <c r="S6187" i="29"/>
  <c r="S6175" i="29"/>
  <c r="S6174" i="29"/>
  <c r="S6185" i="29"/>
  <c r="S6184" i="29"/>
  <c r="S6183" i="29"/>
  <c r="S6182" i="29"/>
  <c r="S6173" i="29"/>
  <c r="S6172" i="29"/>
  <c r="S6169" i="29"/>
  <c r="S6168" i="29"/>
  <c r="S6167" i="29"/>
  <c r="S6166" i="29"/>
  <c r="S6165" i="29"/>
  <c r="S6164" i="29"/>
  <c r="S6163" i="29"/>
  <c r="S6162" i="29"/>
  <c r="S6161" i="29"/>
  <c r="S6160" i="29"/>
  <c r="S6159" i="29"/>
  <c r="S6158" i="29"/>
  <c r="S6157" i="29"/>
  <c r="S6156" i="29"/>
  <c r="S6155" i="29"/>
  <c r="S6152" i="29"/>
  <c r="S6154" i="29"/>
  <c r="S6153" i="29"/>
  <c r="S6151" i="29"/>
  <c r="S6150" i="29"/>
  <c r="S6149" i="29"/>
  <c r="S6148" i="29"/>
  <c r="S6147" i="29"/>
  <c r="S6146" i="29"/>
  <c r="S6145" i="29"/>
  <c r="S6144" i="29"/>
  <c r="S6143" i="29"/>
  <c r="S6142" i="29"/>
  <c r="S6141" i="29"/>
  <c r="S6140" i="29"/>
  <c r="S6139" i="29"/>
  <c r="S6138" i="29"/>
  <c r="S6137" i="29"/>
  <c r="S6136" i="29"/>
  <c r="S6135" i="29"/>
  <c r="S9631" i="29"/>
  <c r="S6128" i="29"/>
  <c r="S6134" i="29"/>
  <c r="S6133" i="29"/>
  <c r="S6132" i="29"/>
  <c r="S6131" i="29"/>
  <c r="S6130" i="29"/>
  <c r="S6129" i="29"/>
  <c r="S6125" i="29"/>
  <c r="S6124" i="29"/>
  <c r="S6123" i="29"/>
  <c r="S6122" i="29"/>
  <c r="S6121" i="29"/>
  <c r="S6115" i="29"/>
  <c r="S6114" i="29"/>
  <c r="S6113" i="29"/>
  <c r="S6112" i="29"/>
  <c r="S6111" i="29"/>
  <c r="S6099" i="29"/>
  <c r="S6120" i="29"/>
  <c r="S6119" i="29"/>
  <c r="S6118" i="29"/>
  <c r="S6116" i="29"/>
  <c r="S6097" i="29"/>
  <c r="S6110" i="29"/>
  <c r="S6109" i="29"/>
  <c r="S6108" i="29"/>
  <c r="S6107" i="29"/>
  <c r="S6106" i="29"/>
  <c r="S6105" i="29"/>
  <c r="S6104" i="29"/>
  <c r="S6103" i="29"/>
  <c r="S6102" i="29"/>
  <c r="S6101" i="29"/>
  <c r="S6100" i="29"/>
  <c r="S6096" i="29"/>
  <c r="S6095" i="29"/>
  <c r="S6094" i="29"/>
  <c r="S6093" i="29"/>
  <c r="S6092" i="29"/>
  <c r="S6091" i="29"/>
  <c r="S6090" i="29"/>
  <c r="S6089" i="29"/>
  <c r="S6088" i="29"/>
  <c r="S6087" i="29"/>
  <c r="S6086" i="29"/>
  <c r="S6085" i="29"/>
  <c r="S6084" i="29"/>
  <c r="S6083" i="29"/>
  <c r="S6082" i="29"/>
  <c r="S6080" i="29"/>
  <c r="S6079" i="29"/>
  <c r="S6078" i="29"/>
  <c r="S6081" i="29"/>
  <c r="S6076" i="29"/>
  <c r="S6075" i="29"/>
  <c r="S6074" i="29"/>
  <c r="S6073" i="29"/>
  <c r="S6077" i="29"/>
  <c r="S6060" i="29"/>
  <c r="S6059" i="29"/>
  <c r="S6058" i="29"/>
  <c r="S6057" i="29"/>
  <c r="S6072" i="29"/>
  <c r="S6071" i="29"/>
  <c r="S6070" i="29"/>
  <c r="S6069" i="29"/>
  <c r="S6068" i="29"/>
  <c r="S6067" i="29"/>
  <c r="S6066" i="29"/>
  <c r="S6065" i="29"/>
  <c r="S6063" i="29"/>
  <c r="S6064" i="29"/>
  <c r="S6056" i="29"/>
  <c r="S6049" i="29"/>
  <c r="S6048" i="29"/>
  <c r="S6062" i="29"/>
  <c r="S6061" i="29"/>
  <c r="S6055" i="29"/>
  <c r="S6054" i="29"/>
  <c r="S6053" i="29"/>
  <c r="S6052" i="29"/>
  <c r="S6051" i="29"/>
  <c r="S6050" i="29"/>
  <c r="S6047" i="29"/>
  <c r="S6046" i="29"/>
  <c r="S6045" i="29"/>
  <c r="S6044" i="29"/>
  <c r="S6043" i="29"/>
  <c r="S6037" i="29"/>
  <c r="S6036" i="29"/>
  <c r="S6035" i="29"/>
  <c r="S6034" i="29"/>
  <c r="S6033" i="29"/>
  <c r="S6028" i="29"/>
  <c r="S6027" i="29"/>
  <c r="S6026" i="29"/>
  <c r="S6025" i="29"/>
  <c r="S6024" i="29"/>
  <c r="S6023" i="29"/>
  <c r="S6042" i="29"/>
  <c r="S6041" i="29"/>
  <c r="S6040" i="29"/>
  <c r="S6039" i="29"/>
  <c r="S6038" i="29"/>
  <c r="S6032" i="29"/>
  <c r="S6031" i="29"/>
  <c r="S6030" i="29"/>
  <c r="S6029" i="29"/>
  <c r="S6022" i="29"/>
  <c r="S6021" i="29"/>
  <c r="S6020" i="29"/>
  <c r="S6019" i="29"/>
  <c r="S6018" i="29"/>
  <c r="S6017" i="29"/>
  <c r="S6016" i="29"/>
  <c r="S6015" i="29"/>
  <c r="S6010" i="29"/>
  <c r="S6009" i="29"/>
  <c r="S6008" i="29"/>
  <c r="S6007" i="29"/>
  <c r="S6006" i="29"/>
  <c r="S6005" i="29"/>
  <c r="S5997" i="29"/>
  <c r="S5996" i="29"/>
  <c r="S6014" i="29"/>
  <c r="S6013" i="29"/>
  <c r="S6012" i="29"/>
  <c r="S6011" i="29"/>
  <c r="S6004" i="29"/>
  <c r="S6003" i="29"/>
  <c r="S6002" i="29"/>
  <c r="S5985" i="29"/>
  <c r="S5984" i="29"/>
  <c r="S6001" i="29"/>
  <c r="S6000" i="29"/>
  <c r="S5999" i="29"/>
  <c r="S5998" i="29"/>
  <c r="S5995" i="29"/>
  <c r="S5994" i="29"/>
  <c r="S5993" i="29"/>
  <c r="S5992" i="29"/>
  <c r="S5991" i="29"/>
  <c r="S5990" i="29"/>
  <c r="S5989" i="29"/>
  <c r="S5988" i="29"/>
  <c r="S5987" i="29"/>
  <c r="S5986" i="29"/>
  <c r="S5983" i="29"/>
  <c r="S5980" i="29"/>
  <c r="S5979" i="29"/>
  <c r="S5970" i="29"/>
  <c r="S5969" i="29"/>
  <c r="S5968" i="29"/>
  <c r="S5967" i="29"/>
  <c r="S5982" i="29"/>
  <c r="S5981" i="29"/>
  <c r="S5958" i="29"/>
  <c r="S651" i="29"/>
  <c r="S650" i="29"/>
  <c r="S649" i="29"/>
  <c r="S5957" i="29"/>
  <c r="S5978" i="29"/>
  <c r="S5977" i="29"/>
  <c r="S5976" i="29"/>
  <c r="S5975" i="29"/>
  <c r="S5974" i="29"/>
  <c r="S5973" i="29"/>
  <c r="S5972" i="29"/>
  <c r="S5966" i="29"/>
  <c r="S5965" i="29"/>
  <c r="S5971" i="29"/>
  <c r="S5964" i="29"/>
  <c r="S5963" i="29"/>
  <c r="S5962" i="29"/>
  <c r="S5961" i="29"/>
  <c r="S5960" i="29"/>
  <c r="S5959" i="29"/>
  <c r="S5956" i="29"/>
  <c r="S5954" i="29"/>
  <c r="S5955" i="29"/>
  <c r="S5953" i="29"/>
  <c r="S5952" i="29"/>
  <c r="S5951" i="29"/>
  <c r="S5950" i="29"/>
  <c r="S5949" i="29"/>
  <c r="S5948" i="29"/>
  <c r="S5947" i="29"/>
  <c r="S5946" i="29"/>
  <c r="S5945" i="29"/>
  <c r="S5944" i="29"/>
  <c r="S5943" i="29"/>
  <c r="S5942" i="29"/>
  <c r="S5941" i="29"/>
  <c r="S5940" i="29"/>
  <c r="S5939" i="29"/>
  <c r="S5938" i="29"/>
  <c r="S5934" i="29"/>
  <c r="S5933" i="29"/>
  <c r="S5932" i="29"/>
  <c r="S5931" i="29"/>
  <c r="S5930" i="29"/>
  <c r="S5926" i="29"/>
  <c r="S5925" i="29"/>
  <c r="S5929" i="29"/>
  <c r="S5924" i="29"/>
  <c r="S5937" i="29"/>
  <c r="S5936" i="29"/>
  <c r="S5935" i="29"/>
  <c r="S5928" i="29"/>
  <c r="S5927" i="29"/>
  <c r="S5920" i="29"/>
  <c r="S5923" i="29"/>
  <c r="S5917" i="29"/>
  <c r="S5916" i="29"/>
  <c r="S5905" i="29"/>
  <c r="S5922" i="29"/>
  <c r="S5921" i="29"/>
  <c r="S5911" i="29"/>
  <c r="S5910" i="29"/>
  <c r="S5909" i="29"/>
  <c r="S5908" i="29"/>
  <c r="S5907" i="29"/>
  <c r="S5906" i="29"/>
  <c r="S5904" i="29"/>
  <c r="S5919" i="29"/>
  <c r="S5918" i="29"/>
  <c r="S5915" i="29"/>
  <c r="S5914" i="29"/>
  <c r="S5913" i="29"/>
  <c r="S5912" i="29"/>
  <c r="S5902" i="29"/>
  <c r="S5901" i="29"/>
  <c r="S5900" i="29"/>
  <c r="S5903" i="29"/>
  <c r="S5899" i="29"/>
  <c r="S5898" i="29"/>
  <c r="S5897" i="29"/>
  <c r="S5896" i="29"/>
  <c r="S5894" i="29"/>
  <c r="S5893" i="29"/>
  <c r="S5892" i="29"/>
  <c r="S5891" i="29"/>
  <c r="S5890" i="29"/>
  <c r="S5889" i="29"/>
  <c r="S5888" i="29"/>
  <c r="S5887" i="29"/>
  <c r="S5886" i="29"/>
  <c r="S5885" i="29"/>
  <c r="S5884" i="29"/>
  <c r="S5895" i="29"/>
  <c r="S5883" i="29"/>
  <c r="S5882" i="29"/>
  <c r="S5881" i="29"/>
  <c r="S5880" i="29"/>
  <c r="S5879" i="29"/>
  <c r="S5878" i="29"/>
  <c r="S5877" i="29"/>
  <c r="S5874" i="29"/>
  <c r="S5873" i="29"/>
  <c r="S5872" i="29"/>
  <c r="S5871" i="29"/>
  <c r="S5870" i="29"/>
  <c r="S5869" i="29"/>
  <c r="S5868" i="29"/>
  <c r="S5861" i="29"/>
  <c r="S5876" i="29"/>
  <c r="S5875" i="29"/>
  <c r="S5862" i="29"/>
  <c r="S5860" i="29"/>
  <c r="S5867" i="29"/>
  <c r="S5866" i="29"/>
  <c r="S5865" i="29"/>
  <c r="S5864" i="29"/>
  <c r="S5863" i="29"/>
  <c r="S5847" i="29"/>
  <c r="S5857" i="29"/>
  <c r="S5856" i="29"/>
  <c r="S5855" i="29"/>
  <c r="S5854" i="29"/>
  <c r="S5853" i="29"/>
  <c r="S5859" i="29"/>
  <c r="S5858" i="29"/>
  <c r="S5852" i="29"/>
  <c r="S5851" i="29"/>
  <c r="S5850" i="29"/>
  <c r="S5849" i="29"/>
  <c r="S5848" i="29"/>
  <c r="S5846" i="29"/>
  <c r="S5845" i="29"/>
  <c r="S5844" i="29"/>
  <c r="S5832" i="29"/>
  <c r="S5831" i="29"/>
  <c r="S5830" i="29"/>
  <c r="S5843" i="29"/>
  <c r="S5842" i="29"/>
  <c r="S5841" i="29"/>
  <c r="S5840" i="29"/>
  <c r="S5829" i="29"/>
  <c r="S5822" i="29"/>
  <c r="S5821" i="29"/>
  <c r="S5839" i="29"/>
  <c r="S5838" i="29"/>
  <c r="S5837" i="29"/>
  <c r="S5836" i="29"/>
  <c r="S5835" i="29"/>
  <c r="S5834" i="29"/>
  <c r="S5833" i="29"/>
  <c r="S5828" i="29"/>
  <c r="S5827" i="29"/>
  <c r="S5826" i="29"/>
  <c r="S5825" i="29"/>
  <c r="S5824" i="29"/>
  <c r="S5823" i="29"/>
  <c r="S5820" i="29"/>
  <c r="S5819" i="29"/>
  <c r="S5818" i="29"/>
  <c r="S5815" i="29"/>
  <c r="S5814" i="29"/>
  <c r="S5813" i="29"/>
  <c r="S5812" i="29"/>
  <c r="S5811" i="29"/>
  <c r="S5810" i="29"/>
  <c r="S5817" i="29"/>
  <c r="S5816" i="29"/>
  <c r="S5809" i="29"/>
  <c r="S5808" i="29"/>
  <c r="S5807" i="29"/>
  <c r="S5806" i="29"/>
  <c r="S5805" i="29"/>
  <c r="S5804" i="29"/>
  <c r="S5803" i="29"/>
  <c r="S5802" i="29"/>
  <c r="S5801" i="29"/>
  <c r="S5800" i="29"/>
  <c r="S5799" i="29"/>
  <c r="S5795" i="29"/>
  <c r="S5794" i="29"/>
  <c r="S5793" i="29"/>
  <c r="S5792" i="29"/>
  <c r="S5791" i="29"/>
  <c r="S5790" i="29"/>
  <c r="S5798" i="29"/>
  <c r="S5797" i="29"/>
  <c r="S5796" i="29"/>
  <c r="S5789" i="29"/>
  <c r="S5788" i="29"/>
  <c r="S5787" i="29"/>
  <c r="S5786" i="29"/>
  <c r="S5785" i="29"/>
  <c r="S5784" i="29"/>
  <c r="S5783" i="29"/>
  <c r="S5782" i="29"/>
  <c r="S5781" i="29"/>
  <c r="S5780" i="29"/>
  <c r="S5778" i="29"/>
  <c r="S5777" i="29"/>
  <c r="S5776" i="29"/>
  <c r="S5775" i="29"/>
  <c r="S5779" i="29"/>
  <c r="S5774" i="29"/>
  <c r="S5773" i="29"/>
  <c r="S5772" i="29"/>
  <c r="S5771" i="29"/>
  <c r="S5766" i="29"/>
  <c r="S5770" i="29"/>
  <c r="S5769" i="29"/>
  <c r="S5768" i="29"/>
  <c r="S5767" i="29"/>
  <c r="S5765" i="29"/>
  <c r="S5764" i="29"/>
  <c r="S5763" i="29"/>
  <c r="S5762" i="29"/>
  <c r="S5759" i="29"/>
  <c r="S5758" i="29"/>
  <c r="S5756" i="29"/>
  <c r="S5755" i="29"/>
  <c r="S5754" i="29"/>
  <c r="S5753" i="29"/>
  <c r="S5752" i="29"/>
  <c r="S5751" i="29"/>
  <c r="S5750" i="29"/>
  <c r="S5749" i="29"/>
  <c r="S5745" i="29"/>
  <c r="S5744" i="29"/>
  <c r="S5761" i="29"/>
  <c r="S5760" i="29"/>
  <c r="S5757" i="29"/>
  <c r="S5748" i="29"/>
  <c r="S5746" i="29"/>
  <c r="S5740" i="29"/>
  <c r="S5739" i="29"/>
  <c r="S5737" i="29"/>
  <c r="S5747" i="29"/>
  <c r="S5734" i="29"/>
  <c r="S5732" i="29"/>
  <c r="S5731" i="29"/>
  <c r="S5730" i="29"/>
  <c r="S5729" i="29"/>
  <c r="S5726" i="29"/>
  <c r="S5743" i="29"/>
  <c r="S5742" i="29"/>
  <c r="S5741" i="29"/>
  <c r="S5738" i="29"/>
  <c r="S5728" i="29"/>
  <c r="S5727" i="29"/>
  <c r="S5736" i="29"/>
  <c r="S5735" i="29"/>
  <c r="S5733" i="29"/>
  <c r="S5725" i="29"/>
  <c r="S5724" i="29"/>
  <c r="S5723" i="29"/>
  <c r="S5722" i="29"/>
  <c r="S5721" i="29"/>
  <c r="S5720" i="29"/>
  <c r="S5719" i="29"/>
  <c r="S5718" i="29"/>
  <c r="S5717" i="29"/>
  <c r="S5716" i="29"/>
  <c r="S5715" i="29"/>
  <c r="S5714" i="29"/>
  <c r="S5713" i="29"/>
  <c r="S5712" i="29"/>
  <c r="S5711" i="29"/>
  <c r="S5710" i="29"/>
  <c r="S5707" i="29"/>
  <c r="S5706" i="29"/>
  <c r="S5705" i="29"/>
  <c r="S5704" i="29"/>
  <c r="S5703" i="29"/>
  <c r="S5702" i="29"/>
  <c r="S5709" i="29"/>
  <c r="S5708" i="29"/>
  <c r="S5701" i="29"/>
  <c r="S5700" i="29"/>
  <c r="S5699" i="29"/>
  <c r="S5698" i="29"/>
  <c r="S5697" i="29"/>
  <c r="S5696" i="29"/>
  <c r="S5694" i="29"/>
  <c r="S5693" i="29"/>
  <c r="S5692" i="29"/>
  <c r="S5691" i="29"/>
  <c r="S5690" i="29"/>
  <c r="S5689" i="29"/>
  <c r="S5688" i="29"/>
  <c r="S5687" i="29"/>
  <c r="S5695" i="29"/>
  <c r="S5686" i="29"/>
  <c r="S5675" i="29"/>
  <c r="S5671" i="29"/>
  <c r="S5670" i="29"/>
  <c r="S5669" i="29"/>
  <c r="S5684" i="29"/>
  <c r="S5683" i="29"/>
  <c r="S5682" i="29"/>
  <c r="S5681" i="29"/>
  <c r="S5680" i="29"/>
  <c r="S5679" i="29"/>
  <c r="S5678" i="29"/>
  <c r="S5677" i="29"/>
  <c r="S5676" i="29"/>
  <c r="S5674" i="29"/>
  <c r="S5673" i="29"/>
  <c r="S5672" i="29"/>
  <c r="S5668" i="29"/>
  <c r="S5667" i="29"/>
  <c r="S5657" i="29"/>
  <c r="S5656" i="29"/>
  <c r="S5649" i="29"/>
  <c r="S5648" i="29"/>
  <c r="S5647" i="29"/>
  <c r="S5646" i="29"/>
  <c r="S5645" i="29"/>
  <c r="S5644" i="29"/>
  <c r="S5643" i="29"/>
  <c r="S5642" i="29"/>
  <c r="S5641" i="29"/>
  <c r="S5666" i="29"/>
  <c r="S5665" i="29"/>
  <c r="S5664" i="29"/>
  <c r="S5663" i="29"/>
  <c r="S5662" i="29"/>
  <c r="S5661" i="29"/>
  <c r="S5660" i="29"/>
  <c r="S5659" i="29"/>
  <c r="S5658" i="29"/>
  <c r="S5655" i="29"/>
  <c r="S5654" i="29"/>
  <c r="S5653" i="29"/>
  <c r="S5652" i="29"/>
  <c r="S5685" i="29"/>
  <c r="S5636" i="29"/>
  <c r="S5635" i="29"/>
  <c r="S5620" i="29"/>
  <c r="S5619" i="29"/>
  <c r="S5618" i="29"/>
  <c r="S5616" i="29"/>
  <c r="S5615" i="29"/>
  <c r="S5614" i="29"/>
  <c r="S5613" i="29"/>
  <c r="S5612" i="29"/>
  <c r="S5611" i="29"/>
  <c r="S5640" i="29"/>
  <c r="S5639" i="29"/>
  <c r="S5638" i="29"/>
  <c r="S5637" i="29"/>
  <c r="S5634" i="29"/>
  <c r="S5633" i="29"/>
  <c r="S5632" i="29"/>
  <c r="S5631" i="29"/>
  <c r="S5630" i="29"/>
  <c r="S5629" i="29"/>
  <c r="S5602" i="29"/>
  <c r="S5601" i="29"/>
  <c r="S5600" i="29"/>
  <c r="S5599" i="29"/>
  <c r="S5598" i="29"/>
  <c r="S5597" i="29"/>
  <c r="S5596" i="29"/>
  <c r="S5595" i="29"/>
  <c r="S5594" i="29"/>
  <c r="S5650" i="29"/>
  <c r="S5651" i="29"/>
  <c r="S5628" i="29"/>
  <c r="S5627" i="29"/>
  <c r="S5626" i="29"/>
  <c r="S5625" i="29"/>
  <c r="S5624" i="29"/>
  <c r="S5623" i="29"/>
  <c r="S5622" i="29"/>
  <c r="S5621" i="29"/>
  <c r="S5617" i="29"/>
  <c r="S5606" i="29"/>
  <c r="S5605" i="29"/>
  <c r="S5593" i="29"/>
  <c r="S5610" i="29"/>
  <c r="S5609" i="29"/>
  <c r="S5608" i="29"/>
  <c r="S5607" i="29"/>
  <c r="S5604" i="29"/>
  <c r="S5592" i="29"/>
  <c r="S5591" i="29"/>
  <c r="S5603" i="29"/>
  <c r="S5590" i="29"/>
  <c r="S5589" i="29"/>
  <c r="S5588" i="29"/>
  <c r="S5584" i="29"/>
  <c r="S5578" i="29"/>
  <c r="S5577" i="29"/>
  <c r="S5576" i="29"/>
  <c r="S5575" i="29"/>
  <c r="S5574" i="29"/>
  <c r="S5573" i="29"/>
  <c r="S5572" i="29"/>
  <c r="S5571" i="29"/>
  <c r="S5570" i="29"/>
  <c r="S5569" i="29"/>
  <c r="S5568" i="29"/>
  <c r="S5567" i="29"/>
  <c r="S5587" i="29"/>
  <c r="S5586" i="29"/>
  <c r="S5585" i="29"/>
  <c r="S5583" i="29"/>
  <c r="S5582" i="29"/>
  <c r="S5581" i="29"/>
  <c r="S5580" i="29"/>
  <c r="S5579" i="29"/>
  <c r="S5566" i="29"/>
  <c r="S5565" i="29"/>
  <c r="S5564" i="29"/>
  <c r="S5563" i="29"/>
  <c r="S5559" i="29"/>
  <c r="S5558" i="29"/>
  <c r="S5557" i="29"/>
  <c r="S5556" i="29"/>
  <c r="S5555" i="29"/>
  <c r="S5554" i="29"/>
  <c r="S5553" i="29"/>
  <c r="S5552" i="29"/>
  <c r="S5551" i="29"/>
  <c r="S5550" i="29"/>
  <c r="S5549" i="29"/>
  <c r="S5548" i="29"/>
  <c r="S5547" i="29"/>
  <c r="S5546" i="29"/>
  <c r="S5538" i="29"/>
  <c r="S5562" i="29"/>
  <c r="S5561" i="29"/>
  <c r="S5560" i="29"/>
  <c r="S5543" i="29"/>
  <c r="S5542" i="29"/>
  <c r="S5541" i="29"/>
  <c r="S5540" i="29"/>
  <c r="S5539" i="29"/>
  <c r="S5534" i="29"/>
  <c r="S5533" i="29"/>
  <c r="S5532" i="29"/>
  <c r="S5545" i="29"/>
  <c r="S5544" i="29"/>
  <c r="S5527" i="29"/>
  <c r="S5537" i="29"/>
  <c r="S5536" i="29"/>
  <c r="S5535" i="29"/>
  <c r="S5531" i="29"/>
  <c r="S5530" i="29"/>
  <c r="S5529" i="29"/>
  <c r="S5528" i="29"/>
  <c r="S5513" i="29"/>
  <c r="S5512" i="29"/>
  <c r="S5511" i="29"/>
  <c r="S5525" i="29"/>
  <c r="S5524" i="29"/>
  <c r="S5523" i="29"/>
  <c r="S5521" i="29"/>
  <c r="S5526" i="29"/>
  <c r="S5522" i="29"/>
  <c r="S5520" i="29"/>
  <c r="S5519" i="29"/>
  <c r="S5518" i="29"/>
  <c r="S5517" i="29"/>
  <c r="S5516" i="29"/>
  <c r="S5515" i="29"/>
  <c r="S5514" i="29"/>
  <c r="S5507" i="29"/>
  <c r="S5506" i="29"/>
  <c r="S5510" i="29"/>
  <c r="S5509" i="29"/>
  <c r="S5508" i="29"/>
  <c r="S5505" i="29"/>
  <c r="S5504" i="29"/>
  <c r="S5503" i="29"/>
  <c r="S5499" i="29"/>
  <c r="S5498" i="29"/>
  <c r="S5497" i="29"/>
  <c r="S5496" i="29"/>
  <c r="S5495" i="29"/>
  <c r="S5494" i="29"/>
  <c r="S5493" i="29"/>
  <c r="S5492" i="29"/>
  <c r="S5502" i="29"/>
  <c r="S5501" i="29"/>
  <c r="S5500" i="29"/>
  <c r="S5491" i="29"/>
  <c r="S5490" i="29"/>
  <c r="S5473" i="29"/>
  <c r="S5485" i="29"/>
  <c r="S5484" i="29"/>
  <c r="S5483" i="29"/>
  <c r="S5482" i="29"/>
  <c r="S5481" i="29"/>
  <c r="S5480" i="29"/>
  <c r="S5479" i="29"/>
  <c r="S5478" i="29"/>
  <c r="S5477" i="29"/>
  <c r="S5489" i="29"/>
  <c r="S5488" i="29"/>
  <c r="S5487" i="29"/>
  <c r="S5486" i="29"/>
  <c r="S5476" i="29"/>
  <c r="S5475" i="29"/>
  <c r="S5474" i="29"/>
  <c r="S5472" i="29"/>
  <c r="S5471" i="29"/>
  <c r="S5461" i="29"/>
  <c r="S5456" i="29"/>
  <c r="S5470" i="29"/>
  <c r="S5469" i="29"/>
  <c r="S5468" i="29"/>
  <c r="S5467" i="29"/>
  <c r="S5466" i="29"/>
  <c r="S5465" i="29"/>
  <c r="S5464" i="29"/>
  <c r="S5463" i="29"/>
  <c r="S5462" i="29"/>
  <c r="S5460" i="29"/>
  <c r="S5459" i="29"/>
  <c r="S5458" i="29"/>
  <c r="S5457" i="29"/>
  <c r="S5455" i="29"/>
  <c r="S5454" i="29"/>
  <c r="S5453" i="29"/>
  <c r="S5451" i="29"/>
  <c r="S5452" i="29"/>
  <c r="S5446" i="29"/>
  <c r="S5445" i="29"/>
  <c r="S5444" i="29"/>
  <c r="S5443" i="29"/>
  <c r="S5442" i="29"/>
  <c r="S5441" i="29"/>
  <c r="S5449" i="29"/>
  <c r="S5448" i="29"/>
  <c r="S5447" i="29"/>
  <c r="S5440" i="29"/>
  <c r="S5439" i="29"/>
  <c r="S5450" i="29"/>
  <c r="S5433" i="29"/>
  <c r="S5432" i="29"/>
  <c r="S5438" i="29"/>
  <c r="S5437" i="29"/>
  <c r="S5436" i="29"/>
  <c r="S5435" i="29"/>
  <c r="S5434" i="29"/>
  <c r="S5431" i="29"/>
  <c r="S5430" i="29"/>
  <c r="S5429" i="29"/>
  <c r="S5428" i="29"/>
  <c r="S5427" i="29"/>
  <c r="S5426" i="29"/>
  <c r="S5425" i="29"/>
  <c r="S5424" i="29"/>
  <c r="S5423" i="29"/>
  <c r="S5422" i="29"/>
  <c r="S5421" i="29"/>
  <c r="S5420" i="29"/>
  <c r="S5419" i="29"/>
  <c r="S5418" i="29"/>
  <c r="S5417" i="29"/>
  <c r="S5410" i="29"/>
  <c r="S5402" i="29"/>
  <c r="S5401" i="29"/>
  <c r="S5400" i="29"/>
  <c r="S5399" i="29"/>
  <c r="S5398" i="29"/>
  <c r="S5397" i="29"/>
  <c r="S5396" i="29"/>
  <c r="S5395" i="29"/>
  <c r="S5394" i="29"/>
  <c r="S5393" i="29"/>
  <c r="S5392" i="29"/>
  <c r="S5409" i="29"/>
  <c r="S5408" i="29"/>
  <c r="S5407" i="29"/>
  <c r="S5406" i="29"/>
  <c r="S5405" i="29"/>
  <c r="S5404" i="29"/>
  <c r="S5403" i="29"/>
  <c r="S5416" i="29"/>
  <c r="S5415" i="29"/>
  <c r="S5414" i="29"/>
  <c r="S5413" i="29"/>
  <c r="S5412" i="29"/>
  <c r="S5411" i="29"/>
  <c r="S5390" i="29"/>
  <c r="S5389" i="29"/>
  <c r="S5388" i="29"/>
  <c r="S5387" i="29"/>
  <c r="S5384" i="29"/>
  <c r="S5383" i="29"/>
  <c r="S5382" i="29"/>
  <c r="S5381" i="29"/>
  <c r="S5380" i="29"/>
  <c r="S5379" i="29"/>
  <c r="S5391" i="29"/>
  <c r="S5386" i="29"/>
  <c r="S5385" i="29"/>
  <c r="S5365" i="29"/>
  <c r="S5363" i="29"/>
  <c r="S5378" i="29"/>
  <c r="S5377" i="29"/>
  <c r="S5376" i="29"/>
  <c r="S5375" i="29"/>
  <c r="S2611" i="29"/>
  <c r="S2610" i="29"/>
  <c r="S5355" i="29"/>
  <c r="S5354" i="29"/>
  <c r="S5353" i="29"/>
  <c r="S5352" i="29"/>
  <c r="S5351" i="29"/>
  <c r="S5350" i="29"/>
  <c r="S5374" i="29"/>
  <c r="S5373" i="29"/>
  <c r="S621" i="29"/>
  <c r="S658" i="29"/>
  <c r="S653" i="29"/>
  <c r="S5349" i="29"/>
  <c r="S5348" i="29"/>
  <c r="S5372" i="29"/>
  <c r="S5371" i="29"/>
  <c r="S5370" i="29"/>
  <c r="S5369" i="29"/>
  <c r="S5368" i="29"/>
  <c r="S5364" i="29"/>
  <c r="S5358" i="29"/>
  <c r="S5357" i="29"/>
  <c r="S5367" i="29"/>
  <c r="S5366" i="29"/>
  <c r="S5362" i="29"/>
  <c r="S5361" i="29"/>
  <c r="S5360" i="29"/>
  <c r="S5359" i="29"/>
  <c r="S5346" i="29"/>
  <c r="S5356" i="29"/>
  <c r="S5347" i="29"/>
  <c r="S5345" i="29"/>
  <c r="S4867" i="29"/>
  <c r="S5344" i="29"/>
  <c r="S5343" i="29"/>
  <c r="S5342" i="29"/>
  <c r="S5341" i="29"/>
  <c r="S5339" i="29"/>
  <c r="S4877" i="29"/>
  <c r="S4876" i="29"/>
  <c r="S4875" i="29"/>
  <c r="S4874" i="29"/>
  <c r="S4873" i="29"/>
  <c r="S4872" i="29"/>
  <c r="S5340" i="29"/>
  <c r="S5338" i="29"/>
  <c r="S5336" i="29"/>
  <c r="S5335" i="29"/>
  <c r="S5334" i="29"/>
  <c r="S5299" i="29"/>
  <c r="S5300" i="29"/>
  <c r="S5337" i="29"/>
  <c r="S5301" i="29"/>
  <c r="S5302" i="29"/>
  <c r="S5303" i="29"/>
  <c r="S5304" i="29"/>
  <c r="S5305" i="29"/>
  <c r="S5306" i="29"/>
  <c r="S5307" i="29"/>
  <c r="S5308" i="29"/>
  <c r="S5309" i="29"/>
  <c r="S5310" i="29"/>
  <c r="S5311" i="29"/>
  <c r="S5312" i="29"/>
  <c r="S5313" i="29"/>
  <c r="S5314" i="29"/>
  <c r="S5315" i="29"/>
  <c r="S5316" i="29"/>
  <c r="S5317" i="29"/>
  <c r="S5318" i="29"/>
  <c r="S5333" i="29"/>
  <c r="S5332" i="29"/>
  <c r="S5331" i="29"/>
  <c r="S5330" i="29"/>
  <c r="S5329" i="29"/>
  <c r="S5298" i="29"/>
  <c r="S5297" i="29"/>
  <c r="S5296" i="29"/>
  <c r="S5295" i="29"/>
  <c r="S5294" i="29"/>
  <c r="S5293" i="29"/>
  <c r="S5319" i="29"/>
  <c r="S5320" i="29"/>
  <c r="S5321" i="29"/>
  <c r="S5322" i="29"/>
  <c r="S5323" i="29"/>
  <c r="S5324" i="29"/>
  <c r="S5325" i="29"/>
  <c r="S5326" i="29"/>
  <c r="S5327" i="29"/>
  <c r="S5328" i="29"/>
  <c r="S5286" i="29"/>
  <c r="S5292" i="29"/>
  <c r="S5291" i="29"/>
  <c r="S5290" i="29"/>
  <c r="S5289" i="29"/>
  <c r="S5288" i="29"/>
  <c r="S5287" i="29"/>
  <c r="S5285" i="29"/>
  <c r="S5284" i="29"/>
  <c r="S5283" i="29"/>
  <c r="S5281" i="29"/>
  <c r="S5280" i="29"/>
  <c r="S5279" i="29"/>
  <c r="S5278" i="29"/>
  <c r="S5271" i="29"/>
  <c r="S5267" i="29"/>
  <c r="S5265" i="29"/>
  <c r="S5264" i="29"/>
  <c r="S5263" i="29"/>
  <c r="S5262" i="29"/>
  <c r="S5261" i="29"/>
  <c r="S5260" i="29"/>
  <c r="S5282" i="29"/>
  <c r="S5277" i="29"/>
  <c r="S5276" i="29"/>
  <c r="S5275" i="29"/>
  <c r="S5274" i="29"/>
  <c r="S5273" i="29"/>
  <c r="S5255" i="29"/>
  <c r="S5254" i="29"/>
  <c r="S4998" i="29"/>
  <c r="S5272" i="29"/>
  <c r="S5270" i="29"/>
  <c r="S5269" i="29"/>
  <c r="S5268" i="29"/>
  <c r="S5266" i="29"/>
  <c r="S5001" i="29"/>
  <c r="S5000" i="29"/>
  <c r="S4999" i="29"/>
  <c r="S5259" i="29"/>
  <c r="S5258" i="29"/>
  <c r="S5257" i="29"/>
  <c r="S5256" i="29"/>
  <c r="S5247" i="29"/>
  <c r="S5253" i="29"/>
  <c r="S5252" i="29"/>
  <c r="S5251" i="29"/>
  <c r="S5240" i="29"/>
  <c r="S5234" i="29"/>
  <c r="S5244" i="29"/>
  <c r="S5250" i="29"/>
  <c r="S5249" i="29"/>
  <c r="S5248" i="29"/>
  <c r="S5246" i="29"/>
  <c r="S5245" i="29"/>
  <c r="S5243" i="29"/>
  <c r="S5242" i="29"/>
  <c r="S5241" i="29"/>
  <c r="S5239" i="29"/>
  <c r="S5238" i="29"/>
  <c r="S5237" i="29"/>
  <c r="S5236" i="29"/>
  <c r="S5235" i="29"/>
  <c r="S5220" i="29"/>
  <c r="S5219" i="29"/>
  <c r="S5218" i="29"/>
  <c r="S5217" i="29"/>
  <c r="S5214" i="29"/>
  <c r="S5213" i="29"/>
  <c r="S5212" i="29"/>
  <c r="S5211" i="29"/>
  <c r="S5221" i="29"/>
  <c r="S5216" i="29"/>
  <c r="S5233" i="29"/>
  <c r="S5215" i="29"/>
  <c r="S5232" i="29"/>
  <c r="S5231" i="29"/>
  <c r="S5230" i="29"/>
  <c r="S5229" i="29"/>
  <c r="S5228" i="29"/>
  <c r="S5227" i="29"/>
  <c r="S5210" i="29"/>
  <c r="S5209" i="29"/>
  <c r="S5208" i="29"/>
  <c r="S5207" i="29"/>
  <c r="S5206" i="29"/>
  <c r="S5205" i="29"/>
  <c r="S5204" i="29"/>
  <c r="S5203" i="29"/>
  <c r="S5226" i="29"/>
  <c r="S5225" i="29"/>
  <c r="S5224" i="29"/>
  <c r="S5223" i="29"/>
  <c r="S5222" i="29"/>
  <c r="S5198" i="29"/>
  <c r="S5197" i="29"/>
  <c r="S5196" i="29"/>
  <c r="S5195" i="29"/>
  <c r="S5194" i="29"/>
  <c r="S5188" i="29"/>
  <c r="S5202" i="29"/>
  <c r="S5201" i="29"/>
  <c r="S5200" i="29"/>
  <c r="S5199" i="29"/>
  <c r="S5173" i="29"/>
  <c r="S5172" i="29"/>
  <c r="S5171" i="29"/>
  <c r="S5193" i="29"/>
  <c r="S5192" i="29"/>
  <c r="S5191" i="29"/>
  <c r="S5190" i="29"/>
  <c r="S5189" i="29"/>
  <c r="S5169" i="29"/>
  <c r="S5168" i="29"/>
  <c r="S5167" i="29"/>
  <c r="S5166" i="29"/>
  <c r="S5165" i="29"/>
  <c r="S5164" i="29"/>
  <c r="S5163" i="29"/>
  <c r="S5162" i="29"/>
  <c r="S5161" i="29"/>
  <c r="S5160" i="29"/>
  <c r="S5183" i="29"/>
  <c r="S5182" i="29"/>
  <c r="S5181" i="29"/>
  <c r="S5180" i="29"/>
  <c r="S5179" i="29"/>
  <c r="S5159" i="29"/>
  <c r="S5158" i="29"/>
  <c r="S5157" i="29"/>
  <c r="S5156" i="29"/>
  <c r="S5155" i="29"/>
  <c r="S5154" i="29"/>
  <c r="S5187" i="29"/>
  <c r="S5186" i="29"/>
  <c r="S5185" i="29"/>
  <c r="S5184" i="29"/>
  <c r="S5178" i="29"/>
  <c r="S5177" i="29"/>
  <c r="S5176" i="29"/>
  <c r="S5175" i="29"/>
  <c r="S5174" i="29"/>
  <c r="S5170" i="29"/>
  <c r="S5153" i="29"/>
  <c r="S5152" i="29"/>
  <c r="S5151" i="29"/>
  <c r="S5150" i="29"/>
  <c r="S5149" i="29"/>
  <c r="S5139" i="29"/>
  <c r="S5138" i="29"/>
  <c r="S5137" i="29"/>
  <c r="S5136" i="29"/>
  <c r="S5143" i="29"/>
  <c r="S5142" i="29"/>
  <c r="S5141" i="29"/>
  <c r="S5140" i="29"/>
  <c r="S5133" i="29"/>
  <c r="S5132" i="29"/>
  <c r="S5131" i="29"/>
  <c r="S5130" i="29"/>
  <c r="S5128" i="29"/>
  <c r="S5148" i="29"/>
  <c r="S5147" i="29"/>
  <c r="S5146" i="29"/>
  <c r="S5145" i="29"/>
  <c r="S5144" i="29"/>
  <c r="S5129" i="29"/>
  <c r="S5135" i="29"/>
  <c r="S5134" i="29"/>
  <c r="S5127" i="29"/>
  <c r="S5126" i="29"/>
  <c r="S5125" i="29"/>
  <c r="S5124" i="29"/>
  <c r="S5123" i="29"/>
  <c r="S5118" i="29"/>
  <c r="S5119" i="29"/>
  <c r="S5120" i="29"/>
  <c r="S5121" i="29"/>
  <c r="S5122" i="29"/>
  <c r="S5085" i="29"/>
  <c r="S5111" i="29"/>
  <c r="S5110" i="29"/>
  <c r="S5109" i="29"/>
  <c r="S5108" i="29"/>
  <c r="S5106" i="29"/>
  <c r="S5105" i="29"/>
  <c r="S5104" i="29"/>
  <c r="S5103" i="29"/>
  <c r="S5101" i="29"/>
  <c r="S5112" i="29"/>
  <c r="S5107" i="29"/>
  <c r="S5102" i="29"/>
  <c r="S5100" i="29"/>
  <c r="S5099" i="29"/>
  <c r="S5098" i="29"/>
  <c r="S5097" i="29"/>
  <c r="S5096" i="29"/>
  <c r="S5095" i="29"/>
  <c r="S5094" i="29"/>
  <c r="S5093" i="29"/>
  <c r="S5092" i="29"/>
  <c r="S5117" i="29"/>
  <c r="S5116" i="29"/>
  <c r="S5115" i="29"/>
  <c r="S5114" i="29"/>
  <c r="S5113" i="29"/>
  <c r="S5091" i="29"/>
  <c r="S5090" i="29"/>
  <c r="S5089" i="29"/>
  <c r="S5088" i="29"/>
  <c r="S5087" i="29"/>
  <c r="S5086" i="29"/>
  <c r="S5084" i="29"/>
  <c r="S5083" i="29"/>
  <c r="S5082" i="29"/>
  <c r="S5081" i="29"/>
  <c r="S5080" i="29"/>
  <c r="S5079" i="29"/>
  <c r="S5078" i="29"/>
  <c r="S5077" i="29"/>
  <c r="S5076" i="29"/>
  <c r="S5075" i="29"/>
  <c r="S5074" i="29"/>
  <c r="S5073" i="29"/>
  <c r="S5070" i="29"/>
  <c r="S5069" i="29"/>
  <c r="S5068" i="29"/>
  <c r="S5067" i="29"/>
  <c r="S5063" i="29"/>
  <c r="S5065" i="29"/>
  <c r="S5064" i="29"/>
  <c r="S5062" i="29"/>
  <c r="S5061" i="29"/>
  <c r="S5058" i="29"/>
  <c r="S5057" i="29"/>
  <c r="S5056" i="29"/>
  <c r="S5055" i="29"/>
  <c r="S5054" i="29"/>
  <c r="S5053" i="29"/>
  <c r="S5046" i="29"/>
  <c r="S5045" i="29"/>
  <c r="S5044" i="29"/>
  <c r="S5043" i="29"/>
  <c r="S5042" i="29"/>
  <c r="S5041" i="29"/>
  <c r="S5040" i="29"/>
  <c r="S5039" i="29"/>
  <c r="S5072" i="29"/>
  <c r="S5071" i="29"/>
  <c r="S5066" i="29"/>
  <c r="S5060" i="29"/>
  <c r="S5059" i="29"/>
  <c r="S5052" i="29"/>
  <c r="S5051" i="29"/>
  <c r="S5050" i="29"/>
  <c r="S5049" i="29"/>
  <c r="S5048" i="29"/>
  <c r="S5047" i="29"/>
  <c r="S5038" i="29"/>
  <c r="S5037" i="29"/>
  <c r="S5028" i="29"/>
  <c r="S5026" i="29"/>
  <c r="S5025" i="29"/>
  <c r="S5021" i="29"/>
  <c r="S5020" i="29"/>
  <c r="S5019" i="29"/>
  <c r="S5018" i="29"/>
  <c r="S5017" i="29"/>
  <c r="S5036" i="29"/>
  <c r="S5035" i="29"/>
  <c r="S5034" i="29"/>
  <c r="S5033" i="29"/>
  <c r="S5032" i="29"/>
  <c r="S5031" i="29"/>
  <c r="S5030" i="29"/>
  <c r="S5029" i="29"/>
  <c r="S5027" i="29"/>
  <c r="S5024" i="29"/>
  <c r="S5023" i="29"/>
  <c r="S5022" i="29"/>
  <c r="S5015" i="29"/>
  <c r="S5014" i="29"/>
  <c r="S5013" i="29"/>
  <c r="S5012" i="29"/>
  <c r="S5011" i="29"/>
  <c r="S5010" i="29"/>
  <c r="S5009" i="29"/>
  <c r="S5008" i="29"/>
  <c r="S5007" i="29"/>
  <c r="S5016" i="29"/>
  <c r="S5005" i="29"/>
  <c r="S5004" i="29"/>
  <c r="S5006" i="29"/>
  <c r="S4994" i="29"/>
  <c r="S4993" i="29"/>
  <c r="S4997" i="29"/>
  <c r="S5003" i="29"/>
  <c r="S5002" i="29"/>
  <c r="S4996" i="29"/>
  <c r="S4995" i="29"/>
  <c r="S4991" i="29"/>
  <c r="S4990" i="29"/>
  <c r="S4989" i="29"/>
  <c r="S4986" i="29"/>
  <c r="S4985" i="29"/>
  <c r="S4984" i="29"/>
  <c r="S4983" i="29"/>
  <c r="S4980" i="29"/>
  <c r="S4979" i="29"/>
  <c r="S4978" i="29"/>
  <c r="S4977" i="29"/>
  <c r="S4974" i="29"/>
  <c r="S4992" i="29"/>
  <c r="S4988" i="29"/>
  <c r="S4987" i="29"/>
  <c r="S4982" i="29"/>
  <c r="S4981" i="29"/>
  <c r="S4976" i="29"/>
  <c r="S4963" i="29"/>
  <c r="S4962" i="29"/>
  <c r="S4961" i="29"/>
  <c r="S4975" i="29"/>
  <c r="S4973" i="29"/>
  <c r="S4972" i="29"/>
  <c r="S4971" i="29"/>
  <c r="S4970" i="29"/>
  <c r="S4969" i="29"/>
  <c r="S4968" i="29"/>
  <c r="S4960" i="29"/>
  <c r="S4959" i="29"/>
  <c r="S4958" i="29"/>
  <c r="S4957" i="29"/>
  <c r="S4956" i="29"/>
  <c r="S4955" i="29"/>
  <c r="S4954" i="29"/>
  <c r="S4953" i="29"/>
  <c r="S4967" i="29"/>
  <c r="S4966" i="29"/>
  <c r="S4965" i="29"/>
  <c r="S4964" i="29"/>
  <c r="S4952" i="29"/>
  <c r="S4951" i="29"/>
  <c r="S4950" i="29"/>
  <c r="S4949" i="29"/>
  <c r="S4948" i="29"/>
  <c r="S4946" i="29"/>
  <c r="S4945" i="29"/>
  <c r="S4944" i="29"/>
  <c r="S4943" i="29"/>
  <c r="S4942" i="29"/>
  <c r="S4941" i="29"/>
  <c r="S4940" i="29"/>
  <c r="S4939" i="29"/>
  <c r="S4935" i="29"/>
  <c r="S4934" i="29"/>
  <c r="S4947" i="29"/>
  <c r="S4938" i="29"/>
  <c r="S4937" i="29"/>
  <c r="S4936" i="29"/>
  <c r="S4933" i="29"/>
  <c r="S4932" i="29"/>
  <c r="S4931" i="29"/>
  <c r="S4930" i="29"/>
  <c r="S4929" i="29"/>
  <c r="S4928" i="29"/>
  <c r="S4927" i="29"/>
  <c r="S4925" i="29"/>
  <c r="S4924" i="29"/>
  <c r="S4923" i="29"/>
  <c r="S4922" i="29"/>
  <c r="S4919" i="29"/>
  <c r="S4916" i="29"/>
  <c r="S4915" i="29"/>
  <c r="S4914" i="29"/>
  <c r="S4926" i="29"/>
  <c r="S4921" i="29"/>
  <c r="S4920" i="29"/>
  <c r="S4913" i="29"/>
  <c r="S4912" i="29"/>
  <c r="S4911" i="29"/>
  <c r="S4910" i="29"/>
  <c r="S4909" i="29"/>
  <c r="S4918" i="29"/>
  <c r="S4917" i="29"/>
  <c r="S4908" i="29"/>
  <c r="S4906" i="29"/>
  <c r="S4905" i="29"/>
  <c r="S4904" i="29"/>
  <c r="S4902" i="29"/>
  <c r="S4907" i="29"/>
  <c r="S4898" i="29"/>
  <c r="S4903" i="29"/>
  <c r="S4901" i="29"/>
  <c r="S4900" i="29"/>
  <c r="S4899" i="29"/>
  <c r="S4897" i="29"/>
  <c r="S4892" i="29"/>
  <c r="S4891" i="29"/>
  <c r="S4890" i="29"/>
  <c r="S4889" i="29"/>
  <c r="S4887" i="29"/>
  <c r="S4886" i="29"/>
  <c r="S4884" i="29"/>
  <c r="S4883" i="29"/>
  <c r="S4882" i="29"/>
  <c r="S4881" i="29"/>
  <c r="S4880" i="29"/>
  <c r="S4878" i="29"/>
  <c r="S4871" i="29"/>
  <c r="S4870" i="29"/>
  <c r="S4869" i="29"/>
  <c r="S4868" i="29"/>
  <c r="S4885" i="29"/>
  <c r="S4896" i="29"/>
  <c r="S4895" i="29"/>
  <c r="S4894" i="29"/>
  <c r="S4893" i="29"/>
  <c r="S4888" i="29"/>
  <c r="S4879" i="29"/>
  <c r="S4866" i="29"/>
  <c r="S4865" i="29"/>
  <c r="S4862" i="29"/>
  <c r="S4861" i="29"/>
  <c r="S4860" i="29"/>
  <c r="S4859" i="29"/>
  <c r="S4858" i="29"/>
  <c r="S4857" i="29"/>
  <c r="S4856" i="29"/>
  <c r="S4853" i="29"/>
  <c r="S4847" i="29"/>
  <c r="S4864" i="29"/>
  <c r="S4855" i="29"/>
  <c r="S4854" i="29"/>
  <c r="S4852" i="29"/>
  <c r="S4851" i="29"/>
  <c r="S4850" i="29"/>
  <c r="S4849" i="29"/>
  <c r="S4844" i="29"/>
  <c r="S4843" i="29"/>
  <c r="S4863" i="29"/>
  <c r="S4848" i="29"/>
  <c r="S4846" i="29"/>
  <c r="S4845" i="29"/>
  <c r="S4839" i="29"/>
  <c r="S4842" i="29"/>
  <c r="S4841" i="29"/>
  <c r="S4840" i="29"/>
  <c r="S4838" i="29"/>
  <c r="S4837" i="29"/>
  <c r="S4836" i="29"/>
  <c r="S4835" i="29"/>
  <c r="S4834" i="29"/>
  <c r="S4833" i="29"/>
  <c r="S4826" i="29"/>
  <c r="S4825" i="29"/>
  <c r="S4824" i="29"/>
  <c r="S4823" i="29"/>
  <c r="S4832" i="29"/>
  <c r="S4831" i="29"/>
  <c r="S4830" i="29"/>
  <c r="S4829" i="29"/>
  <c r="S4828" i="29"/>
  <c r="S4827" i="29"/>
  <c r="S4822" i="29"/>
  <c r="S4821" i="29"/>
  <c r="S4814" i="29"/>
  <c r="S4813" i="29"/>
  <c r="S4812" i="29"/>
  <c r="S4811" i="29"/>
  <c r="S4810" i="29"/>
  <c r="S4820" i="29"/>
  <c r="S4819" i="29"/>
  <c r="S4818" i="29"/>
  <c r="S4817" i="29"/>
  <c r="S4816" i="29"/>
  <c r="S4815" i="29"/>
  <c r="S4808" i="29"/>
  <c r="S4807" i="29"/>
  <c r="S4809" i="29"/>
  <c r="S4802" i="29"/>
  <c r="S4801" i="29"/>
  <c r="S4805" i="29"/>
  <c r="S4804" i="29"/>
  <c r="S4803" i="29"/>
  <c r="S4795" i="29"/>
  <c r="S4794" i="29"/>
  <c r="S4793" i="29"/>
  <c r="S4792" i="29"/>
  <c r="S4791" i="29"/>
  <c r="S4790" i="29"/>
  <c r="S4806" i="29"/>
  <c r="S4800" i="29"/>
  <c r="S4799" i="29"/>
  <c r="S4798" i="29"/>
  <c r="S4797" i="29"/>
  <c r="S4796" i="29"/>
  <c r="S4789" i="29"/>
  <c r="S4788" i="29"/>
  <c r="S4786" i="29"/>
  <c r="S4785" i="29"/>
  <c r="S4784" i="29"/>
  <c r="S4782" i="29"/>
  <c r="S4780" i="29"/>
  <c r="S4779" i="29"/>
  <c r="S4778" i="29"/>
  <c r="S4777" i="29"/>
  <c r="S4776" i="29"/>
  <c r="S4774" i="29"/>
  <c r="S4787" i="29"/>
  <c r="S4781" i="29"/>
  <c r="S4783" i="29"/>
  <c r="S4775" i="29"/>
  <c r="S4772" i="29"/>
  <c r="S4770" i="29"/>
  <c r="S4769" i="29"/>
  <c r="S4768" i="29"/>
  <c r="S4767" i="29"/>
  <c r="S4762" i="29"/>
  <c r="S4773" i="29"/>
  <c r="S4771" i="29"/>
  <c r="S4766" i="29"/>
  <c r="S4765" i="29"/>
  <c r="S4764" i="29"/>
  <c r="S4763" i="29"/>
  <c r="S4756" i="29"/>
  <c r="S4761" i="29"/>
  <c r="S4760" i="29"/>
  <c r="S4759" i="29"/>
  <c r="S4758" i="29"/>
  <c r="S4757" i="29"/>
  <c r="S4755" i="29"/>
  <c r="S4754" i="29"/>
  <c r="S4751" i="29"/>
  <c r="S4750" i="29"/>
  <c r="S4749" i="29"/>
  <c r="S4748" i="29"/>
  <c r="S4747" i="29"/>
  <c r="S4746" i="29"/>
  <c r="S4743" i="29"/>
  <c r="S4741" i="29"/>
  <c r="S4739" i="29"/>
  <c r="S4732" i="29"/>
  <c r="S4731" i="29"/>
  <c r="S4728" i="29"/>
  <c r="S4727" i="29"/>
  <c r="S4726" i="29"/>
  <c r="S4725" i="29"/>
  <c r="S4724" i="29"/>
  <c r="S4723" i="29"/>
  <c r="S4722" i="29"/>
  <c r="S4721" i="29"/>
  <c r="S4720" i="29"/>
  <c r="S4719" i="29"/>
  <c r="S4717" i="29"/>
  <c r="S4716" i="29"/>
  <c r="S4753" i="29"/>
  <c r="S4752" i="29"/>
  <c r="S4745" i="29"/>
  <c r="S4744" i="29"/>
  <c r="S4742" i="29"/>
  <c r="S4740" i="29"/>
  <c r="S4738" i="29"/>
  <c r="S4737" i="29"/>
  <c r="S4736" i="29"/>
  <c r="S4735" i="29"/>
  <c r="S4734" i="29"/>
  <c r="S4733" i="29"/>
  <c r="S4730" i="29"/>
  <c r="S4729" i="29"/>
  <c r="S4718" i="29"/>
  <c r="S4715" i="29"/>
  <c r="S4714" i="29"/>
  <c r="S4711" i="29"/>
  <c r="S4710" i="29"/>
  <c r="S4713" i="29"/>
  <c r="S4712" i="29"/>
  <c r="S4697" i="29"/>
  <c r="S4696" i="29"/>
  <c r="S4695" i="29"/>
  <c r="S4694" i="29"/>
  <c r="S4691" i="29"/>
  <c r="S4689" i="29"/>
  <c r="S4688" i="29"/>
  <c r="S4687" i="29"/>
  <c r="S4692" i="29"/>
  <c r="S4709" i="29"/>
  <c r="S4708" i="29"/>
  <c r="S4707" i="29"/>
  <c r="S4706" i="29"/>
  <c r="S4693" i="29"/>
  <c r="S4690" i="29"/>
  <c r="S4686" i="29"/>
  <c r="S4685" i="29"/>
  <c r="S4684" i="29"/>
  <c r="S4683" i="29"/>
  <c r="S4682" i="29"/>
  <c r="S4681" i="29"/>
  <c r="S4680" i="29"/>
  <c r="S4679" i="29"/>
  <c r="S4678" i="29"/>
  <c r="S4675" i="29"/>
  <c r="S4705" i="29"/>
  <c r="S4704" i="29"/>
  <c r="S4703" i="29"/>
  <c r="S4702" i="29"/>
  <c r="S4701" i="29"/>
  <c r="S4700" i="29"/>
  <c r="S4699" i="29"/>
  <c r="S4698" i="29"/>
  <c r="S4677" i="29"/>
  <c r="S4676" i="29"/>
  <c r="S4674" i="29"/>
  <c r="S4673" i="29"/>
  <c r="S4672" i="29"/>
  <c r="S4671" i="29"/>
  <c r="S4670" i="29"/>
  <c r="S4669" i="29"/>
  <c r="S4668" i="29"/>
  <c r="S4667" i="29"/>
  <c r="S4666" i="29"/>
  <c r="S4665" i="29"/>
  <c r="S4664" i="29"/>
  <c r="S4662" i="29"/>
  <c r="S4661" i="29"/>
  <c r="S4659" i="29"/>
  <c r="S4663" i="29"/>
  <c r="S4656" i="29"/>
  <c r="S4655" i="29"/>
  <c r="S4654" i="29"/>
  <c r="S4653" i="29"/>
  <c r="S4652" i="29"/>
  <c r="S4651" i="29"/>
  <c r="S4660" i="29"/>
  <c r="S4658" i="29"/>
  <c r="S4657" i="29"/>
  <c r="S4650" i="29"/>
  <c r="S4649" i="29"/>
  <c r="S4648" i="29"/>
  <c r="S4647" i="29"/>
  <c r="S4646" i="29"/>
  <c r="S4643" i="29"/>
  <c r="S4642" i="29"/>
  <c r="S4636" i="29"/>
  <c r="S4635" i="29"/>
  <c r="S4641" i="29"/>
  <c r="S4640" i="29"/>
  <c r="S4639" i="29"/>
  <c r="S4638" i="29"/>
  <c r="S4637" i="29"/>
  <c r="S4634" i="29"/>
  <c r="S4645" i="29"/>
  <c r="S4644" i="29"/>
  <c r="S4633" i="29"/>
  <c r="S4632" i="29"/>
  <c r="S4631" i="29"/>
  <c r="S4630" i="29"/>
  <c r="S4629" i="29"/>
  <c r="S4628" i="29"/>
  <c r="S4627" i="29"/>
  <c r="S4626" i="29"/>
  <c r="S4625" i="29"/>
  <c r="S4624" i="29"/>
  <c r="S4620" i="29"/>
  <c r="S4619" i="29"/>
  <c r="S4618" i="29"/>
  <c r="S4617" i="29"/>
  <c r="S4616" i="29"/>
  <c r="S4615" i="29"/>
  <c r="S4612" i="29"/>
  <c r="S4611" i="29"/>
  <c r="S4623" i="29"/>
  <c r="S4621" i="29"/>
  <c r="S4610" i="29"/>
  <c r="S4609" i="29"/>
  <c r="S4608" i="29"/>
  <c r="S4607" i="29"/>
  <c r="S4622" i="29"/>
  <c r="S4599" i="29"/>
  <c r="S4614" i="29"/>
  <c r="S4613" i="29"/>
  <c r="S4598" i="29"/>
  <c r="S4597" i="29"/>
  <c r="S4596" i="29"/>
  <c r="S4595" i="29"/>
  <c r="S4594" i="29"/>
  <c r="S4593" i="29"/>
  <c r="S4592" i="29"/>
  <c r="S4591" i="29"/>
  <c r="S4606" i="29"/>
  <c r="S4605" i="29"/>
  <c r="S4604" i="29"/>
  <c r="S4603" i="29"/>
  <c r="S4602" i="29"/>
  <c r="S4601" i="29"/>
  <c r="S4600" i="29"/>
  <c r="S4590" i="29"/>
  <c r="S4589" i="29"/>
  <c r="S4588" i="29"/>
  <c r="S4587" i="29"/>
  <c r="S4586" i="29"/>
  <c r="S4585" i="29"/>
  <c r="S4584" i="29"/>
  <c r="S4583" i="29"/>
  <c r="S4581" i="29"/>
  <c r="S4580" i="29"/>
  <c r="S4575" i="29"/>
  <c r="S4582" i="29"/>
  <c r="S4579" i="29"/>
  <c r="S4578" i="29"/>
  <c r="S4577" i="29"/>
  <c r="S4576" i="29"/>
  <c r="S4574" i="29"/>
  <c r="S4573" i="29"/>
  <c r="S4565" i="29"/>
  <c r="S4564" i="29"/>
  <c r="S4563" i="29"/>
  <c r="S4562" i="29"/>
  <c r="S4561" i="29"/>
  <c r="S4560" i="29"/>
  <c r="S4559" i="29"/>
  <c r="S4558" i="29"/>
  <c r="S4557" i="29"/>
  <c r="S4572" i="29"/>
  <c r="S4571" i="29"/>
  <c r="S4570" i="29"/>
  <c r="S4569" i="29"/>
  <c r="S4568" i="29"/>
  <c r="S4567" i="29"/>
  <c r="S4566" i="29"/>
  <c r="S4545" i="29"/>
  <c r="S4539" i="29"/>
  <c r="S4538" i="29"/>
  <c r="S4519" i="29"/>
  <c r="S4556" i="29"/>
  <c r="S4555" i="29"/>
  <c r="S4554" i="29"/>
  <c r="S4553" i="29"/>
  <c r="S4552" i="29"/>
  <c r="S4549" i="29"/>
  <c r="S4551" i="29"/>
  <c r="S4550" i="29"/>
  <c r="S4548" i="29"/>
  <c r="S4547" i="29"/>
  <c r="S4546" i="29"/>
  <c r="S4540" i="29"/>
  <c r="S4537" i="29"/>
  <c r="S4536" i="29"/>
  <c r="S4535" i="29"/>
  <c r="S4534" i="29"/>
  <c r="S4532" i="29"/>
  <c r="S4531" i="29"/>
  <c r="S4530" i="29"/>
  <c r="S4544" i="29"/>
  <c r="S4543" i="29"/>
  <c r="S4542" i="29"/>
  <c r="S4541" i="29"/>
  <c r="S4533" i="29"/>
  <c r="S4529" i="29"/>
  <c r="S4528" i="29"/>
  <c r="S4527" i="29"/>
  <c r="S4526" i="29"/>
  <c r="S4525" i="29"/>
  <c r="S4524" i="29"/>
  <c r="S4523" i="29"/>
  <c r="S4522" i="29"/>
  <c r="S4521" i="29"/>
  <c r="S4520" i="29"/>
  <c r="S4518" i="29"/>
  <c r="S4517" i="29"/>
  <c r="S4516" i="29"/>
  <c r="S4509" i="29"/>
  <c r="S4515" i="29"/>
  <c r="S4514" i="29"/>
  <c r="S4513" i="29"/>
  <c r="S4512" i="29"/>
  <c r="S4511" i="29"/>
  <c r="S4510" i="29"/>
  <c r="S4178" i="29"/>
  <c r="S4505" i="29"/>
  <c r="S4504" i="29"/>
  <c r="S4508" i="29"/>
  <c r="S4507" i="29"/>
  <c r="S4506" i="29"/>
  <c r="S4503" i="29"/>
  <c r="S4502" i="29"/>
  <c r="S4501" i="29"/>
  <c r="S4500" i="29"/>
  <c r="S4499" i="29"/>
  <c r="S4498" i="29"/>
  <c r="S4497" i="29"/>
  <c r="S4339" i="29"/>
  <c r="S4338" i="29"/>
  <c r="S4496" i="29"/>
  <c r="S4495" i="29"/>
  <c r="S4494" i="29"/>
  <c r="S4493" i="29"/>
  <c r="S4492" i="29"/>
  <c r="S4491" i="29"/>
  <c r="S4490" i="29"/>
  <c r="S4489" i="29"/>
  <c r="S4488" i="29"/>
  <c r="S4486" i="29"/>
  <c r="S4484" i="29"/>
  <c r="S4482" i="29"/>
  <c r="S4487" i="29"/>
  <c r="S4485" i="29"/>
  <c r="S4483" i="29"/>
  <c r="S4481" i="29"/>
  <c r="S4480" i="29"/>
  <c r="S4479" i="29"/>
  <c r="S4478" i="29"/>
  <c r="S4477" i="29"/>
  <c r="S4476" i="29"/>
  <c r="S4475" i="29"/>
  <c r="S4471" i="29"/>
  <c r="S4470" i="29"/>
  <c r="S4341" i="29"/>
  <c r="S4340" i="29"/>
  <c r="S4469" i="29"/>
  <c r="S4468" i="29"/>
  <c r="S4467" i="29"/>
  <c r="S4466" i="29"/>
  <c r="S4465" i="29"/>
  <c r="S4464" i="29"/>
  <c r="S4463" i="29"/>
  <c r="S4462" i="29"/>
  <c r="S4474" i="29"/>
  <c r="S4473" i="29"/>
  <c r="S4472" i="29"/>
  <c r="S4461" i="29"/>
  <c r="S4449" i="29"/>
  <c r="S4460" i="29"/>
  <c r="S4459" i="29"/>
  <c r="S4458" i="29"/>
  <c r="S4457" i="29"/>
  <c r="S4456" i="29"/>
  <c r="S4455" i="29"/>
  <c r="S4454" i="29"/>
  <c r="S4453" i="29"/>
  <c r="S4452" i="29"/>
  <c r="S4451" i="29"/>
  <c r="S4450" i="29"/>
  <c r="S4447" i="29"/>
  <c r="S4446" i="29"/>
  <c r="S4445" i="29"/>
  <c r="S4444" i="29"/>
  <c r="S4443" i="29"/>
  <c r="S4442" i="29"/>
  <c r="S4448" i="29"/>
  <c r="S4441" i="29"/>
  <c r="S4440" i="29"/>
  <c r="S4439" i="29"/>
  <c r="S4438" i="29"/>
  <c r="S4437" i="29"/>
  <c r="S4436" i="29"/>
  <c r="S4430" i="29"/>
  <c r="S4429" i="29"/>
  <c r="S4435" i="29"/>
  <c r="S4434" i="29"/>
  <c r="S4433" i="29"/>
  <c r="S4432" i="29"/>
  <c r="S4431" i="29"/>
  <c r="S4428" i="29"/>
  <c r="S4426" i="29"/>
  <c r="S4425" i="29"/>
  <c r="S4424" i="29"/>
  <c r="S4423" i="29"/>
  <c r="S4422" i="29"/>
  <c r="S4421" i="29"/>
  <c r="S4420" i="29"/>
  <c r="S4419" i="29"/>
  <c r="S4413" i="29"/>
  <c r="S4412" i="29"/>
  <c r="S4411" i="29"/>
  <c r="S4406" i="29"/>
  <c r="S4427" i="29"/>
  <c r="S4405" i="29"/>
  <c r="S4403" i="29"/>
  <c r="S4402" i="29"/>
  <c r="S4418" i="29"/>
  <c r="S4401" i="29"/>
  <c r="S4394" i="29"/>
  <c r="S4393" i="29"/>
  <c r="S4392" i="29"/>
  <c r="S4391" i="29"/>
  <c r="S4417" i="29"/>
  <c r="S4416" i="29"/>
  <c r="S4415" i="29"/>
  <c r="S4414" i="29"/>
  <c r="S4410" i="29"/>
  <c r="S4409" i="29"/>
  <c r="S4408" i="29"/>
  <c r="S4407" i="29"/>
  <c r="S4404" i="29"/>
  <c r="S4390" i="29"/>
  <c r="S4389" i="29"/>
  <c r="S4400" i="29"/>
  <c r="S4399" i="29"/>
  <c r="S4398" i="29"/>
  <c r="S4397" i="29"/>
  <c r="S4396" i="29"/>
  <c r="S4395" i="29"/>
  <c r="S4388" i="29"/>
  <c r="S4387" i="29"/>
  <c r="S4386" i="29"/>
  <c r="S4385" i="29"/>
  <c r="S4384" i="29"/>
  <c r="S4383" i="29"/>
  <c r="S4382" i="29"/>
  <c r="S4381" i="29"/>
  <c r="S4380" i="29"/>
  <c r="S4379" i="29"/>
  <c r="S4378" i="29"/>
  <c r="S4377" i="29"/>
  <c r="S4376" i="29"/>
  <c r="S4374" i="29"/>
  <c r="S4372" i="29"/>
  <c r="S4371" i="29"/>
  <c r="S4362" i="29"/>
  <c r="S4361" i="29"/>
  <c r="S4360" i="29"/>
  <c r="S4359" i="29"/>
  <c r="S4375" i="29"/>
  <c r="S4364" i="29"/>
  <c r="S4358" i="29"/>
  <c r="S4357" i="29"/>
  <c r="S4356" i="29"/>
  <c r="S4355" i="29"/>
  <c r="S4354" i="29"/>
  <c r="S4353" i="29"/>
  <c r="S4352" i="29"/>
  <c r="S4373" i="29"/>
  <c r="S4370" i="29"/>
  <c r="S4369" i="29"/>
  <c r="S4368" i="29"/>
  <c r="S4367" i="29"/>
  <c r="S4366" i="29"/>
  <c r="S4365" i="29"/>
  <c r="S4363" i="29"/>
  <c r="S4351" i="29"/>
  <c r="S4348" i="29"/>
  <c r="S4343" i="29"/>
  <c r="S4342" i="29"/>
  <c r="S4350" i="29"/>
  <c r="S4349" i="29"/>
  <c r="S4337" i="29"/>
  <c r="S4336" i="29"/>
  <c r="S4329" i="29"/>
  <c r="S4347" i="29"/>
  <c r="S4346" i="29"/>
  <c r="S4345" i="29"/>
  <c r="S4344" i="29"/>
  <c r="S4312" i="29"/>
  <c r="S4311" i="29"/>
  <c r="S4310" i="29"/>
  <c r="S4335" i="29"/>
  <c r="S4334" i="29"/>
  <c r="S4333" i="29"/>
  <c r="S4332" i="29"/>
  <c r="S4331" i="29"/>
  <c r="S4330" i="29"/>
  <c r="S4318" i="29"/>
  <c r="S4317" i="29"/>
  <c r="S4316" i="29"/>
  <c r="S4314" i="29"/>
  <c r="S4313" i="29"/>
  <c r="S4309" i="29"/>
  <c r="S4308" i="29"/>
  <c r="S4328" i="29"/>
  <c r="S4327" i="29"/>
  <c r="S4326" i="29"/>
  <c r="S4325" i="29"/>
  <c r="S4324" i="29"/>
  <c r="S4323" i="29"/>
  <c r="S4322" i="29"/>
  <c r="S4321" i="29"/>
  <c r="S4320" i="29"/>
  <c r="S4319" i="29"/>
  <c r="S4307" i="29"/>
  <c r="S4315" i="29"/>
  <c r="S4306" i="29"/>
  <c r="S4305" i="29"/>
  <c r="S4304" i="29"/>
  <c r="S4303" i="29"/>
  <c r="S4302" i="29"/>
  <c r="S4301" i="29"/>
  <c r="S4300" i="29"/>
  <c r="S4299" i="29"/>
  <c r="S4298" i="29"/>
  <c r="S4297" i="29"/>
  <c r="S4296" i="29"/>
  <c r="S4295" i="29"/>
  <c r="S4294" i="29"/>
  <c r="S4293" i="29"/>
  <c r="S4292" i="29"/>
  <c r="S4291" i="29"/>
  <c r="S4290" i="29"/>
  <c r="S4289" i="29"/>
  <c r="S4288" i="29"/>
  <c r="S4287" i="29"/>
  <c r="S4286" i="29"/>
  <c r="S4285" i="29"/>
  <c r="S4284" i="29"/>
  <c r="S4283" i="29"/>
  <c r="S4282" i="29"/>
  <c r="S4281" i="29"/>
  <c r="S4279" i="29"/>
  <c r="S4280" i="29"/>
  <c r="S4278" i="29"/>
  <c r="S4277" i="29"/>
  <c r="S4276" i="29"/>
  <c r="S4272" i="29"/>
  <c r="S4271" i="29"/>
  <c r="S4270" i="29"/>
  <c r="S4275" i="29"/>
  <c r="S4274" i="29"/>
  <c r="S4273" i="29"/>
  <c r="S632" i="29"/>
  <c r="S4269" i="29"/>
  <c r="S4268" i="29"/>
  <c r="S4267" i="29"/>
  <c r="S4259" i="29"/>
  <c r="S4266" i="29"/>
  <c r="S4265" i="29"/>
  <c r="S4261" i="29"/>
  <c r="S4260" i="29"/>
  <c r="S4247" i="29"/>
  <c r="S4264" i="29"/>
  <c r="S4263" i="29"/>
  <c r="S4262" i="29"/>
  <c r="S4257" i="29"/>
  <c r="S4256" i="29"/>
  <c r="S4255" i="29"/>
  <c r="S4254" i="29"/>
  <c r="S4253" i="29"/>
  <c r="S4252" i="29"/>
  <c r="S4258" i="29"/>
  <c r="S4251" i="29"/>
  <c r="S4250" i="29"/>
  <c r="S4249" i="29"/>
  <c r="S4248" i="29"/>
  <c r="S4246" i="29"/>
  <c r="S4245" i="29"/>
  <c r="S4244" i="29"/>
  <c r="S4243" i="29"/>
  <c r="S4242" i="29"/>
  <c r="S4241" i="29"/>
  <c r="S4240" i="29"/>
  <c r="S4239" i="29"/>
  <c r="S4238" i="29"/>
  <c r="S4233" i="29"/>
  <c r="S4232" i="29"/>
  <c r="S4230" i="29"/>
  <c r="S4237" i="29"/>
  <c r="S4236" i="29"/>
  <c r="S4235" i="29"/>
  <c r="S4229" i="29"/>
  <c r="S4228" i="29"/>
  <c r="S4234" i="29"/>
  <c r="S4227" i="29"/>
  <c r="S4226" i="29"/>
  <c r="S4225" i="29"/>
  <c r="S4224" i="29"/>
  <c r="S4223" i="29"/>
  <c r="S4222" i="29"/>
  <c r="S4221" i="29"/>
  <c r="S4220" i="29"/>
  <c r="S4231" i="29"/>
  <c r="S4218" i="29"/>
  <c r="S4211" i="29"/>
  <c r="S4210" i="29"/>
  <c r="S4216" i="29"/>
  <c r="S4219" i="29"/>
  <c r="S4217" i="29"/>
  <c r="S4215" i="29"/>
  <c r="S4214" i="29"/>
  <c r="S4213" i="29"/>
  <c r="S4212" i="29"/>
  <c r="S4209" i="29"/>
  <c r="S4208" i="29"/>
  <c r="S4207" i="29"/>
  <c r="S4206" i="29"/>
  <c r="S4205" i="29"/>
  <c r="S4195" i="29"/>
  <c r="S4194" i="29"/>
  <c r="S4193" i="29"/>
  <c r="S4192" i="29"/>
  <c r="S4191" i="29"/>
  <c r="S4190" i="29"/>
  <c r="S4189" i="29"/>
  <c r="S4188" i="29"/>
  <c r="S4203" i="29"/>
  <c r="S4187" i="29"/>
  <c r="S4186" i="29"/>
  <c r="S4185" i="29"/>
  <c r="S4184" i="29"/>
  <c r="S4183" i="29"/>
  <c r="S4182" i="29"/>
  <c r="S4181" i="29"/>
  <c r="S4204" i="29"/>
  <c r="S4202" i="29"/>
  <c r="S4201" i="29"/>
  <c r="S4200" i="29"/>
  <c r="S4199" i="29"/>
  <c r="S4198" i="29"/>
  <c r="S4197" i="29"/>
  <c r="S4196" i="29"/>
  <c r="S4177" i="29"/>
  <c r="S4175" i="29"/>
  <c r="S4174" i="29"/>
  <c r="S4173" i="29"/>
  <c r="S4172" i="29"/>
  <c r="S4171" i="29"/>
  <c r="S4170" i="29"/>
  <c r="S4169" i="29"/>
  <c r="S4180" i="29"/>
  <c r="S4179" i="29"/>
  <c r="S4163" i="29"/>
  <c r="S4161" i="29"/>
  <c r="S4176" i="29"/>
  <c r="S4168" i="29"/>
  <c r="S4167" i="29"/>
  <c r="S4166" i="29"/>
  <c r="S4165" i="29"/>
  <c r="S4164" i="29"/>
  <c r="S4158" i="29"/>
  <c r="S4152" i="29"/>
  <c r="S4151" i="29"/>
  <c r="S4150" i="29"/>
  <c r="S4141" i="29"/>
  <c r="S4140" i="29"/>
  <c r="S4139" i="29"/>
  <c r="S4138" i="29"/>
  <c r="S4137" i="29"/>
  <c r="S4136" i="29"/>
  <c r="S4135" i="29"/>
  <c r="S4134" i="29"/>
  <c r="S4133" i="29"/>
  <c r="S4132" i="29"/>
  <c r="S4131" i="29"/>
  <c r="S4162" i="29"/>
  <c r="S4160" i="29"/>
  <c r="S4159" i="29"/>
  <c r="S4122" i="29"/>
  <c r="S4118" i="29"/>
  <c r="S4115" i="29"/>
  <c r="S4114" i="29"/>
  <c r="S4154" i="29"/>
  <c r="S4153" i="29"/>
  <c r="S4157" i="29"/>
  <c r="S4156" i="29"/>
  <c r="S4155" i="29"/>
  <c r="S4149" i="29"/>
  <c r="S4148" i="29"/>
  <c r="S4147" i="29"/>
  <c r="S4146" i="29"/>
  <c r="S4145" i="29"/>
  <c r="S4144" i="29"/>
  <c r="S4143" i="29"/>
  <c r="S4142" i="29"/>
  <c r="S4117" i="29"/>
  <c r="S4108" i="29"/>
  <c r="S4130" i="29"/>
  <c r="S4129" i="29"/>
  <c r="S4128" i="29"/>
  <c r="S4127" i="29"/>
  <c r="S4126" i="29"/>
  <c r="S4125" i="29"/>
  <c r="S4124" i="29"/>
  <c r="S4123" i="29"/>
  <c r="S4121" i="29"/>
  <c r="S4120" i="29"/>
  <c r="S4119" i="29"/>
  <c r="S4116" i="29"/>
  <c r="S4113" i="29"/>
  <c r="S4112" i="29"/>
  <c r="S4111" i="29"/>
  <c r="S4110" i="29"/>
  <c r="S4109" i="29"/>
  <c r="S4107" i="29"/>
  <c r="S4106" i="29"/>
  <c r="S4105" i="29"/>
  <c r="S4104" i="29"/>
  <c r="S4103" i="29"/>
  <c r="S4102" i="29"/>
  <c r="S4101" i="29"/>
  <c r="S4100" i="29"/>
  <c r="S4093" i="29"/>
  <c r="S4082" i="29"/>
  <c r="S4081" i="29"/>
  <c r="S4099" i="29"/>
  <c r="S4098" i="29"/>
  <c r="S4097" i="29"/>
  <c r="S4096" i="29"/>
  <c r="S4095" i="29"/>
  <c r="S4094" i="29"/>
  <c r="S4091" i="29"/>
  <c r="S4090" i="29"/>
  <c r="S4089" i="29"/>
  <c r="S4088" i="29"/>
  <c r="S4087" i="29"/>
  <c r="S4086" i="29"/>
  <c r="S4085" i="29"/>
  <c r="S4084" i="29"/>
  <c r="S4083" i="29"/>
  <c r="S4080" i="29"/>
  <c r="S4079" i="29"/>
  <c r="S4078" i="29"/>
  <c r="S4092" i="29"/>
  <c r="S4077" i="29"/>
  <c r="S4076" i="29"/>
  <c r="S4075" i="29"/>
  <c r="S4074" i="29"/>
  <c r="S4066" i="29"/>
  <c r="S4073" i="29"/>
  <c r="S4072" i="29"/>
  <c r="S4071" i="29"/>
  <c r="S4070" i="29"/>
  <c r="S4069" i="29"/>
  <c r="S4068" i="29"/>
  <c r="S4067" i="29"/>
  <c r="S4065" i="29"/>
  <c r="S4064" i="29"/>
  <c r="S4063" i="29"/>
  <c r="S4062" i="29"/>
  <c r="S4055" i="29"/>
  <c r="S4054" i="29"/>
  <c r="S4053" i="29"/>
  <c r="S4052" i="29"/>
  <c r="S4051" i="29"/>
  <c r="S4050" i="29"/>
  <c r="S4049" i="29"/>
  <c r="S4048" i="29"/>
  <c r="S4047" i="29"/>
  <c r="S4044" i="29"/>
  <c r="S4038" i="29"/>
  <c r="S4037" i="29"/>
  <c r="S4036" i="29"/>
  <c r="S4035" i="29"/>
  <c r="S4034" i="29"/>
  <c r="S4033" i="29"/>
  <c r="S4032" i="29"/>
  <c r="S4031" i="29"/>
  <c r="S4030" i="29"/>
  <c r="S4029" i="29"/>
  <c r="S4028" i="29"/>
  <c r="S4027" i="29"/>
  <c r="S4026" i="29"/>
  <c r="S4025" i="29"/>
  <c r="S4024" i="29"/>
  <c r="S4046" i="29"/>
  <c r="S4045" i="29"/>
  <c r="S4061" i="29"/>
  <c r="S4060" i="29"/>
  <c r="S4059" i="29"/>
  <c r="S4058" i="29"/>
  <c r="S4057" i="29"/>
  <c r="S4056" i="29"/>
  <c r="S4040" i="29"/>
  <c r="S4043" i="29"/>
  <c r="S4042" i="29"/>
  <c r="S4041" i="29"/>
  <c r="S4039" i="29"/>
  <c r="S4018" i="29"/>
  <c r="S4017" i="29"/>
  <c r="S4016" i="29"/>
  <c r="S4015" i="29"/>
  <c r="S4023" i="29"/>
  <c r="S4022" i="29"/>
  <c r="S4021" i="29"/>
  <c r="S4020" i="29"/>
  <c r="S4019" i="29"/>
  <c r="S4013" i="29"/>
  <c r="S4012" i="29"/>
  <c r="S4014" i="29"/>
  <c r="S4011" i="29"/>
  <c r="S4010" i="29"/>
  <c r="S4006" i="29"/>
  <c r="S4009" i="29"/>
  <c r="S4008" i="29"/>
  <c r="S4005" i="29"/>
  <c r="S4004" i="29"/>
  <c r="S4003" i="29"/>
  <c r="S4002" i="29"/>
  <c r="S4001" i="29"/>
  <c r="S4000" i="29"/>
  <c r="S3999" i="29"/>
  <c r="S3998" i="29"/>
  <c r="S3997" i="29"/>
  <c r="S4007" i="29"/>
  <c r="S3996" i="29"/>
  <c r="S3991" i="29"/>
  <c r="S3990" i="29"/>
  <c r="S3995" i="29"/>
  <c r="S3994" i="29"/>
  <c r="S3993" i="29"/>
  <c r="S3992" i="29"/>
  <c r="S3989" i="29"/>
  <c r="S3988" i="29"/>
  <c r="S3984" i="29"/>
  <c r="S3983" i="29"/>
  <c r="S3982" i="29"/>
  <c r="S3980" i="29"/>
  <c r="S3979" i="29"/>
  <c r="S3987" i="29"/>
  <c r="S3986" i="29"/>
  <c r="S3985" i="29"/>
  <c r="S3978" i="29"/>
  <c r="S3977" i="29"/>
  <c r="S3976" i="29"/>
  <c r="S3975" i="29"/>
  <c r="S3974" i="29"/>
  <c r="S3973" i="29"/>
  <c r="S3981" i="29"/>
  <c r="S3962" i="29"/>
  <c r="S3961" i="29"/>
  <c r="S3960" i="29"/>
  <c r="S3972" i="29"/>
  <c r="S3971" i="29"/>
  <c r="S3970" i="29"/>
  <c r="S3969" i="29"/>
  <c r="S3968" i="29"/>
  <c r="S3967" i="29"/>
  <c r="S3966" i="29"/>
  <c r="S3965" i="29"/>
  <c r="S3964" i="29"/>
  <c r="S3963" i="29"/>
  <c r="S3959" i="29"/>
  <c r="S3958" i="29"/>
  <c r="S3957" i="29"/>
  <c r="S3956" i="29"/>
  <c r="S3955" i="29"/>
  <c r="S3954" i="29"/>
  <c r="S3952" i="29"/>
  <c r="S3953" i="29"/>
  <c r="S3946" i="29"/>
  <c r="S3945" i="29"/>
  <c r="S3951" i="29"/>
  <c r="S3950" i="29"/>
  <c r="S3949" i="29"/>
  <c r="S3948" i="29"/>
  <c r="S3947" i="29"/>
  <c r="S3944" i="29"/>
  <c r="S3940" i="29"/>
  <c r="S3939" i="29"/>
  <c r="S3938" i="29"/>
  <c r="S3937" i="29"/>
  <c r="S3942" i="29"/>
  <c r="S3941" i="29"/>
  <c r="S3936" i="29"/>
  <c r="S3943" i="29"/>
  <c r="S3934" i="29"/>
  <c r="S3933" i="29"/>
  <c r="S3935" i="29"/>
  <c r="S3922" i="29"/>
  <c r="S3932" i="29"/>
  <c r="S3931" i="29"/>
  <c r="S3930" i="29"/>
  <c r="S3929" i="29"/>
  <c r="S3928" i="29"/>
  <c r="S3927" i="29"/>
  <c r="S3926" i="29"/>
  <c r="S3924" i="29"/>
  <c r="S3923" i="29"/>
  <c r="S3916" i="29"/>
  <c r="S3915" i="29"/>
  <c r="S3925" i="29"/>
  <c r="S3912" i="29"/>
  <c r="S3911" i="29"/>
  <c r="S3908" i="29"/>
  <c r="S3907" i="29"/>
  <c r="S3906" i="29"/>
  <c r="S3905" i="29"/>
  <c r="S3904" i="29"/>
  <c r="S3903" i="29"/>
  <c r="S3921" i="29"/>
  <c r="S3920" i="29"/>
  <c r="S3919" i="29"/>
  <c r="S3918" i="29"/>
  <c r="S3917" i="29"/>
  <c r="S3902" i="29"/>
  <c r="S3901" i="29"/>
  <c r="S3900" i="29"/>
  <c r="S3909" i="29"/>
  <c r="S3899" i="29"/>
  <c r="S3914" i="29"/>
  <c r="S3913" i="29"/>
  <c r="S3910" i="29"/>
  <c r="S3898" i="29"/>
  <c r="S3897" i="29"/>
  <c r="S3896" i="29"/>
  <c r="S3895" i="29"/>
  <c r="S3894" i="29"/>
  <c r="S3893" i="29"/>
  <c r="S3892" i="29"/>
  <c r="S3891" i="29"/>
  <c r="S3890" i="29"/>
  <c r="S3889" i="29"/>
  <c r="S3883" i="29"/>
  <c r="S3882" i="29"/>
  <c r="S3881" i="29"/>
  <c r="S3888" i="29"/>
  <c r="S3887" i="29"/>
  <c r="S3886" i="29"/>
  <c r="S3885" i="29"/>
  <c r="S3884" i="29"/>
  <c r="S3880" i="29"/>
  <c r="S3874" i="29"/>
  <c r="S3873" i="29"/>
  <c r="S3872" i="29"/>
  <c r="S3871" i="29"/>
  <c r="S3870" i="29"/>
  <c r="S3869" i="29"/>
  <c r="S3879" i="29"/>
  <c r="S3878" i="29"/>
  <c r="S3877" i="29"/>
  <c r="S3876" i="29"/>
  <c r="S3875" i="29"/>
  <c r="S3867" i="29"/>
  <c r="S3866" i="29"/>
  <c r="S3868" i="29"/>
  <c r="S3865" i="29"/>
  <c r="S3864" i="29"/>
  <c r="S3863" i="29"/>
  <c r="S3862" i="29"/>
  <c r="S3861" i="29"/>
  <c r="S3860" i="29"/>
  <c r="S3859" i="29"/>
  <c r="S3856" i="29"/>
  <c r="S3858" i="29"/>
  <c r="S3857" i="29"/>
  <c r="S3855" i="29"/>
  <c r="S3854" i="29"/>
  <c r="S3853" i="29"/>
  <c r="S3852" i="29"/>
  <c r="S3847" i="29"/>
  <c r="S3790" i="29"/>
  <c r="S3851" i="29"/>
  <c r="S3850" i="29"/>
  <c r="S3849" i="29"/>
  <c r="S3848" i="29"/>
  <c r="S3846" i="29"/>
  <c r="S3841" i="29"/>
  <c r="S3840" i="29"/>
  <c r="S3839" i="29"/>
  <c r="S3837" i="29"/>
  <c r="S3845" i="29"/>
  <c r="S3844" i="29"/>
  <c r="S3843" i="29"/>
  <c r="S3836" i="29"/>
  <c r="S3835" i="29"/>
  <c r="S3842" i="29"/>
  <c r="S3838" i="29"/>
  <c r="S3834" i="29"/>
  <c r="S3833" i="29"/>
  <c r="S3832" i="29"/>
  <c r="S3831" i="29"/>
  <c r="S3830" i="29"/>
  <c r="S3829" i="29"/>
  <c r="S3828" i="29"/>
  <c r="S3827" i="29"/>
  <c r="S3826" i="29"/>
  <c r="S3825" i="29"/>
  <c r="S3824" i="29"/>
  <c r="S3823" i="29"/>
  <c r="S3819" i="29"/>
  <c r="S3813" i="29"/>
  <c r="S3812" i="29"/>
  <c r="S3811" i="29"/>
  <c r="S3810" i="29"/>
  <c r="S3822" i="29"/>
  <c r="S3821" i="29"/>
  <c r="S3820" i="29"/>
  <c r="S3818" i="29"/>
  <c r="S3817" i="29"/>
  <c r="S3816" i="29"/>
  <c r="S3815" i="29"/>
  <c r="S3814" i="29"/>
  <c r="S3807" i="29"/>
  <c r="S3809" i="29"/>
  <c r="S3808" i="29"/>
  <c r="S3806" i="29"/>
  <c r="S3805" i="29"/>
  <c r="S3804" i="29"/>
  <c r="S3802" i="29"/>
  <c r="S3801" i="29"/>
  <c r="S3799" i="29"/>
  <c r="S3798" i="29"/>
  <c r="S3797" i="29"/>
  <c r="S3800" i="29"/>
  <c r="S3803" i="29"/>
  <c r="S3796" i="29"/>
  <c r="S3795" i="29"/>
  <c r="S3794" i="29"/>
  <c r="S3793" i="29"/>
  <c r="S3792" i="29"/>
  <c r="S3791" i="29"/>
  <c r="S3789" i="29"/>
  <c r="S3786" i="29"/>
  <c r="S3785" i="29"/>
  <c r="S3788" i="29"/>
  <c r="S3787" i="29"/>
  <c r="S3784" i="29"/>
  <c r="S3783" i="29"/>
  <c r="S3782" i="29"/>
  <c r="S3781" i="29"/>
  <c r="S3780" i="29"/>
  <c r="S3779" i="29"/>
  <c r="S3778" i="29"/>
  <c r="S3776" i="29"/>
  <c r="S3775" i="29"/>
  <c r="S3774" i="29"/>
  <c r="S3777" i="29"/>
  <c r="S3773" i="29"/>
  <c r="S3770" i="29"/>
  <c r="S3769" i="29"/>
  <c r="S3768" i="29"/>
  <c r="S3767" i="29"/>
  <c r="S3772" i="29"/>
  <c r="S3771" i="29"/>
  <c r="S3766" i="29"/>
  <c r="S3765" i="29"/>
  <c r="S3764" i="29"/>
  <c r="S3763" i="29"/>
  <c r="S3762" i="29"/>
  <c r="S3761" i="29"/>
  <c r="S3760" i="29"/>
  <c r="S3759" i="29"/>
  <c r="S3758" i="29"/>
  <c r="S3757" i="29"/>
  <c r="S648" i="29"/>
  <c r="S647" i="29"/>
  <c r="S633" i="29"/>
  <c r="S3756" i="29"/>
  <c r="S3753" i="29"/>
  <c r="S3752" i="29"/>
  <c r="S3751" i="29"/>
  <c r="S3750" i="29"/>
  <c r="S3749" i="29"/>
  <c r="S3748" i="29"/>
  <c r="S3747" i="29"/>
  <c r="S3755" i="29"/>
  <c r="S3754" i="29"/>
  <c r="S3746" i="29"/>
  <c r="S3743" i="29"/>
  <c r="S3742" i="29"/>
  <c r="S3741" i="29"/>
  <c r="S3740" i="29"/>
  <c r="S3745" i="29"/>
  <c r="S3744" i="29"/>
  <c r="S3737" i="29"/>
  <c r="S3739" i="29"/>
  <c r="S3738" i="29"/>
  <c r="S3736" i="29"/>
  <c r="S3735" i="29"/>
  <c r="S3734" i="29"/>
  <c r="S3733" i="29"/>
  <c r="S3732" i="29"/>
  <c r="S3731" i="29"/>
  <c r="S3730" i="29"/>
  <c r="S3725" i="29"/>
  <c r="S3724" i="29"/>
  <c r="S3723" i="29"/>
  <c r="S3729" i="29"/>
  <c r="S3728" i="29"/>
  <c r="S3727" i="29"/>
  <c r="S3726" i="29"/>
  <c r="S3722" i="29"/>
  <c r="S3721" i="29"/>
  <c r="S3714" i="29"/>
  <c r="S3713" i="29"/>
  <c r="S3712" i="29"/>
  <c r="S3711" i="29"/>
  <c r="S3720" i="29"/>
  <c r="S3719" i="29"/>
  <c r="S3718" i="29"/>
  <c r="S3717" i="29"/>
  <c r="S3716" i="29"/>
  <c r="S3715" i="29"/>
  <c r="S3710" i="29"/>
  <c r="S3709" i="29"/>
  <c r="S3708" i="29"/>
  <c r="S3706" i="29"/>
  <c r="S3702" i="29"/>
  <c r="S3701" i="29"/>
  <c r="S3700" i="29"/>
  <c r="S3707" i="29"/>
  <c r="S3705" i="29"/>
  <c r="S3704" i="29"/>
  <c r="S3703" i="29"/>
  <c r="S3699" i="29"/>
  <c r="S3698" i="29"/>
  <c r="S3697" i="29"/>
  <c r="S3696" i="29"/>
  <c r="S3695" i="29"/>
  <c r="S3694" i="29"/>
  <c r="S3681" i="29"/>
  <c r="S3680" i="29"/>
  <c r="S3679" i="29"/>
  <c r="S3678" i="29"/>
  <c r="S3688" i="29"/>
  <c r="S3677" i="29"/>
  <c r="S3676" i="29"/>
  <c r="S3675" i="29"/>
  <c r="S3693" i="29"/>
  <c r="S3692" i="29"/>
  <c r="S3691" i="29"/>
  <c r="S3690" i="29"/>
  <c r="S3689" i="29"/>
  <c r="S3687" i="29"/>
  <c r="S3686" i="29"/>
  <c r="S3685" i="29"/>
  <c r="S3684" i="29"/>
  <c r="S3683" i="29"/>
  <c r="S3669" i="29"/>
  <c r="S3682" i="29"/>
  <c r="S3673" i="29"/>
  <c r="S3672" i="29"/>
  <c r="S3671" i="29"/>
  <c r="S3670" i="29"/>
  <c r="S3674" i="29"/>
  <c r="S3668" i="29"/>
  <c r="S3667" i="29"/>
  <c r="S3666" i="29"/>
  <c r="S3657" i="29"/>
  <c r="S3656" i="29"/>
  <c r="S3655" i="29"/>
  <c r="S3665" i="29"/>
  <c r="S3664" i="29"/>
  <c r="S3663" i="29"/>
  <c r="S3662" i="29"/>
  <c r="S3661" i="29"/>
  <c r="S3660" i="29"/>
  <c r="S3659" i="29"/>
  <c r="S3658" i="29"/>
  <c r="S3654" i="29"/>
  <c r="S3653" i="29"/>
  <c r="S3652" i="29"/>
  <c r="S3647" i="29"/>
  <c r="S3646" i="29"/>
  <c r="S3645" i="29"/>
  <c r="S3644" i="29"/>
  <c r="S3643" i="29"/>
  <c r="S3642" i="29"/>
  <c r="S3641" i="29"/>
  <c r="S3640" i="29"/>
  <c r="S3651" i="29"/>
  <c r="S3650" i="29"/>
  <c r="S3649" i="29"/>
  <c r="S3648" i="29"/>
  <c r="S3638" i="29"/>
  <c r="S3637" i="29"/>
  <c r="S3636" i="29"/>
  <c r="S3635" i="29"/>
  <c r="S3634" i="29"/>
  <c r="S3631" i="29"/>
  <c r="S3630" i="29"/>
  <c r="S3639" i="29"/>
  <c r="S3633" i="29"/>
  <c r="S3632" i="29"/>
  <c r="S3629" i="29"/>
  <c r="S3628" i="29"/>
  <c r="S3627" i="29"/>
  <c r="S3626" i="29"/>
  <c r="S3625" i="29"/>
  <c r="S3624" i="29"/>
  <c r="S3622" i="29"/>
  <c r="S3617" i="29"/>
  <c r="S3616" i="29"/>
  <c r="S3623" i="29"/>
  <c r="S3615" i="29"/>
  <c r="S3614" i="29"/>
  <c r="S3621" i="29"/>
  <c r="S3620" i="29"/>
  <c r="S3619" i="29"/>
  <c r="S3618" i="29"/>
  <c r="S3613" i="29"/>
  <c r="S3612" i="29"/>
  <c r="S3609" i="29"/>
  <c r="S3611" i="29"/>
  <c r="S3559" i="29"/>
  <c r="S3560" i="29"/>
  <c r="S3561" i="29"/>
  <c r="S3562" i="29"/>
  <c r="S3610" i="29"/>
  <c r="S3115" i="29"/>
  <c r="S3114" i="29"/>
  <c r="S3563" i="29"/>
  <c r="S3564" i="29"/>
  <c r="S3565" i="29"/>
  <c r="S3566" i="29"/>
  <c r="S3567" i="29"/>
  <c r="S3568" i="29"/>
  <c r="S3569" i="29"/>
  <c r="S3570" i="29"/>
  <c r="S3571" i="29"/>
  <c r="S3572" i="29"/>
  <c r="S3573" i="29"/>
  <c r="S3574" i="29"/>
  <c r="S3575" i="29"/>
  <c r="S3576" i="29"/>
  <c r="S3577" i="29"/>
  <c r="S3578" i="29"/>
  <c r="S3579" i="29"/>
  <c r="S3580" i="29"/>
  <c r="S3581" i="29"/>
  <c r="S3582" i="29"/>
  <c r="S3583" i="29"/>
  <c r="S3584" i="29"/>
  <c r="S3585" i="29"/>
  <c r="S3586" i="29"/>
  <c r="S3558" i="29"/>
  <c r="S3557" i="29"/>
  <c r="S3556" i="29"/>
  <c r="S3554" i="29"/>
  <c r="S3587" i="29"/>
  <c r="S3588" i="29"/>
  <c r="S3589" i="29"/>
  <c r="S3590" i="29"/>
  <c r="S3591" i="29"/>
  <c r="S3592" i="29"/>
  <c r="S3593" i="29"/>
  <c r="S3594" i="29"/>
  <c r="S3595" i="29"/>
  <c r="S3596" i="29"/>
  <c r="S3597" i="29"/>
  <c r="S3598" i="29"/>
  <c r="S3599" i="29"/>
  <c r="S3600" i="29"/>
  <c r="S3601" i="29"/>
  <c r="S3602" i="29"/>
  <c r="S3603" i="29"/>
  <c r="S3604" i="29"/>
  <c r="S3605" i="29"/>
  <c r="S3606" i="29"/>
  <c r="S3607" i="29"/>
  <c r="S3608" i="29"/>
  <c r="S3555" i="29"/>
  <c r="S3546" i="29"/>
  <c r="S3545" i="29"/>
  <c r="S3544" i="29"/>
  <c r="S3542" i="29"/>
  <c r="S3540" i="29"/>
  <c r="S3539" i="29"/>
  <c r="S3553" i="29"/>
  <c r="S3552" i="29"/>
  <c r="S3551" i="29"/>
  <c r="S3550" i="29"/>
  <c r="S3549" i="29"/>
  <c r="S3548" i="29"/>
  <c r="S3547" i="29"/>
  <c r="S3543" i="29"/>
  <c r="S3541" i="29"/>
  <c r="S3538" i="29"/>
  <c r="S3536" i="29"/>
  <c r="S3535" i="29"/>
  <c r="S3537" i="29"/>
  <c r="S3534" i="29"/>
  <c r="S3533" i="29"/>
  <c r="S3528" i="29"/>
  <c r="S3527" i="29"/>
  <c r="S3526" i="29"/>
  <c r="S3525" i="29"/>
  <c r="S3524" i="29"/>
  <c r="S3523" i="29"/>
  <c r="S3522" i="29"/>
  <c r="S3532" i="29"/>
  <c r="S3531" i="29"/>
  <c r="S3530" i="29"/>
  <c r="S3529" i="29"/>
  <c r="S3521" i="29"/>
  <c r="S3520" i="29"/>
  <c r="S3519" i="29"/>
  <c r="S3518" i="29"/>
  <c r="S3517" i="29"/>
  <c r="S3507" i="29"/>
  <c r="S3513" i="29"/>
  <c r="S3512" i="29"/>
  <c r="S3511" i="29"/>
  <c r="S3510" i="29"/>
  <c r="S3509" i="29"/>
  <c r="S3506" i="29"/>
  <c r="S3498" i="29"/>
  <c r="S3516" i="29"/>
  <c r="S3515" i="29"/>
  <c r="S3514" i="29"/>
  <c r="S3494" i="29"/>
  <c r="S3492" i="29"/>
  <c r="S3491" i="29"/>
  <c r="S3508" i="29"/>
  <c r="S3487" i="29"/>
  <c r="S3505" i="29"/>
  <c r="S3504" i="29"/>
  <c r="S3503" i="29"/>
  <c r="S3502" i="29"/>
  <c r="S3501" i="29"/>
  <c r="S3500" i="29"/>
  <c r="S3499" i="29"/>
  <c r="S3497" i="29"/>
  <c r="S3496" i="29"/>
  <c r="S3495" i="29"/>
  <c r="S3493" i="29"/>
  <c r="S3490" i="29"/>
  <c r="S3489" i="29"/>
  <c r="S3488" i="29"/>
  <c r="S3486" i="29"/>
  <c r="S3485" i="29"/>
  <c r="S3484" i="29"/>
  <c r="S3483" i="29"/>
  <c r="S3482" i="29"/>
  <c r="S3481" i="29"/>
  <c r="S3480" i="29"/>
  <c r="S3479" i="29"/>
  <c r="S3478" i="29"/>
  <c r="S3477" i="29"/>
  <c r="S3476" i="29"/>
  <c r="S3475" i="29"/>
  <c r="S3474" i="29"/>
  <c r="S3473" i="29"/>
  <c r="S3472" i="29"/>
  <c r="S3471" i="29"/>
  <c r="S3470" i="29"/>
  <c r="S3469" i="29"/>
  <c r="S3468" i="29"/>
  <c r="S3467" i="29"/>
  <c r="S3466" i="29"/>
  <c r="S3465" i="29"/>
  <c r="S3464" i="29"/>
  <c r="S3462" i="29"/>
  <c r="S3459" i="29"/>
  <c r="S3457" i="29"/>
  <c r="S3456" i="29"/>
  <c r="S3455" i="29"/>
  <c r="S3463" i="29"/>
  <c r="S3461" i="29"/>
  <c r="S3460" i="29"/>
  <c r="S3454" i="29"/>
  <c r="S3458" i="29"/>
  <c r="S3453" i="29"/>
  <c r="S3452" i="29"/>
  <c r="S3451" i="29"/>
  <c r="S3450" i="29"/>
  <c r="S3449" i="29"/>
  <c r="S3446" i="29"/>
  <c r="S3445" i="29"/>
  <c r="S3444" i="29"/>
  <c r="S3448" i="29"/>
  <c r="S3447" i="29"/>
  <c r="S3443" i="29"/>
  <c r="S3440" i="29"/>
  <c r="S3439" i="29"/>
  <c r="S3438" i="29"/>
  <c r="S3442" i="29"/>
  <c r="S3441" i="29"/>
  <c r="S3437" i="29"/>
  <c r="S3430" i="29"/>
  <c r="S3428" i="29"/>
  <c r="S3427" i="29"/>
  <c r="S3426" i="29"/>
  <c r="S3425" i="29"/>
  <c r="S3424" i="29"/>
  <c r="S3423" i="29"/>
  <c r="S3436" i="29"/>
  <c r="S3435" i="29"/>
  <c r="S3434" i="29"/>
  <c r="S3433" i="29"/>
  <c r="S3432" i="29"/>
  <c r="S3431" i="29"/>
  <c r="S3429" i="29"/>
  <c r="S3420" i="29"/>
  <c r="S3419" i="29"/>
  <c r="S3422" i="29"/>
  <c r="S3421" i="29"/>
  <c r="S3418" i="29"/>
  <c r="S3417" i="29"/>
  <c r="S3416" i="29"/>
  <c r="S3415" i="29"/>
  <c r="S3414" i="29"/>
  <c r="S3413" i="29"/>
  <c r="S3408" i="29"/>
  <c r="S3407" i="29"/>
  <c r="S3412" i="29"/>
  <c r="S3411" i="29"/>
  <c r="S3405" i="29"/>
  <c r="S3404" i="29"/>
  <c r="S3403" i="29"/>
  <c r="S3402" i="29"/>
  <c r="S3401" i="29"/>
  <c r="S3394" i="29"/>
  <c r="S3393" i="29"/>
  <c r="S3392" i="29"/>
  <c r="S3391" i="29"/>
  <c r="S3410" i="29"/>
  <c r="S3409" i="29"/>
  <c r="S3406" i="29"/>
  <c r="S3400" i="29"/>
  <c r="S3399" i="29"/>
  <c r="S3398" i="29"/>
  <c r="S3397" i="29"/>
  <c r="S3388" i="29"/>
  <c r="S3387" i="29"/>
  <c r="S3386" i="29"/>
  <c r="S3385" i="29"/>
  <c r="S3384" i="29"/>
  <c r="S3383" i="29"/>
  <c r="S3396" i="29"/>
  <c r="S3395" i="29"/>
  <c r="S3390" i="29"/>
  <c r="S3389" i="29"/>
  <c r="S3382" i="29"/>
  <c r="S3381" i="29"/>
  <c r="S3380" i="29"/>
  <c r="S3371" i="29"/>
  <c r="S3366" i="29"/>
  <c r="S3365" i="29"/>
  <c r="S3364" i="29"/>
  <c r="S3379" i="29"/>
  <c r="S3378" i="29"/>
  <c r="S3377" i="29"/>
  <c r="S3376" i="29"/>
  <c r="S3375" i="29"/>
  <c r="S3374" i="29"/>
  <c r="S3363" i="29"/>
  <c r="S3373" i="29"/>
  <c r="S3372" i="29"/>
  <c r="S3370" i="29"/>
  <c r="S3369" i="29"/>
  <c r="S3368" i="29"/>
  <c r="S3367" i="29"/>
  <c r="S3355" i="29"/>
  <c r="S3362" i="29"/>
  <c r="S3361" i="29"/>
  <c r="S3360" i="29"/>
  <c r="S3359" i="29"/>
  <c r="S3358" i="29"/>
  <c r="S3357" i="29"/>
  <c r="S3356" i="29"/>
  <c r="S3353" i="29"/>
  <c r="S3352" i="29"/>
  <c r="S3354" i="29"/>
  <c r="S3348" i="29"/>
  <c r="S3347" i="29"/>
  <c r="S3350" i="29"/>
  <c r="S3349" i="29"/>
  <c r="S3344" i="29"/>
  <c r="S3343" i="29"/>
  <c r="S3342" i="29"/>
  <c r="S3351" i="29"/>
  <c r="S3346" i="29"/>
  <c r="S3345" i="29"/>
  <c r="S3340" i="29"/>
  <c r="S3339" i="29"/>
  <c r="S3338" i="29"/>
  <c r="S3337" i="29"/>
  <c r="S3336" i="29"/>
  <c r="S3335" i="29"/>
  <c r="S3334" i="29"/>
  <c r="S3333" i="29"/>
  <c r="S3329" i="29"/>
  <c r="S3328" i="29"/>
  <c r="S3327" i="29"/>
  <c r="S3341" i="29"/>
  <c r="S3332" i="29"/>
  <c r="S3331" i="29"/>
  <c r="S3330" i="29"/>
  <c r="S3326" i="29"/>
  <c r="S3325" i="29"/>
  <c r="S3324" i="29"/>
  <c r="S3323" i="29"/>
  <c r="S3322" i="29"/>
  <c r="S3321" i="29"/>
  <c r="S3320" i="29"/>
  <c r="S3319" i="29"/>
  <c r="S3318" i="29"/>
  <c r="S3317" i="29"/>
  <c r="S3315" i="29"/>
  <c r="S3314" i="29"/>
  <c r="S3316" i="29"/>
  <c r="S3313" i="29"/>
  <c r="S3312" i="29"/>
  <c r="S3311" i="29"/>
  <c r="S3310" i="29"/>
  <c r="S3309" i="29"/>
  <c r="S3307" i="29"/>
  <c r="S3306" i="29"/>
  <c r="S3305" i="29"/>
  <c r="S3304" i="29"/>
  <c r="S3301" i="29"/>
  <c r="S3303" i="29"/>
  <c r="S3302" i="29"/>
  <c r="S3300" i="29"/>
  <c r="S3299" i="29"/>
  <c r="S2298" i="29"/>
  <c r="S3308" i="29"/>
  <c r="S3298" i="29"/>
  <c r="S3297" i="29"/>
  <c r="S3292" i="29"/>
  <c r="S3291" i="29"/>
  <c r="S3289" i="29"/>
  <c r="S3288" i="29"/>
  <c r="S3287" i="29"/>
  <c r="S3286" i="29"/>
  <c r="S3285" i="29"/>
  <c r="S3296" i="29"/>
  <c r="S3294" i="29"/>
  <c r="S3293" i="29"/>
  <c r="S3290" i="29"/>
  <c r="S3284" i="29"/>
  <c r="S3283" i="29"/>
  <c r="S3295" i="29"/>
  <c r="S3281" i="29"/>
  <c r="S3273" i="29"/>
  <c r="S3272" i="29"/>
  <c r="S3271" i="29"/>
  <c r="S3269" i="29"/>
  <c r="S3280" i="29"/>
  <c r="S3279" i="29"/>
  <c r="S3278" i="29"/>
  <c r="S3277" i="29"/>
  <c r="S3276" i="29"/>
  <c r="S3275" i="29"/>
  <c r="S3268" i="29"/>
  <c r="S3267" i="29"/>
  <c r="S3259" i="29"/>
  <c r="S3258" i="29"/>
  <c r="S3282" i="29"/>
  <c r="S3274" i="29"/>
  <c r="S3250" i="29"/>
  <c r="S3249" i="29"/>
  <c r="S3248" i="29"/>
  <c r="S3270" i="29"/>
  <c r="S3266" i="29"/>
  <c r="S3265" i="29"/>
  <c r="S3264" i="29"/>
  <c r="S3263" i="29"/>
  <c r="S3262" i="29"/>
  <c r="S3261" i="29"/>
  <c r="S3260" i="29"/>
  <c r="S3257" i="29"/>
  <c r="S3256" i="29"/>
  <c r="S3255" i="29"/>
  <c r="S3254" i="29"/>
  <c r="S3253" i="29"/>
  <c r="S3252" i="29"/>
  <c r="S3251" i="29"/>
  <c r="S3247" i="29"/>
  <c r="S3237" i="29"/>
  <c r="S3236" i="29"/>
  <c r="S3235" i="29"/>
  <c r="S3246" i="29"/>
  <c r="S3245" i="29"/>
  <c r="S3244" i="29"/>
  <c r="S3243" i="29"/>
  <c r="S3242" i="29"/>
  <c r="S3241" i="29"/>
  <c r="S3240" i="29"/>
  <c r="S3239" i="29"/>
  <c r="S3238" i="29"/>
  <c r="S3234" i="29"/>
  <c r="S3232" i="29"/>
  <c r="S3231" i="29"/>
  <c r="S3230" i="29"/>
  <c r="S3229" i="29"/>
  <c r="S3233" i="29"/>
  <c r="S3228" i="29"/>
  <c r="S3227" i="29"/>
  <c r="S3226" i="29"/>
  <c r="S3225" i="29"/>
  <c r="S3224" i="29"/>
  <c r="S3215" i="29"/>
  <c r="S3220" i="29"/>
  <c r="S3219" i="29"/>
  <c r="S3218" i="29"/>
  <c r="S3217" i="29"/>
  <c r="S3216" i="29"/>
  <c r="S3223" i="29"/>
  <c r="S3222" i="29"/>
  <c r="S3221" i="29"/>
  <c r="S3207" i="29"/>
  <c r="S3206" i="29"/>
  <c r="S3214" i="29"/>
  <c r="S3213" i="29"/>
  <c r="S3212" i="29"/>
  <c r="S3211" i="29"/>
  <c r="S3210" i="29"/>
  <c r="S3209" i="29"/>
  <c r="S3208" i="29"/>
  <c r="S3205" i="29"/>
  <c r="S3204" i="29"/>
  <c r="S3203" i="29"/>
  <c r="S3202" i="29"/>
  <c r="S3194" i="29"/>
  <c r="S3193" i="29"/>
  <c r="S3192" i="29"/>
  <c r="S3191" i="29"/>
  <c r="S3190" i="29"/>
  <c r="S3189" i="29"/>
  <c r="S3187" i="29"/>
  <c r="S3186" i="29"/>
  <c r="S3201" i="29"/>
  <c r="S3200" i="29"/>
  <c r="S3199" i="29"/>
  <c r="S3198" i="29"/>
  <c r="S3197" i="29"/>
  <c r="S3196" i="29"/>
  <c r="S3195" i="29"/>
  <c r="S3188" i="29"/>
  <c r="S3185" i="29"/>
  <c r="S3184" i="29"/>
  <c r="S3183" i="29"/>
  <c r="S3182" i="29"/>
  <c r="S3176" i="29"/>
  <c r="S3175" i="29"/>
  <c r="S3173" i="29"/>
  <c r="S3172" i="29"/>
  <c r="S3171" i="29"/>
  <c r="S3169" i="29"/>
  <c r="S3168" i="29"/>
  <c r="S3167" i="29"/>
  <c r="S3166" i="29"/>
  <c r="S3165" i="29"/>
  <c r="S3164" i="29"/>
  <c r="S3174" i="29"/>
  <c r="S3181" i="29"/>
  <c r="S3180" i="29"/>
  <c r="S3179" i="29"/>
  <c r="S3178" i="29"/>
  <c r="S3177" i="29"/>
  <c r="S3160" i="29"/>
  <c r="S3170" i="29"/>
  <c r="S3161" i="29"/>
  <c r="S3163" i="29"/>
  <c r="S3162" i="29"/>
  <c r="S3156" i="29"/>
  <c r="S3159" i="29"/>
  <c r="S3158" i="29"/>
  <c r="S3157" i="29"/>
  <c r="S3151" i="29"/>
  <c r="S3150" i="29"/>
  <c r="S3149" i="29"/>
  <c r="S3148" i="29"/>
  <c r="S3147" i="29"/>
  <c r="S3155" i="29"/>
  <c r="S3154" i="29"/>
  <c r="S3153" i="29"/>
  <c r="S3152" i="29"/>
  <c r="S3145" i="29"/>
  <c r="S3138" i="29"/>
  <c r="S3137" i="29"/>
  <c r="S3146" i="29"/>
  <c r="S3139" i="29"/>
  <c r="S3132" i="29"/>
  <c r="S3131" i="29"/>
  <c r="S3144" i="29"/>
  <c r="S3143" i="29"/>
  <c r="S3142" i="29"/>
  <c r="S3141" i="29"/>
  <c r="S3140" i="29"/>
  <c r="S3126" i="29"/>
  <c r="S3125" i="29"/>
  <c r="S3124" i="29"/>
  <c r="S3136" i="29"/>
  <c r="S3135" i="29"/>
  <c r="S3134" i="29"/>
  <c r="S3133" i="29"/>
  <c r="S3122" i="29"/>
  <c r="S3121" i="29"/>
  <c r="S3130" i="29"/>
  <c r="S3129" i="29"/>
  <c r="S3128" i="29"/>
  <c r="S3127" i="29"/>
  <c r="S3123" i="29"/>
  <c r="S3120" i="29"/>
  <c r="S3119" i="29"/>
  <c r="S3117" i="29"/>
  <c r="S3116" i="29"/>
  <c r="S3112" i="29"/>
  <c r="S3111" i="29"/>
  <c r="S3102" i="29"/>
  <c r="S3101" i="29"/>
  <c r="S3100" i="29"/>
  <c r="S3099" i="29"/>
  <c r="S3098" i="29"/>
  <c r="S3095" i="29"/>
  <c r="S3094" i="29"/>
  <c r="S3093" i="29"/>
  <c r="S3080" i="29"/>
  <c r="S3110" i="29"/>
  <c r="S3118" i="29"/>
  <c r="S3113" i="29"/>
  <c r="S3109" i="29"/>
  <c r="S3108" i="29"/>
  <c r="S3107" i="29"/>
  <c r="S3106" i="29"/>
  <c r="S3105" i="29"/>
  <c r="S3104" i="29"/>
  <c r="S3103" i="29"/>
  <c r="S3097" i="29"/>
  <c r="S3096" i="29"/>
  <c r="S3092" i="29"/>
  <c r="S3091" i="29"/>
  <c r="S3090" i="29"/>
  <c r="S3089" i="29"/>
  <c r="S3088" i="29"/>
  <c r="S3087" i="29"/>
  <c r="S3072" i="29"/>
  <c r="S3071" i="29"/>
  <c r="S3070" i="29"/>
  <c r="S3069" i="29"/>
  <c r="S3068" i="29"/>
  <c r="S3086" i="29"/>
  <c r="S3085" i="29"/>
  <c r="S3084" i="29"/>
  <c r="S3083" i="29"/>
  <c r="S3082" i="29"/>
  <c r="S3081" i="29"/>
  <c r="S3079" i="29"/>
  <c r="S3078" i="29"/>
  <c r="S3067" i="29"/>
  <c r="S3077" i="29"/>
  <c r="S3076" i="29"/>
  <c r="S3075" i="29"/>
  <c r="S3074" i="29"/>
  <c r="S3073" i="29"/>
  <c r="S3066" i="29"/>
  <c r="S3065" i="29"/>
  <c r="S3064" i="29"/>
  <c r="S3063" i="29"/>
  <c r="S3062" i="29"/>
  <c r="S3061" i="29"/>
  <c r="S3054" i="29"/>
  <c r="S3053" i="29"/>
  <c r="S3052" i="29"/>
  <c r="S3051" i="29"/>
  <c r="S3050" i="29"/>
  <c r="S3049" i="29"/>
  <c r="S3048" i="29"/>
  <c r="S3060" i="29"/>
  <c r="S3059" i="29"/>
  <c r="S3058" i="29"/>
  <c r="S3057" i="29"/>
  <c r="S3056" i="29"/>
  <c r="S3055" i="29"/>
  <c r="S3045" i="29"/>
  <c r="S3044" i="29"/>
  <c r="S3043" i="29"/>
  <c r="S3042" i="29"/>
  <c r="S3047" i="29"/>
  <c r="S3040" i="29"/>
  <c r="S3039" i="29"/>
  <c r="S3046" i="29"/>
  <c r="S3041" i="29"/>
  <c r="S3038" i="29"/>
  <c r="S3037" i="29"/>
  <c r="S3036" i="29"/>
  <c r="S3035" i="29"/>
  <c r="S3028" i="29"/>
  <c r="S3034" i="29"/>
  <c r="S3033" i="29"/>
  <c r="S3032" i="29"/>
  <c r="S3031" i="29"/>
  <c r="S3027" i="29"/>
  <c r="S3026" i="29"/>
  <c r="S3025" i="29"/>
  <c r="S3024" i="29"/>
  <c r="S3023" i="29"/>
  <c r="S3030" i="29"/>
  <c r="S3029" i="29"/>
  <c r="S3022" i="29"/>
  <c r="S3021" i="29"/>
  <c r="S3020" i="29"/>
  <c r="S3017" i="29"/>
  <c r="S3016" i="29"/>
  <c r="S3019" i="29"/>
  <c r="S3018" i="29"/>
  <c r="S3012" i="29"/>
  <c r="S3009" i="29"/>
  <c r="S3003" i="29"/>
  <c r="S3002" i="29"/>
  <c r="S3001" i="29"/>
  <c r="S3000" i="29"/>
  <c r="S2999" i="29"/>
  <c r="S2998" i="29"/>
  <c r="S2993" i="29"/>
  <c r="S2992" i="29"/>
  <c r="S2991" i="29"/>
  <c r="S2990" i="29"/>
  <c r="S2989" i="29"/>
  <c r="S1681" i="29"/>
  <c r="S2987" i="29"/>
  <c r="S3015" i="29"/>
  <c r="S3014" i="29"/>
  <c r="S3013" i="29"/>
  <c r="S3011" i="29"/>
  <c r="S3010" i="29"/>
  <c r="S3005" i="29"/>
  <c r="S3004" i="29"/>
  <c r="S2996" i="29"/>
  <c r="S2994" i="29"/>
  <c r="S3008" i="29"/>
  <c r="S3007" i="29"/>
  <c r="S3006" i="29"/>
  <c r="S2997" i="29"/>
  <c r="S2995" i="29"/>
  <c r="S2984" i="29"/>
  <c r="S2983" i="29"/>
  <c r="S2988" i="29"/>
  <c r="S2986" i="29"/>
  <c r="S2985" i="29"/>
  <c r="S2982" i="29"/>
  <c r="S2981" i="29"/>
  <c r="S2980" i="29"/>
  <c r="S2973" i="29"/>
  <c r="S2972" i="29"/>
  <c r="S2971" i="29"/>
  <c r="S2970" i="29"/>
  <c r="S2969" i="29"/>
  <c r="S2979" i="29"/>
  <c r="S2978" i="29"/>
  <c r="S2977" i="29"/>
  <c r="S2976" i="29"/>
  <c r="S2975" i="29"/>
  <c r="S2974" i="29"/>
  <c r="S2968" i="29"/>
  <c r="S2964" i="29"/>
  <c r="S2967" i="29"/>
  <c r="S2966" i="29"/>
  <c r="S2965" i="29"/>
  <c r="S2963" i="29"/>
  <c r="S2962" i="29"/>
  <c r="S2961" i="29"/>
  <c r="S2960" i="29"/>
  <c r="S2959" i="29"/>
  <c r="S2958" i="29"/>
  <c r="S2957" i="29"/>
  <c r="S2956" i="29"/>
  <c r="S2954" i="29"/>
  <c r="S2955" i="29"/>
  <c r="S2953" i="29"/>
  <c r="S2951" i="29"/>
  <c r="S2950" i="29"/>
  <c r="S2949" i="29"/>
  <c r="S2948" i="29"/>
  <c r="S2947" i="29"/>
  <c r="S2946" i="29"/>
  <c r="S2945" i="29"/>
  <c r="S2944" i="29"/>
  <c r="S2943" i="29"/>
  <c r="S2952" i="29"/>
  <c r="S2942" i="29"/>
  <c r="S2941" i="29"/>
  <c r="S2940" i="29"/>
  <c r="S2939" i="29"/>
  <c r="S2938" i="29"/>
  <c r="S2937" i="29"/>
  <c r="S2936" i="29"/>
  <c r="S2935" i="29"/>
  <c r="S2934" i="29"/>
  <c r="S2927" i="29"/>
  <c r="S2926" i="29"/>
  <c r="S2925" i="29"/>
  <c r="S2933" i="29"/>
  <c r="S2932" i="29"/>
  <c r="S2931" i="29"/>
  <c r="S2930" i="29"/>
  <c r="S2929" i="29"/>
  <c r="S2928" i="29"/>
  <c r="S2923" i="29"/>
  <c r="S2922" i="29"/>
  <c r="S2921" i="29"/>
  <c r="S2920" i="29"/>
  <c r="S2919" i="29"/>
  <c r="S2918" i="29"/>
  <c r="S2917" i="29"/>
  <c r="S2915" i="29"/>
  <c r="S2916" i="29"/>
  <c r="S2924" i="29"/>
  <c r="S2912" i="29"/>
  <c r="S2914" i="29"/>
  <c r="S2913" i="29"/>
  <c r="S2911" i="29"/>
  <c r="S2910" i="29"/>
  <c r="S2903" i="29"/>
  <c r="S2896" i="29"/>
  <c r="S2895" i="29"/>
  <c r="S2894" i="29"/>
  <c r="S2893" i="29"/>
  <c r="S2899" i="29"/>
  <c r="S2898" i="29"/>
  <c r="S2897" i="29"/>
  <c r="S2909" i="29"/>
  <c r="S2908" i="29"/>
  <c r="S2907" i="29"/>
  <c r="S2906" i="29"/>
  <c r="S2905" i="29"/>
  <c r="S2904" i="29"/>
  <c r="S2902" i="29"/>
  <c r="S2892" i="29"/>
  <c r="S2891" i="29"/>
  <c r="S2890" i="29"/>
  <c r="S2889" i="29"/>
  <c r="S2888" i="29"/>
  <c r="S2901" i="29"/>
  <c r="S2887" i="29"/>
  <c r="S2900" i="29"/>
  <c r="S2886" i="29"/>
  <c r="S2885" i="29"/>
  <c r="S2884" i="29"/>
  <c r="S2872" i="29"/>
  <c r="S2871" i="29"/>
  <c r="S2862" i="29"/>
  <c r="S2861" i="29"/>
  <c r="S2860" i="29"/>
  <c r="S2859" i="29"/>
  <c r="S2858" i="29"/>
  <c r="S2883" i="29"/>
  <c r="S2882" i="29"/>
  <c r="S2881" i="29"/>
  <c r="S2880" i="29"/>
  <c r="S2879" i="29"/>
  <c r="S2878" i="29"/>
  <c r="S2877" i="29"/>
  <c r="S2876" i="29"/>
  <c r="S2875" i="29"/>
  <c r="S2874" i="29"/>
  <c r="S2873" i="29"/>
  <c r="S2870" i="29"/>
  <c r="S2869" i="29"/>
  <c r="S2868" i="29"/>
  <c r="S2867" i="29"/>
  <c r="S2866" i="29"/>
  <c r="S2865" i="29"/>
  <c r="S2864" i="29"/>
  <c r="S2863" i="29"/>
  <c r="S2855" i="29"/>
  <c r="S2854" i="29"/>
  <c r="S2857" i="29"/>
  <c r="S2856" i="29"/>
  <c r="S2849" i="29"/>
  <c r="S2848" i="29"/>
  <c r="S2847" i="29"/>
  <c r="S2846" i="29"/>
  <c r="S2853" i="29"/>
  <c r="S2852" i="29"/>
  <c r="S2851" i="29"/>
  <c r="S2850" i="29"/>
  <c r="S2844" i="29"/>
  <c r="S2843" i="29"/>
  <c r="S2842" i="29"/>
  <c r="S2841" i="29"/>
  <c r="S2840" i="29"/>
  <c r="S2838" i="29"/>
  <c r="S2837" i="29"/>
  <c r="S2845" i="29"/>
  <c r="S2839" i="29"/>
  <c r="S2836" i="29"/>
  <c r="S2833" i="29"/>
  <c r="S2830" i="29"/>
  <c r="S2829" i="29"/>
  <c r="S2835" i="29"/>
  <c r="S2834" i="29"/>
  <c r="S2832" i="29"/>
  <c r="S2831" i="29"/>
  <c r="S2828" i="29"/>
  <c r="S2827" i="29"/>
  <c r="S2826" i="29"/>
  <c r="S2825" i="29"/>
  <c r="S2824" i="29"/>
  <c r="S2823" i="29"/>
  <c r="S2822" i="29"/>
  <c r="S2821" i="29"/>
  <c r="S2813" i="29"/>
  <c r="S2820" i="29"/>
  <c r="S2819" i="29"/>
  <c r="S2818" i="29"/>
  <c r="S2817" i="29"/>
  <c r="S2816" i="29"/>
  <c r="S2815" i="29"/>
  <c r="S2814" i="29"/>
  <c r="S2812" i="29"/>
  <c r="S2810" i="29"/>
  <c r="S2803" i="29"/>
  <c r="S2802" i="29"/>
  <c r="S2801" i="29"/>
  <c r="S2811" i="29"/>
  <c r="S2805" i="29"/>
  <c r="S2804" i="29"/>
  <c r="S2800" i="29"/>
  <c r="S2794" i="29"/>
  <c r="S2793" i="29"/>
  <c r="S2792" i="29"/>
  <c r="S2791" i="29"/>
  <c r="S2790" i="29"/>
  <c r="S2789" i="29"/>
  <c r="S2788" i="29"/>
  <c r="S2787" i="29"/>
  <c r="S2786" i="29"/>
  <c r="S2785" i="29"/>
  <c r="S2784" i="29"/>
  <c r="S2783" i="29"/>
  <c r="S2782" i="29"/>
  <c r="S2809" i="29"/>
  <c r="S2808" i="29"/>
  <c r="S2807" i="29"/>
  <c r="S2806" i="29"/>
  <c r="S2777" i="29"/>
  <c r="S2775" i="29"/>
  <c r="S2774" i="29"/>
  <c r="S2773" i="29"/>
  <c r="S2772" i="29"/>
  <c r="S2799" i="29"/>
  <c r="S2798" i="29"/>
  <c r="S2797" i="29"/>
  <c r="S2796" i="29"/>
  <c r="S2795" i="29"/>
  <c r="S2781" i="29"/>
  <c r="S2780" i="29"/>
  <c r="S2779" i="29"/>
  <c r="S2778" i="29"/>
  <c r="S2771" i="29"/>
  <c r="S2770" i="29"/>
  <c r="S2769" i="29"/>
  <c r="S2776" i="29"/>
  <c r="S2768" i="29"/>
  <c r="S2767" i="29"/>
  <c r="S2766" i="29"/>
  <c r="S2765" i="29"/>
  <c r="S2754" i="29"/>
  <c r="S2753" i="29"/>
  <c r="S2752" i="29"/>
  <c r="S2751" i="29"/>
  <c r="S2750" i="29"/>
  <c r="S2747" i="29"/>
  <c r="S2746" i="29"/>
  <c r="S2745" i="29"/>
  <c r="S2744" i="29"/>
  <c r="S2743" i="29"/>
  <c r="S2742" i="29"/>
  <c r="S2741" i="29"/>
  <c r="S2740" i="29"/>
  <c r="S2738" i="29"/>
  <c r="S2737" i="29"/>
  <c r="S2736" i="29"/>
  <c r="S2735" i="29"/>
  <c r="S2733" i="29"/>
  <c r="S2764" i="29"/>
  <c r="S2749" i="29"/>
  <c r="S2748" i="29"/>
  <c r="S2763" i="29"/>
  <c r="S2762" i="29"/>
  <c r="S2761" i="29"/>
  <c r="S2760" i="29"/>
  <c r="S2759" i="29"/>
  <c r="S2758" i="29"/>
  <c r="S2757" i="29"/>
  <c r="S2756" i="29"/>
  <c r="S2755" i="29"/>
  <c r="S2739" i="29"/>
  <c r="S2734" i="29"/>
  <c r="S2732" i="29"/>
  <c r="S2729" i="29"/>
  <c r="S2728" i="29"/>
  <c r="S2727" i="29"/>
  <c r="S2726" i="29"/>
  <c r="S2722" i="29"/>
  <c r="S2721" i="29"/>
  <c r="S2720" i="29"/>
  <c r="S2719" i="29"/>
  <c r="S2718" i="29"/>
  <c r="S2717" i="29"/>
  <c r="S2716" i="29"/>
  <c r="S2715" i="29"/>
  <c r="S2714" i="29"/>
  <c r="S2713" i="29"/>
  <c r="S2712" i="29"/>
  <c r="S2711" i="29"/>
  <c r="S2697" i="29"/>
  <c r="S2692" i="29"/>
  <c r="S2691" i="29"/>
  <c r="S2690" i="29"/>
  <c r="S2689" i="29"/>
  <c r="S2688" i="29"/>
  <c r="S2687" i="29"/>
  <c r="S2725" i="29"/>
  <c r="S2724" i="29"/>
  <c r="S2723" i="29"/>
  <c r="S2710" i="29"/>
  <c r="S2709" i="29"/>
  <c r="S2708" i="29"/>
  <c r="S2686" i="29"/>
  <c r="S2731" i="29"/>
  <c r="S2730" i="29"/>
  <c r="S2707" i="29"/>
  <c r="S2706" i="29"/>
  <c r="S2705" i="29"/>
  <c r="S2704" i="29"/>
  <c r="S2703" i="29"/>
  <c r="S2702" i="29"/>
  <c r="S2701" i="29"/>
  <c r="S2700" i="29"/>
  <c r="S2699" i="29"/>
  <c r="S2698" i="29"/>
  <c r="S2696" i="29"/>
  <c r="S2695" i="29"/>
  <c r="S2694" i="29"/>
  <c r="S2693" i="29"/>
  <c r="S2685" i="29"/>
  <c r="S2684" i="29"/>
  <c r="S2677" i="29"/>
  <c r="S2676" i="29"/>
  <c r="S2675" i="29"/>
  <c r="S2674" i="29"/>
  <c r="S2673" i="29"/>
  <c r="S2682" i="29"/>
  <c r="S2681" i="29"/>
  <c r="S2679" i="29"/>
  <c r="S2678" i="29"/>
  <c r="S2672" i="29"/>
  <c r="S2683" i="29"/>
  <c r="S2680" i="29"/>
  <c r="S2668" i="29"/>
  <c r="S2667" i="29"/>
  <c r="S2666" i="29"/>
  <c r="S2663" i="29"/>
  <c r="S2662" i="29"/>
  <c r="S2661" i="29"/>
  <c r="S2671" i="29"/>
  <c r="S2670" i="29"/>
  <c r="S2669" i="29"/>
  <c r="S2665" i="29"/>
  <c r="S2664" i="29"/>
  <c r="S2660" i="29"/>
  <c r="S2658" i="29"/>
  <c r="S2656" i="29"/>
  <c r="S2650" i="29"/>
  <c r="S2649" i="29"/>
  <c r="S2648" i="29"/>
  <c r="S2644" i="29"/>
  <c r="S2643" i="29"/>
  <c r="S2642" i="29"/>
  <c r="S2641" i="29"/>
  <c r="S2640" i="29"/>
  <c r="S2639" i="29"/>
  <c r="S2638" i="29"/>
  <c r="S2659" i="29"/>
  <c r="S2657" i="29"/>
  <c r="S2655" i="29"/>
  <c r="S2654" i="29"/>
  <c r="S2651" i="29"/>
  <c r="S2647" i="29"/>
  <c r="S2646" i="29"/>
  <c r="S2645" i="29"/>
  <c r="S2637" i="29"/>
  <c r="S2636" i="29"/>
  <c r="S2635" i="29"/>
  <c r="S2653" i="29"/>
  <c r="S2652" i="29"/>
  <c r="S2634" i="29"/>
  <c r="S2633" i="29"/>
  <c r="S2632" i="29"/>
  <c r="S2630" i="29"/>
  <c r="S2620" i="29"/>
  <c r="S2619" i="29"/>
  <c r="S2618" i="29"/>
  <c r="S2617" i="29"/>
  <c r="S2631" i="29"/>
  <c r="S2629" i="29"/>
  <c r="S2628" i="29"/>
  <c r="S2627" i="29"/>
  <c r="S2626" i="29"/>
  <c r="S2625" i="29"/>
  <c r="S2624" i="29"/>
  <c r="S2623" i="29"/>
  <c r="S2622" i="29"/>
  <c r="S2621" i="29"/>
  <c r="S2616" i="29"/>
  <c r="S2615" i="29"/>
  <c r="S2605" i="29"/>
  <c r="S2604" i="29"/>
  <c r="S2602" i="29"/>
  <c r="S2609" i="29"/>
  <c r="S2608" i="29"/>
  <c r="S2593" i="29"/>
  <c r="S2592" i="29"/>
  <c r="S2591" i="29"/>
  <c r="S2590" i="29"/>
  <c r="S2589" i="29"/>
  <c r="S2614" i="29"/>
  <c r="S2613" i="29"/>
  <c r="S2612" i="29"/>
  <c r="S2607" i="29"/>
  <c r="S2606" i="29"/>
  <c r="S2603" i="29"/>
  <c r="S2601" i="29"/>
  <c r="S2600" i="29"/>
  <c r="S2599" i="29"/>
  <c r="S2598" i="29"/>
  <c r="S2597" i="29"/>
  <c r="S2596" i="29"/>
  <c r="S2595" i="29"/>
  <c r="S2594" i="29"/>
  <c r="S2584" i="29"/>
  <c r="S2583" i="29"/>
  <c r="S2582" i="29"/>
  <c r="S2581" i="29"/>
  <c r="S2588" i="29"/>
  <c r="S2587" i="29"/>
  <c r="S2586" i="29"/>
  <c r="S2585" i="29"/>
  <c r="S2580" i="29"/>
  <c r="S2576" i="29"/>
  <c r="S2575" i="29"/>
  <c r="S2574" i="29"/>
  <c r="S2568" i="29"/>
  <c r="S2567" i="29"/>
  <c r="S2566" i="29"/>
  <c r="S2565" i="29"/>
  <c r="S2564" i="29"/>
  <c r="S2563" i="29"/>
  <c r="S2577" i="29"/>
  <c r="S2562" i="29"/>
  <c r="S2557" i="29"/>
  <c r="S2556" i="29"/>
  <c r="S2555" i="29"/>
  <c r="S2579" i="29"/>
  <c r="S2578" i="29"/>
  <c r="S2573" i="29"/>
  <c r="S2572" i="29"/>
  <c r="S2571" i="29"/>
  <c r="S2570" i="29"/>
  <c r="S2569" i="29"/>
  <c r="S2561" i="29"/>
  <c r="S2560" i="29"/>
  <c r="S2559" i="29"/>
  <c r="S2558" i="29"/>
  <c r="S2554" i="29"/>
  <c r="S2550" i="29"/>
  <c r="S2553" i="29"/>
  <c r="S2552" i="29"/>
  <c r="S2551" i="29"/>
  <c r="S2547" i="29"/>
  <c r="S2546" i="29"/>
  <c r="S2545" i="29"/>
  <c r="S2549" i="29"/>
  <c r="S2548" i="29"/>
  <c r="S2544" i="29"/>
  <c r="S2543" i="29"/>
  <c r="S2538" i="29"/>
  <c r="S2537" i="29"/>
  <c r="S2527" i="29"/>
  <c r="S2110" i="29"/>
  <c r="S2534" i="29"/>
  <c r="S2533" i="29"/>
  <c r="S2532" i="29"/>
  <c r="S2531" i="29"/>
  <c r="S2530" i="29"/>
  <c r="S2529" i="29"/>
  <c r="S2542" i="29"/>
  <c r="S2541" i="29"/>
  <c r="S2540" i="29"/>
  <c r="S2539" i="29"/>
  <c r="S2536" i="29"/>
  <c r="S2535" i="29"/>
  <c r="S2528" i="29"/>
  <c r="S2526" i="29"/>
  <c r="S2525" i="29"/>
  <c r="S2524" i="29"/>
  <c r="S2521" i="29"/>
  <c r="S2523" i="29"/>
  <c r="S2522" i="29"/>
  <c r="S2519" i="29"/>
  <c r="S2518" i="29"/>
  <c r="S2517" i="29"/>
  <c r="S2514" i="29"/>
  <c r="S2513" i="29"/>
  <c r="S2512" i="29"/>
  <c r="S2511" i="29"/>
  <c r="S2510" i="29"/>
  <c r="S2509" i="29"/>
  <c r="S2508" i="29"/>
  <c r="S2507" i="29"/>
  <c r="S2506" i="29"/>
  <c r="S2520" i="29"/>
  <c r="S2237" i="29"/>
  <c r="S2516" i="29"/>
  <c r="S2515" i="29"/>
  <c r="S2504" i="29"/>
  <c r="S2503" i="29"/>
  <c r="S2502" i="29"/>
  <c r="S2501" i="29"/>
  <c r="S2496" i="29"/>
  <c r="S2495" i="29"/>
  <c r="S2505" i="29"/>
  <c r="S2497" i="29"/>
  <c r="S2484" i="29"/>
  <c r="S2483" i="29"/>
  <c r="S2482" i="29"/>
  <c r="S2481" i="29"/>
  <c r="S2480" i="29"/>
  <c r="S2479" i="29"/>
  <c r="S2478" i="29"/>
  <c r="S2477" i="29"/>
  <c r="S2500" i="29"/>
  <c r="S2499" i="29"/>
  <c r="S2498" i="29"/>
  <c r="S2494" i="29"/>
  <c r="S2493" i="29"/>
  <c r="S2492" i="29"/>
  <c r="S2491" i="29"/>
  <c r="S2490" i="29"/>
  <c r="S2489" i="29"/>
  <c r="S2488" i="29"/>
  <c r="S2487" i="29"/>
  <c r="S2486" i="29"/>
  <c r="S2485" i="29"/>
  <c r="S2476" i="29"/>
  <c r="S2475" i="29"/>
  <c r="S2466" i="29"/>
  <c r="S2464" i="29"/>
  <c r="S2467" i="29"/>
  <c r="S2465" i="29"/>
  <c r="S2463" i="29"/>
  <c r="S2462" i="29"/>
  <c r="S2472" i="29"/>
  <c r="S2471" i="29"/>
  <c r="S2460" i="29"/>
  <c r="S2459" i="29"/>
  <c r="S2458" i="29"/>
  <c r="S2457" i="29"/>
  <c r="S2456" i="29"/>
  <c r="S2455" i="29"/>
  <c r="S2454" i="29"/>
  <c r="S2453" i="29"/>
  <c r="S2452" i="29"/>
  <c r="S2451" i="29"/>
  <c r="S2461" i="29"/>
  <c r="S2474" i="29"/>
  <c r="S2473" i="29"/>
  <c r="S2470" i="29"/>
  <c r="S2469" i="29"/>
  <c r="S2468" i="29"/>
  <c r="S2450" i="29"/>
  <c r="S2449" i="29"/>
  <c r="S2448" i="29"/>
  <c r="S2447" i="29"/>
  <c r="S2446" i="29"/>
  <c r="S2445" i="29"/>
  <c r="S2444" i="29"/>
  <c r="S2443" i="29"/>
  <c r="S2442" i="29"/>
  <c r="S2441" i="29"/>
  <c r="S2440" i="29"/>
  <c r="S2439" i="29"/>
  <c r="S2436" i="29"/>
  <c r="S2435" i="29"/>
  <c r="S2426" i="29"/>
  <c r="S2425" i="29"/>
  <c r="S2424" i="29"/>
  <c r="S2423" i="29"/>
  <c r="S2419" i="29"/>
  <c r="S2418" i="29"/>
  <c r="S2416" i="29"/>
  <c r="S2415" i="29"/>
  <c r="S2414" i="29"/>
  <c r="S2413" i="29"/>
  <c r="S2411" i="29"/>
  <c r="S2438" i="29"/>
  <c r="S2437" i="29"/>
  <c r="S2428" i="29"/>
  <c r="S2427" i="29"/>
  <c r="S2412" i="29"/>
  <c r="S2409" i="29"/>
  <c r="S2408" i="29"/>
  <c r="S2402" i="29"/>
  <c r="S2433" i="29"/>
  <c r="S2432" i="29"/>
  <c r="S2431" i="29"/>
  <c r="S2430" i="29"/>
  <c r="S2429" i="29"/>
  <c r="S2420" i="29"/>
  <c r="S2417" i="29"/>
  <c r="S2404" i="29"/>
  <c r="S2401" i="29"/>
  <c r="S2434" i="29"/>
  <c r="S2422" i="29"/>
  <c r="S2421" i="29"/>
  <c r="S2407" i="29"/>
  <c r="S2406" i="29"/>
  <c r="S2398" i="29"/>
  <c r="S2395" i="29"/>
  <c r="S2405" i="29"/>
  <c r="S2397" i="29"/>
  <c r="S2396" i="29"/>
  <c r="S2394" i="29"/>
  <c r="S2393" i="29"/>
  <c r="S2410" i="29"/>
  <c r="S2014" i="29"/>
  <c r="S2392" i="29"/>
  <c r="S2391" i="29"/>
  <c r="S2390" i="29"/>
  <c r="S2403" i="29"/>
  <c r="S2400" i="29"/>
  <c r="S2389" i="29"/>
  <c r="S2388" i="29"/>
  <c r="S2399" i="29"/>
  <c r="S2386" i="29"/>
  <c r="S2384" i="29"/>
  <c r="S2383" i="29"/>
  <c r="S2382" i="29"/>
  <c r="S2381" i="29"/>
  <c r="S2380" i="29"/>
  <c r="S2379" i="29"/>
  <c r="S2378" i="29"/>
  <c r="S2377" i="29"/>
  <c r="S2387" i="29"/>
  <c r="S2385" i="29"/>
  <c r="S2376" i="29"/>
  <c r="S2375" i="29"/>
  <c r="S2374" i="29"/>
  <c r="S2373" i="29"/>
  <c r="S2372" i="29"/>
  <c r="S2371" i="29"/>
  <c r="S2370" i="29"/>
  <c r="S2368" i="29"/>
  <c r="S2365" i="29"/>
  <c r="S2364" i="29"/>
  <c r="S2369" i="29"/>
  <c r="S2367" i="29"/>
  <c r="S2366" i="29"/>
  <c r="S2363" i="29"/>
  <c r="S2362" i="29"/>
  <c r="S2361" i="29"/>
  <c r="S2360" i="29"/>
  <c r="S2352" i="29"/>
  <c r="S2351" i="29"/>
  <c r="S2350" i="29"/>
  <c r="S2349" i="29"/>
  <c r="S2348" i="29"/>
  <c r="S2347" i="29"/>
  <c r="S2345" i="29"/>
  <c r="S2343" i="29"/>
  <c r="S2342" i="29"/>
  <c r="S2341" i="29"/>
  <c r="S2332" i="29"/>
  <c r="S2359" i="29"/>
  <c r="S2358" i="29"/>
  <c r="S2357" i="29"/>
  <c r="S2356" i="29"/>
  <c r="S2355" i="29"/>
  <c r="S2354" i="29"/>
  <c r="S2353" i="29"/>
  <c r="S2344" i="29"/>
  <c r="S2334" i="29"/>
  <c r="S2346" i="29"/>
  <c r="S2340" i="29"/>
  <c r="S2337" i="29"/>
  <c r="S2336" i="29"/>
  <c r="S2335" i="29"/>
  <c r="S2333" i="29"/>
  <c r="S2331" i="29"/>
  <c r="S2330" i="29"/>
  <c r="S2329" i="29"/>
  <c r="S2328" i="29"/>
  <c r="S2327" i="29"/>
  <c r="S2326" i="29"/>
  <c r="S2339" i="29"/>
  <c r="S2338" i="29"/>
  <c r="S2325" i="29"/>
  <c r="S2324" i="29"/>
  <c r="S2321" i="29"/>
  <c r="S2320" i="29"/>
  <c r="S2323" i="29"/>
  <c r="S2322" i="29"/>
  <c r="S2307" i="29"/>
  <c r="S2306" i="29"/>
  <c r="S2305" i="29"/>
  <c r="S2304" i="29"/>
  <c r="S2303" i="29"/>
  <c r="S2301" i="29"/>
  <c r="S2319" i="29"/>
  <c r="S2318" i="29"/>
  <c r="S2311" i="29"/>
  <c r="S2310" i="29"/>
  <c r="S2309" i="29"/>
  <c r="S2308" i="29"/>
  <c r="S2317" i="29"/>
  <c r="S2316" i="29"/>
  <c r="S2315" i="29"/>
  <c r="S2314" i="29"/>
  <c r="S2313" i="29"/>
  <c r="S2312" i="29"/>
  <c r="S2302" i="29"/>
  <c r="S2297" i="29"/>
  <c r="S2295" i="29"/>
  <c r="S2291" i="29"/>
  <c r="S2300" i="29"/>
  <c r="S2299" i="29"/>
  <c r="S2296" i="29"/>
  <c r="S2294" i="29"/>
  <c r="S2293" i="29"/>
  <c r="S2292" i="29"/>
  <c r="S2290" i="29"/>
  <c r="S2289" i="29"/>
  <c r="S2288" i="29"/>
  <c r="S2278" i="29"/>
  <c r="S2287" i="29"/>
  <c r="S2286" i="29"/>
  <c r="S2285" i="29"/>
  <c r="S2284" i="29"/>
  <c r="S2283" i="29"/>
  <c r="S2282" i="29"/>
  <c r="S2281" i="29"/>
  <c r="S2280" i="29"/>
  <c r="S2279" i="29"/>
  <c r="S2277" i="29"/>
  <c r="S1862" i="29"/>
  <c r="S1863" i="29"/>
  <c r="S1864" i="29"/>
  <c r="S1865" i="29"/>
  <c r="S1866" i="29"/>
  <c r="S1867" i="29"/>
  <c r="S1868" i="29"/>
  <c r="S1869" i="29"/>
  <c r="S2276" i="29"/>
  <c r="S2275" i="29"/>
  <c r="S2274" i="29"/>
  <c r="S2273" i="29"/>
  <c r="S2264" i="29"/>
  <c r="S2272" i="29"/>
  <c r="S2271" i="29"/>
  <c r="S2270" i="29"/>
  <c r="S2269" i="29"/>
  <c r="S2262" i="29"/>
  <c r="S2261" i="29"/>
  <c r="S2260" i="29"/>
  <c r="S2259" i="29"/>
  <c r="S2258" i="29"/>
  <c r="S2256" i="29"/>
  <c r="S2255" i="29"/>
  <c r="S694" i="29"/>
  <c r="S2238" i="29"/>
  <c r="S2268" i="29"/>
  <c r="S2267" i="29"/>
  <c r="S2263" i="29"/>
  <c r="S2239" i="29"/>
  <c r="S2266" i="29"/>
  <c r="S2265" i="29"/>
  <c r="S2254" i="29"/>
  <c r="S2240" i="29"/>
  <c r="S2229" i="29"/>
  <c r="S2227" i="29"/>
  <c r="S2220" i="29"/>
  <c r="S2219" i="29"/>
  <c r="S2218" i="29"/>
  <c r="S2217" i="29"/>
  <c r="S2216" i="29"/>
  <c r="S2257" i="29"/>
  <c r="S2253" i="29"/>
  <c r="S2252" i="29"/>
  <c r="S2251" i="29"/>
  <c r="S2250" i="29"/>
  <c r="S2249" i="29"/>
  <c r="S2248" i="29"/>
  <c r="S2247" i="29"/>
  <c r="S2246" i="29"/>
  <c r="S2245" i="29"/>
  <c r="S2244" i="29"/>
  <c r="S2243" i="29"/>
  <c r="S2242" i="29"/>
  <c r="S2241" i="29"/>
  <c r="S2236" i="29"/>
  <c r="S2235" i="29"/>
  <c r="S2234" i="29"/>
  <c r="S2233" i="29"/>
  <c r="S2232" i="29"/>
  <c r="S2231" i="29"/>
  <c r="S2230" i="29"/>
  <c r="S2228" i="29"/>
  <c r="S2223" i="29"/>
  <c r="S2226" i="29"/>
  <c r="S2225" i="29"/>
  <c r="S2224" i="29"/>
  <c r="S2222" i="29"/>
  <c r="S2221" i="29"/>
  <c r="S2215" i="29"/>
  <c r="S2211" i="29"/>
  <c r="S2210" i="29"/>
  <c r="S2209" i="29"/>
  <c r="S2208" i="29"/>
  <c r="S2207" i="29"/>
  <c r="S2206" i="29"/>
  <c r="S2205" i="29"/>
  <c r="S2214" i="29"/>
  <c r="S2213" i="29"/>
  <c r="S2212" i="29"/>
  <c r="S2204" i="29"/>
  <c r="S2181" i="29"/>
  <c r="S2180" i="29"/>
  <c r="S2179" i="29"/>
  <c r="S2201" i="29"/>
  <c r="S2200" i="29"/>
  <c r="S2199" i="29"/>
  <c r="S2198" i="29"/>
  <c r="S2197" i="29"/>
  <c r="S2196" i="29"/>
  <c r="S2203" i="29"/>
  <c r="S2202" i="29"/>
  <c r="S2195" i="29"/>
  <c r="S2192" i="29"/>
  <c r="S2187" i="29"/>
  <c r="S2186" i="29"/>
  <c r="S2185" i="29"/>
  <c r="S2184" i="29"/>
  <c r="S2183" i="29"/>
  <c r="S2182" i="29"/>
  <c r="S2188" i="29"/>
  <c r="S2194" i="29"/>
  <c r="S2193" i="29"/>
  <c r="S2191" i="29"/>
  <c r="S2190" i="29"/>
  <c r="S2189" i="29"/>
  <c r="S2178" i="29"/>
  <c r="S2177" i="29"/>
  <c r="S2176" i="29"/>
  <c r="S2175" i="29"/>
  <c r="S2174" i="29"/>
  <c r="S2173" i="29"/>
  <c r="S2172" i="29"/>
  <c r="S2171" i="29"/>
  <c r="S2170" i="29"/>
  <c r="S2169" i="29"/>
  <c r="S2168" i="29"/>
  <c r="S2163" i="29"/>
  <c r="S2162" i="29"/>
  <c r="S2161" i="29"/>
  <c r="S2167" i="29"/>
  <c r="S2155" i="29"/>
  <c r="S2154" i="29"/>
  <c r="S2153" i="29"/>
  <c r="S2166" i="29"/>
  <c r="S2157" i="29"/>
  <c r="S2156" i="29"/>
  <c r="S2136" i="29"/>
  <c r="S2135" i="29"/>
  <c r="S2165" i="29"/>
  <c r="S2164" i="29"/>
  <c r="S2160" i="29"/>
  <c r="S2159" i="29"/>
  <c r="S2144" i="29"/>
  <c r="S2143" i="29"/>
  <c r="S2142" i="29"/>
  <c r="S2141" i="29"/>
  <c r="S2140" i="29"/>
  <c r="S2139" i="29"/>
  <c r="S2138" i="29"/>
  <c r="S2137" i="29"/>
  <c r="S2133" i="29"/>
  <c r="S2158" i="29"/>
  <c r="S2150" i="29"/>
  <c r="S2149" i="29"/>
  <c r="S2148" i="29"/>
  <c r="S2147" i="29"/>
  <c r="S2146" i="29"/>
  <c r="S2145" i="29"/>
  <c r="S2134" i="29"/>
  <c r="S2152" i="29"/>
  <c r="S2151" i="29"/>
  <c r="S2132" i="29"/>
  <c r="S2131" i="29"/>
  <c r="S2130" i="29"/>
  <c r="S2129" i="29"/>
  <c r="S2128" i="29"/>
  <c r="S2127" i="29"/>
  <c r="S2126" i="29"/>
  <c r="S2125" i="29"/>
  <c r="S2124" i="29"/>
  <c r="S2123" i="29"/>
  <c r="S2122" i="29"/>
  <c r="S2121" i="29"/>
  <c r="S2120" i="29"/>
  <c r="S2119" i="29"/>
  <c r="S2118" i="29"/>
  <c r="S2117" i="29"/>
  <c r="S2116" i="29"/>
  <c r="S2115" i="29"/>
  <c r="S2114" i="29"/>
  <c r="S2113" i="29"/>
  <c r="S2112" i="29"/>
  <c r="S2111" i="29"/>
  <c r="S2109" i="29"/>
  <c r="S2105" i="29"/>
  <c r="S2108" i="29"/>
  <c r="S2107" i="29"/>
  <c r="S2104" i="29"/>
  <c r="S2103" i="29"/>
  <c r="S2102" i="29"/>
  <c r="S2101" i="29"/>
  <c r="S2100" i="29"/>
  <c r="S2098" i="29"/>
  <c r="S2096" i="29"/>
  <c r="S2094" i="29"/>
  <c r="S2093" i="29"/>
  <c r="S2090" i="29"/>
  <c r="S2106" i="29"/>
  <c r="S2087" i="29"/>
  <c r="S2099" i="29"/>
  <c r="S2097" i="29"/>
  <c r="S2095" i="29"/>
  <c r="S2092" i="29"/>
  <c r="S2091" i="29"/>
  <c r="S2089" i="29"/>
  <c r="S2086" i="29"/>
  <c r="S2085" i="29"/>
  <c r="S2081" i="29"/>
  <c r="S2079" i="29"/>
  <c r="S2078" i="29"/>
  <c r="S2088" i="29"/>
  <c r="S2084" i="29"/>
  <c r="S2083" i="29"/>
  <c r="S2082" i="29"/>
  <c r="S2080" i="29"/>
  <c r="S2077" i="29"/>
  <c r="S2076" i="29"/>
  <c r="S2074" i="29"/>
  <c r="S2073" i="29"/>
  <c r="S2072" i="29"/>
  <c r="S2070" i="29"/>
  <c r="S2069" i="29"/>
  <c r="S2067" i="29"/>
  <c r="S2064" i="29"/>
  <c r="S2063" i="29"/>
  <c r="S2062" i="29"/>
  <c r="S2061" i="29"/>
  <c r="S2075" i="29"/>
  <c r="S2071" i="29"/>
  <c r="S2068" i="29"/>
  <c r="S2066" i="29"/>
  <c r="S2065" i="29"/>
  <c r="S2055" i="29"/>
  <c r="S2060" i="29"/>
  <c r="S2059" i="29"/>
  <c r="S2058" i="29"/>
  <c r="S2057" i="29"/>
  <c r="S2056" i="29"/>
  <c r="S2051" i="29"/>
  <c r="S2053" i="29"/>
  <c r="S2052" i="29"/>
  <c r="S2043" i="29"/>
  <c r="S2042" i="29"/>
  <c r="S2041" i="29"/>
  <c r="S2040" i="29"/>
  <c r="S2039" i="29"/>
  <c r="S2038" i="29"/>
  <c r="S2037" i="29"/>
  <c r="S2036" i="29"/>
  <c r="S2054" i="29"/>
  <c r="S2045" i="29"/>
  <c r="S2050" i="29"/>
  <c r="S2049" i="29"/>
  <c r="S2048" i="29"/>
  <c r="S2047" i="29"/>
  <c r="S2046" i="29"/>
  <c r="S2044" i="29"/>
  <c r="S2035" i="29"/>
  <c r="S2032" i="29"/>
  <c r="S2031" i="29"/>
  <c r="S2029" i="29"/>
  <c r="S2028" i="29"/>
  <c r="S2027" i="29"/>
  <c r="S689" i="29"/>
  <c r="S2025" i="29"/>
  <c r="S2024" i="29"/>
  <c r="S2034" i="29"/>
  <c r="S2033" i="29"/>
  <c r="S2030" i="29"/>
  <c r="S2026" i="29"/>
  <c r="S2023" i="29"/>
  <c r="S2022" i="29"/>
  <c r="S2021" i="29"/>
  <c r="S2020" i="29"/>
  <c r="S2019" i="29"/>
  <c r="S2018" i="29"/>
  <c r="S2017" i="29"/>
  <c r="S2016" i="29"/>
  <c r="S2015" i="29"/>
  <c r="S2007" i="29"/>
  <c r="S2006" i="29"/>
  <c r="S2005" i="29"/>
  <c r="S2013" i="29"/>
  <c r="S2012" i="29"/>
  <c r="S2011" i="29"/>
  <c r="S2010" i="29"/>
  <c r="S2009" i="29"/>
  <c r="S2008" i="29"/>
  <c r="S2004" i="29"/>
  <c r="S2003" i="29"/>
  <c r="S2002" i="29"/>
  <c r="S1998" i="29"/>
  <c r="S1997" i="29"/>
  <c r="S1996" i="29"/>
  <c r="S1993" i="29"/>
  <c r="S1992" i="29"/>
  <c r="S1991" i="29"/>
  <c r="S1990" i="29"/>
  <c r="S1989" i="29"/>
  <c r="S1988" i="29"/>
  <c r="S1995" i="29"/>
  <c r="S1986" i="29"/>
  <c r="S1983" i="29"/>
  <c r="S1982" i="29"/>
  <c r="S1980" i="29"/>
  <c r="S1979" i="29"/>
  <c r="S1978" i="29"/>
  <c r="S2001" i="29"/>
  <c r="S2000" i="29"/>
  <c r="S1999" i="29"/>
  <c r="S1994" i="29"/>
  <c r="S1987" i="29"/>
  <c r="S1985" i="29"/>
  <c r="S1984" i="29"/>
  <c r="S1977" i="29"/>
  <c r="S1976" i="29"/>
  <c r="S1975" i="29"/>
  <c r="S1981" i="29"/>
  <c r="S1974" i="29"/>
  <c r="S1967" i="29"/>
  <c r="S1966" i="29"/>
  <c r="S1965" i="29"/>
  <c r="S1964" i="29"/>
  <c r="S1963" i="29"/>
  <c r="S1962" i="29"/>
  <c r="S1961" i="29"/>
  <c r="S1960" i="29"/>
  <c r="S1959" i="29"/>
  <c r="S1958" i="29"/>
  <c r="S1946" i="29"/>
  <c r="S1945" i="29"/>
  <c r="S1941" i="29"/>
  <c r="S1957" i="29"/>
  <c r="S1956" i="29"/>
  <c r="S1955" i="29"/>
  <c r="S1973" i="29"/>
  <c r="S1972" i="29"/>
  <c r="S1971" i="29"/>
  <c r="S1970" i="29"/>
  <c r="S1969" i="29"/>
  <c r="S1968" i="29"/>
  <c r="S1954" i="29"/>
  <c r="S1953" i="29"/>
  <c r="S1952" i="29"/>
  <c r="S1951" i="29"/>
  <c r="S695" i="29"/>
  <c r="S1944" i="29"/>
  <c r="S1943" i="29"/>
  <c r="S1939" i="29"/>
  <c r="S1950" i="29"/>
  <c r="S1949" i="29"/>
  <c r="S1948" i="29"/>
  <c r="S1947" i="29"/>
  <c r="S1942" i="29"/>
  <c r="S1938" i="29"/>
  <c r="S1937" i="29"/>
  <c r="S1936" i="29"/>
  <c r="S1935" i="29"/>
  <c r="S1934" i="29"/>
  <c r="S1933" i="29"/>
  <c r="S1932" i="29"/>
  <c r="S1940" i="29"/>
  <c r="S1931" i="29"/>
  <c r="S1930" i="29"/>
  <c r="S1928" i="29"/>
  <c r="S1927" i="29"/>
  <c r="S1926" i="29"/>
  <c r="S1925" i="29"/>
  <c r="S1916" i="29"/>
  <c r="S1912" i="29"/>
  <c r="S1910" i="29"/>
  <c r="S1924" i="29"/>
  <c r="S1922" i="29"/>
  <c r="S1921" i="29"/>
  <c r="S1915" i="29"/>
  <c r="S1914" i="29"/>
  <c r="S1911" i="29"/>
  <c r="S1929" i="29"/>
  <c r="S1919" i="29"/>
  <c r="S1918" i="29"/>
  <c r="S1913" i="29"/>
  <c r="S1907" i="29"/>
  <c r="S1906" i="29"/>
  <c r="S1905" i="29"/>
  <c r="S1898" i="29"/>
  <c r="S1923" i="29"/>
  <c r="S1920" i="29"/>
  <c r="S1917" i="29"/>
  <c r="S1909" i="29"/>
  <c r="S1908" i="29"/>
  <c r="S1903" i="29"/>
  <c r="S1902" i="29"/>
  <c r="S1901" i="29"/>
  <c r="S1900" i="29"/>
  <c r="S1899" i="29"/>
  <c r="S1904" i="29"/>
  <c r="S1897" i="29"/>
  <c r="S1896" i="29"/>
  <c r="S1895" i="29"/>
  <c r="S1894" i="29"/>
  <c r="S1889" i="29"/>
  <c r="S1888" i="29"/>
  <c r="S1893" i="29"/>
  <c r="S1892" i="29"/>
  <c r="S1891" i="29"/>
  <c r="S1890" i="29"/>
  <c r="S473" i="29"/>
  <c r="S1737" i="29"/>
  <c r="S1887" i="29"/>
  <c r="S1886" i="29"/>
  <c r="S1885" i="29"/>
  <c r="S1884" i="29"/>
  <c r="S1883" i="29"/>
  <c r="S1875" i="29"/>
  <c r="S1861" i="29"/>
  <c r="S1860" i="29"/>
  <c r="S1859" i="29"/>
  <c r="S1881" i="29"/>
  <c r="S1880" i="29"/>
  <c r="S1879" i="29"/>
  <c r="S1878" i="29"/>
  <c r="S1877" i="29"/>
  <c r="S1876" i="29"/>
  <c r="S1874" i="29"/>
  <c r="S1873" i="29"/>
  <c r="S1872" i="29"/>
  <c r="S1871" i="29"/>
  <c r="S1857" i="29"/>
  <c r="S1882" i="29"/>
  <c r="S1870" i="29"/>
  <c r="S1856" i="29"/>
  <c r="S1855" i="29"/>
  <c r="S1854" i="29"/>
  <c r="S1853" i="29"/>
  <c r="S1845" i="29"/>
  <c r="S1858" i="29"/>
  <c r="S1831" i="29"/>
  <c r="S1815" i="29"/>
  <c r="S1814" i="29"/>
  <c r="S1813" i="29"/>
  <c r="S1812" i="29"/>
  <c r="S1811" i="29"/>
  <c r="S1810" i="29"/>
  <c r="S1808" i="29"/>
  <c r="S1806" i="29"/>
  <c r="S1804" i="29"/>
  <c r="S1803" i="29"/>
  <c r="S1852" i="29"/>
  <c r="S1851" i="29"/>
  <c r="S1850" i="29"/>
  <c r="S1849" i="29"/>
  <c r="S1848" i="29"/>
  <c r="S1847" i="29"/>
  <c r="S1846" i="29"/>
  <c r="S1844" i="29"/>
  <c r="S1843" i="29"/>
  <c r="S1842" i="29"/>
  <c r="S1841" i="29"/>
  <c r="S1840" i="29"/>
  <c r="S1839" i="29"/>
  <c r="S1838" i="29"/>
  <c r="S1837" i="29"/>
  <c r="S1836" i="29"/>
  <c r="S1835" i="29"/>
  <c r="S1834" i="29"/>
  <c r="S1833" i="29"/>
  <c r="S1832" i="29"/>
  <c r="S1830" i="29"/>
  <c r="S1829" i="29"/>
  <c r="S1828" i="29"/>
  <c r="S1827" i="29"/>
  <c r="S1826" i="29"/>
  <c r="S1825" i="29"/>
  <c r="S1824" i="29"/>
  <c r="S1823" i="29"/>
  <c r="S1822" i="29"/>
  <c r="S1821" i="29"/>
  <c r="S1820" i="29"/>
  <c r="S1819" i="29"/>
  <c r="S1818" i="29"/>
  <c r="S1817" i="29"/>
  <c r="S1816" i="29"/>
  <c r="S1789" i="29"/>
  <c r="S1788" i="29"/>
  <c r="S1787" i="29"/>
  <c r="S1786" i="29"/>
  <c r="S1783" i="29"/>
  <c r="S1782" i="29"/>
  <c r="S1781" i="29"/>
  <c r="S1779" i="29"/>
  <c r="S1776" i="29"/>
  <c r="S1809" i="29"/>
  <c r="S1774" i="29"/>
  <c r="S1773" i="29"/>
  <c r="S1772" i="29"/>
  <c r="S1767" i="29"/>
  <c r="S1766" i="29"/>
  <c r="S1764" i="29"/>
  <c r="S1763" i="29"/>
  <c r="S1762" i="29"/>
  <c r="S1761" i="29"/>
  <c r="S1760" i="29"/>
  <c r="S1755" i="29"/>
  <c r="S1754" i="29"/>
  <c r="S1753" i="29"/>
  <c r="S1752" i="29"/>
  <c r="S1751" i="29"/>
  <c r="S1750" i="29"/>
  <c r="S1807" i="29"/>
  <c r="S1805" i="29"/>
  <c r="S1802" i="29"/>
  <c r="S1801" i="29"/>
  <c r="S1800" i="29"/>
  <c r="S1799" i="29"/>
  <c r="S1798" i="29"/>
  <c r="S1797" i="29"/>
  <c r="S1796" i="29"/>
  <c r="S1795" i="29"/>
  <c r="S1794" i="29"/>
  <c r="S1793" i="29"/>
  <c r="S1792" i="29"/>
  <c r="S1791" i="29"/>
  <c r="S1790" i="29"/>
  <c r="S1757" i="29"/>
  <c r="S1756" i="29"/>
  <c r="S1785" i="29"/>
  <c r="S1784" i="29"/>
  <c r="S1780" i="29"/>
  <c r="S1778" i="29"/>
  <c r="S1777" i="29"/>
  <c r="S1775" i="29"/>
  <c r="S1736" i="29"/>
  <c r="S1771" i="29"/>
  <c r="S1770" i="29"/>
  <c r="S1769" i="29"/>
  <c r="S1768" i="29"/>
  <c r="S1759" i="29"/>
  <c r="S1758" i="29"/>
  <c r="S1463" i="29"/>
  <c r="S1462" i="29"/>
  <c r="S1461" i="29"/>
  <c r="S1765" i="29"/>
  <c r="S1742" i="29"/>
  <c r="S1741" i="29"/>
  <c r="S1740" i="29"/>
  <c r="S1739" i="29"/>
  <c r="S1738" i="29"/>
  <c r="S1455" i="29"/>
  <c r="S1454" i="29"/>
  <c r="S1453" i="29"/>
  <c r="S1452" i="29"/>
  <c r="S1707" i="29"/>
  <c r="S1706" i="29"/>
  <c r="S1705" i="29"/>
  <c r="S1704" i="29"/>
  <c r="S1749" i="29"/>
  <c r="S1748" i="29"/>
  <c r="S1747" i="29"/>
  <c r="S1746" i="29"/>
  <c r="S1708" i="29"/>
  <c r="S1745" i="29"/>
  <c r="S1744" i="29"/>
  <c r="S1743" i="29"/>
  <c r="S1703" i="29"/>
  <c r="S1701" i="29"/>
  <c r="S1699" i="29"/>
  <c r="S1698" i="29"/>
  <c r="S1694" i="29"/>
  <c r="S1692" i="29"/>
  <c r="S1735" i="29"/>
  <c r="S1733" i="29"/>
  <c r="S1730" i="29"/>
  <c r="S1727" i="29"/>
  <c r="S1719" i="29"/>
  <c r="S1715" i="29"/>
  <c r="S1713" i="29"/>
  <c r="S1712" i="29"/>
  <c r="S1689" i="29"/>
  <c r="S1717" i="29"/>
  <c r="S1716" i="29"/>
  <c r="S1711" i="29"/>
  <c r="S1710" i="29"/>
  <c r="S1709" i="29"/>
  <c r="S1734" i="29"/>
  <c r="S1732" i="29"/>
  <c r="S1731" i="29"/>
  <c r="S1729" i="29"/>
  <c r="S1728" i="29"/>
  <c r="S1726" i="29"/>
  <c r="S1725" i="29"/>
  <c r="S1724" i="29"/>
  <c r="S1723" i="29"/>
  <c r="S1722" i="29"/>
  <c r="S1721" i="29"/>
  <c r="S1720" i="29"/>
  <c r="S1718" i="29"/>
  <c r="S1702" i="29"/>
  <c r="S1700" i="29"/>
  <c r="S1697" i="29"/>
  <c r="S1696" i="29"/>
  <c r="S1695" i="29"/>
  <c r="S1693" i="29"/>
  <c r="S1691" i="29"/>
  <c r="S1690" i="29"/>
  <c r="S1688" i="29"/>
  <c r="S1687" i="29"/>
  <c r="S1686" i="29"/>
  <c r="S1685" i="29"/>
  <c r="S1684" i="29"/>
  <c r="S1683" i="29"/>
  <c r="S1682" i="29"/>
  <c r="S1680" i="29"/>
  <c r="S1674" i="29"/>
  <c r="S1673" i="29"/>
  <c r="S1672" i="29"/>
  <c r="S1671" i="29"/>
  <c r="S1670" i="29"/>
  <c r="S1669" i="29"/>
  <c r="S1679" i="29"/>
  <c r="S1678" i="29"/>
  <c r="S1677" i="29"/>
  <c r="S1676" i="29"/>
  <c r="S1675" i="29"/>
  <c r="S1659" i="29"/>
  <c r="S1658" i="29"/>
  <c r="S1668" i="29"/>
  <c r="S1667" i="29"/>
  <c r="S1642" i="29"/>
  <c r="S1640" i="29"/>
  <c r="S1639" i="29"/>
  <c r="S1637" i="29"/>
  <c r="S1635" i="29"/>
  <c r="S1634" i="29"/>
  <c r="S1633" i="29"/>
  <c r="S1632" i="29"/>
  <c r="S1631" i="29"/>
  <c r="S1666" i="29"/>
  <c r="S1665" i="29"/>
  <c r="S1568" i="29"/>
  <c r="S1567" i="29"/>
  <c r="S1661" i="29"/>
  <c r="S1660" i="29"/>
  <c r="S1556" i="29"/>
  <c r="S1657" i="29"/>
  <c r="S1656" i="29"/>
  <c r="S1655" i="29"/>
  <c r="S1654" i="29"/>
  <c r="S1653" i="29"/>
  <c r="S1652" i="29"/>
  <c r="S1651" i="29"/>
  <c r="S1650" i="29"/>
  <c r="S1649" i="29"/>
  <c r="S1648" i="29"/>
  <c r="S1647" i="29"/>
  <c r="S1646" i="29"/>
  <c r="S1641" i="29"/>
  <c r="S1664" i="29"/>
  <c r="S1663" i="29"/>
  <c r="S1662" i="29"/>
  <c r="S1643" i="29"/>
  <c r="S1638" i="29"/>
  <c r="S1636" i="29"/>
  <c r="S1623" i="29"/>
  <c r="S1622" i="29"/>
  <c r="S1618" i="29"/>
  <c r="S1616" i="29"/>
  <c r="S1615" i="29"/>
  <c r="S1614" i="29"/>
  <c r="S1645" i="29"/>
  <c r="S1644" i="29"/>
  <c r="S1610" i="29"/>
  <c r="S1609" i="29"/>
  <c r="S1608" i="29"/>
  <c r="S1607" i="29"/>
  <c r="S1606" i="29"/>
  <c r="S1605" i="29"/>
  <c r="S1604" i="29"/>
  <c r="S1603" i="29"/>
  <c r="S1602" i="29"/>
  <c r="S1601" i="29"/>
  <c r="S1600" i="29"/>
  <c r="S1599" i="29"/>
  <c r="S1598" i="29"/>
  <c r="S1597" i="29"/>
  <c r="S1630" i="29"/>
  <c r="S1629" i="29"/>
  <c r="S1628" i="29"/>
  <c r="S1627" i="29"/>
  <c r="S1626" i="29"/>
  <c r="S1625" i="29"/>
  <c r="S1624" i="29"/>
  <c r="S1621" i="29"/>
  <c r="S1620" i="29"/>
  <c r="S1619" i="29"/>
  <c r="S1617" i="29"/>
  <c r="S1613" i="29"/>
  <c r="S1565" i="29"/>
  <c r="S1611" i="29"/>
  <c r="S1612" i="29"/>
  <c r="S1596" i="29"/>
  <c r="S1595" i="29"/>
  <c r="S1594" i="29"/>
  <c r="S1593" i="29"/>
  <c r="S1592" i="29"/>
  <c r="S1591" i="29"/>
  <c r="S1590" i="29"/>
  <c r="S1589" i="29"/>
  <c r="S1588" i="29"/>
  <c r="S1587" i="29"/>
  <c r="S1586" i="29"/>
  <c r="S1585" i="29"/>
  <c r="S1584" i="29"/>
  <c r="S1583" i="29"/>
  <c r="S1582" i="29"/>
  <c r="S1714" i="29"/>
  <c r="S1581" i="29"/>
  <c r="S1580" i="29"/>
  <c r="S1579" i="29"/>
  <c r="S1570" i="29"/>
  <c r="S1569" i="29"/>
  <c r="S1564" i="29"/>
  <c r="S1551" i="29"/>
  <c r="S1550" i="29"/>
  <c r="S1549" i="29"/>
  <c r="S1548" i="29"/>
  <c r="S1547" i="29"/>
  <c r="S1546" i="29"/>
  <c r="S1542" i="29"/>
  <c r="S1541" i="29"/>
  <c r="S1578" i="29"/>
  <c r="S1577" i="29"/>
  <c r="S1576" i="29"/>
  <c r="S1575" i="29"/>
  <c r="S1574" i="29"/>
  <c r="S1573" i="29"/>
  <c r="S1572" i="29"/>
  <c r="S1563" i="29"/>
  <c r="S1562" i="29"/>
  <c r="S1561" i="29"/>
  <c r="S1560" i="29"/>
  <c r="S1559" i="29"/>
  <c r="S1558" i="29"/>
  <c r="S1571" i="29"/>
  <c r="S1566" i="29"/>
  <c r="S1557" i="29"/>
  <c r="S1555" i="29"/>
  <c r="S1552" i="29"/>
  <c r="S1554" i="29"/>
  <c r="S1553" i="29"/>
  <c r="S1545" i="29"/>
  <c r="S1544" i="29"/>
  <c r="S1543" i="29"/>
  <c r="S1540" i="29"/>
  <c r="S1539" i="29"/>
  <c r="S1538" i="29"/>
  <c r="S1537" i="29"/>
  <c r="S1536" i="29"/>
  <c r="S1535" i="29"/>
  <c r="S1534" i="29"/>
  <c r="S1533" i="29"/>
  <c r="S1532" i="29"/>
  <c r="S1531" i="29"/>
  <c r="S1530" i="29"/>
  <c r="S1529" i="29"/>
  <c r="S1528" i="29"/>
  <c r="S1527" i="29"/>
  <c r="S1526" i="29"/>
  <c r="S1525" i="29"/>
  <c r="S1523" i="29"/>
  <c r="S1522" i="29"/>
  <c r="S1521" i="29"/>
  <c r="S1520" i="29"/>
  <c r="S1519" i="29"/>
  <c r="S1518" i="29"/>
  <c r="S1517" i="29"/>
  <c r="S1516" i="29"/>
  <c r="S1524" i="29"/>
  <c r="S1511" i="29"/>
  <c r="S1510" i="29"/>
  <c r="S1509" i="29"/>
  <c r="S1508" i="29"/>
  <c r="S1507" i="29"/>
  <c r="S1515" i="29"/>
  <c r="S1514" i="29"/>
  <c r="S1513" i="29"/>
  <c r="S1512" i="29"/>
  <c r="S1503" i="29"/>
  <c r="S1502" i="29"/>
  <c r="S1500" i="29"/>
  <c r="S1499" i="29"/>
  <c r="S1498" i="29"/>
  <c r="S1497" i="29"/>
  <c r="S1496" i="29"/>
  <c r="S1495" i="29"/>
  <c r="S1492" i="29"/>
  <c r="S1491" i="29"/>
  <c r="S1488" i="29"/>
  <c r="S1487" i="29"/>
  <c r="S1486" i="29"/>
  <c r="S1485" i="29"/>
  <c r="S1484" i="29"/>
  <c r="S1477" i="29"/>
  <c r="S1506" i="29"/>
  <c r="S1505" i="29"/>
  <c r="S1490" i="29"/>
  <c r="S1489" i="29"/>
  <c r="S1483" i="29"/>
  <c r="S1471" i="29"/>
  <c r="S1470" i="29"/>
  <c r="S1469" i="29"/>
  <c r="S1468" i="29"/>
  <c r="S1467" i="29"/>
  <c r="S1466" i="29"/>
  <c r="S1465" i="29"/>
  <c r="S1504" i="29"/>
  <c r="S1501" i="29"/>
  <c r="S1494" i="29"/>
  <c r="S1493" i="29"/>
  <c r="S1464" i="29"/>
  <c r="S1460" i="29"/>
  <c r="S1459" i="29"/>
  <c r="S1458" i="29"/>
  <c r="S1482" i="29"/>
  <c r="S1481" i="29"/>
  <c r="S1480" i="29"/>
  <c r="S1479" i="29"/>
  <c r="S1478" i="29"/>
  <c r="S1476" i="29"/>
  <c r="S1475" i="29"/>
  <c r="S1474" i="29"/>
  <c r="S1473" i="29"/>
  <c r="S1472" i="29"/>
  <c r="S1457" i="29"/>
  <c r="S1456" i="29"/>
  <c r="S1451" i="29"/>
  <c r="S1450" i="29"/>
  <c r="S1449" i="29"/>
  <c r="S1448" i="29"/>
  <c r="S1412" i="29"/>
  <c r="S1413" i="29"/>
  <c r="S1414" i="29"/>
  <c r="S1415" i="29"/>
  <c r="S1416" i="29"/>
  <c r="S1417" i="29"/>
  <c r="S1418" i="29"/>
  <c r="S1419" i="29"/>
  <c r="S1420" i="29"/>
  <c r="S1421" i="29"/>
  <c r="S1434" i="29"/>
  <c r="S1432" i="29"/>
  <c r="S1443" i="29"/>
  <c r="S1442" i="29"/>
  <c r="S1441" i="29"/>
  <c r="S1440" i="29"/>
  <c r="S1439" i="29"/>
  <c r="S1438" i="29"/>
  <c r="S1435" i="29"/>
  <c r="S1433" i="29"/>
  <c r="S1431" i="29"/>
  <c r="S1430" i="29"/>
  <c r="S1429" i="29"/>
  <c r="S1428" i="29"/>
  <c r="S1427" i="29"/>
  <c r="S1426" i="29"/>
  <c r="S1423" i="29"/>
  <c r="S1447" i="29"/>
  <c r="S1446" i="29"/>
  <c r="S1445" i="29"/>
  <c r="S1444" i="29"/>
  <c r="S1437" i="29"/>
  <c r="S1436" i="29"/>
  <c r="S1425" i="29"/>
  <c r="S1424" i="29"/>
  <c r="S1422" i="29"/>
  <c r="S1411" i="29"/>
  <c r="S1410" i="29"/>
  <c r="S1409" i="29"/>
  <c r="S1408" i="29"/>
  <c r="S1401" i="29"/>
  <c r="S1400" i="29"/>
  <c r="S1399" i="29"/>
  <c r="S1395" i="29"/>
  <c r="S1407" i="29"/>
  <c r="S1406" i="29"/>
  <c r="S1405" i="29"/>
  <c r="S1402" i="29"/>
  <c r="S1398" i="29"/>
  <c r="S1397" i="29"/>
  <c r="S1394" i="29"/>
  <c r="S1393" i="29"/>
  <c r="S1383" i="29"/>
  <c r="S1382" i="29"/>
  <c r="S1381" i="29"/>
  <c r="S1380" i="29"/>
  <c r="S1375" i="29"/>
  <c r="S1374" i="29"/>
  <c r="S1373" i="29"/>
  <c r="S1388" i="29"/>
  <c r="S1387" i="29"/>
  <c r="S1386" i="29"/>
  <c r="S1385" i="29"/>
  <c r="S1384" i="29"/>
  <c r="S1372" i="29"/>
  <c r="S1371" i="29"/>
  <c r="S1365" i="29"/>
  <c r="S696" i="29"/>
  <c r="S1404" i="29"/>
  <c r="S1403" i="29"/>
  <c r="S1396" i="29"/>
  <c r="S1390" i="29"/>
  <c r="S1389" i="29"/>
  <c r="S1392" i="29"/>
  <c r="S1391" i="29"/>
  <c r="S1377" i="29"/>
  <c r="S1376" i="29"/>
  <c r="S1366" i="29"/>
  <c r="S1360" i="29"/>
  <c r="S1359" i="29"/>
  <c r="S1379" i="29"/>
  <c r="S1378" i="29"/>
  <c r="S1368" i="29"/>
  <c r="S1367" i="29"/>
  <c r="S1363" i="29"/>
  <c r="S1361" i="29"/>
  <c r="S1356" i="29"/>
  <c r="S1355" i="29"/>
  <c r="S1354" i="29"/>
  <c r="S1370" i="29"/>
  <c r="S1369" i="29"/>
  <c r="S1362" i="29"/>
  <c r="S1358" i="29"/>
  <c r="S1357" i="29"/>
  <c r="S1353" i="29"/>
  <c r="S1352" i="29"/>
  <c r="S1351" i="29"/>
  <c r="S1364" i="29"/>
  <c r="S1350" i="29"/>
  <c r="S1349" i="29"/>
  <c r="S1348" i="29"/>
  <c r="S1347" i="29"/>
  <c r="S1346" i="29"/>
  <c r="S1345" i="29"/>
  <c r="S1341" i="29"/>
  <c r="S1339" i="29"/>
  <c r="S1335" i="29"/>
  <c r="S1334" i="29"/>
  <c r="S1333" i="29"/>
  <c r="S1332" i="29"/>
  <c r="S1331" i="29"/>
  <c r="S1330" i="29"/>
  <c r="S1328" i="29"/>
  <c r="S1327" i="29"/>
  <c r="S1326" i="29"/>
  <c r="S1325" i="29"/>
  <c r="S1322" i="29"/>
  <c r="S1321" i="29"/>
  <c r="S1329" i="29"/>
  <c r="S1324" i="29"/>
  <c r="S1323" i="29"/>
  <c r="S1316" i="29"/>
  <c r="S1315" i="29"/>
  <c r="S1314" i="29"/>
  <c r="S1313" i="29"/>
  <c r="S1312" i="29"/>
  <c r="S1311" i="29"/>
  <c r="S1344" i="29"/>
  <c r="S1343" i="29"/>
  <c r="S1342" i="29"/>
  <c r="S1340" i="29"/>
  <c r="S1338" i="29"/>
  <c r="S1337" i="29"/>
  <c r="S1336" i="29"/>
  <c r="S1310" i="29"/>
  <c r="S1309" i="29"/>
  <c r="S693" i="29"/>
  <c r="S1320" i="29"/>
  <c r="S1319" i="29"/>
  <c r="S1318" i="29"/>
  <c r="S1317" i="29"/>
  <c r="S1303" i="29"/>
  <c r="S1300" i="29"/>
  <c r="S1299" i="29"/>
  <c r="S1307" i="29"/>
  <c r="S1308" i="29"/>
  <c r="S1306" i="29"/>
  <c r="S1298" i="29"/>
  <c r="S1297" i="29"/>
  <c r="S1296" i="29"/>
  <c r="S1295" i="29"/>
  <c r="S1294" i="29"/>
  <c r="S1293" i="29"/>
  <c r="S1292" i="29"/>
  <c r="S1291" i="29"/>
  <c r="S1290" i="29"/>
  <c r="S1289" i="29"/>
  <c r="S1287" i="29"/>
  <c r="S1305" i="29"/>
  <c r="S1304" i="29"/>
  <c r="S1302" i="29"/>
  <c r="S1301" i="29"/>
  <c r="S1288" i="29"/>
  <c r="S1282" i="29"/>
  <c r="S1281" i="29"/>
  <c r="S1276" i="29"/>
  <c r="S1286" i="29"/>
  <c r="S1285" i="29"/>
  <c r="S1284" i="29"/>
  <c r="S1283" i="29"/>
  <c r="S1280" i="29"/>
  <c r="S1279" i="29"/>
  <c r="S1274" i="29"/>
  <c r="S1273" i="29"/>
  <c r="S1278" i="29"/>
  <c r="S1277" i="29"/>
  <c r="S1275" i="29"/>
  <c r="S1250" i="29"/>
  <c r="S1249" i="29"/>
  <c r="S1248" i="29"/>
  <c r="S1246" i="29"/>
  <c r="S1245" i="29"/>
  <c r="S1244" i="29"/>
  <c r="S1272" i="29"/>
  <c r="S1271" i="29"/>
  <c r="S1265" i="29"/>
  <c r="S1263" i="29"/>
  <c r="S1262" i="29"/>
  <c r="S1261" i="29"/>
  <c r="S1260" i="29"/>
  <c r="S1259" i="29"/>
  <c r="S1258" i="29"/>
  <c r="S1257" i="29"/>
  <c r="S1256" i="29"/>
  <c r="S1255" i="29"/>
  <c r="S1254" i="29"/>
  <c r="S1253" i="29"/>
  <c r="S1252" i="29"/>
  <c r="S1270" i="29"/>
  <c r="S1269" i="29"/>
  <c r="S1268" i="29"/>
  <c r="S1267" i="29"/>
  <c r="S1266" i="29"/>
  <c r="S1264" i="29"/>
  <c r="S1251" i="29"/>
  <c r="S1247" i="29"/>
  <c r="S1243" i="29"/>
  <c r="S1240" i="29"/>
  <c r="S1239" i="29"/>
  <c r="S1233" i="29"/>
  <c r="S1230" i="29"/>
  <c r="S1229" i="29"/>
  <c r="S1228" i="29"/>
  <c r="S1227" i="29"/>
  <c r="S1226" i="29"/>
  <c r="S1220" i="29"/>
  <c r="S1218" i="29"/>
  <c r="S1217" i="29"/>
  <c r="S1216" i="29"/>
  <c r="S1215" i="29"/>
  <c r="S1214" i="29"/>
  <c r="S1213" i="29"/>
  <c r="S1207" i="29"/>
  <c r="S1202" i="29"/>
  <c r="S1201" i="29"/>
  <c r="S1198" i="29"/>
  <c r="S1241" i="29"/>
  <c r="S1232" i="29"/>
  <c r="S1231" i="29"/>
  <c r="S1242" i="29"/>
  <c r="S1223" i="29"/>
  <c r="S1222" i="29"/>
  <c r="S1221" i="29"/>
  <c r="S1219" i="29"/>
  <c r="S1212" i="29"/>
  <c r="S1211" i="29"/>
  <c r="S1210" i="29"/>
  <c r="S1209" i="29"/>
  <c r="S1208" i="29"/>
  <c r="S1238" i="29"/>
  <c r="S1237" i="29"/>
  <c r="S1236" i="29"/>
  <c r="S1235" i="29"/>
  <c r="S1234" i="29"/>
  <c r="S1225" i="29"/>
  <c r="S1224" i="29"/>
  <c r="S1206" i="29"/>
  <c r="S1205" i="29"/>
  <c r="S1204" i="29"/>
  <c r="S1203" i="29"/>
  <c r="S620" i="29"/>
  <c r="S619" i="29"/>
  <c r="S618" i="29"/>
  <c r="S617" i="29"/>
  <c r="S616" i="29"/>
  <c r="S1200" i="29"/>
  <c r="S1199" i="29"/>
  <c r="S1196" i="29"/>
  <c r="S1195" i="29"/>
  <c r="S1193" i="29"/>
  <c r="S1197" i="29"/>
  <c r="S1192" i="29"/>
  <c r="S1191" i="29"/>
  <c r="S1190" i="29"/>
  <c r="S1189" i="29"/>
  <c r="S1188" i="29"/>
  <c r="S1185" i="29"/>
  <c r="S1182" i="29"/>
  <c r="S1181" i="29"/>
  <c r="S1180" i="29"/>
  <c r="S1194" i="29"/>
  <c r="S1187" i="29"/>
  <c r="S1186" i="29"/>
  <c r="S1173" i="29"/>
  <c r="S1184" i="29"/>
  <c r="S1183" i="29"/>
  <c r="S1179" i="29"/>
  <c r="S1178" i="29"/>
  <c r="S1177" i="29"/>
  <c r="S1176" i="29"/>
  <c r="S1175" i="29"/>
  <c r="S1174" i="29"/>
  <c r="S1167" i="29"/>
  <c r="S1164" i="29"/>
  <c r="S1163" i="29"/>
  <c r="S1161" i="29"/>
  <c r="S1160" i="29"/>
  <c r="S1159" i="29"/>
  <c r="S1158" i="29"/>
  <c r="S1157" i="29"/>
  <c r="S1156" i="29"/>
  <c r="S1112" i="29"/>
  <c r="S1172" i="29"/>
  <c r="S1171" i="29"/>
  <c r="S1162" i="29"/>
  <c r="S1170" i="29"/>
  <c r="S1155" i="29"/>
  <c r="S1154" i="29"/>
  <c r="S1153" i="29"/>
  <c r="S1152" i="29"/>
  <c r="S1151" i="29"/>
  <c r="S1150" i="29"/>
  <c r="S1149" i="29"/>
  <c r="S1148" i="29"/>
  <c r="S1147" i="29"/>
  <c r="S1146" i="29"/>
  <c r="S1143" i="29"/>
  <c r="S1166" i="29"/>
  <c r="S1165" i="29"/>
  <c r="S1144" i="29"/>
  <c r="S1142" i="29"/>
  <c r="S1141" i="29"/>
  <c r="S1140" i="29"/>
  <c r="S1139" i="29"/>
  <c r="S1138" i="29"/>
  <c r="S1137" i="29"/>
  <c r="S1136" i="29"/>
  <c r="S1169" i="29"/>
  <c r="S1168" i="29"/>
  <c r="S1135" i="29"/>
  <c r="S1134" i="29"/>
  <c r="S1133" i="29"/>
  <c r="S1145" i="29"/>
  <c r="S1132" i="29"/>
  <c r="S1129" i="29"/>
  <c r="S1128" i="29"/>
  <c r="S1127" i="29"/>
  <c r="S1126" i="29"/>
  <c r="S1125" i="29"/>
  <c r="S1120" i="29"/>
  <c r="S1119" i="29"/>
  <c r="S1118" i="29"/>
  <c r="S1114" i="29"/>
  <c r="S1113" i="29"/>
  <c r="S1131" i="29"/>
  <c r="S1130" i="29"/>
  <c r="S1124" i="29"/>
  <c r="S1123" i="29"/>
  <c r="S1122" i="29"/>
  <c r="S1121" i="29"/>
  <c r="S1103" i="29"/>
  <c r="S1102" i="29"/>
  <c r="S1101" i="29"/>
  <c r="S1100" i="29"/>
  <c r="S1099" i="29"/>
  <c r="S1098" i="29"/>
  <c r="S1097" i="29"/>
  <c r="S1096" i="29"/>
  <c r="S1095" i="29"/>
  <c r="S1094" i="29"/>
  <c r="S1093" i="29"/>
  <c r="S1089" i="29"/>
  <c r="S1088" i="29"/>
  <c r="S1084" i="29"/>
  <c r="S1082" i="29"/>
  <c r="S1081" i="29"/>
  <c r="S1080" i="29"/>
  <c r="S1079" i="29"/>
  <c r="S1078" i="29"/>
  <c r="S1117" i="29"/>
  <c r="S1116" i="29"/>
  <c r="S1115" i="29"/>
  <c r="S1111" i="29"/>
  <c r="S1110" i="29"/>
  <c r="S1109" i="29"/>
  <c r="S1108" i="29"/>
  <c r="S1107" i="29"/>
  <c r="S1092" i="29"/>
  <c r="S1091" i="29"/>
  <c r="S1090" i="29"/>
  <c r="S1074" i="29"/>
  <c r="S1073" i="29"/>
  <c r="S1072" i="29"/>
  <c r="S1070" i="29"/>
  <c r="S1069" i="29"/>
  <c r="S1062" i="29"/>
  <c r="S1061" i="29"/>
  <c r="S1060" i="29"/>
  <c r="S1059" i="29"/>
  <c r="S1058" i="29"/>
  <c r="S1057" i="29"/>
  <c r="S1106" i="29"/>
  <c r="S1105" i="29"/>
  <c r="S1104" i="29"/>
  <c r="S1087" i="29"/>
  <c r="S1086" i="29"/>
  <c r="S1085" i="29"/>
  <c r="S1083" i="29"/>
  <c r="S1077" i="29"/>
  <c r="S1076" i="29"/>
  <c r="S1075" i="29"/>
  <c r="S1068" i="29"/>
  <c r="S1067" i="29"/>
  <c r="S1066" i="29"/>
  <c r="S1065" i="29"/>
  <c r="S1064" i="29"/>
  <c r="S1053" i="29"/>
  <c r="S1051" i="29"/>
  <c r="S1050" i="29"/>
  <c r="S1049" i="29"/>
  <c r="S1047" i="29"/>
  <c r="S1046" i="29"/>
  <c r="S1045" i="29"/>
  <c r="S1044" i="29"/>
  <c r="S1043" i="29"/>
  <c r="S1042" i="29"/>
  <c r="S1041" i="29"/>
  <c r="S1040" i="29"/>
  <c r="S1039" i="29"/>
  <c r="S1038" i="29"/>
  <c r="S1037" i="29"/>
  <c r="S1071" i="29"/>
  <c r="S1063" i="29"/>
  <c r="S1055" i="29"/>
  <c r="S1054" i="29"/>
  <c r="S1035" i="29"/>
  <c r="S1056" i="29"/>
  <c r="S1052" i="29"/>
  <c r="S1048" i="29"/>
  <c r="S1036" i="29"/>
  <c r="S1034" i="29"/>
  <c r="S1033" i="29"/>
  <c r="S1032" i="29"/>
  <c r="S1012" i="29"/>
  <c r="S1011" i="29"/>
  <c r="S1006" i="29"/>
  <c r="S1005" i="29"/>
  <c r="S1004" i="29"/>
  <c r="S1003" i="29"/>
  <c r="S1031" i="29"/>
  <c r="S1030" i="29"/>
  <c r="S1029" i="29"/>
  <c r="S1028" i="29"/>
  <c r="S1027" i="29"/>
  <c r="S1026" i="29"/>
  <c r="S1025" i="29"/>
  <c r="S1024" i="29"/>
  <c r="S1023" i="29"/>
  <c r="S1022" i="29"/>
  <c r="S1021" i="29"/>
  <c r="S1020" i="29"/>
  <c r="S1019" i="29"/>
  <c r="S1018" i="29"/>
  <c r="S1017" i="29"/>
  <c r="S1016" i="29"/>
  <c r="S1015" i="29"/>
  <c r="S1014" i="29"/>
  <c r="S1013" i="29"/>
  <c r="S1002" i="29"/>
  <c r="S1001" i="29"/>
  <c r="S1000" i="29"/>
  <c r="S999" i="29"/>
  <c r="S998" i="29"/>
  <c r="S1010" i="29"/>
  <c r="S1009" i="29"/>
  <c r="S1008" i="29"/>
  <c r="S1007" i="29"/>
  <c r="S995" i="29"/>
  <c r="S994" i="29"/>
  <c r="S993" i="29"/>
  <c r="S992" i="29"/>
  <c r="S991" i="29"/>
  <c r="S990" i="29"/>
  <c r="S985" i="29"/>
  <c r="S981" i="29"/>
  <c r="S866" i="29"/>
  <c r="S979" i="29"/>
  <c r="S978" i="29"/>
  <c r="S977" i="29"/>
  <c r="S997" i="29"/>
  <c r="S996" i="29"/>
  <c r="S980" i="29"/>
  <c r="S976" i="29"/>
  <c r="S975" i="29"/>
  <c r="S974" i="29"/>
  <c r="S989" i="29"/>
  <c r="S988" i="29"/>
  <c r="S987" i="29"/>
  <c r="S986" i="29"/>
  <c r="S984" i="29"/>
  <c r="S983" i="29"/>
  <c r="S982" i="29"/>
  <c r="S960" i="29"/>
  <c r="S958" i="29"/>
  <c r="S957" i="29"/>
  <c r="S973" i="29"/>
  <c r="S972" i="29"/>
  <c r="S971" i="29"/>
  <c r="S970" i="29"/>
  <c r="S969" i="29"/>
  <c r="S968" i="29"/>
  <c r="S967" i="29"/>
  <c r="S966" i="29"/>
  <c r="S965" i="29"/>
  <c r="S964" i="29"/>
  <c r="S963" i="29"/>
  <c r="S962" i="29"/>
  <c r="S961" i="29"/>
  <c r="S959" i="29"/>
  <c r="S956" i="29"/>
  <c r="S955" i="29"/>
  <c r="S952" i="29"/>
  <c r="S949" i="29"/>
  <c r="S954" i="29"/>
  <c r="S953" i="29"/>
  <c r="S951" i="29"/>
  <c r="S950" i="29"/>
  <c r="S944" i="29"/>
  <c r="S943" i="29"/>
  <c r="S942" i="29"/>
  <c r="S948" i="29"/>
  <c r="S947" i="29"/>
  <c r="S946" i="29"/>
  <c r="S945" i="29"/>
  <c r="S940" i="29"/>
  <c r="S939" i="29"/>
  <c r="S927" i="29"/>
  <c r="S926" i="29"/>
  <c r="S941" i="29"/>
  <c r="S938" i="29"/>
  <c r="S937" i="29"/>
  <c r="S936" i="29"/>
  <c r="S935" i="29"/>
  <c r="S934" i="29"/>
  <c r="S933" i="29"/>
  <c r="S905" i="29"/>
  <c r="S932" i="29"/>
  <c r="S931" i="29"/>
  <c r="S930" i="29"/>
  <c r="S929" i="29"/>
  <c r="S928" i="29"/>
  <c r="S925" i="29"/>
  <c r="S924" i="29"/>
  <c r="S922" i="29"/>
  <c r="S921" i="29"/>
  <c r="S917" i="29"/>
  <c r="S916" i="29"/>
  <c r="S915" i="29"/>
  <c r="S920" i="29"/>
  <c r="S919" i="29"/>
  <c r="S918" i="29"/>
  <c r="S914" i="29"/>
  <c r="S913" i="29"/>
  <c r="S904" i="29"/>
  <c r="S903" i="29"/>
  <c r="S902" i="29"/>
  <c r="S901" i="29"/>
  <c r="S892" i="29"/>
  <c r="S923" i="29"/>
  <c r="S909" i="29"/>
  <c r="S908" i="29"/>
  <c r="S888" i="29"/>
  <c r="S910" i="29"/>
  <c r="S907" i="29"/>
  <c r="S906" i="29"/>
  <c r="S642" i="29"/>
  <c r="S891" i="29"/>
  <c r="S890" i="29"/>
  <c r="S912" i="29"/>
  <c r="S911" i="29"/>
  <c r="S889" i="29"/>
  <c r="S887" i="29"/>
  <c r="S882" i="29"/>
  <c r="S881" i="29"/>
  <c r="S900" i="29"/>
  <c r="S899" i="29"/>
  <c r="S898" i="29"/>
  <c r="S897" i="29"/>
  <c r="S896" i="29"/>
  <c r="S895" i="29"/>
  <c r="S894" i="29"/>
  <c r="S893" i="29"/>
  <c r="S879" i="29"/>
  <c r="S878" i="29"/>
  <c r="S877" i="29"/>
  <c r="S876" i="29"/>
  <c r="S886" i="29"/>
  <c r="S885" i="29"/>
  <c r="S875" i="29"/>
  <c r="S874" i="29"/>
  <c r="S873" i="29"/>
  <c r="S872" i="29"/>
  <c r="S871" i="29"/>
  <c r="S884" i="29"/>
  <c r="S883" i="29"/>
  <c r="S880" i="29"/>
  <c r="S869" i="29"/>
  <c r="S865" i="29"/>
  <c r="S864" i="29"/>
  <c r="S863" i="29"/>
  <c r="S862" i="29"/>
  <c r="S861" i="29"/>
  <c r="S860" i="29"/>
  <c r="S859" i="29"/>
  <c r="S858" i="29"/>
  <c r="S857" i="29"/>
  <c r="S870" i="29"/>
  <c r="S868" i="29"/>
  <c r="S867" i="29"/>
  <c r="S856" i="29"/>
  <c r="S855" i="29"/>
  <c r="S710" i="29"/>
  <c r="S850" i="29"/>
  <c r="S849" i="29"/>
  <c r="S848" i="29"/>
  <c r="S847" i="29"/>
  <c r="S852" i="29"/>
  <c r="S851" i="29"/>
  <c r="S846" i="29"/>
  <c r="S845" i="29"/>
  <c r="S844" i="29"/>
  <c r="S843" i="29"/>
  <c r="S842" i="29"/>
  <c r="S841" i="29"/>
  <c r="S854" i="29"/>
  <c r="S853" i="29"/>
  <c r="S840" i="29"/>
  <c r="S839" i="29"/>
  <c r="S838" i="29"/>
  <c r="S837" i="29"/>
  <c r="S836" i="29"/>
  <c r="S833" i="29"/>
  <c r="S834" i="29"/>
  <c r="S815" i="29"/>
  <c r="S835" i="29"/>
  <c r="S832" i="29"/>
  <c r="S831" i="29"/>
  <c r="S830" i="29"/>
  <c r="S829" i="29"/>
  <c r="S828" i="29"/>
  <c r="S827" i="29"/>
  <c r="S826" i="29"/>
  <c r="S825" i="29"/>
  <c r="S824" i="29"/>
  <c r="S823" i="29"/>
  <c r="S822" i="29"/>
  <c r="S821" i="29"/>
  <c r="S820" i="29"/>
  <c r="S819" i="29"/>
  <c r="S818" i="29"/>
  <c r="S817" i="29"/>
  <c r="S816" i="29"/>
  <c r="S814" i="29"/>
  <c r="S813" i="29"/>
  <c r="S808" i="29"/>
  <c r="S802" i="29"/>
  <c r="S801" i="29"/>
  <c r="S800" i="29"/>
  <c r="S799" i="29"/>
  <c r="S812" i="29"/>
  <c r="S798" i="29"/>
  <c r="S797" i="29"/>
  <c r="S792" i="29"/>
  <c r="S791" i="29"/>
  <c r="S790" i="29"/>
  <c r="S789" i="29"/>
  <c r="S780" i="29"/>
  <c r="S778" i="29"/>
  <c r="S777" i="29"/>
  <c r="S776" i="29"/>
  <c r="S775" i="29"/>
  <c r="S774" i="29"/>
  <c r="S771" i="29"/>
  <c r="S811" i="29"/>
  <c r="S810" i="29"/>
  <c r="S809" i="29"/>
  <c r="S807" i="29"/>
  <c r="S806" i="29"/>
  <c r="S805" i="29"/>
  <c r="S804" i="29"/>
  <c r="S803" i="29"/>
  <c r="S796" i="29"/>
  <c r="S795" i="29"/>
  <c r="S794" i="29"/>
  <c r="S793" i="29"/>
  <c r="S788" i="29"/>
  <c r="S787" i="29"/>
  <c r="S786" i="29"/>
  <c r="S785" i="29"/>
  <c r="S784" i="29"/>
  <c r="S783" i="29"/>
  <c r="S782" i="29"/>
  <c r="S781" i="29"/>
  <c r="S779" i="29"/>
  <c r="S773" i="29"/>
  <c r="S772" i="29"/>
  <c r="S770" i="29"/>
  <c r="S769" i="29"/>
  <c r="S768" i="29"/>
  <c r="S767" i="29"/>
  <c r="S766" i="29"/>
  <c r="S765" i="29"/>
  <c r="S764" i="29"/>
  <c r="S763" i="29"/>
  <c r="S744" i="29"/>
  <c r="S739" i="29"/>
  <c r="S738" i="29"/>
  <c r="S750" i="29"/>
  <c r="S746" i="29"/>
  <c r="S745" i="29"/>
  <c r="S743" i="29"/>
  <c r="S742" i="29"/>
  <c r="S762" i="29"/>
  <c r="S761" i="29"/>
  <c r="S760" i="29"/>
  <c r="S759" i="29"/>
  <c r="S758" i="29"/>
  <c r="S757" i="29"/>
  <c r="S756" i="29"/>
  <c r="S755" i="29"/>
  <c r="S754" i="29"/>
  <c r="S753" i="29"/>
  <c r="S752" i="29"/>
  <c r="S751" i="29"/>
  <c r="S749" i="29"/>
  <c r="S748" i="29"/>
  <c r="S747" i="29"/>
  <c r="S735" i="29"/>
  <c r="S732" i="29"/>
  <c r="S731" i="29"/>
  <c r="S730" i="29"/>
  <c r="S729" i="29"/>
  <c r="S728" i="29"/>
  <c r="S720" i="29"/>
  <c r="S718" i="29"/>
  <c r="S713" i="29"/>
  <c r="S712" i="29"/>
  <c r="S741" i="29"/>
  <c r="S740" i="29"/>
  <c r="S734" i="29"/>
  <c r="S733" i="29"/>
  <c r="S727" i="29"/>
  <c r="S726" i="29"/>
  <c r="S725" i="29"/>
  <c r="S724" i="29"/>
  <c r="S723" i="29"/>
  <c r="S714" i="29"/>
  <c r="S615" i="29"/>
  <c r="S737" i="29"/>
  <c r="S736" i="29"/>
  <c r="S719" i="29"/>
  <c r="S711" i="29"/>
  <c r="S692" i="29"/>
  <c r="S709" i="29"/>
  <c r="S708" i="29"/>
  <c r="S707" i="29"/>
  <c r="S722" i="29"/>
  <c r="S721" i="29"/>
  <c r="S717" i="29"/>
  <c r="S716" i="29"/>
  <c r="S715" i="29"/>
  <c r="S688" i="29"/>
  <c r="S687" i="29"/>
  <c r="S686" i="29"/>
  <c r="S685" i="29"/>
  <c r="S684" i="29"/>
  <c r="S706" i="29"/>
  <c r="S705" i="29"/>
  <c r="S704" i="29"/>
  <c r="S703" i="29"/>
  <c r="S702" i="29"/>
  <c r="S701" i="29"/>
  <c r="S700" i="29"/>
  <c r="S699" i="29"/>
  <c r="S698" i="29"/>
  <c r="S697" i="29"/>
  <c r="S683" i="29"/>
  <c r="S682" i="29"/>
  <c r="S681" i="29"/>
  <c r="S680" i="29"/>
  <c r="S679" i="29"/>
  <c r="S678" i="29"/>
  <c r="S677" i="29"/>
  <c r="S691" i="29"/>
  <c r="S690" i="29"/>
  <c r="S676" i="29"/>
  <c r="S675" i="29"/>
  <c r="S657" i="29"/>
  <c r="S656" i="29"/>
  <c r="S674" i="29"/>
  <c r="S673" i="29"/>
  <c r="S672" i="29"/>
  <c r="S667" i="29"/>
  <c r="S666" i="29"/>
  <c r="S664" i="29"/>
  <c r="S652" i="29"/>
  <c r="S646" i="29"/>
  <c r="S645" i="29"/>
  <c r="S640" i="29"/>
  <c r="S639" i="29"/>
  <c r="S638" i="29"/>
  <c r="S635" i="29"/>
  <c r="S634" i="29"/>
  <c r="S631" i="29"/>
  <c r="S630" i="29"/>
  <c r="S629" i="29"/>
  <c r="S628" i="29"/>
  <c r="S627" i="29"/>
  <c r="S626" i="29"/>
  <c r="S625" i="29"/>
  <c r="S624" i="29"/>
  <c r="S622" i="29"/>
  <c r="S671" i="29"/>
  <c r="S670" i="29"/>
  <c r="S669" i="29"/>
  <c r="S668" i="29"/>
  <c r="S665" i="29"/>
  <c r="S663" i="29"/>
  <c r="S662" i="29"/>
  <c r="S661" i="29"/>
  <c r="S614" i="29"/>
  <c r="S623" i="29"/>
  <c r="S613" i="29"/>
  <c r="S612" i="29"/>
  <c r="S611" i="29"/>
  <c r="S610" i="29"/>
  <c r="S609" i="29"/>
  <c r="S607" i="29"/>
  <c r="S605" i="29"/>
  <c r="S604" i="29"/>
  <c r="S597" i="29"/>
  <c r="S596" i="29"/>
  <c r="S595" i="29"/>
  <c r="S594" i="29"/>
  <c r="S593" i="29"/>
  <c r="S591" i="29"/>
  <c r="S590" i="29"/>
  <c r="S589" i="29"/>
  <c r="S580" i="29"/>
  <c r="S579" i="29"/>
  <c r="S588" i="29"/>
  <c r="S583" i="29"/>
  <c r="S582" i="29"/>
  <c r="S581" i="29"/>
  <c r="S577" i="29"/>
  <c r="S608" i="29"/>
  <c r="S606" i="29"/>
  <c r="S587" i="29"/>
  <c r="S586" i="29"/>
  <c r="S575" i="29"/>
  <c r="S573" i="29"/>
  <c r="S571" i="29"/>
  <c r="S603" i="29"/>
  <c r="S602" i="29"/>
  <c r="S601" i="29"/>
  <c r="S600" i="29"/>
  <c r="S599" i="29"/>
  <c r="S598" i="29"/>
  <c r="S585" i="29"/>
  <c r="S584" i="29"/>
  <c r="S576" i="29"/>
  <c r="S592" i="29"/>
  <c r="S578" i="29"/>
  <c r="S553" i="29"/>
  <c r="S551" i="29"/>
  <c r="S574" i="29"/>
  <c r="S572" i="29"/>
  <c r="S570" i="29"/>
  <c r="S569" i="29"/>
  <c r="S568" i="29"/>
  <c r="S567" i="29"/>
  <c r="S549" i="29"/>
  <c r="S548" i="29"/>
  <c r="S558" i="29"/>
  <c r="S557" i="29"/>
  <c r="S556" i="29"/>
  <c r="S555" i="29"/>
  <c r="S554" i="29"/>
  <c r="S552" i="29"/>
  <c r="S550" i="29"/>
  <c r="S547" i="29"/>
  <c r="S546" i="29"/>
  <c r="S566" i="29"/>
  <c r="S565" i="29"/>
  <c r="S564" i="29"/>
  <c r="S563" i="29"/>
  <c r="S562" i="29"/>
  <c r="S561" i="29"/>
  <c r="S560" i="29"/>
  <c r="S559" i="29"/>
  <c r="S535" i="29"/>
  <c r="S534" i="29"/>
  <c r="S532" i="29"/>
  <c r="S518" i="29"/>
  <c r="S517" i="29"/>
  <c r="S516" i="29"/>
  <c r="S525" i="29"/>
  <c r="S524" i="29"/>
  <c r="S523" i="29"/>
  <c r="S522" i="29"/>
  <c r="S521" i="29"/>
  <c r="S520" i="29"/>
  <c r="S519" i="29"/>
  <c r="S533" i="29"/>
  <c r="S529" i="29"/>
  <c r="S528" i="29"/>
  <c r="S527" i="29"/>
  <c r="S526" i="29"/>
  <c r="S509" i="29"/>
  <c r="S508" i="29"/>
  <c r="S507" i="29"/>
  <c r="S545" i="29"/>
  <c r="S544" i="29"/>
  <c r="S543" i="29"/>
  <c r="S542" i="29"/>
  <c r="S541" i="29"/>
  <c r="S540" i="29"/>
  <c r="S539" i="29"/>
  <c r="S538" i="29"/>
  <c r="S537" i="29"/>
  <c r="S536" i="29"/>
  <c r="S511" i="29"/>
  <c r="S510" i="29"/>
  <c r="S506" i="29"/>
  <c r="S505" i="29"/>
  <c r="S504" i="29"/>
  <c r="S503" i="29"/>
  <c r="S502" i="29"/>
  <c r="S497" i="29"/>
  <c r="S496" i="29"/>
  <c r="S495" i="29"/>
  <c r="S494" i="29"/>
  <c r="S531" i="29"/>
  <c r="S530" i="29"/>
  <c r="S515" i="29"/>
  <c r="S514" i="29"/>
  <c r="S513" i="29"/>
  <c r="S512" i="29"/>
  <c r="S501" i="29"/>
  <c r="S493" i="29"/>
  <c r="S500" i="29"/>
  <c r="S499" i="29"/>
  <c r="S498" i="29"/>
  <c r="S492" i="29"/>
  <c r="S491" i="29"/>
  <c r="S487" i="29"/>
  <c r="S486" i="29"/>
  <c r="S490" i="29"/>
  <c r="S489" i="29"/>
  <c r="S488" i="29"/>
  <c r="S485" i="29"/>
  <c r="S484" i="29"/>
  <c r="S483" i="29"/>
  <c r="S482" i="29"/>
  <c r="S472" i="29"/>
  <c r="S471" i="29"/>
  <c r="S481" i="29"/>
  <c r="S480" i="29"/>
  <c r="S479" i="29"/>
  <c r="S478" i="29"/>
  <c r="S477" i="29"/>
  <c r="S476" i="29"/>
  <c r="S475" i="29"/>
  <c r="S474" i="29"/>
  <c r="S467" i="29"/>
  <c r="S452" i="29"/>
  <c r="S451" i="29"/>
  <c r="S450" i="29"/>
  <c r="S449" i="29"/>
  <c r="S447" i="29"/>
  <c r="S446" i="29"/>
  <c r="S470" i="29"/>
  <c r="S469" i="29"/>
  <c r="S468" i="29"/>
  <c r="S466" i="29"/>
  <c r="S465" i="29"/>
  <c r="S464" i="29"/>
  <c r="S463" i="29"/>
  <c r="S462" i="29"/>
  <c r="S461" i="29"/>
  <c r="S460" i="29"/>
  <c r="S459" i="29"/>
  <c r="S444" i="29"/>
  <c r="S443" i="29"/>
  <c r="S442" i="29"/>
  <c r="S441" i="29"/>
  <c r="S439" i="29"/>
  <c r="S438" i="29"/>
  <c r="S436" i="29"/>
  <c r="S458" i="29"/>
  <c r="S457" i="29"/>
  <c r="S456" i="29"/>
  <c r="S455" i="29"/>
  <c r="S454" i="29"/>
  <c r="S453" i="29"/>
  <c r="S448" i="29"/>
  <c r="S445" i="29"/>
  <c r="S440" i="29"/>
  <c r="S434" i="29"/>
  <c r="S433" i="29"/>
  <c r="S432" i="29"/>
  <c r="S431" i="29"/>
  <c r="S430" i="29"/>
  <c r="S429" i="29"/>
  <c r="S428" i="29"/>
  <c r="S427" i="29"/>
  <c r="S426" i="29"/>
  <c r="S425" i="29"/>
  <c r="S424" i="29"/>
  <c r="S435" i="29"/>
  <c r="S423" i="29"/>
  <c r="S420" i="29"/>
  <c r="S418" i="29"/>
  <c r="S416" i="29"/>
  <c r="S415" i="29"/>
  <c r="S414" i="29"/>
  <c r="S413" i="29"/>
  <c r="S412" i="29"/>
  <c r="S409" i="29"/>
  <c r="S407" i="29"/>
  <c r="S437" i="29"/>
  <c r="S408" i="29"/>
  <c r="S403" i="29"/>
  <c r="S402" i="29"/>
  <c r="S401" i="29"/>
  <c r="S400" i="29"/>
  <c r="S399" i="29"/>
  <c r="S398" i="29"/>
  <c r="S422" i="29"/>
  <c r="S421" i="29"/>
  <c r="S419" i="29"/>
  <c r="S417" i="29"/>
  <c r="S394" i="29"/>
  <c r="S411" i="29"/>
  <c r="S410" i="29"/>
  <c r="S405" i="29"/>
  <c r="S404" i="29"/>
  <c r="S388" i="29"/>
  <c r="S384" i="29"/>
  <c r="S383" i="29"/>
  <c r="S406" i="29"/>
  <c r="S378" i="29"/>
  <c r="S377" i="29"/>
  <c r="S376" i="29"/>
  <c r="S375" i="29"/>
  <c r="S374" i="29"/>
  <c r="S370" i="29"/>
  <c r="S358" i="29"/>
  <c r="S357" i="29"/>
  <c r="S356" i="29"/>
  <c r="S355" i="29"/>
  <c r="S397" i="29"/>
  <c r="S396" i="29"/>
  <c r="S390" i="29"/>
  <c r="S373" i="29"/>
  <c r="S372" i="29"/>
  <c r="S345" i="29"/>
  <c r="S344" i="29"/>
  <c r="S343" i="29"/>
  <c r="S342" i="29"/>
  <c r="S341" i="29"/>
  <c r="S395" i="29"/>
  <c r="S393" i="29"/>
  <c r="S391" i="29"/>
  <c r="S389" i="29"/>
  <c r="S392" i="29"/>
  <c r="S387" i="29"/>
  <c r="S386" i="29"/>
  <c r="S385" i="29"/>
  <c r="S371" i="29"/>
  <c r="S364" i="29"/>
  <c r="S340" i="29"/>
  <c r="S339" i="29"/>
  <c r="S338" i="29"/>
  <c r="S347" i="29"/>
  <c r="S346" i="29"/>
  <c r="S333" i="29"/>
  <c r="S332" i="29"/>
  <c r="S323" i="29"/>
  <c r="S382" i="29"/>
  <c r="S381" i="29"/>
  <c r="S380" i="29"/>
  <c r="S379" i="29"/>
  <c r="S369" i="29"/>
  <c r="S368" i="29"/>
  <c r="S367" i="29"/>
  <c r="S366" i="29"/>
  <c r="S365" i="29"/>
  <c r="S363" i="29"/>
  <c r="S362" i="29"/>
  <c r="S361" i="29"/>
  <c r="S360" i="29"/>
  <c r="S359" i="29"/>
  <c r="S354" i="29"/>
  <c r="S353" i="29"/>
  <c r="S352" i="29"/>
  <c r="S351" i="29"/>
  <c r="S350" i="29"/>
  <c r="S349" i="29"/>
  <c r="S348" i="29"/>
  <c r="S337" i="29"/>
  <c r="S336" i="29"/>
  <c r="S335" i="29"/>
  <c r="S331" i="29"/>
  <c r="S328" i="29"/>
  <c r="S327" i="29"/>
  <c r="S326" i="29"/>
  <c r="S325" i="29"/>
  <c r="S322" i="29"/>
  <c r="S321" i="29"/>
  <c r="S320" i="29"/>
  <c r="S319" i="29"/>
  <c r="S334" i="29"/>
  <c r="S330" i="29"/>
  <c r="S329" i="29"/>
  <c r="S324" i="29"/>
  <c r="S317" i="29"/>
  <c r="S316" i="29"/>
  <c r="S315" i="29"/>
  <c r="S314" i="29"/>
  <c r="S313" i="29"/>
  <c r="S304" i="29"/>
  <c r="S318" i="29"/>
  <c r="S312" i="29"/>
  <c r="S311" i="29"/>
  <c r="S308" i="29"/>
  <c r="S307" i="29"/>
  <c r="S300" i="29"/>
  <c r="S296" i="29"/>
  <c r="S310" i="29"/>
  <c r="S309" i="29"/>
  <c r="S306" i="29"/>
  <c r="S305" i="29"/>
  <c r="S303" i="29"/>
  <c r="S302" i="29"/>
  <c r="S301" i="29"/>
  <c r="S299" i="29"/>
  <c r="S298" i="29"/>
  <c r="S297" i="29"/>
  <c r="S295" i="29"/>
  <c r="S294" i="29"/>
  <c r="S293" i="29"/>
  <c r="S292" i="29"/>
  <c r="S290" i="29"/>
  <c r="S288" i="29"/>
  <c r="S287" i="29"/>
  <c r="S285" i="29"/>
  <c r="S291" i="29"/>
  <c r="S289" i="29"/>
  <c r="S286" i="29"/>
  <c r="S281" i="29"/>
  <c r="S280" i="29"/>
  <c r="S279" i="29"/>
  <c r="S278" i="29"/>
  <c r="S277" i="29"/>
  <c r="S276" i="29"/>
  <c r="S275" i="29"/>
  <c r="S274" i="29"/>
  <c r="S273" i="29"/>
  <c r="S272" i="29"/>
  <c r="S271" i="29"/>
  <c r="S270" i="29"/>
  <c r="S269" i="29"/>
  <c r="S284" i="29"/>
  <c r="S283" i="29"/>
  <c r="S282" i="29"/>
  <c r="S268" i="29"/>
  <c r="S267" i="29"/>
  <c r="S266" i="29"/>
  <c r="S265" i="29"/>
  <c r="S264" i="29"/>
  <c r="S251" i="29"/>
  <c r="S250" i="29"/>
  <c r="S249" i="29"/>
  <c r="S263" i="29"/>
  <c r="S262" i="29"/>
  <c r="S261" i="29"/>
  <c r="S260" i="29"/>
  <c r="S246" i="29"/>
  <c r="S245" i="29"/>
  <c r="S240" i="29"/>
  <c r="S239" i="29"/>
  <c r="S238" i="29"/>
  <c r="S236" i="29"/>
  <c r="S248" i="29"/>
  <c r="S247" i="29"/>
  <c r="S244" i="29"/>
  <c r="S243" i="29"/>
  <c r="S242" i="29"/>
  <c r="S241" i="29"/>
  <c r="S259" i="29"/>
  <c r="S258" i="29"/>
  <c r="S257" i="29"/>
  <c r="S256" i="29"/>
  <c r="S255" i="29"/>
  <c r="S254" i="29"/>
  <c r="S253" i="29"/>
  <c r="S252" i="29"/>
  <c r="S237" i="29"/>
  <c r="S233" i="29"/>
  <c r="S232" i="29"/>
  <c r="S229" i="29"/>
  <c r="S227" i="29"/>
  <c r="S234" i="29"/>
  <c r="S231" i="29"/>
  <c r="S230" i="29"/>
  <c r="S226" i="29"/>
  <c r="S225" i="29"/>
  <c r="S235" i="29"/>
  <c r="S228" i="29"/>
  <c r="S224" i="29"/>
  <c r="S223" i="29"/>
  <c r="S222" i="29"/>
  <c r="S221" i="29"/>
  <c r="S220" i="29"/>
  <c r="S219" i="29"/>
  <c r="S218" i="29"/>
  <c r="S217" i="29"/>
  <c r="S216" i="29"/>
  <c r="S215" i="29"/>
  <c r="S214" i="29"/>
  <c r="S213" i="29"/>
  <c r="S212" i="29"/>
  <c r="S211" i="29"/>
  <c r="S210" i="29"/>
  <c r="S209" i="29"/>
  <c r="S208" i="29"/>
  <c r="S207" i="29"/>
  <c r="S206" i="29"/>
  <c r="S205" i="29"/>
  <c r="S171" i="29"/>
  <c r="S204" i="29"/>
  <c r="S203" i="29"/>
  <c r="S202" i="29"/>
  <c r="S201" i="29"/>
  <c r="S200" i="29"/>
  <c r="S199" i="29"/>
  <c r="S195" i="29"/>
  <c r="S192" i="29"/>
  <c r="S191" i="29"/>
  <c r="S194" i="29"/>
  <c r="S188" i="29"/>
  <c r="S187" i="29"/>
  <c r="S186" i="29"/>
  <c r="S185" i="29"/>
  <c r="S184" i="29"/>
  <c r="S183" i="29"/>
  <c r="S198" i="29"/>
  <c r="S197" i="29"/>
  <c r="S196" i="29"/>
  <c r="S193" i="29"/>
  <c r="S189" i="29"/>
  <c r="S182" i="29"/>
  <c r="S180" i="29"/>
  <c r="S190" i="29"/>
  <c r="S177" i="29"/>
  <c r="S176" i="29"/>
  <c r="S174" i="29"/>
  <c r="S172" i="29"/>
  <c r="S167" i="29"/>
  <c r="S181" i="29"/>
  <c r="S179" i="29"/>
  <c r="S178" i="29"/>
  <c r="S163" i="29"/>
  <c r="S162" i="29"/>
  <c r="S161" i="29"/>
  <c r="S175" i="29"/>
  <c r="S173" i="29"/>
  <c r="S170" i="29"/>
  <c r="S169" i="29"/>
  <c r="S168" i="29"/>
  <c r="S139" i="29"/>
  <c r="S157" i="29"/>
  <c r="S154" i="29"/>
  <c r="S153" i="29"/>
  <c r="S152" i="29"/>
  <c r="S151" i="29"/>
  <c r="S150" i="29"/>
  <c r="S149" i="29"/>
  <c r="S148" i="29"/>
  <c r="S147" i="29"/>
  <c r="S146" i="29"/>
  <c r="S75" i="29"/>
  <c r="S156" i="29"/>
  <c r="S155" i="29"/>
  <c r="S160" i="29"/>
  <c r="S159" i="29"/>
  <c r="S158" i="29"/>
  <c r="S166" i="29"/>
  <c r="S165" i="29"/>
  <c r="S164" i="29"/>
  <c r="S145" i="29"/>
  <c r="S144" i="29"/>
  <c r="S143" i="29"/>
  <c r="S142" i="29"/>
  <c r="S138" i="29"/>
  <c r="S137" i="29"/>
  <c r="S125" i="29"/>
  <c r="S124" i="29"/>
  <c r="S141" i="29"/>
  <c r="S140" i="29"/>
  <c r="S132" i="29"/>
  <c r="S123" i="29"/>
  <c r="S122" i="29"/>
  <c r="S121" i="29"/>
  <c r="S120" i="29"/>
  <c r="S119" i="29"/>
  <c r="S118" i="29"/>
  <c r="S136" i="29"/>
  <c r="S135" i="29"/>
  <c r="S134" i="29"/>
  <c r="S133" i="29"/>
  <c r="S131" i="29"/>
  <c r="S130" i="29"/>
  <c r="S129" i="29"/>
  <c r="S128" i="29"/>
  <c r="S127" i="29"/>
  <c r="S126" i="29"/>
  <c r="S115" i="29"/>
  <c r="S114" i="29"/>
  <c r="S113" i="29"/>
  <c r="S112" i="29"/>
  <c r="S111" i="29"/>
  <c r="S110" i="29"/>
  <c r="S109" i="29"/>
  <c r="S100" i="29"/>
  <c r="S117" i="29"/>
  <c r="S116" i="29"/>
  <c r="S108" i="29"/>
  <c r="S107" i="29"/>
  <c r="S106" i="29"/>
  <c r="S105" i="29"/>
  <c r="S104" i="29"/>
  <c r="S103" i="29"/>
  <c r="S102" i="29"/>
  <c r="S101" i="29"/>
  <c r="S99" i="29"/>
  <c r="S93" i="29"/>
  <c r="S89" i="29"/>
  <c r="S88" i="29"/>
  <c r="S87" i="29"/>
  <c r="S86" i="29"/>
  <c r="S85" i="29"/>
  <c r="S81" i="29"/>
  <c r="S80" i="29"/>
  <c r="S76" i="29"/>
  <c r="S69" i="29"/>
  <c r="S68" i="29"/>
  <c r="S67" i="29"/>
  <c r="S66" i="29"/>
  <c r="S65" i="29"/>
  <c r="S64" i="29"/>
  <c r="S58" i="29"/>
  <c r="S57" i="29"/>
  <c r="S92" i="29"/>
  <c r="S91" i="29"/>
  <c r="S90" i="29"/>
  <c r="S84" i="29"/>
  <c r="S83" i="29"/>
  <c r="S82" i="29"/>
  <c r="S79" i="29"/>
  <c r="S78" i="29"/>
  <c r="S77" i="29"/>
  <c r="S74" i="29"/>
  <c r="S73" i="29"/>
  <c r="S72" i="29"/>
  <c r="S71" i="29"/>
  <c r="S70" i="29"/>
  <c r="S98" i="29"/>
  <c r="S97" i="29"/>
  <c r="S96" i="29"/>
  <c r="S95" i="29"/>
  <c r="S94" i="29"/>
  <c r="S60" i="29"/>
  <c r="S63" i="29"/>
  <c r="S62" i="29"/>
  <c r="S61" i="29"/>
  <c r="S56" i="29"/>
  <c r="S55" i="29"/>
  <c r="S47" i="29"/>
  <c r="S46" i="29"/>
  <c r="S45" i="29"/>
  <c r="S44" i="29"/>
  <c r="S43" i="29"/>
  <c r="S42" i="29"/>
  <c r="S41" i="29"/>
  <c r="S40" i="29"/>
  <c r="S39" i="29"/>
  <c r="S38" i="29"/>
  <c r="S31" i="29"/>
  <c r="S30" i="29"/>
  <c r="S29" i="29"/>
  <c r="S59" i="29"/>
  <c r="S54" i="29"/>
  <c r="S53" i="29"/>
  <c r="S52" i="29"/>
  <c r="S51" i="29"/>
  <c r="S49" i="29"/>
  <c r="S37" i="29"/>
  <c r="S36" i="29"/>
  <c r="S35" i="29"/>
  <c r="S34" i="29"/>
  <c r="S28" i="29"/>
  <c r="S27" i="29"/>
  <c r="S26" i="29"/>
  <c r="S50" i="29"/>
  <c r="S48" i="29"/>
  <c r="S33" i="29"/>
  <c r="S32" i="29"/>
  <c r="S25" i="29"/>
  <c r="S24" i="29"/>
  <c r="S23" i="29"/>
  <c r="S22" i="29"/>
  <c r="S20" i="29"/>
  <c r="S19" i="29"/>
  <c r="S18" i="29"/>
  <c r="S16" i="29"/>
  <c r="S21" i="29"/>
  <c r="S12" i="29"/>
  <c r="S11" i="29"/>
  <c r="S10" i="29"/>
  <c r="S9" i="29"/>
  <c r="S8" i="29"/>
  <c r="S17" i="29"/>
  <c r="S15" i="29"/>
  <c r="S14" i="29"/>
  <c r="S13" i="29"/>
  <c r="U6" i="27"/>
  <c r="U7" i="27"/>
  <c r="U8" i="27"/>
  <c r="U9" i="27"/>
  <c r="U10" i="27"/>
  <c r="U11" i="27"/>
  <c r="U12" i="27"/>
  <c r="U13" i="27"/>
  <c r="U14" i="27"/>
  <c r="U15" i="27"/>
  <c r="U16" i="27"/>
  <c r="U17" i="27"/>
  <c r="U18" i="27"/>
  <c r="U19" i="27"/>
  <c r="U20" i="27"/>
  <c r="U21" i="27"/>
  <c r="U22" i="27"/>
  <c r="U23" i="27"/>
  <c r="U24" i="27"/>
  <c r="U25" i="27"/>
  <c r="U26" i="27"/>
  <c r="U27" i="27"/>
  <c r="U28" i="27"/>
  <c r="U29" i="27"/>
  <c r="U30" i="27"/>
  <c r="U31" i="27"/>
  <c r="U32" i="27"/>
  <c r="U33" i="27"/>
  <c r="U34" i="27"/>
  <c r="AB6" i="21" l="1"/>
  <c r="Z10" i="57"/>
  <c r="Z12" i="57"/>
  <c r="AA12" i="57" s="1"/>
  <c r="Z9" i="57"/>
  <c r="R6" i="57"/>
  <c r="R8" i="57"/>
  <c r="K6" i="57"/>
  <c r="Z11" i="57"/>
  <c r="L11" i="57"/>
  <c r="U12" i="57"/>
  <c r="L10" i="57"/>
  <c r="L9" i="57"/>
  <c r="L8" i="57"/>
  <c r="U9" i="57"/>
  <c r="L7" i="57"/>
  <c r="U8" i="57"/>
  <c r="O12" i="57"/>
  <c r="L6" i="57"/>
  <c r="W7" i="57"/>
  <c r="AA7" i="57" s="1"/>
  <c r="O11" i="57"/>
  <c r="H8" i="57"/>
  <c r="O10" i="57"/>
  <c r="H7" i="57"/>
  <c r="O8" i="57"/>
  <c r="H12" i="57"/>
  <c r="H11" i="57"/>
  <c r="H10" i="57"/>
  <c r="H9" i="57"/>
  <c r="O6" i="57"/>
  <c r="AA11" i="57"/>
  <c r="R12" i="57"/>
  <c r="AA6" i="57"/>
  <c r="Z8" i="57"/>
  <c r="AA8" i="57" s="1"/>
  <c r="H6" i="57"/>
  <c r="R7" i="57"/>
  <c r="G11" i="57"/>
  <c r="G10" i="57"/>
  <c r="G9" i="57"/>
  <c r="U6" i="57"/>
  <c r="G8" i="57"/>
  <c r="G7" i="57"/>
  <c r="G6" i="57"/>
  <c r="W9" i="57"/>
  <c r="AA9" i="57" s="1"/>
  <c r="W8" i="57"/>
  <c r="W10" i="57"/>
  <c r="AA10" i="57" s="1"/>
  <c r="L12" i="57"/>
  <c r="E12" i="57"/>
  <c r="E11" i="57"/>
  <c r="E10" i="57"/>
  <c r="E9" i="57"/>
  <c r="R6" i="56"/>
  <c r="AA9" i="56"/>
  <c r="W8" i="56"/>
  <c r="AA8" i="56" s="1"/>
  <c r="O6" i="56"/>
  <c r="K8" i="56"/>
  <c r="L9" i="56"/>
  <c r="U7" i="56"/>
  <c r="L8" i="56"/>
  <c r="U6" i="56"/>
  <c r="L7" i="56"/>
  <c r="L6" i="56"/>
  <c r="G7" i="56"/>
  <c r="G6" i="56"/>
  <c r="R9" i="56"/>
  <c r="R8" i="56"/>
  <c r="R7" i="56"/>
  <c r="AA7" i="56"/>
  <c r="AA6" i="56"/>
  <c r="H9" i="56"/>
  <c r="U8" i="56"/>
  <c r="O8" i="56"/>
  <c r="H8" i="56"/>
  <c r="H7" i="56"/>
  <c r="G9" i="56"/>
  <c r="G8" i="56"/>
  <c r="H6" i="56"/>
  <c r="U9" i="56"/>
  <c r="AA56" i="50"/>
  <c r="AA32" i="50"/>
  <c r="O79" i="50"/>
  <c r="O55" i="50"/>
  <c r="O31" i="50"/>
  <c r="Z92" i="50"/>
  <c r="AA92" i="50" s="1"/>
  <c r="R68" i="50"/>
  <c r="Z44" i="50"/>
  <c r="R20" i="50"/>
  <c r="O77" i="50"/>
  <c r="O53" i="50"/>
  <c r="O29" i="50"/>
  <c r="L30" i="50"/>
  <c r="L6" i="50"/>
  <c r="H72" i="50"/>
  <c r="H48" i="50"/>
  <c r="H24" i="50"/>
  <c r="Z93" i="50"/>
  <c r="R86" i="50"/>
  <c r="R62" i="50"/>
  <c r="R14" i="50"/>
  <c r="G64" i="50"/>
  <c r="AA55" i="50"/>
  <c r="R38" i="50"/>
  <c r="Z90" i="50"/>
  <c r="Z66" i="50"/>
  <c r="AA66" i="50" s="1"/>
  <c r="Z42" i="50"/>
  <c r="AA42" i="50" s="1"/>
  <c r="Z18" i="50"/>
  <c r="U37" i="50"/>
  <c r="U13" i="50"/>
  <c r="O75" i="50"/>
  <c r="O51" i="50"/>
  <c r="O27" i="50"/>
  <c r="R94" i="50"/>
  <c r="R70" i="50"/>
  <c r="R46" i="50"/>
  <c r="R22" i="50"/>
  <c r="U55" i="50"/>
  <c r="R93" i="50"/>
  <c r="R69" i="50"/>
  <c r="R45" i="50"/>
  <c r="R21" i="50"/>
  <c r="L92" i="50"/>
  <c r="L68" i="50"/>
  <c r="L44" i="50"/>
  <c r="L20" i="50"/>
  <c r="G24" i="50"/>
  <c r="E48" i="50"/>
  <c r="W88" i="50"/>
  <c r="W64" i="50"/>
  <c r="AA64" i="50" s="1"/>
  <c r="W40" i="50"/>
  <c r="AA40" i="50" s="1"/>
  <c r="W16" i="50"/>
  <c r="L43" i="50"/>
  <c r="L19" i="50"/>
  <c r="E42" i="50"/>
  <c r="W87" i="50"/>
  <c r="W15" i="50"/>
  <c r="O43" i="50"/>
  <c r="K72" i="50"/>
  <c r="W63" i="50"/>
  <c r="O95" i="50"/>
  <c r="O71" i="50"/>
  <c r="O47" i="50"/>
  <c r="O23" i="50"/>
  <c r="G96" i="50"/>
  <c r="G16" i="50"/>
  <c r="K32" i="50"/>
  <c r="H8" i="50"/>
  <c r="W39" i="50"/>
  <c r="W34" i="50"/>
  <c r="AA34" i="50" s="1"/>
  <c r="W85" i="50"/>
  <c r="AA10" i="50"/>
  <c r="W84" i="50"/>
  <c r="AA59" i="50"/>
  <c r="O93" i="50"/>
  <c r="O69" i="50"/>
  <c r="O45" i="50"/>
  <c r="O21" i="50"/>
  <c r="G89" i="50"/>
  <c r="AA11" i="50"/>
  <c r="W91" i="50"/>
  <c r="R91" i="50"/>
  <c r="H86" i="50"/>
  <c r="H62" i="50"/>
  <c r="H38" i="50"/>
  <c r="H14" i="50"/>
  <c r="G88" i="50"/>
  <c r="E96" i="50"/>
  <c r="AA52" i="50"/>
  <c r="W60" i="50"/>
  <c r="AA8" i="50"/>
  <c r="W90" i="50"/>
  <c r="Z81" i="50"/>
  <c r="AA81" i="50" s="1"/>
  <c r="Z57" i="50"/>
  <c r="AA57" i="50" s="1"/>
  <c r="Z33" i="50"/>
  <c r="AA33" i="50" s="1"/>
  <c r="Z9" i="50"/>
  <c r="AA9" i="50" s="1"/>
  <c r="R76" i="50"/>
  <c r="R52" i="50"/>
  <c r="R28" i="50"/>
  <c r="O19" i="50"/>
  <c r="H85" i="50"/>
  <c r="H61" i="50"/>
  <c r="H37" i="50"/>
  <c r="H13" i="50"/>
  <c r="G87" i="50"/>
  <c r="E90" i="50"/>
  <c r="Z80" i="50"/>
  <c r="AA80" i="50" s="1"/>
  <c r="U75" i="50"/>
  <c r="U51" i="50"/>
  <c r="U27" i="50"/>
  <c r="R84" i="50"/>
  <c r="R60" i="50"/>
  <c r="R36" i="50"/>
  <c r="R12" i="50"/>
  <c r="Z95" i="50"/>
  <c r="Z71" i="50"/>
  <c r="Z47" i="50"/>
  <c r="Z23" i="50"/>
  <c r="O90" i="50"/>
  <c r="O66" i="50"/>
  <c r="O42" i="50"/>
  <c r="O18" i="50"/>
  <c r="H36" i="50"/>
  <c r="H12" i="50"/>
  <c r="G86" i="50"/>
  <c r="W96" i="50"/>
  <c r="W72" i="50"/>
  <c r="W48" i="50"/>
  <c r="W24" i="50"/>
  <c r="Z22" i="50"/>
  <c r="K88" i="50"/>
  <c r="K64" i="50"/>
  <c r="K40" i="50"/>
  <c r="K16" i="50"/>
  <c r="H35" i="50"/>
  <c r="H11" i="50"/>
  <c r="G85" i="50"/>
  <c r="H10" i="50"/>
  <c r="G84" i="50"/>
  <c r="U96" i="50"/>
  <c r="U72" i="50"/>
  <c r="U48" i="50"/>
  <c r="U24" i="50"/>
  <c r="Z86" i="50"/>
  <c r="AA86" i="50" s="1"/>
  <c r="Z62" i="50"/>
  <c r="AA62" i="50" s="1"/>
  <c r="Z38" i="50"/>
  <c r="Z14" i="50"/>
  <c r="R81" i="50"/>
  <c r="R57" i="50"/>
  <c r="R33" i="50"/>
  <c r="R9" i="50"/>
  <c r="E24" i="50"/>
  <c r="Z75" i="50"/>
  <c r="AA75" i="50" s="1"/>
  <c r="W53" i="50"/>
  <c r="W29" i="50"/>
  <c r="Z76" i="50"/>
  <c r="Z28" i="50"/>
  <c r="R95" i="50"/>
  <c r="R71" i="50"/>
  <c r="R47" i="50"/>
  <c r="R23" i="50"/>
  <c r="O85" i="50"/>
  <c r="O61" i="50"/>
  <c r="O37" i="50"/>
  <c r="O13" i="50"/>
  <c r="O80" i="50"/>
  <c r="O56" i="50"/>
  <c r="O32" i="50"/>
  <c r="O8" i="50"/>
  <c r="O86" i="50"/>
  <c r="O62" i="50"/>
  <c r="O38" i="50"/>
  <c r="O14" i="50"/>
  <c r="L80" i="50"/>
  <c r="L56" i="50"/>
  <c r="L32" i="50"/>
  <c r="L8" i="50"/>
  <c r="G82" i="50"/>
  <c r="G40" i="50"/>
  <c r="K95" i="50"/>
  <c r="K23" i="50"/>
  <c r="E18" i="50"/>
  <c r="W75" i="50"/>
  <c r="W51" i="50"/>
  <c r="W27" i="50"/>
  <c r="U93" i="50"/>
  <c r="U69" i="50"/>
  <c r="U45" i="50"/>
  <c r="U21" i="50"/>
  <c r="O83" i="50"/>
  <c r="O59" i="50"/>
  <c r="O35" i="50"/>
  <c r="O11" i="50"/>
  <c r="L78" i="50"/>
  <c r="L54" i="50"/>
  <c r="AA90" i="50"/>
  <c r="AA18" i="50"/>
  <c r="U92" i="50"/>
  <c r="U68" i="50"/>
  <c r="U44" i="50"/>
  <c r="U20" i="50"/>
  <c r="R77" i="50"/>
  <c r="R53" i="50"/>
  <c r="R29" i="50"/>
  <c r="K92" i="50"/>
  <c r="K68" i="50"/>
  <c r="K44" i="50"/>
  <c r="K20" i="50"/>
  <c r="E72" i="50"/>
  <c r="AA58" i="50"/>
  <c r="E66" i="50"/>
  <c r="U89" i="50"/>
  <c r="U65" i="50"/>
  <c r="U41" i="50"/>
  <c r="U17" i="50"/>
  <c r="Z29" i="50"/>
  <c r="AA29" i="50" s="1"/>
  <c r="Z49" i="50"/>
  <c r="AA49" i="50" s="1"/>
  <c r="R66" i="50"/>
  <c r="AA41" i="50"/>
  <c r="AA79" i="50"/>
  <c r="Z73" i="50"/>
  <c r="AA73" i="50" s="1"/>
  <c r="Z25" i="50"/>
  <c r="U71" i="50"/>
  <c r="R85" i="50"/>
  <c r="R61" i="50"/>
  <c r="R37" i="50"/>
  <c r="R13" i="50"/>
  <c r="O41" i="50"/>
  <c r="H32" i="50"/>
  <c r="W77" i="50"/>
  <c r="AA77" i="50" s="1"/>
  <c r="U77" i="50"/>
  <c r="H71" i="50"/>
  <c r="G71" i="50"/>
  <c r="E71" i="50"/>
  <c r="AA88" i="50"/>
  <c r="Z77" i="50"/>
  <c r="Z27" i="50"/>
  <c r="AA27" i="50" s="1"/>
  <c r="H18" i="50"/>
  <c r="U88" i="50"/>
  <c r="R88" i="50"/>
  <c r="U64" i="50"/>
  <c r="R64" i="50"/>
  <c r="U40" i="50"/>
  <c r="R40" i="50"/>
  <c r="U16" i="50"/>
  <c r="R16" i="50"/>
  <c r="Z87" i="50"/>
  <c r="AA87" i="50" s="1"/>
  <c r="Z63" i="50"/>
  <c r="AA63" i="50" s="1"/>
  <c r="Z39" i="50"/>
  <c r="Z15" i="50"/>
  <c r="H16" i="50"/>
  <c r="U87" i="50"/>
  <c r="R87" i="50"/>
  <c r="U63" i="50"/>
  <c r="R63" i="50"/>
  <c r="U39" i="50"/>
  <c r="R39" i="50"/>
  <c r="U15" i="50"/>
  <c r="R15" i="50"/>
  <c r="R44" i="50"/>
  <c r="O94" i="50"/>
  <c r="O70" i="50"/>
  <c r="O46" i="50"/>
  <c r="O22" i="50"/>
  <c r="L79" i="50"/>
  <c r="L55" i="50"/>
  <c r="Z68" i="50"/>
  <c r="AA76" i="50"/>
  <c r="AA28" i="50"/>
  <c r="U85" i="50"/>
  <c r="U61" i="50"/>
  <c r="R42" i="50"/>
  <c r="Z84" i="50"/>
  <c r="O84" i="50"/>
  <c r="Z60" i="50"/>
  <c r="O60" i="50"/>
  <c r="Z36" i="50"/>
  <c r="AA36" i="50" s="1"/>
  <c r="O36" i="50"/>
  <c r="Z12" i="50"/>
  <c r="AA12" i="50" s="1"/>
  <c r="O12" i="50"/>
  <c r="AA67" i="50"/>
  <c r="W86" i="50"/>
  <c r="U86" i="50"/>
  <c r="W62" i="50"/>
  <c r="U62" i="50"/>
  <c r="W38" i="50"/>
  <c r="U38" i="50"/>
  <c r="W14" i="50"/>
  <c r="U14" i="50"/>
  <c r="U84" i="50"/>
  <c r="U60" i="50"/>
  <c r="U36" i="50"/>
  <c r="U12" i="50"/>
  <c r="R78" i="50"/>
  <c r="R54" i="50"/>
  <c r="R30" i="50"/>
  <c r="R6" i="50"/>
  <c r="H90" i="50"/>
  <c r="E80" i="50"/>
  <c r="G80" i="50"/>
  <c r="E56" i="50"/>
  <c r="G56" i="50"/>
  <c r="E32" i="50"/>
  <c r="G32" i="50"/>
  <c r="E8" i="50"/>
  <c r="G8" i="50"/>
  <c r="Z88" i="50"/>
  <c r="L96" i="50"/>
  <c r="Z96" i="50"/>
  <c r="AA96" i="50" s="1"/>
  <c r="L72" i="50"/>
  <c r="Z72" i="50"/>
  <c r="AA72" i="50" s="1"/>
  <c r="L48" i="50"/>
  <c r="Z48" i="50"/>
  <c r="L24" i="50"/>
  <c r="Z24" i="50"/>
  <c r="K80" i="50"/>
  <c r="E79" i="50"/>
  <c r="H79" i="50"/>
  <c r="G79" i="50"/>
  <c r="E55" i="50"/>
  <c r="H55" i="50"/>
  <c r="G55" i="50"/>
  <c r="E31" i="50"/>
  <c r="H31" i="50"/>
  <c r="G31" i="50"/>
  <c r="E7" i="50"/>
  <c r="H7" i="50"/>
  <c r="G7" i="50"/>
  <c r="H88" i="50"/>
  <c r="E78" i="50"/>
  <c r="H78" i="50"/>
  <c r="G78" i="50"/>
  <c r="E54" i="50"/>
  <c r="H54" i="50"/>
  <c r="G54" i="50"/>
  <c r="E30" i="50"/>
  <c r="H30" i="50"/>
  <c r="G30" i="50"/>
  <c r="E6" i="50"/>
  <c r="H6" i="50"/>
  <c r="G6" i="50"/>
  <c r="K78" i="50"/>
  <c r="H74" i="50"/>
  <c r="H50" i="50"/>
  <c r="H26" i="50"/>
  <c r="H77" i="50"/>
  <c r="G77" i="50"/>
  <c r="K77" i="50"/>
  <c r="E77" i="50"/>
  <c r="H53" i="50"/>
  <c r="G53" i="50"/>
  <c r="K53" i="50"/>
  <c r="E53" i="50"/>
  <c r="H29" i="50"/>
  <c r="G29" i="50"/>
  <c r="K29" i="50"/>
  <c r="E29" i="50"/>
  <c r="AA24" i="50"/>
  <c r="AA47" i="50"/>
  <c r="AA23" i="50"/>
  <c r="W23" i="50"/>
  <c r="Z85" i="50"/>
  <c r="Z61" i="50"/>
  <c r="AA61" i="50" s="1"/>
  <c r="Z37" i="50"/>
  <c r="AA37" i="50" s="1"/>
  <c r="Z13" i="50"/>
  <c r="AA13" i="50" s="1"/>
  <c r="O88" i="50"/>
  <c r="L88" i="50"/>
  <c r="O64" i="50"/>
  <c r="L64" i="50"/>
  <c r="O40" i="50"/>
  <c r="L40" i="50"/>
  <c r="O16" i="50"/>
  <c r="L16" i="50"/>
  <c r="H73" i="50"/>
  <c r="H49" i="50"/>
  <c r="H25" i="50"/>
  <c r="H76" i="50"/>
  <c r="H52" i="50"/>
  <c r="H28" i="50"/>
  <c r="Z53" i="50"/>
  <c r="AA53" i="50" s="1"/>
  <c r="W94" i="50"/>
  <c r="AA94" i="50" s="1"/>
  <c r="AA70" i="50"/>
  <c r="W70" i="50"/>
  <c r="W46" i="50"/>
  <c r="AA46" i="50" s="1"/>
  <c r="W22" i="50"/>
  <c r="AA22" i="50" s="1"/>
  <c r="R73" i="50"/>
  <c r="O73" i="50"/>
  <c r="R49" i="50"/>
  <c r="O49" i="50"/>
  <c r="R25" i="50"/>
  <c r="O25" i="50"/>
  <c r="O87" i="50"/>
  <c r="O63" i="50"/>
  <c r="O39" i="50"/>
  <c r="O15" i="50"/>
  <c r="K71" i="50"/>
  <c r="H80" i="50"/>
  <c r="H75" i="50"/>
  <c r="H51" i="50"/>
  <c r="H27" i="50"/>
  <c r="AA6" i="50"/>
  <c r="AA93" i="50"/>
  <c r="AA69" i="50"/>
  <c r="AA45" i="50"/>
  <c r="AA21" i="50"/>
  <c r="R96" i="50"/>
  <c r="O96" i="50"/>
  <c r="R72" i="50"/>
  <c r="O72" i="50"/>
  <c r="R48" i="50"/>
  <c r="O48" i="50"/>
  <c r="R24" i="50"/>
  <c r="O24" i="50"/>
  <c r="L95" i="50"/>
  <c r="L71" i="50"/>
  <c r="L47" i="50"/>
  <c r="L23" i="50"/>
  <c r="H66" i="50"/>
  <c r="Z51" i="50"/>
  <c r="AA51" i="50" s="1"/>
  <c r="AA68" i="50"/>
  <c r="AA44" i="50"/>
  <c r="AA20" i="50"/>
  <c r="W7" i="50"/>
  <c r="AA7" i="50" s="1"/>
  <c r="U7" i="50"/>
  <c r="R92" i="50"/>
  <c r="L94" i="50"/>
  <c r="L70" i="50"/>
  <c r="L46" i="50"/>
  <c r="L22" i="50"/>
  <c r="W78" i="50"/>
  <c r="AA78" i="50" s="1"/>
  <c r="U78" i="50"/>
  <c r="W54" i="50"/>
  <c r="AA54" i="50" s="1"/>
  <c r="U54" i="50"/>
  <c r="W30" i="50"/>
  <c r="AA30" i="50" s="1"/>
  <c r="U30" i="50"/>
  <c r="W6" i="50"/>
  <c r="U6" i="50"/>
  <c r="L93" i="50"/>
  <c r="H93" i="50"/>
  <c r="L69" i="50"/>
  <c r="H69" i="50"/>
  <c r="L45" i="50"/>
  <c r="H45" i="50"/>
  <c r="L21" i="50"/>
  <c r="H21" i="50"/>
  <c r="H64" i="50"/>
  <c r="H23" i="50"/>
  <c r="G23" i="50"/>
  <c r="E23" i="50"/>
  <c r="H47" i="50"/>
  <c r="G47" i="50"/>
  <c r="E47" i="50"/>
  <c r="AA17" i="50"/>
  <c r="O82" i="50"/>
  <c r="L82" i="50"/>
  <c r="O58" i="50"/>
  <c r="L58" i="50"/>
  <c r="O34" i="50"/>
  <c r="L34" i="50"/>
  <c r="O10" i="50"/>
  <c r="L10" i="50"/>
  <c r="K56" i="50"/>
  <c r="L91" i="50"/>
  <c r="L67" i="50"/>
  <c r="H94" i="50"/>
  <c r="G94" i="50"/>
  <c r="K94" i="50"/>
  <c r="E94" i="50"/>
  <c r="H70" i="50"/>
  <c r="G70" i="50"/>
  <c r="K70" i="50"/>
  <c r="E70" i="50"/>
  <c r="H46" i="50"/>
  <c r="G46" i="50"/>
  <c r="K46" i="50"/>
  <c r="E46" i="50"/>
  <c r="H22" i="50"/>
  <c r="G22" i="50"/>
  <c r="K22" i="50"/>
  <c r="E22" i="50"/>
  <c r="AA16" i="50"/>
  <c r="O81" i="50"/>
  <c r="L81" i="50"/>
  <c r="O57" i="50"/>
  <c r="L57" i="50"/>
  <c r="O33" i="50"/>
  <c r="L33" i="50"/>
  <c r="O9" i="50"/>
  <c r="L9" i="50"/>
  <c r="K55" i="50"/>
  <c r="L90" i="50"/>
  <c r="L66" i="50"/>
  <c r="L42" i="50"/>
  <c r="L18" i="50"/>
  <c r="H56" i="50"/>
  <c r="W65" i="50"/>
  <c r="AA65" i="50" s="1"/>
  <c r="W74" i="50"/>
  <c r="W50" i="50"/>
  <c r="AA50" i="50" s="1"/>
  <c r="W26" i="50"/>
  <c r="K54" i="50"/>
  <c r="H42" i="50"/>
  <c r="AA89" i="50"/>
  <c r="R80" i="50"/>
  <c r="L7" i="50"/>
  <c r="O7" i="50"/>
  <c r="AA43" i="50"/>
  <c r="W73" i="50"/>
  <c r="W49" i="50"/>
  <c r="W25" i="50"/>
  <c r="AA91" i="50"/>
  <c r="AA31" i="50"/>
  <c r="U79" i="50"/>
  <c r="O78" i="50"/>
  <c r="O54" i="50"/>
  <c r="K47" i="50"/>
  <c r="H40" i="50"/>
  <c r="H95" i="50"/>
  <c r="G95" i="50"/>
  <c r="E95" i="50"/>
  <c r="W95" i="50"/>
  <c r="AA95" i="50" s="1"/>
  <c r="W71" i="50"/>
  <c r="AA71" i="50" s="1"/>
  <c r="W47" i="50"/>
  <c r="Z74" i="50"/>
  <c r="Z50" i="50"/>
  <c r="Z26" i="50"/>
  <c r="H92" i="50"/>
  <c r="H68" i="50"/>
  <c r="H44" i="50"/>
  <c r="H20" i="50"/>
  <c r="O30" i="50"/>
  <c r="O6" i="50"/>
  <c r="L87" i="50"/>
  <c r="L63" i="50"/>
  <c r="L39" i="50"/>
  <c r="L15" i="50"/>
  <c r="H91" i="50"/>
  <c r="H67" i="50"/>
  <c r="H43" i="50"/>
  <c r="H19" i="50"/>
  <c r="E76" i="50"/>
  <c r="E52" i="50"/>
  <c r="E28" i="50"/>
  <c r="U53" i="50"/>
  <c r="U29" i="50"/>
  <c r="H84" i="50"/>
  <c r="H60" i="50"/>
  <c r="U76" i="50"/>
  <c r="U52" i="50"/>
  <c r="U28" i="50"/>
  <c r="H83" i="50"/>
  <c r="H59" i="50"/>
  <c r="E92" i="50"/>
  <c r="E68" i="50"/>
  <c r="E44" i="50"/>
  <c r="E20" i="50"/>
  <c r="H82" i="50"/>
  <c r="H58" i="50"/>
  <c r="H34" i="50"/>
  <c r="E91" i="50"/>
  <c r="E67" i="50"/>
  <c r="E43" i="50"/>
  <c r="E19" i="50"/>
  <c r="G92" i="50"/>
  <c r="G68" i="50"/>
  <c r="G44" i="50"/>
  <c r="G20" i="50"/>
  <c r="R7" i="55"/>
  <c r="W9" i="55"/>
  <c r="W8" i="55"/>
  <c r="W7" i="55"/>
  <c r="W6" i="55"/>
  <c r="Z9" i="55"/>
  <c r="AA9" i="55" s="1"/>
  <c r="Z6" i="55"/>
  <c r="AA6" i="55" s="1"/>
  <c r="K7" i="55"/>
  <c r="U6" i="55"/>
  <c r="L7" i="55"/>
  <c r="Z7" i="55"/>
  <c r="AA7" i="55" s="1"/>
  <c r="L6" i="55"/>
  <c r="Z8" i="55"/>
  <c r="AA8" i="55" s="1"/>
  <c r="G6" i="55"/>
  <c r="R9" i="55"/>
  <c r="R8" i="55"/>
  <c r="U9" i="55"/>
  <c r="O9" i="55"/>
  <c r="H9" i="55"/>
  <c r="H8" i="55"/>
  <c r="H7" i="55"/>
  <c r="U8" i="55"/>
  <c r="O8" i="55"/>
  <c r="H6" i="55"/>
  <c r="G9" i="55"/>
  <c r="U7" i="55"/>
  <c r="O7" i="55"/>
  <c r="G8" i="55"/>
  <c r="G7" i="55"/>
  <c r="AA127" i="44"/>
  <c r="AA78" i="44"/>
  <c r="AA54" i="44"/>
  <c r="Z134" i="44"/>
  <c r="AA134" i="44" s="1"/>
  <c r="AA32" i="44"/>
  <c r="Z64" i="44"/>
  <c r="AA64" i="44" s="1"/>
  <c r="W24" i="44"/>
  <c r="L143" i="44"/>
  <c r="L119" i="44"/>
  <c r="L95" i="44"/>
  <c r="L71" i="44"/>
  <c r="L47" i="44"/>
  <c r="L23" i="44"/>
  <c r="Z143" i="44"/>
  <c r="Z119" i="44"/>
  <c r="Z95" i="44"/>
  <c r="Z71" i="44"/>
  <c r="Z47" i="44"/>
  <c r="Z23" i="44"/>
  <c r="H158" i="44"/>
  <c r="H134" i="44"/>
  <c r="H110" i="44"/>
  <c r="H86" i="44"/>
  <c r="H62" i="44"/>
  <c r="H38" i="44"/>
  <c r="H14" i="44"/>
  <c r="R142" i="44"/>
  <c r="Z97" i="44"/>
  <c r="Z63" i="44"/>
  <c r="AA63" i="44" s="1"/>
  <c r="AA103" i="44"/>
  <c r="O147" i="44"/>
  <c r="L142" i="44"/>
  <c r="L118" i="44"/>
  <c r="L94" i="44"/>
  <c r="L70" i="44"/>
  <c r="L46" i="44"/>
  <c r="L22" i="44"/>
  <c r="H157" i="44"/>
  <c r="H133" i="44"/>
  <c r="H109" i="44"/>
  <c r="H85" i="44"/>
  <c r="H61" i="44"/>
  <c r="H37" i="44"/>
  <c r="H13" i="44"/>
  <c r="G158" i="44"/>
  <c r="G38" i="44"/>
  <c r="R70" i="44"/>
  <c r="R117" i="44"/>
  <c r="AA20" i="44"/>
  <c r="Z62" i="44"/>
  <c r="AA62" i="44" s="1"/>
  <c r="W102" i="44"/>
  <c r="U62" i="44"/>
  <c r="O65" i="44"/>
  <c r="O41" i="44"/>
  <c r="O17" i="44"/>
  <c r="O55" i="44"/>
  <c r="L141" i="44"/>
  <c r="L117" i="44"/>
  <c r="H156" i="44"/>
  <c r="H132" i="44"/>
  <c r="H108" i="44"/>
  <c r="H84" i="44"/>
  <c r="H60" i="44"/>
  <c r="AA30" i="44"/>
  <c r="R141" i="44"/>
  <c r="AA84" i="44"/>
  <c r="O145" i="44"/>
  <c r="O121" i="44"/>
  <c r="O97" i="44"/>
  <c r="O73" i="44"/>
  <c r="O49" i="44"/>
  <c r="O25" i="44"/>
  <c r="R160" i="44"/>
  <c r="R136" i="44"/>
  <c r="R112" i="44"/>
  <c r="R88" i="44"/>
  <c r="O40" i="44"/>
  <c r="O16" i="44"/>
  <c r="L164" i="44"/>
  <c r="L140" i="44"/>
  <c r="L116" i="44"/>
  <c r="L92" i="44"/>
  <c r="L68" i="44"/>
  <c r="L44" i="44"/>
  <c r="L20" i="44"/>
  <c r="H131" i="44"/>
  <c r="H107" i="44"/>
  <c r="H83" i="44"/>
  <c r="H59" i="44"/>
  <c r="G153" i="44"/>
  <c r="G62" i="44"/>
  <c r="H147" i="44"/>
  <c r="R22" i="44"/>
  <c r="AA92" i="44"/>
  <c r="R151" i="44"/>
  <c r="R127" i="44"/>
  <c r="R103" i="44"/>
  <c r="R79" i="44"/>
  <c r="R55" i="44"/>
  <c r="R31" i="44"/>
  <c r="R7" i="44"/>
  <c r="R159" i="44"/>
  <c r="R135" i="44"/>
  <c r="R111" i="44"/>
  <c r="R87" i="44"/>
  <c r="R63" i="44"/>
  <c r="R39" i="44"/>
  <c r="R15" i="44"/>
  <c r="L163" i="44"/>
  <c r="L139" i="44"/>
  <c r="L115" i="44"/>
  <c r="L91" i="44"/>
  <c r="L67" i="44"/>
  <c r="L43" i="44"/>
  <c r="L19" i="44"/>
  <c r="K62" i="44"/>
  <c r="H106" i="44"/>
  <c r="H82" i="44"/>
  <c r="H58" i="44"/>
  <c r="H34" i="44"/>
  <c r="H10" i="44"/>
  <c r="R118" i="44"/>
  <c r="R69" i="44"/>
  <c r="Z160" i="44"/>
  <c r="AA24" i="44"/>
  <c r="AA7" i="44"/>
  <c r="U142" i="44"/>
  <c r="U118" i="44"/>
  <c r="U94" i="44"/>
  <c r="U70" i="44"/>
  <c r="U46" i="44"/>
  <c r="U22" i="44"/>
  <c r="O162" i="44"/>
  <c r="O138" i="44"/>
  <c r="O114" i="44"/>
  <c r="O90" i="44"/>
  <c r="O66" i="44"/>
  <c r="O42" i="44"/>
  <c r="O18" i="44"/>
  <c r="G151" i="44"/>
  <c r="G86" i="44"/>
  <c r="R94" i="44"/>
  <c r="Z25" i="44"/>
  <c r="Z159" i="44"/>
  <c r="AA159" i="44" s="1"/>
  <c r="Z22" i="44"/>
  <c r="W6" i="44"/>
  <c r="AA6" i="44" s="1"/>
  <c r="U141" i="44"/>
  <c r="U117" i="44"/>
  <c r="U93" i="44"/>
  <c r="U69" i="44"/>
  <c r="U45" i="44"/>
  <c r="U21" i="44"/>
  <c r="U54" i="44"/>
  <c r="U149" i="44"/>
  <c r="U125" i="44"/>
  <c r="U101" i="44"/>
  <c r="U77" i="44"/>
  <c r="O46" i="44"/>
  <c r="O22" i="44"/>
  <c r="R157" i="44"/>
  <c r="R133" i="44"/>
  <c r="R109" i="44"/>
  <c r="R85" i="44"/>
  <c r="R61" i="44"/>
  <c r="R37" i="44"/>
  <c r="R13" i="44"/>
  <c r="O31" i="44"/>
  <c r="H17" i="44"/>
  <c r="L152" i="44"/>
  <c r="L128" i="44"/>
  <c r="H104" i="44"/>
  <c r="H80" i="44"/>
  <c r="H56" i="44"/>
  <c r="H32" i="44"/>
  <c r="H8" i="44"/>
  <c r="G150" i="44"/>
  <c r="G57" i="44"/>
  <c r="G33" i="44"/>
  <c r="H144" i="44"/>
  <c r="AA79" i="44"/>
  <c r="R148" i="44"/>
  <c r="R124" i="44"/>
  <c r="R100" i="44"/>
  <c r="R76" i="44"/>
  <c r="R52" i="44"/>
  <c r="R28" i="44"/>
  <c r="O141" i="44"/>
  <c r="O117" i="44"/>
  <c r="O93" i="44"/>
  <c r="O69" i="44"/>
  <c r="O45" i="44"/>
  <c r="O21" i="44"/>
  <c r="R156" i="44"/>
  <c r="R132" i="44"/>
  <c r="R108" i="44"/>
  <c r="R84" i="44"/>
  <c r="R60" i="44"/>
  <c r="R36" i="44"/>
  <c r="H127" i="44"/>
  <c r="H103" i="44"/>
  <c r="H79" i="44"/>
  <c r="H55" i="44"/>
  <c r="H31" i="44"/>
  <c r="H7" i="44"/>
  <c r="G148" i="44"/>
  <c r="R46" i="44"/>
  <c r="Z158" i="44"/>
  <c r="Z88" i="44"/>
  <c r="Z121" i="44"/>
  <c r="AA121" i="44" s="1"/>
  <c r="Z87" i="44"/>
  <c r="AA87" i="44" s="1"/>
  <c r="U49" i="44"/>
  <c r="R147" i="44"/>
  <c r="R123" i="44"/>
  <c r="L159" i="44"/>
  <c r="L135" i="44"/>
  <c r="L111" i="44"/>
  <c r="L87" i="44"/>
  <c r="L63" i="44"/>
  <c r="L39" i="44"/>
  <c r="L15" i="44"/>
  <c r="H126" i="44"/>
  <c r="H102" i="44"/>
  <c r="H78" i="44"/>
  <c r="H54" i="44"/>
  <c r="H30" i="44"/>
  <c r="H6" i="44"/>
  <c r="G147" i="44"/>
  <c r="G110" i="44"/>
  <c r="G81" i="44"/>
  <c r="H142" i="44"/>
  <c r="H118" i="44"/>
  <c r="H94" i="44"/>
  <c r="AA151" i="44"/>
  <c r="AA126" i="44"/>
  <c r="AA102" i="44"/>
  <c r="W162" i="44"/>
  <c r="AA162" i="44" s="1"/>
  <c r="W138" i="44"/>
  <c r="AA138" i="44" s="1"/>
  <c r="W114" i="44"/>
  <c r="AA114" i="44" s="1"/>
  <c r="W90" i="44"/>
  <c r="AA90" i="44" s="1"/>
  <c r="W66" i="44"/>
  <c r="AA66" i="44" s="1"/>
  <c r="W42" i="44"/>
  <c r="AA42" i="44" s="1"/>
  <c r="W18" i="44"/>
  <c r="AA18" i="44" s="1"/>
  <c r="H159" i="44"/>
  <c r="G146" i="44"/>
  <c r="G54" i="44"/>
  <c r="G30" i="44"/>
  <c r="K141" i="44"/>
  <c r="K117" i="44"/>
  <c r="AA150" i="44"/>
  <c r="Z118" i="44"/>
  <c r="AA118" i="44" s="1"/>
  <c r="Z16" i="44"/>
  <c r="AA16" i="44" s="1"/>
  <c r="AA101" i="44"/>
  <c r="AA77" i="44"/>
  <c r="AA53" i="44"/>
  <c r="AA68" i="44"/>
  <c r="U38" i="44"/>
  <c r="O7" i="44"/>
  <c r="O157" i="44"/>
  <c r="O133" i="44"/>
  <c r="O109" i="44"/>
  <c r="O85" i="44"/>
  <c r="O61" i="44"/>
  <c r="H148" i="44"/>
  <c r="H164" i="44"/>
  <c r="H140" i="44"/>
  <c r="H116" i="44"/>
  <c r="H92" i="44"/>
  <c r="H68" i="44"/>
  <c r="AA125" i="44"/>
  <c r="Z49" i="44"/>
  <c r="Z15" i="44"/>
  <c r="W163" i="44"/>
  <c r="AA163" i="44" s="1"/>
  <c r="U144" i="44"/>
  <c r="U120" i="44"/>
  <c r="U96" i="44"/>
  <c r="U72" i="44"/>
  <c r="U48" i="44"/>
  <c r="Z141" i="44"/>
  <c r="Z117" i="44"/>
  <c r="O156" i="44"/>
  <c r="O132" i="44"/>
  <c r="O108" i="44"/>
  <c r="O84" i="44"/>
  <c r="O60" i="44"/>
  <c r="O36" i="44"/>
  <c r="O12" i="44"/>
  <c r="H123" i="44"/>
  <c r="H99" i="44"/>
  <c r="H75" i="44"/>
  <c r="H51" i="44"/>
  <c r="H27" i="44"/>
  <c r="G144" i="44"/>
  <c r="G105" i="44"/>
  <c r="H163" i="44"/>
  <c r="H139" i="44"/>
  <c r="H115" i="44"/>
  <c r="H91" i="44"/>
  <c r="H67" i="44"/>
  <c r="Z14" i="44"/>
  <c r="AA14" i="44" s="1"/>
  <c r="W159" i="44"/>
  <c r="W135" i="44"/>
  <c r="AA135" i="44" s="1"/>
  <c r="W111" i="44"/>
  <c r="W87" i="44"/>
  <c r="W63" i="44"/>
  <c r="L155" i="44"/>
  <c r="L131" i="44"/>
  <c r="H146" i="44"/>
  <c r="H122" i="44"/>
  <c r="H98" i="44"/>
  <c r="H74" i="44"/>
  <c r="H50" i="44"/>
  <c r="H26" i="44"/>
  <c r="H162" i="44"/>
  <c r="H138" i="44"/>
  <c r="H145" i="44"/>
  <c r="H121" i="44"/>
  <c r="H97" i="44"/>
  <c r="H73" i="44"/>
  <c r="H49" i="44"/>
  <c r="H25" i="44"/>
  <c r="H161" i="44"/>
  <c r="H137" i="44"/>
  <c r="R149" i="44"/>
  <c r="R125" i="44"/>
  <c r="R101" i="44"/>
  <c r="R77" i="44"/>
  <c r="R53" i="44"/>
  <c r="R29" i="44"/>
  <c r="O153" i="44"/>
  <c r="O129" i="44"/>
  <c r="O105" i="44"/>
  <c r="O81" i="44"/>
  <c r="O57" i="44"/>
  <c r="O33" i="44"/>
  <c r="O9" i="44"/>
  <c r="H57" i="44"/>
  <c r="H33" i="44"/>
  <c r="L144" i="44"/>
  <c r="L120" i="44"/>
  <c r="L96" i="44"/>
  <c r="L72" i="44"/>
  <c r="L48" i="44"/>
  <c r="L24" i="44"/>
  <c r="G102" i="44"/>
  <c r="Z145" i="44"/>
  <c r="Z111" i="44"/>
  <c r="AA111" i="44" s="1"/>
  <c r="W156" i="44"/>
  <c r="AA156" i="44" s="1"/>
  <c r="W132" i="44"/>
  <c r="AA132" i="44" s="1"/>
  <c r="W108" i="44"/>
  <c r="AA108" i="44" s="1"/>
  <c r="W84" i="44"/>
  <c r="R164" i="44"/>
  <c r="R140" i="44"/>
  <c r="R116" i="44"/>
  <c r="R92" i="44"/>
  <c r="R68" i="44"/>
  <c r="R44" i="44"/>
  <c r="R20" i="44"/>
  <c r="O148" i="44"/>
  <c r="O124" i="44"/>
  <c r="O100" i="44"/>
  <c r="O76" i="44"/>
  <c r="O52" i="44"/>
  <c r="O28" i="44"/>
  <c r="L104" i="44"/>
  <c r="L80" i="44"/>
  <c r="L56" i="44"/>
  <c r="L32" i="44"/>
  <c r="L8" i="44"/>
  <c r="H143" i="44"/>
  <c r="H119" i="44"/>
  <c r="H95" i="44"/>
  <c r="H71" i="44"/>
  <c r="H47" i="44"/>
  <c r="G134" i="44"/>
  <c r="AA44" i="44"/>
  <c r="AA147" i="44"/>
  <c r="AA123" i="44"/>
  <c r="R99" i="44"/>
  <c r="R75" i="44"/>
  <c r="R51" i="44"/>
  <c r="R27" i="44"/>
  <c r="U162" i="44"/>
  <c r="U138" i="44"/>
  <c r="U114" i="44"/>
  <c r="U90" i="44"/>
  <c r="U66" i="44"/>
  <c r="U42" i="44"/>
  <c r="U18" i="44"/>
  <c r="R146" i="44"/>
  <c r="R122" i="44"/>
  <c r="R98" i="44"/>
  <c r="L150" i="44"/>
  <c r="L126" i="44"/>
  <c r="L102" i="44"/>
  <c r="L78" i="44"/>
  <c r="L54" i="44"/>
  <c r="L30" i="44"/>
  <c r="L6" i="44"/>
  <c r="H93" i="44"/>
  <c r="H69" i="44"/>
  <c r="H45" i="44"/>
  <c r="H21" i="44"/>
  <c r="G99" i="44"/>
  <c r="Z142" i="44"/>
  <c r="AA142" i="44" s="1"/>
  <c r="Z40" i="44"/>
  <c r="Z73" i="44"/>
  <c r="AA73" i="44" s="1"/>
  <c r="Z39" i="44"/>
  <c r="W153" i="44"/>
  <c r="R161" i="44"/>
  <c r="R137" i="44"/>
  <c r="R145" i="44"/>
  <c r="R121" i="44"/>
  <c r="R97" i="44"/>
  <c r="H44" i="44"/>
  <c r="H20" i="44"/>
  <c r="G129" i="44"/>
  <c r="AA55" i="44"/>
  <c r="Z38" i="44"/>
  <c r="AA38" i="44" s="1"/>
  <c r="U14" i="44"/>
  <c r="U160" i="44"/>
  <c r="U136" i="44"/>
  <c r="U112" i="44"/>
  <c r="U88" i="44"/>
  <c r="U64" i="44"/>
  <c r="U40" i="44"/>
  <c r="U16" i="44"/>
  <c r="O116" i="44"/>
  <c r="H43" i="44"/>
  <c r="H19" i="44"/>
  <c r="H155" i="44"/>
  <c r="Z70" i="44"/>
  <c r="W126" i="44"/>
  <c r="U151" i="44"/>
  <c r="U127" i="44"/>
  <c r="U103" i="44"/>
  <c r="U79" i="44"/>
  <c r="U55" i="44"/>
  <c r="U31" i="44"/>
  <c r="U7" i="44"/>
  <c r="U84" i="44"/>
  <c r="U159" i="44"/>
  <c r="U135" i="44"/>
  <c r="U111" i="44"/>
  <c r="U87" i="44"/>
  <c r="U63" i="44"/>
  <c r="U39" i="44"/>
  <c r="U15" i="44"/>
  <c r="H114" i="44"/>
  <c r="H90" i="44"/>
  <c r="H66" i="44"/>
  <c r="H42" i="44"/>
  <c r="H18" i="44"/>
  <c r="H154" i="44"/>
  <c r="H130" i="44"/>
  <c r="Z136" i="44"/>
  <c r="AA31" i="44"/>
  <c r="O151" i="44"/>
  <c r="O127" i="44"/>
  <c r="O103" i="44"/>
  <c r="O79" i="44"/>
  <c r="Z155" i="44"/>
  <c r="Z131" i="44"/>
  <c r="AA131" i="44" s="1"/>
  <c r="Z35" i="44"/>
  <c r="AA35" i="44" s="1"/>
  <c r="O146" i="44"/>
  <c r="O122" i="44"/>
  <c r="O98" i="44"/>
  <c r="O74" i="44"/>
  <c r="O50" i="44"/>
  <c r="O26" i="44"/>
  <c r="H160" i="44"/>
  <c r="H136" i="44"/>
  <c r="H112" i="44"/>
  <c r="H88" i="44"/>
  <c r="H64" i="44"/>
  <c r="G164" i="44"/>
  <c r="G124" i="44"/>
  <c r="R93" i="44"/>
  <c r="K38" i="44"/>
  <c r="G163" i="44"/>
  <c r="G123" i="44"/>
  <c r="AA157" i="44"/>
  <c r="AA133" i="44"/>
  <c r="AA60" i="44"/>
  <c r="AA22" i="44"/>
  <c r="AA120" i="44"/>
  <c r="AA149" i="44"/>
  <c r="AA148" i="44"/>
  <c r="AA48" i="44"/>
  <c r="AA124" i="44"/>
  <c r="AA100" i="44"/>
  <c r="AA76" i="44"/>
  <c r="AA52" i="44"/>
  <c r="AA28" i="44"/>
  <c r="AA72" i="44"/>
  <c r="Z45" i="44"/>
  <c r="AA146" i="44"/>
  <c r="AA122" i="44"/>
  <c r="AA98" i="44"/>
  <c r="AA74" i="44"/>
  <c r="AA50" i="44"/>
  <c r="AA26" i="44"/>
  <c r="Z113" i="44"/>
  <c r="AA113" i="44" s="1"/>
  <c r="Z89" i="44"/>
  <c r="Z65" i="44"/>
  <c r="Z41" i="44"/>
  <c r="Z17" i="44"/>
  <c r="W143" i="44"/>
  <c r="AA143" i="44" s="1"/>
  <c r="W119" i="44"/>
  <c r="AA119" i="44" s="1"/>
  <c r="W95" i="44"/>
  <c r="W71" i="44"/>
  <c r="AA71" i="44" s="1"/>
  <c r="W47" i="44"/>
  <c r="AA47" i="44" s="1"/>
  <c r="W23" i="44"/>
  <c r="AA23" i="44" s="1"/>
  <c r="U53" i="44"/>
  <c r="O143" i="44"/>
  <c r="O119" i="44"/>
  <c r="O95" i="44"/>
  <c r="O71" i="44"/>
  <c r="O47" i="44"/>
  <c r="H152" i="44"/>
  <c r="H128" i="44"/>
  <c r="G143" i="44"/>
  <c r="G119" i="44"/>
  <c r="E149" i="44"/>
  <c r="E125" i="44"/>
  <c r="AA145" i="44"/>
  <c r="AA97" i="44"/>
  <c r="AA49" i="44"/>
  <c r="AA25" i="44"/>
  <c r="W142" i="44"/>
  <c r="W118" i="44"/>
  <c r="W94" i="44"/>
  <c r="AA94" i="44" s="1"/>
  <c r="W70" i="44"/>
  <c r="AA70" i="44" s="1"/>
  <c r="W46" i="44"/>
  <c r="AA46" i="44" s="1"/>
  <c r="W22" i="44"/>
  <c r="U148" i="44"/>
  <c r="U124" i="44"/>
  <c r="U100" i="44"/>
  <c r="U76" i="44"/>
  <c r="O142" i="44"/>
  <c r="O118" i="44"/>
  <c r="O94" i="44"/>
  <c r="O70" i="44"/>
  <c r="H151" i="44"/>
  <c r="G142" i="44"/>
  <c r="G118" i="44"/>
  <c r="G94" i="44"/>
  <c r="W141" i="44"/>
  <c r="AA141" i="44" s="1"/>
  <c r="W117" i="44"/>
  <c r="AA117" i="44" s="1"/>
  <c r="W93" i="44"/>
  <c r="W69" i="44"/>
  <c r="W45" i="44"/>
  <c r="W21" i="44"/>
  <c r="R144" i="44"/>
  <c r="R120" i="44"/>
  <c r="R96" i="44"/>
  <c r="R72" i="44"/>
  <c r="R48" i="44"/>
  <c r="L162" i="44"/>
  <c r="L138" i="44"/>
  <c r="L114" i="44"/>
  <c r="L90" i="44"/>
  <c r="L66" i="44"/>
  <c r="L42" i="44"/>
  <c r="L18" i="44"/>
  <c r="K153" i="44"/>
  <c r="K129" i="44"/>
  <c r="K105" i="44"/>
  <c r="K81" i="44"/>
  <c r="K57" i="44"/>
  <c r="K33" i="44"/>
  <c r="K9" i="44"/>
  <c r="H150" i="44"/>
  <c r="G141" i="44"/>
  <c r="G117" i="44"/>
  <c r="E147" i="44"/>
  <c r="G162" i="44"/>
  <c r="G138" i="44"/>
  <c r="G114" i="44"/>
  <c r="E144" i="44"/>
  <c r="Z107" i="44"/>
  <c r="AA107" i="44" s="1"/>
  <c r="Z83" i="44"/>
  <c r="Z59" i="44"/>
  <c r="W161" i="44"/>
  <c r="AA161" i="44" s="1"/>
  <c r="W137" i="44"/>
  <c r="AA137" i="44" s="1"/>
  <c r="W113" i="44"/>
  <c r="W89" i="44"/>
  <c r="W65" i="44"/>
  <c r="W41" i="44"/>
  <c r="AA41" i="44" s="1"/>
  <c r="W17" i="44"/>
  <c r="L158" i="44"/>
  <c r="L134" i="44"/>
  <c r="L110" i="44"/>
  <c r="L86" i="44"/>
  <c r="L62" i="44"/>
  <c r="L38" i="44"/>
  <c r="L14" i="44"/>
  <c r="G161" i="44"/>
  <c r="G137" i="44"/>
  <c r="W160" i="44"/>
  <c r="AA160" i="44" s="1"/>
  <c r="W136" i="44"/>
  <c r="AA136" i="44" s="1"/>
  <c r="W112" i="44"/>
  <c r="AA112" i="44" s="1"/>
  <c r="W88" i="44"/>
  <c r="AA88" i="44" s="1"/>
  <c r="W64" i="44"/>
  <c r="W40" i="44"/>
  <c r="AA40" i="44" s="1"/>
  <c r="W16" i="44"/>
  <c r="R163" i="44"/>
  <c r="R139" i="44"/>
  <c r="R115" i="44"/>
  <c r="R91" i="44"/>
  <c r="R67" i="44"/>
  <c r="R43" i="44"/>
  <c r="R19" i="44"/>
  <c r="L157" i="44"/>
  <c r="L133" i="44"/>
  <c r="L109" i="44"/>
  <c r="L85" i="44"/>
  <c r="L61" i="44"/>
  <c r="E142" i="44"/>
  <c r="E118" i="44"/>
  <c r="E94" i="44"/>
  <c r="W39" i="44"/>
  <c r="AA39" i="44" s="1"/>
  <c r="W15" i="44"/>
  <c r="AA15" i="44" s="1"/>
  <c r="R162" i="44"/>
  <c r="R138" i="44"/>
  <c r="R114" i="44"/>
  <c r="R90" i="44"/>
  <c r="R66" i="44"/>
  <c r="R42" i="44"/>
  <c r="R18" i="44"/>
  <c r="L156" i="44"/>
  <c r="L132" i="44"/>
  <c r="L108" i="44"/>
  <c r="L84" i="44"/>
  <c r="L60" i="44"/>
  <c r="L36" i="44"/>
  <c r="L12" i="44"/>
  <c r="H120" i="44"/>
  <c r="H96" i="44"/>
  <c r="H72" i="44"/>
  <c r="H48" i="44"/>
  <c r="H24" i="44"/>
  <c r="G159" i="44"/>
  <c r="G135" i="44"/>
  <c r="E141" i="44"/>
  <c r="E117" i="44"/>
  <c r="Z11" i="44"/>
  <c r="AA11" i="44" s="1"/>
  <c r="W158" i="44"/>
  <c r="AA158" i="44" s="1"/>
  <c r="W134" i="44"/>
  <c r="W110" i="44"/>
  <c r="AA110" i="44" s="1"/>
  <c r="W86" i="44"/>
  <c r="AA86" i="44" s="1"/>
  <c r="L35" i="44"/>
  <c r="H23" i="44"/>
  <c r="E164" i="44"/>
  <c r="E140" i="44"/>
  <c r="E116" i="44"/>
  <c r="E92" i="44"/>
  <c r="E68" i="44"/>
  <c r="Z9" i="44"/>
  <c r="AA9" i="44" s="1"/>
  <c r="W109" i="44"/>
  <c r="AA109" i="44" s="1"/>
  <c r="W85" i="44"/>
  <c r="AA85" i="44" s="1"/>
  <c r="W61" i="44"/>
  <c r="AA61" i="44" s="1"/>
  <c r="W37" i="44"/>
  <c r="AA37" i="44" s="1"/>
  <c r="W13" i="44"/>
  <c r="AA13" i="44" s="1"/>
  <c r="R64" i="44"/>
  <c r="R40" i="44"/>
  <c r="R16" i="44"/>
  <c r="L154" i="44"/>
  <c r="L130" i="44"/>
  <c r="L106" i="44"/>
  <c r="L82" i="44"/>
  <c r="L58" i="44"/>
  <c r="L34" i="44"/>
  <c r="L10" i="44"/>
  <c r="G157" i="44"/>
  <c r="E163" i="44"/>
  <c r="E139" i="44"/>
  <c r="E115" i="44"/>
  <c r="E91" i="44"/>
  <c r="E67" i="44"/>
  <c r="W60" i="44"/>
  <c r="L153" i="44"/>
  <c r="L129" i="44"/>
  <c r="L105" i="44"/>
  <c r="L81" i="44"/>
  <c r="L57" i="44"/>
  <c r="L33" i="44"/>
  <c r="L9" i="44"/>
  <c r="H141" i="44"/>
  <c r="H117" i="44"/>
  <c r="E162" i="44"/>
  <c r="E138" i="44"/>
  <c r="W36" i="44"/>
  <c r="AA36" i="44" s="1"/>
  <c r="W155" i="44"/>
  <c r="W131" i="44"/>
  <c r="W107" i="44"/>
  <c r="W83" i="44"/>
  <c r="W59" i="44"/>
  <c r="W35" i="44"/>
  <c r="W11" i="44"/>
  <c r="K143" i="44"/>
  <c r="K119" i="44"/>
  <c r="K95" i="44"/>
  <c r="K71" i="44"/>
  <c r="K47" i="44"/>
  <c r="K23" i="44"/>
  <c r="G155" i="44"/>
  <c r="G131" i="44"/>
  <c r="G107" i="44"/>
  <c r="G83" i="44"/>
  <c r="G59" i="44"/>
  <c r="E161" i="44"/>
  <c r="E137" i="44"/>
  <c r="W154" i="44"/>
  <c r="AA154" i="44" s="1"/>
  <c r="W130" i="44"/>
  <c r="AA130" i="44" s="1"/>
  <c r="W106" i="44"/>
  <c r="AA106" i="44" s="1"/>
  <c r="W82" i="44"/>
  <c r="AA82" i="44" s="1"/>
  <c r="W58" i="44"/>
  <c r="AA58" i="44" s="1"/>
  <c r="W34" i="44"/>
  <c r="AA34" i="44" s="1"/>
  <c r="W10" i="44"/>
  <c r="AA10" i="44" s="1"/>
  <c r="G154" i="44"/>
  <c r="G130" i="44"/>
  <c r="G106" i="44"/>
  <c r="G82" i="44"/>
  <c r="G58" i="44"/>
  <c r="Z153" i="44"/>
  <c r="AA153" i="44" s="1"/>
  <c r="Z129" i="44"/>
  <c r="AA129" i="44" s="1"/>
  <c r="Z105" i="44"/>
  <c r="AA105" i="44" s="1"/>
  <c r="Z81" i="44"/>
  <c r="AA81" i="44" s="1"/>
  <c r="Z57" i="44"/>
  <c r="AA57" i="44" s="1"/>
  <c r="Z33" i="44"/>
  <c r="AA33" i="44" s="1"/>
  <c r="W12" i="44"/>
  <c r="AA12" i="44" s="1"/>
  <c r="Z99" i="44"/>
  <c r="AA99" i="44" s="1"/>
  <c r="Z75" i="44"/>
  <c r="AA75" i="44" s="1"/>
  <c r="Z51" i="44"/>
  <c r="AA51" i="44" s="1"/>
  <c r="Z27" i="44"/>
  <c r="AA27" i="44" s="1"/>
  <c r="W29" i="44"/>
  <c r="AA29" i="44" s="1"/>
  <c r="R152" i="44"/>
  <c r="R128" i="44"/>
  <c r="R104" i="44"/>
  <c r="R80" i="44"/>
  <c r="R56" i="44"/>
  <c r="R32" i="44"/>
  <c r="R8" i="44"/>
  <c r="L146" i="44"/>
  <c r="L122" i="44"/>
  <c r="L98" i="44"/>
  <c r="L74" i="44"/>
  <c r="L50" i="44"/>
  <c r="L26" i="44"/>
  <c r="E155" i="44"/>
  <c r="W148" i="44"/>
  <c r="E154" i="44"/>
  <c r="E130" i="44"/>
  <c r="Z93" i="44"/>
  <c r="Z69" i="44"/>
  <c r="AA69" i="44" s="1"/>
  <c r="Z21" i="44"/>
  <c r="U7" i="54"/>
  <c r="R7" i="54"/>
  <c r="R6" i="54"/>
  <c r="Z6" i="54"/>
  <c r="AA6" i="54" s="1"/>
  <c r="O7" i="54"/>
  <c r="H7" i="54"/>
  <c r="L6" i="54"/>
  <c r="G7" i="54"/>
  <c r="Z7" i="54"/>
  <c r="L7" i="54"/>
  <c r="W7" i="54"/>
  <c r="AA7" i="54" s="1"/>
  <c r="O6" i="54"/>
  <c r="H6" i="54"/>
  <c r="G6" i="54"/>
  <c r="O6" i="53"/>
  <c r="L8" i="53"/>
  <c r="L7" i="53"/>
  <c r="L6" i="53"/>
  <c r="H10" i="53"/>
  <c r="H9" i="53"/>
  <c r="Z10" i="53"/>
  <c r="H8" i="53"/>
  <c r="Z9" i="53"/>
  <c r="AA9" i="53" s="1"/>
  <c r="G10" i="53"/>
  <c r="G8" i="53"/>
  <c r="R7" i="53"/>
  <c r="Z7" i="53"/>
  <c r="AA7" i="53" s="1"/>
  <c r="Z6" i="53"/>
  <c r="O10" i="53"/>
  <c r="O9" i="53"/>
  <c r="Z8" i="53"/>
  <c r="U8" i="53"/>
  <c r="O8" i="53"/>
  <c r="AA8" i="53"/>
  <c r="W10" i="53"/>
  <c r="AA10" i="53" s="1"/>
  <c r="H7" i="53"/>
  <c r="H6" i="53"/>
  <c r="G9" i="53"/>
  <c r="W6" i="53"/>
  <c r="R6" i="53"/>
  <c r="G7" i="53"/>
  <c r="G6" i="53"/>
  <c r="L10" i="53"/>
  <c r="L9" i="53"/>
  <c r="K7" i="53"/>
  <c r="R7" i="52"/>
  <c r="U6" i="52"/>
  <c r="Z6" i="52"/>
  <c r="L7" i="52"/>
  <c r="O6" i="52"/>
  <c r="Z7" i="52"/>
  <c r="R6" i="52"/>
  <c r="L6" i="52"/>
  <c r="U7" i="52"/>
  <c r="AA6" i="52"/>
  <c r="W7" i="52"/>
  <c r="H7" i="52"/>
  <c r="H6" i="52"/>
  <c r="G7" i="52"/>
  <c r="G6" i="52"/>
  <c r="AA27" i="7"/>
  <c r="U27" i="7"/>
  <c r="W46" i="7"/>
  <c r="W22" i="7"/>
  <c r="W15" i="7"/>
  <c r="AA15" i="7" s="1"/>
  <c r="G41" i="7"/>
  <c r="U46" i="7"/>
  <c r="K14" i="7"/>
  <c r="U23" i="7"/>
  <c r="W45" i="7"/>
  <c r="AA45" i="7" s="1"/>
  <c r="W21" i="7"/>
  <c r="R37" i="7"/>
  <c r="R13" i="7"/>
  <c r="L30" i="7"/>
  <c r="L6" i="7"/>
  <c r="L43" i="7"/>
  <c r="L19" i="7"/>
  <c r="Z11" i="7"/>
  <c r="H42" i="7"/>
  <c r="H18" i="7"/>
  <c r="L28" i="7"/>
  <c r="H17" i="7"/>
  <c r="AA17" i="7"/>
  <c r="Z47" i="7"/>
  <c r="Z23" i="7"/>
  <c r="AA20" i="7"/>
  <c r="AA41" i="7"/>
  <c r="L32" i="7"/>
  <c r="L8" i="7"/>
  <c r="H15" i="7"/>
  <c r="R39" i="7"/>
  <c r="R15" i="7"/>
  <c r="L25" i="7"/>
  <c r="L38" i="7"/>
  <c r="U39" i="7"/>
  <c r="R20" i="7"/>
  <c r="R38" i="7"/>
  <c r="R14" i="7"/>
  <c r="O31" i="7"/>
  <c r="O7" i="7"/>
  <c r="H37" i="7"/>
  <c r="H13" i="7"/>
  <c r="L36" i="7"/>
  <c r="G25" i="7"/>
  <c r="Z21" i="7"/>
  <c r="R36" i="7"/>
  <c r="O35" i="7"/>
  <c r="O11" i="7"/>
  <c r="R28" i="7"/>
  <c r="O41" i="7"/>
  <c r="Z40" i="7"/>
  <c r="AA40" i="7" s="1"/>
  <c r="Z16" i="7"/>
  <c r="AA16" i="7" s="1"/>
  <c r="O25" i="7"/>
  <c r="O17" i="7"/>
  <c r="L42" i="7"/>
  <c r="U9" i="7"/>
  <c r="R24" i="7"/>
  <c r="R30" i="7"/>
  <c r="R47" i="7"/>
  <c r="R23" i="7"/>
  <c r="L40" i="7"/>
  <c r="L16" i="7"/>
  <c r="H29" i="7"/>
  <c r="H47" i="7"/>
  <c r="R29" i="7"/>
  <c r="R46" i="7"/>
  <c r="O22" i="7"/>
  <c r="L39" i="7"/>
  <c r="L15" i="7"/>
  <c r="K34" i="7"/>
  <c r="K10" i="7"/>
  <c r="H28" i="7"/>
  <c r="U33" i="7"/>
  <c r="L14" i="7"/>
  <c r="H27" i="7"/>
  <c r="U47" i="7"/>
  <c r="Z8" i="7"/>
  <c r="AA8" i="7" s="1"/>
  <c r="W28" i="7"/>
  <c r="AA28" i="7" s="1"/>
  <c r="R9" i="7"/>
  <c r="R27" i="7"/>
  <c r="O26" i="7"/>
  <c r="Z43" i="7"/>
  <c r="Z19" i="7"/>
  <c r="O37" i="7"/>
  <c r="O13" i="7"/>
  <c r="K32" i="7"/>
  <c r="K8" i="7"/>
  <c r="H26" i="7"/>
  <c r="W19" i="7"/>
  <c r="U29" i="7"/>
  <c r="Z32" i="7"/>
  <c r="R26" i="7"/>
  <c r="L12" i="7"/>
  <c r="U28" i="7"/>
  <c r="R25" i="7"/>
  <c r="O24" i="7"/>
  <c r="L35" i="7"/>
  <c r="H24" i="7"/>
  <c r="G46" i="7"/>
  <c r="G12" i="7"/>
  <c r="AA47" i="7"/>
  <c r="AA23" i="7"/>
  <c r="AA38" i="7"/>
  <c r="AA13" i="7"/>
  <c r="AA43" i="7"/>
  <c r="W39" i="7"/>
  <c r="AA39" i="7" s="1"/>
  <c r="H45" i="7"/>
  <c r="H21" i="7"/>
  <c r="W38" i="7"/>
  <c r="W14" i="7"/>
  <c r="AA14" i="7" s="1"/>
  <c r="R32" i="7"/>
  <c r="H44" i="7"/>
  <c r="H20" i="7"/>
  <c r="AA31" i="7"/>
  <c r="AA7" i="7"/>
  <c r="W37" i="7"/>
  <c r="AA37" i="7" s="1"/>
  <c r="U25" i="7"/>
  <c r="R31" i="7"/>
  <c r="R7" i="7"/>
  <c r="H43" i="7"/>
  <c r="H19" i="7"/>
  <c r="E25" i="7"/>
  <c r="G36" i="7"/>
  <c r="Z29" i="7"/>
  <c r="AA29" i="7" s="1"/>
  <c r="W36" i="7"/>
  <c r="AA36" i="7" s="1"/>
  <c r="W12" i="7"/>
  <c r="AA12" i="7" s="1"/>
  <c r="H41" i="7"/>
  <c r="G35" i="7"/>
  <c r="G11" i="7"/>
  <c r="E47" i="7"/>
  <c r="W35" i="7"/>
  <c r="AA35" i="7" s="1"/>
  <c r="W11" i="7"/>
  <c r="AA11" i="7" s="1"/>
  <c r="U22" i="7"/>
  <c r="O34" i="7"/>
  <c r="O10" i="7"/>
  <c r="H40" i="7"/>
  <c r="H16" i="7"/>
  <c r="G34" i="7"/>
  <c r="G10" i="7"/>
  <c r="W34" i="7"/>
  <c r="AA34" i="7" s="1"/>
  <c r="W10" i="7"/>
  <c r="AA10" i="7" s="1"/>
  <c r="W33" i="7"/>
  <c r="AA33" i="7" s="1"/>
  <c r="W9" i="7"/>
  <c r="AA9" i="7" s="1"/>
  <c r="U45" i="7"/>
  <c r="U21" i="7"/>
  <c r="H39" i="7"/>
  <c r="G33" i="7"/>
  <c r="G9" i="7"/>
  <c r="E45" i="7"/>
  <c r="W32" i="7"/>
  <c r="W8" i="7"/>
  <c r="U44" i="7"/>
  <c r="U20" i="7"/>
  <c r="H38" i="7"/>
  <c r="H14" i="7"/>
  <c r="G32" i="7"/>
  <c r="G8" i="7"/>
  <c r="E44" i="7"/>
  <c r="AA25" i="7"/>
  <c r="L37" i="7"/>
  <c r="L13" i="7"/>
  <c r="E43" i="7"/>
  <c r="E19" i="7"/>
  <c r="W30" i="7"/>
  <c r="AA30" i="7" s="1"/>
  <c r="W6" i="7"/>
  <c r="AA6" i="7" s="1"/>
  <c r="U42" i="7"/>
  <c r="U18" i="7"/>
  <c r="O30" i="7"/>
  <c r="O6" i="7"/>
  <c r="H36" i="7"/>
  <c r="H12" i="7"/>
  <c r="G30" i="7"/>
  <c r="AA24" i="7"/>
  <c r="U41" i="7"/>
  <c r="U17" i="7"/>
  <c r="L11" i="7"/>
  <c r="H35" i="7"/>
  <c r="H11" i="7"/>
  <c r="AA46" i="7"/>
  <c r="AA22" i="7"/>
  <c r="U40" i="7"/>
  <c r="U16" i="7"/>
  <c r="O28" i="7"/>
  <c r="H34" i="7"/>
  <c r="H10" i="7"/>
  <c r="U43" i="7"/>
  <c r="H33" i="7"/>
  <c r="H9" i="7"/>
  <c r="H32" i="7"/>
  <c r="H8" i="7"/>
  <c r="AA42" i="7"/>
  <c r="AA18" i="7"/>
  <c r="L29" i="7"/>
  <c r="L27" i="7"/>
  <c r="L26" i="7"/>
  <c r="W6" i="58"/>
  <c r="R6" i="58"/>
  <c r="O6" i="58"/>
  <c r="K6" i="58"/>
  <c r="AA6" i="58"/>
  <c r="H6" i="58"/>
  <c r="G6" i="58"/>
  <c r="Z6" i="59"/>
  <c r="R6" i="59"/>
  <c r="O6" i="59"/>
  <c r="K6" i="59"/>
  <c r="L6" i="59"/>
  <c r="AA6" i="59"/>
  <c r="U6" i="59"/>
  <c r="H6" i="59"/>
  <c r="G6" i="59"/>
  <c r="U7" i="51"/>
  <c r="R7" i="51"/>
  <c r="R6" i="51"/>
  <c r="U6" i="51"/>
  <c r="O6" i="51"/>
  <c r="Z7" i="51"/>
  <c r="Z6" i="51"/>
  <c r="H6" i="51"/>
  <c r="G7" i="51"/>
  <c r="W7" i="51"/>
  <c r="AA7" i="51"/>
  <c r="AA6" i="51"/>
  <c r="O7" i="51"/>
  <c r="K7" i="51"/>
  <c r="G6" i="51"/>
  <c r="AA15" i="48"/>
  <c r="M23" i="48"/>
  <c r="AC16" i="48"/>
  <c r="AD16" i="48" s="1"/>
  <c r="V14" i="48"/>
  <c r="M15" i="48"/>
  <c r="J26" i="48"/>
  <c r="G24" i="48"/>
  <c r="G18" i="48"/>
  <c r="P21" i="48"/>
  <c r="G17" i="48"/>
  <c r="AD14" i="48"/>
  <c r="M21" i="48"/>
  <c r="G22" i="48"/>
  <c r="G16" i="48"/>
  <c r="AD12" i="48"/>
  <c r="M20" i="48"/>
  <c r="J21" i="48"/>
  <c r="G15" i="48"/>
  <c r="P18" i="48"/>
  <c r="M19" i="48"/>
  <c r="J20" i="48"/>
  <c r="G38" i="48"/>
  <c r="G14" i="48"/>
  <c r="AC33" i="48"/>
  <c r="AD33" i="48" s="1"/>
  <c r="AC9" i="48"/>
  <c r="AD9" i="48" s="1"/>
  <c r="S18" i="48"/>
  <c r="AC32" i="48"/>
  <c r="AC8" i="48"/>
  <c r="P17" i="48"/>
  <c r="M18" i="48"/>
  <c r="J19" i="48"/>
  <c r="G37" i="48"/>
  <c r="G13" i="48"/>
  <c r="P16" i="48"/>
  <c r="M17" i="48"/>
  <c r="G36" i="48"/>
  <c r="G12" i="48"/>
  <c r="AD32" i="48"/>
  <c r="AD8" i="48"/>
  <c r="AC30" i="48"/>
  <c r="AD30" i="48" s="1"/>
  <c r="AC6" i="48"/>
  <c r="AD6" i="48" s="1"/>
  <c r="P15" i="48"/>
  <c r="M16" i="48"/>
  <c r="J17" i="48"/>
  <c r="AD31" i="48"/>
  <c r="S15" i="48"/>
  <c r="AD7" i="48"/>
  <c r="V15" i="48"/>
  <c r="AC29" i="48"/>
  <c r="AD29" i="48" s="1"/>
  <c r="S38" i="48"/>
  <c r="S14" i="48"/>
  <c r="AC28" i="48"/>
  <c r="P37" i="48"/>
  <c r="P13" i="48"/>
  <c r="M38" i="48"/>
  <c r="M14" i="48"/>
  <c r="J15" i="48"/>
  <c r="S37" i="48"/>
  <c r="P36" i="48"/>
  <c r="J37" i="48"/>
  <c r="J13" i="48"/>
  <c r="J38" i="48"/>
  <c r="J14" i="48"/>
  <c r="AA35" i="48"/>
  <c r="AC26" i="48"/>
  <c r="AD26" i="48" s="1"/>
  <c r="V36" i="48"/>
  <c r="S12" i="48"/>
  <c r="S36" i="48"/>
  <c r="P12" i="48"/>
  <c r="P35" i="48"/>
  <c r="P11" i="48"/>
  <c r="M36" i="48"/>
  <c r="M12" i="48"/>
  <c r="M35" i="48"/>
  <c r="J11" i="48"/>
  <c r="V35" i="48"/>
  <c r="V11" i="48"/>
  <c r="S35" i="48"/>
  <c r="S11" i="48"/>
  <c r="V24" i="48"/>
  <c r="Y33" i="48"/>
  <c r="Y9" i="48"/>
  <c r="V34" i="48"/>
  <c r="V10" i="48"/>
  <c r="S34" i="48"/>
  <c r="S10" i="48"/>
  <c r="P33" i="48"/>
  <c r="P9" i="48"/>
  <c r="J34" i="48"/>
  <c r="J10" i="48"/>
  <c r="J35" i="48"/>
  <c r="Y8" i="48"/>
  <c r="V33" i="48"/>
  <c r="V9" i="48"/>
  <c r="S33" i="48"/>
  <c r="S9" i="48"/>
  <c r="P32" i="48"/>
  <c r="M8" i="48"/>
  <c r="G25" i="48"/>
  <c r="AD38" i="48"/>
  <c r="Y31" i="48"/>
  <c r="Y7" i="48"/>
  <c r="S23" i="48"/>
  <c r="V32" i="48"/>
  <c r="V8" i="48"/>
  <c r="S32" i="48"/>
  <c r="S8" i="48"/>
  <c r="M7" i="48"/>
  <c r="M32" i="48"/>
  <c r="AA38" i="48"/>
  <c r="AC21" i="48"/>
  <c r="AD21" i="48" s="1"/>
  <c r="Y6" i="48"/>
  <c r="S22" i="48"/>
  <c r="V31" i="48"/>
  <c r="V7" i="48"/>
  <c r="P22" i="48"/>
  <c r="P31" i="48"/>
  <c r="P7" i="48"/>
  <c r="M31" i="48"/>
  <c r="AD13" i="48"/>
  <c r="Y38" i="48"/>
  <c r="S26" i="48"/>
  <c r="AD20" i="48"/>
  <c r="V30" i="48"/>
  <c r="V6" i="48"/>
  <c r="S30" i="48"/>
  <c r="S6" i="48"/>
  <c r="P29" i="48"/>
  <c r="Y22" i="48"/>
  <c r="Y16" i="48"/>
  <c r="Y29" i="48"/>
  <c r="AD19" i="48"/>
  <c r="Y28" i="48"/>
  <c r="V37" i="48"/>
  <c r="V29" i="48"/>
  <c r="S29" i="48"/>
  <c r="G21" i="48"/>
  <c r="G6" i="48"/>
  <c r="Y20" i="48"/>
  <c r="Y27" i="48"/>
  <c r="S19" i="48"/>
  <c r="V28" i="48"/>
  <c r="P28" i="48"/>
  <c r="G33" i="48"/>
  <c r="AD37" i="48"/>
  <c r="Y19" i="48"/>
  <c r="AC17" i="48"/>
  <c r="AD17" i="48" s="1"/>
  <c r="Y26" i="48"/>
  <c r="V27" i="48"/>
  <c r="J18" i="48"/>
  <c r="G32" i="48"/>
  <c r="E20" i="48"/>
  <c r="V20" i="48"/>
  <c r="J32" i="48"/>
  <c r="G35" i="48"/>
  <c r="G11" i="48"/>
  <c r="V21" i="48"/>
  <c r="AD28" i="48"/>
  <c r="V19" i="48"/>
  <c r="M28" i="48"/>
  <c r="J31" i="48"/>
  <c r="G34" i="48"/>
  <c r="G10" i="48"/>
  <c r="J6" i="48"/>
  <c r="J27" i="48"/>
  <c r="G30" i="48"/>
  <c r="AD27" i="48"/>
  <c r="V12" i="48"/>
  <c r="J24" i="48"/>
  <c r="J23" i="48"/>
  <c r="J22" i="48"/>
  <c r="E19" i="48"/>
  <c r="AA37" i="48"/>
  <c r="E18" i="48"/>
  <c r="AA36" i="48"/>
  <c r="E17" i="48"/>
  <c r="E16" i="48"/>
  <c r="E15" i="48"/>
  <c r="AC24" i="48"/>
  <c r="AD24" i="48" s="1"/>
  <c r="AA33" i="48"/>
  <c r="AA9" i="48"/>
  <c r="E38" i="48"/>
  <c r="E14" i="48"/>
  <c r="AA13" i="48"/>
  <c r="AA12" i="48"/>
  <c r="AA31" i="48"/>
  <c r="AA7" i="48"/>
  <c r="Y25" i="48"/>
  <c r="S31" i="48"/>
  <c r="S7" i="48"/>
  <c r="P34" i="48"/>
  <c r="P10" i="48"/>
  <c r="M37" i="48"/>
  <c r="M13" i="48"/>
  <c r="E37" i="48"/>
  <c r="E13" i="48"/>
  <c r="AA32" i="48"/>
  <c r="AA8" i="48"/>
  <c r="E36" i="48"/>
  <c r="E12" i="48"/>
  <c r="Y23" i="48"/>
  <c r="P8" i="48"/>
  <c r="M11" i="48"/>
  <c r="AC36" i="48"/>
  <c r="AD36" i="48" s="1"/>
  <c r="V52" i="47"/>
  <c r="V28" i="47"/>
  <c r="V49" i="47"/>
  <c r="M11" i="47"/>
  <c r="M48" i="47"/>
  <c r="J20" i="47"/>
  <c r="P24" i="47"/>
  <c r="M47" i="47"/>
  <c r="M23" i="47"/>
  <c r="S24" i="47"/>
  <c r="J33" i="47"/>
  <c r="J9" i="47"/>
  <c r="AA51" i="47"/>
  <c r="V25" i="47"/>
  <c r="S34" i="47"/>
  <c r="S10" i="47"/>
  <c r="V35" i="47"/>
  <c r="V11" i="47"/>
  <c r="P46" i="47"/>
  <c r="P22" i="47"/>
  <c r="P47" i="47"/>
  <c r="P23" i="47"/>
  <c r="P14" i="47"/>
  <c r="AC32" i="47"/>
  <c r="AC8" i="47"/>
  <c r="M45" i="47"/>
  <c r="M21" i="47"/>
  <c r="G31" i="47"/>
  <c r="G7" i="47"/>
  <c r="J32" i="47"/>
  <c r="AA49" i="47"/>
  <c r="AA11" i="47"/>
  <c r="AC47" i="47"/>
  <c r="AD47" i="47" s="1"/>
  <c r="AC23" i="47"/>
  <c r="AD23" i="47" s="1"/>
  <c r="V48" i="47"/>
  <c r="V24" i="47"/>
  <c r="V9" i="47"/>
  <c r="S32" i="47"/>
  <c r="S8" i="47"/>
  <c r="J43" i="47"/>
  <c r="J19" i="47"/>
  <c r="G30" i="47"/>
  <c r="G6" i="47"/>
  <c r="AD33" i="47"/>
  <c r="S31" i="47"/>
  <c r="S7" i="47"/>
  <c r="AC41" i="47"/>
  <c r="AD41" i="47" s="1"/>
  <c r="AC17" i="47"/>
  <c r="AD17" i="47" s="1"/>
  <c r="J42" i="47"/>
  <c r="J18" i="47"/>
  <c r="G53" i="47"/>
  <c r="G29" i="47"/>
  <c r="AC21" i="47"/>
  <c r="J41" i="47"/>
  <c r="J17" i="47"/>
  <c r="G40" i="47"/>
  <c r="S42" i="47"/>
  <c r="S18" i="47"/>
  <c r="J40" i="47"/>
  <c r="J16" i="47"/>
  <c r="G33" i="47"/>
  <c r="AC45" i="47"/>
  <c r="AD50" i="47"/>
  <c r="P51" i="47"/>
  <c r="P27" i="47"/>
  <c r="J50" i="47"/>
  <c r="Y53" i="47"/>
  <c r="Y29" i="47"/>
  <c r="Y54" i="47"/>
  <c r="AC42" i="47"/>
  <c r="AD42" i="47" s="1"/>
  <c r="AC18" i="47"/>
  <c r="AD18" i="47" s="1"/>
  <c r="V43" i="47"/>
  <c r="V19" i="47"/>
  <c r="M50" i="47"/>
  <c r="M26" i="47"/>
  <c r="G16" i="47"/>
  <c r="AD48" i="47"/>
  <c r="AA39" i="47"/>
  <c r="Y52" i="47"/>
  <c r="Y28" i="47"/>
  <c r="Y42" i="47"/>
  <c r="Y18" i="47"/>
  <c r="S50" i="47"/>
  <c r="S26" i="47"/>
  <c r="S51" i="47"/>
  <c r="S27" i="47"/>
  <c r="S39" i="47"/>
  <c r="S15" i="47"/>
  <c r="J48" i="47"/>
  <c r="J24" i="47"/>
  <c r="J12" i="47"/>
  <c r="AC46" i="47"/>
  <c r="AD46" i="47" s="1"/>
  <c r="AC22" i="47"/>
  <c r="AD22" i="47" s="1"/>
  <c r="J47" i="47"/>
  <c r="J23" i="47"/>
  <c r="G9" i="47"/>
  <c r="AA35" i="47"/>
  <c r="AC36" i="47"/>
  <c r="AD36" i="47" s="1"/>
  <c r="AC12" i="47"/>
  <c r="AD12" i="47" s="1"/>
  <c r="P37" i="47"/>
  <c r="P13" i="47"/>
  <c r="J35" i="47"/>
  <c r="J11" i="47"/>
  <c r="V38" i="47"/>
  <c r="P36" i="47"/>
  <c r="P12" i="47"/>
  <c r="AC44" i="47"/>
  <c r="AC20" i="47"/>
  <c r="J45" i="47"/>
  <c r="G21" i="47"/>
  <c r="V14" i="47"/>
  <c r="Y30" i="47"/>
  <c r="AC34" i="47"/>
  <c r="AC10" i="47"/>
  <c r="AD10" i="47" s="1"/>
  <c r="P35" i="47"/>
  <c r="P11" i="47"/>
  <c r="P45" i="47"/>
  <c r="P21" i="47"/>
  <c r="G44" i="47"/>
  <c r="G20" i="47"/>
  <c r="G52" i="47"/>
  <c r="G28" i="47"/>
  <c r="AD37" i="47"/>
  <c r="AD15" i="47"/>
  <c r="Y37" i="47"/>
  <c r="S46" i="47"/>
  <c r="S22" i="47"/>
  <c r="P44" i="47"/>
  <c r="P20" i="47"/>
  <c r="G43" i="47"/>
  <c r="G19" i="47"/>
  <c r="Y36" i="47"/>
  <c r="G18" i="47"/>
  <c r="G50" i="47"/>
  <c r="G26" i="47"/>
  <c r="E42" i="47"/>
  <c r="V26" i="47"/>
  <c r="AC11" i="47"/>
  <c r="AD11" i="47" s="1"/>
  <c r="Y12" i="47"/>
  <c r="V45" i="47"/>
  <c r="V21" i="47"/>
  <c r="AA27" i="47"/>
  <c r="Y45" i="47"/>
  <c r="Y21" i="47"/>
  <c r="S43" i="47"/>
  <c r="S19" i="47"/>
  <c r="V44" i="47"/>
  <c r="V20" i="47"/>
  <c r="S11" i="47"/>
  <c r="P42" i="47"/>
  <c r="P18" i="47"/>
  <c r="M54" i="47"/>
  <c r="M30" i="47"/>
  <c r="M6" i="47"/>
  <c r="G49" i="47"/>
  <c r="G25" i="47"/>
  <c r="V50" i="47"/>
  <c r="AC35" i="47"/>
  <c r="AD35" i="47" s="1"/>
  <c r="AA26" i="47"/>
  <c r="Y13" i="47"/>
  <c r="AC33" i="47"/>
  <c r="AC9" i="47"/>
  <c r="AD9" i="47" s="1"/>
  <c r="P41" i="47"/>
  <c r="P17" i="47"/>
  <c r="AD19" i="47"/>
  <c r="P54" i="47"/>
  <c r="P30" i="47"/>
  <c r="P6" i="47"/>
  <c r="P40" i="47"/>
  <c r="M16" i="47"/>
  <c r="J44" i="47"/>
  <c r="G39" i="47"/>
  <c r="G15" i="47"/>
  <c r="E26" i="47"/>
  <c r="AC31" i="47"/>
  <c r="AD31" i="47" s="1"/>
  <c r="AC7" i="47"/>
  <c r="V32" i="47"/>
  <c r="Y8" i="47"/>
  <c r="P52" i="47"/>
  <c r="P28" i="47"/>
  <c r="P53" i="47"/>
  <c r="P29" i="47"/>
  <c r="AC38" i="47"/>
  <c r="AD38" i="47" s="1"/>
  <c r="AC14" i="47"/>
  <c r="AD14" i="47" s="1"/>
  <c r="M39" i="47"/>
  <c r="M15" i="47"/>
  <c r="J51" i="47"/>
  <c r="J27" i="47"/>
  <c r="G37" i="47"/>
  <c r="G13" i="47"/>
  <c r="J38" i="47"/>
  <c r="E25" i="47"/>
  <c r="AD13" i="47"/>
  <c r="AD43" i="47"/>
  <c r="AC54" i="47"/>
  <c r="AC30" i="47"/>
  <c r="AD30" i="47" s="1"/>
  <c r="AC6" i="47"/>
  <c r="AD6" i="47" s="1"/>
  <c r="V31" i="47"/>
  <c r="V7" i="47"/>
  <c r="Y40" i="47"/>
  <c r="Y16" i="47"/>
  <c r="V39" i="47"/>
  <c r="V15" i="47"/>
  <c r="P38" i="47"/>
  <c r="M37" i="47"/>
  <c r="M13" i="47"/>
  <c r="J49" i="47"/>
  <c r="G12" i="47"/>
  <c r="AD39" i="47"/>
  <c r="AD32" i="47"/>
  <c r="AD8" i="47"/>
  <c r="AD7" i="47"/>
  <c r="AD54" i="47"/>
  <c r="M40" i="47"/>
  <c r="AD53" i="47"/>
  <c r="AD29" i="47"/>
  <c r="AA31" i="47"/>
  <c r="AA7" i="47"/>
  <c r="AD52" i="47"/>
  <c r="E52" i="47"/>
  <c r="E28" i="47"/>
  <c r="Y32" i="47"/>
  <c r="AD51" i="47"/>
  <c r="AD27" i="47"/>
  <c r="AC52" i="47"/>
  <c r="AC28" i="47"/>
  <c r="AD28" i="47" s="1"/>
  <c r="AA53" i="47"/>
  <c r="AA29" i="47"/>
  <c r="Y31" i="47"/>
  <c r="Y7" i="47"/>
  <c r="S37" i="47"/>
  <c r="S13" i="47"/>
  <c r="P16" i="47"/>
  <c r="M43" i="47"/>
  <c r="M19" i="47"/>
  <c r="J46" i="47"/>
  <c r="J22" i="47"/>
  <c r="P39" i="47"/>
  <c r="P15" i="47"/>
  <c r="M42" i="47"/>
  <c r="M18" i="47"/>
  <c r="J21" i="47"/>
  <c r="G48" i="47"/>
  <c r="G24" i="47"/>
  <c r="G45" i="47"/>
  <c r="M14" i="47"/>
  <c r="AD21" i="47"/>
  <c r="P34" i="47"/>
  <c r="P10" i="47"/>
  <c r="AD45" i="47"/>
  <c r="AD44" i="47"/>
  <c r="AD20" i="47"/>
  <c r="Y48" i="47"/>
  <c r="Y24" i="47"/>
  <c r="V51" i="47"/>
  <c r="V27" i="47"/>
  <c r="S54" i="47"/>
  <c r="S30" i="47"/>
  <c r="S6" i="47"/>
  <c r="P33" i="47"/>
  <c r="P9" i="47"/>
  <c r="M36" i="47"/>
  <c r="M12" i="47"/>
  <c r="J39" i="47"/>
  <c r="J15" i="47"/>
  <c r="AA45" i="47"/>
  <c r="AA21" i="47"/>
  <c r="Y47" i="47"/>
  <c r="Y23" i="47"/>
  <c r="S53" i="47"/>
  <c r="S29" i="47"/>
  <c r="P32" i="47"/>
  <c r="P8" i="47"/>
  <c r="M35" i="47"/>
  <c r="G41" i="47"/>
  <c r="G17" i="47"/>
  <c r="G38" i="47"/>
  <c r="G14" i="47"/>
  <c r="AC40" i="47"/>
  <c r="AD40" i="47" s="1"/>
  <c r="AC16" i="47"/>
  <c r="AD16" i="47" s="1"/>
  <c r="Y43" i="47"/>
  <c r="Y19" i="47"/>
  <c r="V46" i="47"/>
  <c r="V22" i="47"/>
  <c r="S49" i="47"/>
  <c r="S25" i="47"/>
  <c r="AA40" i="47"/>
  <c r="AA16" i="47"/>
  <c r="G36" i="47"/>
  <c r="Y41" i="47"/>
  <c r="Y17" i="47"/>
  <c r="S47" i="47"/>
  <c r="S23" i="47"/>
  <c r="P50" i="47"/>
  <c r="P26" i="47"/>
  <c r="M53" i="47"/>
  <c r="M29" i="47"/>
  <c r="J8" i="47"/>
  <c r="G35" i="47"/>
  <c r="G11" i="47"/>
  <c r="AA38" i="47"/>
  <c r="AA14" i="47"/>
  <c r="G34" i="47"/>
  <c r="AD34" i="47"/>
  <c r="G32" i="47"/>
  <c r="G54" i="47"/>
  <c r="S10" i="46"/>
  <c r="P20" i="46"/>
  <c r="P18" i="46"/>
  <c r="J7" i="46"/>
  <c r="P17" i="46"/>
  <c r="AC15" i="46"/>
  <c r="AD15" i="46" s="1"/>
  <c r="J6" i="46"/>
  <c r="Y9" i="46"/>
  <c r="V20" i="46"/>
  <c r="M16" i="46"/>
  <c r="G20" i="46"/>
  <c r="V19" i="46"/>
  <c r="P15" i="46"/>
  <c r="AC13" i="46"/>
  <c r="AD13" i="46" s="1"/>
  <c r="G19" i="46"/>
  <c r="Y7" i="46"/>
  <c r="V18" i="46"/>
  <c r="P14" i="46"/>
  <c r="V17" i="46"/>
  <c r="P13" i="46"/>
  <c r="M20" i="46"/>
  <c r="AC11" i="46"/>
  <c r="AD11" i="46" s="1"/>
  <c r="V16" i="46"/>
  <c r="P12" i="46"/>
  <c r="M19" i="46"/>
  <c r="AC10" i="46"/>
  <c r="S12" i="46"/>
  <c r="Y11" i="46"/>
  <c r="V15" i="46"/>
  <c r="P11" i="46"/>
  <c r="M18" i="46"/>
  <c r="AC12" i="46"/>
  <c r="AD12" i="46" s="1"/>
  <c r="P10" i="46"/>
  <c r="M17" i="46"/>
  <c r="AD10" i="46"/>
  <c r="AC9" i="46"/>
  <c r="S20" i="46"/>
  <c r="M14" i="46"/>
  <c r="AC7" i="46"/>
  <c r="P19" i="46"/>
  <c r="M12" i="46"/>
  <c r="J18" i="46"/>
  <c r="M11" i="46"/>
  <c r="J17" i="46"/>
  <c r="Y20" i="46"/>
  <c r="S17" i="46"/>
  <c r="J19" i="46"/>
  <c r="M10" i="46"/>
  <c r="J16" i="46"/>
  <c r="AC6" i="46"/>
  <c r="AD6" i="46" s="1"/>
  <c r="Y18" i="46"/>
  <c r="S16" i="46"/>
  <c r="AC18" i="46"/>
  <c r="AD18" i="46" s="1"/>
  <c r="M9" i="46"/>
  <c r="J15" i="46"/>
  <c r="Y19" i="46"/>
  <c r="V6" i="46"/>
  <c r="S15" i="46"/>
  <c r="AC17" i="46"/>
  <c r="AD17" i="46" s="1"/>
  <c r="M8" i="46"/>
  <c r="J14" i="46"/>
  <c r="M7" i="46"/>
  <c r="J13" i="46"/>
  <c r="AD9" i="46"/>
  <c r="AD7" i="46"/>
  <c r="G18" i="46"/>
  <c r="V9" i="46"/>
  <c r="G15" i="46"/>
  <c r="V7" i="46"/>
  <c r="G14" i="46"/>
  <c r="AD20" i="46"/>
  <c r="Y8" i="46"/>
  <c r="AD19" i="46"/>
  <c r="G13" i="46"/>
  <c r="Y10" i="46"/>
  <c r="G12" i="46"/>
  <c r="AC8" i="46"/>
  <c r="AD8" i="46" s="1"/>
  <c r="G11" i="46"/>
  <c r="Y12" i="46"/>
  <c r="G10" i="46"/>
  <c r="G9" i="46"/>
  <c r="AD14" i="46"/>
  <c r="G8" i="46"/>
  <c r="P16" i="46"/>
  <c r="G7" i="46"/>
  <c r="G6" i="46"/>
  <c r="P29" i="21"/>
  <c r="V33" i="21"/>
  <c r="U17" i="21"/>
  <c r="V20" i="21"/>
  <c r="AE32" i="21"/>
  <c r="AF32" i="21" s="1"/>
  <c r="AE8" i="21"/>
  <c r="AF8" i="21" s="1"/>
  <c r="S13" i="21"/>
  <c r="AE23" i="21"/>
  <c r="AF23" i="21" s="1"/>
  <c r="P28" i="21"/>
  <c r="AE17" i="21"/>
  <c r="AF17" i="21" s="1"/>
  <c r="M22" i="21"/>
  <c r="J32" i="21"/>
  <c r="J8" i="21"/>
  <c r="H24" i="21"/>
  <c r="S12" i="21"/>
  <c r="AE22" i="21"/>
  <c r="P27" i="21"/>
  <c r="AE16" i="21"/>
  <c r="AF16" i="21" s="1"/>
  <c r="M21" i="21"/>
  <c r="J31" i="21"/>
  <c r="J7" i="21"/>
  <c r="AD24" i="21"/>
  <c r="U16" i="21"/>
  <c r="AB30" i="21"/>
  <c r="AB21" i="21"/>
  <c r="Y12" i="21"/>
  <c r="U15" i="21"/>
  <c r="V18" i="21"/>
  <c r="AE21" i="21"/>
  <c r="P26" i="21"/>
  <c r="AE15" i="21"/>
  <c r="AF15" i="21" s="1"/>
  <c r="M20" i="21"/>
  <c r="J30" i="21"/>
  <c r="J6" i="21"/>
  <c r="E22" i="21"/>
  <c r="AE29" i="21"/>
  <c r="AE20" i="21"/>
  <c r="M19" i="21"/>
  <c r="J29" i="21"/>
  <c r="H21" i="21"/>
  <c r="S33" i="21"/>
  <c r="S9" i="21"/>
  <c r="M18" i="21"/>
  <c r="H20" i="21"/>
  <c r="AE12" i="21"/>
  <c r="AF12" i="21" s="1"/>
  <c r="M17" i="21"/>
  <c r="AE11" i="21"/>
  <c r="AF11" i="21" s="1"/>
  <c r="M16" i="21"/>
  <c r="Y7" i="21"/>
  <c r="AB16" i="21"/>
  <c r="Y6" i="21"/>
  <c r="H16" i="21"/>
  <c r="AF20" i="21"/>
  <c r="Y31" i="21"/>
  <c r="AF19" i="21"/>
  <c r="AB15" i="21"/>
  <c r="Y30" i="21"/>
  <c r="AF18" i="21"/>
  <c r="AB14" i="21"/>
  <c r="Y29" i="21"/>
  <c r="H15" i="21"/>
  <c r="AE31" i="21"/>
  <c r="AF31" i="21" s="1"/>
  <c r="AE7" i="21"/>
  <c r="AF7" i="21" s="1"/>
  <c r="J12" i="21"/>
  <c r="AE30" i="21"/>
  <c r="AF30" i="21" s="1"/>
  <c r="AE6" i="21"/>
  <c r="AF6" i="21" s="1"/>
  <c r="J11" i="21"/>
  <c r="E13" i="21"/>
  <c r="E12" i="21"/>
  <c r="AE28" i="21"/>
  <c r="AF28" i="21" s="1"/>
  <c r="J19" i="21"/>
  <c r="AE27" i="21"/>
  <c r="AF27" i="21" s="1"/>
  <c r="J18" i="21"/>
  <c r="E34" i="21"/>
  <c r="E10" i="21"/>
  <c r="E33" i="21"/>
  <c r="E9" i="21"/>
  <c r="E32" i="21"/>
  <c r="E8" i="21"/>
  <c r="J28" i="21"/>
  <c r="J15" i="21"/>
  <c r="E31" i="21"/>
  <c r="E7" i="21"/>
  <c r="J27" i="21"/>
  <c r="E30" i="21"/>
  <c r="E6" i="21"/>
  <c r="S18" i="21"/>
  <c r="P33" i="21"/>
  <c r="P9" i="21"/>
  <c r="J26" i="21"/>
  <c r="U21" i="21"/>
  <c r="P12" i="21"/>
  <c r="S17" i="21"/>
  <c r="P32" i="21"/>
  <c r="M8" i="21"/>
  <c r="J25" i="21"/>
  <c r="U20" i="21"/>
  <c r="S16" i="21"/>
  <c r="AE26" i="21"/>
  <c r="AF26" i="21" s="1"/>
  <c r="P31" i="21"/>
  <c r="P7" i="21"/>
  <c r="U19" i="21"/>
  <c r="P34" i="21"/>
  <c r="P10" i="21"/>
  <c r="S15" i="21"/>
  <c r="AE25" i="21"/>
  <c r="M30" i="21"/>
  <c r="M6" i="21"/>
  <c r="M24" i="21"/>
  <c r="J34" i="21"/>
  <c r="J10" i="21"/>
  <c r="AF22" i="21"/>
  <c r="AF21" i="21"/>
  <c r="Y20" i="21"/>
  <c r="J23" i="21"/>
  <c r="H8" i="21"/>
  <c r="H7" i="21"/>
  <c r="Y17" i="21"/>
  <c r="V32" i="21"/>
  <c r="V8" i="21"/>
  <c r="S23" i="21"/>
  <c r="P14" i="21"/>
  <c r="M29" i="21"/>
  <c r="J20" i="21"/>
  <c r="H30" i="21"/>
  <c r="H6" i="21"/>
  <c r="E21" i="21"/>
  <c r="AF29" i="21"/>
  <c r="AE34" i="21"/>
  <c r="AF34" i="21" s="1"/>
  <c r="AE10" i="21"/>
  <c r="AF10" i="21" s="1"/>
  <c r="Y16" i="21"/>
  <c r="V31" i="21"/>
  <c r="V7" i="21"/>
  <c r="P13" i="21"/>
  <c r="M28" i="21"/>
  <c r="H29" i="21"/>
  <c r="E20" i="21"/>
  <c r="S22" i="21"/>
  <c r="AB24" i="21"/>
  <c r="Y15" i="21"/>
  <c r="S21" i="21"/>
  <c r="M27" i="21"/>
  <c r="E19" i="21"/>
  <c r="S26" i="21"/>
  <c r="H33" i="21"/>
  <c r="H9" i="21"/>
  <c r="E24" i="21"/>
  <c r="M31" i="21"/>
  <c r="Y18" i="21"/>
  <c r="P15" i="21"/>
  <c r="J21" i="21"/>
  <c r="H31" i="21"/>
  <c r="AB23" i="21"/>
  <c r="S20" i="21"/>
  <c r="M26" i="21"/>
  <c r="J17" i="21"/>
  <c r="E18" i="21"/>
  <c r="AB22" i="21"/>
  <c r="Y13" i="21"/>
  <c r="S19" i="21"/>
  <c r="M25" i="21"/>
  <c r="J16" i="21"/>
  <c r="E17" i="21"/>
  <c r="AF25" i="21"/>
  <c r="V27" i="21"/>
  <c r="E16" i="21"/>
  <c r="P17" i="21"/>
  <c r="M7" i="21"/>
  <c r="Y9" i="21"/>
  <c r="V24" i="21"/>
  <c r="P30" i="21"/>
  <c r="P6" i="21"/>
  <c r="H22" i="21"/>
  <c r="AE14" i="21"/>
  <c r="AF14" i="21" s="1"/>
  <c r="AB28" i="21"/>
  <c r="V34" i="21"/>
  <c r="V10" i="21"/>
  <c r="P16" i="21"/>
  <c r="J22" i="21"/>
  <c r="V26" i="21"/>
  <c r="H23" i="21"/>
  <c r="V23" i="21"/>
  <c r="AB27" i="21"/>
  <c r="AE13" i="21"/>
  <c r="AF13" i="21" s="1"/>
  <c r="P8" i="21"/>
  <c r="AD29" i="21"/>
  <c r="V11" i="21"/>
  <c r="M32" i="21"/>
  <c r="S25" i="21"/>
  <c r="H32" i="21"/>
  <c r="S24" i="21"/>
  <c r="AB26" i="21"/>
  <c r="AB25" i="21"/>
  <c r="Y14" i="21"/>
  <c r="AB19" i="21"/>
  <c r="V25" i="21"/>
  <c r="V22" i="21"/>
  <c r="AA60" i="50" l="1"/>
  <c r="AA84" i="50"/>
  <c r="AA15" i="50"/>
  <c r="AA39" i="50"/>
  <c r="AA25" i="50"/>
  <c r="AA26" i="50"/>
  <c r="AA85" i="50"/>
  <c r="AA74" i="50"/>
  <c r="AA48" i="50"/>
  <c r="AA14" i="50"/>
  <c r="AA38" i="50"/>
  <c r="AA17" i="44"/>
  <c r="AA45" i="44"/>
  <c r="AA21" i="44"/>
  <c r="AA83" i="44"/>
  <c r="AA95" i="44"/>
  <c r="AA65" i="44"/>
  <c r="AA155" i="44"/>
  <c r="AA93" i="44"/>
  <c r="AA89" i="44"/>
  <c r="AA59" i="44"/>
  <c r="AA6" i="53"/>
  <c r="AA7" i="52"/>
  <c r="AA19" i="7"/>
  <c r="AA32" i="7"/>
  <c r="AA21" i="7"/>
  <c r="E4" i="58" l="1"/>
  <c r="Z4" i="59"/>
  <c r="Y4" i="59"/>
  <c r="W4" i="59"/>
  <c r="V4" i="59"/>
  <c r="U4" i="59"/>
  <c r="T4" i="59"/>
  <c r="S4" i="59"/>
  <c r="R4" i="59"/>
  <c r="Q4" i="59"/>
  <c r="P4" i="59"/>
  <c r="O4" i="59"/>
  <c r="N4" i="59"/>
  <c r="M4" i="59"/>
  <c r="L4" i="59"/>
  <c r="J4" i="59"/>
  <c r="I4" i="59"/>
  <c r="G4" i="59"/>
  <c r="F4" i="59"/>
  <c r="E4" i="59"/>
  <c r="D4" i="59"/>
  <c r="AN5" i="46" s="1"/>
  <c r="A2" i="59"/>
  <c r="D4" i="58"/>
  <c r="AO5" i="46" s="1"/>
  <c r="A2" i="58"/>
  <c r="O4" i="58" l="1"/>
  <c r="G4" i="58"/>
  <c r="AO6" i="46" s="1"/>
  <c r="L4" i="58"/>
  <c r="R4" i="58"/>
  <c r="U4" i="58"/>
  <c r="N4" i="58"/>
  <c r="T4" i="58"/>
  <c r="AN6" i="46"/>
  <c r="AN2" i="46"/>
  <c r="AN7" i="46"/>
  <c r="V4" i="58"/>
  <c r="M4" i="58"/>
  <c r="S4" i="58"/>
  <c r="F4" i="58"/>
  <c r="I4" i="58"/>
  <c r="J4" i="58"/>
  <c r="P4" i="58"/>
  <c r="Q4" i="58"/>
  <c r="Y4" i="58"/>
  <c r="W4" i="58" l="1"/>
  <c r="AO2" i="46" s="1"/>
  <c r="Z4" i="58"/>
  <c r="AO7" i="46"/>
  <c r="E6" i="27"/>
  <c r="E7" i="27"/>
  <c r="E8" i="27"/>
  <c r="E9" i="27"/>
  <c r="E10" i="27"/>
  <c r="E11" i="27"/>
  <c r="E12" i="27"/>
  <c r="E13" i="27"/>
  <c r="E14" i="27"/>
  <c r="E15" i="27"/>
  <c r="E16" i="27"/>
  <c r="E17" i="27"/>
  <c r="AQ5" i="48" l="1"/>
  <c r="AO89" i="21" l="1"/>
  <c r="D4" i="57" l="1"/>
  <c r="AP5" i="48" s="1"/>
  <c r="A2" i="57"/>
  <c r="I4" i="56"/>
  <c r="D4" i="56"/>
  <c r="AO5" i="48" s="1"/>
  <c r="A2" i="56"/>
  <c r="I4" i="55"/>
  <c r="D4" i="55"/>
  <c r="AM5" i="48" s="1"/>
  <c r="A2" i="55"/>
  <c r="D4" i="54"/>
  <c r="AO5" i="47" s="1"/>
  <c r="A2" i="54"/>
  <c r="Q4" i="53"/>
  <c r="D4" i="53"/>
  <c r="AN5" i="47" s="1"/>
  <c r="A2" i="53"/>
  <c r="T4" i="52"/>
  <c r="P4" i="52"/>
  <c r="N4" i="52"/>
  <c r="J4" i="52"/>
  <c r="Q4" i="52"/>
  <c r="M4" i="52"/>
  <c r="D4" i="52"/>
  <c r="AM5" i="47" s="1"/>
  <c r="A2" i="52"/>
  <c r="T4" i="57" l="1"/>
  <c r="Q4" i="56"/>
  <c r="S4" i="54"/>
  <c r="M4" i="54"/>
  <c r="N4" i="57"/>
  <c r="Q4" i="54"/>
  <c r="Z4" i="55"/>
  <c r="J4" i="56"/>
  <c r="P4" i="57"/>
  <c r="N4" i="56"/>
  <c r="P4" i="56"/>
  <c r="J4" i="54"/>
  <c r="M4" i="55"/>
  <c r="M4" i="53"/>
  <c r="T4" i="53"/>
  <c r="N4" i="54"/>
  <c r="P4" i="54"/>
  <c r="M4" i="57"/>
  <c r="S4" i="57"/>
  <c r="Q4" i="57"/>
  <c r="N4" i="55"/>
  <c r="N4" i="53"/>
  <c r="P4" i="53"/>
  <c r="P4" i="55"/>
  <c r="M4" i="56"/>
  <c r="J4" i="57"/>
  <c r="V4" i="57"/>
  <c r="Y4" i="57"/>
  <c r="F4" i="57"/>
  <c r="I4" i="57"/>
  <c r="T4" i="56"/>
  <c r="S4" i="56"/>
  <c r="V4" i="56"/>
  <c r="Y4" i="56"/>
  <c r="F4" i="56"/>
  <c r="Q4" i="55"/>
  <c r="S4" i="55"/>
  <c r="T4" i="55"/>
  <c r="V4" i="55"/>
  <c r="Y4" i="55"/>
  <c r="F4" i="55"/>
  <c r="J4" i="55"/>
  <c r="T4" i="54"/>
  <c r="V4" i="54"/>
  <c r="Y4" i="54"/>
  <c r="F4" i="54"/>
  <c r="I4" i="54"/>
  <c r="L4" i="53"/>
  <c r="S4" i="53"/>
  <c r="R4" i="53"/>
  <c r="V4" i="53"/>
  <c r="Y4" i="53"/>
  <c r="F4" i="53"/>
  <c r="I4" i="53"/>
  <c r="J4" i="53"/>
  <c r="Z4" i="52"/>
  <c r="W4" i="52"/>
  <c r="G4" i="52"/>
  <c r="O4" i="52"/>
  <c r="L4" i="52"/>
  <c r="V4" i="52"/>
  <c r="Y4" i="52"/>
  <c r="S4" i="52"/>
  <c r="F4" i="52"/>
  <c r="U4" i="52"/>
  <c r="I4" i="52"/>
  <c r="A2" i="21"/>
  <c r="A2" i="50"/>
  <c r="A2" i="44"/>
  <c r="A2" i="51"/>
  <c r="A2" i="7"/>
  <c r="A2" i="48"/>
  <c r="A2" i="47"/>
  <c r="A2" i="46"/>
  <c r="AM2" i="47" l="1"/>
  <c r="Z4" i="56"/>
  <c r="W4" i="55"/>
  <c r="W4" i="53"/>
  <c r="G4" i="53"/>
  <c r="L4" i="56"/>
  <c r="W4" i="54"/>
  <c r="O4" i="54"/>
  <c r="Z4" i="54"/>
  <c r="R4" i="54"/>
  <c r="Z4" i="57"/>
  <c r="L4" i="55"/>
  <c r="W4" i="56"/>
  <c r="L4" i="57"/>
  <c r="G4" i="54"/>
  <c r="W4" i="57"/>
  <c r="R4" i="56"/>
  <c r="U4" i="55"/>
  <c r="O4" i="56"/>
  <c r="O4" i="53"/>
  <c r="R4" i="55"/>
  <c r="R4" i="57"/>
  <c r="U4" i="53"/>
  <c r="G4" i="55"/>
  <c r="U4" i="56"/>
  <c r="L4" i="54"/>
  <c r="O4" i="57"/>
  <c r="G4" i="57"/>
  <c r="O4" i="55"/>
  <c r="U4" i="57"/>
  <c r="E4" i="57"/>
  <c r="E4" i="56"/>
  <c r="G4" i="56"/>
  <c r="E4" i="55"/>
  <c r="U4" i="54"/>
  <c r="E4" i="54"/>
  <c r="Z4" i="53"/>
  <c r="E4" i="53"/>
  <c r="E4" i="52"/>
  <c r="AM6" i="47" s="1"/>
  <c r="R4" i="52"/>
  <c r="AM7" i="47" s="1"/>
  <c r="AN7" i="47" l="1"/>
  <c r="AP6" i="48"/>
  <c r="AP2" i="48"/>
  <c r="AO7" i="48"/>
  <c r="AO2" i="48"/>
  <c r="AO7" i="47"/>
  <c r="AN2" i="47"/>
  <c r="AM2" i="48"/>
  <c r="AN6" i="47"/>
  <c r="AP7" i="48"/>
  <c r="AO6" i="47"/>
  <c r="AM7" i="48"/>
  <c r="AO2" i="47"/>
  <c r="AM6" i="48"/>
  <c r="AO6" i="48"/>
  <c r="S4" i="51"/>
  <c r="P4" i="51"/>
  <c r="N4" i="51"/>
  <c r="L4" i="51"/>
  <c r="J4" i="51"/>
  <c r="T4" i="51"/>
  <c r="Q4" i="51"/>
  <c r="M4" i="51"/>
  <c r="D4" i="51"/>
  <c r="AM5" i="46" s="1"/>
  <c r="G17" i="27"/>
  <c r="R4" i="51" l="1"/>
  <c r="U4" i="51"/>
  <c r="Z4" i="51"/>
  <c r="W4" i="51"/>
  <c r="G4" i="51"/>
  <c r="V4" i="51"/>
  <c r="Y4" i="51"/>
  <c r="O4" i="51"/>
  <c r="F4" i="51"/>
  <c r="I4" i="51"/>
  <c r="AM2" i="46" l="1"/>
  <c r="AM7" i="46"/>
  <c r="E4" i="51"/>
  <c r="AM6" i="46" s="1"/>
  <c r="G16" i="27"/>
  <c r="G15" i="27" l="1"/>
  <c r="G6" i="27" l="1"/>
  <c r="G7" i="27"/>
  <c r="G8" i="27"/>
  <c r="G9" i="27"/>
  <c r="G10" i="27"/>
  <c r="G11" i="27"/>
  <c r="G12" i="27"/>
  <c r="G13" i="27"/>
  <c r="G14" i="27"/>
  <c r="AO48" i="21" l="1"/>
  <c r="AO39" i="21" l="1"/>
  <c r="AO40" i="21"/>
  <c r="AT5" i="21" l="1"/>
  <c r="AK120" i="47" l="1"/>
  <c r="AK34" i="48" l="1"/>
  <c r="AA4" i="46" l="1"/>
  <c r="Y4" i="46"/>
  <c r="AA4" i="48" l="1"/>
  <c r="Y4" i="48"/>
  <c r="K4" i="44"/>
  <c r="AA4" i="47" l="1"/>
  <c r="Y4" i="47" l="1"/>
  <c r="AD4" i="21" l="1"/>
  <c r="Z4" i="50" l="1"/>
  <c r="Y4" i="50"/>
  <c r="W4" i="50"/>
  <c r="V4" i="50"/>
  <c r="U4" i="50"/>
  <c r="T4" i="50"/>
  <c r="S4" i="50"/>
  <c r="R4" i="50"/>
  <c r="Q4" i="50"/>
  <c r="P4" i="50"/>
  <c r="O4" i="50"/>
  <c r="N4" i="50"/>
  <c r="M4" i="50"/>
  <c r="L4" i="50"/>
  <c r="J4" i="50"/>
  <c r="I4" i="50"/>
  <c r="G4" i="50"/>
  <c r="F4" i="50"/>
  <c r="E4" i="50"/>
  <c r="D4" i="50"/>
  <c r="AN5" i="48" s="1"/>
  <c r="AL5" i="48" s="1"/>
  <c r="AN2" i="48" l="1"/>
  <c r="AN6" i="48"/>
  <c r="AN7" i="48"/>
  <c r="AC4" i="48"/>
  <c r="Z4" i="48"/>
  <c r="X4" i="48"/>
  <c r="W4" i="48"/>
  <c r="V4" i="48"/>
  <c r="U4" i="48"/>
  <c r="T4" i="48"/>
  <c r="S4" i="48"/>
  <c r="R4" i="48"/>
  <c r="Q4" i="48"/>
  <c r="P4" i="48"/>
  <c r="O4" i="48"/>
  <c r="N4" i="48"/>
  <c r="M4" i="48"/>
  <c r="L4" i="48"/>
  <c r="K4" i="48"/>
  <c r="J4" i="48"/>
  <c r="I4" i="48"/>
  <c r="H4" i="48"/>
  <c r="G4" i="48"/>
  <c r="F4" i="48"/>
  <c r="E4" i="48"/>
  <c r="D4" i="48"/>
  <c r="AS5" i="21" s="1"/>
  <c r="AC4" i="47"/>
  <c r="Z4" i="47"/>
  <c r="X4" i="47"/>
  <c r="W4" i="47"/>
  <c r="V4" i="47"/>
  <c r="U4" i="47"/>
  <c r="T4" i="47"/>
  <c r="S4" i="47"/>
  <c r="R4" i="47"/>
  <c r="Q4" i="47"/>
  <c r="P4" i="47"/>
  <c r="O4" i="47"/>
  <c r="N4" i="47"/>
  <c r="M4" i="47"/>
  <c r="L4" i="47"/>
  <c r="K4" i="47"/>
  <c r="J4" i="47"/>
  <c r="I4" i="47"/>
  <c r="H4" i="47"/>
  <c r="G4" i="47"/>
  <c r="F4" i="47"/>
  <c r="E4" i="47"/>
  <c r="D4" i="47"/>
  <c r="AR5" i="21" s="1"/>
  <c r="AS7" i="21" l="1"/>
  <c r="AR7" i="21"/>
  <c r="AR6" i="21"/>
  <c r="AS6" i="21"/>
  <c r="AC4" i="46" l="1"/>
  <c r="Z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AQ5" i="21" s="1"/>
  <c r="AP5" i="21" s="1"/>
  <c r="AQ7" i="21" l="1"/>
  <c r="AQ6" i="21"/>
  <c r="Z4" i="21"/>
  <c r="AA4" i="21"/>
  <c r="X4" i="21"/>
  <c r="R4" i="21"/>
  <c r="O4" i="21"/>
  <c r="W4" i="21"/>
  <c r="T4" i="21"/>
  <c r="Q4" i="21"/>
  <c r="N4" i="21"/>
  <c r="AC4" i="21"/>
  <c r="V4" i="21" l="1"/>
  <c r="U4" i="21"/>
  <c r="M4" i="21"/>
  <c r="P4" i="21"/>
  <c r="S4" i="21"/>
  <c r="Y4" i="21"/>
  <c r="AB4" i="21"/>
  <c r="W4" i="44" l="1"/>
  <c r="V4" i="44"/>
  <c r="D4" i="44"/>
  <c r="AP5" i="47" s="1"/>
  <c r="AL5" i="47" s="1"/>
  <c r="Q4" i="44" l="1"/>
  <c r="N4" i="44"/>
  <c r="J4" i="44"/>
  <c r="M4" i="44"/>
  <c r="U4" i="44"/>
  <c r="S4" i="44"/>
  <c r="L4" i="44"/>
  <c r="I4" i="44"/>
  <c r="T4" i="44"/>
  <c r="P4" i="44"/>
  <c r="R4" i="44"/>
  <c r="Y4" i="44"/>
  <c r="F4" i="44"/>
  <c r="G4" i="44"/>
  <c r="V4" i="7"/>
  <c r="Q4" i="7"/>
  <c r="P4" i="7"/>
  <c r="F4" i="7"/>
  <c r="AP2" i="47" l="1"/>
  <c r="E4" i="44"/>
  <c r="AP6" i="47" s="1"/>
  <c r="Z4" i="44"/>
  <c r="O4" i="44"/>
  <c r="AP7" i="47" l="1"/>
  <c r="AE4" i="21"/>
  <c r="G4" i="21" l="1"/>
  <c r="K4" i="21"/>
  <c r="F4" i="21"/>
  <c r="I4" i="21"/>
  <c r="L4" i="21"/>
  <c r="E4" i="21" l="1"/>
  <c r="J4" i="21"/>
  <c r="H4" i="21"/>
  <c r="R4" i="7" l="1"/>
  <c r="Z4" i="7" l="1"/>
  <c r="O4" i="7" l="1"/>
  <c r="Y4" i="7" l="1"/>
  <c r="J2" i="27" l="1"/>
  <c r="J4" i="7" l="1"/>
  <c r="M4" i="7"/>
  <c r="N4" i="7"/>
  <c r="W4" i="7"/>
  <c r="G4" i="7" l="1"/>
  <c r="L4" i="7"/>
  <c r="E4" i="7"/>
  <c r="U4" i="7"/>
  <c r="AP7" i="46" l="1"/>
  <c r="AP2" i="46"/>
  <c r="AP6" i="46"/>
  <c r="T4" i="7"/>
  <c r="D4" i="7"/>
  <c r="D4" i="21"/>
  <c r="AP5" i="46" l="1"/>
  <c r="AL5" i="46" s="1"/>
  <c r="S4" i="7"/>
  <c r="I4" i="7"/>
  <c r="E4" i="2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elva</author>
    <author>WHF2-126瓈巧</author>
    <author>WHF2-112</author>
  </authors>
  <commentList>
    <comment ref="AD25" authorId="0" shapeId="0" xr:uid="{D4884521-3297-453F-AD82-E48AD53F8108}">
      <text>
        <r>
          <rPr>
            <b/>
            <sz val="9"/>
            <color indexed="81"/>
            <rFont val="Tahoma"/>
            <family val="2"/>
          </rPr>
          <t>elva:</t>
        </r>
        <r>
          <rPr>
            <sz val="9"/>
            <color indexed="81"/>
            <rFont val="Tahoma"/>
            <family val="2"/>
          </rPr>
          <t xml:space="preserve">
018-6XX  </t>
        </r>
        <r>
          <rPr>
            <sz val="9"/>
            <color indexed="81"/>
            <rFont val="細明體"/>
            <family val="3"/>
            <charset val="136"/>
          </rPr>
          <t>全部</t>
        </r>
      </text>
    </comment>
    <comment ref="AD26" authorId="1" shapeId="0" xr:uid="{9F7FDCE4-0125-4732-AB4F-34CC14AE97FD}">
      <text>
        <r>
          <rPr>
            <sz val="9"/>
            <color indexed="81"/>
            <rFont val="Tahoma"/>
            <family val="2"/>
          </rPr>
          <t>elva:
018-5XX-3500
018-4XX-1500</t>
        </r>
      </text>
    </comment>
    <comment ref="AD27" authorId="0" shapeId="0" xr:uid="{074213FB-0080-4AD9-8308-D2E39D6B6C72}">
      <text>
        <r>
          <rPr>
            <b/>
            <sz val="9"/>
            <color indexed="81"/>
            <rFont val="Tahoma"/>
            <family val="2"/>
          </rPr>
          <t>elva:</t>
        </r>
        <r>
          <rPr>
            <sz val="9"/>
            <color indexed="81"/>
            <rFont val="Tahoma"/>
            <family val="2"/>
          </rPr>
          <t xml:space="preserve">
4XX  </t>
        </r>
        <r>
          <rPr>
            <sz val="9"/>
            <color indexed="81"/>
            <rFont val="細明體"/>
            <family val="3"/>
            <charset val="136"/>
          </rPr>
          <t>分</t>
        </r>
        <r>
          <rPr>
            <sz val="9"/>
            <color indexed="81"/>
            <rFont val="Tahoma"/>
            <family val="2"/>
          </rPr>
          <t xml:space="preserve">1500
5XX  </t>
        </r>
        <r>
          <rPr>
            <sz val="9"/>
            <color indexed="81"/>
            <rFont val="細明體"/>
            <family val="3"/>
            <charset val="136"/>
          </rPr>
          <t>分尾數全</t>
        </r>
      </text>
    </comment>
    <comment ref="AD29" authorId="2" shapeId="0" xr:uid="{1C7A17FA-A1EE-49A3-A251-5D1112CB9C36}">
      <text>
        <r>
          <rPr>
            <b/>
            <sz val="9"/>
            <color indexed="81"/>
            <rFont val="Tahoma"/>
            <family val="2"/>
          </rPr>
          <t>WHF2-112: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5"/>
            <color indexed="81"/>
            <rFont val="Tahoma"/>
            <family val="2"/>
          </rPr>
          <t xml:space="preserve">5XX  </t>
        </r>
        <r>
          <rPr>
            <b/>
            <sz val="15"/>
            <color indexed="81"/>
            <rFont val="細明體"/>
            <family val="3"/>
            <charset val="136"/>
          </rPr>
          <t>分1</t>
        </r>
        <r>
          <rPr>
            <b/>
            <sz val="15"/>
            <color indexed="81"/>
            <rFont val="Tahoma"/>
            <family val="2"/>
          </rPr>
          <t>500
6XX  1500</t>
        </r>
      </text>
    </comment>
    <comment ref="AD31" authorId="0" shapeId="0" xr:uid="{942A7775-FA22-49D0-A72A-EE9E924698F6}">
      <text>
        <r>
          <rPr>
            <b/>
            <sz val="9"/>
            <color indexed="81"/>
            <rFont val="Tahoma"/>
            <family val="2"/>
          </rPr>
          <t>elva:</t>
        </r>
        <r>
          <rPr>
            <sz val="9"/>
            <color indexed="81"/>
            <rFont val="Tahoma"/>
            <family val="2"/>
          </rPr>
          <t xml:space="preserve">
018- 6xx </t>
        </r>
        <r>
          <rPr>
            <sz val="9"/>
            <color indexed="81"/>
            <rFont val="細明體"/>
            <family val="3"/>
            <charset val="136"/>
          </rPr>
          <t>分</t>
        </r>
        <r>
          <rPr>
            <sz val="9"/>
            <color indexed="81"/>
            <rFont val="Tahoma"/>
            <family val="2"/>
          </rPr>
          <t>1188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whf-ma Benson</author>
  </authors>
  <commentList>
    <comment ref="AA17" authorId="0" shapeId="0" xr:uid="{D724AB90-91EA-4401-8312-434D5A66C853}">
      <text>
        <r>
          <rPr>
            <b/>
            <sz val="9"/>
            <color indexed="81"/>
            <rFont val="Tahoma"/>
            <family val="2"/>
          </rPr>
          <t>whf-ma Benson: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尾數全部</t>
        </r>
        <r>
          <rPr>
            <sz val="11"/>
            <color indexed="81"/>
            <rFont val="Tahoma"/>
            <family val="2"/>
          </rPr>
          <t>370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elva</author>
    <author>whf-ma Benson</author>
  </authors>
  <commentList>
    <comment ref="AA29" authorId="0" shapeId="0" xr:uid="{04EAC04D-B703-420C-AE56-3F1807EEBD99}">
      <text>
        <r>
          <rPr>
            <b/>
            <sz val="9"/>
            <color indexed="81"/>
            <rFont val="Tahoma"/>
            <family val="2"/>
          </rPr>
          <t>elva: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 xml:space="preserve">620 </t>
        </r>
        <r>
          <rPr>
            <b/>
            <sz val="12"/>
            <color indexed="81"/>
            <rFont val="細明體"/>
            <family val="3"/>
            <charset val="136"/>
          </rPr>
          <t>分</t>
        </r>
        <r>
          <rPr>
            <b/>
            <sz val="12"/>
            <color indexed="81"/>
            <rFont val="Tahoma"/>
            <family val="2"/>
          </rPr>
          <t xml:space="preserve">600
570 </t>
        </r>
        <r>
          <rPr>
            <b/>
            <sz val="12"/>
            <color indexed="81"/>
            <rFont val="細明體"/>
            <family val="3"/>
            <charset val="136"/>
          </rPr>
          <t>分</t>
        </r>
        <r>
          <rPr>
            <b/>
            <sz val="12"/>
            <color indexed="81"/>
            <rFont val="Tahoma"/>
            <family val="2"/>
          </rPr>
          <t>130</t>
        </r>
      </text>
    </comment>
    <comment ref="AA30" authorId="1" shapeId="0" xr:uid="{C9D29B3D-2967-439F-9E98-4987FAC2D4F4}">
      <text>
        <r>
          <rPr>
            <b/>
            <sz val="9"/>
            <color indexed="81"/>
            <rFont val="Tahoma"/>
            <family val="2"/>
          </rPr>
          <t>whf-ma Benson: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細明體"/>
            <family val="3"/>
            <charset val="136"/>
          </rPr>
          <t>全部</t>
        </r>
        <r>
          <rPr>
            <sz val="14"/>
            <color indexed="81"/>
            <rFont val="Tahoma"/>
            <family val="2"/>
          </rPr>
          <t>620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WHF2-129成品倉</author>
  </authors>
  <commentList>
    <comment ref="W18" authorId="0" shapeId="0" xr:uid="{1C0445A7-7C84-487A-B858-F903D8D73093}">
      <text>
        <r>
          <rPr>
            <b/>
            <sz val="20"/>
            <color indexed="81"/>
            <rFont val="Tahoma"/>
            <family val="2"/>
          </rPr>
          <t>WHF2-129</t>
        </r>
        <r>
          <rPr>
            <b/>
            <sz val="20"/>
            <color indexed="81"/>
            <rFont val="細明體"/>
            <family val="3"/>
            <charset val="136"/>
          </rPr>
          <t>成品倉</t>
        </r>
        <r>
          <rPr>
            <b/>
            <sz val="20"/>
            <color indexed="81"/>
            <rFont val="Tahoma"/>
            <family val="2"/>
          </rPr>
          <t>:</t>
        </r>
        <r>
          <rPr>
            <sz val="20"/>
            <color indexed="81"/>
            <rFont val="Tahoma"/>
            <family val="2"/>
          </rPr>
          <t xml:space="preserve">
</t>
        </r>
        <r>
          <rPr>
            <sz val="20"/>
            <color indexed="81"/>
            <rFont val="細明體"/>
            <family val="3"/>
            <charset val="136"/>
          </rPr>
          <t>混出-內徑面粗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WHF2-129成品倉</author>
  </authors>
  <commentList>
    <comment ref="W117" authorId="0" shapeId="0" xr:uid="{3B5AEA2F-2BF2-4297-AEF2-10770738165E}">
      <text>
        <r>
          <rPr>
            <b/>
            <sz val="18"/>
            <color indexed="81"/>
            <rFont val="Tahoma"/>
            <family val="2"/>
          </rPr>
          <t>WHF2-129</t>
        </r>
        <r>
          <rPr>
            <b/>
            <sz val="18"/>
            <color indexed="81"/>
            <rFont val="細明體"/>
            <family val="3"/>
            <charset val="136"/>
          </rPr>
          <t>成品倉</t>
        </r>
        <r>
          <rPr>
            <b/>
            <sz val="18"/>
            <color indexed="81"/>
            <rFont val="Tahoma"/>
            <family val="2"/>
          </rPr>
          <t>:</t>
        </r>
        <r>
          <rPr>
            <sz val="18"/>
            <color indexed="81"/>
            <rFont val="Tahoma"/>
            <family val="2"/>
          </rPr>
          <t xml:space="preserve">
1.5</t>
        </r>
        <r>
          <rPr>
            <sz val="18"/>
            <color indexed="81"/>
            <rFont val="細明體"/>
            <family val="3"/>
            <charset val="136"/>
          </rPr>
          <t>露白覆回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AC409B-DA59-416E-B335-10F1ED8C3114}" keepAlive="1" name="ModelConnection_外部資料_4" description="資料模型" type="5" refreshedVersion="8" minRefreshableVersion="5" saveData="1">
    <dbPr connection="Data Model Connection" command="018-XXX可分料製令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CDBAA56D-D5B1-48D4-9A80-CC73B124E7F1}" keepAlive="1" name="ModelConnection_外部資料_5" description="資料模型" type="5" refreshedVersion="8" minRefreshableVersion="5" saveData="1">
    <dbPr connection="Data Model Connection" command="018-XXX可分料製令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B7F5DD20-173D-4453-99A3-A155601E37F0}" keepAlive="1" name="ModelConnection_外部資料_6" description="資料模型" type="5" refreshedVersion="8" minRefreshableVersion="5" saveData="1">
    <dbPr connection="Data Model Connection" command="018-XXX可分料製令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CDBA7B73-967A-4F13-9DFC-57D051799ADA}" keepAlive="1" name="ThisWorkbookDataModel" description="資料模型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14EC0902-444E-451D-A783-9A74FA63938E}" keepAlive="1" interval="10" name="查詢 - 018-370" description="與活頁簿中 '018-370' 查詢的連接。" type="5" refreshedVersion="8" saveData="1">
    <dbPr connection="Provider=Microsoft.Mashup.OleDb.1;Data Source=$Workbook$;Location=018-370;Extended Properties=&quot;&quot;" command="SELECT * FROM [018-370]"/>
  </connection>
  <connection id="6" xr16:uid="{61BE3B50-3E90-4B7E-806A-3A1E68E91EA4}" keepAlive="1" interval="10" name="查詢 - 018-400" description="與活頁簿中 '018-400' 查詢的連接。" type="5" refreshedVersion="8" saveData="1">
    <dbPr connection="Provider=Microsoft.Mashup.OleDb.1;Data Source=$Workbook$;Location=018-400;Extended Properties=&quot;&quot;" command="SELECT * FROM [018-400]"/>
  </connection>
  <connection id="7" xr16:uid="{46DA5353-F83B-4FCD-879E-B6A256B78A7D}" keepAlive="1" interval="10" name="查詢 - 018-420" description="與活頁簿中 '018-420' 查詢的連接。" type="5" refreshedVersion="8" saveData="1">
    <dbPr connection="Provider=Microsoft.Mashup.OleDb.1;Data Source=$Workbook$;Location=018-420;Extended Properties=&quot;&quot;" command="SELECT * FROM [018-420]"/>
  </connection>
  <connection id="8" xr16:uid="{1ADA09E1-15D4-4552-836E-99850EE1E87C}" keepAlive="1" interval="10" name="查詢 - 018-450" description="與活頁簿中 '018-450' 查詢的連接。" type="5" refreshedVersion="8" saveData="1">
    <dbPr connection="Provider=Microsoft.Mashup.OleDb.1;Data Source=$Workbook$;Location=018-450;Extended Properties=&quot;&quot;" command="SELECT * FROM [018-450]"/>
  </connection>
  <connection id="9" xr16:uid="{DDF11264-7E89-424D-B172-B9EB7B8F9E0E}" keepAlive="1" interval="10" name="查詢 - 018-470" description="與活頁簿中 '018-470' 查詢的連接。" type="5" refreshedVersion="8" saveData="1">
    <dbPr connection="Provider=Microsoft.Mashup.OleDb.1;Data Source=$Workbook$;Location=018-470;Extended Properties=&quot;&quot;" command="SELECT * FROM [018-470]"/>
  </connection>
  <connection id="10" xr16:uid="{8DEED5D0-2219-40D5-B4F6-22458980D8BF}" keepAlive="1" interval="10" name="查詢 - 018-4XX" description="與活頁簿中 '018-4XX' 查詢的連接。" type="5" refreshedVersion="8" saveData="1">
    <dbPr connection="Provider=Microsoft.Mashup.OleDb.1;Data Source=$Workbook$;Location=018-4XX;Extended Properties=&quot;&quot;" command="SELECT * FROM [018-4XX]"/>
  </connection>
  <connection id="11" xr16:uid="{34BD75A1-2D79-47D4-B403-35B4059769C2}" keepAlive="1" interval="10" name="查詢 - 018-4XX可分料製令" description="與活頁簿中 '018-4XX可分料製令' 查詢的連接。" type="5" refreshedVersion="8" saveData="1">
    <dbPr connection="Provider=Microsoft.Mashup.OleDb.1;Data Source=$Workbook$;Location=018-4XX可分料製令;Extended Properties=&quot;&quot;" command="SELECT * FROM [018-4XX可分料製令]"/>
  </connection>
  <connection id="12" xr16:uid="{DA8BD789-A1AF-40AD-BA30-A67B19E37B5F}" keepAlive="1" interval="10" name="查詢 - 018-500" description="與活頁簿中 '018-500' 查詢的連接。" type="5" refreshedVersion="8" saveData="1">
    <dbPr connection="Provider=Microsoft.Mashup.OleDb.1;Data Source=$Workbook$;Location=018-500;Extended Properties=&quot;&quot;" command="SELECT * FROM [018-500]"/>
  </connection>
  <connection id="13" xr16:uid="{01AC13CD-9811-4887-A83E-3D2B0D36F151}" keepAlive="1" interval="10" name="查詢 - 018-520" description="與活頁簿中 '018-520' 查詢的連接。" type="5" refreshedVersion="8" saveData="1">
    <dbPr connection="Provider=Microsoft.Mashup.OleDb.1;Data Source=$Workbook$;Location=018-520;Extended Properties=&quot;&quot;" command="SELECT * FROM [018-520]"/>
  </connection>
  <connection id="14" xr16:uid="{BE967E1C-9E97-4313-9A64-C7B774CC34D0}" keepAlive="1" interval="10" name="查詢 - 018-550" description="與活頁簿中 '018-550' 查詢的連接。" type="5" refreshedVersion="8" saveData="1">
    <dbPr connection="Provider=Microsoft.Mashup.OleDb.1;Data Source=$Workbook$;Location=018-550;Extended Properties=&quot;&quot;" command="SELECT * FROM [018-550]"/>
  </connection>
  <connection id="15" xr16:uid="{5A71A652-1FDE-43BE-9C69-FAC5167C1232}" keepAlive="1" interval="10" name="查詢 - 018-570" description="與活頁簿中 '018-570' 查詢的連接。" type="5" refreshedVersion="8" saveData="1">
    <dbPr connection="Provider=Microsoft.Mashup.OleDb.1;Data Source=$Workbook$;Location=018-570;Extended Properties=&quot;&quot;" command="SELECT * FROM [018-570]"/>
  </connection>
  <connection id="16" xr16:uid="{1F1921C8-B001-4D54-8ACA-7E8D391956B2}" keepAlive="1" interval="10" name="查詢 - 018-5XX" description="與活頁簿中 '018-5XX' 查詢的連接。" type="5" refreshedVersion="8" saveData="1">
    <dbPr connection="Provider=Microsoft.Mashup.OleDb.1;Data Source=$Workbook$;Location=018-5XX;Extended Properties=&quot;&quot;" command="SELECT * FROM [018-5XX]"/>
  </connection>
  <connection id="17" xr16:uid="{0034AF19-8E92-4165-BABC-AE5DAFCAED79}" keepAlive="1" interval="10" name="查詢 - 018-5XX可分料製令" description="與活頁簿中 '018-5XX可分料製令' 查詢的連接。" type="5" refreshedVersion="8" saveData="1">
    <dbPr connection="Provider=Microsoft.Mashup.OleDb.1;Data Source=$Workbook$;Location=018-5XX可分料製令;Extended Properties=&quot;&quot;" command="SELECT * FROM [018-5XX可分料製令]"/>
  </connection>
  <connection id="18" xr16:uid="{9A6C76DD-D4C0-4DD5-97B0-4277D99DB4EB}" keepAlive="1" interval="10" name="查詢 - 018-600" description="與活頁簿中 '018-600' 查詢的連接。" type="5" refreshedVersion="8" saveData="1">
    <dbPr connection="Provider=Microsoft.Mashup.OleDb.1;Data Source=$Workbook$;Location=018-600;Extended Properties=&quot;&quot;" command="SELECT * FROM [018-600]"/>
  </connection>
  <connection id="19" xr16:uid="{0002DD83-269F-40DF-A3A6-AC537B20EA6C}" keepAlive="1" interval="10" name="查詢 - 018-620" description="與活頁簿中 '018-620' 查詢的連接。" type="5" refreshedVersion="8" saveData="1">
    <dbPr connection="Provider=Microsoft.Mashup.OleDb.1;Data Source=$Workbook$;Location=018-620;Extended Properties=&quot;&quot;" command="SELECT * FROM [018-620]"/>
  </connection>
  <connection id="20" xr16:uid="{6908EB6E-DFAB-49DF-9107-44F84A2F3E80}" keepAlive="1" interval="10" name="查詢 - 018-650" description="與活頁簿中 '018-650' 查詢的連接。" type="5" refreshedVersion="8" saveData="1">
    <dbPr connection="Provider=Microsoft.Mashup.OleDb.1;Data Source=$Workbook$;Location=018-650;Extended Properties=&quot;&quot;" command="SELECT * FROM [018-650]"/>
  </connection>
  <connection id="21" xr16:uid="{F223580B-8068-461E-B9AF-1452B93CFA65}" keepAlive="1" interval="10" name="查詢 - 018-6XX" description="與活頁簿中 '018-6XX' 查詢的連接。" type="5" refreshedVersion="8" saveData="1">
    <dbPr connection="Provider=Microsoft.Mashup.OleDb.1;Data Source=$Workbook$;Location=018-6XX;Extended Properties=&quot;&quot;" command="SELECT * FROM [018-6XX]"/>
  </connection>
  <connection id="22" xr16:uid="{54950FC5-98DF-46A9-8D0E-A1ADF936AE28}" keepAlive="1" interval="10" name="查詢 - 018-6XX可分料製令" description="與活頁簿中 '018-6XX可分料製令' 查詢的連接。" type="5" refreshedVersion="8" saveData="1">
    <dbPr connection="Provider=Microsoft.Mashup.OleDb.1;Data Source=$Workbook$;Location=018-6XX可分料製令;Extended Properties=&quot;&quot;" command="SELECT * FROM [018-6XX可分料製令]"/>
  </connection>
  <connection id="23" xr16:uid="{86F9E97B-483F-445A-90F1-E13F628C10D9}" keepAlive="1" interval="10" name="查詢 - 018-XXX" description="與活頁簿中 '018-XXX' 查詢的連接。" type="5" refreshedVersion="8" saveData="1">
    <dbPr connection="Provider=Microsoft.Mashup.OleDb.1;Data Source=$Workbook$;Location=018-XXX;Extended Properties=&quot;&quot;" command="SELECT * FROM [018-XXX]"/>
  </connection>
  <connection id="24" xr16:uid="{49720902-CAC7-4D34-A213-2C3959B5A2CE}" keepAlive="1" interval="10" name="查詢 - 018-XXX 素材" description="與活頁簿中 '018-XXX 素材' 查詢的連接。" type="5" refreshedVersion="8" saveData="1">
    <dbPr connection="Provider=Microsoft.Mashup.OleDb.1;Data Source=$Workbook$;Location=&quot;018-XXX 素材&quot;;Extended Properties=&quot;&quot;" command="SELECT * FROM [018-XXX 素材]"/>
  </connection>
  <connection id="25" xr16:uid="{D9F353B5-4EA0-48EA-AF8B-D235B9EF1DC5}" name="查詢 - 018-XXX可分料製令(1)" description="與活頁簿中 '018-XXX可分料製令' 查詢的連接。" type="100" refreshedVersion="8" minRefreshableVersion="5">
    <extLst>
      <ext xmlns:x15="http://schemas.microsoft.com/office/spreadsheetml/2010/11/main" uri="{DE250136-89BD-433C-8126-D09CA5730AF9}">
        <x15:connection id="0ab1dfbf-3d72-438d-9883-40ac1d126093"/>
      </ext>
    </extLst>
  </connection>
  <connection id="26" xr16:uid="{F85BC1B4-4552-47D6-8308-59B8EB3B0E7D}" keepAlive="1" name="查詢 - employee" description="與活頁簿中 'employee' 查詢的連接。" type="5" refreshedVersion="8" saveData="1">
    <dbPr connection="Provider=Microsoft.Mashup.OleDb.1;Data Source=$Workbook$;Location=employee;Extended Properties=&quot;&quot;" command="SELECT * FROM [employee]"/>
  </connection>
  <connection id="27" xr16:uid="{8C91D917-F204-4492-9665-AC765AC8D58A}" keepAlive="1" name="查詢 - PCUST" description="與活頁簿中 'PCUST' 查詢的連接。" type="5" refreshedVersion="8" saveData="1">
    <dbPr connection="Provider=Microsoft.Mashup.OleDb.1;Data Source=$Workbook$;Location=PCUST;Extended Properties=&quot;&quot;" command="SELECT * FROM [PCUST]"/>
  </connection>
  <connection id="28" xr16:uid="{DDE0E5E2-7B34-4D20-8144-662ACAD282D8}" keepAlive="1" interval="10" name="查詢 - record" description="與活頁簿中 'record' 查詢的連接。" type="5" refreshedVersion="8" saveData="1">
    <dbPr connection="Provider=Microsoft.Mashup.OleDb.1;Data Source=$Workbook$;Location=record;Extended Properties=&quot;&quot;" command="SELECT * FROM [record]"/>
  </connection>
</connections>
</file>

<file path=xl/sharedStrings.xml><?xml version="1.0" encoding="utf-8"?>
<sst xmlns="http://schemas.openxmlformats.org/spreadsheetml/2006/main" count="70603" uniqueCount="2044">
  <si>
    <t>品管檢驗</t>
    <phoneticPr fontId="4" type="noConversion"/>
  </si>
  <si>
    <t>日期</t>
    <phoneticPr fontId="4" type="noConversion"/>
  </si>
  <si>
    <t>良品</t>
  </si>
  <si>
    <t>不良品</t>
  </si>
  <si>
    <t>分配明細</t>
    <phoneticPr fontId="3" type="noConversion"/>
  </si>
  <si>
    <t>數量</t>
    <phoneticPr fontId="3" type="noConversion"/>
  </si>
  <si>
    <t>分配型號</t>
    <phoneticPr fontId="3" type="noConversion"/>
  </si>
  <si>
    <t>第二製程製令</t>
    <phoneticPr fontId="3" type="noConversion"/>
  </si>
  <si>
    <t>品管進料檢驗</t>
    <phoneticPr fontId="4" type="noConversion"/>
  </si>
  <si>
    <t>總來料數</t>
    <phoneticPr fontId="5" type="noConversion"/>
  </si>
  <si>
    <t>分配數量</t>
    <phoneticPr fontId="5" type="noConversion"/>
  </si>
  <si>
    <t>ProcessSN</t>
  </si>
  <si>
    <t>Process</t>
  </si>
  <si>
    <t>製令單號</t>
  </si>
  <si>
    <t>料號</t>
  </si>
  <si>
    <t>入料數</t>
  </si>
  <si>
    <t>來料日期</t>
  </si>
  <si>
    <t>進料待檢</t>
    <phoneticPr fontId="4" type="noConversion"/>
  </si>
  <si>
    <t>進料檢OK</t>
    <phoneticPr fontId="4" type="noConversion"/>
  </si>
  <si>
    <t>製程序</t>
    <phoneticPr fontId="3" type="noConversion"/>
  </si>
  <si>
    <t>製程</t>
    <phoneticPr fontId="3" type="noConversion"/>
  </si>
  <si>
    <t>製程序2</t>
  </si>
  <si>
    <t>製程料號</t>
  </si>
  <si>
    <t>日期</t>
  </si>
  <si>
    <t>OK</t>
  </si>
  <si>
    <t>NG</t>
  </si>
  <si>
    <t>尚未分料</t>
    <phoneticPr fontId="3" type="noConversion"/>
  </si>
  <si>
    <t>NG</t>
    <phoneticPr fontId="4" type="noConversion"/>
  </si>
  <si>
    <t>料號</t>
    <phoneticPr fontId="3" type="noConversion"/>
  </si>
  <si>
    <t>尚未分料數量</t>
    <phoneticPr fontId="3" type="noConversion"/>
  </si>
  <si>
    <t>外觀檢驗包裝</t>
    <phoneticPr fontId="4" type="noConversion"/>
  </si>
  <si>
    <t>品管出貨檢驗</t>
    <phoneticPr fontId="4" type="noConversion"/>
  </si>
  <si>
    <t>成品
入庫數</t>
    <phoneticPr fontId="4" type="noConversion"/>
  </si>
  <si>
    <t>已包裝待放行</t>
    <phoneticPr fontId="4" type="noConversion"/>
  </si>
  <si>
    <t>良品放行</t>
    <phoneticPr fontId="3" type="noConversion"/>
  </si>
  <si>
    <t>不良待處理</t>
    <phoneticPr fontId="3" type="noConversion"/>
  </si>
  <si>
    <t>成品待檢驗</t>
    <phoneticPr fontId="4" type="noConversion"/>
  </si>
  <si>
    <t>未入庫</t>
    <phoneticPr fontId="3" type="noConversion"/>
  </si>
  <si>
    <t>第一製程製令</t>
    <phoneticPr fontId="3" type="noConversion"/>
  </si>
  <si>
    <t>分配數量</t>
    <phoneticPr fontId="3" type="noConversion"/>
  </si>
  <si>
    <t>尚未入庫</t>
    <phoneticPr fontId="3" type="noConversion"/>
  </si>
  <si>
    <t>未入庫數量</t>
    <phoneticPr fontId="3" type="noConversion"/>
  </si>
  <si>
    <t>分料帳差</t>
    <phoneticPr fontId="3" type="noConversion"/>
  </si>
  <si>
    <t>總未交數量</t>
    <phoneticPr fontId="3" type="noConversion"/>
  </si>
  <si>
    <t>採購單號</t>
    <phoneticPr fontId="3" type="noConversion"/>
  </si>
  <si>
    <t>預交日期</t>
    <phoneticPr fontId="3" type="noConversion"/>
  </si>
  <si>
    <t>回復日期</t>
    <phoneticPr fontId="3" type="noConversion"/>
  </si>
  <si>
    <t>未交數量</t>
    <phoneticPr fontId="3" type="noConversion"/>
  </si>
  <si>
    <t>銷帳數量</t>
    <phoneticPr fontId="3" type="noConversion"/>
  </si>
  <si>
    <t>銷帳單號</t>
    <phoneticPr fontId="3" type="noConversion"/>
  </si>
  <si>
    <t>銷帳單號1</t>
    <phoneticPr fontId="3" type="noConversion"/>
  </si>
  <si>
    <t>銷帳數量2</t>
    <phoneticPr fontId="3" type="noConversion"/>
  </si>
  <si>
    <t>入料帳差</t>
    <phoneticPr fontId="3" type="noConversion"/>
  </si>
  <si>
    <t>預交帳差</t>
    <phoneticPr fontId="3" type="noConversion"/>
  </si>
  <si>
    <t>今日日期</t>
    <phoneticPr fontId="3" type="noConversion"/>
  </si>
  <si>
    <t>總請款數量</t>
    <phoneticPr fontId="3" type="noConversion"/>
  </si>
  <si>
    <t>差額數量確認</t>
    <phoneticPr fontId="3" type="noConversion"/>
  </si>
  <si>
    <t>Memo</t>
  </si>
  <si>
    <t/>
  </si>
  <si>
    <t>已出貨</t>
    <phoneticPr fontId="3" type="noConversion"/>
  </si>
  <si>
    <t>可出貨數量</t>
    <phoneticPr fontId="3" type="noConversion"/>
  </si>
  <si>
    <t>總出貨數量</t>
    <phoneticPr fontId="3" type="noConversion"/>
  </si>
  <si>
    <t>&lt;成品總數</t>
    <phoneticPr fontId="3" type="noConversion"/>
  </si>
  <si>
    <t>&lt;製程中數量</t>
    <phoneticPr fontId="3" type="noConversion"/>
  </si>
  <si>
    <t>employeeID</t>
  </si>
  <si>
    <t>362</t>
  </si>
  <si>
    <t xml:space="preserve"> </t>
    <phoneticPr fontId="3" type="noConversion"/>
  </si>
  <si>
    <t>總不良數量</t>
    <phoneticPr fontId="3" type="noConversion"/>
  </si>
  <si>
    <t>總不良數</t>
    <phoneticPr fontId="3" type="noConversion"/>
  </si>
  <si>
    <t>直通率</t>
    <phoneticPr fontId="3" type="noConversion"/>
  </si>
  <si>
    <t>直通率</t>
    <phoneticPr fontId="3" type="noConversion"/>
  </si>
  <si>
    <t>#04</t>
  </si>
  <si>
    <t>#05</t>
  </si>
  <si>
    <t>#100</t>
  </si>
  <si>
    <t>#100OQC</t>
  </si>
  <si>
    <t>#100STOCK</t>
  </si>
  <si>
    <t>#100SHIP</t>
  </si>
  <si>
    <t>#06</t>
  </si>
  <si>
    <t>#00PICK</t>
  </si>
  <si>
    <t>#00IQC</t>
  </si>
  <si>
    <t>#02</t>
  </si>
  <si>
    <t>#03</t>
  </si>
  <si>
    <t>employeeName</t>
  </si>
  <si>
    <t>000</t>
  </si>
  <si>
    <t>賴長慶</t>
  </si>
  <si>
    <t>001</t>
  </si>
  <si>
    <t>劉明珠</t>
  </si>
  <si>
    <t>003</t>
  </si>
  <si>
    <t>何彥泓</t>
  </si>
  <si>
    <t>006</t>
  </si>
  <si>
    <t>李美蓮</t>
  </si>
  <si>
    <t>011</t>
  </si>
  <si>
    <t>劉家嫻</t>
  </si>
  <si>
    <t>031</t>
  </si>
  <si>
    <t>劉明臻</t>
  </si>
  <si>
    <t>407</t>
  </si>
  <si>
    <t>溫雅婷</t>
  </si>
  <si>
    <t>065</t>
  </si>
  <si>
    <t>阮文明</t>
  </si>
  <si>
    <t>067</t>
  </si>
  <si>
    <t>阮氏河</t>
  </si>
  <si>
    <t>088</t>
  </si>
  <si>
    <t>陳氏絨</t>
  </si>
  <si>
    <t>095</t>
  </si>
  <si>
    <t>黎秋水</t>
  </si>
  <si>
    <t>098</t>
  </si>
  <si>
    <t>盧詣函</t>
  </si>
  <si>
    <t>151</t>
  </si>
  <si>
    <t>黎氏順</t>
  </si>
  <si>
    <t>156</t>
  </si>
  <si>
    <t>裴氏璧鳳</t>
  </si>
  <si>
    <t>159</t>
  </si>
  <si>
    <t>江栩妘</t>
  </si>
  <si>
    <t>175</t>
  </si>
  <si>
    <t>王奕蓁</t>
  </si>
  <si>
    <t>195</t>
  </si>
  <si>
    <t>溫智淵</t>
  </si>
  <si>
    <t>198</t>
  </si>
  <si>
    <t>蘇孟洵</t>
  </si>
  <si>
    <t>200</t>
  </si>
  <si>
    <t>廖俊彥</t>
  </si>
  <si>
    <t>218</t>
  </si>
  <si>
    <t>謝素卿</t>
  </si>
  <si>
    <t>247</t>
  </si>
  <si>
    <t>洪乙力</t>
  </si>
  <si>
    <t>249</t>
  </si>
  <si>
    <t>黃瓈巧</t>
  </si>
  <si>
    <t>250</t>
  </si>
  <si>
    <t>潘雪梅</t>
  </si>
  <si>
    <t>251</t>
  </si>
  <si>
    <t>蔡丞哲</t>
  </si>
  <si>
    <t>253</t>
  </si>
  <si>
    <t>黃騰彥</t>
  </si>
  <si>
    <t>258</t>
  </si>
  <si>
    <t>黎長維</t>
  </si>
  <si>
    <t>260</t>
  </si>
  <si>
    <t>阮士文</t>
  </si>
  <si>
    <t>265</t>
  </si>
  <si>
    <t>鄭美華</t>
  </si>
  <si>
    <t>267</t>
  </si>
  <si>
    <t>高氏顏</t>
  </si>
  <si>
    <t>282</t>
  </si>
  <si>
    <t>蔣梅</t>
  </si>
  <si>
    <t>290</t>
  </si>
  <si>
    <t>潘佳琪</t>
  </si>
  <si>
    <t>291</t>
  </si>
  <si>
    <t>阮秋霞</t>
  </si>
  <si>
    <t>293</t>
  </si>
  <si>
    <t>陳瑞祥</t>
  </si>
  <si>
    <t>304</t>
  </si>
  <si>
    <t>阮淑蓉</t>
  </si>
  <si>
    <t>306</t>
  </si>
  <si>
    <t>蔡佩君</t>
  </si>
  <si>
    <t>308</t>
  </si>
  <si>
    <t>王氏麗</t>
  </si>
  <si>
    <t>311</t>
  </si>
  <si>
    <t>吳駿易</t>
  </si>
  <si>
    <t>324</t>
  </si>
  <si>
    <t>阮文海</t>
  </si>
  <si>
    <t>335</t>
  </si>
  <si>
    <t>萬琴</t>
  </si>
  <si>
    <t>343</t>
  </si>
  <si>
    <t>阮沁如方</t>
  </si>
  <si>
    <t>345</t>
  </si>
  <si>
    <t>羅伊涵</t>
  </si>
  <si>
    <t>蘇進昌</t>
  </si>
  <si>
    <t>363</t>
  </si>
  <si>
    <t>阮懷香</t>
  </si>
  <si>
    <t>367</t>
  </si>
  <si>
    <t>林家正</t>
  </si>
  <si>
    <t>372</t>
  </si>
  <si>
    <t>黃清宇</t>
  </si>
  <si>
    <t>374</t>
  </si>
  <si>
    <t>李采玲</t>
  </si>
  <si>
    <t>379</t>
  </si>
  <si>
    <t>辜偉婷</t>
  </si>
  <si>
    <t>381</t>
  </si>
  <si>
    <t>郭政雄</t>
  </si>
  <si>
    <t>388</t>
  </si>
  <si>
    <t>蔡至恭</t>
  </si>
  <si>
    <t>390</t>
  </si>
  <si>
    <t>黎功江</t>
  </si>
  <si>
    <t>391</t>
  </si>
  <si>
    <t>梅氏和</t>
  </si>
  <si>
    <t>393</t>
  </si>
  <si>
    <t>莊壹筌</t>
  </si>
  <si>
    <t>398</t>
  </si>
  <si>
    <t>許文姍</t>
  </si>
  <si>
    <t>402</t>
  </si>
  <si>
    <t>阮氏璧紅</t>
  </si>
  <si>
    <t>403</t>
  </si>
  <si>
    <t>陳雅娟</t>
  </si>
  <si>
    <t>405</t>
  </si>
  <si>
    <t>許育綸</t>
  </si>
  <si>
    <t>413</t>
  </si>
  <si>
    <t>梅氏江</t>
  </si>
  <si>
    <t>423</t>
  </si>
  <si>
    <t>張淑惠</t>
  </si>
  <si>
    <t>425</t>
  </si>
  <si>
    <t>434</t>
  </si>
  <si>
    <t>賴彥君</t>
  </si>
  <si>
    <t>徐嘉鴻</t>
  </si>
  <si>
    <t>442</t>
  </si>
  <si>
    <t>游惠茹</t>
  </si>
  <si>
    <t>445</t>
  </si>
  <si>
    <t>薛雲飛</t>
  </si>
  <si>
    <t>447</t>
  </si>
  <si>
    <t>曾婉筠</t>
  </si>
  <si>
    <t>449</t>
  </si>
  <si>
    <t>陳治宏</t>
  </si>
  <si>
    <t>備註</t>
    <phoneticPr fontId="3" type="noConversion"/>
  </si>
  <si>
    <t>人員</t>
    <phoneticPr fontId="3" type="noConversion"/>
  </si>
  <si>
    <t>直通率</t>
    <phoneticPr fontId="3" type="noConversion"/>
  </si>
  <si>
    <t>PCUSTID</t>
  </si>
  <si>
    <t>廠商</t>
    <phoneticPr fontId="3" type="noConversion"/>
  </si>
  <si>
    <t>Name</t>
  </si>
  <si>
    <t>Y003</t>
  </si>
  <si>
    <t>俊杰</t>
    <phoneticPr fontId="3" type="noConversion"/>
  </si>
  <si>
    <t>俊杰工業社</t>
  </si>
  <si>
    <t>Y005</t>
  </si>
  <si>
    <t>巨品</t>
    <phoneticPr fontId="3" type="noConversion"/>
  </si>
  <si>
    <t>巨品表面工程股份有限公司</t>
  </si>
  <si>
    <t>Y006</t>
  </si>
  <si>
    <t>台金</t>
  </si>
  <si>
    <t>台金精密有限公司(尚紘)</t>
  </si>
  <si>
    <t>Y008</t>
  </si>
  <si>
    <t>豐鎰</t>
  </si>
  <si>
    <t>豐鎰企業社</t>
  </si>
  <si>
    <t>Y010</t>
  </si>
  <si>
    <t>立進</t>
  </si>
  <si>
    <t>立進企業有限公司</t>
  </si>
  <si>
    <t>Y011</t>
  </si>
  <si>
    <t>源木</t>
  </si>
  <si>
    <t>源木金屬企業有限公司</t>
  </si>
  <si>
    <t>Y017</t>
  </si>
  <si>
    <t>阡懋</t>
  </si>
  <si>
    <t>阡懋實業股份有限公司</t>
  </si>
  <si>
    <t>Y018</t>
  </si>
  <si>
    <t>藝佳</t>
  </si>
  <si>
    <t>藝佳興業股份有限公司</t>
  </si>
  <si>
    <t>Y036</t>
  </si>
  <si>
    <t>弘圳</t>
  </si>
  <si>
    <t>弘圳工業股份有限公司</t>
  </si>
  <si>
    <t>Y078</t>
  </si>
  <si>
    <t>速桓金</t>
    <phoneticPr fontId="3" type="noConversion"/>
  </si>
  <si>
    <t>Y084</t>
  </si>
  <si>
    <t>豐源</t>
  </si>
  <si>
    <t>豐源熱處理</t>
  </si>
  <si>
    <t>Y116</t>
  </si>
  <si>
    <t>良長豐</t>
    <phoneticPr fontId="3" type="noConversion"/>
  </si>
  <si>
    <t>良長豐有限公司</t>
  </si>
  <si>
    <t>Y119</t>
  </si>
  <si>
    <t>揚仟</t>
  </si>
  <si>
    <t>揚仟鍛造股份有限公司</t>
  </si>
  <si>
    <t>Y121</t>
  </si>
  <si>
    <t>美上鎂</t>
    <phoneticPr fontId="3" type="noConversion"/>
  </si>
  <si>
    <t>美上鎂科技股份有限公司</t>
  </si>
  <si>
    <t>Y128</t>
  </si>
  <si>
    <t>竣淵</t>
  </si>
  <si>
    <t>竣淵科技股份有限公司</t>
  </si>
  <si>
    <t>Y132</t>
  </si>
  <si>
    <t>誠美</t>
  </si>
  <si>
    <t>誠美工業有限公司</t>
  </si>
  <si>
    <t>Y148</t>
  </si>
  <si>
    <t>小而美</t>
    <phoneticPr fontId="3" type="noConversion"/>
  </si>
  <si>
    <t>小而美有限公司</t>
  </si>
  <si>
    <t>Y149</t>
  </si>
  <si>
    <t>鎬錩</t>
  </si>
  <si>
    <t>鎬錩實業股份有限公司</t>
  </si>
  <si>
    <t>Y164</t>
  </si>
  <si>
    <t>鉦鑫</t>
  </si>
  <si>
    <t>鉦鑫精密有限公司</t>
  </si>
  <si>
    <t>Y165</t>
  </si>
  <si>
    <t>森萊</t>
  </si>
  <si>
    <t>森萊盉工業有限公司</t>
  </si>
  <si>
    <t>Y167</t>
  </si>
  <si>
    <t>天承</t>
  </si>
  <si>
    <t>天承精密緞壓股份有限公司</t>
  </si>
  <si>
    <t>Y171</t>
  </si>
  <si>
    <t>芊鶴</t>
  </si>
  <si>
    <t>芊鶴企業有限公司</t>
  </si>
  <si>
    <t>Y173</t>
  </si>
  <si>
    <t>歐薩比</t>
    <phoneticPr fontId="3" type="noConversion"/>
  </si>
  <si>
    <t>歐薩比金屬股份有限公司</t>
  </si>
  <si>
    <t>Y002</t>
  </si>
  <si>
    <t>勇鼎</t>
    <phoneticPr fontId="3" type="noConversion"/>
  </si>
  <si>
    <t>勇鼎科技股份有限公司</t>
  </si>
  <si>
    <t>Y169</t>
  </si>
  <si>
    <t>泉盛</t>
    <phoneticPr fontId="3" type="noConversion"/>
  </si>
  <si>
    <t xml:space="preserve">泉盛工業股份有限公司_x000D_
</t>
  </si>
  <si>
    <t>廠商</t>
    <phoneticPr fontId="3" type="noConversion"/>
  </si>
  <si>
    <t>&lt;已做完待檢驗數量</t>
    <phoneticPr fontId="3" type="noConversion"/>
  </si>
  <si>
    <t>#01GIVE</t>
  </si>
  <si>
    <t>入庫</t>
    <phoneticPr fontId="3" type="noConversion"/>
  </si>
  <si>
    <t>已入庫</t>
    <phoneticPr fontId="3" type="noConversion"/>
  </si>
  <si>
    <t>車床--</t>
    <phoneticPr fontId="5" type="noConversion"/>
  </si>
  <si>
    <t>銑床--</t>
    <phoneticPr fontId="5" type="noConversion"/>
  </si>
  <si>
    <t>品管待檢驗</t>
    <phoneticPr fontId="3" type="noConversion"/>
  </si>
  <si>
    <t>OK</t>
    <phoneticPr fontId="3" type="noConversion"/>
  </si>
  <si>
    <t>NG</t>
    <phoneticPr fontId="3" type="noConversion"/>
  </si>
  <si>
    <t>總委外數</t>
    <phoneticPr fontId="5" type="noConversion"/>
  </si>
  <si>
    <t>入庫</t>
    <phoneticPr fontId="3" type="noConversion"/>
  </si>
  <si>
    <t>#06待檢驗
數量</t>
    <phoneticPr fontId="3" type="noConversion"/>
  </si>
  <si>
    <t>#06檢驗OK</t>
    <phoneticPr fontId="3" type="noConversion"/>
  </si>
  <si>
    <t>#06
QC NG</t>
    <phoneticPr fontId="3" type="noConversion"/>
  </si>
  <si>
    <t>30-4118-018-XXX素材未交紀錄/淳梓</t>
    <phoneticPr fontId="3" type="noConversion"/>
  </si>
  <si>
    <t>30-4118-018-XXX素材銷帳紀錄</t>
    <phoneticPr fontId="3" type="noConversion"/>
  </si>
  <si>
    <t>30-4118-018-300-02</t>
  </si>
  <si>
    <t>30-4118-018-300-03</t>
  </si>
  <si>
    <t>30-4118-018-300-04</t>
  </si>
  <si>
    <t>30-4118-018-300-05</t>
  </si>
  <si>
    <t>30-4118-018-300-06</t>
  </si>
  <si>
    <t>30-4118-018-300-07</t>
  </si>
  <si>
    <t>30-4118-018-300-08</t>
  </si>
  <si>
    <t>30-4118-018-330-01</t>
  </si>
  <si>
    <t>30-4118-018-330-02</t>
  </si>
  <si>
    <t>30-4118-018-330-03</t>
  </si>
  <si>
    <t>30-4118-018-330-04</t>
  </si>
  <si>
    <t>30-4118-018-330-05</t>
  </si>
  <si>
    <t>30-4118-018-330-06</t>
  </si>
  <si>
    <t>30-4118-018-330-07</t>
  </si>
  <si>
    <t>30-4118-018-330-08</t>
  </si>
  <si>
    <t>30-4118-018-370-01</t>
  </si>
  <si>
    <t>30-4118-018-370-02</t>
  </si>
  <si>
    <t>30-4118-018-370-03</t>
  </si>
  <si>
    <t>30-4118-018-370-04</t>
  </si>
  <si>
    <t>30-4118-018-370-05</t>
  </si>
  <si>
    <t>30-4118-018-370-06</t>
  </si>
  <si>
    <t>30-4118-018-370-07</t>
  </si>
  <si>
    <t>30-4118-018-370-08</t>
  </si>
  <si>
    <t>30-4118-018-3XX-01</t>
  </si>
  <si>
    <t>30-4118-018-3XX-02</t>
  </si>
  <si>
    <t>30-4118-018-3XX-03</t>
  </si>
  <si>
    <t>30-4118-018-3XX-04</t>
  </si>
  <si>
    <t>30-4118-018-3XX-05</t>
  </si>
  <si>
    <t>30-4118-018-3XX-06</t>
  </si>
  <si>
    <t>30-4118-018-3XX-07</t>
  </si>
  <si>
    <t>30-4118-018-3XX-08</t>
  </si>
  <si>
    <t>30-4118-018-3XX-09</t>
  </si>
  <si>
    <t>30-4118-018-400-01</t>
  </si>
  <si>
    <t>30-4118-018-400-02</t>
  </si>
  <si>
    <t>30-4118-018-400-03</t>
  </si>
  <si>
    <t>30-4118-018-400-04</t>
  </si>
  <si>
    <t>30-4118-018-400-05</t>
  </si>
  <si>
    <t>30-4118-018-400-06</t>
  </si>
  <si>
    <t>30-4118-018-400-07</t>
  </si>
  <si>
    <t>30-4118-018-400-08</t>
  </si>
  <si>
    <t>30-4118-018-420-01</t>
  </si>
  <si>
    <t>30-4118-018-420-02</t>
  </si>
  <si>
    <t>30-4118-018-420-03</t>
  </si>
  <si>
    <t>30-4118-018-420-04</t>
  </si>
  <si>
    <t>30-4118-018-420-05</t>
  </si>
  <si>
    <t>30-4118-018-420-06</t>
  </si>
  <si>
    <t>30-4118-018-420-07</t>
  </si>
  <si>
    <t>30-4118-018-420-08</t>
  </si>
  <si>
    <t>30-4118-018-450-01</t>
  </si>
  <si>
    <t>30-4118-018-450-02</t>
  </si>
  <si>
    <t>30-4118-018-450-03</t>
  </si>
  <si>
    <t>30-4118-018-450-04</t>
  </si>
  <si>
    <t>30-4118-018-450-05</t>
  </si>
  <si>
    <t>30-4118-018-450-06</t>
  </si>
  <si>
    <t>30-4118-018-450-07</t>
  </si>
  <si>
    <t>30-4118-018-450-08</t>
  </si>
  <si>
    <t>30-4118-018-470-01</t>
  </si>
  <si>
    <t>30-4118-018-470-02</t>
  </si>
  <si>
    <t>30-4118-018-470-03</t>
  </si>
  <si>
    <t>30-4118-018-470-04</t>
  </si>
  <si>
    <t>30-4118-018-470-05</t>
  </si>
  <si>
    <t>30-4118-018-470-06</t>
  </si>
  <si>
    <t>30-4118-018-470-07</t>
  </si>
  <si>
    <t>30-4118-018-470-08</t>
  </si>
  <si>
    <t>30-4118-018-4XX-01</t>
  </si>
  <si>
    <t>30-4118-018-4XX-02</t>
  </si>
  <si>
    <t>30-4118-018-4XX-03</t>
  </si>
  <si>
    <t>30-4118-018-4XX-04</t>
  </si>
  <si>
    <t>30-4118-018-4XX-05</t>
  </si>
  <si>
    <t>30-4118-018-4XX-06</t>
  </si>
  <si>
    <t>30-4118-018-4XX-07</t>
  </si>
  <si>
    <t>30-4118-018-4XX-08</t>
  </si>
  <si>
    <t>30-4118-018-4XX-09</t>
  </si>
  <si>
    <t>30-4118-018-500-01</t>
  </si>
  <si>
    <t>30-4118-018-500-02</t>
  </si>
  <si>
    <t>30-4118-018-500-03</t>
  </si>
  <si>
    <t>30-4118-018-500-04</t>
  </si>
  <si>
    <t>30-4118-018-500-05</t>
  </si>
  <si>
    <t>30-4118-018-500-06</t>
  </si>
  <si>
    <t>30-4118-018-500-07</t>
  </si>
  <si>
    <t>30-4118-018-500-08</t>
  </si>
  <si>
    <t>30-4118-018-520-01</t>
  </si>
  <si>
    <t>30-4118-018-520-02</t>
  </si>
  <si>
    <t>30-4118-018-520-03</t>
  </si>
  <si>
    <t>30-4118-018-520-04</t>
  </si>
  <si>
    <t>30-4118-018-520-05</t>
  </si>
  <si>
    <t>30-4118-018-520-06</t>
  </si>
  <si>
    <t>30-4118-018-520-07</t>
  </si>
  <si>
    <t>30-4118-018-520-08</t>
  </si>
  <si>
    <t>30-4118-018-550-01</t>
  </si>
  <si>
    <t>30-4118-018-550-02</t>
  </si>
  <si>
    <t>30-4118-018-550-03</t>
  </si>
  <si>
    <t>30-4118-018-550-04</t>
  </si>
  <si>
    <t>30-4118-018-550-05</t>
  </si>
  <si>
    <t>30-4118-018-550-06</t>
  </si>
  <si>
    <t>30-4118-018-550-07</t>
  </si>
  <si>
    <t>30-4118-018-550-08</t>
  </si>
  <si>
    <t>30-4118-018-570-01</t>
  </si>
  <si>
    <t>30-4118-018-570-02</t>
  </si>
  <si>
    <t>30-4118-018-570-03</t>
  </si>
  <si>
    <t>30-4118-018-570-04</t>
  </si>
  <si>
    <t>30-4118-018-570-05</t>
  </si>
  <si>
    <t>30-4118-018-570-06</t>
  </si>
  <si>
    <t>30-4118-018-570-07</t>
  </si>
  <si>
    <t>30-4118-018-570-08</t>
  </si>
  <si>
    <t>30-4118-018-5XX-01</t>
  </si>
  <si>
    <t>30-4118-018-5XX-02</t>
  </si>
  <si>
    <t>30-4118-018-5XX-03</t>
  </si>
  <si>
    <t>30-4118-018-5XX-04</t>
  </si>
  <si>
    <t>30-4118-018-5XX-05</t>
  </si>
  <si>
    <t>30-4118-018-5XX-06</t>
  </si>
  <si>
    <t>30-4118-018-5XX-07</t>
  </si>
  <si>
    <t>30-4118-018-5XX-08</t>
  </si>
  <si>
    <t>30-4118-018-5XX-09</t>
  </si>
  <si>
    <t>30-4118-018-600-01</t>
  </si>
  <si>
    <t>30-4118-018-600-02</t>
  </si>
  <si>
    <t>30-4118-018-600-03</t>
  </si>
  <si>
    <t>30-4118-018-600-04</t>
  </si>
  <si>
    <t>30-4118-018-600-05</t>
  </si>
  <si>
    <t>30-4118-018-600-06</t>
  </si>
  <si>
    <t>30-4118-018-600-07</t>
  </si>
  <si>
    <t>30-4118-018-600-08</t>
  </si>
  <si>
    <t>30-4118-018-620-01</t>
  </si>
  <si>
    <t>30-4118-018-620-02</t>
  </si>
  <si>
    <t>30-4118-018-620-03</t>
  </si>
  <si>
    <t>30-4118-018-620-04</t>
  </si>
  <si>
    <t>30-4118-018-620-05</t>
  </si>
  <si>
    <t>30-4118-018-620-06</t>
  </si>
  <si>
    <t>30-4118-018-620-07</t>
  </si>
  <si>
    <t>30-4118-018-620-08</t>
  </si>
  <si>
    <t>30-4118-018-650-01</t>
  </si>
  <si>
    <t>30-4118-018-650-02</t>
  </si>
  <si>
    <t>30-4118-018-650-03</t>
  </si>
  <si>
    <t>30-4118-018-650-04</t>
  </si>
  <si>
    <t>30-4118-018-650-05</t>
  </si>
  <si>
    <t>30-4118-018-650-06</t>
  </si>
  <si>
    <t>30-4118-018-650-07</t>
  </si>
  <si>
    <t>30-4118-018-650-08</t>
  </si>
  <si>
    <t>30-4118-018-6XX-01</t>
  </si>
  <si>
    <t>30-4118-018-6XX-02</t>
  </si>
  <si>
    <t>30-4118-018-6XX-03</t>
  </si>
  <si>
    <t>30-4118-018-6XX-04</t>
  </si>
  <si>
    <t>30-4118-018-6XX-05</t>
  </si>
  <si>
    <t>30-4118-018-6XX-06</t>
  </si>
  <si>
    <t>30-4118-018-6XX-07</t>
  </si>
  <si>
    <t>30-4118-018-6XX-08</t>
  </si>
  <si>
    <t>30-4118-018-6XX-09</t>
  </si>
  <si>
    <t>30-4118-018-990-01</t>
  </si>
  <si>
    <t>30-4118-018-990-02</t>
  </si>
  <si>
    <t>30-4118-018-990-03</t>
  </si>
  <si>
    <t>30-4118-018-990-04</t>
  </si>
  <si>
    <t>30-4118-018-990-05</t>
  </si>
  <si>
    <t>30-4118-018-990-06</t>
  </si>
  <si>
    <t>30-4118-018-990-07</t>
  </si>
  <si>
    <t>30-4118-018-990-08</t>
  </si>
  <si>
    <t>30-4118-018-XXX-01</t>
  </si>
  <si>
    <t>30-4118-018-XXX-02</t>
  </si>
  <si>
    <t>30-4118-018-XXX-03</t>
  </si>
  <si>
    <t>30-4118-018-XXX-04</t>
  </si>
  <si>
    <t>30-4118-018-XXX-05</t>
  </si>
  <si>
    <t>30-4118-018-XXX-06</t>
  </si>
  <si>
    <t>30-4118-018-XXX-07</t>
  </si>
  <si>
    <t>30-4118-018-XXX-08</t>
  </si>
  <si>
    <t>30-4118-018-XXX-09</t>
  </si>
  <si>
    <t>30-4118-018-XXX-10</t>
  </si>
  <si>
    <t>30-4118-018-300-01</t>
    <phoneticPr fontId="3" type="noConversion"/>
  </si>
  <si>
    <t>#08PICK</t>
  </si>
  <si>
    <t>#08</t>
  </si>
  <si>
    <t>#08RCV</t>
  </si>
  <si>
    <t>#08IQC</t>
  </si>
  <si>
    <t>#03PICK</t>
  </si>
  <si>
    <t>#03GIVE</t>
  </si>
  <si>
    <t>#07</t>
  </si>
  <si>
    <t>#07QC</t>
  </si>
  <si>
    <t>#07STOCK</t>
  </si>
  <si>
    <t>#10OQC</t>
  </si>
  <si>
    <t>#01-1</t>
  </si>
  <si>
    <t>#01-2</t>
  </si>
  <si>
    <t>#01QC</t>
  </si>
  <si>
    <t>#02RCV</t>
  </si>
  <si>
    <t>#02IQC</t>
  </si>
  <si>
    <t>#02STOCK</t>
  </si>
  <si>
    <t>30-4118-018-300</t>
  </si>
  <si>
    <t>30-4118-018-330</t>
  </si>
  <si>
    <t>30-4118-018-370</t>
  </si>
  <si>
    <t>30-4118-018-3XX</t>
  </si>
  <si>
    <t>30-4118-018-400</t>
  </si>
  <si>
    <t>30-4118-018-420</t>
  </si>
  <si>
    <t>30-4118-018-450</t>
  </si>
  <si>
    <t>30-4118-018-470</t>
  </si>
  <si>
    <t>30-4118-018-4XX</t>
  </si>
  <si>
    <t>30-4118-018-500</t>
  </si>
  <si>
    <t>30-4118-018-520</t>
  </si>
  <si>
    <t>30-4118-018-550</t>
  </si>
  <si>
    <t>30-4118-018-570</t>
  </si>
  <si>
    <t>30-4118-018-5XX</t>
  </si>
  <si>
    <t>30-4118-018-600</t>
  </si>
  <si>
    <t>30-4118-018-620</t>
  </si>
  <si>
    <t>30-4118-018-650</t>
  </si>
  <si>
    <t>30-4118-018-6XX</t>
  </si>
  <si>
    <t>30-4118-018-990</t>
  </si>
  <si>
    <t>30-4118-018-XXX</t>
  </si>
  <si>
    <t>外觀檢驗</t>
    <phoneticPr fontId="4" type="noConversion"/>
  </si>
  <si>
    <t>#01待檢驗</t>
    <phoneticPr fontId="3" type="noConversion"/>
  </si>
  <si>
    <t>#01 OK</t>
    <phoneticPr fontId="3" type="noConversion"/>
  </si>
  <si>
    <t>#01NG</t>
    <phoneticPr fontId="3" type="noConversion"/>
  </si>
  <si>
    <t>#1-1未加工</t>
    <phoneticPr fontId="3" type="noConversion"/>
  </si>
  <si>
    <t>#1-1 OK</t>
    <phoneticPr fontId="3" type="noConversion"/>
  </si>
  <si>
    <t>#1-2未加工</t>
    <phoneticPr fontId="3" type="noConversion"/>
  </si>
  <si>
    <t>#1-2 OK</t>
    <phoneticPr fontId="3" type="noConversion"/>
  </si>
  <si>
    <t>#1-2 NG</t>
    <phoneticPr fontId="3" type="noConversion"/>
  </si>
  <si>
    <t>#1-1 NG</t>
    <phoneticPr fontId="3" type="noConversion"/>
  </si>
  <si>
    <t>發料
168/籃</t>
    <phoneticPr fontId="5" type="noConversion"/>
  </si>
  <si>
    <t>#01待發料數量</t>
    <phoneticPr fontId="3" type="noConversion"/>
  </si>
  <si>
    <t>#01已發料數量</t>
    <phoneticPr fontId="3" type="noConversion"/>
  </si>
  <si>
    <t>#02待委外數量</t>
  </si>
  <si>
    <t>#02已委外數量</t>
  </si>
  <si>
    <t>#02廠商</t>
  </si>
  <si>
    <t>#02待回數量</t>
  </si>
  <si>
    <t>#02回
良品</t>
  </si>
  <si>
    <t>#02委外NG</t>
  </si>
  <si>
    <t>#02待檢驗</t>
    <phoneticPr fontId="3" type="noConversion"/>
  </si>
  <si>
    <t>#02 OK</t>
    <phoneticPr fontId="3" type="noConversion"/>
  </si>
  <si>
    <t>#02 NG</t>
    <phoneticPr fontId="3" type="noConversion"/>
  </si>
  <si>
    <t>30-4118-018-000--#2</t>
    <phoneticPr fontId="3" type="noConversion"/>
  </si>
  <si>
    <t>素材廠:淳梓(自購料)
30-4118-018-XXX#1
定容定量:小籃168pcs</t>
  </si>
  <si>
    <t>30-4118-018-xxx--#1-1</t>
  </si>
  <si>
    <t>30-4118-018-xxx--#1-2</t>
  </si>
  <si>
    <t>018-4XX</t>
  </si>
  <si>
    <t>018-5XX</t>
  </si>
  <si>
    <t>#3未加工</t>
  </si>
  <si>
    <t>#3 OK</t>
  </si>
  <si>
    <t>#3 NG</t>
  </si>
  <si>
    <t>#03待發料數量</t>
  </si>
  <si>
    <t>#03已發料數量</t>
  </si>
  <si>
    <t>#4未加工</t>
    <phoneticPr fontId="3" type="noConversion"/>
  </si>
  <si>
    <t>#7未加工</t>
    <phoneticPr fontId="3" type="noConversion"/>
  </si>
  <si>
    <t>#7OK</t>
    <phoneticPr fontId="3" type="noConversion"/>
  </si>
  <si>
    <t>#7NG</t>
    <phoneticPr fontId="3" type="noConversion"/>
  </si>
  <si>
    <t>#6未加工</t>
    <phoneticPr fontId="3" type="noConversion"/>
  </si>
  <si>
    <t>#6 OK</t>
    <phoneticPr fontId="3" type="noConversion"/>
  </si>
  <si>
    <t>#6 NG</t>
    <phoneticPr fontId="3" type="noConversion"/>
  </si>
  <si>
    <t>#5 OK</t>
  </si>
  <si>
    <t>#5 NG</t>
  </si>
  <si>
    <t>#5未加工</t>
    <phoneticPr fontId="3" type="noConversion"/>
  </si>
  <si>
    <t>#4 OK</t>
    <phoneticPr fontId="3" type="noConversion"/>
  </si>
  <si>
    <t>#4 NG</t>
    <phoneticPr fontId="3" type="noConversion"/>
  </si>
  <si>
    <t>30-4118-018-4XX#2
定容定量:小籃168pcs</t>
  </si>
  <si>
    <t>30-4118-018-4XX-#4</t>
  </si>
  <si>
    <t>30-4118-018-4XX-#5</t>
  </si>
  <si>
    <t>30-4118-018-4XX-#7</t>
  </si>
  <si>
    <t>30-4118-018-5XX-#3</t>
  </si>
  <si>
    <t>30-4118-018-5XX-#4</t>
  </si>
  <si>
    <t>30-4118-018-5XX-#5</t>
  </si>
  <si>
    <t>30-4118-018-5XX-#7</t>
  </si>
  <si>
    <t>30-4118-018-6XX-#3</t>
  </si>
  <si>
    <t>30-4118-018-6XX-#4</t>
  </si>
  <si>
    <t>30-4118-018-6XX-#5</t>
  </si>
  <si>
    <t>30-4118-018-6XX-#7</t>
  </si>
  <si>
    <t>#08待委外數量</t>
  </si>
  <si>
    <t>#08已委外數量</t>
  </si>
  <si>
    <t>#08廠商</t>
  </si>
  <si>
    <t>#08待回數量</t>
  </si>
  <si>
    <t>#08回
良品</t>
  </si>
  <si>
    <t>#08委外NG</t>
  </si>
  <si>
    <t>30-4118-018-450
(陽極版)
168/籃</t>
  </si>
  <si>
    <t>30-4118-018-550
(陽極版)
168/籃</t>
  </si>
  <si>
    <t>018-450</t>
    <phoneticPr fontId="5" type="noConversion"/>
  </si>
  <si>
    <t>018-550</t>
    <phoneticPr fontId="5" type="noConversion"/>
  </si>
  <si>
    <t>30-4118-018-600
(陽極版)
168/籃</t>
  </si>
  <si>
    <t>018-600</t>
    <phoneticPr fontId="5" type="noConversion"/>
  </si>
  <si>
    <t>30-4118-018-4XX-#6</t>
    <phoneticPr fontId="3" type="noConversion"/>
  </si>
  <si>
    <t>OB1130726001-1</t>
    <phoneticPr fontId="3" type="noConversion"/>
  </si>
  <si>
    <t>OB1130726001-2</t>
    <phoneticPr fontId="3" type="noConversion"/>
  </si>
  <si>
    <t>B-1131024011</t>
  </si>
  <si>
    <t>PICK</t>
  </si>
  <si>
    <t>IQC</t>
  </si>
  <si>
    <t>陽極不良率</t>
    <phoneticPr fontId="3" type="noConversion"/>
  </si>
  <si>
    <t>B-1131009001</t>
  </si>
  <si>
    <t>B-1131112003</t>
  </si>
  <si>
    <t>GIVE</t>
  </si>
  <si>
    <t>LAT</t>
  </si>
  <si>
    <t>QC</t>
  </si>
  <si>
    <t>E-PLS</t>
  </si>
  <si>
    <t>RCV</t>
  </si>
  <si>
    <t>STOCK</t>
  </si>
  <si>
    <t>MAC</t>
  </si>
  <si>
    <t>B-1131112001</t>
  </si>
  <si>
    <t>B-1131112002</t>
  </si>
  <si>
    <t>B-1131007003</t>
  </si>
  <si>
    <t>E-(H)AND(B)+PRT</t>
  </si>
  <si>
    <t>PAK</t>
  </si>
  <si>
    <t>OQC</t>
  </si>
  <si>
    <t>SHIP</t>
  </si>
  <si>
    <t>B-1131009003</t>
  </si>
  <si>
    <t>B-1131016003</t>
  </si>
  <si>
    <t>B-1131216002</t>
  </si>
  <si>
    <t>B-1131118003</t>
  </si>
  <si>
    <t>B-1131121005</t>
  </si>
  <si>
    <t>E-(H)AND(B)</t>
  </si>
  <si>
    <t>B-1131009004</t>
  </si>
  <si>
    <t>B-1131120001</t>
  </si>
  <si>
    <t>B-1131122005</t>
  </si>
  <si>
    <t>B-1131128007</t>
  </si>
  <si>
    <t>B-1131129010</t>
  </si>
  <si>
    <t>B-1131202006</t>
  </si>
  <si>
    <t>B-1131203005</t>
  </si>
  <si>
    <t>B-1131216004</t>
  </si>
  <si>
    <t>.</t>
  </si>
  <si>
    <t>B-1131204016</t>
  </si>
  <si>
    <t>B-1131205005</t>
  </si>
  <si>
    <t>B-1131206001</t>
  </si>
  <si>
    <t>B-1131009006</t>
  </si>
  <si>
    <t>B-1131025004</t>
  </si>
  <si>
    <t>B-1131030016</t>
  </si>
  <si>
    <t>B-1131104006</t>
  </si>
  <si>
    <t>B-1131105005</t>
  </si>
  <si>
    <t>B-1131106008</t>
  </si>
  <si>
    <t>B-1131108002</t>
  </si>
  <si>
    <t>B-1131113010</t>
  </si>
  <si>
    <t>B-1131205006</t>
  </si>
  <si>
    <t>B-1131211003</t>
  </si>
  <si>
    <t>B-1131107006</t>
  </si>
  <si>
    <t xml:space="preserve"> 018-6XX</t>
  </si>
  <si>
    <t>12/19-早</t>
  </si>
  <si>
    <t>12-19-夜</t>
  </si>
  <si>
    <t>12/19-中</t>
  </si>
  <si>
    <t>12/19-夜</t>
  </si>
  <si>
    <t>料少1PCS</t>
  </si>
  <si>
    <t>12/20-早</t>
  </si>
  <si>
    <t>多報工*4，12/20-早</t>
  </si>
  <si>
    <t>12/20-中</t>
  </si>
  <si>
    <t>12/20-晚</t>
  </si>
  <si>
    <t>欄1</t>
  </si>
  <si>
    <t>018-550</t>
  </si>
  <si>
    <t>B-20241225006</t>
  </si>
  <si>
    <t>Browser:chrome os:android</t>
  </si>
  <si>
    <t xml:space="preserve"> </t>
  </si>
  <si>
    <t>補12/23出貨</t>
  </si>
  <si>
    <t>補12/20舊庫存檢包報工</t>
  </si>
  <si>
    <t>補12/23舊庫存檢包報工</t>
  </si>
  <si>
    <t>出貨日期12/26</t>
  </si>
  <si>
    <t>12/26檢包報工</t>
  </si>
  <si>
    <t>B-20241227001</t>
  </si>
  <si>
    <t>舊OB</t>
    <phoneticPr fontId="3" type="noConversion"/>
  </si>
  <si>
    <t>B-20241227006</t>
  </si>
  <si>
    <t>B-20241230001</t>
  </si>
  <si>
    <t>B-20241231003</t>
  </si>
  <si>
    <t>B-20250102001</t>
  </si>
  <si>
    <t>舊製令</t>
    <phoneticPr fontId="3" type="noConversion"/>
  </si>
  <si>
    <t>30-4118-018-5XX-#6</t>
    <phoneticPr fontId="3" type="noConversion"/>
  </si>
  <si>
    <t>30-4118-018-6XX-#6</t>
    <phoneticPr fontId="3" type="noConversion"/>
  </si>
  <si>
    <t>B-1130903015</t>
  </si>
  <si>
    <t>B-20250103001</t>
  </si>
  <si>
    <t>補1/2出貨</t>
  </si>
  <si>
    <t>B-20250106005</t>
  </si>
  <si>
    <t>B-20250106005</t>
    <phoneticPr fontId="3" type="noConversion"/>
  </si>
  <si>
    <t>覆回品</t>
  </si>
  <si>
    <t>全檢不良</t>
  </si>
  <si>
    <t>Y001</t>
  </si>
  <si>
    <t>雅棋德科技股份有限公司</t>
  </si>
  <si>
    <t>B-20250108003</t>
  </si>
  <si>
    <t>018-450</t>
  </si>
  <si>
    <t>B-20250108003</t>
    <phoneticPr fontId="3" type="noConversion"/>
  </si>
  <si>
    <t>Y118</t>
  </si>
  <si>
    <t>美而盈金屬企業有限公司</t>
  </si>
  <si>
    <t>Y109</t>
  </si>
  <si>
    <t>唐駿金屬科技有限公司</t>
  </si>
  <si>
    <t>Y106</t>
  </si>
  <si>
    <t>龍成金屬實業有限公司</t>
  </si>
  <si>
    <t>漏報工</t>
  </si>
  <si>
    <t>B-20250109002</t>
  </si>
  <si>
    <t>B-20250109002</t>
    <phoneticPr fontId="3" type="noConversion"/>
  </si>
  <si>
    <t>B-20250110010</t>
  </si>
  <si>
    <t>B-202401100100</t>
    <phoneticPr fontId="3" type="noConversion"/>
  </si>
  <si>
    <t>覆回</t>
  </si>
  <si>
    <t>B-20250113001</t>
  </si>
  <si>
    <t>B-20250114001</t>
  </si>
  <si>
    <t>B-20240620013</t>
  </si>
  <si>
    <t>453</t>
  </si>
  <si>
    <t>田佩娟</t>
  </si>
  <si>
    <t>B-1130408002</t>
  </si>
  <si>
    <t>B-20250115015</t>
  </si>
  <si>
    <t>補</t>
  </si>
  <si>
    <t>450</t>
  </si>
  <si>
    <t>武氏賢</t>
  </si>
  <si>
    <t>原報#7報錯</t>
  </si>
  <si>
    <t>1/15 早班</t>
  </si>
  <si>
    <t>1/15 中班</t>
  </si>
  <si>
    <t>1/15 晚班</t>
  </si>
  <si>
    <t>B-20250116002</t>
  </si>
  <si>
    <t>B-20250116002</t>
    <phoneticPr fontId="3" type="noConversion"/>
  </si>
  <si>
    <t>B-20250117002</t>
  </si>
  <si>
    <t>B-20250117002</t>
    <phoneticPr fontId="3" type="noConversion"/>
  </si>
  <si>
    <t>B-20250120009</t>
  </si>
  <si>
    <t>y169</t>
  </si>
  <si>
    <t>收尾少2pcs</t>
  </si>
  <si>
    <t>Y182</t>
  </si>
  <si>
    <t>成淞企業有限公司</t>
  </si>
  <si>
    <t>B-20250120009</t>
    <phoneticPr fontId="3" type="noConversion"/>
  </si>
  <si>
    <t>B-20250121005</t>
  </si>
  <si>
    <t>領1140016</t>
  </si>
  <si>
    <t>領1140017</t>
  </si>
  <si>
    <t>領1140018</t>
  </si>
  <si>
    <t>領1140019</t>
  </si>
  <si>
    <t>領1140020</t>
  </si>
  <si>
    <t>B-20250122003</t>
  </si>
  <si>
    <t xml:space="preserve"> </t>
    <phoneticPr fontId="3" type="noConversion"/>
  </si>
  <si>
    <t>B-1131028001</t>
  </si>
  <si>
    <t>B-1130921003</t>
  </si>
  <si>
    <t>B-20250207004</t>
  </si>
  <si>
    <t>B-20250208001</t>
  </si>
  <si>
    <t>華</t>
  </si>
  <si>
    <t>B-20250214002</t>
  </si>
  <si>
    <t>B-20250210006</t>
  </si>
  <si>
    <t>454</t>
  </si>
  <si>
    <t>林麗娟</t>
  </si>
  <si>
    <t>B-1131112002</t>
    <phoneticPr fontId="3" type="noConversion"/>
  </si>
  <si>
    <t>018-600</t>
    <phoneticPr fontId="3" type="noConversion"/>
  </si>
  <si>
    <t>B-20250207004</t>
    <phoneticPr fontId="3" type="noConversion"/>
  </si>
  <si>
    <t>B-20250208001</t>
    <phoneticPr fontId="3" type="noConversion"/>
  </si>
  <si>
    <t>B-20250210006</t>
    <phoneticPr fontId="3" type="noConversion"/>
  </si>
  <si>
    <t>B-20250214002</t>
    <phoneticPr fontId="3" type="noConversion"/>
  </si>
  <si>
    <t>2/12 中</t>
  </si>
  <si>
    <t>B-20250214002</t>
    <phoneticPr fontId="3" type="noConversion"/>
  </si>
  <si>
    <t>B-20250218014</t>
  </si>
  <si>
    <t>B-20250218002</t>
  </si>
  <si>
    <t>OB1130726001-1</t>
  </si>
  <si>
    <t>車床--粗車</t>
    <phoneticPr fontId="5" type="noConversion"/>
  </si>
  <si>
    <t>車床</t>
    <phoneticPr fontId="5" type="noConversion"/>
  </si>
  <si>
    <t>B-20250219001</t>
  </si>
  <si>
    <t>018-600</t>
  </si>
  <si>
    <t>B-20250220002</t>
  </si>
  <si>
    <t>B-20250220002</t>
    <phoneticPr fontId="3" type="noConversion"/>
  </si>
  <si>
    <t>補2/17出貨</t>
  </si>
  <si>
    <t>總數64料多10PCS</t>
  </si>
  <si>
    <t>B-20250221002</t>
    <phoneticPr fontId="3" type="noConversion"/>
  </si>
  <si>
    <t>B-20250221002</t>
  </si>
  <si>
    <t>陽極不良</t>
  </si>
  <si>
    <t>素材不良*4 陽極不良*11</t>
  </si>
  <si>
    <t>素材不良*7 陽極不良*6</t>
  </si>
  <si>
    <t>B-20250306004</t>
  </si>
  <si>
    <t>B-20250306004</t>
    <phoneticPr fontId="3" type="noConversion"/>
  </si>
  <si>
    <t>收尾少1pcs</t>
  </si>
  <si>
    <t>林祐良</t>
  </si>
  <si>
    <t>B-20250314005</t>
  </si>
  <si>
    <t>B-20250314005</t>
    <phoneticPr fontId="3" type="noConversion"/>
  </si>
  <si>
    <t>30-4118-018-550#100</t>
    <phoneticPr fontId="3" type="noConversion"/>
  </si>
  <si>
    <t>30-4118-018-450#100</t>
    <phoneticPr fontId="3" type="noConversion"/>
  </si>
  <si>
    <t>B-20250318001</t>
  </si>
  <si>
    <t>457</t>
  </si>
  <si>
    <t>黎文勝</t>
  </si>
  <si>
    <t>結尾</t>
  </si>
  <si>
    <t>補3/14</t>
  </si>
  <si>
    <t>B-1131017005</t>
  </si>
  <si>
    <t>3/26客戶新增</t>
  </si>
  <si>
    <t>460</t>
  </si>
  <si>
    <t>江嘉倫</t>
  </si>
  <si>
    <t>料少2PCS</t>
  </si>
  <si>
    <t>4/8 覆回</t>
  </si>
  <si>
    <t>R-20250414002</t>
  </si>
  <si>
    <t>B-20250414004</t>
  </si>
  <si>
    <t>462</t>
  </si>
  <si>
    <t>4/10 中</t>
  </si>
  <si>
    <t>R-20250416001</t>
  </si>
  <si>
    <t>B-20250417002</t>
  </si>
  <si>
    <t>B-20250417002</t>
    <phoneticPr fontId="3" type="noConversion"/>
  </si>
  <si>
    <t>收尾多1pcs</t>
  </si>
  <si>
    <t>B-20250418001</t>
  </si>
  <si>
    <t>B-20250418001</t>
    <phoneticPr fontId="3" type="noConversion"/>
  </si>
  <si>
    <t>B-20250421004</t>
  </si>
  <si>
    <t>B-20250421008</t>
  </si>
  <si>
    <t>B-20250421004</t>
    <phoneticPr fontId="3" type="noConversion"/>
  </si>
  <si>
    <t>B-20250421008</t>
    <phoneticPr fontId="3" type="noConversion"/>
  </si>
  <si>
    <t>018-6XX</t>
  </si>
  <si>
    <t>018-6XX</t>
    <phoneticPr fontId="3" type="noConversion"/>
  </si>
  <si>
    <t>B-20250422001</t>
  </si>
  <si>
    <t>B-20250423006</t>
  </si>
  <si>
    <t>464</t>
  </si>
  <si>
    <t>謝刻光</t>
  </si>
  <si>
    <t>459</t>
  </si>
  <si>
    <t>陳羿錡</t>
  </si>
  <si>
    <t>463</t>
  </si>
  <si>
    <t>張月霞</t>
  </si>
  <si>
    <t>B-20250516002</t>
  </si>
  <si>
    <t>B-20250516002</t>
    <phoneticPr fontId="3" type="noConversion"/>
  </si>
  <si>
    <t>B-20250516008</t>
  </si>
  <si>
    <t>B-20250517001</t>
  </si>
  <si>
    <t>B-20250517001</t>
    <phoneticPr fontId="3" type="noConversion"/>
  </si>
  <si>
    <t>b-20250520009</t>
  </si>
  <si>
    <t>B-20250520009</t>
  </si>
  <si>
    <t>Y184</t>
  </si>
  <si>
    <t>金嶽實業有限公司</t>
  </si>
  <si>
    <t>B-20250521002</t>
  </si>
  <si>
    <t>B-20250522001</t>
  </si>
  <si>
    <t>240</t>
  </si>
  <si>
    <t>B-20250520009</t>
    <phoneticPr fontId="3" type="noConversion"/>
  </si>
  <si>
    <t>B-20250521002</t>
    <phoneticPr fontId="3" type="noConversion"/>
  </si>
  <si>
    <t>B-20250522001</t>
    <phoneticPr fontId="3" type="noConversion"/>
  </si>
  <si>
    <t>465</t>
  </si>
  <si>
    <t>方思緯</t>
  </si>
  <si>
    <t>b-20250523002</t>
  </si>
  <si>
    <t>b-20250421004</t>
  </si>
  <si>
    <t>B-20250523002</t>
  </si>
  <si>
    <t>B-20250523004</t>
  </si>
  <si>
    <t>B-20250523005</t>
  </si>
  <si>
    <t>b-20250523004</t>
  </si>
  <si>
    <t>b-20250421008</t>
  </si>
  <si>
    <t>b-20250523005</t>
  </si>
  <si>
    <t>代RU放行</t>
  </si>
  <si>
    <t>B-20250421004</t>
    <phoneticPr fontId="3" type="noConversion"/>
  </si>
  <si>
    <t>B-20250528002</t>
  </si>
  <si>
    <t>B-20250528002</t>
    <phoneticPr fontId="3" type="noConversion"/>
  </si>
  <si>
    <t>B-20250529001</t>
  </si>
  <si>
    <t>B-20250529001</t>
    <phoneticPr fontId="3" type="noConversion"/>
  </si>
  <si>
    <t>B-20250602004</t>
  </si>
  <si>
    <t>B-20250602004</t>
    <phoneticPr fontId="3" type="noConversion"/>
  </si>
  <si>
    <t>OB1130726001-2</t>
  </si>
  <si>
    <t>B-20250603003</t>
  </si>
  <si>
    <t>OB1140529003-2</t>
    <phoneticPr fontId="3" type="noConversion"/>
  </si>
  <si>
    <t>6/13*5000
剩下5000pcs一起生產等通知交貨</t>
    <phoneticPr fontId="3" type="noConversion"/>
  </si>
  <si>
    <t>B-20250604005</t>
  </si>
  <si>
    <t>B-20250604005</t>
    <phoneticPr fontId="3" type="noConversion"/>
  </si>
  <si>
    <t>B-20250604004</t>
  </si>
  <si>
    <t>B-20250604004</t>
    <phoneticPr fontId="3" type="noConversion"/>
  </si>
  <si>
    <t>B-20250605001</t>
  </si>
  <si>
    <t>B-20250605001</t>
    <phoneticPr fontId="3" type="noConversion"/>
  </si>
  <si>
    <t>B-20250606001</t>
  </si>
  <si>
    <t>B-20250606001</t>
    <phoneticPr fontId="3" type="noConversion"/>
  </si>
  <si>
    <t>B-20250609002</t>
  </si>
  <si>
    <t>6/5出貨</t>
  </si>
  <si>
    <t>B-20250609002</t>
    <phoneticPr fontId="3" type="noConversion"/>
  </si>
  <si>
    <t>B-20250610001</t>
    <phoneticPr fontId="3" type="noConversion"/>
  </si>
  <si>
    <t>B-20250610001</t>
  </si>
  <si>
    <t>466</t>
  </si>
  <si>
    <t>范氏香</t>
  </si>
  <si>
    <t>468</t>
  </si>
  <si>
    <t>張楚承</t>
  </si>
  <si>
    <t>469</t>
  </si>
  <si>
    <t>張新源</t>
  </si>
  <si>
    <t>B-20250611002</t>
  </si>
  <si>
    <t>B-20250611002</t>
    <phoneticPr fontId="3" type="noConversion"/>
  </si>
  <si>
    <t>B-20250612006</t>
  </si>
  <si>
    <t>OB1140529003-2</t>
  </si>
  <si>
    <t>棋鈺實業有限公司</t>
  </si>
  <si>
    <t>B-20250603003</t>
    <phoneticPr fontId="3" type="noConversion"/>
  </si>
  <si>
    <t>B-20250613003</t>
    <phoneticPr fontId="3" type="noConversion"/>
  </si>
  <si>
    <t>B-20250613003</t>
  </si>
  <si>
    <t>R-20250616001</t>
  </si>
  <si>
    <t>B-20250617002</t>
    <phoneticPr fontId="3" type="noConversion"/>
  </si>
  <si>
    <t>R-20250616001</t>
    <phoneticPr fontId="3" type="noConversion"/>
  </si>
  <si>
    <t>B-20250617002</t>
  </si>
  <si>
    <t>覆回品 補</t>
  </si>
  <si>
    <t>覆回退陽極</t>
  </si>
  <si>
    <t>018-550</t>
    <phoneticPr fontId="3" type="noConversion"/>
  </si>
  <si>
    <t>B-20250620002</t>
  </si>
  <si>
    <t>B-20250620002</t>
    <phoneticPr fontId="3" type="noConversion"/>
  </si>
  <si>
    <t>B-20250623001</t>
  </si>
  <si>
    <t>B-20250623001</t>
    <phoneticPr fontId="3" type="noConversion"/>
  </si>
  <si>
    <t>B-20250623002</t>
  </si>
  <si>
    <t>B-20250623002</t>
    <phoneticPr fontId="3" type="noConversion"/>
  </si>
  <si>
    <t>補報</t>
  </si>
  <si>
    <t>B-20250624003</t>
  </si>
  <si>
    <t>018-550</t>
    <phoneticPr fontId="3" type="noConversion"/>
  </si>
  <si>
    <t>B-20250624003</t>
    <phoneticPr fontId="3" type="noConversion"/>
  </si>
  <si>
    <t>018-5XX</t>
    <phoneticPr fontId="3" type="noConversion"/>
  </si>
  <si>
    <t>B-20250627001</t>
  </si>
  <si>
    <t>B-20250630003</t>
  </si>
  <si>
    <t>B-20250630004</t>
  </si>
  <si>
    <t>B-20250630004</t>
    <phoneticPr fontId="3" type="noConversion"/>
  </si>
  <si>
    <t>B-20250630005</t>
  </si>
  <si>
    <t>B-20250630005</t>
    <phoneticPr fontId="3" type="noConversion"/>
  </si>
  <si>
    <t>B-20250701001</t>
  </si>
  <si>
    <t>B-20250701001</t>
    <phoneticPr fontId="3" type="noConversion"/>
  </si>
  <si>
    <t>B-20250702004</t>
  </si>
  <si>
    <t>B-20250703001</t>
  </si>
  <si>
    <t>B-20250703001</t>
    <phoneticPr fontId="3" type="noConversion"/>
  </si>
  <si>
    <t>B-20250704004</t>
  </si>
  <si>
    <t>B-20250704004</t>
    <phoneticPr fontId="3" type="noConversion"/>
  </si>
  <si>
    <t>472</t>
  </si>
  <si>
    <t>B-20250709008</t>
  </si>
  <si>
    <t>7/9</t>
  </si>
  <si>
    <t>7/4 早</t>
  </si>
  <si>
    <t>B-20250710002</t>
  </si>
  <si>
    <t>B-20250710002</t>
    <phoneticPr fontId="3" type="noConversion"/>
  </si>
  <si>
    <t>B-20250702004</t>
    <phoneticPr fontId="3" type="noConversion"/>
  </si>
  <si>
    <t>B-20250711002</t>
  </si>
  <si>
    <t>B-20250711002</t>
    <phoneticPr fontId="3" type="noConversion"/>
  </si>
  <si>
    <t>B-20250714001</t>
  </si>
  <si>
    <t>7/11 晚</t>
  </si>
  <si>
    <t>B-20250714002</t>
  </si>
  <si>
    <t>B-20250714002</t>
    <phoneticPr fontId="3" type="noConversion"/>
  </si>
  <si>
    <t>B-20250714001</t>
    <phoneticPr fontId="3" type="noConversion"/>
  </si>
  <si>
    <t>B-20250715004</t>
  </si>
  <si>
    <t>B-20250715004</t>
    <phoneticPr fontId="3" type="noConversion"/>
  </si>
  <si>
    <t>B-20250715005</t>
  </si>
  <si>
    <t>B-20250715005</t>
    <phoneticPr fontId="3" type="noConversion"/>
  </si>
  <si>
    <t>B-20250715006</t>
  </si>
  <si>
    <t>B-20250715006</t>
    <phoneticPr fontId="3" type="noConversion"/>
  </si>
  <si>
    <t xml:space="preserve">7/16 </t>
  </si>
  <si>
    <t>B-20250717002</t>
  </si>
  <si>
    <t>素材不良退回</t>
  </si>
  <si>
    <t>OB1140721001-1</t>
    <phoneticPr fontId="3" type="noConversion"/>
  </si>
  <si>
    <t>OB1140721001-2</t>
    <phoneticPr fontId="3" type="noConversion"/>
  </si>
  <si>
    <t>先生產待通知交貨</t>
    <phoneticPr fontId="3" type="noConversion"/>
  </si>
  <si>
    <t>補報7/17中</t>
  </si>
  <si>
    <r>
      <t xml:space="preserve">6/13*5000
</t>
    </r>
    <r>
      <rPr>
        <sz val="11"/>
        <color rgb="FFFF0000"/>
        <rFont val="新細明體"/>
        <family val="1"/>
        <charset val="136"/>
        <scheme val="minor"/>
      </rPr>
      <t>7/25*4680</t>
    </r>
    <phoneticPr fontId="3" type="noConversion"/>
  </si>
  <si>
    <t>B-20250722003</t>
  </si>
  <si>
    <t>B-20250722003</t>
    <phoneticPr fontId="3" type="noConversion"/>
  </si>
  <si>
    <t>018-550</t>
    <phoneticPr fontId="3" type="noConversion"/>
  </si>
  <si>
    <t>B-20250723002</t>
  </si>
  <si>
    <t>B-20250723002</t>
    <phoneticPr fontId="3" type="noConversion"/>
  </si>
  <si>
    <t>018-550</t>
    <phoneticPr fontId="3" type="noConversion"/>
  </si>
  <si>
    <t>B-20250724001</t>
  </si>
  <si>
    <t>B-20250724001</t>
    <phoneticPr fontId="3" type="noConversion"/>
  </si>
  <si>
    <t>B-20250725001</t>
  </si>
  <si>
    <t>7/25 晚</t>
  </si>
  <si>
    <t>B-20250728002</t>
  </si>
  <si>
    <t>B-20250728002</t>
    <phoneticPr fontId="3" type="noConversion"/>
  </si>
  <si>
    <t>018-550</t>
    <phoneticPr fontId="3" type="noConversion"/>
  </si>
  <si>
    <t>B-20250729003</t>
  </si>
  <si>
    <t>B-20250729003</t>
    <phoneticPr fontId="3" type="noConversion"/>
  </si>
  <si>
    <t>中7/29</t>
  </si>
  <si>
    <t>B-20250730005</t>
  </si>
  <si>
    <t>B-20250730005</t>
    <phoneticPr fontId="3" type="noConversion"/>
  </si>
  <si>
    <t>B-20250730004</t>
  </si>
  <si>
    <t>7/29補</t>
    <phoneticPr fontId="3" type="noConversion"/>
  </si>
  <si>
    <t>B-20250730004</t>
    <phoneticPr fontId="3" type="noConversion"/>
  </si>
  <si>
    <t>領1140141</t>
  </si>
  <si>
    <t>產線漏報工</t>
  </si>
  <si>
    <t>B-20250731002</t>
  </si>
  <si>
    <t>B-20250731003</t>
  </si>
  <si>
    <t>B-20250731003</t>
    <phoneticPr fontId="3" type="noConversion"/>
  </si>
  <si>
    <t>b-20250801002</t>
  </si>
  <si>
    <t>b-20250715005</t>
  </si>
  <si>
    <t>B-20250801002</t>
  </si>
  <si>
    <t>B-20250801002</t>
    <phoneticPr fontId="3" type="noConversion"/>
  </si>
  <si>
    <t>晚7/31</t>
  </si>
  <si>
    <t>B-20250804004</t>
  </si>
  <si>
    <t>B-20250731002</t>
    <phoneticPr fontId="3" type="noConversion"/>
  </si>
  <si>
    <t>B-20250804004</t>
    <phoneticPr fontId="3" type="noConversion"/>
  </si>
  <si>
    <t>B-20250805003</t>
  </si>
  <si>
    <t>B-20250805003</t>
    <phoneticPr fontId="3" type="noConversion"/>
  </si>
  <si>
    <t>領1140160</t>
  </si>
  <si>
    <t>B-20250806001</t>
  </si>
  <si>
    <t>b-20250806001</t>
  </si>
  <si>
    <t>B-20250715004</t>
    <phoneticPr fontId="3" type="noConversion"/>
  </si>
  <si>
    <t>B-20250806001</t>
    <phoneticPr fontId="3" type="noConversion"/>
  </si>
  <si>
    <t>W-20250806001</t>
  </si>
  <si>
    <t>B-20250807002</t>
  </si>
  <si>
    <t>W-20250806001</t>
    <phoneticPr fontId="3" type="noConversion"/>
  </si>
  <si>
    <t>B-20250807002</t>
    <phoneticPr fontId="3" type="noConversion"/>
  </si>
  <si>
    <t>B-20250807003</t>
  </si>
  <si>
    <t>B-20250807004</t>
  </si>
  <si>
    <t>B-20250715005</t>
    <phoneticPr fontId="3" type="noConversion"/>
  </si>
  <si>
    <t>B-20250807003</t>
    <phoneticPr fontId="3" type="noConversion"/>
  </si>
  <si>
    <t>B-20250421004</t>
    <phoneticPr fontId="3" type="noConversion"/>
  </si>
  <si>
    <t>B-20250807004</t>
    <phoneticPr fontId="3" type="noConversion"/>
  </si>
  <si>
    <t>B-20250715004</t>
    <phoneticPr fontId="3" type="noConversion"/>
  </si>
  <si>
    <t>B-20250807005</t>
  </si>
  <si>
    <t>B-20250807005</t>
    <phoneticPr fontId="3" type="noConversion"/>
  </si>
  <si>
    <t>覆回 7/21</t>
  </si>
  <si>
    <t>7//17 覆回</t>
  </si>
  <si>
    <t>B-20250811003</t>
  </si>
  <si>
    <t>B-20250811003</t>
    <phoneticPr fontId="3" type="noConversion"/>
  </si>
  <si>
    <t>B-20250715006</t>
    <phoneticPr fontId="3" type="noConversion"/>
  </si>
  <si>
    <t>B-20250811004</t>
  </si>
  <si>
    <t>B-20250714002</t>
    <phoneticPr fontId="3" type="noConversion"/>
  </si>
  <si>
    <t>B-20250811004</t>
    <phoneticPr fontId="3" type="noConversion"/>
  </si>
  <si>
    <t>B-20250715006</t>
    <phoneticPr fontId="3" type="noConversion"/>
  </si>
  <si>
    <t>B-20250812001</t>
  </si>
  <si>
    <t>B-20250812003</t>
  </si>
  <si>
    <t>B-20250812006</t>
  </si>
  <si>
    <t>B-20250812001</t>
    <phoneticPr fontId="3" type="noConversion"/>
  </si>
  <si>
    <t>018-550</t>
    <phoneticPr fontId="3" type="noConversion"/>
  </si>
  <si>
    <t>B-20250812003</t>
    <phoneticPr fontId="3" type="noConversion"/>
  </si>
  <si>
    <t>B-20250812006</t>
    <phoneticPr fontId="3" type="noConversion"/>
  </si>
  <si>
    <t>B-20250814004</t>
  </si>
  <si>
    <t>B-20250715004</t>
    <phoneticPr fontId="3" type="noConversion"/>
  </si>
  <si>
    <t>B-20250623001</t>
    <phoneticPr fontId="3" type="noConversion"/>
  </si>
  <si>
    <t>B-20250814004</t>
    <phoneticPr fontId="3" type="noConversion"/>
  </si>
  <si>
    <t>B-20250630004</t>
    <phoneticPr fontId="3" type="noConversion"/>
  </si>
  <si>
    <t>B-20250815002</t>
  </si>
  <si>
    <t>料少16PCS</t>
  </si>
  <si>
    <t>OB1140721001-1</t>
    <phoneticPr fontId="3" type="noConversion"/>
  </si>
  <si>
    <t>收尾料少4pcs</t>
  </si>
  <si>
    <t>B-20250819001</t>
  </si>
  <si>
    <t>B-20250819001</t>
    <phoneticPr fontId="3" type="noConversion"/>
  </si>
  <si>
    <t>B-20250630005</t>
    <phoneticPr fontId="3" type="noConversion"/>
  </si>
  <si>
    <t>B-20250714002</t>
    <phoneticPr fontId="3" type="noConversion"/>
  </si>
  <si>
    <t>B-20250715006</t>
    <phoneticPr fontId="3" type="noConversion"/>
  </si>
  <si>
    <t>B-20250613003</t>
    <phoneticPr fontId="3" type="noConversion"/>
  </si>
  <si>
    <t>B-20250820001</t>
  </si>
  <si>
    <t>B-20250821001</t>
  </si>
  <si>
    <t>B-20250821008</t>
  </si>
  <si>
    <t>30-4118-018-XXX</t>
    <phoneticPr fontId="3" type="noConversion"/>
  </si>
  <si>
    <t>B-20250725001</t>
    <phoneticPr fontId="3" type="noConversion"/>
  </si>
  <si>
    <t>B-20250821008</t>
    <phoneticPr fontId="3" type="noConversion"/>
  </si>
  <si>
    <t>30-4118-018-5XX</t>
    <phoneticPr fontId="3" type="noConversion"/>
  </si>
  <si>
    <t>B-20250714002</t>
    <phoneticPr fontId="3" type="noConversion"/>
  </si>
  <si>
    <t>B-20250715006</t>
    <phoneticPr fontId="3" type="noConversion"/>
  </si>
  <si>
    <t>B-20250821001</t>
    <phoneticPr fontId="3" type="noConversion"/>
  </si>
  <si>
    <t>B-20250820001</t>
    <phoneticPr fontId="3" type="noConversion"/>
  </si>
  <si>
    <t>補報大夜</t>
  </si>
  <si>
    <t>B-20250822005</t>
  </si>
  <si>
    <t>B-20250822011</t>
  </si>
  <si>
    <t>B-20250822005</t>
    <phoneticPr fontId="3" type="noConversion"/>
  </si>
  <si>
    <t>B-20250715006</t>
    <phoneticPr fontId="3" type="noConversion"/>
  </si>
  <si>
    <t>B-20250825001</t>
  </si>
  <si>
    <t>B-20250825001</t>
    <phoneticPr fontId="3" type="noConversion"/>
  </si>
  <si>
    <t>B-20250725001</t>
    <phoneticPr fontId="3" type="noConversion"/>
  </si>
  <si>
    <t>B-20250825005</t>
  </si>
  <si>
    <t>B-20250825005</t>
    <phoneticPr fontId="3" type="noConversion"/>
  </si>
  <si>
    <t>重工NG</t>
  </si>
  <si>
    <t>B-20250821008</t>
    <phoneticPr fontId="3" type="noConversion"/>
  </si>
  <si>
    <t>B-20250902003</t>
  </si>
  <si>
    <t>B-20250902004</t>
  </si>
  <si>
    <t>B-20250902005</t>
  </si>
  <si>
    <t>B-20250902006</t>
  </si>
  <si>
    <t>B-20250902004</t>
    <phoneticPr fontId="3" type="noConversion"/>
  </si>
  <si>
    <t>B-20250612006</t>
    <phoneticPr fontId="3" type="noConversion"/>
  </si>
  <si>
    <t>B-20250725001</t>
    <phoneticPr fontId="3" type="noConversion"/>
  </si>
  <si>
    <t>B-20250902005</t>
    <phoneticPr fontId="3" type="noConversion"/>
  </si>
  <si>
    <t>B-20250902006</t>
    <phoneticPr fontId="3" type="noConversion"/>
  </si>
  <si>
    <t>B-20250815002</t>
    <phoneticPr fontId="3" type="noConversion"/>
  </si>
  <si>
    <t>018-6XX</t>
    <phoneticPr fontId="3" type="noConversion"/>
  </si>
  <si>
    <t>B-20250903005</t>
  </si>
  <si>
    <t>B-20250903005</t>
    <phoneticPr fontId="3" type="noConversion"/>
  </si>
  <si>
    <t>B-20250904001</t>
  </si>
  <si>
    <t>B-20250904001</t>
    <phoneticPr fontId="3" type="noConversion"/>
  </si>
  <si>
    <t>B-20250825001</t>
    <phoneticPr fontId="3" type="noConversion"/>
  </si>
  <si>
    <t>B-20250905002</t>
  </si>
  <si>
    <t>B-20250905002</t>
    <phoneticPr fontId="3" type="noConversion"/>
  </si>
  <si>
    <t>少1PCS</t>
  </si>
  <si>
    <t>B-20250908001</t>
  </si>
  <si>
    <t>B-20250908001</t>
    <phoneticPr fontId="3" type="noConversion"/>
  </si>
  <si>
    <t>B-20250909001</t>
  </si>
  <si>
    <t>30-4118-018-450--#8</t>
    <phoneticPr fontId="3" type="noConversion"/>
  </si>
  <si>
    <t>B-20250909006</t>
  </si>
  <si>
    <t>B-20250909006</t>
    <phoneticPr fontId="3" type="noConversion"/>
  </si>
  <si>
    <t>B-20250911002</t>
  </si>
  <si>
    <t>B-20250912001</t>
  </si>
  <si>
    <t>B-20250911002</t>
    <phoneticPr fontId="3" type="noConversion"/>
  </si>
  <si>
    <t>B-20250902005</t>
    <phoneticPr fontId="3" type="noConversion"/>
  </si>
  <si>
    <t>B-20250915002</t>
  </si>
  <si>
    <t>B-20250916001</t>
  </si>
  <si>
    <t>B-20250915002</t>
    <phoneticPr fontId="3" type="noConversion"/>
  </si>
  <si>
    <t>B-20250825005</t>
    <phoneticPr fontId="3" type="noConversion"/>
  </si>
  <si>
    <t>B-20250902005</t>
    <phoneticPr fontId="3" type="noConversion"/>
  </si>
  <si>
    <t>B-20250916001</t>
    <phoneticPr fontId="3" type="noConversion"/>
  </si>
  <si>
    <t>9/16 中</t>
  </si>
  <si>
    <t>30-4118-018-550--#8</t>
    <phoneticPr fontId="3" type="noConversion"/>
  </si>
  <si>
    <t>B-20250917003</t>
  </si>
  <si>
    <t>B-20250902005</t>
    <phoneticPr fontId="3" type="noConversion"/>
  </si>
  <si>
    <t>018-550</t>
    <phoneticPr fontId="3" type="noConversion"/>
  </si>
  <si>
    <t>B-20250917003</t>
    <phoneticPr fontId="3" type="noConversion"/>
  </si>
  <si>
    <t>B-20250918001</t>
  </si>
  <si>
    <t>B-20250919003</t>
  </si>
  <si>
    <t>B-20250919004</t>
  </si>
  <si>
    <t>9/11 中</t>
  </si>
  <si>
    <t>B-20250922001</t>
  </si>
  <si>
    <t>補9/22</t>
  </si>
  <si>
    <t>補報9/19</t>
  </si>
  <si>
    <t>470</t>
  </si>
  <si>
    <t>陳昱佑</t>
  </si>
  <si>
    <t>謝蓁薰</t>
  </si>
  <si>
    <t>475</t>
  </si>
  <si>
    <t>武如瓊</t>
  </si>
  <si>
    <t>476</t>
  </si>
  <si>
    <t>吳宥叡</t>
  </si>
  <si>
    <t>B-20250922001</t>
    <phoneticPr fontId="3" type="noConversion"/>
  </si>
  <si>
    <t>B-20250902006</t>
    <phoneticPr fontId="3" type="noConversion"/>
  </si>
  <si>
    <t>補9/23</t>
  </si>
  <si>
    <t>補9/23出貨</t>
  </si>
  <si>
    <t>B-20250924005</t>
  </si>
  <si>
    <t>B-20250924007</t>
  </si>
  <si>
    <t>54</t>
  </si>
  <si>
    <t>Y188</t>
  </si>
  <si>
    <t>9/25覆回*3pcs</t>
  </si>
  <si>
    <t>B-20250924005</t>
    <phoneticPr fontId="3" type="noConversion"/>
  </si>
  <si>
    <t>B-20250902006</t>
    <phoneticPr fontId="3" type="noConversion"/>
  </si>
  <si>
    <t>B-20250924007</t>
    <phoneticPr fontId="3" type="noConversion"/>
  </si>
  <si>
    <t>B-20250918001</t>
    <phoneticPr fontId="3" type="noConversion"/>
  </si>
  <si>
    <t>B-20250919003</t>
    <phoneticPr fontId="3" type="noConversion"/>
  </si>
  <si>
    <t>B-20250825005</t>
    <phoneticPr fontId="3" type="noConversion"/>
  </si>
  <si>
    <t>B-20250902005</t>
    <phoneticPr fontId="3" type="noConversion"/>
  </si>
  <si>
    <t>b-20250922001</t>
  </si>
  <si>
    <t>477</t>
  </si>
  <si>
    <t>陳紅媚</t>
  </si>
  <si>
    <t>478</t>
  </si>
  <si>
    <t>林政冀</t>
  </si>
  <si>
    <t>479</t>
  </si>
  <si>
    <t>B-20251003001</t>
  </si>
  <si>
    <t>B-20251003001</t>
    <phoneticPr fontId="3" type="noConversion"/>
  </si>
  <si>
    <t>B-20251003002</t>
  </si>
  <si>
    <t>B-20251003002</t>
    <phoneticPr fontId="3" type="noConversion"/>
  </si>
  <si>
    <t>10/8覆回*30</t>
  </si>
  <si>
    <t>10/8覆回*1</t>
  </si>
  <si>
    <t>覆回10/10*3pcs</t>
  </si>
  <si>
    <t>30-4118-018-600</t>
    <phoneticPr fontId="3" type="noConversion"/>
  </si>
  <si>
    <t>B-20251014002</t>
  </si>
  <si>
    <t>B-20251003001</t>
    <phoneticPr fontId="3" type="noConversion"/>
  </si>
  <si>
    <t>B-20250902006</t>
    <phoneticPr fontId="3" type="noConversion"/>
  </si>
  <si>
    <t>B-20251014002</t>
    <phoneticPr fontId="3" type="noConversion"/>
  </si>
  <si>
    <t>B-20251014003</t>
  </si>
  <si>
    <t>10/14覆回*1pcs</t>
  </si>
  <si>
    <t>B-20251015002</t>
  </si>
  <si>
    <t>B-20251015002</t>
    <phoneticPr fontId="3" type="noConversion"/>
  </si>
  <si>
    <t>補報10/14中</t>
  </si>
  <si>
    <t>10/16覆回*31PCS</t>
  </si>
  <si>
    <t>B-20251016002</t>
  </si>
  <si>
    <t>B-20251016002</t>
    <phoneticPr fontId="3" type="noConversion"/>
  </si>
  <si>
    <t>10/16覆回*3pcs</t>
  </si>
  <si>
    <t>10/16技師丫祥調機NG*2</t>
  </si>
  <si>
    <t>b-20250902004</t>
  </si>
  <si>
    <t>B-20251016005</t>
  </si>
  <si>
    <t>10/16中班的先報工</t>
  </si>
  <si>
    <t>B-20251016005</t>
    <phoneticPr fontId="3" type="noConversion"/>
  </si>
  <si>
    <t>B-20250902004</t>
    <phoneticPr fontId="3" type="noConversion"/>
  </si>
  <si>
    <t>B-20251003002</t>
    <phoneticPr fontId="3" type="noConversion"/>
  </si>
  <si>
    <t>30-4118-018-600</t>
    <phoneticPr fontId="3" type="noConversion"/>
  </si>
  <si>
    <t>改10/16報工</t>
  </si>
  <si>
    <t>B-20251020005</t>
  </si>
  <si>
    <t>B-20251020006</t>
  </si>
  <si>
    <t>B-20251020006</t>
    <phoneticPr fontId="3" type="noConversion"/>
  </si>
  <si>
    <t>B-20250902006</t>
    <phoneticPr fontId="3" type="noConversion"/>
  </si>
  <si>
    <t>B-20251003001</t>
    <phoneticPr fontId="3" type="noConversion"/>
  </si>
  <si>
    <t>B-20251020005</t>
    <phoneticPr fontId="3" type="noConversion"/>
  </si>
  <si>
    <t>B-20251003002</t>
    <phoneticPr fontId="3" type="noConversion"/>
  </si>
  <si>
    <t>B-20251021001</t>
  </si>
  <si>
    <t>B-20251021001</t>
    <phoneticPr fontId="3" type="noConversion"/>
  </si>
  <si>
    <t>10/21補報10/16早中班22PCS</t>
  </si>
  <si>
    <t>10/22覆回*2pcs</t>
  </si>
  <si>
    <t>補報10/21中</t>
  </si>
  <si>
    <t>b-20251003001</t>
  </si>
  <si>
    <t>30-4118-018-600--#8</t>
    <phoneticPr fontId="3" type="noConversion"/>
  </si>
  <si>
    <t>B-20251023001</t>
  </si>
  <si>
    <t>B-20251023001</t>
    <phoneticPr fontId="3" type="noConversion"/>
  </si>
  <si>
    <t>補報早班</t>
  </si>
  <si>
    <t>10/23刪改幫丫光報工</t>
  </si>
  <si>
    <t>10/27覆回*4PCS</t>
  </si>
  <si>
    <t>B-20251027006</t>
  </si>
  <si>
    <t>10/27覆回*10pcs</t>
  </si>
  <si>
    <t>10/27覆回</t>
  </si>
  <si>
    <t>舊料覆回</t>
  </si>
  <si>
    <t>領1140016 覆回</t>
  </si>
  <si>
    <t>領1140017 覆回</t>
  </si>
  <si>
    <t>領1140018覆回</t>
  </si>
  <si>
    <t>領1140019覆回</t>
  </si>
  <si>
    <t>領1140020覆回</t>
  </si>
  <si>
    <t>B-20251027010</t>
  </si>
  <si>
    <t>B-20251028001</t>
  </si>
  <si>
    <t>B-20251028001</t>
    <phoneticPr fontId="3" type="noConversion"/>
  </si>
  <si>
    <t>B-1131112001</t>
    <phoneticPr fontId="3" type="noConversion"/>
  </si>
  <si>
    <t>B-20241225006</t>
    <phoneticPr fontId="3" type="noConversion"/>
  </si>
  <si>
    <t>B-20241227001</t>
    <phoneticPr fontId="3" type="noConversion"/>
  </si>
  <si>
    <t>B-20250421008</t>
    <phoneticPr fontId="3" type="noConversion"/>
  </si>
  <si>
    <t>B-20250613003</t>
    <phoneticPr fontId="3" type="noConversion"/>
  </si>
  <si>
    <t>B-20250715006</t>
    <phoneticPr fontId="3" type="noConversion"/>
  </si>
  <si>
    <t>B-20250825001</t>
    <phoneticPr fontId="3" type="noConversion"/>
  </si>
  <si>
    <t>B-20250902005</t>
    <phoneticPr fontId="3" type="noConversion"/>
  </si>
  <si>
    <t>B-20251027010</t>
    <phoneticPr fontId="3" type="noConversion"/>
  </si>
  <si>
    <t>B-20251028003</t>
  </si>
  <si>
    <t>B-20251028003</t>
    <phoneticPr fontId="3" type="noConversion"/>
  </si>
  <si>
    <t>10/29覆回*2pcs</t>
  </si>
  <si>
    <t>10/29覆回*1pcs</t>
  </si>
  <si>
    <t>B-20251029003</t>
  </si>
  <si>
    <t>B-20251029003</t>
    <phoneticPr fontId="3" type="noConversion"/>
  </si>
  <si>
    <t>B-20251003001</t>
    <phoneticPr fontId="3" type="noConversion"/>
  </si>
  <si>
    <t>30-4118-018-4XX-#3</t>
    <phoneticPr fontId="3" type="noConversion"/>
  </si>
  <si>
    <t>B-20251029004</t>
    <phoneticPr fontId="3" type="noConversion"/>
  </si>
  <si>
    <t>B-20251029005</t>
    <phoneticPr fontId="3" type="noConversion"/>
  </si>
  <si>
    <t>B-20251029004</t>
  </si>
  <si>
    <t>B-20251029005</t>
  </si>
  <si>
    <t>B-20251030004</t>
  </si>
  <si>
    <t>補漆+覆回</t>
  </si>
  <si>
    <t>補漆覆回</t>
  </si>
  <si>
    <t>B-20251103003</t>
  </si>
  <si>
    <t>B-20251103003</t>
    <phoneticPr fontId="3" type="noConversion"/>
  </si>
  <si>
    <t>收尾料少7PCS</t>
  </si>
  <si>
    <t>11/4覆回*1pcs</t>
  </si>
  <si>
    <t>11/4覆回*1PCS</t>
  </si>
  <si>
    <t>B-20251104004</t>
  </si>
  <si>
    <t>B-20251104004</t>
    <phoneticPr fontId="3" type="noConversion"/>
  </si>
  <si>
    <t>B-20251104006</t>
  </si>
  <si>
    <t>B-20251105001</t>
  </si>
  <si>
    <t>B-20251028003</t>
    <phoneticPr fontId="3" type="noConversion"/>
  </si>
  <si>
    <t>B-20251105001</t>
    <phoneticPr fontId="3" type="noConversion"/>
  </si>
  <si>
    <t>208</t>
  </si>
  <si>
    <t>B-20251104006</t>
    <phoneticPr fontId="3" type="noConversion"/>
  </si>
  <si>
    <t>b-20251028003</t>
  </si>
  <si>
    <t>B-20251106001</t>
  </si>
  <si>
    <t>B-20251106001</t>
    <phoneticPr fontId="3" type="noConversion"/>
  </si>
  <si>
    <t>B-20251107001</t>
  </si>
  <si>
    <t>298</t>
  </si>
  <si>
    <t>B-20251107001</t>
    <phoneticPr fontId="3" type="noConversion"/>
  </si>
  <si>
    <t>補報中班11/7</t>
  </si>
  <si>
    <t>B-20251110002</t>
  </si>
  <si>
    <t>B-20251110003</t>
  </si>
  <si>
    <t>覆回11/10*PCS</t>
  </si>
  <si>
    <t>B-20251110002</t>
    <phoneticPr fontId="3" type="noConversion"/>
  </si>
  <si>
    <t>B-20251110003</t>
    <phoneticPr fontId="3" type="noConversion"/>
  </si>
  <si>
    <t>B-20251111002</t>
  </si>
  <si>
    <t>鑫威朢企業社</t>
  </si>
  <si>
    <t>30-4118-018-xxx</t>
  </si>
  <si>
    <t>OB1141030003-1</t>
    <phoneticPr fontId="3" type="noConversion"/>
  </si>
  <si>
    <t>OB1141030003-2</t>
    <phoneticPr fontId="3" type="noConversion"/>
  </si>
  <si>
    <t>B-20251114002</t>
  </si>
  <si>
    <t>B-20251114002</t>
    <phoneticPr fontId="3" type="noConversion"/>
  </si>
  <si>
    <t>482</t>
  </si>
  <si>
    <t>蔡依蓁</t>
  </si>
  <si>
    <t>B-20251117004</t>
  </si>
  <si>
    <t>B-20251104004</t>
    <phoneticPr fontId="3" type="noConversion"/>
  </si>
  <si>
    <t>B-20251117004</t>
    <phoneticPr fontId="3" type="noConversion"/>
  </si>
  <si>
    <t>B-20251118002</t>
  </si>
  <si>
    <t>B-20251104004</t>
    <phoneticPr fontId="3" type="noConversion"/>
  </si>
  <si>
    <t>B-20251118002</t>
    <phoneticPr fontId="3" type="noConversion"/>
  </si>
  <si>
    <t>11/19覆回*5pcs</t>
  </si>
  <si>
    <t>B-20251120002</t>
  </si>
  <si>
    <t>B-20251120002</t>
    <phoneticPr fontId="3" type="noConversion"/>
  </si>
  <si>
    <t>B-20251120004</t>
  </si>
  <si>
    <t>431</t>
  </si>
  <si>
    <t>B-20250825001</t>
    <phoneticPr fontId="3" type="noConversion"/>
  </si>
  <si>
    <t>B-20251120004</t>
    <phoneticPr fontId="3" type="noConversion"/>
  </si>
  <si>
    <t>B-20251104004</t>
    <phoneticPr fontId="3" type="noConversion"/>
  </si>
  <si>
    <t>收尾少12pcs</t>
  </si>
  <si>
    <t>B-20251121006</t>
  </si>
  <si>
    <t>B-20251121006</t>
    <phoneticPr fontId="3" type="noConversion"/>
  </si>
  <si>
    <t>B-20251104004</t>
    <phoneticPr fontId="3" type="noConversion"/>
  </si>
  <si>
    <t>B-20251124001</t>
  </si>
  <si>
    <t>B-20251124002</t>
  </si>
  <si>
    <t>B-20251124001</t>
    <phoneticPr fontId="3" type="noConversion"/>
  </si>
  <si>
    <t>B-20251030004</t>
    <phoneticPr fontId="3" type="noConversion"/>
  </si>
  <si>
    <t>B-20251104004</t>
    <phoneticPr fontId="3" type="noConversion"/>
  </si>
  <si>
    <t>B-20251124002</t>
    <phoneticPr fontId="3" type="noConversion"/>
  </si>
  <si>
    <t>B-20251125003</t>
  </si>
  <si>
    <t>改11/24</t>
  </si>
  <si>
    <t>B-20251104004</t>
    <phoneticPr fontId="3" type="noConversion"/>
  </si>
  <si>
    <t>B-20251125003</t>
    <phoneticPr fontId="3" type="noConversion"/>
  </si>
  <si>
    <t>B-20251126001</t>
  </si>
  <si>
    <t>B-20251104004</t>
    <phoneticPr fontId="3" type="noConversion"/>
  </si>
  <si>
    <t>B-20251126001</t>
    <phoneticPr fontId="3" type="noConversion"/>
  </si>
  <si>
    <t>B-20251120002</t>
    <phoneticPr fontId="3" type="noConversion"/>
  </si>
  <si>
    <t>B-20251127006</t>
  </si>
  <si>
    <t>B-20251120002</t>
    <phoneticPr fontId="3" type="noConversion"/>
  </si>
  <si>
    <t>B-20251127006</t>
    <phoneticPr fontId="3" type="noConversion"/>
  </si>
  <si>
    <t>B-20251128001</t>
  </si>
  <si>
    <t>B-20251128001</t>
    <phoneticPr fontId="3" type="noConversion"/>
  </si>
  <si>
    <t>B-20251128005</t>
  </si>
  <si>
    <t>B-20251120002</t>
    <phoneticPr fontId="3" type="noConversion"/>
  </si>
  <si>
    <t>B-20251128005</t>
    <phoneticPr fontId="3" type="noConversion"/>
  </si>
  <si>
    <t>補11/28</t>
  </si>
  <si>
    <t>R-20251201001</t>
  </si>
  <si>
    <t>R-20251201002</t>
  </si>
  <si>
    <t>R-20251201003</t>
  </si>
  <si>
    <t>B-20251201002</t>
  </si>
  <si>
    <t>018-450</t>
    <phoneticPr fontId="3" type="noConversion"/>
  </si>
  <si>
    <t>R-20251201001</t>
    <phoneticPr fontId="3" type="noConversion"/>
  </si>
  <si>
    <t>舊制另</t>
    <phoneticPr fontId="3" type="noConversion"/>
  </si>
  <si>
    <t>B-20251201002</t>
    <phoneticPr fontId="3" type="noConversion"/>
  </si>
  <si>
    <t>R-20251201003</t>
    <phoneticPr fontId="3" type="noConversion"/>
  </si>
  <si>
    <t>R-20251201002</t>
    <phoneticPr fontId="3" type="noConversion"/>
  </si>
  <si>
    <t>018-600</t>
    <phoneticPr fontId="3" type="noConversion"/>
  </si>
  <si>
    <t>B-20251202003</t>
  </si>
  <si>
    <t>B-20251202003</t>
    <phoneticPr fontId="3" type="noConversion"/>
  </si>
  <si>
    <t>領1140208</t>
  </si>
  <si>
    <t>轉018-4XX</t>
  </si>
  <si>
    <t>018-5XX轉來</t>
  </si>
  <si>
    <t>B-20251203003</t>
  </si>
  <si>
    <t>B-20251203003</t>
    <phoneticPr fontId="3" type="noConversion"/>
  </si>
  <si>
    <t>B-20251203004</t>
  </si>
  <si>
    <t>B-20251203005</t>
  </si>
  <si>
    <t>B-20251203004</t>
    <phoneticPr fontId="3" type="noConversion"/>
  </si>
  <si>
    <t>B-20251128001</t>
    <phoneticPr fontId="3" type="noConversion"/>
  </si>
  <si>
    <t>B-20251203005</t>
    <phoneticPr fontId="3" type="noConversion"/>
  </si>
  <si>
    <t>1.5露白 出組裝</t>
  </si>
  <si>
    <t>出組裝</t>
  </si>
  <si>
    <t>中12/3</t>
  </si>
  <si>
    <t>B-20251204003</t>
  </si>
  <si>
    <t>B-20251204004</t>
  </si>
  <si>
    <t>B-20251204004</t>
    <phoneticPr fontId="3" type="noConversion"/>
  </si>
  <si>
    <t>1.5陽極露白</t>
  </si>
  <si>
    <t>B-20251205002</t>
  </si>
  <si>
    <t>B-20251205001</t>
  </si>
  <si>
    <t>11/17</t>
  </si>
  <si>
    <t>6</t>
  </si>
  <si>
    <t>11/4</t>
  </si>
  <si>
    <t>11/13</t>
  </si>
  <si>
    <t>10/28</t>
  </si>
  <si>
    <t>11/6</t>
  </si>
  <si>
    <t>B-20251104004</t>
    <phoneticPr fontId="3" type="noConversion"/>
  </si>
  <si>
    <t>B-20251205002</t>
    <phoneticPr fontId="3" type="noConversion"/>
  </si>
  <si>
    <t>B-20251124001</t>
    <phoneticPr fontId="3" type="noConversion"/>
  </si>
  <si>
    <t>B-20251128001</t>
    <phoneticPr fontId="3" type="noConversion"/>
  </si>
  <si>
    <t>12/5</t>
  </si>
  <si>
    <t>B-20251208006</t>
  </si>
  <si>
    <t>B-20251208006</t>
    <phoneticPr fontId="3" type="noConversion"/>
  </si>
  <si>
    <t>12/4</t>
  </si>
  <si>
    <t>B-20251028003</t>
    <phoneticPr fontId="3" type="noConversion"/>
  </si>
  <si>
    <t>B-20251209002</t>
  </si>
  <si>
    <t>B-20251209002</t>
    <phoneticPr fontId="3" type="noConversion"/>
  </si>
  <si>
    <t>B-20251029005</t>
    <phoneticPr fontId="3" type="noConversion"/>
  </si>
  <si>
    <t>B-20251104004</t>
    <phoneticPr fontId="3" type="noConversion"/>
  </si>
  <si>
    <t>B-20251203003</t>
    <phoneticPr fontId="3" type="noConversion"/>
  </si>
  <si>
    <t>B-20251205001</t>
    <phoneticPr fontId="3" type="noConversion"/>
  </si>
  <si>
    <t xml:space="preserve"> </t>
    <phoneticPr fontId="3" type="noConversion"/>
  </si>
  <si>
    <t>外徑面粗重工品</t>
  </si>
  <si>
    <t>B-20251029004</t>
    <phoneticPr fontId="3" type="noConversion"/>
  </si>
  <si>
    <t>B-20251210001</t>
  </si>
  <si>
    <t>B-20251210001</t>
    <phoneticPr fontId="3" type="noConversion"/>
  </si>
  <si>
    <t>B-20251210002</t>
  </si>
  <si>
    <t>341</t>
  </si>
  <si>
    <t>B-20251202003</t>
    <phoneticPr fontId="3" type="noConversion"/>
  </si>
  <si>
    <t>B-20251128001</t>
    <phoneticPr fontId="3" type="noConversion"/>
  </si>
  <si>
    <t>B-20251210002</t>
    <phoneticPr fontId="3" type="noConversion"/>
  </si>
  <si>
    <t>B-20251203003</t>
    <phoneticPr fontId="3" type="noConversion"/>
  </si>
  <si>
    <t>018-4XX</t>
    <phoneticPr fontId="3" type="noConversion"/>
  </si>
  <si>
    <t>B-20251211001</t>
  </si>
  <si>
    <t>B-20251211001</t>
    <phoneticPr fontId="3" type="noConversion"/>
  </si>
  <si>
    <t>B-20251212001</t>
    <phoneticPr fontId="3" type="noConversion"/>
  </si>
  <si>
    <t>B-20251212001</t>
  </si>
  <si>
    <t>OB1141211003</t>
    <phoneticPr fontId="3" type="noConversion"/>
  </si>
  <si>
    <t>B-20251215001</t>
  </si>
  <si>
    <t>B-20251203003</t>
    <phoneticPr fontId="3" type="noConversion"/>
  </si>
  <si>
    <t>B-20251215001</t>
    <phoneticPr fontId="3" type="noConversion"/>
  </si>
  <si>
    <t>B-20251128001</t>
    <phoneticPr fontId="3" type="noConversion"/>
  </si>
  <si>
    <t>B-20251216001</t>
  </si>
  <si>
    <t>B-20251216001</t>
    <phoneticPr fontId="3" type="noConversion"/>
  </si>
  <si>
    <t>B-20251216003</t>
  </si>
  <si>
    <t>B-20251216003</t>
    <phoneticPr fontId="3" type="noConversion"/>
  </si>
  <si>
    <t xml:space="preserve">覆回 </t>
  </si>
  <si>
    <t>B-20251217002</t>
  </si>
  <si>
    <t>B-20251217003</t>
  </si>
  <si>
    <t>領1140253</t>
  </si>
  <si>
    <t>B-20251217005</t>
  </si>
  <si>
    <t>B-20251217004</t>
  </si>
  <si>
    <t>12/17覆回*1pcs</t>
  </si>
  <si>
    <t>B-20251205001</t>
    <phoneticPr fontId="3" type="noConversion"/>
  </si>
  <si>
    <t>B-20251217004</t>
    <phoneticPr fontId="3" type="noConversion"/>
  </si>
  <si>
    <t>B-20251211001</t>
    <phoneticPr fontId="3" type="noConversion"/>
  </si>
  <si>
    <t>B-20251217005</t>
    <phoneticPr fontId="3" type="noConversion"/>
  </si>
  <si>
    <t>B-20251217002</t>
    <phoneticPr fontId="3" type="noConversion"/>
  </si>
  <si>
    <t>B-20251217003</t>
    <phoneticPr fontId="3" type="noConversion"/>
  </si>
  <si>
    <t>B-20251219002</t>
  </si>
  <si>
    <t>12/18 補</t>
  </si>
  <si>
    <t>b-20251211001</t>
  </si>
  <si>
    <t>12/19覆回*1PCS</t>
  </si>
  <si>
    <t>12/19覆回*4pcs</t>
  </si>
  <si>
    <t>b-20250902006</t>
  </si>
  <si>
    <t>12/19覆回*10pcs</t>
  </si>
  <si>
    <t>覆回指定做4XX</t>
  </si>
  <si>
    <t>覆回需做4xx</t>
  </si>
  <si>
    <t>領1140296</t>
  </si>
  <si>
    <t>領1140297</t>
  </si>
  <si>
    <t>領1140298</t>
  </si>
  <si>
    <t>領1140299</t>
  </si>
  <si>
    <t>早班12/19</t>
  </si>
  <si>
    <t>12/16</t>
  </si>
  <si>
    <t xml:space="preserve">12/16 </t>
  </si>
  <si>
    <t>B-20251222003</t>
  </si>
  <si>
    <t>B-20250902006</t>
    <phoneticPr fontId="3" type="noConversion"/>
  </si>
  <si>
    <t>B-20251003001</t>
    <phoneticPr fontId="3" type="noConversion"/>
  </si>
  <si>
    <t>B-20251222004</t>
  </si>
  <si>
    <t>B-20251222004</t>
    <phoneticPr fontId="3" type="noConversion"/>
  </si>
  <si>
    <t>B-20251211001</t>
    <phoneticPr fontId="3" type="noConversion"/>
  </si>
  <si>
    <t>B-20251212001</t>
    <phoneticPr fontId="3" type="noConversion"/>
  </si>
  <si>
    <t>B-20251216001</t>
    <phoneticPr fontId="3" type="noConversion"/>
  </si>
  <si>
    <t>B-20251203003</t>
    <phoneticPr fontId="3" type="noConversion"/>
  </si>
  <si>
    <t>B-20251222003</t>
    <phoneticPr fontId="3" type="noConversion"/>
  </si>
  <si>
    <t>B-20251205001</t>
    <phoneticPr fontId="3" type="noConversion"/>
  </si>
  <si>
    <t>補報生產</t>
  </si>
  <si>
    <t>補報生產12/22</t>
  </si>
  <si>
    <t>#4不良PSC</t>
  </si>
  <si>
    <t>B-20251223006</t>
  </si>
  <si>
    <t>B-20251223007</t>
  </si>
  <si>
    <t>B-20251223006</t>
    <phoneticPr fontId="3" type="noConversion"/>
  </si>
  <si>
    <t>B-20251223007</t>
    <phoneticPr fontId="3" type="noConversion"/>
  </si>
  <si>
    <t>B-20251111002</t>
    <phoneticPr fontId="3" type="noConversion"/>
  </si>
  <si>
    <t>B-20251224002</t>
  </si>
  <si>
    <t>12/24</t>
  </si>
  <si>
    <t xml:space="preserve">12/24 </t>
  </si>
  <si>
    <t>B-20251229002</t>
  </si>
  <si>
    <t>B-20251229002</t>
    <phoneticPr fontId="3" type="noConversion"/>
  </si>
  <si>
    <t>12/25</t>
  </si>
  <si>
    <t>B-20251229012</t>
  </si>
  <si>
    <t>B-20251211001</t>
    <phoneticPr fontId="3" type="noConversion"/>
  </si>
  <si>
    <t>B-20251229012</t>
    <phoneticPr fontId="3" type="noConversion"/>
  </si>
  <si>
    <t>B-20251212001</t>
    <phoneticPr fontId="3" type="noConversion"/>
  </si>
  <si>
    <t>B-20251216001</t>
    <phoneticPr fontId="3" type="noConversion"/>
  </si>
  <si>
    <t>覆回面粗混出</t>
  </si>
  <si>
    <t>內徑面粗Ra0.318~0.368 Rz1.852~2.215</t>
  </si>
  <si>
    <t>品保拿走</t>
  </si>
  <si>
    <t>B-20251202003</t>
    <phoneticPr fontId="3" type="noConversion"/>
  </si>
  <si>
    <t>B-20251230001</t>
  </si>
  <si>
    <t>B-20251230001</t>
    <phoneticPr fontId="3" type="noConversion"/>
  </si>
  <si>
    <t>B-20251230002</t>
  </si>
  <si>
    <t>B-20251217003</t>
    <phoneticPr fontId="3" type="noConversion"/>
  </si>
  <si>
    <t>B-20251216001</t>
    <phoneticPr fontId="3" type="noConversion"/>
  </si>
  <si>
    <t>B-20251230002</t>
    <phoneticPr fontId="3" type="noConversion"/>
  </si>
  <si>
    <t>B-20251231001</t>
  </si>
  <si>
    <t>B-20251231003</t>
  </si>
  <si>
    <t>B-20251217003</t>
    <phoneticPr fontId="3" type="noConversion"/>
  </si>
  <si>
    <t>B-20251231003</t>
    <phoneticPr fontId="3" type="noConversion"/>
  </si>
  <si>
    <t>B-20251223006</t>
    <phoneticPr fontId="3" type="noConversion"/>
  </si>
  <si>
    <t>1.5覆回</t>
  </si>
  <si>
    <t>阮氏芳英(英)</t>
  </si>
  <si>
    <t>483</t>
  </si>
  <si>
    <t>阮氏芳英(芳)</t>
  </si>
  <si>
    <t>B-20260105004</t>
  </si>
  <si>
    <t>B-20260105007</t>
  </si>
  <si>
    <t>B-20260105008</t>
  </si>
  <si>
    <t>B-20251124001</t>
    <phoneticPr fontId="3" type="noConversion"/>
  </si>
  <si>
    <t>B-20260105004</t>
    <phoneticPr fontId="3" type="noConversion"/>
  </si>
  <si>
    <t>B-20251205001</t>
    <phoneticPr fontId="3" type="noConversion"/>
  </si>
  <si>
    <t>B-20251223007</t>
    <phoneticPr fontId="3" type="noConversion"/>
  </si>
  <si>
    <t>B-1131024011</t>
    <phoneticPr fontId="3" type="noConversion"/>
  </si>
  <si>
    <t>B-20251111002</t>
    <phoneticPr fontId="3" type="noConversion"/>
  </si>
  <si>
    <t>B-20251224002</t>
    <phoneticPr fontId="3" type="noConversion"/>
  </si>
  <si>
    <t>B-20260105007</t>
    <phoneticPr fontId="3" type="noConversion"/>
  </si>
  <si>
    <t>B-20260105008</t>
    <phoneticPr fontId="3" type="noConversion"/>
  </si>
  <si>
    <t>領1140299覆回</t>
  </si>
  <si>
    <t>領1140298覆回</t>
  </si>
  <si>
    <t>12/23</t>
  </si>
  <si>
    <t>B-20260106003</t>
  </si>
  <si>
    <t>163</t>
  </si>
  <si>
    <t>B-20260106002</t>
  </si>
  <si>
    <t>B-20251217003</t>
    <phoneticPr fontId="3" type="noConversion"/>
  </si>
  <si>
    <t>B-20260106002</t>
    <phoneticPr fontId="3" type="noConversion"/>
  </si>
  <si>
    <t>B-20251003002</t>
    <phoneticPr fontId="3" type="noConversion"/>
  </si>
  <si>
    <t>B-20251223006</t>
    <phoneticPr fontId="3" type="noConversion"/>
  </si>
  <si>
    <t>B-20251223007</t>
    <phoneticPr fontId="3" type="noConversion"/>
  </si>
  <si>
    <t>B-20260106003</t>
    <phoneticPr fontId="3" type="noConversion"/>
  </si>
  <si>
    <t>B-20260107001</t>
  </si>
  <si>
    <t>B-20251205001</t>
    <phoneticPr fontId="3" type="noConversion"/>
  </si>
  <si>
    <t>B-20260107001</t>
    <phoneticPr fontId="3" type="noConversion"/>
  </si>
  <si>
    <t>B-20251223007</t>
    <phoneticPr fontId="3" type="noConversion"/>
  </si>
  <si>
    <t>中班先報</t>
  </si>
  <si>
    <t>B-20260107008</t>
  </si>
  <si>
    <t>B-20251223007</t>
    <phoneticPr fontId="3" type="noConversion"/>
  </si>
  <si>
    <t>B-20260107008</t>
    <phoneticPr fontId="3" type="noConversion"/>
  </si>
  <si>
    <t>1/8幫楚承幫不良品*2PCS</t>
  </si>
  <si>
    <t>素材不良</t>
  </si>
  <si>
    <t>1/8不良品*5PCS</t>
  </si>
  <si>
    <t>B-20260113008</t>
  </si>
  <si>
    <t>B-20260113013</t>
  </si>
  <si>
    <t>B-20251223007</t>
    <phoneticPr fontId="3" type="noConversion"/>
  </si>
  <si>
    <t>B-20260113013</t>
    <phoneticPr fontId="3" type="noConversion"/>
  </si>
  <si>
    <t>B-20260105007</t>
    <phoneticPr fontId="3" type="noConversion"/>
  </si>
  <si>
    <t>取貨先報</t>
  </si>
  <si>
    <t>B-20260114003</t>
  </si>
  <si>
    <t>B-20260114004</t>
  </si>
  <si>
    <t>B-20260114003</t>
    <phoneticPr fontId="3" type="noConversion"/>
  </si>
  <si>
    <t>B-20260105007</t>
    <phoneticPr fontId="3" type="noConversion"/>
  </si>
  <si>
    <t>B-1131112002</t>
    <phoneticPr fontId="3" type="noConversion"/>
  </si>
  <si>
    <t>B-20260114004</t>
    <phoneticPr fontId="3" type="noConversion"/>
  </si>
  <si>
    <t>B-20250623001</t>
    <phoneticPr fontId="3" type="noConversion"/>
  </si>
  <si>
    <t>B-20260105008</t>
    <phoneticPr fontId="3" type="noConversion"/>
  </si>
  <si>
    <t>KIS</t>
  </si>
  <si>
    <t>料少1pcs</t>
  </si>
  <si>
    <t>補1/14出貨</t>
  </si>
  <si>
    <t>B-20260115001</t>
  </si>
  <si>
    <t>B-20260105008</t>
    <phoneticPr fontId="3" type="noConversion"/>
  </si>
  <si>
    <t>B-20260115001</t>
    <phoneticPr fontId="3" type="noConversion"/>
  </si>
  <si>
    <t>補1/15出貨</t>
  </si>
  <si>
    <t>內徑震刀</t>
  </si>
  <si>
    <t>B-20260116003</t>
  </si>
  <si>
    <t>B-20260116003</t>
    <phoneticPr fontId="3" type="noConversion"/>
  </si>
  <si>
    <t>B-20260116004</t>
  </si>
  <si>
    <t>補報生產11PCS 1/16</t>
  </si>
  <si>
    <t>B-20260119004</t>
  </si>
  <si>
    <t>B-20260119004</t>
    <phoneticPr fontId="3" type="noConversion"/>
  </si>
  <si>
    <t>B-20260119005</t>
  </si>
  <si>
    <t>B-20260119005</t>
    <phoneticPr fontId="3" type="noConversion"/>
  </si>
  <si>
    <t>B-20260120002</t>
  </si>
  <si>
    <t>B-20260116003</t>
    <phoneticPr fontId="3" type="noConversion"/>
  </si>
  <si>
    <t>B-20260120002</t>
    <phoneticPr fontId="3" type="noConversion"/>
  </si>
  <si>
    <t>晚1/19</t>
  </si>
  <si>
    <t>B-20260121002</t>
  </si>
  <si>
    <t>B-20260105008</t>
    <phoneticPr fontId="3" type="noConversion"/>
  </si>
  <si>
    <t>B-20260121002</t>
    <phoneticPr fontId="3" type="noConversion"/>
  </si>
  <si>
    <t>484</t>
  </si>
  <si>
    <t>邱瑞廣</t>
  </si>
  <si>
    <t>B-20260113008</t>
    <phoneticPr fontId="3" type="noConversion"/>
  </si>
  <si>
    <t>B-20260122001</t>
    <phoneticPr fontId="3" type="noConversion"/>
  </si>
  <si>
    <t>B-20260122002</t>
    <phoneticPr fontId="3" type="noConversion"/>
  </si>
  <si>
    <t>B-20260122001</t>
  </si>
  <si>
    <t>B-20260122002</t>
  </si>
  <si>
    <t>B-20260122005</t>
  </si>
  <si>
    <t>B-20260105008</t>
    <phoneticPr fontId="3" type="noConversion"/>
  </si>
  <si>
    <t>B-20260122005</t>
    <phoneticPr fontId="3" type="noConversion"/>
  </si>
  <si>
    <t>B-20260122007</t>
  </si>
  <si>
    <t>B-20260122007</t>
    <phoneticPr fontId="3" type="noConversion"/>
  </si>
  <si>
    <t>未陽</t>
  </si>
  <si>
    <t>B-20260113008</t>
    <phoneticPr fontId="3" type="noConversion"/>
  </si>
  <si>
    <t>B-20260123001</t>
    <phoneticPr fontId="3" type="noConversion"/>
  </si>
  <si>
    <t>B-20260123002</t>
    <phoneticPr fontId="3" type="noConversion"/>
  </si>
  <si>
    <t>B-20260123001</t>
  </si>
  <si>
    <t>B-20260123002</t>
  </si>
  <si>
    <t>補報生產1/23</t>
  </si>
  <si>
    <t>B-20260126001</t>
  </si>
  <si>
    <t>B-20260126002</t>
  </si>
  <si>
    <t>B-20260126001</t>
    <phoneticPr fontId="3" type="noConversion"/>
  </si>
  <si>
    <t>B-20260126002</t>
    <phoneticPr fontId="3" type="noConversion"/>
  </si>
  <si>
    <t>B-20260126005</t>
  </si>
  <si>
    <t>B-20260105008</t>
    <phoneticPr fontId="3" type="noConversion"/>
  </si>
  <si>
    <t>B-20260126005</t>
    <phoneticPr fontId="3" type="noConversion"/>
  </si>
  <si>
    <t>覆回補漆</t>
  </si>
  <si>
    <t>30-4118-018-5XX#2
定容定量:小籃168pcs</t>
    <phoneticPr fontId="3" type="noConversion"/>
  </si>
  <si>
    <t>30-4118-018-6XX#2
定容定量:小籃168pcs</t>
    <phoneticPr fontId="3" type="noConversion"/>
  </si>
  <si>
    <t>B-20260127004</t>
  </si>
  <si>
    <t>B-20260127005</t>
  </si>
  <si>
    <t>B-20260127004</t>
    <phoneticPr fontId="3" type="noConversion"/>
  </si>
  <si>
    <t>B-20260127005</t>
    <phoneticPr fontId="3" type="noConversion"/>
  </si>
  <si>
    <t>B-20250421004</t>
    <phoneticPr fontId="3" type="noConversion"/>
  </si>
  <si>
    <t>B-20260116004</t>
    <phoneticPr fontId="3" type="noConversion"/>
  </si>
  <si>
    <t>B-20260127006</t>
  </si>
  <si>
    <t>B-20260127006</t>
    <phoneticPr fontId="3" type="noConversion"/>
  </si>
  <si>
    <t>B-20260127013</t>
  </si>
  <si>
    <t>料多</t>
  </si>
  <si>
    <t>B-20260128002</t>
  </si>
  <si>
    <t>B-20260128001</t>
  </si>
  <si>
    <t>B-20260113008</t>
    <phoneticPr fontId="3" type="noConversion"/>
  </si>
  <si>
    <t>B-20260128001</t>
    <phoneticPr fontId="3" type="noConversion"/>
  </si>
  <si>
    <t>B-20260128002</t>
    <phoneticPr fontId="3" type="noConversion"/>
  </si>
  <si>
    <t>B-20260128007</t>
  </si>
  <si>
    <t>多料</t>
    <phoneticPr fontId="3" type="noConversion"/>
  </si>
  <si>
    <t>OB1141211003</t>
  </si>
  <si>
    <t>B-20260128011</t>
  </si>
  <si>
    <t>889</t>
  </si>
  <si>
    <t>B-20260128010</t>
  </si>
  <si>
    <t>B-20260128011</t>
    <phoneticPr fontId="3" type="noConversion"/>
  </si>
  <si>
    <t>B-20250128010</t>
    <phoneticPr fontId="3" type="noConversion"/>
  </si>
  <si>
    <t>1/29出貨</t>
  </si>
  <si>
    <t>B-20260129001</t>
  </si>
  <si>
    <t>1/30覆回*1pcs</t>
  </si>
  <si>
    <t>B-20260130003</t>
  </si>
  <si>
    <t>1/30覆回*1PCS</t>
  </si>
  <si>
    <t>B-20260130008</t>
  </si>
  <si>
    <t>OB1150130001</t>
    <phoneticPr fontId="3" type="noConversion"/>
  </si>
  <si>
    <t>B-20260130008</t>
    <phoneticPr fontId="3" type="noConversion"/>
  </si>
  <si>
    <t>B-20260123001</t>
    <phoneticPr fontId="3" type="noConversion"/>
  </si>
  <si>
    <t>B-20260105007</t>
    <phoneticPr fontId="3" type="noConversion"/>
  </si>
  <si>
    <t>B-20260202005</t>
  </si>
  <si>
    <t>B-20260202005</t>
    <phoneticPr fontId="3" type="noConversion"/>
  </si>
  <si>
    <t>B-20260202007</t>
  </si>
  <si>
    <t>B-20260203007</t>
  </si>
  <si>
    <t>B-20260203008</t>
  </si>
  <si>
    <t>B-20260203008</t>
    <phoneticPr fontId="3" type="noConversion"/>
  </si>
  <si>
    <t>B-20260203007</t>
    <phoneticPr fontId="3" type="noConversion"/>
  </si>
  <si>
    <t>B-20260204004</t>
  </si>
  <si>
    <t>B-20260204003</t>
  </si>
  <si>
    <t>B-20260123001</t>
    <phoneticPr fontId="3" type="noConversion"/>
  </si>
  <si>
    <t>B-20260204004</t>
    <phoneticPr fontId="3" type="noConversion"/>
  </si>
  <si>
    <t>B-20260126001</t>
    <phoneticPr fontId="3" type="noConversion"/>
  </si>
  <si>
    <t>B-20260204003</t>
    <phoneticPr fontId="3" type="noConversion"/>
  </si>
  <si>
    <t>B-20260123002</t>
    <phoneticPr fontId="3" type="noConversion"/>
  </si>
  <si>
    <t>覆回內徑面粗</t>
  </si>
  <si>
    <t>018-5XX</t>
    <phoneticPr fontId="3" type="noConversion"/>
  </si>
  <si>
    <t>B-20260204006</t>
    <phoneticPr fontId="3" type="noConversion"/>
  </si>
  <si>
    <t>B-20260204007</t>
    <phoneticPr fontId="3" type="noConversion"/>
  </si>
  <si>
    <t>B-20260204008</t>
    <phoneticPr fontId="3" type="noConversion"/>
  </si>
  <si>
    <t>B-20260204006</t>
  </si>
  <si>
    <t>B-20260204007</t>
  </si>
  <si>
    <t>B-20260204008</t>
  </si>
  <si>
    <t>B-20260205002</t>
  </si>
  <si>
    <t>B-20260126002</t>
    <phoneticPr fontId="3" type="noConversion"/>
  </si>
  <si>
    <t>B-20260205002</t>
    <phoneticPr fontId="3" type="noConversion"/>
  </si>
  <si>
    <t>B-20260206002</t>
  </si>
  <si>
    <t>B-20260206002</t>
    <phoneticPr fontId="3" type="noConversion"/>
  </si>
  <si>
    <t>OB1150205003</t>
    <phoneticPr fontId="3" type="noConversion"/>
  </si>
  <si>
    <t>b-20260209005</t>
  </si>
  <si>
    <t>B-20260209005</t>
  </si>
  <si>
    <t>B-20260209005</t>
    <phoneticPr fontId="3" type="noConversion"/>
  </si>
  <si>
    <t>B-20260210005</t>
  </si>
  <si>
    <t>B-20260211008</t>
  </si>
  <si>
    <t>B-20260211007</t>
  </si>
  <si>
    <t>B-20260211008</t>
    <phoneticPr fontId="3" type="noConversion"/>
  </si>
  <si>
    <t>B-20260211007</t>
    <phoneticPr fontId="3" type="noConversion"/>
  </si>
  <si>
    <t>B-20260212001</t>
  </si>
  <si>
    <t>B-20260212001</t>
    <phoneticPr fontId="3" type="noConversion"/>
  </si>
  <si>
    <t>B-20260223003</t>
  </si>
  <si>
    <t>B-20260223003</t>
    <phoneticPr fontId="3" type="noConversion"/>
  </si>
  <si>
    <t>B-20260223004</t>
  </si>
  <si>
    <t>B-20260223004</t>
    <phoneticPr fontId="3" type="noConversion"/>
  </si>
  <si>
    <t>B-20260202007</t>
    <phoneticPr fontId="3" type="noConversion"/>
  </si>
  <si>
    <t>素材瘡孔露白,開立不合格品單</t>
  </si>
  <si>
    <t>B-20260226002</t>
  </si>
  <si>
    <t>B-20260226002</t>
    <phoneticPr fontId="3" type="noConversion"/>
  </si>
  <si>
    <t>更改2/26生產數量</t>
  </si>
  <si>
    <t>B-20260302002</t>
  </si>
  <si>
    <t>B-20260302002</t>
    <phoneticPr fontId="3" type="noConversion"/>
  </si>
  <si>
    <t>476`</t>
  </si>
  <si>
    <t>b-20260304001</t>
  </si>
  <si>
    <t>B-20260304001</t>
  </si>
  <si>
    <t>B-20260304001</t>
    <phoneticPr fontId="3" type="noConversion"/>
  </si>
  <si>
    <t>B-20260305002</t>
  </si>
  <si>
    <t>B-20260305006</t>
  </si>
  <si>
    <t>B-20260305006</t>
    <phoneticPr fontId="3" type="noConversion"/>
  </si>
  <si>
    <t>B-20260306001</t>
  </si>
  <si>
    <t>B-20260306001</t>
    <phoneticPr fontId="3" type="noConversion"/>
  </si>
  <si>
    <t>486</t>
  </si>
  <si>
    <t>廖政揚</t>
  </si>
  <si>
    <t>487</t>
  </si>
  <si>
    <t>李秋娥</t>
  </si>
  <si>
    <t>488</t>
  </si>
  <si>
    <t>林沛瑄</t>
  </si>
  <si>
    <t>B-20260309006</t>
  </si>
  <si>
    <t>B-20260309006</t>
    <phoneticPr fontId="3" type="noConversion"/>
  </si>
  <si>
    <t>補報工3/7</t>
  </si>
  <si>
    <t>剖切件 品管留樣</t>
  </si>
  <si>
    <t>B-20260310003</t>
  </si>
  <si>
    <t>B-20260310008</t>
  </si>
  <si>
    <t>B-20260310003</t>
    <phoneticPr fontId="3" type="noConversion"/>
  </si>
  <si>
    <t>B-20260310008</t>
    <phoneticPr fontId="3" type="noConversion"/>
  </si>
  <si>
    <t>嘉鴻架機不良</t>
  </si>
  <si>
    <t>B-20260311001</t>
  </si>
  <si>
    <t>B-20260311002</t>
  </si>
  <si>
    <t>B-20260311001</t>
    <phoneticPr fontId="3" type="noConversion"/>
  </si>
  <si>
    <t>B-20260311002</t>
    <phoneticPr fontId="3" type="noConversion"/>
  </si>
  <si>
    <t>467</t>
  </si>
  <si>
    <t>覆回頭部露白</t>
  </si>
  <si>
    <t>中3/11</t>
  </si>
  <si>
    <t>3/12協助漏報工</t>
  </si>
  <si>
    <t>B-20260312001</t>
  </si>
  <si>
    <t>B-20260312002</t>
  </si>
  <si>
    <t>OB1150309002</t>
    <phoneticPr fontId="3" type="noConversion"/>
  </si>
  <si>
    <t>待回復</t>
    <phoneticPr fontId="3" type="noConversion"/>
  </si>
  <si>
    <t>B-20260312001</t>
    <phoneticPr fontId="3" type="noConversion"/>
  </si>
  <si>
    <t>B-20260312002</t>
    <phoneticPr fontId="3" type="noConversion"/>
  </si>
  <si>
    <t>B-20260210005</t>
    <phoneticPr fontId="3" type="noConversion"/>
  </si>
  <si>
    <t>B-20260317001</t>
  </si>
  <si>
    <t>B-20260317001</t>
    <phoneticPr fontId="3" type="noConversion"/>
  </si>
  <si>
    <t>B-20260317004</t>
  </si>
  <si>
    <t>B-20260317003</t>
  </si>
  <si>
    <t>B-20260317002</t>
  </si>
  <si>
    <t>B-20260317004</t>
    <phoneticPr fontId="3" type="noConversion"/>
  </si>
  <si>
    <t>B-20260317003</t>
    <phoneticPr fontId="3" type="noConversion"/>
  </si>
  <si>
    <t>B-20260317002</t>
    <phoneticPr fontId="3" type="noConversion"/>
  </si>
  <si>
    <t>中3/14</t>
  </si>
  <si>
    <t>B-20260318009</t>
  </si>
  <si>
    <t>B-20260318010</t>
  </si>
  <si>
    <t>B-20260318010</t>
    <phoneticPr fontId="3" type="noConversion"/>
  </si>
  <si>
    <t>B-20260318009</t>
    <phoneticPr fontId="3" type="noConversion"/>
  </si>
  <si>
    <t>B-20260319002</t>
    <phoneticPr fontId="3" type="noConversion"/>
  </si>
  <si>
    <t>B-20260319003</t>
    <phoneticPr fontId="3" type="noConversion"/>
  </si>
  <si>
    <t>B-20260319002</t>
  </si>
  <si>
    <t>B-20260319003</t>
  </si>
  <si>
    <t>b-20260319003</t>
  </si>
  <si>
    <t>B-20260320001</t>
  </si>
  <si>
    <t>B-20260320002</t>
  </si>
  <si>
    <t>3/20回來多料</t>
  </si>
  <si>
    <t>3/19</t>
  </si>
  <si>
    <t>B-20260320002</t>
    <phoneticPr fontId="3" type="noConversion"/>
  </si>
  <si>
    <t>B-20260323004</t>
  </si>
  <si>
    <t>B-20260323004</t>
    <phoneticPr fontId="3" type="noConversion"/>
  </si>
  <si>
    <t>3/23幫忙協助補報工，檢包有料沒帳</t>
  </si>
  <si>
    <t>補3/20單</t>
  </si>
  <si>
    <t>補3/20出貨</t>
  </si>
  <si>
    <t>補3/20回料多24pcs</t>
  </si>
  <si>
    <t>補3/23出貨</t>
  </si>
  <si>
    <t>489</t>
  </si>
  <si>
    <t>陳明詩</t>
  </si>
  <si>
    <t>490</t>
  </si>
  <si>
    <t>武氏麗娟</t>
  </si>
  <si>
    <t>b-20260204007</t>
  </si>
  <si>
    <t>B-20260324005</t>
  </si>
  <si>
    <t>內徑面粗覆回</t>
  </si>
  <si>
    <t>B-20260324005</t>
    <phoneticPr fontId="3" type="noConversion"/>
  </si>
  <si>
    <t>3/25覆回*24pcs</t>
  </si>
  <si>
    <t>B-20260325005</t>
  </si>
  <si>
    <t>B-20260325005</t>
    <phoneticPr fontId="3" type="noConversion"/>
  </si>
  <si>
    <t>覆回階差</t>
  </si>
  <si>
    <t>3/25覆回*1pcs</t>
  </si>
  <si>
    <t>B-20260326005</t>
  </si>
  <si>
    <t>修改3/24報工數量</t>
  </si>
  <si>
    <t>B-20260326005</t>
    <phoneticPr fontId="3" type="noConversion"/>
  </si>
  <si>
    <t>補3/26出貨</t>
  </si>
  <si>
    <t>b-20260317001</t>
  </si>
  <si>
    <t>B-20260327003</t>
  </si>
  <si>
    <t>B-20260327002</t>
  </si>
  <si>
    <t>B-20260327003</t>
    <phoneticPr fontId="3" type="noConversion"/>
  </si>
  <si>
    <t>B-20260327002</t>
    <phoneticPr fontId="3" type="noConversion"/>
  </si>
  <si>
    <t>B-20260328001</t>
  </si>
  <si>
    <t>B-20260317001</t>
    <phoneticPr fontId="3" type="noConversion"/>
  </si>
  <si>
    <t>B-20260328001</t>
    <phoneticPr fontId="3" type="noConversion"/>
  </si>
  <si>
    <t>補3/27出貨</t>
  </si>
  <si>
    <t>B-20260330002</t>
  </si>
  <si>
    <t>B-20260330003</t>
  </si>
  <si>
    <t>B-20260330003</t>
    <phoneticPr fontId="3" type="noConversion"/>
  </si>
  <si>
    <t>B-20260330002</t>
    <phoneticPr fontId="3" type="noConversion"/>
  </si>
  <si>
    <t>覆回*1PCS(3/12)</t>
  </si>
  <si>
    <t>492</t>
  </si>
  <si>
    <t>羅思潔</t>
  </si>
  <si>
    <t>B-20260128007</t>
    <phoneticPr fontId="3" type="noConversion"/>
  </si>
  <si>
    <t>B-20260305002</t>
    <phoneticPr fontId="3" type="noConversion"/>
  </si>
  <si>
    <t>B-20260331003</t>
  </si>
  <si>
    <t>B-20260331003</t>
    <phoneticPr fontId="3" type="noConversion"/>
  </si>
  <si>
    <t>B-20260331002</t>
  </si>
  <si>
    <t>B-20260331001</t>
  </si>
  <si>
    <t>B-20260331002</t>
    <phoneticPr fontId="3" type="noConversion"/>
  </si>
  <si>
    <t>B-20260331001</t>
    <phoneticPr fontId="3" type="noConversion"/>
  </si>
  <si>
    <t>領1150059</t>
  </si>
  <si>
    <t>3/31檢包少帳29pcs</t>
  </si>
  <si>
    <t>牙端口刀痕覆回</t>
  </si>
  <si>
    <t>OB1150331001</t>
    <phoneticPr fontId="3" type="noConversion"/>
  </si>
  <si>
    <t>先備原料</t>
    <phoneticPr fontId="3" type="noConversion"/>
  </si>
  <si>
    <t>補3/31出貨</t>
  </si>
  <si>
    <t>B-20260401001</t>
  </si>
  <si>
    <t>B-20260401004</t>
  </si>
  <si>
    <t>B-20260401001</t>
    <phoneticPr fontId="3" type="noConversion"/>
  </si>
  <si>
    <t>B-20260401004</t>
    <phoneticPr fontId="3" type="noConversion"/>
  </si>
  <si>
    <t>補4/1出貨</t>
  </si>
  <si>
    <t>B-20260402001</t>
  </si>
  <si>
    <t>B-20260402001</t>
    <phoneticPr fontId="3" type="noConversion"/>
  </si>
  <si>
    <t>B-20260402012</t>
  </si>
  <si>
    <t>B-20260402013</t>
  </si>
  <si>
    <t>B-20260402013</t>
    <phoneticPr fontId="3" type="noConversion"/>
  </si>
  <si>
    <t>B-20260402012</t>
    <phoneticPr fontId="3" type="noConversion"/>
  </si>
  <si>
    <t>b-20260401004</t>
  </si>
  <si>
    <t>覆回*1pcs4/2</t>
  </si>
  <si>
    <t>晚4/1</t>
  </si>
  <si>
    <t>中4/1</t>
  </si>
  <si>
    <t>B-20260407001</t>
  </si>
  <si>
    <t>B-20260407001</t>
    <phoneticPr fontId="3" type="noConversion"/>
  </si>
  <si>
    <t>30-4118-018-370
(陽極版)
168/籃</t>
  </si>
  <si>
    <t>30-4118-018-370--#8</t>
  </si>
  <si>
    <t>30-4118-018-370#100</t>
  </si>
  <si>
    <t>30-4118-018-470
(陽極版)
168/籃</t>
  </si>
  <si>
    <t>30-4118-018-470--#8</t>
  </si>
  <si>
    <t>30-4118-018-470#100</t>
  </si>
  <si>
    <t>B-20260407002</t>
  </si>
  <si>
    <t>30-4118-018-500
(陽極版)
168/籃</t>
  </si>
  <si>
    <t>30-4118-018-500--#8</t>
  </si>
  <si>
    <t>30-4118-018-500#100</t>
  </si>
  <si>
    <t>30-4118-018-520
(陽極版)
168/籃</t>
  </si>
  <si>
    <t>30-4118-018-520--#8</t>
  </si>
  <si>
    <t>30-4118-018-520#100</t>
  </si>
  <si>
    <t>30-4118-018-570
(陽極版)
168/籃</t>
  </si>
  <si>
    <t>30-4118-018-570--#8</t>
  </si>
  <si>
    <t>30-4118-018-570#100</t>
  </si>
  <si>
    <t>30-4118-018-620
(陽極版)
168/籃</t>
  </si>
  <si>
    <t>30-4118-018-620--#8</t>
  </si>
  <si>
    <t>30-4118-018-620#100</t>
  </si>
  <si>
    <t>30-4118-018-650
(陽極版)
168/籃</t>
  </si>
  <si>
    <t>30-4118-018-650--#8</t>
  </si>
  <si>
    <t>30-4118-018-650#100</t>
  </si>
  <si>
    <t>018-370</t>
  </si>
  <si>
    <t>018-470</t>
  </si>
  <si>
    <t>018-500</t>
  </si>
  <si>
    <t>018-520</t>
  </si>
  <si>
    <t>018-570</t>
  </si>
  <si>
    <t>018-620</t>
  </si>
  <si>
    <t>018-650</t>
  </si>
  <si>
    <t>4/7檢包有料生產漏報工*30pcs</t>
  </si>
  <si>
    <t>B-20260407003</t>
  </si>
  <si>
    <t>B-20260407005</t>
  </si>
  <si>
    <t>B-20260407005</t>
    <phoneticPr fontId="3" type="noConversion"/>
  </si>
  <si>
    <t>B-20260407003</t>
    <phoneticPr fontId="3" type="noConversion"/>
  </si>
  <si>
    <t>補報4/7</t>
  </si>
  <si>
    <t>B-20260408001</t>
    <phoneticPr fontId="3" type="noConversion"/>
  </si>
  <si>
    <t>B-20260408001</t>
  </si>
  <si>
    <t>018-550</t>
    <phoneticPr fontId="3" type="noConversion"/>
  </si>
  <si>
    <t>B-20260408003</t>
    <phoneticPr fontId="3" type="noConversion"/>
  </si>
  <si>
    <t>018-450</t>
    <phoneticPr fontId="3" type="noConversion"/>
  </si>
  <si>
    <t>B-20260408004</t>
    <phoneticPr fontId="3" type="noConversion"/>
  </si>
  <si>
    <t>B-20260408006</t>
  </si>
  <si>
    <t>B-20260408003</t>
  </si>
  <si>
    <t>B-20260408004</t>
  </si>
  <si>
    <t>4/8-3000
4/10前交完</t>
    <phoneticPr fontId="3" type="noConversion"/>
  </si>
  <si>
    <t>等WHF通知</t>
    <phoneticPr fontId="3" type="noConversion"/>
  </si>
  <si>
    <t>覆回*1pcs(4/8)</t>
  </si>
  <si>
    <t>覆回*2pcs(4/8)</t>
  </si>
  <si>
    <t>覆回*3pcs(4/8)</t>
  </si>
  <si>
    <t>覆回(3/30日阿河看)</t>
  </si>
  <si>
    <t>B-20260409003</t>
    <phoneticPr fontId="3" type="noConversion"/>
  </si>
  <si>
    <t>B-20260409003</t>
  </si>
  <si>
    <t>多料</t>
  </si>
  <si>
    <t>B-20260409006</t>
  </si>
  <si>
    <t>B-20260409006</t>
    <phoneticPr fontId="3" type="noConversion"/>
  </si>
  <si>
    <t>b-20260320001</t>
  </si>
  <si>
    <t>B-20260410001</t>
  </si>
  <si>
    <t>B-20260410006</t>
  </si>
  <si>
    <t>素材瘡孔</t>
  </si>
  <si>
    <t>B-20260410010</t>
  </si>
  <si>
    <t>B-20260410010</t>
    <phoneticPr fontId="3" type="noConversion"/>
  </si>
  <si>
    <t>補4/9</t>
  </si>
  <si>
    <t>B-20260410006</t>
    <phoneticPr fontId="3" type="noConversion"/>
  </si>
  <si>
    <t>B-20260413001</t>
  </si>
  <si>
    <t>b-20260409006</t>
  </si>
  <si>
    <t>4/14覆回*1PCS</t>
  </si>
  <si>
    <t>493</t>
  </si>
  <si>
    <t>劉素卿</t>
  </si>
  <si>
    <t>B-20260414002</t>
  </si>
  <si>
    <t>B-20260414002</t>
    <phoneticPr fontId="3" type="noConversion"/>
  </si>
  <si>
    <t>補4/14出貨</t>
  </si>
  <si>
    <t>018-5XX</t>
    <phoneticPr fontId="3" type="noConversion"/>
  </si>
  <si>
    <t>B-20260415002</t>
  </si>
  <si>
    <t>B-20250415002</t>
    <phoneticPr fontId="3" type="noConversion"/>
  </si>
  <si>
    <t>廠商回報料少</t>
  </si>
  <si>
    <t>領1150091</t>
  </si>
  <si>
    <t>B-20260415003</t>
  </si>
  <si>
    <t>018-650</t>
    <phoneticPr fontId="3" type="noConversion"/>
  </si>
  <si>
    <t>B-20260415003</t>
    <phoneticPr fontId="3" type="noConversion"/>
  </si>
  <si>
    <t>中班4/14</t>
  </si>
  <si>
    <t>4/15覆回*3PCS</t>
  </si>
  <si>
    <t>B-20260415011</t>
  </si>
  <si>
    <t>B-20260415011</t>
    <phoneticPr fontId="3" type="noConversion"/>
  </si>
  <si>
    <t>補4/15出貨</t>
  </si>
  <si>
    <t>B-20260416001</t>
  </si>
  <si>
    <t>B-20260416006</t>
  </si>
  <si>
    <t>B-20260416001</t>
    <phoneticPr fontId="3" type="noConversion"/>
  </si>
  <si>
    <t>B-20260416011</t>
  </si>
  <si>
    <t>4/16覆回*94PCS</t>
  </si>
  <si>
    <t>B-20260416006</t>
    <phoneticPr fontId="3" type="noConversion"/>
  </si>
  <si>
    <t>補4/16出貨</t>
  </si>
  <si>
    <t>B-20260417001</t>
  </si>
  <si>
    <t>30-4118-018-6xx</t>
  </si>
  <si>
    <t>B-20260417001</t>
    <phoneticPr fontId="3" type="noConversion"/>
  </si>
  <si>
    <t>b-20260415011</t>
  </si>
  <si>
    <t>4/17覆回*1pcs</t>
  </si>
  <si>
    <t>1.5露白</t>
  </si>
  <si>
    <t>B-20260417004</t>
  </si>
  <si>
    <t>B-20260417006</t>
  </si>
  <si>
    <t>B-20260417007</t>
  </si>
  <si>
    <t>B-20260417007</t>
    <phoneticPr fontId="3" type="noConversion"/>
  </si>
  <si>
    <t>B-20260417004</t>
    <phoneticPr fontId="3" type="noConversion"/>
  </si>
  <si>
    <t>B-20260417006</t>
    <phoneticPr fontId="3" type="noConversion"/>
  </si>
  <si>
    <t>4/20覆回*1pcs</t>
  </si>
  <si>
    <t>補4/17出貨</t>
  </si>
  <si>
    <t>1.5露白出組裝</t>
  </si>
  <si>
    <t>4/18</t>
  </si>
  <si>
    <t>B-20260420001</t>
  </si>
  <si>
    <t>B-20260420002</t>
  </si>
  <si>
    <t>B-20260420003</t>
  </si>
  <si>
    <t>B-20260420005</t>
  </si>
  <si>
    <t>B-20260420003</t>
    <phoneticPr fontId="3" type="noConversion"/>
  </si>
  <si>
    <t>B-20260420001</t>
    <phoneticPr fontId="3" type="noConversion"/>
  </si>
  <si>
    <t>B-20260420002</t>
    <phoneticPr fontId="3" type="noConversion"/>
  </si>
  <si>
    <t>B-20260420005</t>
    <phoneticPr fontId="3" type="noConversion"/>
  </si>
  <si>
    <t>補漆回</t>
  </si>
  <si>
    <t>494</t>
  </si>
  <si>
    <t>潘黎慶平</t>
  </si>
  <si>
    <t>018-5XX</t>
    <phoneticPr fontId="3" type="noConversion"/>
  </si>
  <si>
    <t>B-20260421001</t>
  </si>
  <si>
    <t>B-20260421001</t>
    <phoneticPr fontId="3" type="noConversion"/>
  </si>
  <si>
    <t>中4/18</t>
  </si>
  <si>
    <t>晚4/17</t>
  </si>
  <si>
    <t>補4/20出貨</t>
  </si>
  <si>
    <t>B-20260421002</t>
    <phoneticPr fontId="3" type="noConversion"/>
  </si>
  <si>
    <t>018-6XX</t>
    <phoneticPr fontId="3" type="noConversion"/>
  </si>
  <si>
    <t>B-20260421006</t>
  </si>
  <si>
    <t>1500</t>
  </si>
  <si>
    <t>B-20260421002</t>
  </si>
  <si>
    <t>999</t>
  </si>
  <si>
    <t>B-20260421004</t>
  </si>
  <si>
    <t>B-20260421005</t>
  </si>
  <si>
    <t>B-20260421004</t>
    <phoneticPr fontId="3" type="noConversion"/>
  </si>
  <si>
    <t>B-20260421005</t>
    <phoneticPr fontId="3" type="noConversion"/>
  </si>
  <si>
    <t>B-20260421008</t>
  </si>
  <si>
    <t>B-20260421009</t>
  </si>
  <si>
    <t>補4/20回</t>
  </si>
  <si>
    <t>B-20260422002</t>
  </si>
  <si>
    <t>B-20260421008</t>
    <phoneticPr fontId="3" type="noConversion"/>
  </si>
  <si>
    <t>B-20260421009</t>
    <phoneticPr fontId="3" type="noConversion"/>
  </si>
  <si>
    <t>補4/21出貨-1.5露白 出組裝</t>
  </si>
  <si>
    <t>B-20260422004</t>
  </si>
  <si>
    <t>B-20260422002</t>
    <phoneticPr fontId="3" type="noConversion"/>
  </si>
  <si>
    <t>B-20260422005</t>
  </si>
  <si>
    <t>B-20260422005</t>
    <phoneticPr fontId="3" type="noConversion"/>
  </si>
  <si>
    <t>B-20260422004</t>
    <phoneticPr fontId="3" type="noConversion"/>
  </si>
  <si>
    <t>補4/22回</t>
  </si>
  <si>
    <t>b-20260421004</t>
  </si>
  <si>
    <t>補4/22出貨</t>
  </si>
  <si>
    <t>調整料帳</t>
  </si>
  <si>
    <t>領1150101</t>
  </si>
  <si>
    <t>領1150102</t>
  </si>
  <si>
    <t>領1150104</t>
  </si>
  <si>
    <t>B-20260423004</t>
  </si>
  <si>
    <t>30-4118-018-420
(陽極版)
168/籃</t>
  </si>
  <si>
    <t>30-4118-018-420--#8</t>
  </si>
  <si>
    <t>30-4118-018-420#100</t>
  </si>
  <si>
    <t>B-20260423005</t>
  </si>
  <si>
    <t>55</t>
  </si>
  <si>
    <t>B-20260423006</t>
  </si>
  <si>
    <t>B-20260423007</t>
  </si>
  <si>
    <t>018-420</t>
    <phoneticPr fontId="3" type="noConversion"/>
  </si>
  <si>
    <t>B-20260423007</t>
    <phoneticPr fontId="3" type="noConversion"/>
  </si>
  <si>
    <t>B-20260423006</t>
    <phoneticPr fontId="3" type="noConversion"/>
  </si>
  <si>
    <t>B-20260423005</t>
    <phoneticPr fontId="3" type="noConversion"/>
  </si>
  <si>
    <t>B-20260423004</t>
    <phoneticPr fontId="3" type="noConversion"/>
  </si>
  <si>
    <t>018-420</t>
  </si>
  <si>
    <t>30-4118-018-400
(陽極版)
168/籃</t>
  </si>
  <si>
    <t>30-4118-018-400--#8</t>
  </si>
  <si>
    <t>30-4118-018-400#100</t>
  </si>
  <si>
    <t>018-400</t>
  </si>
  <si>
    <t>b-20260417001</t>
  </si>
  <si>
    <t>B-20260424002</t>
  </si>
  <si>
    <t>B-20260424003</t>
  </si>
  <si>
    <t>149</t>
  </si>
  <si>
    <t>B-20260424004</t>
  </si>
  <si>
    <t>B-20260424004</t>
    <phoneticPr fontId="3" type="noConversion"/>
  </si>
  <si>
    <t>018-4XX</t>
    <phoneticPr fontId="3" type="noConversion"/>
  </si>
  <si>
    <t>B-20260424005</t>
  </si>
  <si>
    <t>B-20260424005</t>
    <phoneticPr fontId="3" type="noConversion"/>
  </si>
  <si>
    <t>B-20260424002</t>
    <phoneticPr fontId="3" type="noConversion"/>
  </si>
  <si>
    <t>B-20260424003</t>
    <phoneticPr fontId="3" type="noConversion"/>
  </si>
  <si>
    <t>覆回*1PCS(4/24)</t>
  </si>
  <si>
    <t>覆回*2PCS(4/24)</t>
  </si>
  <si>
    <t>B-20260427003</t>
  </si>
  <si>
    <t>B-20260427003</t>
    <phoneticPr fontId="3" type="noConversion"/>
  </si>
  <si>
    <t>018-550</t>
    <phoneticPr fontId="3" type="noConversion"/>
  </si>
  <si>
    <t>B-20260427004</t>
  </si>
  <si>
    <t>B-20260427005</t>
  </si>
  <si>
    <t>B-20260427004</t>
    <phoneticPr fontId="3" type="noConversion"/>
  </si>
  <si>
    <t>B-20260427005</t>
    <phoneticPr fontId="3" type="noConversion"/>
  </si>
  <si>
    <t>018-600</t>
    <phoneticPr fontId="3" type="noConversion"/>
  </si>
  <si>
    <t>018-650</t>
    <phoneticPr fontId="3" type="noConversion"/>
  </si>
  <si>
    <t>B-20260427006</t>
  </si>
  <si>
    <t>B-20260427006</t>
    <phoneticPr fontId="3" type="noConversion"/>
  </si>
  <si>
    <t>018-6XX</t>
    <phoneticPr fontId="3" type="noConversion"/>
  </si>
  <si>
    <t>1.5隔離出貨</t>
  </si>
  <si>
    <t>4/28 Release*1pcs</t>
  </si>
  <si>
    <t>補4/27出貨</t>
  </si>
  <si>
    <t>委外- 俊杰 Y003 頭部拋磨</t>
    <phoneticPr fontId="5" type="noConversion"/>
  </si>
  <si>
    <t>委外(泉盛 Y169)-硬陽黑+網印</t>
    <phoneticPr fontId="3" type="noConversion"/>
  </si>
  <si>
    <t>頭部傷痕</t>
  </si>
  <si>
    <t>B-20260428006</t>
  </si>
  <si>
    <t>B-20260428007</t>
  </si>
  <si>
    <t>B-20260428008</t>
  </si>
  <si>
    <t>B-20260428006</t>
    <phoneticPr fontId="3" type="noConversion"/>
  </si>
  <si>
    <t>B-20260428007</t>
    <phoneticPr fontId="3" type="noConversion"/>
  </si>
  <si>
    <t>B-20260428008</t>
    <phoneticPr fontId="3" type="noConversion"/>
  </si>
  <si>
    <t>補4/28出貨</t>
  </si>
  <si>
    <t>B-20260429001</t>
  </si>
  <si>
    <t>B-20260429002</t>
  </si>
  <si>
    <t>B-20260429002</t>
    <phoneticPr fontId="3" type="noConversion"/>
  </si>
  <si>
    <t>B-20260429001</t>
    <phoneticPr fontId="3" type="noConversion"/>
  </si>
  <si>
    <t>B-20260429005</t>
  </si>
  <si>
    <t>B-20260429006</t>
  </si>
  <si>
    <t>b-20260427003</t>
  </si>
  <si>
    <t>4/25</t>
  </si>
  <si>
    <t>018-5XX</t>
    <phoneticPr fontId="3" type="noConversion"/>
  </si>
  <si>
    <t>B-20260429005</t>
    <phoneticPr fontId="3" type="noConversion"/>
  </si>
  <si>
    <t>B-20260429006</t>
    <phoneticPr fontId="3" type="noConversion"/>
  </si>
  <si>
    <t>B-20260430004</t>
  </si>
  <si>
    <t>B-20260430006</t>
  </si>
  <si>
    <t>B-20260430006</t>
    <phoneticPr fontId="3" type="noConversion"/>
  </si>
  <si>
    <t>B-20260430004</t>
    <phoneticPr fontId="3" type="noConversion"/>
  </si>
  <si>
    <t>泉盛回報料少1pcs</t>
  </si>
  <si>
    <t>晚班5/2</t>
  </si>
  <si>
    <t>B-20260504003</t>
  </si>
  <si>
    <t>B-20260504004</t>
  </si>
  <si>
    <t>273</t>
  </si>
  <si>
    <t>B-20260504005</t>
  </si>
  <si>
    <t>B-20260504003</t>
    <phoneticPr fontId="3" type="noConversion"/>
  </si>
  <si>
    <t>B-20260504004</t>
    <phoneticPr fontId="3" type="noConversion"/>
  </si>
  <si>
    <t>B-20260504005</t>
    <phoneticPr fontId="3" type="noConversion"/>
  </si>
  <si>
    <t>晚5/1</t>
  </si>
  <si>
    <t>B-20260505001</t>
  </si>
  <si>
    <t>B-20260421006</t>
    <phoneticPr fontId="3" type="noConversion"/>
  </si>
  <si>
    <t>B-20260505001</t>
    <phoneticPr fontId="3" type="noConversion"/>
  </si>
  <si>
    <t>B-20260505007</t>
  </si>
  <si>
    <t>B-20260505007</t>
    <phoneticPr fontId="3" type="noConversion"/>
  </si>
  <si>
    <t>B-20260505006</t>
  </si>
  <si>
    <t>B-20260505005</t>
  </si>
  <si>
    <t>B-20260505005</t>
    <phoneticPr fontId="3" type="noConversion"/>
  </si>
  <si>
    <t>B-20260505006</t>
    <phoneticPr fontId="3" type="noConversion"/>
  </si>
  <si>
    <t>補報阿芳加班少報5/5</t>
  </si>
  <si>
    <t>B-20260506007</t>
    <phoneticPr fontId="3" type="noConversion"/>
  </si>
  <si>
    <t>B-20260506007</t>
  </si>
  <si>
    <t>B-20260506008</t>
  </si>
  <si>
    <t>B-20260506008</t>
    <phoneticPr fontId="3" type="noConversion"/>
  </si>
  <si>
    <t>補5/6出貨</t>
  </si>
  <si>
    <t>補報工</t>
  </si>
  <si>
    <t>B-20260507006</t>
  </si>
  <si>
    <t>B-20260507007</t>
  </si>
  <si>
    <t>B-20260507006</t>
    <phoneticPr fontId="3" type="noConversion"/>
  </si>
  <si>
    <t>B-20260507007</t>
    <phoneticPr fontId="3" type="noConversion"/>
  </si>
  <si>
    <t>B-20260507010</t>
  </si>
  <si>
    <t>b-20260429006</t>
  </si>
  <si>
    <t>B-20260508002</t>
  </si>
  <si>
    <t>B-20260508002</t>
    <phoneticPr fontId="3" type="noConversion"/>
  </si>
  <si>
    <t>B-20260508007</t>
  </si>
  <si>
    <t>B-20260508008</t>
  </si>
  <si>
    <t>B-20260508007</t>
    <phoneticPr fontId="3" type="noConversion"/>
  </si>
  <si>
    <t>B-20260508008</t>
    <phoneticPr fontId="3" type="noConversion"/>
  </si>
  <si>
    <t>覆回*1pcs(5/8)</t>
  </si>
  <si>
    <t>頭不尺寸NG(12.55以下)</t>
  </si>
  <si>
    <t>B-20260509001</t>
  </si>
  <si>
    <t>B-20260429006</t>
    <phoneticPr fontId="3" type="noConversion"/>
  </si>
  <si>
    <t>B-20260509001</t>
    <phoneticPr fontId="3" type="noConversion"/>
  </si>
  <si>
    <t>頭部尺寸NG</t>
  </si>
  <si>
    <t>B-20260511001</t>
  </si>
  <si>
    <t>B-20260511001</t>
    <phoneticPr fontId="3" type="noConversion"/>
  </si>
  <si>
    <t>B-20260429006</t>
    <phoneticPr fontId="3" type="noConversion"/>
  </si>
  <si>
    <t>5/11覆回*3pcs</t>
  </si>
  <si>
    <t>B-20260511002</t>
  </si>
  <si>
    <t>B-20260511011</t>
  </si>
  <si>
    <t>B-20260511013</t>
  </si>
  <si>
    <t>B-20260511011</t>
    <phoneticPr fontId="3" type="noConversion"/>
  </si>
  <si>
    <t>B-20260511013</t>
    <phoneticPr fontId="3" type="noConversion"/>
  </si>
  <si>
    <t>素材NG*32 拋 磨NG*7</t>
  </si>
  <si>
    <t>補報5/9早班</t>
  </si>
  <si>
    <t>補5/11出貨</t>
  </si>
  <si>
    <t>B-20260512004</t>
  </si>
  <si>
    <t>B-20260512004</t>
    <phoneticPr fontId="3" type="noConversion"/>
  </si>
  <si>
    <t>b-20260511011</t>
  </si>
  <si>
    <t>b-20260511013</t>
  </si>
  <si>
    <t>補5/12出貨</t>
  </si>
  <si>
    <t>B-20260513005</t>
  </si>
  <si>
    <t>B-20260513005</t>
    <phoneticPr fontId="3" type="noConversion"/>
  </si>
  <si>
    <t>代報工</t>
  </si>
  <si>
    <t>補報不良品</t>
  </si>
  <si>
    <t>b-20260512004</t>
  </si>
  <si>
    <t>B-20260515001</t>
  </si>
  <si>
    <t>B-20260515001</t>
    <phoneticPr fontId="3" type="noConversion"/>
  </si>
  <si>
    <t>b-20260515001</t>
  </si>
  <si>
    <t>B-20260516001</t>
  </si>
  <si>
    <t>B-20260516003</t>
  </si>
  <si>
    <t>拋磨NG</t>
  </si>
  <si>
    <t>內徑刀痕</t>
  </si>
  <si>
    <t>B-20260508002</t>
    <phoneticPr fontId="3" type="noConversion"/>
  </si>
  <si>
    <t>B-20260516001</t>
    <phoneticPr fontId="3" type="noConversion"/>
  </si>
  <si>
    <t>B-20260429005</t>
    <phoneticPr fontId="3" type="noConversion"/>
  </si>
  <si>
    <t>B-20260516003</t>
    <phoneticPr fontId="3" type="noConversion"/>
  </si>
  <si>
    <t>B-20260508002</t>
    <phoneticPr fontId="3" type="noConversion"/>
  </si>
  <si>
    <t>018-600</t>
    <phoneticPr fontId="3" type="noConversion"/>
  </si>
  <si>
    <t>B-20260518002</t>
    <phoneticPr fontId="3" type="noConversion"/>
  </si>
  <si>
    <t>B-20260513005</t>
    <phoneticPr fontId="3" type="noConversion"/>
  </si>
  <si>
    <t>018-520</t>
    <phoneticPr fontId="3" type="noConversion"/>
  </si>
  <si>
    <t>B-20260518004</t>
    <phoneticPr fontId="3" type="noConversion"/>
  </si>
  <si>
    <t>018-550</t>
    <phoneticPr fontId="3" type="noConversion"/>
  </si>
  <si>
    <t>B-20260518003</t>
    <phoneticPr fontId="3" type="noConversion"/>
  </si>
  <si>
    <t>B-20260518002</t>
  </si>
  <si>
    <t>B-20260518003</t>
  </si>
  <si>
    <t>B-20260518004</t>
  </si>
  <si>
    <t>頭不尺寸NG(12.55以下)廠長已量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</si>
</sst>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&quot;月&quot;d&quot;日&quot;;@"/>
    <numFmt numFmtId="178" formatCode="m&quot;月&quot;d&quot;日&quot;"/>
    <numFmt numFmtId="179" formatCode="m/d/yyyy"/>
  </numFmts>
  <fonts count="63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rgb="FF000000"/>
      <name val="新細明體"/>
      <family val="2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color rgb="FF000000"/>
      <name val="微軟正黑體"/>
      <family val="2"/>
      <charset val="136"/>
    </font>
    <font>
      <sz val="20"/>
      <color rgb="FF000000"/>
      <name val="微軟正黑體"/>
      <family val="2"/>
      <charset val="136"/>
    </font>
    <font>
      <b/>
      <sz val="14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6"/>
      <color rgb="FF000000"/>
      <name val="微軟正黑體"/>
      <family val="2"/>
      <charset val="136"/>
    </font>
    <font>
      <b/>
      <sz val="15"/>
      <color rgb="FF00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8"/>
      <color rgb="FF000000"/>
      <name val="微軟正黑體"/>
      <family val="2"/>
      <charset val="136"/>
    </font>
    <font>
      <sz val="22"/>
      <color rgb="FF000000"/>
      <name val="微軟正黑體"/>
      <family val="2"/>
      <charset val="136"/>
    </font>
    <font>
      <sz val="24"/>
      <color rgb="FF00000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8"/>
      <color rgb="FF000000"/>
      <name val="微軟正黑體"/>
      <family val="2"/>
      <charset val="136"/>
    </font>
    <font>
      <b/>
      <sz val="11"/>
      <color theme="1"/>
      <name val="新細明體"/>
      <family val="2"/>
      <scheme val="minor"/>
    </font>
    <font>
      <sz val="20"/>
      <color theme="1"/>
      <name val="新細明體"/>
      <family val="2"/>
      <scheme val="minor"/>
    </font>
    <font>
      <sz val="12"/>
      <color theme="1"/>
      <name val="新細明體"/>
      <family val="1"/>
      <charset val="136"/>
      <scheme val="minor"/>
    </font>
    <font>
      <sz val="14"/>
      <color theme="1"/>
      <name val="新細明體"/>
      <family val="2"/>
      <scheme val="minor"/>
    </font>
    <font>
      <sz val="18"/>
      <color theme="1"/>
      <name val="新細明體"/>
      <family val="2"/>
      <scheme val="minor"/>
    </font>
    <font>
      <sz val="16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1"/>
      <name val="新細明體"/>
      <family val="2"/>
      <scheme val="minor"/>
    </font>
    <font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6"/>
      <color rgb="FF000000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b/>
      <sz val="16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20"/>
      <color rgb="FF000000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20"/>
      <color rgb="FFFF0000"/>
      <name val="新細明體"/>
      <family val="2"/>
      <scheme val="minor"/>
    </font>
    <font>
      <sz val="18"/>
      <color rgb="FFFF0000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8"/>
      <color rgb="FFFF0000"/>
      <name val="微軟正黑體"/>
      <family val="2"/>
      <charset val="136"/>
    </font>
    <font>
      <strike/>
      <sz val="12"/>
      <color rgb="FF000000"/>
      <name val="微軟正黑體"/>
      <family val="2"/>
      <charset val="136"/>
    </font>
    <font>
      <sz val="11"/>
      <color rgb="FFFF0000"/>
      <name val="新細明體"/>
      <family val="1"/>
      <charset val="136"/>
      <scheme val="minor"/>
    </font>
    <font>
      <b/>
      <sz val="20"/>
      <color indexed="81"/>
      <name val="Tahoma"/>
      <family val="2"/>
    </font>
    <font>
      <b/>
      <sz val="20"/>
      <color indexed="81"/>
      <name val="細明體"/>
      <family val="3"/>
      <charset val="136"/>
    </font>
    <font>
      <sz val="20"/>
      <color indexed="81"/>
      <name val="Tahoma"/>
      <family val="2"/>
    </font>
    <font>
      <sz val="20"/>
      <color indexed="81"/>
      <name val="細明體"/>
      <family val="3"/>
      <charset val="136"/>
    </font>
    <font>
      <b/>
      <sz val="18"/>
      <color indexed="81"/>
      <name val="Tahoma"/>
      <family val="2"/>
    </font>
    <font>
      <b/>
      <sz val="18"/>
      <color indexed="81"/>
      <name val="細明體"/>
      <family val="3"/>
      <charset val="136"/>
    </font>
    <font>
      <sz val="18"/>
      <color indexed="81"/>
      <name val="Tahoma"/>
      <family val="2"/>
    </font>
    <font>
      <sz val="18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2"/>
      <color indexed="81"/>
      <name val="Tahoma"/>
      <family val="2"/>
    </font>
    <font>
      <b/>
      <sz val="12"/>
      <color indexed="81"/>
      <name val="細明體"/>
      <family val="3"/>
      <charset val="136"/>
    </font>
    <font>
      <sz val="14"/>
      <color indexed="81"/>
      <name val="細明體"/>
      <family val="3"/>
      <charset val="136"/>
    </font>
    <font>
      <sz val="14"/>
      <color indexed="81"/>
      <name val="Tahoma"/>
      <family val="2"/>
    </font>
    <font>
      <sz val="11"/>
      <color indexed="81"/>
      <name val="細明體"/>
      <family val="3"/>
      <charset val="136"/>
    </font>
    <font>
      <sz val="11"/>
      <color indexed="81"/>
      <name val="Tahoma"/>
      <family val="2"/>
    </font>
    <font>
      <b/>
      <sz val="15"/>
      <color indexed="81"/>
      <name val="Tahoma"/>
      <family val="2"/>
    </font>
    <font>
      <b/>
      <sz val="15"/>
      <color indexed="81"/>
      <name val="細明體"/>
      <family val="3"/>
      <charset val="136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FF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>
      <alignment vertical="center"/>
    </xf>
    <xf numFmtId="0" fontId="6" fillId="0" borderId="0"/>
    <xf numFmtId="9" fontId="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56">
    <xf numFmtId="0" fontId="0" fillId="0" borderId="0" xfId="0"/>
    <xf numFmtId="0" fontId="7" fillId="0" borderId="0" xfId="1" applyFont="1" applyAlignment="1">
      <alignment horizontal="center" vertical="center"/>
    </xf>
    <xf numFmtId="0" fontId="7" fillId="0" borderId="0" xfId="1" applyFont="1">
      <alignment vertical="center"/>
    </xf>
    <xf numFmtId="177" fontId="10" fillId="0" borderId="0" xfId="1" applyNumberFormat="1" applyFont="1">
      <alignment vertical="center"/>
    </xf>
    <xf numFmtId="0" fontId="7" fillId="0" borderId="29" xfId="1" applyFont="1" applyBorder="1">
      <alignment vertical="center"/>
    </xf>
    <xf numFmtId="0" fontId="10" fillId="0" borderId="0" xfId="1" applyFont="1">
      <alignment vertical="center"/>
    </xf>
    <xf numFmtId="0" fontId="7" fillId="2" borderId="16" xfId="1" applyFont="1" applyFill="1" applyBorder="1">
      <alignment vertical="center"/>
    </xf>
    <xf numFmtId="0" fontId="7" fillId="2" borderId="31" xfId="1" applyFont="1" applyFill="1" applyBorder="1" applyAlignment="1">
      <alignment vertical="center" wrapText="1"/>
    </xf>
    <xf numFmtId="0" fontId="7" fillId="2" borderId="27" xfId="1" applyFont="1" applyFill="1" applyBorder="1" applyAlignment="1">
      <alignment vertical="center" wrapText="1"/>
    </xf>
    <xf numFmtId="176" fontId="7" fillId="0" borderId="1" xfId="1" applyNumberFormat="1" applyFont="1" applyBorder="1" applyAlignment="1">
      <alignment horizontal="center" vertical="center" wrapText="1"/>
    </xf>
    <xf numFmtId="176" fontId="7" fillId="0" borderId="7" xfId="1" applyNumberFormat="1" applyFont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7" fillId="0" borderId="0" xfId="1" applyFont="1" applyProtection="1">
      <alignment vertical="center"/>
      <protection locked="0"/>
    </xf>
    <xf numFmtId="0" fontId="11" fillId="0" borderId="0" xfId="1" applyFont="1">
      <alignment vertical="center"/>
    </xf>
    <xf numFmtId="176" fontId="7" fillId="0" borderId="0" xfId="1" applyNumberFormat="1" applyFont="1" applyAlignment="1">
      <alignment horizontal="center" vertical="center" wrapText="1"/>
    </xf>
    <xf numFmtId="176" fontId="13" fillId="0" borderId="1" xfId="1" applyNumberFormat="1" applyFont="1" applyBorder="1" applyAlignment="1">
      <alignment horizontal="center" vertical="center" wrapText="1"/>
    </xf>
    <xf numFmtId="176" fontId="13" fillId="2" borderId="0" xfId="1" applyNumberFormat="1" applyFont="1" applyFill="1" applyAlignment="1">
      <alignment horizontal="center" vertical="center" wrapText="1"/>
    </xf>
    <xf numFmtId="0" fontId="13" fillId="0" borderId="0" xfId="1" applyFont="1">
      <alignment vertical="center"/>
    </xf>
    <xf numFmtId="0" fontId="13" fillId="0" borderId="0" xfId="1" applyFont="1" applyAlignment="1">
      <alignment horizontal="center" vertical="center"/>
    </xf>
    <xf numFmtId="176" fontId="13" fillId="0" borderId="0" xfId="1" applyNumberFormat="1" applyFont="1" applyAlignment="1">
      <alignment horizontal="center" vertical="center" wrapText="1"/>
    </xf>
    <xf numFmtId="17" fontId="13" fillId="2" borderId="0" xfId="1" applyNumberFormat="1" applyFont="1" applyFill="1" applyAlignment="1">
      <alignment horizontal="center" vertical="center"/>
    </xf>
    <xf numFmtId="0" fontId="13" fillId="0" borderId="0" xfId="1" applyFont="1" applyAlignment="1">
      <alignment vertical="center" wrapText="1"/>
    </xf>
    <xf numFmtId="0" fontId="13" fillId="0" borderId="12" xfId="1" applyFont="1" applyBorder="1" applyAlignment="1">
      <alignment vertical="center" wrapText="1"/>
    </xf>
    <xf numFmtId="0" fontId="13" fillId="0" borderId="10" xfId="1" applyFont="1" applyBorder="1" applyAlignment="1">
      <alignment vertical="center" wrapText="1"/>
    </xf>
    <xf numFmtId="0" fontId="13" fillId="2" borderId="16" xfId="1" applyFont="1" applyFill="1" applyBorder="1">
      <alignment vertical="center"/>
    </xf>
    <xf numFmtId="176" fontId="14" fillId="6" borderId="13" xfId="1" applyNumberFormat="1" applyFont="1" applyFill="1" applyBorder="1" applyAlignment="1">
      <alignment horizontal="center" vertical="center" wrapText="1"/>
    </xf>
    <xf numFmtId="176" fontId="14" fillId="2" borderId="13" xfId="1" applyNumberFormat="1" applyFont="1" applyFill="1" applyBorder="1" applyAlignment="1">
      <alignment horizontal="center" vertical="center" wrapText="1"/>
    </xf>
    <xf numFmtId="176" fontId="19" fillId="5" borderId="13" xfId="1" applyNumberFormat="1" applyFont="1" applyFill="1" applyBorder="1" applyAlignment="1">
      <alignment horizontal="center" vertical="center" wrapText="1"/>
    </xf>
    <xf numFmtId="0" fontId="22" fillId="8" borderId="12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0" fontId="2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0" fontId="24" fillId="0" borderId="0" xfId="0" applyFont="1"/>
    <xf numFmtId="0" fontId="26" fillId="9" borderId="16" xfId="0" applyFont="1" applyFill="1" applyBorder="1" applyAlignment="1">
      <alignment horizontal="center" vertical="center"/>
    </xf>
    <xf numFmtId="177" fontId="7" fillId="2" borderId="15" xfId="1" applyNumberFormat="1" applyFont="1" applyFill="1" applyBorder="1">
      <alignment vertical="center"/>
    </xf>
    <xf numFmtId="0" fontId="7" fillId="2" borderId="16" xfId="1" applyFont="1" applyFill="1" applyBorder="1" applyAlignment="1">
      <alignment horizontal="center" vertical="center"/>
    </xf>
    <xf numFmtId="0" fontId="7" fillId="2" borderId="18" xfId="1" applyFont="1" applyFill="1" applyBorder="1">
      <alignment vertical="center"/>
    </xf>
    <xf numFmtId="177" fontId="13" fillId="0" borderId="11" xfId="1" applyNumberFormat="1" applyFont="1" applyBorder="1" applyAlignment="1">
      <alignment vertical="center" wrapText="1"/>
    </xf>
    <xf numFmtId="177" fontId="13" fillId="0" borderId="12" xfId="1" applyNumberFormat="1" applyFont="1" applyBorder="1">
      <alignment vertical="center"/>
    </xf>
    <xf numFmtId="0" fontId="18" fillId="0" borderId="12" xfId="1" applyFont="1" applyBorder="1" applyAlignment="1">
      <alignment horizontal="center" vertical="center" wrapText="1"/>
    </xf>
    <xf numFmtId="0" fontId="0" fillId="2" borderId="20" xfId="0" applyFill="1" applyBorder="1" applyAlignment="1">
      <alignment horizontal="center"/>
    </xf>
    <xf numFmtId="0" fontId="0" fillId="11" borderId="20" xfId="0" applyFill="1" applyBorder="1" applyAlignment="1">
      <alignment horizontal="center" vertical="center"/>
    </xf>
    <xf numFmtId="0" fontId="0" fillId="2" borderId="21" xfId="0" applyFill="1" applyBorder="1"/>
    <xf numFmtId="0" fontId="20" fillId="0" borderId="4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29" xfId="0" applyFont="1" applyBorder="1" applyAlignment="1">
      <alignment horizontal="center"/>
    </xf>
    <xf numFmtId="178" fontId="29" fillId="2" borderId="20" xfId="0" applyNumberFormat="1" applyFont="1" applyFill="1" applyBorder="1" applyAlignment="1">
      <alignment horizontal="right"/>
    </xf>
    <xf numFmtId="14" fontId="21" fillId="12" borderId="20" xfId="0" applyNumberFormat="1" applyFont="1" applyFill="1" applyBorder="1" applyAlignment="1">
      <alignment horizontal="center" vertical="center"/>
    </xf>
    <xf numFmtId="0" fontId="7" fillId="6" borderId="6" xfId="1" applyFont="1" applyFill="1" applyBorder="1" applyAlignment="1">
      <alignment horizontal="center" vertical="center"/>
    </xf>
    <xf numFmtId="0" fontId="7" fillId="6" borderId="31" xfId="1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/>
    </xf>
    <xf numFmtId="0" fontId="28" fillId="2" borderId="31" xfId="0" applyFont="1" applyFill="1" applyBorder="1" applyAlignment="1">
      <alignment horizontal="center"/>
    </xf>
    <xf numFmtId="0" fontId="28" fillId="2" borderId="27" xfId="0" applyFont="1" applyFill="1" applyBorder="1" applyAlignment="1">
      <alignment horizontal="center"/>
    </xf>
    <xf numFmtId="0" fontId="28" fillId="2" borderId="33" xfId="0" applyFont="1" applyFill="1" applyBorder="1" applyAlignment="1">
      <alignment horizontal="center"/>
    </xf>
    <xf numFmtId="0" fontId="11" fillId="2" borderId="27" xfId="1" applyFont="1" applyFill="1" applyBorder="1" applyAlignment="1">
      <alignment horizontal="center" vertical="center"/>
    </xf>
    <xf numFmtId="0" fontId="13" fillId="8" borderId="30" xfId="1" applyFont="1" applyFill="1" applyBorder="1" applyAlignment="1">
      <alignment horizontal="center" vertical="center"/>
    </xf>
    <xf numFmtId="0" fontId="11" fillId="6" borderId="6" xfId="1" applyFont="1" applyFill="1" applyBorder="1" applyAlignment="1">
      <alignment horizontal="center" vertical="center"/>
    </xf>
    <xf numFmtId="0" fontId="11" fillId="6" borderId="31" xfId="1" applyFont="1" applyFill="1" applyBorder="1" applyAlignment="1">
      <alignment horizontal="center" vertical="center"/>
    </xf>
    <xf numFmtId="0" fontId="11" fillId="6" borderId="27" xfId="1" applyFont="1" applyFill="1" applyBorder="1" applyAlignment="1">
      <alignment horizontal="center" vertical="center"/>
    </xf>
    <xf numFmtId="0" fontId="11" fillId="4" borderId="31" xfId="1" applyFont="1" applyFill="1" applyBorder="1" applyAlignment="1">
      <alignment horizontal="center" vertical="center"/>
    </xf>
    <xf numFmtId="0" fontId="11" fillId="3" borderId="31" xfId="1" applyFont="1" applyFill="1" applyBorder="1" applyAlignment="1">
      <alignment horizontal="center" vertical="center"/>
    </xf>
    <xf numFmtId="0" fontId="11" fillId="2" borderId="31" xfId="1" applyFont="1" applyFill="1" applyBorder="1" applyAlignment="1">
      <alignment horizontal="center" vertical="center"/>
    </xf>
    <xf numFmtId="176" fontId="14" fillId="0" borderId="0" xfId="1" applyNumberFormat="1" applyFont="1" applyAlignment="1">
      <alignment horizontal="center" vertical="center" wrapText="1"/>
    </xf>
    <xf numFmtId="0" fontId="11" fillId="2" borderId="28" xfId="1" applyFont="1" applyFill="1" applyBorder="1" applyAlignment="1">
      <alignment horizontal="center" vertical="center"/>
    </xf>
    <xf numFmtId="0" fontId="31" fillId="2" borderId="26" xfId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1" fillId="6" borderId="31" xfId="1" applyFont="1" applyFill="1" applyBorder="1" applyAlignment="1">
      <alignment horizontal="center" vertical="center" wrapText="1"/>
    </xf>
    <xf numFmtId="176" fontId="19" fillId="0" borderId="0" xfId="1" applyNumberFormat="1" applyFont="1" applyAlignment="1">
      <alignment horizontal="center" vertical="center" wrapText="1"/>
    </xf>
    <xf numFmtId="0" fontId="14" fillId="0" borderId="0" xfId="1" applyFont="1">
      <alignment vertical="center"/>
    </xf>
    <xf numFmtId="0" fontId="7" fillId="2" borderId="28" xfId="1" applyFont="1" applyFill="1" applyBorder="1" applyAlignment="1">
      <alignment horizontal="center" vertical="center" wrapText="1"/>
    </xf>
    <xf numFmtId="176" fontId="35" fillId="5" borderId="13" xfId="1" applyNumberFormat="1" applyFont="1" applyFill="1" applyBorder="1" applyAlignment="1">
      <alignment horizontal="center" vertical="center" wrapText="1"/>
    </xf>
    <xf numFmtId="176" fontId="21" fillId="0" borderId="30" xfId="1" applyNumberFormat="1" applyFont="1" applyBorder="1" applyAlignment="1">
      <alignment horizontal="center" vertical="center" wrapText="1"/>
    </xf>
    <xf numFmtId="176" fontId="21" fillId="4" borderId="30" xfId="1" applyNumberFormat="1" applyFont="1" applyFill="1" applyBorder="1" applyAlignment="1">
      <alignment horizontal="center" vertical="center" wrapText="1"/>
    </xf>
    <xf numFmtId="176" fontId="21" fillId="3" borderId="30" xfId="1" applyNumberFormat="1" applyFont="1" applyFill="1" applyBorder="1" applyAlignment="1">
      <alignment horizontal="center" vertical="center" wrapText="1"/>
    </xf>
    <xf numFmtId="0" fontId="36" fillId="2" borderId="26" xfId="1" applyFont="1" applyFill="1" applyBorder="1" applyAlignment="1">
      <alignment horizontal="center" vertical="center"/>
    </xf>
    <xf numFmtId="0" fontId="7" fillId="2" borderId="36" xfId="1" applyFont="1" applyFill="1" applyBorder="1" applyAlignment="1">
      <alignment horizontal="center" vertical="center" wrapText="1"/>
    </xf>
    <xf numFmtId="176" fontId="0" fillId="0" borderId="30" xfId="1" applyNumberFormat="1" applyFont="1" applyBorder="1" applyAlignment="1">
      <alignment horizontal="center" vertical="center" wrapText="1"/>
    </xf>
    <xf numFmtId="0" fontId="13" fillId="2" borderId="31" xfId="1" applyFont="1" applyFill="1" applyBorder="1" applyAlignment="1">
      <alignment horizontal="center" vertical="center"/>
    </xf>
    <xf numFmtId="176" fontId="37" fillId="3" borderId="30" xfId="1" applyNumberFormat="1" applyFont="1" applyFill="1" applyBorder="1" applyAlignment="1">
      <alignment horizontal="center" vertical="center" wrapText="1"/>
    </xf>
    <xf numFmtId="176" fontId="38" fillId="2" borderId="13" xfId="1" applyNumberFormat="1" applyFont="1" applyFill="1" applyBorder="1" applyAlignment="1">
      <alignment horizontal="center" vertical="center" wrapText="1"/>
    </xf>
    <xf numFmtId="0" fontId="13" fillId="3" borderId="20" xfId="1" applyFont="1" applyFill="1" applyBorder="1">
      <alignment vertical="center"/>
    </xf>
    <xf numFmtId="0" fontId="13" fillId="3" borderId="22" xfId="1" applyFont="1" applyFill="1" applyBorder="1">
      <alignment vertical="center"/>
    </xf>
    <xf numFmtId="0" fontId="13" fillId="3" borderId="23" xfId="1" applyFont="1" applyFill="1" applyBorder="1">
      <alignment vertical="center"/>
    </xf>
    <xf numFmtId="0" fontId="11" fillId="2" borderId="36" xfId="1" applyFont="1" applyFill="1" applyBorder="1" applyAlignment="1">
      <alignment horizontal="center" vertical="center"/>
    </xf>
    <xf numFmtId="0" fontId="11" fillId="2" borderId="31" xfId="1" applyFont="1" applyFill="1" applyBorder="1" applyAlignment="1">
      <alignment horizontal="center" vertical="center" wrapText="1"/>
    </xf>
    <xf numFmtId="0" fontId="13" fillId="6" borderId="6" xfId="1" applyFont="1" applyFill="1" applyBorder="1" applyAlignment="1">
      <alignment horizontal="center" vertical="center"/>
    </xf>
    <xf numFmtId="0" fontId="13" fillId="6" borderId="31" xfId="1" applyFont="1" applyFill="1" applyBorder="1" applyAlignment="1">
      <alignment horizontal="center" vertical="center"/>
    </xf>
    <xf numFmtId="0" fontId="13" fillId="4" borderId="31" xfId="1" applyFont="1" applyFill="1" applyBorder="1" applyAlignment="1">
      <alignment horizontal="center" vertical="center"/>
    </xf>
    <xf numFmtId="0" fontId="13" fillId="3" borderId="31" xfId="1" applyFont="1" applyFill="1" applyBorder="1" applyAlignment="1">
      <alignment horizontal="center" vertical="center"/>
    </xf>
    <xf numFmtId="0" fontId="13" fillId="2" borderId="31" xfId="1" applyFont="1" applyFill="1" applyBorder="1" applyAlignment="1">
      <alignment vertical="center" wrapText="1"/>
    </xf>
    <xf numFmtId="0" fontId="13" fillId="2" borderId="36" xfId="1" applyFont="1" applyFill="1" applyBorder="1" applyAlignment="1">
      <alignment horizontal="center" vertical="center" wrapText="1"/>
    </xf>
    <xf numFmtId="0" fontId="13" fillId="2" borderId="27" xfId="1" applyFont="1" applyFill="1" applyBorder="1" applyAlignment="1">
      <alignment vertical="center" wrapText="1"/>
    </xf>
    <xf numFmtId="0" fontId="13" fillId="2" borderId="28" xfId="1" applyFont="1" applyFill="1" applyBorder="1" applyAlignment="1">
      <alignment horizontal="center" vertical="center" wrapText="1"/>
    </xf>
    <xf numFmtId="176" fontId="11" fillId="0" borderId="37" xfId="1" applyNumberFormat="1" applyFont="1" applyBorder="1" applyAlignment="1">
      <alignment vertical="center" wrapText="1"/>
    </xf>
    <xf numFmtId="0" fontId="13" fillId="3" borderId="35" xfId="1" applyFont="1" applyFill="1" applyBorder="1">
      <alignment vertical="center"/>
    </xf>
    <xf numFmtId="176" fontId="13" fillId="0" borderId="37" xfId="1" applyNumberFormat="1" applyFont="1" applyBorder="1" applyAlignment="1">
      <alignment vertical="center" wrapText="1"/>
    </xf>
    <xf numFmtId="0" fontId="7" fillId="2" borderId="0" xfId="1" applyFont="1" applyFill="1">
      <alignment vertical="center"/>
    </xf>
    <xf numFmtId="0" fontId="29" fillId="0" borderId="0" xfId="0" applyFont="1"/>
    <xf numFmtId="176" fontId="21" fillId="2" borderId="30" xfId="1" applyNumberFormat="1" applyFont="1" applyFill="1" applyBorder="1" applyAlignment="1">
      <alignment horizontal="center" vertical="center" wrapText="1"/>
    </xf>
    <xf numFmtId="176" fontId="21" fillId="6" borderId="30" xfId="1" applyNumberFormat="1" applyFont="1" applyFill="1" applyBorder="1" applyAlignment="1">
      <alignment horizontal="center" vertical="center" wrapText="1"/>
    </xf>
    <xf numFmtId="0" fontId="13" fillId="0" borderId="20" xfId="1" applyFont="1" applyBorder="1" applyAlignment="1">
      <alignment vertical="center" wrapText="1"/>
    </xf>
    <xf numFmtId="0" fontId="13" fillId="0" borderId="35" xfId="1" applyFont="1" applyBorder="1" applyAlignment="1">
      <alignment vertical="center" wrapText="1"/>
    </xf>
    <xf numFmtId="0" fontId="14" fillId="0" borderId="16" xfId="1" applyFont="1" applyBorder="1">
      <alignment vertical="center"/>
    </xf>
    <xf numFmtId="0" fontId="14" fillId="0" borderId="17" xfId="1" applyFont="1" applyBorder="1">
      <alignment vertical="center"/>
    </xf>
    <xf numFmtId="0" fontId="13" fillId="0" borderId="12" xfId="1" applyFont="1" applyBorder="1" applyAlignment="1">
      <alignment horizontal="center" vertical="center"/>
    </xf>
    <xf numFmtId="0" fontId="13" fillId="0" borderId="10" xfId="1" applyFont="1" applyBorder="1" applyAlignment="1">
      <alignment horizontal="center" vertical="center"/>
    </xf>
    <xf numFmtId="176" fontId="7" fillId="13" borderId="0" xfId="1" applyNumberFormat="1" applyFont="1" applyFill="1" applyAlignment="1">
      <alignment horizontal="center" vertical="center" wrapText="1"/>
    </xf>
    <xf numFmtId="0" fontId="7" fillId="2" borderId="29" xfId="1" applyFont="1" applyFill="1" applyBorder="1" applyAlignment="1">
      <alignment horizontal="center" vertical="center" wrapText="1"/>
    </xf>
    <xf numFmtId="0" fontId="7" fillId="2" borderId="0" xfId="1" applyFont="1" applyFill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176" fontId="0" fillId="2" borderId="13" xfId="1" applyNumberFormat="1" applyFont="1" applyFill="1" applyBorder="1" applyAlignment="1">
      <alignment horizontal="center" vertical="center" wrapText="1"/>
    </xf>
    <xf numFmtId="177" fontId="13" fillId="2" borderId="20" xfId="1" applyNumberFormat="1" applyFont="1" applyFill="1" applyBorder="1" applyAlignment="1">
      <alignment horizontal="center" vertical="center"/>
    </xf>
    <xf numFmtId="0" fontId="11" fillId="7" borderId="20" xfId="1" applyFont="1" applyFill="1" applyBorder="1" applyAlignment="1">
      <alignment horizontal="center" vertical="center"/>
    </xf>
    <xf numFmtId="0" fontId="13" fillId="2" borderId="20" xfId="1" applyFont="1" applyFill="1" applyBorder="1">
      <alignment vertical="center"/>
    </xf>
    <xf numFmtId="0" fontId="8" fillId="2" borderId="20" xfId="1" applyFont="1" applyFill="1" applyBorder="1" applyAlignment="1">
      <alignment horizontal="center" vertical="center"/>
    </xf>
    <xf numFmtId="0" fontId="13" fillId="2" borderId="20" xfId="1" applyFont="1" applyFill="1" applyBorder="1" applyAlignment="1">
      <alignment horizontal="center" vertical="center"/>
    </xf>
    <xf numFmtId="0" fontId="15" fillId="2" borderId="20" xfId="1" applyFont="1" applyFill="1" applyBorder="1" applyAlignment="1">
      <alignment horizontal="center" vertical="center"/>
    </xf>
    <xf numFmtId="10" fontId="11" fillId="2" borderId="20" xfId="3" applyNumberFormat="1" applyFont="1" applyFill="1" applyBorder="1" applyAlignment="1">
      <alignment horizontal="center" vertical="center"/>
    </xf>
    <xf numFmtId="177" fontId="7" fillId="2" borderId="20" xfId="1" applyNumberFormat="1" applyFont="1" applyFill="1" applyBorder="1" applyAlignment="1">
      <alignment horizontal="center" vertical="center"/>
    </xf>
    <xf numFmtId="0" fontId="8" fillId="7" borderId="20" xfId="1" applyFont="1" applyFill="1" applyBorder="1" applyAlignment="1">
      <alignment horizontal="center" vertical="center"/>
    </xf>
    <xf numFmtId="0" fontId="7" fillId="2" borderId="20" xfId="1" applyFont="1" applyFill="1" applyBorder="1">
      <alignment vertical="center"/>
    </xf>
    <xf numFmtId="0" fontId="16" fillId="2" borderId="20" xfId="1" applyFont="1" applyFill="1" applyBorder="1" applyAlignment="1">
      <alignment horizontal="center" vertical="center"/>
    </xf>
    <xf numFmtId="10" fontId="8" fillId="2" borderId="20" xfId="3" applyNumberFormat="1" applyFont="1" applyFill="1" applyBorder="1" applyAlignment="1">
      <alignment horizontal="center" vertical="center"/>
    </xf>
    <xf numFmtId="0" fontId="36" fillId="2" borderId="20" xfId="1" applyFont="1" applyFill="1" applyBorder="1" applyAlignment="1">
      <alignment horizontal="center" vertical="center"/>
    </xf>
    <xf numFmtId="177" fontId="7" fillId="2" borderId="38" xfId="1" applyNumberFormat="1" applyFont="1" applyFill="1" applyBorder="1">
      <alignment vertical="center"/>
    </xf>
    <xf numFmtId="0" fontId="13" fillId="2" borderId="32" xfId="1" applyFont="1" applyFill="1" applyBorder="1">
      <alignment vertical="center"/>
    </xf>
    <xf numFmtId="0" fontId="7" fillId="2" borderId="32" xfId="1" applyFont="1" applyFill="1" applyBorder="1" applyAlignment="1">
      <alignment horizontal="center" vertical="center"/>
    </xf>
    <xf numFmtId="0" fontId="7" fillId="2" borderId="32" xfId="1" applyFont="1" applyFill="1" applyBorder="1">
      <alignment vertical="center"/>
    </xf>
    <xf numFmtId="0" fontId="7" fillId="2" borderId="39" xfId="1" applyFont="1" applyFill="1" applyBorder="1">
      <alignment vertical="center"/>
    </xf>
    <xf numFmtId="176" fontId="14" fillId="5" borderId="13" xfId="1" applyNumberFormat="1" applyFont="1" applyFill="1" applyBorder="1" applyAlignment="1">
      <alignment horizontal="center" vertical="center" wrapText="1"/>
    </xf>
    <xf numFmtId="0" fontId="16" fillId="0" borderId="26" xfId="1" applyFont="1" applyBorder="1" applyAlignment="1">
      <alignment horizontal="center" vertical="center"/>
    </xf>
    <xf numFmtId="0" fontId="19" fillId="10" borderId="3" xfId="1" applyFont="1" applyFill="1" applyBorder="1" applyAlignment="1">
      <alignment horizontal="center" vertical="center" wrapText="1"/>
    </xf>
    <xf numFmtId="0" fontId="19" fillId="10" borderId="5" xfId="1" applyFont="1" applyFill="1" applyBorder="1" applyAlignment="1">
      <alignment horizontal="center" vertical="center" wrapText="1"/>
    </xf>
    <xf numFmtId="176" fontId="14" fillId="10" borderId="9" xfId="1" applyNumberFormat="1" applyFont="1" applyFill="1" applyBorder="1" applyAlignment="1">
      <alignment horizontal="center" vertical="center" wrapText="1"/>
    </xf>
    <xf numFmtId="0" fontId="11" fillId="10" borderId="29" xfId="1" applyFont="1" applyFill="1" applyBorder="1" applyAlignment="1">
      <alignment horizontal="center" vertical="center"/>
    </xf>
    <xf numFmtId="0" fontId="16" fillId="10" borderId="20" xfId="1" applyFont="1" applyFill="1" applyBorder="1" applyAlignment="1">
      <alignment horizontal="center" vertical="center"/>
    </xf>
    <xf numFmtId="0" fontId="31" fillId="0" borderId="26" xfId="1" applyFont="1" applyBorder="1" applyAlignment="1">
      <alignment horizontal="center" vertical="center"/>
    </xf>
    <xf numFmtId="176" fontId="0" fillId="3" borderId="13" xfId="1" applyNumberFormat="1" applyFont="1" applyFill="1" applyBorder="1" applyAlignment="1">
      <alignment horizontal="center" vertical="center" wrapText="1"/>
    </xf>
    <xf numFmtId="177" fontId="7" fillId="2" borderId="16" xfId="1" applyNumberFormat="1" applyFont="1" applyFill="1" applyBorder="1" applyAlignment="1">
      <alignment horizontal="center" vertical="center"/>
    </xf>
    <xf numFmtId="177" fontId="7" fillId="2" borderId="32" xfId="1" applyNumberFormat="1" applyFont="1" applyFill="1" applyBorder="1" applyAlignment="1">
      <alignment horizontal="center" vertical="center"/>
    </xf>
    <xf numFmtId="0" fontId="8" fillId="7" borderId="16" xfId="1" applyFont="1" applyFill="1" applyBorder="1" applyAlignment="1">
      <alignment horizontal="center" vertical="center"/>
    </xf>
    <xf numFmtId="0" fontId="8" fillId="7" borderId="32" xfId="1" applyFont="1" applyFill="1" applyBorder="1" applyAlignment="1">
      <alignment horizontal="center" vertical="center"/>
    </xf>
    <xf numFmtId="0" fontId="15" fillId="2" borderId="16" xfId="1" applyFont="1" applyFill="1" applyBorder="1" applyAlignment="1">
      <alignment horizontal="center" vertical="center"/>
    </xf>
    <xf numFmtId="0" fontId="15" fillId="2" borderId="32" xfId="1" applyFont="1" applyFill="1" applyBorder="1" applyAlignment="1">
      <alignment horizontal="center" vertical="center"/>
    </xf>
    <xf numFmtId="0" fontId="16" fillId="2" borderId="16" xfId="1" applyFont="1" applyFill="1" applyBorder="1" applyAlignment="1">
      <alignment horizontal="center" vertical="center"/>
    </xf>
    <xf numFmtId="0" fontId="16" fillId="2" borderId="32" xfId="1" applyFont="1" applyFill="1" applyBorder="1" applyAlignment="1">
      <alignment horizontal="center" vertical="center"/>
    </xf>
    <xf numFmtId="0" fontId="13" fillId="2" borderId="16" xfId="1" applyFont="1" applyFill="1" applyBorder="1" applyAlignment="1">
      <alignment horizontal="center" vertical="center"/>
    </xf>
    <xf numFmtId="0" fontId="13" fillId="2" borderId="32" xfId="1" applyFont="1" applyFill="1" applyBorder="1" applyAlignment="1">
      <alignment horizontal="center" vertical="center"/>
    </xf>
    <xf numFmtId="10" fontId="8" fillId="2" borderId="16" xfId="3" applyNumberFormat="1" applyFont="1" applyFill="1" applyBorder="1" applyAlignment="1">
      <alignment horizontal="center" vertical="center"/>
    </xf>
    <xf numFmtId="10" fontId="8" fillId="2" borderId="32" xfId="3" applyNumberFormat="1" applyFont="1" applyFill="1" applyBorder="1" applyAlignment="1">
      <alignment horizontal="center" vertical="center"/>
    </xf>
    <xf numFmtId="0" fontId="36" fillId="2" borderId="16" xfId="1" applyFont="1" applyFill="1" applyBorder="1" applyAlignment="1">
      <alignment horizontal="center" vertical="center"/>
    </xf>
    <xf numFmtId="0" fontId="36" fillId="2" borderId="32" xfId="1" applyFont="1" applyFill="1" applyBorder="1" applyAlignment="1">
      <alignment horizontal="center" vertical="center"/>
    </xf>
    <xf numFmtId="10" fontId="11" fillId="2" borderId="16" xfId="3" applyNumberFormat="1" applyFont="1" applyFill="1" applyBorder="1" applyAlignment="1">
      <alignment horizontal="center" vertical="center"/>
    </xf>
    <xf numFmtId="0" fontId="39" fillId="0" borderId="0" xfId="1" applyFont="1">
      <alignment vertical="center"/>
    </xf>
    <xf numFmtId="0" fontId="40" fillId="0" borderId="0" xfId="1" applyFont="1" applyAlignment="1">
      <alignment vertical="center" wrapText="1"/>
    </xf>
    <xf numFmtId="0" fontId="16" fillId="10" borderId="16" xfId="1" applyFont="1" applyFill="1" applyBorder="1" applyAlignment="1">
      <alignment horizontal="center" vertical="center"/>
    </xf>
    <xf numFmtId="0" fontId="16" fillId="10" borderId="32" xfId="1" applyFont="1" applyFill="1" applyBorder="1" applyAlignment="1">
      <alignment horizontal="center" vertical="center"/>
    </xf>
    <xf numFmtId="0" fontId="7" fillId="2" borderId="20" xfId="1" applyFont="1" applyFill="1" applyBorder="1" applyAlignment="1">
      <alignment horizontal="center" vertical="center"/>
    </xf>
    <xf numFmtId="177" fontId="13" fillId="0" borderId="6" xfId="1" applyNumberFormat="1" applyFont="1" applyBorder="1" applyAlignment="1">
      <alignment vertical="center" wrapText="1"/>
    </xf>
    <xf numFmtId="177" fontId="13" fillId="0" borderId="31" xfId="1" applyNumberFormat="1" applyFont="1" applyBorder="1">
      <alignment vertical="center"/>
    </xf>
    <xf numFmtId="0" fontId="18" fillId="0" borderId="31" xfId="1" applyFont="1" applyBorder="1" applyAlignment="1">
      <alignment horizontal="center" vertical="center" wrapText="1"/>
    </xf>
    <xf numFmtId="0" fontId="13" fillId="0" borderId="31" xfId="1" applyFont="1" applyBorder="1" applyAlignment="1">
      <alignment vertical="center" wrapText="1"/>
    </xf>
    <xf numFmtId="0" fontId="13" fillId="0" borderId="27" xfId="1" applyFont="1" applyBorder="1" applyAlignment="1">
      <alignment vertical="center" wrapText="1"/>
    </xf>
    <xf numFmtId="10" fontId="11" fillId="2" borderId="32" xfId="3" applyNumberFormat="1" applyFont="1" applyFill="1" applyBorder="1" applyAlignment="1">
      <alignment horizontal="center" vertical="center"/>
    </xf>
    <xf numFmtId="177" fontId="13" fillId="2" borderId="16" xfId="1" applyNumberFormat="1" applyFont="1" applyFill="1" applyBorder="1" applyAlignment="1">
      <alignment horizontal="center" vertical="center"/>
    </xf>
    <xf numFmtId="177" fontId="13" fillId="2" borderId="32" xfId="1" applyNumberFormat="1" applyFont="1" applyFill="1" applyBorder="1" applyAlignment="1">
      <alignment horizontal="center" vertical="center"/>
    </xf>
    <xf numFmtId="0" fontId="11" fillId="7" borderId="16" xfId="1" applyFont="1" applyFill="1" applyBorder="1" applyAlignment="1">
      <alignment horizontal="center" vertical="center"/>
    </xf>
    <xf numFmtId="0" fontId="11" fillId="7" borderId="32" xfId="1" applyFont="1" applyFill="1" applyBorder="1" applyAlignment="1">
      <alignment horizontal="center" vertical="center"/>
    </xf>
    <xf numFmtId="0" fontId="8" fillId="2" borderId="16" xfId="1" applyFont="1" applyFill="1" applyBorder="1" applyAlignment="1">
      <alignment horizontal="center" vertical="center"/>
    </xf>
    <xf numFmtId="0" fontId="8" fillId="2" borderId="32" xfId="1" applyFont="1" applyFill="1" applyBorder="1" applyAlignment="1">
      <alignment horizontal="center" vertical="center"/>
    </xf>
    <xf numFmtId="177" fontId="7" fillId="2" borderId="20" xfId="1" applyNumberFormat="1" applyFont="1" applyFill="1" applyBorder="1">
      <alignment vertical="center"/>
    </xf>
    <xf numFmtId="177" fontId="7" fillId="2" borderId="32" xfId="1" applyNumberFormat="1" applyFont="1" applyFill="1" applyBorder="1">
      <alignment vertical="center"/>
    </xf>
    <xf numFmtId="0" fontId="14" fillId="3" borderId="13" xfId="1" applyFont="1" applyFill="1" applyBorder="1" applyAlignment="1">
      <alignment horizontal="center" vertical="center"/>
    </xf>
    <xf numFmtId="0" fontId="13" fillId="0" borderId="40" xfId="1" applyFont="1" applyBorder="1" applyAlignment="1">
      <alignment horizontal="center" vertical="center"/>
    </xf>
    <xf numFmtId="0" fontId="14" fillId="0" borderId="41" xfId="1" applyFont="1" applyBorder="1">
      <alignment vertical="center"/>
    </xf>
    <xf numFmtId="0" fontId="11" fillId="0" borderId="42" xfId="1" applyFont="1" applyBorder="1" applyAlignment="1">
      <alignment vertical="center" wrapText="1"/>
    </xf>
    <xf numFmtId="0" fontId="13" fillId="3" borderId="43" xfId="1" applyFont="1" applyFill="1" applyBorder="1">
      <alignment vertical="center"/>
    </xf>
    <xf numFmtId="0" fontId="13" fillId="3" borderId="44" xfId="1" applyFont="1" applyFill="1" applyBorder="1">
      <alignment vertical="center"/>
    </xf>
    <xf numFmtId="10" fontId="41" fillId="2" borderId="24" xfId="3" applyNumberFormat="1" applyFont="1" applyFill="1" applyBorder="1" applyAlignment="1">
      <alignment horizontal="center" vertical="center" wrapText="1"/>
    </xf>
    <xf numFmtId="176" fontId="7" fillId="10" borderId="2" xfId="1" applyNumberFormat="1" applyFont="1" applyFill="1" applyBorder="1" applyAlignment="1">
      <alignment horizontal="center" vertical="center" wrapText="1"/>
    </xf>
    <xf numFmtId="176" fontId="7" fillId="10" borderId="4" xfId="1" applyNumberFormat="1" applyFont="1" applyFill="1" applyBorder="1" applyAlignment="1">
      <alignment horizontal="center" vertical="center" wrapText="1"/>
    </xf>
    <xf numFmtId="176" fontId="21" fillId="10" borderId="9" xfId="1" applyNumberFormat="1" applyFont="1" applyFill="1" applyBorder="1" applyAlignment="1">
      <alignment horizontal="center" vertical="center" wrapText="1"/>
    </xf>
    <xf numFmtId="0" fontId="13" fillId="10" borderId="29" xfId="1" applyFont="1" applyFill="1" applyBorder="1" applyAlignment="1">
      <alignment vertical="center" wrapText="1"/>
    </xf>
    <xf numFmtId="176" fontId="0" fillId="10" borderId="9" xfId="1" applyNumberFormat="1" applyFont="1" applyFill="1" applyBorder="1" applyAlignment="1">
      <alignment horizontal="center" vertical="center" wrapText="1"/>
    </xf>
    <xf numFmtId="0" fontId="13" fillId="10" borderId="16" xfId="1" applyFont="1" applyFill="1" applyBorder="1" applyAlignment="1">
      <alignment horizontal="center" vertical="center"/>
    </xf>
    <xf numFmtId="0" fontId="13" fillId="10" borderId="20" xfId="1" applyFont="1" applyFill="1" applyBorder="1" applyAlignment="1">
      <alignment horizontal="center" vertical="center"/>
    </xf>
    <xf numFmtId="176" fontId="24" fillId="3" borderId="13" xfId="1" applyNumberFormat="1" applyFont="1" applyFill="1" applyBorder="1" applyAlignment="1">
      <alignment horizontal="center" vertical="center" wrapText="1"/>
    </xf>
    <xf numFmtId="176" fontId="24" fillId="10" borderId="9" xfId="1" applyNumberFormat="1" applyFont="1" applyFill="1" applyBorder="1" applyAlignment="1">
      <alignment horizontal="center" vertical="center" wrapText="1"/>
    </xf>
    <xf numFmtId="0" fontId="28" fillId="3" borderId="20" xfId="0" applyFont="1" applyFill="1" applyBorder="1" applyAlignment="1">
      <alignment horizontal="center"/>
    </xf>
    <xf numFmtId="0" fontId="28" fillId="11" borderId="20" xfId="0" applyFont="1" applyFill="1" applyBorder="1" applyAlignment="1">
      <alignment horizontal="center"/>
    </xf>
    <xf numFmtId="0" fontId="28" fillId="9" borderId="20" xfId="0" applyFont="1" applyFill="1" applyBorder="1" applyAlignment="1">
      <alignment horizontal="center"/>
    </xf>
    <xf numFmtId="0" fontId="28" fillId="11" borderId="20" xfId="0" applyFont="1" applyFill="1" applyBorder="1"/>
    <xf numFmtId="0" fontId="28" fillId="2" borderId="20" xfId="0" applyFont="1" applyFill="1" applyBorder="1" applyAlignment="1">
      <alignment horizontal="center"/>
    </xf>
    <xf numFmtId="179" fontId="0" fillId="0" borderId="0" xfId="0" applyNumberFormat="1"/>
    <xf numFmtId="0" fontId="42" fillId="0" borderId="0" xfId="1" applyFont="1">
      <alignment vertical="center"/>
    </xf>
    <xf numFmtId="179" fontId="28" fillId="2" borderId="20" xfId="0" applyNumberFormat="1" applyFont="1" applyFill="1" applyBorder="1"/>
    <xf numFmtId="0" fontId="13" fillId="10" borderId="32" xfId="1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179" fontId="0" fillId="2" borderId="20" xfId="0" applyNumberFormat="1" applyFill="1" applyBorder="1" applyAlignment="1">
      <alignment horizontal="left" vertical="center" wrapText="1"/>
    </xf>
    <xf numFmtId="0" fontId="0" fillId="0" borderId="6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3" fillId="7" borderId="20" xfId="0" applyFont="1" applyFill="1" applyBorder="1" applyAlignment="1">
      <alignment horizontal="center"/>
    </xf>
    <xf numFmtId="14" fontId="0" fillId="2" borderId="20" xfId="0" applyNumberFormat="1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23" fillId="2" borderId="20" xfId="0" applyFont="1" applyFill="1" applyBorder="1" applyAlignment="1">
      <alignment horizontal="center"/>
    </xf>
    <xf numFmtId="0" fontId="23" fillId="7" borderId="20" xfId="0" applyFont="1" applyFill="1" applyBorder="1" applyAlignment="1">
      <alignment horizontal="center" vertical="center"/>
    </xf>
    <xf numFmtId="177" fontId="34" fillId="9" borderId="20" xfId="1" applyNumberFormat="1" applyFont="1" applyFill="1" applyBorder="1" applyAlignment="1">
      <alignment horizontal="center"/>
    </xf>
    <xf numFmtId="0" fontId="23" fillId="7" borderId="32" xfId="0" applyFont="1" applyFill="1" applyBorder="1" applyAlignment="1">
      <alignment horizontal="center"/>
    </xf>
    <xf numFmtId="179" fontId="0" fillId="2" borderId="32" xfId="0" applyNumberFormat="1" applyFill="1" applyBorder="1" applyAlignment="1">
      <alignment horizontal="center" vertical="center"/>
    </xf>
    <xf numFmtId="0" fontId="23" fillId="2" borderId="32" xfId="0" applyFont="1" applyFill="1" applyBorder="1" applyAlignment="1">
      <alignment horizontal="center"/>
    </xf>
    <xf numFmtId="179" fontId="28" fillId="2" borderId="16" xfId="0" applyNumberFormat="1" applyFont="1" applyFill="1" applyBorder="1"/>
    <xf numFmtId="0" fontId="28" fillId="3" borderId="16" xfId="0" applyFont="1" applyFill="1" applyBorder="1" applyAlignment="1">
      <alignment horizontal="center"/>
    </xf>
    <xf numFmtId="0" fontId="28" fillId="11" borderId="16" xfId="0" applyFont="1" applyFill="1" applyBorder="1" applyAlignment="1">
      <alignment horizontal="center"/>
    </xf>
    <xf numFmtId="177" fontId="34" fillId="9" borderId="16" xfId="1" applyNumberFormat="1" applyFont="1" applyFill="1" applyBorder="1" applyAlignment="1">
      <alignment horizontal="center"/>
    </xf>
    <xf numFmtId="0" fontId="28" fillId="9" borderId="16" xfId="0" applyFont="1" applyFill="1" applyBorder="1" applyAlignment="1">
      <alignment horizontal="center"/>
    </xf>
    <xf numFmtId="0" fontId="28" fillId="11" borderId="16" xfId="0" applyFont="1" applyFill="1" applyBorder="1"/>
    <xf numFmtId="0" fontId="28" fillId="2" borderId="16" xfId="0" applyFont="1" applyFill="1" applyBorder="1" applyAlignment="1">
      <alignment horizontal="center"/>
    </xf>
    <xf numFmtId="179" fontId="28" fillId="2" borderId="32" xfId="0" applyNumberFormat="1" applyFont="1" applyFill="1" applyBorder="1"/>
    <xf numFmtId="0" fontId="28" fillId="3" borderId="32" xfId="0" applyFont="1" applyFill="1" applyBorder="1" applyAlignment="1">
      <alignment horizontal="center"/>
    </xf>
    <xf numFmtId="0" fontId="28" fillId="11" borderId="32" xfId="0" applyFont="1" applyFill="1" applyBorder="1" applyAlignment="1">
      <alignment horizontal="center"/>
    </xf>
    <xf numFmtId="177" fontId="34" fillId="9" borderId="32" xfId="1" applyNumberFormat="1" applyFont="1" applyFill="1" applyBorder="1" applyAlignment="1">
      <alignment horizontal="center"/>
    </xf>
    <xf numFmtId="0" fontId="28" fillId="9" borderId="32" xfId="0" applyFont="1" applyFill="1" applyBorder="1" applyAlignment="1">
      <alignment horizontal="center"/>
    </xf>
    <xf numFmtId="0" fontId="28" fillId="11" borderId="32" xfId="0" applyFont="1" applyFill="1" applyBorder="1"/>
    <xf numFmtId="0" fontId="28" fillId="2" borderId="32" xfId="0" applyFont="1" applyFill="1" applyBorder="1" applyAlignment="1">
      <alignment horizontal="center"/>
    </xf>
    <xf numFmtId="178" fontId="0" fillId="2" borderId="32" xfId="0" applyNumberFormat="1" applyFill="1" applyBorder="1" applyAlignment="1">
      <alignment horizontal="center" vertical="center"/>
    </xf>
    <xf numFmtId="14" fontId="0" fillId="0" borderId="0" xfId="0" applyNumberFormat="1"/>
    <xf numFmtId="177" fontId="7" fillId="2" borderId="45" xfId="1" applyNumberFormat="1" applyFont="1" applyFill="1" applyBorder="1">
      <alignment vertical="center"/>
    </xf>
    <xf numFmtId="0" fontId="7" fillId="2" borderId="21" xfId="1" applyFont="1" applyFill="1" applyBorder="1">
      <alignment vertical="center"/>
    </xf>
    <xf numFmtId="0" fontId="13" fillId="2" borderId="20" xfId="1" applyFont="1" applyFill="1" applyBorder="1" applyAlignment="1">
      <alignment horizontal="left" vertical="center"/>
    </xf>
    <xf numFmtId="10" fontId="11" fillId="2" borderId="0" xfId="3" applyNumberFormat="1" applyFont="1" applyFill="1" applyBorder="1" applyAlignment="1">
      <alignment horizontal="center" vertical="center"/>
    </xf>
    <xf numFmtId="0" fontId="40" fillId="2" borderId="20" xfId="1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 wrapText="1"/>
    </xf>
    <xf numFmtId="177" fontId="23" fillId="2" borderId="32" xfId="0" applyNumberFormat="1" applyFont="1" applyFill="1" applyBorder="1" applyAlignment="1">
      <alignment horizontal="center"/>
    </xf>
    <xf numFmtId="177" fontId="23" fillId="2" borderId="20" xfId="0" applyNumberFormat="1" applyFont="1" applyFill="1" applyBorder="1" applyAlignment="1">
      <alignment horizontal="center"/>
    </xf>
    <xf numFmtId="177" fontId="23" fillId="2" borderId="20" xfId="0" applyNumberFormat="1" applyFont="1" applyFill="1" applyBorder="1" applyAlignment="1">
      <alignment horizontal="center" vertical="center"/>
    </xf>
    <xf numFmtId="177" fontId="7" fillId="2" borderId="28" xfId="1" applyNumberFormat="1" applyFont="1" applyFill="1" applyBorder="1" applyAlignment="1">
      <alignment horizontal="center" vertical="center"/>
    </xf>
    <xf numFmtId="0" fontId="8" fillId="7" borderId="28" xfId="1" applyFont="1" applyFill="1" applyBorder="1" applyAlignment="1">
      <alignment horizontal="center" vertical="center"/>
    </xf>
    <xf numFmtId="0" fontId="7" fillId="2" borderId="28" xfId="1" applyFont="1" applyFill="1" applyBorder="1">
      <alignment vertical="center"/>
    </xf>
    <xf numFmtId="0" fontId="15" fillId="2" borderId="28" xfId="1" applyFont="1" applyFill="1" applyBorder="1" applyAlignment="1">
      <alignment horizontal="center" vertical="center"/>
    </xf>
    <xf numFmtId="0" fontId="16" fillId="2" borderId="28" xfId="1" applyFont="1" applyFill="1" applyBorder="1" applyAlignment="1">
      <alignment horizontal="center" vertical="center"/>
    </xf>
    <xf numFmtId="0" fontId="13" fillId="2" borderId="28" xfId="1" applyFont="1" applyFill="1" applyBorder="1" applyAlignment="1">
      <alignment horizontal="center" vertical="center"/>
    </xf>
    <xf numFmtId="10" fontId="8" fillId="2" borderId="28" xfId="3" applyNumberFormat="1" applyFont="1" applyFill="1" applyBorder="1" applyAlignment="1">
      <alignment horizontal="center" vertical="center"/>
    </xf>
    <xf numFmtId="0" fontId="16" fillId="10" borderId="28" xfId="1" applyFont="1" applyFill="1" applyBorder="1" applyAlignment="1">
      <alignment horizontal="center" vertical="center"/>
    </xf>
    <xf numFmtId="0" fontId="36" fillId="2" borderId="28" xfId="1" applyFont="1" applyFill="1" applyBorder="1" applyAlignment="1">
      <alignment horizontal="center" vertical="center"/>
    </xf>
    <xf numFmtId="0" fontId="13" fillId="0" borderId="2" xfId="1" applyFont="1" applyBorder="1" applyAlignment="1">
      <alignment horizontal="center" vertical="center" wrapText="1"/>
    </xf>
    <xf numFmtId="0" fontId="13" fillId="0" borderId="4" xfId="1" applyFont="1" applyBorder="1" applyAlignment="1">
      <alignment horizontal="center" vertical="center" wrapText="1"/>
    </xf>
    <xf numFmtId="0" fontId="13" fillId="0" borderId="8" xfId="1" applyFont="1" applyBorder="1" applyAlignment="1">
      <alignment horizontal="center" vertical="center" wrapText="1"/>
    </xf>
    <xf numFmtId="17" fontId="7" fillId="3" borderId="8" xfId="1" applyNumberFormat="1" applyFont="1" applyFill="1" applyBorder="1" applyAlignment="1">
      <alignment horizontal="center" vertical="center" wrapText="1"/>
    </xf>
    <xf numFmtId="17" fontId="7" fillId="3" borderId="7" xfId="1" applyNumberFormat="1" applyFont="1" applyFill="1" applyBorder="1" applyAlignment="1">
      <alignment horizontal="center" vertical="center" wrapText="1"/>
    </xf>
    <xf numFmtId="17" fontId="7" fillId="3" borderId="9" xfId="1" applyNumberFormat="1" applyFont="1" applyFill="1" applyBorder="1" applyAlignment="1">
      <alignment horizontal="center" vertical="center" wrapText="1"/>
    </xf>
    <xf numFmtId="0" fontId="33" fillId="3" borderId="2" xfId="0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0" fontId="33" fillId="3" borderId="3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horizontal="center" vertical="center" wrapText="1"/>
    </xf>
    <xf numFmtId="0" fontId="33" fillId="3" borderId="1" xfId="0" applyFont="1" applyFill="1" applyBorder="1" applyAlignment="1">
      <alignment horizontal="center" vertical="center" wrapText="1"/>
    </xf>
    <xf numFmtId="0" fontId="33" fillId="3" borderId="3" xfId="0" applyFont="1" applyFill="1" applyBorder="1" applyAlignment="1">
      <alignment horizontal="center" vertical="center" wrapText="1"/>
    </xf>
    <xf numFmtId="176" fontId="14" fillId="2" borderId="2" xfId="1" applyNumberFormat="1" applyFont="1" applyFill="1" applyBorder="1" applyAlignment="1">
      <alignment horizontal="center" vertical="center" wrapText="1"/>
    </xf>
    <xf numFmtId="176" fontId="14" fillId="2" borderId="1" xfId="1" applyNumberFormat="1" applyFont="1" applyFill="1" applyBorder="1" applyAlignment="1">
      <alignment horizontal="center" vertical="center" wrapText="1"/>
    </xf>
    <xf numFmtId="176" fontId="14" fillId="2" borderId="3" xfId="1" applyNumberFormat="1" applyFont="1" applyFill="1" applyBorder="1" applyAlignment="1">
      <alignment horizontal="center" vertical="center" wrapText="1"/>
    </xf>
    <xf numFmtId="176" fontId="7" fillId="2" borderId="25" xfId="1" applyNumberFormat="1" applyFont="1" applyFill="1" applyBorder="1" applyAlignment="1">
      <alignment horizontal="center" vertical="center" wrapText="1"/>
    </xf>
    <xf numFmtId="176" fontId="7" fillId="2" borderId="19" xfId="1" applyNumberFormat="1" applyFont="1" applyFill="1" applyBorder="1" applyAlignment="1">
      <alignment horizontal="center" vertical="center" wrapText="1"/>
    </xf>
    <xf numFmtId="176" fontId="7" fillId="2" borderId="24" xfId="1" applyNumberFormat="1" applyFont="1" applyFill="1" applyBorder="1" applyAlignment="1">
      <alignment horizontal="center" vertical="center" wrapText="1"/>
    </xf>
    <xf numFmtId="17" fontId="7" fillId="2" borderId="8" xfId="1" applyNumberFormat="1" applyFont="1" applyFill="1" applyBorder="1" applyAlignment="1">
      <alignment horizontal="center" vertical="center" wrapText="1"/>
    </xf>
    <xf numFmtId="17" fontId="7" fillId="2" borderId="7" xfId="1" applyNumberFormat="1" applyFont="1" applyFill="1" applyBorder="1" applyAlignment="1">
      <alignment horizontal="center" vertical="center" wrapText="1"/>
    </xf>
    <xf numFmtId="17" fontId="7" fillId="2" borderId="9" xfId="1" applyNumberFormat="1" applyFont="1" applyFill="1" applyBorder="1" applyAlignment="1">
      <alignment horizontal="center" vertical="center" wrapText="1"/>
    </xf>
    <xf numFmtId="17" fontId="13" fillId="2" borderId="4" xfId="1" applyNumberFormat="1" applyFont="1" applyFill="1" applyBorder="1" applyAlignment="1">
      <alignment horizontal="center" vertical="center" wrapText="1"/>
    </xf>
    <xf numFmtId="17" fontId="13" fillId="2" borderId="0" xfId="1" applyNumberFormat="1" applyFont="1" applyFill="1" applyAlignment="1">
      <alignment horizontal="center" vertical="center" wrapText="1"/>
    </xf>
    <xf numFmtId="17" fontId="13" fillId="2" borderId="5" xfId="1" applyNumberFormat="1" applyFont="1" applyFill="1" applyBorder="1" applyAlignment="1">
      <alignment horizontal="center" vertical="center" wrapText="1"/>
    </xf>
    <xf numFmtId="0" fontId="34" fillId="9" borderId="2" xfId="1" applyFont="1" applyFill="1" applyBorder="1" applyAlignment="1">
      <alignment horizontal="center" vertical="center" wrapText="1"/>
    </xf>
    <xf numFmtId="0" fontId="34" fillId="9" borderId="8" xfId="1" applyFont="1" applyFill="1" applyBorder="1" applyAlignment="1">
      <alignment horizontal="center" vertical="center" wrapText="1"/>
    </xf>
    <xf numFmtId="176" fontId="7" fillId="13" borderId="25" xfId="1" applyNumberFormat="1" applyFont="1" applyFill="1" applyBorder="1" applyAlignment="1">
      <alignment horizontal="center" vertical="center" wrapText="1"/>
    </xf>
    <xf numFmtId="176" fontId="7" fillId="13" borderId="19" xfId="1" applyNumberFormat="1" applyFont="1" applyFill="1" applyBorder="1" applyAlignment="1">
      <alignment horizontal="center" vertical="center" wrapText="1"/>
    </xf>
    <xf numFmtId="176" fontId="7" fillId="13" borderId="24" xfId="1" applyNumberFormat="1" applyFont="1" applyFill="1" applyBorder="1" applyAlignment="1">
      <alignment horizontal="center" vertical="center" wrapText="1"/>
    </xf>
    <xf numFmtId="176" fontId="13" fillId="2" borderId="2" xfId="1" applyNumberFormat="1" applyFont="1" applyFill="1" applyBorder="1" applyAlignment="1">
      <alignment horizontal="center" vertical="center" wrapText="1"/>
    </xf>
    <xf numFmtId="176" fontId="13" fillId="2" borderId="1" xfId="1" applyNumberFormat="1" applyFont="1" applyFill="1" applyBorder="1" applyAlignment="1">
      <alignment horizontal="center" vertical="center" wrapText="1"/>
    </xf>
    <xf numFmtId="176" fontId="13" fillId="2" borderId="3" xfId="1" applyNumberFormat="1" applyFont="1" applyFill="1" applyBorder="1" applyAlignment="1">
      <alignment horizontal="center" vertical="center" wrapText="1"/>
    </xf>
    <xf numFmtId="0" fontId="15" fillId="0" borderId="25" xfId="1" applyFont="1" applyBorder="1" applyAlignment="1">
      <alignment horizontal="center" vertical="center" wrapText="1"/>
    </xf>
    <xf numFmtId="0" fontId="15" fillId="0" borderId="19" xfId="1" applyFont="1" applyBorder="1" applyAlignment="1">
      <alignment horizontal="center" vertical="center" wrapText="1"/>
    </xf>
    <xf numFmtId="0" fontId="15" fillId="0" borderId="24" xfId="1" applyFont="1" applyBorder="1" applyAlignment="1">
      <alignment horizontal="center" vertical="center" wrapText="1"/>
    </xf>
    <xf numFmtId="176" fontId="9" fillId="0" borderId="36" xfId="1" applyNumberFormat="1" applyFont="1" applyBorder="1" applyAlignment="1">
      <alignment horizontal="center" vertical="center" wrapText="1"/>
    </xf>
    <xf numFmtId="176" fontId="9" fillId="0" borderId="29" xfId="1" applyNumberFormat="1" applyFont="1" applyBorder="1" applyAlignment="1">
      <alignment horizontal="center" vertical="center" wrapText="1"/>
    </xf>
    <xf numFmtId="176" fontId="9" fillId="0" borderId="37" xfId="1" applyNumberFormat="1" applyFont="1" applyBorder="1" applyAlignment="1">
      <alignment horizontal="center" vertical="center" wrapText="1"/>
    </xf>
    <xf numFmtId="176" fontId="13" fillId="0" borderId="3" xfId="1" applyNumberFormat="1" applyFont="1" applyBorder="1" applyAlignment="1">
      <alignment horizontal="center" vertical="center" wrapText="1"/>
    </xf>
    <xf numFmtId="176" fontId="13" fillId="0" borderId="5" xfId="1" applyNumberFormat="1" applyFont="1" applyBorder="1" applyAlignment="1">
      <alignment horizontal="center" vertical="center" wrapText="1"/>
    </xf>
    <xf numFmtId="176" fontId="14" fillId="4" borderId="2" xfId="1" applyNumberFormat="1" applyFont="1" applyFill="1" applyBorder="1" applyAlignment="1">
      <alignment horizontal="center" vertical="center" wrapText="1"/>
    </xf>
    <xf numFmtId="176" fontId="14" fillId="4" borderId="3" xfId="1" applyNumberFormat="1" applyFont="1" applyFill="1" applyBorder="1" applyAlignment="1">
      <alignment horizontal="center" vertical="center" wrapText="1"/>
    </xf>
    <xf numFmtId="176" fontId="14" fillId="4" borderId="4" xfId="1" applyNumberFormat="1" applyFont="1" applyFill="1" applyBorder="1" applyAlignment="1">
      <alignment horizontal="center" vertical="center" wrapText="1"/>
    </xf>
    <xf numFmtId="176" fontId="14" fillId="4" borderId="5" xfId="1" applyNumberFormat="1" applyFont="1" applyFill="1" applyBorder="1" applyAlignment="1">
      <alignment horizontal="center" vertical="center" wrapText="1"/>
    </xf>
    <xf numFmtId="0" fontId="25" fillId="2" borderId="11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17" fontId="17" fillId="2" borderId="4" xfId="1" applyNumberFormat="1" applyFont="1" applyFill="1" applyBorder="1" applyAlignment="1">
      <alignment horizontal="center" vertical="center" wrapText="1"/>
    </xf>
    <xf numFmtId="17" fontId="17" fillId="2" borderId="0" xfId="1" applyNumberFormat="1" applyFont="1" applyFill="1" applyAlignment="1">
      <alignment horizontal="center" vertical="center" wrapText="1"/>
    </xf>
    <xf numFmtId="17" fontId="17" fillId="2" borderId="5" xfId="1" applyNumberFormat="1" applyFont="1" applyFill="1" applyBorder="1" applyAlignment="1">
      <alignment horizontal="center" vertical="center" wrapText="1"/>
    </xf>
    <xf numFmtId="0" fontId="13" fillId="0" borderId="25" xfId="1" applyFont="1" applyBorder="1" applyAlignment="1">
      <alignment horizontal="center" vertical="center" wrapText="1"/>
    </xf>
    <xf numFmtId="176" fontId="7" fillId="2" borderId="2" xfId="1" applyNumberFormat="1" applyFont="1" applyFill="1" applyBorder="1" applyAlignment="1">
      <alignment horizontal="center" vertical="center" wrapText="1"/>
    </xf>
    <xf numFmtId="176" fontId="7" fillId="2" borderId="1" xfId="1" applyNumberFormat="1" applyFont="1" applyFill="1" applyBorder="1" applyAlignment="1">
      <alignment horizontal="center" vertical="center" wrapText="1"/>
    </xf>
    <xf numFmtId="176" fontId="7" fillId="2" borderId="3" xfId="1" applyNumberFormat="1" applyFont="1" applyFill="1" applyBorder="1" applyAlignment="1">
      <alignment horizontal="center" vertical="center" wrapText="1"/>
    </xf>
    <xf numFmtId="0" fontId="33" fillId="3" borderId="2" xfId="2" applyFont="1" applyFill="1" applyBorder="1" applyAlignment="1">
      <alignment horizontal="center" vertical="center" wrapText="1"/>
    </xf>
    <xf numFmtId="0" fontId="33" fillId="3" borderId="1" xfId="2" applyFont="1" applyFill="1" applyBorder="1" applyAlignment="1">
      <alignment horizontal="center" vertical="center" wrapText="1"/>
    </xf>
    <xf numFmtId="0" fontId="33" fillId="3" borderId="3" xfId="2" applyFont="1" applyFill="1" applyBorder="1" applyAlignment="1">
      <alignment horizontal="center" vertical="center" wrapText="1"/>
    </xf>
    <xf numFmtId="17" fontId="7" fillId="3" borderId="4" xfId="1" applyNumberFormat="1" applyFont="1" applyFill="1" applyBorder="1" applyAlignment="1">
      <alignment horizontal="center" vertical="center" wrapText="1"/>
    </xf>
    <xf numFmtId="17" fontId="7" fillId="3" borderId="0" xfId="1" applyNumberFormat="1" applyFont="1" applyFill="1" applyAlignment="1">
      <alignment horizontal="center" vertical="center" wrapText="1"/>
    </xf>
    <xf numFmtId="17" fontId="7" fillId="3" borderId="5" xfId="1" applyNumberFormat="1" applyFont="1" applyFill="1" applyBorder="1" applyAlignment="1">
      <alignment horizontal="center" vertical="center" wrapText="1"/>
    </xf>
    <xf numFmtId="17" fontId="14" fillId="6" borderId="2" xfId="1" applyNumberFormat="1" applyFont="1" applyFill="1" applyBorder="1" applyAlignment="1">
      <alignment horizontal="center" vertical="center" wrapText="1"/>
    </xf>
    <xf numFmtId="17" fontId="14" fillId="6" borderId="1" xfId="1" applyNumberFormat="1" applyFont="1" applyFill="1" applyBorder="1" applyAlignment="1">
      <alignment horizontal="center" vertical="center" wrapText="1"/>
    </xf>
    <xf numFmtId="17" fontId="14" fillId="6" borderId="3" xfId="1" applyNumberFormat="1" applyFont="1" applyFill="1" applyBorder="1" applyAlignment="1">
      <alignment horizontal="center" vertical="center" wrapText="1"/>
    </xf>
    <xf numFmtId="17" fontId="14" fillId="6" borderId="8" xfId="1" applyNumberFormat="1" applyFont="1" applyFill="1" applyBorder="1" applyAlignment="1">
      <alignment horizontal="center" vertical="center" wrapText="1"/>
    </xf>
    <xf numFmtId="17" fontId="14" fillId="6" borderId="7" xfId="1" applyNumberFormat="1" applyFont="1" applyFill="1" applyBorder="1" applyAlignment="1">
      <alignment horizontal="center" vertical="center" wrapText="1"/>
    </xf>
    <xf numFmtId="17" fontId="14" fillId="6" borderId="9" xfId="1" applyNumberFormat="1" applyFont="1" applyFill="1" applyBorder="1" applyAlignment="1">
      <alignment horizontal="center" vertical="center" wrapText="1"/>
    </xf>
    <xf numFmtId="17" fontId="14" fillId="6" borderId="4" xfId="1" applyNumberFormat="1" applyFont="1" applyFill="1" applyBorder="1" applyAlignment="1">
      <alignment horizontal="center" vertical="center" wrapText="1"/>
    </xf>
    <xf numFmtId="17" fontId="14" fillId="6" borderId="0" xfId="1" applyNumberFormat="1" applyFont="1" applyFill="1" applyAlignment="1">
      <alignment horizontal="center" vertical="center" wrapText="1"/>
    </xf>
    <xf numFmtId="17" fontId="14" fillId="6" borderId="5" xfId="1" applyNumberFormat="1" applyFont="1" applyFill="1" applyBorder="1" applyAlignment="1">
      <alignment horizontal="center" vertical="center" wrapText="1"/>
    </xf>
    <xf numFmtId="17" fontId="14" fillId="2" borderId="4" xfId="1" applyNumberFormat="1" applyFont="1" applyFill="1" applyBorder="1" applyAlignment="1">
      <alignment horizontal="center" vertical="center" wrapText="1"/>
    </xf>
    <xf numFmtId="17" fontId="14" fillId="2" borderId="0" xfId="1" applyNumberFormat="1" applyFont="1" applyFill="1" applyAlignment="1">
      <alignment horizontal="center" vertical="center" wrapText="1"/>
    </xf>
    <xf numFmtId="17" fontId="14" fillId="2" borderId="5" xfId="1" applyNumberFormat="1" applyFont="1" applyFill="1" applyBorder="1" applyAlignment="1">
      <alignment horizontal="center" vertical="center" wrapText="1"/>
    </xf>
    <xf numFmtId="176" fontId="14" fillId="6" borderId="34" xfId="1" applyNumberFormat="1" applyFont="1" applyFill="1" applyBorder="1" applyAlignment="1">
      <alignment horizontal="center" vertical="center" wrapText="1"/>
    </xf>
    <xf numFmtId="176" fontId="14" fillId="6" borderId="30" xfId="1" applyNumberFormat="1" applyFont="1" applyFill="1" applyBorder="1" applyAlignment="1">
      <alignment horizontal="center" vertical="center" wrapText="1"/>
    </xf>
    <xf numFmtId="176" fontId="19" fillId="14" borderId="2" xfId="1" applyNumberFormat="1" applyFont="1" applyFill="1" applyBorder="1" applyAlignment="1">
      <alignment horizontal="center" vertical="center" wrapText="1"/>
    </xf>
    <xf numFmtId="176" fontId="19" fillId="14" borderId="1" xfId="1" applyNumberFormat="1" applyFont="1" applyFill="1" applyBorder="1" applyAlignment="1">
      <alignment horizontal="center" vertical="center" wrapText="1"/>
    </xf>
    <xf numFmtId="176" fontId="19" fillId="14" borderId="3" xfId="1" applyNumberFormat="1" applyFont="1" applyFill="1" applyBorder="1" applyAlignment="1">
      <alignment horizontal="center" vertical="center" wrapText="1"/>
    </xf>
    <xf numFmtId="176" fontId="14" fillId="0" borderId="1" xfId="1" applyNumberFormat="1" applyFont="1" applyBorder="1" applyAlignment="1">
      <alignment horizontal="center" vertical="center" wrapText="1"/>
    </xf>
    <xf numFmtId="176" fontId="14" fillId="0" borderId="0" xfId="1" applyNumberFormat="1" applyFont="1" applyAlignment="1">
      <alignment horizontal="center" vertical="center"/>
    </xf>
    <xf numFmtId="176" fontId="14" fillId="0" borderId="7" xfId="1" applyNumberFormat="1" applyFont="1" applyBorder="1" applyAlignment="1">
      <alignment horizontal="center" vertical="center"/>
    </xf>
    <xf numFmtId="176" fontId="12" fillId="0" borderId="25" xfId="1" applyNumberFormat="1" applyFont="1" applyBorder="1" applyAlignment="1">
      <alignment horizontal="center" vertical="center" wrapText="1"/>
    </xf>
    <xf numFmtId="176" fontId="12" fillId="0" borderId="19" xfId="1" applyNumberFormat="1" applyFont="1" applyBorder="1" applyAlignment="1">
      <alignment horizontal="center" vertical="center" wrapText="1"/>
    </xf>
    <xf numFmtId="17" fontId="14" fillId="6" borderId="25" xfId="1" applyNumberFormat="1" applyFont="1" applyFill="1" applyBorder="1" applyAlignment="1">
      <alignment horizontal="center" vertical="center" wrapText="1"/>
    </xf>
    <xf numFmtId="17" fontId="14" fillId="6" borderId="19" xfId="1" applyNumberFormat="1" applyFont="1" applyFill="1" applyBorder="1" applyAlignment="1">
      <alignment horizontal="center" vertical="center" wrapText="1"/>
    </xf>
    <xf numFmtId="17" fontId="14" fillId="6" borderId="24" xfId="1" applyNumberFormat="1" applyFont="1" applyFill="1" applyBorder="1" applyAlignment="1">
      <alignment horizontal="center" vertical="center" wrapText="1"/>
    </xf>
    <xf numFmtId="0" fontId="30" fillId="0" borderId="25" xfId="1" applyFont="1" applyBorder="1" applyAlignment="1">
      <alignment horizontal="center" vertical="center" wrapText="1"/>
    </xf>
    <xf numFmtId="0" fontId="30" fillId="0" borderId="24" xfId="1" applyFont="1" applyBorder="1" applyAlignment="1">
      <alignment horizontal="center" vertical="center" wrapText="1"/>
    </xf>
    <xf numFmtId="0" fontId="32" fillId="0" borderId="2" xfId="1" applyFont="1" applyBorder="1" applyAlignment="1">
      <alignment horizontal="center" vertical="center" wrapText="1"/>
    </xf>
    <xf numFmtId="0" fontId="32" fillId="0" borderId="8" xfId="1" applyFont="1" applyBorder="1" applyAlignment="1">
      <alignment horizontal="center" vertical="center" wrapText="1"/>
    </xf>
    <xf numFmtId="0" fontId="30" fillId="13" borderId="25" xfId="1" applyFont="1" applyFill="1" applyBorder="1" applyAlignment="1">
      <alignment horizontal="center" vertical="center" wrapText="1"/>
    </xf>
    <xf numFmtId="0" fontId="30" fillId="13" borderId="19" xfId="1" applyFont="1" applyFill="1" applyBorder="1" applyAlignment="1">
      <alignment horizontal="center" vertical="center" wrapText="1"/>
    </xf>
    <xf numFmtId="0" fontId="30" fillId="13" borderId="24" xfId="1" applyFont="1" applyFill="1" applyBorder="1" applyAlignment="1">
      <alignment horizontal="center" vertical="center" wrapText="1"/>
    </xf>
    <xf numFmtId="17" fontId="19" fillId="14" borderId="4" xfId="1" applyNumberFormat="1" applyFont="1" applyFill="1" applyBorder="1" applyAlignment="1">
      <alignment horizontal="center" vertical="center" wrapText="1"/>
    </xf>
    <xf numFmtId="17" fontId="19" fillId="14" borderId="0" xfId="1" applyNumberFormat="1" applyFont="1" applyFill="1" applyAlignment="1">
      <alignment horizontal="center" vertical="center" wrapText="1"/>
    </xf>
    <xf numFmtId="17" fontId="19" fillId="14" borderId="5" xfId="1" applyNumberFormat="1" applyFont="1" applyFill="1" applyBorder="1" applyAlignment="1">
      <alignment horizontal="center" vertical="center" wrapText="1"/>
    </xf>
    <xf numFmtId="17" fontId="19" fillId="2" borderId="4" xfId="1" applyNumberFormat="1" applyFont="1" applyFill="1" applyBorder="1" applyAlignment="1">
      <alignment horizontal="center" vertical="center" wrapText="1"/>
    </xf>
    <xf numFmtId="17" fontId="19" fillId="2" borderId="0" xfId="1" applyNumberFormat="1" applyFont="1" applyFill="1" applyAlignment="1">
      <alignment horizontal="center" vertical="center" wrapText="1"/>
    </xf>
    <xf numFmtId="17" fontId="19" fillId="2" borderId="5" xfId="1" applyNumberFormat="1" applyFont="1" applyFill="1" applyBorder="1" applyAlignment="1">
      <alignment horizontal="center" vertical="center" wrapText="1"/>
    </xf>
    <xf numFmtId="176" fontId="19" fillId="2" borderId="2" xfId="1" applyNumberFormat="1" applyFont="1" applyFill="1" applyBorder="1" applyAlignment="1">
      <alignment horizontal="center" vertical="center" wrapText="1"/>
    </xf>
    <xf numFmtId="176" fontId="19" fillId="2" borderId="1" xfId="1" applyNumberFormat="1" applyFont="1" applyFill="1" applyBorder="1" applyAlignment="1">
      <alignment horizontal="center" vertical="center" wrapText="1"/>
    </xf>
    <xf numFmtId="176" fontId="19" fillId="2" borderId="3" xfId="1" applyNumberFormat="1" applyFont="1" applyFill="1" applyBorder="1" applyAlignment="1">
      <alignment horizontal="center" vertical="center" wrapText="1"/>
    </xf>
    <xf numFmtId="0" fontId="19" fillId="5" borderId="2" xfId="1" applyFont="1" applyFill="1" applyBorder="1" applyAlignment="1">
      <alignment horizontal="center" vertical="center" wrapText="1"/>
    </xf>
    <xf numFmtId="0" fontId="19" fillId="5" borderId="1" xfId="1" applyFont="1" applyFill="1" applyBorder="1" applyAlignment="1">
      <alignment horizontal="center" vertical="center" wrapText="1"/>
    </xf>
    <xf numFmtId="0" fontId="19" fillId="5" borderId="3" xfId="1" applyFont="1" applyFill="1" applyBorder="1" applyAlignment="1">
      <alignment horizontal="center" vertical="center" wrapText="1"/>
    </xf>
    <xf numFmtId="0" fontId="19" fillId="5" borderId="4" xfId="1" applyFont="1" applyFill="1" applyBorder="1" applyAlignment="1">
      <alignment horizontal="center" vertical="center" wrapText="1"/>
    </xf>
    <xf numFmtId="0" fontId="19" fillId="5" borderId="0" xfId="1" applyFont="1" applyFill="1" applyAlignment="1">
      <alignment horizontal="center" vertical="center" wrapText="1"/>
    </xf>
    <xf numFmtId="0" fontId="19" fillId="5" borderId="5" xfId="1" applyFont="1" applyFill="1" applyBorder="1" applyAlignment="1">
      <alignment horizontal="center" vertical="center" wrapText="1"/>
    </xf>
    <xf numFmtId="0" fontId="32" fillId="9" borderId="2" xfId="1" applyFont="1" applyFill="1" applyBorder="1" applyAlignment="1">
      <alignment horizontal="center" vertical="center" wrapText="1"/>
    </xf>
    <xf numFmtId="0" fontId="32" fillId="9" borderId="8" xfId="1" applyFont="1" applyFill="1" applyBorder="1" applyAlignment="1">
      <alignment horizontal="center" vertical="center" wrapText="1"/>
    </xf>
  </cellXfs>
  <cellStyles count="6">
    <cellStyle name="一般" xfId="0" builtinId="0"/>
    <cellStyle name="一般 2" xfId="1" xr:uid="{00000000-0005-0000-0000-000001000000}"/>
    <cellStyle name="一般 2 2" xfId="4" xr:uid="{00000000-0005-0000-0000-000002000000}"/>
    <cellStyle name="一般 3" xfId="2" xr:uid="{00000000-0005-0000-0000-000003000000}"/>
    <cellStyle name="一般 4" xfId="5" xr:uid="{C1095E6F-46FE-4F1A-98ED-A58417C68E81}"/>
    <cellStyle name="百分比" xfId="3" builtinId="5"/>
  </cellStyles>
  <dxfs count="7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FF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新細明體"/>
        <family val="1"/>
        <charset val="136"/>
        <scheme val="minor"/>
      </font>
    </dxf>
    <dxf>
      <numFmt numFmtId="179" formatCode="m/d/yyyy"/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fgColor rgb="FFFF99CC"/>
          <bgColor rgb="FFFF6699"/>
        </patternFill>
      </fill>
    </dxf>
    <dxf>
      <fill>
        <patternFill>
          <bgColor rgb="FFFF6699"/>
        </patternFill>
      </fill>
    </dxf>
    <dxf>
      <fill>
        <patternFill>
          <bgColor theme="8" tint="0.79998168889431442"/>
        </patternFill>
      </fill>
    </dxf>
    <dxf>
      <font>
        <strike/>
      </font>
      <fill>
        <patternFill>
          <bgColor theme="1" tint="0.49998474074526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ont>
        <b/>
        <i val="0"/>
      </font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minor"/>
      </font>
      <numFmt numFmtId="179" formatCode="m/d/yyyy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medium">
          <color rgb="FF000000"/>
        </top>
        <bottom style="thin">
          <color rgb="FF000000"/>
        </bottom>
      </border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medium">
          <color rgb="FF000000"/>
        </top>
        <bottom style="thin">
          <color rgb="FF000000"/>
        </bottom>
      </border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medium">
          <color rgb="FF000000"/>
        </top>
        <bottom style="thin">
          <color rgb="FF000000"/>
        </bottom>
      </border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medium">
          <color rgb="FF000000"/>
        </top>
        <bottom style="thin">
          <color rgb="FF000000"/>
        </bottom>
      </border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medium">
          <color rgb="FF000000"/>
        </top>
        <bottom style="thin">
          <color rgb="FF000000"/>
        </bottom>
      </border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medium">
          <color rgb="FF000000"/>
        </top>
        <bottom style="thin">
          <color rgb="FF000000"/>
        </bottom>
      </border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medium">
          <color rgb="FF000000"/>
        </top>
        <bottom style="thin">
          <color rgb="FF000000"/>
        </bottom>
      </border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medium">
          <color rgb="FF000000"/>
        </top>
        <bottom style="thin">
          <color rgb="FF000000"/>
        </bottom>
      </border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medium">
          <color rgb="FF000000"/>
        </top>
        <bottom style="thin">
          <color rgb="FF000000"/>
        </bottom>
      </border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medium">
          <color rgb="FF000000"/>
        </top>
        <bottom style="thin">
          <color rgb="FF000000"/>
        </bottom>
      </border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0" formatCode="General"/>
      <fill>
        <patternFill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rgb="FF000000"/>
          <bgColor rgb="FFFFFFFF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name val="微軟正黑體"/>
        <family val="2"/>
        <charset val="136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0" formatCode="General"/>
      <fill>
        <patternFill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rgb="FF000000"/>
          <bgColor rgb="FFFFFFFF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name val="微軟正黑體"/>
        <family val="2"/>
        <charset val="136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微軟正黑體"/>
        <family val="2"/>
        <charset val="136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1"/>
        </bottom>
      </border>
    </dxf>
    <dxf>
      <font>
        <b val="0"/>
        <family val="1"/>
        <charset val="136"/>
      </font>
      <numFmt numFmtId="178" formatCode="m&quot;月&quot;d&quot;日&quot;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right style="thin">
          <color auto="1"/>
        </right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新細明體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4"/>
      </font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新細明體"/>
        <family val="2"/>
        <scheme val="minor"/>
      </font>
      <numFmt numFmtId="177" formatCode="m&quot;月&quot;d&quot;日&quot;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9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新細明體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0" formatCode="General"/>
      <fill>
        <patternFill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微軟正黑體"/>
        <family val="2"/>
        <charset val="136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family val="2"/>
        <charset val="136"/>
        <scheme val="none"/>
      </font>
      <numFmt numFmtId="177" formatCode="m&quot;月&quot;d&quot;日&quot;;@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微軟正黑體"/>
        <family val="2"/>
        <charset val="136"/>
        <scheme val="none"/>
      </font>
      <fill>
        <patternFill patternType="solid">
          <fgColor rgb="FF000000"/>
          <bgColor rgb="FFFFFFFF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name val="微軟正黑體"/>
        <family val="2"/>
        <charset val="136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699"/>
      <color rgb="FFFF7C80"/>
      <color rgb="FFFF9999"/>
      <color rgb="FFFF99CC"/>
      <color rgb="FFFF66CC"/>
      <color rgb="FFFF00FF"/>
      <color rgb="FFBF06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1</xdr:rowOff>
    </xdr:to>
    <xdr:sp macro="[0]!匯入" textlink="">
      <xdr:nvSpPr>
        <xdr:cNvPr id="2" name="矩形 1">
          <a:extLst>
            <a:ext uri="{FF2B5EF4-FFF2-40B4-BE49-F238E27FC236}">
              <a16:creationId xmlns:a16="http://schemas.microsoft.com/office/drawing/2014/main" id="{7CCCB3FA-2BB9-CA55-7618-1B100576E5F8}"/>
            </a:ext>
          </a:extLst>
        </xdr:cNvPr>
        <xdr:cNvSpPr/>
      </xdr:nvSpPr>
      <xdr:spPr>
        <a:xfrm>
          <a:off x="3771900" y="200025"/>
          <a:ext cx="1038225" cy="4000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匯入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34290</xdr:rowOff>
    </xdr:from>
    <xdr:to>
      <xdr:col>4</xdr:col>
      <xdr:colOff>887730</xdr:colOff>
      <xdr:row>587</xdr:row>
      <xdr:rowOff>34290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製程料號">
              <a:extLst>
                <a:ext uri="{FF2B5EF4-FFF2-40B4-BE49-F238E27FC236}">
                  <a16:creationId xmlns:a16="http://schemas.microsoft.com/office/drawing/2014/main" id="{D5D1810F-84B6-4D9F-B211-327B983F46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製程料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8575"/>
              <a:ext cx="2276474" cy="7191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此圖形代表表格交叉分析篩選器。此版本的 Excel 不支援表格交叉分析篩選器。
如果圖形在舊版 Excel 中修改，或如果活頁簿在 Excel 2007 或較舊版本中儲存，則無法使用交叉分析篩選器。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19050</xdr:colOff>
      <xdr:row>0</xdr:row>
      <xdr:rowOff>38101</xdr:rowOff>
    </xdr:from>
    <xdr:to>
      <xdr:col>13</xdr:col>
      <xdr:colOff>1236345</xdr:colOff>
      <xdr:row>5</xdr:row>
      <xdr:rowOff>148590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料號">
              <a:extLst>
                <a:ext uri="{FF2B5EF4-FFF2-40B4-BE49-F238E27FC236}">
                  <a16:creationId xmlns:a16="http://schemas.microsoft.com/office/drawing/2014/main" id="{94A574BD-00C8-4D33-B57A-E3296E3BEB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料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0774" y="38101"/>
              <a:ext cx="5762626" cy="1095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此圖形代表表格交叉分析篩選器。此版本的 Excel 不支援表格交叉分析篩選器。
如果圖形在舊版 Excel 中修改，或如果活頁簿在 Excel 2007 或較舊版本中儲存，則無法使用交叉分析篩選器。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902796</xdr:colOff>
      <xdr:row>0</xdr:row>
      <xdr:rowOff>129539</xdr:rowOff>
    </xdr:from>
    <xdr:to>
      <xdr:col>20</xdr:col>
      <xdr:colOff>127635</xdr:colOff>
      <xdr:row>587</xdr:row>
      <xdr:rowOff>60959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製程">
              <a:extLst>
                <a:ext uri="{FF2B5EF4-FFF2-40B4-BE49-F238E27FC236}">
                  <a16:creationId xmlns:a16="http://schemas.microsoft.com/office/drawing/2014/main" id="{A0A2B926-C72E-4303-91AF-DEBAA33DA7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製程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73541" y="129539"/>
              <a:ext cx="975534" cy="6789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此圖形代表表格交叉分析篩選器。此版本的 Excel 不支援表格交叉分析篩選器。
如果圖形在舊版 Excel 中修改，或如果活頁簿在 Excel 2007 或較舊版本中儲存，則無法使用交叉分析篩選器。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243840</xdr:colOff>
      <xdr:row>0</xdr:row>
      <xdr:rowOff>95250</xdr:rowOff>
    </xdr:from>
    <xdr:to>
      <xdr:col>24</xdr:col>
      <xdr:colOff>668134</xdr:colOff>
      <xdr:row>587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日期">
              <a:extLst>
                <a:ext uri="{FF2B5EF4-FFF2-40B4-BE49-F238E27FC236}">
                  <a16:creationId xmlns:a16="http://schemas.microsoft.com/office/drawing/2014/main" id="{1A06E6D6-55FA-43A6-98CB-A9F4700B01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日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60655" y="95250"/>
              <a:ext cx="3510394" cy="71113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此圖形代表表格交叉分析篩選器。此版本的 Excel 不支援表格交叉分析篩選器。
如果圖形在舊版 Excel 中修改，或如果活頁簿在 Excel 2007 或較舊版本中儲存，則無法使用交叉分析篩選器。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backgroundRefresh="0" connectionId="24" xr16:uid="{F4BA4E64-3C8A-480A-87F8-DC891E6CCEAB}" autoFormatId="16" applyNumberFormats="0" applyBorderFormats="0" applyFontFormats="0" applyPatternFormats="0" applyAlignmentFormats="0" applyWidthHeightFormats="0">
  <queryTableRefresh nextId="10" unboundColumnsRight="5">
    <queryTableFields count="8">
      <queryTableField id="1" name="來料日期" tableColumnId="1"/>
      <queryTableField id="2" name="製令單號" tableColumnId="2"/>
      <queryTableField id="3" name="入料數" tableColumnId="3"/>
      <queryTableField id="8" dataBound="0" tableColumnId="8"/>
      <queryTableField id="5" dataBound="0" tableColumnId="5"/>
      <queryTableField id="6" dataBound="0" tableColumnId="6"/>
      <queryTableField id="7" dataBound="0" tableColumnId="7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backgroundRefresh="0" connectionId="28" xr16:uid="{C1FD0C95-CF6C-4DE3-9B3E-5630C222AE9A}" autoFormatId="16" applyNumberFormats="0" applyBorderFormats="0" applyFontFormats="0" applyPatternFormats="0" applyAlignmentFormats="0" applyWidthHeightFormats="0">
  <queryTableRefresh nextId="28" unboundColumnsRight="2">
    <queryTableFields count="14">
      <queryTableField id="11" name="製程料號" tableColumnId="9"/>
      <queryTableField id="2" name="ProcessSN" tableColumnId="2"/>
      <queryTableField id="9" dataBound="0" tableColumnId="7"/>
      <queryTableField id="10" dataBound="0" tableColumnId="8"/>
      <queryTableField id="3" name="Process" tableColumnId="3"/>
      <queryTableField id="12" name="日期" tableColumnId="10"/>
      <queryTableField id="13" name="OK" tableColumnId="11"/>
      <queryTableField id="14" name="NG" tableColumnId="12"/>
      <queryTableField id="23" dataBound="0" tableColumnId="6"/>
      <queryTableField id="19" name="Memo" tableColumnId="1"/>
      <queryTableField id="20" name="employeeID" tableColumnId="4"/>
      <queryTableField id="26" name="PCUSTID" tableColumnId="15"/>
      <queryTableField id="27" dataBound="0" tableColumnId="13"/>
      <queryTableField id="22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" backgroundRefresh="0" connectionId="26" xr16:uid="{745C0B76-977D-49E0-B423-74E64DB942D1}" autoFormatId="16" applyNumberFormats="0" applyBorderFormats="0" applyFontFormats="0" applyPatternFormats="0" applyAlignmentFormats="0" applyWidthHeightFormats="0">
  <queryTableRefresh nextId="3">
    <queryTableFields count="2">
      <queryTableField id="1" name="employeeID" tableColumnId="1"/>
      <queryTableField id="2" name="employeeNam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" backgroundRefresh="0" connectionId="27" xr16:uid="{1FBCA411-D42C-4F0F-8671-FE72B7A8A3D0}" autoFormatId="16" applyNumberFormats="0" applyBorderFormats="0" applyFontFormats="0" applyPatternFormats="0" applyAlignmentFormats="0" applyWidthHeightFormats="0">
  <queryTableRefresh nextId="4">
    <queryTableFields count="3">
      <queryTableField id="1" name="PCUSTID" tableColumnId="1"/>
      <queryTableField id="3" dataBound="0" tableColumnId="3"/>
      <queryTableField id="2" name="Nam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23" xr16:uid="{57CD5421-84B9-4A5E-882E-049517738AD0}" autoFormatId="16" applyNumberFormats="0" applyBorderFormats="0" applyFontFormats="0" applyPatternFormats="0" applyAlignmentFormats="0" applyWidthHeightFormats="0">
  <queryTableRefresh nextId="55" unboundColumnsRight="28">
    <queryTableFields count="32">
      <queryTableField id="1" name="來料日期" tableColumnId="1"/>
      <queryTableField id="2" name="製令單號" tableColumnId="2"/>
      <queryTableField id="3" name="料號" tableColumnId="3"/>
      <queryTableField id="20" name="入料數" tableColumnId="20"/>
      <queryTableField id="7" dataBound="0" tableColumnId="7"/>
      <queryTableField id="8" dataBound="0" tableColumnId="8"/>
      <queryTableField id="9" dataBound="0" tableColumnId="9"/>
      <queryTableField id="24" dataBound="0" tableColumnId="6"/>
      <queryTableField id="23" dataBound="0" tableColumnId="5"/>
      <queryTableField id="10" dataBound="0" tableColumnId="10"/>
      <queryTableField id="11" dataBound="0" tableColumnId="11"/>
      <queryTableField id="12" dataBound="0" tableColumnId="12"/>
      <queryTableField id="54" dataBound="0" tableColumnId="32"/>
      <queryTableField id="53" dataBound="0" tableColumnId="31"/>
      <queryTableField id="52" dataBound="0" tableColumnId="29"/>
      <queryTableField id="51" dataBound="0" tableColumnId="28"/>
      <queryTableField id="50" dataBound="0" tableColumnId="27"/>
      <queryTableField id="49" dataBound="0" tableColumnId="26"/>
      <queryTableField id="48" dataBound="0" tableColumnId="25"/>
      <queryTableField id="47" dataBound="0" tableColumnId="24"/>
      <queryTableField id="46" dataBound="0" tableColumnId="23"/>
      <queryTableField id="45" dataBound="0" tableColumnId="22"/>
      <queryTableField id="44" dataBound="0" tableColumnId="21"/>
      <queryTableField id="43" dataBound="0" tableColumnId="17"/>
      <queryTableField id="42" dataBound="0" tableColumnId="16"/>
      <queryTableField id="41" dataBound="0" tableColumnId="15"/>
      <queryTableField id="40" dataBound="0" tableColumnId="14"/>
      <queryTableField id="18" dataBound="0" tableColumnId="18"/>
      <queryTableField id="39" dataBound="0" tableColumnId="13"/>
      <queryTableField id="19" dataBound="0" tableColumnId="19"/>
      <queryTableField id="36" dataBound="0" tableColumnId="4"/>
      <queryTableField id="37" dataBound="0" tableColumnId="30"/>
    </queryTableFields>
    <queryTableDeletedFields count="1">
      <deletedField name="入料數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" backgroundRefresh="0" connectionId="1" xr16:uid="{F6748EB6-4034-415B-907E-4214B788F6B7}" autoFormatId="16" applyNumberFormats="0" applyBorderFormats="0" applyFontFormats="0" applyPatternFormats="0" applyAlignmentFormats="0" applyWidthHeightFormats="0">
  <queryTableRefresh nextId="2">
    <queryTableFields count="1">
      <queryTableField id="1" name="製令單號" tableColumnId="1"/>
    </queryTableFields>
  </queryTableRefresh>
  <extLst>
    <ext xmlns:x15="http://schemas.microsoft.com/office/spreadsheetml/2010/11/main" uri="{883FBD77-0823-4a55-B5E3-86C4891E6966}">
      <x15:queryTable sourceDataName=" 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" backgroundRefresh="0" connectionId="2" xr16:uid="{31B07721-4A4F-44D4-A162-52FA7FCDD156}" autoFormatId="16" applyNumberFormats="0" applyBorderFormats="0" applyFontFormats="0" applyPatternFormats="0" applyAlignmentFormats="0" applyWidthHeightFormats="0">
  <queryTableRefresh nextId="2">
    <queryTableFields count="1">
      <queryTableField id="1" name="製令單號" tableColumnId="1"/>
    </queryTableFields>
  </queryTableRefresh>
  <extLst>
    <ext xmlns:x15="http://schemas.microsoft.com/office/spreadsheetml/2010/11/main" uri="{883FBD77-0823-4a55-B5E3-86C4891E6966}">
      <x15:queryTable sourceDataName=" "/>
    </ext>
  </extLst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" backgroundRefresh="0" connectionId="3" xr16:uid="{21CB5260-7047-4E96-AD63-A4596B15FDFF}" autoFormatId="16" applyNumberFormats="0" applyBorderFormats="0" applyFontFormats="0" applyPatternFormats="0" applyAlignmentFormats="0" applyWidthHeightFormats="0">
  <queryTableRefresh nextId="2">
    <queryTableFields count="1">
      <queryTableField id="1" name="製令單號" tableColumnId="1"/>
    </queryTableFields>
  </queryTableRefresh>
  <extLst>
    <ext xmlns:x15="http://schemas.microsoft.com/office/spreadsheetml/2010/11/main" uri="{883FBD77-0823-4a55-B5E3-86C4891E6966}">
      <x15:queryTable sourceDataName="查詢 - 018-XXX可分料製令(1)"/>
    </ext>
  </extLst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10" xr16:uid="{3F36A36F-B368-46A7-B4EF-680B94A9CD58}" autoFormatId="16" applyNumberFormats="0" applyBorderFormats="0" applyFontFormats="0" applyPatternFormats="0" applyAlignmentFormats="0" applyWidthHeightFormats="0">
  <queryTableRefresh nextId="57" unboundColumnsRight="26">
    <queryTableFields count="30">
      <queryTableField id="1" name="來料日期" tableColumnId="1"/>
      <queryTableField id="2" name="製令單號" tableColumnId="2"/>
      <queryTableField id="3" name="料號" tableColumnId="3"/>
      <queryTableField id="20" name="入料數" tableColumnId="20"/>
      <queryTableField id="24" dataBound="0" tableColumnId="6"/>
      <queryTableField id="23" dataBound="0" tableColumnId="5"/>
      <queryTableField id="10" dataBound="0" tableColumnId="10"/>
      <queryTableField id="11" dataBound="0" tableColumnId="11"/>
      <queryTableField id="12" dataBound="0" tableColumnId="12"/>
      <queryTableField id="48" dataBound="0" tableColumnId="25"/>
      <queryTableField id="47" dataBound="0" tableColumnId="24"/>
      <queryTableField id="46" dataBound="0" tableColumnId="23"/>
      <queryTableField id="45" dataBound="0" tableColumnId="22"/>
      <queryTableField id="44" dataBound="0" tableColumnId="21"/>
      <queryTableField id="43" dataBound="0" tableColumnId="17"/>
      <queryTableField id="42" dataBound="0" tableColumnId="16"/>
      <queryTableField id="41" dataBound="0" tableColumnId="15"/>
      <queryTableField id="40" dataBound="0" tableColumnId="14"/>
      <queryTableField id="54" dataBound="0" tableColumnId="9"/>
      <queryTableField id="53" dataBound="0" tableColumnId="8"/>
      <queryTableField id="52" dataBound="0" tableColumnId="7"/>
      <queryTableField id="51" dataBound="0" tableColumnId="28"/>
      <queryTableField id="50" dataBound="0" tableColumnId="27"/>
      <queryTableField id="49" dataBound="0" tableColumnId="26"/>
      <queryTableField id="18" dataBound="0" tableColumnId="18"/>
      <queryTableField id="39" dataBound="0" tableColumnId="13"/>
      <queryTableField id="19" dataBound="0" tableColumnId="19"/>
      <queryTableField id="56" dataBound="0" tableColumnId="29"/>
      <queryTableField id="36" dataBound="0" tableColumnId="4"/>
      <queryTableField id="37" dataBound="0" tableColumnId="30"/>
    </queryTableFields>
    <queryTableDeletedFields count="1">
      <deletedField name="入料數"/>
    </queryTableDeleted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" backgroundRefresh="0" connectionId="11" xr16:uid="{3E3EED91-90ED-444E-94A8-2D20B2EF9206}" autoFormatId="16" applyNumberFormats="0" applyBorderFormats="0" applyFontFormats="0" applyPatternFormats="0" applyAlignmentFormats="0" applyWidthHeightFormats="0">
  <queryTableRefresh nextId="2">
    <queryTableFields count="1">
      <queryTableField id="1" name="製令單號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16" xr16:uid="{35617488-B26A-416F-94CD-F7597719E4BA}" autoFormatId="16" applyNumberFormats="0" applyBorderFormats="0" applyFontFormats="0" applyPatternFormats="0" applyAlignmentFormats="0" applyWidthHeightFormats="0">
  <queryTableRefresh nextId="57" unboundColumnsRight="26">
    <queryTableFields count="30">
      <queryTableField id="1" name="來料日期" tableColumnId="1"/>
      <queryTableField id="2" name="製令單號" tableColumnId="2"/>
      <queryTableField id="3" name="料號" tableColumnId="3"/>
      <queryTableField id="20" name="入料數" tableColumnId="20"/>
      <queryTableField id="24" dataBound="0" tableColumnId="6"/>
      <queryTableField id="23" dataBound="0" tableColumnId="5"/>
      <queryTableField id="10" dataBound="0" tableColumnId="10"/>
      <queryTableField id="11" dataBound="0" tableColumnId="11"/>
      <queryTableField id="12" dataBound="0" tableColumnId="12"/>
      <queryTableField id="48" dataBound="0" tableColumnId="25"/>
      <queryTableField id="47" dataBound="0" tableColumnId="24"/>
      <queryTableField id="46" dataBound="0" tableColumnId="23"/>
      <queryTableField id="45" dataBound="0" tableColumnId="22"/>
      <queryTableField id="44" dataBound="0" tableColumnId="21"/>
      <queryTableField id="43" dataBound="0" tableColumnId="17"/>
      <queryTableField id="42" dataBound="0" tableColumnId="16"/>
      <queryTableField id="41" dataBound="0" tableColumnId="15"/>
      <queryTableField id="40" dataBound="0" tableColumnId="14"/>
      <queryTableField id="54" dataBound="0" tableColumnId="9"/>
      <queryTableField id="53" dataBound="0" tableColumnId="8"/>
      <queryTableField id="52" dataBound="0" tableColumnId="7"/>
      <queryTableField id="51" dataBound="0" tableColumnId="28"/>
      <queryTableField id="50" dataBound="0" tableColumnId="27"/>
      <queryTableField id="49" dataBound="0" tableColumnId="26"/>
      <queryTableField id="18" dataBound="0" tableColumnId="18"/>
      <queryTableField id="39" dataBound="0" tableColumnId="13"/>
      <queryTableField id="19" dataBound="0" tableColumnId="19"/>
      <queryTableField id="56" dataBound="0" tableColumnId="29"/>
      <queryTableField id="36" dataBound="0" tableColumnId="4"/>
      <queryTableField id="37" dataBound="0" tableColumnId="30"/>
    </queryTableFields>
    <queryTableDeletedFields count="1">
      <deletedField name="入料數"/>
    </queryTableDeleted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" backgroundRefresh="0" connectionId="17" xr16:uid="{13FC2EFE-9527-4DF5-BB6D-BF00631BF1E1}" autoFormatId="16" applyNumberFormats="0" applyBorderFormats="0" applyFontFormats="0" applyPatternFormats="0" applyAlignmentFormats="0" applyWidthHeightFormats="0">
  <queryTableRefresh nextId="2">
    <queryTableFields count="1">
      <queryTableField id="1" name="製令單號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21" xr16:uid="{96C4B2C3-4F54-41AA-90C4-D370965AAB2F}" autoFormatId="16" applyNumberFormats="0" applyBorderFormats="0" applyFontFormats="0" applyPatternFormats="0" applyAlignmentFormats="0" applyWidthHeightFormats="0">
  <queryTableRefresh nextId="57" unboundColumnsRight="26">
    <queryTableFields count="30">
      <queryTableField id="1" name="來料日期" tableColumnId="1"/>
      <queryTableField id="2" name="製令單號" tableColumnId="2"/>
      <queryTableField id="3" name="料號" tableColumnId="3"/>
      <queryTableField id="20" name="入料數" tableColumnId="20"/>
      <queryTableField id="24" dataBound="0" tableColumnId="6"/>
      <queryTableField id="23" dataBound="0" tableColumnId="5"/>
      <queryTableField id="10" dataBound="0" tableColumnId="10"/>
      <queryTableField id="11" dataBound="0" tableColumnId="11"/>
      <queryTableField id="12" dataBound="0" tableColumnId="12"/>
      <queryTableField id="48" dataBound="0" tableColumnId="25"/>
      <queryTableField id="47" dataBound="0" tableColumnId="24"/>
      <queryTableField id="46" dataBound="0" tableColumnId="23"/>
      <queryTableField id="45" dataBound="0" tableColumnId="22"/>
      <queryTableField id="44" dataBound="0" tableColumnId="21"/>
      <queryTableField id="43" dataBound="0" tableColumnId="17"/>
      <queryTableField id="42" dataBound="0" tableColumnId="16"/>
      <queryTableField id="41" dataBound="0" tableColumnId="15"/>
      <queryTableField id="40" dataBound="0" tableColumnId="14"/>
      <queryTableField id="54" dataBound="0" tableColumnId="9"/>
      <queryTableField id="53" dataBound="0" tableColumnId="8"/>
      <queryTableField id="52" dataBound="0" tableColumnId="7"/>
      <queryTableField id="51" dataBound="0" tableColumnId="28"/>
      <queryTableField id="50" dataBound="0" tableColumnId="27"/>
      <queryTableField id="49" dataBound="0" tableColumnId="26"/>
      <queryTableField id="18" dataBound="0" tableColumnId="18"/>
      <queryTableField id="39" dataBound="0" tableColumnId="13"/>
      <queryTableField id="19" dataBound="0" tableColumnId="19"/>
      <queryTableField id="56" dataBound="0" tableColumnId="29"/>
      <queryTableField id="36" dataBound="0" tableColumnId="4"/>
      <queryTableField id="37" dataBound="0" tableColumnId="30"/>
    </queryTableFields>
    <queryTableDeletedFields count="1">
      <deletedField name="入料數"/>
    </queryTableDeleted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" backgroundRefresh="0" connectionId="22" xr16:uid="{3B3EE0EF-179D-40A5-A41C-BD0896AB0BE6}" autoFormatId="16" applyNumberFormats="0" applyBorderFormats="0" applyFontFormats="0" applyPatternFormats="0" applyAlignmentFormats="0" applyWidthHeightFormats="0">
  <queryTableRefresh nextId="2">
    <queryTableFields count="1">
      <queryTableField id="1" name="製令單號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5" xr16:uid="{1D3096A5-C8EC-430B-B6C4-19BF00DDD107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6" xr16:uid="{DBEFE817-329B-486F-92D3-F7C91E5D6780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7" xr16:uid="{C5F22F5D-3B73-4CA4-BF23-C868C1DF712F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8" xr16:uid="{96D1B2FD-EEE1-492D-93E7-72E8F66BE3AD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9" xr16:uid="{5C321FD1-1894-4208-8FE3-A84E52424C96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12" xr16:uid="{709BE2A7-9708-41CA-A2CB-A9D9C924C417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13" xr16:uid="{B2E739FA-C064-4733-9327-6B49F012BCB8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14" xr16:uid="{35A0CCCA-C151-493E-B2AA-FA00E89997B3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15" xr16:uid="{23B528EC-0F99-4E75-82B9-5030B33DD2D3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18" xr16:uid="{F5B8950D-C2FE-44A8-82AF-0D5C319D6EF2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19" xr16:uid="{21B56B8E-EE36-48B7-8902-A13093B60549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backgroundRefresh="0" connectionId="20" xr16:uid="{FAE64BEE-3930-413F-AF35-88525929CC1C}" autoFormatId="16" applyNumberFormats="0" applyBorderFormats="0" applyFontFormats="0" applyPatternFormats="0" applyAlignmentFormats="0" applyWidthHeightFormats="0">
  <queryTableRefresh nextId="52" unboundColumnsRight="23">
    <queryTableFields count="27">
      <queryTableField id="1" name="來料日期" tableColumnId="1"/>
      <queryTableField id="2" name="製令單號" tableColumnId="2"/>
      <queryTableField id="3" name="料號" tableColumnId="3"/>
      <queryTableField id="4" name="入料數" tableColumnId="4"/>
      <queryTableField id="23" dataBound="0" tableColumnId="23"/>
      <queryTableField id="24" dataBound="0" tableColumnId="24"/>
      <queryTableField id="47" dataBound="0" tableColumnId="5"/>
      <queryTableField id="25" dataBound="0" tableColumnId="25"/>
      <queryTableField id="26" dataBound="0" tableColumnId="26"/>
      <queryTableField id="27" dataBound="0" tableColumnId="27"/>
      <queryTableField id="49" dataBound="0" tableColumnId="7"/>
      <queryTableField id="28" dataBound="0" tableColumnId="28"/>
      <queryTableField id="29" dataBound="0" tableColumnId="29"/>
      <queryTableField id="30" dataBound="0" tableColumnId="30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8" dataBound="0" tableColumnId="6"/>
      <queryTableField id="43" dataBound="0" tableColumnId="43"/>
      <queryTableField id="51" dataBound="0" tableColumnId="8"/>
      <queryTableField id="44" dataBound="0" tableColumnId="44"/>
      <queryTableField id="45" dataBound="0" tableColumnId="45"/>
      <queryTableField id="46" dataBound="0" tableColumnId="4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製程料號" xr10:uid="{F22F69ED-9B79-4019-897E-7E6B26F875B2}" sourceName="製程料號">
  <extLst>
    <x:ext xmlns:x15="http://schemas.microsoft.com/office/spreadsheetml/2010/11/main" uri="{2F2917AC-EB37-4324-AD4E-5DD8C200BD13}">
      <x15:tableSlicerCache tableId="4" column="9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料號" xr10:uid="{4A9B8650-488D-4518-98FE-9E3D6D4BB355}" sourceName="料號">
  <extLst>
    <x:ext xmlns:x15="http://schemas.microsoft.com/office/spreadsheetml/2010/11/main" uri="{2F2917AC-EB37-4324-AD4E-5DD8C200BD13}">
      <x15:tableSlicerCache tableId="4" column="7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製程" xr10:uid="{31813276-6CF1-4C98-B924-B126D6EBB9D3}" sourceName="製程">
  <extLst>
    <x:ext xmlns:x15="http://schemas.microsoft.com/office/spreadsheetml/2010/11/main" uri="{2F2917AC-EB37-4324-AD4E-5DD8C200BD13}">
      <x15:tableSlicerCache tableId="4" column="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日期" xr10:uid="{A2751C8B-49C7-4450-B20C-90560A9FD2FB}" sourceName="日期">
  <extLst>
    <x:ext xmlns:x15="http://schemas.microsoft.com/office/spreadsheetml/2010/11/main" uri="{2F2917AC-EB37-4324-AD4E-5DD8C200BD13}">
      <x15:tableSlicerCache tableId="4" column="1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製程料號" xr10:uid="{FCD7E57C-BB1D-4E0C-A22D-D27C0C1185CA}" cache="Slicer_製程料號" caption="製程料號" startItem="354" columnCount="2" rowHeight="209550"/>
  <slicer name="料號" xr10:uid="{EEE6316C-73D9-4D4D-81E9-17A3965DABD0}" cache="Slicer_料號" caption="料號" columnCount="3" rowHeight="209550"/>
  <slicer name="製程" xr10:uid="{859E4DF8-C33E-498A-9A5A-EA4A23BBDF36}" cache="Slicer_製程" caption="製程" rowHeight="209550"/>
  <slicer name="日期" xr10:uid="{7CD872E4-7EB8-4B98-840B-260C1FDB26A1}" cache="Slicer_日期" caption="日期" columnCount="5" rowHeight="20955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E370AA-4EEA-45B1-B46D-492BDB2ECF0F}" name="表格1" displayName="表格1" ref="A5:G17" totalsRowShown="0" headerRowDxfId="748" dataDxfId="746" headerRowBorderDxfId="747">
  <autoFilter ref="A5:G17" xr:uid="{1BC4CFFD-9C24-40C0-937A-4C020D09C62E}"/>
  <sortState xmlns:xlrd2="http://schemas.microsoft.com/office/spreadsheetml/2017/richdata2" ref="A6:G7">
    <sortCondition ref="A5:A7"/>
  </sortState>
  <tableColumns count="7">
    <tableColumn id="1" xr3:uid="{D1F80A8F-C641-4222-8D91-EA3261FFD036}" name="採購單號" dataDxfId="745"/>
    <tableColumn id="2" xr3:uid="{3D1F8319-9A41-4E08-A9AC-291F28163DC3}" name="數量" dataDxfId="744"/>
    <tableColumn id="3" xr3:uid="{54EF6FF0-3789-4390-9CA3-F2BD1E33F4BB}" name="預交日期" dataDxfId="743"/>
    <tableColumn id="4" xr3:uid="{9F747266-E8BA-4ED0-B093-1EC8B1F0D91B}" name="回復日期" dataDxfId="742"/>
    <tableColumn id="5" xr3:uid="{884823EB-7C21-4A64-84EE-A9EA52D6C4F9}" name="未交數量" dataDxfId="741">
      <calculatedColumnFormula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calculatedColumnFormula>
    </tableColumn>
    <tableColumn id="6" xr3:uid="{3244891C-6A95-4203-8062-A3DC35B027C5}" name="差額數量確認" dataDxfId="740"/>
    <tableColumn id="7" xr3:uid="{901CB59E-E4AB-44D0-B9BB-782AE0A71EC6}" name="總請款數量" dataDxfId="739">
      <calculatedColumnFormula>表格1[[#This Row],[數量]]+表格1[[#This Row],[差額數量確認]]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67EF927-5AAC-4B9A-B4AD-C8571D644012}" name="_018_XXX_素材" displayName="_018_XXX_素材" ref="N5:U34" tableType="queryTable" totalsRowShown="0" headerRowDxfId="738" dataDxfId="736" headerRowBorderDxfId="737">
  <autoFilter ref="N5:U34" xr:uid="{967EF927-5AAC-4B9A-B4AD-C8571D644012}"/>
  <tableColumns count="8">
    <tableColumn id="1" xr3:uid="{0642FFB7-97FA-4003-9751-98AC17F9E528}" uniqueName="1" name="來料日期" queryTableFieldId="1" dataDxfId="633"/>
    <tableColumn id="2" xr3:uid="{2ED47968-3820-4F82-8324-6E19229E300B}" uniqueName="2" name="製令單號" queryTableFieldId="2" dataDxfId="632"/>
    <tableColumn id="3" xr3:uid="{2FCA27BD-AA87-4984-9984-FC6B56901A00}" uniqueName="3" name="入料數" queryTableFieldId="3" dataDxfId="631"/>
    <tableColumn id="8" xr3:uid="{C50250FF-09D6-402D-AC16-B3086F67791E}" uniqueName="8" name="銷帳單號" queryTableFieldId="8" dataDxfId="630" dataCellStyle="一般 2"/>
    <tableColumn id="5" xr3:uid="{D24852B1-4F4D-4321-BDB6-F5F00DDA8323}" uniqueName="5" name="銷帳數量" queryTableFieldId="5" dataDxfId="629"/>
    <tableColumn id="6" xr3:uid="{7CAB25B0-58E3-46C5-95BF-F015E12C3147}" uniqueName="6" name="銷帳單號1" queryTableFieldId="6" dataDxfId="628"/>
    <tableColumn id="7" xr3:uid="{922962B7-1162-4393-A1FC-9941B9C4C09C}" uniqueName="7" name="銷帳數量2" queryTableFieldId="7" dataDxfId="627"/>
    <tableColumn id="9" xr3:uid="{75AC0F76-0D7B-4206-9E1F-1FDCEEFBAF48}" uniqueName="9" name="入料帳差" queryTableFieldId="9" dataDxfId="626">
      <calculatedColumnFormula>_018_XXX_素材[[#This Row],[入料數]]-_018_XXX_素材[[#This Row],[銷帳數量]]-_018_XXX_素材[[#This Row],[銷帳數量2]]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CF89D09-6370-4D3B-A77D-1AE7F0C414DB}" name="表格12" displayName="表格12" ref="I5:L6" insertRow="1" totalsRowShown="0" headerRowDxfId="735" tableBorderDxfId="734">
  <autoFilter ref="I5:L6" xr:uid="{8CF89D09-6370-4D3B-A77D-1AE7F0C414DB}"/>
  <tableColumns count="4">
    <tableColumn id="1" xr3:uid="{46F36B4D-CAB7-463B-BEDB-8C35A487C023}" name="預交日期" dataDxfId="733"/>
    <tableColumn id="2" xr3:uid="{85E30F05-CD8D-4ACD-BF93-D1E2974BDEC7}" name="採購單號" dataDxfId="732"/>
    <tableColumn id="3" xr3:uid="{5789406D-89EC-4EB2-83B4-3A5C1C4D20B8}" name="數量" dataDxfId="731"/>
    <tableColumn id="4" xr3:uid="{398EA522-0515-498A-B3A2-CB11F87EF595}" name="預交帳差" dataDxfId="73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B6CABC-1E35-4DDC-870A-EF587622DFBB}" name="record" displayName="record" ref="F7:S11111" tableType="queryTable" totalsRowShown="0">
  <autoFilter ref="F7:S11111" xr:uid="{E1B6CABC-1E35-4DDC-870A-EF587622DFBB}">
    <filterColumn colId="0">
      <filters>
        <filter val="B-20260427006"/>
      </filters>
    </filterColumn>
  </autoFilter>
  <sortState xmlns:xlrd2="http://schemas.microsoft.com/office/spreadsheetml/2017/richdata2" ref="F8:S11111">
    <sortCondition descending="1" ref="K7:K11111"/>
  </sortState>
  <tableColumns count="14">
    <tableColumn id="9" xr3:uid="{3947D35C-6816-4092-9048-DB218E6837FF}" uniqueName="9" name="製程料號" queryTableFieldId="11"/>
    <tableColumn id="2" xr3:uid="{74DB1FF2-49A3-4DCF-BC69-E6A227490674}" uniqueName="2" name="ProcessSN" queryTableFieldId="2"/>
    <tableColumn id="7" xr3:uid="{4E6D2AC3-EAC1-4DC7-BCBF-AA917C2ED134}" uniqueName="7" name="料號" queryTableFieldId="9">
      <calculatedColumnFormula>VLOOKUP(record[[#This Row],[ProcessSN]],表格2_7[],2,FALSE)</calculatedColumnFormula>
    </tableColumn>
    <tableColumn id="8" xr3:uid="{D8945610-5F1A-4ECE-B95B-8F0DFA61A3EA}" uniqueName="8" name="製程" queryTableFieldId="10">
      <calculatedColumnFormula>VLOOKUP(record[[#This Row],[ProcessSN]],表格2_7[],3,FALSE)</calculatedColumnFormula>
    </tableColumn>
    <tableColumn id="3" xr3:uid="{A0039EF2-599B-48B4-B265-A84FA446BFD1}" uniqueName="3" name="Process" queryTableFieldId="3"/>
    <tableColumn id="10" xr3:uid="{802BADD4-40AA-408B-A189-B47074D51838}" uniqueName="10" name="日期" queryTableFieldId="12" dataDxfId="450"/>
    <tableColumn id="11" xr3:uid="{67B29EE7-EE67-4F77-B1A1-04FC73CDC70A}" uniqueName="11" name="OK" queryTableFieldId="13"/>
    <tableColumn id="12" xr3:uid="{E6443FB7-0800-4C21-8D82-2B09056D6713}" uniqueName="12" name="NG" queryTableFieldId="14"/>
    <tableColumn id="6" xr3:uid="{1A270BDF-BFA5-4E69-9D20-5FCDA59A43C8}" uniqueName="6" name="備註" queryTableFieldId="23" dataDxfId="449">
      <calculatedColumnFormula>IF(record[[#This Row],[Memo]]="Browser:chrome os:android","平板報工",IF(record[[#This Row],[Memo]]=0,"委外",record[[#This Row],[Memo]]))</calculatedColumnFormula>
    </tableColumn>
    <tableColumn id="1" xr3:uid="{9D09A6AE-D20C-4399-9BB6-A73CFCA572D9}" uniqueName="1" name="Memo" queryTableFieldId="19"/>
    <tableColumn id="4" xr3:uid="{F9B271BA-0E38-470C-81C9-60B51FF5893F}" uniqueName="4" name="employeeID" queryTableFieldId="20"/>
    <tableColumn id="15" xr3:uid="{BEA6F36F-92F2-428D-9654-4FB1C8B940B0}" uniqueName="15" name="PCUSTID" queryTableFieldId="26"/>
    <tableColumn id="13" xr3:uid="{A34E0CC1-146C-44F2-9D56-4E0F8DBF4CAD}" uniqueName="13" name="廠商" queryTableFieldId="27">
      <calculatedColumnFormula>IFERROR(VLOOKUP(record[[#This Row],[PCUSTID]],廠商[],2,FALSE),"")</calculatedColumnFormula>
    </tableColumn>
    <tableColumn id="5" xr3:uid="{524B8951-054A-4EF0-9041-92274BCF3BAF}" uniqueName="5" name="人員" queryTableFieldId="22">
      <calculatedColumnFormula>VLOOKUP(record[[#This Row],[employeeID]],員工[],2,FALSE)</calculatedColumnFormula>
    </tableColumn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5B60D76-0F00-4E7D-9D2C-CD85D10DB103}" name="表格2_7" displayName="表格2_7" ref="A7:C173" totalsRowShown="0">
  <autoFilter ref="A7:C173" xr:uid="{A1541E42-0F97-40FB-AECE-77649DDDC751}"/>
  <tableColumns count="3">
    <tableColumn id="1" xr3:uid="{531E4827-47D3-4603-95D5-83F8C16EF26D}" name="製程序"/>
    <tableColumn id="2" xr3:uid="{1BEFA796-B906-4F73-A8A5-589AB3D2A45B}" name="製程序2"/>
    <tableColumn id="3" xr3:uid="{4467084A-6537-48FB-99F3-95D39D1DC102}" name="製程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1E764D-D99A-4EAA-892E-5B9247EC91AE}" name="員工" displayName="員工" ref="A1:B96" tableType="queryTable" totalsRowShown="0">
  <autoFilter ref="A1:B96" xr:uid="{D6495E49-18DA-4450-BFE0-D16525DCDD8E}"/>
  <tableColumns count="2">
    <tableColumn id="1" xr3:uid="{A9F98DC4-86D7-49D6-BA70-19A745DD44EE}" uniqueName="1" name="employeeID" queryTableFieldId="1" dataDxfId="729"/>
    <tableColumn id="2" xr3:uid="{6F0B5C3D-C695-4643-8E4E-1440F0668CC8}" uniqueName="2" name="employeeName" queryTableFieldId="2" dataDxfId="72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571B436-5C3B-4D0E-9ED9-E1FDC1E92403}" name="廠商" displayName="廠商" ref="A1:C33" tableType="queryTable" totalsRowShown="0">
  <autoFilter ref="A1:C33" xr:uid="{1E11F825-A571-49F2-B13A-E6747CCECF49}"/>
  <tableColumns count="3">
    <tableColumn id="1" xr3:uid="{92DC98AE-624C-4789-A854-8E86FA3DA595}" uniqueName="1" name="PCUSTID" queryTableFieldId="1" dataDxfId="727"/>
    <tableColumn id="3" xr3:uid="{DE3A6D38-087C-46B9-85F5-305D9FF04FAA}" uniqueName="3" name="廠商" queryTableFieldId="3" dataDxfId="726"/>
    <tableColumn id="2" xr3:uid="{04E4A113-D180-4B15-B6AD-37E90525D47C}" uniqueName="2" name="Name" queryTableFieldId="2" dataDxfId="72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EC9088-4D6F-480D-B54A-DA61CC4A054F}" name="表格8" displayName="表格8" ref="AK5:AO108" totalsRowShown="0" headerRowDxfId="724" dataDxfId="722" headerRowBorderDxfId="723" tableBorderDxfId="721" totalsRowBorderDxfId="720" dataCellStyle="一般 2">
  <autoFilter ref="AK5:AO108" xr:uid="{03EC9088-4D6F-480D-B54A-DA61CC4A054F}"/>
  <tableColumns count="5">
    <tableColumn id="1" xr3:uid="{07905C18-A5C8-43DA-BBB4-CE821949C6F5}" name="日期" dataDxfId="719" dataCellStyle="一般 2"/>
    <tableColumn id="2" xr3:uid="{2F286312-5910-4DE1-BD1A-FE3B4EE48B18}" name="第一製程製令" dataDxfId="718" dataCellStyle="一般 2"/>
    <tableColumn id="3" xr3:uid="{F54C2948-287F-422A-BCF7-C589E25E7916}" name="分配型號" dataDxfId="717" dataCellStyle="一般 2"/>
    <tableColumn id="4" xr3:uid="{794E3E83-FB35-4884-9BF0-CBE1EB3E5758}" name="第二製程製令" dataDxfId="716" dataCellStyle="一般 2"/>
    <tableColumn id="5" xr3:uid="{D91C7539-6334-4CF9-A32B-8BBFBABDAFA4}" name="分配數量" dataDxfId="715" dataCellStyle="一般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3A5309-04BE-4F7E-AA68-805087391580}" name="_018_XXX" displayName="_018_XXX" ref="A5:AF34" tableType="queryTable" totalsRowShown="0" headerRowDxfId="714" dataDxfId="712" headerRowBorderDxfId="713" tableBorderDxfId="711" headerRowCellStyle="一般 2" dataCellStyle="一般 2">
  <autoFilter ref="A5:AF34" xr:uid="{F43A5309-04BE-4F7E-AA68-805087391580}"/>
  <tableColumns count="32">
    <tableColumn id="1" xr3:uid="{D6493E6E-CC88-48A0-AA4A-A2EE545334F8}" uniqueName="1" name="來料日期" queryTableFieldId="1" dataDxfId="448" dataCellStyle="一般 2"/>
    <tableColumn id="2" xr3:uid="{0828F225-1B35-4D08-B285-4C995A55F648}" uniqueName="2" name="製令單號" queryTableFieldId="2" dataDxfId="447" dataCellStyle="一般 2"/>
    <tableColumn id="3" xr3:uid="{79971B2A-EE63-4634-A4A0-06AEC48EF07C}" uniqueName="3" name="料號" queryTableFieldId="3" dataDxfId="446" dataCellStyle="一般 2"/>
    <tableColumn id="20" xr3:uid="{05AC72D9-8D23-4AC9-9097-2D6B09ADD3D3}" uniqueName="20" name="入料數" queryTableFieldId="20" dataDxfId="445" dataCellStyle="一般 2"/>
    <tableColumn id="7" xr3:uid="{0370EC71-3E7C-451C-AFAD-F90BC8A456B7}" uniqueName="7" name="進料待檢" queryTableFieldId="7" dataDxfId="444" dataCellStyle="一般 2">
      <calculatedColumnFormula>_018_XXX[[#This Row],[入料數]]-_018_XXX[[#This Row],[進料檢OK]]-_018_XXX[[#This Row],[NG]]</calculatedColumnFormula>
    </tableColumn>
    <tableColumn id="8" xr3:uid="{86814D82-517C-427B-9470-EEB44EBEAF7E}" uniqueName="8" name="進料檢OK" queryTableFieldId="8" dataDxfId="443" dataCellStyle="一般 2">
      <calculatedColumnFormula>SUMIFS(record[OK],record[製程料號],_018_XXX[[#This Row],[製令單號]],record[ProcessSN],F$1)</calculatedColumnFormula>
    </tableColumn>
    <tableColumn id="9" xr3:uid="{D1D76C13-D385-4BFC-ADF9-9D6F25EAD59B}" uniqueName="9" name="NG" queryTableFieldId="9" dataDxfId="442" dataCellStyle="一般 2">
      <calculatedColumnFormula>SUMIFS(record[NG],record[製程料號],_018_XXX[[#This Row],[製令單號]],record[ProcessSN],G$1)</calculatedColumnFormula>
    </tableColumn>
    <tableColumn id="6" xr3:uid="{49C9F45B-C04B-43F5-B9F4-0D467F6B963B}" uniqueName="6" name="#01待發料數量" queryTableFieldId="24" dataDxfId="441" dataCellStyle="一般 2">
      <calculatedColumnFormula>_018_XXX[[#This Row],[進料檢OK]]-_018_XXX[[#This Row],['#01已發料數量]]</calculatedColumnFormula>
    </tableColumn>
    <tableColumn id="5" xr3:uid="{AFF33F13-2721-4741-84FB-8153E05C5F5A}" uniqueName="5" name="#01已發料數量" queryTableFieldId="23" dataDxfId="440" dataCellStyle="一般 2">
      <calculatedColumnFormula>SUMIFS(record[OK],record[製程料號],_018_XXX[[#This Row],[製令單號]],record[ProcessSN],I$1)</calculatedColumnFormula>
    </tableColumn>
    <tableColumn id="10" xr3:uid="{E25373D7-6211-4A0C-89C9-4286E7B2E44B}" uniqueName="10" name="#1-1未加工" queryTableFieldId="10" dataDxfId="439" dataCellStyle="一般 2">
      <calculatedColumnFormula>'018#1'!$I6-'018#1'!$K6-_018_XXX[[#This Row],['#1-1 NG]]</calculatedColumnFormula>
    </tableColumn>
    <tableColumn id="11" xr3:uid="{757A7B78-9D29-4884-93AF-D16B844F77DE}" uniqueName="11" name="#1-1 OK" queryTableFieldId="11" dataDxfId="438" dataCellStyle="一般 2">
      <calculatedColumnFormula>SUMIFS(record[OK],record[製程料號],_018_XXX[[#This Row],[製令單號]],record[ProcessSN],K$1)</calculatedColumnFormula>
    </tableColumn>
    <tableColumn id="12" xr3:uid="{A6ADEEB9-2FFE-4FE2-BA0C-62F8180B7C20}" uniqueName="12" name="#1-1 NG" queryTableFieldId="12" dataDxfId="437" dataCellStyle="一般 2">
      <calculatedColumnFormula>SUMIFS(record[NG],record[製程料號],_018_XXX[[#This Row],[製令單號]],record[ProcessSN],L$1)</calculatedColumnFormula>
    </tableColumn>
    <tableColumn id="32" xr3:uid="{1132E923-F950-4DF1-B869-834D0EC01E43}" uniqueName="32" name="#1-2未加工" queryTableFieldId="54" dataDxfId="436" dataCellStyle="一般 2">
      <calculatedColumnFormula>_018_XXX[[#This Row],['#1-1 OK]]-_018_XXX[[#This Row],['#1-2 OK]]-_018_XXX[[#This Row],['#1-2 NG]]</calculatedColumnFormula>
    </tableColumn>
    <tableColumn id="31" xr3:uid="{33F517BB-1FDF-4922-A1B6-425EF93C9EE6}" uniqueName="31" name="#1-2 OK" queryTableFieldId="53" dataDxfId="435" dataCellStyle="一般 2">
      <calculatedColumnFormula>SUMIFS(record[OK],record[製程料號],_018_XXX[[#This Row],[製令單號]],record[ProcessSN],N$1)</calculatedColumnFormula>
    </tableColumn>
    <tableColumn id="29" xr3:uid="{26E216B3-9C18-4082-A963-7B7E59800ADC}" uniqueName="29" name="#1-2 NG" queryTableFieldId="52" dataDxfId="434" dataCellStyle="一般 2">
      <calculatedColumnFormula>SUMIFS(record[NG],record[製程料號],_018_XXX[[#This Row],[製令單號]],record[ProcessSN],O$1)</calculatedColumnFormula>
    </tableColumn>
    <tableColumn id="28" xr3:uid="{116FF00F-37C8-434B-959C-EFF6C996DF96}" uniqueName="28" name="#01待檢驗" queryTableFieldId="51" dataDxfId="433" dataCellStyle="一般 2">
      <calculatedColumnFormula>_018_XXX[[#This Row],['#1-2 OK]]-_018_XXX[[#This Row],['#01NG]]-_018_XXX[[#This Row],['#01 OK]]</calculatedColumnFormula>
    </tableColumn>
    <tableColumn id="27" xr3:uid="{46061D33-A88F-40FB-A563-65EF22E5CAA2}" uniqueName="27" name="#01 OK" queryTableFieldId="50" dataDxfId="432" dataCellStyle="一般 2">
      <calculatedColumnFormula>SUMIFS(record[OK],record[製程料號],_018_XXX[[#This Row],[製令單號]],record[ProcessSN],Q$1)</calculatedColumnFormula>
    </tableColumn>
    <tableColumn id="26" xr3:uid="{3BB569A8-5749-4CBB-8D9F-3A8DAA8DE8FA}" uniqueName="26" name="#01NG" queryTableFieldId="49" dataDxfId="431" dataCellStyle="一般 2">
      <calculatedColumnFormula>SUMIFS(record[NG],record[製程料號],_018_XXX[[#This Row],[製令單號]],record[ProcessSN],R$1)</calculatedColumnFormula>
    </tableColumn>
    <tableColumn id="25" xr3:uid="{968EE000-4215-4080-91E8-3B48C82E0F98}" uniqueName="25" name="#02待委外數量" queryTableFieldId="48" dataDxfId="430" dataCellStyle="一般 2">
      <calculatedColumnFormula>_018_XXX[[#This Row],['#01 OK]]-_018_XXX[[#This Row],['#02已委外數量]]</calculatedColumnFormula>
    </tableColumn>
    <tableColumn id="24" xr3:uid="{C1B81000-DBEA-4F96-954C-2C3876BC1F94}" uniqueName="24" name="#02已委外數量" queryTableFieldId="47" dataDxfId="429" dataCellStyle="一般 2">
      <calculatedColumnFormula>SUMIFS(record[OK],record[製程料號],_018_XXX[[#This Row],[製令單號]],record[ProcessSN],T$1)</calculatedColumnFormula>
    </tableColumn>
    <tableColumn id="23" xr3:uid="{BBAC7766-5D82-4DB1-A380-ADD56D0BBFF1}" uniqueName="23" name="#02廠商" queryTableFieldId="46" dataDxfId="428" dataCellStyle="一般 2">
      <calculatedColumnFormula>IF(_018_XXX[[#This Row],['#02已委外數量]]&gt;0,VLOOKUP(U$1,record[[ProcessSN]:[廠商]],12,FALSE),"尚未委外")</calculatedColumnFormula>
    </tableColumn>
    <tableColumn id="22" xr3:uid="{1E9BC573-8F4C-4484-9F21-3726F88521FC}" uniqueName="22" name="#02待回數量" queryTableFieldId="45" dataDxfId="427" dataCellStyle="一般 2">
      <calculatedColumnFormula>_018_XXX[[#This Row],['#02已委外數量]]-_018_XXX[[#This Row],['#02委外NG]]-_018_XXX[[#This Row],['#02回
良品]]</calculatedColumnFormula>
    </tableColumn>
    <tableColumn id="21" xr3:uid="{35B749D5-6A8A-4183-9DAB-841236587A2D}" uniqueName="21" name="#02回_x000a_良品" queryTableFieldId="44" dataDxfId="426" dataCellStyle="一般 2">
      <calculatedColumnFormula>SUMIFS(record[OK],record[製程料號],_018_XXX[[#This Row],[製令單號]],record[ProcessSN],W$1)</calculatedColumnFormula>
    </tableColumn>
    <tableColumn id="17" xr3:uid="{4B3584EC-55EC-4020-AD93-BC91746E89B3}" uniqueName="17" name="#02委外NG" queryTableFieldId="43" dataDxfId="425" dataCellStyle="一般 2">
      <calculatedColumnFormula>SUMIFS(record[NG],record[製程料號],_018_XXX[[#This Row],[製令單號]],record[ProcessSN],X$1)</calculatedColumnFormula>
    </tableColumn>
    <tableColumn id="16" xr3:uid="{D085B8B7-2F3A-4E51-9E5E-15C2F2ED9719}" uniqueName="16" name="#02待檢驗" queryTableFieldId="42" dataDxfId="424" dataCellStyle="一般 2">
      <calculatedColumnFormula>_018_XXX[[#This Row],['#02回
良品]]-_018_XXX[[#This Row],['#02 OK]]-_018_XXX[[#This Row],['#02 NG]]</calculatedColumnFormula>
    </tableColumn>
    <tableColumn id="15" xr3:uid="{8B4EE741-DF4E-46C4-A20C-B02A87E14076}" uniqueName="15" name="#02 OK" queryTableFieldId="41" dataDxfId="423" dataCellStyle="一般 2">
      <calculatedColumnFormula>SUMIFS(record[OK],record[製程料號],_018_XXX[[#This Row],[製令單號]],record[ProcessSN],Z$1)</calculatedColumnFormula>
    </tableColumn>
    <tableColumn id="14" xr3:uid="{E7C32FEA-515F-465D-A9D5-A766F9F0C87B}" uniqueName="14" name="#02 NG" queryTableFieldId="40" dataDxfId="422" dataCellStyle="一般 2">
      <calculatedColumnFormula>SUMIFS(record[NG],record[製程料號],_018_XXX[[#This Row],[製令單號]],record[ProcessSN],AA$1)</calculatedColumnFormula>
    </tableColumn>
    <tableColumn id="18" xr3:uid="{0F610344-EA32-4309-B946-48C83BBE8345}" uniqueName="18" name="未入庫數量" queryTableFieldId="18" dataDxfId="421" dataCellStyle="一般 2">
      <calculatedColumnFormula>_018_XXX[[#This Row],['#02 OK]]-_018_XXX[[#This Row],[入庫]]</calculatedColumnFormula>
    </tableColumn>
    <tableColumn id="13" xr3:uid="{2DFB6D41-0CA6-4558-801B-65AB5F30C44F}" uniqueName="13" name="入庫" queryTableFieldId="39" dataDxfId="420" dataCellStyle="一般 2">
      <calculatedColumnFormula>SUMIFS(record[OK],record[製程料號],_018_XXX[[#This Row],[製令單號]],record[ProcessSN],AC$1)</calculatedColumnFormula>
    </tableColumn>
    <tableColumn id="19" xr3:uid="{12436B42-6BE3-40FD-9660-18A4CA3E9BCA}" uniqueName="19" name="尚未分料數量" queryTableFieldId="19" dataDxfId="419" dataCellStyle="一般 2">
      <calculatedColumnFormula>_018_XXX[[#This Row],[入庫]]-IFERROR(SUMIF(表格8[第一製程製令],_018_XXX[[#This Row],[製令單號]],表格8[分配數量]),0)</calculatedColumnFormula>
    </tableColumn>
    <tableColumn id="4" xr3:uid="{6A95256E-DEC6-43F2-9071-137B5F6A9886}" uniqueName="4" name="總不良數" queryTableFieldId="36" dataDxfId="418" dataCellStyle="一般 2">
      <calculatedColumnFormula>_018_XXX[[#This Row],['#1-1 NG]]+_018_XXX[[#This Row],[NG]]+_018_XXX[[#This Row],['#1-2 NG]]+_018_XXX[[#This Row],['#01NG]]+_018_XXX[[#This Row],['#02委外NG]]+_018_XXX[[#This Row],['#02 NG]]</calculatedColumnFormula>
    </tableColumn>
    <tableColumn id="30" xr3:uid="{1D34EA78-9300-4AB8-BFA9-1B317F109EC5}" uniqueName="30" name="直通率" queryTableFieldId="37" dataDxfId="417" dataCellStyle="百分比">
      <calculatedColumnFormula>IF(_018_XXX[[#This Row],[入庫]]+_018_XXX[[#This Row],[總不良數]]=_018_XXX[[#This Row],[入料數]],_018_XXX[[#This Row],[入庫]]/_018_XXX[[#This Row],[入料數]],"")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678535-D945-457E-9DF9-CE72CD4D0FB4}" name="_519_XXX可分料製令" displayName="_519_XXX可分料製令" ref="AI5:AI6" tableType="queryTable" insertRow="1" totalsRowShown="0" headerRowDxfId="710" dataDxfId="709" tableBorderDxfId="708" headerRowCellStyle="一般 2" dataCellStyle="一般 2">
  <autoFilter ref="AI5:AI6" xr:uid="{08678535-D945-457E-9DF9-CE72CD4D0FB4}"/>
  <tableColumns count="1">
    <tableColumn id="1" xr3:uid="{EF21E732-6CE3-480D-AAF8-9797D25B780B}" uniqueName="1" name="製令單號" queryTableFieldId="1" dataDxfId="707" dataCellStyle="一般 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0912B63-5E07-408F-8005-0259AAE487C8}" name="_018_XXX可分料製令" displayName="_018_XXX可分料製令" ref="AH5:AH6" tableType="queryTable" insertRow="1" totalsRowShown="0" headerRowDxfId="706" dataDxfId="705" tableBorderDxfId="704" headerRowCellStyle="一般 2" dataCellStyle="百分比">
  <autoFilter ref="AH5:AH6" xr:uid="{B0912B63-5E07-408F-8005-0259AAE487C8}"/>
  <tableColumns count="1">
    <tableColumn id="1" xr3:uid="{FC4B2B07-8124-45E2-B001-AE101D0FCAEF}" uniqueName="1" name="製令單號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FF2239-72AC-4B23-AD7F-A5B29061EAB6}" name="_018_XXX可分料製令1" displayName="_018_XXX可分料製令_" ref="AG5:AG6" tableType="queryTable" insertRow="1" totalsRowShown="0" headerRowDxfId="703" dataDxfId="702" headerRowCellStyle="一般 2" dataCellStyle="百分比">
  <autoFilter ref="AG5:AG6" xr:uid="{94FF2239-72AC-4B23-AD7F-A5B29061EAB6}"/>
  <tableColumns count="1">
    <tableColumn id="1" xr3:uid="{E7D95194-9097-490B-ABAC-20250F89D1B2}" uniqueName="1" name="製令單號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EAE56A-C116-4120-B5B1-44984A386E52}" name="分料0184XX" displayName="分料0184XX" ref="AG5:AK61" totalsRowShown="0" headerRowDxfId="701" dataDxfId="699" headerRowBorderDxfId="700" tableBorderDxfId="698" totalsRowBorderDxfId="697" dataCellStyle="一般 2">
  <autoFilter ref="AG5:AK61" xr:uid="{03EC9088-4D6F-480D-B54A-DA61CC4A054F}"/>
  <tableColumns count="5">
    <tableColumn id="1" xr3:uid="{480C5A02-ABAB-4287-8A01-D8435CDA77C3}" name="日期" dataDxfId="696" dataCellStyle="一般 2"/>
    <tableColumn id="2" xr3:uid="{525E440D-A99B-49A8-BAB8-0B046C773351}" name="第一製程製令" dataDxfId="695" dataCellStyle="一般 2"/>
    <tableColumn id="3" xr3:uid="{C6B4E7A5-D634-4413-A262-9FC4CA95AFD8}" name="分配型號" dataDxfId="694" dataCellStyle="一般 2"/>
    <tableColumn id="4" xr3:uid="{98D66BE4-2976-4A54-8401-3EF795373538}" name="第二製程製令" dataDxfId="693" dataCellStyle="一般 2"/>
    <tableColumn id="5" xr3:uid="{3AB31714-8C16-4556-B6FF-CF62D1683D25}" name="分配數量" dataDxfId="692" dataCellStyle="一般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D83EAA-1385-4B73-BB89-CCDB21E1A272}" name="_018_4XX" displayName="_018_4XX" ref="A5:AD20" tableType="queryTable" totalsRowShown="0" headerRowDxfId="691" dataDxfId="689" headerRowBorderDxfId="690" tableBorderDxfId="688" headerRowCellStyle="一般 2" dataCellStyle="一般 2">
  <autoFilter ref="A5:AD20" xr:uid="{F43A5309-04BE-4F7E-AA68-805087391580}"/>
  <tableColumns count="30">
    <tableColumn id="1" xr3:uid="{600137EC-ADE2-4A39-82C7-8BB929EAFAE5}" uniqueName="1" name="來料日期" queryTableFieldId="1" dataDxfId="415" dataCellStyle="一般 2"/>
    <tableColumn id="2" xr3:uid="{842C0B41-6425-4A8B-890E-4B140B1E783C}" uniqueName="2" name="製令單號" queryTableFieldId="2" dataDxfId="414" dataCellStyle="一般 2"/>
    <tableColumn id="3" xr3:uid="{A6684DE7-4500-4586-B464-8AAAF0749BF4}" uniqueName="3" name="料號" queryTableFieldId="3" dataDxfId="413" dataCellStyle="一般 2"/>
    <tableColumn id="20" xr3:uid="{CD964163-839F-40D9-9A8F-E9D25B3FEC74}" uniqueName="20" name="入料數" queryTableFieldId="20" dataDxfId="412" dataCellStyle="一般 2"/>
    <tableColumn id="6" xr3:uid="{34E1E58F-B95A-49BD-A669-0E5E5BD510FE}" uniqueName="6" name="#03待發料數量" queryTableFieldId="24" dataDxfId="411" dataCellStyle="一般 2">
      <calculatedColumnFormula>_018_4XX[[#This Row],[入料數]]-_018_4XX[[#This Row],['#03已發料數量]]</calculatedColumnFormula>
    </tableColumn>
    <tableColumn id="5" xr3:uid="{25269C6C-4D18-473E-8EB2-E5A55AAC4765}" uniqueName="5" name="#03已發料數量" queryTableFieldId="23" dataDxfId="410" dataCellStyle="一般 2">
      <calculatedColumnFormula>SUMIFS(record[OK],record[製程料號],_018_4XX[[#This Row],[製令單號]],record[ProcessSN],F$1)</calculatedColumnFormula>
    </tableColumn>
    <tableColumn id="10" xr3:uid="{A9AF43B7-F520-411B-8FB5-653C3787CEE1}" uniqueName="10" name="#3未加工" queryTableFieldId="10" dataDxfId="409" dataCellStyle="一般 2">
      <calculatedColumnFormula>_018_4XX[[#This Row],['#03已發料數量]]-_018_4XX[[#This Row],['#3 OK]]-_018_4XX[[#This Row],['#3 NG]]</calculatedColumnFormula>
    </tableColumn>
    <tableColumn id="11" xr3:uid="{A31750DC-925A-47C5-A3AF-2C6869CB5D7F}" uniqueName="11" name="#3 OK" queryTableFieldId="11" dataDxfId="408" dataCellStyle="一般 2">
      <calculatedColumnFormula>SUMIFS(record[OK],record[製程料號],_018_4XX[[#This Row],[製令單號]],record[ProcessSN],H$1)</calculatedColumnFormula>
    </tableColumn>
    <tableColumn id="12" xr3:uid="{4E1A48F0-8F86-4989-9000-1FB8D6C46B26}" uniqueName="12" name="#3 NG" queryTableFieldId="12" dataDxfId="407" dataCellStyle="一般 2">
      <calculatedColumnFormula>SUMIFS(record[NG],record[製程料號],_018_4XX[[#This Row],[製令單號]],record[ProcessSN],I$1)</calculatedColumnFormula>
    </tableColumn>
    <tableColumn id="25" xr3:uid="{F78D4FBE-4A28-4443-A0DD-9A22E1EA8A03}" uniqueName="25" name="#4未加工" queryTableFieldId="48" dataDxfId="406" dataCellStyle="一般 2">
      <calculatedColumnFormula>_018_4XX[[#This Row],['#3 OK]]-_018_4XX[[#This Row],['#4 OK]]-_018_4XX[[#This Row],['#4 NG]]</calculatedColumnFormula>
    </tableColumn>
    <tableColumn id="24" xr3:uid="{DB495156-21DC-4399-870A-AF5710E5D3D1}" uniqueName="24" name="#4 OK" queryTableFieldId="47" dataDxfId="405" dataCellStyle="一般 2">
      <calculatedColumnFormula>SUMIFS(record[OK],record[製程料號],_018_4XX[[#This Row],[製令單號]],record[ProcessSN],K$1)</calculatedColumnFormula>
    </tableColumn>
    <tableColumn id="23" xr3:uid="{E575DDE3-C3C9-42BC-AF95-72633ED0ACC2}" uniqueName="23" name="#4 NG" queryTableFieldId="46" dataDxfId="404" dataCellStyle="一般 2">
      <calculatedColumnFormula>SUMIFS(record[NG],record[製程料號],_018_4XX[[#This Row],[製令單號]],record[ProcessSN],L$1)</calculatedColumnFormula>
    </tableColumn>
    <tableColumn id="22" xr3:uid="{54BB5B8D-D431-4DD9-AFB6-46524546CF0F}" uniqueName="22" name="#5未加工" queryTableFieldId="45" dataDxfId="403" dataCellStyle="一般 2">
      <calculatedColumnFormula>_018_4XX[[#This Row],['#4 OK]]-_018_4XX[[#This Row],['#5 OK]]-_018_4XX[[#This Row],['#5 NG]]</calculatedColumnFormula>
    </tableColumn>
    <tableColumn id="21" xr3:uid="{8C32CC00-AF18-4E74-89C1-AF77FB5CD9AC}" uniqueName="21" name="#5 OK" queryTableFieldId="44" dataDxfId="402" dataCellStyle="一般 2">
      <calculatedColumnFormula>SUMIFS(record[OK],record[製程料號],_018_4XX[[#This Row],[製令單號]],record[ProcessSN],N$1)</calculatedColumnFormula>
    </tableColumn>
    <tableColumn id="17" xr3:uid="{B4088E38-A5BE-4E4A-B45C-E9F0DDF6E7C6}" uniqueName="17" name="#5 NG" queryTableFieldId="43" dataDxfId="401" dataCellStyle="一般 2">
      <calculatedColumnFormula>SUMIFS(record[NG],record[製程料號],_018_4XX[[#This Row],[製令單號]],record[ProcessSN],O$1)</calculatedColumnFormula>
    </tableColumn>
    <tableColumn id="16" xr3:uid="{C1EE1C74-C44E-4EFC-9799-0471B2D0C7DD}" uniqueName="16" name="#6未加工" queryTableFieldId="42" dataDxfId="400" dataCellStyle="一般 2">
      <calculatedColumnFormula>_018_4XX[[#This Row],['#5 OK]]-_018_4XX[[#This Row],['#6 OK]]-_018_4XX[[#This Row],['#6 NG]]</calculatedColumnFormula>
    </tableColumn>
    <tableColumn id="15" xr3:uid="{5038E17E-AFCE-4199-8E6F-4CE6E2D883CA}" uniqueName="15" name="#6 OK" queryTableFieldId="41" dataDxfId="399" dataCellStyle="一般 2">
      <calculatedColumnFormula>SUMIFS(record[OK],record[製程料號],_018_4XX[[#This Row],[製令單號]],record[ProcessSN],Q$1)</calculatedColumnFormula>
    </tableColumn>
    <tableColumn id="14" xr3:uid="{00DBABF4-5170-4A17-95BE-9390FF35FB37}" uniqueName="14" name="#6 NG" queryTableFieldId="40" dataDxfId="398" dataCellStyle="一般 2">
      <calculatedColumnFormula>SUMIFS(record[NG],record[製程料號],_018_4XX[[#This Row],[製令單號]],record[ProcessSN],R$1)</calculatedColumnFormula>
    </tableColumn>
    <tableColumn id="9" xr3:uid="{06CCCB25-1178-4AE7-A387-FBACB9EA6A7B}" uniqueName="9" name="#7未加工" queryTableFieldId="54" dataDxfId="397" dataCellStyle="一般 2">
      <calculatedColumnFormula>_018_4XX[[#This Row],['#6 OK]]-_018_4XX[[#This Row],['#7NG]]-_018_4XX[[#This Row],['#7OK]]</calculatedColumnFormula>
    </tableColumn>
    <tableColumn id="8" xr3:uid="{FC53871C-16A8-4C3E-9095-C1F960A7640E}" uniqueName="8" name="#7OK" queryTableFieldId="53" dataDxfId="396" dataCellStyle="一般 2">
      <calculatedColumnFormula>SUMIFS(record[OK],record[製程料號],_018_4XX[[#This Row],[製令單號]],record[ProcessSN],T$1)</calculatedColumnFormula>
    </tableColumn>
    <tableColumn id="7" xr3:uid="{1BEA23D9-B91E-403E-B295-A08148C4063B}" uniqueName="7" name="#7NG" queryTableFieldId="52" dataDxfId="395" dataCellStyle="一般 2">
      <calculatedColumnFormula>SUMIFS(record[NG],record[製程料號],_018_4XX[[#This Row],[製令單號]],record[ProcessSN],U$1)</calculatedColumnFormula>
    </tableColumn>
    <tableColumn id="28" xr3:uid="{291E6725-9478-4835-A91C-FD26D4DF80D1}" uniqueName="28" name="品管待檢驗" queryTableFieldId="51" dataDxfId="394" dataCellStyle="一般 2">
      <calculatedColumnFormula>_018_4XX[[#This Row],['#7OK]]-_018_4XX[[#This Row],[OK]]-_018_4XX[[#This Row],[NG]]</calculatedColumnFormula>
    </tableColumn>
    <tableColumn id="27" xr3:uid="{480A71B2-107C-4514-AEB8-407AFBFCA099}" uniqueName="27" name="OK" queryTableFieldId="50" dataDxfId="393" dataCellStyle="一般 2">
      <calculatedColumnFormula>SUMIFS(record[OK],record[製程料號],_018_4XX[[#This Row],[製令單號]],record[ProcessSN],W$1)</calculatedColumnFormula>
    </tableColumn>
    <tableColumn id="26" xr3:uid="{81813213-CFC1-494A-A23E-535F7E668D05}" uniqueName="26" name="NG" queryTableFieldId="49" dataDxfId="392" dataCellStyle="一般 2">
      <calculatedColumnFormula>SUMIFS(record[NG],record[製程料號],_018_4XX[[#This Row],[製令單號]],record[ProcessSN],X$1)</calculatedColumnFormula>
    </tableColumn>
    <tableColumn id="18" xr3:uid="{C2A4BE49-BBE0-48A4-97F5-65D2B20ED4B5}" uniqueName="18" name="未入庫數量" queryTableFieldId="18" dataDxfId="391" dataCellStyle="一般 2">
      <calculatedColumnFormula>_018_4XX[[#This Row],[OK]]-_018_4XX[[#This Row],[入庫]]</calculatedColumnFormula>
    </tableColumn>
    <tableColumn id="13" xr3:uid="{0D350FD1-11EE-4F4D-8669-BBC4B6FA22C0}" uniqueName="13" name="入庫" queryTableFieldId="39" dataDxfId="390" dataCellStyle="一般 2">
      <calculatedColumnFormula>SUMIFS(record[OK],record[製程料號],_018_4XX[[#This Row],[製令單號]],record[ProcessSN],Z$1)</calculatedColumnFormula>
    </tableColumn>
    <tableColumn id="19" xr3:uid="{40BAECCD-89B4-4EC4-9A5D-4B7B186603C0}" uniqueName="19" name="尚未分料數量" queryTableFieldId="19" dataDxfId="389" dataCellStyle="一般 2">
      <calculatedColumnFormula>_018_4XX[[#This Row],[入庫]]-IFERROR(SUMIF(分料0184XX[第一製程製令],_018_4XX[[#This Row],[製令單號]],分料0184XX[分配數量]),0)</calculatedColumnFormula>
    </tableColumn>
    <tableColumn id="29" xr3:uid="{FFC2ABF2-86C7-45C9-A25B-0CB37012DEF1}" uniqueName="29" name="欄1" queryTableFieldId="56" dataDxfId="388" dataCellStyle="一般 2"/>
    <tableColumn id="4" xr3:uid="{6529E2F9-727A-4355-9094-0561848A345A}" uniqueName="4" name="總不良數" queryTableFieldId="36" dataDxfId="387" dataCellStyle="一般 2">
      <calculatedColumnFormula>_018_4XX[[#This Row],[NG]]+_018_4XX[[#This Row],['#6 NG]]+_018_4XX[[#This Row],['#5 NG]]+_018_4XX[[#This Row],['#4 NG]]+_018_4XX[[#This Row],['#3 NG]]+_018_4XX[[#This Row],['#7NG]]</calculatedColumnFormula>
    </tableColumn>
    <tableColumn id="30" xr3:uid="{9F08432F-545C-48A4-BCCB-31D5774FAFC7}" uniqueName="30" name="直通率" queryTableFieldId="37" dataDxfId="386" dataCellStyle="百分比">
      <calculatedColumnFormula>IF(_018_4XX[[#This Row],[入庫]]+_018_4XX[[#This Row],[總不良數]]=_018_4XX[[#This Row],[入料數]],_018_4XX[[#This Row],[入庫]]/_018_4XX[[#This Row],[入料數]],"")</calculatedColumnFormula>
    </tableColumn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5677F87-2C88-47E8-A1D9-4E37C0E16A5D}" name="_018_4XX可分料製令" displayName="_018_4XX可分料製令" ref="AE5:AE6" tableType="queryTable" insertRow="1" totalsRowShown="0" headerRowDxfId="687" dataDxfId="686" headerRowCellStyle="一般 2" dataCellStyle="一般 2">
  <autoFilter ref="AE5:AE6" xr:uid="{3EE7F550-D9BB-4011-96CF-58DE0258AC49}"/>
  <tableColumns count="1">
    <tableColumn id="1" xr3:uid="{D41762C4-A0C1-4532-8942-71724C734C77}" uniqueName="1" name="製令單號" queryTableFieldId="1" dataDxfId="416" dataCellStyle="一般 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C05DEDA-BC29-4087-B26E-519A9D58778F}" name="分料0185XX" displayName="分料0185XX" ref="AG5:AK250" totalsRowShown="0" headerRowDxfId="764" dataDxfId="762" headerRowBorderDxfId="763" tableBorderDxfId="761" totalsRowBorderDxfId="760" dataCellStyle="一般 2">
  <autoFilter ref="AG5:AK250" xr:uid="{03EC9088-4D6F-480D-B54A-DA61CC4A054F}"/>
  <tableColumns count="5">
    <tableColumn id="1" xr3:uid="{6E684323-9A35-4017-A25C-04EAA26ABAFA}" name="日期" dataDxfId="759" dataCellStyle="一般 2"/>
    <tableColumn id="2" xr3:uid="{5FBD0D99-4FA8-41B9-8B5B-BF880909249F}" name="第一製程製令" dataDxfId="758" dataCellStyle="一般 2"/>
    <tableColumn id="3" xr3:uid="{A7E633AB-4ECE-416C-A96F-A6FF3317EB26}" name="分配型號" dataDxfId="757" dataCellStyle="一般 2"/>
    <tableColumn id="4" xr3:uid="{2F538CF8-F784-4A34-BCCF-9DD9E2F70621}" name="第二製程製令" dataDxfId="756" dataCellStyle="一般 2"/>
    <tableColumn id="5" xr3:uid="{12BBBDC2-3435-4772-8A28-FE4364B8F5C9}" name="分配數量" dataDxfId="755" dataCellStyle="一般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5377697-C4E6-40ED-891C-B22DF807F797}" name="_018_5XX" displayName="_018_5XX" ref="A5:AD54" tableType="queryTable" totalsRowShown="0" headerRowDxfId="754" dataDxfId="752" headerRowBorderDxfId="753" tableBorderDxfId="751" headerRowCellStyle="一般 2" dataCellStyle="一般 2">
  <autoFilter ref="A5:AD54" xr:uid="{F43A5309-04BE-4F7E-AA68-805087391580}"/>
  <tableColumns count="30">
    <tableColumn id="1" xr3:uid="{AA0860F9-61E4-4EF9-8077-4324B7B4B7FF}" uniqueName="1" name="來料日期" queryTableFieldId="1" dataDxfId="384" dataCellStyle="一般 2"/>
    <tableColumn id="2" xr3:uid="{29C9B8E9-A707-4C9B-8E5F-8E85C5559C8C}" uniqueName="2" name="製令單號" queryTableFieldId="2" dataDxfId="383" dataCellStyle="一般 2"/>
    <tableColumn id="3" xr3:uid="{C5F9BBF2-9FEE-413E-94E3-D3873366251E}" uniqueName="3" name="料號" queryTableFieldId="3" dataDxfId="382" dataCellStyle="一般 2"/>
    <tableColumn id="20" xr3:uid="{49C64B90-BB03-4BE6-8A2D-F45C1E0F5A93}" uniqueName="20" name="入料數" queryTableFieldId="20" dataDxfId="381" dataCellStyle="一般 2"/>
    <tableColumn id="6" xr3:uid="{F1278E1C-C137-4352-976C-A446CFE1541C}" uniqueName="6" name="#03待發料數量" queryTableFieldId="24" dataDxfId="380" dataCellStyle="一般 2">
      <calculatedColumnFormula>_018_5XX[[#This Row],[入料數]]-_018_5XX[[#This Row],['#03已發料數量]]</calculatedColumnFormula>
    </tableColumn>
    <tableColumn id="5" xr3:uid="{C9A7CC3B-6078-4DEE-892C-C8ADD1BD9BA7}" uniqueName="5" name="#03已發料數量" queryTableFieldId="23" dataDxfId="379" dataCellStyle="一般 2">
      <calculatedColumnFormula>SUMIFS(record[OK],record[製程料號],_018_5XX[[#This Row],[製令單號]],record[ProcessSN],F$1)</calculatedColumnFormula>
    </tableColumn>
    <tableColumn id="10" xr3:uid="{F7B02730-34A5-4891-9016-DA0D8FC8DE42}" uniqueName="10" name="#3未加工" queryTableFieldId="10" dataDxfId="378" dataCellStyle="一般 2">
      <calculatedColumnFormula>_018_5XX[[#This Row],['#03已發料數量]]-_018_5XX[[#This Row],['#3 OK]]-_018_5XX[[#This Row],['#3 NG]]</calculatedColumnFormula>
    </tableColumn>
    <tableColumn id="11" xr3:uid="{5D8AEEA0-1374-44D4-83DB-DE625CA2B6CC}" uniqueName="11" name="#3 OK" queryTableFieldId="11" dataDxfId="377" dataCellStyle="一般 2">
      <calculatedColumnFormula>SUMIFS(record[OK],record[製程料號],_018_5XX[[#This Row],[製令單號]],record[ProcessSN],H$1)</calculatedColumnFormula>
    </tableColumn>
    <tableColumn id="12" xr3:uid="{6FC1B518-0999-45DA-86AB-00559E9EFDED}" uniqueName="12" name="#3 NG" queryTableFieldId="12" dataDxfId="376" dataCellStyle="一般 2">
      <calculatedColumnFormula>SUMIFS(record[NG],record[製程料號],_018_5XX[[#This Row],[製令單號]],record[ProcessSN],I$1)</calculatedColumnFormula>
    </tableColumn>
    <tableColumn id="25" xr3:uid="{8EC75D31-DCBB-4BAF-9D03-DE3469F7E24F}" uniqueName="25" name="#4未加工" queryTableFieldId="48" dataDxfId="375" dataCellStyle="一般 2">
      <calculatedColumnFormula>_018_5XX[[#This Row],['#3 OK]]-_018_5XX[[#This Row],['#4 OK]]-_018_5XX[[#This Row],['#4 NG]]</calculatedColumnFormula>
    </tableColumn>
    <tableColumn id="24" xr3:uid="{D9544C08-B120-492A-A521-4F9B00BEE83F}" uniqueName="24" name="#4 OK" queryTableFieldId="47" dataDxfId="374" dataCellStyle="一般 2">
      <calculatedColumnFormula>SUMIFS(record[OK],record[製程料號],_018_5XX[[#This Row],[製令單號]],record[ProcessSN],K$1)</calculatedColumnFormula>
    </tableColumn>
    <tableColumn id="23" xr3:uid="{F4FC39AA-B09B-412A-8221-E9D8F3CE9866}" uniqueName="23" name="#4 NG" queryTableFieldId="46" dataDxfId="373" dataCellStyle="一般 2">
      <calculatedColumnFormula>SUMIFS(record[NG],record[製程料號],_018_5XX[[#This Row],[製令單號]],record[ProcessSN],L$1)</calculatedColumnFormula>
    </tableColumn>
    <tableColumn id="22" xr3:uid="{6E6B4F67-7CBC-4A59-9783-FC2AEACB2806}" uniqueName="22" name="#5未加工" queryTableFieldId="45" dataDxfId="372" dataCellStyle="一般 2">
      <calculatedColumnFormula>_018_5XX[[#This Row],['#4 OK]]-_018_5XX[[#This Row],['#5 OK]]-_018_5XX[[#This Row],['#5 NG]]</calculatedColumnFormula>
    </tableColumn>
    <tableColumn id="21" xr3:uid="{4B779A56-E945-473F-93CA-C78724533C24}" uniqueName="21" name="#5 OK" queryTableFieldId="44" dataDxfId="371" dataCellStyle="一般 2">
      <calculatedColumnFormula>SUMIFS(record[OK],record[製程料號],_018_5XX[[#This Row],[製令單號]],record[ProcessSN],N$1)</calculatedColumnFormula>
    </tableColumn>
    <tableColumn id="17" xr3:uid="{AD505DFB-5B96-4B61-9DC0-132151E108F4}" uniqueName="17" name="#5 NG" queryTableFieldId="43" dataDxfId="370" dataCellStyle="一般 2">
      <calculatedColumnFormula>SUMIFS(record[NG],record[製程料號],_018_5XX[[#This Row],[製令單號]],record[ProcessSN],O$1)</calculatedColumnFormula>
    </tableColumn>
    <tableColumn id="16" xr3:uid="{BCF3B8CB-32A5-4779-AD9C-75C74B3D6474}" uniqueName="16" name="#6未加工" queryTableFieldId="42" dataDxfId="369" dataCellStyle="一般 2">
      <calculatedColumnFormula>_018_5XX[[#This Row],['#5 OK]]-_018_5XX[[#This Row],['#6 OK]]-_018_5XX[[#This Row],['#6 NG]]</calculatedColumnFormula>
    </tableColumn>
    <tableColumn id="15" xr3:uid="{8066170B-F1CE-4A25-9EB7-B1488E6380E7}" uniqueName="15" name="#6 OK" queryTableFieldId="41" dataDxfId="368" dataCellStyle="一般 2">
      <calculatedColumnFormula>SUMIFS(record[OK],record[製程料號],_018_5XX[[#This Row],[製令單號]],record[ProcessSN],Q$1)</calculatedColumnFormula>
    </tableColumn>
    <tableColumn id="14" xr3:uid="{7BE4AC73-4163-4E09-B3A3-C7B25CB2945E}" uniqueName="14" name="#6 NG" queryTableFieldId="40" dataDxfId="367" dataCellStyle="一般 2">
      <calculatedColumnFormula>SUMIFS(record[NG],record[製程料號],_018_5XX[[#This Row],[製令單號]],record[ProcessSN],R$1)</calculatedColumnFormula>
    </tableColumn>
    <tableColumn id="9" xr3:uid="{8E9DC41F-2296-4BF9-A5E4-EE5AD9D49568}" uniqueName="9" name="#7未加工" queryTableFieldId="54" dataDxfId="366" dataCellStyle="一般 2">
      <calculatedColumnFormula>_018_5XX[[#This Row],['#6 OK]]-_018_5XX[[#This Row],['#7NG]]-_018_5XX[[#This Row],['#7OK]]</calculatedColumnFormula>
    </tableColumn>
    <tableColumn id="8" xr3:uid="{73601DF6-80F8-4920-830B-C8372AB8F0AA}" uniqueName="8" name="#7OK" queryTableFieldId="53" dataDxfId="365" dataCellStyle="一般 2">
      <calculatedColumnFormula>SUMIFS(record[OK],record[製程料號],_018_5XX[[#This Row],[製令單號]],record[ProcessSN],T$1)</calculatedColumnFormula>
    </tableColumn>
    <tableColumn id="7" xr3:uid="{2F354481-551A-45C5-A882-C0068C3F43FE}" uniqueName="7" name="#7NG" queryTableFieldId="52" dataDxfId="364" dataCellStyle="一般 2">
      <calculatedColumnFormula>SUMIFS(record[NG],record[製程料號],_018_5XX[[#This Row],[製令單號]],record[ProcessSN],U$1)</calculatedColumnFormula>
    </tableColumn>
    <tableColumn id="28" xr3:uid="{E0517154-DEAD-4D92-982E-7D510E61FE76}" uniqueName="28" name="品管待檢驗" queryTableFieldId="51" dataDxfId="363" dataCellStyle="一般 2">
      <calculatedColumnFormula>_018_5XX[[#This Row],['#7OK]]-_018_5XX[[#This Row],[OK]]-_018_5XX[[#This Row],[NG]]</calculatedColumnFormula>
    </tableColumn>
    <tableColumn id="27" xr3:uid="{557DFE6C-078F-4EA1-B33F-85E20CAAB12B}" uniqueName="27" name="OK" queryTableFieldId="50" dataDxfId="362" dataCellStyle="一般 2">
      <calculatedColumnFormula>SUMIFS(record[OK],record[製程料號],_018_5XX[[#This Row],[製令單號]],record[ProcessSN],W$1)</calculatedColumnFormula>
    </tableColumn>
    <tableColumn id="26" xr3:uid="{3DE73529-5CED-46D5-A6F7-E7B7E23F4D6E}" uniqueName="26" name="NG" queryTableFieldId="49" dataDxfId="361" dataCellStyle="一般 2">
      <calculatedColumnFormula>SUMIFS(record[NG],record[製程料號],_018_5XX[[#This Row],[製令單號]],record[ProcessSN],X$1)</calculatedColumnFormula>
    </tableColumn>
    <tableColumn id="18" xr3:uid="{0A7DA415-B044-483C-B572-858D1B48D6F5}" uniqueName="18" name="未入庫數量" queryTableFieldId="18" dataDxfId="360" dataCellStyle="一般 2">
      <calculatedColumnFormula>_018_5XX[[#This Row],[OK]]-_018_5XX[[#This Row],[入庫]]</calculatedColumnFormula>
    </tableColumn>
    <tableColumn id="13" xr3:uid="{06B81D56-DFBC-40DC-AC86-6592E26480F5}" uniqueName="13" name="入庫" queryTableFieldId="39" dataDxfId="359" dataCellStyle="一般 2">
      <calculatedColumnFormula>SUMIFS(record[OK],record[製程料號],_018_5XX[[#This Row],[製令單號]],record[ProcessSN],Z$1)</calculatedColumnFormula>
    </tableColumn>
    <tableColumn id="19" xr3:uid="{7FAF3672-5FCF-4BE1-B097-303DA1D5B839}" uniqueName="19" name="尚未分料數量" queryTableFieldId="19" dataDxfId="358" dataCellStyle="一般 2">
      <calculatedColumnFormula>_018_5XX[[#This Row],[入庫]]-IFERROR(SUMIF(分料0185XX[第一製程製令],_018_5XX[[#This Row],[製令單號]],分料0185XX[分配數量]),0)</calculatedColumnFormula>
    </tableColumn>
    <tableColumn id="29" xr3:uid="{94885AD1-9B95-4AAB-B5EB-770CD19B5507}" uniqueName="29" name="欄1" queryTableFieldId="56" dataDxfId="357" dataCellStyle="一般 2"/>
    <tableColumn id="4" xr3:uid="{8A980547-AD51-4F8A-876B-06F9BBFC2083}" uniqueName="4" name="總不良數" queryTableFieldId="36" dataDxfId="356" dataCellStyle="一般 2">
      <calculatedColumnFormula>_018_5XX[[#This Row],[NG]]+_018_5XX[[#This Row],['#6 NG]]+_018_5XX[[#This Row],['#5 NG]]+_018_5XX[[#This Row],['#4 NG]]+_018_5XX[[#This Row],['#3 NG]]+_018_5XX[[#This Row],['#7NG]]</calculatedColumnFormula>
    </tableColumn>
    <tableColumn id="30" xr3:uid="{A14D5EA5-4EA1-4884-836F-1913A780B3A9}" uniqueName="30" name="直通率" queryTableFieldId="37" dataDxfId="355" dataCellStyle="百分比">
      <calculatedColumnFormula>IF(_018_5XX[[#This Row],[入庫]]+_018_5XX[[#This Row],[總不良數]]=_018_5XX[[#This Row],[入料數]],_018_5XX[[#This Row],[入庫]]/_018_5XX[[#This Row],[入料數]],"")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BDE5F79-43B8-45D8-927E-5DD813385D42}" name="_018_5XX可分料製令" displayName="_018_5XX可分料製令" ref="AE5:AE6" tableType="queryTable" insertRow="1" totalsRowShown="0" headerRowDxfId="750" dataDxfId="749" headerRowCellStyle="一般 2" dataCellStyle="一般 2">
  <autoFilter ref="AE5:AE6" xr:uid="{3EE7F550-D9BB-4011-96CF-58DE0258AC49}"/>
  <tableColumns count="1">
    <tableColumn id="1" xr3:uid="{87C51377-D2A5-424F-AFC8-59B2FD03299D}" uniqueName="1" name="製令單號" queryTableFieldId="1" dataDxfId="385" dataCellStyle="一般 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D56D5DC-FC5D-48EA-AD10-BEA61B67D8EF}" name="分料0186XX" displayName="分料0186XX" ref="AG5:AK150" totalsRowShown="0" headerRowDxfId="685" dataDxfId="683" headerRowBorderDxfId="684" tableBorderDxfId="682" totalsRowBorderDxfId="681" dataCellStyle="一般 2">
  <autoFilter ref="AG5:AK150" xr:uid="{03EC9088-4D6F-480D-B54A-DA61CC4A054F}"/>
  <tableColumns count="5">
    <tableColumn id="1" xr3:uid="{68165154-9A00-4F74-954D-19D646E94557}" name="日期" dataDxfId="680" dataCellStyle="一般 2"/>
    <tableColumn id="2" xr3:uid="{E12D62ED-938C-4A38-B951-53615CD66680}" name="第一製程製令" dataDxfId="679" dataCellStyle="一般 2"/>
    <tableColumn id="3" xr3:uid="{064E6722-E4A4-4ABC-AF38-22D8818CD0F1}" name="分配型號" dataDxfId="678" dataCellStyle="一般 2"/>
    <tableColumn id="4" xr3:uid="{7E7CD972-B018-45D7-B69C-929F0C71A7FA}" name="第二製程製令" dataDxfId="677" dataCellStyle="一般 2"/>
    <tableColumn id="5" xr3:uid="{300E27BA-707E-49FE-A020-A398286AE408}" name="分配數量" dataDxfId="676" dataCellStyle="一般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3AC97DB-E356-43F3-9760-CE50C88318A2}" name="_018_6XX" displayName="_018_6XX" ref="A5:AD38" tableType="queryTable" totalsRowShown="0" headerRowDxfId="675" dataDxfId="673" headerRowBorderDxfId="674" tableBorderDxfId="672" headerRowCellStyle="一般 2" dataCellStyle="一般 2">
  <autoFilter ref="A5:AD38" xr:uid="{F43A5309-04BE-4F7E-AA68-805087391580}"/>
  <tableColumns count="30">
    <tableColumn id="1" xr3:uid="{5E3969C1-C394-4AFB-B4B9-8DA98A5D8CC5}" uniqueName="1" name="來料日期" queryTableFieldId="1" dataDxfId="353" dataCellStyle="一般 2"/>
    <tableColumn id="2" xr3:uid="{4568EEA0-32D5-4B03-AFA8-00F734BE4A1A}" uniqueName="2" name="製令單號" queryTableFieldId="2" dataDxfId="352" dataCellStyle="一般 2"/>
    <tableColumn id="3" xr3:uid="{C2E4C360-751D-4B21-A842-6E79F370058D}" uniqueName="3" name="料號" queryTableFieldId="3" dataDxfId="351" dataCellStyle="一般 2"/>
    <tableColumn id="20" xr3:uid="{290B97D0-3870-43D2-AC13-D823FC684F79}" uniqueName="20" name="入料數" queryTableFieldId="20" dataDxfId="350" dataCellStyle="一般 2"/>
    <tableColumn id="6" xr3:uid="{BCABCFD2-5182-4645-8772-FEEDDD6C5867}" uniqueName="6" name="#03待發料數量" queryTableFieldId="24" dataDxfId="349" dataCellStyle="一般 2">
      <calculatedColumnFormula>_018_6XX[[#This Row],[入料數]]-_018_6XX[[#This Row],['#03已發料數量]]</calculatedColumnFormula>
    </tableColumn>
    <tableColumn id="5" xr3:uid="{E6172FCF-D0E5-495D-B144-A64D3478A805}" uniqueName="5" name="#03已發料數量" queryTableFieldId="23" dataDxfId="348" dataCellStyle="一般 2">
      <calculatedColumnFormula>SUMIFS(record[OK],record[製程料號],_018_6XX[[#This Row],[製令單號]],record[ProcessSN],F$1)</calculatedColumnFormula>
    </tableColumn>
    <tableColumn id="10" xr3:uid="{B0D91F77-43C6-42AB-A6A7-7AE94C290A4B}" uniqueName="10" name="#3未加工" queryTableFieldId="10" dataDxfId="347" dataCellStyle="一般 2">
      <calculatedColumnFormula>_018_6XX[[#This Row],['#03已發料數量]]-_018_6XX[[#This Row],['#3 OK]]-_018_6XX[[#This Row],['#3 NG]]</calculatedColumnFormula>
    </tableColumn>
    <tableColumn id="11" xr3:uid="{A1E2B658-7429-47F1-BE0D-A8463513CD8A}" uniqueName="11" name="#3 OK" queryTableFieldId="11" dataDxfId="346" dataCellStyle="一般 2">
      <calculatedColumnFormula>SUMIFS(record[OK],record[製程料號],_018_6XX[[#This Row],[製令單號]],record[ProcessSN],H$1)</calculatedColumnFormula>
    </tableColumn>
    <tableColumn id="12" xr3:uid="{033D6D4E-F3A9-40C1-A009-10A0D7E92664}" uniqueName="12" name="#3 NG" queryTableFieldId="12" dataDxfId="345" dataCellStyle="一般 2">
      <calculatedColumnFormula>SUMIFS(record[NG],record[製程料號],_018_6XX[[#This Row],[製令單號]],record[ProcessSN],I$1)</calculatedColumnFormula>
    </tableColumn>
    <tableColumn id="25" xr3:uid="{8852CDAC-1E06-44E4-B92B-AAEC75E505E6}" uniqueName="25" name="#4未加工" queryTableFieldId="48" dataDxfId="344" dataCellStyle="一般 2">
      <calculatedColumnFormula>_018_6XX[[#This Row],['#3 OK]]-_018_6XX[[#This Row],['#4 OK]]-_018_6XX[[#This Row],['#4 NG]]</calculatedColumnFormula>
    </tableColumn>
    <tableColumn id="24" xr3:uid="{076F92EA-6132-4640-A758-4A8A4AEB1431}" uniqueName="24" name="#4 OK" queryTableFieldId="47" dataDxfId="343" dataCellStyle="一般 2">
      <calculatedColumnFormula>SUMIFS(record[OK],record[製程料號],_018_6XX[[#This Row],[製令單號]],record[ProcessSN],K$1)</calculatedColumnFormula>
    </tableColumn>
    <tableColumn id="23" xr3:uid="{ED09391C-4124-44BC-A6EF-54B6B271625F}" uniqueName="23" name="#4 NG" queryTableFieldId="46" dataDxfId="342" dataCellStyle="一般 2">
      <calculatedColumnFormula>SUMIFS(record[NG],record[製程料號],_018_6XX[[#This Row],[製令單號]],record[ProcessSN],L$1)</calculatedColumnFormula>
    </tableColumn>
    <tableColumn id="22" xr3:uid="{A4CB256B-5E65-47EB-8F6E-936C52FD92E9}" uniqueName="22" name="#5未加工" queryTableFieldId="45" dataDxfId="341" dataCellStyle="一般 2">
      <calculatedColumnFormula>_018_6XX[[#This Row],['#4 OK]]-_018_6XX[[#This Row],['#5 OK]]-_018_6XX[[#This Row],['#5 NG]]</calculatedColumnFormula>
    </tableColumn>
    <tableColumn id="21" xr3:uid="{94EAAB46-D98B-44A3-AF6A-46A3D14F5064}" uniqueName="21" name="#5 OK" queryTableFieldId="44" dataDxfId="340" dataCellStyle="一般 2">
      <calculatedColumnFormula>SUMIFS(record[OK],record[製程料號],_018_6XX[[#This Row],[製令單號]],record[ProcessSN],N$1)</calculatedColumnFormula>
    </tableColumn>
    <tableColumn id="17" xr3:uid="{90929323-A6F3-46D5-A40E-556422558ABA}" uniqueName="17" name="#5 NG" queryTableFieldId="43" dataDxfId="339" dataCellStyle="一般 2">
      <calculatedColumnFormula>SUMIFS(record[NG],record[製程料號],_018_6XX[[#This Row],[製令單號]],record[ProcessSN],O$1)</calculatedColumnFormula>
    </tableColumn>
    <tableColumn id="16" xr3:uid="{7EBEF975-1453-4BB1-ACB2-5C0A612202C8}" uniqueName="16" name="#6未加工" queryTableFieldId="42" dataDxfId="338" dataCellStyle="一般 2">
      <calculatedColumnFormula>_018_6XX[[#This Row],['#5 OK]]-_018_6XX[[#This Row],['#6 OK]]-_018_6XX[[#This Row],['#6 NG]]</calculatedColumnFormula>
    </tableColumn>
    <tableColumn id="15" xr3:uid="{343EA79E-E704-4491-BD64-87C52DEFC05B}" uniqueName="15" name="#6 OK" queryTableFieldId="41" dataDxfId="337" dataCellStyle="一般 2">
      <calculatedColumnFormula>SUMIFS(record[OK],record[製程料號],_018_6XX[[#This Row],[製令單號]],record[ProcessSN],Q$1)</calculatedColumnFormula>
    </tableColumn>
    <tableColumn id="14" xr3:uid="{2266F8A8-F029-4F3D-B394-2FFD3053920B}" uniqueName="14" name="#6 NG" queryTableFieldId="40" dataDxfId="336" dataCellStyle="一般 2">
      <calculatedColumnFormula>SUMIFS(record[NG],record[製程料號],_018_6XX[[#This Row],[製令單號]],record[ProcessSN],R$1)</calculatedColumnFormula>
    </tableColumn>
    <tableColumn id="9" xr3:uid="{E505E843-8744-49AA-A63F-A0BAF9E33DDE}" uniqueName="9" name="#7未加工" queryTableFieldId="54" dataDxfId="335" dataCellStyle="一般 2">
      <calculatedColumnFormula>_018_6XX[[#This Row],['#6 OK]]-_018_6XX[[#This Row],['#7NG]]-_018_6XX[[#This Row],['#7OK]]</calculatedColumnFormula>
    </tableColumn>
    <tableColumn id="8" xr3:uid="{2228A4C4-440F-44C7-86A5-3F922D9FF0CB}" uniqueName="8" name="#7OK" queryTableFieldId="53" dataDxfId="334" dataCellStyle="一般 2">
      <calculatedColumnFormula>SUMIFS(record[OK],record[製程料號],_018_6XX[[#This Row],[製令單號]],record[ProcessSN],T$1)</calculatedColumnFormula>
    </tableColumn>
    <tableColumn id="7" xr3:uid="{66CB346E-8137-4645-8196-2D2B7853362C}" uniqueName="7" name="#7NG" queryTableFieldId="52" dataDxfId="333" dataCellStyle="一般 2">
      <calculatedColumnFormula>SUMIFS(record[NG],record[製程料號],_018_6XX[[#This Row],[製令單號]],record[ProcessSN],U$1)</calculatedColumnFormula>
    </tableColumn>
    <tableColumn id="28" xr3:uid="{DF2C4280-763A-47C1-BC84-1E34D7C87A64}" uniqueName="28" name="品管待檢驗" queryTableFieldId="51" dataDxfId="332" dataCellStyle="一般 2">
      <calculatedColumnFormula>_018_6XX[[#This Row],['#7OK]]-_018_6XX[[#This Row],[OK]]-_018_6XX[[#This Row],[NG]]</calculatedColumnFormula>
    </tableColumn>
    <tableColumn id="27" xr3:uid="{FA49B966-8446-4612-B4E7-19E7D648D9BF}" uniqueName="27" name="OK" queryTableFieldId="50" dataDxfId="331" dataCellStyle="一般 2">
      <calculatedColumnFormula>SUMIFS(record[OK],record[製程料號],_018_6XX[[#This Row],[製令單號]],record[ProcessSN],W$1)</calculatedColumnFormula>
    </tableColumn>
    <tableColumn id="26" xr3:uid="{867501EA-77AD-4019-BC22-568C0581084D}" uniqueName="26" name="NG" queryTableFieldId="49" dataDxfId="330" dataCellStyle="一般 2">
      <calculatedColumnFormula>SUMIFS(record[NG],record[製程料號],_018_6XX[[#This Row],[製令單號]],record[ProcessSN],X$1)</calculatedColumnFormula>
    </tableColumn>
    <tableColumn id="18" xr3:uid="{B7101F66-C28E-4DE7-8F44-EE2536076936}" uniqueName="18" name="未入庫數量" queryTableFieldId="18" dataDxfId="329" dataCellStyle="一般 2">
      <calculatedColumnFormula>_018_6XX[[#This Row],[OK]]-_018_6XX[[#This Row],[入庫]]</calculatedColumnFormula>
    </tableColumn>
    <tableColumn id="13" xr3:uid="{6451892D-E6EF-4097-87DE-6E831156F7C0}" uniqueName="13" name="入庫" queryTableFieldId="39" dataDxfId="328" dataCellStyle="一般 2">
      <calculatedColumnFormula>SUMIFS(record[OK],record[製程料號],_018_6XX[[#This Row],[製令單號]],record[ProcessSN],Z$1)</calculatedColumnFormula>
    </tableColumn>
    <tableColumn id="19" xr3:uid="{FAA81401-9CEB-4C41-8C75-7FC0B02AC562}" uniqueName="19" name="尚未分料數量" queryTableFieldId="19" dataDxfId="327" dataCellStyle="一般 2">
      <calculatedColumnFormula>_018_6XX[[#This Row],[入庫]]-IFERROR(SUMIF(分料0186XX[第一製程製令],_018_6XX[[#This Row],[製令單號]],分料0186XX[分配數量]),0)</calculatedColumnFormula>
    </tableColumn>
    <tableColumn id="29" xr3:uid="{505FE107-1A83-48DF-8471-F2F46AF00708}" uniqueName="29" name="欄1" queryTableFieldId="56" dataDxfId="326" dataCellStyle="一般 2"/>
    <tableColumn id="4" xr3:uid="{98D86993-31D8-48A3-9644-0473F210CD95}" uniqueName="4" name="總不良數" queryTableFieldId="36" dataDxfId="325" dataCellStyle="一般 2">
      <calculatedColumnFormula>_018_6XX[[#This Row],[NG]]+_018_6XX[[#This Row],['#6 NG]]+_018_6XX[[#This Row],['#5 NG]]+_018_6XX[[#This Row],['#4 NG]]+_018_6XX[[#This Row],['#3 NG]]+_018_6XX[[#This Row],['#7NG]]</calculatedColumnFormula>
    </tableColumn>
    <tableColumn id="30" xr3:uid="{E181DBED-0673-4BF9-81D8-0195275ABE13}" uniqueName="30" name="直通率" queryTableFieldId="37" dataDxfId="324" dataCellStyle="百分比">
      <calculatedColumnFormula>IF(_018_6XX[[#This Row],[入庫]]+_018_6XX[[#This Row],[總不良數]]=_018_6XX[[#This Row],[入料數]],_018_6XX[[#This Row],[入庫]]/_018_6XX[[#This Row],[入料數]],"")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1D8D8C2-2D55-48B4-A741-9140F5287FD0}" name="_018_6XX可分料製令" displayName="_018_6XX可分料製令" ref="AE5:AE6" tableType="queryTable" insertRow="1" totalsRowShown="0" headerRowDxfId="671" dataDxfId="670" headerRowCellStyle="一般 2" dataCellStyle="一般 2">
  <autoFilter ref="AE5:AE6" xr:uid="{3EE7F550-D9BB-4011-96CF-58DE0258AC49}"/>
  <tableColumns count="1">
    <tableColumn id="1" xr3:uid="{81325617-E611-4C54-AC54-8EA110D6CFB9}" uniqueName="1" name="製令單號" queryTableFieldId="1" dataDxfId="354" dataCellStyle="一般 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68ECD25-C21A-4B6E-A254-ED3F670C9E19}" name="_018_370" displayName="_018_370" ref="A5:AA7" tableType="queryTable" totalsRowShown="0" headerRowDxfId="669" headerRowBorderDxfId="668" tableBorderDxfId="667" headerRowCellStyle="一般 2">
  <autoFilter ref="A5:AA7" xr:uid="{72FF615D-868A-4AA5-AB91-40DA845D59B9}"/>
  <tableColumns count="27">
    <tableColumn id="1" xr3:uid="{9D452141-C543-49A5-9420-3B314BB6A111}" uniqueName="1" name="來料日期" queryTableFieldId="1" dataDxfId="323" dataCellStyle="一般 2"/>
    <tableColumn id="2" xr3:uid="{6851A350-F496-495D-9950-4DB3981EF1C8}" uniqueName="2" name="製令單號" queryTableFieldId="2" dataDxfId="322" dataCellStyle="一般 2"/>
    <tableColumn id="3" xr3:uid="{6F5C1AE6-A9ED-4208-A1B9-D108B53556DE}" uniqueName="3" name="料號" queryTableFieldId="3" dataDxfId="321" dataCellStyle="一般 2"/>
    <tableColumn id="4" xr3:uid="{68142506-5232-443A-8FDB-7066F5DE5A03}" uniqueName="4" name="入料數" queryTableFieldId="4" dataDxfId="320" dataCellStyle="一般 2"/>
    <tableColumn id="23" xr3:uid="{7BC54774-FF33-45B5-901D-2289C6585670}" uniqueName="23" name="#08待委外數量" queryTableFieldId="23" dataDxfId="319" dataCellStyle="一般 2">
      <calculatedColumnFormula>_018_370[[#This Row],[入料數]]-_018_370[[#This Row],['#08已委外數量]]</calculatedColumnFormula>
    </tableColumn>
    <tableColumn id="24" xr3:uid="{91C316E3-8442-44CF-B57F-1AD9E634F431}" uniqueName="24" name="#08已委外數量" queryTableFieldId="24" dataDxfId="318" dataCellStyle="一般 2">
      <calculatedColumnFormula>SUMIFS(record[OK],record[製程料號],_018_370[[#This Row],[製令單號]],record[ProcessSN],F$1)</calculatedColumnFormula>
    </tableColumn>
    <tableColumn id="5" xr3:uid="{101FA216-FAA4-4FA5-8D1C-9D3AA79059AE}" uniqueName="5" name="#08廠商" queryTableFieldId="47" dataDxfId="317" dataCellStyle="一般 2">
      <calculatedColumnFormula>IF(_018_370[[#This Row],['#08已委外數量]]&gt;0,VLOOKUP(G$1,record[[ProcessSN]:[廠商]],12,FALSE),"尚未委外")</calculatedColumnFormula>
    </tableColumn>
    <tableColumn id="25" xr3:uid="{B400BE10-6837-48D0-BE8F-A6F8335D61EA}" uniqueName="25" name="#08待回數量" queryTableFieldId="25" dataDxfId="316" dataCellStyle="一般 2">
      <calculatedColumnFormula>_018_370[[#This Row],['#08已委外數量]]-_018_370[[#This Row],['#08回
良品]]-_018_370[[#This Row],['#08委外NG]]</calculatedColumnFormula>
    </tableColumn>
    <tableColumn id="26" xr3:uid="{8A478341-8705-40DD-A81B-8EA0A6C588A7}" uniqueName="26" name="#08回_x000a_良品" queryTableFieldId="26" dataDxfId="315" dataCellStyle="一般 2">
      <calculatedColumnFormula>SUMIFS(record[OK],record[製程料號],_018_370[[#This Row],[製令單號]],record[ProcessSN],I$1)</calculatedColumnFormula>
    </tableColumn>
    <tableColumn id="27" xr3:uid="{6354B209-5F83-4346-977C-483ECB5B972B}" uniqueName="27" name="#08委外NG" queryTableFieldId="27" dataDxfId="314" dataCellStyle="一般 2">
      <calculatedColumnFormula>SUMIFS(record[NG],record[製程料號],_018_370[[#This Row],[製令單號]],record[ProcessSN],J$1)</calculatedColumnFormula>
    </tableColumn>
    <tableColumn id="7" xr3:uid="{5C540F99-1BC8-4803-A55B-E12F21445368}" uniqueName="7" name="陽極不良率" queryTableFieldId="49" dataDxfId="313" dataCellStyle="百分比">
      <calculatedColumnFormula>IFERROR(_018_370[[#This Row],['#08委外NG]]/_018_370[[#This Row],['#08已委外數量]],"")</calculatedColumnFormula>
    </tableColumn>
    <tableColumn id="28" xr3:uid="{C5AC1BFC-F222-4565-B0E3-918402FA3925}" uniqueName="28" name="#06待檢驗_x000a_數量" queryTableFieldId="28" dataDxfId="312" dataCellStyle="一般 2">
      <calculatedColumnFormula>_018_370[[#This Row],['#08回
良品]]-_018_370[[#This Row],['#06檢驗OK]]-_018_370[[#This Row],['#06
QC NG]]</calculatedColumnFormula>
    </tableColumn>
    <tableColumn id="29" xr3:uid="{061A9483-1EB8-44C3-A035-3E6539C57B09}" uniqueName="29" name="#06檢驗OK" queryTableFieldId="29" dataDxfId="311" dataCellStyle="一般 2">
      <calculatedColumnFormula>SUMIFS(record[OK],record[製程料號],_018_370[[#This Row],[製令單號]],record[ProcessSN],M$1)</calculatedColumnFormula>
    </tableColumn>
    <tableColumn id="30" xr3:uid="{16A778FB-A0D8-4F28-86C6-5C6A7C635F5A}" uniqueName="30" name="#06_x000a_QC NG" queryTableFieldId="30" dataDxfId="310" dataCellStyle="一般 2">
      <calculatedColumnFormula>SUMIFS(record[NG],record[製程料號],_018_370[[#This Row],[製令單號]],record[ProcessSN],N$1)</calculatedColumnFormula>
    </tableColumn>
    <tableColumn id="36" xr3:uid="{01EBD2E6-0EB3-4335-AD50-76DC12DAC2BB}" uniqueName="36" name="成品待檢驗" queryTableFieldId="36" dataDxfId="309" dataCellStyle="一般 2">
      <calculatedColumnFormula>_018_370[[#This Row],['#06檢驗OK]]-_018_370[[#This Row],[不良品]]-_018_370[[#This Row],[良品]]</calculatedColumnFormula>
    </tableColumn>
    <tableColumn id="37" xr3:uid="{38A24B97-E233-4806-8814-151CD7149684}" uniqueName="37" name="良品" queryTableFieldId="37" dataDxfId="308" dataCellStyle="一般 2">
      <calculatedColumnFormula>SUMIFS(record[OK],record[製程料號],_018_370[[#This Row],[製令單號]],record[ProcessSN],P$1)</calculatedColumnFormula>
    </tableColumn>
    <tableColumn id="38" xr3:uid="{FA1B62AB-8DA3-4577-9257-139440D04468}" uniqueName="38" name="不良品" queryTableFieldId="38" dataDxfId="307" dataCellStyle="一般 2">
      <calculatedColumnFormula>SUMIFS(record[NG],record[製程料號],_018_370[[#This Row],[製令單號]],record[ProcessSN],Q$1)</calculatedColumnFormula>
    </tableColumn>
    <tableColumn id="39" xr3:uid="{678535E7-5E60-4E9E-8374-B5A904D6CAB2}" uniqueName="39" name="已包裝待放行" queryTableFieldId="39" dataDxfId="306" dataCellStyle="一般 2">
      <calculatedColumnFormula>_018_370[[#This Row],[良品]]-_018_370[[#This Row],[良品放行]]-_018_370[[#This Row],[不良待處理]]</calculatedColumnFormula>
    </tableColumn>
    <tableColumn id="40" xr3:uid="{C9BF81D4-8F59-4927-8187-A940CA5A15ED}" uniqueName="40" name="良品放行" queryTableFieldId="40" dataDxfId="305" dataCellStyle="一般 2">
      <calculatedColumnFormula>SUMIFS(record[OK],record[製程料號],_018_370[[#This Row],[製令單號]],record[ProcessSN],S$1)</calculatedColumnFormula>
    </tableColumn>
    <tableColumn id="41" xr3:uid="{5F0BD726-8CE7-4400-BE17-672BD0629421}" uniqueName="41" name="不良待處理" queryTableFieldId="41" dataDxfId="304" dataCellStyle="一般 2">
      <calculatedColumnFormula>SUMIFS(record[NG],record[製程料號],_018_370[[#This Row],[製令單號]],record[ProcessSN],T$1)</calculatedColumnFormula>
    </tableColumn>
    <tableColumn id="42" xr3:uid="{806CDC79-E648-41B7-B694-772397609E73}" uniqueName="42" name="未入庫" queryTableFieldId="42" dataDxfId="303" dataCellStyle="一般 2">
      <calculatedColumnFormula>_018_370[[#This Row],[良品放行]]-_018_370[[#This Row],[入庫]]</calculatedColumnFormula>
    </tableColumn>
    <tableColumn id="6" xr3:uid="{FB2FDBCF-36A6-49E9-ABD2-05C09D1E396F}" uniqueName="6" name="入庫" queryTableFieldId="48" dataDxfId="302" dataCellStyle="一般 2">
      <calculatedColumnFormula>SUMIFS(record[OK],record[製程料號],_018_370[[#This Row],[製令單號]],record[ProcessSN],V$1)</calculatedColumnFormula>
    </tableColumn>
    <tableColumn id="43" xr3:uid="{DB907144-82E4-4877-9BE6-942EE3D8BC1A}" uniqueName="43" name="可出貨數量" queryTableFieldId="43" dataDxfId="301" dataCellStyle="一般 2">
      <calculatedColumnFormula>_018_370[[#This Row],[入庫]]-_018_370[[#This Row],[已出貨]]</calculatedColumnFormula>
    </tableColumn>
    <tableColumn id="8" xr3:uid="{DD8E7C22-1C13-4DB8-8DFC-D2F685211DEF}" uniqueName="8" name="欄1" queryTableFieldId="51" dataDxfId="300" dataCellStyle="一般 2"/>
    <tableColumn id="44" xr3:uid="{C9D95801-8B57-4A48-99FD-D6485A82C27B}" uniqueName="44" name="已出貨" queryTableFieldId="44" dataDxfId="299" dataCellStyle="一般 2">
      <calculatedColumnFormula>SUMIFS(record[OK],record[製程料號],_018_370[[#This Row],[製令單號]],record[ProcessSN],Y$1)</calculatedColumnFormula>
    </tableColumn>
    <tableColumn id="45" xr3:uid="{FBF9E1F5-D4EC-408F-A517-783C4B677B54}" uniqueName="45" name="總不良數" queryTableFieldId="45" dataDxfId="298" dataCellStyle="一般 2">
      <calculatedColumnFormula>_018_370[[#This Row],[不良待處理]]+_018_370[[#This Row],[不良品]]+_018_370[[#This Row],['#06
QC NG]]+_018_370[[#This Row],['#08委外NG]]</calculatedColumnFormula>
    </tableColumn>
    <tableColumn id="46" xr3:uid="{35AAA475-E73A-42EB-A854-6B3DBE9CD691}" uniqueName="46" name="直通率" queryTableFieldId="46" dataDxfId="297" dataCellStyle="百分比">
      <calculatedColumnFormula>IF(_018_370[[#This Row],[已出貨]]+_018_370[[#This Row],[總不良數]]+_018_370[[#This Row],[可出貨數量]]=_018_370[[#This Row],[入料數]],(_018_370[[#This Row],[可出貨數量]]+_018_370[[#This Row],[已出貨]])/_018_370[[#This Row],[入料數]],"")</calculatedColumnFormula>
    </tableColumn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AC23213-90CD-4E45-A664-C296FEE603BA}" name="_018_400" displayName="_018_400" ref="A5:AA6" tableType="queryTable" totalsRowShown="0" headerRowDxfId="666" headerRowBorderDxfId="665" tableBorderDxfId="664" headerRowCellStyle="一般 2">
  <autoFilter ref="A5:AA6" xr:uid="{72FF615D-868A-4AA5-AB91-40DA845D59B9}"/>
  <tableColumns count="27">
    <tableColumn id="1" xr3:uid="{08DA78C2-9AAB-4DE0-BB1A-987335AAE3D9}" uniqueName="1" name="來料日期" queryTableFieldId="1" dataDxfId="296" dataCellStyle="一般 2"/>
    <tableColumn id="2" xr3:uid="{E76345C6-A5A6-46F3-BDBB-CABC7CB312C6}" uniqueName="2" name="製令單號" queryTableFieldId="2" dataDxfId="295" dataCellStyle="一般 2"/>
    <tableColumn id="3" xr3:uid="{68F82392-A7A7-471B-B28E-BC1BA27A4B78}" uniqueName="3" name="料號" queryTableFieldId="3" dataDxfId="294" dataCellStyle="一般 2"/>
    <tableColumn id="4" xr3:uid="{07E3B365-2F73-4124-964B-DBE5F816ED9F}" uniqueName="4" name="入料數" queryTableFieldId="4" dataDxfId="293" dataCellStyle="一般 2"/>
    <tableColumn id="23" xr3:uid="{88A7F87B-6F1B-4F82-AE65-694A3B0BFCDA}" uniqueName="23" name="#08待委外數量" queryTableFieldId="23" dataDxfId="292" dataCellStyle="一般 2">
      <calculatedColumnFormula>_018_400[[#This Row],[入料數]]-_018_400[[#This Row],['#08已委外數量]]</calculatedColumnFormula>
    </tableColumn>
    <tableColumn id="24" xr3:uid="{007F9DEC-83B1-48C6-A90B-14791FD88B1B}" uniqueName="24" name="#08已委外數量" queryTableFieldId="24" dataDxfId="291" dataCellStyle="一般 2">
      <calculatedColumnFormula>SUMIFS(record[OK],record[製程料號],_018_400[[#This Row],[製令單號]],record[ProcessSN],F$1)</calculatedColumnFormula>
    </tableColumn>
    <tableColumn id="5" xr3:uid="{FCEAF843-609A-442B-9FA7-EF848117D6B6}" uniqueName="5" name="#08廠商" queryTableFieldId="47" dataDxfId="290" dataCellStyle="一般 2">
      <calculatedColumnFormula>IF(_018_400[[#This Row],['#08已委外數量]]&gt;0,VLOOKUP(G$1,record[[ProcessSN]:[廠商]],12,FALSE),"尚未委外")</calculatedColumnFormula>
    </tableColumn>
    <tableColumn id="25" xr3:uid="{2F7C735B-A80C-4CDF-96CF-8EDBCFEE437C}" uniqueName="25" name="#08待回數量" queryTableFieldId="25" dataDxfId="289" dataCellStyle="一般 2">
      <calculatedColumnFormula>_018_400[[#This Row],['#08已委外數量]]-_018_400[[#This Row],['#08回
良品]]-_018_400[[#This Row],['#08委外NG]]</calculatedColumnFormula>
    </tableColumn>
    <tableColumn id="26" xr3:uid="{48BE35D6-B9DE-4B98-9894-4A794573283F}" uniqueName="26" name="#08回_x000a_良品" queryTableFieldId="26" dataDxfId="288" dataCellStyle="一般 2">
      <calculatedColumnFormula>SUMIFS(record[OK],record[製程料號],_018_400[[#This Row],[製令單號]],record[ProcessSN],I$1)</calculatedColumnFormula>
    </tableColumn>
    <tableColumn id="27" xr3:uid="{04FC8DDD-BF28-4E2A-841B-244DDF14A14C}" uniqueName="27" name="#08委外NG" queryTableFieldId="27" dataDxfId="287" dataCellStyle="一般 2">
      <calculatedColumnFormula>SUMIFS(record[NG],record[製程料號],_018_400[[#This Row],[製令單號]],record[ProcessSN],J$1)</calculatedColumnFormula>
    </tableColumn>
    <tableColumn id="7" xr3:uid="{55C42FEF-1FC6-4EDA-B4D5-850B391AC884}" uniqueName="7" name="陽極不良率" queryTableFieldId="49" dataDxfId="286" dataCellStyle="百分比">
      <calculatedColumnFormula>IFERROR(_018_400[[#This Row],['#08委外NG]]/_018_400[[#This Row],['#08已委外數量]],"")</calculatedColumnFormula>
    </tableColumn>
    <tableColumn id="28" xr3:uid="{998CB91F-3D8C-48A1-A672-961DCDCAF70D}" uniqueName="28" name="#06待檢驗_x000a_數量" queryTableFieldId="28" dataDxfId="285" dataCellStyle="一般 2">
      <calculatedColumnFormula>_018_400[[#This Row],['#08回
良品]]-_018_400[[#This Row],['#06檢驗OK]]-_018_400[[#This Row],['#06
QC NG]]</calculatedColumnFormula>
    </tableColumn>
    <tableColumn id="29" xr3:uid="{BD48F313-A729-4DDB-B834-A9AB9ADC3001}" uniqueName="29" name="#06檢驗OK" queryTableFieldId="29" dataDxfId="284" dataCellStyle="一般 2">
      <calculatedColumnFormula>SUMIFS(record[OK],record[製程料號],_018_400[[#This Row],[製令單號]],record[ProcessSN],M$1)</calculatedColumnFormula>
    </tableColumn>
    <tableColumn id="30" xr3:uid="{F01692CA-4D14-4E48-B0AC-E7DC1AFA3072}" uniqueName="30" name="#06_x000a_QC NG" queryTableFieldId="30" dataDxfId="283" dataCellStyle="一般 2">
      <calculatedColumnFormula>SUMIFS(record[NG],record[製程料號],_018_400[[#This Row],[製令單號]],record[ProcessSN],N$1)</calculatedColumnFormula>
    </tableColumn>
    <tableColumn id="36" xr3:uid="{AF7E130A-63A2-4C72-AAB0-32EFCD530C92}" uniqueName="36" name="成品待檢驗" queryTableFieldId="36" dataDxfId="282" dataCellStyle="一般 2">
      <calculatedColumnFormula>_018_400[[#This Row],['#06檢驗OK]]-_018_400[[#This Row],[不良品]]-_018_400[[#This Row],[良品]]</calculatedColumnFormula>
    </tableColumn>
    <tableColumn id="37" xr3:uid="{7A99AB2C-9A35-4DE2-BA0B-BCB8B0627CB5}" uniqueName="37" name="良品" queryTableFieldId="37" dataDxfId="281" dataCellStyle="一般 2">
      <calculatedColumnFormula>SUMIFS(record[OK],record[製程料號],_018_400[[#This Row],[製令單號]],record[ProcessSN],P$1)</calculatedColumnFormula>
    </tableColumn>
    <tableColumn id="38" xr3:uid="{B39950D3-4E6C-4B43-A2C1-16FC125F86D9}" uniqueName="38" name="不良品" queryTableFieldId="38" dataDxfId="280" dataCellStyle="一般 2">
      <calculatedColumnFormula>SUMIFS(record[NG],record[製程料號],_018_400[[#This Row],[製令單號]],record[ProcessSN],Q$1)</calculatedColumnFormula>
    </tableColumn>
    <tableColumn id="39" xr3:uid="{CD5F7879-F3DE-4A34-9540-081AA1075208}" uniqueName="39" name="已包裝待放行" queryTableFieldId="39" dataDxfId="279" dataCellStyle="一般 2">
      <calculatedColumnFormula>_018_400[[#This Row],[良品]]-_018_400[[#This Row],[良品放行]]-_018_400[[#This Row],[不良待處理]]</calculatedColumnFormula>
    </tableColumn>
    <tableColumn id="40" xr3:uid="{189063B9-7D68-41B2-9956-4CFCE22CC11E}" uniqueName="40" name="良品放行" queryTableFieldId="40" dataDxfId="278" dataCellStyle="一般 2">
      <calculatedColumnFormula>SUMIFS(record[OK],record[製程料號],_018_400[[#This Row],[製令單號]],record[ProcessSN],S$1)</calculatedColumnFormula>
    </tableColumn>
    <tableColumn id="41" xr3:uid="{34DE252F-D324-4A2F-94EB-C3AC2DD03F42}" uniqueName="41" name="不良待處理" queryTableFieldId="41" dataDxfId="277" dataCellStyle="一般 2">
      <calculatedColumnFormula>SUMIFS(record[NG],record[製程料號],_018_400[[#This Row],[製令單號]],record[ProcessSN],T$1)</calculatedColumnFormula>
    </tableColumn>
    <tableColumn id="42" xr3:uid="{493FE305-896F-4EB7-A000-F1386D72D2AB}" uniqueName="42" name="未入庫" queryTableFieldId="42" dataDxfId="276" dataCellStyle="一般 2">
      <calculatedColumnFormula>_018_400[[#This Row],[良品放行]]-_018_400[[#This Row],[入庫]]</calculatedColumnFormula>
    </tableColumn>
    <tableColumn id="6" xr3:uid="{DDE27820-CD14-4564-A7D5-D88DC83185EC}" uniqueName="6" name="入庫" queryTableFieldId="48" dataDxfId="275" dataCellStyle="一般 2">
      <calculatedColumnFormula>SUMIFS(record[OK],record[製程料號],_018_400[[#This Row],[製令單號]],record[ProcessSN],V$1)</calculatedColumnFormula>
    </tableColumn>
    <tableColumn id="43" xr3:uid="{43926226-8676-4401-AC2E-B2C71B84D367}" uniqueName="43" name="可出貨數量" queryTableFieldId="43" dataDxfId="274" dataCellStyle="一般 2">
      <calculatedColumnFormula>_018_400[[#This Row],[入庫]]-_018_400[[#This Row],[已出貨]]</calculatedColumnFormula>
    </tableColumn>
    <tableColumn id="8" xr3:uid="{94A7C01D-FDF4-4D92-9813-23BE9CA8238D}" uniqueName="8" name="欄1" queryTableFieldId="51" dataDxfId="273" dataCellStyle="一般 2"/>
    <tableColumn id="44" xr3:uid="{F2107EB8-3CAB-424A-A61F-8F76C54B53AC}" uniqueName="44" name="已出貨" queryTableFieldId="44" dataDxfId="272" dataCellStyle="一般 2">
      <calculatedColumnFormula>SUMIFS(record[OK],record[製程料號],_018_400[[#This Row],[製令單號]],record[ProcessSN],Y$1)</calculatedColumnFormula>
    </tableColumn>
    <tableColumn id="45" xr3:uid="{4E1563E8-2420-4A18-B0AF-663C29116C1B}" uniqueName="45" name="總不良數" queryTableFieldId="45" dataDxfId="271" dataCellStyle="一般 2">
      <calculatedColumnFormula>_018_400[[#This Row],[不良待處理]]+_018_400[[#This Row],[不良品]]+_018_400[[#This Row],['#06
QC NG]]+_018_400[[#This Row],['#08委外NG]]</calculatedColumnFormula>
    </tableColumn>
    <tableColumn id="46" xr3:uid="{60CD3B74-71D2-4FC4-84A9-F3B166337F05}" uniqueName="46" name="直通率" queryTableFieldId="46" dataDxfId="270" dataCellStyle="百分比">
      <calculatedColumnFormula>IF(_018_400[[#This Row],[已出貨]]+_018_400[[#This Row],[總不良數]]+_018_400[[#This Row],[可出貨數量]]=_018_400[[#This Row],[入料數]],(_018_400[[#This Row],[可出貨數量]]+_018_400[[#This Row],[已出貨]])/_018_400[[#This Row],[入料數]],"")</calculatedColumnFormula>
    </tableColumn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34319E8-1614-46E7-8D71-4EE509EF2E5F}" name="_018_420" displayName="_018_420" ref="A5:AA6" tableType="queryTable" totalsRowShown="0" headerRowDxfId="663" headerRowBorderDxfId="662" tableBorderDxfId="661" headerRowCellStyle="一般 2">
  <autoFilter ref="A5:AA6" xr:uid="{72FF615D-868A-4AA5-AB91-40DA845D59B9}"/>
  <tableColumns count="27">
    <tableColumn id="1" xr3:uid="{AA35C570-4964-4434-9FFE-529EB8E63848}" uniqueName="1" name="來料日期" queryTableFieldId="1" dataDxfId="269" dataCellStyle="一般 2"/>
    <tableColumn id="2" xr3:uid="{57777DCD-8096-4A89-87EA-4A2A316ABC47}" uniqueName="2" name="製令單號" queryTableFieldId="2" dataDxfId="268" dataCellStyle="一般 2"/>
    <tableColumn id="3" xr3:uid="{ACE918A5-B348-4430-A740-B36324692E49}" uniqueName="3" name="料號" queryTableFieldId="3" dataDxfId="267" dataCellStyle="一般 2"/>
    <tableColumn id="4" xr3:uid="{B2264CCE-BAEA-42C7-9B2B-0AE0EC23B635}" uniqueName="4" name="入料數" queryTableFieldId="4" dataDxfId="266" dataCellStyle="一般 2"/>
    <tableColumn id="23" xr3:uid="{C7369F8F-3635-473C-9F01-9C80DF3EDCF5}" uniqueName="23" name="#08待委外數量" queryTableFieldId="23" dataDxfId="265" dataCellStyle="一般 2">
      <calculatedColumnFormula>_018_420[[#This Row],[入料數]]-_018_420[[#This Row],['#08已委外數量]]</calculatedColumnFormula>
    </tableColumn>
    <tableColumn id="24" xr3:uid="{54D3390F-B4BB-4AEB-B885-3FEF5398EF51}" uniqueName="24" name="#08已委外數量" queryTableFieldId="24" dataDxfId="264" dataCellStyle="一般 2">
      <calculatedColumnFormula>SUMIFS(record[OK],record[製程料號],_018_420[[#This Row],[製令單號]],record[ProcessSN],F$1)</calculatedColumnFormula>
    </tableColumn>
    <tableColumn id="5" xr3:uid="{CA6EB69A-9B86-4C8C-8506-D0F960ED473B}" uniqueName="5" name="#08廠商" queryTableFieldId="47" dataDxfId="263" dataCellStyle="一般 2">
      <calculatedColumnFormula>IF(_018_420[[#This Row],['#08已委外數量]]&gt;0,VLOOKUP(G$1,record[[ProcessSN]:[廠商]],12,FALSE),"尚未委外")</calculatedColumnFormula>
    </tableColumn>
    <tableColumn id="25" xr3:uid="{EC26201E-00F8-4CF4-B99E-0B45245A7E5C}" uniqueName="25" name="#08待回數量" queryTableFieldId="25" dataDxfId="262" dataCellStyle="一般 2">
      <calculatedColumnFormula>_018_420[[#This Row],['#08已委外數量]]-_018_420[[#This Row],['#08回
良品]]-_018_420[[#This Row],['#08委外NG]]</calculatedColumnFormula>
    </tableColumn>
    <tableColumn id="26" xr3:uid="{0CC5E8E3-B180-4B55-90A9-89C77BF0901C}" uniqueName="26" name="#08回_x000a_良品" queryTableFieldId="26" dataDxfId="261" dataCellStyle="一般 2">
      <calculatedColumnFormula>SUMIFS(record[OK],record[製程料號],_018_420[[#This Row],[製令單號]],record[ProcessSN],I$1)</calculatedColumnFormula>
    </tableColumn>
    <tableColumn id="27" xr3:uid="{80A2EA7E-A15B-4F91-9EFB-762B0D71ED77}" uniqueName="27" name="#08委外NG" queryTableFieldId="27" dataDxfId="260" dataCellStyle="一般 2">
      <calculatedColumnFormula>SUMIFS(record[NG],record[製程料號],_018_420[[#This Row],[製令單號]],record[ProcessSN],J$1)</calculatedColumnFormula>
    </tableColumn>
    <tableColumn id="7" xr3:uid="{036632DD-2949-4C5A-ACB3-97927FCB07C1}" uniqueName="7" name="陽極不良率" queryTableFieldId="49" dataDxfId="259" dataCellStyle="百分比">
      <calculatedColumnFormula>IFERROR(_018_420[[#This Row],['#08委外NG]]/_018_420[[#This Row],['#08已委外數量]],"")</calculatedColumnFormula>
    </tableColumn>
    <tableColumn id="28" xr3:uid="{51F6F89A-A960-47C1-9014-0988361D292D}" uniqueName="28" name="#06待檢驗_x000a_數量" queryTableFieldId="28" dataDxfId="258" dataCellStyle="一般 2">
      <calculatedColumnFormula>_018_420[[#This Row],['#08回
良品]]-_018_420[[#This Row],['#06檢驗OK]]-_018_420[[#This Row],['#06
QC NG]]</calculatedColumnFormula>
    </tableColumn>
    <tableColumn id="29" xr3:uid="{DDD3F135-8A11-4568-9260-B41A235B73E4}" uniqueName="29" name="#06檢驗OK" queryTableFieldId="29" dataDxfId="257" dataCellStyle="一般 2">
      <calculatedColumnFormula>SUMIFS(record[OK],record[製程料號],_018_420[[#This Row],[製令單號]],record[ProcessSN],M$1)</calculatedColumnFormula>
    </tableColumn>
    <tableColumn id="30" xr3:uid="{BFDD6F9A-9259-422B-AF2D-BD45C4681118}" uniqueName="30" name="#06_x000a_QC NG" queryTableFieldId="30" dataDxfId="256" dataCellStyle="一般 2">
      <calculatedColumnFormula>SUMIFS(record[NG],record[製程料號],_018_420[[#This Row],[製令單號]],record[ProcessSN],N$1)</calculatedColumnFormula>
    </tableColumn>
    <tableColumn id="36" xr3:uid="{881AA681-693C-438D-A4CB-EC0CE0E850EA}" uniqueName="36" name="成品待檢驗" queryTableFieldId="36" dataDxfId="255" dataCellStyle="一般 2">
      <calculatedColumnFormula>_018_420[[#This Row],['#06檢驗OK]]-_018_420[[#This Row],[不良品]]-_018_420[[#This Row],[良品]]</calculatedColumnFormula>
    </tableColumn>
    <tableColumn id="37" xr3:uid="{69D07B33-0A5F-450A-87C7-1B1D4ACE335C}" uniqueName="37" name="良品" queryTableFieldId="37" dataDxfId="254" dataCellStyle="一般 2">
      <calculatedColumnFormula>SUMIFS(record[OK],record[製程料號],_018_420[[#This Row],[製令單號]],record[ProcessSN],P$1)</calculatedColumnFormula>
    </tableColumn>
    <tableColumn id="38" xr3:uid="{0EDE3708-8D1A-4615-904E-BFDEE846539E}" uniqueName="38" name="不良品" queryTableFieldId="38" dataDxfId="253" dataCellStyle="一般 2">
      <calculatedColumnFormula>SUMIFS(record[NG],record[製程料號],_018_420[[#This Row],[製令單號]],record[ProcessSN],Q$1)</calculatedColumnFormula>
    </tableColumn>
    <tableColumn id="39" xr3:uid="{AEBC66C7-8646-4D9A-A3D8-46A9E105494E}" uniqueName="39" name="已包裝待放行" queryTableFieldId="39" dataDxfId="252" dataCellStyle="一般 2">
      <calculatedColumnFormula>_018_420[[#This Row],[良品]]-_018_420[[#This Row],[良品放行]]-_018_420[[#This Row],[不良待處理]]</calculatedColumnFormula>
    </tableColumn>
    <tableColumn id="40" xr3:uid="{0481C4B3-EC45-4EF1-AE3B-B0B2AC3CEC85}" uniqueName="40" name="良品放行" queryTableFieldId="40" dataDxfId="251" dataCellStyle="一般 2">
      <calculatedColumnFormula>SUMIFS(record[OK],record[製程料號],_018_420[[#This Row],[製令單號]],record[ProcessSN],S$1)</calculatedColumnFormula>
    </tableColumn>
    <tableColumn id="41" xr3:uid="{61427FDE-52A6-4E19-926B-0B6F27B4F13D}" uniqueName="41" name="不良待處理" queryTableFieldId="41" dataDxfId="250" dataCellStyle="一般 2">
      <calculatedColumnFormula>SUMIFS(record[NG],record[製程料號],_018_420[[#This Row],[製令單號]],record[ProcessSN],T$1)</calculatedColumnFormula>
    </tableColumn>
    <tableColumn id="42" xr3:uid="{D63D5774-D093-404A-9E3A-B74224C7CBF1}" uniqueName="42" name="未入庫" queryTableFieldId="42" dataDxfId="249" dataCellStyle="一般 2">
      <calculatedColumnFormula>_018_420[[#This Row],[良品放行]]-_018_420[[#This Row],[入庫]]</calculatedColumnFormula>
    </tableColumn>
    <tableColumn id="6" xr3:uid="{732FA259-8334-450F-BE8E-62B20FF14C08}" uniqueName="6" name="入庫" queryTableFieldId="48" dataDxfId="248" dataCellStyle="一般 2">
      <calculatedColumnFormula>SUMIFS(record[OK],record[製程料號],_018_420[[#This Row],[製令單號]],record[ProcessSN],V$1)</calculatedColumnFormula>
    </tableColumn>
    <tableColumn id="43" xr3:uid="{D0A375AD-8CB6-47A7-9901-B3E7146F2064}" uniqueName="43" name="可出貨數量" queryTableFieldId="43" dataDxfId="247" dataCellStyle="一般 2">
      <calculatedColumnFormula>_018_420[[#This Row],[入庫]]-_018_420[[#This Row],[已出貨]]</calculatedColumnFormula>
    </tableColumn>
    <tableColumn id="8" xr3:uid="{97C23611-A17D-48C8-9BD6-637456F7E749}" uniqueName="8" name="欄1" queryTableFieldId="51" dataDxfId="246" dataCellStyle="一般 2"/>
    <tableColumn id="44" xr3:uid="{F65E326C-0286-4C72-8DF3-BFDDB4FBA272}" uniqueName="44" name="已出貨" queryTableFieldId="44" dataDxfId="245" dataCellStyle="一般 2">
      <calculatedColumnFormula>SUMIFS(record[OK],record[製程料號],_018_420[[#This Row],[製令單號]],record[ProcessSN],Y$1)</calculatedColumnFormula>
    </tableColumn>
    <tableColumn id="45" xr3:uid="{AA4D7F86-1082-4A72-8647-729FC909134B}" uniqueName="45" name="總不良數" queryTableFieldId="45" dataDxfId="244" dataCellStyle="一般 2">
      <calculatedColumnFormula>_018_420[[#This Row],[不良待處理]]+_018_420[[#This Row],[不良品]]+_018_420[[#This Row],['#06
QC NG]]+_018_420[[#This Row],['#08委外NG]]</calculatedColumnFormula>
    </tableColumn>
    <tableColumn id="46" xr3:uid="{2A29A3B5-06F1-43A3-B764-2E455CC393AC}" uniqueName="46" name="直通率" queryTableFieldId="46" dataDxfId="243" dataCellStyle="百分比">
      <calculatedColumnFormula>IF(_018_420[[#This Row],[已出貨]]+_018_420[[#This Row],[總不良數]]+_018_420[[#This Row],[可出貨數量]]=_018_420[[#This Row],[入料數]],(_018_420[[#This Row],[可出貨數量]]+_018_420[[#This Row],[已出貨]])/_018_420[[#This Row],[入料數]],"")</calculatedColumnFormula>
    </tableColumn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2FF615D-868A-4AA5-AB91-40DA845D59B9}" name="_018_450" displayName="_018_450" ref="A5:AA47" tableType="queryTable" totalsRowShown="0" headerRowDxfId="660" headerRowBorderDxfId="659" tableBorderDxfId="658" headerRowCellStyle="一般 2">
  <autoFilter ref="A5:AA47" xr:uid="{72FF615D-868A-4AA5-AB91-40DA845D59B9}"/>
  <tableColumns count="27">
    <tableColumn id="1" xr3:uid="{C141F0D9-F877-4F39-B85D-13F0CAF6DF63}" uniqueName="1" name="來料日期" queryTableFieldId="1" dataDxfId="242" dataCellStyle="一般 2"/>
    <tableColumn id="2" xr3:uid="{4FE58D21-D2F8-4A5E-A852-DA5E567076CA}" uniqueName="2" name="製令單號" queryTableFieldId="2" dataDxfId="241" dataCellStyle="一般 2"/>
    <tableColumn id="3" xr3:uid="{458C45A3-4A12-4A18-84F7-AA13F0DFBE22}" uniqueName="3" name="料號" queryTableFieldId="3" dataDxfId="240" dataCellStyle="一般 2"/>
    <tableColumn id="4" xr3:uid="{660D7200-7F21-4B2F-B79F-ED1ECCB1EDEF}" uniqueName="4" name="入料數" queryTableFieldId="4" dataDxfId="239" dataCellStyle="一般 2"/>
    <tableColumn id="23" xr3:uid="{5FA35BC2-4D4C-4CC9-86F9-CD8FD96CBA53}" uniqueName="23" name="#08待委外數量" queryTableFieldId="23" dataDxfId="238" dataCellStyle="一般 2">
      <calculatedColumnFormula>_018_450[[#This Row],[入料數]]-_018_450[[#This Row],['#08已委外數量]]</calculatedColumnFormula>
    </tableColumn>
    <tableColumn id="24" xr3:uid="{74F349D9-F8C7-494A-8E06-E198995A7155}" uniqueName="24" name="#08已委外數量" queryTableFieldId="24" dataDxfId="237" dataCellStyle="一般 2">
      <calculatedColumnFormula>SUMIFS(record[OK],record[製程料號],_018_450[[#This Row],[製令單號]],record[ProcessSN],F$1)</calculatedColumnFormula>
    </tableColumn>
    <tableColumn id="5" xr3:uid="{E25960D1-73BB-4ACE-88AE-1E4A13C2EC6A}" uniqueName="5" name="#08廠商" queryTableFieldId="47" dataDxfId="236" dataCellStyle="一般 2">
      <calculatedColumnFormula>IF(_018_450[[#This Row],['#08已委外數量]]&gt;0,VLOOKUP(G$1,record[[ProcessSN]:[廠商]],12,FALSE),"尚未委外")</calculatedColumnFormula>
    </tableColumn>
    <tableColumn id="25" xr3:uid="{1165A796-350F-4A25-93BF-FBD3B4F92073}" uniqueName="25" name="#08待回數量" queryTableFieldId="25" dataDxfId="235" dataCellStyle="一般 2">
      <calculatedColumnFormula>_018_450[[#This Row],['#08已委外數量]]-_018_450[[#This Row],['#08回
良品]]-_018_450[[#This Row],['#08委外NG]]</calculatedColumnFormula>
    </tableColumn>
    <tableColumn id="26" xr3:uid="{AC05777F-2E8A-4DD2-B4AC-A55DF2860FBA}" uniqueName="26" name="#08回_x000a_良品" queryTableFieldId="26" dataDxfId="234" dataCellStyle="一般 2">
      <calculatedColumnFormula>SUMIFS(record[OK],record[製程料號],_018_450[[#This Row],[製令單號]],record[ProcessSN],I$1)</calculatedColumnFormula>
    </tableColumn>
    <tableColumn id="27" xr3:uid="{642309FA-08CA-430C-88E7-EC525CF232F6}" uniqueName="27" name="#08委外NG" queryTableFieldId="27" dataDxfId="233" dataCellStyle="一般 2">
      <calculatedColumnFormula>SUMIFS(record[NG],record[製程料號],_018_450[[#This Row],[製令單號]],record[ProcessSN],J$1)</calculatedColumnFormula>
    </tableColumn>
    <tableColumn id="7" xr3:uid="{0375D978-4342-497B-9E0E-A690A285C626}" uniqueName="7" name="陽極不良率" queryTableFieldId="49" dataDxfId="232" dataCellStyle="百分比">
      <calculatedColumnFormula>IFERROR(_018_450[[#This Row],['#08委外NG]]/_018_450[[#This Row],['#08已委外數量]],"")</calculatedColumnFormula>
    </tableColumn>
    <tableColumn id="28" xr3:uid="{618CF054-4C0D-4BB5-916C-102A1571BDFB}" uniqueName="28" name="#06待檢驗_x000a_數量" queryTableFieldId="28" dataDxfId="231" dataCellStyle="一般 2">
      <calculatedColumnFormula>_018_450[[#This Row],['#08回
良品]]-_018_450[[#This Row],['#06檢驗OK]]-_018_450[[#This Row],['#06
QC NG]]</calculatedColumnFormula>
    </tableColumn>
    <tableColumn id="29" xr3:uid="{E661D4BB-E6D9-457B-8610-4A73D21FBEF0}" uniqueName="29" name="#06檢驗OK" queryTableFieldId="29" dataDxfId="230" dataCellStyle="一般 2">
      <calculatedColumnFormula>SUMIFS(record[OK],record[製程料號],_018_450[[#This Row],[製令單號]],record[ProcessSN],M$1)</calculatedColumnFormula>
    </tableColumn>
    <tableColumn id="30" xr3:uid="{63B69FB0-1877-47AD-B208-877BA787B8CA}" uniqueName="30" name="#06_x000a_QC NG" queryTableFieldId="30" dataDxfId="229" dataCellStyle="一般 2">
      <calculatedColumnFormula>SUMIFS(record[NG],record[製程料號],_018_450[[#This Row],[製令單號]],record[ProcessSN],N$1)</calculatedColumnFormula>
    </tableColumn>
    <tableColumn id="36" xr3:uid="{76DC579D-6553-4818-B098-8A3259C43152}" uniqueName="36" name="成品待檢驗" queryTableFieldId="36" dataDxfId="228" dataCellStyle="一般 2">
      <calculatedColumnFormula>_018_450[[#This Row],['#06檢驗OK]]-_018_450[[#This Row],[不良品]]-_018_450[[#This Row],[良品]]</calculatedColumnFormula>
    </tableColumn>
    <tableColumn id="37" xr3:uid="{5703A067-AA7B-4832-A524-282B01638720}" uniqueName="37" name="良品" queryTableFieldId="37" dataDxfId="227" dataCellStyle="一般 2">
      <calculatedColumnFormula>SUMIFS(record[OK],record[製程料號],_018_450[[#This Row],[製令單號]],record[ProcessSN],P$1)</calculatedColumnFormula>
    </tableColumn>
    <tableColumn id="38" xr3:uid="{AD96EBD8-76A1-4418-800B-0533495107E6}" uniqueName="38" name="不良品" queryTableFieldId="38" dataDxfId="226" dataCellStyle="一般 2">
      <calculatedColumnFormula>SUMIFS(record[NG],record[製程料號],_018_450[[#This Row],[製令單號]],record[ProcessSN],Q$1)</calculatedColumnFormula>
    </tableColumn>
    <tableColumn id="39" xr3:uid="{9A7F273C-DC2D-4C77-B6BC-3DE4198098F6}" uniqueName="39" name="已包裝待放行" queryTableFieldId="39" dataDxfId="225" dataCellStyle="一般 2">
      <calculatedColumnFormula>_018_450[[#This Row],[良品]]-_018_450[[#This Row],[良品放行]]-_018_450[[#This Row],[不良待處理]]</calculatedColumnFormula>
    </tableColumn>
    <tableColumn id="40" xr3:uid="{29A41DAB-BB62-4C7A-83D2-CA5C6BB80FD1}" uniqueName="40" name="良品放行" queryTableFieldId="40" dataDxfId="224" dataCellStyle="一般 2">
      <calculatedColumnFormula>SUMIFS(record[OK],record[製程料號],_018_450[[#This Row],[製令單號]],record[ProcessSN],S$1)</calculatedColumnFormula>
    </tableColumn>
    <tableColumn id="41" xr3:uid="{541D91FF-2D95-4F6F-A59E-F1CF0139C648}" uniqueName="41" name="不良待處理" queryTableFieldId="41" dataDxfId="223" dataCellStyle="一般 2">
      <calculatedColumnFormula>SUMIFS(record[NG],record[製程料號],_018_450[[#This Row],[製令單號]],record[ProcessSN],T$1)</calculatedColumnFormula>
    </tableColumn>
    <tableColumn id="42" xr3:uid="{D7785D62-E704-4B0C-879F-27E4FE8A4D7C}" uniqueName="42" name="未入庫" queryTableFieldId="42" dataDxfId="222" dataCellStyle="一般 2">
      <calculatedColumnFormula>_018_450[[#This Row],[良品放行]]-_018_450[[#This Row],[入庫]]</calculatedColumnFormula>
    </tableColumn>
    <tableColumn id="6" xr3:uid="{9BFC8DC2-810F-46F5-A9C0-60C14024CE5F}" uniqueName="6" name="入庫" queryTableFieldId="48" dataDxfId="221" dataCellStyle="一般 2">
      <calculatedColumnFormula>SUMIFS(record[OK],record[製程料號],_018_450[[#This Row],[製令單號]],record[ProcessSN],V$1)</calculatedColumnFormula>
    </tableColumn>
    <tableColumn id="43" xr3:uid="{306AC924-6DC0-4202-8CF7-1D052F4504CE}" uniqueName="43" name="可出貨數量" queryTableFieldId="43" dataDxfId="220" dataCellStyle="一般 2">
      <calculatedColumnFormula>_018_450[[#This Row],[入庫]]-_018_450[[#This Row],[已出貨]]</calculatedColumnFormula>
    </tableColumn>
    <tableColumn id="8" xr3:uid="{376194A3-7882-4D6E-9A01-A26BF6D1BE7E}" uniqueName="8" name="欄1" queryTableFieldId="51" dataDxfId="219" dataCellStyle="一般 2"/>
    <tableColumn id="44" xr3:uid="{F5857001-73DC-4C2D-876A-2AF76828D580}" uniqueName="44" name="已出貨" queryTableFieldId="44" dataDxfId="218" dataCellStyle="一般 2">
      <calculatedColumnFormula>SUMIFS(record[OK],record[製程料號],_018_450[[#This Row],[製令單號]],record[ProcessSN],Y$1)</calculatedColumnFormula>
    </tableColumn>
    <tableColumn id="45" xr3:uid="{A2CF2AED-F0BA-4CB9-AEBC-2DE81E26819A}" uniqueName="45" name="總不良數" queryTableFieldId="45" dataDxfId="217" dataCellStyle="一般 2">
      <calculatedColumnFormula>_018_450[[#This Row],[不良待處理]]+_018_450[[#This Row],[不良品]]+_018_450[[#This Row],['#06
QC NG]]+_018_450[[#This Row],['#08委外NG]]</calculatedColumnFormula>
    </tableColumn>
    <tableColumn id="46" xr3:uid="{A059695D-FCB1-40D3-802C-845AB5E6624A}" uniqueName="46" name="直通率" queryTableFieldId="46" dataDxfId="216" dataCellStyle="百分比">
      <calculatedColumnFormula>IF(_018_450[[#This Row],[已出貨]]+_018_450[[#This Row],[總不良數]]+_018_450[[#This Row],[可出貨數量]]=_018_450[[#This Row],[入料數]],(_018_450[[#This Row],[可出貨數量]]+_018_450[[#This Row],[已出貨]])/_018_450[[#This Row],[入料數]],"")</calculatedColumnFormula>
    </tableColumn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311F0E6-9ACA-4C04-919A-7CD283415239}" name="_018_470" displayName="_018_470" ref="A5:AA7" tableType="queryTable" totalsRowShown="0" headerRowDxfId="657" headerRowBorderDxfId="656" tableBorderDxfId="655" headerRowCellStyle="一般 2">
  <autoFilter ref="A5:AA7" xr:uid="{72FF615D-868A-4AA5-AB91-40DA845D59B9}"/>
  <tableColumns count="27">
    <tableColumn id="1" xr3:uid="{F2336D68-7439-4B83-ACD4-FBF5A5F87497}" uniqueName="1" name="來料日期" queryTableFieldId="1" dataDxfId="215" dataCellStyle="一般 2"/>
    <tableColumn id="2" xr3:uid="{14FD01EB-793C-4E42-B416-992822E16D1F}" uniqueName="2" name="製令單號" queryTableFieldId="2" dataDxfId="214" dataCellStyle="一般 2"/>
    <tableColumn id="3" xr3:uid="{C9244101-9FFA-455A-A537-7F3D0FD69707}" uniqueName="3" name="料號" queryTableFieldId="3" dataDxfId="213" dataCellStyle="一般 2"/>
    <tableColumn id="4" xr3:uid="{09E7DE43-83FC-4DA4-9BF4-F476522B8B03}" uniqueName="4" name="入料數" queryTableFieldId="4" dataDxfId="212" dataCellStyle="一般 2"/>
    <tableColumn id="23" xr3:uid="{04DB7CB8-5CCD-4F5D-BE6F-E4D75A8C73C7}" uniqueName="23" name="#08待委外數量" queryTableFieldId="23" dataDxfId="211" dataCellStyle="一般 2">
      <calculatedColumnFormula>_018_470[[#This Row],[入料數]]-_018_470[[#This Row],['#08已委外數量]]</calculatedColumnFormula>
    </tableColumn>
    <tableColumn id="24" xr3:uid="{854F3F01-FEB2-40A1-BA1F-F13F52E478CB}" uniqueName="24" name="#08已委外數量" queryTableFieldId="24" dataDxfId="210" dataCellStyle="一般 2">
      <calculatedColumnFormula>SUMIFS(record[OK],record[製程料號],_018_470[[#This Row],[製令單號]],record[ProcessSN],F$1)</calculatedColumnFormula>
    </tableColumn>
    <tableColumn id="5" xr3:uid="{53F8E80B-9AA1-4EE0-8F73-282106951F19}" uniqueName="5" name="#08廠商" queryTableFieldId="47" dataDxfId="209" dataCellStyle="一般 2">
      <calculatedColumnFormula>IF(_018_470[[#This Row],['#08已委外數量]]&gt;0,VLOOKUP(G$1,record[[ProcessSN]:[廠商]],12,FALSE),"尚未委外")</calculatedColumnFormula>
    </tableColumn>
    <tableColumn id="25" xr3:uid="{9A913AA1-AA07-43ED-ADE6-65CDB77690CD}" uniqueName="25" name="#08待回數量" queryTableFieldId="25" dataDxfId="208" dataCellStyle="一般 2">
      <calculatedColumnFormula>_018_470[[#This Row],['#08已委外數量]]-_018_470[[#This Row],['#08回
良品]]-_018_470[[#This Row],['#08委外NG]]</calculatedColumnFormula>
    </tableColumn>
    <tableColumn id="26" xr3:uid="{3B38FF6D-1A7B-4253-B346-371F2AAD362A}" uniqueName="26" name="#08回_x000a_良品" queryTableFieldId="26" dataDxfId="207" dataCellStyle="一般 2">
      <calculatedColumnFormula>SUMIFS(record[OK],record[製程料號],_018_470[[#This Row],[製令單號]],record[ProcessSN],I$1)</calculatedColumnFormula>
    </tableColumn>
    <tableColumn id="27" xr3:uid="{606BDEE7-F8D1-49DB-A638-29D373861C79}" uniqueName="27" name="#08委外NG" queryTableFieldId="27" dataDxfId="206" dataCellStyle="一般 2">
      <calculatedColumnFormula>SUMIFS(record[NG],record[製程料號],_018_470[[#This Row],[製令單號]],record[ProcessSN],J$1)</calculatedColumnFormula>
    </tableColumn>
    <tableColumn id="7" xr3:uid="{654293A8-E762-476E-B2AC-A3DCC3EE16C8}" uniqueName="7" name="陽極不良率" queryTableFieldId="49" dataDxfId="205" dataCellStyle="百分比">
      <calculatedColumnFormula>IFERROR(_018_470[[#This Row],['#08委外NG]]/_018_470[[#This Row],['#08已委外數量]],"")</calculatedColumnFormula>
    </tableColumn>
    <tableColumn id="28" xr3:uid="{9452B2FC-DA20-4D8E-A9F2-00AB75B94799}" uniqueName="28" name="#06待檢驗_x000a_數量" queryTableFieldId="28" dataDxfId="204" dataCellStyle="一般 2">
      <calculatedColumnFormula>_018_470[[#This Row],['#08回
良品]]-_018_470[[#This Row],['#06檢驗OK]]-_018_470[[#This Row],['#06
QC NG]]</calculatedColumnFormula>
    </tableColumn>
    <tableColumn id="29" xr3:uid="{3D71A9B2-EC01-4A70-B3E0-B62120FCDCA2}" uniqueName="29" name="#06檢驗OK" queryTableFieldId="29" dataDxfId="203" dataCellStyle="一般 2">
      <calculatedColumnFormula>SUMIFS(record[OK],record[製程料號],_018_470[[#This Row],[製令單號]],record[ProcessSN],M$1)</calculatedColumnFormula>
    </tableColumn>
    <tableColumn id="30" xr3:uid="{8CF93DAC-16EA-4291-8F84-BFEE71A56A02}" uniqueName="30" name="#06_x000a_QC NG" queryTableFieldId="30" dataDxfId="202" dataCellStyle="一般 2">
      <calculatedColumnFormula>SUMIFS(record[NG],record[製程料號],_018_470[[#This Row],[製令單號]],record[ProcessSN],N$1)</calculatedColumnFormula>
    </tableColumn>
    <tableColumn id="36" xr3:uid="{0D3FFC80-506D-4686-B893-B4748E472E6C}" uniqueName="36" name="成品待檢驗" queryTableFieldId="36" dataDxfId="201" dataCellStyle="一般 2">
      <calculatedColumnFormula>_018_470[[#This Row],['#06檢驗OK]]-_018_470[[#This Row],[不良品]]-_018_470[[#This Row],[良品]]</calculatedColumnFormula>
    </tableColumn>
    <tableColumn id="37" xr3:uid="{53ABEE58-BC73-4AE6-90D0-27F7B1022E3B}" uniqueName="37" name="良品" queryTableFieldId="37" dataDxfId="200" dataCellStyle="一般 2">
      <calculatedColumnFormula>SUMIFS(record[OK],record[製程料號],_018_470[[#This Row],[製令單號]],record[ProcessSN],P$1)</calculatedColumnFormula>
    </tableColumn>
    <tableColumn id="38" xr3:uid="{9E5A04B5-376B-40DB-AA59-6E15F5D562DA}" uniqueName="38" name="不良品" queryTableFieldId="38" dataDxfId="199" dataCellStyle="一般 2">
      <calculatedColumnFormula>SUMIFS(record[NG],record[製程料號],_018_470[[#This Row],[製令單號]],record[ProcessSN],Q$1)</calculatedColumnFormula>
    </tableColumn>
    <tableColumn id="39" xr3:uid="{64B912A2-76B4-4995-BC47-D6226D0E5BD6}" uniqueName="39" name="已包裝待放行" queryTableFieldId="39" dataDxfId="198" dataCellStyle="一般 2">
      <calculatedColumnFormula>_018_470[[#This Row],[良品]]-_018_470[[#This Row],[良品放行]]-_018_470[[#This Row],[不良待處理]]</calculatedColumnFormula>
    </tableColumn>
    <tableColumn id="40" xr3:uid="{8892492C-7B6C-4BF2-B9DB-546D10186C1D}" uniqueName="40" name="良品放行" queryTableFieldId="40" dataDxfId="197" dataCellStyle="一般 2">
      <calculatedColumnFormula>SUMIFS(record[OK],record[製程料號],_018_470[[#This Row],[製令單號]],record[ProcessSN],S$1)</calculatedColumnFormula>
    </tableColumn>
    <tableColumn id="41" xr3:uid="{2C436C83-1630-43BF-A1A8-41F38DAC906A}" uniqueName="41" name="不良待處理" queryTableFieldId="41" dataDxfId="196" dataCellStyle="一般 2">
      <calculatedColumnFormula>SUMIFS(record[NG],record[製程料號],_018_470[[#This Row],[製令單號]],record[ProcessSN],T$1)</calculatedColumnFormula>
    </tableColumn>
    <tableColumn id="42" xr3:uid="{70FB2E7E-E9CA-4957-BF04-B8D7FDFC24D1}" uniqueName="42" name="未入庫" queryTableFieldId="42" dataDxfId="195" dataCellStyle="一般 2">
      <calculatedColumnFormula>_018_470[[#This Row],[良品放行]]-_018_470[[#This Row],[入庫]]</calculatedColumnFormula>
    </tableColumn>
    <tableColumn id="6" xr3:uid="{0D73BDEF-823C-4A3F-A743-607DD8D5B672}" uniqueName="6" name="入庫" queryTableFieldId="48" dataDxfId="194" dataCellStyle="一般 2">
      <calculatedColumnFormula>SUMIFS(record[OK],record[製程料號],_018_470[[#This Row],[製令單號]],record[ProcessSN],V$1)</calculatedColumnFormula>
    </tableColumn>
    <tableColumn id="43" xr3:uid="{FD6A0967-95EC-42A5-AB2D-7251833926D1}" uniqueName="43" name="可出貨數量" queryTableFieldId="43" dataDxfId="193" dataCellStyle="一般 2">
      <calculatedColumnFormula>_018_470[[#This Row],[入庫]]-_018_470[[#This Row],[已出貨]]</calculatedColumnFormula>
    </tableColumn>
    <tableColumn id="8" xr3:uid="{D994F654-DC26-4CAB-AC54-AA008BA5E453}" uniqueName="8" name="欄1" queryTableFieldId="51" dataDxfId="192" dataCellStyle="一般 2"/>
    <tableColumn id="44" xr3:uid="{C252EB55-26AA-4B53-831D-60AA8238DE3C}" uniqueName="44" name="已出貨" queryTableFieldId="44" dataDxfId="191" dataCellStyle="一般 2">
      <calculatedColumnFormula>SUMIFS(record[OK],record[製程料號],_018_470[[#This Row],[製令單號]],record[ProcessSN],Y$1)</calculatedColumnFormula>
    </tableColumn>
    <tableColumn id="45" xr3:uid="{EADD8B21-6274-430A-B4EC-57E214146915}" uniqueName="45" name="總不良數" queryTableFieldId="45" dataDxfId="190" dataCellStyle="一般 2">
      <calculatedColumnFormula>_018_470[[#This Row],[不良待處理]]+_018_470[[#This Row],[不良品]]+_018_470[[#This Row],['#06
QC NG]]+_018_470[[#This Row],['#08委外NG]]</calculatedColumnFormula>
    </tableColumn>
    <tableColumn id="46" xr3:uid="{5D97B67A-05D0-43F9-A957-1F184A35A248}" uniqueName="46" name="直通率" queryTableFieldId="46" dataDxfId="189" dataCellStyle="百分比">
      <calculatedColumnFormula>IF(_018_470[[#This Row],[已出貨]]+_018_470[[#This Row],[總不良數]]+_018_470[[#This Row],[可出貨數量]]=_018_470[[#This Row],[入料數]],(_018_470[[#This Row],[可出貨數量]]+_018_470[[#This Row],[已出貨]])/_018_470[[#This Row],[入料數]],"")</calculatedColumnFormula>
    </tableColumn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4DBFA4B-5EF3-45CE-BDF4-9C64DA9CF7A7}" name="_018_500" displayName="_018_500" ref="A5:AA10" tableType="queryTable" totalsRowShown="0" headerRowDxfId="654" headerRowBorderDxfId="653" tableBorderDxfId="652" headerRowCellStyle="一般 2">
  <autoFilter ref="A5:AA10" xr:uid="{72FF615D-868A-4AA5-AB91-40DA845D59B9}"/>
  <tableColumns count="27">
    <tableColumn id="1" xr3:uid="{0D6DEB20-832C-46DE-B879-A144E783C7CC}" uniqueName="1" name="來料日期" queryTableFieldId="1" dataDxfId="188" dataCellStyle="一般 2"/>
    <tableColumn id="2" xr3:uid="{B1B10368-F5A7-4BB6-AECA-2BE874149D2B}" uniqueName="2" name="製令單號" queryTableFieldId="2" dataDxfId="187" dataCellStyle="一般 2"/>
    <tableColumn id="3" xr3:uid="{9A97DF9A-C614-4FDA-B1A9-10830B2477B7}" uniqueName="3" name="料號" queryTableFieldId="3" dataDxfId="186" dataCellStyle="一般 2"/>
    <tableColumn id="4" xr3:uid="{D9605F8D-8AA0-49BE-9A75-B9F5EDBC272F}" uniqueName="4" name="入料數" queryTableFieldId="4" dataDxfId="185" dataCellStyle="一般 2"/>
    <tableColumn id="23" xr3:uid="{B18A01E0-6010-4805-8912-06CF3B1DFC22}" uniqueName="23" name="#08待委外數量" queryTableFieldId="23" dataDxfId="184" dataCellStyle="一般 2">
      <calculatedColumnFormula>_018_500[[#This Row],[入料數]]-_018_500[[#This Row],['#08已委外數量]]</calculatedColumnFormula>
    </tableColumn>
    <tableColumn id="24" xr3:uid="{42AE84F4-48AE-4E64-A354-6B07C766F402}" uniqueName="24" name="#08已委外數量" queryTableFieldId="24" dataDxfId="183" dataCellStyle="一般 2">
      <calculatedColumnFormula>SUMIFS(record[OK],record[製程料號],_018_500[[#This Row],[製令單號]],record[ProcessSN],F$1)</calculatedColumnFormula>
    </tableColumn>
    <tableColumn id="5" xr3:uid="{D22B5A2B-79C9-493D-85A0-7048DE20A4AE}" uniqueName="5" name="#08廠商" queryTableFieldId="47" dataDxfId="182" dataCellStyle="一般 2">
      <calculatedColumnFormula>IF(_018_500[[#This Row],['#08已委外數量]]&gt;0,VLOOKUP(G$1,record[[ProcessSN]:[廠商]],12,FALSE),"尚未委外")</calculatedColumnFormula>
    </tableColumn>
    <tableColumn id="25" xr3:uid="{08573725-CADD-45AD-B62C-3C5109156EE6}" uniqueName="25" name="#08待回數量" queryTableFieldId="25" dataDxfId="181" dataCellStyle="一般 2">
      <calculatedColumnFormula>_018_500[[#This Row],['#08已委外數量]]-_018_500[[#This Row],['#08回
良品]]-_018_500[[#This Row],['#08委外NG]]</calculatedColumnFormula>
    </tableColumn>
    <tableColumn id="26" xr3:uid="{985A337E-F7A3-43DA-BE3A-F201AD998A66}" uniqueName="26" name="#08回_x000a_良品" queryTableFieldId="26" dataDxfId="180" dataCellStyle="一般 2">
      <calculatedColumnFormula>SUMIFS(record[OK],record[製程料號],_018_500[[#This Row],[製令單號]],record[ProcessSN],I$1)</calculatedColumnFormula>
    </tableColumn>
    <tableColumn id="27" xr3:uid="{BDEB0FB4-0E8F-42DF-BB78-AD40FE5A5172}" uniqueName="27" name="#08委外NG" queryTableFieldId="27" dataDxfId="179" dataCellStyle="一般 2">
      <calculatedColumnFormula>SUMIFS(record[NG],record[製程料號],_018_500[[#This Row],[製令單號]],record[ProcessSN],J$1)</calculatedColumnFormula>
    </tableColumn>
    <tableColumn id="7" xr3:uid="{E86D00B2-123A-4084-B8B0-50375426CE13}" uniqueName="7" name="陽極不良率" queryTableFieldId="49" dataDxfId="178" dataCellStyle="百分比">
      <calculatedColumnFormula>IFERROR(_018_500[[#This Row],['#08委外NG]]/_018_500[[#This Row],['#08已委外數量]],"")</calculatedColumnFormula>
    </tableColumn>
    <tableColumn id="28" xr3:uid="{AA2594CD-B206-4153-BD5D-1A3B15CD6C55}" uniqueName="28" name="#06待檢驗_x000a_數量" queryTableFieldId="28" dataDxfId="177" dataCellStyle="一般 2">
      <calculatedColumnFormula>_018_500[[#This Row],['#08回
良品]]-_018_500[[#This Row],['#06檢驗OK]]-_018_500[[#This Row],['#06
QC NG]]</calculatedColumnFormula>
    </tableColumn>
    <tableColumn id="29" xr3:uid="{B8EFB965-70AC-4EEC-A59E-2BF3FF211160}" uniqueName="29" name="#06檢驗OK" queryTableFieldId="29" dataDxfId="176" dataCellStyle="一般 2">
      <calculatedColumnFormula>SUMIFS(record[OK],record[製程料號],_018_500[[#This Row],[製令單號]],record[ProcessSN],M$1)</calculatedColumnFormula>
    </tableColumn>
    <tableColumn id="30" xr3:uid="{8CC1396A-8C7E-46EC-9366-B3370BE45001}" uniqueName="30" name="#06_x000a_QC NG" queryTableFieldId="30" dataDxfId="175" dataCellStyle="一般 2">
      <calculatedColumnFormula>SUMIFS(record[NG],record[製程料號],_018_500[[#This Row],[製令單號]],record[ProcessSN],N$1)</calculatedColumnFormula>
    </tableColumn>
    <tableColumn id="36" xr3:uid="{15A423D1-3973-473D-8F87-CFB8A7378B6A}" uniqueName="36" name="成品待檢驗" queryTableFieldId="36" dataDxfId="174" dataCellStyle="一般 2">
      <calculatedColumnFormula>_018_500[[#This Row],['#06檢驗OK]]-_018_500[[#This Row],[不良品]]-_018_500[[#This Row],[良品]]</calculatedColumnFormula>
    </tableColumn>
    <tableColumn id="37" xr3:uid="{0D0F5178-8F87-4742-B44A-9A704176B2C0}" uniqueName="37" name="良品" queryTableFieldId="37" dataDxfId="173" dataCellStyle="一般 2">
      <calculatedColumnFormula>SUMIFS(record[OK],record[製程料號],_018_500[[#This Row],[製令單號]],record[ProcessSN],P$1)</calculatedColumnFormula>
    </tableColumn>
    <tableColumn id="38" xr3:uid="{B06C01CC-FD3C-4906-A29E-6D67E3686F00}" uniqueName="38" name="不良品" queryTableFieldId="38" dataDxfId="172" dataCellStyle="一般 2">
      <calculatedColumnFormula>SUMIFS(record[NG],record[製程料號],_018_500[[#This Row],[製令單號]],record[ProcessSN],Q$1)</calculatedColumnFormula>
    </tableColumn>
    <tableColumn id="39" xr3:uid="{C681FC04-B1F4-4C26-B03A-38F6C26235C0}" uniqueName="39" name="已包裝待放行" queryTableFieldId="39" dataDxfId="171" dataCellStyle="一般 2">
      <calculatedColumnFormula>_018_500[[#This Row],[良品]]-_018_500[[#This Row],[良品放行]]-_018_500[[#This Row],[不良待處理]]</calculatedColumnFormula>
    </tableColumn>
    <tableColumn id="40" xr3:uid="{731E9F1F-2F82-41C5-B72C-9EA7014EEAE4}" uniqueName="40" name="良品放行" queryTableFieldId="40" dataDxfId="170" dataCellStyle="一般 2">
      <calculatedColumnFormula>SUMIFS(record[OK],record[製程料號],_018_500[[#This Row],[製令單號]],record[ProcessSN],S$1)</calculatedColumnFormula>
    </tableColumn>
    <tableColumn id="41" xr3:uid="{0C282551-D6A7-4E4E-B2FA-82CE21ECBC6B}" uniqueName="41" name="不良待處理" queryTableFieldId="41" dataDxfId="169" dataCellStyle="一般 2">
      <calculatedColumnFormula>SUMIFS(record[NG],record[製程料號],_018_500[[#This Row],[製令單號]],record[ProcessSN],T$1)</calculatedColumnFormula>
    </tableColumn>
    <tableColumn id="42" xr3:uid="{002708F4-200E-4E88-93F0-E04DD1839344}" uniqueName="42" name="未入庫" queryTableFieldId="42" dataDxfId="168" dataCellStyle="一般 2">
      <calculatedColumnFormula>_018_500[[#This Row],[良品放行]]-_018_500[[#This Row],[入庫]]</calculatedColumnFormula>
    </tableColumn>
    <tableColumn id="6" xr3:uid="{9B9211E1-8CF4-4A0D-B9FA-BD622FB14654}" uniqueName="6" name="入庫" queryTableFieldId="48" dataDxfId="167" dataCellStyle="一般 2">
      <calculatedColumnFormula>SUMIFS(record[OK],record[製程料號],_018_500[[#This Row],[製令單號]],record[ProcessSN],V$1)</calculatedColumnFormula>
    </tableColumn>
    <tableColumn id="43" xr3:uid="{EB15FB31-4AFC-4A40-B781-DD8862C5A785}" uniqueName="43" name="可出貨數量" queryTableFieldId="43" dataDxfId="166" dataCellStyle="一般 2">
      <calculatedColumnFormula>_018_500[[#This Row],[入庫]]-_018_500[[#This Row],[已出貨]]</calculatedColumnFormula>
    </tableColumn>
    <tableColumn id="8" xr3:uid="{0716F952-5338-4E7B-8097-17630D56CC5A}" uniqueName="8" name="欄1" queryTableFieldId="51" dataDxfId="165" dataCellStyle="一般 2"/>
    <tableColumn id="44" xr3:uid="{3769F335-B32F-4855-9254-F75BD93008E9}" uniqueName="44" name="已出貨" queryTableFieldId="44" dataDxfId="164" dataCellStyle="一般 2">
      <calculatedColumnFormula>SUMIFS(record[OK],record[製程料號],_018_500[[#This Row],[製令單號]],record[ProcessSN],Y$1)</calculatedColumnFormula>
    </tableColumn>
    <tableColumn id="45" xr3:uid="{6889A06E-92B4-45EB-9690-5DE19FB9F048}" uniqueName="45" name="總不良數" queryTableFieldId="45" dataDxfId="163" dataCellStyle="一般 2">
      <calculatedColumnFormula>_018_500[[#This Row],[不良待處理]]+_018_500[[#This Row],[不良品]]+_018_500[[#This Row],['#06
QC NG]]+_018_500[[#This Row],['#08委外NG]]</calculatedColumnFormula>
    </tableColumn>
    <tableColumn id="46" xr3:uid="{29235BC9-8286-4D4C-9FC4-3DA40E8EC28B}" uniqueName="46" name="直通率" queryTableFieldId="46" dataDxfId="162" dataCellStyle="百分比">
      <calculatedColumnFormula>IF(_018_500[[#This Row],[已出貨]]+_018_500[[#This Row],[總不良數]]+_018_500[[#This Row],[可出貨數量]]=_018_500[[#This Row],[入料數]],(_018_500[[#This Row],[可出貨數量]]+_018_500[[#This Row],[已出貨]])/_018_500[[#This Row],[入料數]],"")</calculatedColumnFormula>
    </tableColumn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28605DE-01C7-474A-BF35-71C0A57186C3}" name="_018_520" displayName="_018_520" ref="A5:AA7" tableType="queryTable" totalsRowShown="0" headerRowDxfId="651" headerRowBorderDxfId="650" tableBorderDxfId="649" headerRowCellStyle="一般 2">
  <autoFilter ref="A5:AA7" xr:uid="{72FF615D-868A-4AA5-AB91-40DA845D59B9}"/>
  <tableColumns count="27">
    <tableColumn id="1" xr3:uid="{F3E62C0C-2551-40CD-9564-FDC62F17F424}" uniqueName="1" name="來料日期" queryTableFieldId="1" dataDxfId="161" dataCellStyle="一般 2"/>
    <tableColumn id="2" xr3:uid="{D0C8472D-92ED-444F-A2EF-F9244DB5E92F}" uniqueName="2" name="製令單號" queryTableFieldId="2" dataDxfId="160" dataCellStyle="一般 2"/>
    <tableColumn id="3" xr3:uid="{9096EBA7-E335-4129-AD49-B2C41A76E8BB}" uniqueName="3" name="料號" queryTableFieldId="3" dataDxfId="159" dataCellStyle="一般 2"/>
    <tableColumn id="4" xr3:uid="{FB318C43-CA20-419D-A4D3-3848CF219F5F}" uniqueName="4" name="入料數" queryTableFieldId="4" dataDxfId="158" dataCellStyle="一般 2"/>
    <tableColumn id="23" xr3:uid="{C4E279EE-955F-4299-A80B-BC6BB5A22E12}" uniqueName="23" name="#08待委外數量" queryTableFieldId="23" dataDxfId="157" dataCellStyle="一般 2">
      <calculatedColumnFormula>_018_520[[#This Row],[入料數]]-_018_520[[#This Row],['#08已委外數量]]</calculatedColumnFormula>
    </tableColumn>
    <tableColumn id="24" xr3:uid="{2688C8DF-59D4-4EAC-9EDB-9FEC6F6A49B0}" uniqueName="24" name="#08已委外數量" queryTableFieldId="24" dataDxfId="156" dataCellStyle="一般 2">
      <calculatedColumnFormula>SUMIFS(record[OK],record[製程料號],_018_520[[#This Row],[製令單號]],record[ProcessSN],F$1)</calculatedColumnFormula>
    </tableColumn>
    <tableColumn id="5" xr3:uid="{AF87A5DB-358B-44BC-B5CF-44E043BDFFC3}" uniqueName="5" name="#08廠商" queryTableFieldId="47" dataDxfId="155" dataCellStyle="一般 2">
      <calculatedColumnFormula>IF(_018_520[[#This Row],['#08已委外數量]]&gt;0,VLOOKUP(G$1,record[[ProcessSN]:[廠商]],12,FALSE),"尚未委外")</calculatedColumnFormula>
    </tableColumn>
    <tableColumn id="25" xr3:uid="{44C89AFA-B7A3-471F-ACF5-789813AF1888}" uniqueName="25" name="#08待回數量" queryTableFieldId="25" dataDxfId="154" dataCellStyle="一般 2">
      <calculatedColumnFormula>_018_520[[#This Row],['#08已委外數量]]-_018_520[[#This Row],['#08回
良品]]-_018_520[[#This Row],['#08委外NG]]</calculatedColumnFormula>
    </tableColumn>
    <tableColumn id="26" xr3:uid="{BD53FA45-AC8C-47EA-AD94-289BDC7E7E87}" uniqueName="26" name="#08回_x000a_良品" queryTableFieldId="26" dataDxfId="153" dataCellStyle="一般 2">
      <calculatedColumnFormula>SUMIFS(record[OK],record[製程料號],_018_520[[#This Row],[製令單號]],record[ProcessSN],I$1)</calculatedColumnFormula>
    </tableColumn>
    <tableColumn id="27" xr3:uid="{75B07BD5-32A1-43CB-8640-D7CFFC8CB6E0}" uniqueName="27" name="#08委外NG" queryTableFieldId="27" dataDxfId="152" dataCellStyle="一般 2">
      <calculatedColumnFormula>SUMIFS(record[NG],record[製程料號],_018_520[[#This Row],[製令單號]],record[ProcessSN],J$1)</calculatedColumnFormula>
    </tableColumn>
    <tableColumn id="7" xr3:uid="{BB6D08FF-EF84-49D9-85E4-472431B78037}" uniqueName="7" name="陽極不良率" queryTableFieldId="49" dataDxfId="151" dataCellStyle="百分比">
      <calculatedColumnFormula>IFERROR(_018_520[[#This Row],['#08委外NG]]/_018_520[[#This Row],['#08已委外數量]],"")</calculatedColumnFormula>
    </tableColumn>
    <tableColumn id="28" xr3:uid="{9E95AC19-A940-4F9A-8BB6-4EB8C098494D}" uniqueName="28" name="#06待檢驗_x000a_數量" queryTableFieldId="28" dataDxfId="150" dataCellStyle="一般 2">
      <calculatedColumnFormula>_018_520[[#This Row],['#08回
良品]]-_018_520[[#This Row],['#06檢驗OK]]-_018_520[[#This Row],['#06
QC NG]]</calculatedColumnFormula>
    </tableColumn>
    <tableColumn id="29" xr3:uid="{20F7856B-E765-488C-8EC1-2FA484D96E1B}" uniqueName="29" name="#06檢驗OK" queryTableFieldId="29" dataDxfId="149" dataCellStyle="一般 2">
      <calculatedColumnFormula>SUMIFS(record[OK],record[製程料號],_018_520[[#This Row],[製令單號]],record[ProcessSN],M$1)</calculatedColumnFormula>
    </tableColumn>
    <tableColumn id="30" xr3:uid="{F97CBCC5-730A-47A6-8ECD-5A5CD76E5382}" uniqueName="30" name="#06_x000a_QC NG" queryTableFieldId="30" dataDxfId="148" dataCellStyle="一般 2">
      <calculatedColumnFormula>SUMIFS(record[NG],record[製程料號],_018_520[[#This Row],[製令單號]],record[ProcessSN],N$1)</calculatedColumnFormula>
    </tableColumn>
    <tableColumn id="36" xr3:uid="{9B93353F-71D5-45E3-86EA-B30B32AFD589}" uniqueName="36" name="成品待檢驗" queryTableFieldId="36" dataDxfId="147" dataCellStyle="一般 2">
      <calculatedColumnFormula>_018_520[[#This Row],['#06檢驗OK]]-_018_520[[#This Row],[不良品]]-_018_520[[#This Row],[良品]]</calculatedColumnFormula>
    </tableColumn>
    <tableColumn id="37" xr3:uid="{8BCB1FDB-14DF-495E-89EC-CAB6BF43688C}" uniqueName="37" name="良品" queryTableFieldId="37" dataDxfId="146" dataCellStyle="一般 2">
      <calculatedColumnFormula>SUMIFS(record[OK],record[製程料號],_018_520[[#This Row],[製令單號]],record[ProcessSN],P$1)</calculatedColumnFormula>
    </tableColumn>
    <tableColumn id="38" xr3:uid="{22022E8A-9961-4535-AFE1-8DC3C1F85DCC}" uniqueName="38" name="不良品" queryTableFieldId="38" dataDxfId="145" dataCellStyle="一般 2">
      <calculatedColumnFormula>SUMIFS(record[NG],record[製程料號],_018_520[[#This Row],[製令單號]],record[ProcessSN],Q$1)</calculatedColumnFormula>
    </tableColumn>
    <tableColumn id="39" xr3:uid="{E7115FC9-CA30-448B-8F40-34AFD5DD622D}" uniqueName="39" name="已包裝待放行" queryTableFieldId="39" dataDxfId="144" dataCellStyle="一般 2">
      <calculatedColumnFormula>_018_520[[#This Row],[良品]]-_018_520[[#This Row],[良品放行]]-_018_520[[#This Row],[不良待處理]]</calculatedColumnFormula>
    </tableColumn>
    <tableColumn id="40" xr3:uid="{7E853694-92BF-4B06-BAA9-3843334FDB39}" uniqueName="40" name="良品放行" queryTableFieldId="40" dataDxfId="143" dataCellStyle="一般 2">
      <calculatedColumnFormula>SUMIFS(record[OK],record[製程料號],_018_520[[#This Row],[製令單號]],record[ProcessSN],S$1)</calculatedColumnFormula>
    </tableColumn>
    <tableColumn id="41" xr3:uid="{5FD1D652-A1B3-425D-A625-B9028F0CB050}" uniqueName="41" name="不良待處理" queryTableFieldId="41" dataDxfId="142" dataCellStyle="一般 2">
      <calculatedColumnFormula>SUMIFS(record[NG],record[製程料號],_018_520[[#This Row],[製令單號]],record[ProcessSN],T$1)</calculatedColumnFormula>
    </tableColumn>
    <tableColumn id="42" xr3:uid="{8C08EB54-072C-408F-87CC-2D87C548BC63}" uniqueName="42" name="未入庫" queryTableFieldId="42" dataDxfId="141" dataCellStyle="一般 2">
      <calculatedColumnFormula>_018_520[[#This Row],[良品放行]]-_018_520[[#This Row],[入庫]]</calculatedColumnFormula>
    </tableColumn>
    <tableColumn id="6" xr3:uid="{1FC5268A-F6D0-45BE-9FE3-DC61B2C493A2}" uniqueName="6" name="入庫" queryTableFieldId="48" dataDxfId="140" dataCellStyle="一般 2">
      <calculatedColumnFormula>SUMIFS(record[OK],record[製程料號],_018_520[[#This Row],[製令單號]],record[ProcessSN],V$1)</calculatedColumnFormula>
    </tableColumn>
    <tableColumn id="43" xr3:uid="{F3B03028-F50F-48ED-8435-1A395BDF2ADE}" uniqueName="43" name="可出貨數量" queryTableFieldId="43" dataDxfId="139" dataCellStyle="一般 2">
      <calculatedColumnFormula>_018_520[[#This Row],[入庫]]-_018_520[[#This Row],[已出貨]]</calculatedColumnFormula>
    </tableColumn>
    <tableColumn id="8" xr3:uid="{00D30C12-818F-4515-9966-96A05133D006}" uniqueName="8" name="欄1" queryTableFieldId="51" dataDxfId="138" dataCellStyle="一般 2"/>
    <tableColumn id="44" xr3:uid="{F3B37010-AAC8-4868-8B2F-33132A35A8E8}" uniqueName="44" name="已出貨" queryTableFieldId="44" dataDxfId="137" dataCellStyle="一般 2">
      <calculatedColumnFormula>SUMIFS(record[OK],record[製程料號],_018_520[[#This Row],[製令單號]],record[ProcessSN],Y$1)</calculatedColumnFormula>
    </tableColumn>
    <tableColumn id="45" xr3:uid="{2AEA8F50-4CE5-46C6-8073-E344B25089B8}" uniqueName="45" name="總不良數" queryTableFieldId="45" dataDxfId="136" dataCellStyle="一般 2">
      <calculatedColumnFormula>_018_520[[#This Row],[不良待處理]]+_018_520[[#This Row],[不良品]]+_018_520[[#This Row],['#06
QC NG]]+_018_520[[#This Row],['#08委外NG]]</calculatedColumnFormula>
    </tableColumn>
    <tableColumn id="46" xr3:uid="{71249D97-9BD2-4A78-8E55-61F1C7554AB0}" uniqueName="46" name="直通率" queryTableFieldId="46" dataDxfId="135" dataCellStyle="百分比">
      <calculatedColumnFormula>IF(_018_520[[#This Row],[已出貨]]+_018_520[[#This Row],[總不良數]]+_018_520[[#This Row],[可出貨數量]]=_018_520[[#This Row],[入料數]],(_018_520[[#This Row],[可出貨數量]]+_018_520[[#This Row],[已出貨]])/_018_520[[#This Row],[入料數]],"")</calculatedColumnFormula>
    </tableColumn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2681683-2136-428B-8125-A5D6A424F523}" name="_018_550" displayName="_018_550" ref="A5:AA164" tableType="queryTable" totalsRowShown="0" headerRowDxfId="648" headerRowBorderDxfId="647" tableBorderDxfId="646" headerRowCellStyle="一般 2">
  <autoFilter ref="A5:AA164" xr:uid="{72FF615D-868A-4AA5-AB91-40DA845D59B9}"/>
  <tableColumns count="27">
    <tableColumn id="1" xr3:uid="{C2FCDB3B-1640-4F38-BDEE-D224C298D593}" uniqueName="1" name="來料日期" queryTableFieldId="1" dataDxfId="134" dataCellStyle="一般 2"/>
    <tableColumn id="2" xr3:uid="{C60828C7-FB5E-40BB-93A0-6581EB9F3A6F}" uniqueName="2" name="製令單號" queryTableFieldId="2" dataDxfId="133" dataCellStyle="一般 2"/>
    <tableColumn id="3" xr3:uid="{52E64D73-D256-42F0-A2FE-6F0F26BE99CD}" uniqueName="3" name="料號" queryTableFieldId="3" dataDxfId="132" dataCellStyle="一般 2"/>
    <tableColumn id="4" xr3:uid="{70003374-C104-4361-B218-B4E5173E3AE2}" uniqueName="4" name="入料數" queryTableFieldId="4" dataDxfId="131" dataCellStyle="一般 2"/>
    <tableColumn id="23" xr3:uid="{202DB9C4-D83F-4B78-9BC2-D2E72A33AC70}" uniqueName="23" name="#08待委外數量" queryTableFieldId="23" dataDxfId="130" dataCellStyle="一般 2">
      <calculatedColumnFormula>_018_550[[#This Row],[入料數]]-_018_550[[#This Row],['#08已委外數量]]</calculatedColumnFormula>
    </tableColumn>
    <tableColumn id="24" xr3:uid="{8368AE13-08A0-4872-86F1-C56903D735C4}" uniqueName="24" name="#08已委外數量" queryTableFieldId="24" dataDxfId="129" dataCellStyle="一般 2">
      <calculatedColumnFormula>SUMIFS(record[OK],record[製程料號],_018_550[[#This Row],[製令單號]],record[ProcessSN],F$1)</calculatedColumnFormula>
    </tableColumn>
    <tableColumn id="5" xr3:uid="{A17BE827-8AFE-4782-A465-7F044FA0F278}" uniqueName="5" name="#08廠商" queryTableFieldId="47" dataDxfId="128" dataCellStyle="一般 2">
      <calculatedColumnFormula>IF(_018_550[[#This Row],['#08已委外數量]]&gt;0,VLOOKUP(G$1,record[[ProcessSN]:[廠商]],12,FALSE),"尚未委外")</calculatedColumnFormula>
    </tableColumn>
    <tableColumn id="25" xr3:uid="{43E31E04-945A-4DC8-AF14-13866BE727FF}" uniqueName="25" name="#08待回數量" queryTableFieldId="25" dataDxfId="127" dataCellStyle="一般 2">
      <calculatedColumnFormula>_018_550[[#This Row],['#08已委外數量]]-_018_550[[#This Row],['#08回
良品]]-_018_550[[#This Row],['#08委外NG]]</calculatedColumnFormula>
    </tableColumn>
    <tableColumn id="26" xr3:uid="{16FB9391-DB51-4872-A109-46ECD6E8CE77}" uniqueName="26" name="#08回_x000a_良品" queryTableFieldId="26" dataDxfId="126" dataCellStyle="一般 2">
      <calculatedColumnFormula>SUMIFS(record[OK],record[製程料號],_018_550[[#This Row],[製令單號]],record[ProcessSN],I$1)</calculatedColumnFormula>
    </tableColumn>
    <tableColumn id="27" xr3:uid="{941906A7-41ED-45BF-B6C7-3B2F60427D73}" uniqueName="27" name="#08委外NG" queryTableFieldId="27" dataDxfId="125" dataCellStyle="一般 2">
      <calculatedColumnFormula>SUMIFS(record[NG],record[製程料號],_018_550[[#This Row],[製令單號]],record[ProcessSN],J$1)</calculatedColumnFormula>
    </tableColumn>
    <tableColumn id="7" xr3:uid="{EAAE5984-AD32-46B1-A5D4-FC7EFC699919}" uniqueName="7" name="陽極不良率" queryTableFieldId="49" dataDxfId="124" dataCellStyle="百分比">
      <calculatedColumnFormula>IFERROR(_018_550[[#This Row],['#08委外NG]]/_018_550[[#This Row],['#08已委外數量]],"")</calculatedColumnFormula>
    </tableColumn>
    <tableColumn id="28" xr3:uid="{B181B1AE-731D-4B4C-94C8-A29C00E4C682}" uniqueName="28" name="#06待檢驗_x000a_數量" queryTableFieldId="28" dataDxfId="123" dataCellStyle="一般 2">
      <calculatedColumnFormula>_018_550[[#This Row],['#08回
良品]]-_018_550[[#This Row],['#06檢驗OK]]-_018_550[[#This Row],['#06
QC NG]]</calculatedColumnFormula>
    </tableColumn>
    <tableColumn id="29" xr3:uid="{A42B71B0-9077-47E5-A848-217927580CD0}" uniqueName="29" name="#06檢驗OK" queryTableFieldId="29" dataDxfId="122" dataCellStyle="一般 2">
      <calculatedColumnFormula>SUMIFS(record[OK],record[製程料號],_018_550[[#This Row],[製令單號]],record[ProcessSN],M$1)</calculatedColumnFormula>
    </tableColumn>
    <tableColumn id="30" xr3:uid="{3F662FD3-A081-4A61-8F05-F54214FB9D25}" uniqueName="30" name="#06_x000a_QC NG" queryTableFieldId="30" dataDxfId="121" dataCellStyle="一般 2">
      <calculatedColumnFormula>SUMIFS(record[NG],record[製程料號],_018_550[[#This Row],[製令單號]],record[ProcessSN],N$1)</calculatedColumnFormula>
    </tableColumn>
    <tableColumn id="36" xr3:uid="{88CCF023-581F-4CAF-9D20-AE768BCDC5B4}" uniqueName="36" name="成品待檢驗" queryTableFieldId="36" dataDxfId="120" dataCellStyle="一般 2">
      <calculatedColumnFormula>_018_550[[#This Row],['#06檢驗OK]]-_018_550[[#This Row],[不良品]]-_018_550[[#This Row],[良品]]</calculatedColumnFormula>
    </tableColumn>
    <tableColumn id="37" xr3:uid="{ADEC86BC-3DA6-4A9A-B612-A7A79C36C227}" uniqueName="37" name="良品" queryTableFieldId="37" dataDxfId="119" dataCellStyle="一般 2">
      <calculatedColumnFormula>SUMIFS(record[OK],record[製程料號],_018_550[[#This Row],[製令單號]],record[ProcessSN],P$1)</calculatedColumnFormula>
    </tableColumn>
    <tableColumn id="38" xr3:uid="{A77B9BEA-ED15-4A19-B84C-95B548E11A7B}" uniqueName="38" name="不良品" queryTableFieldId="38" dataDxfId="118" dataCellStyle="一般 2">
      <calculatedColumnFormula>SUMIFS(record[NG],record[製程料號],_018_550[[#This Row],[製令單號]],record[ProcessSN],Q$1)</calculatedColumnFormula>
    </tableColumn>
    <tableColumn id="39" xr3:uid="{2CBFB1F4-3BAC-4DCC-9CD9-4D80FA028B1F}" uniqueName="39" name="已包裝待放行" queryTableFieldId="39" dataDxfId="117" dataCellStyle="一般 2">
      <calculatedColumnFormula>_018_550[[#This Row],[良品]]-_018_550[[#This Row],[良品放行]]-_018_550[[#This Row],[不良待處理]]</calculatedColumnFormula>
    </tableColumn>
    <tableColumn id="40" xr3:uid="{B9CBBFCD-EC53-4DDF-8EC9-0240A5379AB9}" uniqueName="40" name="良品放行" queryTableFieldId="40" dataDxfId="116" dataCellStyle="一般 2">
      <calculatedColumnFormula>SUMIFS(record[OK],record[製程料號],_018_550[[#This Row],[製令單號]],record[ProcessSN],S$1)</calculatedColumnFormula>
    </tableColumn>
    <tableColumn id="41" xr3:uid="{07C50348-EBDF-4A8A-87FE-20BF73FAF515}" uniqueName="41" name="不良待處理" queryTableFieldId="41" dataDxfId="115" dataCellStyle="一般 2">
      <calculatedColumnFormula>SUMIFS(record[NG],record[製程料號],_018_550[[#This Row],[製令單號]],record[ProcessSN],T$1)</calculatedColumnFormula>
    </tableColumn>
    <tableColumn id="42" xr3:uid="{9D66B6EB-B733-47B6-B745-50597E02C1A6}" uniqueName="42" name="未入庫" queryTableFieldId="42" dataDxfId="114" dataCellStyle="一般 2">
      <calculatedColumnFormula>_018_550[[#This Row],[良品放行]]-_018_550[[#This Row],[入庫]]</calculatedColumnFormula>
    </tableColumn>
    <tableColumn id="6" xr3:uid="{9E710F99-B952-4AB4-B96C-031BCC5C0A1C}" uniqueName="6" name="入庫" queryTableFieldId="48" dataDxfId="113" dataCellStyle="一般 2">
      <calculatedColumnFormula>SUMIFS(record[OK],record[製程料號],_018_550[[#This Row],[製令單號]],record[ProcessSN],V$1)</calculatedColumnFormula>
    </tableColumn>
    <tableColumn id="43" xr3:uid="{BCFD1F81-8D72-4106-BD51-CBF3C5F24D62}" uniqueName="43" name="可出貨數量" queryTableFieldId="43" dataDxfId="112" dataCellStyle="一般 2">
      <calculatedColumnFormula>_018_550[[#This Row],[入庫]]-_018_550[[#This Row],[已出貨]]</calculatedColumnFormula>
    </tableColumn>
    <tableColumn id="8" xr3:uid="{BAF0C8CB-C55C-4BF9-B6DC-E718677443DC}" uniqueName="8" name="欄1" queryTableFieldId="51" dataDxfId="111" dataCellStyle="一般 2"/>
    <tableColumn id="44" xr3:uid="{C1F9083C-9B62-49FE-AA55-FBB10006CC89}" uniqueName="44" name="已出貨" queryTableFieldId="44" dataDxfId="110" dataCellStyle="一般 2">
      <calculatedColumnFormula>SUMIFS(record[OK],record[製程料號],_018_550[[#This Row],[製令單號]],record[ProcessSN],Y$1)</calculatedColumnFormula>
    </tableColumn>
    <tableColumn id="45" xr3:uid="{A932DE8C-E76B-4D3C-8DCA-91FF79D8A86C}" uniqueName="45" name="總不良數" queryTableFieldId="45" dataDxfId="109" dataCellStyle="一般 2">
      <calculatedColumnFormula>_018_550[[#This Row],[不良待處理]]+_018_550[[#This Row],[不良品]]+_018_550[[#This Row],['#06
QC NG]]+_018_550[[#This Row],['#08委外NG]]</calculatedColumnFormula>
    </tableColumn>
    <tableColumn id="46" xr3:uid="{1C38CBC6-42F3-4120-B4A9-853A9AE51B80}" uniqueName="46" name="直通率" queryTableFieldId="46" dataDxfId="108" dataCellStyle="百分比">
      <calculatedColumnFormula>IF(_018_550[[#This Row],[已出貨]]+_018_550[[#This Row],[總不良數]]+_018_550[[#This Row],[可出貨數量]]=_018_550[[#This Row],[入料數]],(_018_550[[#This Row],[可出貨數量]]+_018_550[[#This Row],[已出貨]])/_018_550[[#This Row],[入料數]],"")</calculatedColumnFormula>
    </tableColumn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746892E-A76B-4A70-BFB2-70ED60504F1A}" name="_018_570" displayName="_018_570" ref="A5:AA9" tableType="queryTable" totalsRowShown="0" headerRowDxfId="645" headerRowBorderDxfId="644" tableBorderDxfId="643" headerRowCellStyle="一般 2">
  <autoFilter ref="A5:AA9" xr:uid="{72FF615D-868A-4AA5-AB91-40DA845D59B9}"/>
  <tableColumns count="27">
    <tableColumn id="1" xr3:uid="{F84BF659-4219-44F4-A682-EEB40DCCB4D1}" uniqueName="1" name="來料日期" queryTableFieldId="1" dataDxfId="107" dataCellStyle="一般 2"/>
    <tableColumn id="2" xr3:uid="{56FEFD0E-6701-4213-8D2F-F24A632044EE}" uniqueName="2" name="製令單號" queryTableFieldId="2" dataDxfId="106" dataCellStyle="一般 2"/>
    <tableColumn id="3" xr3:uid="{65A27CBC-1F61-4F9C-AA51-9BF74A722C80}" uniqueName="3" name="料號" queryTableFieldId="3" dataDxfId="105" dataCellStyle="一般 2"/>
    <tableColumn id="4" xr3:uid="{7E24C989-DE14-4654-985A-EEB7E5A668C0}" uniqueName="4" name="入料數" queryTableFieldId="4" dataDxfId="104" dataCellStyle="一般 2"/>
    <tableColumn id="23" xr3:uid="{61612846-8AB7-41F4-9975-C663C81125D1}" uniqueName="23" name="#08待委外數量" queryTableFieldId="23" dataDxfId="103" dataCellStyle="一般 2">
      <calculatedColumnFormula>_018_570[[#This Row],[入料數]]-_018_570[[#This Row],['#08已委外數量]]</calculatedColumnFormula>
    </tableColumn>
    <tableColumn id="24" xr3:uid="{0F7E2F95-E2D4-45AE-A57F-FB008F921468}" uniqueName="24" name="#08已委外數量" queryTableFieldId="24" dataDxfId="102" dataCellStyle="一般 2">
      <calculatedColumnFormula>SUMIFS(record[OK],record[製程料號],_018_570[[#This Row],[製令單號]],record[ProcessSN],F$1)</calculatedColumnFormula>
    </tableColumn>
    <tableColumn id="5" xr3:uid="{024570F4-C496-4B52-A39D-D71C8FD51685}" uniqueName="5" name="#08廠商" queryTableFieldId="47" dataDxfId="101" dataCellStyle="一般 2">
      <calculatedColumnFormula>IF(_018_570[[#This Row],['#08已委外數量]]&gt;0,VLOOKUP(G$1,record[[ProcessSN]:[廠商]],12,FALSE),"尚未委外")</calculatedColumnFormula>
    </tableColumn>
    <tableColumn id="25" xr3:uid="{FD3CBC10-DB7F-4B54-9F60-611D0950398B}" uniqueName="25" name="#08待回數量" queryTableFieldId="25" dataDxfId="100" dataCellStyle="一般 2">
      <calculatedColumnFormula>_018_570[[#This Row],['#08已委外數量]]-_018_570[[#This Row],['#08回
良品]]-_018_570[[#This Row],['#08委外NG]]</calculatedColumnFormula>
    </tableColumn>
    <tableColumn id="26" xr3:uid="{082E2075-427A-48DD-A206-3059F750DFF9}" uniqueName="26" name="#08回_x000a_良品" queryTableFieldId="26" dataDxfId="99" dataCellStyle="一般 2">
      <calculatedColumnFormula>SUMIFS(record[OK],record[製程料號],_018_570[[#This Row],[製令單號]],record[ProcessSN],I$1)</calculatedColumnFormula>
    </tableColumn>
    <tableColumn id="27" xr3:uid="{AE7EC1E1-CB2A-4C46-AD8F-8A62DD8ED5EA}" uniqueName="27" name="#08委外NG" queryTableFieldId="27" dataDxfId="98" dataCellStyle="一般 2">
      <calculatedColumnFormula>SUMIFS(record[NG],record[製程料號],_018_570[[#This Row],[製令單號]],record[ProcessSN],J$1)</calculatedColumnFormula>
    </tableColumn>
    <tableColumn id="7" xr3:uid="{6866C9FF-CFB7-45C3-9A17-D1ED9E5372B9}" uniqueName="7" name="陽極不良率" queryTableFieldId="49" dataDxfId="97" dataCellStyle="百分比">
      <calculatedColumnFormula>IFERROR(_018_570[[#This Row],['#08委外NG]]/_018_570[[#This Row],['#08已委外數量]],"")</calculatedColumnFormula>
    </tableColumn>
    <tableColumn id="28" xr3:uid="{CC7F3A15-FC84-4A3C-9B1F-9B283104F206}" uniqueName="28" name="#06待檢驗_x000a_數量" queryTableFieldId="28" dataDxfId="96" dataCellStyle="一般 2">
      <calculatedColumnFormula>_018_570[[#This Row],['#08回
良品]]-_018_570[[#This Row],['#06檢驗OK]]-_018_570[[#This Row],['#06
QC NG]]</calculatedColumnFormula>
    </tableColumn>
    <tableColumn id="29" xr3:uid="{2E905228-929A-4264-B116-075AE701C03D}" uniqueName="29" name="#06檢驗OK" queryTableFieldId="29" dataDxfId="95" dataCellStyle="一般 2">
      <calculatedColumnFormula>SUMIFS(record[OK],record[製程料號],_018_570[[#This Row],[製令單號]],record[ProcessSN],M$1)</calculatedColumnFormula>
    </tableColumn>
    <tableColumn id="30" xr3:uid="{D4E43688-CE01-4D77-BEE2-ED11567C96F1}" uniqueName="30" name="#06_x000a_QC NG" queryTableFieldId="30" dataDxfId="94" dataCellStyle="一般 2">
      <calculatedColumnFormula>SUMIFS(record[NG],record[製程料號],_018_570[[#This Row],[製令單號]],record[ProcessSN],N$1)</calculatedColumnFormula>
    </tableColumn>
    <tableColumn id="36" xr3:uid="{BF7F64B3-1D47-4D3F-A2A2-941C230A3E32}" uniqueName="36" name="成品待檢驗" queryTableFieldId="36" dataDxfId="93" dataCellStyle="一般 2">
      <calculatedColumnFormula>_018_570[[#This Row],['#06檢驗OK]]-_018_570[[#This Row],[不良品]]-_018_570[[#This Row],[良品]]</calculatedColumnFormula>
    </tableColumn>
    <tableColumn id="37" xr3:uid="{D45AEC54-61D2-43A1-B380-3B4FB8AED1AF}" uniqueName="37" name="良品" queryTableFieldId="37" dataDxfId="92" dataCellStyle="一般 2">
      <calculatedColumnFormula>SUMIFS(record[OK],record[製程料號],_018_570[[#This Row],[製令單號]],record[ProcessSN],P$1)</calculatedColumnFormula>
    </tableColumn>
    <tableColumn id="38" xr3:uid="{7A4798B1-B979-4677-B1B3-6B71C9E5B8C3}" uniqueName="38" name="不良品" queryTableFieldId="38" dataDxfId="91" dataCellStyle="一般 2">
      <calculatedColumnFormula>SUMIFS(record[NG],record[製程料號],_018_570[[#This Row],[製令單號]],record[ProcessSN],Q$1)</calculatedColumnFormula>
    </tableColumn>
    <tableColumn id="39" xr3:uid="{8DA9FC76-EEA7-41FF-B297-CC2A912E81F4}" uniqueName="39" name="已包裝待放行" queryTableFieldId="39" dataDxfId="90" dataCellStyle="一般 2">
      <calculatedColumnFormula>_018_570[[#This Row],[良品]]-_018_570[[#This Row],[良品放行]]-_018_570[[#This Row],[不良待處理]]</calculatedColumnFormula>
    </tableColumn>
    <tableColumn id="40" xr3:uid="{9AB91795-77E4-4007-97F9-BC257F44438C}" uniqueName="40" name="良品放行" queryTableFieldId="40" dataDxfId="89" dataCellStyle="一般 2">
      <calculatedColumnFormula>SUMIFS(record[OK],record[製程料號],_018_570[[#This Row],[製令單號]],record[ProcessSN],S$1)</calculatedColumnFormula>
    </tableColumn>
    <tableColumn id="41" xr3:uid="{19800C15-4F1D-4ABA-BA9B-AD4192C5B0C0}" uniqueName="41" name="不良待處理" queryTableFieldId="41" dataDxfId="88" dataCellStyle="一般 2">
      <calculatedColumnFormula>SUMIFS(record[NG],record[製程料號],_018_570[[#This Row],[製令單號]],record[ProcessSN],T$1)</calculatedColumnFormula>
    </tableColumn>
    <tableColumn id="42" xr3:uid="{46D8C023-086B-4DE4-A133-832F85866ABE}" uniqueName="42" name="未入庫" queryTableFieldId="42" dataDxfId="87" dataCellStyle="一般 2">
      <calculatedColumnFormula>_018_570[[#This Row],[良品放行]]-_018_570[[#This Row],[入庫]]</calculatedColumnFormula>
    </tableColumn>
    <tableColumn id="6" xr3:uid="{CFDED047-BE18-4199-B1CB-E57CC9947EE1}" uniqueName="6" name="入庫" queryTableFieldId="48" dataDxfId="86" dataCellStyle="一般 2">
      <calculatedColumnFormula>SUMIFS(record[OK],record[製程料號],_018_570[[#This Row],[製令單號]],record[ProcessSN],V$1)</calculatedColumnFormula>
    </tableColumn>
    <tableColumn id="43" xr3:uid="{5FCC5319-5E36-4EFC-8384-0C2FD591466F}" uniqueName="43" name="可出貨數量" queryTableFieldId="43" dataDxfId="85" dataCellStyle="一般 2">
      <calculatedColumnFormula>_018_570[[#This Row],[入庫]]-_018_570[[#This Row],[已出貨]]</calculatedColumnFormula>
    </tableColumn>
    <tableColumn id="8" xr3:uid="{4214640E-72DD-4214-9534-10B51B12A468}" uniqueName="8" name="欄1" queryTableFieldId="51" dataDxfId="84" dataCellStyle="一般 2"/>
    <tableColumn id="44" xr3:uid="{0F7BE8F7-29BE-42AC-BF4F-BBF8125E8847}" uniqueName="44" name="已出貨" queryTableFieldId="44" dataDxfId="83" dataCellStyle="一般 2">
      <calculatedColumnFormula>SUMIFS(record[OK],record[製程料號],_018_570[[#This Row],[製令單號]],record[ProcessSN],Y$1)</calculatedColumnFormula>
    </tableColumn>
    <tableColumn id="45" xr3:uid="{9A9E80EA-3A34-4967-B6A3-13C044A7382E}" uniqueName="45" name="總不良數" queryTableFieldId="45" dataDxfId="82" dataCellStyle="一般 2">
      <calculatedColumnFormula>_018_570[[#This Row],[不良待處理]]+_018_570[[#This Row],[不良品]]+_018_570[[#This Row],['#06
QC NG]]+_018_570[[#This Row],['#08委外NG]]</calculatedColumnFormula>
    </tableColumn>
    <tableColumn id="46" xr3:uid="{4FB4FA02-9472-4D8A-B016-D0C003B4C91F}" uniqueName="46" name="直通率" queryTableFieldId="46" dataDxfId="81" dataCellStyle="百分比">
      <calculatedColumnFormula>IF(_018_570[[#This Row],[已出貨]]+_018_570[[#This Row],[總不良數]]+_018_570[[#This Row],[可出貨數量]]=_018_570[[#This Row],[入料數]],(_018_570[[#This Row],[可出貨數量]]+_018_570[[#This Row],[已出貨]])/_018_570[[#This Row],[入料數]],"")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4AC7E67E-2975-44FB-99E8-16179AB8A6A9}" name="_018_600" displayName="_018_600" ref="A5:AA96" tableType="queryTable" totalsRowShown="0" headerRowDxfId="642" headerRowBorderDxfId="641" tableBorderDxfId="640" headerRowCellStyle="一般 2">
  <autoFilter ref="A5:AA96" xr:uid="{72FF615D-868A-4AA5-AB91-40DA845D59B9}"/>
  <tableColumns count="27">
    <tableColumn id="1" xr3:uid="{E8CBE8F6-21A7-47BF-8607-96CCE8476EF8}" uniqueName="1" name="來料日期" queryTableFieldId="1" dataDxfId="80" dataCellStyle="一般 2"/>
    <tableColumn id="2" xr3:uid="{4736C907-3459-485C-BF3A-D3CFB7D7C33A}" uniqueName="2" name="製令單號" queryTableFieldId="2" dataDxfId="79" dataCellStyle="一般 2"/>
    <tableColumn id="3" xr3:uid="{87F3ED97-9B7E-4B35-AD10-9E5209BF6486}" uniqueName="3" name="料號" queryTableFieldId="3" dataDxfId="78" dataCellStyle="一般 2"/>
    <tableColumn id="4" xr3:uid="{32864D30-4D91-4646-9A54-2783150F3A72}" uniqueName="4" name="入料數" queryTableFieldId="4" dataDxfId="77" dataCellStyle="一般 2"/>
    <tableColumn id="23" xr3:uid="{B8A8AF3F-661B-4B21-88B5-6D3956005777}" uniqueName="23" name="#08待委外數量" queryTableFieldId="23" dataDxfId="76" dataCellStyle="一般 2">
      <calculatedColumnFormula>_018_600[[#This Row],[入料數]]-_018_600[[#This Row],['#08已委外數量]]</calculatedColumnFormula>
    </tableColumn>
    <tableColumn id="24" xr3:uid="{12463B76-41B1-4CE0-BDE2-730410926ABC}" uniqueName="24" name="#08已委外數量" queryTableFieldId="24" dataDxfId="75" dataCellStyle="一般 2">
      <calculatedColumnFormula>SUMIFS(record[OK],record[製程料號],_018_600[[#This Row],[製令單號]],record[ProcessSN],F$1)</calculatedColumnFormula>
    </tableColumn>
    <tableColumn id="5" xr3:uid="{579D4177-3D8C-4679-95D1-55730A7B097E}" uniqueName="5" name="#08廠商" queryTableFieldId="47" dataDxfId="74" dataCellStyle="一般 2">
      <calculatedColumnFormula>IF(_018_600[[#This Row],['#08已委外數量]]&gt;0,VLOOKUP(G$1,record[[ProcessSN]:[廠商]],12,FALSE),"尚未委外")</calculatedColumnFormula>
    </tableColumn>
    <tableColumn id="25" xr3:uid="{301112B6-4D5E-4949-9E87-36DA531EFEA6}" uniqueName="25" name="#08待回數量" queryTableFieldId="25" dataDxfId="73" dataCellStyle="一般 2">
      <calculatedColumnFormula>_018_600[[#This Row],['#08已委外數量]]-_018_600[[#This Row],['#08回
良品]]-_018_600[[#This Row],['#08委外NG]]</calculatedColumnFormula>
    </tableColumn>
    <tableColumn id="26" xr3:uid="{5C03DCC1-1E59-4D0F-AF89-B2B12B320DF0}" uniqueName="26" name="#08回_x000a_良品" queryTableFieldId="26" dataDxfId="72" dataCellStyle="一般 2">
      <calculatedColumnFormula>SUMIFS(record[OK],record[製程料號],_018_600[[#This Row],[製令單號]],record[ProcessSN],I$1)</calculatedColumnFormula>
    </tableColumn>
    <tableColumn id="27" xr3:uid="{791703E7-ECE2-4D33-AB0D-DEBB4F4D3E9D}" uniqueName="27" name="#08委外NG" queryTableFieldId="27" dataDxfId="71" dataCellStyle="一般 2">
      <calculatedColumnFormula>SUMIFS(record[NG],record[製程料號],_018_600[[#This Row],[製令單號]],record[ProcessSN],J$1)</calculatedColumnFormula>
    </tableColumn>
    <tableColumn id="7" xr3:uid="{CEA9DCAE-6DDF-4919-B203-DFB7C5D5CD40}" uniqueName="7" name="陽極不良率" queryTableFieldId="49" dataDxfId="70" dataCellStyle="百分比">
      <calculatedColumnFormula>IFERROR(_018_600[[#This Row],['#08委外NG]]/_018_600[[#This Row],['#08已委外數量]],"")</calculatedColumnFormula>
    </tableColumn>
    <tableColumn id="28" xr3:uid="{1BD7491A-CD95-486E-A9DC-837EE56E8444}" uniqueName="28" name="#06待檢驗_x000a_數量" queryTableFieldId="28" dataDxfId="69" dataCellStyle="一般 2">
      <calculatedColumnFormula>_018_600[[#This Row],['#08回
良品]]-_018_600[[#This Row],['#06檢驗OK]]-_018_600[[#This Row],['#06
QC NG]]</calculatedColumnFormula>
    </tableColumn>
    <tableColumn id="29" xr3:uid="{8B962213-30CB-43DF-BCCF-0B2BC28A07EC}" uniqueName="29" name="#06檢驗OK" queryTableFieldId="29" dataDxfId="68" dataCellStyle="一般 2">
      <calculatedColumnFormula>SUMIFS(record[OK],record[製程料號],_018_600[[#This Row],[製令單號]],record[ProcessSN],M$1)</calculatedColumnFormula>
    </tableColumn>
    <tableColumn id="30" xr3:uid="{5D422913-AE5F-4582-BB87-212DFD47A5B8}" uniqueName="30" name="#06_x000a_QC NG" queryTableFieldId="30" dataDxfId="67" dataCellStyle="一般 2">
      <calculatedColumnFormula>SUMIFS(record[NG],record[製程料號],_018_600[[#This Row],[製令單號]],record[ProcessSN],N$1)</calculatedColumnFormula>
    </tableColumn>
    <tableColumn id="36" xr3:uid="{840BC19F-9688-4B0B-ADD6-3C3E836025C5}" uniqueName="36" name="成品待檢驗" queryTableFieldId="36" dataDxfId="66" dataCellStyle="一般 2">
      <calculatedColumnFormula>_018_600[[#This Row],['#06檢驗OK]]-_018_600[[#This Row],[不良品]]-_018_600[[#This Row],[良品]]</calculatedColumnFormula>
    </tableColumn>
    <tableColumn id="37" xr3:uid="{AC9CD5FE-BD82-467E-94C9-05456C3F29D6}" uniqueName="37" name="良品" queryTableFieldId="37" dataDxfId="65" dataCellStyle="一般 2">
      <calculatedColumnFormula>SUMIFS(record[OK],record[製程料號],_018_600[[#This Row],[製令單號]],record[ProcessSN],P$1)</calculatedColumnFormula>
    </tableColumn>
    <tableColumn id="38" xr3:uid="{C8B34924-0CCD-462F-9C08-5F448C81FF74}" uniqueName="38" name="不良品" queryTableFieldId="38" dataDxfId="64" dataCellStyle="一般 2">
      <calculatedColumnFormula>SUMIFS(record[NG],record[製程料號],_018_600[[#This Row],[製令單號]],record[ProcessSN],Q$1)</calculatedColumnFormula>
    </tableColumn>
    <tableColumn id="39" xr3:uid="{7E728515-C1DA-4986-A949-1B539B1FDCE7}" uniqueName="39" name="已包裝待放行" queryTableFieldId="39" dataDxfId="63" dataCellStyle="一般 2">
      <calculatedColumnFormula>_018_600[[#This Row],[良品]]-_018_600[[#This Row],[良品放行]]-_018_600[[#This Row],[不良待處理]]</calculatedColumnFormula>
    </tableColumn>
    <tableColumn id="40" xr3:uid="{081D307C-9ED0-4943-A490-1C996CCDDC77}" uniqueName="40" name="良品放行" queryTableFieldId="40" dataDxfId="62" dataCellStyle="一般 2">
      <calculatedColumnFormula>SUMIFS(record[OK],record[製程料號],_018_600[[#This Row],[製令單號]],record[ProcessSN],S$1)</calculatedColumnFormula>
    </tableColumn>
    <tableColumn id="41" xr3:uid="{2DEE0439-9687-43CE-BA86-4490725C94DA}" uniqueName="41" name="不良待處理" queryTableFieldId="41" dataDxfId="61" dataCellStyle="一般 2">
      <calculatedColumnFormula>SUMIFS(record[NG],record[製程料號],_018_600[[#This Row],[製令單號]],record[ProcessSN],T$1)</calculatedColumnFormula>
    </tableColumn>
    <tableColumn id="42" xr3:uid="{620A32CC-A786-4462-B195-CEEC7C2BAA5B}" uniqueName="42" name="未入庫" queryTableFieldId="42" dataDxfId="60" dataCellStyle="一般 2">
      <calculatedColumnFormula>_018_600[[#This Row],[良品放行]]-_018_600[[#This Row],[入庫]]</calculatedColumnFormula>
    </tableColumn>
    <tableColumn id="6" xr3:uid="{CE5D8638-3B4B-4DC7-A3A6-9F4CA0C9488B}" uniqueName="6" name="入庫" queryTableFieldId="48" dataDxfId="59" dataCellStyle="一般 2">
      <calculatedColumnFormula>SUMIFS(record[OK],record[製程料號],_018_600[[#This Row],[製令單號]],record[ProcessSN],V$1)</calculatedColumnFormula>
    </tableColumn>
    <tableColumn id="43" xr3:uid="{3027F83D-779E-4A9F-B2E0-5B0E18839A5E}" uniqueName="43" name="可出貨數量" queryTableFieldId="43" dataDxfId="58" dataCellStyle="一般 2">
      <calculatedColumnFormula>_018_600[[#This Row],[入庫]]-_018_600[[#This Row],[已出貨]]</calculatedColumnFormula>
    </tableColumn>
    <tableColumn id="8" xr3:uid="{1FDD8310-7BFD-4ADB-BC41-7015C25E18BE}" uniqueName="8" name="欄1" queryTableFieldId="51" dataDxfId="57" dataCellStyle="一般 2"/>
    <tableColumn id="44" xr3:uid="{00D6CDD8-84C4-4B31-BECB-114B52EA228E}" uniqueName="44" name="已出貨" queryTableFieldId="44" dataDxfId="56" dataCellStyle="一般 2">
      <calculatedColumnFormula>SUMIFS(record[OK],record[製程料號],_018_600[[#This Row],[製令單號]],record[ProcessSN],Y$1)</calculatedColumnFormula>
    </tableColumn>
    <tableColumn id="45" xr3:uid="{ED8E819E-D3A0-4BAC-98B5-B6895372FF6A}" uniqueName="45" name="總不良數" queryTableFieldId="45" dataDxfId="55" dataCellStyle="一般 2">
      <calculatedColumnFormula>_018_600[[#This Row],[不良待處理]]+_018_600[[#This Row],[不良品]]+_018_600[[#This Row],['#06
QC NG]]+_018_600[[#This Row],['#08委外NG]]</calculatedColumnFormula>
    </tableColumn>
    <tableColumn id="46" xr3:uid="{0C4B7AC3-2190-492B-884C-A48A54B4EFB5}" uniqueName="46" name="直通率" queryTableFieldId="46" dataDxfId="54" dataCellStyle="百分比">
      <calculatedColumnFormula>IF(_018_600[[#This Row],[已出貨]]+_018_600[[#This Row],[總不良數]]+_018_600[[#This Row],[可出貨數量]]=_018_600[[#This Row],[入料數]],(_018_600[[#This Row],[可出貨數量]]+_018_600[[#This Row],[已出貨]])/_018_600[[#This Row],[入料數]],"")</calculatedColumnFormula>
    </tableColumn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6549E66-2E99-4AA0-9BF3-5873A8700608}" name="_018_620" displayName="_018_620" ref="A5:AA9" tableType="queryTable" totalsRowShown="0" headerRowDxfId="639" headerRowBorderDxfId="638" tableBorderDxfId="637" headerRowCellStyle="一般 2">
  <autoFilter ref="A5:AA9" xr:uid="{72FF615D-868A-4AA5-AB91-40DA845D59B9}"/>
  <tableColumns count="27">
    <tableColumn id="1" xr3:uid="{53467011-D892-44DD-9A44-5983035F8C2B}" uniqueName="1" name="來料日期" queryTableFieldId="1" dataDxfId="53" dataCellStyle="一般 2"/>
    <tableColumn id="2" xr3:uid="{552D1271-7C2F-41BD-A31F-BA62C4E2533D}" uniqueName="2" name="製令單號" queryTableFieldId="2" dataDxfId="52" dataCellStyle="一般 2"/>
    <tableColumn id="3" xr3:uid="{A51785F1-2CF7-4F82-8809-E0A2A1B7C9CA}" uniqueName="3" name="料號" queryTableFieldId="3" dataDxfId="51" dataCellStyle="一般 2"/>
    <tableColumn id="4" xr3:uid="{6F95DFDA-A7BC-4CDA-9F32-08D3224130F2}" uniqueName="4" name="入料數" queryTableFieldId="4" dataDxfId="50" dataCellStyle="一般 2"/>
    <tableColumn id="23" xr3:uid="{8008A603-1B60-4FE0-B789-36D64233AC5F}" uniqueName="23" name="#08待委外數量" queryTableFieldId="23" dataDxfId="49" dataCellStyle="一般 2">
      <calculatedColumnFormula>_018_620[[#This Row],[入料數]]-_018_620[[#This Row],['#08已委外數量]]</calculatedColumnFormula>
    </tableColumn>
    <tableColumn id="24" xr3:uid="{54495267-1A0F-4A18-A594-CAC8DF3A7323}" uniqueName="24" name="#08已委外數量" queryTableFieldId="24" dataDxfId="48" dataCellStyle="一般 2">
      <calculatedColumnFormula>SUMIFS(record[OK],record[製程料號],_018_620[[#This Row],[製令單號]],record[ProcessSN],F$1)</calculatedColumnFormula>
    </tableColumn>
    <tableColumn id="5" xr3:uid="{931FF68C-BE52-4955-BE65-BEF9EF5EE971}" uniqueName="5" name="#08廠商" queryTableFieldId="47" dataDxfId="47" dataCellStyle="一般 2">
      <calculatedColumnFormula>IF(_018_620[[#This Row],['#08已委外數量]]&gt;0,VLOOKUP(G$1,record[[ProcessSN]:[廠商]],12,FALSE),"尚未委外")</calculatedColumnFormula>
    </tableColumn>
    <tableColumn id="25" xr3:uid="{EAB6A128-8DFB-4B06-AD6D-0BA053017673}" uniqueName="25" name="#08待回數量" queryTableFieldId="25" dataDxfId="46" dataCellStyle="一般 2">
      <calculatedColumnFormula>_018_620[[#This Row],['#08已委外數量]]-_018_620[[#This Row],['#08回
良品]]-_018_620[[#This Row],['#08委外NG]]</calculatedColumnFormula>
    </tableColumn>
    <tableColumn id="26" xr3:uid="{B0FA89E6-833B-41D1-A9CA-B3084C3C4011}" uniqueName="26" name="#08回_x000a_良品" queryTableFieldId="26" dataDxfId="45" dataCellStyle="一般 2">
      <calculatedColumnFormula>SUMIFS(record[OK],record[製程料號],_018_620[[#This Row],[製令單號]],record[ProcessSN],I$1)</calculatedColumnFormula>
    </tableColumn>
    <tableColumn id="27" xr3:uid="{E3D29B41-74B5-4F04-A57D-A108FA37B6D5}" uniqueName="27" name="#08委外NG" queryTableFieldId="27" dataDxfId="44" dataCellStyle="一般 2">
      <calculatedColumnFormula>SUMIFS(record[NG],record[製程料號],_018_620[[#This Row],[製令單號]],record[ProcessSN],J$1)</calculatedColumnFormula>
    </tableColumn>
    <tableColumn id="7" xr3:uid="{77A9AA0B-E590-4FF7-9509-ED16E631F64D}" uniqueName="7" name="陽極不良率" queryTableFieldId="49" dataDxfId="43" dataCellStyle="百分比">
      <calculatedColumnFormula>IFERROR(_018_620[[#This Row],['#08委外NG]]/_018_620[[#This Row],['#08已委外數量]],"")</calculatedColumnFormula>
    </tableColumn>
    <tableColumn id="28" xr3:uid="{31EC3D20-955F-4697-815C-834E8D534126}" uniqueName="28" name="#06待檢驗_x000a_數量" queryTableFieldId="28" dataDxfId="42" dataCellStyle="一般 2">
      <calculatedColumnFormula>_018_620[[#This Row],['#08回
良品]]-_018_620[[#This Row],['#06檢驗OK]]-_018_620[[#This Row],['#06
QC NG]]</calculatedColumnFormula>
    </tableColumn>
    <tableColumn id="29" xr3:uid="{8A7A50DF-5446-40E2-812D-376ED3F91E62}" uniqueName="29" name="#06檢驗OK" queryTableFieldId="29" dataDxfId="41" dataCellStyle="一般 2">
      <calculatedColumnFormula>SUMIFS(record[OK],record[製程料號],_018_620[[#This Row],[製令單號]],record[ProcessSN],M$1)</calculatedColumnFormula>
    </tableColumn>
    <tableColumn id="30" xr3:uid="{7368EAA6-7050-4F18-995B-28EF4208ECAF}" uniqueName="30" name="#06_x000a_QC NG" queryTableFieldId="30" dataDxfId="40" dataCellStyle="一般 2">
      <calculatedColumnFormula>SUMIFS(record[NG],record[製程料號],_018_620[[#This Row],[製令單號]],record[ProcessSN],N$1)</calculatedColumnFormula>
    </tableColumn>
    <tableColumn id="36" xr3:uid="{E8299A48-93C0-4BDC-BDED-C0975BE77450}" uniqueName="36" name="成品待檢驗" queryTableFieldId="36" dataDxfId="39" dataCellStyle="一般 2">
      <calculatedColumnFormula>_018_620[[#This Row],['#06檢驗OK]]-_018_620[[#This Row],[不良品]]-_018_620[[#This Row],[良品]]</calculatedColumnFormula>
    </tableColumn>
    <tableColumn id="37" xr3:uid="{9E0C9525-B1B2-481A-B7C7-9CCB1735F15B}" uniqueName="37" name="良品" queryTableFieldId="37" dataDxfId="38" dataCellStyle="一般 2">
      <calculatedColumnFormula>SUMIFS(record[OK],record[製程料號],_018_620[[#This Row],[製令單號]],record[ProcessSN],P$1)</calculatedColumnFormula>
    </tableColumn>
    <tableColumn id="38" xr3:uid="{DC48B166-3FDD-4134-8755-BAB2BE7B8AB3}" uniqueName="38" name="不良品" queryTableFieldId="38" dataDxfId="37" dataCellStyle="一般 2">
      <calculatedColumnFormula>SUMIFS(record[NG],record[製程料號],_018_620[[#This Row],[製令單號]],record[ProcessSN],Q$1)</calculatedColumnFormula>
    </tableColumn>
    <tableColumn id="39" xr3:uid="{7476B562-1871-4A41-A39A-9C9FF899C82B}" uniqueName="39" name="已包裝待放行" queryTableFieldId="39" dataDxfId="36" dataCellStyle="一般 2">
      <calculatedColumnFormula>_018_620[[#This Row],[良品]]-_018_620[[#This Row],[良品放行]]-_018_620[[#This Row],[不良待處理]]</calculatedColumnFormula>
    </tableColumn>
    <tableColumn id="40" xr3:uid="{21139E5B-12FB-4244-9F5B-483DA6DB06F5}" uniqueName="40" name="良品放行" queryTableFieldId="40" dataDxfId="35" dataCellStyle="一般 2">
      <calculatedColumnFormula>SUMIFS(record[OK],record[製程料號],_018_620[[#This Row],[製令單號]],record[ProcessSN],S$1)</calculatedColumnFormula>
    </tableColumn>
    <tableColumn id="41" xr3:uid="{A379901B-5B06-4EE7-92BA-94927CA92483}" uniqueName="41" name="不良待處理" queryTableFieldId="41" dataDxfId="34" dataCellStyle="一般 2">
      <calculatedColumnFormula>SUMIFS(record[NG],record[製程料號],_018_620[[#This Row],[製令單號]],record[ProcessSN],T$1)</calculatedColumnFormula>
    </tableColumn>
    <tableColumn id="42" xr3:uid="{1A1187DC-8DD3-40E2-85CD-0459053435A6}" uniqueName="42" name="未入庫" queryTableFieldId="42" dataDxfId="33" dataCellStyle="一般 2">
      <calculatedColumnFormula>_018_620[[#This Row],[良品放行]]-_018_620[[#This Row],[入庫]]</calculatedColumnFormula>
    </tableColumn>
    <tableColumn id="6" xr3:uid="{E18832CA-17C4-42DE-A7F1-28A49C62D2EB}" uniqueName="6" name="入庫" queryTableFieldId="48" dataDxfId="32" dataCellStyle="一般 2">
      <calculatedColumnFormula>SUMIFS(record[OK],record[製程料號],_018_620[[#This Row],[製令單號]],record[ProcessSN],V$1)</calculatedColumnFormula>
    </tableColumn>
    <tableColumn id="43" xr3:uid="{2D924072-934F-4837-BE51-763C4C523761}" uniqueName="43" name="可出貨數量" queryTableFieldId="43" dataDxfId="31" dataCellStyle="一般 2">
      <calculatedColumnFormula>_018_620[[#This Row],[入庫]]-_018_620[[#This Row],[已出貨]]</calculatedColumnFormula>
    </tableColumn>
    <tableColumn id="8" xr3:uid="{E6BD3A84-83FE-482D-9F83-4C782B3C909F}" uniqueName="8" name="欄1" queryTableFieldId="51" dataDxfId="30" dataCellStyle="一般 2"/>
    <tableColumn id="44" xr3:uid="{E9B1E908-1B73-4C00-928B-E649F4FD8852}" uniqueName="44" name="已出貨" queryTableFieldId="44" dataDxfId="29" dataCellStyle="一般 2">
      <calculatedColumnFormula>SUMIFS(record[OK],record[製程料號],_018_620[[#This Row],[製令單號]],record[ProcessSN],Y$1)</calculatedColumnFormula>
    </tableColumn>
    <tableColumn id="45" xr3:uid="{77AB6BB8-FB72-4A9D-B106-7650B8A58211}" uniqueName="45" name="總不良數" queryTableFieldId="45" dataDxfId="28" dataCellStyle="一般 2">
      <calculatedColumnFormula>_018_620[[#This Row],[不良待處理]]+_018_620[[#This Row],[不良品]]+_018_620[[#This Row],['#06
QC NG]]+_018_620[[#This Row],['#08委外NG]]</calculatedColumnFormula>
    </tableColumn>
    <tableColumn id="46" xr3:uid="{101E4F4E-A5D6-466C-876A-E04285188EE2}" uniqueName="46" name="直通率" queryTableFieldId="46" dataDxfId="27" dataCellStyle="百分比">
      <calculatedColumnFormula>IF(_018_620[[#This Row],[已出貨]]+_018_620[[#This Row],[總不良數]]+_018_620[[#This Row],[可出貨數量]]=_018_620[[#This Row],[入料數]],(_018_620[[#This Row],[可出貨數量]]+_018_620[[#This Row],[已出貨]])/_018_620[[#This Row],[入料數]],"")</calculatedColumnFormula>
    </tableColumn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B5DD8F6-B011-4559-BE1C-63E57480E978}" name="_018_650" displayName="_018_650" ref="A5:AA12" tableType="queryTable" totalsRowShown="0" headerRowDxfId="636" headerRowBorderDxfId="635" tableBorderDxfId="634" headerRowCellStyle="一般 2">
  <autoFilter ref="A5:AA12" xr:uid="{72FF615D-868A-4AA5-AB91-40DA845D59B9}"/>
  <tableColumns count="27">
    <tableColumn id="1" xr3:uid="{6312D970-AE60-404A-85F1-39D446999BB9}" uniqueName="1" name="來料日期" queryTableFieldId="1" dataDxfId="26" dataCellStyle="一般 2"/>
    <tableColumn id="2" xr3:uid="{52FCB282-472C-4390-8421-7637F1948A79}" uniqueName="2" name="製令單號" queryTableFieldId="2" dataDxfId="25" dataCellStyle="一般 2"/>
    <tableColumn id="3" xr3:uid="{1C5C0186-F2B9-4B5E-9102-29E5D3667781}" uniqueName="3" name="料號" queryTableFieldId="3" dataDxfId="24" dataCellStyle="一般 2"/>
    <tableColumn id="4" xr3:uid="{9626732D-E19B-4F81-8B90-77B2E7982D94}" uniqueName="4" name="入料數" queryTableFieldId="4" dataDxfId="23" dataCellStyle="一般 2"/>
    <tableColumn id="23" xr3:uid="{EDF6FB8A-0B21-4D1D-8FCC-7983C6EB6AFA}" uniqueName="23" name="#08待委外數量" queryTableFieldId="23" dataDxfId="22" dataCellStyle="一般 2">
      <calculatedColumnFormula>_018_650[[#This Row],[入料數]]-_018_650[[#This Row],['#08已委外數量]]</calculatedColumnFormula>
    </tableColumn>
    <tableColumn id="24" xr3:uid="{74660877-13EC-4D1E-A63A-9620CC48E62B}" uniqueName="24" name="#08已委外數量" queryTableFieldId="24" dataDxfId="21" dataCellStyle="一般 2">
      <calculatedColumnFormula>SUMIFS(record[OK],record[製程料號],_018_650[[#This Row],[製令單號]],record[ProcessSN],F$1)</calculatedColumnFormula>
    </tableColumn>
    <tableColumn id="5" xr3:uid="{B20FB28F-FF9F-4126-9A4B-2266E051BB6A}" uniqueName="5" name="#08廠商" queryTableFieldId="47" dataDxfId="20" dataCellStyle="一般 2">
      <calculatedColumnFormula>IF(_018_650[[#This Row],['#08已委外數量]]&gt;0,VLOOKUP(G$1,record[[ProcessSN]:[廠商]],12,FALSE),"尚未委外")</calculatedColumnFormula>
    </tableColumn>
    <tableColumn id="25" xr3:uid="{C7CD2B83-6F22-45C8-B998-298BB50C70F2}" uniqueName="25" name="#08待回數量" queryTableFieldId="25" dataDxfId="19" dataCellStyle="一般 2">
      <calculatedColumnFormula>_018_650[[#This Row],['#08已委外數量]]-_018_650[[#This Row],['#08回
良品]]-_018_650[[#This Row],['#08委外NG]]</calculatedColumnFormula>
    </tableColumn>
    <tableColumn id="26" xr3:uid="{67612628-2221-430D-8668-8996219644EB}" uniqueName="26" name="#08回_x000a_良品" queryTableFieldId="26" dataDxfId="18" dataCellStyle="一般 2">
      <calculatedColumnFormula>SUMIFS(record[OK],record[製程料號],_018_650[[#This Row],[製令單號]],record[ProcessSN],I$1)</calculatedColumnFormula>
    </tableColumn>
    <tableColumn id="27" xr3:uid="{6F8A00AF-68BF-4F3D-80F6-D64F3DE49D91}" uniqueName="27" name="#08委外NG" queryTableFieldId="27" dataDxfId="17" dataCellStyle="一般 2">
      <calculatedColumnFormula>SUMIFS(record[NG],record[製程料號],_018_650[[#This Row],[製令單號]],record[ProcessSN],J$1)</calculatedColumnFormula>
    </tableColumn>
    <tableColumn id="7" xr3:uid="{0A040700-9634-4EFB-BC24-8521E29E8DFC}" uniqueName="7" name="陽極不良率" queryTableFieldId="49" dataDxfId="16" dataCellStyle="百分比">
      <calculatedColumnFormula>IFERROR(_018_650[[#This Row],['#08委外NG]]/_018_650[[#This Row],['#08已委外數量]],"")</calculatedColumnFormula>
    </tableColumn>
    <tableColumn id="28" xr3:uid="{3CAB261D-88C8-4879-9A7A-9E344E0B4DD1}" uniqueName="28" name="#06待檢驗_x000a_數量" queryTableFieldId="28" dataDxfId="15" dataCellStyle="一般 2">
      <calculatedColumnFormula>_018_650[[#This Row],['#08回
良品]]-_018_650[[#This Row],['#06檢驗OK]]-_018_650[[#This Row],['#06
QC NG]]</calculatedColumnFormula>
    </tableColumn>
    <tableColumn id="29" xr3:uid="{131652A2-6F2F-49A8-8931-0903A5DE4490}" uniqueName="29" name="#06檢驗OK" queryTableFieldId="29" dataDxfId="14" dataCellStyle="一般 2">
      <calculatedColumnFormula>SUMIFS(record[OK],record[製程料號],_018_650[[#This Row],[製令單號]],record[ProcessSN],M$1)</calculatedColumnFormula>
    </tableColumn>
    <tableColumn id="30" xr3:uid="{F955E3F4-86D0-4134-B372-23AEE2571FF0}" uniqueName="30" name="#06_x000a_QC NG" queryTableFieldId="30" dataDxfId="13" dataCellStyle="一般 2">
      <calculatedColumnFormula>SUMIFS(record[NG],record[製程料號],_018_650[[#This Row],[製令單號]],record[ProcessSN],N$1)</calculatedColumnFormula>
    </tableColumn>
    <tableColumn id="36" xr3:uid="{F6EBC9A2-100B-4E34-A80C-609BA1CA0330}" uniqueName="36" name="成品待檢驗" queryTableFieldId="36" dataDxfId="12" dataCellStyle="一般 2">
      <calculatedColumnFormula>_018_650[[#This Row],['#06檢驗OK]]-_018_650[[#This Row],[不良品]]-_018_650[[#This Row],[良品]]</calculatedColumnFormula>
    </tableColumn>
    <tableColumn id="37" xr3:uid="{08FF3E7F-8E13-4A4B-A910-EA0E3B609C3C}" uniqueName="37" name="良品" queryTableFieldId="37" dataDxfId="11" dataCellStyle="一般 2">
      <calculatedColumnFormula>SUMIFS(record[OK],record[製程料號],_018_650[[#This Row],[製令單號]],record[ProcessSN],P$1)</calculatedColumnFormula>
    </tableColumn>
    <tableColumn id="38" xr3:uid="{DB481726-0DB9-47AC-91A4-E8D62BECF853}" uniqueName="38" name="不良品" queryTableFieldId="38" dataDxfId="10" dataCellStyle="一般 2">
      <calculatedColumnFormula>SUMIFS(record[NG],record[製程料號],_018_650[[#This Row],[製令單號]],record[ProcessSN],Q$1)</calculatedColumnFormula>
    </tableColumn>
    <tableColumn id="39" xr3:uid="{225E128B-A0E3-40C9-BD41-80ADB9F04B39}" uniqueName="39" name="已包裝待放行" queryTableFieldId="39" dataDxfId="9" dataCellStyle="一般 2">
      <calculatedColumnFormula>_018_650[[#This Row],[良品]]-_018_650[[#This Row],[良品放行]]-_018_650[[#This Row],[不良待處理]]</calculatedColumnFormula>
    </tableColumn>
    <tableColumn id="40" xr3:uid="{F54818BD-9F10-4495-9E60-936508B67469}" uniqueName="40" name="良品放行" queryTableFieldId="40" dataDxfId="8" dataCellStyle="一般 2">
      <calculatedColumnFormula>SUMIFS(record[OK],record[製程料號],_018_650[[#This Row],[製令單號]],record[ProcessSN],S$1)</calculatedColumnFormula>
    </tableColumn>
    <tableColumn id="41" xr3:uid="{51FA280C-D19E-44FC-BAC7-FFEA8AC4DC47}" uniqueName="41" name="不良待處理" queryTableFieldId="41" dataDxfId="7" dataCellStyle="一般 2">
      <calculatedColumnFormula>SUMIFS(record[NG],record[製程料號],_018_650[[#This Row],[製令單號]],record[ProcessSN],T$1)</calculatedColumnFormula>
    </tableColumn>
    <tableColumn id="42" xr3:uid="{89043B5B-3A0F-4F63-B0D2-B2D04786FC07}" uniqueName="42" name="未入庫" queryTableFieldId="42" dataDxfId="6" dataCellStyle="一般 2">
      <calculatedColumnFormula>_018_650[[#This Row],[良品放行]]-_018_650[[#This Row],[入庫]]</calculatedColumnFormula>
    </tableColumn>
    <tableColumn id="6" xr3:uid="{ABAD2936-99E8-4672-8DD9-505C7745F28A}" uniqueName="6" name="入庫" queryTableFieldId="48" dataDxfId="5" dataCellStyle="一般 2">
      <calculatedColumnFormula>SUMIFS(record[OK],record[製程料號],_018_650[[#This Row],[製令單號]],record[ProcessSN],V$1)</calculatedColumnFormula>
    </tableColumn>
    <tableColumn id="43" xr3:uid="{B4DDACE9-1C3C-4CA8-9470-E28C12CB5ABC}" uniqueName="43" name="可出貨數量" queryTableFieldId="43" dataDxfId="4" dataCellStyle="一般 2">
      <calculatedColumnFormula>_018_650[[#This Row],[入庫]]-_018_650[[#This Row],[已出貨]]</calculatedColumnFormula>
    </tableColumn>
    <tableColumn id="8" xr3:uid="{58ABCF30-E6E3-4BF4-BDA7-B10E8FA02F95}" uniqueName="8" name="欄1" queryTableFieldId="51" dataDxfId="3" dataCellStyle="一般 2"/>
    <tableColumn id="44" xr3:uid="{1AFBD7E0-7E87-46F5-90FD-B98D458D4F4F}" uniqueName="44" name="已出貨" queryTableFieldId="44" dataDxfId="2" dataCellStyle="一般 2">
      <calculatedColumnFormula>SUMIFS(record[OK],record[製程料號],_018_650[[#This Row],[製令單號]],record[ProcessSN],Y$1)</calculatedColumnFormula>
    </tableColumn>
    <tableColumn id="45" xr3:uid="{703E6D25-A28D-404F-B416-AAA365F5806D}" uniqueName="45" name="總不良數" queryTableFieldId="45" dataDxfId="1" dataCellStyle="一般 2">
      <calculatedColumnFormula>_018_650[[#This Row],[不良待處理]]+_018_650[[#This Row],[不良品]]+_018_650[[#This Row],['#06
QC NG]]+_018_650[[#This Row],['#08委外NG]]</calculatedColumnFormula>
    </tableColumn>
    <tableColumn id="46" xr3:uid="{6052BB0F-5137-4F2F-96B4-99B05B66FA25}" uniqueName="46" name="直通率" queryTableFieldId="46" dataDxfId="0" dataCellStyle="百分比">
      <calculatedColumnFormula>IF(_018_650[[#This Row],[已出貨]]+_018_650[[#This Row],[總不良數]]+_018_650[[#This Row],[可出貨數量]]=_018_650[[#This Row],[入料數]],(_018_650[[#This Row],[可出貨數量]]+_018_650[[#This Row],[已出貨]])/_018_650[[#This Row],[入料數]],"")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A7384-4D73-462A-A438-2EBE20B35C82}">
  <sheetPr codeName="工作表1"/>
  <dimension ref="A1:U34"/>
  <sheetViews>
    <sheetView topLeftCell="D1" workbookViewId="0">
      <pane ySplit="5" topLeftCell="A21" activePane="bottomLeft" state="frozen"/>
      <selection pane="bottomLeft" activeCell="R34" sqref="R34"/>
    </sheetView>
  </sheetViews>
  <sheetFormatPr defaultRowHeight="15.75" x14ac:dyDescent="0.25"/>
  <cols>
    <col min="1" max="1" width="24.85546875" customWidth="1"/>
    <col min="2" max="2" width="16.140625" customWidth="1"/>
    <col min="3" max="3" width="32.42578125" customWidth="1"/>
    <col min="4" max="4" width="15.5703125" customWidth="1"/>
    <col min="5" max="7" width="16.140625" customWidth="1"/>
    <col min="8" max="8" width="3.140625" customWidth="1"/>
    <col min="9" max="9" width="12.28515625" customWidth="1"/>
    <col min="10" max="10" width="19.140625" bestFit="1" customWidth="1"/>
    <col min="11" max="11" width="7.7109375" customWidth="1"/>
    <col min="12" max="12" width="13" customWidth="1"/>
    <col min="13" max="13" width="3.140625" customWidth="1"/>
    <col min="14" max="15" width="15.5703125" bestFit="1" customWidth="1"/>
    <col min="16" max="16" width="13.140625" bestFit="1" customWidth="1"/>
    <col min="17" max="17" width="23.5703125" bestFit="1" customWidth="1"/>
    <col min="18" max="18" width="15.5703125" bestFit="1" customWidth="1"/>
    <col min="19" max="20" width="16.85546875" bestFit="1" customWidth="1"/>
    <col min="21" max="21" width="15.5703125" bestFit="1" customWidth="1"/>
  </cols>
  <sheetData>
    <row r="1" spans="1:21" x14ac:dyDescent="0.25">
      <c r="A1" s="32" t="s">
        <v>44</v>
      </c>
      <c r="B1" s="32" t="s">
        <v>5</v>
      </c>
      <c r="C1" s="32" t="s">
        <v>45</v>
      </c>
    </row>
    <row r="2" spans="1:21" ht="31.5" customHeight="1" x14ac:dyDescent="0.25">
      <c r="C2" s="229"/>
      <c r="I2" s="42" t="s">
        <v>54</v>
      </c>
      <c r="J2" s="48">
        <f ca="1">TODAY()</f>
        <v>46161</v>
      </c>
    </row>
    <row r="3" spans="1:21" s="31" customFormat="1" ht="6" customHeight="1" thickBot="1" x14ac:dyDescent="0.3"/>
    <row r="4" spans="1:21" ht="30" customHeight="1" thickBot="1" x14ac:dyDescent="0.45">
      <c r="A4" s="292" t="s">
        <v>305</v>
      </c>
      <c r="B4" s="293"/>
      <c r="C4" s="293"/>
      <c r="D4" s="28" t="s">
        <v>43</v>
      </c>
      <c r="E4" s="29">
        <f>SUM(表格1[未交數量])</f>
        <v>23560</v>
      </c>
      <c r="H4" s="30"/>
      <c r="I4" s="33" t="s">
        <v>306</v>
      </c>
      <c r="J4" s="33"/>
    </row>
    <row r="5" spans="1:21" ht="16.5" thickBot="1" x14ac:dyDescent="0.3">
      <c r="A5" s="201" t="s">
        <v>44</v>
      </c>
      <c r="B5" s="202" t="s">
        <v>5</v>
      </c>
      <c r="C5" s="202" t="s">
        <v>45</v>
      </c>
      <c r="D5" s="202" t="s">
        <v>46</v>
      </c>
      <c r="E5" s="203" t="s">
        <v>47</v>
      </c>
      <c r="F5" s="204" t="s">
        <v>56</v>
      </c>
      <c r="G5" s="204" t="s">
        <v>55</v>
      </c>
      <c r="I5" s="44" t="s">
        <v>45</v>
      </c>
      <c r="J5" s="45" t="s">
        <v>44</v>
      </c>
      <c r="K5" s="46" t="s">
        <v>5</v>
      </c>
      <c r="L5" s="46" t="s">
        <v>53</v>
      </c>
      <c r="N5" s="51" t="s">
        <v>16</v>
      </c>
      <c r="O5" s="52" t="s">
        <v>13</v>
      </c>
      <c r="P5" s="53" t="s">
        <v>15</v>
      </c>
      <c r="Q5" s="54" t="s">
        <v>49</v>
      </c>
      <c r="R5" s="52" t="s">
        <v>48</v>
      </c>
      <c r="S5" s="52" t="s">
        <v>50</v>
      </c>
      <c r="T5" s="52" t="s">
        <v>51</v>
      </c>
      <c r="U5" s="53" t="s">
        <v>52</v>
      </c>
    </row>
    <row r="6" spans="1:21" ht="19.5" x14ac:dyDescent="0.3">
      <c r="A6" s="199" t="s">
        <v>579</v>
      </c>
      <c r="B6" s="205">
        <v>4000</v>
      </c>
      <c r="C6" s="206">
        <v>45572</v>
      </c>
      <c r="D6" s="207"/>
      <c r="E6" s="237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0</v>
      </c>
      <c r="F6" s="208"/>
      <c r="G6" s="205">
        <f>表格1[[#This Row],[數量]]+表格1[[#This Row],[差額數量確認]]</f>
        <v>4000</v>
      </c>
      <c r="I6" s="47"/>
      <c r="J6" s="34"/>
      <c r="K6" s="41"/>
      <c r="L6" s="43"/>
      <c r="N6" s="214">
        <v>45574</v>
      </c>
      <c r="O6" s="215" t="s">
        <v>585</v>
      </c>
      <c r="P6" s="216">
        <v>6780</v>
      </c>
      <c r="Q6" s="217" t="s">
        <v>651</v>
      </c>
      <c r="R6" s="216">
        <v>6780</v>
      </c>
      <c r="S6" s="218"/>
      <c r="T6" s="219"/>
      <c r="U6" s="220">
        <f>_018_XXX_素材[[#This Row],[入料數]]-_018_XXX_素材[[#This Row],[銷帳數量]]-_018_XXX_素材[[#This Row],[銷帳數量2]]</f>
        <v>0</v>
      </c>
    </row>
    <row r="7" spans="1:21" ht="19.5" x14ac:dyDescent="0.3">
      <c r="A7" s="199" t="s">
        <v>580</v>
      </c>
      <c r="B7" s="205">
        <v>10000</v>
      </c>
      <c r="C7" s="206">
        <v>45600</v>
      </c>
      <c r="D7" s="207"/>
      <c r="E7" s="237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0</v>
      </c>
      <c r="F7" s="208"/>
      <c r="G7" s="205">
        <f>表格1[[#This Row],[數量]]+表格1[[#This Row],[差額數量確認]]</f>
        <v>10000</v>
      </c>
      <c r="N7" s="197">
        <v>45642</v>
      </c>
      <c r="O7" s="190" t="s">
        <v>581</v>
      </c>
      <c r="P7" s="191">
        <v>2080</v>
      </c>
      <c r="Q7" s="210" t="s">
        <v>734</v>
      </c>
      <c r="R7" s="191">
        <v>2080</v>
      </c>
      <c r="S7" s="192"/>
      <c r="T7" s="193"/>
      <c r="U7" s="194">
        <f>_018_XXX_素材[[#This Row],[入料數]]-_018_XXX_素材[[#This Row],[銷帳數量]]-_018_XXX_素材[[#This Row],[銷帳數量2]]</f>
        <v>0</v>
      </c>
    </row>
    <row r="8" spans="1:21" ht="31.5" x14ac:dyDescent="0.3">
      <c r="A8" s="199" t="s">
        <v>826</v>
      </c>
      <c r="B8" s="209">
        <v>10000</v>
      </c>
      <c r="C8" s="200" t="s">
        <v>827</v>
      </c>
      <c r="D8" s="200" t="s">
        <v>913</v>
      </c>
      <c r="E8" s="238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0</v>
      </c>
      <c r="F8" s="208"/>
      <c r="G8" s="205">
        <f>表格1[[#This Row],[數量]]+表格1[[#This Row],[差額數量確認]]</f>
        <v>10000</v>
      </c>
      <c r="N8" s="197">
        <v>45706</v>
      </c>
      <c r="O8" s="190" t="s">
        <v>732</v>
      </c>
      <c r="P8" s="191">
        <v>1920</v>
      </c>
      <c r="Q8" s="210" t="s">
        <v>734</v>
      </c>
      <c r="R8" s="191">
        <v>1920</v>
      </c>
      <c r="S8" s="192"/>
      <c r="T8" s="193"/>
      <c r="U8" s="194">
        <f>_018_XXX_素材[[#This Row],[入料數]]-_018_XXX_素材[[#This Row],[銷帳數量]]-_018_XXX_素材[[#This Row],[銷帳數量2]]</f>
        <v>0</v>
      </c>
    </row>
    <row r="9" spans="1:21" ht="19.5" x14ac:dyDescent="0.3">
      <c r="A9" s="110" t="s">
        <v>909</v>
      </c>
      <c r="B9" s="211">
        <v>10000</v>
      </c>
      <c r="C9" s="212">
        <v>45908</v>
      </c>
      <c r="D9" s="111"/>
      <c r="E9" s="236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0</v>
      </c>
      <c r="F9" s="213"/>
      <c r="G9" s="211">
        <f>表格1[[#This Row],[數量]]+表格1[[#This Row],[差額數量確認]]</f>
        <v>10000</v>
      </c>
      <c r="N9" s="197">
        <v>45734</v>
      </c>
      <c r="O9" s="190" t="s">
        <v>756</v>
      </c>
      <c r="P9" s="191">
        <v>4800</v>
      </c>
      <c r="Q9" s="210" t="s">
        <v>580</v>
      </c>
      <c r="R9" s="191">
        <v>4800</v>
      </c>
      <c r="S9" s="192"/>
      <c r="T9" s="193"/>
      <c r="U9" s="194">
        <f>_018_XXX_素材[[#This Row],[入料數]]-_018_XXX_素材[[#This Row],[銷帳數量]]-_018_XXX_素材[[#This Row],[銷帳數量2]]</f>
        <v>0</v>
      </c>
    </row>
    <row r="10" spans="1:21" ht="19.5" x14ac:dyDescent="0.3">
      <c r="A10" s="110" t="s">
        <v>910</v>
      </c>
      <c r="B10" s="211">
        <v>5000</v>
      </c>
      <c r="C10" s="212" t="s">
        <v>911</v>
      </c>
      <c r="D10" s="111"/>
      <c r="E10" s="236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0</v>
      </c>
      <c r="F10" s="213"/>
      <c r="G10" s="211">
        <f>表格1[[#This Row],[數量]]+表格1[[#This Row],[差額數量確認]]</f>
        <v>5000</v>
      </c>
      <c r="N10" s="197">
        <v>45811</v>
      </c>
      <c r="O10" s="190" t="s">
        <v>825</v>
      </c>
      <c r="P10" s="191">
        <v>5200</v>
      </c>
      <c r="Q10" s="210" t="s">
        <v>824</v>
      </c>
      <c r="R10" s="191">
        <v>5200</v>
      </c>
      <c r="S10" s="192"/>
      <c r="T10" s="193"/>
      <c r="U10" s="194">
        <f>_018_XXX_素材[[#This Row],[入料數]]-_018_XXX_素材[[#This Row],[銷帳數量]]-_018_XXX_素材[[#This Row],[銷帳數量2]]</f>
        <v>0</v>
      </c>
    </row>
    <row r="11" spans="1:21" ht="19.5" x14ac:dyDescent="0.3">
      <c r="A11" s="110" t="s">
        <v>1212</v>
      </c>
      <c r="B11" s="211">
        <v>5000</v>
      </c>
      <c r="C11" s="212">
        <v>45992</v>
      </c>
      <c r="D11" s="228">
        <v>46017</v>
      </c>
      <c r="E11" s="236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0</v>
      </c>
      <c r="F11" s="213"/>
      <c r="G11" s="211">
        <f>表格1[[#This Row],[數量]]+表格1[[#This Row],[差額數量確認]]</f>
        <v>5000</v>
      </c>
      <c r="N11" s="197">
        <v>45820</v>
      </c>
      <c r="O11" s="190" t="s">
        <v>849</v>
      </c>
      <c r="P11" s="191">
        <v>5320</v>
      </c>
      <c r="Q11" s="210" t="s">
        <v>850</v>
      </c>
      <c r="R11" s="191">
        <v>5320</v>
      </c>
      <c r="S11" s="192"/>
      <c r="T11" s="193"/>
      <c r="U11" s="194">
        <f>_018_XXX_素材[[#This Row],[入料數]]-_018_XXX_素材[[#This Row],[銷帳數量]]-_018_XXX_素材[[#This Row],[銷帳數量2]]</f>
        <v>0</v>
      </c>
    </row>
    <row r="12" spans="1:21" ht="19.5" x14ac:dyDescent="0.3">
      <c r="A12" s="110" t="s">
        <v>1213</v>
      </c>
      <c r="B12" s="211">
        <v>5000</v>
      </c>
      <c r="C12" s="212" t="s">
        <v>911</v>
      </c>
      <c r="D12" s="228">
        <v>46017</v>
      </c>
      <c r="E12" s="213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0</v>
      </c>
      <c r="F12" s="213"/>
      <c r="G12" s="211">
        <f>表格1[[#This Row],[數量]]+表格1[[#This Row],[差額數量確認]]</f>
        <v>5000</v>
      </c>
      <c r="N12" s="197">
        <v>45863</v>
      </c>
      <c r="O12" s="190" t="s">
        <v>922</v>
      </c>
      <c r="P12" s="191">
        <v>4680</v>
      </c>
      <c r="Q12" s="210" t="s">
        <v>850</v>
      </c>
      <c r="R12" s="191">
        <v>4680</v>
      </c>
      <c r="S12" s="192"/>
      <c r="T12" s="193"/>
      <c r="U12" s="194">
        <f>_018_XXX_素材[[#This Row],[入料數]]-_018_XXX_素材[[#This Row],[銷帳數量]]-_018_XXX_素材[[#This Row],[銷帳數量2]]</f>
        <v>0</v>
      </c>
    </row>
    <row r="13" spans="1:21" ht="19.5" x14ac:dyDescent="0.3">
      <c r="A13" s="110" t="s">
        <v>1328</v>
      </c>
      <c r="B13" s="211">
        <v>15000</v>
      </c>
      <c r="C13" s="212">
        <v>46035</v>
      </c>
      <c r="D13" s="111"/>
      <c r="E13" s="213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0</v>
      </c>
      <c r="F13" s="213">
        <v>120</v>
      </c>
      <c r="G13" s="211">
        <f>表格1[[#This Row],[數量]]+表格1[[#This Row],[差額數量確認]]</f>
        <v>15120</v>
      </c>
      <c r="N13" s="197">
        <v>45884</v>
      </c>
      <c r="O13" s="190" t="s">
        <v>989</v>
      </c>
      <c r="P13" s="191">
        <v>4960</v>
      </c>
      <c r="Q13" s="210" t="s">
        <v>991</v>
      </c>
      <c r="R13" s="191">
        <v>4960</v>
      </c>
      <c r="S13" s="192"/>
      <c r="T13" s="193"/>
      <c r="U13" s="194">
        <f>_018_XXX_素材[[#This Row],[入料數]]-_018_XXX_素材[[#This Row],[銷帳數量]]-_018_XXX_素材[[#This Row],[銷帳數量2]]</f>
        <v>0</v>
      </c>
    </row>
    <row r="14" spans="1:21" ht="19.5" x14ac:dyDescent="0.3">
      <c r="A14" s="110" t="s">
        <v>1545</v>
      </c>
      <c r="B14" s="211">
        <v>10000</v>
      </c>
      <c r="C14" s="212">
        <v>46084</v>
      </c>
      <c r="D14" s="111"/>
      <c r="E14" s="213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0</v>
      </c>
      <c r="F14" s="213"/>
      <c r="G14" s="211">
        <f>表格1[[#This Row],[數量]]+表格1[[#This Row],[差額數量確認]]</f>
        <v>10000</v>
      </c>
      <c r="N14" s="197">
        <v>45909</v>
      </c>
      <c r="O14" s="190" t="s">
        <v>1043</v>
      </c>
      <c r="P14" s="191">
        <v>3840</v>
      </c>
      <c r="Q14" s="210" t="s">
        <v>909</v>
      </c>
      <c r="R14" s="191">
        <v>3840</v>
      </c>
      <c r="S14" s="192"/>
      <c r="T14" s="193"/>
      <c r="U14" s="194">
        <f>_018_XXX_素材[[#This Row],[入料數]]-_018_XXX_素材[[#This Row],[銷帳數量]]-_018_XXX_素材[[#This Row],[銷帳數量2]]</f>
        <v>0</v>
      </c>
    </row>
    <row r="15" spans="1:21" ht="31.5" x14ac:dyDescent="0.3">
      <c r="A15" s="110" t="s">
        <v>1576</v>
      </c>
      <c r="B15" s="211">
        <v>10000</v>
      </c>
      <c r="C15" s="212">
        <v>46118</v>
      </c>
      <c r="D15" s="235" t="s">
        <v>1775</v>
      </c>
      <c r="E15" s="213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0</v>
      </c>
      <c r="F15" s="213"/>
      <c r="G15" s="211">
        <f>表格1[[#This Row],[數量]]+表格1[[#This Row],[差額數量確認]]</f>
        <v>10000</v>
      </c>
      <c r="N15" s="197">
        <v>45957</v>
      </c>
      <c r="O15" s="190" t="s">
        <v>1148</v>
      </c>
      <c r="P15" s="191">
        <v>1200</v>
      </c>
      <c r="Q15" s="210" t="s">
        <v>909</v>
      </c>
      <c r="R15" s="191">
        <v>1200</v>
      </c>
      <c r="S15" s="192"/>
      <c r="T15" s="193"/>
      <c r="U15" s="194">
        <f>_018_XXX_素材[[#This Row],[入料數]]-_018_XXX_素材[[#This Row],[銷帳數量]]-_018_XXX_素材[[#This Row],[銷帳數量2]]</f>
        <v>0</v>
      </c>
    </row>
    <row r="16" spans="1:21" ht="19.5" x14ac:dyDescent="0.3">
      <c r="A16" s="110" t="s">
        <v>1632</v>
      </c>
      <c r="B16" s="211">
        <v>20000</v>
      </c>
      <c r="C16" s="212" t="s">
        <v>1633</v>
      </c>
      <c r="D16" s="228">
        <v>46147</v>
      </c>
      <c r="E16" s="213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3560</v>
      </c>
      <c r="F16" s="213"/>
      <c r="G16" s="211">
        <f>表格1[[#This Row],[數量]]+表格1[[#This Row],[差額數量確認]]</f>
        <v>20000</v>
      </c>
      <c r="N16" s="197">
        <v>45972</v>
      </c>
      <c r="O16" s="190" t="s">
        <v>1209</v>
      </c>
      <c r="P16" s="191">
        <v>5000</v>
      </c>
      <c r="Q16" s="210" t="s">
        <v>910</v>
      </c>
      <c r="R16" s="191">
        <v>5000</v>
      </c>
      <c r="S16" s="192"/>
      <c r="T16" s="193"/>
      <c r="U16" s="194">
        <f>_018_XXX_素材[[#This Row],[入料數]]-_018_XXX_素材[[#This Row],[銷帳數量]]-_018_XXX_素材[[#This Row],[銷帳數量2]]</f>
        <v>0</v>
      </c>
    </row>
    <row r="17" spans="1:21" ht="19.5" x14ac:dyDescent="0.3">
      <c r="A17" s="110" t="s">
        <v>1711</v>
      </c>
      <c r="B17" s="211">
        <v>20000</v>
      </c>
      <c r="C17" s="212" t="s">
        <v>1712</v>
      </c>
      <c r="D17" s="111" t="s">
        <v>1776</v>
      </c>
      <c r="E17" s="213">
        <f>表格1[[#This Row],[數量]]-SUMIF(_018_XXX_素材[銷帳單號],表格1[[#This Row],[採購單號]],_018_XXX_素材[銷帳數量])-SUMIF(_018_XXX_素材[銷帳單號1],表格1[[#This Row],[採購單號]],_018_XXX_素材[銷帳數量2])+表格1[[#This Row],[差額數量確認]]</f>
        <v>20000</v>
      </c>
      <c r="F17" s="213"/>
      <c r="G17" s="211">
        <f>表格1[[#This Row],[數量]]+表格1[[#This Row],[差額數量確認]]</f>
        <v>20000</v>
      </c>
      <c r="I17" t="s">
        <v>66</v>
      </c>
      <c r="N17" s="197">
        <v>45995</v>
      </c>
      <c r="O17" s="190" t="s">
        <v>1285</v>
      </c>
      <c r="P17" s="191">
        <v>5000</v>
      </c>
      <c r="Q17" s="210" t="s">
        <v>1212</v>
      </c>
      <c r="R17" s="191">
        <v>5000</v>
      </c>
      <c r="S17" s="192"/>
      <c r="T17" s="193"/>
      <c r="U17" s="194">
        <f>_018_XXX_素材[[#This Row],[入料數]]-_018_XXX_素材[[#This Row],[銷帳數量]]-_018_XXX_素材[[#This Row],[銷帳數量2]]</f>
        <v>0</v>
      </c>
    </row>
    <row r="18" spans="1:21" ht="16.5" x14ac:dyDescent="0.3">
      <c r="N18" s="197">
        <v>46015</v>
      </c>
      <c r="O18" s="190" t="s">
        <v>1385</v>
      </c>
      <c r="P18" s="191">
        <v>3840</v>
      </c>
      <c r="Q18" s="210" t="s">
        <v>1213</v>
      </c>
      <c r="R18" s="191">
        <v>3840</v>
      </c>
      <c r="S18" s="192"/>
      <c r="T18" s="193"/>
      <c r="U18" s="194">
        <f>_018_XXX_素材[[#This Row],[入料數]]-_018_XXX_素材[[#This Row],[銷帳數量]]-_018_XXX_素材[[#This Row],[銷帳數量2]]</f>
        <v>0</v>
      </c>
    </row>
    <row r="19" spans="1:21" ht="16.5" x14ac:dyDescent="0.3">
      <c r="N19" s="197">
        <v>46022</v>
      </c>
      <c r="O19" s="190" t="s">
        <v>1406</v>
      </c>
      <c r="P19" s="191">
        <v>1160</v>
      </c>
      <c r="Q19" s="210" t="s">
        <v>1213</v>
      </c>
      <c r="R19" s="191">
        <v>1160</v>
      </c>
      <c r="S19" s="192"/>
      <c r="T19" s="193"/>
      <c r="U19" s="194">
        <f>_018_XXX_素材[[#This Row],[入料數]]-_018_XXX_素材[[#This Row],[銷帳數量]]-_018_XXX_素材[[#This Row],[銷帳數量2]]</f>
        <v>0</v>
      </c>
    </row>
    <row r="20" spans="1:21" ht="16.5" x14ac:dyDescent="0.3">
      <c r="N20" s="197">
        <v>46035</v>
      </c>
      <c r="O20" s="190" t="s">
        <v>1450</v>
      </c>
      <c r="P20" s="191">
        <v>5000</v>
      </c>
      <c r="Q20" s="210" t="s">
        <v>1328</v>
      </c>
      <c r="R20" s="191">
        <v>5000</v>
      </c>
      <c r="S20" s="192"/>
      <c r="T20" s="193"/>
      <c r="U20" s="194">
        <f>_018_XXX_素材[[#This Row],[入料數]]-_018_XXX_素材[[#This Row],[銷帳數量]]-_018_XXX_素材[[#This Row],[銷帳數量2]]</f>
        <v>0</v>
      </c>
    </row>
    <row r="21" spans="1:21" ht="16.5" x14ac:dyDescent="0.3">
      <c r="N21" s="197">
        <v>46049</v>
      </c>
      <c r="O21" s="190" t="s">
        <v>1524</v>
      </c>
      <c r="P21" s="191">
        <v>24</v>
      </c>
      <c r="Q21" s="210" t="s">
        <v>1532</v>
      </c>
      <c r="R21" s="191">
        <v>24</v>
      </c>
      <c r="S21" s="192"/>
      <c r="T21" s="193"/>
      <c r="U21" s="194">
        <f>_018_XXX_素材[[#This Row],[入料數]]-_018_XXX_素材[[#This Row],[銷帳數量]]-_018_XXX_素材[[#This Row],[銷帳數量2]]</f>
        <v>0</v>
      </c>
    </row>
    <row r="22" spans="1:21" ht="16.5" x14ac:dyDescent="0.3">
      <c r="N22" s="197">
        <v>46050</v>
      </c>
      <c r="O22" s="190" t="s">
        <v>1531</v>
      </c>
      <c r="P22" s="191">
        <v>3200</v>
      </c>
      <c r="Q22" s="210" t="s">
        <v>1533</v>
      </c>
      <c r="R22" s="191">
        <v>3200</v>
      </c>
      <c r="S22" s="192"/>
      <c r="T22" s="193"/>
      <c r="U22" s="194">
        <f>_018_XXX_素材[[#This Row],[入料數]]-_018_XXX_素材[[#This Row],[銷帳數量]]-_018_XXX_素材[[#This Row],[銷帳數量2]]</f>
        <v>0</v>
      </c>
    </row>
    <row r="23" spans="1:21" ht="16.5" x14ac:dyDescent="0.3">
      <c r="N23" s="197">
        <v>46052</v>
      </c>
      <c r="O23" s="190" t="s">
        <v>1542</v>
      </c>
      <c r="P23" s="191">
        <v>1800</v>
      </c>
      <c r="Q23" s="210" t="s">
        <v>1328</v>
      </c>
      <c r="R23" s="191">
        <v>1800</v>
      </c>
      <c r="S23" s="192"/>
      <c r="T23" s="193"/>
      <c r="U23" s="194">
        <f>_018_XXX_素材[[#This Row],[入料數]]-_018_XXX_素材[[#This Row],[銷帳數量]]-_018_XXX_素材[[#This Row],[銷帳數量2]]</f>
        <v>0</v>
      </c>
    </row>
    <row r="24" spans="1:21" ht="16.5" x14ac:dyDescent="0.3">
      <c r="N24" s="197">
        <v>46055</v>
      </c>
      <c r="O24" s="190" t="s">
        <v>1551</v>
      </c>
      <c r="P24" s="191">
        <v>2720</v>
      </c>
      <c r="Q24" s="210" t="s">
        <v>1328</v>
      </c>
      <c r="R24" s="191">
        <v>2720</v>
      </c>
      <c r="S24" s="192"/>
      <c r="T24" s="193"/>
      <c r="U24" s="194">
        <f>_018_XXX_素材[[#This Row],[入料數]]-_018_XXX_素材[[#This Row],[銷帳數量]]-_018_XXX_素材[[#This Row],[銷帳數量2]]</f>
        <v>0</v>
      </c>
    </row>
    <row r="25" spans="1:21" ht="16.5" x14ac:dyDescent="0.3">
      <c r="N25" s="197">
        <v>46063</v>
      </c>
      <c r="O25" s="190" t="s">
        <v>1580</v>
      </c>
      <c r="P25" s="191">
        <v>2400</v>
      </c>
      <c r="Q25" s="210" t="s">
        <v>1328</v>
      </c>
      <c r="R25" s="191">
        <v>2400</v>
      </c>
      <c r="S25" s="192"/>
      <c r="T25" s="193"/>
      <c r="U25" s="194">
        <f>_018_XXX_素材[[#This Row],[入料數]]-_018_XXX_素材[[#This Row],[銷帳數量]]-_018_XXX_素材[[#This Row],[銷帳數量2]]</f>
        <v>0</v>
      </c>
    </row>
    <row r="26" spans="1:21" ht="16.5" x14ac:dyDescent="0.3">
      <c r="N26" s="197">
        <v>46086</v>
      </c>
      <c r="O26" s="190" t="s">
        <v>1602</v>
      </c>
      <c r="P26" s="191">
        <v>5000</v>
      </c>
      <c r="Q26" s="210" t="s">
        <v>1545</v>
      </c>
      <c r="R26" s="191">
        <v>5000</v>
      </c>
      <c r="S26" s="192"/>
      <c r="T26" s="193"/>
      <c r="U26" s="194">
        <f>_018_XXX_素材[[#This Row],[入料數]]-_018_XXX_素材[[#This Row],[銷帳數量]]-_018_XXX_素材[[#This Row],[銷帳數量2]]</f>
        <v>0</v>
      </c>
    </row>
    <row r="27" spans="1:21" ht="16.5" x14ac:dyDescent="0.3">
      <c r="N27" s="197">
        <v>46101</v>
      </c>
      <c r="O27" s="190" t="s">
        <v>1655</v>
      </c>
      <c r="P27" s="191">
        <v>5000</v>
      </c>
      <c r="Q27" s="210" t="s">
        <v>1545</v>
      </c>
      <c r="R27" s="191">
        <v>5000</v>
      </c>
      <c r="S27" s="192"/>
      <c r="T27" s="193"/>
      <c r="U27" s="194">
        <f>_018_XXX_素材[[#This Row],[入料數]]-_018_XXX_素材[[#This Row],[銷帳數量]]-_018_XXX_素材[[#This Row],[銷帳數量2]]</f>
        <v>0</v>
      </c>
    </row>
    <row r="28" spans="1:21" ht="16.5" x14ac:dyDescent="0.3">
      <c r="N28" s="197">
        <v>46120</v>
      </c>
      <c r="O28" s="190" t="s">
        <v>1772</v>
      </c>
      <c r="P28" s="191">
        <v>3200</v>
      </c>
      <c r="Q28" s="210" t="s">
        <v>1576</v>
      </c>
      <c r="R28" s="191">
        <v>3200</v>
      </c>
      <c r="S28" s="192"/>
      <c r="T28" s="193"/>
      <c r="U28" s="194">
        <f>_018_XXX_素材[[#This Row],[入料數]]-_018_XXX_素材[[#This Row],[銷帳數量]]-_018_XXX_素材[[#This Row],[銷帳數量2]]</f>
        <v>0</v>
      </c>
    </row>
    <row r="29" spans="1:21" ht="16.5" x14ac:dyDescent="0.3">
      <c r="N29" s="197">
        <v>46122</v>
      </c>
      <c r="O29" s="190" t="s">
        <v>1787</v>
      </c>
      <c r="P29" s="191">
        <v>5000</v>
      </c>
      <c r="Q29" s="210" t="s">
        <v>1576</v>
      </c>
      <c r="R29" s="191">
        <v>5000</v>
      </c>
      <c r="S29" s="192"/>
      <c r="T29" s="193"/>
      <c r="U29" s="194">
        <f>_018_XXX_素材[[#This Row],[入料數]]-_018_XXX_素材[[#This Row],[銷帳數量]]-_018_XXX_素材[[#This Row],[銷帳數量2]]</f>
        <v>0</v>
      </c>
    </row>
    <row r="30" spans="1:21" ht="16.5" x14ac:dyDescent="0.3">
      <c r="N30" s="197">
        <v>46128</v>
      </c>
      <c r="O30" s="190" t="s">
        <v>1818</v>
      </c>
      <c r="P30" s="191">
        <v>5000</v>
      </c>
      <c r="Q30" s="210" t="s">
        <v>1576</v>
      </c>
      <c r="R30" s="191">
        <v>1800</v>
      </c>
      <c r="S30" s="192" t="s">
        <v>1632</v>
      </c>
      <c r="T30" s="193">
        <v>3200</v>
      </c>
      <c r="U30" s="194">
        <f>_018_XXX_素材[[#This Row],[入料數]]-_018_XXX_素材[[#This Row],[銷帳數量]]-_018_XXX_素材[[#This Row],[銷帳數量2]]</f>
        <v>0</v>
      </c>
    </row>
    <row r="31" spans="1:21" ht="16.5" x14ac:dyDescent="0.3">
      <c r="N31" s="197">
        <v>46133</v>
      </c>
      <c r="O31" s="190" t="s">
        <v>1857</v>
      </c>
      <c r="P31" s="191">
        <v>5040</v>
      </c>
      <c r="Q31" s="210" t="s">
        <v>1632</v>
      </c>
      <c r="R31" s="191">
        <v>5040</v>
      </c>
      <c r="S31" s="192"/>
      <c r="T31" s="193"/>
      <c r="U31" s="194">
        <f>_018_XXX_素材[[#This Row],[入料數]]-_018_XXX_素材[[#This Row],[銷帳數量]]-_018_XXX_素材[[#This Row],[銷帳數量2]]</f>
        <v>0</v>
      </c>
    </row>
    <row r="32" spans="1:21" ht="16.5" x14ac:dyDescent="0.3">
      <c r="N32" s="197">
        <v>46149</v>
      </c>
      <c r="O32" s="190" t="s">
        <v>1985</v>
      </c>
      <c r="P32" s="191">
        <v>3200</v>
      </c>
      <c r="Q32" s="210" t="s">
        <v>1632</v>
      </c>
      <c r="R32" s="191">
        <v>3200</v>
      </c>
      <c r="S32" s="192"/>
      <c r="T32" s="193"/>
      <c r="U32" s="194">
        <f>_018_XXX_素材[[#This Row],[入料數]]-_018_XXX_素材[[#This Row],[銷帳數量]]-_018_XXX_素材[[#This Row],[銷帳數量2]]</f>
        <v>0</v>
      </c>
    </row>
    <row r="33" spans="14:21" ht="16.5" x14ac:dyDescent="0.3">
      <c r="N33" s="197">
        <v>46153</v>
      </c>
      <c r="O33" s="190" t="s">
        <v>2003</v>
      </c>
      <c r="P33" s="191">
        <v>5000</v>
      </c>
      <c r="Q33" s="210" t="s">
        <v>1632</v>
      </c>
      <c r="R33" s="191">
        <v>5000</v>
      </c>
      <c r="S33" s="192"/>
      <c r="T33" s="193"/>
      <c r="U33" s="194">
        <f>_018_XXX_素材[[#This Row],[入料數]]-_018_XXX_素材[[#This Row],[銷帳數量]]-_018_XXX_素材[[#This Row],[銷帳數量2]]</f>
        <v>0</v>
      </c>
    </row>
    <row r="34" spans="14:21" ht="16.5" x14ac:dyDescent="0.3">
      <c r="N34" s="221">
        <v>2958465</v>
      </c>
      <c r="O34" s="222" t="s">
        <v>759</v>
      </c>
      <c r="P34" s="223">
        <v>0</v>
      </c>
      <c r="Q34" s="224"/>
      <c r="R34" s="223"/>
      <c r="S34" s="225"/>
      <c r="T34" s="226"/>
      <c r="U34" s="227">
        <f>_018_XXX_素材[[#This Row],[入料數]]-_018_XXX_素材[[#This Row],[銷帳數量]]-_018_XXX_素材[[#This Row],[銷帳數量2]]</f>
        <v>0</v>
      </c>
    </row>
  </sheetData>
  <mergeCells count="1">
    <mergeCell ref="A4:C4"/>
  </mergeCells>
  <phoneticPr fontId="3" type="noConversion"/>
  <conditionalFormatting sqref="E6:E17">
    <cfRule type="cellIs" dxfId="625" priority="10" operator="greaterThan">
      <formula>0</formula>
    </cfRule>
  </conditionalFormatting>
  <conditionalFormatting sqref="U5:U34">
    <cfRule type="cellIs" dxfId="624" priority="9" operator="greaterThan">
      <formula>0</formula>
    </cfRule>
  </conditionalFormatting>
  <conditionalFormatting sqref="I6">
    <cfRule type="cellIs" dxfId="623" priority="5" operator="lessThan">
      <formula>$J$2</formula>
    </cfRule>
    <cfRule type="timePeriod" dxfId="622" priority="6" timePeriod="thisMonth">
      <formula>AND(MONTH(I6)=MONTH(TODAY()),YEAR(I6)=YEAR(TODAY()))</formula>
    </cfRule>
    <cfRule type="timePeriod" dxfId="621" priority="7" timePeriod="thisWeek">
      <formula>AND(TODAY()-ROUNDDOWN(I6,0)&lt;=WEEKDAY(TODAY())-1,ROUNDDOWN(I6,0)-TODAY()&lt;=7-WEEKDAY(TODAY()))</formula>
    </cfRule>
    <cfRule type="timePeriod" dxfId="620" priority="8" timePeriod="tomorrow">
      <formula>FLOOR(I6,1)=TODAY()+1</formula>
    </cfRule>
  </conditionalFormatting>
  <conditionalFormatting sqref="I6:L6">
    <cfRule type="expression" dxfId="619" priority="4">
      <formula>$L6&lt;=0</formula>
    </cfRule>
  </conditionalFormatting>
  <conditionalFormatting sqref="F6:F17">
    <cfRule type="cellIs" dxfId="618" priority="1" operator="greaterThan">
      <formula>0</formula>
    </cfRule>
  </conditionalFormatting>
  <pageMargins left="0.75" right="0.75" top="1" bottom="1" header="0.5" footer="0.5"/>
  <pageSetup paperSize="9" orientation="portrait" horizontalDpi="300" verticalDpi="300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55575-8703-4FF6-8318-995702F10E7A}">
  <sheetPr codeName="工作表9">
    <tabColor theme="9"/>
  </sheetPr>
  <dimension ref="A7:S11111"/>
  <sheetViews>
    <sheetView topLeftCell="D1" zoomScaleNormal="100" workbookViewId="0">
      <selection activeCell="N10210" sqref="N10210"/>
    </sheetView>
  </sheetViews>
  <sheetFormatPr defaultRowHeight="15.75" x14ac:dyDescent="0.25"/>
  <cols>
    <col min="1" max="2" width="26" hidden="1" customWidth="1"/>
    <col min="3" max="3" width="37.5703125" hidden="1" customWidth="1"/>
    <col min="4" max="4" width="26" customWidth="1"/>
    <col min="5" max="5" width="14.5703125" customWidth="1"/>
    <col min="6" max="6" width="16" bestFit="1" customWidth="1"/>
    <col min="7" max="7" width="21.140625" hidden="1" customWidth="1"/>
    <col min="8" max="8" width="18.140625" bestFit="1" customWidth="1"/>
    <col min="9" max="9" width="12.7109375" bestFit="1" customWidth="1"/>
    <col min="10" max="10" width="11" hidden="1" customWidth="1"/>
    <col min="11" max="11" width="11.140625" bestFit="1" customWidth="1"/>
    <col min="12" max="13" width="7.140625" bestFit="1" customWidth="1"/>
    <col min="14" max="14" width="39" bestFit="1" customWidth="1"/>
    <col min="15" max="15" width="20.28515625" hidden="1" customWidth="1"/>
    <col min="16" max="16" width="4.140625" hidden="1" customWidth="1"/>
    <col min="17" max="17" width="13.5703125" hidden="1" customWidth="1"/>
    <col min="18" max="18" width="8.5703125" bestFit="1" customWidth="1"/>
    <col min="19" max="19" width="14.42578125" bestFit="1" customWidth="1"/>
    <col min="20" max="20" width="13.5703125" bestFit="1" customWidth="1"/>
    <col min="21" max="21" width="7.140625" bestFit="1" customWidth="1"/>
    <col min="22" max="22" width="11" bestFit="1" customWidth="1"/>
    <col min="23" max="23" width="12.5703125" bestFit="1" customWidth="1"/>
    <col min="24" max="25" width="15.5703125" bestFit="1" customWidth="1"/>
    <col min="26" max="26" width="6.42578125" customWidth="1"/>
  </cols>
  <sheetData>
    <row r="7" spans="1:19" x14ac:dyDescent="0.25">
      <c r="A7" t="s">
        <v>19</v>
      </c>
      <c r="B7" t="s">
        <v>21</v>
      </c>
      <c r="C7" t="s">
        <v>20</v>
      </c>
      <c r="F7" t="s">
        <v>22</v>
      </c>
      <c r="G7" t="s">
        <v>11</v>
      </c>
      <c r="H7" t="s">
        <v>28</v>
      </c>
      <c r="I7" t="s">
        <v>20</v>
      </c>
      <c r="J7" t="s">
        <v>12</v>
      </c>
      <c r="K7" t="s">
        <v>23</v>
      </c>
      <c r="L7" t="s">
        <v>24</v>
      </c>
      <c r="M7" t="s">
        <v>25</v>
      </c>
      <c r="N7" t="s">
        <v>210</v>
      </c>
      <c r="O7" t="s">
        <v>57</v>
      </c>
      <c r="P7" t="s">
        <v>64</v>
      </c>
      <c r="Q7" t="s">
        <v>213</v>
      </c>
      <c r="R7" t="s">
        <v>290</v>
      </c>
      <c r="S7" t="s">
        <v>211</v>
      </c>
    </row>
    <row r="8" spans="1:19" hidden="1" x14ac:dyDescent="0.25">
      <c r="A8" s="66" t="s">
        <v>472</v>
      </c>
      <c r="B8" s="66" t="s">
        <v>489</v>
      </c>
      <c r="C8" s="66" t="s">
        <v>473</v>
      </c>
      <c r="F8" t="s">
        <v>2003</v>
      </c>
      <c r="G8" t="s">
        <v>468</v>
      </c>
      <c r="H8" t="str">
        <f>VLOOKUP(record[[#This Row],[ProcessSN]],表格2_7[],2,FALSE)</f>
        <v>30-4118-018-XXX</v>
      </c>
      <c r="I8" t="str">
        <f>VLOOKUP(record[[#This Row],[ProcessSN]],表格2_7[],3,FALSE)</f>
        <v>#02</v>
      </c>
      <c r="J8" t="s">
        <v>590</v>
      </c>
      <c r="K8" s="195">
        <v>46161.37871527778</v>
      </c>
      <c r="L8">
        <v>672</v>
      </c>
      <c r="M8">
        <v>0</v>
      </c>
      <c r="N8" s="98" t="str">
        <f>IF(record[[#This Row],[Memo]]="Browser:chrome os:android","平板報工",IF(record[[#This Row],[Memo]]=0,"委外",record[[#This Row],[Memo]]))</f>
        <v>委外</v>
      </c>
      <c r="P8" t="s">
        <v>186</v>
      </c>
      <c r="Q8" t="s">
        <v>216</v>
      </c>
      <c r="R8" t="str">
        <f>IFERROR(VLOOKUP(record[[#This Row],[PCUSTID]],廠商[],2,FALSE),"")</f>
        <v>俊杰</v>
      </c>
      <c r="S8" t="str">
        <f>VLOOKUP(record[[#This Row],[employeeID]],員工[],2,FALSE)</f>
        <v>許文姍</v>
      </c>
    </row>
    <row r="9" spans="1:19" hidden="1" x14ac:dyDescent="0.25">
      <c r="A9" s="66" t="s">
        <v>307</v>
      </c>
      <c r="B9" s="66" t="s">
        <v>489</v>
      </c>
      <c r="C9" s="66" t="s">
        <v>474</v>
      </c>
      <c r="F9" t="s">
        <v>1985</v>
      </c>
      <c r="G9" t="s">
        <v>468</v>
      </c>
      <c r="H9" t="str">
        <f>VLOOKUP(record[[#This Row],[ProcessSN]],表格2_7[],2,FALSE)</f>
        <v>30-4118-018-XXX</v>
      </c>
      <c r="I9" t="str">
        <f>VLOOKUP(record[[#This Row],[ProcessSN]],表格2_7[],3,FALSE)</f>
        <v>#02</v>
      </c>
      <c r="J9" t="s">
        <v>590</v>
      </c>
      <c r="K9" s="195">
        <v>46161.378506944442</v>
      </c>
      <c r="L9">
        <v>1184</v>
      </c>
      <c r="M9">
        <v>0</v>
      </c>
      <c r="N9" s="98" t="str">
        <f>IF(record[[#This Row],[Memo]]="Browser:chrome os:android","平板報工",IF(record[[#This Row],[Memo]]=0,"委外",record[[#This Row],[Memo]]))</f>
        <v>委外</v>
      </c>
      <c r="P9" t="s">
        <v>186</v>
      </c>
      <c r="Q9" t="s">
        <v>216</v>
      </c>
      <c r="R9" t="str">
        <f>IFERROR(VLOOKUP(record[[#This Row],[PCUSTID]],廠商[],2,FALSE),"")</f>
        <v>俊杰</v>
      </c>
      <c r="S9" t="str">
        <f>VLOOKUP(record[[#This Row],[employeeID]],員工[],2,FALSE)</f>
        <v>許文姍</v>
      </c>
    </row>
    <row r="10" spans="1:19" hidden="1" x14ac:dyDescent="0.25">
      <c r="A10" s="66" t="s">
        <v>308</v>
      </c>
      <c r="B10" s="66" t="s">
        <v>489</v>
      </c>
      <c r="C10" s="66" t="s">
        <v>475</v>
      </c>
      <c r="F10" t="s">
        <v>1960</v>
      </c>
      <c r="G10" t="s">
        <v>402</v>
      </c>
      <c r="H10" t="str">
        <f>VLOOKUP(record[[#This Row],[ProcessSN]],表格2_7[],2,FALSE)</f>
        <v>30-4118-018-550</v>
      </c>
      <c r="I10" t="str">
        <f>VLOOKUP(record[[#This Row],[ProcessSN]],表格2_7[],3,FALSE)</f>
        <v>#100STOCK</v>
      </c>
      <c r="J10" t="s">
        <v>592</v>
      </c>
      <c r="K10" s="195">
        <v>46161.375324074077</v>
      </c>
      <c r="L10">
        <v>160</v>
      </c>
      <c r="M10">
        <v>0</v>
      </c>
      <c r="N10" s="98" t="str">
        <f>IF(record[[#This Row],[Memo]]="Browser:chrome os:android","平板報工",IF(record[[#This Row],[Memo]]=0,"委外",record[[#This Row],[Memo]]))</f>
        <v/>
      </c>
      <c r="O10" t="s">
        <v>58</v>
      </c>
      <c r="P10" t="s">
        <v>886</v>
      </c>
      <c r="Q10" t="s">
        <v>58</v>
      </c>
      <c r="R10" t="str">
        <f>IFERROR(VLOOKUP(record[[#This Row],[PCUSTID]],廠商[],2,FALSE),"")</f>
        <v/>
      </c>
      <c r="S10" t="str">
        <f>VLOOKUP(record[[#This Row],[employeeID]],員工[],2,FALSE)</f>
        <v>謝蓁薰</v>
      </c>
    </row>
    <row r="11" spans="1:19" hidden="1" x14ac:dyDescent="0.25">
      <c r="A11" s="66" t="s">
        <v>309</v>
      </c>
      <c r="B11" s="66" t="s">
        <v>489</v>
      </c>
      <c r="C11" s="66" t="s">
        <v>476</v>
      </c>
      <c r="F11" t="s">
        <v>1985</v>
      </c>
      <c r="G11" t="s">
        <v>467</v>
      </c>
      <c r="H11" t="str">
        <f>VLOOKUP(record[[#This Row],[ProcessSN]],表格2_7[],2,FALSE)</f>
        <v>30-4118-018-XXX</v>
      </c>
      <c r="I11" t="str">
        <f>VLOOKUP(record[[#This Row],[ProcessSN]],表格2_7[],3,FALSE)</f>
        <v>#01QC</v>
      </c>
      <c r="J11" t="s">
        <v>589</v>
      </c>
      <c r="K11" s="195">
        <v>46161.350208333337</v>
      </c>
      <c r="L11">
        <v>1184</v>
      </c>
      <c r="M11">
        <v>0</v>
      </c>
      <c r="N11" s="98" t="str">
        <f>IF(record[[#This Row],[Memo]]="Browser:chrome os:android","平板報工",IF(record[[#This Row],[Memo]]=0,"委外",record[[#This Row],[Memo]]))</f>
        <v>平板報工</v>
      </c>
      <c r="O11" t="s">
        <v>643</v>
      </c>
      <c r="P11" t="s">
        <v>182</v>
      </c>
      <c r="Q11" t="s">
        <v>644</v>
      </c>
      <c r="R11" t="str">
        <f>IFERROR(VLOOKUP(record[[#This Row],[PCUSTID]],廠商[],2,FALSE),"")</f>
        <v/>
      </c>
      <c r="S11" t="str">
        <f>VLOOKUP(record[[#This Row],[employeeID]],員工[],2,FALSE)</f>
        <v>梅氏和</v>
      </c>
    </row>
    <row r="12" spans="1:19" hidden="1" x14ac:dyDescent="0.25">
      <c r="A12" s="66" t="s">
        <v>310</v>
      </c>
      <c r="B12" s="66" t="s">
        <v>489</v>
      </c>
      <c r="C12" s="66" t="s">
        <v>73</v>
      </c>
      <c r="F12" t="s">
        <v>2003</v>
      </c>
      <c r="G12" t="s">
        <v>467</v>
      </c>
      <c r="H12" t="str">
        <f>VLOOKUP(record[[#This Row],[ProcessSN]],表格2_7[],2,FALSE)</f>
        <v>30-4118-018-XXX</v>
      </c>
      <c r="I12" t="str">
        <f>VLOOKUP(record[[#This Row],[ProcessSN]],表格2_7[],3,FALSE)</f>
        <v>#01QC</v>
      </c>
      <c r="J12" t="s">
        <v>589</v>
      </c>
      <c r="K12" s="195">
        <v>46161.342789351853</v>
      </c>
      <c r="L12">
        <v>672</v>
      </c>
      <c r="M12">
        <v>0</v>
      </c>
      <c r="N12" s="98" t="str">
        <f>IF(record[[#This Row],[Memo]]="Browser:chrome os:android","平板報工",IF(record[[#This Row],[Memo]]=0,"委外",record[[#This Row],[Memo]]))</f>
        <v>平板報工</v>
      </c>
      <c r="O12" t="s">
        <v>643</v>
      </c>
      <c r="P12" t="s">
        <v>182</v>
      </c>
      <c r="Q12" t="s">
        <v>644</v>
      </c>
      <c r="R12" t="str">
        <f>IFERROR(VLOOKUP(record[[#This Row],[PCUSTID]],廠商[],2,FALSE),"")</f>
        <v/>
      </c>
      <c r="S12" t="str">
        <f>VLOOKUP(record[[#This Row],[employeeID]],員工[],2,FALSE)</f>
        <v>梅氏和</v>
      </c>
    </row>
    <row r="13" spans="1:19" hidden="1" x14ac:dyDescent="0.25">
      <c r="A13" s="66" t="s">
        <v>311</v>
      </c>
      <c r="B13" s="66" t="s">
        <v>489</v>
      </c>
      <c r="C13" s="66" t="s">
        <v>74</v>
      </c>
      <c r="F13" t="s">
        <v>2016</v>
      </c>
      <c r="G13" t="s">
        <v>450</v>
      </c>
      <c r="H13" t="str">
        <f>VLOOKUP(record[[#This Row],[ProcessSN]],表格2_7[],2,FALSE)</f>
        <v>30-4118-018-6XX</v>
      </c>
      <c r="I13" t="str">
        <f>VLOOKUP(record[[#This Row],[ProcessSN]],表格2_7[],3,FALSE)</f>
        <v>#06</v>
      </c>
      <c r="J13" t="s">
        <v>593</v>
      </c>
      <c r="K13" s="195">
        <v>46161.310289351852</v>
      </c>
      <c r="L13">
        <v>65</v>
      </c>
      <c r="M13">
        <v>0</v>
      </c>
      <c r="N13" s="98" t="str">
        <f>IF(record[[#This Row],[Memo]]="Browser:chrome os:android","平板報工",IF(record[[#This Row],[Memo]]=0,"委外",record[[#This Row],[Memo]]))</f>
        <v/>
      </c>
      <c r="O13" t="s">
        <v>58</v>
      </c>
      <c r="P13" t="s">
        <v>115</v>
      </c>
      <c r="Q13" t="s">
        <v>58</v>
      </c>
      <c r="R13" t="str">
        <f>IFERROR(VLOOKUP(record[[#This Row],[PCUSTID]],廠商[],2,FALSE),"")</f>
        <v/>
      </c>
      <c r="S13" t="str">
        <f>VLOOKUP(record[[#This Row],[employeeID]],員工[],2,FALSE)</f>
        <v>溫智淵</v>
      </c>
    </row>
    <row r="14" spans="1:19" hidden="1" x14ac:dyDescent="0.25">
      <c r="A14" s="66" t="s">
        <v>312</v>
      </c>
      <c r="B14" s="66" t="s">
        <v>489</v>
      </c>
      <c r="C14" s="66" t="s">
        <v>75</v>
      </c>
      <c r="F14" t="s">
        <v>2016</v>
      </c>
      <c r="G14" t="s">
        <v>449</v>
      </c>
      <c r="H14" t="str">
        <f>VLOOKUP(record[[#This Row],[ProcessSN]],表格2_7[],2,FALSE)</f>
        <v>30-4118-018-6XX</v>
      </c>
      <c r="I14" t="str">
        <f>VLOOKUP(record[[#This Row],[ProcessSN]],表格2_7[],3,FALSE)</f>
        <v>#05</v>
      </c>
      <c r="J14" t="s">
        <v>588</v>
      </c>
      <c r="K14" s="195">
        <v>46161.30777777778</v>
      </c>
      <c r="L14">
        <v>11</v>
      </c>
      <c r="M14">
        <v>0</v>
      </c>
      <c r="N14" s="98" t="str">
        <f>IF(record[[#This Row],[Memo]]="Browser:chrome os:android","平板報工",IF(record[[#This Row],[Memo]]=0,"委外",record[[#This Row],[Memo]]))</f>
        <v/>
      </c>
      <c r="O14" t="s">
        <v>58</v>
      </c>
      <c r="P14" t="s">
        <v>1098</v>
      </c>
      <c r="Q14" t="s">
        <v>58</v>
      </c>
      <c r="R14" t="str">
        <f>IFERROR(VLOOKUP(record[[#This Row],[PCUSTID]],廠商[],2,FALSE),"")</f>
        <v/>
      </c>
      <c r="S14" t="str">
        <f>VLOOKUP(record[[#This Row],[employeeID]],員工[],2,FALSE)</f>
        <v>阮氏芳英(英)</v>
      </c>
    </row>
    <row r="15" spans="1:19" hidden="1" x14ac:dyDescent="0.25">
      <c r="A15" s="66" t="s">
        <v>313</v>
      </c>
      <c r="B15" s="66" t="s">
        <v>489</v>
      </c>
      <c r="C15" s="66" t="s">
        <v>76</v>
      </c>
      <c r="F15" t="s">
        <v>2016</v>
      </c>
      <c r="G15" t="s">
        <v>448</v>
      </c>
      <c r="H15" t="str">
        <f>VLOOKUP(record[[#This Row],[ProcessSN]],表格2_7[],2,FALSE)</f>
        <v>30-4118-018-6XX</v>
      </c>
      <c r="I15" t="str">
        <f>VLOOKUP(record[[#This Row],[ProcessSN]],表格2_7[],3,FALSE)</f>
        <v>#04</v>
      </c>
      <c r="J15" t="s">
        <v>588</v>
      </c>
      <c r="K15" s="195">
        <v>46161.306944444441</v>
      </c>
      <c r="L15">
        <v>6</v>
      </c>
      <c r="M15">
        <v>0</v>
      </c>
      <c r="N15" s="98" t="str">
        <f>IF(record[[#This Row],[Memo]]="Browser:chrome os:android","平板報工",IF(record[[#This Row],[Memo]]=0,"委外",record[[#This Row],[Memo]]))</f>
        <v/>
      </c>
      <c r="O15" t="s">
        <v>58</v>
      </c>
      <c r="P15" t="s">
        <v>135</v>
      </c>
      <c r="Q15" t="s">
        <v>58</v>
      </c>
      <c r="R15" t="str">
        <f>IFERROR(VLOOKUP(record[[#This Row],[PCUSTID]],廠商[],2,FALSE),"")</f>
        <v/>
      </c>
      <c r="S15" t="str">
        <f>VLOOKUP(record[[#This Row],[employeeID]],員工[],2,FALSE)</f>
        <v>阮士文</v>
      </c>
    </row>
    <row r="16" spans="1:19" hidden="1" x14ac:dyDescent="0.25">
      <c r="A16" s="66" t="s">
        <v>314</v>
      </c>
      <c r="B16" s="66" t="s">
        <v>490</v>
      </c>
      <c r="C16" s="66" t="s">
        <v>473</v>
      </c>
      <c r="F16" t="s">
        <v>2016</v>
      </c>
      <c r="G16" t="s">
        <v>449</v>
      </c>
      <c r="H16" t="str">
        <f>VLOOKUP(record[[#This Row],[ProcessSN]],表格2_7[],2,FALSE)</f>
        <v>30-4118-018-6XX</v>
      </c>
      <c r="I16" t="str">
        <f>VLOOKUP(record[[#This Row],[ProcessSN]],表格2_7[],3,FALSE)</f>
        <v>#05</v>
      </c>
      <c r="J16" t="s">
        <v>588</v>
      </c>
      <c r="K16" s="195">
        <v>46161.299386574072</v>
      </c>
      <c r="L16">
        <v>70</v>
      </c>
      <c r="M16">
        <v>0</v>
      </c>
      <c r="N16" s="98" t="str">
        <f>IF(record[[#This Row],[Memo]]="Browser:chrome os:android","平板報工",IF(record[[#This Row],[Memo]]=0,"委外",record[[#This Row],[Memo]]))</f>
        <v>平板報工</v>
      </c>
      <c r="O16" t="s">
        <v>643</v>
      </c>
      <c r="P16" t="s">
        <v>1098</v>
      </c>
      <c r="Q16" t="s">
        <v>644</v>
      </c>
      <c r="R16" t="str">
        <f>IFERROR(VLOOKUP(record[[#This Row],[PCUSTID]],廠商[],2,FALSE),"")</f>
        <v/>
      </c>
      <c r="S16" t="str">
        <f>VLOOKUP(record[[#This Row],[employeeID]],員工[],2,FALSE)</f>
        <v>阮氏芳英(英)</v>
      </c>
    </row>
    <row r="17" spans="1:19" hidden="1" x14ac:dyDescent="0.25">
      <c r="A17" s="66" t="s">
        <v>315</v>
      </c>
      <c r="B17" s="66" t="s">
        <v>490</v>
      </c>
      <c r="C17" s="66" t="s">
        <v>474</v>
      </c>
      <c r="F17" t="s">
        <v>2016</v>
      </c>
      <c r="G17" t="s">
        <v>448</v>
      </c>
      <c r="H17" t="str">
        <f>VLOOKUP(record[[#This Row],[ProcessSN]],表格2_7[],2,FALSE)</f>
        <v>30-4118-018-6XX</v>
      </c>
      <c r="I17" t="str">
        <f>VLOOKUP(record[[#This Row],[ProcessSN]],表格2_7[],3,FALSE)</f>
        <v>#04</v>
      </c>
      <c r="J17" t="s">
        <v>588</v>
      </c>
      <c r="K17" s="195">
        <v>46161.298668981479</v>
      </c>
      <c r="L17">
        <v>70</v>
      </c>
      <c r="M17">
        <v>0</v>
      </c>
      <c r="N17" s="98" t="str">
        <f>IF(record[[#This Row],[Memo]]="Browser:chrome os:android","平板報工",IF(record[[#This Row],[Memo]]=0,"委外",record[[#This Row],[Memo]]))</f>
        <v>平板報工</v>
      </c>
      <c r="O17" t="s">
        <v>643</v>
      </c>
      <c r="P17" t="s">
        <v>1847</v>
      </c>
      <c r="Q17" t="s">
        <v>644</v>
      </c>
      <c r="R17" t="str">
        <f>IFERROR(VLOOKUP(record[[#This Row],[PCUSTID]],廠商[],2,FALSE),"")</f>
        <v/>
      </c>
      <c r="S17" t="str">
        <f>VLOOKUP(record[[#This Row],[employeeID]],員工[],2,FALSE)</f>
        <v>潘黎慶平</v>
      </c>
    </row>
    <row r="18" spans="1:19" hidden="1" x14ac:dyDescent="0.25">
      <c r="A18" s="66" t="s">
        <v>316</v>
      </c>
      <c r="B18" s="66" t="s">
        <v>490</v>
      </c>
      <c r="C18" s="66" t="s">
        <v>475</v>
      </c>
      <c r="F18" t="s">
        <v>1965</v>
      </c>
      <c r="G18" t="s">
        <v>415</v>
      </c>
      <c r="H18" t="str">
        <f>VLOOKUP(record[[#This Row],[ProcessSN]],表格2_7[],2,FALSE)</f>
        <v>30-4118-018-5XX</v>
      </c>
      <c r="I18" t="str">
        <f>VLOOKUP(record[[#This Row],[ProcessSN]],表格2_7[],3,FALSE)</f>
        <v>#04</v>
      </c>
      <c r="J18" t="s">
        <v>588</v>
      </c>
      <c r="K18" s="195">
        <v>46161.297372685185</v>
      </c>
      <c r="L18">
        <v>20</v>
      </c>
      <c r="M18">
        <v>0</v>
      </c>
      <c r="N18" s="98" t="str">
        <f>IF(record[[#This Row],[Memo]]="Browser:chrome os:android","平板報工",IF(record[[#This Row],[Memo]]=0,"委外",record[[#This Row],[Memo]]))</f>
        <v>平板報工</v>
      </c>
      <c r="O18" t="s">
        <v>643</v>
      </c>
      <c r="P18" t="s">
        <v>1847</v>
      </c>
      <c r="Q18" t="s">
        <v>644</v>
      </c>
      <c r="R18" t="str">
        <f>IFERROR(VLOOKUP(record[[#This Row],[PCUSTID]],廠商[],2,FALSE),"")</f>
        <v/>
      </c>
      <c r="S18" t="str">
        <f>VLOOKUP(record[[#This Row],[employeeID]],員工[],2,FALSE)</f>
        <v>潘黎慶平</v>
      </c>
    </row>
    <row r="19" spans="1:19" hidden="1" x14ac:dyDescent="0.25">
      <c r="A19" s="66" t="s">
        <v>317</v>
      </c>
      <c r="B19" s="66" t="s">
        <v>490</v>
      </c>
      <c r="C19" s="66" t="s">
        <v>476</v>
      </c>
      <c r="F19" t="s">
        <v>2003</v>
      </c>
      <c r="G19" t="s">
        <v>465</v>
      </c>
      <c r="H19" t="str">
        <f>VLOOKUP(record[[#This Row],[ProcessSN]],表格2_7[],2,FALSE)</f>
        <v>30-4118-018-XXX</v>
      </c>
      <c r="I19" t="str">
        <f>VLOOKUP(record[[#This Row],[ProcessSN]],表格2_7[],3,FALSE)</f>
        <v>#01-1</v>
      </c>
      <c r="J19" t="s">
        <v>588</v>
      </c>
      <c r="K19" s="195">
        <v>46161.297094907408</v>
      </c>
      <c r="L19">
        <v>728</v>
      </c>
      <c r="M19">
        <v>0</v>
      </c>
      <c r="N19" s="98" t="str">
        <f>IF(record[[#This Row],[Memo]]="Browser:chrome os:android","平板報工",IF(record[[#This Row],[Memo]]=0,"委外",record[[#This Row],[Memo]]))</f>
        <v>平板報工</v>
      </c>
      <c r="O19" t="s">
        <v>643</v>
      </c>
      <c r="P19" t="s">
        <v>1847</v>
      </c>
      <c r="Q19" t="s">
        <v>644</v>
      </c>
      <c r="R19" t="str">
        <f>IFERROR(VLOOKUP(record[[#This Row],[PCUSTID]],廠商[],2,FALSE),"")</f>
        <v/>
      </c>
      <c r="S19" t="str">
        <f>VLOOKUP(record[[#This Row],[employeeID]],員工[],2,FALSE)</f>
        <v>潘黎慶平</v>
      </c>
    </row>
    <row r="20" spans="1:19" hidden="1" x14ac:dyDescent="0.25">
      <c r="A20" s="66" t="s">
        <v>318</v>
      </c>
      <c r="B20" s="66" t="s">
        <v>490</v>
      </c>
      <c r="C20" s="66" t="s">
        <v>73</v>
      </c>
      <c r="F20" t="s">
        <v>1944</v>
      </c>
      <c r="G20" t="s">
        <v>418</v>
      </c>
      <c r="H20" t="str">
        <f>VLOOKUP(record[[#This Row],[ProcessSN]],表格2_7[],2,FALSE)</f>
        <v>30-4118-018-5XX</v>
      </c>
      <c r="I20" t="str">
        <f>VLOOKUP(record[[#This Row],[ProcessSN]],表格2_7[],3,FALSE)</f>
        <v>#07</v>
      </c>
      <c r="J20" t="s">
        <v>588</v>
      </c>
      <c r="K20" s="195">
        <v>46161.293425925927</v>
      </c>
      <c r="L20">
        <v>260</v>
      </c>
      <c r="M20">
        <v>1</v>
      </c>
      <c r="N20" s="98" t="str">
        <f>IF(record[[#This Row],[Memo]]="Browser:chrome os:android","平板報工",IF(record[[#This Row],[Memo]]=0,"委外",record[[#This Row],[Memo]]))</f>
        <v>平板報工</v>
      </c>
      <c r="O20" t="s">
        <v>643</v>
      </c>
      <c r="P20" t="s">
        <v>1098</v>
      </c>
      <c r="Q20" t="s">
        <v>644</v>
      </c>
      <c r="R20" t="str">
        <f>IFERROR(VLOOKUP(record[[#This Row],[PCUSTID]],廠商[],2,FALSE),"")</f>
        <v/>
      </c>
      <c r="S20" t="str">
        <f>VLOOKUP(record[[#This Row],[employeeID]],員工[],2,FALSE)</f>
        <v>阮氏芳英(英)</v>
      </c>
    </row>
    <row r="21" spans="1:19" hidden="1" x14ac:dyDescent="0.25">
      <c r="A21" s="66" t="s">
        <v>319</v>
      </c>
      <c r="B21" s="66" t="s">
        <v>490</v>
      </c>
      <c r="C21" s="66" t="s">
        <v>74</v>
      </c>
      <c r="F21" t="s">
        <v>2003</v>
      </c>
      <c r="G21" t="s">
        <v>466</v>
      </c>
      <c r="H21" t="str">
        <f>VLOOKUP(record[[#This Row],[ProcessSN]],表格2_7[],2,FALSE)</f>
        <v>30-4118-018-XXX</v>
      </c>
      <c r="I21" t="str">
        <f>VLOOKUP(record[[#This Row],[ProcessSN]],表格2_7[],3,FALSE)</f>
        <v>#01-2</v>
      </c>
      <c r="J21" t="s">
        <v>588</v>
      </c>
      <c r="K21" s="195">
        <v>46161.273877314816</v>
      </c>
      <c r="L21">
        <v>587</v>
      </c>
      <c r="M21">
        <v>0</v>
      </c>
      <c r="N21" s="98" t="str">
        <f>IF(record[[#This Row],[Memo]]="Browser:chrome os:android","平板報工",IF(record[[#This Row],[Memo]]=0,"委外",record[[#This Row],[Memo]]))</f>
        <v>平板報工</v>
      </c>
      <c r="O21" t="s">
        <v>643</v>
      </c>
      <c r="P21" t="s">
        <v>806</v>
      </c>
      <c r="Q21" t="s">
        <v>644</v>
      </c>
      <c r="R21" t="str">
        <f>IFERROR(VLOOKUP(record[[#This Row],[PCUSTID]],廠商[],2,FALSE),"")</f>
        <v/>
      </c>
      <c r="S21" t="str">
        <f>VLOOKUP(record[[#This Row],[employeeID]],員工[],2,FALSE)</f>
        <v>方思緯</v>
      </c>
    </row>
    <row r="22" spans="1:19" hidden="1" x14ac:dyDescent="0.25">
      <c r="A22" s="66" t="s">
        <v>320</v>
      </c>
      <c r="B22" s="66" t="s">
        <v>490</v>
      </c>
      <c r="C22" s="66" t="s">
        <v>75</v>
      </c>
      <c r="F22" t="s">
        <v>2016</v>
      </c>
      <c r="G22" t="s">
        <v>450</v>
      </c>
      <c r="H22" t="str">
        <f>VLOOKUP(record[[#This Row],[ProcessSN]],表格2_7[],2,FALSE)</f>
        <v>30-4118-018-6XX</v>
      </c>
      <c r="I22" t="str">
        <f>VLOOKUP(record[[#This Row],[ProcessSN]],表格2_7[],3,FALSE)</f>
        <v>#06</v>
      </c>
      <c r="J22" t="s">
        <v>593</v>
      </c>
      <c r="K22" s="195">
        <v>46161.048518518517</v>
      </c>
      <c r="L22">
        <v>67</v>
      </c>
      <c r="M22">
        <v>0</v>
      </c>
      <c r="N22" s="98" t="str">
        <f>IF(record[[#This Row],[Memo]]="Browser:chrome os:android","平板報工",IF(record[[#This Row],[Memo]]=0,"委外",record[[#This Row],[Memo]]))</f>
        <v/>
      </c>
      <c r="O22" t="s">
        <v>58</v>
      </c>
      <c r="P22" t="s">
        <v>841</v>
      </c>
      <c r="Q22" t="s">
        <v>58</v>
      </c>
      <c r="R22" t="str">
        <f>IFERROR(VLOOKUP(record[[#This Row],[PCUSTID]],廠商[],2,FALSE),"")</f>
        <v/>
      </c>
      <c r="S22" t="str">
        <f>VLOOKUP(record[[#This Row],[employeeID]],員工[],2,FALSE)</f>
        <v>范氏香</v>
      </c>
    </row>
    <row r="23" spans="1:19" hidden="1" x14ac:dyDescent="0.25">
      <c r="A23" s="66" t="s">
        <v>321</v>
      </c>
      <c r="B23" s="66" t="s">
        <v>490</v>
      </c>
      <c r="C23" s="66" t="s">
        <v>76</v>
      </c>
      <c r="F23" t="s">
        <v>1985</v>
      </c>
      <c r="G23" t="s">
        <v>466</v>
      </c>
      <c r="H23" t="str">
        <f>VLOOKUP(record[[#This Row],[ProcessSN]],表格2_7[],2,FALSE)</f>
        <v>30-4118-018-XXX</v>
      </c>
      <c r="I23" t="str">
        <f>VLOOKUP(record[[#This Row],[ProcessSN]],表格2_7[],3,FALSE)</f>
        <v>#01-2</v>
      </c>
      <c r="J23" t="s">
        <v>588</v>
      </c>
      <c r="K23" s="195">
        <v>46160.993773148148</v>
      </c>
      <c r="L23">
        <v>437</v>
      </c>
      <c r="M23">
        <v>0</v>
      </c>
      <c r="N23" s="98" t="str">
        <f>IF(record[[#This Row],[Memo]]="Browser:chrome os:android","平板報工",IF(record[[#This Row],[Memo]]=0,"委外",record[[#This Row],[Memo]]))</f>
        <v>平板報工</v>
      </c>
      <c r="O23" t="s">
        <v>643</v>
      </c>
      <c r="P23" t="s">
        <v>89</v>
      </c>
      <c r="Q23" t="s">
        <v>644</v>
      </c>
      <c r="R23" t="str">
        <f>IFERROR(VLOOKUP(record[[#This Row],[PCUSTID]],廠商[],2,FALSE),"")</f>
        <v/>
      </c>
      <c r="S23" t="str">
        <f>VLOOKUP(record[[#This Row],[employeeID]],員工[],2,FALSE)</f>
        <v>李美蓮</v>
      </c>
    </row>
    <row r="24" spans="1:19" hidden="1" x14ac:dyDescent="0.25">
      <c r="A24" s="66" t="s">
        <v>322</v>
      </c>
      <c r="B24" s="66" t="s">
        <v>491</v>
      </c>
      <c r="C24" s="66" t="s">
        <v>473</v>
      </c>
      <c r="F24" t="s">
        <v>2003</v>
      </c>
      <c r="G24" t="s">
        <v>466</v>
      </c>
      <c r="H24" t="str">
        <f>VLOOKUP(record[[#This Row],[ProcessSN]],表格2_7[],2,FALSE)</f>
        <v>30-4118-018-XXX</v>
      </c>
      <c r="I24" t="str">
        <f>VLOOKUP(record[[#This Row],[ProcessSN]],表格2_7[],3,FALSE)</f>
        <v>#01-2</v>
      </c>
      <c r="J24" t="s">
        <v>588</v>
      </c>
      <c r="K24" s="195">
        <v>46160.992731481485</v>
      </c>
      <c r="L24">
        <v>150</v>
      </c>
      <c r="M24">
        <v>0</v>
      </c>
      <c r="N24" s="98" t="str">
        <f>IF(record[[#This Row],[Memo]]="Browser:chrome os:android","平板報工",IF(record[[#This Row],[Memo]]=0,"委外",record[[#This Row],[Memo]]))</f>
        <v>平板報工</v>
      </c>
      <c r="O24" t="s">
        <v>643</v>
      </c>
      <c r="P24" t="s">
        <v>89</v>
      </c>
      <c r="Q24" t="s">
        <v>644</v>
      </c>
      <c r="R24" t="str">
        <f>IFERROR(VLOOKUP(record[[#This Row],[PCUSTID]],廠商[],2,FALSE),"")</f>
        <v/>
      </c>
      <c r="S24" t="str">
        <f>VLOOKUP(record[[#This Row],[employeeID]],員工[],2,FALSE)</f>
        <v>李美蓮</v>
      </c>
    </row>
    <row r="25" spans="1:19" hidden="1" x14ac:dyDescent="0.25">
      <c r="A25" s="66" t="s">
        <v>323</v>
      </c>
      <c r="B25" s="66" t="s">
        <v>491</v>
      </c>
      <c r="C25" s="66" t="s">
        <v>474</v>
      </c>
      <c r="F25" t="s">
        <v>2003</v>
      </c>
      <c r="G25" t="s">
        <v>465</v>
      </c>
      <c r="H25" t="str">
        <f>VLOOKUP(record[[#This Row],[ProcessSN]],表格2_7[],2,FALSE)</f>
        <v>30-4118-018-XXX</v>
      </c>
      <c r="I25" t="str">
        <f>VLOOKUP(record[[#This Row],[ProcessSN]],表格2_7[],3,FALSE)</f>
        <v>#01-1</v>
      </c>
      <c r="J25" t="s">
        <v>588</v>
      </c>
      <c r="K25" s="195">
        <v>46160.992106481484</v>
      </c>
      <c r="L25">
        <v>530</v>
      </c>
      <c r="M25">
        <v>0</v>
      </c>
      <c r="N25" s="98" t="str">
        <f>IF(record[[#This Row],[Memo]]="Browser:chrome os:android","平板報工",IF(record[[#This Row],[Memo]]=0,"委外",record[[#This Row],[Memo]]))</f>
        <v>平板報工</v>
      </c>
      <c r="O25" t="s">
        <v>643</v>
      </c>
      <c r="P25" t="s">
        <v>1847</v>
      </c>
      <c r="Q25" t="s">
        <v>644</v>
      </c>
      <c r="R25" t="str">
        <f>IFERROR(VLOOKUP(record[[#This Row],[PCUSTID]],廠商[],2,FALSE),"")</f>
        <v/>
      </c>
      <c r="S25" t="str">
        <f>VLOOKUP(record[[#This Row],[employeeID]],員工[],2,FALSE)</f>
        <v>潘黎慶平</v>
      </c>
    </row>
    <row r="26" spans="1:19" hidden="1" x14ac:dyDescent="0.25">
      <c r="A26" s="66" t="s">
        <v>324</v>
      </c>
      <c r="B26" s="66" t="s">
        <v>491</v>
      </c>
      <c r="C26" s="66" t="s">
        <v>475</v>
      </c>
      <c r="F26" t="s">
        <v>2016</v>
      </c>
      <c r="G26" t="s">
        <v>449</v>
      </c>
      <c r="H26" t="str">
        <f>VLOOKUP(record[[#This Row],[ProcessSN]],表格2_7[],2,FALSE)</f>
        <v>30-4118-018-6XX</v>
      </c>
      <c r="I26" t="str">
        <f>VLOOKUP(record[[#This Row],[ProcessSN]],表格2_7[],3,FALSE)</f>
        <v>#05</v>
      </c>
      <c r="J26" t="s">
        <v>588</v>
      </c>
      <c r="K26" s="195">
        <v>46160.989039351851</v>
      </c>
      <c r="L26">
        <v>55</v>
      </c>
      <c r="M26">
        <v>0</v>
      </c>
      <c r="N26" s="98" t="str">
        <f>IF(record[[#This Row],[Memo]]="Browser:chrome os:android","平板報工",IF(record[[#This Row],[Memo]]=0,"委外",record[[#This Row],[Memo]]))</f>
        <v>平板報工</v>
      </c>
      <c r="O26" t="s">
        <v>643</v>
      </c>
      <c r="P26" t="s">
        <v>1098</v>
      </c>
      <c r="Q26" t="s">
        <v>644</v>
      </c>
      <c r="R26" t="str">
        <f>IFERROR(VLOOKUP(record[[#This Row],[PCUSTID]],廠商[],2,FALSE),"")</f>
        <v/>
      </c>
      <c r="S26" t="str">
        <f>VLOOKUP(record[[#This Row],[employeeID]],員工[],2,FALSE)</f>
        <v>阮氏芳英(英)</v>
      </c>
    </row>
    <row r="27" spans="1:19" hidden="1" x14ac:dyDescent="0.25">
      <c r="A27" s="66" t="s">
        <v>325</v>
      </c>
      <c r="B27" s="66" t="s">
        <v>491</v>
      </c>
      <c r="C27" s="66" t="s">
        <v>476</v>
      </c>
      <c r="F27" t="s">
        <v>2016</v>
      </c>
      <c r="G27" t="s">
        <v>448</v>
      </c>
      <c r="H27" t="str">
        <f>VLOOKUP(record[[#This Row],[ProcessSN]],表格2_7[],2,FALSE)</f>
        <v>30-4118-018-6XX</v>
      </c>
      <c r="I27" t="str">
        <f>VLOOKUP(record[[#This Row],[ProcessSN]],表格2_7[],3,FALSE)</f>
        <v>#04</v>
      </c>
      <c r="J27" t="s">
        <v>588</v>
      </c>
      <c r="K27" s="195">
        <v>46160.986851851849</v>
      </c>
      <c r="L27">
        <v>60</v>
      </c>
      <c r="M27">
        <v>0</v>
      </c>
      <c r="N27" s="98" t="str">
        <f>IF(record[[#This Row],[Memo]]="Browser:chrome os:android","平板報工",IF(record[[#This Row],[Memo]]=0,"委外",record[[#This Row],[Memo]]))</f>
        <v>平板報工</v>
      </c>
      <c r="O27" t="s">
        <v>643</v>
      </c>
      <c r="P27" t="s">
        <v>1847</v>
      </c>
      <c r="Q27" t="s">
        <v>644</v>
      </c>
      <c r="R27" t="str">
        <f>IFERROR(VLOOKUP(record[[#This Row],[PCUSTID]],廠商[],2,FALSE),"")</f>
        <v/>
      </c>
      <c r="S27" t="str">
        <f>VLOOKUP(record[[#This Row],[employeeID]],員工[],2,FALSE)</f>
        <v>潘黎慶平</v>
      </c>
    </row>
    <row r="28" spans="1:19" hidden="1" x14ac:dyDescent="0.25">
      <c r="A28" s="66" t="s">
        <v>326</v>
      </c>
      <c r="B28" s="66" t="s">
        <v>491</v>
      </c>
      <c r="C28" s="66" t="s">
        <v>73</v>
      </c>
      <c r="F28" t="s">
        <v>1944</v>
      </c>
      <c r="G28" t="s">
        <v>418</v>
      </c>
      <c r="H28" t="str">
        <f>VLOOKUP(record[[#This Row],[ProcessSN]],表格2_7[],2,FALSE)</f>
        <v>30-4118-018-5XX</v>
      </c>
      <c r="I28" t="str">
        <f>VLOOKUP(record[[#This Row],[ProcessSN]],表格2_7[],3,FALSE)</f>
        <v>#07</v>
      </c>
      <c r="J28" t="s">
        <v>588</v>
      </c>
      <c r="K28" s="195">
        <v>46160.983680555553</v>
      </c>
      <c r="L28">
        <v>130</v>
      </c>
      <c r="M28">
        <v>0</v>
      </c>
      <c r="N28" s="98" t="str">
        <f>IF(record[[#This Row],[Memo]]="Browser:chrome os:android","平板報工",IF(record[[#This Row],[Memo]]=0,"委外",record[[#This Row],[Memo]]))</f>
        <v>平板報工</v>
      </c>
      <c r="O28" t="s">
        <v>643</v>
      </c>
      <c r="P28" t="s">
        <v>1098</v>
      </c>
      <c r="Q28" t="s">
        <v>644</v>
      </c>
      <c r="R28" t="str">
        <f>IFERROR(VLOOKUP(record[[#This Row],[PCUSTID]],廠商[],2,FALSE),"")</f>
        <v/>
      </c>
      <c r="S28" t="str">
        <f>VLOOKUP(record[[#This Row],[employeeID]],員工[],2,FALSE)</f>
        <v>阮氏芳英(英)</v>
      </c>
    </row>
    <row r="29" spans="1:19" hidden="1" x14ac:dyDescent="0.25">
      <c r="A29" s="66" t="s">
        <v>327</v>
      </c>
      <c r="B29" s="66" t="s">
        <v>491</v>
      </c>
      <c r="C29" s="66" t="s">
        <v>74</v>
      </c>
      <c r="F29" t="s">
        <v>2016</v>
      </c>
      <c r="G29" t="s">
        <v>450</v>
      </c>
      <c r="H29" t="str">
        <f>VLOOKUP(record[[#This Row],[ProcessSN]],表格2_7[],2,FALSE)</f>
        <v>30-4118-018-6XX</v>
      </c>
      <c r="I29" t="str">
        <f>VLOOKUP(record[[#This Row],[ProcessSN]],表格2_7[],3,FALSE)</f>
        <v>#06</v>
      </c>
      <c r="J29" t="s">
        <v>593</v>
      </c>
      <c r="K29" s="195">
        <v>46160.828240740739</v>
      </c>
      <c r="L29">
        <v>70</v>
      </c>
      <c r="M29">
        <v>0</v>
      </c>
      <c r="N29" s="98" t="str">
        <f>IF(record[[#This Row],[Memo]]="Browser:chrome os:android","平板報工",IF(record[[#This Row],[Memo]]=0,"委外",record[[#This Row],[Memo]]))</f>
        <v>平板報工</v>
      </c>
      <c r="O29" t="s">
        <v>643</v>
      </c>
      <c r="P29" t="s">
        <v>1413</v>
      </c>
      <c r="Q29" t="s">
        <v>644</v>
      </c>
      <c r="R29" t="str">
        <f>IFERROR(VLOOKUP(record[[#This Row],[PCUSTID]],廠商[],2,FALSE),"")</f>
        <v/>
      </c>
      <c r="S29" t="str">
        <f>VLOOKUP(record[[#This Row],[employeeID]],員工[],2,FALSE)</f>
        <v>阮氏芳英(芳)</v>
      </c>
    </row>
    <row r="30" spans="1:19" hidden="1" x14ac:dyDescent="0.25">
      <c r="A30" s="66" t="s">
        <v>328</v>
      </c>
      <c r="B30" s="66" t="s">
        <v>491</v>
      </c>
      <c r="C30" s="66" t="s">
        <v>75</v>
      </c>
      <c r="F30" t="s">
        <v>1944</v>
      </c>
      <c r="G30" t="s">
        <v>418</v>
      </c>
      <c r="H30" t="str">
        <f>VLOOKUP(record[[#This Row],[ProcessSN]],表格2_7[],2,FALSE)</f>
        <v>30-4118-018-5XX</v>
      </c>
      <c r="I30" t="str">
        <f>VLOOKUP(record[[#This Row],[ProcessSN]],表格2_7[],3,FALSE)</f>
        <v>#07</v>
      </c>
      <c r="J30" t="s">
        <v>588</v>
      </c>
      <c r="K30" s="195">
        <v>46160.827928240738</v>
      </c>
      <c r="L30">
        <v>133</v>
      </c>
      <c r="M30">
        <v>0</v>
      </c>
      <c r="N30" s="98" t="str">
        <f>IF(record[[#This Row],[Memo]]="Browser:chrome os:android","平板報工",IF(record[[#This Row],[Memo]]=0,"委外",record[[#This Row],[Memo]]))</f>
        <v>平板報工</v>
      </c>
      <c r="O30" t="s">
        <v>643</v>
      </c>
      <c r="P30" t="s">
        <v>785</v>
      </c>
      <c r="Q30" t="s">
        <v>644</v>
      </c>
      <c r="R30" t="str">
        <f>IFERROR(VLOOKUP(record[[#This Row],[PCUSTID]],廠商[],2,FALSE),"")</f>
        <v/>
      </c>
      <c r="S30" t="str">
        <f>VLOOKUP(record[[#This Row],[employeeID]],員工[],2,FALSE)</f>
        <v>謝刻光</v>
      </c>
    </row>
    <row r="31" spans="1:19" hidden="1" x14ac:dyDescent="0.25">
      <c r="A31" s="66" t="s">
        <v>329</v>
      </c>
      <c r="B31" s="66" t="s">
        <v>491</v>
      </c>
      <c r="C31" s="66" t="s">
        <v>76</v>
      </c>
      <c r="F31" t="s">
        <v>2016</v>
      </c>
      <c r="G31" t="s">
        <v>449</v>
      </c>
      <c r="H31" t="str">
        <f>VLOOKUP(record[[#This Row],[ProcessSN]],表格2_7[],2,FALSE)</f>
        <v>30-4118-018-6XX</v>
      </c>
      <c r="I31" t="str">
        <f>VLOOKUP(record[[#This Row],[ProcessSN]],表格2_7[],3,FALSE)</f>
        <v>#05</v>
      </c>
      <c r="J31" t="s">
        <v>588</v>
      </c>
      <c r="K31" s="195">
        <v>46160.827465277776</v>
      </c>
      <c r="L31">
        <v>55</v>
      </c>
      <c r="M31">
        <v>0</v>
      </c>
      <c r="N31" s="98" t="str">
        <f>IF(record[[#This Row],[Memo]]="Browser:chrome os:android","平板報工",IF(record[[#This Row],[Memo]]=0,"委外",record[[#This Row],[Memo]]))</f>
        <v>平板報工</v>
      </c>
      <c r="O31" t="s">
        <v>643</v>
      </c>
      <c r="P31" t="s">
        <v>785</v>
      </c>
      <c r="Q31" t="s">
        <v>644</v>
      </c>
      <c r="R31" t="str">
        <f>IFERROR(VLOOKUP(record[[#This Row],[PCUSTID]],廠商[],2,FALSE),"")</f>
        <v/>
      </c>
      <c r="S31" t="str">
        <f>VLOOKUP(record[[#This Row],[employeeID]],員工[],2,FALSE)</f>
        <v>謝刻光</v>
      </c>
    </row>
    <row r="32" spans="1:19" hidden="1" x14ac:dyDescent="0.25">
      <c r="A32" s="66" t="s">
        <v>330</v>
      </c>
      <c r="B32" s="66" t="s">
        <v>492</v>
      </c>
      <c r="C32" s="66" t="s">
        <v>477</v>
      </c>
      <c r="F32" t="s">
        <v>2016</v>
      </c>
      <c r="G32" t="s">
        <v>448</v>
      </c>
      <c r="H32" t="str">
        <f>VLOOKUP(record[[#This Row],[ProcessSN]],表格2_7[],2,FALSE)</f>
        <v>30-4118-018-6XX</v>
      </c>
      <c r="I32" t="str">
        <f>VLOOKUP(record[[#This Row],[ProcessSN]],表格2_7[],3,FALSE)</f>
        <v>#04</v>
      </c>
      <c r="J32" t="s">
        <v>588</v>
      </c>
      <c r="K32" s="195">
        <v>46160.815949074073</v>
      </c>
      <c r="L32">
        <v>55</v>
      </c>
      <c r="M32">
        <v>0</v>
      </c>
      <c r="N32" s="98" t="str">
        <f>IF(record[[#This Row],[Memo]]="Browser:chrome os:android","平板報工",IF(record[[#This Row],[Memo]]=0,"委外",record[[#This Row],[Memo]]))</f>
        <v>平板報工</v>
      </c>
      <c r="O32" t="s">
        <v>643</v>
      </c>
      <c r="P32" t="s">
        <v>133</v>
      </c>
      <c r="Q32" t="s">
        <v>644</v>
      </c>
      <c r="R32" t="str">
        <f>IFERROR(VLOOKUP(record[[#This Row],[PCUSTID]],廠商[],2,FALSE),"")</f>
        <v/>
      </c>
      <c r="S32" t="str">
        <f>VLOOKUP(record[[#This Row],[employeeID]],員工[],2,FALSE)</f>
        <v>黎長維</v>
      </c>
    </row>
    <row r="33" spans="1:19" hidden="1" x14ac:dyDescent="0.25">
      <c r="A33" s="66" t="s">
        <v>331</v>
      </c>
      <c r="B33" s="66" t="s">
        <v>492</v>
      </c>
      <c r="C33" s="66" t="s">
        <v>478</v>
      </c>
      <c r="F33" t="s">
        <v>2003</v>
      </c>
      <c r="G33" t="s">
        <v>465</v>
      </c>
      <c r="H33" t="str">
        <f>VLOOKUP(record[[#This Row],[ProcessSN]],表格2_7[],2,FALSE)</f>
        <v>30-4118-018-XXX</v>
      </c>
      <c r="I33" t="str">
        <f>VLOOKUP(record[[#This Row],[ProcessSN]],表格2_7[],3,FALSE)</f>
        <v>#01-1</v>
      </c>
      <c r="J33" t="s">
        <v>588</v>
      </c>
      <c r="K33" s="195">
        <v>46160.815601851849</v>
      </c>
      <c r="L33">
        <v>550</v>
      </c>
      <c r="M33">
        <v>0</v>
      </c>
      <c r="N33" s="98" t="str">
        <f>IF(record[[#This Row],[Memo]]="Browser:chrome os:android","平板報工",IF(record[[#This Row],[Memo]]=0,"委外",record[[#This Row],[Memo]]))</f>
        <v>平板報工</v>
      </c>
      <c r="O33" t="s">
        <v>643</v>
      </c>
      <c r="P33" t="s">
        <v>133</v>
      </c>
      <c r="Q33" t="s">
        <v>644</v>
      </c>
      <c r="R33" t="str">
        <f>IFERROR(VLOOKUP(record[[#This Row],[PCUSTID]],廠商[],2,FALSE),"")</f>
        <v/>
      </c>
      <c r="S33" t="str">
        <f>VLOOKUP(record[[#This Row],[employeeID]],員工[],2,FALSE)</f>
        <v>黎長維</v>
      </c>
    </row>
    <row r="34" spans="1:19" hidden="1" x14ac:dyDescent="0.25">
      <c r="A34" s="66" t="s">
        <v>332</v>
      </c>
      <c r="B34" s="66" t="s">
        <v>492</v>
      </c>
      <c r="C34" s="66" t="s">
        <v>81</v>
      </c>
      <c r="F34" t="s">
        <v>1640</v>
      </c>
      <c r="G34" t="s">
        <v>401</v>
      </c>
      <c r="H34" t="str">
        <f>VLOOKUP(record[[#This Row],[ProcessSN]],表格2_7[],2,FALSE)</f>
        <v>30-4118-018-550</v>
      </c>
      <c r="I34" t="str">
        <f>VLOOKUP(record[[#This Row],[ProcessSN]],表格2_7[],3,FALSE)</f>
        <v>#100OQC</v>
      </c>
      <c r="J34" t="s">
        <v>599</v>
      </c>
      <c r="K34" s="195">
        <v>46160.809745370374</v>
      </c>
      <c r="L34">
        <v>3</v>
      </c>
      <c r="M34">
        <v>0</v>
      </c>
      <c r="N34" s="98" t="str">
        <f>IF(record[[#This Row],[Memo]]="Browser:chrome os:android","平板報工",IF(record[[#This Row],[Memo]]=0,"委外",record[[#This Row],[Memo]]))</f>
        <v/>
      </c>
      <c r="O34" t="s">
        <v>58</v>
      </c>
      <c r="P34" t="s">
        <v>121</v>
      </c>
      <c r="Q34" t="s">
        <v>58</v>
      </c>
      <c r="R34" t="str">
        <f>IFERROR(VLOOKUP(record[[#This Row],[PCUSTID]],廠商[],2,FALSE),"")</f>
        <v/>
      </c>
      <c r="S34" t="str">
        <f>VLOOKUP(record[[#This Row],[employeeID]],員工[],2,FALSE)</f>
        <v>謝素卿</v>
      </c>
    </row>
    <row r="35" spans="1:19" hidden="1" x14ac:dyDescent="0.25">
      <c r="A35" s="66" t="s">
        <v>333</v>
      </c>
      <c r="B35" s="66" t="s">
        <v>492</v>
      </c>
      <c r="C35" s="66" t="s">
        <v>71</v>
      </c>
      <c r="F35" t="s">
        <v>1940</v>
      </c>
      <c r="G35" t="s">
        <v>401</v>
      </c>
      <c r="H35" t="str">
        <f>VLOOKUP(record[[#This Row],[ProcessSN]],表格2_7[],2,FALSE)</f>
        <v>30-4118-018-550</v>
      </c>
      <c r="I35" t="str">
        <f>VLOOKUP(record[[#This Row],[ProcessSN]],表格2_7[],3,FALSE)</f>
        <v>#100OQC</v>
      </c>
      <c r="J35" t="s">
        <v>599</v>
      </c>
      <c r="K35" s="195">
        <v>46160.809583333335</v>
      </c>
      <c r="L35">
        <v>1</v>
      </c>
      <c r="M35">
        <v>0</v>
      </c>
      <c r="N35" s="98" t="str">
        <f>IF(record[[#This Row],[Memo]]="Browser:chrome os:android","平板報工",IF(record[[#This Row],[Memo]]=0,"委外",record[[#This Row],[Memo]]))</f>
        <v/>
      </c>
      <c r="O35" t="s">
        <v>58</v>
      </c>
      <c r="P35" t="s">
        <v>121</v>
      </c>
      <c r="Q35" t="s">
        <v>58</v>
      </c>
      <c r="R35" t="str">
        <f>IFERROR(VLOOKUP(record[[#This Row],[PCUSTID]],廠商[],2,FALSE),"")</f>
        <v/>
      </c>
      <c r="S35" t="str">
        <f>VLOOKUP(record[[#This Row],[employeeID]],員工[],2,FALSE)</f>
        <v>謝素卿</v>
      </c>
    </row>
    <row r="36" spans="1:19" hidden="1" x14ac:dyDescent="0.25">
      <c r="A36" s="66" t="s">
        <v>334</v>
      </c>
      <c r="B36" s="66" t="s">
        <v>492</v>
      </c>
      <c r="C36" s="66" t="s">
        <v>72</v>
      </c>
      <c r="F36" t="s">
        <v>1915</v>
      </c>
      <c r="G36" t="s">
        <v>401</v>
      </c>
      <c r="H36" t="str">
        <f>VLOOKUP(record[[#This Row],[ProcessSN]],表格2_7[],2,FALSE)</f>
        <v>30-4118-018-550</v>
      </c>
      <c r="I36" t="str">
        <f>VLOOKUP(record[[#This Row],[ProcessSN]],表格2_7[],3,FALSE)</f>
        <v>#100OQC</v>
      </c>
      <c r="J36" t="s">
        <v>599</v>
      </c>
      <c r="K36" s="195">
        <v>46160.809444444443</v>
      </c>
      <c r="L36">
        <v>1</v>
      </c>
      <c r="M36">
        <v>0</v>
      </c>
      <c r="N36" s="98" t="str">
        <f>IF(record[[#This Row],[Memo]]="Browser:chrome os:android","平板報工",IF(record[[#This Row],[Memo]]=0,"委外",record[[#This Row],[Memo]]))</f>
        <v/>
      </c>
      <c r="O36" t="s">
        <v>58</v>
      </c>
      <c r="P36" t="s">
        <v>121</v>
      </c>
      <c r="Q36" t="s">
        <v>58</v>
      </c>
      <c r="R36" t="str">
        <f>IFERROR(VLOOKUP(record[[#This Row],[PCUSTID]],廠商[],2,FALSE),"")</f>
        <v/>
      </c>
      <c r="S36" t="str">
        <f>VLOOKUP(record[[#This Row],[employeeID]],員工[],2,FALSE)</f>
        <v>謝素卿</v>
      </c>
    </row>
    <row r="37" spans="1:19" hidden="1" x14ac:dyDescent="0.25">
      <c r="A37" s="66" t="s">
        <v>335</v>
      </c>
      <c r="B37" s="66" t="s">
        <v>492</v>
      </c>
      <c r="C37" s="66" t="s">
        <v>77</v>
      </c>
      <c r="F37" t="s">
        <v>2025</v>
      </c>
      <c r="G37" t="s">
        <v>401</v>
      </c>
      <c r="H37" t="str">
        <f>VLOOKUP(record[[#This Row],[ProcessSN]],表格2_7[],2,FALSE)</f>
        <v>30-4118-018-550</v>
      </c>
      <c r="I37" t="str">
        <f>VLOOKUP(record[[#This Row],[ProcessSN]],表格2_7[],3,FALSE)</f>
        <v>#100OQC</v>
      </c>
      <c r="J37" t="s">
        <v>599</v>
      </c>
      <c r="K37" s="195">
        <v>46160.809317129628</v>
      </c>
      <c r="L37">
        <v>164</v>
      </c>
      <c r="M37">
        <v>0</v>
      </c>
      <c r="N37" s="98" t="str">
        <f>IF(record[[#This Row],[Memo]]="Browser:chrome os:android","平板報工",IF(record[[#This Row],[Memo]]=0,"委外",record[[#This Row],[Memo]]))</f>
        <v/>
      </c>
      <c r="O37" t="s">
        <v>58</v>
      </c>
      <c r="P37" t="s">
        <v>121</v>
      </c>
      <c r="Q37" t="s">
        <v>58</v>
      </c>
      <c r="R37" t="str">
        <f>IFERROR(VLOOKUP(record[[#This Row],[PCUSTID]],廠商[],2,FALSE),"")</f>
        <v/>
      </c>
      <c r="S37" t="str">
        <f>VLOOKUP(record[[#This Row],[employeeID]],員工[],2,FALSE)</f>
        <v>謝素卿</v>
      </c>
    </row>
    <row r="38" spans="1:19" hidden="1" x14ac:dyDescent="0.25">
      <c r="A38" s="66" t="s">
        <v>336</v>
      </c>
      <c r="B38" s="66" t="s">
        <v>492</v>
      </c>
      <c r="C38" s="66" t="s">
        <v>479</v>
      </c>
      <c r="F38" t="s">
        <v>1640</v>
      </c>
      <c r="G38" t="s">
        <v>400</v>
      </c>
      <c r="H38" t="str">
        <f>VLOOKUP(record[[#This Row],[ProcessSN]],表格2_7[],2,FALSE)</f>
        <v>30-4118-018-550</v>
      </c>
      <c r="I38" t="str">
        <f>VLOOKUP(record[[#This Row],[ProcessSN]],表格2_7[],3,FALSE)</f>
        <v>#100</v>
      </c>
      <c r="J38" t="s">
        <v>598</v>
      </c>
      <c r="K38" s="195">
        <v>46160.804525462961</v>
      </c>
      <c r="L38">
        <v>0</v>
      </c>
      <c r="M38">
        <v>1</v>
      </c>
      <c r="N38" s="98" t="str">
        <f>IF(record[[#This Row],[Memo]]="Browser:chrome os:android","平板報工",IF(record[[#This Row],[Memo]]=0,"委外",record[[#This Row],[Memo]]))</f>
        <v/>
      </c>
      <c r="O38" t="s">
        <v>58</v>
      </c>
      <c r="P38" t="s">
        <v>141</v>
      </c>
      <c r="Q38" t="s">
        <v>58</v>
      </c>
      <c r="R38" t="str">
        <f>IFERROR(VLOOKUP(record[[#This Row],[PCUSTID]],廠商[],2,FALSE),"")</f>
        <v/>
      </c>
      <c r="S38" t="str">
        <f>VLOOKUP(record[[#This Row],[employeeID]],員工[],2,FALSE)</f>
        <v>蔣梅</v>
      </c>
    </row>
    <row r="39" spans="1:19" hidden="1" x14ac:dyDescent="0.25">
      <c r="A39" s="66" t="s">
        <v>337</v>
      </c>
      <c r="B39" s="66" t="s">
        <v>492</v>
      </c>
      <c r="C39" s="66" t="s">
        <v>480</v>
      </c>
      <c r="F39" t="s">
        <v>1640</v>
      </c>
      <c r="G39" t="s">
        <v>400</v>
      </c>
      <c r="H39" t="str">
        <f>VLOOKUP(record[[#This Row],[ProcessSN]],表格2_7[],2,FALSE)</f>
        <v>30-4118-018-550</v>
      </c>
      <c r="I39" t="str">
        <f>VLOOKUP(record[[#This Row],[ProcessSN]],表格2_7[],3,FALSE)</f>
        <v>#100</v>
      </c>
      <c r="J39" t="s">
        <v>598</v>
      </c>
      <c r="K39" s="195">
        <v>46160.804155092592</v>
      </c>
      <c r="L39">
        <v>3</v>
      </c>
      <c r="M39">
        <v>0</v>
      </c>
      <c r="N39" s="98" t="str">
        <f>IF(record[[#This Row],[Memo]]="Browser:chrome os:android","平板報工",IF(record[[#This Row],[Memo]]=0,"委外",record[[#This Row],[Memo]]))</f>
        <v>補漆回</v>
      </c>
      <c r="O39" t="s">
        <v>1846</v>
      </c>
      <c r="P39" t="s">
        <v>141</v>
      </c>
      <c r="Q39" t="s">
        <v>58</v>
      </c>
      <c r="R39" t="str">
        <f>IFERROR(VLOOKUP(record[[#This Row],[PCUSTID]],廠商[],2,FALSE),"")</f>
        <v/>
      </c>
      <c r="S39" t="str">
        <f>VLOOKUP(record[[#This Row],[employeeID]],員工[],2,FALSE)</f>
        <v>蔣梅</v>
      </c>
    </row>
    <row r="40" spans="1:19" hidden="1" x14ac:dyDescent="0.25">
      <c r="A40" s="66" t="s">
        <v>338</v>
      </c>
      <c r="B40" s="66" t="s">
        <v>492</v>
      </c>
      <c r="C40" s="66" t="s">
        <v>481</v>
      </c>
      <c r="F40" t="s">
        <v>1940</v>
      </c>
      <c r="G40" t="s">
        <v>400</v>
      </c>
      <c r="H40" t="str">
        <f>VLOOKUP(record[[#This Row],[ProcessSN]],表格2_7[],2,FALSE)</f>
        <v>30-4118-018-550</v>
      </c>
      <c r="I40" t="str">
        <f>VLOOKUP(record[[#This Row],[ProcessSN]],表格2_7[],3,FALSE)</f>
        <v>#100</v>
      </c>
      <c r="J40" t="s">
        <v>598</v>
      </c>
      <c r="K40" s="195">
        <v>46160.803298611114</v>
      </c>
      <c r="L40">
        <v>1</v>
      </c>
      <c r="M40">
        <v>0</v>
      </c>
      <c r="N40" s="98" t="str">
        <f>IF(record[[#This Row],[Memo]]="Browser:chrome os:android","平板報工",IF(record[[#This Row],[Memo]]=0,"委外",record[[#This Row],[Memo]]))</f>
        <v/>
      </c>
      <c r="O40" t="s">
        <v>58</v>
      </c>
      <c r="P40" t="s">
        <v>141</v>
      </c>
      <c r="Q40" t="s">
        <v>58</v>
      </c>
      <c r="R40" t="str">
        <f>IFERROR(VLOOKUP(record[[#This Row],[PCUSTID]],廠商[],2,FALSE),"")</f>
        <v/>
      </c>
      <c r="S40" t="str">
        <f>VLOOKUP(record[[#This Row],[employeeID]],員工[],2,FALSE)</f>
        <v>蔣梅</v>
      </c>
    </row>
    <row r="41" spans="1:19" hidden="1" x14ac:dyDescent="0.25">
      <c r="A41" s="66" t="s">
        <v>339</v>
      </c>
      <c r="B41" s="66" t="s">
        <v>493</v>
      </c>
      <c r="C41" s="66" t="s">
        <v>473</v>
      </c>
      <c r="F41" t="s">
        <v>1940</v>
      </c>
      <c r="G41" t="s">
        <v>399</v>
      </c>
      <c r="H41" t="str">
        <f>VLOOKUP(record[[#This Row],[ProcessSN]],表格2_7[],2,FALSE)</f>
        <v>30-4118-018-550</v>
      </c>
      <c r="I41" t="str">
        <f>VLOOKUP(record[[#This Row],[ProcessSN]],表格2_7[],3,FALSE)</f>
        <v>#08IQC</v>
      </c>
      <c r="J41" t="s">
        <v>583</v>
      </c>
      <c r="K41" s="195">
        <v>46160.803182870368</v>
      </c>
      <c r="L41">
        <v>1</v>
      </c>
      <c r="M41">
        <v>0</v>
      </c>
      <c r="N41" s="98" t="str">
        <f>IF(record[[#This Row],[Memo]]="Browser:chrome os:android","平板報工",IF(record[[#This Row],[Memo]]=0,"委外",record[[#This Row],[Memo]]))</f>
        <v/>
      </c>
      <c r="O41" t="s">
        <v>58</v>
      </c>
      <c r="P41" t="s">
        <v>141</v>
      </c>
      <c r="Q41" t="s">
        <v>58</v>
      </c>
      <c r="R41" t="str">
        <f>IFERROR(VLOOKUP(record[[#This Row],[PCUSTID]],廠商[],2,FALSE),"")</f>
        <v/>
      </c>
      <c r="S41" t="str">
        <f>VLOOKUP(record[[#This Row],[employeeID]],員工[],2,FALSE)</f>
        <v>蔣梅</v>
      </c>
    </row>
    <row r="42" spans="1:19" hidden="1" x14ac:dyDescent="0.25">
      <c r="A42" s="66" t="s">
        <v>340</v>
      </c>
      <c r="B42" s="66" t="s">
        <v>493</v>
      </c>
      <c r="C42" s="66" t="s">
        <v>474</v>
      </c>
      <c r="F42" t="s">
        <v>1940</v>
      </c>
      <c r="G42" t="s">
        <v>398</v>
      </c>
      <c r="H42" t="str">
        <f>VLOOKUP(record[[#This Row],[ProcessSN]],表格2_7[],2,FALSE)</f>
        <v>30-4118-018-550</v>
      </c>
      <c r="I42" t="str">
        <f>VLOOKUP(record[[#This Row],[ProcessSN]],表格2_7[],3,FALSE)</f>
        <v>#08RCV</v>
      </c>
      <c r="J42" t="s">
        <v>591</v>
      </c>
      <c r="K42" s="195">
        <v>46160.803067129629</v>
      </c>
      <c r="L42">
        <v>1</v>
      </c>
      <c r="M42">
        <v>0</v>
      </c>
      <c r="N42" s="98" t="str">
        <f>IF(record[[#This Row],[Memo]]="Browser:chrome os:android","平板報工",IF(record[[#This Row],[Memo]]=0,"委外",record[[#This Row],[Memo]]))</f>
        <v/>
      </c>
      <c r="O42" t="s">
        <v>58</v>
      </c>
      <c r="P42" t="s">
        <v>141</v>
      </c>
      <c r="Q42" t="s">
        <v>58</v>
      </c>
      <c r="R42" t="str">
        <f>IFERROR(VLOOKUP(record[[#This Row],[PCUSTID]],廠商[],2,FALSE),"")</f>
        <v/>
      </c>
      <c r="S42" t="str">
        <f>VLOOKUP(record[[#This Row],[employeeID]],員工[],2,FALSE)</f>
        <v>蔣梅</v>
      </c>
    </row>
    <row r="43" spans="1:19" hidden="1" x14ac:dyDescent="0.25">
      <c r="A43" s="66" t="s">
        <v>341</v>
      </c>
      <c r="B43" s="66" t="s">
        <v>493</v>
      </c>
      <c r="C43" s="66" t="s">
        <v>475</v>
      </c>
      <c r="F43" t="s">
        <v>1915</v>
      </c>
      <c r="G43" t="s">
        <v>400</v>
      </c>
      <c r="H43" t="str">
        <f>VLOOKUP(record[[#This Row],[ProcessSN]],表格2_7[],2,FALSE)</f>
        <v>30-4118-018-550</v>
      </c>
      <c r="I43" t="str">
        <f>VLOOKUP(record[[#This Row],[ProcessSN]],表格2_7[],3,FALSE)</f>
        <v>#100</v>
      </c>
      <c r="J43" t="s">
        <v>598</v>
      </c>
      <c r="K43" s="195">
        <v>46160.802893518521</v>
      </c>
      <c r="L43">
        <v>1</v>
      </c>
      <c r="M43">
        <v>0</v>
      </c>
      <c r="N43" s="98" t="str">
        <f>IF(record[[#This Row],[Memo]]="Browser:chrome os:android","平板報工",IF(record[[#This Row],[Memo]]=0,"委外",record[[#This Row],[Memo]]))</f>
        <v/>
      </c>
      <c r="O43" t="s">
        <v>58</v>
      </c>
      <c r="P43" t="s">
        <v>141</v>
      </c>
      <c r="Q43" t="s">
        <v>58</v>
      </c>
      <c r="R43" t="str">
        <f>IFERROR(VLOOKUP(record[[#This Row],[PCUSTID]],廠商[],2,FALSE),"")</f>
        <v/>
      </c>
      <c r="S43" t="str">
        <f>VLOOKUP(record[[#This Row],[employeeID]],員工[],2,FALSE)</f>
        <v>蔣梅</v>
      </c>
    </row>
    <row r="44" spans="1:19" hidden="1" x14ac:dyDescent="0.25">
      <c r="A44" s="66" t="s">
        <v>342</v>
      </c>
      <c r="B44" s="66" t="s">
        <v>493</v>
      </c>
      <c r="C44" s="66" t="s">
        <v>476</v>
      </c>
      <c r="F44" t="s">
        <v>1915</v>
      </c>
      <c r="G44" t="s">
        <v>399</v>
      </c>
      <c r="H44" t="str">
        <f>VLOOKUP(record[[#This Row],[ProcessSN]],表格2_7[],2,FALSE)</f>
        <v>30-4118-018-550</v>
      </c>
      <c r="I44" t="str">
        <f>VLOOKUP(record[[#This Row],[ProcessSN]],表格2_7[],3,FALSE)</f>
        <v>#08IQC</v>
      </c>
      <c r="J44" t="s">
        <v>583</v>
      </c>
      <c r="K44" s="195">
        <v>46160.802662037036</v>
      </c>
      <c r="L44">
        <v>1</v>
      </c>
      <c r="M44">
        <v>0</v>
      </c>
      <c r="N44" s="98" t="str">
        <f>IF(record[[#This Row],[Memo]]="Browser:chrome os:android","平板報工",IF(record[[#This Row],[Memo]]=0,"委外",record[[#This Row],[Memo]]))</f>
        <v/>
      </c>
      <c r="O44" t="s">
        <v>58</v>
      </c>
      <c r="P44" t="s">
        <v>141</v>
      </c>
      <c r="Q44" t="s">
        <v>58</v>
      </c>
      <c r="R44" t="str">
        <f>IFERROR(VLOOKUP(record[[#This Row],[PCUSTID]],廠商[],2,FALSE),"")</f>
        <v/>
      </c>
      <c r="S44" t="str">
        <f>VLOOKUP(record[[#This Row],[employeeID]],員工[],2,FALSE)</f>
        <v>蔣梅</v>
      </c>
    </row>
    <row r="45" spans="1:19" hidden="1" x14ac:dyDescent="0.25">
      <c r="A45" s="66" t="s">
        <v>343</v>
      </c>
      <c r="B45" s="66" t="s">
        <v>493</v>
      </c>
      <c r="C45" s="66" t="s">
        <v>73</v>
      </c>
      <c r="F45" t="s">
        <v>1915</v>
      </c>
      <c r="G45" t="s">
        <v>398</v>
      </c>
      <c r="H45" t="str">
        <f>VLOOKUP(record[[#This Row],[ProcessSN]],表格2_7[],2,FALSE)</f>
        <v>30-4118-018-550</v>
      </c>
      <c r="I45" t="str">
        <f>VLOOKUP(record[[#This Row],[ProcessSN]],表格2_7[],3,FALSE)</f>
        <v>#08RCV</v>
      </c>
      <c r="J45" t="s">
        <v>591</v>
      </c>
      <c r="K45" s="195">
        <v>46160.802546296298</v>
      </c>
      <c r="L45">
        <v>1</v>
      </c>
      <c r="M45">
        <v>0</v>
      </c>
      <c r="N45" s="98" t="str">
        <f>IF(record[[#This Row],[Memo]]="Browser:chrome os:android","平板報工",IF(record[[#This Row],[Memo]]=0,"委外",record[[#This Row],[Memo]]))</f>
        <v/>
      </c>
      <c r="O45" t="s">
        <v>58</v>
      </c>
      <c r="P45" t="s">
        <v>141</v>
      </c>
      <c r="Q45" t="s">
        <v>58</v>
      </c>
      <c r="R45" t="str">
        <f>IFERROR(VLOOKUP(record[[#This Row],[PCUSTID]],廠商[],2,FALSE),"")</f>
        <v/>
      </c>
      <c r="S45" t="str">
        <f>VLOOKUP(record[[#This Row],[employeeID]],員工[],2,FALSE)</f>
        <v>蔣梅</v>
      </c>
    </row>
    <row r="46" spans="1:19" hidden="1" x14ac:dyDescent="0.25">
      <c r="A46" s="66" t="s">
        <v>344</v>
      </c>
      <c r="B46" s="66" t="s">
        <v>493</v>
      </c>
      <c r="C46" s="66" t="s">
        <v>74</v>
      </c>
      <c r="F46" t="s">
        <v>2025</v>
      </c>
      <c r="G46" t="s">
        <v>400</v>
      </c>
      <c r="H46" t="str">
        <f>VLOOKUP(record[[#This Row],[ProcessSN]],表格2_7[],2,FALSE)</f>
        <v>30-4118-018-550</v>
      </c>
      <c r="I46" t="str">
        <f>VLOOKUP(record[[#This Row],[ProcessSN]],表格2_7[],3,FALSE)</f>
        <v>#100</v>
      </c>
      <c r="J46" t="s">
        <v>598</v>
      </c>
      <c r="K46" s="195">
        <v>46160.802314814813</v>
      </c>
      <c r="L46">
        <v>0</v>
      </c>
      <c r="M46">
        <v>4</v>
      </c>
      <c r="N46" s="98" t="str">
        <f>IF(record[[#This Row],[Memo]]="Browser:chrome os:android","平板報工",IF(record[[#This Row],[Memo]]=0,"委外",record[[#This Row],[Memo]]))</f>
        <v/>
      </c>
      <c r="O46" t="s">
        <v>58</v>
      </c>
      <c r="P46" t="s">
        <v>141</v>
      </c>
      <c r="Q46" t="s">
        <v>58</v>
      </c>
      <c r="R46" t="str">
        <f>IFERROR(VLOOKUP(record[[#This Row],[PCUSTID]],廠商[],2,FALSE),"")</f>
        <v/>
      </c>
      <c r="S46" t="str">
        <f>VLOOKUP(record[[#This Row],[employeeID]],員工[],2,FALSE)</f>
        <v>蔣梅</v>
      </c>
    </row>
    <row r="47" spans="1:19" hidden="1" x14ac:dyDescent="0.25">
      <c r="A47" s="66" t="s">
        <v>345</v>
      </c>
      <c r="B47" s="66" t="s">
        <v>493</v>
      </c>
      <c r="C47" s="66" t="s">
        <v>75</v>
      </c>
      <c r="F47" t="s">
        <v>2025</v>
      </c>
      <c r="G47" t="s">
        <v>400</v>
      </c>
      <c r="H47" t="str">
        <f>VLOOKUP(record[[#This Row],[ProcessSN]],表格2_7[],2,FALSE)</f>
        <v>30-4118-018-550</v>
      </c>
      <c r="I47" t="str">
        <f>VLOOKUP(record[[#This Row],[ProcessSN]],表格2_7[],3,FALSE)</f>
        <v>#100</v>
      </c>
      <c r="J47" t="s">
        <v>598</v>
      </c>
      <c r="K47" s="195">
        <v>46160.802175925928</v>
      </c>
      <c r="L47">
        <v>164</v>
      </c>
      <c r="M47">
        <v>0</v>
      </c>
      <c r="N47" s="98" t="str">
        <f>IF(record[[#This Row],[Memo]]="Browser:chrome os:android","平板報工",IF(record[[#This Row],[Memo]]=0,"委外",record[[#This Row],[Memo]]))</f>
        <v/>
      </c>
      <c r="O47" t="s">
        <v>58</v>
      </c>
      <c r="P47" t="s">
        <v>141</v>
      </c>
      <c r="Q47" t="s">
        <v>58</v>
      </c>
      <c r="R47" t="str">
        <f>IFERROR(VLOOKUP(record[[#This Row],[PCUSTID]],廠商[],2,FALSE),"")</f>
        <v/>
      </c>
      <c r="S47" t="str">
        <f>VLOOKUP(record[[#This Row],[employeeID]],員工[],2,FALSE)</f>
        <v>蔣梅</v>
      </c>
    </row>
    <row r="48" spans="1:19" hidden="1" x14ac:dyDescent="0.25">
      <c r="A48" s="66" t="s">
        <v>346</v>
      </c>
      <c r="B48" s="66" t="s">
        <v>493</v>
      </c>
      <c r="C48" s="66" t="s">
        <v>76</v>
      </c>
      <c r="F48" t="s">
        <v>2025</v>
      </c>
      <c r="G48" t="s">
        <v>399</v>
      </c>
      <c r="H48" t="str">
        <f>VLOOKUP(record[[#This Row],[ProcessSN]],表格2_7[],2,FALSE)</f>
        <v>30-4118-018-550</v>
      </c>
      <c r="I48" t="str">
        <f>VLOOKUP(record[[#This Row],[ProcessSN]],表格2_7[],3,FALSE)</f>
        <v>#08IQC</v>
      </c>
      <c r="J48" t="s">
        <v>583</v>
      </c>
      <c r="K48" s="195">
        <v>46160.748287037037</v>
      </c>
      <c r="L48">
        <v>168</v>
      </c>
      <c r="M48">
        <v>0</v>
      </c>
      <c r="N48" s="98" t="str">
        <f>IF(record[[#This Row],[Memo]]="Browser:chrome os:android","平板報工",IF(record[[#This Row],[Memo]]=0,"委外",record[[#This Row],[Memo]]))</f>
        <v/>
      </c>
      <c r="O48" t="s">
        <v>58</v>
      </c>
      <c r="P48" t="s">
        <v>109</v>
      </c>
      <c r="Q48" t="s">
        <v>58</v>
      </c>
      <c r="R48" t="str">
        <f>IFERROR(VLOOKUP(record[[#This Row],[PCUSTID]],廠商[],2,FALSE),"")</f>
        <v/>
      </c>
      <c r="S48" t="str">
        <f>VLOOKUP(record[[#This Row],[employeeID]],員工[],2,FALSE)</f>
        <v>裴氏璧鳳</v>
      </c>
    </row>
    <row r="49" spans="1:19" hidden="1" x14ac:dyDescent="0.25">
      <c r="A49" s="66" t="s">
        <v>347</v>
      </c>
      <c r="B49" s="66" t="s">
        <v>494</v>
      </c>
      <c r="C49" s="66" t="s">
        <v>473</v>
      </c>
      <c r="F49" t="s">
        <v>1960</v>
      </c>
      <c r="G49" t="s">
        <v>401</v>
      </c>
      <c r="H49" t="str">
        <f>VLOOKUP(record[[#This Row],[ProcessSN]],表格2_7[],2,FALSE)</f>
        <v>30-4118-018-550</v>
      </c>
      <c r="I49" t="str">
        <f>VLOOKUP(record[[#This Row],[ProcessSN]],表格2_7[],3,FALSE)</f>
        <v>#100OQC</v>
      </c>
      <c r="J49" t="s">
        <v>599</v>
      </c>
      <c r="K49" s="195">
        <v>46160.707870370374</v>
      </c>
      <c r="L49">
        <v>160</v>
      </c>
      <c r="M49">
        <v>0</v>
      </c>
      <c r="N49" s="98" t="str">
        <f>IF(record[[#This Row],[Memo]]="Browser:chrome os:android","平板報工",IF(record[[#This Row],[Memo]]=0,"委外",record[[#This Row],[Memo]]))</f>
        <v/>
      </c>
      <c r="O49" t="s">
        <v>58</v>
      </c>
      <c r="P49" t="s">
        <v>121</v>
      </c>
      <c r="Q49" t="s">
        <v>58</v>
      </c>
      <c r="R49" t="str">
        <f>IFERROR(VLOOKUP(record[[#This Row],[PCUSTID]],廠商[],2,FALSE),"")</f>
        <v/>
      </c>
      <c r="S49" t="str">
        <f>VLOOKUP(record[[#This Row],[employeeID]],員工[],2,FALSE)</f>
        <v>謝素卿</v>
      </c>
    </row>
    <row r="50" spans="1:19" hidden="1" x14ac:dyDescent="0.25">
      <c r="A50" s="66" t="s">
        <v>348</v>
      </c>
      <c r="B50" s="66" t="s">
        <v>494</v>
      </c>
      <c r="C50" s="66" t="s">
        <v>474</v>
      </c>
      <c r="F50" t="s">
        <v>2025</v>
      </c>
      <c r="G50" t="s">
        <v>398</v>
      </c>
      <c r="H50" t="str">
        <f>VLOOKUP(record[[#This Row],[ProcessSN]],表格2_7[],2,FALSE)</f>
        <v>30-4118-018-550</v>
      </c>
      <c r="I50" t="str">
        <f>VLOOKUP(record[[#This Row],[ProcessSN]],表格2_7[],3,FALSE)</f>
        <v>#08RCV</v>
      </c>
      <c r="J50" t="s">
        <v>591</v>
      </c>
      <c r="K50" s="195">
        <v>46160.697685185187</v>
      </c>
      <c r="L50">
        <v>168</v>
      </c>
      <c r="M50">
        <v>0</v>
      </c>
      <c r="N50" s="98" t="str">
        <f>IF(record[[#This Row],[Memo]]="Browser:chrome os:android","平板報工",IF(record[[#This Row],[Memo]]=0,"委外",record[[#This Row],[Memo]]))</f>
        <v/>
      </c>
      <c r="O50" t="s">
        <v>58</v>
      </c>
      <c r="P50" t="s">
        <v>1698</v>
      </c>
      <c r="Q50" t="s">
        <v>58</v>
      </c>
      <c r="R50" t="str">
        <f>IFERROR(VLOOKUP(record[[#This Row],[PCUSTID]],廠商[],2,FALSE),"")</f>
        <v/>
      </c>
      <c r="S50" t="str">
        <f>VLOOKUP(record[[#This Row],[employeeID]],員工[],2,FALSE)</f>
        <v>羅思潔</v>
      </c>
    </row>
    <row r="51" spans="1:19" hidden="1" x14ac:dyDescent="0.25">
      <c r="A51" s="66" t="s">
        <v>349</v>
      </c>
      <c r="B51" s="66" t="s">
        <v>494</v>
      </c>
      <c r="C51" s="66" t="s">
        <v>475</v>
      </c>
      <c r="F51" t="s">
        <v>1944</v>
      </c>
      <c r="G51" t="s">
        <v>419</v>
      </c>
      <c r="H51" t="str">
        <f>VLOOKUP(record[[#This Row],[ProcessSN]],表格2_7[],2,FALSE)</f>
        <v>30-4118-018-5XX</v>
      </c>
      <c r="I51" t="str">
        <f>VLOOKUP(record[[#This Row],[ProcessSN]],表格2_7[],3,FALSE)</f>
        <v>#07QC</v>
      </c>
      <c r="J51" t="s">
        <v>589</v>
      </c>
      <c r="K51" s="195">
        <v>46160.693854166668</v>
      </c>
      <c r="L51">
        <v>0</v>
      </c>
      <c r="M51">
        <v>1</v>
      </c>
      <c r="N51" s="98" t="str">
        <f>IF(record[[#This Row],[Memo]]="Browser:chrome os:android","平板報工",IF(record[[#This Row],[Memo]]=0,"委外",record[[#This Row],[Memo]]))</f>
        <v/>
      </c>
      <c r="O51" t="s">
        <v>58</v>
      </c>
      <c r="P51" t="s">
        <v>141</v>
      </c>
      <c r="Q51" t="s">
        <v>58</v>
      </c>
      <c r="R51" t="str">
        <f>IFERROR(VLOOKUP(record[[#This Row],[PCUSTID]],廠商[],2,FALSE),"")</f>
        <v/>
      </c>
      <c r="S51" t="str">
        <f>VLOOKUP(record[[#This Row],[employeeID]],員工[],2,FALSE)</f>
        <v>蔣梅</v>
      </c>
    </row>
    <row r="52" spans="1:19" hidden="1" x14ac:dyDescent="0.25">
      <c r="A52" s="66" t="s">
        <v>350</v>
      </c>
      <c r="B52" s="66" t="s">
        <v>494</v>
      </c>
      <c r="C52" s="66" t="s">
        <v>476</v>
      </c>
      <c r="F52" t="s">
        <v>1944</v>
      </c>
      <c r="G52" t="s">
        <v>419</v>
      </c>
      <c r="H52" t="str">
        <f>VLOOKUP(record[[#This Row],[ProcessSN]],表格2_7[],2,FALSE)</f>
        <v>30-4118-018-5XX</v>
      </c>
      <c r="I52" t="str">
        <f>VLOOKUP(record[[#This Row],[ProcessSN]],表格2_7[],3,FALSE)</f>
        <v>#07QC</v>
      </c>
      <c r="J52" t="s">
        <v>589</v>
      </c>
      <c r="K52" s="195">
        <v>46160.693726851852</v>
      </c>
      <c r="L52">
        <v>80</v>
      </c>
      <c r="M52">
        <v>0</v>
      </c>
      <c r="N52" s="98" t="str">
        <f>IF(record[[#This Row],[Memo]]="Browser:chrome os:android","平板報工",IF(record[[#This Row],[Memo]]=0,"委外",record[[#This Row],[Memo]]))</f>
        <v>覆回</v>
      </c>
      <c r="O52" t="s">
        <v>682</v>
      </c>
      <c r="P52" t="s">
        <v>141</v>
      </c>
      <c r="Q52" t="s">
        <v>58</v>
      </c>
      <c r="R52" t="str">
        <f>IFERROR(VLOOKUP(record[[#This Row],[PCUSTID]],廠商[],2,FALSE),"")</f>
        <v/>
      </c>
      <c r="S52" t="str">
        <f>VLOOKUP(record[[#This Row],[employeeID]],員工[],2,FALSE)</f>
        <v>蔣梅</v>
      </c>
    </row>
    <row r="53" spans="1:19" hidden="1" x14ac:dyDescent="0.25">
      <c r="A53" s="66" t="s">
        <v>351</v>
      </c>
      <c r="B53" s="66" t="s">
        <v>494</v>
      </c>
      <c r="C53" s="66" t="s">
        <v>73</v>
      </c>
      <c r="F53" t="s">
        <v>1995</v>
      </c>
      <c r="G53" t="s">
        <v>443</v>
      </c>
      <c r="H53" t="str">
        <f>VLOOKUP(record[[#This Row],[ProcessSN]],表格2_7[],2,FALSE)</f>
        <v>30-4118-018-650</v>
      </c>
      <c r="I53" t="str">
        <f>VLOOKUP(record[[#This Row],[ProcessSN]],表格2_7[],3,FALSE)</f>
        <v>#100STOCK</v>
      </c>
      <c r="J53" t="s">
        <v>592</v>
      </c>
      <c r="K53" s="195">
        <v>46160.669236111113</v>
      </c>
      <c r="L53">
        <v>6</v>
      </c>
      <c r="M53">
        <v>0</v>
      </c>
      <c r="N53" s="98" t="str">
        <f>IF(record[[#This Row],[Memo]]="Browser:chrome os:android","平板報工",IF(record[[#This Row],[Memo]]=0,"委外",record[[#This Row],[Memo]]))</f>
        <v/>
      </c>
      <c r="O53" t="s">
        <v>58</v>
      </c>
      <c r="P53" t="s">
        <v>886</v>
      </c>
      <c r="Q53" t="s">
        <v>58</v>
      </c>
      <c r="R53" t="str">
        <f>IFERROR(VLOOKUP(record[[#This Row],[PCUSTID]],廠商[],2,FALSE),"")</f>
        <v/>
      </c>
      <c r="S53" t="str">
        <f>VLOOKUP(record[[#This Row],[employeeID]],員工[],2,FALSE)</f>
        <v>謝蓁薰</v>
      </c>
    </row>
    <row r="54" spans="1:19" hidden="1" x14ac:dyDescent="0.25">
      <c r="A54" s="66" t="s">
        <v>352</v>
      </c>
      <c r="B54" s="66" t="s">
        <v>494</v>
      </c>
      <c r="C54" s="66" t="s">
        <v>74</v>
      </c>
      <c r="F54" t="s">
        <v>2005</v>
      </c>
      <c r="G54" t="s">
        <v>443</v>
      </c>
      <c r="H54" t="str">
        <f>VLOOKUP(record[[#This Row],[ProcessSN]],表格2_7[],2,FALSE)</f>
        <v>30-4118-018-650</v>
      </c>
      <c r="I54" t="str">
        <f>VLOOKUP(record[[#This Row],[ProcessSN]],表格2_7[],3,FALSE)</f>
        <v>#100STOCK</v>
      </c>
      <c r="J54" t="s">
        <v>592</v>
      </c>
      <c r="K54" s="195">
        <v>46160.669108796297</v>
      </c>
      <c r="L54">
        <v>383</v>
      </c>
      <c r="M54">
        <v>0</v>
      </c>
      <c r="N54" s="98" t="str">
        <f>IF(record[[#This Row],[Memo]]="Browser:chrome os:android","平板報工",IF(record[[#This Row],[Memo]]=0,"委外",record[[#This Row],[Memo]]))</f>
        <v/>
      </c>
      <c r="O54" t="s">
        <v>58</v>
      </c>
      <c r="P54" t="s">
        <v>886</v>
      </c>
      <c r="Q54" t="s">
        <v>58</v>
      </c>
      <c r="R54" t="str">
        <f>IFERROR(VLOOKUP(record[[#This Row],[PCUSTID]],廠商[],2,FALSE),"")</f>
        <v/>
      </c>
      <c r="S54" t="str">
        <f>VLOOKUP(record[[#This Row],[employeeID]],員工[],2,FALSE)</f>
        <v>謝蓁薰</v>
      </c>
    </row>
    <row r="55" spans="1:19" hidden="1" x14ac:dyDescent="0.25">
      <c r="A55" s="66" t="s">
        <v>353</v>
      </c>
      <c r="B55" s="66" t="s">
        <v>494</v>
      </c>
      <c r="C55" s="66" t="s">
        <v>75</v>
      </c>
      <c r="F55" t="s">
        <v>2016</v>
      </c>
      <c r="G55" t="s">
        <v>452</v>
      </c>
      <c r="H55" t="str">
        <f>VLOOKUP(record[[#This Row],[ProcessSN]],表格2_7[],2,FALSE)</f>
        <v>30-4118-018-6XX</v>
      </c>
      <c r="I55" t="str">
        <f>VLOOKUP(record[[#This Row],[ProcessSN]],表格2_7[],3,FALSE)</f>
        <v>#07QC</v>
      </c>
      <c r="J55" t="s">
        <v>589</v>
      </c>
      <c r="K55" s="195">
        <v>46160.664525462962</v>
      </c>
      <c r="L55">
        <v>0</v>
      </c>
      <c r="M55">
        <v>1</v>
      </c>
      <c r="N55" s="98" t="str">
        <f>IF(record[[#This Row],[Memo]]="Browser:chrome os:android","平板報工",IF(record[[#This Row],[Memo]]=0,"委外",record[[#This Row],[Memo]]))</f>
        <v>平板報工</v>
      </c>
      <c r="O55" t="s">
        <v>643</v>
      </c>
      <c r="P55" t="s">
        <v>141</v>
      </c>
      <c r="Q55" t="s">
        <v>644</v>
      </c>
      <c r="R55" t="str">
        <f>IFERROR(VLOOKUP(record[[#This Row],[PCUSTID]],廠商[],2,FALSE),"")</f>
        <v/>
      </c>
      <c r="S55" t="str">
        <f>VLOOKUP(record[[#This Row],[employeeID]],員工[],2,FALSE)</f>
        <v>蔣梅</v>
      </c>
    </row>
    <row r="56" spans="1:19" hidden="1" x14ac:dyDescent="0.25">
      <c r="A56" s="66" t="s">
        <v>354</v>
      </c>
      <c r="B56" s="66" t="s">
        <v>494</v>
      </c>
      <c r="C56" s="66" t="s">
        <v>76</v>
      </c>
      <c r="F56" t="s">
        <v>2016</v>
      </c>
      <c r="G56" t="s">
        <v>452</v>
      </c>
      <c r="H56" t="str">
        <f>VLOOKUP(record[[#This Row],[ProcessSN]],表格2_7[],2,FALSE)</f>
        <v>30-4118-018-6XX</v>
      </c>
      <c r="I56" t="str">
        <f>VLOOKUP(record[[#This Row],[ProcessSN]],表格2_7[],3,FALSE)</f>
        <v>#07QC</v>
      </c>
      <c r="J56" t="s">
        <v>589</v>
      </c>
      <c r="K56" s="195">
        <v>46160.664247685185</v>
      </c>
      <c r="L56">
        <v>167</v>
      </c>
      <c r="M56">
        <v>0</v>
      </c>
      <c r="N56" s="98" t="str">
        <f>IF(record[[#This Row],[Memo]]="Browser:chrome os:android","平板報工",IF(record[[#This Row],[Memo]]=0,"委外",record[[#This Row],[Memo]]))</f>
        <v>平板報工</v>
      </c>
      <c r="O56" t="s">
        <v>643</v>
      </c>
      <c r="P56" t="s">
        <v>141</v>
      </c>
      <c r="Q56" t="s">
        <v>644</v>
      </c>
      <c r="R56" t="str">
        <f>IFERROR(VLOOKUP(record[[#This Row],[PCUSTID]],廠商[],2,FALSE),"")</f>
        <v/>
      </c>
      <c r="S56" t="str">
        <f>VLOOKUP(record[[#This Row],[employeeID]],員工[],2,FALSE)</f>
        <v>蔣梅</v>
      </c>
    </row>
    <row r="57" spans="1:19" hidden="1" x14ac:dyDescent="0.25">
      <c r="A57" s="66" t="s">
        <v>355</v>
      </c>
      <c r="B57" s="66" t="s">
        <v>495</v>
      </c>
      <c r="C57" s="66" t="s">
        <v>473</v>
      </c>
      <c r="F57" t="s">
        <v>2016</v>
      </c>
      <c r="G57" t="s">
        <v>451</v>
      </c>
      <c r="H57" t="str">
        <f>VLOOKUP(record[[#This Row],[ProcessSN]],表格2_7[],2,FALSE)</f>
        <v>30-4118-018-6XX</v>
      </c>
      <c r="I57" t="str">
        <f>VLOOKUP(record[[#This Row],[ProcessSN]],表格2_7[],3,FALSE)</f>
        <v>#07</v>
      </c>
      <c r="J57" t="s">
        <v>588</v>
      </c>
      <c r="K57" s="195">
        <v>46160.655821759261</v>
      </c>
      <c r="L57">
        <v>168</v>
      </c>
      <c r="M57">
        <v>0</v>
      </c>
      <c r="N57" s="98" t="str">
        <f>IF(record[[#This Row],[Memo]]="Browser:chrome os:android","平板報工",IF(record[[#This Row],[Memo]]=0,"委外",record[[#This Row],[Memo]]))</f>
        <v>平板報工</v>
      </c>
      <c r="O57" t="s">
        <v>643</v>
      </c>
      <c r="P57" t="s">
        <v>785</v>
      </c>
      <c r="Q57" t="s">
        <v>644</v>
      </c>
      <c r="R57" t="str">
        <f>IFERROR(VLOOKUP(record[[#This Row],[PCUSTID]],廠商[],2,FALSE),"")</f>
        <v/>
      </c>
      <c r="S57" t="str">
        <f>VLOOKUP(record[[#This Row],[employeeID]],員工[],2,FALSE)</f>
        <v>謝刻光</v>
      </c>
    </row>
    <row r="58" spans="1:19" hidden="1" x14ac:dyDescent="0.25">
      <c r="A58" s="66" t="s">
        <v>356</v>
      </c>
      <c r="B58" s="66" t="s">
        <v>495</v>
      </c>
      <c r="C58" s="66" t="s">
        <v>474</v>
      </c>
      <c r="F58" t="s">
        <v>2016</v>
      </c>
      <c r="G58" t="s">
        <v>450</v>
      </c>
      <c r="H58" t="str">
        <f>VLOOKUP(record[[#This Row],[ProcessSN]],表格2_7[],2,FALSE)</f>
        <v>30-4118-018-6XX</v>
      </c>
      <c r="I58" t="str">
        <f>VLOOKUP(record[[#This Row],[ProcessSN]],表格2_7[],3,FALSE)</f>
        <v>#06</v>
      </c>
      <c r="J58" t="s">
        <v>593</v>
      </c>
      <c r="K58" s="195">
        <v>46160.652268518519</v>
      </c>
      <c r="L58">
        <v>133</v>
      </c>
      <c r="M58">
        <v>0</v>
      </c>
      <c r="N58" s="98" t="str">
        <f>IF(record[[#This Row],[Memo]]="Browser:chrome os:android","平板報工",IF(record[[#This Row],[Memo]]=0,"委外",record[[#This Row],[Memo]]))</f>
        <v>平板報工</v>
      </c>
      <c r="O58" t="s">
        <v>643</v>
      </c>
      <c r="P58" t="s">
        <v>1413</v>
      </c>
      <c r="Q58" t="s">
        <v>644</v>
      </c>
      <c r="R58" t="str">
        <f>IFERROR(VLOOKUP(record[[#This Row],[PCUSTID]],廠商[],2,FALSE),"")</f>
        <v/>
      </c>
      <c r="S58" t="str">
        <f>VLOOKUP(record[[#This Row],[employeeID]],員工[],2,FALSE)</f>
        <v>阮氏芳英(芳)</v>
      </c>
    </row>
    <row r="59" spans="1:19" hidden="1" x14ac:dyDescent="0.25">
      <c r="A59" s="66" t="s">
        <v>357</v>
      </c>
      <c r="B59" s="66" t="s">
        <v>495</v>
      </c>
      <c r="C59" s="66" t="s">
        <v>475</v>
      </c>
      <c r="F59" t="s">
        <v>1941</v>
      </c>
      <c r="G59" t="s">
        <v>386</v>
      </c>
      <c r="H59" t="str">
        <f>VLOOKUP(record[[#This Row],[ProcessSN]],表格2_7[],2,FALSE)</f>
        <v>30-4118-018-500</v>
      </c>
      <c r="I59" t="str">
        <f>VLOOKUP(record[[#This Row],[ProcessSN]],表格2_7[],3,FALSE)</f>
        <v>#100STOCK</v>
      </c>
      <c r="J59" t="s">
        <v>592</v>
      </c>
      <c r="K59" s="195">
        <v>46160.649085648147</v>
      </c>
      <c r="L59">
        <v>120</v>
      </c>
      <c r="M59">
        <v>0</v>
      </c>
      <c r="N59" s="98" t="str">
        <f>IF(record[[#This Row],[Memo]]="Browser:chrome os:android","平板報工",IF(record[[#This Row],[Memo]]=0,"委外",record[[#This Row],[Memo]]))</f>
        <v/>
      </c>
      <c r="O59" t="s">
        <v>58</v>
      </c>
      <c r="P59" t="s">
        <v>886</v>
      </c>
      <c r="Q59" t="s">
        <v>58</v>
      </c>
      <c r="R59" t="str">
        <f>IFERROR(VLOOKUP(record[[#This Row],[PCUSTID]],廠商[],2,FALSE),"")</f>
        <v/>
      </c>
      <c r="S59" t="str">
        <f>VLOOKUP(record[[#This Row],[employeeID]],員工[],2,FALSE)</f>
        <v>謝蓁薰</v>
      </c>
    </row>
    <row r="60" spans="1:19" hidden="1" x14ac:dyDescent="0.25">
      <c r="A60" s="66" t="s">
        <v>358</v>
      </c>
      <c r="B60" s="66" t="s">
        <v>495</v>
      </c>
      <c r="C60" s="66" t="s">
        <v>476</v>
      </c>
      <c r="F60" t="s">
        <v>2016</v>
      </c>
      <c r="G60" t="s">
        <v>449</v>
      </c>
      <c r="H60" t="str">
        <f>VLOOKUP(record[[#This Row],[ProcessSN]],表格2_7[],2,FALSE)</f>
        <v>30-4118-018-6XX</v>
      </c>
      <c r="I60" t="str">
        <f>VLOOKUP(record[[#This Row],[ProcessSN]],表格2_7[],3,FALSE)</f>
        <v>#05</v>
      </c>
      <c r="J60" t="s">
        <v>588</v>
      </c>
      <c r="K60" s="195">
        <v>46160.643726851849</v>
      </c>
      <c r="L60">
        <v>181</v>
      </c>
      <c r="M60">
        <v>0</v>
      </c>
      <c r="N60" s="98" t="str">
        <f>IF(record[[#This Row],[Memo]]="Browser:chrome os:android","平板報工",IF(record[[#This Row],[Memo]]=0,"委外",record[[#This Row],[Memo]]))</f>
        <v>平板報工</v>
      </c>
      <c r="O60" t="s">
        <v>643</v>
      </c>
      <c r="P60" t="s">
        <v>107</v>
      </c>
      <c r="Q60" t="s">
        <v>644</v>
      </c>
      <c r="R60" t="str">
        <f>IFERROR(VLOOKUP(record[[#This Row],[PCUSTID]],廠商[],2,FALSE),"")</f>
        <v/>
      </c>
      <c r="S60" t="str">
        <f>VLOOKUP(record[[#This Row],[employeeID]],員工[],2,FALSE)</f>
        <v>黎氏順</v>
      </c>
    </row>
    <row r="61" spans="1:19" hidden="1" x14ac:dyDescent="0.25">
      <c r="A61" s="66" t="s">
        <v>359</v>
      </c>
      <c r="B61" s="66" t="s">
        <v>495</v>
      </c>
      <c r="C61" s="66" t="s">
        <v>73</v>
      </c>
      <c r="F61" t="s">
        <v>2016</v>
      </c>
      <c r="G61" t="s">
        <v>448</v>
      </c>
      <c r="H61" t="str">
        <f>VLOOKUP(record[[#This Row],[ProcessSN]],表格2_7[],2,FALSE)</f>
        <v>30-4118-018-6XX</v>
      </c>
      <c r="I61" t="str">
        <f>VLOOKUP(record[[#This Row],[ProcessSN]],表格2_7[],3,FALSE)</f>
        <v>#04</v>
      </c>
      <c r="J61" t="s">
        <v>588</v>
      </c>
      <c r="K61" s="195">
        <v>46160.638449074075</v>
      </c>
      <c r="L61">
        <v>111</v>
      </c>
      <c r="M61">
        <v>0</v>
      </c>
      <c r="N61" s="98" t="str">
        <f>IF(record[[#This Row],[Memo]]="Browser:chrome os:android","平板報工",IF(record[[#This Row],[Memo]]=0,"委外",record[[#This Row],[Memo]]))</f>
        <v>平板報工</v>
      </c>
      <c r="O61" t="s">
        <v>643</v>
      </c>
      <c r="P61" t="s">
        <v>133</v>
      </c>
      <c r="Q61" t="s">
        <v>644</v>
      </c>
      <c r="R61" t="str">
        <f>IFERROR(VLOOKUP(record[[#This Row],[PCUSTID]],廠商[],2,FALSE),"")</f>
        <v/>
      </c>
      <c r="S61" t="str">
        <f>VLOOKUP(record[[#This Row],[employeeID]],員工[],2,FALSE)</f>
        <v>黎長維</v>
      </c>
    </row>
    <row r="62" spans="1:19" hidden="1" x14ac:dyDescent="0.25">
      <c r="A62" s="66" t="s">
        <v>360</v>
      </c>
      <c r="B62" s="66" t="s">
        <v>495</v>
      </c>
      <c r="C62" s="66" t="s">
        <v>74</v>
      </c>
      <c r="F62" t="s">
        <v>2003</v>
      </c>
      <c r="G62" t="s">
        <v>465</v>
      </c>
      <c r="H62" t="str">
        <f>VLOOKUP(record[[#This Row],[ProcessSN]],表格2_7[],2,FALSE)</f>
        <v>30-4118-018-XXX</v>
      </c>
      <c r="I62" t="str">
        <f>VLOOKUP(record[[#This Row],[ProcessSN]],表格2_7[],3,FALSE)</f>
        <v>#01-1</v>
      </c>
      <c r="J62" t="s">
        <v>588</v>
      </c>
      <c r="K62" s="195">
        <v>46160.637939814813</v>
      </c>
      <c r="L62">
        <v>960</v>
      </c>
      <c r="M62">
        <v>0</v>
      </c>
      <c r="N62" s="98" t="str">
        <f>IF(record[[#This Row],[Memo]]="Browser:chrome os:android","平板報工",IF(record[[#This Row],[Memo]]=0,"委外",record[[#This Row],[Memo]]))</f>
        <v>平板報工</v>
      </c>
      <c r="O62" t="s">
        <v>643</v>
      </c>
      <c r="P62" t="s">
        <v>133</v>
      </c>
      <c r="Q62" t="s">
        <v>644</v>
      </c>
      <c r="R62" t="str">
        <f>IFERROR(VLOOKUP(record[[#This Row],[PCUSTID]],廠商[],2,FALSE),"")</f>
        <v/>
      </c>
      <c r="S62" t="str">
        <f>VLOOKUP(record[[#This Row],[employeeID]],員工[],2,FALSE)</f>
        <v>黎長維</v>
      </c>
    </row>
    <row r="63" spans="1:19" hidden="1" x14ac:dyDescent="0.25">
      <c r="A63" s="66" t="s">
        <v>361</v>
      </c>
      <c r="B63" s="66" t="s">
        <v>495</v>
      </c>
      <c r="C63" s="66" t="s">
        <v>75</v>
      </c>
      <c r="F63" t="s">
        <v>1985</v>
      </c>
      <c r="G63" t="s">
        <v>466</v>
      </c>
      <c r="H63" t="str">
        <f>VLOOKUP(record[[#This Row],[ProcessSN]],表格2_7[],2,FALSE)</f>
        <v>30-4118-018-XXX</v>
      </c>
      <c r="I63" t="str">
        <f>VLOOKUP(record[[#This Row],[ProcessSN]],表格2_7[],3,FALSE)</f>
        <v>#01-2</v>
      </c>
      <c r="J63" t="s">
        <v>588</v>
      </c>
      <c r="K63" s="195">
        <v>46160.637280092589</v>
      </c>
      <c r="L63">
        <v>400</v>
      </c>
      <c r="M63">
        <v>0</v>
      </c>
      <c r="N63" s="98" t="str">
        <f>IF(record[[#This Row],[Memo]]="Browser:chrome os:android","平板報工",IF(record[[#This Row],[Memo]]=0,"委外",record[[#This Row],[Memo]]))</f>
        <v>平板報工</v>
      </c>
      <c r="O63" t="s">
        <v>643</v>
      </c>
      <c r="P63" t="s">
        <v>133</v>
      </c>
      <c r="Q63" t="s">
        <v>644</v>
      </c>
      <c r="R63" t="str">
        <f>IFERROR(VLOOKUP(record[[#This Row],[PCUSTID]],廠商[],2,FALSE),"")</f>
        <v/>
      </c>
      <c r="S63" t="str">
        <f>VLOOKUP(record[[#This Row],[employeeID]],員工[],2,FALSE)</f>
        <v>黎長維</v>
      </c>
    </row>
    <row r="64" spans="1:19" hidden="1" x14ac:dyDescent="0.25">
      <c r="A64" s="66" t="s">
        <v>362</v>
      </c>
      <c r="B64" s="66" t="s">
        <v>495</v>
      </c>
      <c r="C64" s="66" t="s">
        <v>76</v>
      </c>
      <c r="F64" t="s">
        <v>2016</v>
      </c>
      <c r="G64" t="s">
        <v>450</v>
      </c>
      <c r="H64" t="str">
        <f>VLOOKUP(record[[#This Row],[ProcessSN]],表格2_7[],2,FALSE)</f>
        <v>30-4118-018-6XX</v>
      </c>
      <c r="I64" t="str">
        <f>VLOOKUP(record[[#This Row],[ProcessSN]],表格2_7[],3,FALSE)</f>
        <v>#06</v>
      </c>
      <c r="J64" t="s">
        <v>593</v>
      </c>
      <c r="K64" s="195">
        <v>46160.632071759261</v>
      </c>
      <c r="L64">
        <v>133</v>
      </c>
      <c r="M64">
        <v>0</v>
      </c>
      <c r="N64" s="98" t="str">
        <f>IF(record[[#This Row],[Memo]]="Browser:chrome os:android","平板報工",IF(record[[#This Row],[Memo]]=0,"委外",record[[#This Row],[Memo]]))</f>
        <v>平板報工</v>
      </c>
      <c r="O64" t="s">
        <v>643</v>
      </c>
      <c r="P64" t="s">
        <v>1413</v>
      </c>
      <c r="Q64" t="s">
        <v>644</v>
      </c>
      <c r="R64" t="str">
        <f>IFERROR(VLOOKUP(record[[#This Row],[PCUSTID]],廠商[],2,FALSE),"")</f>
        <v/>
      </c>
      <c r="S64" t="str">
        <f>VLOOKUP(record[[#This Row],[employeeID]],員工[],2,FALSE)</f>
        <v>阮氏芳英(芳)</v>
      </c>
    </row>
    <row r="65" spans="1:19" hidden="1" x14ac:dyDescent="0.25">
      <c r="A65" s="66" t="s">
        <v>363</v>
      </c>
      <c r="B65" s="66" t="s">
        <v>496</v>
      </c>
      <c r="C65" s="66" t="s">
        <v>473</v>
      </c>
      <c r="F65" t="s">
        <v>1944</v>
      </c>
      <c r="G65" t="s">
        <v>419</v>
      </c>
      <c r="H65" t="str">
        <f>VLOOKUP(record[[#This Row],[ProcessSN]],表格2_7[],2,FALSE)</f>
        <v>30-4118-018-5XX</v>
      </c>
      <c r="I65" t="str">
        <f>VLOOKUP(record[[#This Row],[ProcessSN]],表格2_7[],3,FALSE)</f>
        <v>#07QC</v>
      </c>
      <c r="J65" t="s">
        <v>589</v>
      </c>
      <c r="K65" s="195">
        <v>46160.611435185187</v>
      </c>
      <c r="L65">
        <v>0</v>
      </c>
      <c r="M65">
        <v>1</v>
      </c>
      <c r="N65" s="98" t="str">
        <f>IF(record[[#This Row],[Memo]]="Browser:chrome os:android","平板報工",IF(record[[#This Row],[Memo]]=0,"委外",record[[#This Row],[Memo]]))</f>
        <v/>
      </c>
      <c r="O65" t="s">
        <v>58</v>
      </c>
      <c r="P65" t="s">
        <v>141</v>
      </c>
      <c r="Q65" t="s">
        <v>58</v>
      </c>
      <c r="R65" t="str">
        <f>IFERROR(VLOOKUP(record[[#This Row],[PCUSTID]],廠商[],2,FALSE),"")</f>
        <v/>
      </c>
      <c r="S65" t="str">
        <f>VLOOKUP(record[[#This Row],[employeeID]],員工[],2,FALSE)</f>
        <v>蔣梅</v>
      </c>
    </row>
    <row r="66" spans="1:19" hidden="1" x14ac:dyDescent="0.25">
      <c r="A66" s="66" t="s">
        <v>364</v>
      </c>
      <c r="B66" s="66" t="s">
        <v>496</v>
      </c>
      <c r="C66" s="66" t="s">
        <v>474</v>
      </c>
      <c r="F66" t="s">
        <v>1944</v>
      </c>
      <c r="G66" t="s">
        <v>419</v>
      </c>
      <c r="H66" t="str">
        <f>VLOOKUP(record[[#This Row],[ProcessSN]],表格2_7[],2,FALSE)</f>
        <v>30-4118-018-5XX</v>
      </c>
      <c r="I66" t="str">
        <f>VLOOKUP(record[[#This Row],[ProcessSN]],表格2_7[],3,FALSE)</f>
        <v>#07QC</v>
      </c>
      <c r="J66" t="s">
        <v>589</v>
      </c>
      <c r="K66" s="195">
        <v>46160.611307870371</v>
      </c>
      <c r="L66">
        <v>21</v>
      </c>
      <c r="M66">
        <v>0</v>
      </c>
      <c r="N66" s="98" t="str">
        <f>IF(record[[#This Row],[Memo]]="Browser:chrome os:android","平板報工",IF(record[[#This Row],[Memo]]=0,"委外",record[[#This Row],[Memo]]))</f>
        <v/>
      </c>
      <c r="O66" t="s">
        <v>58</v>
      </c>
      <c r="P66" t="s">
        <v>141</v>
      </c>
      <c r="Q66" t="s">
        <v>58</v>
      </c>
      <c r="R66" t="str">
        <f>IFERROR(VLOOKUP(record[[#This Row],[PCUSTID]],廠商[],2,FALSE),"")</f>
        <v/>
      </c>
      <c r="S66" t="str">
        <f>VLOOKUP(record[[#This Row],[employeeID]],員工[],2,FALSE)</f>
        <v>蔣梅</v>
      </c>
    </row>
    <row r="67" spans="1:19" hidden="1" x14ac:dyDescent="0.25">
      <c r="A67" s="66" t="s">
        <v>365</v>
      </c>
      <c r="B67" s="66" t="s">
        <v>496</v>
      </c>
      <c r="C67" s="66" t="s">
        <v>475</v>
      </c>
      <c r="F67" t="s">
        <v>1960</v>
      </c>
      <c r="G67" t="s">
        <v>400</v>
      </c>
      <c r="H67" t="str">
        <f>VLOOKUP(record[[#This Row],[ProcessSN]],表格2_7[],2,FALSE)</f>
        <v>30-4118-018-550</v>
      </c>
      <c r="I67" t="str">
        <f>VLOOKUP(record[[#This Row],[ProcessSN]],表格2_7[],3,FALSE)</f>
        <v>#100</v>
      </c>
      <c r="J67" t="s">
        <v>598</v>
      </c>
      <c r="K67" s="195">
        <v>46160.610856481479</v>
      </c>
      <c r="L67">
        <v>0</v>
      </c>
      <c r="M67">
        <v>60</v>
      </c>
      <c r="N67" s="98" t="str">
        <f>IF(record[[#This Row],[Memo]]="Browser:chrome os:android","平板報工",IF(record[[#This Row],[Memo]]=0,"委外",record[[#This Row],[Memo]]))</f>
        <v>頭不尺寸NG(12.55以下)廠長已量</v>
      </c>
      <c r="O67" t="s">
        <v>2043</v>
      </c>
      <c r="P67" t="s">
        <v>103</v>
      </c>
      <c r="Q67" t="s">
        <v>58</v>
      </c>
      <c r="R67" t="str">
        <f>IFERROR(VLOOKUP(record[[#This Row],[PCUSTID]],廠商[],2,FALSE),"")</f>
        <v/>
      </c>
      <c r="S67" t="str">
        <f>VLOOKUP(record[[#This Row],[employeeID]],員工[],2,FALSE)</f>
        <v>黎秋水</v>
      </c>
    </row>
    <row r="68" spans="1:19" hidden="1" x14ac:dyDescent="0.25">
      <c r="A68" s="66" t="s">
        <v>366</v>
      </c>
      <c r="B68" s="66" t="s">
        <v>496</v>
      </c>
      <c r="C68" s="66" t="s">
        <v>476</v>
      </c>
      <c r="F68" t="s">
        <v>1960</v>
      </c>
      <c r="G68" t="s">
        <v>400</v>
      </c>
      <c r="H68" t="str">
        <f>VLOOKUP(record[[#This Row],[ProcessSN]],表格2_7[],2,FALSE)</f>
        <v>30-4118-018-550</v>
      </c>
      <c r="I68" t="str">
        <f>VLOOKUP(record[[#This Row],[ProcessSN]],表格2_7[],3,FALSE)</f>
        <v>#100</v>
      </c>
      <c r="J68" t="s">
        <v>598</v>
      </c>
      <c r="K68" s="195">
        <v>46160.609768518516</v>
      </c>
      <c r="L68">
        <v>160</v>
      </c>
      <c r="M68">
        <v>0</v>
      </c>
      <c r="N68" s="98" t="str">
        <f>IF(record[[#This Row],[Memo]]="Browser:chrome os:android","平板報工",IF(record[[#This Row],[Memo]]=0,"委外",record[[#This Row],[Memo]]))</f>
        <v/>
      </c>
      <c r="O68" t="s">
        <v>58</v>
      </c>
      <c r="P68" t="s">
        <v>103</v>
      </c>
      <c r="Q68" t="s">
        <v>58</v>
      </c>
      <c r="R68" t="str">
        <f>IFERROR(VLOOKUP(record[[#This Row],[PCUSTID]],廠商[],2,FALSE),"")</f>
        <v/>
      </c>
      <c r="S68" t="str">
        <f>VLOOKUP(record[[#This Row],[employeeID]],員工[],2,FALSE)</f>
        <v>黎秋水</v>
      </c>
    </row>
    <row r="69" spans="1:19" hidden="1" x14ac:dyDescent="0.25">
      <c r="A69" s="66" t="s">
        <v>367</v>
      </c>
      <c r="B69" s="66" t="s">
        <v>496</v>
      </c>
      <c r="C69" s="66" t="s">
        <v>73</v>
      </c>
      <c r="F69" t="s">
        <v>2016</v>
      </c>
      <c r="G69" t="s">
        <v>451</v>
      </c>
      <c r="H69" t="str">
        <f>VLOOKUP(record[[#This Row],[ProcessSN]],表格2_7[],2,FALSE)</f>
        <v>30-4118-018-6XX</v>
      </c>
      <c r="I69" t="str">
        <f>VLOOKUP(record[[#This Row],[ProcessSN]],表格2_7[],3,FALSE)</f>
        <v>#07</v>
      </c>
      <c r="J69" t="s">
        <v>588</v>
      </c>
      <c r="K69" s="195">
        <v>46160.600185185183</v>
      </c>
      <c r="L69">
        <v>56</v>
      </c>
      <c r="M69">
        <v>0</v>
      </c>
      <c r="N69" s="98" t="str">
        <f>IF(record[[#This Row],[Memo]]="Browser:chrome os:android","平板報工",IF(record[[#This Row],[Memo]]=0,"委外",record[[#This Row],[Memo]]))</f>
        <v>平板報工</v>
      </c>
      <c r="O69" t="s">
        <v>643</v>
      </c>
      <c r="P69" t="s">
        <v>785</v>
      </c>
      <c r="Q69" t="s">
        <v>644</v>
      </c>
      <c r="R69" t="str">
        <f>IFERROR(VLOOKUP(record[[#This Row],[PCUSTID]],廠商[],2,FALSE),"")</f>
        <v/>
      </c>
      <c r="S69" t="str">
        <f>VLOOKUP(record[[#This Row],[employeeID]],員工[],2,FALSE)</f>
        <v>謝刻光</v>
      </c>
    </row>
    <row r="70" spans="1:19" hidden="1" x14ac:dyDescent="0.25">
      <c r="A70" s="66" t="s">
        <v>368</v>
      </c>
      <c r="B70" s="66" t="s">
        <v>496</v>
      </c>
      <c r="C70" s="66" t="s">
        <v>74</v>
      </c>
      <c r="F70" t="s">
        <v>2016</v>
      </c>
      <c r="G70" t="s">
        <v>452</v>
      </c>
      <c r="H70" t="str">
        <f>VLOOKUP(record[[#This Row],[ProcessSN]],表格2_7[],2,FALSE)</f>
        <v>30-4118-018-6XX</v>
      </c>
      <c r="I70" t="str">
        <f>VLOOKUP(record[[#This Row],[ProcessSN]],表格2_7[],3,FALSE)</f>
        <v>#07QC</v>
      </c>
      <c r="J70" t="s">
        <v>589</v>
      </c>
      <c r="K70" s="195">
        <v>46160.58871527778</v>
      </c>
      <c r="L70">
        <v>168</v>
      </c>
      <c r="M70">
        <v>0</v>
      </c>
      <c r="N70" s="98" t="str">
        <f>IF(record[[#This Row],[Memo]]="Browser:chrome os:android","平板報工",IF(record[[#This Row],[Memo]]=0,"委外",record[[#This Row],[Memo]]))</f>
        <v>平板報工</v>
      </c>
      <c r="O70" t="s">
        <v>643</v>
      </c>
      <c r="P70" t="s">
        <v>141</v>
      </c>
      <c r="Q70" t="s">
        <v>644</v>
      </c>
      <c r="R70" t="str">
        <f>IFERROR(VLOOKUP(record[[#This Row],[PCUSTID]],廠商[],2,FALSE),"")</f>
        <v/>
      </c>
      <c r="S70" t="str">
        <f>VLOOKUP(record[[#This Row],[employeeID]],員工[],2,FALSE)</f>
        <v>蔣梅</v>
      </c>
    </row>
    <row r="71" spans="1:19" hidden="1" x14ac:dyDescent="0.25">
      <c r="A71" s="66" t="s">
        <v>369</v>
      </c>
      <c r="B71" s="66" t="s">
        <v>496</v>
      </c>
      <c r="C71" s="66" t="s">
        <v>75</v>
      </c>
      <c r="F71" t="s">
        <v>2042</v>
      </c>
      <c r="G71" t="s">
        <v>389</v>
      </c>
      <c r="H71" t="str">
        <f>VLOOKUP(record[[#This Row],[ProcessSN]],表格2_7[],2,FALSE)</f>
        <v>30-4118-018-520</v>
      </c>
      <c r="I71" t="str">
        <f>VLOOKUP(record[[#This Row],[ProcessSN]],表格2_7[],3,FALSE)</f>
        <v>#08</v>
      </c>
      <c r="J71" t="s">
        <v>597</v>
      </c>
      <c r="K71" s="195">
        <v>46160.559444444443</v>
      </c>
      <c r="L71">
        <v>138</v>
      </c>
      <c r="M71">
        <v>0</v>
      </c>
      <c r="N71" s="98" t="str">
        <f>IF(record[[#This Row],[Memo]]="Browser:chrome os:android","平板報工",IF(record[[#This Row],[Memo]]=0,"委外",record[[#This Row],[Memo]]))</f>
        <v>委外</v>
      </c>
      <c r="P71" t="s">
        <v>1698</v>
      </c>
      <c r="Q71" t="s">
        <v>287</v>
      </c>
      <c r="R71" t="str">
        <f>IFERROR(VLOOKUP(record[[#This Row],[PCUSTID]],廠商[],2,FALSE),"")</f>
        <v>泉盛</v>
      </c>
      <c r="S71" t="str">
        <f>VLOOKUP(record[[#This Row],[employeeID]],員工[],2,FALSE)</f>
        <v>羅思潔</v>
      </c>
    </row>
    <row r="72" spans="1:19" hidden="1" x14ac:dyDescent="0.25">
      <c r="A72" s="66" t="s">
        <v>370</v>
      </c>
      <c r="B72" s="66" t="s">
        <v>496</v>
      </c>
      <c r="C72" s="66" t="s">
        <v>76</v>
      </c>
      <c r="F72" t="s">
        <v>2041</v>
      </c>
      <c r="G72" t="s">
        <v>397</v>
      </c>
      <c r="H72" t="str">
        <f>VLOOKUP(record[[#This Row],[ProcessSN]],表格2_7[],2,FALSE)</f>
        <v>30-4118-018-550</v>
      </c>
      <c r="I72" t="str">
        <f>VLOOKUP(record[[#This Row],[ProcessSN]],表格2_7[],3,FALSE)</f>
        <v>#08</v>
      </c>
      <c r="J72" t="s">
        <v>597</v>
      </c>
      <c r="K72" s="195">
        <v>46160.559317129628</v>
      </c>
      <c r="L72">
        <v>336</v>
      </c>
      <c r="M72">
        <v>0</v>
      </c>
      <c r="N72" s="98" t="str">
        <f>IF(record[[#This Row],[Memo]]="Browser:chrome os:android","平板報工",IF(record[[#This Row],[Memo]]=0,"委外",record[[#This Row],[Memo]]))</f>
        <v>委外</v>
      </c>
      <c r="P72" t="s">
        <v>1698</v>
      </c>
      <c r="Q72" t="s">
        <v>287</v>
      </c>
      <c r="R72" t="str">
        <f>IFERROR(VLOOKUP(record[[#This Row],[PCUSTID]],廠商[],2,FALSE),"")</f>
        <v>泉盛</v>
      </c>
      <c r="S72" t="str">
        <f>VLOOKUP(record[[#This Row],[employeeID]],員工[],2,FALSE)</f>
        <v>羅思潔</v>
      </c>
    </row>
    <row r="73" spans="1:19" hidden="1" x14ac:dyDescent="0.25">
      <c r="A73" s="66" t="s">
        <v>371</v>
      </c>
      <c r="B73" s="66" t="s">
        <v>497</v>
      </c>
      <c r="C73" s="66" t="s">
        <v>477</v>
      </c>
      <c r="F73" t="s">
        <v>1944</v>
      </c>
      <c r="G73" t="s">
        <v>420</v>
      </c>
      <c r="H73" t="str">
        <f>VLOOKUP(record[[#This Row],[ProcessSN]],表格2_7[],2,FALSE)</f>
        <v>30-4118-018-5XX</v>
      </c>
      <c r="I73" t="str">
        <f>VLOOKUP(record[[#This Row],[ProcessSN]],表格2_7[],3,FALSE)</f>
        <v>#07STOCK</v>
      </c>
      <c r="J73" t="s">
        <v>592</v>
      </c>
      <c r="K73" s="195">
        <v>46160.559016203704</v>
      </c>
      <c r="L73">
        <v>138</v>
      </c>
      <c r="M73">
        <v>0</v>
      </c>
      <c r="N73" s="98" t="str">
        <f>IF(record[[#This Row],[Memo]]="Browser:chrome os:android","平板報工",IF(record[[#This Row],[Memo]]=0,"委外",record[[#This Row],[Memo]]))</f>
        <v/>
      </c>
      <c r="O73" t="s">
        <v>58</v>
      </c>
      <c r="P73" t="s">
        <v>1698</v>
      </c>
      <c r="Q73" t="s">
        <v>58</v>
      </c>
      <c r="R73" t="str">
        <f>IFERROR(VLOOKUP(record[[#This Row],[PCUSTID]],廠商[],2,FALSE),"")</f>
        <v/>
      </c>
      <c r="S73" t="str">
        <f>VLOOKUP(record[[#This Row],[employeeID]],員工[],2,FALSE)</f>
        <v>羅思潔</v>
      </c>
    </row>
    <row r="74" spans="1:19" hidden="1" x14ac:dyDescent="0.25">
      <c r="A74" s="66" t="s">
        <v>372</v>
      </c>
      <c r="B74" s="66" t="s">
        <v>497</v>
      </c>
      <c r="C74" s="66" t="s">
        <v>478</v>
      </c>
      <c r="F74" t="s">
        <v>2040</v>
      </c>
      <c r="G74" t="s">
        <v>422</v>
      </c>
      <c r="H74" t="str">
        <f>VLOOKUP(record[[#This Row],[ProcessSN]],表格2_7[],2,FALSE)</f>
        <v>30-4118-018-600</v>
      </c>
      <c r="I74" t="str">
        <f>VLOOKUP(record[[#This Row],[ProcessSN]],表格2_7[],3,FALSE)</f>
        <v>#08</v>
      </c>
      <c r="J74" t="s">
        <v>597</v>
      </c>
      <c r="K74" s="195">
        <v>46160.55878472222</v>
      </c>
      <c r="L74">
        <v>336</v>
      </c>
      <c r="M74">
        <v>0</v>
      </c>
      <c r="N74" s="98" t="str">
        <f>IF(record[[#This Row],[Memo]]="Browser:chrome os:android","平板報工",IF(record[[#This Row],[Memo]]=0,"委外",record[[#This Row],[Memo]]))</f>
        <v>委外</v>
      </c>
      <c r="P74" t="s">
        <v>1698</v>
      </c>
      <c r="Q74" t="s">
        <v>287</v>
      </c>
      <c r="R74" t="str">
        <f>IFERROR(VLOOKUP(record[[#This Row],[PCUSTID]],廠商[],2,FALSE),"")</f>
        <v>泉盛</v>
      </c>
      <c r="S74" t="str">
        <f>VLOOKUP(record[[#This Row],[employeeID]],員工[],2,FALSE)</f>
        <v>羅思潔</v>
      </c>
    </row>
    <row r="75" spans="1:19" hidden="1" x14ac:dyDescent="0.25">
      <c r="A75" s="66" t="s">
        <v>373</v>
      </c>
      <c r="B75" s="66" t="s">
        <v>497</v>
      </c>
      <c r="C75" s="66" t="s">
        <v>81</v>
      </c>
      <c r="F75" t="s">
        <v>1944</v>
      </c>
      <c r="G75" t="s">
        <v>419</v>
      </c>
      <c r="H75" t="str">
        <f>VLOOKUP(record[[#This Row],[ProcessSN]],表格2_7[],2,FALSE)</f>
        <v>30-4118-018-5XX</v>
      </c>
      <c r="I75" t="str">
        <f>VLOOKUP(record[[#This Row],[ProcessSN]],表格2_7[],3,FALSE)</f>
        <v>#07QC</v>
      </c>
      <c r="J75" t="s">
        <v>589</v>
      </c>
      <c r="K75" s="195">
        <v>46160.558553240742</v>
      </c>
      <c r="L75">
        <v>138</v>
      </c>
      <c r="M75">
        <v>0</v>
      </c>
      <c r="N75" s="98" t="str">
        <f>IF(record[[#This Row],[Memo]]="Browser:chrome os:android","平板報工",IF(record[[#This Row],[Memo]]=0,"委外",record[[#This Row],[Memo]]))</f>
        <v>平板報工</v>
      </c>
      <c r="O75" t="s">
        <v>643</v>
      </c>
      <c r="P75" t="s">
        <v>141</v>
      </c>
      <c r="Q75" t="s">
        <v>644</v>
      </c>
      <c r="R75" t="str">
        <f>IFERROR(VLOOKUP(record[[#This Row],[PCUSTID]],廠商[],2,FALSE),"")</f>
        <v/>
      </c>
      <c r="S75" t="str">
        <f>VLOOKUP(record[[#This Row],[employeeID]],員工[],2,FALSE)</f>
        <v>蔣梅</v>
      </c>
    </row>
    <row r="76" spans="1:19" hidden="1" x14ac:dyDescent="0.25">
      <c r="A76" s="66" t="s">
        <v>374</v>
      </c>
      <c r="B76" s="66" t="s">
        <v>497</v>
      </c>
      <c r="C76" s="66" t="s">
        <v>71</v>
      </c>
      <c r="F76" t="s">
        <v>1960</v>
      </c>
      <c r="G76" t="s">
        <v>403</v>
      </c>
      <c r="H76" t="str">
        <f>VLOOKUP(record[[#This Row],[ProcessSN]],表格2_7[],2,FALSE)</f>
        <v>30-4118-018-550</v>
      </c>
      <c r="I76" t="str">
        <f>VLOOKUP(record[[#This Row],[ProcessSN]],表格2_7[],3,FALSE)</f>
        <v>#100SHIP</v>
      </c>
      <c r="J76" t="s">
        <v>600</v>
      </c>
      <c r="K76" s="195">
        <v>46160.5549537037</v>
      </c>
      <c r="L76">
        <v>167</v>
      </c>
      <c r="M76">
        <v>0</v>
      </c>
      <c r="N76" s="98" t="str">
        <f>IF(record[[#This Row],[Memo]]="Browser:chrome os:android","平板報工",IF(record[[#This Row],[Memo]]=0,"委外",record[[#This Row],[Memo]]))</f>
        <v/>
      </c>
      <c r="O76" t="s">
        <v>58</v>
      </c>
      <c r="P76" t="s">
        <v>886</v>
      </c>
      <c r="Q76" t="s">
        <v>58</v>
      </c>
      <c r="R76" t="str">
        <f>IFERROR(VLOOKUP(record[[#This Row],[PCUSTID]],廠商[],2,FALSE),"")</f>
        <v/>
      </c>
      <c r="S76" t="str">
        <f>VLOOKUP(record[[#This Row],[employeeID]],員工[],2,FALSE)</f>
        <v>謝蓁薰</v>
      </c>
    </row>
    <row r="77" spans="1:19" hidden="1" x14ac:dyDescent="0.25">
      <c r="A77" s="66" t="s">
        <v>375</v>
      </c>
      <c r="B77" s="66" t="s">
        <v>497</v>
      </c>
      <c r="C77" s="66" t="s">
        <v>72</v>
      </c>
      <c r="F77" t="s">
        <v>2042</v>
      </c>
      <c r="G77" t="s">
        <v>388</v>
      </c>
      <c r="H77" t="str">
        <f>VLOOKUP(record[[#This Row],[ProcessSN]],表格2_7[],2,FALSE)</f>
        <v>30-4118-018-520</v>
      </c>
      <c r="I77" t="str">
        <f>VLOOKUP(record[[#This Row],[ProcessSN]],表格2_7[],3,FALSE)</f>
        <v>#08PICK</v>
      </c>
      <c r="J77" t="s">
        <v>582</v>
      </c>
      <c r="K77" s="195">
        <v>46160.554861111108</v>
      </c>
      <c r="L77">
        <v>138</v>
      </c>
      <c r="M77">
        <v>0</v>
      </c>
      <c r="N77" s="98" t="str">
        <f>IF(record[[#This Row],[Memo]]="Browser:chrome os:android","平板報工",IF(record[[#This Row],[Memo]]=0,"委外",record[[#This Row],[Memo]]))</f>
        <v/>
      </c>
      <c r="O77" t="s">
        <v>58</v>
      </c>
      <c r="P77" t="s">
        <v>1698</v>
      </c>
      <c r="Q77" t="s">
        <v>58</v>
      </c>
      <c r="R77" t="str">
        <f>IFERROR(VLOOKUP(record[[#This Row],[PCUSTID]],廠商[],2,FALSE),"")</f>
        <v/>
      </c>
      <c r="S77" t="str">
        <f>VLOOKUP(record[[#This Row],[employeeID]],員工[],2,FALSE)</f>
        <v>羅思潔</v>
      </c>
    </row>
    <row r="78" spans="1:19" hidden="1" x14ac:dyDescent="0.25">
      <c r="A78" s="66" t="s">
        <v>376</v>
      </c>
      <c r="B78" s="66" t="s">
        <v>497</v>
      </c>
      <c r="C78" s="66" t="s">
        <v>77</v>
      </c>
      <c r="F78" t="s">
        <v>2041</v>
      </c>
      <c r="G78" t="s">
        <v>396</v>
      </c>
      <c r="H78" t="str">
        <f>VLOOKUP(record[[#This Row],[ProcessSN]],表格2_7[],2,FALSE)</f>
        <v>30-4118-018-550</v>
      </c>
      <c r="I78" t="str">
        <f>VLOOKUP(record[[#This Row],[ProcessSN]],表格2_7[],3,FALSE)</f>
        <v>#08PICK</v>
      </c>
      <c r="J78" t="s">
        <v>582</v>
      </c>
      <c r="K78" s="195">
        <v>46160.554745370369</v>
      </c>
      <c r="L78">
        <v>336</v>
      </c>
      <c r="M78">
        <v>0</v>
      </c>
      <c r="N78" s="98" t="str">
        <f>IF(record[[#This Row],[Memo]]="Browser:chrome os:android","平板報工",IF(record[[#This Row],[Memo]]=0,"委外",record[[#This Row],[Memo]]))</f>
        <v/>
      </c>
      <c r="O78" t="s">
        <v>58</v>
      </c>
      <c r="P78" t="s">
        <v>1698</v>
      </c>
      <c r="Q78" t="s">
        <v>58</v>
      </c>
      <c r="R78" t="str">
        <f>IFERROR(VLOOKUP(record[[#This Row],[PCUSTID]],廠商[],2,FALSE),"")</f>
        <v/>
      </c>
      <c r="S78" t="str">
        <f>VLOOKUP(record[[#This Row],[employeeID]],員工[],2,FALSE)</f>
        <v>羅思潔</v>
      </c>
    </row>
    <row r="79" spans="1:19" hidden="1" x14ac:dyDescent="0.25">
      <c r="A79" s="66" t="s">
        <v>377</v>
      </c>
      <c r="B79" s="66" t="s">
        <v>497</v>
      </c>
      <c r="C79" s="66" t="s">
        <v>479</v>
      </c>
      <c r="F79" t="s">
        <v>2040</v>
      </c>
      <c r="G79" t="s">
        <v>421</v>
      </c>
      <c r="H79" t="str">
        <f>VLOOKUP(record[[#This Row],[ProcessSN]],表格2_7[],2,FALSE)</f>
        <v>30-4118-018-600</v>
      </c>
      <c r="I79" t="str">
        <f>VLOOKUP(record[[#This Row],[ProcessSN]],表格2_7[],3,FALSE)</f>
        <v>#08PICK</v>
      </c>
      <c r="J79" t="s">
        <v>582</v>
      </c>
      <c r="K79" s="195">
        <v>46160.554629629631</v>
      </c>
      <c r="L79">
        <v>336</v>
      </c>
      <c r="M79">
        <v>0</v>
      </c>
      <c r="N79" s="98" t="str">
        <f>IF(record[[#This Row],[Memo]]="Browser:chrome os:android","平板報工",IF(record[[#This Row],[Memo]]=0,"委外",record[[#This Row],[Memo]]))</f>
        <v/>
      </c>
      <c r="O79" t="s">
        <v>58</v>
      </c>
      <c r="P79" t="s">
        <v>1698</v>
      </c>
      <c r="Q79" t="s">
        <v>58</v>
      </c>
      <c r="R79" t="str">
        <f>IFERROR(VLOOKUP(record[[#This Row],[PCUSTID]],廠商[],2,FALSE),"")</f>
        <v/>
      </c>
      <c r="S79" t="str">
        <f>VLOOKUP(record[[#This Row],[employeeID]],員工[],2,FALSE)</f>
        <v>羅思潔</v>
      </c>
    </row>
    <row r="80" spans="1:19" hidden="1" x14ac:dyDescent="0.25">
      <c r="A80" s="66" t="s">
        <v>378</v>
      </c>
      <c r="B80" s="66" t="s">
        <v>497</v>
      </c>
      <c r="C80" s="66" t="s">
        <v>480</v>
      </c>
      <c r="F80" t="s">
        <v>1952</v>
      </c>
      <c r="G80" t="s">
        <v>403</v>
      </c>
      <c r="H80" t="str">
        <f>VLOOKUP(record[[#This Row],[ProcessSN]],表格2_7[],2,FALSE)</f>
        <v>30-4118-018-550</v>
      </c>
      <c r="I80" t="str">
        <f>VLOOKUP(record[[#This Row],[ProcessSN]],表格2_7[],3,FALSE)</f>
        <v>#100SHIP</v>
      </c>
      <c r="J80" t="s">
        <v>600</v>
      </c>
      <c r="K80" s="195">
        <v>46160.554490740738</v>
      </c>
      <c r="L80">
        <v>566</v>
      </c>
      <c r="M80">
        <v>0</v>
      </c>
      <c r="N80" s="98" t="str">
        <f>IF(record[[#This Row],[Memo]]="Browser:chrome os:android","平板報工",IF(record[[#This Row],[Memo]]=0,"委外",record[[#This Row],[Memo]]))</f>
        <v/>
      </c>
      <c r="O80" t="s">
        <v>58</v>
      </c>
      <c r="P80" t="s">
        <v>886</v>
      </c>
      <c r="Q80" t="s">
        <v>58</v>
      </c>
      <c r="R80" t="str">
        <f>IFERROR(VLOOKUP(record[[#This Row],[PCUSTID]],廠商[],2,FALSE),"")</f>
        <v/>
      </c>
      <c r="S80" t="str">
        <f>VLOOKUP(record[[#This Row],[employeeID]],員工[],2,FALSE)</f>
        <v>謝蓁薰</v>
      </c>
    </row>
    <row r="81" spans="1:19" hidden="1" x14ac:dyDescent="0.25">
      <c r="A81" s="66" t="s">
        <v>379</v>
      </c>
      <c r="B81" s="66" t="s">
        <v>497</v>
      </c>
      <c r="C81" s="66" t="s">
        <v>481</v>
      </c>
      <c r="F81" t="s">
        <v>1952</v>
      </c>
      <c r="G81" t="s">
        <v>402</v>
      </c>
      <c r="H81" t="str">
        <f>VLOOKUP(record[[#This Row],[ProcessSN]],表格2_7[],2,FALSE)</f>
        <v>30-4118-018-550</v>
      </c>
      <c r="I81" t="str">
        <f>VLOOKUP(record[[#This Row],[ProcessSN]],表格2_7[],3,FALSE)</f>
        <v>#100STOCK</v>
      </c>
      <c r="J81" t="s">
        <v>592</v>
      </c>
      <c r="K81" s="195">
        <v>46160.554189814815</v>
      </c>
      <c r="L81">
        <v>305</v>
      </c>
      <c r="M81">
        <v>0</v>
      </c>
      <c r="N81" s="98" t="str">
        <f>IF(record[[#This Row],[Memo]]="Browser:chrome os:android","平板報工",IF(record[[#This Row],[Memo]]=0,"委外",record[[#This Row],[Memo]]))</f>
        <v/>
      </c>
      <c r="O81" t="s">
        <v>58</v>
      </c>
      <c r="P81" t="s">
        <v>886</v>
      </c>
      <c r="Q81" t="s">
        <v>58</v>
      </c>
      <c r="R81" t="str">
        <f>IFERROR(VLOOKUP(record[[#This Row],[PCUSTID]],廠商[],2,FALSE),"")</f>
        <v/>
      </c>
      <c r="S81" t="str">
        <f>VLOOKUP(record[[#This Row],[employeeID]],員工[],2,FALSE)</f>
        <v>謝蓁薰</v>
      </c>
    </row>
    <row r="82" spans="1:19" hidden="1" x14ac:dyDescent="0.25">
      <c r="A82" s="66" t="s">
        <v>380</v>
      </c>
      <c r="B82" s="66" t="s">
        <v>498</v>
      </c>
      <c r="C82" s="66" t="s">
        <v>473</v>
      </c>
      <c r="F82" t="s">
        <v>2016</v>
      </c>
      <c r="G82" t="s">
        <v>453</v>
      </c>
      <c r="H82" t="str">
        <f>VLOOKUP(record[[#This Row],[ProcessSN]],表格2_7[],2,FALSE)</f>
        <v>30-4118-018-6XX</v>
      </c>
      <c r="I82" t="str">
        <f>VLOOKUP(record[[#This Row],[ProcessSN]],表格2_7[],3,FALSE)</f>
        <v>#07STOCK</v>
      </c>
      <c r="J82" t="s">
        <v>592</v>
      </c>
      <c r="K82" s="195">
        <v>46160.55265046296</v>
      </c>
      <c r="L82">
        <v>334</v>
      </c>
      <c r="M82">
        <v>0</v>
      </c>
      <c r="N82" s="98" t="str">
        <f>IF(record[[#This Row],[Memo]]="Browser:chrome os:android","平板報工",IF(record[[#This Row],[Memo]]=0,"委外",record[[#This Row],[Memo]]))</f>
        <v/>
      </c>
      <c r="O82" t="s">
        <v>58</v>
      </c>
      <c r="P82" t="s">
        <v>1698</v>
      </c>
      <c r="Q82" t="s">
        <v>58</v>
      </c>
      <c r="R82" t="str">
        <f>IFERROR(VLOOKUP(record[[#This Row],[PCUSTID]],廠商[],2,FALSE),"")</f>
        <v/>
      </c>
      <c r="S82" t="str">
        <f>VLOOKUP(record[[#This Row],[employeeID]],員工[],2,FALSE)</f>
        <v>羅思潔</v>
      </c>
    </row>
    <row r="83" spans="1:19" hidden="1" x14ac:dyDescent="0.25">
      <c r="A83" s="66" t="s">
        <v>381</v>
      </c>
      <c r="B83" s="66" t="s">
        <v>498</v>
      </c>
      <c r="C83" s="66" t="s">
        <v>474</v>
      </c>
      <c r="F83" t="s">
        <v>1987</v>
      </c>
      <c r="G83" t="s">
        <v>453</v>
      </c>
      <c r="H83" t="str">
        <f>VLOOKUP(record[[#This Row],[ProcessSN]],表格2_7[],2,FALSE)</f>
        <v>30-4118-018-6XX</v>
      </c>
      <c r="I83" t="str">
        <f>VLOOKUP(record[[#This Row],[ProcessSN]],表格2_7[],3,FALSE)</f>
        <v>#07STOCK</v>
      </c>
      <c r="J83" t="s">
        <v>592</v>
      </c>
      <c r="K83" s="195">
        <v>46160.552476851852</v>
      </c>
      <c r="L83">
        <v>2</v>
      </c>
      <c r="M83">
        <v>0</v>
      </c>
      <c r="N83" s="98" t="str">
        <f>IF(record[[#This Row],[Memo]]="Browser:chrome os:android","平板報工",IF(record[[#This Row],[Memo]]=0,"委外",record[[#This Row],[Memo]]))</f>
        <v/>
      </c>
      <c r="O83" t="s">
        <v>58</v>
      </c>
      <c r="P83" t="s">
        <v>1698</v>
      </c>
      <c r="Q83" t="s">
        <v>58</v>
      </c>
      <c r="R83" t="str">
        <f>IFERROR(VLOOKUP(record[[#This Row],[PCUSTID]],廠商[],2,FALSE),"")</f>
        <v/>
      </c>
      <c r="S83" t="str">
        <f>VLOOKUP(record[[#This Row],[employeeID]],員工[],2,FALSE)</f>
        <v>羅思潔</v>
      </c>
    </row>
    <row r="84" spans="1:19" hidden="1" x14ac:dyDescent="0.25">
      <c r="A84" s="66" t="s">
        <v>382</v>
      </c>
      <c r="B84" s="66" t="s">
        <v>498</v>
      </c>
      <c r="C84" s="66" t="s">
        <v>475</v>
      </c>
      <c r="F84" t="s">
        <v>1944</v>
      </c>
      <c r="G84" t="s">
        <v>420</v>
      </c>
      <c r="H84" t="str">
        <f>VLOOKUP(record[[#This Row],[ProcessSN]],表格2_7[],2,FALSE)</f>
        <v>30-4118-018-5XX</v>
      </c>
      <c r="I84" t="str">
        <f>VLOOKUP(record[[#This Row],[ProcessSN]],表格2_7[],3,FALSE)</f>
        <v>#07STOCK</v>
      </c>
      <c r="J84" t="s">
        <v>592</v>
      </c>
      <c r="K84" s="195">
        <v>46160.552002314813</v>
      </c>
      <c r="L84">
        <v>336</v>
      </c>
      <c r="M84">
        <v>0</v>
      </c>
      <c r="N84" s="98" t="str">
        <f>IF(record[[#This Row],[Memo]]="Browser:chrome os:android","平板報工",IF(record[[#This Row],[Memo]]=0,"委外",record[[#This Row],[Memo]]))</f>
        <v/>
      </c>
      <c r="O84" t="s">
        <v>58</v>
      </c>
      <c r="P84" t="s">
        <v>1698</v>
      </c>
      <c r="Q84" t="s">
        <v>58</v>
      </c>
      <c r="R84" t="str">
        <f>IFERROR(VLOOKUP(record[[#This Row],[PCUSTID]],廠商[],2,FALSE),"")</f>
        <v/>
      </c>
      <c r="S84" t="str">
        <f>VLOOKUP(record[[#This Row],[employeeID]],員工[],2,FALSE)</f>
        <v>羅思潔</v>
      </c>
    </row>
    <row r="85" spans="1:19" hidden="1" x14ac:dyDescent="0.25">
      <c r="A85" s="66" t="s">
        <v>383</v>
      </c>
      <c r="B85" s="66" t="s">
        <v>498</v>
      </c>
      <c r="C85" s="66" t="s">
        <v>476</v>
      </c>
      <c r="F85" t="s">
        <v>1940</v>
      </c>
      <c r="G85" t="s">
        <v>403</v>
      </c>
      <c r="H85" t="str">
        <f>VLOOKUP(record[[#This Row],[ProcessSN]],表格2_7[],2,FALSE)</f>
        <v>30-4118-018-550</v>
      </c>
      <c r="I85" t="str">
        <f>VLOOKUP(record[[#This Row],[ProcessSN]],表格2_7[],3,FALSE)</f>
        <v>#100SHIP</v>
      </c>
      <c r="J85" t="s">
        <v>600</v>
      </c>
      <c r="K85" s="195">
        <v>46160.549363425926</v>
      </c>
      <c r="L85">
        <v>321</v>
      </c>
      <c r="M85">
        <v>0</v>
      </c>
      <c r="N85" s="98" t="str">
        <f>IF(record[[#This Row],[Memo]]="Browser:chrome os:android","平板報工",IF(record[[#This Row],[Memo]]=0,"委外",record[[#This Row],[Memo]]))</f>
        <v/>
      </c>
      <c r="O85" t="s">
        <v>58</v>
      </c>
      <c r="P85" t="s">
        <v>886</v>
      </c>
      <c r="Q85" t="s">
        <v>58</v>
      </c>
      <c r="R85" t="str">
        <f>IFERROR(VLOOKUP(record[[#This Row],[PCUSTID]],廠商[],2,FALSE),"")</f>
        <v/>
      </c>
      <c r="S85" t="str">
        <f>VLOOKUP(record[[#This Row],[employeeID]],員工[],2,FALSE)</f>
        <v>謝蓁薰</v>
      </c>
    </row>
    <row r="86" spans="1:19" hidden="1" x14ac:dyDescent="0.25">
      <c r="A86" s="66" t="s">
        <v>384</v>
      </c>
      <c r="B86" s="66" t="s">
        <v>498</v>
      </c>
      <c r="C86" s="66" t="s">
        <v>73</v>
      </c>
      <c r="F86" t="s">
        <v>1915</v>
      </c>
      <c r="G86" t="s">
        <v>403</v>
      </c>
      <c r="H86" t="str">
        <f>VLOOKUP(record[[#This Row],[ProcessSN]],表格2_7[],2,FALSE)</f>
        <v>30-4118-018-550</v>
      </c>
      <c r="I86" t="str">
        <f>VLOOKUP(record[[#This Row],[ProcessSN]],表格2_7[],3,FALSE)</f>
        <v>#100SHIP</v>
      </c>
      <c r="J86" t="s">
        <v>600</v>
      </c>
      <c r="K86" s="195">
        <v>46160.549224537041</v>
      </c>
      <c r="L86">
        <v>92</v>
      </c>
      <c r="M86">
        <v>0</v>
      </c>
      <c r="N86" s="98" t="str">
        <f>IF(record[[#This Row],[Memo]]="Browser:chrome os:android","平板報工",IF(record[[#This Row],[Memo]]=0,"委外",record[[#This Row],[Memo]]))</f>
        <v/>
      </c>
      <c r="O86" t="s">
        <v>58</v>
      </c>
      <c r="P86" t="s">
        <v>886</v>
      </c>
      <c r="Q86" t="s">
        <v>58</v>
      </c>
      <c r="R86" t="str">
        <f>IFERROR(VLOOKUP(record[[#This Row],[PCUSTID]],廠商[],2,FALSE),"")</f>
        <v/>
      </c>
      <c r="S86" t="str">
        <f>VLOOKUP(record[[#This Row],[employeeID]],員工[],2,FALSE)</f>
        <v>謝蓁薰</v>
      </c>
    </row>
    <row r="87" spans="1:19" hidden="1" x14ac:dyDescent="0.25">
      <c r="A87" s="66" t="s">
        <v>385</v>
      </c>
      <c r="B87" s="66" t="s">
        <v>498</v>
      </c>
      <c r="C87" s="66" t="s">
        <v>74</v>
      </c>
      <c r="F87" t="s">
        <v>1960</v>
      </c>
      <c r="G87" t="s">
        <v>402</v>
      </c>
      <c r="H87" t="str">
        <f>VLOOKUP(record[[#This Row],[ProcessSN]],表格2_7[],2,FALSE)</f>
        <v>30-4118-018-550</v>
      </c>
      <c r="I87" t="str">
        <f>VLOOKUP(record[[#This Row],[ProcessSN]],表格2_7[],3,FALSE)</f>
        <v>#100STOCK</v>
      </c>
      <c r="J87" t="s">
        <v>592</v>
      </c>
      <c r="K87" s="195">
        <v>46160.548993055556</v>
      </c>
      <c r="L87">
        <v>312</v>
      </c>
      <c r="M87">
        <v>0</v>
      </c>
      <c r="N87" s="98" t="str">
        <f>IF(record[[#This Row],[Memo]]="Browser:chrome os:android","平板報工",IF(record[[#This Row],[Memo]]=0,"委外",record[[#This Row],[Memo]]))</f>
        <v/>
      </c>
      <c r="O87" t="s">
        <v>58</v>
      </c>
      <c r="P87" t="s">
        <v>886</v>
      </c>
      <c r="Q87" t="s">
        <v>58</v>
      </c>
      <c r="R87" t="str">
        <f>IFERROR(VLOOKUP(record[[#This Row],[PCUSTID]],廠商[],2,FALSE),"")</f>
        <v/>
      </c>
      <c r="S87" t="str">
        <f>VLOOKUP(record[[#This Row],[employeeID]],員工[],2,FALSE)</f>
        <v>謝蓁薰</v>
      </c>
    </row>
    <row r="88" spans="1:19" hidden="1" x14ac:dyDescent="0.25">
      <c r="A88" s="66" t="s">
        <v>386</v>
      </c>
      <c r="B88" s="66" t="s">
        <v>498</v>
      </c>
      <c r="C88" s="66" t="s">
        <v>75</v>
      </c>
      <c r="F88" t="s">
        <v>1952</v>
      </c>
      <c r="G88" t="s">
        <v>402</v>
      </c>
      <c r="H88" t="str">
        <f>VLOOKUP(record[[#This Row],[ProcessSN]],表格2_7[],2,FALSE)</f>
        <v>30-4118-018-550</v>
      </c>
      <c r="I88" t="str">
        <f>VLOOKUP(record[[#This Row],[ProcessSN]],表格2_7[],3,FALSE)</f>
        <v>#100STOCK</v>
      </c>
      <c r="J88" t="s">
        <v>592</v>
      </c>
      <c r="K88" s="195">
        <v>46160.548819444448</v>
      </c>
      <c r="L88">
        <v>261</v>
      </c>
      <c r="M88">
        <v>0</v>
      </c>
      <c r="N88" s="98" t="str">
        <f>IF(record[[#This Row],[Memo]]="Browser:chrome os:android","平板報工",IF(record[[#This Row],[Memo]]=0,"委外",record[[#This Row],[Memo]]))</f>
        <v/>
      </c>
      <c r="O88" t="s">
        <v>58</v>
      </c>
      <c r="P88" t="s">
        <v>886</v>
      </c>
      <c r="Q88" t="s">
        <v>58</v>
      </c>
      <c r="R88" t="str">
        <f>IFERROR(VLOOKUP(record[[#This Row],[PCUSTID]],廠商[],2,FALSE),"")</f>
        <v/>
      </c>
      <c r="S88" t="str">
        <f>VLOOKUP(record[[#This Row],[employeeID]],員工[],2,FALSE)</f>
        <v>謝蓁薰</v>
      </c>
    </row>
    <row r="89" spans="1:19" hidden="1" x14ac:dyDescent="0.25">
      <c r="A89" s="66" t="s">
        <v>387</v>
      </c>
      <c r="B89" s="66" t="s">
        <v>498</v>
      </c>
      <c r="C89" s="66" t="s">
        <v>76</v>
      </c>
      <c r="F89" t="s">
        <v>1940</v>
      </c>
      <c r="G89" t="s">
        <v>402</v>
      </c>
      <c r="H89" t="str">
        <f>VLOOKUP(record[[#This Row],[ProcessSN]],表格2_7[],2,FALSE)</f>
        <v>30-4118-018-550</v>
      </c>
      <c r="I89" t="str">
        <f>VLOOKUP(record[[#This Row],[ProcessSN]],表格2_7[],3,FALSE)</f>
        <v>#100STOCK</v>
      </c>
      <c r="J89" t="s">
        <v>592</v>
      </c>
      <c r="K89" s="195">
        <v>46160.548090277778</v>
      </c>
      <c r="L89">
        <v>321</v>
      </c>
      <c r="M89">
        <v>0</v>
      </c>
      <c r="N89" s="98" t="str">
        <f>IF(record[[#This Row],[Memo]]="Browser:chrome os:android","平板報工",IF(record[[#This Row],[Memo]]=0,"委外",record[[#This Row],[Memo]]))</f>
        <v/>
      </c>
      <c r="O89" t="s">
        <v>58</v>
      </c>
      <c r="P89" t="s">
        <v>886</v>
      </c>
      <c r="Q89" t="s">
        <v>58</v>
      </c>
      <c r="R89" t="str">
        <f>IFERROR(VLOOKUP(record[[#This Row],[PCUSTID]],廠商[],2,FALSE),"")</f>
        <v/>
      </c>
      <c r="S89" t="str">
        <f>VLOOKUP(record[[#This Row],[employeeID]],員工[],2,FALSE)</f>
        <v>謝蓁薰</v>
      </c>
    </row>
    <row r="90" spans="1:19" hidden="1" x14ac:dyDescent="0.25">
      <c r="A90" s="66" t="s">
        <v>388</v>
      </c>
      <c r="B90" s="66" t="s">
        <v>499</v>
      </c>
      <c r="C90" s="66" t="s">
        <v>473</v>
      </c>
      <c r="F90" t="s">
        <v>2016</v>
      </c>
      <c r="G90" t="s">
        <v>452</v>
      </c>
      <c r="H90" t="str">
        <f>VLOOKUP(record[[#This Row],[ProcessSN]],表格2_7[],2,FALSE)</f>
        <v>30-4118-018-6XX</v>
      </c>
      <c r="I90" t="str">
        <f>VLOOKUP(record[[#This Row],[ProcessSN]],表格2_7[],3,FALSE)</f>
        <v>#07QC</v>
      </c>
      <c r="J90" t="s">
        <v>589</v>
      </c>
      <c r="K90" s="195">
        <v>46160.491064814814</v>
      </c>
      <c r="L90">
        <v>0</v>
      </c>
      <c r="M90">
        <v>4</v>
      </c>
      <c r="N90" s="98" t="str">
        <f>IF(record[[#This Row],[Memo]]="Browser:chrome os:android","平板報工",IF(record[[#This Row],[Memo]]=0,"委外",record[[#This Row],[Memo]]))</f>
        <v/>
      </c>
      <c r="O90" t="s">
        <v>58</v>
      </c>
      <c r="P90" t="s">
        <v>141</v>
      </c>
      <c r="Q90" t="s">
        <v>58</v>
      </c>
      <c r="R90" t="str">
        <f>IFERROR(VLOOKUP(record[[#This Row],[PCUSTID]],廠商[],2,FALSE),"")</f>
        <v/>
      </c>
      <c r="S90" t="str">
        <f>VLOOKUP(record[[#This Row],[employeeID]],員工[],2,FALSE)</f>
        <v>蔣梅</v>
      </c>
    </row>
    <row r="91" spans="1:19" hidden="1" x14ac:dyDescent="0.25">
      <c r="A91" s="66" t="s">
        <v>389</v>
      </c>
      <c r="B91" s="66" t="s">
        <v>499</v>
      </c>
      <c r="C91" s="66" t="s">
        <v>474</v>
      </c>
      <c r="F91" t="s">
        <v>2016</v>
      </c>
      <c r="G91" t="s">
        <v>452</v>
      </c>
      <c r="H91" t="str">
        <f>VLOOKUP(record[[#This Row],[ProcessSN]],表格2_7[],2,FALSE)</f>
        <v>30-4118-018-6XX</v>
      </c>
      <c r="I91" t="str">
        <f>VLOOKUP(record[[#This Row],[ProcessSN]],表格2_7[],3,FALSE)</f>
        <v>#07QC</v>
      </c>
      <c r="J91" t="s">
        <v>589</v>
      </c>
      <c r="K91" s="195">
        <v>46160.490925925929</v>
      </c>
      <c r="L91">
        <v>334</v>
      </c>
      <c r="M91">
        <v>0</v>
      </c>
      <c r="N91" s="98" t="str">
        <f>IF(record[[#This Row],[Memo]]="Browser:chrome os:android","平板報工",IF(record[[#This Row],[Memo]]=0,"委外",record[[#This Row],[Memo]]))</f>
        <v/>
      </c>
      <c r="O91" t="s">
        <v>58</v>
      </c>
      <c r="P91" t="s">
        <v>141</v>
      </c>
      <c r="Q91" t="s">
        <v>58</v>
      </c>
      <c r="R91" t="str">
        <f>IFERROR(VLOOKUP(record[[#This Row],[PCUSTID]],廠商[],2,FALSE),"")</f>
        <v/>
      </c>
      <c r="S91" t="str">
        <f>VLOOKUP(record[[#This Row],[employeeID]],員工[],2,FALSE)</f>
        <v>蔣梅</v>
      </c>
    </row>
    <row r="92" spans="1:19" hidden="1" x14ac:dyDescent="0.25">
      <c r="A92" s="66" t="s">
        <v>390</v>
      </c>
      <c r="B92" s="66" t="s">
        <v>499</v>
      </c>
      <c r="C92" s="66" t="s">
        <v>475</v>
      </c>
      <c r="F92" t="s">
        <v>1987</v>
      </c>
      <c r="G92" t="s">
        <v>452</v>
      </c>
      <c r="H92" t="str">
        <f>VLOOKUP(record[[#This Row],[ProcessSN]],表格2_7[],2,FALSE)</f>
        <v>30-4118-018-6XX</v>
      </c>
      <c r="I92" t="str">
        <f>VLOOKUP(record[[#This Row],[ProcessSN]],表格2_7[],3,FALSE)</f>
        <v>#07QC</v>
      </c>
      <c r="J92" t="s">
        <v>589</v>
      </c>
      <c r="K92" s="195">
        <v>46160.490532407406</v>
      </c>
      <c r="L92">
        <v>62</v>
      </c>
      <c r="M92">
        <v>0</v>
      </c>
      <c r="N92" s="98" t="str">
        <f>IF(record[[#This Row],[Memo]]="Browser:chrome os:android","平板報工",IF(record[[#This Row],[Memo]]=0,"委外",record[[#This Row],[Memo]]))</f>
        <v/>
      </c>
      <c r="O92" t="s">
        <v>58</v>
      </c>
      <c r="P92" t="s">
        <v>141</v>
      </c>
      <c r="Q92" t="s">
        <v>58</v>
      </c>
      <c r="R92" t="str">
        <f>IFERROR(VLOOKUP(record[[#This Row],[PCUSTID]],廠商[],2,FALSE),"")</f>
        <v/>
      </c>
      <c r="S92" t="str">
        <f>VLOOKUP(record[[#This Row],[employeeID]],員工[],2,FALSE)</f>
        <v>蔣梅</v>
      </c>
    </row>
    <row r="93" spans="1:19" hidden="1" x14ac:dyDescent="0.25">
      <c r="A93" s="66" t="s">
        <v>391</v>
      </c>
      <c r="B93" s="66" t="s">
        <v>499</v>
      </c>
      <c r="C93" s="66" t="s">
        <v>476</v>
      </c>
      <c r="F93" t="s">
        <v>1987</v>
      </c>
      <c r="G93" t="s">
        <v>451</v>
      </c>
      <c r="H93" t="str">
        <f>VLOOKUP(record[[#This Row],[ProcessSN]],表格2_7[],2,FALSE)</f>
        <v>30-4118-018-6XX</v>
      </c>
      <c r="I93" t="str">
        <f>VLOOKUP(record[[#This Row],[ProcessSN]],表格2_7[],3,FALSE)</f>
        <v>#07</v>
      </c>
      <c r="J93" t="s">
        <v>588</v>
      </c>
      <c r="K93" s="195">
        <v>46160.482372685183</v>
      </c>
      <c r="L93">
        <v>62</v>
      </c>
      <c r="M93">
        <v>0</v>
      </c>
      <c r="N93" s="98" t="str">
        <f>IF(record[[#This Row],[Memo]]="Browser:chrome os:android","平板報工",IF(record[[#This Row],[Memo]]=0,"委外",record[[#This Row],[Memo]]))</f>
        <v/>
      </c>
      <c r="O93" t="s">
        <v>58</v>
      </c>
      <c r="P93" t="s">
        <v>101</v>
      </c>
      <c r="Q93" t="s">
        <v>58</v>
      </c>
      <c r="R93" t="str">
        <f>IFERROR(VLOOKUP(record[[#This Row],[PCUSTID]],廠商[],2,FALSE),"")</f>
        <v/>
      </c>
      <c r="S93" t="str">
        <f>VLOOKUP(record[[#This Row],[employeeID]],員工[],2,FALSE)</f>
        <v>陳氏絨</v>
      </c>
    </row>
    <row r="94" spans="1:19" hidden="1" x14ac:dyDescent="0.25">
      <c r="A94" s="66" t="s">
        <v>392</v>
      </c>
      <c r="B94" s="66" t="s">
        <v>499</v>
      </c>
      <c r="C94" s="66" t="s">
        <v>73</v>
      </c>
      <c r="F94" t="s">
        <v>1840</v>
      </c>
      <c r="G94" t="s">
        <v>362</v>
      </c>
      <c r="H94" t="str">
        <f>VLOOKUP(record[[#This Row],[ProcessSN]],表格2_7[],2,FALSE)</f>
        <v>30-4118-018-450</v>
      </c>
      <c r="I94" t="str">
        <f>VLOOKUP(record[[#This Row],[ProcessSN]],表格2_7[],3,FALSE)</f>
        <v>#100SHIP</v>
      </c>
      <c r="J94" t="s">
        <v>600</v>
      </c>
      <c r="K94" s="195">
        <v>46160.410775462966</v>
      </c>
      <c r="L94">
        <v>1</v>
      </c>
      <c r="M94">
        <v>0</v>
      </c>
      <c r="N94" s="98" t="str">
        <f>IF(record[[#This Row],[Memo]]="Browser:chrome os:android","平板報工",IF(record[[#This Row],[Memo]]=0,"委外",record[[#This Row],[Memo]]))</f>
        <v/>
      </c>
      <c r="O94" t="s">
        <v>58</v>
      </c>
      <c r="P94" t="s">
        <v>886</v>
      </c>
      <c r="Q94" t="s">
        <v>58</v>
      </c>
      <c r="R94" t="str">
        <f>IFERROR(VLOOKUP(record[[#This Row],[PCUSTID]],廠商[],2,FALSE),"")</f>
        <v/>
      </c>
      <c r="S94" t="str">
        <f>VLOOKUP(record[[#This Row],[employeeID]],員工[],2,FALSE)</f>
        <v>謝蓁薰</v>
      </c>
    </row>
    <row r="95" spans="1:19" hidden="1" x14ac:dyDescent="0.25">
      <c r="A95" s="66" t="s">
        <v>393</v>
      </c>
      <c r="B95" s="66" t="s">
        <v>499</v>
      </c>
      <c r="C95" s="66" t="s">
        <v>74</v>
      </c>
      <c r="F95" t="s">
        <v>1935</v>
      </c>
      <c r="G95" t="s">
        <v>395</v>
      </c>
      <c r="H95" t="str">
        <f>VLOOKUP(record[[#This Row],[ProcessSN]],表格2_7[],2,FALSE)</f>
        <v>30-4118-018-520</v>
      </c>
      <c r="I95" t="str">
        <f>VLOOKUP(record[[#This Row],[ProcessSN]],表格2_7[],3,FALSE)</f>
        <v>#100SHIP</v>
      </c>
      <c r="J95" t="s">
        <v>600</v>
      </c>
      <c r="K95" s="195">
        <v>46160.408148148148</v>
      </c>
      <c r="L95">
        <v>3</v>
      </c>
      <c r="M95">
        <v>0</v>
      </c>
      <c r="N95" s="98" t="str">
        <f>IF(record[[#This Row],[Memo]]="Browser:chrome os:android","平板報工",IF(record[[#This Row],[Memo]]=0,"委外",record[[#This Row],[Memo]]))</f>
        <v/>
      </c>
      <c r="O95" t="s">
        <v>58</v>
      </c>
      <c r="P95" t="s">
        <v>886</v>
      </c>
      <c r="Q95" t="s">
        <v>58</v>
      </c>
      <c r="R95" t="str">
        <f>IFERROR(VLOOKUP(record[[#This Row],[PCUSTID]],廠商[],2,FALSE),"")</f>
        <v/>
      </c>
      <c r="S95" t="str">
        <f>VLOOKUP(record[[#This Row],[employeeID]],員工[],2,FALSE)</f>
        <v>謝蓁薰</v>
      </c>
    </row>
    <row r="96" spans="1:19" hidden="1" x14ac:dyDescent="0.25">
      <c r="A96" s="66" t="s">
        <v>394</v>
      </c>
      <c r="B96" s="66" t="s">
        <v>499</v>
      </c>
      <c r="C96" s="66" t="s">
        <v>75</v>
      </c>
      <c r="F96" t="s">
        <v>1944</v>
      </c>
      <c r="G96" t="s">
        <v>420</v>
      </c>
      <c r="H96" t="str">
        <f>VLOOKUP(record[[#This Row],[ProcessSN]],表格2_7[],2,FALSE)</f>
        <v>30-4118-018-5XX</v>
      </c>
      <c r="I96" t="str">
        <f>VLOOKUP(record[[#This Row],[ProcessSN]],表格2_7[],3,FALSE)</f>
        <v>#07STOCK</v>
      </c>
      <c r="J96" t="s">
        <v>592</v>
      </c>
      <c r="K96" s="195">
        <v>46160.378263888888</v>
      </c>
      <c r="L96">
        <v>168</v>
      </c>
      <c r="M96">
        <v>0</v>
      </c>
      <c r="N96" s="98" t="str">
        <f>IF(record[[#This Row],[Memo]]="Browser:chrome os:android","平板報工",IF(record[[#This Row],[Memo]]=0,"委外",record[[#This Row],[Memo]]))</f>
        <v/>
      </c>
      <c r="O96" t="s">
        <v>58</v>
      </c>
      <c r="P96" t="s">
        <v>886</v>
      </c>
      <c r="Q96" t="s">
        <v>58</v>
      </c>
      <c r="R96" t="str">
        <f>IFERROR(VLOOKUP(record[[#This Row],[PCUSTID]],廠商[],2,FALSE),"")</f>
        <v/>
      </c>
      <c r="S96" t="str">
        <f>VLOOKUP(record[[#This Row],[employeeID]],員工[],2,FALSE)</f>
        <v>謝蓁薰</v>
      </c>
    </row>
    <row r="97" spans="1:19" hidden="1" x14ac:dyDescent="0.25">
      <c r="A97" s="66" t="s">
        <v>395</v>
      </c>
      <c r="B97" s="66" t="s">
        <v>499</v>
      </c>
      <c r="C97" s="66" t="s">
        <v>76</v>
      </c>
      <c r="F97" t="s">
        <v>1987</v>
      </c>
      <c r="G97" t="s">
        <v>453</v>
      </c>
      <c r="H97" t="str">
        <f>VLOOKUP(record[[#This Row],[ProcessSN]],表格2_7[],2,FALSE)</f>
        <v>30-4118-018-6XX</v>
      </c>
      <c r="I97" t="str">
        <f>VLOOKUP(record[[#This Row],[ProcessSN]],表格2_7[],3,FALSE)</f>
        <v>#07STOCK</v>
      </c>
      <c r="J97" t="s">
        <v>592</v>
      </c>
      <c r="K97" s="195">
        <v>46160.378055555557</v>
      </c>
      <c r="L97">
        <v>504</v>
      </c>
      <c r="M97">
        <v>0</v>
      </c>
      <c r="N97" s="98" t="str">
        <f>IF(record[[#This Row],[Memo]]="Browser:chrome os:android","平板報工",IF(record[[#This Row],[Memo]]=0,"委外",record[[#This Row],[Memo]]))</f>
        <v/>
      </c>
      <c r="O97" t="s">
        <v>58</v>
      </c>
      <c r="P97" t="s">
        <v>886</v>
      </c>
      <c r="Q97" t="s">
        <v>58</v>
      </c>
      <c r="R97" t="str">
        <f>IFERROR(VLOOKUP(record[[#This Row],[PCUSTID]],廠商[],2,FALSE),"")</f>
        <v/>
      </c>
      <c r="S97" t="str">
        <f>VLOOKUP(record[[#This Row],[employeeID]],員工[],2,FALSE)</f>
        <v>謝蓁薰</v>
      </c>
    </row>
    <row r="98" spans="1:19" hidden="1" x14ac:dyDescent="0.25">
      <c r="A98" s="66" t="s">
        <v>396</v>
      </c>
      <c r="B98" s="66" t="s">
        <v>500</v>
      </c>
      <c r="C98" s="66" t="s">
        <v>473</v>
      </c>
      <c r="F98" t="s">
        <v>1985</v>
      </c>
      <c r="G98" t="s">
        <v>468</v>
      </c>
      <c r="H98" t="str">
        <f>VLOOKUP(record[[#This Row],[ProcessSN]],表格2_7[],2,FALSE)</f>
        <v>30-4118-018-XXX</v>
      </c>
      <c r="I98" t="str">
        <f>VLOOKUP(record[[#This Row],[ProcessSN]],表格2_7[],3,FALSE)</f>
        <v>#02</v>
      </c>
      <c r="J98" t="s">
        <v>590</v>
      </c>
      <c r="K98" s="195">
        <v>46160.358032407406</v>
      </c>
      <c r="L98">
        <v>2016</v>
      </c>
      <c r="M98">
        <v>0</v>
      </c>
      <c r="N98" s="98" t="str">
        <f>IF(record[[#This Row],[Memo]]="Browser:chrome os:android","平板報工",IF(record[[#This Row],[Memo]]=0,"委外",record[[#This Row],[Memo]]))</f>
        <v>委外</v>
      </c>
      <c r="P98" t="s">
        <v>1698</v>
      </c>
      <c r="Q98" t="s">
        <v>216</v>
      </c>
      <c r="R98" t="str">
        <f>IFERROR(VLOOKUP(record[[#This Row],[PCUSTID]],廠商[],2,FALSE),"")</f>
        <v>俊杰</v>
      </c>
      <c r="S98" t="str">
        <f>VLOOKUP(record[[#This Row],[employeeID]],員工[],2,FALSE)</f>
        <v>羅思潔</v>
      </c>
    </row>
    <row r="99" spans="1:19" hidden="1" x14ac:dyDescent="0.25">
      <c r="A99" s="66" t="s">
        <v>397</v>
      </c>
      <c r="B99" s="66" t="s">
        <v>500</v>
      </c>
      <c r="C99" s="66" t="s">
        <v>474</v>
      </c>
      <c r="F99" t="s">
        <v>1985</v>
      </c>
      <c r="G99" t="s">
        <v>467</v>
      </c>
      <c r="H99" t="str">
        <f>VLOOKUP(record[[#This Row],[ProcessSN]],表格2_7[],2,FALSE)</f>
        <v>30-4118-018-XXX</v>
      </c>
      <c r="I99" t="str">
        <f>VLOOKUP(record[[#This Row],[ProcessSN]],表格2_7[],3,FALSE)</f>
        <v>#01QC</v>
      </c>
      <c r="J99" t="s">
        <v>589</v>
      </c>
      <c r="K99" s="195">
        <v>46160.34447916667</v>
      </c>
      <c r="L99">
        <v>840</v>
      </c>
      <c r="M99">
        <v>0</v>
      </c>
      <c r="N99" s="98" t="str">
        <f>IF(record[[#This Row],[Memo]]="Browser:chrome os:android","平板報工",IF(record[[#This Row],[Memo]]=0,"委外",record[[#This Row],[Memo]]))</f>
        <v>平板報工</v>
      </c>
      <c r="O99" t="s">
        <v>643</v>
      </c>
      <c r="P99" t="s">
        <v>182</v>
      </c>
      <c r="Q99" t="s">
        <v>644</v>
      </c>
      <c r="R99" t="str">
        <f>IFERROR(VLOOKUP(record[[#This Row],[PCUSTID]],廠商[],2,FALSE),"")</f>
        <v/>
      </c>
      <c r="S99" t="str">
        <f>VLOOKUP(record[[#This Row],[employeeID]],員工[],2,FALSE)</f>
        <v>梅氏和</v>
      </c>
    </row>
    <row r="100" spans="1:19" hidden="1" x14ac:dyDescent="0.25">
      <c r="A100" s="66" t="s">
        <v>398</v>
      </c>
      <c r="B100" s="66" t="s">
        <v>500</v>
      </c>
      <c r="C100" s="66" t="s">
        <v>475</v>
      </c>
      <c r="F100" t="s">
        <v>1960</v>
      </c>
      <c r="G100" t="s">
        <v>401</v>
      </c>
      <c r="H100" t="str">
        <f>VLOOKUP(record[[#This Row],[ProcessSN]],表格2_7[],2,FALSE)</f>
        <v>30-4118-018-550</v>
      </c>
      <c r="I100" t="str">
        <f>VLOOKUP(record[[#This Row],[ProcessSN]],表格2_7[],3,FALSE)</f>
        <v>#100OQC</v>
      </c>
      <c r="J100" t="s">
        <v>599</v>
      </c>
      <c r="K100" s="195">
        <v>46160.331041666665</v>
      </c>
      <c r="L100">
        <v>312</v>
      </c>
      <c r="M100">
        <v>0</v>
      </c>
      <c r="N100" s="98" t="str">
        <f>IF(record[[#This Row],[Memo]]="Browser:chrome os:android","平板報工",IF(record[[#This Row],[Memo]]=0,"委外",record[[#This Row],[Memo]]))</f>
        <v/>
      </c>
      <c r="O100" t="s">
        <v>58</v>
      </c>
      <c r="P100" t="s">
        <v>121</v>
      </c>
      <c r="Q100" t="s">
        <v>58</v>
      </c>
      <c r="R100" t="str">
        <f>IFERROR(VLOOKUP(record[[#This Row],[PCUSTID]],廠商[],2,FALSE),"")</f>
        <v/>
      </c>
      <c r="S100" t="str">
        <f>VLOOKUP(record[[#This Row],[employeeID]],員工[],2,FALSE)</f>
        <v>謝素卿</v>
      </c>
    </row>
    <row r="101" spans="1:19" hidden="1" x14ac:dyDescent="0.25">
      <c r="A101" s="66" t="s">
        <v>399</v>
      </c>
      <c r="B101" s="66" t="s">
        <v>500</v>
      </c>
      <c r="C101" s="66" t="s">
        <v>476</v>
      </c>
      <c r="F101" t="s">
        <v>2003</v>
      </c>
      <c r="G101" t="s">
        <v>465</v>
      </c>
      <c r="H101" t="str">
        <f>VLOOKUP(record[[#This Row],[ProcessSN]],表格2_7[],2,FALSE)</f>
        <v>30-4118-018-XXX</v>
      </c>
      <c r="I101" t="str">
        <f>VLOOKUP(record[[#This Row],[ProcessSN]],表格2_7[],3,FALSE)</f>
        <v>#01-1</v>
      </c>
      <c r="J101" t="s">
        <v>588</v>
      </c>
      <c r="K101" s="195">
        <v>46159.319548611114</v>
      </c>
      <c r="L101">
        <v>1008</v>
      </c>
      <c r="M101">
        <v>0</v>
      </c>
      <c r="N101" s="98" t="str">
        <f>IF(record[[#This Row],[Memo]]="Browser:chrome os:android","平板報工",IF(record[[#This Row],[Memo]]=0,"委外",record[[#This Row],[Memo]]))</f>
        <v/>
      </c>
      <c r="O101" t="s">
        <v>58</v>
      </c>
      <c r="P101" t="s">
        <v>691</v>
      </c>
      <c r="Q101" t="s">
        <v>58</v>
      </c>
      <c r="R101" t="str">
        <f>IFERROR(VLOOKUP(record[[#This Row],[PCUSTID]],廠商[],2,FALSE),"")</f>
        <v/>
      </c>
      <c r="S101" t="str">
        <f>VLOOKUP(record[[#This Row],[employeeID]],員工[],2,FALSE)</f>
        <v>武氏賢</v>
      </c>
    </row>
    <row r="102" spans="1:19" hidden="1" x14ac:dyDescent="0.25">
      <c r="A102" s="66" t="s">
        <v>400</v>
      </c>
      <c r="B102" s="66" t="s">
        <v>500</v>
      </c>
      <c r="C102" s="66" t="s">
        <v>73</v>
      </c>
      <c r="F102" t="s">
        <v>1985</v>
      </c>
      <c r="G102" t="s">
        <v>466</v>
      </c>
      <c r="H102" t="str">
        <f>VLOOKUP(record[[#This Row],[ProcessSN]],表格2_7[],2,FALSE)</f>
        <v>30-4118-018-XXX</v>
      </c>
      <c r="I102" t="str">
        <f>VLOOKUP(record[[#This Row],[ProcessSN]],表格2_7[],3,FALSE)</f>
        <v>#01-2</v>
      </c>
      <c r="J102" t="s">
        <v>588</v>
      </c>
      <c r="K102" s="195">
        <v>46159.319293981483</v>
      </c>
      <c r="L102">
        <v>580</v>
      </c>
      <c r="M102">
        <v>0</v>
      </c>
      <c r="N102" s="98" t="str">
        <f>IF(record[[#This Row],[Memo]]="Browser:chrome os:android","平板報工",IF(record[[#This Row],[Memo]]=0,"委外",record[[#This Row],[Memo]]))</f>
        <v/>
      </c>
      <c r="O102" t="s">
        <v>58</v>
      </c>
      <c r="P102" t="s">
        <v>691</v>
      </c>
      <c r="Q102" t="s">
        <v>58</v>
      </c>
      <c r="R102" t="str">
        <f>IFERROR(VLOOKUP(record[[#This Row],[PCUSTID]],廠商[],2,FALSE),"")</f>
        <v/>
      </c>
      <c r="S102" t="str">
        <f>VLOOKUP(record[[#This Row],[employeeID]],員工[],2,FALSE)</f>
        <v>武氏賢</v>
      </c>
    </row>
    <row r="103" spans="1:19" hidden="1" x14ac:dyDescent="0.25">
      <c r="A103" s="66" t="s">
        <v>401</v>
      </c>
      <c r="B103" s="66" t="s">
        <v>500</v>
      </c>
      <c r="C103" s="66" t="s">
        <v>74</v>
      </c>
      <c r="F103" t="s">
        <v>2016</v>
      </c>
      <c r="G103" t="s">
        <v>451</v>
      </c>
      <c r="H103" t="str">
        <f>VLOOKUP(record[[#This Row],[ProcessSN]],表格2_7[],2,FALSE)</f>
        <v>30-4118-018-6XX</v>
      </c>
      <c r="I103" t="str">
        <f>VLOOKUP(record[[#This Row],[ProcessSN]],表格2_7[],3,FALSE)</f>
        <v>#07</v>
      </c>
      <c r="J103" t="s">
        <v>588</v>
      </c>
      <c r="K103" s="195">
        <v>46159.308587962965</v>
      </c>
      <c r="L103">
        <v>256</v>
      </c>
      <c r="M103">
        <v>1</v>
      </c>
      <c r="N103" s="98" t="str">
        <f>IF(record[[#This Row],[Memo]]="Browser:chrome os:android","平板報工",IF(record[[#This Row],[Memo]]=0,"委外",record[[#This Row],[Memo]]))</f>
        <v/>
      </c>
      <c r="O103" t="s">
        <v>58</v>
      </c>
      <c r="P103" t="s">
        <v>806</v>
      </c>
      <c r="Q103" t="s">
        <v>58</v>
      </c>
      <c r="R103" t="str">
        <f>IFERROR(VLOOKUP(record[[#This Row],[PCUSTID]],廠商[],2,FALSE),"")</f>
        <v/>
      </c>
      <c r="S103" t="str">
        <f>VLOOKUP(record[[#This Row],[employeeID]],員工[],2,FALSE)</f>
        <v>方思緯</v>
      </c>
    </row>
    <row r="104" spans="1:19" hidden="1" x14ac:dyDescent="0.25">
      <c r="A104" s="66" t="s">
        <v>402</v>
      </c>
      <c r="B104" s="66" t="s">
        <v>500</v>
      </c>
      <c r="C104" s="66" t="s">
        <v>75</v>
      </c>
      <c r="F104" t="s">
        <v>1909</v>
      </c>
      <c r="G104" t="s">
        <v>375</v>
      </c>
      <c r="H104" t="str">
        <f>VLOOKUP(record[[#This Row],[ProcessSN]],表格2_7[],2,FALSE)</f>
        <v>30-4118-018-4XX</v>
      </c>
      <c r="I104" t="str">
        <f>VLOOKUP(record[[#This Row],[ProcessSN]],表格2_7[],3,FALSE)</f>
        <v>#05</v>
      </c>
      <c r="J104" t="s">
        <v>588</v>
      </c>
      <c r="K104" s="195">
        <v>46159.307928240742</v>
      </c>
      <c r="L104">
        <v>34</v>
      </c>
      <c r="M104">
        <v>0</v>
      </c>
      <c r="N104" s="98" t="str">
        <f>IF(record[[#This Row],[Memo]]="Browser:chrome os:android","平板報工",IF(record[[#This Row],[Memo]]=0,"委外",record[[#This Row],[Memo]]))</f>
        <v/>
      </c>
      <c r="O104" t="s">
        <v>58</v>
      </c>
      <c r="P104" t="s">
        <v>806</v>
      </c>
      <c r="Q104" t="s">
        <v>58</v>
      </c>
      <c r="R104" t="str">
        <f>IFERROR(VLOOKUP(record[[#This Row],[PCUSTID]],廠商[],2,FALSE),"")</f>
        <v/>
      </c>
      <c r="S104" t="str">
        <f>VLOOKUP(record[[#This Row],[employeeID]],員工[],2,FALSE)</f>
        <v>方思緯</v>
      </c>
    </row>
    <row r="105" spans="1:19" hidden="1" x14ac:dyDescent="0.25">
      <c r="A105" s="66" t="s">
        <v>403</v>
      </c>
      <c r="B105" s="66" t="s">
        <v>500</v>
      </c>
      <c r="C105" s="66" t="s">
        <v>76</v>
      </c>
      <c r="F105" t="s">
        <v>2016</v>
      </c>
      <c r="G105" t="s">
        <v>449</v>
      </c>
      <c r="H105" t="str">
        <f>VLOOKUP(record[[#This Row],[ProcessSN]],表格2_7[],2,FALSE)</f>
        <v>30-4118-018-6XX</v>
      </c>
      <c r="I105" t="str">
        <f>VLOOKUP(record[[#This Row],[ProcessSN]],表格2_7[],3,FALSE)</f>
        <v>#05</v>
      </c>
      <c r="J105" t="s">
        <v>588</v>
      </c>
      <c r="K105" s="195">
        <v>46159.307673611111</v>
      </c>
      <c r="L105">
        <v>144</v>
      </c>
      <c r="M105">
        <v>0</v>
      </c>
      <c r="N105" s="98" t="str">
        <f>IF(record[[#This Row],[Memo]]="Browser:chrome os:android","平板報工",IF(record[[#This Row],[Memo]]=0,"委外",record[[#This Row],[Memo]]))</f>
        <v/>
      </c>
      <c r="O105" t="s">
        <v>58</v>
      </c>
      <c r="P105" t="s">
        <v>806</v>
      </c>
      <c r="Q105" t="s">
        <v>58</v>
      </c>
      <c r="R105" t="str">
        <f>IFERROR(VLOOKUP(record[[#This Row],[PCUSTID]],廠商[],2,FALSE),"")</f>
        <v/>
      </c>
      <c r="S105" t="str">
        <f>VLOOKUP(record[[#This Row],[employeeID]],員工[],2,FALSE)</f>
        <v>方思緯</v>
      </c>
    </row>
    <row r="106" spans="1:19" hidden="1" x14ac:dyDescent="0.25">
      <c r="A106" s="66" t="s">
        <v>404</v>
      </c>
      <c r="B106" s="66" t="s">
        <v>501</v>
      </c>
      <c r="C106" s="66" t="s">
        <v>473</v>
      </c>
      <c r="F106" t="s">
        <v>2016</v>
      </c>
      <c r="G106" t="s">
        <v>448</v>
      </c>
      <c r="H106" t="str">
        <f>VLOOKUP(record[[#This Row],[ProcessSN]],表格2_7[],2,FALSE)</f>
        <v>30-4118-018-6XX</v>
      </c>
      <c r="I106" t="str">
        <f>VLOOKUP(record[[#This Row],[ProcessSN]],表格2_7[],3,FALSE)</f>
        <v>#04</v>
      </c>
      <c r="J106" t="s">
        <v>588</v>
      </c>
      <c r="K106" s="195">
        <v>46159.307349537034</v>
      </c>
      <c r="L106">
        <v>115</v>
      </c>
      <c r="M106">
        <v>0</v>
      </c>
      <c r="N106" s="98" t="str">
        <f>IF(record[[#This Row],[Memo]]="Browser:chrome os:android","平板報工",IF(record[[#This Row],[Memo]]=0,"委外",record[[#This Row],[Memo]]))</f>
        <v/>
      </c>
      <c r="O106" t="s">
        <v>58</v>
      </c>
      <c r="P106" t="s">
        <v>691</v>
      </c>
      <c r="Q106" t="s">
        <v>58</v>
      </c>
      <c r="R106" t="str">
        <f>IFERROR(VLOOKUP(record[[#This Row],[PCUSTID]],廠商[],2,FALSE),"")</f>
        <v/>
      </c>
      <c r="S106" t="str">
        <f>VLOOKUP(record[[#This Row],[employeeID]],員工[],2,FALSE)</f>
        <v>武氏賢</v>
      </c>
    </row>
    <row r="107" spans="1:19" hidden="1" x14ac:dyDescent="0.25">
      <c r="A107" s="66" t="s">
        <v>405</v>
      </c>
      <c r="B107" s="66" t="s">
        <v>501</v>
      </c>
      <c r="C107" s="66" t="s">
        <v>474</v>
      </c>
      <c r="F107" t="s">
        <v>1944</v>
      </c>
      <c r="G107" t="s">
        <v>417</v>
      </c>
      <c r="H107" t="str">
        <f>VLOOKUP(record[[#This Row],[ProcessSN]],表格2_7[],2,FALSE)</f>
        <v>30-4118-018-5XX</v>
      </c>
      <c r="I107" t="str">
        <f>VLOOKUP(record[[#This Row],[ProcessSN]],表格2_7[],3,FALSE)</f>
        <v>#06</v>
      </c>
      <c r="J107" t="s">
        <v>593</v>
      </c>
      <c r="K107" s="195">
        <v>46159.280810185184</v>
      </c>
      <c r="L107">
        <v>171</v>
      </c>
      <c r="M107">
        <v>0</v>
      </c>
      <c r="N107" s="98" t="str">
        <f>IF(record[[#This Row],[Memo]]="Browser:chrome os:android","平板報工",IF(record[[#This Row],[Memo]]=0,"委外",record[[#This Row],[Memo]]))</f>
        <v>平板報工</v>
      </c>
      <c r="O107" t="s">
        <v>643</v>
      </c>
      <c r="P107" t="s">
        <v>180</v>
      </c>
      <c r="Q107" t="s">
        <v>644</v>
      </c>
      <c r="R107" t="str">
        <f>IFERROR(VLOOKUP(record[[#This Row],[PCUSTID]],廠商[],2,FALSE),"")</f>
        <v/>
      </c>
      <c r="S107" t="str">
        <f>VLOOKUP(record[[#This Row],[employeeID]],員工[],2,FALSE)</f>
        <v>黎功江</v>
      </c>
    </row>
    <row r="108" spans="1:19" hidden="1" x14ac:dyDescent="0.25">
      <c r="A108" s="66" t="s">
        <v>406</v>
      </c>
      <c r="B108" s="66" t="s">
        <v>501</v>
      </c>
      <c r="C108" s="66" t="s">
        <v>475</v>
      </c>
      <c r="F108" t="s">
        <v>1965</v>
      </c>
      <c r="G108" t="s">
        <v>417</v>
      </c>
      <c r="H108" t="str">
        <f>VLOOKUP(record[[#This Row],[ProcessSN]],表格2_7[],2,FALSE)</f>
        <v>30-4118-018-5XX</v>
      </c>
      <c r="I108" t="str">
        <f>VLOOKUP(record[[#This Row],[ProcessSN]],表格2_7[],3,FALSE)</f>
        <v>#06</v>
      </c>
      <c r="J108" t="s">
        <v>593</v>
      </c>
      <c r="K108" s="195">
        <v>46159.279467592591</v>
      </c>
      <c r="L108">
        <v>96</v>
      </c>
      <c r="M108">
        <v>0</v>
      </c>
      <c r="N108" s="98" t="str">
        <f>IF(record[[#This Row],[Memo]]="Browser:chrome os:android","平板報工",IF(record[[#This Row],[Memo]]=0,"委外",record[[#This Row],[Memo]]))</f>
        <v>平板報工</v>
      </c>
      <c r="O108" t="s">
        <v>643</v>
      </c>
      <c r="P108" t="s">
        <v>180</v>
      </c>
      <c r="Q108" t="s">
        <v>644</v>
      </c>
      <c r="R108" t="str">
        <f>IFERROR(VLOOKUP(record[[#This Row],[PCUSTID]],廠商[],2,FALSE),"")</f>
        <v/>
      </c>
      <c r="S108" t="str">
        <f>VLOOKUP(record[[#This Row],[employeeID]],員工[],2,FALSE)</f>
        <v>黎功江</v>
      </c>
    </row>
    <row r="109" spans="1:19" hidden="1" x14ac:dyDescent="0.25">
      <c r="A109" s="66" t="s">
        <v>407</v>
      </c>
      <c r="B109" s="66" t="s">
        <v>501</v>
      </c>
      <c r="C109" s="66" t="s">
        <v>476</v>
      </c>
      <c r="F109" t="s">
        <v>2016</v>
      </c>
      <c r="G109" t="s">
        <v>450</v>
      </c>
      <c r="H109" t="str">
        <f>VLOOKUP(record[[#This Row],[ProcessSN]],表格2_7[],2,FALSE)</f>
        <v>30-4118-018-6XX</v>
      </c>
      <c r="I109" t="str">
        <f>VLOOKUP(record[[#This Row],[ProcessSN]],表格2_7[],3,FALSE)</f>
        <v>#06</v>
      </c>
      <c r="J109" t="s">
        <v>593</v>
      </c>
      <c r="K109" s="195">
        <v>46158.993356481478</v>
      </c>
      <c r="L109">
        <v>35</v>
      </c>
      <c r="M109">
        <v>0</v>
      </c>
      <c r="N109" s="98" t="str">
        <f>IF(record[[#This Row],[Memo]]="Browser:chrome os:android","平板報工",IF(record[[#This Row],[Memo]]=0,"委外",record[[#This Row],[Memo]]))</f>
        <v/>
      </c>
      <c r="O109" t="s">
        <v>58</v>
      </c>
      <c r="P109" t="s">
        <v>841</v>
      </c>
      <c r="Q109" t="s">
        <v>58</v>
      </c>
      <c r="R109" t="str">
        <f>IFERROR(VLOOKUP(record[[#This Row],[PCUSTID]],廠商[],2,FALSE),"")</f>
        <v/>
      </c>
      <c r="S109" t="str">
        <f>VLOOKUP(record[[#This Row],[employeeID]],員工[],2,FALSE)</f>
        <v>范氏香</v>
      </c>
    </row>
    <row r="110" spans="1:19" hidden="1" x14ac:dyDescent="0.25">
      <c r="A110" s="66" t="s">
        <v>408</v>
      </c>
      <c r="B110" s="66" t="s">
        <v>501</v>
      </c>
      <c r="C110" s="66" t="s">
        <v>73</v>
      </c>
      <c r="F110" t="s">
        <v>1909</v>
      </c>
      <c r="G110" t="s">
        <v>375</v>
      </c>
      <c r="H110" t="str">
        <f>VLOOKUP(record[[#This Row],[ProcessSN]],表格2_7[],2,FALSE)</f>
        <v>30-4118-018-4XX</v>
      </c>
      <c r="I110" t="str">
        <f>VLOOKUP(record[[#This Row],[ProcessSN]],表格2_7[],3,FALSE)</f>
        <v>#05</v>
      </c>
      <c r="J110" t="s">
        <v>588</v>
      </c>
      <c r="K110" s="195">
        <v>46158.991018518522</v>
      </c>
      <c r="L110">
        <v>243</v>
      </c>
      <c r="M110">
        <v>0</v>
      </c>
      <c r="N110" s="98" t="str">
        <f>IF(record[[#This Row],[Memo]]="Browser:chrome os:android","平板報工",IF(record[[#This Row],[Memo]]=0,"委外",record[[#This Row],[Memo]]))</f>
        <v/>
      </c>
      <c r="O110" t="s">
        <v>58</v>
      </c>
      <c r="P110" t="s">
        <v>89</v>
      </c>
      <c r="Q110" t="s">
        <v>58</v>
      </c>
      <c r="R110" t="str">
        <f>IFERROR(VLOOKUP(record[[#This Row],[PCUSTID]],廠商[],2,FALSE),"")</f>
        <v/>
      </c>
      <c r="S110" t="str">
        <f>VLOOKUP(record[[#This Row],[employeeID]],員工[],2,FALSE)</f>
        <v>李美蓮</v>
      </c>
    </row>
    <row r="111" spans="1:19" hidden="1" x14ac:dyDescent="0.25">
      <c r="A111" s="66" t="s">
        <v>409</v>
      </c>
      <c r="B111" s="66" t="s">
        <v>501</v>
      </c>
      <c r="C111" s="66" t="s">
        <v>482</v>
      </c>
      <c r="F111" t="s">
        <v>2016</v>
      </c>
      <c r="G111" t="s">
        <v>449</v>
      </c>
      <c r="H111" t="str">
        <f>VLOOKUP(record[[#This Row],[ProcessSN]],表格2_7[],2,FALSE)</f>
        <v>30-4118-018-6XX</v>
      </c>
      <c r="I111" t="str">
        <f>VLOOKUP(record[[#This Row],[ProcessSN]],表格2_7[],3,FALSE)</f>
        <v>#05</v>
      </c>
      <c r="J111" t="s">
        <v>588</v>
      </c>
      <c r="K111" s="195">
        <v>46158.990659722222</v>
      </c>
      <c r="L111">
        <v>11</v>
      </c>
      <c r="M111">
        <v>0</v>
      </c>
      <c r="N111" s="98" t="str">
        <f>IF(record[[#This Row],[Memo]]="Browser:chrome os:android","平板報工",IF(record[[#This Row],[Memo]]=0,"委外",record[[#This Row],[Memo]]))</f>
        <v/>
      </c>
      <c r="O111" t="s">
        <v>58</v>
      </c>
      <c r="P111" t="s">
        <v>89</v>
      </c>
      <c r="Q111" t="s">
        <v>58</v>
      </c>
      <c r="R111" t="str">
        <f>IFERROR(VLOOKUP(record[[#This Row],[PCUSTID]],廠商[],2,FALSE),"")</f>
        <v/>
      </c>
      <c r="S111" t="str">
        <f>VLOOKUP(record[[#This Row],[employeeID]],員工[],2,FALSE)</f>
        <v>李美蓮</v>
      </c>
    </row>
    <row r="112" spans="1:19" hidden="1" x14ac:dyDescent="0.25">
      <c r="A112" s="66" t="s">
        <v>410</v>
      </c>
      <c r="B112" s="66" t="s">
        <v>501</v>
      </c>
      <c r="C112" s="66" t="s">
        <v>75</v>
      </c>
      <c r="F112" t="s">
        <v>2016</v>
      </c>
      <c r="G112" t="s">
        <v>448</v>
      </c>
      <c r="H112" t="str">
        <f>VLOOKUP(record[[#This Row],[ProcessSN]],表格2_7[],2,FALSE)</f>
        <v>30-4118-018-6XX</v>
      </c>
      <c r="I112" t="str">
        <f>VLOOKUP(record[[#This Row],[ProcessSN]],表格2_7[],3,FALSE)</f>
        <v>#04</v>
      </c>
      <c r="J112" t="s">
        <v>588</v>
      </c>
      <c r="K112" s="195">
        <v>46158.98878472222</v>
      </c>
      <c r="L112">
        <v>110</v>
      </c>
      <c r="M112">
        <v>0</v>
      </c>
      <c r="N112" s="98" t="str">
        <f>IF(record[[#This Row],[Memo]]="Browser:chrome os:android","平板報工",IF(record[[#This Row],[Memo]]=0,"委外",record[[#This Row],[Memo]]))</f>
        <v/>
      </c>
      <c r="O112" t="s">
        <v>58</v>
      </c>
      <c r="P112" t="s">
        <v>1847</v>
      </c>
      <c r="Q112" t="s">
        <v>58</v>
      </c>
      <c r="R112" t="str">
        <f>IFERROR(VLOOKUP(record[[#This Row],[PCUSTID]],廠商[],2,FALSE),"")</f>
        <v/>
      </c>
      <c r="S112" t="str">
        <f>VLOOKUP(record[[#This Row],[employeeID]],員工[],2,FALSE)</f>
        <v>潘黎慶平</v>
      </c>
    </row>
    <row r="113" spans="1:19" hidden="1" x14ac:dyDescent="0.25">
      <c r="A113" s="66" t="s">
        <v>411</v>
      </c>
      <c r="B113" s="66" t="s">
        <v>501</v>
      </c>
      <c r="C113" s="66" t="s">
        <v>76</v>
      </c>
      <c r="F113" t="s">
        <v>2003</v>
      </c>
      <c r="G113" t="s">
        <v>465</v>
      </c>
      <c r="H113" t="str">
        <f>VLOOKUP(record[[#This Row],[ProcessSN]],表格2_7[],2,FALSE)</f>
        <v>30-4118-018-XXX</v>
      </c>
      <c r="I113" t="str">
        <f>VLOOKUP(record[[#This Row],[ProcessSN]],表格2_7[],3,FALSE)</f>
        <v>#01-1</v>
      </c>
      <c r="J113" t="s">
        <v>588</v>
      </c>
      <c r="K113" s="195">
        <v>46158.988368055558</v>
      </c>
      <c r="L113">
        <v>1014</v>
      </c>
      <c r="M113">
        <v>0</v>
      </c>
      <c r="N113" s="98" t="str">
        <f>IF(record[[#This Row],[Memo]]="Browser:chrome os:android","平板報工",IF(record[[#This Row],[Memo]]=0,"委外",record[[#This Row],[Memo]]))</f>
        <v/>
      </c>
      <c r="O113" t="s">
        <v>58</v>
      </c>
      <c r="P113" t="s">
        <v>1847</v>
      </c>
      <c r="Q113" t="s">
        <v>58</v>
      </c>
      <c r="R113" t="str">
        <f>IFERROR(VLOOKUP(record[[#This Row],[PCUSTID]],廠商[],2,FALSE),"")</f>
        <v/>
      </c>
      <c r="S113" t="str">
        <f>VLOOKUP(record[[#This Row],[employeeID]],員工[],2,FALSE)</f>
        <v>潘黎慶平</v>
      </c>
    </row>
    <row r="114" spans="1:19" hidden="1" x14ac:dyDescent="0.25">
      <c r="A114" s="66" t="s">
        <v>412</v>
      </c>
      <c r="B114" s="66" t="s">
        <v>502</v>
      </c>
      <c r="C114" s="66" t="s">
        <v>477</v>
      </c>
      <c r="F114" t="s">
        <v>2016</v>
      </c>
      <c r="G114" t="s">
        <v>451</v>
      </c>
      <c r="H114" t="str">
        <f>VLOOKUP(record[[#This Row],[ProcessSN]],表格2_7[],2,FALSE)</f>
        <v>30-4118-018-6XX</v>
      </c>
      <c r="I114" t="str">
        <f>VLOOKUP(record[[#This Row],[ProcessSN]],表格2_7[],3,FALSE)</f>
        <v>#07</v>
      </c>
      <c r="J114" t="s">
        <v>588</v>
      </c>
      <c r="K114" s="195">
        <v>46158.987233796295</v>
      </c>
      <c r="L114">
        <v>256</v>
      </c>
      <c r="M114">
        <v>2</v>
      </c>
      <c r="N114" s="98" t="str">
        <f>IF(record[[#This Row],[Memo]]="Browser:chrome os:android","平板報工",IF(record[[#This Row],[Memo]]=0,"委外",record[[#This Row],[Memo]]))</f>
        <v/>
      </c>
      <c r="O114" t="s">
        <v>58</v>
      </c>
      <c r="P114" t="s">
        <v>1098</v>
      </c>
      <c r="Q114" t="s">
        <v>58</v>
      </c>
      <c r="R114" t="str">
        <f>IFERROR(VLOOKUP(record[[#This Row],[PCUSTID]],廠商[],2,FALSE),"")</f>
        <v/>
      </c>
      <c r="S114" t="str">
        <f>VLOOKUP(record[[#This Row],[employeeID]],員工[],2,FALSE)</f>
        <v>阮氏芳英(英)</v>
      </c>
    </row>
    <row r="115" spans="1:19" hidden="1" x14ac:dyDescent="0.25">
      <c r="A115" s="66" t="s">
        <v>413</v>
      </c>
      <c r="B115" s="66" t="s">
        <v>502</v>
      </c>
      <c r="C115" s="66" t="s">
        <v>478</v>
      </c>
      <c r="F115" t="s">
        <v>1985</v>
      </c>
      <c r="G115" t="s">
        <v>466</v>
      </c>
      <c r="H115" t="str">
        <f>VLOOKUP(record[[#This Row],[ProcessSN]],表格2_7[],2,FALSE)</f>
        <v>30-4118-018-XXX</v>
      </c>
      <c r="I115" t="str">
        <f>VLOOKUP(record[[#This Row],[ProcessSN]],表格2_7[],3,FALSE)</f>
        <v>#01-2</v>
      </c>
      <c r="J115" t="s">
        <v>588</v>
      </c>
      <c r="K115" s="195">
        <v>46158.986527777779</v>
      </c>
      <c r="L115">
        <v>320</v>
      </c>
      <c r="M115">
        <v>0</v>
      </c>
      <c r="N115" s="98" t="str">
        <f>IF(record[[#This Row],[Memo]]="Browser:chrome os:android","平板報工",IF(record[[#This Row],[Memo]]=0,"委外",record[[#This Row],[Memo]]))</f>
        <v/>
      </c>
      <c r="O115" t="s">
        <v>58</v>
      </c>
      <c r="P115" t="s">
        <v>1098</v>
      </c>
      <c r="Q115" t="s">
        <v>58</v>
      </c>
      <c r="R115" t="str">
        <f>IFERROR(VLOOKUP(record[[#This Row],[PCUSTID]],廠商[],2,FALSE),"")</f>
        <v/>
      </c>
      <c r="S115" t="str">
        <f>VLOOKUP(record[[#This Row],[employeeID]],員工[],2,FALSE)</f>
        <v>阮氏芳英(英)</v>
      </c>
    </row>
    <row r="116" spans="1:19" hidden="1" x14ac:dyDescent="0.25">
      <c r="A116" s="66" t="s">
        <v>414</v>
      </c>
      <c r="B116" s="66" t="s">
        <v>502</v>
      </c>
      <c r="C116" s="66" t="s">
        <v>81</v>
      </c>
      <c r="F116" t="s">
        <v>1944</v>
      </c>
      <c r="G116" t="s">
        <v>417</v>
      </c>
      <c r="H116" t="str">
        <f>VLOOKUP(record[[#This Row],[ProcessSN]],表格2_7[],2,FALSE)</f>
        <v>30-4118-018-5XX</v>
      </c>
      <c r="I116" t="str">
        <f>VLOOKUP(record[[#This Row],[ProcessSN]],表格2_7[],3,FALSE)</f>
        <v>#06</v>
      </c>
      <c r="J116" t="s">
        <v>593</v>
      </c>
      <c r="K116" s="195">
        <v>46158.980752314812</v>
      </c>
      <c r="L116">
        <v>27</v>
      </c>
      <c r="M116">
        <v>0</v>
      </c>
      <c r="N116" s="98" t="str">
        <f>IF(record[[#This Row],[Memo]]="Browser:chrome os:android","平板報工",IF(record[[#This Row],[Memo]]=0,"委外",record[[#This Row],[Memo]]))</f>
        <v>平板報工</v>
      </c>
      <c r="O116" t="s">
        <v>643</v>
      </c>
      <c r="P116" t="s">
        <v>841</v>
      </c>
      <c r="Q116" t="s">
        <v>644</v>
      </c>
      <c r="R116" t="str">
        <f>IFERROR(VLOOKUP(record[[#This Row],[PCUSTID]],廠商[],2,FALSE),"")</f>
        <v/>
      </c>
      <c r="S116" t="str">
        <f>VLOOKUP(record[[#This Row],[employeeID]],員工[],2,FALSE)</f>
        <v>范氏香</v>
      </c>
    </row>
    <row r="117" spans="1:19" hidden="1" x14ac:dyDescent="0.25">
      <c r="A117" s="66" t="s">
        <v>415</v>
      </c>
      <c r="B117" s="66" t="s">
        <v>502</v>
      </c>
      <c r="C117" s="66" t="s">
        <v>71</v>
      </c>
      <c r="F117" t="s">
        <v>1944</v>
      </c>
      <c r="G117" t="s">
        <v>417</v>
      </c>
      <c r="H117" t="str">
        <f>VLOOKUP(record[[#This Row],[ProcessSN]],表格2_7[],2,FALSE)</f>
        <v>30-4118-018-5XX</v>
      </c>
      <c r="I117" t="str">
        <f>VLOOKUP(record[[#This Row],[ProcessSN]],表格2_7[],3,FALSE)</f>
        <v>#06</v>
      </c>
      <c r="J117" t="s">
        <v>593</v>
      </c>
      <c r="K117" s="195">
        <v>46158.980474537035</v>
      </c>
      <c r="L117">
        <v>204</v>
      </c>
      <c r="M117">
        <v>0</v>
      </c>
      <c r="N117" s="98" t="str">
        <f>IF(record[[#This Row],[Memo]]="Browser:chrome os:android","平板報工",IF(record[[#This Row],[Memo]]=0,"委外",record[[#This Row],[Memo]]))</f>
        <v>平板報工</v>
      </c>
      <c r="O117" t="s">
        <v>643</v>
      </c>
      <c r="P117" t="s">
        <v>841</v>
      </c>
      <c r="Q117" t="s">
        <v>644</v>
      </c>
      <c r="R117" t="str">
        <f>IFERROR(VLOOKUP(record[[#This Row],[PCUSTID]],廠商[],2,FALSE),"")</f>
        <v/>
      </c>
      <c r="S117" t="str">
        <f>VLOOKUP(record[[#This Row],[employeeID]],員工[],2,FALSE)</f>
        <v>范氏香</v>
      </c>
    </row>
    <row r="118" spans="1:19" hidden="1" x14ac:dyDescent="0.25">
      <c r="A118" s="66" t="s">
        <v>416</v>
      </c>
      <c r="B118" s="66" t="s">
        <v>502</v>
      </c>
      <c r="C118" s="66" t="s">
        <v>72</v>
      </c>
      <c r="F118" t="s">
        <v>1944</v>
      </c>
      <c r="G118" t="s">
        <v>419</v>
      </c>
      <c r="H118" t="str">
        <f>VLOOKUP(record[[#This Row],[ProcessSN]],表格2_7[],2,FALSE)</f>
        <v>30-4118-018-5XX</v>
      </c>
      <c r="I118" t="str">
        <f>VLOOKUP(record[[#This Row],[ProcessSN]],表格2_7[],3,FALSE)</f>
        <v>#07QC</v>
      </c>
      <c r="J118" t="s">
        <v>589</v>
      </c>
      <c r="K118" s="195">
        <v>46158.688993055555</v>
      </c>
      <c r="L118">
        <v>0</v>
      </c>
      <c r="M118">
        <v>18</v>
      </c>
      <c r="N118" s="98" t="str">
        <f>IF(record[[#This Row],[Memo]]="Browser:chrome os:android","平板報工",IF(record[[#This Row],[Memo]]=0,"委外",record[[#This Row],[Memo]]))</f>
        <v/>
      </c>
      <c r="O118" t="s">
        <v>58</v>
      </c>
      <c r="P118" t="s">
        <v>141</v>
      </c>
      <c r="Q118" t="s">
        <v>58</v>
      </c>
      <c r="R118" t="str">
        <f>IFERROR(VLOOKUP(record[[#This Row],[PCUSTID]],廠商[],2,FALSE),"")</f>
        <v/>
      </c>
      <c r="S118" t="str">
        <f>VLOOKUP(record[[#This Row],[employeeID]],員工[],2,FALSE)</f>
        <v>蔣梅</v>
      </c>
    </row>
    <row r="119" spans="1:19" hidden="1" x14ac:dyDescent="0.25">
      <c r="A119" s="66" t="s">
        <v>417</v>
      </c>
      <c r="B119" s="66" t="s">
        <v>502</v>
      </c>
      <c r="C119" s="66" t="s">
        <v>77</v>
      </c>
      <c r="F119" t="s">
        <v>1944</v>
      </c>
      <c r="G119" t="s">
        <v>419</v>
      </c>
      <c r="H119" t="str">
        <f>VLOOKUP(record[[#This Row],[ProcessSN]],表格2_7[],2,FALSE)</f>
        <v>30-4118-018-5XX</v>
      </c>
      <c r="I119" t="str">
        <f>VLOOKUP(record[[#This Row],[ProcessSN]],表格2_7[],3,FALSE)</f>
        <v>#07QC</v>
      </c>
      <c r="J119" t="s">
        <v>589</v>
      </c>
      <c r="K119" s="195">
        <v>46158.688379629632</v>
      </c>
      <c r="L119">
        <v>0</v>
      </c>
      <c r="M119">
        <v>78</v>
      </c>
      <c r="N119" s="98" t="str">
        <f>IF(record[[#This Row],[Memo]]="Browser:chrome os:android","平板報工",IF(record[[#This Row],[Memo]]=0,"委外",record[[#This Row],[Memo]]))</f>
        <v>內徑刀痕</v>
      </c>
      <c r="O119" t="s">
        <v>2027</v>
      </c>
      <c r="P119" t="s">
        <v>141</v>
      </c>
      <c r="Q119" t="s">
        <v>58</v>
      </c>
      <c r="R119" t="str">
        <f>IFERROR(VLOOKUP(record[[#This Row],[PCUSTID]],廠商[],2,FALSE),"")</f>
        <v/>
      </c>
      <c r="S119" t="str">
        <f>VLOOKUP(record[[#This Row],[employeeID]],員工[],2,FALSE)</f>
        <v>蔣梅</v>
      </c>
    </row>
    <row r="120" spans="1:19" hidden="1" x14ac:dyDescent="0.25">
      <c r="A120" s="66" t="s">
        <v>418</v>
      </c>
      <c r="B120" s="66" t="s">
        <v>502</v>
      </c>
      <c r="C120" s="66" t="s">
        <v>479</v>
      </c>
      <c r="F120" t="s">
        <v>1944</v>
      </c>
      <c r="G120" t="s">
        <v>419</v>
      </c>
      <c r="H120" t="str">
        <f>VLOOKUP(record[[#This Row],[ProcessSN]],表格2_7[],2,FALSE)</f>
        <v>30-4118-018-5XX</v>
      </c>
      <c r="I120" t="str">
        <f>VLOOKUP(record[[#This Row],[ProcessSN]],表格2_7[],3,FALSE)</f>
        <v>#07QC</v>
      </c>
      <c r="J120" t="s">
        <v>589</v>
      </c>
      <c r="K120" s="195">
        <v>46158.687835648147</v>
      </c>
      <c r="L120">
        <v>336</v>
      </c>
      <c r="M120">
        <v>0</v>
      </c>
      <c r="N120" s="98" t="str">
        <f>IF(record[[#This Row],[Memo]]="Browser:chrome os:android","平板報工",IF(record[[#This Row],[Memo]]=0,"委外",record[[#This Row],[Memo]]))</f>
        <v/>
      </c>
      <c r="O120" t="s">
        <v>58</v>
      </c>
      <c r="P120" t="s">
        <v>141</v>
      </c>
      <c r="Q120" t="s">
        <v>58</v>
      </c>
      <c r="R120" t="str">
        <f>IFERROR(VLOOKUP(record[[#This Row],[PCUSTID]],廠商[],2,FALSE),"")</f>
        <v/>
      </c>
      <c r="S120" t="str">
        <f>VLOOKUP(record[[#This Row],[employeeID]],員工[],2,FALSE)</f>
        <v>蔣梅</v>
      </c>
    </row>
    <row r="121" spans="1:19" hidden="1" x14ac:dyDescent="0.25">
      <c r="A121" s="66" t="s">
        <v>419</v>
      </c>
      <c r="B121" s="66" t="s">
        <v>502</v>
      </c>
      <c r="C121" s="66" t="s">
        <v>480</v>
      </c>
      <c r="F121" t="s">
        <v>2016</v>
      </c>
      <c r="G121" t="s">
        <v>452</v>
      </c>
      <c r="H121" t="str">
        <f>VLOOKUP(record[[#This Row],[ProcessSN]],表格2_7[],2,FALSE)</f>
        <v>30-4118-018-6XX</v>
      </c>
      <c r="I121" t="str">
        <f>VLOOKUP(record[[#This Row],[ProcessSN]],表格2_7[],3,FALSE)</f>
        <v>#07QC</v>
      </c>
      <c r="J121" t="s">
        <v>589</v>
      </c>
      <c r="K121" s="195">
        <v>46158.6874537037</v>
      </c>
      <c r="L121">
        <v>0</v>
      </c>
      <c r="M121">
        <v>96</v>
      </c>
      <c r="N121" s="98" t="str">
        <f>IF(record[[#This Row],[Memo]]="Browser:chrome os:android","平板報工",IF(record[[#This Row],[Memo]]=0,"委外",record[[#This Row],[Memo]]))</f>
        <v>拋磨NG</v>
      </c>
      <c r="O121" t="s">
        <v>2026</v>
      </c>
      <c r="P121" t="s">
        <v>141</v>
      </c>
      <c r="Q121" t="s">
        <v>58</v>
      </c>
      <c r="R121" t="str">
        <f>IFERROR(VLOOKUP(record[[#This Row],[PCUSTID]],廠商[],2,FALSE),"")</f>
        <v/>
      </c>
      <c r="S121" t="str">
        <f>VLOOKUP(record[[#This Row],[employeeID]],員工[],2,FALSE)</f>
        <v>蔣梅</v>
      </c>
    </row>
    <row r="122" spans="1:19" hidden="1" x14ac:dyDescent="0.25">
      <c r="A122" s="66" t="s">
        <v>420</v>
      </c>
      <c r="B122" s="66" t="s">
        <v>502</v>
      </c>
      <c r="C122" s="66" t="s">
        <v>481</v>
      </c>
      <c r="F122" t="s">
        <v>1987</v>
      </c>
      <c r="G122" t="s">
        <v>452</v>
      </c>
      <c r="H122" t="str">
        <f>VLOOKUP(record[[#This Row],[ProcessSN]],表格2_7[],2,FALSE)</f>
        <v>30-4118-018-6XX</v>
      </c>
      <c r="I122" t="str">
        <f>VLOOKUP(record[[#This Row],[ProcessSN]],表格2_7[],3,FALSE)</f>
        <v>#07QC</v>
      </c>
      <c r="J122" t="s">
        <v>589</v>
      </c>
      <c r="K122" s="195">
        <v>46158.687048611115</v>
      </c>
      <c r="L122">
        <v>0</v>
      </c>
      <c r="M122">
        <v>128</v>
      </c>
      <c r="N122" s="98" t="str">
        <f>IF(record[[#This Row],[Memo]]="Browser:chrome os:android","平板報工",IF(record[[#This Row],[Memo]]=0,"委外",record[[#This Row],[Memo]]))</f>
        <v>素材瘡孔</v>
      </c>
      <c r="O122" t="s">
        <v>1789</v>
      </c>
      <c r="P122" t="s">
        <v>141</v>
      </c>
      <c r="Q122" t="s">
        <v>58</v>
      </c>
      <c r="R122" t="str">
        <f>IFERROR(VLOOKUP(record[[#This Row],[PCUSTID]],廠商[],2,FALSE),"")</f>
        <v/>
      </c>
      <c r="S122" t="str">
        <f>VLOOKUP(record[[#This Row],[employeeID]],員工[],2,FALSE)</f>
        <v>蔣梅</v>
      </c>
    </row>
    <row r="123" spans="1:19" hidden="1" x14ac:dyDescent="0.25">
      <c r="A123" s="66" t="s">
        <v>421</v>
      </c>
      <c r="B123" s="66" t="s">
        <v>503</v>
      </c>
      <c r="C123" s="66" t="s">
        <v>473</v>
      </c>
      <c r="F123" t="s">
        <v>1985</v>
      </c>
      <c r="G123" t="s">
        <v>467</v>
      </c>
      <c r="H123" t="str">
        <f>VLOOKUP(record[[#This Row],[ProcessSN]],表格2_7[],2,FALSE)</f>
        <v>30-4118-018-XXX</v>
      </c>
      <c r="I123" t="str">
        <f>VLOOKUP(record[[#This Row],[ProcessSN]],表格2_7[],3,FALSE)</f>
        <v>#01QC</v>
      </c>
      <c r="J123" t="s">
        <v>589</v>
      </c>
      <c r="K123" s="195">
        <v>46158.679618055554</v>
      </c>
      <c r="L123">
        <v>504</v>
      </c>
      <c r="M123">
        <v>0</v>
      </c>
      <c r="N123" s="98" t="str">
        <f>IF(record[[#This Row],[Memo]]="Browser:chrome os:android","平板報工",IF(record[[#This Row],[Memo]]=0,"委外",record[[#This Row],[Memo]]))</f>
        <v>平板報工</v>
      </c>
      <c r="O123" t="s">
        <v>643</v>
      </c>
      <c r="P123" t="s">
        <v>182</v>
      </c>
      <c r="Q123" t="s">
        <v>644</v>
      </c>
      <c r="R123" t="str">
        <f>IFERROR(VLOOKUP(record[[#This Row],[PCUSTID]],廠商[],2,FALSE),"")</f>
        <v/>
      </c>
      <c r="S123" t="str">
        <f>VLOOKUP(record[[#This Row],[employeeID]],員工[],2,FALSE)</f>
        <v>梅氏和</v>
      </c>
    </row>
    <row r="124" spans="1:19" hidden="1" x14ac:dyDescent="0.25">
      <c r="A124" s="66" t="s">
        <v>422</v>
      </c>
      <c r="B124" s="66" t="s">
        <v>503</v>
      </c>
      <c r="C124" s="66" t="s">
        <v>474</v>
      </c>
      <c r="F124" t="s">
        <v>2016</v>
      </c>
      <c r="G124" t="s">
        <v>450</v>
      </c>
      <c r="H124" t="str">
        <f>VLOOKUP(record[[#This Row],[ProcessSN]],表格2_7[],2,FALSE)</f>
        <v>30-4118-018-6XX</v>
      </c>
      <c r="I124" t="str">
        <f>VLOOKUP(record[[#This Row],[ProcessSN]],表格2_7[],3,FALSE)</f>
        <v>#06</v>
      </c>
      <c r="J124" t="s">
        <v>593</v>
      </c>
      <c r="K124" s="195">
        <v>46158.652754629627</v>
      </c>
      <c r="L124">
        <v>159</v>
      </c>
      <c r="M124">
        <v>0</v>
      </c>
      <c r="N124" s="98" t="str">
        <f>IF(record[[#This Row],[Memo]]="Browser:chrome os:android","平板報工",IF(record[[#This Row],[Memo]]=0,"委外",record[[#This Row],[Memo]]))</f>
        <v>平板報工</v>
      </c>
      <c r="O124" t="s">
        <v>643</v>
      </c>
      <c r="P124" t="s">
        <v>1413</v>
      </c>
      <c r="Q124" t="s">
        <v>644</v>
      </c>
      <c r="R124" t="str">
        <f>IFERROR(VLOOKUP(record[[#This Row],[PCUSTID]],廠商[],2,FALSE),"")</f>
        <v/>
      </c>
      <c r="S124" t="str">
        <f>VLOOKUP(record[[#This Row],[employeeID]],員工[],2,FALSE)</f>
        <v>阮氏芳英(芳)</v>
      </c>
    </row>
    <row r="125" spans="1:19" hidden="1" x14ac:dyDescent="0.25">
      <c r="A125" s="66" t="s">
        <v>423</v>
      </c>
      <c r="B125" s="66" t="s">
        <v>503</v>
      </c>
      <c r="C125" s="66" t="s">
        <v>475</v>
      </c>
      <c r="F125" t="s">
        <v>1985</v>
      </c>
      <c r="G125" t="s">
        <v>466</v>
      </c>
      <c r="H125" t="str">
        <f>VLOOKUP(record[[#This Row],[ProcessSN]],表格2_7[],2,FALSE)</f>
        <v>30-4118-018-XXX</v>
      </c>
      <c r="I125" t="str">
        <f>VLOOKUP(record[[#This Row],[ProcessSN]],表格2_7[],3,FALSE)</f>
        <v>#01-2</v>
      </c>
      <c r="J125" t="s">
        <v>588</v>
      </c>
      <c r="K125" s="195">
        <v>46158.652222222219</v>
      </c>
      <c r="L125">
        <v>587</v>
      </c>
      <c r="M125">
        <v>0</v>
      </c>
      <c r="N125" s="98" t="str">
        <f>IF(record[[#This Row],[Memo]]="Browser:chrome os:android","平板報工",IF(record[[#This Row],[Memo]]=0,"委外",record[[#This Row],[Memo]]))</f>
        <v>平板報工</v>
      </c>
      <c r="O125" t="s">
        <v>643</v>
      </c>
      <c r="P125" t="s">
        <v>107</v>
      </c>
      <c r="Q125" t="s">
        <v>644</v>
      </c>
      <c r="R125" t="str">
        <f>IFERROR(VLOOKUP(record[[#This Row],[PCUSTID]],廠商[],2,FALSE),"")</f>
        <v/>
      </c>
      <c r="S125" t="str">
        <f>VLOOKUP(record[[#This Row],[employeeID]],員工[],2,FALSE)</f>
        <v>黎氏順</v>
      </c>
    </row>
    <row r="126" spans="1:19" hidden="1" x14ac:dyDescent="0.25">
      <c r="A126" s="66" t="s">
        <v>424</v>
      </c>
      <c r="B126" s="66" t="s">
        <v>503</v>
      </c>
      <c r="C126" s="66" t="s">
        <v>476</v>
      </c>
      <c r="F126" t="s">
        <v>2016</v>
      </c>
      <c r="G126" t="s">
        <v>449</v>
      </c>
      <c r="H126" t="str">
        <f>VLOOKUP(record[[#This Row],[ProcessSN]],表格2_7[],2,FALSE)</f>
        <v>30-4118-018-6XX</v>
      </c>
      <c r="I126" t="str">
        <f>VLOOKUP(record[[#This Row],[ProcessSN]],表格2_7[],3,FALSE)</f>
        <v>#05</v>
      </c>
      <c r="J126" t="s">
        <v>588</v>
      </c>
      <c r="K126" s="195">
        <v>46158.651898148149</v>
      </c>
      <c r="L126">
        <v>120</v>
      </c>
      <c r="M126">
        <v>0</v>
      </c>
      <c r="N126" s="98" t="str">
        <f>IF(record[[#This Row],[Memo]]="Browser:chrome os:android","平板報工",IF(record[[#This Row],[Memo]]=0,"委外",record[[#This Row],[Memo]]))</f>
        <v>平板報工</v>
      </c>
      <c r="O126" t="s">
        <v>643</v>
      </c>
      <c r="P126" t="s">
        <v>785</v>
      </c>
      <c r="Q126" t="s">
        <v>644</v>
      </c>
      <c r="R126" t="str">
        <f>IFERROR(VLOOKUP(record[[#This Row],[PCUSTID]],廠商[],2,FALSE),"")</f>
        <v/>
      </c>
      <c r="S126" t="str">
        <f>VLOOKUP(record[[#This Row],[employeeID]],員工[],2,FALSE)</f>
        <v>謝刻光</v>
      </c>
    </row>
    <row r="127" spans="1:19" hidden="1" x14ac:dyDescent="0.25">
      <c r="A127" s="66" t="s">
        <v>425</v>
      </c>
      <c r="B127" s="66" t="s">
        <v>503</v>
      </c>
      <c r="C127" s="66" t="s">
        <v>73</v>
      </c>
      <c r="F127" t="s">
        <v>1909</v>
      </c>
      <c r="G127" t="s">
        <v>375</v>
      </c>
      <c r="H127" t="str">
        <f>VLOOKUP(record[[#This Row],[ProcessSN]],表格2_7[],2,FALSE)</f>
        <v>30-4118-018-4XX</v>
      </c>
      <c r="I127" t="str">
        <f>VLOOKUP(record[[#This Row],[ProcessSN]],表格2_7[],3,FALSE)</f>
        <v>#05</v>
      </c>
      <c r="J127" t="s">
        <v>588</v>
      </c>
      <c r="K127" s="195">
        <v>46158.648888888885</v>
      </c>
      <c r="L127">
        <v>114</v>
      </c>
      <c r="M127">
        <v>0</v>
      </c>
      <c r="N127" s="98" t="str">
        <f>IF(record[[#This Row],[Memo]]="Browser:chrome os:android","平板報工",IF(record[[#This Row],[Memo]]=0,"委外",record[[#This Row],[Memo]]))</f>
        <v>平板報工</v>
      </c>
      <c r="O127" t="s">
        <v>643</v>
      </c>
      <c r="P127" t="s">
        <v>785</v>
      </c>
      <c r="Q127" t="s">
        <v>644</v>
      </c>
      <c r="R127" t="str">
        <f>IFERROR(VLOOKUP(record[[#This Row],[PCUSTID]],廠商[],2,FALSE),"")</f>
        <v/>
      </c>
      <c r="S127" t="str">
        <f>VLOOKUP(record[[#This Row],[employeeID]],員工[],2,FALSE)</f>
        <v>謝刻光</v>
      </c>
    </row>
    <row r="128" spans="1:19" hidden="1" x14ac:dyDescent="0.25">
      <c r="A128" s="66" t="s">
        <v>426</v>
      </c>
      <c r="B128" s="66" t="s">
        <v>503</v>
      </c>
      <c r="C128" s="66" t="s">
        <v>74</v>
      </c>
      <c r="F128" t="s">
        <v>1944</v>
      </c>
      <c r="G128" t="s">
        <v>418</v>
      </c>
      <c r="H128" t="str">
        <f>VLOOKUP(record[[#This Row],[ProcessSN]],表格2_7[],2,FALSE)</f>
        <v>30-4118-018-5XX</v>
      </c>
      <c r="I128" t="str">
        <f>VLOOKUP(record[[#This Row],[ProcessSN]],表格2_7[],3,FALSE)</f>
        <v>#07</v>
      </c>
      <c r="J128" t="s">
        <v>588</v>
      </c>
      <c r="K128" s="195">
        <v>46158.647407407407</v>
      </c>
      <c r="L128">
        <v>256</v>
      </c>
      <c r="M128">
        <v>0</v>
      </c>
      <c r="N128" s="98" t="str">
        <f>IF(record[[#This Row],[Memo]]="Browser:chrome os:android","平板報工",IF(record[[#This Row],[Memo]]=0,"委外",record[[#This Row],[Memo]]))</f>
        <v>平板報工</v>
      </c>
      <c r="O128" t="s">
        <v>643</v>
      </c>
      <c r="P128" t="s">
        <v>785</v>
      </c>
      <c r="Q128" t="s">
        <v>644</v>
      </c>
      <c r="R128" t="str">
        <f>IFERROR(VLOOKUP(record[[#This Row],[PCUSTID]],廠商[],2,FALSE),"")</f>
        <v/>
      </c>
      <c r="S128" t="str">
        <f>VLOOKUP(record[[#This Row],[employeeID]],員工[],2,FALSE)</f>
        <v>謝刻光</v>
      </c>
    </row>
    <row r="129" spans="1:19" hidden="1" x14ac:dyDescent="0.25">
      <c r="A129" s="66" t="s">
        <v>427</v>
      </c>
      <c r="B129" s="66" t="s">
        <v>503</v>
      </c>
      <c r="C129" s="66" t="s">
        <v>75</v>
      </c>
      <c r="F129" t="s">
        <v>2003</v>
      </c>
      <c r="G129" t="s">
        <v>465</v>
      </c>
      <c r="H129" t="str">
        <f>VLOOKUP(record[[#This Row],[ProcessSN]],表格2_7[],2,FALSE)</f>
        <v>30-4118-018-XXX</v>
      </c>
      <c r="I129" t="str">
        <f>VLOOKUP(record[[#This Row],[ProcessSN]],表格2_7[],3,FALSE)</f>
        <v>#01-1</v>
      </c>
      <c r="J129" t="s">
        <v>588</v>
      </c>
      <c r="K129" s="195">
        <v>46158.645775462966</v>
      </c>
      <c r="L129">
        <v>210</v>
      </c>
      <c r="M129">
        <v>0</v>
      </c>
      <c r="N129" s="98" t="str">
        <f>IF(record[[#This Row],[Memo]]="Browser:chrome os:android","平板報工",IF(record[[#This Row],[Memo]]=0,"委外",record[[#This Row],[Memo]]))</f>
        <v>平板報工</v>
      </c>
      <c r="O129" t="s">
        <v>643</v>
      </c>
      <c r="P129" t="s">
        <v>139</v>
      </c>
      <c r="Q129" t="s">
        <v>644</v>
      </c>
      <c r="R129" t="str">
        <f>IFERROR(VLOOKUP(record[[#This Row],[PCUSTID]],廠商[],2,FALSE),"")</f>
        <v/>
      </c>
      <c r="S129" t="str">
        <f>VLOOKUP(record[[#This Row],[employeeID]],員工[],2,FALSE)</f>
        <v>高氏顏</v>
      </c>
    </row>
    <row r="130" spans="1:19" hidden="1" x14ac:dyDescent="0.25">
      <c r="A130" s="66" t="s">
        <v>428</v>
      </c>
      <c r="B130" s="66" t="s">
        <v>503</v>
      </c>
      <c r="C130" s="66" t="s">
        <v>76</v>
      </c>
      <c r="F130" t="s">
        <v>1985</v>
      </c>
      <c r="G130" t="s">
        <v>465</v>
      </c>
      <c r="H130" t="str">
        <f>VLOOKUP(record[[#This Row],[ProcessSN]],表格2_7[],2,FALSE)</f>
        <v>30-4118-018-XXX</v>
      </c>
      <c r="I130" t="str">
        <f>VLOOKUP(record[[#This Row],[ProcessSN]],表格2_7[],3,FALSE)</f>
        <v>#01-1</v>
      </c>
      <c r="J130" t="s">
        <v>588</v>
      </c>
      <c r="K130" s="195">
        <v>46158.645277777781</v>
      </c>
      <c r="L130">
        <v>800</v>
      </c>
      <c r="M130">
        <v>0</v>
      </c>
      <c r="N130" s="98" t="str">
        <f>IF(record[[#This Row],[Memo]]="Browser:chrome os:android","平板報工",IF(record[[#This Row],[Memo]]=0,"委外",record[[#This Row],[Memo]]))</f>
        <v>平板報工</v>
      </c>
      <c r="O130" t="s">
        <v>643</v>
      </c>
      <c r="P130" t="s">
        <v>139</v>
      </c>
      <c r="Q130" t="s">
        <v>644</v>
      </c>
      <c r="R130" t="str">
        <f>IFERROR(VLOOKUP(record[[#This Row],[PCUSTID]],廠商[],2,FALSE),"")</f>
        <v/>
      </c>
      <c r="S130" t="str">
        <f>VLOOKUP(record[[#This Row],[employeeID]],員工[],2,FALSE)</f>
        <v>高氏顏</v>
      </c>
    </row>
    <row r="131" spans="1:19" hidden="1" x14ac:dyDescent="0.25">
      <c r="A131" s="66" t="s">
        <v>429</v>
      </c>
      <c r="B131" s="66" t="s">
        <v>504</v>
      </c>
      <c r="C131" s="66" t="s">
        <v>473</v>
      </c>
      <c r="F131" t="s">
        <v>2016</v>
      </c>
      <c r="G131" t="s">
        <v>448</v>
      </c>
      <c r="H131" t="str">
        <f>VLOOKUP(record[[#This Row],[ProcessSN]],表格2_7[],2,FALSE)</f>
        <v>30-4118-018-6XX</v>
      </c>
      <c r="I131" t="str">
        <f>VLOOKUP(record[[#This Row],[ProcessSN]],表格2_7[],3,FALSE)</f>
        <v>#04</v>
      </c>
      <c r="J131" t="s">
        <v>588</v>
      </c>
      <c r="K131" s="195">
        <v>46158.643784722219</v>
      </c>
      <c r="L131">
        <v>109</v>
      </c>
      <c r="M131">
        <v>0</v>
      </c>
      <c r="N131" s="98" t="str">
        <f>IF(record[[#This Row],[Memo]]="Browser:chrome os:android","平板報工",IF(record[[#This Row],[Memo]]=0,"委外",record[[#This Row],[Memo]]))</f>
        <v>平板報工</v>
      </c>
      <c r="O131" t="s">
        <v>643</v>
      </c>
      <c r="P131" t="s">
        <v>139</v>
      </c>
      <c r="Q131" t="s">
        <v>644</v>
      </c>
      <c r="R131" t="str">
        <f>IFERROR(VLOOKUP(record[[#This Row],[PCUSTID]],廠商[],2,FALSE),"")</f>
        <v/>
      </c>
      <c r="S131" t="str">
        <f>VLOOKUP(record[[#This Row],[employeeID]],員工[],2,FALSE)</f>
        <v>高氏顏</v>
      </c>
    </row>
    <row r="132" spans="1:19" hidden="1" x14ac:dyDescent="0.25">
      <c r="A132" s="66" t="s">
        <v>430</v>
      </c>
      <c r="B132" s="66" t="s">
        <v>504</v>
      </c>
      <c r="C132" s="66" t="s">
        <v>474</v>
      </c>
      <c r="F132" t="s">
        <v>1944</v>
      </c>
      <c r="G132" t="s">
        <v>417</v>
      </c>
      <c r="H132" t="str">
        <f>VLOOKUP(record[[#This Row],[ProcessSN]],表格2_7[],2,FALSE)</f>
        <v>30-4118-018-5XX</v>
      </c>
      <c r="I132" t="str">
        <f>VLOOKUP(record[[#This Row],[ProcessSN]],表格2_7[],3,FALSE)</f>
        <v>#06</v>
      </c>
      <c r="J132" t="s">
        <v>593</v>
      </c>
      <c r="K132" s="195">
        <v>46158.625787037039</v>
      </c>
      <c r="L132">
        <v>107</v>
      </c>
      <c r="M132">
        <v>0</v>
      </c>
      <c r="N132" s="98" t="str">
        <f>IF(record[[#This Row],[Memo]]="Browser:chrome os:android","平板報工",IF(record[[#This Row],[Memo]]=0,"委外",record[[#This Row],[Memo]]))</f>
        <v>平板報工</v>
      </c>
      <c r="O132" t="s">
        <v>643</v>
      </c>
      <c r="P132" t="s">
        <v>1413</v>
      </c>
      <c r="Q132" t="s">
        <v>644</v>
      </c>
      <c r="R132" t="str">
        <f>IFERROR(VLOOKUP(record[[#This Row],[PCUSTID]],廠商[],2,FALSE),"")</f>
        <v/>
      </c>
      <c r="S132" t="str">
        <f>VLOOKUP(record[[#This Row],[employeeID]],員工[],2,FALSE)</f>
        <v>阮氏芳英(芳)</v>
      </c>
    </row>
    <row r="133" spans="1:19" hidden="1" x14ac:dyDescent="0.25">
      <c r="A133" s="66" t="s">
        <v>431</v>
      </c>
      <c r="B133" s="66" t="s">
        <v>504</v>
      </c>
      <c r="C133" s="66" t="s">
        <v>475</v>
      </c>
      <c r="F133" t="s">
        <v>2025</v>
      </c>
      <c r="G133" t="s">
        <v>397</v>
      </c>
      <c r="H133" t="str">
        <f>VLOOKUP(record[[#This Row],[ProcessSN]],表格2_7[],2,FALSE)</f>
        <v>30-4118-018-550</v>
      </c>
      <c r="I133" t="str">
        <f>VLOOKUP(record[[#This Row],[ProcessSN]],表格2_7[],3,FALSE)</f>
        <v>#08</v>
      </c>
      <c r="J133" t="s">
        <v>597</v>
      </c>
      <c r="K133" s="195">
        <v>46158.567719907405</v>
      </c>
      <c r="L133">
        <v>168</v>
      </c>
      <c r="M133">
        <v>0</v>
      </c>
      <c r="N133" s="98" t="str">
        <f>IF(record[[#This Row],[Memo]]="Browser:chrome os:android","平板報工",IF(record[[#This Row],[Memo]]=0,"委外",record[[#This Row],[Memo]]))</f>
        <v>委外</v>
      </c>
      <c r="P133" t="s">
        <v>886</v>
      </c>
      <c r="Q133" t="s">
        <v>287</v>
      </c>
      <c r="R133" t="str">
        <f>IFERROR(VLOOKUP(record[[#This Row],[PCUSTID]],廠商[],2,FALSE),"")</f>
        <v>泉盛</v>
      </c>
      <c r="S133" t="str">
        <f>VLOOKUP(record[[#This Row],[employeeID]],員工[],2,FALSE)</f>
        <v>謝蓁薰</v>
      </c>
    </row>
    <row r="134" spans="1:19" hidden="1" x14ac:dyDescent="0.25">
      <c r="A134" s="66" t="s">
        <v>432</v>
      </c>
      <c r="B134" s="66" t="s">
        <v>504</v>
      </c>
      <c r="C134" s="66" t="s">
        <v>476</v>
      </c>
      <c r="F134" t="s">
        <v>2024</v>
      </c>
      <c r="G134" t="s">
        <v>422</v>
      </c>
      <c r="H134" t="str">
        <f>VLOOKUP(record[[#This Row],[ProcessSN]],表格2_7[],2,FALSE)</f>
        <v>30-4118-018-600</v>
      </c>
      <c r="I134" t="str">
        <f>VLOOKUP(record[[#This Row],[ProcessSN]],表格2_7[],3,FALSE)</f>
        <v>#08</v>
      </c>
      <c r="J134" t="s">
        <v>597</v>
      </c>
      <c r="K134" s="195">
        <v>46158.567407407405</v>
      </c>
      <c r="L134">
        <v>504</v>
      </c>
      <c r="M134">
        <v>0</v>
      </c>
      <c r="N134" s="98" t="str">
        <f>IF(record[[#This Row],[Memo]]="Browser:chrome os:android","平板報工",IF(record[[#This Row],[Memo]]=0,"委外",record[[#This Row],[Memo]]))</f>
        <v>委外</v>
      </c>
      <c r="P134" t="s">
        <v>886</v>
      </c>
      <c r="Q134" t="s">
        <v>287</v>
      </c>
      <c r="R134" t="str">
        <f>IFERROR(VLOOKUP(record[[#This Row],[PCUSTID]],廠商[],2,FALSE),"")</f>
        <v>泉盛</v>
      </c>
      <c r="S134" t="str">
        <f>VLOOKUP(record[[#This Row],[employeeID]],員工[],2,FALSE)</f>
        <v>謝蓁薰</v>
      </c>
    </row>
    <row r="135" spans="1:19" hidden="1" x14ac:dyDescent="0.25">
      <c r="A135" s="66" t="s">
        <v>433</v>
      </c>
      <c r="B135" s="66" t="s">
        <v>504</v>
      </c>
      <c r="C135" s="66" t="s">
        <v>73</v>
      </c>
      <c r="F135" t="s">
        <v>2025</v>
      </c>
      <c r="G135" t="s">
        <v>396</v>
      </c>
      <c r="H135" t="str">
        <f>VLOOKUP(record[[#This Row],[ProcessSN]],表格2_7[],2,FALSE)</f>
        <v>30-4118-018-550</v>
      </c>
      <c r="I135" t="str">
        <f>VLOOKUP(record[[#This Row],[ProcessSN]],表格2_7[],3,FALSE)</f>
        <v>#08PICK</v>
      </c>
      <c r="J135" t="s">
        <v>582</v>
      </c>
      <c r="K135" s="195">
        <v>46158.567094907405</v>
      </c>
      <c r="L135">
        <v>168</v>
      </c>
      <c r="M135">
        <v>0</v>
      </c>
      <c r="N135" s="98" t="str">
        <f>IF(record[[#This Row],[Memo]]="Browser:chrome os:android","平板報工",IF(record[[#This Row],[Memo]]=0,"委外",record[[#This Row],[Memo]]))</f>
        <v/>
      </c>
      <c r="O135" t="s">
        <v>58</v>
      </c>
      <c r="P135" t="s">
        <v>886</v>
      </c>
      <c r="Q135" t="s">
        <v>58</v>
      </c>
      <c r="R135" t="str">
        <f>IFERROR(VLOOKUP(record[[#This Row],[PCUSTID]],廠商[],2,FALSE),"")</f>
        <v/>
      </c>
      <c r="S135" t="str">
        <f>VLOOKUP(record[[#This Row],[employeeID]],員工[],2,FALSE)</f>
        <v>謝蓁薰</v>
      </c>
    </row>
    <row r="136" spans="1:19" hidden="1" x14ac:dyDescent="0.25">
      <c r="A136" s="66" t="s">
        <v>434</v>
      </c>
      <c r="B136" s="66" t="s">
        <v>504</v>
      </c>
      <c r="C136" s="66" t="s">
        <v>74</v>
      </c>
      <c r="F136" t="s">
        <v>2024</v>
      </c>
      <c r="G136" t="s">
        <v>421</v>
      </c>
      <c r="H136" t="str">
        <f>VLOOKUP(record[[#This Row],[ProcessSN]],表格2_7[],2,FALSE)</f>
        <v>30-4118-018-600</v>
      </c>
      <c r="I136" t="str">
        <f>VLOOKUP(record[[#This Row],[ProcessSN]],表格2_7[],3,FALSE)</f>
        <v>#08PICK</v>
      </c>
      <c r="J136" t="s">
        <v>582</v>
      </c>
      <c r="K136" s="195">
        <v>46158.56690972222</v>
      </c>
      <c r="L136">
        <v>504</v>
      </c>
      <c r="M136">
        <v>0</v>
      </c>
      <c r="N136" s="98" t="str">
        <f>IF(record[[#This Row],[Memo]]="Browser:chrome os:android","平板報工",IF(record[[#This Row],[Memo]]=0,"委外",record[[#This Row],[Memo]]))</f>
        <v/>
      </c>
      <c r="O136" t="s">
        <v>58</v>
      </c>
      <c r="P136" t="s">
        <v>886</v>
      </c>
      <c r="Q136" t="s">
        <v>58</v>
      </c>
      <c r="R136" t="str">
        <f>IFERROR(VLOOKUP(record[[#This Row],[PCUSTID]],廠商[],2,FALSE),"")</f>
        <v/>
      </c>
      <c r="S136" t="str">
        <f>VLOOKUP(record[[#This Row],[employeeID]],員工[],2,FALSE)</f>
        <v>謝蓁薰</v>
      </c>
    </row>
    <row r="137" spans="1:19" hidden="1" x14ac:dyDescent="0.25">
      <c r="A137" s="66" t="s">
        <v>435</v>
      </c>
      <c r="B137" s="66" t="s">
        <v>504</v>
      </c>
      <c r="C137" s="66" t="s">
        <v>75</v>
      </c>
      <c r="F137" t="s">
        <v>1944</v>
      </c>
      <c r="G137" t="s">
        <v>419</v>
      </c>
      <c r="H137" t="str">
        <f>VLOOKUP(record[[#This Row],[ProcessSN]],表格2_7[],2,FALSE)</f>
        <v>30-4118-018-5XX</v>
      </c>
      <c r="I137" t="str">
        <f>VLOOKUP(record[[#This Row],[ProcessSN]],表格2_7[],3,FALSE)</f>
        <v>#07QC</v>
      </c>
      <c r="J137" t="s">
        <v>589</v>
      </c>
      <c r="K137" s="195">
        <v>46158.559305555558</v>
      </c>
      <c r="L137">
        <v>168</v>
      </c>
      <c r="M137">
        <v>0</v>
      </c>
      <c r="N137" s="98" t="str">
        <f>IF(record[[#This Row],[Memo]]="Browser:chrome os:android","平板報工",IF(record[[#This Row],[Memo]]=0,"委外",record[[#This Row],[Memo]]))</f>
        <v>平板報工</v>
      </c>
      <c r="O137" t="s">
        <v>643</v>
      </c>
      <c r="P137" t="s">
        <v>141</v>
      </c>
      <c r="Q137" t="s">
        <v>644</v>
      </c>
      <c r="R137" t="str">
        <f>IFERROR(VLOOKUP(record[[#This Row],[PCUSTID]],廠商[],2,FALSE),"")</f>
        <v/>
      </c>
      <c r="S137" t="str">
        <f>VLOOKUP(record[[#This Row],[employeeID]],員工[],2,FALSE)</f>
        <v>蔣梅</v>
      </c>
    </row>
    <row r="138" spans="1:19" hidden="1" x14ac:dyDescent="0.25">
      <c r="A138" s="66" t="s">
        <v>436</v>
      </c>
      <c r="B138" s="66" t="s">
        <v>504</v>
      </c>
      <c r="C138" s="66" t="s">
        <v>76</v>
      </c>
      <c r="F138" t="s">
        <v>1987</v>
      </c>
      <c r="G138" t="s">
        <v>452</v>
      </c>
      <c r="H138" t="str">
        <f>VLOOKUP(record[[#This Row],[ProcessSN]],表格2_7[],2,FALSE)</f>
        <v>30-4118-018-6XX</v>
      </c>
      <c r="I138" t="str">
        <f>VLOOKUP(record[[#This Row],[ProcessSN]],表格2_7[],3,FALSE)</f>
        <v>#07QC</v>
      </c>
      <c r="J138" t="s">
        <v>589</v>
      </c>
      <c r="K138" s="195">
        <v>46158.463148148148</v>
      </c>
      <c r="L138">
        <v>504</v>
      </c>
      <c r="M138">
        <v>0</v>
      </c>
      <c r="N138" s="98" t="str">
        <f>IF(record[[#This Row],[Memo]]="Browser:chrome os:android","平板報工",IF(record[[#This Row],[Memo]]=0,"委外",record[[#This Row],[Memo]]))</f>
        <v>平板報工</v>
      </c>
      <c r="O138" t="s">
        <v>643</v>
      </c>
      <c r="P138" t="s">
        <v>141</v>
      </c>
      <c r="Q138" t="s">
        <v>644</v>
      </c>
      <c r="R138" t="str">
        <f>IFERROR(VLOOKUP(record[[#This Row],[PCUSTID]],廠商[],2,FALSE),"")</f>
        <v/>
      </c>
      <c r="S138" t="str">
        <f>VLOOKUP(record[[#This Row],[employeeID]],員工[],2,FALSE)</f>
        <v>蔣梅</v>
      </c>
    </row>
    <row r="139" spans="1:19" hidden="1" x14ac:dyDescent="0.25">
      <c r="A139" s="66" t="s">
        <v>437</v>
      </c>
      <c r="B139" s="66" t="s">
        <v>505</v>
      </c>
      <c r="C139" s="66" t="s">
        <v>473</v>
      </c>
      <c r="F139" t="s">
        <v>1985</v>
      </c>
      <c r="G139" t="s">
        <v>467</v>
      </c>
      <c r="H139" t="str">
        <f>VLOOKUP(record[[#This Row],[ProcessSN]],表格2_7[],2,FALSE)</f>
        <v>30-4118-018-XXX</v>
      </c>
      <c r="I139" t="str">
        <f>VLOOKUP(record[[#This Row],[ProcessSN]],表格2_7[],3,FALSE)</f>
        <v>#01QC</v>
      </c>
      <c r="J139" t="s">
        <v>589</v>
      </c>
      <c r="K139" s="195">
        <v>46158.339780092596</v>
      </c>
      <c r="L139">
        <v>672</v>
      </c>
      <c r="M139">
        <v>0</v>
      </c>
      <c r="N139" s="98" t="str">
        <f>IF(record[[#This Row],[Memo]]="Browser:chrome os:android","平板報工",IF(record[[#This Row],[Memo]]=0,"委外",record[[#This Row],[Memo]]))</f>
        <v>平板報工</v>
      </c>
      <c r="O139" t="s">
        <v>643</v>
      </c>
      <c r="P139" t="s">
        <v>182</v>
      </c>
      <c r="Q139" t="s">
        <v>644</v>
      </c>
      <c r="R139" t="str">
        <f>IFERROR(VLOOKUP(record[[#This Row],[PCUSTID]],廠商[],2,FALSE),"")</f>
        <v/>
      </c>
      <c r="S139" t="str">
        <f>VLOOKUP(record[[#This Row],[employeeID]],員工[],2,FALSE)</f>
        <v>梅氏和</v>
      </c>
    </row>
    <row r="140" spans="1:19" hidden="1" x14ac:dyDescent="0.25">
      <c r="A140" s="66" t="s">
        <v>438</v>
      </c>
      <c r="B140" s="66" t="s">
        <v>505</v>
      </c>
      <c r="C140" s="66" t="s">
        <v>474</v>
      </c>
      <c r="F140" t="s">
        <v>2016</v>
      </c>
      <c r="G140" t="s">
        <v>450</v>
      </c>
      <c r="H140" t="str">
        <f>VLOOKUP(record[[#This Row],[ProcessSN]],表格2_7[],2,FALSE)</f>
        <v>30-4118-018-6XX</v>
      </c>
      <c r="I140" t="str">
        <f>VLOOKUP(record[[#This Row],[ProcessSN]],表格2_7[],3,FALSE)</f>
        <v>#06</v>
      </c>
      <c r="J140" t="s">
        <v>593</v>
      </c>
      <c r="K140" s="195">
        <v>46158.313634259262</v>
      </c>
      <c r="L140">
        <v>133</v>
      </c>
      <c r="M140">
        <v>0</v>
      </c>
      <c r="N140" s="98" t="str">
        <f>IF(record[[#This Row],[Memo]]="Browser:chrome os:android","平板報工",IF(record[[#This Row],[Memo]]=0,"委外",record[[#This Row],[Memo]]))</f>
        <v/>
      </c>
      <c r="O140" t="s">
        <v>58</v>
      </c>
      <c r="P140" t="s">
        <v>806</v>
      </c>
      <c r="Q140" t="s">
        <v>58</v>
      </c>
      <c r="R140" t="str">
        <f>IFERROR(VLOOKUP(record[[#This Row],[PCUSTID]],廠商[],2,FALSE),"")</f>
        <v/>
      </c>
      <c r="S140" t="str">
        <f>VLOOKUP(record[[#This Row],[employeeID]],員工[],2,FALSE)</f>
        <v>方思緯</v>
      </c>
    </row>
    <row r="141" spans="1:19" hidden="1" x14ac:dyDescent="0.25">
      <c r="A141" s="66" t="s">
        <v>439</v>
      </c>
      <c r="B141" s="66" t="s">
        <v>505</v>
      </c>
      <c r="C141" s="66" t="s">
        <v>475</v>
      </c>
      <c r="F141" t="s">
        <v>1944</v>
      </c>
      <c r="G141" t="s">
        <v>418</v>
      </c>
      <c r="H141" t="str">
        <f>VLOOKUP(record[[#This Row],[ProcessSN]],表格2_7[],2,FALSE)</f>
        <v>30-4118-018-5XX</v>
      </c>
      <c r="I141" t="str">
        <f>VLOOKUP(record[[#This Row],[ProcessSN]],表格2_7[],3,FALSE)</f>
        <v>#07</v>
      </c>
      <c r="J141" t="s">
        <v>588</v>
      </c>
      <c r="K141" s="195">
        <v>46158.313020833331</v>
      </c>
      <c r="L141">
        <v>257</v>
      </c>
      <c r="M141">
        <v>2</v>
      </c>
      <c r="N141" s="98" t="str">
        <f>IF(record[[#This Row],[Memo]]="Browser:chrome os:android","平板報工",IF(record[[#This Row],[Memo]]=0,"委外",record[[#This Row],[Memo]]))</f>
        <v/>
      </c>
      <c r="O141" t="s">
        <v>58</v>
      </c>
      <c r="P141" t="s">
        <v>1098</v>
      </c>
      <c r="Q141" t="s">
        <v>58</v>
      </c>
      <c r="R141" t="str">
        <f>IFERROR(VLOOKUP(record[[#This Row],[PCUSTID]],廠商[],2,FALSE),"")</f>
        <v/>
      </c>
      <c r="S141" t="str">
        <f>VLOOKUP(record[[#This Row],[employeeID]],員工[],2,FALSE)</f>
        <v>阮氏芳英(英)</v>
      </c>
    </row>
    <row r="142" spans="1:19" hidden="1" x14ac:dyDescent="0.25">
      <c r="A142" s="66" t="s">
        <v>440</v>
      </c>
      <c r="B142" s="66" t="s">
        <v>505</v>
      </c>
      <c r="C142" s="66" t="s">
        <v>476</v>
      </c>
      <c r="F142" t="s">
        <v>1965</v>
      </c>
      <c r="G142" t="s">
        <v>416</v>
      </c>
      <c r="H142" t="str">
        <f>VLOOKUP(record[[#This Row],[ProcessSN]],表格2_7[],2,FALSE)</f>
        <v>30-4118-018-5XX</v>
      </c>
      <c r="I142" t="str">
        <f>VLOOKUP(record[[#This Row],[ProcessSN]],表格2_7[],3,FALSE)</f>
        <v>#05</v>
      </c>
      <c r="J142" t="s">
        <v>588</v>
      </c>
      <c r="K142" s="195">
        <v>46158.311377314814</v>
      </c>
      <c r="L142">
        <v>168</v>
      </c>
      <c r="M142">
        <v>0</v>
      </c>
      <c r="N142" s="98" t="str">
        <f>IF(record[[#This Row],[Memo]]="Browser:chrome os:android","平板報工",IF(record[[#This Row],[Memo]]=0,"委外",record[[#This Row],[Memo]]))</f>
        <v/>
      </c>
      <c r="O142" t="s">
        <v>58</v>
      </c>
      <c r="P142" t="s">
        <v>843</v>
      </c>
      <c r="Q142" t="s">
        <v>58</v>
      </c>
      <c r="R142" t="str">
        <f>IFERROR(VLOOKUP(record[[#This Row],[PCUSTID]],廠商[],2,FALSE),"")</f>
        <v/>
      </c>
      <c r="S142" t="str">
        <f>VLOOKUP(record[[#This Row],[employeeID]],員工[],2,FALSE)</f>
        <v>張楚承</v>
      </c>
    </row>
    <row r="143" spans="1:19" hidden="1" x14ac:dyDescent="0.25">
      <c r="A143" s="66" t="s">
        <v>441</v>
      </c>
      <c r="B143" s="66" t="s">
        <v>505</v>
      </c>
      <c r="C143" s="66" t="s">
        <v>73</v>
      </c>
      <c r="F143" t="s">
        <v>2016</v>
      </c>
      <c r="G143" t="s">
        <v>449</v>
      </c>
      <c r="H143" t="str">
        <f>VLOOKUP(record[[#This Row],[ProcessSN]],表格2_7[],2,FALSE)</f>
        <v>30-4118-018-6XX</v>
      </c>
      <c r="I143" t="str">
        <f>VLOOKUP(record[[#This Row],[ProcessSN]],表格2_7[],3,FALSE)</f>
        <v>#05</v>
      </c>
      <c r="J143" t="s">
        <v>588</v>
      </c>
      <c r="K143" s="195">
        <v>46158.311099537037</v>
      </c>
      <c r="L143">
        <v>133</v>
      </c>
      <c r="M143">
        <v>0</v>
      </c>
      <c r="N143" s="98" t="str">
        <f>IF(record[[#This Row],[Memo]]="Browser:chrome os:android","平板報工",IF(record[[#This Row],[Memo]]=0,"委外",record[[#This Row],[Memo]]))</f>
        <v/>
      </c>
      <c r="O143" t="s">
        <v>58</v>
      </c>
      <c r="P143" t="s">
        <v>843</v>
      </c>
      <c r="Q143" t="s">
        <v>58</v>
      </c>
      <c r="R143" t="str">
        <f>IFERROR(VLOOKUP(record[[#This Row],[PCUSTID]],廠商[],2,FALSE),"")</f>
        <v/>
      </c>
      <c r="S143" t="str">
        <f>VLOOKUP(record[[#This Row],[employeeID]],員工[],2,FALSE)</f>
        <v>張楚承</v>
      </c>
    </row>
    <row r="144" spans="1:19" hidden="1" x14ac:dyDescent="0.25">
      <c r="A144" s="66" t="s">
        <v>442</v>
      </c>
      <c r="B144" s="66" t="s">
        <v>505</v>
      </c>
      <c r="C144" s="66" t="s">
        <v>74</v>
      </c>
      <c r="F144" t="s">
        <v>1985</v>
      </c>
      <c r="G144" t="s">
        <v>466</v>
      </c>
      <c r="H144" t="str">
        <f>VLOOKUP(record[[#This Row],[ProcessSN]],表格2_7[],2,FALSE)</f>
        <v>30-4118-018-XXX</v>
      </c>
      <c r="I144" t="str">
        <f>VLOOKUP(record[[#This Row],[ProcessSN]],表格2_7[],3,FALSE)</f>
        <v>#01-2</v>
      </c>
      <c r="J144" t="s">
        <v>588</v>
      </c>
      <c r="K144" s="195">
        <v>46158.310798611114</v>
      </c>
      <c r="L144">
        <v>340</v>
      </c>
      <c r="M144">
        <v>0</v>
      </c>
      <c r="N144" s="98" t="str">
        <f>IF(record[[#This Row],[Memo]]="Browser:chrome os:android","平板報工",IF(record[[#This Row],[Memo]]=0,"委外",record[[#This Row],[Memo]]))</f>
        <v/>
      </c>
      <c r="O144" t="s">
        <v>58</v>
      </c>
      <c r="P144" t="s">
        <v>135</v>
      </c>
      <c r="Q144" t="s">
        <v>58</v>
      </c>
      <c r="R144" t="str">
        <f>IFERROR(VLOOKUP(record[[#This Row],[PCUSTID]],廠商[],2,FALSE),"")</f>
        <v/>
      </c>
      <c r="S144" t="str">
        <f>VLOOKUP(record[[#This Row],[employeeID]],員工[],2,FALSE)</f>
        <v>阮士文</v>
      </c>
    </row>
    <row r="145" spans="1:19" hidden="1" x14ac:dyDescent="0.25">
      <c r="A145" s="66" t="s">
        <v>443</v>
      </c>
      <c r="B145" s="66" t="s">
        <v>505</v>
      </c>
      <c r="C145" s="66" t="s">
        <v>75</v>
      </c>
      <c r="F145" t="s">
        <v>2016</v>
      </c>
      <c r="G145" t="s">
        <v>448</v>
      </c>
      <c r="H145" t="str">
        <f>VLOOKUP(record[[#This Row],[ProcessSN]],表格2_7[],2,FALSE)</f>
        <v>30-4118-018-6XX</v>
      </c>
      <c r="I145" t="str">
        <f>VLOOKUP(record[[#This Row],[ProcessSN]],表格2_7[],3,FALSE)</f>
        <v>#04</v>
      </c>
      <c r="J145" t="s">
        <v>588</v>
      </c>
      <c r="K145" s="195">
        <v>46158.310312499998</v>
      </c>
      <c r="L145">
        <v>120</v>
      </c>
      <c r="M145">
        <v>0</v>
      </c>
      <c r="N145" s="98" t="str">
        <f>IF(record[[#This Row],[Memo]]="Browser:chrome os:android","平板報工",IF(record[[#This Row],[Memo]]=0,"委外",record[[#This Row],[Memo]]))</f>
        <v/>
      </c>
      <c r="O145" t="s">
        <v>58</v>
      </c>
      <c r="P145" t="s">
        <v>135</v>
      </c>
      <c r="Q145" t="s">
        <v>58</v>
      </c>
      <c r="R145" t="str">
        <f>IFERROR(VLOOKUP(record[[#This Row],[PCUSTID]],廠商[],2,FALSE),"")</f>
        <v/>
      </c>
      <c r="S145" t="str">
        <f>VLOOKUP(record[[#This Row],[employeeID]],員工[],2,FALSE)</f>
        <v>阮士文</v>
      </c>
    </row>
    <row r="146" spans="1:19" hidden="1" x14ac:dyDescent="0.25">
      <c r="A146" s="66" t="s">
        <v>444</v>
      </c>
      <c r="B146" s="66" t="s">
        <v>505</v>
      </c>
      <c r="C146" s="66" t="s">
        <v>76</v>
      </c>
      <c r="F146" t="s">
        <v>1985</v>
      </c>
      <c r="G146" t="s">
        <v>465</v>
      </c>
      <c r="H146" t="str">
        <f>VLOOKUP(record[[#This Row],[ProcessSN]],表格2_7[],2,FALSE)</f>
        <v>30-4118-018-XXX</v>
      </c>
      <c r="I146" t="str">
        <f>VLOOKUP(record[[#This Row],[ProcessSN]],表格2_7[],3,FALSE)</f>
        <v>#01-1</v>
      </c>
      <c r="J146" t="s">
        <v>588</v>
      </c>
      <c r="K146" s="195">
        <v>46158.310104166667</v>
      </c>
      <c r="L146">
        <v>1008</v>
      </c>
      <c r="M146">
        <v>0</v>
      </c>
      <c r="N146" s="98" t="str">
        <f>IF(record[[#This Row],[Memo]]="Browser:chrome os:android","平板報工",IF(record[[#This Row],[Memo]]=0,"委外",record[[#This Row],[Memo]]))</f>
        <v/>
      </c>
      <c r="O146" t="s">
        <v>58</v>
      </c>
      <c r="P146" t="s">
        <v>135</v>
      </c>
      <c r="Q146" t="s">
        <v>58</v>
      </c>
      <c r="R146" t="str">
        <f>IFERROR(VLOOKUP(record[[#This Row],[PCUSTID]],廠商[],2,FALSE),"")</f>
        <v/>
      </c>
      <c r="S146" t="str">
        <f>VLOOKUP(record[[#This Row],[employeeID]],員工[],2,FALSE)</f>
        <v>阮士文</v>
      </c>
    </row>
    <row r="147" spans="1:19" hidden="1" x14ac:dyDescent="0.25">
      <c r="A147" s="66" t="s">
        <v>445</v>
      </c>
      <c r="B147" s="66" t="s">
        <v>506</v>
      </c>
      <c r="C147" s="66" t="s">
        <v>477</v>
      </c>
      <c r="F147" t="s">
        <v>1944</v>
      </c>
      <c r="G147" t="s">
        <v>417</v>
      </c>
      <c r="H147" t="str">
        <f>VLOOKUP(record[[#This Row],[ProcessSN]],表格2_7[],2,FALSE)</f>
        <v>30-4118-018-5XX</v>
      </c>
      <c r="I147" t="str">
        <f>VLOOKUP(record[[#This Row],[ProcessSN]],表格2_7[],3,FALSE)</f>
        <v>#06</v>
      </c>
      <c r="J147" t="s">
        <v>593</v>
      </c>
      <c r="K147" s="195">
        <v>46158.285833333335</v>
      </c>
      <c r="L147">
        <v>133</v>
      </c>
      <c r="M147">
        <v>1</v>
      </c>
      <c r="N147" s="98" t="str">
        <f>IF(record[[#This Row],[Memo]]="Browser:chrome os:android","平板報工",IF(record[[#This Row],[Memo]]=0,"委外",record[[#This Row],[Memo]]))</f>
        <v>平板報工</v>
      </c>
      <c r="O147" t="s">
        <v>643</v>
      </c>
      <c r="P147" t="s">
        <v>806</v>
      </c>
      <c r="Q147" t="s">
        <v>644</v>
      </c>
      <c r="R147" t="str">
        <f>IFERROR(VLOOKUP(record[[#This Row],[PCUSTID]],廠商[],2,FALSE),"")</f>
        <v/>
      </c>
      <c r="S147" t="str">
        <f>VLOOKUP(record[[#This Row],[employeeID]],員工[],2,FALSE)</f>
        <v>方思緯</v>
      </c>
    </row>
    <row r="148" spans="1:19" hidden="1" x14ac:dyDescent="0.25">
      <c r="A148" s="66" t="s">
        <v>446</v>
      </c>
      <c r="B148" s="66" t="s">
        <v>506</v>
      </c>
      <c r="C148" s="66" t="s">
        <v>478</v>
      </c>
      <c r="F148" t="s">
        <v>2016</v>
      </c>
      <c r="G148" t="s">
        <v>450</v>
      </c>
      <c r="H148" t="str">
        <f>VLOOKUP(record[[#This Row],[ProcessSN]],表格2_7[],2,FALSE)</f>
        <v>30-4118-018-6XX</v>
      </c>
      <c r="I148" t="str">
        <f>VLOOKUP(record[[#This Row],[ProcessSN]],表格2_7[],3,FALSE)</f>
        <v>#06</v>
      </c>
      <c r="J148" t="s">
        <v>593</v>
      </c>
      <c r="K148" s="195">
        <v>46158.000474537039</v>
      </c>
      <c r="L148">
        <v>70</v>
      </c>
      <c r="M148">
        <v>0</v>
      </c>
      <c r="N148" s="98" t="str">
        <f>IF(record[[#This Row],[Memo]]="Browser:chrome os:android","平板報工",IF(record[[#This Row],[Memo]]=0,"委外",record[[#This Row],[Memo]]))</f>
        <v/>
      </c>
      <c r="O148" t="s">
        <v>58</v>
      </c>
      <c r="P148" t="s">
        <v>1413</v>
      </c>
      <c r="Q148" t="s">
        <v>58</v>
      </c>
      <c r="R148" t="str">
        <f>IFERROR(VLOOKUP(record[[#This Row],[PCUSTID]],廠商[],2,FALSE),"")</f>
        <v/>
      </c>
      <c r="S148" t="str">
        <f>VLOOKUP(record[[#This Row],[employeeID]],員工[],2,FALSE)</f>
        <v>阮氏芳英(芳)</v>
      </c>
    </row>
    <row r="149" spans="1:19" hidden="1" x14ac:dyDescent="0.25">
      <c r="A149" s="66" t="s">
        <v>447</v>
      </c>
      <c r="B149" s="66" t="s">
        <v>506</v>
      </c>
      <c r="C149" s="66" t="s">
        <v>81</v>
      </c>
      <c r="F149" t="s">
        <v>2016</v>
      </c>
      <c r="G149" t="s">
        <v>450</v>
      </c>
      <c r="H149" t="str">
        <f>VLOOKUP(record[[#This Row],[ProcessSN]],表格2_7[],2,FALSE)</f>
        <v>30-4118-018-6XX</v>
      </c>
      <c r="I149" t="str">
        <f>VLOOKUP(record[[#This Row],[ProcessSN]],表格2_7[],3,FALSE)</f>
        <v>#06</v>
      </c>
      <c r="J149" t="s">
        <v>593</v>
      </c>
      <c r="K149" s="195">
        <v>46157.997245370374</v>
      </c>
      <c r="L149">
        <v>67</v>
      </c>
      <c r="M149">
        <v>0</v>
      </c>
      <c r="N149" s="98" t="str">
        <f>IF(record[[#This Row],[Memo]]="Browser:chrome os:android","平板報工",IF(record[[#This Row],[Memo]]=0,"委外",record[[#This Row],[Memo]]))</f>
        <v/>
      </c>
      <c r="O149" t="s">
        <v>58</v>
      </c>
      <c r="P149" t="s">
        <v>841</v>
      </c>
      <c r="Q149" t="s">
        <v>58</v>
      </c>
      <c r="R149" t="str">
        <f>IFERROR(VLOOKUP(record[[#This Row],[PCUSTID]],廠商[],2,FALSE),"")</f>
        <v/>
      </c>
      <c r="S149" t="str">
        <f>VLOOKUP(record[[#This Row],[employeeID]],員工[],2,FALSE)</f>
        <v>范氏香</v>
      </c>
    </row>
    <row r="150" spans="1:19" hidden="1" x14ac:dyDescent="0.25">
      <c r="A150" s="66" t="s">
        <v>448</v>
      </c>
      <c r="B150" s="66" t="s">
        <v>506</v>
      </c>
      <c r="C150" s="66" t="s">
        <v>71</v>
      </c>
      <c r="F150" t="s">
        <v>1944</v>
      </c>
      <c r="G150" t="s">
        <v>418</v>
      </c>
      <c r="H150" t="str">
        <f>VLOOKUP(record[[#This Row],[ProcessSN]],表格2_7[],2,FALSE)</f>
        <v>30-4118-018-5XX</v>
      </c>
      <c r="I150" t="str">
        <f>VLOOKUP(record[[#This Row],[ProcessSN]],表格2_7[],3,FALSE)</f>
        <v>#07</v>
      </c>
      <c r="J150" t="s">
        <v>588</v>
      </c>
      <c r="K150" s="195">
        <v>46157.994467592594</v>
      </c>
      <c r="L150">
        <v>0</v>
      </c>
      <c r="M150">
        <v>1</v>
      </c>
      <c r="N150" s="98" t="str">
        <f>IF(record[[#This Row],[Memo]]="Browser:chrome os:android","平板報工",IF(record[[#This Row],[Memo]]=0,"委外",record[[#This Row],[Memo]]))</f>
        <v/>
      </c>
      <c r="O150" t="s">
        <v>58</v>
      </c>
      <c r="P150" t="s">
        <v>1098</v>
      </c>
      <c r="Q150" t="s">
        <v>58</v>
      </c>
      <c r="R150" t="str">
        <f>IFERROR(VLOOKUP(record[[#This Row],[PCUSTID]],廠商[],2,FALSE),"")</f>
        <v/>
      </c>
      <c r="S150" t="str">
        <f>VLOOKUP(record[[#This Row],[employeeID]],員工[],2,FALSE)</f>
        <v>阮氏芳英(英)</v>
      </c>
    </row>
    <row r="151" spans="1:19" hidden="1" x14ac:dyDescent="0.25">
      <c r="A151" s="66" t="s">
        <v>449</v>
      </c>
      <c r="B151" s="66" t="s">
        <v>506</v>
      </c>
      <c r="C151" s="66" t="s">
        <v>72</v>
      </c>
      <c r="F151" t="s">
        <v>1944</v>
      </c>
      <c r="G151" t="s">
        <v>418</v>
      </c>
      <c r="H151" t="str">
        <f>VLOOKUP(record[[#This Row],[ProcessSN]],表格2_7[],2,FALSE)</f>
        <v>30-4118-018-5XX</v>
      </c>
      <c r="I151" t="str">
        <f>VLOOKUP(record[[#This Row],[ProcessSN]],表格2_7[],3,FALSE)</f>
        <v>#07</v>
      </c>
      <c r="J151" t="s">
        <v>588</v>
      </c>
      <c r="K151" s="195">
        <v>46157.994062500002</v>
      </c>
      <c r="L151">
        <v>130</v>
      </c>
      <c r="M151">
        <v>0</v>
      </c>
      <c r="N151" s="98" t="str">
        <f>IF(record[[#This Row],[Memo]]="Browser:chrome os:android","平板報工",IF(record[[#This Row],[Memo]]=0,"委外",record[[#This Row],[Memo]]))</f>
        <v/>
      </c>
      <c r="O151" t="s">
        <v>58</v>
      </c>
      <c r="P151" t="s">
        <v>1098</v>
      </c>
      <c r="Q151" t="s">
        <v>58</v>
      </c>
      <c r="R151" t="str">
        <f>IFERROR(VLOOKUP(record[[#This Row],[PCUSTID]],廠商[],2,FALSE),"")</f>
        <v/>
      </c>
      <c r="S151" t="str">
        <f>VLOOKUP(record[[#This Row],[employeeID]],員工[],2,FALSE)</f>
        <v>阮氏芳英(英)</v>
      </c>
    </row>
    <row r="152" spans="1:19" hidden="1" x14ac:dyDescent="0.25">
      <c r="A152" s="66" t="s">
        <v>450</v>
      </c>
      <c r="B152" s="66" t="s">
        <v>506</v>
      </c>
      <c r="C152" s="66" t="s">
        <v>77</v>
      </c>
      <c r="F152" t="s">
        <v>1985</v>
      </c>
      <c r="G152" t="s">
        <v>466</v>
      </c>
      <c r="H152" t="str">
        <f>VLOOKUP(record[[#This Row],[ProcessSN]],表格2_7[],2,FALSE)</f>
        <v>30-4118-018-XXX</v>
      </c>
      <c r="I152" t="str">
        <f>VLOOKUP(record[[#This Row],[ProcessSN]],表格2_7[],3,FALSE)</f>
        <v>#01-2</v>
      </c>
      <c r="J152" t="s">
        <v>588</v>
      </c>
      <c r="K152" s="195">
        <v>46157.992696759262</v>
      </c>
      <c r="L152">
        <v>294</v>
      </c>
      <c r="M152">
        <v>0</v>
      </c>
      <c r="N152" s="98" t="str">
        <f>IF(record[[#This Row],[Memo]]="Browser:chrome os:android","平板報工",IF(record[[#This Row],[Memo]]=0,"委外",record[[#This Row],[Memo]]))</f>
        <v/>
      </c>
      <c r="O152" t="s">
        <v>58</v>
      </c>
      <c r="P152" t="s">
        <v>1847</v>
      </c>
      <c r="Q152" t="s">
        <v>58</v>
      </c>
      <c r="R152" t="str">
        <f>IFERROR(VLOOKUP(record[[#This Row],[PCUSTID]],廠商[],2,FALSE),"")</f>
        <v/>
      </c>
      <c r="S152" t="str">
        <f>VLOOKUP(record[[#This Row],[employeeID]],員工[],2,FALSE)</f>
        <v>潘黎慶平</v>
      </c>
    </row>
    <row r="153" spans="1:19" hidden="1" x14ac:dyDescent="0.25">
      <c r="A153" s="66" t="s">
        <v>451</v>
      </c>
      <c r="B153" s="66" t="s">
        <v>506</v>
      </c>
      <c r="C153" s="66" t="s">
        <v>479</v>
      </c>
      <c r="F153" t="s">
        <v>1965</v>
      </c>
      <c r="G153" t="s">
        <v>416</v>
      </c>
      <c r="H153" t="str">
        <f>VLOOKUP(record[[#This Row],[ProcessSN]],表格2_7[],2,FALSE)</f>
        <v>30-4118-018-5XX</v>
      </c>
      <c r="I153" t="str">
        <f>VLOOKUP(record[[#This Row],[ProcessSN]],表格2_7[],3,FALSE)</f>
        <v>#05</v>
      </c>
      <c r="J153" t="s">
        <v>588</v>
      </c>
      <c r="K153" s="195">
        <v>46157.990902777776</v>
      </c>
      <c r="L153">
        <v>146</v>
      </c>
      <c r="M153">
        <v>0</v>
      </c>
      <c r="N153" s="98" t="str">
        <f>IF(record[[#This Row],[Memo]]="Browser:chrome os:android","平板報工",IF(record[[#This Row],[Memo]]=0,"委外",record[[#This Row],[Memo]]))</f>
        <v/>
      </c>
      <c r="O153" t="s">
        <v>58</v>
      </c>
      <c r="P153" t="s">
        <v>89</v>
      </c>
      <c r="Q153" t="s">
        <v>58</v>
      </c>
      <c r="R153" t="str">
        <f>IFERROR(VLOOKUP(record[[#This Row],[PCUSTID]],廠商[],2,FALSE),"")</f>
        <v/>
      </c>
      <c r="S153" t="str">
        <f>VLOOKUP(record[[#This Row],[employeeID]],員工[],2,FALSE)</f>
        <v>李美蓮</v>
      </c>
    </row>
    <row r="154" spans="1:19" hidden="1" x14ac:dyDescent="0.25">
      <c r="A154" s="66" t="s">
        <v>452</v>
      </c>
      <c r="B154" s="66" t="s">
        <v>506</v>
      </c>
      <c r="C154" s="66" t="s">
        <v>480</v>
      </c>
      <c r="F154" t="s">
        <v>2016</v>
      </c>
      <c r="G154" t="s">
        <v>449</v>
      </c>
      <c r="H154" t="str">
        <f>VLOOKUP(record[[#This Row],[ProcessSN]],表格2_7[],2,FALSE)</f>
        <v>30-4118-018-6XX</v>
      </c>
      <c r="I154" t="str">
        <f>VLOOKUP(record[[#This Row],[ProcessSN]],表格2_7[],3,FALSE)</f>
        <v>#05</v>
      </c>
      <c r="J154" t="s">
        <v>588</v>
      </c>
      <c r="K154" s="195">
        <v>46157.990578703706</v>
      </c>
      <c r="L154">
        <v>154</v>
      </c>
      <c r="M154">
        <v>0</v>
      </c>
      <c r="N154" s="98" t="str">
        <f>IF(record[[#This Row],[Memo]]="Browser:chrome os:android","平板報工",IF(record[[#This Row],[Memo]]=0,"委外",record[[#This Row],[Memo]]))</f>
        <v/>
      </c>
      <c r="O154" t="s">
        <v>58</v>
      </c>
      <c r="P154" t="s">
        <v>89</v>
      </c>
      <c r="Q154" t="s">
        <v>58</v>
      </c>
      <c r="R154" t="str">
        <f>IFERROR(VLOOKUP(record[[#This Row],[PCUSTID]],廠商[],2,FALSE),"")</f>
        <v/>
      </c>
      <c r="S154" t="str">
        <f>VLOOKUP(record[[#This Row],[employeeID]],員工[],2,FALSE)</f>
        <v>李美蓮</v>
      </c>
    </row>
    <row r="155" spans="1:19" hidden="1" x14ac:dyDescent="0.25">
      <c r="A155" s="66" t="s">
        <v>453</v>
      </c>
      <c r="B155" s="66" t="s">
        <v>506</v>
      </c>
      <c r="C155" s="66" t="s">
        <v>481</v>
      </c>
      <c r="F155" t="s">
        <v>2016</v>
      </c>
      <c r="G155" t="s">
        <v>448</v>
      </c>
      <c r="H155" t="str">
        <f>VLOOKUP(record[[#This Row],[ProcessSN]],表格2_7[],2,FALSE)</f>
        <v>30-4118-018-6XX</v>
      </c>
      <c r="I155" t="str">
        <f>VLOOKUP(record[[#This Row],[ProcessSN]],表格2_7[],3,FALSE)</f>
        <v>#04</v>
      </c>
      <c r="J155" t="s">
        <v>588</v>
      </c>
      <c r="K155" s="195">
        <v>46157.98609953704</v>
      </c>
      <c r="L155">
        <v>109</v>
      </c>
      <c r="M155">
        <v>0</v>
      </c>
      <c r="N155" s="98" t="str">
        <f>IF(record[[#This Row],[Memo]]="Browser:chrome os:android","平板報工",IF(record[[#This Row],[Memo]]=0,"委外",record[[#This Row],[Memo]]))</f>
        <v/>
      </c>
      <c r="O155" t="s">
        <v>58</v>
      </c>
      <c r="P155" t="s">
        <v>176</v>
      </c>
      <c r="Q155" t="s">
        <v>58</v>
      </c>
      <c r="R155" t="str">
        <f>IFERROR(VLOOKUP(record[[#This Row],[PCUSTID]],廠商[],2,FALSE),"")</f>
        <v/>
      </c>
      <c r="S155" t="str">
        <f>VLOOKUP(record[[#This Row],[employeeID]],員工[],2,FALSE)</f>
        <v>郭政雄</v>
      </c>
    </row>
    <row r="156" spans="1:19" hidden="1" x14ac:dyDescent="0.25">
      <c r="A156" s="66" t="s">
        <v>454</v>
      </c>
      <c r="B156" s="66" t="s">
        <v>507</v>
      </c>
      <c r="C156" s="66" t="s">
        <v>473</v>
      </c>
      <c r="F156" t="s">
        <v>1985</v>
      </c>
      <c r="G156" t="s">
        <v>465</v>
      </c>
      <c r="H156" t="str">
        <f>VLOOKUP(record[[#This Row],[ProcessSN]],表格2_7[],2,FALSE)</f>
        <v>30-4118-018-XXX</v>
      </c>
      <c r="I156" t="str">
        <f>VLOOKUP(record[[#This Row],[ProcessSN]],表格2_7[],3,FALSE)</f>
        <v>#01-1</v>
      </c>
      <c r="J156" t="s">
        <v>588</v>
      </c>
      <c r="K156" s="195">
        <v>46157.985914351855</v>
      </c>
      <c r="L156">
        <v>984</v>
      </c>
      <c r="M156">
        <v>0</v>
      </c>
      <c r="N156" s="98" t="str">
        <f>IF(record[[#This Row],[Memo]]="Browser:chrome os:android","平板報工",IF(record[[#This Row],[Memo]]=0,"委外",record[[#This Row],[Memo]]))</f>
        <v/>
      </c>
      <c r="O156" t="s">
        <v>58</v>
      </c>
      <c r="P156" t="s">
        <v>176</v>
      </c>
      <c r="Q156" t="s">
        <v>58</v>
      </c>
      <c r="R156" t="str">
        <f>IFERROR(VLOOKUP(record[[#This Row],[PCUSTID]],廠商[],2,FALSE),"")</f>
        <v/>
      </c>
      <c r="S156" t="str">
        <f>VLOOKUP(record[[#This Row],[employeeID]],員工[],2,FALSE)</f>
        <v>郭政雄</v>
      </c>
    </row>
    <row r="157" spans="1:19" hidden="1" x14ac:dyDescent="0.25">
      <c r="A157" s="66" t="s">
        <v>455</v>
      </c>
      <c r="B157" s="66" t="s">
        <v>507</v>
      </c>
      <c r="C157" s="66" t="s">
        <v>474</v>
      </c>
      <c r="F157" t="s">
        <v>1985</v>
      </c>
      <c r="G157" t="s">
        <v>466</v>
      </c>
      <c r="H157" t="str">
        <f>VLOOKUP(record[[#This Row],[ProcessSN]],表格2_7[],2,FALSE)</f>
        <v>30-4118-018-XXX</v>
      </c>
      <c r="I157" t="str">
        <f>VLOOKUP(record[[#This Row],[ProcessSN]],表格2_7[],3,FALSE)</f>
        <v>#01-2</v>
      </c>
      <c r="J157" t="s">
        <v>588</v>
      </c>
      <c r="K157" s="195">
        <v>46157.830081018517</v>
      </c>
      <c r="L157">
        <v>242</v>
      </c>
      <c r="M157">
        <v>0</v>
      </c>
      <c r="N157" s="98" t="str">
        <f>IF(record[[#This Row],[Memo]]="Browser:chrome os:android","平板報工",IF(record[[#This Row],[Memo]]=0,"委外",record[[#This Row],[Memo]]))</f>
        <v>平板報工</v>
      </c>
      <c r="O157" t="s">
        <v>643</v>
      </c>
      <c r="P157" t="s">
        <v>1669</v>
      </c>
      <c r="Q157" t="s">
        <v>644</v>
      </c>
      <c r="R157" t="str">
        <f>IFERROR(VLOOKUP(record[[#This Row],[PCUSTID]],廠商[],2,FALSE),"")</f>
        <v/>
      </c>
      <c r="S157" t="str">
        <f>VLOOKUP(record[[#This Row],[employeeID]],員工[],2,FALSE)</f>
        <v>武氏麗娟</v>
      </c>
    </row>
    <row r="158" spans="1:19" hidden="1" x14ac:dyDescent="0.25">
      <c r="A158" s="66" t="s">
        <v>456</v>
      </c>
      <c r="B158" s="66" t="s">
        <v>507</v>
      </c>
      <c r="C158" s="66" t="s">
        <v>475</v>
      </c>
      <c r="F158" t="s">
        <v>1944</v>
      </c>
      <c r="G158" t="s">
        <v>418</v>
      </c>
      <c r="H158" t="str">
        <f>VLOOKUP(record[[#This Row],[ProcessSN]],表格2_7[],2,FALSE)</f>
        <v>30-4118-018-5XX</v>
      </c>
      <c r="I158" t="str">
        <f>VLOOKUP(record[[#This Row],[ProcessSN]],表格2_7[],3,FALSE)</f>
        <v>#07</v>
      </c>
      <c r="J158" t="s">
        <v>588</v>
      </c>
      <c r="K158" s="195">
        <v>46157.82744212963</v>
      </c>
      <c r="L158">
        <v>135</v>
      </c>
      <c r="M158">
        <v>2</v>
      </c>
      <c r="N158" s="98" t="str">
        <f>IF(record[[#This Row],[Memo]]="Browser:chrome os:android","平板報工",IF(record[[#This Row],[Memo]]=0,"委外",record[[#This Row],[Memo]]))</f>
        <v>平板報工</v>
      </c>
      <c r="O158" t="s">
        <v>643</v>
      </c>
      <c r="P158" t="s">
        <v>785</v>
      </c>
      <c r="Q158" t="s">
        <v>644</v>
      </c>
      <c r="R158" t="str">
        <f>IFERROR(VLOOKUP(record[[#This Row],[PCUSTID]],廠商[],2,FALSE),"")</f>
        <v/>
      </c>
      <c r="S158" t="str">
        <f>VLOOKUP(record[[#This Row],[employeeID]],員工[],2,FALSE)</f>
        <v>謝刻光</v>
      </c>
    </row>
    <row r="159" spans="1:19" hidden="1" x14ac:dyDescent="0.25">
      <c r="A159" s="66" t="s">
        <v>457</v>
      </c>
      <c r="B159" s="66" t="s">
        <v>507</v>
      </c>
      <c r="C159" s="66" t="s">
        <v>476</v>
      </c>
      <c r="F159" t="s">
        <v>2016</v>
      </c>
      <c r="G159" t="s">
        <v>451</v>
      </c>
      <c r="H159" t="str">
        <f>VLOOKUP(record[[#This Row],[ProcessSN]],表格2_7[],2,FALSE)</f>
        <v>30-4118-018-6XX</v>
      </c>
      <c r="I159" t="str">
        <f>VLOOKUP(record[[#This Row],[ProcessSN]],表格2_7[],3,FALSE)</f>
        <v>#07</v>
      </c>
      <c r="J159" t="s">
        <v>588</v>
      </c>
      <c r="K159" s="195">
        <v>46157.680046296293</v>
      </c>
      <c r="L159">
        <v>96</v>
      </c>
      <c r="M159">
        <v>0</v>
      </c>
      <c r="N159" s="98" t="str">
        <f>IF(record[[#This Row],[Memo]]="Browser:chrome os:android","平板報工",IF(record[[#This Row],[Memo]]=0,"委外",record[[#This Row],[Memo]]))</f>
        <v>平板報工</v>
      </c>
      <c r="O159" t="s">
        <v>643</v>
      </c>
      <c r="P159" t="s">
        <v>785</v>
      </c>
      <c r="Q159" t="s">
        <v>644</v>
      </c>
      <c r="R159" t="str">
        <f>IFERROR(VLOOKUP(record[[#This Row],[PCUSTID]],廠商[],2,FALSE),"")</f>
        <v/>
      </c>
      <c r="S159" t="str">
        <f>VLOOKUP(record[[#This Row],[employeeID]],員工[],2,FALSE)</f>
        <v>謝刻光</v>
      </c>
    </row>
    <row r="160" spans="1:19" hidden="1" x14ac:dyDescent="0.25">
      <c r="A160" s="66" t="s">
        <v>458</v>
      </c>
      <c r="B160" s="66" t="s">
        <v>507</v>
      </c>
      <c r="C160" s="66" t="s">
        <v>73</v>
      </c>
      <c r="F160" t="s">
        <v>1987</v>
      </c>
      <c r="G160" t="s">
        <v>451</v>
      </c>
      <c r="H160" t="str">
        <f>VLOOKUP(record[[#This Row],[ProcessSN]],表格2_7[],2,FALSE)</f>
        <v>30-4118-018-6XX</v>
      </c>
      <c r="I160" t="str">
        <f>VLOOKUP(record[[#This Row],[ProcessSN]],表格2_7[],3,FALSE)</f>
        <v>#07</v>
      </c>
      <c r="J160" t="s">
        <v>588</v>
      </c>
      <c r="K160" s="195">
        <v>46157.679409722223</v>
      </c>
      <c r="L160">
        <v>153</v>
      </c>
      <c r="M160">
        <v>0</v>
      </c>
      <c r="N160" s="98" t="str">
        <f>IF(record[[#This Row],[Memo]]="Browser:chrome os:android","平板報工",IF(record[[#This Row],[Memo]]=0,"委外",record[[#This Row],[Memo]]))</f>
        <v>平板報工</v>
      </c>
      <c r="O160" t="s">
        <v>643</v>
      </c>
      <c r="P160" t="s">
        <v>785</v>
      </c>
      <c r="Q160" t="s">
        <v>644</v>
      </c>
      <c r="R160" t="str">
        <f>IFERROR(VLOOKUP(record[[#This Row],[PCUSTID]],廠商[],2,FALSE),"")</f>
        <v/>
      </c>
      <c r="S160" t="str">
        <f>VLOOKUP(record[[#This Row],[employeeID]],員工[],2,FALSE)</f>
        <v>謝刻光</v>
      </c>
    </row>
    <row r="161" spans="1:19" hidden="1" x14ac:dyDescent="0.25">
      <c r="A161" s="66" t="s">
        <v>459</v>
      </c>
      <c r="B161" s="66" t="s">
        <v>507</v>
      </c>
      <c r="C161" s="66" t="s">
        <v>74</v>
      </c>
      <c r="F161" t="s">
        <v>2016</v>
      </c>
      <c r="G161" t="s">
        <v>450</v>
      </c>
      <c r="H161" t="str">
        <f>VLOOKUP(record[[#This Row],[ProcessSN]],表格2_7[],2,FALSE)</f>
        <v>30-4118-018-6XX</v>
      </c>
      <c r="I161" t="str">
        <f>VLOOKUP(record[[#This Row],[ProcessSN]],表格2_7[],3,FALSE)</f>
        <v>#06</v>
      </c>
      <c r="J161" t="s">
        <v>593</v>
      </c>
      <c r="K161" s="195">
        <v>46157.667916666665</v>
      </c>
      <c r="L161">
        <v>203</v>
      </c>
      <c r="M161">
        <v>0</v>
      </c>
      <c r="N161" s="98" t="str">
        <f>IF(record[[#This Row],[Memo]]="Browser:chrome os:android","平板報工",IF(record[[#This Row],[Memo]]=0,"委外",record[[#This Row],[Memo]]))</f>
        <v/>
      </c>
      <c r="O161" t="s">
        <v>58</v>
      </c>
      <c r="P161" t="s">
        <v>133</v>
      </c>
      <c r="Q161" t="s">
        <v>58</v>
      </c>
      <c r="R161" t="str">
        <f>IFERROR(VLOOKUP(record[[#This Row],[PCUSTID]],廠商[],2,FALSE),"")</f>
        <v/>
      </c>
      <c r="S161" t="str">
        <f>VLOOKUP(record[[#This Row],[employeeID]],員工[],2,FALSE)</f>
        <v>黎長維</v>
      </c>
    </row>
    <row r="162" spans="1:19" hidden="1" x14ac:dyDescent="0.25">
      <c r="A162" s="66" t="s">
        <v>460</v>
      </c>
      <c r="B162" s="66" t="s">
        <v>507</v>
      </c>
      <c r="C162" s="66" t="s">
        <v>75</v>
      </c>
      <c r="F162" t="s">
        <v>2016</v>
      </c>
      <c r="G162" t="s">
        <v>449</v>
      </c>
      <c r="H162" t="str">
        <f>VLOOKUP(record[[#This Row],[ProcessSN]],表格2_7[],2,FALSE)</f>
        <v>30-4118-018-6XX</v>
      </c>
      <c r="I162" t="str">
        <f>VLOOKUP(record[[#This Row],[ProcessSN]],表格2_7[],3,FALSE)</f>
        <v>#05</v>
      </c>
      <c r="J162" t="s">
        <v>588</v>
      </c>
      <c r="K162" s="195">
        <v>46157.667199074072</v>
      </c>
      <c r="L162">
        <v>249</v>
      </c>
      <c r="M162">
        <v>0</v>
      </c>
      <c r="N162" s="98" t="str">
        <f>IF(record[[#This Row],[Memo]]="Browser:chrome os:android","平板報工",IF(record[[#This Row],[Memo]]=0,"委外",record[[#This Row],[Memo]]))</f>
        <v/>
      </c>
      <c r="O162" t="s">
        <v>58</v>
      </c>
      <c r="P162" t="s">
        <v>107</v>
      </c>
      <c r="Q162" t="s">
        <v>58</v>
      </c>
      <c r="R162" t="str">
        <f>IFERROR(VLOOKUP(record[[#This Row],[PCUSTID]],廠商[],2,FALSE),"")</f>
        <v/>
      </c>
      <c r="S162" t="str">
        <f>VLOOKUP(record[[#This Row],[employeeID]],員工[],2,FALSE)</f>
        <v>黎氏順</v>
      </c>
    </row>
    <row r="163" spans="1:19" hidden="1" x14ac:dyDescent="0.25">
      <c r="A163" s="66" t="s">
        <v>461</v>
      </c>
      <c r="B163" s="66" t="s">
        <v>507</v>
      </c>
      <c r="C163" s="66" t="s">
        <v>76</v>
      </c>
      <c r="F163" t="s">
        <v>2016</v>
      </c>
      <c r="G163" t="s">
        <v>448</v>
      </c>
      <c r="H163" t="str">
        <f>VLOOKUP(record[[#This Row],[ProcessSN]],表格2_7[],2,FALSE)</f>
        <v>30-4118-018-6XX</v>
      </c>
      <c r="I163" t="str">
        <f>VLOOKUP(record[[#This Row],[ProcessSN]],表格2_7[],3,FALSE)</f>
        <v>#04</v>
      </c>
      <c r="J163" t="s">
        <v>588</v>
      </c>
      <c r="K163" s="195">
        <v>46157.666990740741</v>
      </c>
      <c r="L163">
        <v>116</v>
      </c>
      <c r="M163">
        <v>0</v>
      </c>
      <c r="N163" s="98" t="str">
        <f>IF(record[[#This Row],[Memo]]="Browser:chrome os:android","平板報工",IF(record[[#This Row],[Memo]]=0,"委外",record[[#This Row],[Memo]]))</f>
        <v/>
      </c>
      <c r="O163" t="s">
        <v>58</v>
      </c>
      <c r="P163" t="s">
        <v>139</v>
      </c>
      <c r="Q163" t="s">
        <v>58</v>
      </c>
      <c r="R163" t="str">
        <f>IFERROR(VLOOKUP(record[[#This Row],[PCUSTID]],廠商[],2,FALSE),"")</f>
        <v/>
      </c>
      <c r="S163" t="str">
        <f>VLOOKUP(record[[#This Row],[employeeID]],員工[],2,FALSE)</f>
        <v>高氏顏</v>
      </c>
    </row>
    <row r="164" spans="1:19" hidden="1" x14ac:dyDescent="0.25">
      <c r="A164" s="66" t="s">
        <v>462</v>
      </c>
      <c r="B164" s="66" t="s">
        <v>508</v>
      </c>
      <c r="C164" s="66" t="s">
        <v>78</v>
      </c>
      <c r="F164" t="s">
        <v>1965</v>
      </c>
      <c r="G164" t="s">
        <v>416</v>
      </c>
      <c r="H164" t="str">
        <f>VLOOKUP(record[[#This Row],[ProcessSN]],表格2_7[],2,FALSE)</f>
        <v>30-4118-018-5XX</v>
      </c>
      <c r="I164" t="str">
        <f>VLOOKUP(record[[#This Row],[ProcessSN]],表格2_7[],3,FALSE)</f>
        <v>#05</v>
      </c>
      <c r="J164" t="s">
        <v>588</v>
      </c>
      <c r="K164" s="195">
        <v>46157.66511574074</v>
      </c>
      <c r="L164">
        <v>11</v>
      </c>
      <c r="M164">
        <v>0</v>
      </c>
      <c r="N164" s="98" t="str">
        <f>IF(record[[#This Row],[Memo]]="Browser:chrome os:android","平板報工",IF(record[[#This Row],[Memo]]=0,"委外",record[[#This Row],[Memo]]))</f>
        <v>平板報工</v>
      </c>
      <c r="O164" t="s">
        <v>643</v>
      </c>
      <c r="P164" t="s">
        <v>107</v>
      </c>
      <c r="Q164" t="s">
        <v>644</v>
      </c>
      <c r="R164" t="str">
        <f>IFERROR(VLOOKUP(record[[#This Row],[PCUSTID]],廠商[],2,FALSE),"")</f>
        <v/>
      </c>
      <c r="S164" t="str">
        <f>VLOOKUP(record[[#This Row],[employeeID]],員工[],2,FALSE)</f>
        <v>黎氏順</v>
      </c>
    </row>
    <row r="165" spans="1:19" hidden="1" x14ac:dyDescent="0.25">
      <c r="A165" s="66" t="s">
        <v>463</v>
      </c>
      <c r="B165" s="66" t="s">
        <v>508</v>
      </c>
      <c r="C165" s="66" t="s">
        <v>79</v>
      </c>
      <c r="F165" t="s">
        <v>1985</v>
      </c>
      <c r="G165" t="s">
        <v>465</v>
      </c>
      <c r="H165" t="str">
        <f>VLOOKUP(record[[#This Row],[ProcessSN]],表格2_7[],2,FALSE)</f>
        <v>30-4118-018-XXX</v>
      </c>
      <c r="I165" t="str">
        <f>VLOOKUP(record[[#This Row],[ProcessSN]],表格2_7[],3,FALSE)</f>
        <v>#01-1</v>
      </c>
      <c r="J165" t="s">
        <v>588</v>
      </c>
      <c r="K165" s="195">
        <v>46157.660034722219</v>
      </c>
      <c r="L165">
        <v>408</v>
      </c>
      <c r="M165">
        <v>0</v>
      </c>
      <c r="N165" s="98" t="str">
        <f>IF(record[[#This Row],[Memo]]="Browser:chrome os:android","平板報工",IF(record[[#This Row],[Memo]]=0,"委外",record[[#This Row],[Memo]]))</f>
        <v>平板報工</v>
      </c>
      <c r="O165" t="s">
        <v>643</v>
      </c>
      <c r="P165" t="s">
        <v>139</v>
      </c>
      <c r="Q165" t="s">
        <v>644</v>
      </c>
      <c r="R165" t="str">
        <f>IFERROR(VLOOKUP(record[[#This Row],[PCUSTID]],廠商[],2,FALSE),"")</f>
        <v/>
      </c>
      <c r="S165" t="str">
        <f>VLOOKUP(record[[#This Row],[employeeID]],員工[],2,FALSE)</f>
        <v>高氏顏</v>
      </c>
    </row>
    <row r="166" spans="1:19" hidden="1" x14ac:dyDescent="0.25">
      <c r="A166" s="66" t="s">
        <v>464</v>
      </c>
      <c r="B166" s="66" t="s">
        <v>508</v>
      </c>
      <c r="C166" s="66" t="s">
        <v>292</v>
      </c>
      <c r="F166" t="s">
        <v>1965</v>
      </c>
      <c r="G166" t="s">
        <v>415</v>
      </c>
      <c r="H166" t="str">
        <f>VLOOKUP(record[[#This Row],[ProcessSN]],表格2_7[],2,FALSE)</f>
        <v>30-4118-018-5XX</v>
      </c>
      <c r="I166" t="str">
        <f>VLOOKUP(record[[#This Row],[ProcessSN]],表格2_7[],3,FALSE)</f>
        <v>#04</v>
      </c>
      <c r="J166" t="s">
        <v>588</v>
      </c>
      <c r="K166" s="195">
        <v>46157.659155092595</v>
      </c>
      <c r="L166">
        <v>45</v>
      </c>
      <c r="M166">
        <v>0</v>
      </c>
      <c r="N166" s="98" t="str">
        <f>IF(record[[#This Row],[Memo]]="Browser:chrome os:android","平板報工",IF(record[[#This Row],[Memo]]=0,"委外",record[[#This Row],[Memo]]))</f>
        <v>平板報工</v>
      </c>
      <c r="O166" t="s">
        <v>643</v>
      </c>
      <c r="P166" t="s">
        <v>139</v>
      </c>
      <c r="Q166" t="s">
        <v>644</v>
      </c>
      <c r="R166" t="str">
        <f>IFERROR(VLOOKUP(record[[#This Row],[PCUSTID]],廠商[],2,FALSE),"")</f>
        <v/>
      </c>
      <c r="S166" t="str">
        <f>VLOOKUP(record[[#This Row],[employeeID]],員工[],2,FALSE)</f>
        <v>高氏顏</v>
      </c>
    </row>
    <row r="167" spans="1:19" hidden="1" x14ac:dyDescent="0.25">
      <c r="A167" s="66" t="s">
        <v>465</v>
      </c>
      <c r="B167" s="66" t="s">
        <v>508</v>
      </c>
      <c r="C167" s="66" t="s">
        <v>483</v>
      </c>
      <c r="F167" t="s">
        <v>1944</v>
      </c>
      <c r="G167" t="s">
        <v>417</v>
      </c>
      <c r="H167" t="str">
        <f>VLOOKUP(record[[#This Row],[ProcessSN]],表格2_7[],2,FALSE)</f>
        <v>30-4118-018-5XX</v>
      </c>
      <c r="I167" t="str">
        <f>VLOOKUP(record[[#This Row],[ProcessSN]],表格2_7[],3,FALSE)</f>
        <v>#06</v>
      </c>
      <c r="J167" t="s">
        <v>593</v>
      </c>
      <c r="K167" s="195">
        <v>46157.649791666663</v>
      </c>
      <c r="L167">
        <v>55</v>
      </c>
      <c r="M167">
        <v>0</v>
      </c>
      <c r="N167" s="98" t="str">
        <f>IF(record[[#This Row],[Memo]]="Browser:chrome os:android","平板報工",IF(record[[#This Row],[Memo]]=0,"委外",record[[#This Row],[Memo]]))</f>
        <v>平板報工</v>
      </c>
      <c r="O167" t="s">
        <v>643</v>
      </c>
      <c r="P167" t="s">
        <v>133</v>
      </c>
      <c r="Q167" t="s">
        <v>644</v>
      </c>
      <c r="R167" t="str">
        <f>IFERROR(VLOOKUP(record[[#This Row],[PCUSTID]],廠商[],2,FALSE),"")</f>
        <v/>
      </c>
      <c r="S167" t="str">
        <f>VLOOKUP(record[[#This Row],[employeeID]],員工[],2,FALSE)</f>
        <v>黎長維</v>
      </c>
    </row>
    <row r="168" spans="1:19" hidden="1" x14ac:dyDescent="0.25">
      <c r="A168" s="66" t="s">
        <v>466</v>
      </c>
      <c r="B168" s="66" t="s">
        <v>508</v>
      </c>
      <c r="C168" s="66" t="s">
        <v>484</v>
      </c>
      <c r="F168" t="s">
        <v>2011</v>
      </c>
      <c r="G168" t="s">
        <v>428</v>
      </c>
      <c r="H168" t="str">
        <f>VLOOKUP(record[[#This Row],[ProcessSN]],表格2_7[],2,FALSE)</f>
        <v>30-4118-018-600</v>
      </c>
      <c r="I168" t="str">
        <f>VLOOKUP(record[[#This Row],[ProcessSN]],表格2_7[],3,FALSE)</f>
        <v>#100SHIP</v>
      </c>
      <c r="J168" t="s">
        <v>600</v>
      </c>
      <c r="K168" s="195">
        <v>46157.641979166663</v>
      </c>
      <c r="L168">
        <v>764</v>
      </c>
      <c r="M168">
        <v>0</v>
      </c>
      <c r="N168" s="98" t="str">
        <f>IF(record[[#This Row],[Memo]]="Browser:chrome os:android","平板報工",IF(record[[#This Row],[Memo]]=0,"委外",record[[#This Row],[Memo]]))</f>
        <v/>
      </c>
      <c r="O168" t="s">
        <v>58</v>
      </c>
      <c r="P168" t="s">
        <v>886</v>
      </c>
      <c r="Q168" t="s">
        <v>58</v>
      </c>
      <c r="R168" t="str">
        <f>IFERROR(VLOOKUP(record[[#This Row],[PCUSTID]],廠商[],2,FALSE),"")</f>
        <v/>
      </c>
      <c r="S168" t="str">
        <f>VLOOKUP(record[[#This Row],[employeeID]],員工[],2,FALSE)</f>
        <v>謝蓁薰</v>
      </c>
    </row>
    <row r="169" spans="1:19" hidden="1" x14ac:dyDescent="0.25">
      <c r="A169" s="66" t="s">
        <v>467</v>
      </c>
      <c r="B169" s="66" t="s">
        <v>508</v>
      </c>
      <c r="C169" s="66" t="s">
        <v>485</v>
      </c>
      <c r="F169" t="s">
        <v>2011</v>
      </c>
      <c r="G169" t="s">
        <v>427</v>
      </c>
      <c r="H169" t="str">
        <f>VLOOKUP(record[[#This Row],[ProcessSN]],表格2_7[],2,FALSE)</f>
        <v>30-4118-018-600</v>
      </c>
      <c r="I169" t="str">
        <f>VLOOKUP(record[[#This Row],[ProcessSN]],表格2_7[],3,FALSE)</f>
        <v>#100STOCK</v>
      </c>
      <c r="J169" t="s">
        <v>592</v>
      </c>
      <c r="K169" s="195">
        <v>46157.641793981478</v>
      </c>
      <c r="L169">
        <v>764</v>
      </c>
      <c r="M169">
        <v>0</v>
      </c>
      <c r="N169" s="98" t="str">
        <f>IF(record[[#This Row],[Memo]]="Browser:chrome os:android","平板報工",IF(record[[#This Row],[Memo]]=0,"委外",record[[#This Row],[Memo]]))</f>
        <v/>
      </c>
      <c r="O169" t="s">
        <v>58</v>
      </c>
      <c r="P169" t="s">
        <v>886</v>
      </c>
      <c r="Q169" t="s">
        <v>58</v>
      </c>
      <c r="R169" t="str">
        <f>IFERROR(VLOOKUP(record[[#This Row],[PCUSTID]],廠商[],2,FALSE),"")</f>
        <v/>
      </c>
      <c r="S169" t="str">
        <f>VLOOKUP(record[[#This Row],[employeeID]],員工[],2,FALSE)</f>
        <v>謝蓁薰</v>
      </c>
    </row>
    <row r="170" spans="1:19" hidden="1" x14ac:dyDescent="0.25">
      <c r="A170" s="66" t="s">
        <v>468</v>
      </c>
      <c r="B170" s="66" t="s">
        <v>508</v>
      </c>
      <c r="C170" s="66" t="s">
        <v>80</v>
      </c>
      <c r="F170" t="s">
        <v>1982</v>
      </c>
      <c r="G170" t="s">
        <v>428</v>
      </c>
      <c r="H170" t="str">
        <f>VLOOKUP(record[[#This Row],[ProcessSN]],表格2_7[],2,FALSE)</f>
        <v>30-4118-018-600</v>
      </c>
      <c r="I170" t="str">
        <f>VLOOKUP(record[[#This Row],[ProcessSN]],表格2_7[],3,FALSE)</f>
        <v>#100SHIP</v>
      </c>
      <c r="J170" t="s">
        <v>600</v>
      </c>
      <c r="K170" s="195">
        <v>46157.641284722224</v>
      </c>
      <c r="L170">
        <v>64</v>
      </c>
      <c r="M170">
        <v>0</v>
      </c>
      <c r="N170" s="98" t="str">
        <f>IF(record[[#This Row],[Memo]]="Browser:chrome os:android","平板報工",IF(record[[#This Row],[Memo]]=0,"委外",record[[#This Row],[Memo]]))</f>
        <v/>
      </c>
      <c r="O170" t="s">
        <v>58</v>
      </c>
      <c r="P170" t="s">
        <v>886</v>
      </c>
      <c r="Q170" t="s">
        <v>58</v>
      </c>
      <c r="R170" t="str">
        <f>IFERROR(VLOOKUP(record[[#This Row],[PCUSTID]],廠商[],2,FALSE),"")</f>
        <v/>
      </c>
      <c r="S170" t="str">
        <f>VLOOKUP(record[[#This Row],[employeeID]],員工[],2,FALSE)</f>
        <v>謝蓁薰</v>
      </c>
    </row>
    <row r="171" spans="1:19" hidden="1" x14ac:dyDescent="0.25">
      <c r="A171" s="66" t="s">
        <v>469</v>
      </c>
      <c r="B171" s="66" t="s">
        <v>508</v>
      </c>
      <c r="C171" s="66" t="s">
        <v>486</v>
      </c>
      <c r="F171" t="s">
        <v>1944</v>
      </c>
      <c r="G171" t="s">
        <v>417</v>
      </c>
      <c r="H171" t="str">
        <f>VLOOKUP(record[[#This Row],[ProcessSN]],表格2_7[],2,FALSE)</f>
        <v>30-4118-018-5XX</v>
      </c>
      <c r="I171" t="str">
        <f>VLOOKUP(record[[#This Row],[ProcessSN]],表格2_7[],3,FALSE)</f>
        <v>#06</v>
      </c>
      <c r="J171" t="s">
        <v>593</v>
      </c>
      <c r="K171" s="195">
        <v>46157.639861111114</v>
      </c>
      <c r="L171">
        <v>133</v>
      </c>
      <c r="M171">
        <v>0</v>
      </c>
      <c r="N171" s="98" t="str">
        <f>IF(record[[#This Row],[Memo]]="Browser:chrome os:android","平板報工",IF(record[[#This Row],[Memo]]=0,"委外",record[[#This Row],[Memo]]))</f>
        <v>平板報工</v>
      </c>
      <c r="O171" t="s">
        <v>643</v>
      </c>
      <c r="P171" t="s">
        <v>1413</v>
      </c>
      <c r="Q171" t="s">
        <v>644</v>
      </c>
      <c r="R171" t="str">
        <f>IFERROR(VLOOKUP(record[[#This Row],[PCUSTID]],廠商[],2,FALSE),"")</f>
        <v/>
      </c>
      <c r="S171" t="str">
        <f>VLOOKUP(record[[#This Row],[employeeID]],員工[],2,FALSE)</f>
        <v>阮氏芳英(芳)</v>
      </c>
    </row>
    <row r="172" spans="1:19" hidden="1" x14ac:dyDescent="0.25">
      <c r="A172" s="66" t="s">
        <v>470</v>
      </c>
      <c r="B172" s="66" t="s">
        <v>508</v>
      </c>
      <c r="C172" s="66" t="s">
        <v>487</v>
      </c>
      <c r="F172" t="s">
        <v>2020</v>
      </c>
      <c r="G172" t="s">
        <v>426</v>
      </c>
      <c r="H172" t="str">
        <f>VLOOKUP(record[[#This Row],[ProcessSN]],表格2_7[],2,FALSE)</f>
        <v>30-4118-018-600</v>
      </c>
      <c r="I172" t="str">
        <f>VLOOKUP(record[[#This Row],[ProcessSN]],表格2_7[],3,FALSE)</f>
        <v>#100OQC</v>
      </c>
      <c r="J172" t="s">
        <v>599</v>
      </c>
      <c r="K172" s="195">
        <v>46157.634664351855</v>
      </c>
      <c r="L172">
        <v>798</v>
      </c>
      <c r="M172">
        <v>0</v>
      </c>
      <c r="N172" s="98" t="str">
        <f>IF(record[[#This Row],[Memo]]="Browser:chrome os:android","平板報工",IF(record[[#This Row],[Memo]]=0,"委外",record[[#This Row],[Memo]]))</f>
        <v/>
      </c>
      <c r="O172" t="s">
        <v>58</v>
      </c>
      <c r="P172" t="s">
        <v>121</v>
      </c>
      <c r="Q172" t="s">
        <v>58</v>
      </c>
      <c r="R172" t="str">
        <f>IFERROR(VLOOKUP(record[[#This Row],[PCUSTID]],廠商[],2,FALSE),"")</f>
        <v/>
      </c>
      <c r="S172" t="str">
        <f>VLOOKUP(record[[#This Row],[employeeID]],員工[],2,FALSE)</f>
        <v>謝素卿</v>
      </c>
    </row>
    <row r="173" spans="1:19" hidden="1" x14ac:dyDescent="0.25">
      <c r="A173" s="66" t="s">
        <v>471</v>
      </c>
      <c r="B173" s="66" t="s">
        <v>508</v>
      </c>
      <c r="C173" s="66" t="s">
        <v>488</v>
      </c>
      <c r="F173" t="s">
        <v>1960</v>
      </c>
      <c r="G173" t="s">
        <v>400</v>
      </c>
      <c r="H173" t="str">
        <f>VLOOKUP(record[[#This Row],[ProcessSN]],表格2_7[],2,FALSE)</f>
        <v>30-4118-018-550</v>
      </c>
      <c r="I173" t="str">
        <f>VLOOKUP(record[[#This Row],[ProcessSN]],表格2_7[],3,FALSE)</f>
        <v>#100</v>
      </c>
      <c r="J173" t="s">
        <v>598</v>
      </c>
      <c r="K173" s="195">
        <v>46157.633483796293</v>
      </c>
      <c r="L173">
        <v>312</v>
      </c>
      <c r="M173">
        <v>0</v>
      </c>
      <c r="N173" s="98" t="str">
        <f>IF(record[[#This Row],[Memo]]="Browser:chrome os:android","平板報工",IF(record[[#This Row],[Memo]]=0,"委外",record[[#This Row],[Memo]]))</f>
        <v>平板報工</v>
      </c>
      <c r="O173" t="s">
        <v>643</v>
      </c>
      <c r="P173" t="s">
        <v>141</v>
      </c>
      <c r="Q173" t="s">
        <v>644</v>
      </c>
      <c r="R173" t="str">
        <f>IFERROR(VLOOKUP(record[[#This Row],[PCUSTID]],廠商[],2,FALSE),"")</f>
        <v/>
      </c>
      <c r="S173" t="str">
        <f>VLOOKUP(record[[#This Row],[employeeID]],員工[],2,FALSE)</f>
        <v>蔣梅</v>
      </c>
    </row>
    <row r="174" spans="1:19" hidden="1" x14ac:dyDescent="0.25">
      <c r="F174" t="s">
        <v>1915</v>
      </c>
      <c r="G174" t="s">
        <v>403</v>
      </c>
      <c r="H174" t="str">
        <f>VLOOKUP(record[[#This Row],[ProcessSN]],表格2_7[],2,FALSE)</f>
        <v>30-4118-018-550</v>
      </c>
      <c r="I174" t="str">
        <f>VLOOKUP(record[[#This Row],[ProcessSN]],表格2_7[],3,FALSE)</f>
        <v>#100SHIP</v>
      </c>
      <c r="J174" t="s">
        <v>600</v>
      </c>
      <c r="K174" s="195">
        <v>46157.610659722224</v>
      </c>
      <c r="L174">
        <v>1</v>
      </c>
      <c r="M174">
        <v>0</v>
      </c>
      <c r="N174" s="98" t="str">
        <f>IF(record[[#This Row],[Memo]]="Browser:chrome os:android","平板報工",IF(record[[#This Row],[Memo]]=0,"委外",record[[#This Row],[Memo]]))</f>
        <v/>
      </c>
      <c r="O174" t="s">
        <v>58</v>
      </c>
      <c r="P174" t="s">
        <v>886</v>
      </c>
      <c r="Q174" t="s">
        <v>58</v>
      </c>
      <c r="R174" t="str">
        <f>IFERROR(VLOOKUP(record[[#This Row],[PCUSTID]],廠商[],2,FALSE),"")</f>
        <v/>
      </c>
      <c r="S174" t="str">
        <f>VLOOKUP(record[[#This Row],[employeeID]],員工[],2,FALSE)</f>
        <v>謝蓁薰</v>
      </c>
    </row>
    <row r="175" spans="1:19" hidden="1" x14ac:dyDescent="0.25">
      <c r="F175" t="s">
        <v>1840</v>
      </c>
      <c r="G175" t="s">
        <v>362</v>
      </c>
      <c r="H175" t="str">
        <f>VLOOKUP(record[[#This Row],[ProcessSN]],表格2_7[],2,FALSE)</f>
        <v>30-4118-018-450</v>
      </c>
      <c r="I175" t="str">
        <f>VLOOKUP(record[[#This Row],[ProcessSN]],表格2_7[],3,FALSE)</f>
        <v>#100SHIP</v>
      </c>
      <c r="J175" t="s">
        <v>600</v>
      </c>
      <c r="K175" s="195">
        <v>46157.492349537039</v>
      </c>
      <c r="L175">
        <v>5</v>
      </c>
      <c r="M175">
        <v>0</v>
      </c>
      <c r="N175" s="98" t="str">
        <f>IF(record[[#This Row],[Memo]]="Browser:chrome os:android","平板報工",IF(record[[#This Row],[Memo]]=0,"委外",record[[#This Row],[Memo]]))</f>
        <v/>
      </c>
      <c r="O175" t="s">
        <v>58</v>
      </c>
      <c r="P175" t="s">
        <v>886</v>
      </c>
      <c r="Q175" t="s">
        <v>58</v>
      </c>
      <c r="R175" t="str">
        <f>IFERROR(VLOOKUP(record[[#This Row],[PCUSTID]],廠商[],2,FALSE),"")</f>
        <v/>
      </c>
      <c r="S175" t="str">
        <f>VLOOKUP(record[[#This Row],[employeeID]],員工[],2,FALSE)</f>
        <v>謝蓁薰</v>
      </c>
    </row>
    <row r="176" spans="1:19" hidden="1" x14ac:dyDescent="0.25">
      <c r="F176" t="s">
        <v>1884</v>
      </c>
      <c r="G176" t="s">
        <v>354</v>
      </c>
      <c r="H176" t="str">
        <f>VLOOKUP(record[[#This Row],[ProcessSN]],表格2_7[],2,FALSE)</f>
        <v>30-4118-018-420</v>
      </c>
      <c r="I176" t="str">
        <f>VLOOKUP(record[[#This Row],[ProcessSN]],表格2_7[],3,FALSE)</f>
        <v>#100SHIP</v>
      </c>
      <c r="J176" t="s">
        <v>600</v>
      </c>
      <c r="K176" s="195">
        <v>46157.490810185183</v>
      </c>
      <c r="L176">
        <v>1</v>
      </c>
      <c r="M176">
        <v>0</v>
      </c>
      <c r="N176" s="98" t="str">
        <f>IF(record[[#This Row],[Memo]]="Browser:chrome os:android","平板報工",IF(record[[#This Row],[Memo]]=0,"委外",record[[#This Row],[Memo]]))</f>
        <v/>
      </c>
      <c r="O176" t="s">
        <v>58</v>
      </c>
      <c r="P176" t="s">
        <v>886</v>
      </c>
      <c r="Q176" t="s">
        <v>58</v>
      </c>
      <c r="R176" t="str">
        <f>IFERROR(VLOOKUP(record[[#This Row],[PCUSTID]],廠商[],2,FALSE),"")</f>
        <v/>
      </c>
      <c r="S176" t="str">
        <f>VLOOKUP(record[[#This Row],[employeeID]],員工[],2,FALSE)</f>
        <v>謝蓁薰</v>
      </c>
    </row>
    <row r="177" spans="6:19" hidden="1" x14ac:dyDescent="0.25">
      <c r="F177" t="s">
        <v>1982</v>
      </c>
      <c r="G177" t="s">
        <v>427</v>
      </c>
      <c r="H177" t="str">
        <f>VLOOKUP(record[[#This Row],[ProcessSN]],表格2_7[],2,FALSE)</f>
        <v>30-4118-018-600</v>
      </c>
      <c r="I177" t="str">
        <f>VLOOKUP(record[[#This Row],[ProcessSN]],表格2_7[],3,FALSE)</f>
        <v>#100STOCK</v>
      </c>
      <c r="J177" t="s">
        <v>592</v>
      </c>
      <c r="K177" s="195">
        <v>46157.487743055557</v>
      </c>
      <c r="L177">
        <v>64</v>
      </c>
      <c r="M177">
        <v>0</v>
      </c>
      <c r="N177" s="98" t="str">
        <f>IF(record[[#This Row],[Memo]]="Browser:chrome os:android","平板報工",IF(record[[#This Row],[Memo]]=0,"委外",record[[#This Row],[Memo]]))</f>
        <v/>
      </c>
      <c r="O177" t="s">
        <v>58</v>
      </c>
      <c r="P177" t="s">
        <v>886</v>
      </c>
      <c r="Q177" t="s">
        <v>58</v>
      </c>
      <c r="R177" t="str">
        <f>IFERROR(VLOOKUP(record[[#This Row],[PCUSTID]],廠商[],2,FALSE),"")</f>
        <v/>
      </c>
      <c r="S177" t="str">
        <f>VLOOKUP(record[[#This Row],[employeeID]],員工[],2,FALSE)</f>
        <v>謝蓁薰</v>
      </c>
    </row>
    <row r="178" spans="6:19" hidden="1" x14ac:dyDescent="0.25">
      <c r="F178" t="s">
        <v>1987</v>
      </c>
      <c r="G178" t="s">
        <v>453</v>
      </c>
      <c r="H178" t="str">
        <f>VLOOKUP(record[[#This Row],[ProcessSN]],表格2_7[],2,FALSE)</f>
        <v>30-4118-018-6XX</v>
      </c>
      <c r="I178" t="str">
        <f>VLOOKUP(record[[#This Row],[ProcessSN]],表格2_7[],3,FALSE)</f>
        <v>#07STOCK</v>
      </c>
      <c r="J178" t="s">
        <v>592</v>
      </c>
      <c r="K178" s="195">
        <v>46157.428055555552</v>
      </c>
      <c r="L178">
        <v>280</v>
      </c>
      <c r="M178">
        <v>0</v>
      </c>
      <c r="N178" s="98" t="str">
        <f>IF(record[[#This Row],[Memo]]="Browser:chrome os:android","平板報工",IF(record[[#This Row],[Memo]]=0,"委外",record[[#This Row],[Memo]]))</f>
        <v/>
      </c>
      <c r="O178" t="s">
        <v>58</v>
      </c>
      <c r="P178" t="s">
        <v>113</v>
      </c>
      <c r="Q178" t="s">
        <v>58</v>
      </c>
      <c r="R178" t="str">
        <f>IFERROR(VLOOKUP(record[[#This Row],[PCUSTID]],廠商[],2,FALSE),"")</f>
        <v/>
      </c>
      <c r="S178" t="str">
        <f>VLOOKUP(record[[#This Row],[employeeID]],員工[],2,FALSE)</f>
        <v>王奕蓁</v>
      </c>
    </row>
    <row r="179" spans="6:19" hidden="1" x14ac:dyDescent="0.25">
      <c r="F179" t="s">
        <v>1987</v>
      </c>
      <c r="G179" t="s">
        <v>452</v>
      </c>
      <c r="H179" t="str">
        <f>VLOOKUP(record[[#This Row],[ProcessSN]],表格2_7[],2,FALSE)</f>
        <v>30-4118-018-6XX</v>
      </c>
      <c r="I179" t="str">
        <f>VLOOKUP(record[[#This Row],[ProcessSN]],表格2_7[],3,FALSE)</f>
        <v>#07QC</v>
      </c>
      <c r="J179" t="s">
        <v>589</v>
      </c>
      <c r="K179" s="195">
        <v>46157.427939814814</v>
      </c>
      <c r="L179">
        <v>280</v>
      </c>
      <c r="M179">
        <v>0</v>
      </c>
      <c r="N179" s="98" t="str">
        <f>IF(record[[#This Row],[Memo]]="Browser:chrome os:android","平板報工",IF(record[[#This Row],[Memo]]=0,"委外",record[[#This Row],[Memo]]))</f>
        <v/>
      </c>
      <c r="O179" t="s">
        <v>58</v>
      </c>
      <c r="P179" t="s">
        <v>113</v>
      </c>
      <c r="Q179" t="s">
        <v>58</v>
      </c>
      <c r="R179" t="str">
        <f>IFERROR(VLOOKUP(record[[#This Row],[PCUSTID]],廠商[],2,FALSE),"")</f>
        <v/>
      </c>
      <c r="S179" t="str">
        <f>VLOOKUP(record[[#This Row],[employeeID]],員工[],2,FALSE)</f>
        <v>王奕蓁</v>
      </c>
    </row>
    <row r="180" spans="6:19" hidden="1" x14ac:dyDescent="0.25">
      <c r="F180" t="s">
        <v>2021</v>
      </c>
      <c r="G180" t="s">
        <v>422</v>
      </c>
      <c r="H180" t="str">
        <f>VLOOKUP(record[[#This Row],[ProcessSN]],表格2_7[],2,FALSE)</f>
        <v>30-4118-018-600</v>
      </c>
      <c r="I180" t="str">
        <f>VLOOKUP(record[[#This Row],[ProcessSN]],表格2_7[],3,FALSE)</f>
        <v>#08</v>
      </c>
      <c r="J180" t="s">
        <v>597</v>
      </c>
      <c r="K180" s="195">
        <v>46157.418067129627</v>
      </c>
      <c r="L180">
        <v>280</v>
      </c>
      <c r="M180">
        <v>0</v>
      </c>
      <c r="N180" s="98" t="str">
        <f>IF(record[[#This Row],[Memo]]="Browser:chrome os:android","平板報工",IF(record[[#This Row],[Memo]]=0,"委外",record[[#This Row],[Memo]]))</f>
        <v>委外</v>
      </c>
      <c r="P180" t="s">
        <v>1698</v>
      </c>
      <c r="Q180" t="s">
        <v>287</v>
      </c>
      <c r="R180" t="str">
        <f>IFERROR(VLOOKUP(record[[#This Row],[PCUSTID]],廠商[],2,FALSE),"")</f>
        <v>泉盛</v>
      </c>
      <c r="S180" t="str">
        <f>VLOOKUP(record[[#This Row],[employeeID]],員工[],2,FALSE)</f>
        <v>羅思潔</v>
      </c>
    </row>
    <row r="181" spans="6:19" hidden="1" x14ac:dyDescent="0.25">
      <c r="F181" t="s">
        <v>2023</v>
      </c>
      <c r="G181" t="s">
        <v>421</v>
      </c>
      <c r="H181" t="str">
        <f>VLOOKUP(record[[#This Row],[ProcessSN]],表格2_7[],2,FALSE)</f>
        <v>30-4118-018-600</v>
      </c>
      <c r="I181" t="str">
        <f>VLOOKUP(record[[#This Row],[ProcessSN]],表格2_7[],3,FALSE)</f>
        <v>#08PICK</v>
      </c>
      <c r="J181" t="s">
        <v>582</v>
      </c>
      <c r="K181" s="195">
        <v>46157.417268518519</v>
      </c>
      <c r="L181">
        <v>280</v>
      </c>
      <c r="M181">
        <v>0</v>
      </c>
      <c r="N181" s="98" t="str">
        <f>IF(record[[#This Row],[Memo]]="Browser:chrome os:android","平板報工",IF(record[[#This Row],[Memo]]=0,"委外",record[[#This Row],[Memo]]))</f>
        <v/>
      </c>
      <c r="O181" t="s">
        <v>58</v>
      </c>
      <c r="P181" t="s">
        <v>113</v>
      </c>
      <c r="Q181" t="s">
        <v>58</v>
      </c>
      <c r="R181" t="str">
        <f>IFERROR(VLOOKUP(record[[#This Row],[PCUSTID]],廠商[],2,FALSE),"")</f>
        <v/>
      </c>
      <c r="S181" t="str">
        <f>VLOOKUP(record[[#This Row],[employeeID]],員工[],2,FALSE)</f>
        <v>王奕蓁</v>
      </c>
    </row>
    <row r="182" spans="6:19" hidden="1" x14ac:dyDescent="0.25">
      <c r="F182" t="s">
        <v>1965</v>
      </c>
      <c r="G182" t="s">
        <v>414</v>
      </c>
      <c r="H182" t="str">
        <f>VLOOKUP(record[[#This Row],[ProcessSN]],表格2_7[],2,FALSE)</f>
        <v>30-4118-018-5XX</v>
      </c>
      <c r="I182" t="str">
        <f>VLOOKUP(record[[#This Row],[ProcessSN]],表格2_7[],3,FALSE)</f>
        <v>#03</v>
      </c>
      <c r="J182" t="s">
        <v>588</v>
      </c>
      <c r="K182" s="195">
        <v>46157.386134259257</v>
      </c>
      <c r="L182">
        <v>324</v>
      </c>
      <c r="M182">
        <v>12</v>
      </c>
      <c r="N182" s="98" t="str">
        <f>IF(record[[#This Row],[Memo]]="Browser:chrome os:android","平板報工",IF(record[[#This Row],[Memo]]=0,"委外",record[[#This Row],[Memo]]))</f>
        <v/>
      </c>
      <c r="O182" t="s">
        <v>58</v>
      </c>
      <c r="P182" t="s">
        <v>107</v>
      </c>
      <c r="Q182" t="s">
        <v>58</v>
      </c>
      <c r="R182" t="str">
        <f>IFERROR(VLOOKUP(record[[#This Row],[PCUSTID]],廠商[],2,FALSE),"")</f>
        <v/>
      </c>
      <c r="S182" t="str">
        <f>VLOOKUP(record[[#This Row],[employeeID]],員工[],2,FALSE)</f>
        <v>黎氏順</v>
      </c>
    </row>
    <row r="183" spans="6:19" hidden="1" x14ac:dyDescent="0.25">
      <c r="F183" t="s">
        <v>1965</v>
      </c>
      <c r="G183" t="s">
        <v>416</v>
      </c>
      <c r="H183" t="str">
        <f>VLOOKUP(record[[#This Row],[ProcessSN]],表格2_7[],2,FALSE)</f>
        <v>30-4118-018-5XX</v>
      </c>
      <c r="I183" t="str">
        <f>VLOOKUP(record[[#This Row],[ProcessSN]],表格2_7[],3,FALSE)</f>
        <v>#05</v>
      </c>
      <c r="J183" t="s">
        <v>588</v>
      </c>
      <c r="K183" s="195">
        <v>46157.308368055557</v>
      </c>
      <c r="L183">
        <v>10</v>
      </c>
      <c r="M183">
        <v>0</v>
      </c>
      <c r="N183" s="98" t="str">
        <f>IF(record[[#This Row],[Memo]]="Browser:chrome os:android","平板報工",IF(record[[#This Row],[Memo]]=0,"委外",record[[#This Row],[Memo]]))</f>
        <v/>
      </c>
      <c r="O183" t="s">
        <v>58</v>
      </c>
      <c r="P183" t="s">
        <v>843</v>
      </c>
      <c r="Q183" t="s">
        <v>58</v>
      </c>
      <c r="R183" t="str">
        <f>IFERROR(VLOOKUP(record[[#This Row],[PCUSTID]],廠商[],2,FALSE),"")</f>
        <v/>
      </c>
      <c r="S183" t="str">
        <f>VLOOKUP(record[[#This Row],[employeeID]],員工[],2,FALSE)</f>
        <v>張楚承</v>
      </c>
    </row>
    <row r="184" spans="6:19" hidden="1" x14ac:dyDescent="0.25">
      <c r="F184" t="s">
        <v>1944</v>
      </c>
      <c r="G184" t="s">
        <v>416</v>
      </c>
      <c r="H184" t="str">
        <f>VLOOKUP(record[[#This Row],[ProcessSN]],表格2_7[],2,FALSE)</f>
        <v>30-4118-018-5XX</v>
      </c>
      <c r="I184" t="str">
        <f>VLOOKUP(record[[#This Row],[ProcessSN]],表格2_7[],3,FALSE)</f>
        <v>#05</v>
      </c>
      <c r="J184" t="s">
        <v>588</v>
      </c>
      <c r="K184" s="195">
        <v>46157.307557870372</v>
      </c>
      <c r="L184">
        <v>270</v>
      </c>
      <c r="M184">
        <v>0</v>
      </c>
      <c r="N184" s="98" t="str">
        <f>IF(record[[#This Row],[Memo]]="Browser:chrome os:android","平板報工",IF(record[[#This Row],[Memo]]=0,"委外",record[[#This Row],[Memo]]))</f>
        <v/>
      </c>
      <c r="O184" t="s">
        <v>58</v>
      </c>
      <c r="P184" t="s">
        <v>841</v>
      </c>
      <c r="Q184" t="s">
        <v>58</v>
      </c>
      <c r="R184" t="str">
        <f>IFERROR(VLOOKUP(record[[#This Row],[PCUSTID]],廠商[],2,FALSE),"")</f>
        <v/>
      </c>
      <c r="S184" t="str">
        <f>VLOOKUP(record[[#This Row],[employeeID]],員工[],2,FALSE)</f>
        <v>范氏香</v>
      </c>
    </row>
    <row r="185" spans="6:19" hidden="1" x14ac:dyDescent="0.25">
      <c r="F185" t="s">
        <v>1987</v>
      </c>
      <c r="G185" t="s">
        <v>451</v>
      </c>
      <c r="H185" t="str">
        <f>VLOOKUP(record[[#This Row],[ProcessSN]],表格2_7[],2,FALSE)</f>
        <v>30-4118-018-6XX</v>
      </c>
      <c r="I185" t="str">
        <f>VLOOKUP(record[[#This Row],[ProcessSN]],表格2_7[],3,FALSE)</f>
        <v>#07</v>
      </c>
      <c r="J185" t="s">
        <v>588</v>
      </c>
      <c r="K185" s="195">
        <v>46157.307071759256</v>
      </c>
      <c r="L185">
        <v>258</v>
      </c>
      <c r="M185">
        <v>0</v>
      </c>
      <c r="N185" s="98" t="str">
        <f>IF(record[[#This Row],[Memo]]="Browser:chrome os:android","平板報工",IF(record[[#This Row],[Memo]]=0,"委外",record[[#This Row],[Memo]]))</f>
        <v/>
      </c>
      <c r="O185" t="s">
        <v>58</v>
      </c>
      <c r="P185" t="s">
        <v>1098</v>
      </c>
      <c r="Q185" t="s">
        <v>58</v>
      </c>
      <c r="R185" t="str">
        <f>IFERROR(VLOOKUP(record[[#This Row],[PCUSTID]],廠商[],2,FALSE),"")</f>
        <v/>
      </c>
      <c r="S185" t="str">
        <f>VLOOKUP(record[[#This Row],[employeeID]],員工[],2,FALSE)</f>
        <v>阮氏芳英(英)</v>
      </c>
    </row>
    <row r="186" spans="6:19" hidden="1" x14ac:dyDescent="0.25">
      <c r="F186" t="s">
        <v>2016</v>
      </c>
      <c r="G186" t="s">
        <v>448</v>
      </c>
      <c r="H186" t="str">
        <f>VLOOKUP(record[[#This Row],[ProcessSN]],表格2_7[],2,FALSE)</f>
        <v>30-4118-018-6XX</v>
      </c>
      <c r="I186" t="str">
        <f>VLOOKUP(record[[#This Row],[ProcessSN]],表格2_7[],3,FALSE)</f>
        <v>#04</v>
      </c>
      <c r="J186" t="s">
        <v>588</v>
      </c>
      <c r="K186" s="195">
        <v>46157.305937500001</v>
      </c>
      <c r="L186">
        <v>115</v>
      </c>
      <c r="M186">
        <v>4</v>
      </c>
      <c r="N186" s="98" t="str">
        <f>IF(record[[#This Row],[Memo]]="Browser:chrome os:android","平板報工",IF(record[[#This Row],[Memo]]=0,"委外",record[[#This Row],[Memo]]))</f>
        <v/>
      </c>
      <c r="O186" t="s">
        <v>58</v>
      </c>
      <c r="P186" t="s">
        <v>135</v>
      </c>
      <c r="Q186" t="s">
        <v>58</v>
      </c>
      <c r="R186" t="str">
        <f>IFERROR(VLOOKUP(record[[#This Row],[PCUSTID]],廠商[],2,FALSE),"")</f>
        <v/>
      </c>
      <c r="S186" t="str">
        <f>VLOOKUP(record[[#This Row],[employeeID]],員工[],2,FALSE)</f>
        <v>阮士文</v>
      </c>
    </row>
    <row r="187" spans="6:19" hidden="1" x14ac:dyDescent="0.25">
      <c r="F187" t="s">
        <v>1965</v>
      </c>
      <c r="G187" t="s">
        <v>415</v>
      </c>
      <c r="H187" t="str">
        <f>VLOOKUP(record[[#This Row],[ProcessSN]],表格2_7[],2,FALSE)</f>
        <v>30-4118-018-5XX</v>
      </c>
      <c r="I187" t="str">
        <f>VLOOKUP(record[[#This Row],[ProcessSN]],表格2_7[],3,FALSE)</f>
        <v>#04</v>
      </c>
      <c r="J187" t="s">
        <v>588</v>
      </c>
      <c r="K187" s="195">
        <v>46157.305798611109</v>
      </c>
      <c r="L187">
        <v>140</v>
      </c>
      <c r="M187">
        <v>0</v>
      </c>
      <c r="N187" s="98" t="str">
        <f>IF(record[[#This Row],[Memo]]="Browser:chrome os:android","平板報工",IF(record[[#This Row],[Memo]]=0,"委外",record[[#This Row],[Memo]]))</f>
        <v/>
      </c>
      <c r="O187" t="s">
        <v>58</v>
      </c>
      <c r="P187" t="s">
        <v>135</v>
      </c>
      <c r="Q187" t="s">
        <v>58</v>
      </c>
      <c r="R187" t="str">
        <f>IFERROR(VLOOKUP(record[[#This Row],[PCUSTID]],廠商[],2,FALSE),"")</f>
        <v/>
      </c>
      <c r="S187" t="str">
        <f>VLOOKUP(record[[#This Row],[employeeID]],員工[],2,FALSE)</f>
        <v>阮士文</v>
      </c>
    </row>
    <row r="188" spans="6:19" hidden="1" x14ac:dyDescent="0.25">
      <c r="F188" t="s">
        <v>1944</v>
      </c>
      <c r="G188" t="s">
        <v>417</v>
      </c>
      <c r="H188" t="str">
        <f>VLOOKUP(record[[#This Row],[ProcessSN]],表格2_7[],2,FALSE)</f>
        <v>30-4118-018-5XX</v>
      </c>
      <c r="I188" t="str">
        <f>VLOOKUP(record[[#This Row],[ProcessSN]],表格2_7[],3,FALSE)</f>
        <v>#06</v>
      </c>
      <c r="J188" t="s">
        <v>593</v>
      </c>
      <c r="K188" s="195">
        <v>46157.268807870372</v>
      </c>
      <c r="L188">
        <v>139</v>
      </c>
      <c r="M188">
        <v>0</v>
      </c>
      <c r="N188" s="98" t="str">
        <f>IF(record[[#This Row],[Memo]]="Browser:chrome os:android","平板報工",IF(record[[#This Row],[Memo]]=0,"委外",record[[#This Row],[Memo]]))</f>
        <v>平板報工</v>
      </c>
      <c r="O188" t="s">
        <v>643</v>
      </c>
      <c r="P188" t="s">
        <v>806</v>
      </c>
      <c r="Q188" t="s">
        <v>644</v>
      </c>
      <c r="R188" t="str">
        <f>IFERROR(VLOOKUP(record[[#This Row],[PCUSTID]],廠商[],2,FALSE),"")</f>
        <v/>
      </c>
      <c r="S188" t="str">
        <f>VLOOKUP(record[[#This Row],[employeeID]],員工[],2,FALSE)</f>
        <v>方思緯</v>
      </c>
    </row>
    <row r="189" spans="6:19" hidden="1" x14ac:dyDescent="0.25">
      <c r="F189" t="s">
        <v>1944</v>
      </c>
      <c r="G189" t="s">
        <v>417</v>
      </c>
      <c r="H189" t="str">
        <f>VLOOKUP(record[[#This Row],[ProcessSN]],表格2_7[],2,FALSE)</f>
        <v>30-4118-018-5XX</v>
      </c>
      <c r="I189" t="str">
        <f>VLOOKUP(record[[#This Row],[ProcessSN]],表格2_7[],3,FALSE)</f>
        <v>#06</v>
      </c>
      <c r="J189" t="s">
        <v>593</v>
      </c>
      <c r="K189" s="195">
        <v>46157.012164351851</v>
      </c>
      <c r="L189">
        <v>67</v>
      </c>
      <c r="M189">
        <v>0</v>
      </c>
      <c r="N189" s="98" t="str">
        <f>IF(record[[#This Row],[Memo]]="Browser:chrome os:android","平板報工",IF(record[[#This Row],[Memo]]=0,"委外",record[[#This Row],[Memo]]))</f>
        <v/>
      </c>
      <c r="O189" t="s">
        <v>58</v>
      </c>
      <c r="P189" t="s">
        <v>841</v>
      </c>
      <c r="Q189" t="s">
        <v>58</v>
      </c>
      <c r="R189" t="str">
        <f>IFERROR(VLOOKUP(record[[#This Row],[PCUSTID]],廠商[],2,FALSE),"")</f>
        <v/>
      </c>
      <c r="S189" t="str">
        <f>VLOOKUP(record[[#This Row],[employeeID]],員工[],2,FALSE)</f>
        <v>范氏香</v>
      </c>
    </row>
    <row r="190" spans="6:19" hidden="1" x14ac:dyDescent="0.25">
      <c r="F190" t="s">
        <v>1987</v>
      </c>
      <c r="G190" t="s">
        <v>450</v>
      </c>
      <c r="H190" t="str">
        <f>VLOOKUP(record[[#This Row],[ProcessSN]],表格2_7[],2,FALSE)</f>
        <v>30-4118-018-6XX</v>
      </c>
      <c r="I190" t="str">
        <f>VLOOKUP(record[[#This Row],[ProcessSN]],表格2_7[],3,FALSE)</f>
        <v>#06</v>
      </c>
      <c r="J190" t="s">
        <v>593</v>
      </c>
      <c r="K190" s="195">
        <v>46157.001898148148</v>
      </c>
      <c r="L190">
        <v>81</v>
      </c>
      <c r="M190">
        <v>0</v>
      </c>
      <c r="N190" s="98" t="str">
        <f>IF(record[[#This Row],[Memo]]="Browser:chrome os:android","平板報工",IF(record[[#This Row],[Memo]]=0,"委外",record[[#This Row],[Memo]]))</f>
        <v/>
      </c>
      <c r="O190" t="s">
        <v>58</v>
      </c>
      <c r="P190" t="s">
        <v>135</v>
      </c>
      <c r="Q190" t="s">
        <v>58</v>
      </c>
      <c r="R190" t="str">
        <f>IFERROR(VLOOKUP(record[[#This Row],[PCUSTID]],廠商[],2,FALSE),"")</f>
        <v/>
      </c>
      <c r="S190" t="str">
        <f>VLOOKUP(record[[#This Row],[employeeID]],員工[],2,FALSE)</f>
        <v>阮士文</v>
      </c>
    </row>
    <row r="191" spans="6:19" hidden="1" x14ac:dyDescent="0.25">
      <c r="F191" t="s">
        <v>2016</v>
      </c>
      <c r="G191" t="s">
        <v>448</v>
      </c>
      <c r="H191" t="str">
        <f>VLOOKUP(record[[#This Row],[ProcessSN]],表格2_7[],2,FALSE)</f>
        <v>30-4118-018-6XX</v>
      </c>
      <c r="I191" t="str">
        <f>VLOOKUP(record[[#This Row],[ProcessSN]],表格2_7[],3,FALSE)</f>
        <v>#04</v>
      </c>
      <c r="J191" t="s">
        <v>588</v>
      </c>
      <c r="K191" s="195">
        <v>46156.986261574071</v>
      </c>
      <c r="L191">
        <v>87</v>
      </c>
      <c r="M191">
        <v>1</v>
      </c>
      <c r="N191" s="98" t="str">
        <f>IF(record[[#This Row],[Memo]]="Browser:chrome os:android","平板報工",IF(record[[#This Row],[Memo]]=0,"委外",record[[#This Row],[Memo]]))</f>
        <v>平板報工</v>
      </c>
      <c r="O191" t="s">
        <v>643</v>
      </c>
      <c r="P191" t="s">
        <v>176</v>
      </c>
      <c r="Q191" t="s">
        <v>644</v>
      </c>
      <c r="R191" t="str">
        <f>IFERROR(VLOOKUP(record[[#This Row],[PCUSTID]],廠商[],2,FALSE),"")</f>
        <v/>
      </c>
      <c r="S191" t="str">
        <f>VLOOKUP(record[[#This Row],[employeeID]],員工[],2,FALSE)</f>
        <v>郭政雄</v>
      </c>
    </row>
    <row r="192" spans="6:19" hidden="1" x14ac:dyDescent="0.25">
      <c r="F192" t="s">
        <v>1965</v>
      </c>
      <c r="G192" t="s">
        <v>415</v>
      </c>
      <c r="H192" t="str">
        <f>VLOOKUP(record[[#This Row],[ProcessSN]],表格2_7[],2,FALSE)</f>
        <v>30-4118-018-5XX</v>
      </c>
      <c r="I192" t="str">
        <f>VLOOKUP(record[[#This Row],[ProcessSN]],表格2_7[],3,FALSE)</f>
        <v>#04</v>
      </c>
      <c r="J192" t="s">
        <v>588</v>
      </c>
      <c r="K192" s="195">
        <v>46156.985868055555</v>
      </c>
      <c r="L192">
        <v>150</v>
      </c>
      <c r="M192">
        <v>1</v>
      </c>
      <c r="N192" s="98" t="str">
        <f>IF(record[[#This Row],[Memo]]="Browser:chrome os:android","平板報工",IF(record[[#This Row],[Memo]]=0,"委外",record[[#This Row],[Memo]]))</f>
        <v>平板報工</v>
      </c>
      <c r="O192" t="s">
        <v>643</v>
      </c>
      <c r="P192" t="s">
        <v>176</v>
      </c>
      <c r="Q192" t="s">
        <v>644</v>
      </c>
      <c r="R192" t="str">
        <f>IFERROR(VLOOKUP(record[[#This Row],[PCUSTID]],廠商[],2,FALSE),"")</f>
        <v/>
      </c>
      <c r="S192" t="str">
        <f>VLOOKUP(record[[#This Row],[employeeID]],員工[],2,FALSE)</f>
        <v>郭政雄</v>
      </c>
    </row>
    <row r="193" spans="6:19" hidden="1" x14ac:dyDescent="0.25">
      <c r="F193" t="s">
        <v>1944</v>
      </c>
      <c r="G193" t="s">
        <v>416</v>
      </c>
      <c r="H193" t="str">
        <f>VLOOKUP(record[[#This Row],[ProcessSN]],表格2_7[],2,FALSE)</f>
        <v>30-4118-018-5XX</v>
      </c>
      <c r="I193" t="str">
        <f>VLOOKUP(record[[#This Row],[ProcessSN]],表格2_7[],3,FALSE)</f>
        <v>#05</v>
      </c>
      <c r="J193" t="s">
        <v>588</v>
      </c>
      <c r="K193" s="195">
        <v>46156.973993055559</v>
      </c>
      <c r="L193">
        <v>300</v>
      </c>
      <c r="M193">
        <v>0</v>
      </c>
      <c r="N193" s="98" t="str">
        <f>IF(record[[#This Row],[Memo]]="Browser:chrome os:android","平板報工",IF(record[[#This Row],[Memo]]=0,"委外",record[[#This Row],[Memo]]))</f>
        <v>平板報工</v>
      </c>
      <c r="O193" t="s">
        <v>643</v>
      </c>
      <c r="P193" t="s">
        <v>89</v>
      </c>
      <c r="Q193" t="s">
        <v>644</v>
      </c>
      <c r="R193" t="str">
        <f>IFERROR(VLOOKUP(record[[#This Row],[PCUSTID]],廠商[],2,FALSE),"")</f>
        <v/>
      </c>
      <c r="S193" t="str">
        <f>VLOOKUP(record[[#This Row],[employeeID]],員工[],2,FALSE)</f>
        <v>李美蓮</v>
      </c>
    </row>
    <row r="194" spans="6:19" hidden="1" x14ac:dyDescent="0.25">
      <c r="F194" t="s">
        <v>1987</v>
      </c>
      <c r="G194" t="s">
        <v>451</v>
      </c>
      <c r="H194" t="str">
        <f>VLOOKUP(record[[#This Row],[ProcessSN]],表格2_7[],2,FALSE)</f>
        <v>30-4118-018-6XX</v>
      </c>
      <c r="I194" t="str">
        <f>VLOOKUP(record[[#This Row],[ProcessSN]],表格2_7[],3,FALSE)</f>
        <v>#07</v>
      </c>
      <c r="J194" t="s">
        <v>588</v>
      </c>
      <c r="K194" s="195">
        <v>46156.969293981485</v>
      </c>
      <c r="L194">
        <v>130</v>
      </c>
      <c r="M194">
        <v>0</v>
      </c>
      <c r="N194" s="98" t="str">
        <f>IF(record[[#This Row],[Memo]]="Browser:chrome os:android","平板報工",IF(record[[#This Row],[Memo]]=0,"委外",record[[#This Row],[Memo]]))</f>
        <v>平板報工</v>
      </c>
      <c r="O194" t="s">
        <v>643</v>
      </c>
      <c r="P194" t="s">
        <v>1098</v>
      </c>
      <c r="Q194" t="s">
        <v>644</v>
      </c>
      <c r="R194" t="str">
        <f>IFERROR(VLOOKUP(record[[#This Row],[PCUSTID]],廠商[],2,FALSE),"")</f>
        <v/>
      </c>
      <c r="S194" t="str">
        <f>VLOOKUP(record[[#This Row],[employeeID]],員工[],2,FALSE)</f>
        <v>阮氏芳英(英)</v>
      </c>
    </row>
    <row r="195" spans="6:19" hidden="1" x14ac:dyDescent="0.25">
      <c r="F195" t="s">
        <v>1987</v>
      </c>
      <c r="G195" t="s">
        <v>451</v>
      </c>
      <c r="H195" t="str">
        <f>VLOOKUP(record[[#This Row],[ProcessSN]],表格2_7[],2,FALSE)</f>
        <v>30-4118-018-6XX</v>
      </c>
      <c r="I195" t="str">
        <f>VLOOKUP(record[[#This Row],[ProcessSN]],表格2_7[],3,FALSE)</f>
        <v>#07</v>
      </c>
      <c r="J195" t="s">
        <v>588</v>
      </c>
      <c r="K195" s="195">
        <v>46156.827037037037</v>
      </c>
      <c r="L195">
        <v>135</v>
      </c>
      <c r="M195">
        <v>0</v>
      </c>
      <c r="N195" s="98" t="str">
        <f>IF(record[[#This Row],[Memo]]="Browser:chrome os:android","平板報工",IF(record[[#This Row],[Memo]]=0,"委外",record[[#This Row],[Memo]]))</f>
        <v>平板報工</v>
      </c>
      <c r="O195" t="s">
        <v>643</v>
      </c>
      <c r="P195" t="s">
        <v>785</v>
      </c>
      <c r="Q195" t="s">
        <v>644</v>
      </c>
      <c r="R195" t="str">
        <f>IFERROR(VLOOKUP(record[[#This Row],[PCUSTID]],廠商[],2,FALSE),"")</f>
        <v/>
      </c>
      <c r="S195" t="str">
        <f>VLOOKUP(record[[#This Row],[employeeID]],員工[],2,FALSE)</f>
        <v>謝刻光</v>
      </c>
    </row>
    <row r="196" spans="6:19" hidden="1" x14ac:dyDescent="0.25">
      <c r="F196" t="s">
        <v>1987</v>
      </c>
      <c r="G196" t="s">
        <v>450</v>
      </c>
      <c r="H196" t="str">
        <f>VLOOKUP(record[[#This Row],[ProcessSN]],表格2_7[],2,FALSE)</f>
        <v>30-4118-018-6XX</v>
      </c>
      <c r="I196" t="str">
        <f>VLOOKUP(record[[#This Row],[ProcessSN]],表格2_7[],3,FALSE)</f>
        <v>#06</v>
      </c>
      <c r="J196" t="s">
        <v>593</v>
      </c>
      <c r="K196" s="195">
        <v>46156.816921296297</v>
      </c>
      <c r="L196">
        <v>9</v>
      </c>
      <c r="M196">
        <v>0</v>
      </c>
      <c r="N196" s="98" t="str">
        <f>IF(record[[#This Row],[Memo]]="Browser:chrome os:android","平板報工",IF(record[[#This Row],[Memo]]=0,"委外",record[[#This Row],[Memo]]))</f>
        <v>平板報工</v>
      </c>
      <c r="O196" t="s">
        <v>643</v>
      </c>
      <c r="P196" t="s">
        <v>1413</v>
      </c>
      <c r="Q196" t="s">
        <v>644</v>
      </c>
      <c r="R196" t="str">
        <f>IFERROR(VLOOKUP(record[[#This Row],[PCUSTID]],廠商[],2,FALSE),"")</f>
        <v/>
      </c>
      <c r="S196" t="str">
        <f>VLOOKUP(record[[#This Row],[employeeID]],員工[],2,FALSE)</f>
        <v>阮氏芳英(芳)</v>
      </c>
    </row>
    <row r="197" spans="6:19" hidden="1" x14ac:dyDescent="0.25">
      <c r="F197" t="s">
        <v>1944</v>
      </c>
      <c r="G197" t="s">
        <v>417</v>
      </c>
      <c r="H197" t="str">
        <f>VLOOKUP(record[[#This Row],[ProcessSN]],表格2_7[],2,FALSE)</f>
        <v>30-4118-018-5XX</v>
      </c>
      <c r="I197" t="str">
        <f>VLOOKUP(record[[#This Row],[ProcessSN]],表格2_7[],3,FALSE)</f>
        <v>#06</v>
      </c>
      <c r="J197" t="s">
        <v>593</v>
      </c>
      <c r="K197" s="195">
        <v>46156.816712962966</v>
      </c>
      <c r="L197">
        <v>58</v>
      </c>
      <c r="M197">
        <v>0</v>
      </c>
      <c r="N197" s="98" t="str">
        <f>IF(record[[#This Row],[Memo]]="Browser:chrome os:android","平板報工",IF(record[[#This Row],[Memo]]=0,"委外",record[[#This Row],[Memo]]))</f>
        <v>平板報工</v>
      </c>
      <c r="O197" t="s">
        <v>643</v>
      </c>
      <c r="P197" t="s">
        <v>1413</v>
      </c>
      <c r="Q197" t="s">
        <v>644</v>
      </c>
      <c r="R197" t="str">
        <f>IFERROR(VLOOKUP(record[[#This Row],[PCUSTID]],廠商[],2,FALSE),"")</f>
        <v/>
      </c>
      <c r="S197" t="str">
        <f>VLOOKUP(record[[#This Row],[employeeID]],員工[],2,FALSE)</f>
        <v>阮氏芳英(芳)</v>
      </c>
    </row>
    <row r="198" spans="6:19" hidden="1" x14ac:dyDescent="0.25">
      <c r="F198" t="s">
        <v>1857</v>
      </c>
      <c r="G198" t="s">
        <v>470</v>
      </c>
      <c r="H198" t="str">
        <f>VLOOKUP(record[[#This Row],[ProcessSN]],表格2_7[],2,FALSE)</f>
        <v>30-4118-018-XXX</v>
      </c>
      <c r="I198" t="str">
        <f>VLOOKUP(record[[#This Row],[ProcessSN]],表格2_7[],3,FALSE)</f>
        <v>#02IQC</v>
      </c>
      <c r="J198" t="s">
        <v>583</v>
      </c>
      <c r="K198" s="195">
        <v>46156.75309027778</v>
      </c>
      <c r="L198">
        <v>336</v>
      </c>
      <c r="M198">
        <v>0</v>
      </c>
      <c r="N198" s="98" t="str">
        <f>IF(record[[#This Row],[Memo]]="Browser:chrome os:android","平板報工",IF(record[[#This Row],[Memo]]=0,"委外",record[[#This Row],[Memo]]))</f>
        <v/>
      </c>
      <c r="O198" t="s">
        <v>58</v>
      </c>
      <c r="P198" t="s">
        <v>109</v>
      </c>
      <c r="Q198" t="s">
        <v>58</v>
      </c>
      <c r="R198" t="str">
        <f>IFERROR(VLOOKUP(record[[#This Row],[PCUSTID]],廠商[],2,FALSE),"")</f>
        <v/>
      </c>
      <c r="S198" t="str">
        <f>VLOOKUP(record[[#This Row],[employeeID]],員工[],2,FALSE)</f>
        <v>裴氏璧鳳</v>
      </c>
    </row>
    <row r="199" spans="6:19" hidden="1" x14ac:dyDescent="0.25">
      <c r="F199" t="s">
        <v>2011</v>
      </c>
      <c r="G199" t="s">
        <v>425</v>
      </c>
      <c r="H199" t="str">
        <f>VLOOKUP(record[[#This Row],[ProcessSN]],表格2_7[],2,FALSE)</f>
        <v>30-4118-018-600</v>
      </c>
      <c r="I199" t="str">
        <f>VLOOKUP(record[[#This Row],[ProcessSN]],表格2_7[],3,FALSE)</f>
        <v>#100</v>
      </c>
      <c r="J199" t="s">
        <v>598</v>
      </c>
      <c r="K199" s="195">
        <v>46156.724039351851</v>
      </c>
      <c r="L199">
        <v>0</v>
      </c>
      <c r="M199">
        <v>10</v>
      </c>
      <c r="N199" s="98" t="str">
        <f>IF(record[[#This Row],[Memo]]="Browser:chrome os:android","平板報工",IF(record[[#This Row],[Memo]]=0,"委外",record[[#This Row],[Memo]]))</f>
        <v/>
      </c>
      <c r="O199" t="s">
        <v>58</v>
      </c>
      <c r="P199" t="s">
        <v>141</v>
      </c>
      <c r="Q199" t="s">
        <v>58</v>
      </c>
      <c r="R199" t="str">
        <f>IFERROR(VLOOKUP(record[[#This Row],[PCUSTID]],廠商[],2,FALSE),"")</f>
        <v/>
      </c>
      <c r="S199" t="str">
        <f>VLOOKUP(record[[#This Row],[employeeID]],員工[],2,FALSE)</f>
        <v>蔣梅</v>
      </c>
    </row>
    <row r="200" spans="6:19" hidden="1" x14ac:dyDescent="0.25">
      <c r="F200" t="s">
        <v>2011</v>
      </c>
      <c r="G200" t="s">
        <v>425</v>
      </c>
      <c r="H200" t="str">
        <f>VLOOKUP(record[[#This Row],[ProcessSN]],表格2_7[],2,FALSE)</f>
        <v>30-4118-018-600</v>
      </c>
      <c r="I200" t="str">
        <f>VLOOKUP(record[[#This Row],[ProcessSN]],表格2_7[],3,FALSE)</f>
        <v>#100</v>
      </c>
      <c r="J200" t="s">
        <v>598</v>
      </c>
      <c r="K200" s="195">
        <v>46156.723877314813</v>
      </c>
      <c r="L200">
        <v>462</v>
      </c>
      <c r="M200">
        <v>0</v>
      </c>
      <c r="N200" s="98" t="str">
        <f>IF(record[[#This Row],[Memo]]="Browser:chrome os:android","平板報工",IF(record[[#This Row],[Memo]]=0,"委外",record[[#This Row],[Memo]]))</f>
        <v/>
      </c>
      <c r="O200" t="s">
        <v>58</v>
      </c>
      <c r="P200" t="s">
        <v>103</v>
      </c>
      <c r="Q200" t="s">
        <v>58</v>
      </c>
      <c r="R200" t="str">
        <f>IFERROR(VLOOKUP(record[[#This Row],[PCUSTID]],廠商[],2,FALSE),"")</f>
        <v/>
      </c>
      <c r="S200" t="str">
        <f>VLOOKUP(record[[#This Row],[employeeID]],員工[],2,FALSE)</f>
        <v>黎秋水</v>
      </c>
    </row>
    <row r="201" spans="6:19" hidden="1" x14ac:dyDescent="0.25">
      <c r="F201" t="s">
        <v>2020</v>
      </c>
      <c r="G201" t="s">
        <v>425</v>
      </c>
      <c r="H201" t="str">
        <f>VLOOKUP(record[[#This Row],[ProcessSN]],表格2_7[],2,FALSE)</f>
        <v>30-4118-018-600</v>
      </c>
      <c r="I201" t="str">
        <f>VLOOKUP(record[[#This Row],[ProcessSN]],表格2_7[],3,FALSE)</f>
        <v>#100</v>
      </c>
      <c r="J201" t="s">
        <v>598</v>
      </c>
      <c r="K201" s="195">
        <v>46156.723356481481</v>
      </c>
      <c r="L201">
        <v>336</v>
      </c>
      <c r="M201">
        <v>0</v>
      </c>
      <c r="N201" s="98" t="str">
        <f>IF(record[[#This Row],[Memo]]="Browser:chrome os:android","平板報工",IF(record[[#This Row],[Memo]]=0,"委外",record[[#This Row],[Memo]]))</f>
        <v/>
      </c>
      <c r="O201" t="s">
        <v>58</v>
      </c>
      <c r="P201" t="s">
        <v>141</v>
      </c>
      <c r="Q201" t="s">
        <v>58</v>
      </c>
      <c r="R201" t="str">
        <f>IFERROR(VLOOKUP(record[[#This Row],[PCUSTID]],廠商[],2,FALSE),"")</f>
        <v/>
      </c>
      <c r="S201" t="str">
        <f>VLOOKUP(record[[#This Row],[employeeID]],員工[],2,FALSE)</f>
        <v>蔣梅</v>
      </c>
    </row>
    <row r="202" spans="6:19" hidden="1" x14ac:dyDescent="0.25">
      <c r="F202" t="s">
        <v>2011</v>
      </c>
      <c r="G202" t="s">
        <v>424</v>
      </c>
      <c r="H202" t="str">
        <f>VLOOKUP(record[[#This Row],[ProcessSN]],表格2_7[],2,FALSE)</f>
        <v>30-4118-018-600</v>
      </c>
      <c r="I202" t="str">
        <f>VLOOKUP(record[[#This Row],[ProcessSN]],表格2_7[],3,FALSE)</f>
        <v>#08IQC</v>
      </c>
      <c r="J202" t="s">
        <v>583</v>
      </c>
      <c r="K202" s="195">
        <v>46156.699571759258</v>
      </c>
      <c r="L202">
        <v>808</v>
      </c>
      <c r="M202">
        <v>0</v>
      </c>
      <c r="N202" s="98" t="str">
        <f>IF(record[[#This Row],[Memo]]="Browser:chrome os:android","平板報工",IF(record[[#This Row],[Memo]]=0,"委外",record[[#This Row],[Memo]]))</f>
        <v/>
      </c>
      <c r="O202" t="s">
        <v>58</v>
      </c>
      <c r="P202" t="s">
        <v>109</v>
      </c>
      <c r="Q202" t="s">
        <v>58</v>
      </c>
      <c r="R202" t="str">
        <f>IFERROR(VLOOKUP(record[[#This Row],[PCUSTID]],廠商[],2,FALSE),"")</f>
        <v/>
      </c>
      <c r="S202" t="str">
        <f>VLOOKUP(record[[#This Row],[employeeID]],員工[],2,FALSE)</f>
        <v>裴氏璧鳳</v>
      </c>
    </row>
    <row r="203" spans="6:19" hidden="1" x14ac:dyDescent="0.25">
      <c r="F203" t="s">
        <v>1944</v>
      </c>
      <c r="G203" t="s">
        <v>417</v>
      </c>
      <c r="H203" t="str">
        <f>VLOOKUP(record[[#This Row],[ProcessSN]],表格2_7[],2,FALSE)</f>
        <v>30-4118-018-5XX</v>
      </c>
      <c r="I203" t="str">
        <f>VLOOKUP(record[[#This Row],[ProcessSN]],表格2_7[],3,FALSE)</f>
        <v>#06</v>
      </c>
      <c r="J203" t="s">
        <v>593</v>
      </c>
      <c r="K203" s="195">
        <v>46156.655428240738</v>
      </c>
      <c r="L203">
        <v>118</v>
      </c>
      <c r="M203">
        <v>0</v>
      </c>
      <c r="N203" s="98" t="str">
        <f>IF(record[[#This Row],[Memo]]="Browser:chrome os:android","平板報工",IF(record[[#This Row],[Memo]]=0,"委外",record[[#This Row],[Memo]]))</f>
        <v>平板報工</v>
      </c>
      <c r="O203" t="s">
        <v>643</v>
      </c>
      <c r="P203" t="s">
        <v>139</v>
      </c>
      <c r="Q203" t="s">
        <v>644</v>
      </c>
      <c r="R203" t="str">
        <f>IFERROR(VLOOKUP(record[[#This Row],[PCUSTID]],廠商[],2,FALSE),"")</f>
        <v/>
      </c>
      <c r="S203" t="str">
        <f>VLOOKUP(record[[#This Row],[employeeID]],員工[],2,FALSE)</f>
        <v>高氏顏</v>
      </c>
    </row>
    <row r="204" spans="6:19" hidden="1" x14ac:dyDescent="0.25">
      <c r="F204" t="s">
        <v>1944</v>
      </c>
      <c r="G204" t="s">
        <v>416</v>
      </c>
      <c r="H204" t="str">
        <f>VLOOKUP(record[[#This Row],[ProcessSN]],表格2_7[],2,FALSE)</f>
        <v>30-4118-018-5XX</v>
      </c>
      <c r="I204" t="str">
        <f>VLOOKUP(record[[#This Row],[ProcessSN]],表格2_7[],3,FALSE)</f>
        <v>#05</v>
      </c>
      <c r="J204" t="s">
        <v>588</v>
      </c>
      <c r="K204" s="195">
        <v>46156.649571759262</v>
      </c>
      <c r="L204">
        <v>243</v>
      </c>
      <c r="M204">
        <v>0</v>
      </c>
      <c r="N204" s="98" t="str">
        <f>IF(record[[#This Row],[Memo]]="Browser:chrome os:android","平板報工",IF(record[[#This Row],[Memo]]=0,"委外",record[[#This Row],[Memo]]))</f>
        <v>平板報工</v>
      </c>
      <c r="O204" t="s">
        <v>643</v>
      </c>
      <c r="P204" t="s">
        <v>145</v>
      </c>
      <c r="Q204" t="s">
        <v>644</v>
      </c>
      <c r="R204" t="str">
        <f>IFERROR(VLOOKUP(record[[#This Row],[PCUSTID]],廠商[],2,FALSE),"")</f>
        <v/>
      </c>
      <c r="S204" t="str">
        <f>VLOOKUP(record[[#This Row],[employeeID]],員工[],2,FALSE)</f>
        <v>阮秋霞</v>
      </c>
    </row>
    <row r="205" spans="6:19" hidden="1" x14ac:dyDescent="0.25">
      <c r="F205" t="s">
        <v>1987</v>
      </c>
      <c r="G205" t="s">
        <v>451</v>
      </c>
      <c r="H205" t="str">
        <f>VLOOKUP(record[[#This Row],[ProcessSN]],表格2_7[],2,FALSE)</f>
        <v>30-4118-018-6XX</v>
      </c>
      <c r="I205" t="str">
        <f>VLOOKUP(record[[#This Row],[ProcessSN]],表格2_7[],3,FALSE)</f>
        <v>#07</v>
      </c>
      <c r="J205" t="s">
        <v>588</v>
      </c>
      <c r="K205" s="195">
        <v>46156.644594907404</v>
      </c>
      <c r="L205">
        <v>188</v>
      </c>
      <c r="M205">
        <v>0</v>
      </c>
      <c r="N205" s="98" t="str">
        <f>IF(record[[#This Row],[Memo]]="Browser:chrome os:android","平板報工",IF(record[[#This Row],[Memo]]=0,"委外",record[[#This Row],[Memo]]))</f>
        <v>平板報工</v>
      </c>
      <c r="O205" t="s">
        <v>643</v>
      </c>
      <c r="P205" t="s">
        <v>785</v>
      </c>
      <c r="Q205" t="s">
        <v>644</v>
      </c>
      <c r="R205" t="str">
        <f>IFERROR(VLOOKUP(record[[#This Row],[PCUSTID]],廠商[],2,FALSE),"")</f>
        <v/>
      </c>
      <c r="S205" t="str">
        <f>VLOOKUP(record[[#This Row],[employeeID]],員工[],2,FALSE)</f>
        <v>謝刻光</v>
      </c>
    </row>
    <row r="206" spans="6:19" hidden="1" x14ac:dyDescent="0.25">
      <c r="F206" t="s">
        <v>1944</v>
      </c>
      <c r="G206" t="s">
        <v>415</v>
      </c>
      <c r="H206" t="str">
        <f>VLOOKUP(record[[#This Row],[ProcessSN]],表格2_7[],2,FALSE)</f>
        <v>30-4118-018-5XX</v>
      </c>
      <c r="I206" t="str">
        <f>VLOOKUP(record[[#This Row],[ProcessSN]],表格2_7[],3,FALSE)</f>
        <v>#04</v>
      </c>
      <c r="J206" t="s">
        <v>588</v>
      </c>
      <c r="K206" s="195">
        <v>46156.633206018516</v>
      </c>
      <c r="L206">
        <v>132</v>
      </c>
      <c r="M206">
        <v>0</v>
      </c>
      <c r="N206" s="98" t="str">
        <f>IF(record[[#This Row],[Memo]]="Browser:chrome os:android","平板報工",IF(record[[#This Row],[Memo]]=0,"委外",record[[#This Row],[Memo]]))</f>
        <v>平板報工</v>
      </c>
      <c r="O206" t="s">
        <v>643</v>
      </c>
      <c r="P206" t="s">
        <v>107</v>
      </c>
      <c r="Q206" t="s">
        <v>644</v>
      </c>
      <c r="R206" t="str">
        <f>IFERROR(VLOOKUP(record[[#This Row],[PCUSTID]],廠商[],2,FALSE),"")</f>
        <v/>
      </c>
      <c r="S206" t="str">
        <f>VLOOKUP(record[[#This Row],[employeeID]],員工[],2,FALSE)</f>
        <v>黎氏順</v>
      </c>
    </row>
    <row r="207" spans="6:19" hidden="1" x14ac:dyDescent="0.25">
      <c r="F207" t="s">
        <v>1944</v>
      </c>
      <c r="G207" t="s">
        <v>415</v>
      </c>
      <c r="H207" t="str">
        <f>VLOOKUP(record[[#This Row],[ProcessSN]],表格2_7[],2,FALSE)</f>
        <v>30-4118-018-5XX</v>
      </c>
      <c r="I207" t="str">
        <f>VLOOKUP(record[[#This Row],[ProcessSN]],表格2_7[],3,FALSE)</f>
        <v>#04</v>
      </c>
      <c r="J207" t="s">
        <v>588</v>
      </c>
      <c r="K207" s="195">
        <v>46156.632662037038</v>
      </c>
      <c r="L207">
        <v>130</v>
      </c>
      <c r="M207">
        <v>0</v>
      </c>
      <c r="N207" s="98" t="str">
        <f>IF(record[[#This Row],[Memo]]="Browser:chrome os:android","平板報工",IF(record[[#This Row],[Memo]]=0,"委外",record[[#This Row],[Memo]]))</f>
        <v>平板報工</v>
      </c>
      <c r="O207" t="s">
        <v>643</v>
      </c>
      <c r="P207" t="s">
        <v>107</v>
      </c>
      <c r="Q207" t="s">
        <v>644</v>
      </c>
      <c r="R207" t="str">
        <f>IFERROR(VLOOKUP(record[[#This Row],[PCUSTID]],廠商[],2,FALSE),"")</f>
        <v/>
      </c>
      <c r="S207" t="str">
        <f>VLOOKUP(record[[#This Row],[employeeID]],員工[],2,FALSE)</f>
        <v>黎氏順</v>
      </c>
    </row>
    <row r="208" spans="6:19" hidden="1" x14ac:dyDescent="0.25">
      <c r="F208" t="s">
        <v>1987</v>
      </c>
      <c r="G208" t="s">
        <v>450</v>
      </c>
      <c r="H208" t="str">
        <f>VLOOKUP(record[[#This Row],[ProcessSN]],表格2_7[],2,FALSE)</f>
        <v>30-4118-018-6XX</v>
      </c>
      <c r="I208" t="str">
        <f>VLOOKUP(record[[#This Row],[ProcessSN]],表格2_7[],3,FALSE)</f>
        <v>#06</v>
      </c>
      <c r="J208" t="s">
        <v>593</v>
      </c>
      <c r="K208" s="195">
        <v>46156.628055555557</v>
      </c>
      <c r="L208">
        <v>133</v>
      </c>
      <c r="M208">
        <v>0</v>
      </c>
      <c r="N208" s="98" t="str">
        <f>IF(record[[#This Row],[Memo]]="Browser:chrome os:android","平板報工",IF(record[[#This Row],[Memo]]=0,"委外",record[[#This Row],[Memo]]))</f>
        <v>平板報工</v>
      </c>
      <c r="O208" t="s">
        <v>643</v>
      </c>
      <c r="P208" t="s">
        <v>1413</v>
      </c>
      <c r="Q208" t="s">
        <v>644</v>
      </c>
      <c r="R208" t="str">
        <f>IFERROR(VLOOKUP(record[[#This Row],[PCUSTID]],廠商[],2,FALSE),"")</f>
        <v/>
      </c>
      <c r="S208" t="str">
        <f>VLOOKUP(record[[#This Row],[employeeID]],員工[],2,FALSE)</f>
        <v>阮氏芳英(芳)</v>
      </c>
    </row>
    <row r="209" spans="6:19" hidden="1" x14ac:dyDescent="0.25">
      <c r="F209" t="s">
        <v>1985</v>
      </c>
      <c r="G209" t="s">
        <v>464</v>
      </c>
      <c r="H209" t="str">
        <f>VLOOKUP(record[[#This Row],[ProcessSN]],表格2_7[],2,FALSE)</f>
        <v>30-4118-018-XXX</v>
      </c>
      <c r="I209" t="str">
        <f>VLOOKUP(record[[#This Row],[ProcessSN]],表格2_7[],3,FALSE)</f>
        <v>#01GIVE</v>
      </c>
      <c r="J209" t="s">
        <v>587</v>
      </c>
      <c r="K209" s="195">
        <v>46156.622013888889</v>
      </c>
      <c r="L209">
        <v>3200</v>
      </c>
      <c r="M209">
        <v>0</v>
      </c>
      <c r="N209" s="98" t="str">
        <f>IF(record[[#This Row],[Memo]]="Browser:chrome os:android","平板報工",IF(record[[#This Row],[Memo]]=0,"委外",record[[#This Row],[Memo]]))</f>
        <v/>
      </c>
      <c r="O209" t="s">
        <v>58</v>
      </c>
      <c r="P209" t="s">
        <v>1698</v>
      </c>
      <c r="Q209" t="s">
        <v>58</v>
      </c>
      <c r="R209" t="str">
        <f>IFERROR(VLOOKUP(record[[#This Row],[PCUSTID]],廠商[],2,FALSE),"")</f>
        <v/>
      </c>
      <c r="S209" t="str">
        <f>VLOOKUP(record[[#This Row],[employeeID]],員工[],2,FALSE)</f>
        <v>羅思潔</v>
      </c>
    </row>
    <row r="210" spans="6:19" hidden="1" x14ac:dyDescent="0.25">
      <c r="F210" t="s">
        <v>2003</v>
      </c>
      <c r="G210" t="s">
        <v>464</v>
      </c>
      <c r="H210" t="str">
        <f>VLOOKUP(record[[#This Row],[ProcessSN]],表格2_7[],2,FALSE)</f>
        <v>30-4118-018-XXX</v>
      </c>
      <c r="I210" t="str">
        <f>VLOOKUP(record[[#This Row],[ProcessSN]],表格2_7[],3,FALSE)</f>
        <v>#01GIVE</v>
      </c>
      <c r="J210" t="s">
        <v>587</v>
      </c>
      <c r="K210" s="195">
        <v>46156.621886574074</v>
      </c>
      <c r="L210">
        <v>5000</v>
      </c>
      <c r="M210">
        <v>0</v>
      </c>
      <c r="N210" s="98" t="str">
        <f>IF(record[[#This Row],[Memo]]="Browser:chrome os:android","平板報工",IF(record[[#This Row],[Memo]]=0,"委外",record[[#This Row],[Memo]]))</f>
        <v/>
      </c>
      <c r="O210" t="s">
        <v>58</v>
      </c>
      <c r="P210" t="s">
        <v>1698</v>
      </c>
      <c r="Q210" t="s">
        <v>58</v>
      </c>
      <c r="R210" t="str">
        <f>IFERROR(VLOOKUP(record[[#This Row],[PCUSTID]],廠商[],2,FALSE),"")</f>
        <v/>
      </c>
      <c r="S210" t="str">
        <f>VLOOKUP(record[[#This Row],[employeeID]],員工[],2,FALSE)</f>
        <v>羅思潔</v>
      </c>
    </row>
    <row r="211" spans="6:19" hidden="1" x14ac:dyDescent="0.25">
      <c r="F211" t="s">
        <v>1976</v>
      </c>
      <c r="G211" t="s">
        <v>357</v>
      </c>
      <c r="H211" t="str">
        <f>VLOOKUP(record[[#This Row],[ProcessSN]],表格2_7[],2,FALSE)</f>
        <v>30-4118-018-450</v>
      </c>
      <c r="I211" t="str">
        <f>VLOOKUP(record[[#This Row],[ProcessSN]],表格2_7[],3,FALSE)</f>
        <v>#08RCV</v>
      </c>
      <c r="J211" t="s">
        <v>591</v>
      </c>
      <c r="K211" s="195">
        <v>46156.556122685186</v>
      </c>
      <c r="L211">
        <v>0</v>
      </c>
      <c r="M211">
        <v>1</v>
      </c>
      <c r="N211" s="98" t="str">
        <f>IF(record[[#This Row],[Memo]]="Browser:chrome os:android","平板報工",IF(record[[#This Row],[Memo]]=0,"委外",record[[#This Row],[Memo]]))</f>
        <v/>
      </c>
      <c r="O211" t="s">
        <v>58</v>
      </c>
      <c r="P211" t="s">
        <v>141</v>
      </c>
      <c r="Q211" t="s">
        <v>58</v>
      </c>
      <c r="R211" t="str">
        <f>IFERROR(VLOOKUP(record[[#This Row],[PCUSTID]],廠商[],2,FALSE),"")</f>
        <v/>
      </c>
      <c r="S211" t="str">
        <f>VLOOKUP(record[[#This Row],[employeeID]],員工[],2,FALSE)</f>
        <v>蔣梅</v>
      </c>
    </row>
    <row r="212" spans="6:19" hidden="1" x14ac:dyDescent="0.25">
      <c r="F212" t="s">
        <v>1976</v>
      </c>
      <c r="G212" t="s">
        <v>359</v>
      </c>
      <c r="H212" t="str">
        <f>VLOOKUP(record[[#This Row],[ProcessSN]],表格2_7[],2,FALSE)</f>
        <v>30-4118-018-450</v>
      </c>
      <c r="I212" t="str">
        <f>VLOOKUP(record[[#This Row],[ProcessSN]],表格2_7[],3,FALSE)</f>
        <v>#100</v>
      </c>
      <c r="J212" t="s">
        <v>598</v>
      </c>
      <c r="K212" s="195">
        <v>46156.556006944447</v>
      </c>
      <c r="L212">
        <v>77</v>
      </c>
      <c r="M212">
        <v>0</v>
      </c>
      <c r="N212" s="98" t="str">
        <f>IF(record[[#This Row],[Memo]]="Browser:chrome os:android","平板報工",IF(record[[#This Row],[Memo]]=0,"委外",record[[#This Row],[Memo]]))</f>
        <v/>
      </c>
      <c r="O212" t="s">
        <v>58</v>
      </c>
      <c r="P212" t="s">
        <v>141</v>
      </c>
      <c r="Q212" t="s">
        <v>58</v>
      </c>
      <c r="R212" t="str">
        <f>IFERROR(VLOOKUP(record[[#This Row],[PCUSTID]],廠商[],2,FALSE),"")</f>
        <v/>
      </c>
      <c r="S212" t="str">
        <f>VLOOKUP(record[[#This Row],[employeeID]],員工[],2,FALSE)</f>
        <v>蔣梅</v>
      </c>
    </row>
    <row r="213" spans="6:19" hidden="1" x14ac:dyDescent="0.25">
      <c r="F213" t="s">
        <v>1976</v>
      </c>
      <c r="G213" t="s">
        <v>358</v>
      </c>
      <c r="H213" t="str">
        <f>VLOOKUP(record[[#This Row],[ProcessSN]],表格2_7[],2,FALSE)</f>
        <v>30-4118-018-450</v>
      </c>
      <c r="I213" t="str">
        <f>VLOOKUP(record[[#This Row],[ProcessSN]],表格2_7[],3,FALSE)</f>
        <v>#08IQC</v>
      </c>
      <c r="J213" t="s">
        <v>583</v>
      </c>
      <c r="K213" s="195">
        <v>46156.555879629632</v>
      </c>
      <c r="L213">
        <v>7</v>
      </c>
      <c r="M213">
        <v>0</v>
      </c>
      <c r="N213" s="98" t="str">
        <f>IF(record[[#This Row],[Memo]]="Browser:chrome os:android","平板報工",IF(record[[#This Row],[Memo]]=0,"委外",record[[#This Row],[Memo]]))</f>
        <v/>
      </c>
      <c r="O213" t="s">
        <v>58</v>
      </c>
      <c r="P213" t="s">
        <v>141</v>
      </c>
      <c r="Q213" t="s">
        <v>58</v>
      </c>
      <c r="R213" t="str">
        <f>IFERROR(VLOOKUP(record[[#This Row],[PCUSTID]],廠商[],2,FALSE),"")</f>
        <v/>
      </c>
      <c r="S213" t="str">
        <f>VLOOKUP(record[[#This Row],[employeeID]],員工[],2,FALSE)</f>
        <v>蔣梅</v>
      </c>
    </row>
    <row r="214" spans="6:19" hidden="1" x14ac:dyDescent="0.25">
      <c r="F214" t="s">
        <v>1976</v>
      </c>
      <c r="G214" t="s">
        <v>357</v>
      </c>
      <c r="H214" t="str">
        <f>VLOOKUP(record[[#This Row],[ProcessSN]],表格2_7[],2,FALSE)</f>
        <v>30-4118-018-450</v>
      </c>
      <c r="I214" t="str">
        <f>VLOOKUP(record[[#This Row],[ProcessSN]],表格2_7[],3,FALSE)</f>
        <v>#08RCV</v>
      </c>
      <c r="J214" t="s">
        <v>591</v>
      </c>
      <c r="K214" s="195">
        <v>46156.55574074074</v>
      </c>
      <c r="L214">
        <v>7</v>
      </c>
      <c r="M214">
        <v>0</v>
      </c>
      <c r="N214" s="98" t="str">
        <f>IF(record[[#This Row],[Memo]]="Browser:chrome os:android","平板報工",IF(record[[#This Row],[Memo]]=0,"委外",record[[#This Row],[Memo]]))</f>
        <v>覆回</v>
      </c>
      <c r="O214" t="s">
        <v>682</v>
      </c>
      <c r="P214" t="s">
        <v>141</v>
      </c>
      <c r="Q214" t="s">
        <v>58</v>
      </c>
      <c r="R214" t="str">
        <f>IFERROR(VLOOKUP(record[[#This Row],[PCUSTID]],廠商[],2,FALSE),"")</f>
        <v/>
      </c>
      <c r="S214" t="str">
        <f>VLOOKUP(record[[#This Row],[employeeID]],員工[],2,FALSE)</f>
        <v>蔣梅</v>
      </c>
    </row>
    <row r="215" spans="6:19" hidden="1" x14ac:dyDescent="0.25">
      <c r="F215" t="s">
        <v>1857</v>
      </c>
      <c r="G215" t="s">
        <v>469</v>
      </c>
      <c r="H215" t="str">
        <f>VLOOKUP(record[[#This Row],[ProcessSN]],表格2_7[],2,FALSE)</f>
        <v>30-4118-018-XXX</v>
      </c>
      <c r="I215" t="str">
        <f>VLOOKUP(record[[#This Row],[ProcessSN]],表格2_7[],3,FALSE)</f>
        <v>#02RCV</v>
      </c>
      <c r="J215" t="s">
        <v>591</v>
      </c>
      <c r="K215" s="195">
        <v>46156.471898148149</v>
      </c>
      <c r="L215">
        <v>0</v>
      </c>
      <c r="M215">
        <v>4</v>
      </c>
      <c r="N215" s="98" t="str">
        <f>IF(record[[#This Row],[Memo]]="Browser:chrome os:android","平板報工",IF(record[[#This Row],[Memo]]=0,"委外",record[[#This Row],[Memo]]))</f>
        <v/>
      </c>
      <c r="O215" t="s">
        <v>58</v>
      </c>
      <c r="P215" t="s">
        <v>186</v>
      </c>
      <c r="Q215" t="s">
        <v>58</v>
      </c>
      <c r="R215" t="str">
        <f>IFERROR(VLOOKUP(record[[#This Row],[PCUSTID]],廠商[],2,FALSE),"")</f>
        <v/>
      </c>
      <c r="S215" t="str">
        <f>VLOOKUP(record[[#This Row],[employeeID]],員工[],2,FALSE)</f>
        <v>許文姍</v>
      </c>
    </row>
    <row r="216" spans="6:19" hidden="1" x14ac:dyDescent="0.25">
      <c r="F216" t="s">
        <v>1857</v>
      </c>
      <c r="G216" t="s">
        <v>469</v>
      </c>
      <c r="H216" t="str">
        <f>VLOOKUP(record[[#This Row],[ProcessSN]],表格2_7[],2,FALSE)</f>
        <v>30-4118-018-XXX</v>
      </c>
      <c r="I216" t="str">
        <f>VLOOKUP(record[[#This Row],[ProcessSN]],表格2_7[],3,FALSE)</f>
        <v>#02RCV</v>
      </c>
      <c r="J216" t="s">
        <v>591</v>
      </c>
      <c r="K216" s="195">
        <v>46156.471701388888</v>
      </c>
      <c r="L216">
        <v>336</v>
      </c>
      <c r="M216">
        <v>0</v>
      </c>
      <c r="N216" s="98" t="str">
        <f>IF(record[[#This Row],[Memo]]="Browser:chrome os:android","平板報工",IF(record[[#This Row],[Memo]]=0,"委外",record[[#This Row],[Memo]]))</f>
        <v/>
      </c>
      <c r="O216" t="s">
        <v>58</v>
      </c>
      <c r="P216" t="s">
        <v>186</v>
      </c>
      <c r="Q216" t="s">
        <v>58</v>
      </c>
      <c r="R216" t="str">
        <f>IFERROR(VLOOKUP(record[[#This Row],[PCUSTID]],廠商[],2,FALSE),"")</f>
        <v/>
      </c>
      <c r="S216" t="str">
        <f>VLOOKUP(record[[#This Row],[employeeID]],員工[],2,FALSE)</f>
        <v>許文姍</v>
      </c>
    </row>
    <row r="217" spans="6:19" hidden="1" x14ac:dyDescent="0.25">
      <c r="F217" t="s">
        <v>2011</v>
      </c>
      <c r="G217" t="s">
        <v>423</v>
      </c>
      <c r="H217" t="str">
        <f>VLOOKUP(record[[#This Row],[ProcessSN]],表格2_7[],2,FALSE)</f>
        <v>30-4118-018-600</v>
      </c>
      <c r="I217" t="str">
        <f>VLOOKUP(record[[#This Row],[ProcessSN]],表格2_7[],3,FALSE)</f>
        <v>#08RCV</v>
      </c>
      <c r="J217" t="s">
        <v>591</v>
      </c>
      <c r="K217" s="195">
        <v>46156.431342592594</v>
      </c>
      <c r="L217">
        <v>0</v>
      </c>
      <c r="M217">
        <v>1</v>
      </c>
      <c r="N217" s="98" t="str">
        <f>IF(record[[#This Row],[Memo]]="Browser:chrome os:android","平板報工",IF(record[[#This Row],[Memo]]=0,"委外",record[[#This Row],[Memo]]))</f>
        <v/>
      </c>
      <c r="O217" t="s">
        <v>58</v>
      </c>
      <c r="P217" t="s">
        <v>186</v>
      </c>
      <c r="Q217" t="s">
        <v>58</v>
      </c>
      <c r="R217" t="str">
        <f>IFERROR(VLOOKUP(record[[#This Row],[PCUSTID]],廠商[],2,FALSE),"")</f>
        <v/>
      </c>
      <c r="S217" t="str">
        <f>VLOOKUP(record[[#This Row],[employeeID]],員工[],2,FALSE)</f>
        <v>許文姍</v>
      </c>
    </row>
    <row r="218" spans="6:19" hidden="1" x14ac:dyDescent="0.25">
      <c r="F218" t="s">
        <v>2011</v>
      </c>
      <c r="G218" t="s">
        <v>423</v>
      </c>
      <c r="H218" t="str">
        <f>VLOOKUP(record[[#This Row],[ProcessSN]],表格2_7[],2,FALSE)</f>
        <v>30-4118-018-600</v>
      </c>
      <c r="I218" t="str">
        <f>VLOOKUP(record[[#This Row],[ProcessSN]],表格2_7[],3,FALSE)</f>
        <v>#08RCV</v>
      </c>
      <c r="J218" t="s">
        <v>591</v>
      </c>
      <c r="K218" s="195">
        <v>46156.431180555555</v>
      </c>
      <c r="L218">
        <v>808</v>
      </c>
      <c r="M218">
        <v>0</v>
      </c>
      <c r="N218" s="98" t="str">
        <f>IF(record[[#This Row],[Memo]]="Browser:chrome os:android","平板報工",IF(record[[#This Row],[Memo]]=0,"委外",record[[#This Row],[Memo]]))</f>
        <v/>
      </c>
      <c r="O218" t="s">
        <v>58</v>
      </c>
      <c r="P218" t="s">
        <v>186</v>
      </c>
      <c r="Q218" t="s">
        <v>58</v>
      </c>
      <c r="R218" t="str">
        <f>IFERROR(VLOOKUP(record[[#This Row],[PCUSTID]],廠商[],2,FALSE),"")</f>
        <v/>
      </c>
      <c r="S218" t="str">
        <f>VLOOKUP(record[[#This Row],[employeeID]],員工[],2,FALSE)</f>
        <v>許文姍</v>
      </c>
    </row>
    <row r="219" spans="6:19" hidden="1" x14ac:dyDescent="0.25">
      <c r="F219" t="s">
        <v>1982</v>
      </c>
      <c r="G219" t="s">
        <v>428</v>
      </c>
      <c r="H219" t="str">
        <f>VLOOKUP(record[[#This Row],[ProcessSN]],表格2_7[],2,FALSE)</f>
        <v>30-4118-018-600</v>
      </c>
      <c r="I219" t="str">
        <f>VLOOKUP(record[[#This Row],[ProcessSN]],表格2_7[],3,FALSE)</f>
        <v>#100SHIP</v>
      </c>
      <c r="J219" t="s">
        <v>600</v>
      </c>
      <c r="K219" s="195">
        <v>46156.36136574074</v>
      </c>
      <c r="L219">
        <v>41</v>
      </c>
      <c r="M219">
        <v>0</v>
      </c>
      <c r="N219" s="98" t="str">
        <f>IF(record[[#This Row],[Memo]]="Browser:chrome os:android","平板報工",IF(record[[#This Row],[Memo]]=0,"委外",record[[#This Row],[Memo]]))</f>
        <v/>
      </c>
      <c r="O219" t="s">
        <v>58</v>
      </c>
      <c r="P219" t="s">
        <v>886</v>
      </c>
      <c r="Q219" t="s">
        <v>58</v>
      </c>
      <c r="R219" t="str">
        <f>IFERROR(VLOOKUP(record[[#This Row],[PCUSTID]],廠商[],2,FALSE),"")</f>
        <v/>
      </c>
      <c r="S219" t="str">
        <f>VLOOKUP(record[[#This Row],[employeeID]],員工[],2,FALSE)</f>
        <v>謝蓁薰</v>
      </c>
    </row>
    <row r="220" spans="6:19" hidden="1" x14ac:dyDescent="0.25">
      <c r="F220" t="s">
        <v>1982</v>
      </c>
      <c r="G220" t="s">
        <v>427</v>
      </c>
      <c r="H220" t="str">
        <f>VLOOKUP(record[[#This Row],[ProcessSN]],表格2_7[],2,FALSE)</f>
        <v>30-4118-018-600</v>
      </c>
      <c r="I220" t="str">
        <f>VLOOKUP(record[[#This Row],[ProcessSN]],表格2_7[],3,FALSE)</f>
        <v>#100STOCK</v>
      </c>
      <c r="J220" t="s">
        <v>592</v>
      </c>
      <c r="K220" s="195">
        <v>46156.361261574071</v>
      </c>
      <c r="L220">
        <v>41</v>
      </c>
      <c r="M220">
        <v>0</v>
      </c>
      <c r="N220" s="98" t="str">
        <f>IF(record[[#This Row],[Memo]]="Browser:chrome os:android","平板報工",IF(record[[#This Row],[Memo]]=0,"委外",record[[#This Row],[Memo]]))</f>
        <v/>
      </c>
      <c r="O220" t="s">
        <v>58</v>
      </c>
      <c r="P220" t="s">
        <v>886</v>
      </c>
      <c r="Q220" t="s">
        <v>58</v>
      </c>
      <c r="R220" t="str">
        <f>IFERROR(VLOOKUP(record[[#This Row],[PCUSTID]],廠商[],2,FALSE),"")</f>
        <v/>
      </c>
      <c r="S220" t="str">
        <f>VLOOKUP(record[[#This Row],[employeeID]],員工[],2,FALSE)</f>
        <v>謝蓁薰</v>
      </c>
    </row>
    <row r="221" spans="6:19" hidden="1" x14ac:dyDescent="0.25">
      <c r="F221" t="s">
        <v>1987</v>
      </c>
      <c r="G221" t="s">
        <v>450</v>
      </c>
      <c r="H221" t="str">
        <f>VLOOKUP(record[[#This Row],[ProcessSN]],表格2_7[],2,FALSE)</f>
        <v>30-4118-018-6XX</v>
      </c>
      <c r="I221" t="str">
        <f>VLOOKUP(record[[#This Row],[ProcessSN]],表格2_7[],3,FALSE)</f>
        <v>#06</v>
      </c>
      <c r="J221" t="s">
        <v>593</v>
      </c>
      <c r="K221" s="195">
        <v>46156.321469907409</v>
      </c>
      <c r="L221">
        <v>110</v>
      </c>
      <c r="M221">
        <v>0</v>
      </c>
      <c r="N221" s="98" t="str">
        <f>IF(record[[#This Row],[Memo]]="Browser:chrome os:android","平板報工",IF(record[[#This Row],[Memo]]=0,"委外",record[[#This Row],[Memo]]))</f>
        <v/>
      </c>
      <c r="O221" t="s">
        <v>58</v>
      </c>
      <c r="P221" t="s">
        <v>135</v>
      </c>
      <c r="Q221" t="s">
        <v>58</v>
      </c>
      <c r="R221" t="str">
        <f>IFERROR(VLOOKUP(record[[#This Row],[PCUSTID]],廠商[],2,FALSE),"")</f>
        <v/>
      </c>
      <c r="S221" t="str">
        <f>VLOOKUP(record[[#This Row],[employeeID]],員工[],2,FALSE)</f>
        <v>阮士文</v>
      </c>
    </row>
    <row r="222" spans="6:19" hidden="1" x14ac:dyDescent="0.25">
      <c r="F222" t="s">
        <v>1987</v>
      </c>
      <c r="G222" t="s">
        <v>449</v>
      </c>
      <c r="H222" t="str">
        <f>VLOOKUP(record[[#This Row],[ProcessSN]],表格2_7[],2,FALSE)</f>
        <v>30-4118-018-6XX</v>
      </c>
      <c r="I222" t="str">
        <f>VLOOKUP(record[[#This Row],[ProcessSN]],表格2_7[],3,FALSE)</f>
        <v>#05</v>
      </c>
      <c r="J222" t="s">
        <v>588</v>
      </c>
      <c r="K222" s="195">
        <v>46156.321331018517</v>
      </c>
      <c r="L222">
        <v>280</v>
      </c>
      <c r="M222">
        <v>0</v>
      </c>
      <c r="N222" s="98" t="str">
        <f>IF(record[[#This Row],[Memo]]="Browser:chrome os:android","平板報工",IF(record[[#This Row],[Memo]]=0,"委外",record[[#This Row],[Memo]]))</f>
        <v/>
      </c>
      <c r="O222" t="s">
        <v>58</v>
      </c>
      <c r="P222" t="s">
        <v>135</v>
      </c>
      <c r="Q222" t="s">
        <v>58</v>
      </c>
      <c r="R222" t="str">
        <f>IFERROR(VLOOKUP(record[[#This Row],[PCUSTID]],廠商[],2,FALSE),"")</f>
        <v/>
      </c>
      <c r="S222" t="str">
        <f>VLOOKUP(record[[#This Row],[employeeID]],員工[],2,FALSE)</f>
        <v>阮士文</v>
      </c>
    </row>
    <row r="223" spans="6:19" hidden="1" x14ac:dyDescent="0.25">
      <c r="F223" t="s">
        <v>1944</v>
      </c>
      <c r="G223" t="s">
        <v>415</v>
      </c>
      <c r="H223" t="str">
        <f>VLOOKUP(record[[#This Row],[ProcessSN]],表格2_7[],2,FALSE)</f>
        <v>30-4118-018-5XX</v>
      </c>
      <c r="I223" t="str">
        <f>VLOOKUP(record[[#This Row],[ProcessSN]],表格2_7[],3,FALSE)</f>
        <v>#04</v>
      </c>
      <c r="J223" t="s">
        <v>588</v>
      </c>
      <c r="K223" s="195">
        <v>46156.320092592592</v>
      </c>
      <c r="L223">
        <v>0</v>
      </c>
      <c r="M223">
        <v>1</v>
      </c>
      <c r="N223" s="98" t="str">
        <f>IF(record[[#This Row],[Memo]]="Browser:chrome os:android","平板報工",IF(record[[#This Row],[Memo]]=0,"委外",record[[#This Row],[Memo]]))</f>
        <v/>
      </c>
      <c r="O223" t="s">
        <v>58</v>
      </c>
      <c r="P223" t="s">
        <v>135</v>
      </c>
      <c r="Q223" t="s">
        <v>58</v>
      </c>
      <c r="R223" t="str">
        <f>IFERROR(VLOOKUP(record[[#This Row],[PCUSTID]],廠商[],2,FALSE),"")</f>
        <v/>
      </c>
      <c r="S223" t="str">
        <f>VLOOKUP(record[[#This Row],[employeeID]],員工[],2,FALSE)</f>
        <v>阮士文</v>
      </c>
    </row>
    <row r="224" spans="6:19" hidden="1" x14ac:dyDescent="0.25">
      <c r="F224" t="s">
        <v>2016</v>
      </c>
      <c r="G224" t="s">
        <v>447</v>
      </c>
      <c r="H224" t="str">
        <f>VLOOKUP(record[[#This Row],[ProcessSN]],表格2_7[],2,FALSE)</f>
        <v>30-4118-018-6XX</v>
      </c>
      <c r="I224" t="str">
        <f>VLOOKUP(record[[#This Row],[ProcessSN]],表格2_7[],3,FALSE)</f>
        <v>#03</v>
      </c>
      <c r="J224" t="s">
        <v>588</v>
      </c>
      <c r="K224" s="195">
        <v>46156.319398148145</v>
      </c>
      <c r="L224">
        <v>684</v>
      </c>
      <c r="M224">
        <v>0</v>
      </c>
      <c r="N224" s="98" t="str">
        <f>IF(record[[#This Row],[Memo]]="Browser:chrome os:android","平板報工",IF(record[[#This Row],[Memo]]=0,"委外",record[[#This Row],[Memo]]))</f>
        <v/>
      </c>
      <c r="O224" t="s">
        <v>58</v>
      </c>
      <c r="P224" t="s">
        <v>135</v>
      </c>
      <c r="Q224" t="s">
        <v>58</v>
      </c>
      <c r="R224" t="str">
        <f>IFERROR(VLOOKUP(record[[#This Row],[PCUSTID]],廠商[],2,FALSE),"")</f>
        <v/>
      </c>
      <c r="S224" t="str">
        <f>VLOOKUP(record[[#This Row],[employeeID]],員工[],2,FALSE)</f>
        <v>阮士文</v>
      </c>
    </row>
    <row r="225" spans="6:19" hidden="1" x14ac:dyDescent="0.25">
      <c r="F225" t="s">
        <v>1944</v>
      </c>
      <c r="G225" t="s">
        <v>415</v>
      </c>
      <c r="H225" t="str">
        <f>VLOOKUP(record[[#This Row],[ProcessSN]],表格2_7[],2,FALSE)</f>
        <v>30-4118-018-5XX</v>
      </c>
      <c r="I225" t="str">
        <f>VLOOKUP(record[[#This Row],[ProcessSN]],表格2_7[],3,FALSE)</f>
        <v>#04</v>
      </c>
      <c r="J225" t="s">
        <v>588</v>
      </c>
      <c r="K225" s="195">
        <v>46156.314421296294</v>
      </c>
      <c r="L225">
        <v>120</v>
      </c>
      <c r="M225">
        <v>0</v>
      </c>
      <c r="N225" s="98" t="str">
        <f>IF(record[[#This Row],[Memo]]="Browser:chrome os:android","平板報工",IF(record[[#This Row],[Memo]]=0,"委外",record[[#This Row],[Memo]]))</f>
        <v>平板報工</v>
      </c>
      <c r="O225" t="s">
        <v>643</v>
      </c>
      <c r="P225" t="s">
        <v>1847</v>
      </c>
      <c r="Q225" t="s">
        <v>644</v>
      </c>
      <c r="R225" t="str">
        <f>IFERROR(VLOOKUP(record[[#This Row],[PCUSTID]],廠商[],2,FALSE),"")</f>
        <v/>
      </c>
      <c r="S225" t="str">
        <f>VLOOKUP(record[[#This Row],[employeeID]],員工[],2,FALSE)</f>
        <v>潘黎慶平</v>
      </c>
    </row>
    <row r="226" spans="6:19" hidden="1" x14ac:dyDescent="0.25">
      <c r="F226" t="s">
        <v>1944</v>
      </c>
      <c r="G226" t="s">
        <v>415</v>
      </c>
      <c r="H226" t="str">
        <f>VLOOKUP(record[[#This Row],[ProcessSN]],表格2_7[],2,FALSE)</f>
        <v>30-4118-018-5XX</v>
      </c>
      <c r="I226" t="str">
        <f>VLOOKUP(record[[#This Row],[ProcessSN]],表格2_7[],3,FALSE)</f>
        <v>#04</v>
      </c>
      <c r="J226" t="s">
        <v>588</v>
      </c>
      <c r="K226" s="195">
        <v>46156.314131944448</v>
      </c>
      <c r="L226">
        <v>134</v>
      </c>
      <c r="M226">
        <v>0</v>
      </c>
      <c r="N226" s="98" t="str">
        <f>IF(record[[#This Row],[Memo]]="Browser:chrome os:android","平板報工",IF(record[[#This Row],[Memo]]=0,"委外",record[[#This Row],[Memo]]))</f>
        <v>平板報工</v>
      </c>
      <c r="O226" t="s">
        <v>643</v>
      </c>
      <c r="P226" t="s">
        <v>1847</v>
      </c>
      <c r="Q226" t="s">
        <v>644</v>
      </c>
      <c r="R226" t="str">
        <f>IFERROR(VLOOKUP(record[[#This Row],[PCUSTID]],廠商[],2,FALSE),"")</f>
        <v/>
      </c>
      <c r="S226" t="str">
        <f>VLOOKUP(record[[#This Row],[employeeID]],員工[],2,FALSE)</f>
        <v>潘黎慶平</v>
      </c>
    </row>
    <row r="227" spans="6:19" hidden="1" x14ac:dyDescent="0.25">
      <c r="F227" t="s">
        <v>1944</v>
      </c>
      <c r="G227" t="s">
        <v>416</v>
      </c>
      <c r="H227" t="str">
        <f>VLOOKUP(record[[#This Row],[ProcessSN]],表格2_7[],2,FALSE)</f>
        <v>30-4118-018-5XX</v>
      </c>
      <c r="I227" t="str">
        <f>VLOOKUP(record[[#This Row],[ProcessSN]],表格2_7[],3,FALSE)</f>
        <v>#05</v>
      </c>
      <c r="J227" t="s">
        <v>588</v>
      </c>
      <c r="K227" s="195">
        <v>46156.291678240741</v>
      </c>
      <c r="L227">
        <v>284</v>
      </c>
      <c r="M227">
        <v>0</v>
      </c>
      <c r="N227" s="98" t="str">
        <f>IF(record[[#This Row],[Memo]]="Browser:chrome os:android","平板報工",IF(record[[#This Row],[Memo]]=0,"委外",record[[#This Row],[Memo]]))</f>
        <v>平板報工</v>
      </c>
      <c r="O227" t="s">
        <v>643</v>
      </c>
      <c r="P227" t="s">
        <v>843</v>
      </c>
      <c r="Q227" t="s">
        <v>644</v>
      </c>
      <c r="R227" t="str">
        <f>IFERROR(VLOOKUP(record[[#This Row],[PCUSTID]],廠商[],2,FALSE),"")</f>
        <v/>
      </c>
      <c r="S227" t="str">
        <f>VLOOKUP(record[[#This Row],[employeeID]],員工[],2,FALSE)</f>
        <v>張楚承</v>
      </c>
    </row>
    <row r="228" spans="6:19" hidden="1" x14ac:dyDescent="0.25">
      <c r="F228" t="s">
        <v>1987</v>
      </c>
      <c r="G228" t="s">
        <v>450</v>
      </c>
      <c r="H228" t="str">
        <f>VLOOKUP(record[[#This Row],[ProcessSN]],表格2_7[],2,FALSE)</f>
        <v>30-4118-018-6XX</v>
      </c>
      <c r="I228" t="str">
        <f>VLOOKUP(record[[#This Row],[ProcessSN]],表格2_7[],3,FALSE)</f>
        <v>#06</v>
      </c>
      <c r="J228" t="s">
        <v>593</v>
      </c>
      <c r="K228" s="195">
        <v>46156.004363425927</v>
      </c>
      <c r="L228">
        <v>67</v>
      </c>
      <c r="M228">
        <v>0</v>
      </c>
      <c r="N228" s="98" t="str">
        <f>IF(record[[#This Row],[Memo]]="Browser:chrome os:android","平板報工",IF(record[[#This Row],[Memo]]=0,"委外",record[[#This Row],[Memo]]))</f>
        <v/>
      </c>
      <c r="O228" t="s">
        <v>58</v>
      </c>
      <c r="P228" t="s">
        <v>841</v>
      </c>
      <c r="Q228" t="s">
        <v>58</v>
      </c>
      <c r="R228" t="str">
        <f>IFERROR(VLOOKUP(record[[#This Row],[PCUSTID]],廠商[],2,FALSE),"")</f>
        <v/>
      </c>
      <c r="S228" t="str">
        <f>VLOOKUP(record[[#This Row],[employeeID]],員工[],2,FALSE)</f>
        <v>范氏香</v>
      </c>
    </row>
    <row r="229" spans="6:19" hidden="1" x14ac:dyDescent="0.25">
      <c r="F229" t="s">
        <v>1944</v>
      </c>
      <c r="G229" t="s">
        <v>415</v>
      </c>
      <c r="H229" t="str">
        <f>VLOOKUP(record[[#This Row],[ProcessSN]],表格2_7[],2,FALSE)</f>
        <v>30-4118-018-5XX</v>
      </c>
      <c r="I229" t="str">
        <f>VLOOKUP(record[[#This Row],[ProcessSN]],表格2_7[],3,FALSE)</f>
        <v>#04</v>
      </c>
      <c r="J229" t="s">
        <v>588</v>
      </c>
      <c r="K229" s="195">
        <v>46156.002025462964</v>
      </c>
      <c r="L229">
        <v>0</v>
      </c>
      <c r="M229">
        <v>5</v>
      </c>
      <c r="N229" s="98" t="str">
        <f>IF(record[[#This Row],[Memo]]="Browser:chrome os:android","平板報工",IF(record[[#This Row],[Memo]]=0,"委外",record[[#This Row],[Memo]]))</f>
        <v>補報不良品</v>
      </c>
      <c r="O229" t="s">
        <v>2019</v>
      </c>
      <c r="P229" t="s">
        <v>176</v>
      </c>
      <c r="Q229" t="s">
        <v>58</v>
      </c>
      <c r="R229" t="str">
        <f>IFERROR(VLOOKUP(record[[#This Row],[PCUSTID]],廠商[],2,FALSE),"")</f>
        <v/>
      </c>
      <c r="S229" t="str">
        <f>VLOOKUP(record[[#This Row],[employeeID]],員工[],2,FALSE)</f>
        <v>郭政雄</v>
      </c>
    </row>
    <row r="230" spans="6:19" hidden="1" x14ac:dyDescent="0.25">
      <c r="F230" t="s">
        <v>1944</v>
      </c>
      <c r="G230" t="s">
        <v>416</v>
      </c>
      <c r="H230" t="str">
        <f>VLOOKUP(record[[#This Row],[ProcessSN]],表格2_7[],2,FALSE)</f>
        <v>30-4118-018-5XX</v>
      </c>
      <c r="I230" t="str">
        <f>VLOOKUP(record[[#This Row],[ProcessSN]],表格2_7[],3,FALSE)</f>
        <v>#05</v>
      </c>
      <c r="J230" t="s">
        <v>588</v>
      </c>
      <c r="K230" s="195">
        <v>46155.98369212963</v>
      </c>
      <c r="L230">
        <v>277</v>
      </c>
      <c r="M230">
        <v>2</v>
      </c>
      <c r="N230" s="98" t="str">
        <f>IF(record[[#This Row],[Memo]]="Browser:chrome os:android","平板報工",IF(record[[#This Row],[Memo]]=0,"委外",record[[#This Row],[Memo]]))</f>
        <v>平板報工</v>
      </c>
      <c r="O230" t="s">
        <v>643</v>
      </c>
      <c r="P230" t="s">
        <v>89</v>
      </c>
      <c r="Q230" t="s">
        <v>644</v>
      </c>
      <c r="R230" t="str">
        <f>IFERROR(VLOOKUP(record[[#This Row],[PCUSTID]],廠商[],2,FALSE),"")</f>
        <v/>
      </c>
      <c r="S230" t="str">
        <f>VLOOKUP(record[[#This Row],[employeeID]],員工[],2,FALSE)</f>
        <v>李美蓮</v>
      </c>
    </row>
    <row r="231" spans="6:19" hidden="1" x14ac:dyDescent="0.25">
      <c r="F231" t="s">
        <v>1944</v>
      </c>
      <c r="G231" t="s">
        <v>415</v>
      </c>
      <c r="H231" t="str">
        <f>VLOOKUP(record[[#This Row],[ProcessSN]],表格2_7[],2,FALSE)</f>
        <v>30-4118-018-5XX</v>
      </c>
      <c r="I231" t="str">
        <f>VLOOKUP(record[[#This Row],[ProcessSN]],表格2_7[],3,FALSE)</f>
        <v>#04</v>
      </c>
      <c r="J231" t="s">
        <v>588</v>
      </c>
      <c r="K231" s="195">
        <v>46155.980810185189</v>
      </c>
      <c r="L231">
        <v>241</v>
      </c>
      <c r="M231">
        <v>8</v>
      </c>
      <c r="N231" s="98" t="str">
        <f>IF(record[[#This Row],[Memo]]="Browser:chrome os:android","平板報工",IF(record[[#This Row],[Memo]]=0,"委外",record[[#This Row],[Memo]]))</f>
        <v>平板報工</v>
      </c>
      <c r="O231" t="s">
        <v>643</v>
      </c>
      <c r="P231" t="s">
        <v>176</v>
      </c>
      <c r="Q231" t="s">
        <v>644</v>
      </c>
      <c r="R231" t="str">
        <f>IFERROR(VLOOKUP(record[[#This Row],[PCUSTID]],廠商[],2,FALSE),"")</f>
        <v/>
      </c>
      <c r="S231" t="str">
        <f>VLOOKUP(record[[#This Row],[employeeID]],員工[],2,FALSE)</f>
        <v>郭政雄</v>
      </c>
    </row>
    <row r="232" spans="6:19" hidden="1" x14ac:dyDescent="0.25">
      <c r="F232" t="s">
        <v>2016</v>
      </c>
      <c r="G232" t="s">
        <v>447</v>
      </c>
      <c r="H232" t="str">
        <f>VLOOKUP(record[[#This Row],[ProcessSN]],表格2_7[],2,FALSE)</f>
        <v>30-4118-018-6XX</v>
      </c>
      <c r="I232" t="str">
        <f>VLOOKUP(record[[#This Row],[ProcessSN]],表格2_7[],3,FALSE)</f>
        <v>#03</v>
      </c>
      <c r="J232" t="s">
        <v>588</v>
      </c>
      <c r="K232" s="195">
        <v>46155.978020833332</v>
      </c>
      <c r="L232">
        <v>370</v>
      </c>
      <c r="M232">
        <v>0</v>
      </c>
      <c r="N232" s="98" t="str">
        <f>IF(record[[#This Row],[Memo]]="Browser:chrome os:android","平板報工",IF(record[[#This Row],[Memo]]=0,"委外",record[[#This Row],[Memo]]))</f>
        <v>平板報工</v>
      </c>
      <c r="O232" t="s">
        <v>643</v>
      </c>
      <c r="P232" t="s">
        <v>1847</v>
      </c>
      <c r="Q232" t="s">
        <v>644</v>
      </c>
      <c r="R232" t="str">
        <f>IFERROR(VLOOKUP(record[[#This Row],[PCUSTID]],廠商[],2,FALSE),"")</f>
        <v/>
      </c>
      <c r="S232" t="str">
        <f>VLOOKUP(record[[#This Row],[employeeID]],員工[],2,FALSE)</f>
        <v>潘黎慶平</v>
      </c>
    </row>
    <row r="233" spans="6:19" hidden="1" x14ac:dyDescent="0.25">
      <c r="F233" t="s">
        <v>2016</v>
      </c>
      <c r="G233" t="s">
        <v>447</v>
      </c>
      <c r="H233" t="str">
        <f>VLOOKUP(record[[#This Row],[ProcessSN]],表格2_7[],2,FALSE)</f>
        <v>30-4118-018-6XX</v>
      </c>
      <c r="I233" t="str">
        <f>VLOOKUP(record[[#This Row],[ProcessSN]],表格2_7[],3,FALSE)</f>
        <v>#03</v>
      </c>
      <c r="J233" t="s">
        <v>588</v>
      </c>
      <c r="K233" s="195">
        <v>46155.824363425927</v>
      </c>
      <c r="L233">
        <v>134</v>
      </c>
      <c r="M233">
        <v>0</v>
      </c>
      <c r="N233" s="98" t="str">
        <f>IF(record[[#This Row],[Memo]]="Browser:chrome os:android","平板報工",IF(record[[#This Row],[Memo]]=0,"委外",record[[#This Row],[Memo]]))</f>
        <v>平板報工</v>
      </c>
      <c r="O233" t="s">
        <v>643</v>
      </c>
      <c r="P233" t="s">
        <v>1669</v>
      </c>
      <c r="Q233" t="s">
        <v>644</v>
      </c>
      <c r="R233" t="str">
        <f>IFERROR(VLOOKUP(record[[#This Row],[PCUSTID]],廠商[],2,FALSE),"")</f>
        <v/>
      </c>
      <c r="S233" t="str">
        <f>VLOOKUP(record[[#This Row],[employeeID]],員工[],2,FALSE)</f>
        <v>武氏麗娟</v>
      </c>
    </row>
    <row r="234" spans="6:19" hidden="1" x14ac:dyDescent="0.25">
      <c r="F234" t="s">
        <v>1987</v>
      </c>
      <c r="G234" t="s">
        <v>450</v>
      </c>
      <c r="H234" t="str">
        <f>VLOOKUP(record[[#This Row],[ProcessSN]],表格2_7[],2,FALSE)</f>
        <v>30-4118-018-6XX</v>
      </c>
      <c r="I234" t="str">
        <f>VLOOKUP(record[[#This Row],[ProcessSN]],表格2_7[],3,FALSE)</f>
        <v>#06</v>
      </c>
      <c r="J234" t="s">
        <v>593</v>
      </c>
      <c r="K234" s="195">
        <v>46155.821944444448</v>
      </c>
      <c r="L234">
        <v>76</v>
      </c>
      <c r="M234">
        <v>0</v>
      </c>
      <c r="N234" s="98" t="str">
        <f>IF(record[[#This Row],[Memo]]="Browser:chrome os:android","平板報工",IF(record[[#This Row],[Memo]]=0,"委外",record[[#This Row],[Memo]]))</f>
        <v>平板報工</v>
      </c>
      <c r="O234" t="s">
        <v>643</v>
      </c>
      <c r="P234" t="s">
        <v>1413</v>
      </c>
      <c r="Q234" t="s">
        <v>644</v>
      </c>
      <c r="R234" t="str">
        <f>IFERROR(VLOOKUP(record[[#This Row],[PCUSTID]],廠商[],2,FALSE),"")</f>
        <v/>
      </c>
      <c r="S234" t="str">
        <f>VLOOKUP(record[[#This Row],[employeeID]],員工[],2,FALSE)</f>
        <v>阮氏芳英(芳)</v>
      </c>
    </row>
    <row r="235" spans="6:19" hidden="1" x14ac:dyDescent="0.25">
      <c r="F235" t="s">
        <v>2016</v>
      </c>
      <c r="G235" t="s">
        <v>446</v>
      </c>
      <c r="H235" t="str">
        <f>VLOOKUP(record[[#This Row],[ProcessSN]],表格2_7[],2,FALSE)</f>
        <v>30-4118-018-6XX</v>
      </c>
      <c r="I235" t="str">
        <f>VLOOKUP(record[[#This Row],[ProcessSN]],表格2_7[],3,FALSE)</f>
        <v>#03GIVE</v>
      </c>
      <c r="J235" t="s">
        <v>587</v>
      </c>
      <c r="K235" s="195">
        <v>46155.821215277778</v>
      </c>
      <c r="L235">
        <v>1188</v>
      </c>
      <c r="M235">
        <v>0</v>
      </c>
      <c r="N235" s="98" t="str">
        <f>IF(record[[#This Row],[Memo]]="Browser:chrome os:android","平板報工",IF(record[[#This Row],[Memo]]=0,"委外",record[[#This Row],[Memo]]))</f>
        <v>代報工</v>
      </c>
      <c r="O235" t="s">
        <v>2018</v>
      </c>
      <c r="P235" t="s">
        <v>141</v>
      </c>
      <c r="Q235" t="s">
        <v>58</v>
      </c>
      <c r="R235" t="str">
        <f>IFERROR(VLOOKUP(record[[#This Row],[PCUSTID]],廠商[],2,FALSE),"")</f>
        <v/>
      </c>
      <c r="S235" t="str">
        <f>VLOOKUP(record[[#This Row],[employeeID]],員工[],2,FALSE)</f>
        <v>蔣梅</v>
      </c>
    </row>
    <row r="236" spans="6:19" hidden="1" x14ac:dyDescent="0.25">
      <c r="F236" t="s">
        <v>1965</v>
      </c>
      <c r="G236" t="s">
        <v>414</v>
      </c>
      <c r="H236" t="str">
        <f>VLOOKUP(record[[#This Row],[ProcessSN]],表格2_7[],2,FALSE)</f>
        <v>30-4118-018-5XX</v>
      </c>
      <c r="I236" t="str">
        <f>VLOOKUP(record[[#This Row],[ProcessSN]],表格2_7[],3,FALSE)</f>
        <v>#03</v>
      </c>
      <c r="J236" t="s">
        <v>588</v>
      </c>
      <c r="K236" s="195">
        <v>46155.817245370374</v>
      </c>
      <c r="L236">
        <v>316</v>
      </c>
      <c r="M236">
        <v>0</v>
      </c>
      <c r="N236" s="98" t="str">
        <f>IF(record[[#This Row],[Memo]]="Browser:chrome os:android","平板報工",IF(record[[#This Row],[Memo]]=0,"委外",record[[#This Row],[Memo]]))</f>
        <v>平板報工</v>
      </c>
      <c r="O236" t="s">
        <v>643</v>
      </c>
      <c r="P236" t="s">
        <v>1669</v>
      </c>
      <c r="Q236" t="s">
        <v>644</v>
      </c>
      <c r="R236" t="str">
        <f>IFERROR(VLOOKUP(record[[#This Row],[PCUSTID]],廠商[],2,FALSE),"")</f>
        <v/>
      </c>
      <c r="S236" t="str">
        <f>VLOOKUP(record[[#This Row],[employeeID]],員工[],2,FALSE)</f>
        <v>武氏麗娟</v>
      </c>
    </row>
    <row r="237" spans="6:19" hidden="1" x14ac:dyDescent="0.25">
      <c r="F237" t="s">
        <v>1857</v>
      </c>
      <c r="G237" t="s">
        <v>471</v>
      </c>
      <c r="H237" t="str">
        <f>VLOOKUP(record[[#This Row],[ProcessSN]],表格2_7[],2,FALSE)</f>
        <v>30-4118-018-XXX</v>
      </c>
      <c r="I237" t="str">
        <f>VLOOKUP(record[[#This Row],[ProcessSN]],表格2_7[],3,FALSE)</f>
        <v>#02STOCK</v>
      </c>
      <c r="J237" t="s">
        <v>592</v>
      </c>
      <c r="K237" s="195">
        <v>46155.748877314814</v>
      </c>
      <c r="L237">
        <v>504</v>
      </c>
      <c r="M237">
        <v>0</v>
      </c>
      <c r="N237" s="98" t="str">
        <f>IF(record[[#This Row],[Memo]]="Browser:chrome os:android","平板報工",IF(record[[#This Row],[Memo]]=0,"委外",record[[#This Row],[Memo]]))</f>
        <v/>
      </c>
      <c r="O237" t="s">
        <v>58</v>
      </c>
      <c r="P237" t="s">
        <v>125</v>
      </c>
      <c r="Q237" t="s">
        <v>58</v>
      </c>
      <c r="R237" t="str">
        <f>IFERROR(VLOOKUP(record[[#This Row],[PCUSTID]],廠商[],2,FALSE),"")</f>
        <v/>
      </c>
      <c r="S237" t="str">
        <f>VLOOKUP(record[[#This Row],[employeeID]],員工[],2,FALSE)</f>
        <v>黃瓈巧</v>
      </c>
    </row>
    <row r="238" spans="6:19" hidden="1" x14ac:dyDescent="0.25">
      <c r="F238" t="s">
        <v>2016</v>
      </c>
      <c r="G238" t="s">
        <v>445</v>
      </c>
      <c r="H238" t="str">
        <f>VLOOKUP(record[[#This Row],[ProcessSN]],表格2_7[],2,FALSE)</f>
        <v>30-4118-018-6XX</v>
      </c>
      <c r="I238" t="str">
        <f>VLOOKUP(record[[#This Row],[ProcessSN]],表格2_7[],3,FALSE)</f>
        <v>#03PICK</v>
      </c>
      <c r="J238" t="s">
        <v>582</v>
      </c>
      <c r="K238" s="195">
        <v>46155.742939814816</v>
      </c>
      <c r="L238">
        <v>1188</v>
      </c>
      <c r="M238">
        <v>0</v>
      </c>
      <c r="N238" s="98" t="str">
        <f>IF(record[[#This Row],[Memo]]="Browser:chrome os:android","平板報工",IF(record[[#This Row],[Memo]]=0,"委外",record[[#This Row],[Memo]]))</f>
        <v/>
      </c>
      <c r="O238" t="s">
        <v>58</v>
      </c>
      <c r="P238" t="s">
        <v>113</v>
      </c>
      <c r="Q238" t="s">
        <v>58</v>
      </c>
      <c r="R238" t="str">
        <f>IFERROR(VLOOKUP(record[[#This Row],[PCUSTID]],廠商[],2,FALSE),"")</f>
        <v/>
      </c>
      <c r="S238" t="str">
        <f>VLOOKUP(record[[#This Row],[employeeID]],員工[],2,FALSE)</f>
        <v>王奕蓁</v>
      </c>
    </row>
    <row r="239" spans="6:19" hidden="1" x14ac:dyDescent="0.25">
      <c r="F239" t="s">
        <v>1995</v>
      </c>
      <c r="G239" t="s">
        <v>442</v>
      </c>
      <c r="H239" t="str">
        <f>VLOOKUP(record[[#This Row],[ProcessSN]],表格2_7[],2,FALSE)</f>
        <v>30-4118-018-650</v>
      </c>
      <c r="I239" t="str">
        <f>VLOOKUP(record[[#This Row],[ProcessSN]],表格2_7[],3,FALSE)</f>
        <v>#100OQC</v>
      </c>
      <c r="J239" t="s">
        <v>599</v>
      </c>
      <c r="K239" s="195">
        <v>46155.714814814812</v>
      </c>
      <c r="L239">
        <v>6</v>
      </c>
      <c r="M239">
        <v>0</v>
      </c>
      <c r="N239" s="98" t="str">
        <f>IF(record[[#This Row],[Memo]]="Browser:chrome os:android","平板報工",IF(record[[#This Row],[Memo]]=0,"委外",record[[#This Row],[Memo]]))</f>
        <v/>
      </c>
      <c r="O239" t="s">
        <v>58</v>
      </c>
      <c r="P239" t="s">
        <v>121</v>
      </c>
      <c r="Q239" t="s">
        <v>58</v>
      </c>
      <c r="R239" t="str">
        <f>IFERROR(VLOOKUP(record[[#This Row],[PCUSTID]],廠商[],2,FALSE),"")</f>
        <v/>
      </c>
      <c r="S239" t="str">
        <f>VLOOKUP(record[[#This Row],[employeeID]],員工[],2,FALSE)</f>
        <v>謝素卿</v>
      </c>
    </row>
    <row r="240" spans="6:19" hidden="1" x14ac:dyDescent="0.25">
      <c r="F240" t="s">
        <v>2005</v>
      </c>
      <c r="G240" t="s">
        <v>442</v>
      </c>
      <c r="H240" t="str">
        <f>VLOOKUP(record[[#This Row],[ProcessSN]],表格2_7[],2,FALSE)</f>
        <v>30-4118-018-650</v>
      </c>
      <c r="I240" t="str">
        <f>VLOOKUP(record[[#This Row],[ProcessSN]],表格2_7[],3,FALSE)</f>
        <v>#100OQC</v>
      </c>
      <c r="J240" t="s">
        <v>599</v>
      </c>
      <c r="K240" s="195">
        <v>46155.714675925927</v>
      </c>
      <c r="L240">
        <v>383</v>
      </c>
      <c r="M240">
        <v>0</v>
      </c>
      <c r="N240" s="98" t="str">
        <f>IF(record[[#This Row],[Memo]]="Browser:chrome os:android","平板報工",IF(record[[#This Row],[Memo]]=0,"委外",record[[#This Row],[Memo]]))</f>
        <v/>
      </c>
      <c r="O240" t="s">
        <v>58</v>
      </c>
      <c r="P240" t="s">
        <v>121</v>
      </c>
      <c r="Q240" t="s">
        <v>58</v>
      </c>
      <c r="R240" t="str">
        <f>IFERROR(VLOOKUP(record[[#This Row],[PCUSTID]],廠商[],2,FALSE),"")</f>
        <v/>
      </c>
      <c r="S240" t="str">
        <f>VLOOKUP(record[[#This Row],[employeeID]],員工[],2,FALSE)</f>
        <v>謝素卿</v>
      </c>
    </row>
    <row r="241" spans="6:19" hidden="1" x14ac:dyDescent="0.25">
      <c r="F241" t="s">
        <v>1995</v>
      </c>
      <c r="G241" t="s">
        <v>441</v>
      </c>
      <c r="H241" t="str">
        <f>VLOOKUP(record[[#This Row],[ProcessSN]],表格2_7[],2,FALSE)</f>
        <v>30-4118-018-650</v>
      </c>
      <c r="I241" t="str">
        <f>VLOOKUP(record[[#This Row],[ProcessSN]],表格2_7[],3,FALSE)</f>
        <v>#100</v>
      </c>
      <c r="J241" t="s">
        <v>598</v>
      </c>
      <c r="K241" s="195">
        <v>46155.706562500003</v>
      </c>
      <c r="L241">
        <v>6</v>
      </c>
      <c r="M241">
        <v>0</v>
      </c>
      <c r="N241" s="98" t="str">
        <f>IF(record[[#This Row],[Memo]]="Browser:chrome os:android","平板報工",IF(record[[#This Row],[Memo]]=0,"委外",record[[#This Row],[Memo]]))</f>
        <v>覆回</v>
      </c>
      <c r="O241" t="s">
        <v>682</v>
      </c>
      <c r="P241" t="s">
        <v>141</v>
      </c>
      <c r="Q241" t="s">
        <v>58</v>
      </c>
      <c r="R241" t="str">
        <f>IFERROR(VLOOKUP(record[[#This Row],[PCUSTID]],廠商[],2,FALSE),"")</f>
        <v/>
      </c>
      <c r="S241" t="str">
        <f>VLOOKUP(record[[#This Row],[employeeID]],員工[],2,FALSE)</f>
        <v>蔣梅</v>
      </c>
    </row>
    <row r="242" spans="6:19" hidden="1" x14ac:dyDescent="0.25">
      <c r="F242" t="s">
        <v>1995</v>
      </c>
      <c r="G242" t="s">
        <v>440</v>
      </c>
      <c r="H242" t="str">
        <f>VLOOKUP(record[[#This Row],[ProcessSN]],表格2_7[],2,FALSE)</f>
        <v>30-4118-018-650</v>
      </c>
      <c r="I242" t="str">
        <f>VLOOKUP(record[[#This Row],[ProcessSN]],表格2_7[],3,FALSE)</f>
        <v>#08IQC</v>
      </c>
      <c r="J242" t="s">
        <v>583</v>
      </c>
      <c r="K242" s="195">
        <v>46155.706412037034</v>
      </c>
      <c r="L242">
        <v>6</v>
      </c>
      <c r="M242">
        <v>0</v>
      </c>
      <c r="N242" s="98" t="str">
        <f>IF(record[[#This Row],[Memo]]="Browser:chrome os:android","平板報工",IF(record[[#This Row],[Memo]]=0,"委外",record[[#This Row],[Memo]]))</f>
        <v>覆回</v>
      </c>
      <c r="O242" t="s">
        <v>682</v>
      </c>
      <c r="P242" t="s">
        <v>141</v>
      </c>
      <c r="Q242" t="s">
        <v>58</v>
      </c>
      <c r="R242" t="str">
        <f>IFERROR(VLOOKUP(record[[#This Row],[PCUSTID]],廠商[],2,FALSE),"")</f>
        <v/>
      </c>
      <c r="S242" t="str">
        <f>VLOOKUP(record[[#This Row],[employeeID]],員工[],2,FALSE)</f>
        <v>蔣梅</v>
      </c>
    </row>
    <row r="243" spans="6:19" hidden="1" x14ac:dyDescent="0.25">
      <c r="F243" t="s">
        <v>1995</v>
      </c>
      <c r="G243" t="s">
        <v>439</v>
      </c>
      <c r="H243" t="str">
        <f>VLOOKUP(record[[#This Row],[ProcessSN]],表格2_7[],2,FALSE)</f>
        <v>30-4118-018-650</v>
      </c>
      <c r="I243" t="str">
        <f>VLOOKUP(record[[#This Row],[ProcessSN]],表格2_7[],3,FALSE)</f>
        <v>#08RCV</v>
      </c>
      <c r="J243" t="s">
        <v>591</v>
      </c>
      <c r="K243" s="195">
        <v>46155.706226851849</v>
      </c>
      <c r="L243">
        <v>0</v>
      </c>
      <c r="M243">
        <v>43</v>
      </c>
      <c r="N243" s="98" t="str">
        <f>IF(record[[#This Row],[Memo]]="Browser:chrome os:android","平板報工",IF(record[[#This Row],[Memo]]=0,"委外",record[[#This Row],[Memo]]))</f>
        <v/>
      </c>
      <c r="O243" t="s">
        <v>58</v>
      </c>
      <c r="P243" t="s">
        <v>141</v>
      </c>
      <c r="Q243" t="s">
        <v>58</v>
      </c>
      <c r="R243" t="str">
        <f>IFERROR(VLOOKUP(record[[#This Row],[PCUSTID]],廠商[],2,FALSE),"")</f>
        <v/>
      </c>
      <c r="S243" t="str">
        <f>VLOOKUP(record[[#This Row],[employeeID]],員工[],2,FALSE)</f>
        <v>蔣梅</v>
      </c>
    </row>
    <row r="244" spans="6:19" hidden="1" x14ac:dyDescent="0.25">
      <c r="F244" t="s">
        <v>1995</v>
      </c>
      <c r="G244" t="s">
        <v>439</v>
      </c>
      <c r="H244" t="str">
        <f>VLOOKUP(record[[#This Row],[ProcessSN]],表格2_7[],2,FALSE)</f>
        <v>30-4118-018-650</v>
      </c>
      <c r="I244" t="str">
        <f>VLOOKUP(record[[#This Row],[ProcessSN]],表格2_7[],3,FALSE)</f>
        <v>#08RCV</v>
      </c>
      <c r="J244" t="s">
        <v>591</v>
      </c>
      <c r="K244" s="195">
        <v>46155.706087962964</v>
      </c>
      <c r="L244">
        <v>6</v>
      </c>
      <c r="M244">
        <v>0</v>
      </c>
      <c r="N244" s="98" t="str">
        <f>IF(record[[#This Row],[Memo]]="Browser:chrome os:android","平板報工",IF(record[[#This Row],[Memo]]=0,"委外",record[[#This Row],[Memo]]))</f>
        <v>覆回</v>
      </c>
      <c r="O244" t="s">
        <v>682</v>
      </c>
      <c r="P244" t="s">
        <v>141</v>
      </c>
      <c r="Q244" t="s">
        <v>58</v>
      </c>
      <c r="R244" t="str">
        <f>IFERROR(VLOOKUP(record[[#This Row],[PCUSTID]],廠商[],2,FALSE),"")</f>
        <v/>
      </c>
      <c r="S244" t="str">
        <f>VLOOKUP(record[[#This Row],[employeeID]],員工[],2,FALSE)</f>
        <v>蔣梅</v>
      </c>
    </row>
    <row r="245" spans="6:19" hidden="1" x14ac:dyDescent="0.25">
      <c r="F245" t="s">
        <v>2005</v>
      </c>
      <c r="G245" t="s">
        <v>441</v>
      </c>
      <c r="H245" t="str">
        <f>VLOOKUP(record[[#This Row],[ProcessSN]],表格2_7[],2,FALSE)</f>
        <v>30-4118-018-650</v>
      </c>
      <c r="I245" t="str">
        <f>VLOOKUP(record[[#This Row],[ProcessSN]],表格2_7[],3,FALSE)</f>
        <v>#100</v>
      </c>
      <c r="J245" t="s">
        <v>598</v>
      </c>
      <c r="K245" s="195">
        <v>46155.703472222223</v>
      </c>
      <c r="L245">
        <v>383</v>
      </c>
      <c r="M245">
        <v>0</v>
      </c>
      <c r="N245" s="98" t="str">
        <f>IF(record[[#This Row],[Memo]]="Browser:chrome os:android","平板報工",IF(record[[#This Row],[Memo]]=0,"委外",record[[#This Row],[Memo]]))</f>
        <v/>
      </c>
      <c r="O245" t="s">
        <v>58</v>
      </c>
      <c r="P245" t="s">
        <v>141</v>
      </c>
      <c r="Q245" t="s">
        <v>58</v>
      </c>
      <c r="R245" t="str">
        <f>IFERROR(VLOOKUP(record[[#This Row],[PCUSTID]],廠商[],2,FALSE),"")</f>
        <v/>
      </c>
      <c r="S245" t="str">
        <f>VLOOKUP(record[[#This Row],[employeeID]],員工[],2,FALSE)</f>
        <v>蔣梅</v>
      </c>
    </row>
    <row r="246" spans="6:19" hidden="1" x14ac:dyDescent="0.25">
      <c r="F246" t="s">
        <v>1857</v>
      </c>
      <c r="G246" t="s">
        <v>470</v>
      </c>
      <c r="H246" t="str">
        <f>VLOOKUP(record[[#This Row],[ProcessSN]],表格2_7[],2,FALSE)</f>
        <v>30-4118-018-XXX</v>
      </c>
      <c r="I246" t="str">
        <f>VLOOKUP(record[[#This Row],[ProcessSN]],表格2_7[],3,FALSE)</f>
        <v>#02IQC</v>
      </c>
      <c r="J246" t="s">
        <v>583</v>
      </c>
      <c r="K246" s="195">
        <v>46155.669293981482</v>
      </c>
      <c r="L246">
        <v>504</v>
      </c>
      <c r="M246">
        <v>0</v>
      </c>
      <c r="N246" s="98" t="str">
        <f>IF(record[[#This Row],[Memo]]="Browser:chrome os:android","平板報工",IF(record[[#This Row],[Memo]]=0,"委外",record[[#This Row],[Memo]]))</f>
        <v/>
      </c>
      <c r="O246" t="s">
        <v>58</v>
      </c>
      <c r="P246" t="s">
        <v>109</v>
      </c>
      <c r="Q246" t="s">
        <v>58</v>
      </c>
      <c r="R246" t="str">
        <f>IFERROR(VLOOKUP(record[[#This Row],[PCUSTID]],廠商[],2,FALSE),"")</f>
        <v/>
      </c>
      <c r="S246" t="str">
        <f>VLOOKUP(record[[#This Row],[employeeID]],員工[],2,FALSE)</f>
        <v>裴氏璧鳳</v>
      </c>
    </row>
    <row r="247" spans="6:19" hidden="1" x14ac:dyDescent="0.25">
      <c r="F247" t="s">
        <v>1944</v>
      </c>
      <c r="G247" t="s">
        <v>416</v>
      </c>
      <c r="H247" t="str">
        <f>VLOOKUP(record[[#This Row],[ProcessSN]],表格2_7[],2,FALSE)</f>
        <v>30-4118-018-5XX</v>
      </c>
      <c r="I247" t="str">
        <f>VLOOKUP(record[[#This Row],[ProcessSN]],表格2_7[],3,FALSE)</f>
        <v>#05</v>
      </c>
      <c r="J247" t="s">
        <v>588</v>
      </c>
      <c r="K247" s="195">
        <v>46155.658460648148</v>
      </c>
      <c r="L247">
        <v>119</v>
      </c>
      <c r="M247">
        <v>0</v>
      </c>
      <c r="N247" s="98" t="str">
        <f>IF(record[[#This Row],[Memo]]="Browser:chrome os:android","平板報工",IF(record[[#This Row],[Memo]]=0,"委外",record[[#This Row],[Memo]]))</f>
        <v>平板報工</v>
      </c>
      <c r="O247" t="s">
        <v>643</v>
      </c>
      <c r="P247" t="s">
        <v>145</v>
      </c>
      <c r="Q247" t="s">
        <v>644</v>
      </c>
      <c r="R247" t="str">
        <f>IFERROR(VLOOKUP(record[[#This Row],[PCUSTID]],廠商[],2,FALSE),"")</f>
        <v/>
      </c>
      <c r="S247" t="str">
        <f>VLOOKUP(record[[#This Row],[employeeID]],員工[],2,FALSE)</f>
        <v>阮秋霞</v>
      </c>
    </row>
    <row r="248" spans="6:19" hidden="1" x14ac:dyDescent="0.25">
      <c r="F248" t="s">
        <v>1987</v>
      </c>
      <c r="G248" t="s">
        <v>449</v>
      </c>
      <c r="H248" t="str">
        <f>VLOOKUP(record[[#This Row],[ProcessSN]],表格2_7[],2,FALSE)</f>
        <v>30-4118-018-6XX</v>
      </c>
      <c r="I248" t="str">
        <f>VLOOKUP(record[[#This Row],[ProcessSN]],表格2_7[],3,FALSE)</f>
        <v>#05</v>
      </c>
      <c r="J248" t="s">
        <v>588</v>
      </c>
      <c r="K248" s="195">
        <v>46155.657766203702</v>
      </c>
      <c r="L248">
        <v>154</v>
      </c>
      <c r="M248">
        <v>0</v>
      </c>
      <c r="N248" s="98" t="str">
        <f>IF(record[[#This Row],[Memo]]="Browser:chrome os:android","平板報工",IF(record[[#This Row],[Memo]]=0,"委外",record[[#This Row],[Memo]]))</f>
        <v>平板報工</v>
      </c>
      <c r="O248" t="s">
        <v>643</v>
      </c>
      <c r="P248" t="s">
        <v>145</v>
      </c>
      <c r="Q248" t="s">
        <v>644</v>
      </c>
      <c r="R248" t="str">
        <f>IFERROR(VLOOKUP(record[[#This Row],[PCUSTID]],廠商[],2,FALSE),"")</f>
        <v/>
      </c>
      <c r="S248" t="str">
        <f>VLOOKUP(record[[#This Row],[employeeID]],員工[],2,FALSE)</f>
        <v>阮秋霞</v>
      </c>
    </row>
    <row r="249" spans="6:19" hidden="1" x14ac:dyDescent="0.25">
      <c r="F249" t="s">
        <v>1944</v>
      </c>
      <c r="G249" t="s">
        <v>415</v>
      </c>
      <c r="H249" t="str">
        <f>VLOOKUP(record[[#This Row],[ProcessSN]],表格2_7[],2,FALSE)</f>
        <v>30-4118-018-5XX</v>
      </c>
      <c r="I249" t="str">
        <f>VLOOKUP(record[[#This Row],[ProcessSN]],表格2_7[],3,FALSE)</f>
        <v>#04</v>
      </c>
      <c r="J249" t="s">
        <v>588</v>
      </c>
      <c r="K249" s="195">
        <v>46155.654942129629</v>
      </c>
      <c r="L249">
        <v>270</v>
      </c>
      <c r="M249">
        <v>3</v>
      </c>
      <c r="N249" s="98" t="str">
        <f>IF(record[[#This Row],[Memo]]="Browser:chrome os:android","平板報工",IF(record[[#This Row],[Memo]]=0,"委外",record[[#This Row],[Memo]]))</f>
        <v>平板報工</v>
      </c>
      <c r="O249" t="s">
        <v>643</v>
      </c>
      <c r="P249" t="s">
        <v>139</v>
      </c>
      <c r="Q249" t="s">
        <v>644</v>
      </c>
      <c r="R249" t="str">
        <f>IFERROR(VLOOKUP(record[[#This Row],[PCUSTID]],廠商[],2,FALSE),"")</f>
        <v/>
      </c>
      <c r="S249" t="str">
        <f>VLOOKUP(record[[#This Row],[employeeID]],員工[],2,FALSE)</f>
        <v>高氏顏</v>
      </c>
    </row>
    <row r="250" spans="6:19" hidden="1" x14ac:dyDescent="0.25">
      <c r="F250" t="s">
        <v>1987</v>
      </c>
      <c r="G250" t="s">
        <v>450</v>
      </c>
      <c r="H250" t="str">
        <f>VLOOKUP(record[[#This Row],[ProcessSN]],表格2_7[],2,FALSE)</f>
        <v>30-4118-018-6XX</v>
      </c>
      <c r="I250" t="str">
        <f>VLOOKUP(record[[#This Row],[ProcessSN]],表格2_7[],3,FALSE)</f>
        <v>#06</v>
      </c>
      <c r="J250" t="s">
        <v>593</v>
      </c>
      <c r="K250" s="195">
        <v>46155.64329861111</v>
      </c>
      <c r="L250">
        <v>133</v>
      </c>
      <c r="M250">
        <v>0</v>
      </c>
      <c r="N250" s="98" t="str">
        <f>IF(record[[#This Row],[Memo]]="Browser:chrome os:android","平板報工",IF(record[[#This Row],[Memo]]=0,"委外",record[[#This Row],[Memo]]))</f>
        <v>平板報工</v>
      </c>
      <c r="O250" t="s">
        <v>643</v>
      </c>
      <c r="P250" t="s">
        <v>1413</v>
      </c>
      <c r="Q250" t="s">
        <v>644</v>
      </c>
      <c r="R250" t="str">
        <f>IFERROR(VLOOKUP(record[[#This Row],[PCUSTID]],廠商[],2,FALSE),"")</f>
        <v/>
      </c>
      <c r="S250" t="str">
        <f>VLOOKUP(record[[#This Row],[employeeID]],員工[],2,FALSE)</f>
        <v>阮氏芳英(芳)</v>
      </c>
    </row>
    <row r="251" spans="6:19" hidden="1" x14ac:dyDescent="0.25">
      <c r="F251" t="s">
        <v>1857</v>
      </c>
      <c r="G251" t="s">
        <v>469</v>
      </c>
      <c r="H251" t="str">
        <f>VLOOKUP(record[[#This Row],[ProcessSN]],表格2_7[],2,FALSE)</f>
        <v>30-4118-018-XXX</v>
      </c>
      <c r="I251" t="str">
        <f>VLOOKUP(record[[#This Row],[ProcessSN]],表格2_7[],3,FALSE)</f>
        <v>#02RCV</v>
      </c>
      <c r="J251" t="s">
        <v>591</v>
      </c>
      <c r="K251" s="195">
        <v>46155.45003472222</v>
      </c>
      <c r="L251">
        <v>504</v>
      </c>
      <c r="M251">
        <v>0</v>
      </c>
      <c r="N251" s="98" t="str">
        <f>IF(record[[#This Row],[Memo]]="Browser:chrome os:android","平板報工",IF(record[[#This Row],[Memo]]=0,"委外",record[[#This Row],[Memo]]))</f>
        <v/>
      </c>
      <c r="O251" t="s">
        <v>58</v>
      </c>
      <c r="P251" t="s">
        <v>186</v>
      </c>
      <c r="Q251" t="s">
        <v>58</v>
      </c>
      <c r="R251" t="str">
        <f>IFERROR(VLOOKUP(record[[#This Row],[PCUSTID]],廠商[],2,FALSE),"")</f>
        <v/>
      </c>
      <c r="S251" t="str">
        <f>VLOOKUP(record[[#This Row],[employeeID]],員工[],2,FALSE)</f>
        <v>許文姍</v>
      </c>
    </row>
    <row r="252" spans="6:19" hidden="1" x14ac:dyDescent="0.25">
      <c r="F252" t="s">
        <v>2004</v>
      </c>
      <c r="G252" t="s">
        <v>436</v>
      </c>
      <c r="H252" t="str">
        <f>VLOOKUP(record[[#This Row],[ProcessSN]],表格2_7[],2,FALSE)</f>
        <v>30-4118-018-620</v>
      </c>
      <c r="I252" t="str">
        <f>VLOOKUP(record[[#This Row],[ProcessSN]],表格2_7[],3,FALSE)</f>
        <v>#100SHIP</v>
      </c>
      <c r="J252" t="s">
        <v>600</v>
      </c>
      <c r="K252" s="195">
        <v>46155.427928240744</v>
      </c>
      <c r="L252">
        <v>184</v>
      </c>
      <c r="M252">
        <v>0</v>
      </c>
      <c r="N252" s="98" t="str">
        <f>IF(record[[#This Row],[Memo]]="Browser:chrome os:android","平板報工",IF(record[[#This Row],[Memo]]=0,"委外",record[[#This Row],[Memo]]))</f>
        <v>補5/12出貨</v>
      </c>
      <c r="O252" t="s">
        <v>2015</v>
      </c>
      <c r="P252" t="s">
        <v>886</v>
      </c>
      <c r="Q252" t="s">
        <v>58</v>
      </c>
      <c r="R252" t="str">
        <f>IFERROR(VLOOKUP(record[[#This Row],[PCUSTID]],廠商[],2,FALSE),"")</f>
        <v/>
      </c>
      <c r="S252" t="str">
        <f>VLOOKUP(record[[#This Row],[employeeID]],員工[],2,FALSE)</f>
        <v>謝蓁薰</v>
      </c>
    </row>
    <row r="253" spans="6:19" hidden="1" x14ac:dyDescent="0.25">
      <c r="F253" t="s">
        <v>2004</v>
      </c>
      <c r="G253" t="s">
        <v>435</v>
      </c>
      <c r="H253" t="str">
        <f>VLOOKUP(record[[#This Row],[ProcessSN]],表格2_7[],2,FALSE)</f>
        <v>30-4118-018-620</v>
      </c>
      <c r="I253" t="str">
        <f>VLOOKUP(record[[#This Row],[ProcessSN]],表格2_7[],3,FALSE)</f>
        <v>#100STOCK</v>
      </c>
      <c r="J253" t="s">
        <v>592</v>
      </c>
      <c r="K253" s="195">
        <v>46155.427824074075</v>
      </c>
      <c r="L253">
        <v>184</v>
      </c>
      <c r="M253">
        <v>0</v>
      </c>
      <c r="N253" s="98" t="str">
        <f>IF(record[[#This Row],[Memo]]="Browser:chrome os:android","平板報工",IF(record[[#This Row],[Memo]]=0,"委外",record[[#This Row],[Memo]]))</f>
        <v/>
      </c>
      <c r="O253" t="s">
        <v>58</v>
      </c>
      <c r="P253" t="s">
        <v>886</v>
      </c>
      <c r="Q253" t="s">
        <v>58</v>
      </c>
      <c r="R253" t="str">
        <f>IFERROR(VLOOKUP(record[[#This Row],[PCUSTID]],廠商[],2,FALSE),"")</f>
        <v/>
      </c>
      <c r="S253" t="str">
        <f>VLOOKUP(record[[#This Row],[employeeID]],員工[],2,FALSE)</f>
        <v>謝蓁薰</v>
      </c>
    </row>
    <row r="254" spans="6:19" hidden="1" x14ac:dyDescent="0.25">
      <c r="F254" t="s">
        <v>1999</v>
      </c>
      <c r="G254" t="s">
        <v>444</v>
      </c>
      <c r="H254" t="str">
        <f>VLOOKUP(record[[#This Row],[ProcessSN]],表格2_7[],2,FALSE)</f>
        <v>30-4118-018-650</v>
      </c>
      <c r="I254" t="str">
        <f>VLOOKUP(record[[#This Row],[ProcessSN]],表格2_7[],3,FALSE)</f>
        <v>#100SHIP</v>
      </c>
      <c r="J254" t="s">
        <v>600</v>
      </c>
      <c r="K254" s="195">
        <v>46155.426724537036</v>
      </c>
      <c r="L254">
        <v>2</v>
      </c>
      <c r="M254">
        <v>0</v>
      </c>
      <c r="N254" s="98" t="str">
        <f>IF(record[[#This Row],[Memo]]="Browser:chrome os:android","平板報工",IF(record[[#This Row],[Memo]]=0,"委外",record[[#This Row],[Memo]]))</f>
        <v>補5/12出貨</v>
      </c>
      <c r="O254" t="s">
        <v>2015</v>
      </c>
      <c r="P254" t="s">
        <v>886</v>
      </c>
      <c r="Q254" t="s">
        <v>58</v>
      </c>
      <c r="R254" t="str">
        <f>IFERROR(VLOOKUP(record[[#This Row],[PCUSTID]],廠商[],2,FALSE),"")</f>
        <v/>
      </c>
      <c r="S254" t="str">
        <f>VLOOKUP(record[[#This Row],[employeeID]],員工[],2,FALSE)</f>
        <v>謝蓁薰</v>
      </c>
    </row>
    <row r="255" spans="6:19" hidden="1" x14ac:dyDescent="0.25">
      <c r="F255" t="s">
        <v>1999</v>
      </c>
      <c r="G255" t="s">
        <v>443</v>
      </c>
      <c r="H255" t="str">
        <f>VLOOKUP(record[[#This Row],[ProcessSN]],表格2_7[],2,FALSE)</f>
        <v>30-4118-018-650</v>
      </c>
      <c r="I255" t="str">
        <f>VLOOKUP(record[[#This Row],[ProcessSN]],表格2_7[],3,FALSE)</f>
        <v>#100STOCK</v>
      </c>
      <c r="J255" t="s">
        <v>592</v>
      </c>
      <c r="K255" s="195">
        <v>46155.426608796297</v>
      </c>
      <c r="L255">
        <v>2</v>
      </c>
      <c r="M255">
        <v>0</v>
      </c>
      <c r="N255" s="98" t="str">
        <f>IF(record[[#This Row],[Memo]]="Browser:chrome os:android","平板報工",IF(record[[#This Row],[Memo]]=0,"委外",record[[#This Row],[Memo]]))</f>
        <v/>
      </c>
      <c r="O255" t="s">
        <v>58</v>
      </c>
      <c r="P255" t="s">
        <v>886</v>
      </c>
      <c r="Q255" t="s">
        <v>58</v>
      </c>
      <c r="R255" t="str">
        <f>IFERROR(VLOOKUP(record[[#This Row],[PCUSTID]],廠商[],2,FALSE),"")</f>
        <v/>
      </c>
      <c r="S255" t="str">
        <f>VLOOKUP(record[[#This Row],[employeeID]],員工[],2,FALSE)</f>
        <v>謝蓁薰</v>
      </c>
    </row>
    <row r="256" spans="6:19" hidden="1" x14ac:dyDescent="0.25">
      <c r="F256" t="s">
        <v>2005</v>
      </c>
      <c r="G256" t="s">
        <v>444</v>
      </c>
      <c r="H256" t="str">
        <f>VLOOKUP(record[[#This Row],[ProcessSN]],表格2_7[],2,FALSE)</f>
        <v>30-4118-018-650</v>
      </c>
      <c r="I256" t="str">
        <f>VLOOKUP(record[[#This Row],[ProcessSN]],表格2_7[],3,FALSE)</f>
        <v>#100SHIP</v>
      </c>
      <c r="J256" t="s">
        <v>600</v>
      </c>
      <c r="K256" s="195">
        <v>46155.426435185182</v>
      </c>
      <c r="L256">
        <v>385</v>
      </c>
      <c r="M256">
        <v>0</v>
      </c>
      <c r="N256" s="98" t="str">
        <f>IF(record[[#This Row],[Memo]]="Browser:chrome os:android","平板報工",IF(record[[#This Row],[Memo]]=0,"委外",record[[#This Row],[Memo]]))</f>
        <v>補5/12出貨</v>
      </c>
      <c r="O256" t="s">
        <v>2015</v>
      </c>
      <c r="P256" t="s">
        <v>886</v>
      </c>
      <c r="Q256" t="s">
        <v>58</v>
      </c>
      <c r="R256" t="str">
        <f>IFERROR(VLOOKUP(record[[#This Row],[PCUSTID]],廠商[],2,FALSE),"")</f>
        <v/>
      </c>
      <c r="S256" t="str">
        <f>VLOOKUP(record[[#This Row],[employeeID]],員工[],2,FALSE)</f>
        <v>謝蓁薰</v>
      </c>
    </row>
    <row r="257" spans="6:19" hidden="1" x14ac:dyDescent="0.25">
      <c r="F257" t="s">
        <v>2005</v>
      </c>
      <c r="G257" t="s">
        <v>443</v>
      </c>
      <c r="H257" t="str">
        <f>VLOOKUP(record[[#This Row],[ProcessSN]],表格2_7[],2,FALSE)</f>
        <v>30-4118-018-650</v>
      </c>
      <c r="I257" t="str">
        <f>VLOOKUP(record[[#This Row],[ProcessSN]],表格2_7[],3,FALSE)</f>
        <v>#100STOCK</v>
      </c>
      <c r="J257" t="s">
        <v>592</v>
      </c>
      <c r="K257" s="195">
        <v>46155.426307870373</v>
      </c>
      <c r="L257">
        <v>385</v>
      </c>
      <c r="M257">
        <v>0</v>
      </c>
      <c r="N257" s="98" t="str">
        <f>IF(record[[#This Row],[Memo]]="Browser:chrome os:android","平板報工",IF(record[[#This Row],[Memo]]=0,"委外",record[[#This Row],[Memo]]))</f>
        <v/>
      </c>
      <c r="O257" t="s">
        <v>58</v>
      </c>
      <c r="P257" t="s">
        <v>886</v>
      </c>
      <c r="Q257" t="s">
        <v>58</v>
      </c>
      <c r="R257" t="str">
        <f>IFERROR(VLOOKUP(record[[#This Row],[PCUSTID]],廠商[],2,FALSE),"")</f>
        <v/>
      </c>
      <c r="S257" t="str">
        <f>VLOOKUP(record[[#This Row],[employeeID]],員工[],2,FALSE)</f>
        <v>謝蓁薰</v>
      </c>
    </row>
    <row r="258" spans="6:19" hidden="1" x14ac:dyDescent="0.25">
      <c r="F258" t="s">
        <v>1995</v>
      </c>
      <c r="G258" t="s">
        <v>444</v>
      </c>
      <c r="H258" t="str">
        <f>VLOOKUP(record[[#This Row],[ProcessSN]],表格2_7[],2,FALSE)</f>
        <v>30-4118-018-650</v>
      </c>
      <c r="I258" t="str">
        <f>VLOOKUP(record[[#This Row],[ProcessSN]],表格2_7[],3,FALSE)</f>
        <v>#100SHIP</v>
      </c>
      <c r="J258" t="s">
        <v>600</v>
      </c>
      <c r="K258" s="195">
        <v>46155.426053240742</v>
      </c>
      <c r="L258">
        <v>335</v>
      </c>
      <c r="M258">
        <v>0</v>
      </c>
      <c r="N258" s="98" t="str">
        <f>IF(record[[#This Row],[Memo]]="Browser:chrome os:android","平板報工",IF(record[[#This Row],[Memo]]=0,"委外",record[[#This Row],[Memo]]))</f>
        <v/>
      </c>
      <c r="O258" t="s">
        <v>58</v>
      </c>
      <c r="P258" t="s">
        <v>886</v>
      </c>
      <c r="Q258" t="s">
        <v>58</v>
      </c>
      <c r="R258" t="str">
        <f>IFERROR(VLOOKUP(record[[#This Row],[PCUSTID]],廠商[],2,FALSE),"")</f>
        <v/>
      </c>
      <c r="S258" t="str">
        <f>VLOOKUP(record[[#This Row],[employeeID]],員工[],2,FALSE)</f>
        <v>謝蓁薰</v>
      </c>
    </row>
    <row r="259" spans="6:19" hidden="1" x14ac:dyDescent="0.25">
      <c r="F259" t="s">
        <v>1995</v>
      </c>
      <c r="G259" t="s">
        <v>443</v>
      </c>
      <c r="H259" t="str">
        <f>VLOOKUP(record[[#This Row],[ProcessSN]],表格2_7[],2,FALSE)</f>
        <v>30-4118-018-650</v>
      </c>
      <c r="I259" t="str">
        <f>VLOOKUP(record[[#This Row],[ProcessSN]],表格2_7[],3,FALSE)</f>
        <v>#100STOCK</v>
      </c>
      <c r="J259" t="s">
        <v>592</v>
      </c>
      <c r="K259" s="195">
        <v>46155.425798611112</v>
      </c>
      <c r="L259">
        <v>335</v>
      </c>
      <c r="M259">
        <v>0</v>
      </c>
      <c r="N259" s="98" t="str">
        <f>IF(record[[#This Row],[Memo]]="Browser:chrome os:android","平板報工",IF(record[[#This Row],[Memo]]=0,"委外",record[[#This Row],[Memo]]))</f>
        <v/>
      </c>
      <c r="O259" t="s">
        <v>58</v>
      </c>
      <c r="P259" t="s">
        <v>886</v>
      </c>
      <c r="Q259" t="s">
        <v>58</v>
      </c>
      <c r="R259" t="str">
        <f>IFERROR(VLOOKUP(record[[#This Row],[PCUSTID]],廠商[],2,FALSE),"")</f>
        <v/>
      </c>
      <c r="S259" t="str">
        <f>VLOOKUP(record[[#This Row],[employeeID]],員工[],2,FALSE)</f>
        <v>謝蓁薰</v>
      </c>
    </row>
    <row r="260" spans="6:19" hidden="1" x14ac:dyDescent="0.25">
      <c r="F260" t="s">
        <v>2005</v>
      </c>
      <c r="G260" t="s">
        <v>442</v>
      </c>
      <c r="H260" t="str">
        <f>VLOOKUP(record[[#This Row],[ProcessSN]],表格2_7[],2,FALSE)</f>
        <v>30-4118-018-650</v>
      </c>
      <c r="I260" t="str">
        <f>VLOOKUP(record[[#This Row],[ProcessSN]],表格2_7[],3,FALSE)</f>
        <v>#100OQC</v>
      </c>
      <c r="J260" t="s">
        <v>599</v>
      </c>
      <c r="K260" s="195">
        <v>46155.396122685182</v>
      </c>
      <c r="L260">
        <v>385</v>
      </c>
      <c r="M260">
        <v>0</v>
      </c>
      <c r="N260" s="98" t="str">
        <f>IF(record[[#This Row],[Memo]]="Browser:chrome os:android","平板報工",IF(record[[#This Row],[Memo]]=0,"委外",record[[#This Row],[Memo]]))</f>
        <v/>
      </c>
      <c r="O260" t="s">
        <v>58</v>
      </c>
      <c r="P260" t="s">
        <v>121</v>
      </c>
      <c r="Q260" t="s">
        <v>58</v>
      </c>
      <c r="R260" t="str">
        <f>IFERROR(VLOOKUP(record[[#This Row],[PCUSTID]],廠商[],2,FALSE),"")</f>
        <v/>
      </c>
      <c r="S260" t="str">
        <f>VLOOKUP(record[[#This Row],[employeeID]],員工[],2,FALSE)</f>
        <v>謝素卿</v>
      </c>
    </row>
    <row r="261" spans="6:19" hidden="1" x14ac:dyDescent="0.25">
      <c r="F261" t="s">
        <v>1999</v>
      </c>
      <c r="G261" t="s">
        <v>442</v>
      </c>
      <c r="H261" t="str">
        <f>VLOOKUP(record[[#This Row],[ProcessSN]],表格2_7[],2,FALSE)</f>
        <v>30-4118-018-650</v>
      </c>
      <c r="I261" t="str">
        <f>VLOOKUP(record[[#This Row],[ProcessSN]],表格2_7[],3,FALSE)</f>
        <v>#100OQC</v>
      </c>
      <c r="J261" t="s">
        <v>599</v>
      </c>
      <c r="K261" s="195">
        <v>46155.395428240743</v>
      </c>
      <c r="L261">
        <v>2</v>
      </c>
      <c r="M261">
        <v>0</v>
      </c>
      <c r="N261" s="98" t="str">
        <f>IF(record[[#This Row],[Memo]]="Browser:chrome os:android","平板報工",IF(record[[#This Row],[Memo]]=0,"委外",record[[#This Row],[Memo]]))</f>
        <v/>
      </c>
      <c r="O261" t="s">
        <v>58</v>
      </c>
      <c r="P261" t="s">
        <v>121</v>
      </c>
      <c r="Q261" t="s">
        <v>58</v>
      </c>
      <c r="R261" t="str">
        <f>IFERROR(VLOOKUP(record[[#This Row],[PCUSTID]],廠商[],2,FALSE),"")</f>
        <v/>
      </c>
      <c r="S261" t="str">
        <f>VLOOKUP(record[[#This Row],[employeeID]],員工[],2,FALSE)</f>
        <v>謝素卿</v>
      </c>
    </row>
    <row r="262" spans="6:19" hidden="1" x14ac:dyDescent="0.25">
      <c r="F262" t="s">
        <v>1995</v>
      </c>
      <c r="G262" t="s">
        <v>442</v>
      </c>
      <c r="H262" t="str">
        <f>VLOOKUP(record[[#This Row],[ProcessSN]],表格2_7[],2,FALSE)</f>
        <v>30-4118-018-650</v>
      </c>
      <c r="I262" t="str">
        <f>VLOOKUP(record[[#This Row],[ProcessSN]],表格2_7[],3,FALSE)</f>
        <v>#100OQC</v>
      </c>
      <c r="J262" t="s">
        <v>599</v>
      </c>
      <c r="K262" s="195">
        <v>46155.395300925928</v>
      </c>
      <c r="L262">
        <v>335</v>
      </c>
      <c r="M262">
        <v>0</v>
      </c>
      <c r="N262" s="98" t="str">
        <f>IF(record[[#This Row],[Memo]]="Browser:chrome os:android","平板報工",IF(record[[#This Row],[Memo]]=0,"委外",record[[#This Row],[Memo]]))</f>
        <v/>
      </c>
      <c r="O262" t="s">
        <v>58</v>
      </c>
      <c r="P262" t="s">
        <v>121</v>
      </c>
      <c r="Q262" t="s">
        <v>58</v>
      </c>
      <c r="R262" t="str">
        <f>IFERROR(VLOOKUP(record[[#This Row],[PCUSTID]],廠商[],2,FALSE),"")</f>
        <v/>
      </c>
      <c r="S262" t="str">
        <f>VLOOKUP(record[[#This Row],[employeeID]],員工[],2,FALSE)</f>
        <v>謝素卿</v>
      </c>
    </row>
    <row r="263" spans="6:19" hidden="1" x14ac:dyDescent="0.25">
      <c r="F263" t="s">
        <v>2004</v>
      </c>
      <c r="G263" t="s">
        <v>434</v>
      </c>
      <c r="H263" t="str">
        <f>VLOOKUP(record[[#This Row],[ProcessSN]],表格2_7[],2,FALSE)</f>
        <v>30-4118-018-620</v>
      </c>
      <c r="I263" t="str">
        <f>VLOOKUP(record[[#This Row],[ProcessSN]],表格2_7[],3,FALSE)</f>
        <v>#100OQC</v>
      </c>
      <c r="J263" t="s">
        <v>599</v>
      </c>
      <c r="K263" s="195">
        <v>46155.395162037035</v>
      </c>
      <c r="L263">
        <v>248</v>
      </c>
      <c r="M263">
        <v>0</v>
      </c>
      <c r="N263" s="98" t="str">
        <f>IF(record[[#This Row],[Memo]]="Browser:chrome os:android","平板報工",IF(record[[#This Row],[Memo]]=0,"委外",record[[#This Row],[Memo]]))</f>
        <v/>
      </c>
      <c r="O263" t="s">
        <v>58</v>
      </c>
      <c r="P263" t="s">
        <v>121</v>
      </c>
      <c r="Q263" t="s">
        <v>58</v>
      </c>
      <c r="R263" t="str">
        <f>IFERROR(VLOOKUP(record[[#This Row],[PCUSTID]],廠商[],2,FALSE),"")</f>
        <v/>
      </c>
      <c r="S263" t="str">
        <f>VLOOKUP(record[[#This Row],[employeeID]],員工[],2,FALSE)</f>
        <v>謝素卿</v>
      </c>
    </row>
    <row r="264" spans="6:19" hidden="1" x14ac:dyDescent="0.25">
      <c r="F264" t="s">
        <v>1903</v>
      </c>
      <c r="G264" t="s">
        <v>387</v>
      </c>
      <c r="H264" t="str">
        <f>VLOOKUP(record[[#This Row],[ProcessSN]],表格2_7[],2,FALSE)</f>
        <v>30-4118-018-500</v>
      </c>
      <c r="I264" t="str">
        <f>VLOOKUP(record[[#This Row],[ProcessSN]],表格2_7[],3,FALSE)</f>
        <v>#100SHIP</v>
      </c>
      <c r="J264" t="s">
        <v>600</v>
      </c>
      <c r="K264" s="195">
        <v>46155.386550925927</v>
      </c>
      <c r="L264">
        <v>10</v>
      </c>
      <c r="M264">
        <v>0</v>
      </c>
      <c r="N264" s="98" t="str">
        <f>IF(record[[#This Row],[Memo]]="Browser:chrome os:android","平板報工",IF(record[[#This Row],[Memo]]=0,"委外",record[[#This Row],[Memo]]))</f>
        <v/>
      </c>
      <c r="O264" t="s">
        <v>58</v>
      </c>
      <c r="P264" t="s">
        <v>886</v>
      </c>
      <c r="Q264" t="s">
        <v>58</v>
      </c>
      <c r="R264" t="str">
        <f>IFERROR(VLOOKUP(record[[#This Row],[PCUSTID]],廠商[],2,FALSE),"")</f>
        <v/>
      </c>
      <c r="S264" t="str">
        <f>VLOOKUP(record[[#This Row],[employeeID]],員工[],2,FALSE)</f>
        <v>謝蓁薰</v>
      </c>
    </row>
    <row r="265" spans="6:19" hidden="1" x14ac:dyDescent="0.25">
      <c r="F265" t="s">
        <v>1989</v>
      </c>
      <c r="G265" t="s">
        <v>436</v>
      </c>
      <c r="H265" t="str">
        <f>VLOOKUP(record[[#This Row],[ProcessSN]],表格2_7[],2,FALSE)</f>
        <v>30-4118-018-620</v>
      </c>
      <c r="I265" t="str">
        <f>VLOOKUP(record[[#This Row],[ProcessSN]],表格2_7[],3,FALSE)</f>
        <v>#100SHIP</v>
      </c>
      <c r="J265" t="s">
        <v>600</v>
      </c>
      <c r="K265" s="195">
        <v>46155.38040509259</v>
      </c>
      <c r="L265">
        <v>66</v>
      </c>
      <c r="M265">
        <v>0</v>
      </c>
      <c r="N265" s="98" t="str">
        <f>IF(record[[#This Row],[Memo]]="Browser:chrome os:android","平板報工",IF(record[[#This Row],[Memo]]=0,"委外",record[[#This Row],[Memo]]))</f>
        <v>補5/12出貨</v>
      </c>
      <c r="O265" t="s">
        <v>2015</v>
      </c>
      <c r="P265" t="s">
        <v>886</v>
      </c>
      <c r="Q265" t="s">
        <v>58</v>
      </c>
      <c r="R265" t="str">
        <f>IFERROR(VLOOKUP(record[[#This Row],[PCUSTID]],廠商[],2,FALSE),"")</f>
        <v/>
      </c>
      <c r="S265" t="str">
        <f>VLOOKUP(record[[#This Row],[employeeID]],員工[],2,FALSE)</f>
        <v>謝蓁薰</v>
      </c>
    </row>
    <row r="266" spans="6:19" hidden="1" x14ac:dyDescent="0.25">
      <c r="F266" t="s">
        <v>1999</v>
      </c>
      <c r="G266" t="s">
        <v>444</v>
      </c>
      <c r="H266" t="str">
        <f>VLOOKUP(record[[#This Row],[ProcessSN]],表格2_7[],2,FALSE)</f>
        <v>30-4118-018-650</v>
      </c>
      <c r="I266" t="str">
        <f>VLOOKUP(record[[#This Row],[ProcessSN]],表格2_7[],3,FALSE)</f>
        <v>#100SHIP</v>
      </c>
      <c r="J266" t="s">
        <v>600</v>
      </c>
      <c r="K266" s="195">
        <v>46155.379745370374</v>
      </c>
      <c r="L266">
        <v>78</v>
      </c>
      <c r="M266">
        <v>0</v>
      </c>
      <c r="N266" s="98" t="str">
        <f>IF(record[[#This Row],[Memo]]="Browser:chrome os:android","平板報工",IF(record[[#This Row],[Memo]]=0,"委外",record[[#This Row],[Memo]]))</f>
        <v>補5/12出貨</v>
      </c>
      <c r="O266" t="s">
        <v>2015</v>
      </c>
      <c r="P266" t="s">
        <v>886</v>
      </c>
      <c r="Q266" t="s">
        <v>58</v>
      </c>
      <c r="R266" t="str">
        <f>IFERROR(VLOOKUP(record[[#This Row],[PCUSTID]],廠商[],2,FALSE),"")</f>
        <v/>
      </c>
      <c r="S266" t="str">
        <f>VLOOKUP(record[[#This Row],[employeeID]],員工[],2,FALSE)</f>
        <v>謝蓁薰</v>
      </c>
    </row>
    <row r="267" spans="6:19" hidden="1" x14ac:dyDescent="0.25">
      <c r="F267" t="s">
        <v>1989</v>
      </c>
      <c r="G267" t="s">
        <v>435</v>
      </c>
      <c r="H267" t="str">
        <f>VLOOKUP(record[[#This Row],[ProcessSN]],表格2_7[],2,FALSE)</f>
        <v>30-4118-018-620</v>
      </c>
      <c r="I267" t="str">
        <f>VLOOKUP(record[[#This Row],[ProcessSN]],表格2_7[],3,FALSE)</f>
        <v>#100STOCK</v>
      </c>
      <c r="J267" t="s">
        <v>592</v>
      </c>
      <c r="K267" s="195">
        <v>46155.377569444441</v>
      </c>
      <c r="L267">
        <v>66</v>
      </c>
      <c r="M267">
        <v>0</v>
      </c>
      <c r="N267" s="98" t="str">
        <f>IF(record[[#This Row],[Memo]]="Browser:chrome os:android","平板報工",IF(record[[#This Row],[Memo]]=0,"委外",record[[#This Row],[Memo]]))</f>
        <v/>
      </c>
      <c r="O267" t="s">
        <v>58</v>
      </c>
      <c r="P267" t="s">
        <v>886</v>
      </c>
      <c r="Q267" t="s">
        <v>58</v>
      </c>
      <c r="R267" t="str">
        <f>IFERROR(VLOOKUP(record[[#This Row],[PCUSTID]],廠商[],2,FALSE),"")</f>
        <v/>
      </c>
      <c r="S267" t="str">
        <f>VLOOKUP(record[[#This Row],[employeeID]],員工[],2,FALSE)</f>
        <v>謝蓁薰</v>
      </c>
    </row>
    <row r="268" spans="6:19" hidden="1" x14ac:dyDescent="0.25">
      <c r="F268" t="s">
        <v>1999</v>
      </c>
      <c r="G268" t="s">
        <v>443</v>
      </c>
      <c r="H268" t="str">
        <f>VLOOKUP(record[[#This Row],[ProcessSN]],表格2_7[],2,FALSE)</f>
        <v>30-4118-018-650</v>
      </c>
      <c r="I268" t="str">
        <f>VLOOKUP(record[[#This Row],[ProcessSN]],表格2_7[],3,FALSE)</f>
        <v>#100STOCK</v>
      </c>
      <c r="J268" t="s">
        <v>592</v>
      </c>
      <c r="K268" s="195">
        <v>46155.377442129633</v>
      </c>
      <c r="L268">
        <v>78</v>
      </c>
      <c r="M268">
        <v>0</v>
      </c>
      <c r="N268" s="98" t="str">
        <f>IF(record[[#This Row],[Memo]]="Browser:chrome os:android","平板報工",IF(record[[#This Row],[Memo]]=0,"委外",record[[#This Row],[Memo]]))</f>
        <v/>
      </c>
      <c r="O268" t="s">
        <v>58</v>
      </c>
      <c r="P268" t="s">
        <v>886</v>
      </c>
      <c r="Q268" t="s">
        <v>58</v>
      </c>
      <c r="R268" t="str">
        <f>IFERROR(VLOOKUP(record[[#This Row],[PCUSTID]],廠商[],2,FALSE),"")</f>
        <v/>
      </c>
      <c r="S268" t="str">
        <f>VLOOKUP(record[[#This Row],[employeeID]],員工[],2,FALSE)</f>
        <v>謝蓁薰</v>
      </c>
    </row>
    <row r="269" spans="6:19" hidden="1" x14ac:dyDescent="0.25">
      <c r="F269" t="s">
        <v>2005</v>
      </c>
      <c r="G269" t="s">
        <v>441</v>
      </c>
      <c r="H269" t="str">
        <f>VLOOKUP(record[[#This Row],[ProcessSN]],表格2_7[],2,FALSE)</f>
        <v>30-4118-018-650</v>
      </c>
      <c r="I269" t="str">
        <f>VLOOKUP(record[[#This Row],[ProcessSN]],表格2_7[],3,FALSE)</f>
        <v>#100</v>
      </c>
      <c r="J269" t="s">
        <v>598</v>
      </c>
      <c r="K269" s="195">
        <v>46155.366238425922</v>
      </c>
      <c r="L269">
        <v>385</v>
      </c>
      <c r="M269">
        <v>0</v>
      </c>
      <c r="N269" s="98" t="str">
        <f>IF(record[[#This Row],[Memo]]="Browser:chrome os:android","平板報工",IF(record[[#This Row],[Memo]]=0,"委外",record[[#This Row],[Memo]]))</f>
        <v/>
      </c>
      <c r="O269" t="s">
        <v>58</v>
      </c>
      <c r="P269" t="s">
        <v>141</v>
      </c>
      <c r="Q269" t="s">
        <v>58</v>
      </c>
      <c r="R269" t="str">
        <f>IFERROR(VLOOKUP(record[[#This Row],[PCUSTID]],廠商[],2,FALSE),"")</f>
        <v/>
      </c>
      <c r="S269" t="str">
        <f>VLOOKUP(record[[#This Row],[employeeID]],員工[],2,FALSE)</f>
        <v>蔣梅</v>
      </c>
    </row>
    <row r="270" spans="6:19" hidden="1" x14ac:dyDescent="0.25">
      <c r="F270" t="s">
        <v>1999</v>
      </c>
      <c r="G270" t="s">
        <v>441</v>
      </c>
      <c r="H270" t="str">
        <f>VLOOKUP(record[[#This Row],[ProcessSN]],表格2_7[],2,FALSE)</f>
        <v>30-4118-018-650</v>
      </c>
      <c r="I270" t="str">
        <f>VLOOKUP(record[[#This Row],[ProcessSN]],表格2_7[],3,FALSE)</f>
        <v>#100</v>
      </c>
      <c r="J270" t="s">
        <v>598</v>
      </c>
      <c r="K270" s="195">
        <v>46155.365983796299</v>
      </c>
      <c r="L270">
        <v>2</v>
      </c>
      <c r="M270">
        <v>0</v>
      </c>
      <c r="N270" s="98" t="str">
        <f>IF(record[[#This Row],[Memo]]="Browser:chrome os:android","平板報工",IF(record[[#This Row],[Memo]]=0,"委外",record[[#This Row],[Memo]]))</f>
        <v/>
      </c>
      <c r="O270" t="s">
        <v>58</v>
      </c>
      <c r="P270" t="s">
        <v>141</v>
      </c>
      <c r="Q270" t="s">
        <v>58</v>
      </c>
      <c r="R270" t="str">
        <f>IFERROR(VLOOKUP(record[[#This Row],[PCUSTID]],廠商[],2,FALSE),"")</f>
        <v/>
      </c>
      <c r="S270" t="str">
        <f>VLOOKUP(record[[#This Row],[employeeID]],員工[],2,FALSE)</f>
        <v>蔣梅</v>
      </c>
    </row>
    <row r="271" spans="6:19" hidden="1" x14ac:dyDescent="0.25">
      <c r="F271" t="s">
        <v>1995</v>
      </c>
      <c r="G271" t="s">
        <v>441</v>
      </c>
      <c r="H271" t="str">
        <f>VLOOKUP(record[[#This Row],[ProcessSN]],表格2_7[],2,FALSE)</f>
        <v>30-4118-018-650</v>
      </c>
      <c r="I271" t="str">
        <f>VLOOKUP(record[[#This Row],[ProcessSN]],表格2_7[],3,FALSE)</f>
        <v>#100</v>
      </c>
      <c r="J271" t="s">
        <v>598</v>
      </c>
      <c r="K271" s="195">
        <v>46155.365833333337</v>
      </c>
      <c r="L271">
        <v>335</v>
      </c>
      <c r="M271">
        <v>0</v>
      </c>
      <c r="N271" s="98" t="str">
        <f>IF(record[[#This Row],[Memo]]="Browser:chrome os:android","平板報工",IF(record[[#This Row],[Memo]]=0,"委外",record[[#This Row],[Memo]]))</f>
        <v/>
      </c>
      <c r="O271" t="s">
        <v>58</v>
      </c>
      <c r="P271" t="s">
        <v>141</v>
      </c>
      <c r="Q271" t="s">
        <v>58</v>
      </c>
      <c r="R271" t="str">
        <f>IFERROR(VLOOKUP(record[[#This Row],[PCUSTID]],廠商[],2,FALSE),"")</f>
        <v/>
      </c>
      <c r="S271" t="str">
        <f>VLOOKUP(record[[#This Row],[employeeID]],員工[],2,FALSE)</f>
        <v>蔣梅</v>
      </c>
    </row>
    <row r="272" spans="6:19" hidden="1" x14ac:dyDescent="0.25">
      <c r="F272" t="s">
        <v>2004</v>
      </c>
      <c r="G272" t="s">
        <v>433</v>
      </c>
      <c r="H272" t="str">
        <f>VLOOKUP(record[[#This Row],[ProcessSN]],表格2_7[],2,FALSE)</f>
        <v>30-4118-018-620</v>
      </c>
      <c r="I272" t="str">
        <f>VLOOKUP(record[[#This Row],[ProcessSN]],表格2_7[],3,FALSE)</f>
        <v>#100</v>
      </c>
      <c r="J272" t="s">
        <v>598</v>
      </c>
      <c r="K272" s="195">
        <v>46155.365289351852</v>
      </c>
      <c r="L272">
        <v>248</v>
      </c>
      <c r="M272">
        <v>0</v>
      </c>
      <c r="N272" s="98" t="str">
        <f>IF(record[[#This Row],[Memo]]="Browser:chrome os:android","平板報工",IF(record[[#This Row],[Memo]]=0,"委外",record[[#This Row],[Memo]]))</f>
        <v/>
      </c>
      <c r="O272" t="s">
        <v>58</v>
      </c>
      <c r="P272" t="s">
        <v>141</v>
      </c>
      <c r="Q272" t="s">
        <v>58</v>
      </c>
      <c r="R272" t="str">
        <f>IFERROR(VLOOKUP(record[[#This Row],[PCUSTID]],廠商[],2,FALSE),"")</f>
        <v/>
      </c>
      <c r="S272" t="str">
        <f>VLOOKUP(record[[#This Row],[employeeID]],員工[],2,FALSE)</f>
        <v>蔣梅</v>
      </c>
    </row>
    <row r="273" spans="6:19" hidden="1" x14ac:dyDescent="0.25">
      <c r="F273" t="s">
        <v>2004</v>
      </c>
      <c r="G273" t="s">
        <v>433</v>
      </c>
      <c r="H273" t="str">
        <f>VLOOKUP(record[[#This Row],[ProcessSN]],表格2_7[],2,FALSE)</f>
        <v>30-4118-018-620</v>
      </c>
      <c r="I273" t="str">
        <f>VLOOKUP(record[[#This Row],[ProcessSN]],表格2_7[],3,FALSE)</f>
        <v>#100</v>
      </c>
      <c r="J273" t="s">
        <v>598</v>
      </c>
      <c r="K273" s="195">
        <v>46155.365162037036</v>
      </c>
      <c r="L273">
        <v>0</v>
      </c>
      <c r="M273">
        <v>2</v>
      </c>
      <c r="N273" s="98" t="str">
        <f>IF(record[[#This Row],[Memo]]="Browser:chrome os:android","平板報工",IF(record[[#This Row],[Memo]]=0,"委外",record[[#This Row],[Memo]]))</f>
        <v/>
      </c>
      <c r="O273" t="s">
        <v>58</v>
      </c>
      <c r="P273" t="s">
        <v>141</v>
      </c>
      <c r="Q273" t="s">
        <v>58</v>
      </c>
      <c r="R273" t="str">
        <f>IFERROR(VLOOKUP(record[[#This Row],[PCUSTID]],廠商[],2,FALSE),"")</f>
        <v/>
      </c>
      <c r="S273" t="str">
        <f>VLOOKUP(record[[#This Row],[employeeID]],員工[],2,FALSE)</f>
        <v>蔣梅</v>
      </c>
    </row>
    <row r="274" spans="6:19" hidden="1" x14ac:dyDescent="0.25">
      <c r="F274" t="s">
        <v>1995</v>
      </c>
      <c r="G274" t="s">
        <v>440</v>
      </c>
      <c r="H274" t="str">
        <f>VLOOKUP(record[[#This Row],[ProcessSN]],表格2_7[],2,FALSE)</f>
        <v>30-4118-018-650</v>
      </c>
      <c r="I274" t="str">
        <f>VLOOKUP(record[[#This Row],[ProcessSN]],表格2_7[],3,FALSE)</f>
        <v>#08IQC</v>
      </c>
      <c r="J274" t="s">
        <v>583</v>
      </c>
      <c r="K274" s="195">
        <v>46155.358668981484</v>
      </c>
      <c r="L274">
        <v>335</v>
      </c>
      <c r="M274">
        <v>0</v>
      </c>
      <c r="N274" s="98" t="str">
        <f>IF(record[[#This Row],[Memo]]="Browser:chrome os:android","平板報工",IF(record[[#This Row],[Memo]]=0,"委外",record[[#This Row],[Memo]]))</f>
        <v/>
      </c>
      <c r="O274" t="s">
        <v>58</v>
      </c>
      <c r="P274" t="s">
        <v>121</v>
      </c>
      <c r="Q274" t="s">
        <v>58</v>
      </c>
      <c r="R274" t="str">
        <f>IFERROR(VLOOKUP(record[[#This Row],[PCUSTID]],廠商[],2,FALSE),"")</f>
        <v/>
      </c>
      <c r="S274" t="str">
        <f>VLOOKUP(record[[#This Row],[employeeID]],員工[],2,FALSE)</f>
        <v>謝素卿</v>
      </c>
    </row>
    <row r="275" spans="6:19" hidden="1" x14ac:dyDescent="0.25">
      <c r="F275" t="s">
        <v>2005</v>
      </c>
      <c r="G275" t="s">
        <v>440</v>
      </c>
      <c r="H275" t="str">
        <f>VLOOKUP(record[[#This Row],[ProcessSN]],表格2_7[],2,FALSE)</f>
        <v>30-4118-018-650</v>
      </c>
      <c r="I275" t="str">
        <f>VLOOKUP(record[[#This Row],[ProcessSN]],表格2_7[],3,FALSE)</f>
        <v>#08IQC</v>
      </c>
      <c r="J275" t="s">
        <v>583</v>
      </c>
      <c r="K275" s="195">
        <v>46155.358495370368</v>
      </c>
      <c r="L275">
        <v>768</v>
      </c>
      <c r="M275">
        <v>0</v>
      </c>
      <c r="N275" s="98" t="str">
        <f>IF(record[[#This Row],[Memo]]="Browser:chrome os:android","平板報工",IF(record[[#This Row],[Memo]]=0,"委外",record[[#This Row],[Memo]]))</f>
        <v/>
      </c>
      <c r="O275" t="s">
        <v>58</v>
      </c>
      <c r="P275" t="s">
        <v>121</v>
      </c>
      <c r="Q275" t="s">
        <v>58</v>
      </c>
      <c r="R275" t="str">
        <f>IFERROR(VLOOKUP(record[[#This Row],[PCUSTID]],廠商[],2,FALSE),"")</f>
        <v/>
      </c>
      <c r="S275" t="str">
        <f>VLOOKUP(record[[#This Row],[employeeID]],員工[],2,FALSE)</f>
        <v>謝素卿</v>
      </c>
    </row>
    <row r="276" spans="6:19" hidden="1" x14ac:dyDescent="0.25">
      <c r="F276" t="s">
        <v>2004</v>
      </c>
      <c r="G276" t="s">
        <v>432</v>
      </c>
      <c r="H276" t="str">
        <f>VLOOKUP(record[[#This Row],[ProcessSN]],表格2_7[],2,FALSE)</f>
        <v>30-4118-018-620</v>
      </c>
      <c r="I276" t="str">
        <f>VLOOKUP(record[[#This Row],[ProcessSN]],表格2_7[],3,FALSE)</f>
        <v>#08IQC</v>
      </c>
      <c r="J276" t="s">
        <v>583</v>
      </c>
      <c r="K276" s="195">
        <v>46155.358287037037</v>
      </c>
      <c r="L276">
        <v>250</v>
      </c>
      <c r="M276">
        <v>0</v>
      </c>
      <c r="N276" s="98" t="str">
        <f>IF(record[[#This Row],[Memo]]="Browser:chrome os:android","平板報工",IF(record[[#This Row],[Memo]]=0,"委外",record[[#This Row],[Memo]]))</f>
        <v/>
      </c>
      <c r="O276" t="s">
        <v>58</v>
      </c>
      <c r="P276" t="s">
        <v>121</v>
      </c>
      <c r="Q276" t="s">
        <v>58</v>
      </c>
      <c r="R276" t="str">
        <f>IFERROR(VLOOKUP(record[[#This Row],[PCUSTID]],廠商[],2,FALSE),"")</f>
        <v/>
      </c>
      <c r="S276" t="str">
        <f>VLOOKUP(record[[#This Row],[employeeID]],員工[],2,FALSE)</f>
        <v>謝素卿</v>
      </c>
    </row>
    <row r="277" spans="6:19" hidden="1" x14ac:dyDescent="0.25">
      <c r="F277" t="s">
        <v>1995</v>
      </c>
      <c r="G277" t="s">
        <v>439</v>
      </c>
      <c r="H277" t="str">
        <f>VLOOKUP(record[[#This Row],[ProcessSN]],表格2_7[],2,FALSE)</f>
        <v>30-4118-018-650</v>
      </c>
      <c r="I277" t="str">
        <f>VLOOKUP(record[[#This Row],[ProcessSN]],表格2_7[],3,FALSE)</f>
        <v>#08RCV</v>
      </c>
      <c r="J277" t="s">
        <v>591</v>
      </c>
      <c r="K277" s="195">
        <v>46155.336921296293</v>
      </c>
      <c r="L277">
        <v>335</v>
      </c>
      <c r="M277">
        <v>0</v>
      </c>
      <c r="N277" s="98" t="str">
        <f>IF(record[[#This Row],[Memo]]="Browser:chrome os:android","平板報工",IF(record[[#This Row],[Memo]]=0,"委外",record[[#This Row],[Memo]]))</f>
        <v/>
      </c>
      <c r="O277" t="s">
        <v>58</v>
      </c>
      <c r="P277" t="s">
        <v>186</v>
      </c>
      <c r="Q277" t="s">
        <v>58</v>
      </c>
      <c r="R277" t="str">
        <f>IFERROR(VLOOKUP(record[[#This Row],[PCUSTID]],廠商[],2,FALSE),"")</f>
        <v/>
      </c>
      <c r="S277" t="str">
        <f>VLOOKUP(record[[#This Row],[employeeID]],員工[],2,FALSE)</f>
        <v>許文姍</v>
      </c>
    </row>
    <row r="278" spans="6:19" hidden="1" x14ac:dyDescent="0.25">
      <c r="F278" t="s">
        <v>2014</v>
      </c>
      <c r="G278" t="s">
        <v>439</v>
      </c>
      <c r="H278" t="str">
        <f>VLOOKUP(record[[#This Row],[ProcessSN]],表格2_7[],2,FALSE)</f>
        <v>30-4118-018-650</v>
      </c>
      <c r="I278" t="str">
        <f>VLOOKUP(record[[#This Row],[ProcessSN]],表格2_7[],3,FALSE)</f>
        <v>#08RCV</v>
      </c>
      <c r="J278" t="s">
        <v>591</v>
      </c>
      <c r="K278" s="195">
        <v>46155.335729166669</v>
      </c>
      <c r="L278">
        <v>768</v>
      </c>
      <c r="M278">
        <v>0</v>
      </c>
      <c r="N278" s="98" t="str">
        <f>IF(record[[#This Row],[Memo]]="Browser:chrome os:android","平板報工",IF(record[[#This Row],[Memo]]=0,"委外",record[[#This Row],[Memo]]))</f>
        <v/>
      </c>
      <c r="O278" t="s">
        <v>58</v>
      </c>
      <c r="P278" t="s">
        <v>186</v>
      </c>
      <c r="Q278" t="s">
        <v>58</v>
      </c>
      <c r="R278" t="str">
        <f>IFERROR(VLOOKUP(record[[#This Row],[PCUSTID]],廠商[],2,FALSE),"")</f>
        <v/>
      </c>
      <c r="S278" t="str">
        <f>VLOOKUP(record[[#This Row],[employeeID]],員工[],2,FALSE)</f>
        <v>許文姍</v>
      </c>
    </row>
    <row r="279" spans="6:19" hidden="1" x14ac:dyDescent="0.25">
      <c r="F279" t="s">
        <v>2013</v>
      </c>
      <c r="G279" t="s">
        <v>431</v>
      </c>
      <c r="H279" t="str">
        <f>VLOOKUP(record[[#This Row],[ProcessSN]],表格2_7[],2,FALSE)</f>
        <v>30-4118-018-620</v>
      </c>
      <c r="I279" t="str">
        <f>VLOOKUP(record[[#This Row],[ProcessSN]],表格2_7[],3,FALSE)</f>
        <v>#08RCV</v>
      </c>
      <c r="J279" t="s">
        <v>591</v>
      </c>
      <c r="K279" s="195">
        <v>46155.335625</v>
      </c>
      <c r="L279">
        <v>250</v>
      </c>
      <c r="M279">
        <v>0</v>
      </c>
      <c r="N279" s="98" t="str">
        <f>IF(record[[#This Row],[Memo]]="Browser:chrome os:android","平板報工",IF(record[[#This Row],[Memo]]=0,"委外",record[[#This Row],[Memo]]))</f>
        <v/>
      </c>
      <c r="O279" t="s">
        <v>58</v>
      </c>
      <c r="P279" t="s">
        <v>186</v>
      </c>
      <c r="Q279" t="s">
        <v>58</v>
      </c>
      <c r="R279" t="str">
        <f>IFERROR(VLOOKUP(record[[#This Row],[PCUSTID]],廠商[],2,FALSE),"")</f>
        <v/>
      </c>
      <c r="S279" t="str">
        <f>VLOOKUP(record[[#This Row],[employeeID]],員工[],2,FALSE)</f>
        <v>許文姍</v>
      </c>
    </row>
    <row r="280" spans="6:19" hidden="1" x14ac:dyDescent="0.25">
      <c r="F280" t="s">
        <v>1965</v>
      </c>
      <c r="G280" t="s">
        <v>414</v>
      </c>
      <c r="H280" t="str">
        <f>VLOOKUP(record[[#This Row],[ProcessSN]],表格2_7[],2,FALSE)</f>
        <v>30-4118-018-5XX</v>
      </c>
      <c r="I280" t="str">
        <f>VLOOKUP(record[[#This Row],[ProcessSN]],表格2_7[],3,FALSE)</f>
        <v>#03</v>
      </c>
      <c r="J280" t="s">
        <v>588</v>
      </c>
      <c r="K280" s="195">
        <v>46155.29965277778</v>
      </c>
      <c r="L280">
        <v>624</v>
      </c>
      <c r="M280">
        <v>0</v>
      </c>
      <c r="N280" s="98" t="str">
        <f>IF(record[[#This Row],[Memo]]="Browser:chrome os:android","平板報工",IF(record[[#This Row],[Memo]]=0,"委外",record[[#This Row],[Memo]]))</f>
        <v/>
      </c>
      <c r="O280" t="s">
        <v>58</v>
      </c>
      <c r="P280" t="s">
        <v>135</v>
      </c>
      <c r="Q280" t="s">
        <v>58</v>
      </c>
      <c r="R280" t="str">
        <f>IFERROR(VLOOKUP(record[[#This Row],[PCUSTID]],廠商[],2,FALSE),"")</f>
        <v/>
      </c>
      <c r="S280" t="str">
        <f>VLOOKUP(record[[#This Row],[employeeID]],員工[],2,FALSE)</f>
        <v>阮士文</v>
      </c>
    </row>
    <row r="281" spans="6:19" hidden="1" x14ac:dyDescent="0.25">
      <c r="F281" t="s">
        <v>1987</v>
      </c>
      <c r="G281" t="s">
        <v>448</v>
      </c>
      <c r="H281" t="str">
        <f>VLOOKUP(record[[#This Row],[ProcessSN]],表格2_7[],2,FALSE)</f>
        <v>30-4118-018-6XX</v>
      </c>
      <c r="I281" t="str">
        <f>VLOOKUP(record[[#This Row],[ProcessSN]],表格2_7[],3,FALSE)</f>
        <v>#04</v>
      </c>
      <c r="J281" t="s">
        <v>588</v>
      </c>
      <c r="K281" s="195">
        <v>46155.298738425925</v>
      </c>
      <c r="L281">
        <v>14</v>
      </c>
      <c r="M281">
        <v>0</v>
      </c>
      <c r="N281" s="98" t="str">
        <f>IF(record[[#This Row],[Memo]]="Browser:chrome os:android","平板報工",IF(record[[#This Row],[Memo]]=0,"委外",record[[#This Row],[Memo]]))</f>
        <v/>
      </c>
      <c r="O281" t="s">
        <v>58</v>
      </c>
      <c r="P281" t="s">
        <v>135</v>
      </c>
      <c r="Q281" t="s">
        <v>58</v>
      </c>
      <c r="R281" t="str">
        <f>IFERROR(VLOOKUP(record[[#This Row],[PCUSTID]],廠商[],2,FALSE),"")</f>
        <v/>
      </c>
      <c r="S281" t="str">
        <f>VLOOKUP(record[[#This Row],[employeeID]],員工[],2,FALSE)</f>
        <v>阮士文</v>
      </c>
    </row>
    <row r="282" spans="6:19" hidden="1" x14ac:dyDescent="0.25">
      <c r="F282" t="s">
        <v>1987</v>
      </c>
      <c r="G282" t="s">
        <v>448</v>
      </c>
      <c r="H282" t="str">
        <f>VLOOKUP(record[[#This Row],[ProcessSN]],表格2_7[],2,FALSE)</f>
        <v>30-4118-018-6XX</v>
      </c>
      <c r="I282" t="str">
        <f>VLOOKUP(record[[#This Row],[ProcessSN]],表格2_7[],3,FALSE)</f>
        <v>#04</v>
      </c>
      <c r="J282" t="s">
        <v>588</v>
      </c>
      <c r="K282" s="195">
        <v>46155.29791666667</v>
      </c>
      <c r="L282">
        <v>14</v>
      </c>
      <c r="M282">
        <v>0</v>
      </c>
      <c r="N282" s="98" t="str">
        <f>IF(record[[#This Row],[Memo]]="Browser:chrome os:android","平板報工",IF(record[[#This Row],[Memo]]=0,"委外",record[[#This Row],[Memo]]))</f>
        <v>平板報工</v>
      </c>
      <c r="O282" t="s">
        <v>643</v>
      </c>
      <c r="P282" t="s">
        <v>1847</v>
      </c>
      <c r="Q282" t="s">
        <v>644</v>
      </c>
      <c r="R282" t="str">
        <f>IFERROR(VLOOKUP(record[[#This Row],[PCUSTID]],廠商[],2,FALSE),"")</f>
        <v/>
      </c>
      <c r="S282" t="str">
        <f>VLOOKUP(record[[#This Row],[employeeID]],員工[],2,FALSE)</f>
        <v>潘黎慶平</v>
      </c>
    </row>
    <row r="283" spans="6:19" hidden="1" x14ac:dyDescent="0.25">
      <c r="F283" t="s">
        <v>1987</v>
      </c>
      <c r="G283" t="s">
        <v>448</v>
      </c>
      <c r="H283" t="str">
        <f>VLOOKUP(record[[#This Row],[ProcessSN]],表格2_7[],2,FALSE)</f>
        <v>30-4118-018-6XX</v>
      </c>
      <c r="I283" t="str">
        <f>VLOOKUP(record[[#This Row],[ProcessSN]],表格2_7[],3,FALSE)</f>
        <v>#04</v>
      </c>
      <c r="J283" t="s">
        <v>588</v>
      </c>
      <c r="K283" s="195">
        <v>46155.297384259262</v>
      </c>
      <c r="L283">
        <v>129</v>
      </c>
      <c r="M283">
        <v>0</v>
      </c>
      <c r="N283" s="98" t="str">
        <f>IF(record[[#This Row],[Memo]]="Browser:chrome os:android","平板報工",IF(record[[#This Row],[Memo]]=0,"委外",record[[#This Row],[Memo]]))</f>
        <v>平板報工</v>
      </c>
      <c r="O283" t="s">
        <v>643</v>
      </c>
      <c r="P283" t="s">
        <v>1847</v>
      </c>
      <c r="Q283" t="s">
        <v>644</v>
      </c>
      <c r="R283" t="str">
        <f>IFERROR(VLOOKUP(record[[#This Row],[PCUSTID]],廠商[],2,FALSE),"")</f>
        <v/>
      </c>
      <c r="S283" t="str">
        <f>VLOOKUP(record[[#This Row],[employeeID]],員工[],2,FALSE)</f>
        <v>潘黎慶平</v>
      </c>
    </row>
    <row r="284" spans="6:19" hidden="1" x14ac:dyDescent="0.25">
      <c r="F284" t="s">
        <v>1944</v>
      </c>
      <c r="G284" t="s">
        <v>415</v>
      </c>
      <c r="H284" t="str">
        <f>VLOOKUP(record[[#This Row],[ProcessSN]],表格2_7[],2,FALSE)</f>
        <v>30-4118-018-5XX</v>
      </c>
      <c r="I284" t="str">
        <f>VLOOKUP(record[[#This Row],[ProcessSN]],表格2_7[],3,FALSE)</f>
        <v>#04</v>
      </c>
      <c r="J284" t="s">
        <v>588</v>
      </c>
      <c r="K284" s="195">
        <v>46155.294571759259</v>
      </c>
      <c r="L284">
        <v>90</v>
      </c>
      <c r="M284">
        <v>0</v>
      </c>
      <c r="N284" s="98" t="str">
        <f>IF(record[[#This Row],[Memo]]="Browser:chrome os:android","平板報工",IF(record[[#This Row],[Memo]]=0,"委外",record[[#This Row],[Memo]]))</f>
        <v>平板報工</v>
      </c>
      <c r="O284" t="s">
        <v>643</v>
      </c>
      <c r="P284" t="s">
        <v>1847</v>
      </c>
      <c r="Q284" t="s">
        <v>644</v>
      </c>
      <c r="R284" t="str">
        <f>IFERROR(VLOOKUP(record[[#This Row],[PCUSTID]],廠商[],2,FALSE),"")</f>
        <v/>
      </c>
      <c r="S284" t="str">
        <f>VLOOKUP(record[[#This Row],[employeeID]],員工[],2,FALSE)</f>
        <v>潘黎慶平</v>
      </c>
    </row>
    <row r="285" spans="6:19" hidden="1" x14ac:dyDescent="0.25">
      <c r="F285" t="s">
        <v>1987</v>
      </c>
      <c r="G285" t="s">
        <v>450</v>
      </c>
      <c r="H285" t="str">
        <f>VLOOKUP(record[[#This Row],[ProcessSN]],表格2_7[],2,FALSE)</f>
        <v>30-4118-018-6XX</v>
      </c>
      <c r="I285" t="str">
        <f>VLOOKUP(record[[#This Row],[ProcessSN]],表格2_7[],3,FALSE)</f>
        <v>#06</v>
      </c>
      <c r="J285" t="s">
        <v>593</v>
      </c>
      <c r="K285" s="195">
        <v>46155.249710648146</v>
      </c>
      <c r="L285">
        <v>133</v>
      </c>
      <c r="M285">
        <v>0</v>
      </c>
      <c r="N285" s="98" t="str">
        <f>IF(record[[#This Row],[Memo]]="Browser:chrome os:android","平板報工",IF(record[[#This Row],[Memo]]=0,"委外",record[[#This Row],[Memo]]))</f>
        <v>平板報工</v>
      </c>
      <c r="O285" t="s">
        <v>643</v>
      </c>
      <c r="P285" t="s">
        <v>806</v>
      </c>
      <c r="Q285" t="s">
        <v>644</v>
      </c>
      <c r="R285" t="str">
        <f>IFERROR(VLOOKUP(record[[#This Row],[PCUSTID]],廠商[],2,FALSE),"")</f>
        <v/>
      </c>
      <c r="S285" t="str">
        <f>VLOOKUP(record[[#This Row],[employeeID]],員工[],2,FALSE)</f>
        <v>方思緯</v>
      </c>
    </row>
    <row r="286" spans="6:19" hidden="1" x14ac:dyDescent="0.25">
      <c r="F286" t="s">
        <v>1965</v>
      </c>
      <c r="G286" t="s">
        <v>414</v>
      </c>
      <c r="H286" t="str">
        <f>VLOOKUP(record[[#This Row],[ProcessSN]],表格2_7[],2,FALSE)</f>
        <v>30-4118-018-5XX</v>
      </c>
      <c r="I286" t="str">
        <f>VLOOKUP(record[[#This Row],[ProcessSN]],表格2_7[],3,FALSE)</f>
        <v>#03</v>
      </c>
      <c r="J286" t="s">
        <v>588</v>
      </c>
      <c r="K286" s="195">
        <v>46154.988032407404</v>
      </c>
      <c r="L286">
        <v>216</v>
      </c>
      <c r="M286">
        <v>0</v>
      </c>
      <c r="N286" s="98" t="str">
        <f>IF(record[[#This Row],[Memo]]="Browser:chrome os:android","平板報工",IF(record[[#This Row],[Memo]]=0,"委外",record[[#This Row],[Memo]]))</f>
        <v>平板報工</v>
      </c>
      <c r="O286" t="s">
        <v>643</v>
      </c>
      <c r="P286" t="s">
        <v>1847</v>
      </c>
      <c r="Q286" t="s">
        <v>644</v>
      </c>
      <c r="R286" t="str">
        <f>IFERROR(VLOOKUP(record[[#This Row],[PCUSTID]],廠商[],2,FALSE),"")</f>
        <v/>
      </c>
      <c r="S286" t="str">
        <f>VLOOKUP(record[[#This Row],[employeeID]],員工[],2,FALSE)</f>
        <v>潘黎慶平</v>
      </c>
    </row>
    <row r="287" spans="6:19" hidden="1" x14ac:dyDescent="0.25">
      <c r="F287" t="s">
        <v>1987</v>
      </c>
      <c r="G287" t="s">
        <v>449</v>
      </c>
      <c r="H287" t="str">
        <f>VLOOKUP(record[[#This Row],[ProcessSN]],表格2_7[],2,FALSE)</f>
        <v>30-4118-018-6XX</v>
      </c>
      <c r="I287" t="str">
        <f>VLOOKUP(record[[#This Row],[ProcessSN]],表格2_7[],3,FALSE)</f>
        <v>#05</v>
      </c>
      <c r="J287" t="s">
        <v>588</v>
      </c>
      <c r="K287" s="195">
        <v>46154.986527777779</v>
      </c>
      <c r="L287">
        <v>288</v>
      </c>
      <c r="M287">
        <v>0</v>
      </c>
      <c r="N287" s="98" t="str">
        <f>IF(record[[#This Row],[Memo]]="Browser:chrome os:android","平板報工",IF(record[[#This Row],[Memo]]=0,"委外",record[[#This Row],[Memo]]))</f>
        <v>平板報工</v>
      </c>
      <c r="O287" t="s">
        <v>643</v>
      </c>
      <c r="P287" t="s">
        <v>89</v>
      </c>
      <c r="Q287" t="s">
        <v>644</v>
      </c>
      <c r="R287" t="str">
        <f>IFERROR(VLOOKUP(record[[#This Row],[PCUSTID]],廠商[],2,FALSE),"")</f>
        <v/>
      </c>
      <c r="S287" t="str">
        <f>VLOOKUP(record[[#This Row],[employeeID]],員工[],2,FALSE)</f>
        <v>李美蓮</v>
      </c>
    </row>
    <row r="288" spans="6:19" hidden="1" x14ac:dyDescent="0.25">
      <c r="F288" t="s">
        <v>1987</v>
      </c>
      <c r="G288" t="s">
        <v>448</v>
      </c>
      <c r="H288" t="str">
        <f>VLOOKUP(record[[#This Row],[ProcessSN]],表格2_7[],2,FALSE)</f>
        <v>30-4118-018-6XX</v>
      </c>
      <c r="I288" t="str">
        <f>VLOOKUP(record[[#This Row],[ProcessSN]],表格2_7[],3,FALSE)</f>
        <v>#04</v>
      </c>
      <c r="J288" t="s">
        <v>588</v>
      </c>
      <c r="K288" s="195">
        <v>46154.982164351852</v>
      </c>
      <c r="L288">
        <v>230</v>
      </c>
      <c r="M288">
        <v>0</v>
      </c>
      <c r="N288" s="98" t="str">
        <f>IF(record[[#This Row],[Memo]]="Browser:chrome os:android","平板報工",IF(record[[#This Row],[Memo]]=0,"委外",record[[#This Row],[Memo]]))</f>
        <v>平板報工</v>
      </c>
      <c r="O288" t="s">
        <v>643</v>
      </c>
      <c r="P288" t="s">
        <v>176</v>
      </c>
      <c r="Q288" t="s">
        <v>644</v>
      </c>
      <c r="R288" t="str">
        <f>IFERROR(VLOOKUP(record[[#This Row],[PCUSTID]],廠商[],2,FALSE),"")</f>
        <v/>
      </c>
      <c r="S288" t="str">
        <f>VLOOKUP(record[[#This Row],[employeeID]],員工[],2,FALSE)</f>
        <v>郭政雄</v>
      </c>
    </row>
    <row r="289" spans="6:19" hidden="1" x14ac:dyDescent="0.25">
      <c r="F289" t="s">
        <v>1987</v>
      </c>
      <c r="G289" t="s">
        <v>450</v>
      </c>
      <c r="H289" t="str">
        <f>VLOOKUP(record[[#This Row],[ProcessSN]],表格2_7[],2,FALSE)</f>
        <v>30-4118-018-6XX</v>
      </c>
      <c r="I289" t="str">
        <f>VLOOKUP(record[[#This Row],[ProcessSN]],表格2_7[],3,FALSE)</f>
        <v>#06</v>
      </c>
      <c r="J289" t="s">
        <v>593</v>
      </c>
      <c r="K289" s="195">
        <v>46154.835104166668</v>
      </c>
      <c r="L289">
        <v>67</v>
      </c>
      <c r="M289">
        <v>0</v>
      </c>
      <c r="N289" s="98" t="str">
        <f>IF(record[[#This Row],[Memo]]="Browser:chrome os:android","平板報工",IF(record[[#This Row],[Memo]]=0,"委外",record[[#This Row],[Memo]]))</f>
        <v>平板報工</v>
      </c>
      <c r="O289" t="s">
        <v>643</v>
      </c>
      <c r="P289" t="s">
        <v>1413</v>
      </c>
      <c r="Q289" t="s">
        <v>644</v>
      </c>
      <c r="R289" t="str">
        <f>IFERROR(VLOOKUP(record[[#This Row],[PCUSTID]],廠商[],2,FALSE),"")</f>
        <v/>
      </c>
      <c r="S289" t="str">
        <f>VLOOKUP(record[[#This Row],[employeeID]],員工[],2,FALSE)</f>
        <v>阮氏芳英(芳)</v>
      </c>
    </row>
    <row r="290" spans="6:19" hidden="1" x14ac:dyDescent="0.25">
      <c r="F290" t="s">
        <v>1987</v>
      </c>
      <c r="G290" t="s">
        <v>451</v>
      </c>
      <c r="H290" t="str">
        <f>VLOOKUP(record[[#This Row],[ProcessSN]],表格2_7[],2,FALSE)</f>
        <v>30-4118-018-6XX</v>
      </c>
      <c r="I290" t="str">
        <f>VLOOKUP(record[[#This Row],[ProcessSN]],表格2_7[],3,FALSE)</f>
        <v>#07</v>
      </c>
      <c r="J290" t="s">
        <v>588</v>
      </c>
      <c r="K290" s="195">
        <v>46154.83252314815</v>
      </c>
      <c r="L290">
        <v>36</v>
      </c>
      <c r="M290">
        <v>0</v>
      </c>
      <c r="N290" s="98" t="str">
        <f>IF(record[[#This Row],[Memo]]="Browser:chrome os:android","平板報工",IF(record[[#This Row],[Memo]]=0,"委外",record[[#This Row],[Memo]]))</f>
        <v>平板報工</v>
      </c>
      <c r="O290" t="s">
        <v>643</v>
      </c>
      <c r="P290" t="s">
        <v>785</v>
      </c>
      <c r="Q290" t="s">
        <v>644</v>
      </c>
      <c r="R290" t="str">
        <f>IFERROR(VLOOKUP(record[[#This Row],[PCUSTID]],廠商[],2,FALSE),"")</f>
        <v/>
      </c>
      <c r="S290" t="str">
        <f>VLOOKUP(record[[#This Row],[employeeID]],員工[],2,FALSE)</f>
        <v>謝刻光</v>
      </c>
    </row>
    <row r="291" spans="6:19" hidden="1" x14ac:dyDescent="0.25">
      <c r="F291" t="s">
        <v>1987</v>
      </c>
      <c r="G291" t="s">
        <v>447</v>
      </c>
      <c r="H291" t="str">
        <f>VLOOKUP(record[[#This Row],[ProcessSN]],表格2_7[],2,FALSE)</f>
        <v>30-4118-018-6XX</v>
      </c>
      <c r="I291" t="str">
        <f>VLOOKUP(record[[#This Row],[ProcessSN]],表格2_7[],3,FALSE)</f>
        <v>#03</v>
      </c>
      <c r="J291" t="s">
        <v>588</v>
      </c>
      <c r="K291" s="195">
        <v>46154.825416666667</v>
      </c>
      <c r="L291">
        <v>0</v>
      </c>
      <c r="M291">
        <v>1</v>
      </c>
      <c r="N291" s="98" t="str">
        <f>IF(record[[#This Row],[Memo]]="Browser:chrome os:android","平板報工",IF(record[[#This Row],[Memo]]=0,"委外",record[[#This Row],[Memo]]))</f>
        <v>平板報工</v>
      </c>
      <c r="O291" t="s">
        <v>643</v>
      </c>
      <c r="P291" t="s">
        <v>1669</v>
      </c>
      <c r="Q291" t="s">
        <v>644</v>
      </c>
      <c r="R291" t="str">
        <f>IFERROR(VLOOKUP(record[[#This Row],[PCUSTID]],廠商[],2,FALSE),"")</f>
        <v/>
      </c>
      <c r="S291" t="str">
        <f>VLOOKUP(record[[#This Row],[employeeID]],員工[],2,FALSE)</f>
        <v>武氏麗娟</v>
      </c>
    </row>
    <row r="292" spans="6:19" hidden="1" x14ac:dyDescent="0.25">
      <c r="F292" t="s">
        <v>1987</v>
      </c>
      <c r="G292" t="s">
        <v>447</v>
      </c>
      <c r="H292" t="str">
        <f>VLOOKUP(record[[#This Row],[ProcessSN]],表格2_7[],2,FALSE)</f>
        <v>30-4118-018-6XX</v>
      </c>
      <c r="I292" t="str">
        <f>VLOOKUP(record[[#This Row],[ProcessSN]],表格2_7[],3,FALSE)</f>
        <v>#03</v>
      </c>
      <c r="J292" t="s">
        <v>588</v>
      </c>
      <c r="K292" s="195">
        <v>46154.824016203704</v>
      </c>
      <c r="L292">
        <v>306</v>
      </c>
      <c r="M292">
        <v>0</v>
      </c>
      <c r="N292" s="98" t="str">
        <f>IF(record[[#This Row],[Memo]]="Browser:chrome os:android","平板報工",IF(record[[#This Row],[Memo]]=0,"委外",record[[#This Row],[Memo]]))</f>
        <v>平板報工</v>
      </c>
      <c r="O292" t="s">
        <v>643</v>
      </c>
      <c r="P292" t="s">
        <v>1669</v>
      </c>
      <c r="Q292" t="s">
        <v>644</v>
      </c>
      <c r="R292" t="str">
        <f>IFERROR(VLOOKUP(record[[#This Row],[PCUSTID]],廠商[],2,FALSE),"")</f>
        <v/>
      </c>
      <c r="S292" t="str">
        <f>VLOOKUP(record[[#This Row],[employeeID]],員工[],2,FALSE)</f>
        <v>武氏麗娟</v>
      </c>
    </row>
    <row r="293" spans="6:19" hidden="1" x14ac:dyDescent="0.25">
      <c r="F293" t="s">
        <v>1981</v>
      </c>
      <c r="G293" t="s">
        <v>409</v>
      </c>
      <c r="H293" t="str">
        <f>VLOOKUP(record[[#This Row],[ProcessSN]],表格2_7[],2,FALSE)</f>
        <v>30-4118-018-570</v>
      </c>
      <c r="I293" t="str">
        <f>VLOOKUP(record[[#This Row],[ProcessSN]],表格2_7[],3,FALSE)</f>
        <v>#10OQC</v>
      </c>
      <c r="J293" t="s">
        <v>599</v>
      </c>
      <c r="K293" s="195">
        <v>46154.777592592596</v>
      </c>
      <c r="L293">
        <v>5</v>
      </c>
      <c r="M293">
        <v>0</v>
      </c>
      <c r="N293" s="98" t="str">
        <f>IF(record[[#This Row],[Memo]]="Browser:chrome os:android","平板報工",IF(record[[#This Row],[Memo]]=0,"委外",record[[#This Row],[Memo]]))</f>
        <v/>
      </c>
      <c r="O293" t="s">
        <v>58</v>
      </c>
      <c r="P293" t="s">
        <v>121</v>
      </c>
      <c r="Q293" t="s">
        <v>58</v>
      </c>
      <c r="R293" t="str">
        <f>IFERROR(VLOOKUP(record[[#This Row],[PCUSTID]],廠商[],2,FALSE),"")</f>
        <v/>
      </c>
      <c r="S293" t="str">
        <f>VLOOKUP(record[[#This Row],[employeeID]],員工[],2,FALSE)</f>
        <v>謝素卿</v>
      </c>
    </row>
    <row r="294" spans="6:19" hidden="1" x14ac:dyDescent="0.25">
      <c r="F294" t="s">
        <v>1987</v>
      </c>
      <c r="G294" t="s">
        <v>448</v>
      </c>
      <c r="H294" t="str">
        <f>VLOOKUP(record[[#This Row],[ProcessSN]],表格2_7[],2,FALSE)</f>
        <v>30-4118-018-6XX</v>
      </c>
      <c r="I294" t="str">
        <f>VLOOKUP(record[[#This Row],[ProcessSN]],表格2_7[],3,FALSE)</f>
        <v>#04</v>
      </c>
      <c r="J294" t="s">
        <v>588</v>
      </c>
      <c r="K294" s="195">
        <v>46154.707175925927</v>
      </c>
      <c r="L294">
        <v>120</v>
      </c>
      <c r="M294">
        <v>0</v>
      </c>
      <c r="N294" s="98" t="str">
        <f>IF(record[[#This Row],[Memo]]="Browser:chrome os:android","平板報工",IF(record[[#This Row],[Memo]]=0,"委外",record[[#This Row],[Memo]]))</f>
        <v/>
      </c>
      <c r="O294" t="s">
        <v>58</v>
      </c>
      <c r="P294" t="s">
        <v>139</v>
      </c>
      <c r="Q294" t="s">
        <v>58</v>
      </c>
      <c r="R294" t="str">
        <f>IFERROR(VLOOKUP(record[[#This Row],[PCUSTID]],廠商[],2,FALSE),"")</f>
        <v/>
      </c>
      <c r="S294" t="str">
        <f>VLOOKUP(record[[#This Row],[employeeID]],員工[],2,FALSE)</f>
        <v>高氏顏</v>
      </c>
    </row>
    <row r="295" spans="6:19" hidden="1" x14ac:dyDescent="0.25">
      <c r="F295" t="s">
        <v>1987</v>
      </c>
      <c r="G295" t="s">
        <v>447</v>
      </c>
      <c r="H295" t="str">
        <f>VLOOKUP(record[[#This Row],[ProcessSN]],表格2_7[],2,FALSE)</f>
        <v>30-4118-018-6XX</v>
      </c>
      <c r="I295" t="str">
        <f>VLOOKUP(record[[#This Row],[ProcessSN]],表格2_7[],3,FALSE)</f>
        <v>#03</v>
      </c>
      <c r="J295" t="s">
        <v>588</v>
      </c>
      <c r="K295" s="195">
        <v>46154.706412037034</v>
      </c>
      <c r="L295">
        <v>201</v>
      </c>
      <c r="M295">
        <v>0</v>
      </c>
      <c r="N295" s="98" t="str">
        <f>IF(record[[#This Row],[Memo]]="Browser:chrome os:android","平板報工",IF(record[[#This Row],[Memo]]=0,"委外",record[[#This Row],[Memo]]))</f>
        <v/>
      </c>
      <c r="O295" t="s">
        <v>58</v>
      </c>
      <c r="P295" t="s">
        <v>107</v>
      </c>
      <c r="Q295" t="s">
        <v>58</v>
      </c>
      <c r="R295" t="str">
        <f>IFERROR(VLOOKUP(record[[#This Row],[PCUSTID]],廠商[],2,FALSE),"")</f>
        <v/>
      </c>
      <c r="S295" t="str">
        <f>VLOOKUP(record[[#This Row],[employeeID]],員工[],2,FALSE)</f>
        <v>黎氏順</v>
      </c>
    </row>
    <row r="296" spans="6:19" hidden="1" x14ac:dyDescent="0.25">
      <c r="F296" t="s">
        <v>1987</v>
      </c>
      <c r="G296" t="s">
        <v>450</v>
      </c>
      <c r="H296" t="str">
        <f>VLOOKUP(record[[#This Row],[ProcessSN]],表格2_7[],2,FALSE)</f>
        <v>30-4118-018-6XX</v>
      </c>
      <c r="I296" t="str">
        <f>VLOOKUP(record[[#This Row],[ProcessSN]],表格2_7[],3,FALSE)</f>
        <v>#06</v>
      </c>
      <c r="J296" t="s">
        <v>593</v>
      </c>
      <c r="K296" s="195">
        <v>46154.667141203703</v>
      </c>
      <c r="L296">
        <v>105</v>
      </c>
      <c r="M296">
        <v>0</v>
      </c>
      <c r="N296" s="98" t="str">
        <f>IF(record[[#This Row],[Memo]]="Browser:chrome os:android","平板報工",IF(record[[#This Row],[Memo]]=0,"委外",record[[#This Row],[Memo]]))</f>
        <v>平板報工</v>
      </c>
      <c r="O296" t="s">
        <v>643</v>
      </c>
      <c r="P296" t="s">
        <v>139</v>
      </c>
      <c r="Q296" t="s">
        <v>644</v>
      </c>
      <c r="R296" t="str">
        <f>IFERROR(VLOOKUP(record[[#This Row],[PCUSTID]],廠商[],2,FALSE),"")</f>
        <v/>
      </c>
      <c r="S296" t="str">
        <f>VLOOKUP(record[[#This Row],[employeeID]],員工[],2,FALSE)</f>
        <v>高氏顏</v>
      </c>
    </row>
    <row r="297" spans="6:19" hidden="1" x14ac:dyDescent="0.25">
      <c r="F297" t="s">
        <v>1987</v>
      </c>
      <c r="G297" t="s">
        <v>453</v>
      </c>
      <c r="H297" t="str">
        <f>VLOOKUP(record[[#This Row],[ProcessSN]],表格2_7[],2,FALSE)</f>
        <v>30-4118-018-6XX</v>
      </c>
      <c r="I297" t="str">
        <f>VLOOKUP(record[[#This Row],[ProcessSN]],表格2_7[],3,FALSE)</f>
        <v>#07STOCK</v>
      </c>
      <c r="J297" t="s">
        <v>592</v>
      </c>
      <c r="K297" s="195">
        <v>46154.667129629626</v>
      </c>
      <c r="L297">
        <v>377</v>
      </c>
      <c r="M297">
        <v>0</v>
      </c>
      <c r="N297" s="98" t="str">
        <f>IF(record[[#This Row],[Memo]]="Browser:chrome os:android","平板報工",IF(record[[#This Row],[Memo]]=0,"委外",record[[#This Row],[Memo]]))</f>
        <v/>
      </c>
      <c r="O297" t="s">
        <v>58</v>
      </c>
      <c r="P297" t="s">
        <v>186</v>
      </c>
      <c r="Q297" t="s">
        <v>58</v>
      </c>
      <c r="R297" t="str">
        <f>IFERROR(VLOOKUP(record[[#This Row],[PCUSTID]],廠商[],2,FALSE),"")</f>
        <v/>
      </c>
      <c r="S297" t="str">
        <f>VLOOKUP(record[[#This Row],[employeeID]],員工[],2,FALSE)</f>
        <v>許文姍</v>
      </c>
    </row>
    <row r="298" spans="6:19" hidden="1" x14ac:dyDescent="0.25">
      <c r="F298" t="s">
        <v>1945</v>
      </c>
      <c r="G298" t="s">
        <v>453</v>
      </c>
      <c r="H298" t="str">
        <f>VLOOKUP(record[[#This Row],[ProcessSN]],表格2_7[],2,FALSE)</f>
        <v>30-4118-018-6XX</v>
      </c>
      <c r="I298" t="str">
        <f>VLOOKUP(record[[#This Row],[ProcessSN]],表格2_7[],3,FALSE)</f>
        <v>#07STOCK</v>
      </c>
      <c r="J298" t="s">
        <v>592</v>
      </c>
      <c r="K298" s="195">
        <v>46154.666967592595</v>
      </c>
      <c r="L298">
        <v>193</v>
      </c>
      <c r="M298">
        <v>0</v>
      </c>
      <c r="N298" s="98" t="str">
        <f>IF(record[[#This Row],[Memo]]="Browser:chrome os:android","平板報工",IF(record[[#This Row],[Memo]]=0,"委外",record[[#This Row],[Memo]]))</f>
        <v/>
      </c>
      <c r="O298" t="s">
        <v>58</v>
      </c>
      <c r="P298" t="s">
        <v>186</v>
      </c>
      <c r="Q298" t="s">
        <v>58</v>
      </c>
      <c r="R298" t="str">
        <f>IFERROR(VLOOKUP(record[[#This Row],[PCUSTID]],廠商[],2,FALSE),"")</f>
        <v/>
      </c>
      <c r="S298" t="str">
        <f>VLOOKUP(record[[#This Row],[employeeID]],員工[],2,FALSE)</f>
        <v>許文姍</v>
      </c>
    </row>
    <row r="299" spans="6:19" x14ac:dyDescent="0.25">
      <c r="F299" t="s">
        <v>1924</v>
      </c>
      <c r="G299" t="s">
        <v>453</v>
      </c>
      <c r="H299" t="str">
        <f>VLOOKUP(record[[#This Row],[ProcessSN]],表格2_7[],2,FALSE)</f>
        <v>30-4118-018-6XX</v>
      </c>
      <c r="I299" t="str">
        <f>VLOOKUP(record[[#This Row],[ProcessSN]],表格2_7[],3,FALSE)</f>
        <v>#07STOCK</v>
      </c>
      <c r="J299" t="s">
        <v>592</v>
      </c>
      <c r="K299" s="195">
        <v>46154.666817129626</v>
      </c>
      <c r="L299">
        <v>239</v>
      </c>
      <c r="M299">
        <v>0</v>
      </c>
      <c r="N299" s="98" t="str">
        <f>IF(record[[#This Row],[Memo]]="Browser:chrome os:android","平板報工",IF(record[[#This Row],[Memo]]=0,"委外",record[[#This Row],[Memo]]))</f>
        <v/>
      </c>
      <c r="O299" t="s">
        <v>58</v>
      </c>
      <c r="P299" t="s">
        <v>186</v>
      </c>
      <c r="Q299" t="s">
        <v>58</v>
      </c>
      <c r="R299" t="str">
        <f>IFERROR(VLOOKUP(record[[#This Row],[PCUSTID]],廠商[],2,FALSE),"")</f>
        <v/>
      </c>
      <c r="S299" t="str">
        <f>VLOOKUP(record[[#This Row],[employeeID]],員工[],2,FALSE)</f>
        <v>許文姍</v>
      </c>
    </row>
    <row r="300" spans="6:19" hidden="1" x14ac:dyDescent="0.25">
      <c r="F300" t="s">
        <v>1987</v>
      </c>
      <c r="G300" t="s">
        <v>448</v>
      </c>
      <c r="H300" t="str">
        <f>VLOOKUP(record[[#This Row],[ProcessSN]],表格2_7[],2,FALSE)</f>
        <v>30-4118-018-6XX</v>
      </c>
      <c r="I300" t="str">
        <f>VLOOKUP(record[[#This Row],[ProcessSN]],表格2_7[],3,FALSE)</f>
        <v>#04</v>
      </c>
      <c r="J300" t="s">
        <v>588</v>
      </c>
      <c r="K300" s="195">
        <v>46154.665833333333</v>
      </c>
      <c r="L300">
        <v>125</v>
      </c>
      <c r="M300">
        <v>0</v>
      </c>
      <c r="N300" s="98" t="str">
        <f>IF(record[[#This Row],[Memo]]="Browser:chrome os:android","平板報工",IF(record[[#This Row],[Memo]]=0,"委外",record[[#This Row],[Memo]]))</f>
        <v>平板報工</v>
      </c>
      <c r="O300" t="s">
        <v>643</v>
      </c>
      <c r="P300" t="s">
        <v>139</v>
      </c>
      <c r="Q300" t="s">
        <v>644</v>
      </c>
      <c r="R300" t="str">
        <f>IFERROR(VLOOKUP(record[[#This Row],[PCUSTID]],廠商[],2,FALSE),"")</f>
        <v/>
      </c>
      <c r="S300" t="str">
        <f>VLOOKUP(record[[#This Row],[employeeID]],員工[],2,FALSE)</f>
        <v>高氏顏</v>
      </c>
    </row>
    <row r="301" spans="6:19" hidden="1" x14ac:dyDescent="0.25">
      <c r="F301" t="s">
        <v>2011</v>
      </c>
      <c r="G301" t="s">
        <v>422</v>
      </c>
      <c r="H301" t="str">
        <f>VLOOKUP(record[[#This Row],[ProcessSN]],表格2_7[],2,FALSE)</f>
        <v>30-4118-018-600</v>
      </c>
      <c r="I301" t="str">
        <f>VLOOKUP(record[[#This Row],[ProcessSN]],表格2_7[],3,FALSE)</f>
        <v>#08</v>
      </c>
      <c r="J301" t="s">
        <v>597</v>
      </c>
      <c r="K301" s="195">
        <v>46154.663437499999</v>
      </c>
      <c r="L301">
        <v>809</v>
      </c>
      <c r="M301">
        <v>0</v>
      </c>
      <c r="N301" s="98" t="str">
        <f>IF(record[[#This Row],[Memo]]="Browser:chrome os:android","平板報工",IF(record[[#This Row],[Memo]]=0,"委外",record[[#This Row],[Memo]]))</f>
        <v>委外</v>
      </c>
      <c r="P301" t="s">
        <v>186</v>
      </c>
      <c r="Q301" t="s">
        <v>287</v>
      </c>
      <c r="R301" t="str">
        <f>IFERROR(VLOOKUP(record[[#This Row],[PCUSTID]],廠商[],2,FALSE),"")</f>
        <v>泉盛</v>
      </c>
      <c r="S301" t="str">
        <f>VLOOKUP(record[[#This Row],[employeeID]],員工[],2,FALSE)</f>
        <v>許文姍</v>
      </c>
    </row>
    <row r="302" spans="6:19" hidden="1" x14ac:dyDescent="0.25">
      <c r="F302" t="s">
        <v>2011</v>
      </c>
      <c r="G302" t="s">
        <v>421</v>
      </c>
      <c r="H302" t="str">
        <f>VLOOKUP(record[[#This Row],[ProcessSN]],表格2_7[],2,FALSE)</f>
        <v>30-4118-018-600</v>
      </c>
      <c r="I302" t="str">
        <f>VLOOKUP(record[[#This Row],[ProcessSN]],表格2_7[],3,FALSE)</f>
        <v>#08PICK</v>
      </c>
      <c r="J302" t="s">
        <v>582</v>
      </c>
      <c r="K302" s="195">
        <v>46154.663206018522</v>
      </c>
      <c r="L302">
        <v>809</v>
      </c>
      <c r="M302">
        <v>0</v>
      </c>
      <c r="N302" s="98" t="str">
        <f>IF(record[[#This Row],[Memo]]="Browser:chrome os:android","平板報工",IF(record[[#This Row],[Memo]]=0,"委外",record[[#This Row],[Memo]]))</f>
        <v/>
      </c>
      <c r="O302" t="s">
        <v>58</v>
      </c>
      <c r="P302" t="s">
        <v>186</v>
      </c>
      <c r="Q302" t="s">
        <v>58</v>
      </c>
      <c r="R302" t="str">
        <f>IFERROR(VLOOKUP(record[[#This Row],[PCUSTID]],廠商[],2,FALSE),"")</f>
        <v/>
      </c>
      <c r="S302" t="str">
        <f>VLOOKUP(record[[#This Row],[employeeID]],員工[],2,FALSE)</f>
        <v>許文姍</v>
      </c>
    </row>
    <row r="303" spans="6:19" hidden="1" x14ac:dyDescent="0.25">
      <c r="F303" t="s">
        <v>1987</v>
      </c>
      <c r="G303" t="s">
        <v>452</v>
      </c>
      <c r="H303" t="str">
        <f>VLOOKUP(record[[#This Row],[ProcessSN]],表格2_7[],2,FALSE)</f>
        <v>30-4118-018-6XX</v>
      </c>
      <c r="I303" t="str">
        <f>VLOOKUP(record[[#This Row],[ProcessSN]],表格2_7[],3,FALSE)</f>
        <v>#07QC</v>
      </c>
      <c r="J303" t="s">
        <v>589</v>
      </c>
      <c r="K303" s="195">
        <v>46154.662233796298</v>
      </c>
      <c r="L303">
        <v>48</v>
      </c>
      <c r="M303">
        <v>0</v>
      </c>
      <c r="N303" s="98" t="str">
        <f>IF(record[[#This Row],[Memo]]="Browser:chrome os:android","平板報工",IF(record[[#This Row],[Memo]]=0,"委外",record[[#This Row],[Memo]]))</f>
        <v/>
      </c>
      <c r="O303" t="s">
        <v>58</v>
      </c>
      <c r="P303" t="s">
        <v>141</v>
      </c>
      <c r="Q303" t="s">
        <v>58</v>
      </c>
      <c r="R303" t="str">
        <f>IFERROR(VLOOKUP(record[[#This Row],[PCUSTID]],廠商[],2,FALSE),"")</f>
        <v/>
      </c>
      <c r="S303" t="str">
        <f>VLOOKUP(record[[#This Row],[employeeID]],員工[],2,FALSE)</f>
        <v>蔣梅</v>
      </c>
    </row>
    <row r="304" spans="6:19" hidden="1" x14ac:dyDescent="0.25">
      <c r="F304" t="s">
        <v>1987</v>
      </c>
      <c r="G304" t="s">
        <v>450</v>
      </c>
      <c r="H304" t="str">
        <f>VLOOKUP(record[[#This Row],[ProcessSN]],表格2_7[],2,FALSE)</f>
        <v>30-4118-018-6XX</v>
      </c>
      <c r="I304" t="str">
        <f>VLOOKUP(record[[#This Row],[ProcessSN]],表格2_7[],3,FALSE)</f>
        <v>#06</v>
      </c>
      <c r="J304" t="s">
        <v>593</v>
      </c>
      <c r="K304" s="195">
        <v>46154.656284722223</v>
      </c>
      <c r="L304">
        <v>48</v>
      </c>
      <c r="M304">
        <v>0</v>
      </c>
      <c r="N304" s="98" t="str">
        <f>IF(record[[#This Row],[Memo]]="Browser:chrome os:android","平板報工",IF(record[[#This Row],[Memo]]=0,"委外",record[[#This Row],[Memo]]))</f>
        <v>平板報工</v>
      </c>
      <c r="O304" t="s">
        <v>643</v>
      </c>
      <c r="P304" t="s">
        <v>1413</v>
      </c>
      <c r="Q304" t="s">
        <v>644</v>
      </c>
      <c r="R304" t="str">
        <f>IFERROR(VLOOKUP(record[[#This Row],[PCUSTID]],廠商[],2,FALSE),"")</f>
        <v/>
      </c>
      <c r="S304" t="str">
        <f>VLOOKUP(record[[#This Row],[employeeID]],員工[],2,FALSE)</f>
        <v>阮氏芳英(芳)</v>
      </c>
    </row>
    <row r="305" spans="6:19" hidden="1" x14ac:dyDescent="0.25">
      <c r="F305" t="s">
        <v>1944</v>
      </c>
      <c r="G305" t="s">
        <v>418</v>
      </c>
      <c r="H305" t="str">
        <f>VLOOKUP(record[[#This Row],[ProcessSN]],表格2_7[],2,FALSE)</f>
        <v>30-4118-018-5XX</v>
      </c>
      <c r="I305" t="str">
        <f>VLOOKUP(record[[#This Row],[ProcessSN]],表格2_7[],3,FALSE)</f>
        <v>#07</v>
      </c>
      <c r="J305" t="s">
        <v>588</v>
      </c>
      <c r="K305" s="195">
        <v>46154.655312499999</v>
      </c>
      <c r="L305">
        <v>137</v>
      </c>
      <c r="M305">
        <v>1</v>
      </c>
      <c r="N305" s="98" t="str">
        <f>IF(record[[#This Row],[Memo]]="Browser:chrome os:android","平板報工",IF(record[[#This Row],[Memo]]=0,"委外",record[[#This Row],[Memo]]))</f>
        <v>平板報工</v>
      </c>
      <c r="O305" t="s">
        <v>643</v>
      </c>
      <c r="P305" t="s">
        <v>145</v>
      </c>
      <c r="Q305" t="s">
        <v>644</v>
      </c>
      <c r="R305" t="str">
        <f>IFERROR(VLOOKUP(record[[#This Row],[PCUSTID]],廠商[],2,FALSE),"")</f>
        <v/>
      </c>
      <c r="S305" t="str">
        <f>VLOOKUP(record[[#This Row],[employeeID]],員工[],2,FALSE)</f>
        <v>阮秋霞</v>
      </c>
    </row>
    <row r="306" spans="6:19" hidden="1" x14ac:dyDescent="0.25">
      <c r="F306" t="s">
        <v>1987</v>
      </c>
      <c r="G306" t="s">
        <v>449</v>
      </c>
      <c r="H306" t="str">
        <f>VLOOKUP(record[[#This Row],[ProcessSN]],表格2_7[],2,FALSE)</f>
        <v>30-4118-018-6XX</v>
      </c>
      <c r="I306" t="str">
        <f>VLOOKUP(record[[#This Row],[ProcessSN]],表格2_7[],3,FALSE)</f>
        <v>#05</v>
      </c>
      <c r="J306" t="s">
        <v>588</v>
      </c>
      <c r="K306" s="195">
        <v>46154.654664351852</v>
      </c>
      <c r="L306">
        <v>240</v>
      </c>
      <c r="M306">
        <v>0</v>
      </c>
      <c r="N306" s="98" t="str">
        <f>IF(record[[#This Row],[Memo]]="Browser:chrome os:android","平板報工",IF(record[[#This Row],[Memo]]=0,"委外",record[[#This Row],[Memo]]))</f>
        <v>平板報工</v>
      </c>
      <c r="O306" t="s">
        <v>643</v>
      </c>
      <c r="P306" t="s">
        <v>145</v>
      </c>
      <c r="Q306" t="s">
        <v>644</v>
      </c>
      <c r="R306" t="str">
        <f>IFERROR(VLOOKUP(record[[#This Row],[PCUSTID]],廠商[],2,FALSE),"")</f>
        <v/>
      </c>
      <c r="S306" t="str">
        <f>VLOOKUP(record[[#This Row],[employeeID]],員工[],2,FALSE)</f>
        <v>阮秋霞</v>
      </c>
    </row>
    <row r="307" spans="6:19" hidden="1" x14ac:dyDescent="0.25">
      <c r="F307" t="s">
        <v>1987</v>
      </c>
      <c r="G307" t="s">
        <v>451</v>
      </c>
      <c r="H307" t="str">
        <f>VLOOKUP(record[[#This Row],[ProcessSN]],表格2_7[],2,FALSE)</f>
        <v>30-4118-018-6XX</v>
      </c>
      <c r="I307" t="str">
        <f>VLOOKUP(record[[#This Row],[ProcessSN]],表格2_7[],3,FALSE)</f>
        <v>#07</v>
      </c>
      <c r="J307" t="s">
        <v>588</v>
      </c>
      <c r="K307" s="195">
        <v>46154.652129629627</v>
      </c>
      <c r="L307">
        <v>60</v>
      </c>
      <c r="M307">
        <v>2</v>
      </c>
      <c r="N307" s="98" t="str">
        <f>IF(record[[#This Row],[Memo]]="Browser:chrome os:android","平板報工",IF(record[[#This Row],[Memo]]=0,"委外",record[[#This Row],[Memo]]))</f>
        <v>平板報工</v>
      </c>
      <c r="O307" t="s">
        <v>643</v>
      </c>
      <c r="P307" t="s">
        <v>145</v>
      </c>
      <c r="Q307" t="s">
        <v>644</v>
      </c>
      <c r="R307" t="str">
        <f>IFERROR(VLOOKUP(record[[#This Row],[PCUSTID]],廠商[],2,FALSE),"")</f>
        <v/>
      </c>
      <c r="S307" t="str">
        <f>VLOOKUP(record[[#This Row],[employeeID]],員工[],2,FALSE)</f>
        <v>阮秋霞</v>
      </c>
    </row>
    <row r="308" spans="6:19" hidden="1" x14ac:dyDescent="0.25">
      <c r="F308" t="s">
        <v>1944</v>
      </c>
      <c r="G308" t="s">
        <v>417</v>
      </c>
      <c r="H308" t="str">
        <f>VLOOKUP(record[[#This Row],[ProcessSN]],表格2_7[],2,FALSE)</f>
        <v>30-4118-018-5XX</v>
      </c>
      <c r="I308" t="str">
        <f>VLOOKUP(record[[#This Row],[ProcessSN]],表格2_7[],3,FALSE)</f>
        <v>#06</v>
      </c>
      <c r="J308" t="s">
        <v>593</v>
      </c>
      <c r="K308" s="195">
        <v>46154.626134259262</v>
      </c>
      <c r="L308">
        <v>85</v>
      </c>
      <c r="M308">
        <v>0</v>
      </c>
      <c r="N308" s="98" t="str">
        <f>IF(record[[#This Row],[Memo]]="Browser:chrome os:android","平板報工",IF(record[[#This Row],[Memo]]=0,"委外",record[[#This Row],[Memo]]))</f>
        <v>平板報工</v>
      </c>
      <c r="O308" t="s">
        <v>643</v>
      </c>
      <c r="P308" t="s">
        <v>1413</v>
      </c>
      <c r="Q308" t="s">
        <v>644</v>
      </c>
      <c r="R308" t="str">
        <f>IFERROR(VLOOKUP(record[[#This Row],[PCUSTID]],廠商[],2,FALSE),"")</f>
        <v/>
      </c>
      <c r="S308" t="str">
        <f>VLOOKUP(record[[#This Row],[employeeID]],員工[],2,FALSE)</f>
        <v>阮氏芳英(芳)</v>
      </c>
    </row>
    <row r="309" spans="6:19" x14ac:dyDescent="0.25">
      <c r="F309" t="s">
        <v>1924</v>
      </c>
      <c r="G309" t="s">
        <v>452</v>
      </c>
      <c r="H309" t="str">
        <f>VLOOKUP(record[[#This Row],[ProcessSN]],表格2_7[],2,FALSE)</f>
        <v>30-4118-018-6XX</v>
      </c>
      <c r="I309" t="str">
        <f>VLOOKUP(record[[#This Row],[ProcessSN]],表格2_7[],3,FALSE)</f>
        <v>#07QC</v>
      </c>
      <c r="J309" t="s">
        <v>589</v>
      </c>
      <c r="K309" s="195">
        <v>46154.62195601852</v>
      </c>
      <c r="L309">
        <v>0</v>
      </c>
      <c r="M309">
        <v>4</v>
      </c>
      <c r="N309" s="98" t="str">
        <f>IF(record[[#This Row],[Memo]]="Browser:chrome os:android","平板報工",IF(record[[#This Row],[Memo]]=0,"委外",record[[#This Row],[Memo]]))</f>
        <v/>
      </c>
      <c r="O309" t="s">
        <v>58</v>
      </c>
      <c r="P309" t="s">
        <v>141</v>
      </c>
      <c r="Q309" t="s">
        <v>58</v>
      </c>
      <c r="R309" t="str">
        <f>IFERROR(VLOOKUP(record[[#This Row],[PCUSTID]],廠商[],2,FALSE),"")</f>
        <v/>
      </c>
      <c r="S309" t="str">
        <f>VLOOKUP(record[[#This Row],[employeeID]],員工[],2,FALSE)</f>
        <v>蔣梅</v>
      </c>
    </row>
    <row r="310" spans="6:19" x14ac:dyDescent="0.25">
      <c r="F310" t="s">
        <v>1924</v>
      </c>
      <c r="G310" t="s">
        <v>452</v>
      </c>
      <c r="H310" t="str">
        <f>VLOOKUP(record[[#This Row],[ProcessSN]],表格2_7[],2,FALSE)</f>
        <v>30-4118-018-6XX</v>
      </c>
      <c r="I310" t="str">
        <f>VLOOKUP(record[[#This Row],[ProcessSN]],表格2_7[],3,FALSE)</f>
        <v>#07QC</v>
      </c>
      <c r="J310" t="s">
        <v>589</v>
      </c>
      <c r="K310" s="195">
        <v>46154.621817129628</v>
      </c>
      <c r="L310">
        <v>89</v>
      </c>
      <c r="M310">
        <v>0</v>
      </c>
      <c r="N310" s="98" t="str">
        <f>IF(record[[#This Row],[Memo]]="Browser:chrome os:android","平板報工",IF(record[[#This Row],[Memo]]=0,"委外",record[[#This Row],[Memo]]))</f>
        <v/>
      </c>
      <c r="O310" t="s">
        <v>58</v>
      </c>
      <c r="P310" t="s">
        <v>141</v>
      </c>
      <c r="Q310" t="s">
        <v>58</v>
      </c>
      <c r="R310" t="str">
        <f>IFERROR(VLOOKUP(record[[#This Row],[PCUSTID]],廠商[],2,FALSE),"")</f>
        <v/>
      </c>
      <c r="S310" t="str">
        <f>VLOOKUP(record[[#This Row],[employeeID]],員工[],2,FALSE)</f>
        <v>蔣梅</v>
      </c>
    </row>
    <row r="311" spans="6:19" hidden="1" x14ac:dyDescent="0.25">
      <c r="F311" t="s">
        <v>1981</v>
      </c>
      <c r="G311" t="s">
        <v>408</v>
      </c>
      <c r="H311" t="str">
        <f>VLOOKUP(record[[#This Row],[ProcessSN]],表格2_7[],2,FALSE)</f>
        <v>30-4118-018-570</v>
      </c>
      <c r="I311" t="str">
        <f>VLOOKUP(record[[#This Row],[ProcessSN]],表格2_7[],3,FALSE)</f>
        <v>#100</v>
      </c>
      <c r="J311" t="s">
        <v>598</v>
      </c>
      <c r="K311" s="195">
        <v>46154.586215277777</v>
      </c>
      <c r="L311">
        <v>5</v>
      </c>
      <c r="M311">
        <v>0</v>
      </c>
      <c r="N311" s="98" t="str">
        <f>IF(record[[#This Row],[Memo]]="Browser:chrome os:android","平板報工",IF(record[[#This Row],[Memo]]=0,"委外",record[[#This Row],[Memo]]))</f>
        <v/>
      </c>
      <c r="O311" t="s">
        <v>58</v>
      </c>
      <c r="P311" t="s">
        <v>141</v>
      </c>
      <c r="Q311" t="s">
        <v>58</v>
      </c>
      <c r="R311" t="str">
        <f>IFERROR(VLOOKUP(record[[#This Row],[PCUSTID]],廠商[],2,FALSE),"")</f>
        <v/>
      </c>
      <c r="S311" t="str">
        <f>VLOOKUP(record[[#This Row],[employeeID]],員工[],2,FALSE)</f>
        <v>蔣梅</v>
      </c>
    </row>
    <row r="312" spans="6:19" hidden="1" x14ac:dyDescent="0.25">
      <c r="F312" t="s">
        <v>1981</v>
      </c>
      <c r="G312" t="s">
        <v>407</v>
      </c>
      <c r="H312" t="str">
        <f>VLOOKUP(record[[#This Row],[ProcessSN]],表格2_7[],2,FALSE)</f>
        <v>30-4118-018-570</v>
      </c>
      <c r="I312" t="str">
        <f>VLOOKUP(record[[#This Row],[ProcessSN]],表格2_7[],3,FALSE)</f>
        <v>#08IQC</v>
      </c>
      <c r="J312" t="s">
        <v>583</v>
      </c>
      <c r="K312" s="195">
        <v>46154.586053240739</v>
      </c>
      <c r="L312">
        <v>5</v>
      </c>
      <c r="M312">
        <v>0</v>
      </c>
      <c r="N312" s="98" t="str">
        <f>IF(record[[#This Row],[Memo]]="Browser:chrome os:android","平板報工",IF(record[[#This Row],[Memo]]=0,"委外",record[[#This Row],[Memo]]))</f>
        <v>覆回</v>
      </c>
      <c r="O312" t="s">
        <v>682</v>
      </c>
      <c r="P312" t="s">
        <v>141</v>
      </c>
      <c r="Q312" t="s">
        <v>58</v>
      </c>
      <c r="R312" t="str">
        <f>IFERROR(VLOOKUP(record[[#This Row],[PCUSTID]],廠商[],2,FALSE),"")</f>
        <v/>
      </c>
      <c r="S312" t="str">
        <f>VLOOKUP(record[[#This Row],[employeeID]],員工[],2,FALSE)</f>
        <v>蔣梅</v>
      </c>
    </row>
    <row r="313" spans="6:19" hidden="1" x14ac:dyDescent="0.25">
      <c r="F313" t="s">
        <v>1987</v>
      </c>
      <c r="G313" t="s">
        <v>451</v>
      </c>
      <c r="H313" t="str">
        <f>VLOOKUP(record[[#This Row],[ProcessSN]],表格2_7[],2,FALSE)</f>
        <v>30-4118-018-6XX</v>
      </c>
      <c r="I313" t="str">
        <f>VLOOKUP(record[[#This Row],[ProcessSN]],表格2_7[],3,FALSE)</f>
        <v>#07</v>
      </c>
      <c r="J313" t="s">
        <v>588</v>
      </c>
      <c r="K313" s="195">
        <v>46154.581863425927</v>
      </c>
      <c r="L313">
        <v>201</v>
      </c>
      <c r="M313">
        <v>1</v>
      </c>
      <c r="N313" s="98" t="str">
        <f>IF(record[[#This Row],[Memo]]="Browser:chrome os:android","平板報工",IF(record[[#This Row],[Memo]]=0,"委外",record[[#This Row],[Memo]]))</f>
        <v/>
      </c>
      <c r="O313" t="s">
        <v>58</v>
      </c>
      <c r="P313" t="s">
        <v>843</v>
      </c>
      <c r="Q313" t="s">
        <v>58</v>
      </c>
      <c r="R313" t="str">
        <f>IFERROR(VLOOKUP(record[[#This Row],[PCUSTID]],廠商[],2,FALSE),"")</f>
        <v/>
      </c>
      <c r="S313" t="str">
        <f>VLOOKUP(record[[#This Row],[employeeID]],員工[],2,FALSE)</f>
        <v>張楚承</v>
      </c>
    </row>
    <row r="314" spans="6:19" hidden="1" x14ac:dyDescent="0.25">
      <c r="F314" t="s">
        <v>1987</v>
      </c>
      <c r="G314" t="s">
        <v>452</v>
      </c>
      <c r="H314" t="str">
        <f>VLOOKUP(record[[#This Row],[ProcessSN]],表格2_7[],2,FALSE)</f>
        <v>30-4118-018-6XX</v>
      </c>
      <c r="I314" t="str">
        <f>VLOOKUP(record[[#This Row],[ProcessSN]],表格2_7[],3,FALSE)</f>
        <v>#07QC</v>
      </c>
      <c r="J314" t="s">
        <v>589</v>
      </c>
      <c r="K314" s="195">
        <v>46154.574479166666</v>
      </c>
      <c r="L314">
        <v>329</v>
      </c>
      <c r="M314">
        <v>0</v>
      </c>
      <c r="N314" s="98" t="str">
        <f>IF(record[[#This Row],[Memo]]="Browser:chrome os:android","平板報工",IF(record[[#This Row],[Memo]]=0,"委外",record[[#This Row],[Memo]]))</f>
        <v/>
      </c>
      <c r="O314" t="s">
        <v>58</v>
      </c>
      <c r="P314" t="s">
        <v>141</v>
      </c>
      <c r="Q314" t="s">
        <v>58</v>
      </c>
      <c r="R314" t="str">
        <f>IFERROR(VLOOKUP(record[[#This Row],[PCUSTID]],廠商[],2,FALSE),"")</f>
        <v/>
      </c>
      <c r="S314" t="str">
        <f>VLOOKUP(record[[#This Row],[employeeID]],員工[],2,FALSE)</f>
        <v>蔣梅</v>
      </c>
    </row>
    <row r="315" spans="6:19" x14ac:dyDescent="0.25">
      <c r="F315" t="s">
        <v>1924</v>
      </c>
      <c r="G315" t="s">
        <v>452</v>
      </c>
      <c r="H315" t="str">
        <f>VLOOKUP(record[[#This Row],[ProcessSN]],表格2_7[],2,FALSE)</f>
        <v>30-4118-018-6XX</v>
      </c>
      <c r="I315" t="str">
        <f>VLOOKUP(record[[#This Row],[ProcessSN]],表格2_7[],3,FALSE)</f>
        <v>#07QC</v>
      </c>
      <c r="J315" t="s">
        <v>589</v>
      </c>
      <c r="K315" s="195">
        <v>46154.572569444441</v>
      </c>
      <c r="L315">
        <v>150</v>
      </c>
      <c r="M315">
        <v>0</v>
      </c>
      <c r="N315" s="98" t="str">
        <f>IF(record[[#This Row],[Memo]]="Browser:chrome os:android","平板報工",IF(record[[#This Row],[Memo]]=0,"委外",record[[#This Row],[Memo]]))</f>
        <v>覆回</v>
      </c>
      <c r="O315" t="s">
        <v>682</v>
      </c>
      <c r="P315" t="s">
        <v>141</v>
      </c>
      <c r="Q315" t="s">
        <v>58</v>
      </c>
      <c r="R315" t="str">
        <f>IFERROR(VLOOKUP(record[[#This Row],[PCUSTID]],廠商[],2,FALSE),"")</f>
        <v/>
      </c>
      <c r="S315" t="str">
        <f>VLOOKUP(record[[#This Row],[employeeID]],員工[],2,FALSE)</f>
        <v>蔣梅</v>
      </c>
    </row>
    <row r="316" spans="6:19" hidden="1" x14ac:dyDescent="0.25">
      <c r="F316" t="s">
        <v>1945</v>
      </c>
      <c r="G316" t="s">
        <v>452</v>
      </c>
      <c r="H316" t="str">
        <f>VLOOKUP(record[[#This Row],[ProcessSN]],表格2_7[],2,FALSE)</f>
        <v>30-4118-018-6XX</v>
      </c>
      <c r="I316" t="str">
        <f>VLOOKUP(record[[#This Row],[ProcessSN]],表格2_7[],3,FALSE)</f>
        <v>#07QC</v>
      </c>
      <c r="J316" t="s">
        <v>589</v>
      </c>
      <c r="K316" s="195">
        <v>46154.571875000001</v>
      </c>
      <c r="L316">
        <v>193</v>
      </c>
      <c r="M316">
        <v>0</v>
      </c>
      <c r="N316" s="98" t="str">
        <f>IF(record[[#This Row],[Memo]]="Browser:chrome os:android","平板報工",IF(record[[#This Row],[Memo]]=0,"委外",record[[#This Row],[Memo]]))</f>
        <v/>
      </c>
      <c r="O316" t="s">
        <v>58</v>
      </c>
      <c r="P316" t="s">
        <v>141</v>
      </c>
      <c r="Q316" t="s">
        <v>58</v>
      </c>
      <c r="R316" t="str">
        <f>IFERROR(VLOOKUP(record[[#This Row],[PCUSTID]],廠商[],2,FALSE),"")</f>
        <v/>
      </c>
      <c r="S316" t="str">
        <f>VLOOKUP(record[[#This Row],[employeeID]],員工[],2,FALSE)</f>
        <v>蔣梅</v>
      </c>
    </row>
    <row r="317" spans="6:19" hidden="1" x14ac:dyDescent="0.25">
      <c r="F317" t="s">
        <v>1945</v>
      </c>
      <c r="G317" t="s">
        <v>452</v>
      </c>
      <c r="H317" t="str">
        <f>VLOOKUP(record[[#This Row],[ProcessSN]],表格2_7[],2,FALSE)</f>
        <v>30-4118-018-6XX</v>
      </c>
      <c r="I317" t="str">
        <f>VLOOKUP(record[[#This Row],[ProcessSN]],表格2_7[],3,FALSE)</f>
        <v>#07QC</v>
      </c>
      <c r="J317" t="s">
        <v>589</v>
      </c>
      <c r="K317" s="195">
        <v>46154.570185185185</v>
      </c>
      <c r="L317">
        <v>0</v>
      </c>
      <c r="M317">
        <v>20</v>
      </c>
      <c r="N317" s="98" t="str">
        <f>IF(record[[#This Row],[Memo]]="Browser:chrome os:android","平板報工",IF(record[[#This Row],[Memo]]=0,"委外",record[[#This Row],[Memo]]))</f>
        <v/>
      </c>
      <c r="O317" t="s">
        <v>58</v>
      </c>
      <c r="P317" t="s">
        <v>141</v>
      </c>
      <c r="Q317" t="s">
        <v>58</v>
      </c>
      <c r="R317" t="str">
        <f>IFERROR(VLOOKUP(record[[#This Row],[PCUSTID]],廠商[],2,FALSE),"")</f>
        <v/>
      </c>
      <c r="S317" t="str">
        <f>VLOOKUP(record[[#This Row],[employeeID]],員工[],2,FALSE)</f>
        <v>蔣梅</v>
      </c>
    </row>
    <row r="318" spans="6:19" hidden="1" x14ac:dyDescent="0.25">
      <c r="F318" t="s">
        <v>1981</v>
      </c>
      <c r="G318" t="s">
        <v>406</v>
      </c>
      <c r="H318" t="str">
        <f>VLOOKUP(record[[#This Row],[ProcessSN]],表格2_7[],2,FALSE)</f>
        <v>30-4118-018-570</v>
      </c>
      <c r="I318" t="str">
        <f>VLOOKUP(record[[#This Row],[ProcessSN]],表格2_7[],3,FALSE)</f>
        <v>#08RCV</v>
      </c>
      <c r="J318" t="s">
        <v>591</v>
      </c>
      <c r="K318" s="195">
        <v>46154.569884259261</v>
      </c>
      <c r="L318">
        <v>5</v>
      </c>
      <c r="M318">
        <v>-5</v>
      </c>
      <c r="N318" s="98" t="str">
        <f>IF(record[[#This Row],[Memo]]="Browser:chrome os:android","平板報工",IF(record[[#This Row],[Memo]]=0,"委外",record[[#This Row],[Memo]]))</f>
        <v>覆回</v>
      </c>
      <c r="O318" t="s">
        <v>682</v>
      </c>
      <c r="P318" t="s">
        <v>113</v>
      </c>
      <c r="Q318" t="s">
        <v>58</v>
      </c>
      <c r="R318" t="str">
        <f>IFERROR(VLOOKUP(record[[#This Row],[PCUSTID]],廠商[],2,FALSE),"")</f>
        <v/>
      </c>
      <c r="S318" t="str">
        <f>VLOOKUP(record[[#This Row],[employeeID]],員工[],2,FALSE)</f>
        <v>王奕蓁</v>
      </c>
    </row>
    <row r="319" spans="6:19" hidden="1" x14ac:dyDescent="0.25">
      <c r="F319" t="s">
        <v>1981</v>
      </c>
      <c r="G319" t="s">
        <v>411</v>
      </c>
      <c r="H319" t="str">
        <f>VLOOKUP(record[[#This Row],[ProcessSN]],表格2_7[],2,FALSE)</f>
        <v>30-4118-018-570</v>
      </c>
      <c r="I319" t="str">
        <f>VLOOKUP(record[[#This Row],[ProcessSN]],表格2_7[],3,FALSE)</f>
        <v>#100SHIP</v>
      </c>
      <c r="J319" t="s">
        <v>600</v>
      </c>
      <c r="K319" s="195">
        <v>46154.356944444444</v>
      </c>
      <c r="L319">
        <v>90</v>
      </c>
      <c r="M319">
        <v>0</v>
      </c>
      <c r="N319" s="98" t="str">
        <f>IF(record[[#This Row],[Memo]]="Browser:chrome os:android","平板報工",IF(record[[#This Row],[Memo]]=0,"委外",record[[#This Row],[Memo]]))</f>
        <v>補5/11出貨</v>
      </c>
      <c r="O319" t="s">
        <v>2010</v>
      </c>
      <c r="P319" t="s">
        <v>886</v>
      </c>
      <c r="Q319" t="s">
        <v>58</v>
      </c>
      <c r="R319" t="str">
        <f>IFERROR(VLOOKUP(record[[#This Row],[PCUSTID]],廠商[],2,FALSE),"")</f>
        <v/>
      </c>
      <c r="S319" t="str">
        <f>VLOOKUP(record[[#This Row],[employeeID]],員工[],2,FALSE)</f>
        <v>謝蓁薰</v>
      </c>
    </row>
    <row r="320" spans="6:19" hidden="1" x14ac:dyDescent="0.25">
      <c r="F320" t="s">
        <v>1989</v>
      </c>
      <c r="G320" t="s">
        <v>436</v>
      </c>
      <c r="H320" t="str">
        <f>VLOOKUP(record[[#This Row],[ProcessSN]],表格2_7[],2,FALSE)</f>
        <v>30-4118-018-620</v>
      </c>
      <c r="I320" t="str">
        <f>VLOOKUP(record[[#This Row],[ProcessSN]],表格2_7[],3,FALSE)</f>
        <v>#100SHIP</v>
      </c>
      <c r="J320" t="s">
        <v>600</v>
      </c>
      <c r="K320" s="195">
        <v>46154.356805555559</v>
      </c>
      <c r="L320">
        <v>122</v>
      </c>
      <c r="M320">
        <v>0</v>
      </c>
      <c r="N320" s="98" t="str">
        <f>IF(record[[#This Row],[Memo]]="Browser:chrome os:android","平板報工",IF(record[[#This Row],[Memo]]=0,"委外",record[[#This Row],[Memo]]))</f>
        <v>補5/11出貨</v>
      </c>
      <c r="O320" t="s">
        <v>2010</v>
      </c>
      <c r="P320" t="s">
        <v>886</v>
      </c>
      <c r="Q320" t="s">
        <v>58</v>
      </c>
      <c r="R320" t="str">
        <f>IFERROR(VLOOKUP(record[[#This Row],[PCUSTID]],廠商[],2,FALSE),"")</f>
        <v/>
      </c>
      <c r="S320" t="str">
        <f>VLOOKUP(record[[#This Row],[employeeID]],員工[],2,FALSE)</f>
        <v>謝蓁薰</v>
      </c>
    </row>
    <row r="321" spans="6:19" hidden="1" x14ac:dyDescent="0.25">
      <c r="F321" t="s">
        <v>1999</v>
      </c>
      <c r="G321" t="s">
        <v>444</v>
      </c>
      <c r="H321" t="str">
        <f>VLOOKUP(record[[#This Row],[ProcessSN]],表格2_7[],2,FALSE)</f>
        <v>30-4118-018-650</v>
      </c>
      <c r="I321" t="str">
        <f>VLOOKUP(record[[#This Row],[ProcessSN]],表格2_7[],3,FALSE)</f>
        <v>#100SHIP</v>
      </c>
      <c r="J321" t="s">
        <v>600</v>
      </c>
      <c r="K321" s="195">
        <v>46154.356157407405</v>
      </c>
      <c r="L321">
        <v>248</v>
      </c>
      <c r="M321">
        <v>0</v>
      </c>
      <c r="N321" s="98" t="str">
        <f>IF(record[[#This Row],[Memo]]="Browser:chrome os:android","平板報工",IF(record[[#This Row],[Memo]]=0,"委外",record[[#This Row],[Memo]]))</f>
        <v>補5/11出貨</v>
      </c>
      <c r="O321" t="s">
        <v>2010</v>
      </c>
      <c r="P321" t="s">
        <v>886</v>
      </c>
      <c r="Q321" t="s">
        <v>58</v>
      </c>
      <c r="R321" t="str">
        <f>IFERROR(VLOOKUP(record[[#This Row],[PCUSTID]],廠商[],2,FALSE),"")</f>
        <v/>
      </c>
      <c r="S321" t="str">
        <f>VLOOKUP(record[[#This Row],[employeeID]],員工[],2,FALSE)</f>
        <v>謝蓁薰</v>
      </c>
    </row>
    <row r="322" spans="6:19" hidden="1" x14ac:dyDescent="0.25">
      <c r="F322" t="s">
        <v>1990</v>
      </c>
      <c r="G322" t="s">
        <v>444</v>
      </c>
      <c r="H322" t="str">
        <f>VLOOKUP(record[[#This Row],[ProcessSN]],表格2_7[],2,FALSE)</f>
        <v>30-4118-018-650</v>
      </c>
      <c r="I322" t="str">
        <f>VLOOKUP(record[[#This Row],[ProcessSN]],表格2_7[],3,FALSE)</f>
        <v>#100SHIP</v>
      </c>
      <c r="J322" t="s">
        <v>600</v>
      </c>
      <c r="K322" s="195">
        <v>46154.355949074074</v>
      </c>
      <c r="L322">
        <v>112</v>
      </c>
      <c r="M322">
        <v>0</v>
      </c>
      <c r="N322" s="98" t="str">
        <f>IF(record[[#This Row],[Memo]]="Browser:chrome os:android","平板報工",IF(record[[#This Row],[Memo]]=0,"委外",record[[#This Row],[Memo]]))</f>
        <v>補5/11出貨</v>
      </c>
      <c r="O322" t="s">
        <v>2010</v>
      </c>
      <c r="P322" t="s">
        <v>886</v>
      </c>
      <c r="Q322" t="s">
        <v>58</v>
      </c>
      <c r="R322" t="str">
        <f>IFERROR(VLOOKUP(record[[#This Row],[PCUSTID]],廠商[],2,FALSE),"")</f>
        <v/>
      </c>
      <c r="S322" t="str">
        <f>VLOOKUP(record[[#This Row],[employeeID]],員工[],2,FALSE)</f>
        <v>謝蓁薰</v>
      </c>
    </row>
    <row r="323" spans="6:19" hidden="1" x14ac:dyDescent="0.25">
      <c r="F323" t="s">
        <v>1909</v>
      </c>
      <c r="G323" t="s">
        <v>376</v>
      </c>
      <c r="H323" t="str">
        <f>VLOOKUP(record[[#This Row],[ProcessSN]],表格2_7[],2,FALSE)</f>
        <v>30-4118-018-4XX</v>
      </c>
      <c r="I323" t="str">
        <f>VLOOKUP(record[[#This Row],[ProcessSN]],表格2_7[],3,FALSE)</f>
        <v>#06</v>
      </c>
      <c r="J323" t="s">
        <v>593</v>
      </c>
      <c r="K323" s="195">
        <v>46154.355312500003</v>
      </c>
      <c r="L323">
        <v>1</v>
      </c>
      <c r="M323">
        <v>0</v>
      </c>
      <c r="N323" s="98" t="str">
        <f>IF(record[[#This Row],[Memo]]="Browser:chrome os:android","平板報工",IF(record[[#This Row],[Memo]]=0,"委外",record[[#This Row],[Memo]]))</f>
        <v>補報5/9早班</v>
      </c>
      <c r="O323" t="s">
        <v>2009</v>
      </c>
      <c r="P323" t="s">
        <v>101</v>
      </c>
      <c r="Q323" t="s">
        <v>58</v>
      </c>
      <c r="R323" t="str">
        <f>IFERROR(VLOOKUP(record[[#This Row],[PCUSTID]],廠商[],2,FALSE),"")</f>
        <v/>
      </c>
      <c r="S323" t="str">
        <f>VLOOKUP(record[[#This Row],[employeeID]],員工[],2,FALSE)</f>
        <v>陳氏絨</v>
      </c>
    </row>
    <row r="324" spans="6:19" hidden="1" x14ac:dyDescent="0.25">
      <c r="F324" t="s">
        <v>1857</v>
      </c>
      <c r="G324" t="s">
        <v>471</v>
      </c>
      <c r="H324" t="str">
        <f>VLOOKUP(record[[#This Row],[ProcessSN]],表格2_7[],2,FALSE)</f>
        <v>30-4118-018-XXX</v>
      </c>
      <c r="I324" t="str">
        <f>VLOOKUP(record[[#This Row],[ProcessSN]],表格2_7[],3,FALSE)</f>
        <v>#02STOCK</v>
      </c>
      <c r="J324" t="s">
        <v>592</v>
      </c>
      <c r="K324" s="195">
        <v>46154.348298611112</v>
      </c>
      <c r="L324">
        <v>838</v>
      </c>
      <c r="M324">
        <v>0</v>
      </c>
      <c r="N324" s="98" t="str">
        <f>IF(record[[#This Row],[Memo]]="Browser:chrome os:android","平板報工",IF(record[[#This Row],[Memo]]=0,"委外",record[[#This Row],[Memo]]))</f>
        <v/>
      </c>
      <c r="O324" t="s">
        <v>58</v>
      </c>
      <c r="P324" t="s">
        <v>1698</v>
      </c>
      <c r="Q324" t="s">
        <v>58</v>
      </c>
      <c r="R324" t="str">
        <f>IFERROR(VLOOKUP(record[[#This Row],[PCUSTID]],廠商[],2,FALSE),"")</f>
        <v/>
      </c>
      <c r="S324" t="str">
        <f>VLOOKUP(record[[#This Row],[employeeID]],員工[],2,FALSE)</f>
        <v>羅思潔</v>
      </c>
    </row>
    <row r="325" spans="6:19" hidden="1" x14ac:dyDescent="0.25">
      <c r="F325" t="s">
        <v>1981</v>
      </c>
      <c r="G325" t="s">
        <v>410</v>
      </c>
      <c r="H325" t="str">
        <f>VLOOKUP(record[[#This Row],[ProcessSN]],表格2_7[],2,FALSE)</f>
        <v>30-4118-018-570</v>
      </c>
      <c r="I325" t="str">
        <f>VLOOKUP(record[[#This Row],[ProcessSN]],表格2_7[],3,FALSE)</f>
        <v>#100STOCK</v>
      </c>
      <c r="J325" t="s">
        <v>592</v>
      </c>
      <c r="K325" s="195">
        <v>46154.338275462964</v>
      </c>
      <c r="L325">
        <v>90</v>
      </c>
      <c r="M325">
        <v>0</v>
      </c>
      <c r="N325" s="98" t="str">
        <f>IF(record[[#This Row],[Memo]]="Browser:chrome os:android","平板報工",IF(record[[#This Row],[Memo]]=0,"委外",record[[#This Row],[Memo]]))</f>
        <v/>
      </c>
      <c r="O325" t="s">
        <v>58</v>
      </c>
      <c r="P325" t="s">
        <v>886</v>
      </c>
      <c r="Q325" t="s">
        <v>58</v>
      </c>
      <c r="R325" t="str">
        <f>IFERROR(VLOOKUP(record[[#This Row],[PCUSTID]],廠商[],2,FALSE),"")</f>
        <v/>
      </c>
      <c r="S325" t="str">
        <f>VLOOKUP(record[[#This Row],[employeeID]],員工[],2,FALSE)</f>
        <v>謝蓁薰</v>
      </c>
    </row>
    <row r="326" spans="6:19" hidden="1" x14ac:dyDescent="0.25">
      <c r="F326" t="s">
        <v>1989</v>
      </c>
      <c r="G326" t="s">
        <v>435</v>
      </c>
      <c r="H326" t="str">
        <f>VLOOKUP(record[[#This Row],[ProcessSN]],表格2_7[],2,FALSE)</f>
        <v>30-4118-018-620</v>
      </c>
      <c r="I326" t="str">
        <f>VLOOKUP(record[[#This Row],[ProcessSN]],表格2_7[],3,FALSE)</f>
        <v>#100STOCK</v>
      </c>
      <c r="J326" t="s">
        <v>592</v>
      </c>
      <c r="K326" s="195">
        <v>46154.338009259256</v>
      </c>
      <c r="L326">
        <v>122</v>
      </c>
      <c r="M326">
        <v>0</v>
      </c>
      <c r="N326" s="98" t="str">
        <f>IF(record[[#This Row],[Memo]]="Browser:chrome os:android","平板報工",IF(record[[#This Row],[Memo]]=0,"委外",record[[#This Row],[Memo]]))</f>
        <v/>
      </c>
      <c r="O326" t="s">
        <v>58</v>
      </c>
      <c r="P326" t="s">
        <v>886</v>
      </c>
      <c r="Q326" t="s">
        <v>58</v>
      </c>
      <c r="R326" t="str">
        <f>IFERROR(VLOOKUP(record[[#This Row],[PCUSTID]],廠商[],2,FALSE),"")</f>
        <v/>
      </c>
      <c r="S326" t="str">
        <f>VLOOKUP(record[[#This Row],[employeeID]],員工[],2,FALSE)</f>
        <v>謝蓁薰</v>
      </c>
    </row>
    <row r="327" spans="6:19" hidden="1" x14ac:dyDescent="0.25">
      <c r="F327" t="s">
        <v>1999</v>
      </c>
      <c r="G327" t="s">
        <v>443</v>
      </c>
      <c r="H327" t="str">
        <f>VLOOKUP(record[[#This Row],[ProcessSN]],表格2_7[],2,FALSE)</f>
        <v>30-4118-018-650</v>
      </c>
      <c r="I327" t="str">
        <f>VLOOKUP(record[[#This Row],[ProcessSN]],表格2_7[],3,FALSE)</f>
        <v>#100STOCK</v>
      </c>
      <c r="J327" t="s">
        <v>592</v>
      </c>
      <c r="K327" s="195">
        <v>46154.337592592594</v>
      </c>
      <c r="L327">
        <v>248</v>
      </c>
      <c r="M327">
        <v>0</v>
      </c>
      <c r="N327" s="98" t="str">
        <f>IF(record[[#This Row],[Memo]]="Browser:chrome os:android","平板報工",IF(record[[#This Row],[Memo]]=0,"委外",record[[#This Row],[Memo]]))</f>
        <v/>
      </c>
      <c r="O327" t="s">
        <v>58</v>
      </c>
      <c r="P327" t="s">
        <v>886</v>
      </c>
      <c r="Q327" t="s">
        <v>58</v>
      </c>
      <c r="R327" t="str">
        <f>IFERROR(VLOOKUP(record[[#This Row],[PCUSTID]],廠商[],2,FALSE),"")</f>
        <v/>
      </c>
      <c r="S327" t="str">
        <f>VLOOKUP(record[[#This Row],[employeeID]],員工[],2,FALSE)</f>
        <v>謝蓁薰</v>
      </c>
    </row>
    <row r="328" spans="6:19" hidden="1" x14ac:dyDescent="0.25">
      <c r="F328" t="s">
        <v>1990</v>
      </c>
      <c r="G328" t="s">
        <v>443</v>
      </c>
      <c r="H328" t="str">
        <f>VLOOKUP(record[[#This Row],[ProcessSN]],表格2_7[],2,FALSE)</f>
        <v>30-4118-018-650</v>
      </c>
      <c r="I328" t="str">
        <f>VLOOKUP(record[[#This Row],[ProcessSN]],表格2_7[],3,FALSE)</f>
        <v>#100STOCK</v>
      </c>
      <c r="J328" t="s">
        <v>592</v>
      </c>
      <c r="K328" s="195">
        <v>46154.337465277778</v>
      </c>
      <c r="L328">
        <v>112</v>
      </c>
      <c r="M328">
        <v>0</v>
      </c>
      <c r="N328" s="98" t="str">
        <f>IF(record[[#This Row],[Memo]]="Browser:chrome os:android","平板報工",IF(record[[#This Row],[Memo]]=0,"委外",record[[#This Row],[Memo]]))</f>
        <v/>
      </c>
      <c r="O328" t="s">
        <v>58</v>
      </c>
      <c r="P328" t="s">
        <v>886</v>
      </c>
      <c r="Q328" t="s">
        <v>58</v>
      </c>
      <c r="R328" t="str">
        <f>IFERROR(VLOOKUP(record[[#This Row],[PCUSTID]],廠商[],2,FALSE),"")</f>
        <v/>
      </c>
      <c r="S328" t="str">
        <f>VLOOKUP(record[[#This Row],[employeeID]],員工[],2,FALSE)</f>
        <v>謝蓁薰</v>
      </c>
    </row>
    <row r="329" spans="6:19" hidden="1" x14ac:dyDescent="0.25">
      <c r="F329" t="s">
        <v>1989</v>
      </c>
      <c r="G329" t="s">
        <v>434</v>
      </c>
      <c r="H329" t="str">
        <f>VLOOKUP(record[[#This Row],[ProcessSN]],表格2_7[],2,FALSE)</f>
        <v>30-4118-018-620</v>
      </c>
      <c r="I329" t="str">
        <f>VLOOKUP(record[[#This Row],[ProcessSN]],表格2_7[],3,FALSE)</f>
        <v>#100OQC</v>
      </c>
      <c r="J329" t="s">
        <v>599</v>
      </c>
      <c r="K329" s="195">
        <v>46154.331064814818</v>
      </c>
      <c r="L329">
        <v>188</v>
      </c>
      <c r="M329">
        <v>0</v>
      </c>
      <c r="N329" s="98" t="str">
        <f>IF(record[[#This Row],[Memo]]="Browser:chrome os:android","平板報工",IF(record[[#This Row],[Memo]]=0,"委外",record[[#This Row],[Memo]]))</f>
        <v/>
      </c>
      <c r="O329" t="s">
        <v>58</v>
      </c>
      <c r="P329" t="s">
        <v>121</v>
      </c>
      <c r="Q329" t="s">
        <v>58</v>
      </c>
      <c r="R329" t="str">
        <f>IFERROR(VLOOKUP(record[[#This Row],[PCUSTID]],廠商[],2,FALSE),"")</f>
        <v/>
      </c>
      <c r="S329" t="str">
        <f>VLOOKUP(record[[#This Row],[employeeID]],員工[],2,FALSE)</f>
        <v>謝素卿</v>
      </c>
    </row>
    <row r="330" spans="6:19" hidden="1" x14ac:dyDescent="0.25">
      <c r="F330" t="s">
        <v>1981</v>
      </c>
      <c r="G330" t="s">
        <v>409</v>
      </c>
      <c r="H330" t="str">
        <f>VLOOKUP(record[[#This Row],[ProcessSN]],表格2_7[],2,FALSE)</f>
        <v>30-4118-018-570</v>
      </c>
      <c r="I330" t="str">
        <f>VLOOKUP(record[[#This Row],[ProcessSN]],表格2_7[],3,FALSE)</f>
        <v>#10OQC</v>
      </c>
      <c r="J330" t="s">
        <v>599</v>
      </c>
      <c r="K330" s="195">
        <v>46154.33090277778</v>
      </c>
      <c r="L330">
        <v>111</v>
      </c>
      <c r="M330">
        <v>0</v>
      </c>
      <c r="N330" s="98" t="str">
        <f>IF(record[[#This Row],[Memo]]="Browser:chrome os:android","平板報工",IF(record[[#This Row],[Memo]]=0,"委外",record[[#This Row],[Memo]]))</f>
        <v/>
      </c>
      <c r="O330" t="s">
        <v>58</v>
      </c>
      <c r="P330" t="s">
        <v>121</v>
      </c>
      <c r="Q330" t="s">
        <v>58</v>
      </c>
      <c r="R330" t="str">
        <f>IFERROR(VLOOKUP(record[[#This Row],[PCUSTID]],廠商[],2,FALSE),"")</f>
        <v/>
      </c>
      <c r="S330" t="str">
        <f>VLOOKUP(record[[#This Row],[employeeID]],員工[],2,FALSE)</f>
        <v>謝素卿</v>
      </c>
    </row>
    <row r="331" spans="6:19" hidden="1" x14ac:dyDescent="0.25">
      <c r="F331" t="s">
        <v>1987</v>
      </c>
      <c r="G331" t="s">
        <v>450</v>
      </c>
      <c r="H331" t="str">
        <f>VLOOKUP(record[[#This Row],[ProcessSN]],表格2_7[],2,FALSE)</f>
        <v>30-4118-018-6XX</v>
      </c>
      <c r="I331" t="str">
        <f>VLOOKUP(record[[#This Row],[ProcessSN]],表格2_7[],3,FALSE)</f>
        <v>#06</v>
      </c>
      <c r="J331" t="s">
        <v>593</v>
      </c>
      <c r="K331" s="195">
        <v>46154.304085648146</v>
      </c>
      <c r="L331">
        <v>83</v>
      </c>
      <c r="M331">
        <v>0</v>
      </c>
      <c r="N331" s="98" t="str">
        <f>IF(record[[#This Row],[Memo]]="Browser:chrome os:android","平板報工",IF(record[[#This Row],[Memo]]=0,"委外",record[[#This Row],[Memo]]))</f>
        <v/>
      </c>
      <c r="O331" t="s">
        <v>58</v>
      </c>
      <c r="P331" t="s">
        <v>135</v>
      </c>
      <c r="Q331" t="s">
        <v>58</v>
      </c>
      <c r="R331" t="str">
        <f>IFERROR(VLOOKUP(record[[#This Row],[PCUSTID]],廠商[],2,FALSE),"")</f>
        <v/>
      </c>
      <c r="S331" t="str">
        <f>VLOOKUP(record[[#This Row],[employeeID]],員工[],2,FALSE)</f>
        <v>阮士文</v>
      </c>
    </row>
    <row r="332" spans="6:19" hidden="1" x14ac:dyDescent="0.25">
      <c r="F332" t="s">
        <v>1944</v>
      </c>
      <c r="G332" t="s">
        <v>417</v>
      </c>
      <c r="H332" t="str">
        <f>VLOOKUP(record[[#This Row],[ProcessSN]],表格2_7[],2,FALSE)</f>
        <v>30-4118-018-5XX</v>
      </c>
      <c r="I332" t="str">
        <f>VLOOKUP(record[[#This Row],[ProcessSN]],表格2_7[],3,FALSE)</f>
        <v>#06</v>
      </c>
      <c r="J332" t="s">
        <v>593</v>
      </c>
      <c r="K332" s="195">
        <v>46154.295856481483</v>
      </c>
      <c r="L332">
        <v>133</v>
      </c>
      <c r="M332">
        <v>0</v>
      </c>
      <c r="N332" s="98" t="str">
        <f>IF(record[[#This Row],[Memo]]="Browser:chrome os:android","平板報工",IF(record[[#This Row],[Memo]]=0,"委外",record[[#This Row],[Memo]]))</f>
        <v>平板報工</v>
      </c>
      <c r="O332" t="s">
        <v>643</v>
      </c>
      <c r="P332" t="s">
        <v>691</v>
      </c>
      <c r="Q332" t="s">
        <v>644</v>
      </c>
      <c r="R332" t="str">
        <f>IFERROR(VLOOKUP(record[[#This Row],[PCUSTID]],廠商[],2,FALSE),"")</f>
        <v/>
      </c>
      <c r="S332" t="str">
        <f>VLOOKUP(record[[#This Row],[employeeID]],員工[],2,FALSE)</f>
        <v>武氏賢</v>
      </c>
    </row>
    <row r="333" spans="6:19" hidden="1" x14ac:dyDescent="0.25">
      <c r="F333" t="s">
        <v>1944</v>
      </c>
      <c r="G333" t="s">
        <v>417</v>
      </c>
      <c r="H333" t="str">
        <f>VLOOKUP(record[[#This Row],[ProcessSN]],表格2_7[],2,FALSE)</f>
        <v>30-4118-018-5XX</v>
      </c>
      <c r="I333" t="str">
        <f>VLOOKUP(record[[#This Row],[ProcessSN]],表格2_7[],3,FALSE)</f>
        <v>#06</v>
      </c>
      <c r="J333" t="s">
        <v>593</v>
      </c>
      <c r="K333" s="195">
        <v>46154.294131944444</v>
      </c>
      <c r="L333">
        <v>41</v>
      </c>
      <c r="M333">
        <v>0</v>
      </c>
      <c r="N333" s="98" t="str">
        <f>IF(record[[#This Row],[Memo]]="Browser:chrome os:android","平板報工",IF(record[[#This Row],[Memo]]=0,"委外",record[[#This Row],[Memo]]))</f>
        <v>平板報工</v>
      </c>
      <c r="O333" t="s">
        <v>643</v>
      </c>
      <c r="P333" t="s">
        <v>806</v>
      </c>
      <c r="Q333" t="s">
        <v>644</v>
      </c>
      <c r="R333" t="str">
        <f>IFERROR(VLOOKUP(record[[#This Row],[PCUSTID]],廠商[],2,FALSE),"")</f>
        <v/>
      </c>
      <c r="S333" t="str">
        <f>VLOOKUP(record[[#This Row],[employeeID]],員工[],2,FALSE)</f>
        <v>方思緯</v>
      </c>
    </row>
    <row r="334" spans="6:19" hidden="1" x14ac:dyDescent="0.25">
      <c r="F334" t="s">
        <v>1944</v>
      </c>
      <c r="G334" t="s">
        <v>416</v>
      </c>
      <c r="H334" t="str">
        <f>VLOOKUP(record[[#This Row],[ProcessSN]],表格2_7[],2,FALSE)</f>
        <v>30-4118-018-5XX</v>
      </c>
      <c r="I334" t="str">
        <f>VLOOKUP(record[[#This Row],[ProcessSN]],表格2_7[],3,FALSE)</f>
        <v>#05</v>
      </c>
      <c r="J334" t="s">
        <v>588</v>
      </c>
      <c r="K334" s="195">
        <v>46154.293692129628</v>
      </c>
      <c r="L334">
        <v>284</v>
      </c>
      <c r="M334">
        <v>0</v>
      </c>
      <c r="N334" s="98" t="str">
        <f>IF(record[[#This Row],[Memo]]="Browser:chrome os:android","平板報工",IF(record[[#This Row],[Memo]]=0,"委外",record[[#This Row],[Memo]]))</f>
        <v>平板報工</v>
      </c>
      <c r="O334" t="s">
        <v>643</v>
      </c>
      <c r="P334" t="s">
        <v>1098</v>
      </c>
      <c r="Q334" t="s">
        <v>644</v>
      </c>
      <c r="R334" t="str">
        <f>IFERROR(VLOOKUP(record[[#This Row],[PCUSTID]],廠商[],2,FALSE),"")</f>
        <v/>
      </c>
      <c r="S334" t="str">
        <f>VLOOKUP(record[[#This Row],[employeeID]],員工[],2,FALSE)</f>
        <v>阮氏芳英(英)</v>
      </c>
    </row>
    <row r="335" spans="6:19" hidden="1" x14ac:dyDescent="0.25">
      <c r="F335" t="s">
        <v>1987</v>
      </c>
      <c r="G335" t="s">
        <v>450</v>
      </c>
      <c r="H335" t="str">
        <f>VLOOKUP(record[[#This Row],[ProcessSN]],表格2_7[],2,FALSE)</f>
        <v>30-4118-018-6XX</v>
      </c>
      <c r="I335" t="str">
        <f>VLOOKUP(record[[#This Row],[ProcessSN]],表格2_7[],3,FALSE)</f>
        <v>#06</v>
      </c>
      <c r="J335" t="s">
        <v>593</v>
      </c>
      <c r="K335" s="195">
        <v>46154.29111111111</v>
      </c>
      <c r="L335">
        <v>48</v>
      </c>
      <c r="M335">
        <v>0</v>
      </c>
      <c r="N335" s="98" t="str">
        <f>IF(record[[#This Row],[Memo]]="Browser:chrome os:android","平板報工",IF(record[[#This Row],[Memo]]=0,"委外",record[[#This Row],[Memo]]))</f>
        <v>平板報工</v>
      </c>
      <c r="O335" t="s">
        <v>643</v>
      </c>
      <c r="P335" t="s">
        <v>806</v>
      </c>
      <c r="Q335" t="s">
        <v>644</v>
      </c>
      <c r="R335" t="str">
        <f>IFERROR(VLOOKUP(record[[#This Row],[PCUSTID]],廠商[],2,FALSE),"")</f>
        <v/>
      </c>
      <c r="S335" t="str">
        <f>VLOOKUP(record[[#This Row],[employeeID]],員工[],2,FALSE)</f>
        <v>方思緯</v>
      </c>
    </row>
    <row r="336" spans="6:19" hidden="1" x14ac:dyDescent="0.25">
      <c r="F336" t="s">
        <v>1987</v>
      </c>
      <c r="G336" t="s">
        <v>450</v>
      </c>
      <c r="H336" t="str">
        <f>VLOOKUP(record[[#This Row],[ProcessSN]],表格2_7[],2,FALSE)</f>
        <v>30-4118-018-6XX</v>
      </c>
      <c r="I336" t="str">
        <f>VLOOKUP(record[[#This Row],[ProcessSN]],表格2_7[],3,FALSE)</f>
        <v>#06</v>
      </c>
      <c r="J336" t="s">
        <v>593</v>
      </c>
      <c r="K336" s="195">
        <v>46154.290810185186</v>
      </c>
      <c r="L336">
        <v>44</v>
      </c>
      <c r="M336">
        <v>0</v>
      </c>
      <c r="N336" s="98" t="str">
        <f>IF(record[[#This Row],[Memo]]="Browser:chrome os:android","平板報工",IF(record[[#This Row],[Memo]]=0,"委外",record[[#This Row],[Memo]]))</f>
        <v>平板報工</v>
      </c>
      <c r="O336" t="s">
        <v>643</v>
      </c>
      <c r="P336" t="s">
        <v>806</v>
      </c>
      <c r="Q336" t="s">
        <v>644</v>
      </c>
      <c r="R336" t="str">
        <f>IFERROR(VLOOKUP(record[[#This Row],[PCUSTID]],廠商[],2,FALSE),"")</f>
        <v/>
      </c>
      <c r="S336" t="str">
        <f>VLOOKUP(record[[#This Row],[employeeID]],員工[],2,FALSE)</f>
        <v>方思緯</v>
      </c>
    </row>
    <row r="337" spans="6:19" hidden="1" x14ac:dyDescent="0.25">
      <c r="F337" t="s">
        <v>1987</v>
      </c>
      <c r="G337" t="s">
        <v>448</v>
      </c>
      <c r="H337" t="str">
        <f>VLOOKUP(record[[#This Row],[ProcessSN]],表格2_7[],2,FALSE)</f>
        <v>30-4118-018-6XX</v>
      </c>
      <c r="I337" t="str">
        <f>VLOOKUP(record[[#This Row],[ProcessSN]],表格2_7[],3,FALSE)</f>
        <v>#04</v>
      </c>
      <c r="J337" t="s">
        <v>588</v>
      </c>
      <c r="K337" s="195">
        <v>46154.289178240739</v>
      </c>
      <c r="L337">
        <v>241</v>
      </c>
      <c r="M337">
        <v>0</v>
      </c>
      <c r="N337" s="98" t="str">
        <f>IF(record[[#This Row],[Memo]]="Browser:chrome os:android","平板報工",IF(record[[#This Row],[Memo]]=0,"委外",record[[#This Row],[Memo]]))</f>
        <v>平板報工</v>
      </c>
      <c r="O337" t="s">
        <v>643</v>
      </c>
      <c r="P337" t="s">
        <v>806</v>
      </c>
      <c r="Q337" t="s">
        <v>644</v>
      </c>
      <c r="R337" t="str">
        <f>IFERROR(VLOOKUP(record[[#This Row],[PCUSTID]],廠商[],2,FALSE),"")</f>
        <v/>
      </c>
      <c r="S337" t="str">
        <f>VLOOKUP(record[[#This Row],[employeeID]],員工[],2,FALSE)</f>
        <v>方思緯</v>
      </c>
    </row>
    <row r="338" spans="6:19" hidden="1" x14ac:dyDescent="0.25">
      <c r="F338" t="s">
        <v>1987</v>
      </c>
      <c r="G338" t="s">
        <v>451</v>
      </c>
      <c r="H338" t="str">
        <f>VLOOKUP(record[[#This Row],[ProcessSN]],表格2_7[],2,FALSE)</f>
        <v>30-4118-018-6XX</v>
      </c>
      <c r="I338" t="str">
        <f>VLOOKUP(record[[#This Row],[ProcessSN]],表格2_7[],3,FALSE)</f>
        <v>#07</v>
      </c>
      <c r="J338" t="s">
        <v>588</v>
      </c>
      <c r="K338" s="195">
        <v>46154.012789351851</v>
      </c>
      <c r="L338">
        <v>128</v>
      </c>
      <c r="M338">
        <v>3</v>
      </c>
      <c r="N338" s="98" t="str">
        <f>IF(record[[#This Row],[Memo]]="Browser:chrome os:android","平板報工",IF(record[[#This Row],[Memo]]=0,"委外",record[[#This Row],[Memo]]))</f>
        <v/>
      </c>
      <c r="O338" t="s">
        <v>58</v>
      </c>
      <c r="P338" t="s">
        <v>1098</v>
      </c>
      <c r="Q338" t="s">
        <v>58</v>
      </c>
      <c r="R338" t="str">
        <f>IFERROR(VLOOKUP(record[[#This Row],[PCUSTID]],廠商[],2,FALSE),"")</f>
        <v/>
      </c>
      <c r="S338" t="str">
        <f>VLOOKUP(record[[#This Row],[employeeID]],員工[],2,FALSE)</f>
        <v>阮氏芳英(英)</v>
      </c>
    </row>
    <row r="339" spans="6:19" hidden="1" x14ac:dyDescent="0.25">
      <c r="F339" t="s">
        <v>1987</v>
      </c>
      <c r="G339" t="s">
        <v>450</v>
      </c>
      <c r="H339" t="str">
        <f>VLOOKUP(record[[#This Row],[ProcessSN]],表格2_7[],2,FALSE)</f>
        <v>30-4118-018-6XX</v>
      </c>
      <c r="I339" t="str">
        <f>VLOOKUP(record[[#This Row],[ProcessSN]],表格2_7[],3,FALSE)</f>
        <v>#06</v>
      </c>
      <c r="J339" t="s">
        <v>593</v>
      </c>
      <c r="K339" s="195">
        <v>46154.012314814812</v>
      </c>
      <c r="L339">
        <v>134</v>
      </c>
      <c r="M339">
        <v>0</v>
      </c>
      <c r="N339" s="98" t="str">
        <f>IF(record[[#This Row],[Memo]]="Browser:chrome os:android","平板報工",IF(record[[#This Row],[Memo]]=0,"委外",record[[#This Row],[Memo]]))</f>
        <v/>
      </c>
      <c r="O339" t="s">
        <v>58</v>
      </c>
      <c r="P339" t="s">
        <v>841</v>
      </c>
      <c r="Q339" t="s">
        <v>58</v>
      </c>
      <c r="R339" t="str">
        <f>IFERROR(VLOOKUP(record[[#This Row],[PCUSTID]],廠商[],2,FALSE),"")</f>
        <v/>
      </c>
      <c r="S339" t="str">
        <f>VLOOKUP(record[[#This Row],[employeeID]],員工[],2,FALSE)</f>
        <v>范氏香</v>
      </c>
    </row>
    <row r="340" spans="6:19" hidden="1" x14ac:dyDescent="0.25">
      <c r="F340" t="s">
        <v>1987</v>
      </c>
      <c r="G340" t="s">
        <v>449</v>
      </c>
      <c r="H340" t="str">
        <f>VLOOKUP(record[[#This Row],[ProcessSN]],表格2_7[],2,FALSE)</f>
        <v>30-4118-018-6XX</v>
      </c>
      <c r="I340" t="str">
        <f>VLOOKUP(record[[#This Row],[ProcessSN]],表格2_7[],3,FALSE)</f>
        <v>#05</v>
      </c>
      <c r="J340" t="s">
        <v>588</v>
      </c>
      <c r="K340" s="195">
        <v>46154.010868055557</v>
      </c>
      <c r="L340">
        <v>244</v>
      </c>
      <c r="M340">
        <v>0</v>
      </c>
      <c r="N340" s="98" t="str">
        <f>IF(record[[#This Row],[Memo]]="Browser:chrome os:android","平板報工",IF(record[[#This Row],[Memo]]=0,"委外",record[[#This Row],[Memo]]))</f>
        <v/>
      </c>
      <c r="O340" t="s">
        <v>58</v>
      </c>
      <c r="P340" t="s">
        <v>89</v>
      </c>
      <c r="Q340" t="s">
        <v>58</v>
      </c>
      <c r="R340" t="str">
        <f>IFERROR(VLOOKUP(record[[#This Row],[PCUSTID]],廠商[],2,FALSE),"")</f>
        <v/>
      </c>
      <c r="S340" t="str">
        <f>VLOOKUP(record[[#This Row],[employeeID]],員工[],2,FALSE)</f>
        <v>李美蓮</v>
      </c>
    </row>
    <row r="341" spans="6:19" hidden="1" x14ac:dyDescent="0.25">
      <c r="F341" t="s">
        <v>1987</v>
      </c>
      <c r="G341" t="s">
        <v>448</v>
      </c>
      <c r="H341" t="str">
        <f>VLOOKUP(record[[#This Row],[ProcessSN]],表格2_7[],2,FALSE)</f>
        <v>30-4118-018-6XX</v>
      </c>
      <c r="I341" t="str">
        <f>VLOOKUP(record[[#This Row],[ProcessSN]],表格2_7[],3,FALSE)</f>
        <v>#04</v>
      </c>
      <c r="J341" t="s">
        <v>588</v>
      </c>
      <c r="K341" s="195">
        <v>46154.007430555554</v>
      </c>
      <c r="L341">
        <v>60</v>
      </c>
      <c r="M341">
        <v>0</v>
      </c>
      <c r="N341" s="98" t="str">
        <f>IF(record[[#This Row],[Memo]]="Browser:chrome os:android","平板報工",IF(record[[#This Row],[Memo]]=0,"委外",record[[#This Row],[Memo]]))</f>
        <v/>
      </c>
      <c r="O341" t="s">
        <v>58</v>
      </c>
      <c r="P341" t="s">
        <v>180</v>
      </c>
      <c r="Q341" t="s">
        <v>58</v>
      </c>
      <c r="R341" t="str">
        <f>IFERROR(VLOOKUP(record[[#This Row],[PCUSTID]],廠商[],2,FALSE),"")</f>
        <v/>
      </c>
      <c r="S341" t="str">
        <f>VLOOKUP(record[[#This Row],[employeeID]],員工[],2,FALSE)</f>
        <v>黎功江</v>
      </c>
    </row>
    <row r="342" spans="6:19" hidden="1" x14ac:dyDescent="0.25">
      <c r="F342" t="s">
        <v>1987</v>
      </c>
      <c r="G342" t="s">
        <v>448</v>
      </c>
      <c r="H342" t="str">
        <f>VLOOKUP(record[[#This Row],[ProcessSN]],表格2_7[],2,FALSE)</f>
        <v>30-4118-018-6XX</v>
      </c>
      <c r="I342" t="str">
        <f>VLOOKUP(record[[#This Row],[ProcessSN]],表格2_7[],3,FALSE)</f>
        <v>#04</v>
      </c>
      <c r="J342" t="s">
        <v>588</v>
      </c>
      <c r="K342" s="195">
        <v>46154.007268518515</v>
      </c>
      <c r="L342">
        <v>60</v>
      </c>
      <c r="M342">
        <v>0</v>
      </c>
      <c r="N342" s="98" t="str">
        <f>IF(record[[#This Row],[Memo]]="Browser:chrome os:android","平板報工",IF(record[[#This Row],[Memo]]=0,"委外",record[[#This Row],[Memo]]))</f>
        <v/>
      </c>
      <c r="O342" t="s">
        <v>58</v>
      </c>
      <c r="P342" t="s">
        <v>180</v>
      </c>
      <c r="Q342" t="s">
        <v>58</v>
      </c>
      <c r="R342" t="str">
        <f>IFERROR(VLOOKUP(record[[#This Row],[PCUSTID]],廠商[],2,FALSE),"")</f>
        <v/>
      </c>
      <c r="S342" t="str">
        <f>VLOOKUP(record[[#This Row],[employeeID]],員工[],2,FALSE)</f>
        <v>黎功江</v>
      </c>
    </row>
    <row r="343" spans="6:19" hidden="1" x14ac:dyDescent="0.25">
      <c r="F343" t="s">
        <v>1989</v>
      </c>
      <c r="G343" t="s">
        <v>433</v>
      </c>
      <c r="H343" t="str">
        <f>VLOOKUP(record[[#This Row],[ProcessSN]],表格2_7[],2,FALSE)</f>
        <v>30-4118-018-620</v>
      </c>
      <c r="I343" t="str">
        <f>VLOOKUP(record[[#This Row],[ProcessSN]],表格2_7[],3,FALSE)</f>
        <v>#100</v>
      </c>
      <c r="J343" t="s">
        <v>598</v>
      </c>
      <c r="K343" s="195">
        <v>46153.896921296298</v>
      </c>
      <c r="L343">
        <v>0</v>
      </c>
      <c r="M343">
        <v>10</v>
      </c>
      <c r="N343" s="98" t="str">
        <f>IF(record[[#This Row],[Memo]]="Browser:chrome os:android","平板報工",IF(record[[#This Row],[Memo]]=0,"委外",record[[#This Row],[Memo]]))</f>
        <v>平板報工</v>
      </c>
      <c r="O343" t="s">
        <v>643</v>
      </c>
      <c r="P343" t="s">
        <v>103</v>
      </c>
      <c r="Q343" t="s">
        <v>644</v>
      </c>
      <c r="R343" t="str">
        <f>IFERROR(VLOOKUP(record[[#This Row],[PCUSTID]],廠商[],2,FALSE),"")</f>
        <v/>
      </c>
      <c r="S343" t="str">
        <f>VLOOKUP(record[[#This Row],[employeeID]],員工[],2,FALSE)</f>
        <v>黎秋水</v>
      </c>
    </row>
    <row r="344" spans="6:19" hidden="1" x14ac:dyDescent="0.25">
      <c r="F344" t="s">
        <v>1989</v>
      </c>
      <c r="G344" t="s">
        <v>433</v>
      </c>
      <c r="H344" t="str">
        <f>VLOOKUP(record[[#This Row],[ProcessSN]],表格2_7[],2,FALSE)</f>
        <v>30-4118-018-620</v>
      </c>
      <c r="I344" t="str">
        <f>VLOOKUP(record[[#This Row],[ProcessSN]],表格2_7[],3,FALSE)</f>
        <v>#100</v>
      </c>
      <c r="J344" t="s">
        <v>598</v>
      </c>
      <c r="K344" s="195">
        <v>46153.895856481482</v>
      </c>
      <c r="L344">
        <v>188</v>
      </c>
      <c r="M344">
        <v>0</v>
      </c>
      <c r="N344" s="98" t="str">
        <f>IF(record[[#This Row],[Memo]]="Browser:chrome os:android","平板報工",IF(record[[#This Row],[Memo]]=0,"委外",record[[#This Row],[Memo]]))</f>
        <v>平板報工</v>
      </c>
      <c r="O344" t="s">
        <v>643</v>
      </c>
      <c r="P344" t="s">
        <v>103</v>
      </c>
      <c r="Q344" t="s">
        <v>644</v>
      </c>
      <c r="R344" t="str">
        <f>IFERROR(VLOOKUP(record[[#This Row],[PCUSTID]],廠商[],2,FALSE),"")</f>
        <v/>
      </c>
      <c r="S344" t="str">
        <f>VLOOKUP(record[[#This Row],[employeeID]],員工[],2,FALSE)</f>
        <v>黎秋水</v>
      </c>
    </row>
    <row r="345" spans="6:19" hidden="1" x14ac:dyDescent="0.25">
      <c r="F345" t="s">
        <v>1981</v>
      </c>
      <c r="G345" t="s">
        <v>408</v>
      </c>
      <c r="H345" t="str">
        <f>VLOOKUP(record[[#This Row],[ProcessSN]],表格2_7[],2,FALSE)</f>
        <v>30-4118-018-570</v>
      </c>
      <c r="I345" t="str">
        <f>VLOOKUP(record[[#This Row],[ProcessSN]],表格2_7[],3,FALSE)</f>
        <v>#100</v>
      </c>
      <c r="J345" t="s">
        <v>598</v>
      </c>
      <c r="K345" s="195">
        <v>46153.894675925927</v>
      </c>
      <c r="L345">
        <v>111</v>
      </c>
      <c r="M345">
        <v>0</v>
      </c>
      <c r="N345" s="98" t="str">
        <f>IF(record[[#This Row],[Memo]]="Browser:chrome os:android","平板報工",IF(record[[#This Row],[Memo]]=0,"委外",record[[#This Row],[Memo]]))</f>
        <v>平板報工</v>
      </c>
      <c r="O345" t="s">
        <v>643</v>
      </c>
      <c r="P345" t="s">
        <v>103</v>
      </c>
      <c r="Q345" t="s">
        <v>644</v>
      </c>
      <c r="R345" t="str">
        <f>IFERROR(VLOOKUP(record[[#This Row],[PCUSTID]],廠商[],2,FALSE),"")</f>
        <v/>
      </c>
      <c r="S345" t="str">
        <f>VLOOKUP(record[[#This Row],[employeeID]],員工[],2,FALSE)</f>
        <v>黎秋水</v>
      </c>
    </row>
    <row r="346" spans="6:19" hidden="1" x14ac:dyDescent="0.25">
      <c r="F346" t="s">
        <v>1999</v>
      </c>
      <c r="G346" t="s">
        <v>442</v>
      </c>
      <c r="H346" t="str">
        <f>VLOOKUP(record[[#This Row],[ProcessSN]],表格2_7[],2,FALSE)</f>
        <v>30-4118-018-650</v>
      </c>
      <c r="I346" t="str">
        <f>VLOOKUP(record[[#This Row],[ProcessSN]],表格2_7[],3,FALSE)</f>
        <v>#100OQC</v>
      </c>
      <c r="J346" t="s">
        <v>599</v>
      </c>
      <c r="K346" s="195">
        <v>46153.876886574071</v>
      </c>
      <c r="L346">
        <v>326</v>
      </c>
      <c r="M346">
        <v>0</v>
      </c>
      <c r="N346" s="98" t="str">
        <f>IF(record[[#This Row],[Memo]]="Browser:chrome os:android","平板報工",IF(record[[#This Row],[Memo]]=0,"委外",record[[#This Row],[Memo]]))</f>
        <v/>
      </c>
      <c r="O346" t="s">
        <v>58</v>
      </c>
      <c r="P346" t="s">
        <v>121</v>
      </c>
      <c r="Q346" t="s">
        <v>58</v>
      </c>
      <c r="R346" t="str">
        <f>IFERROR(VLOOKUP(record[[#This Row],[PCUSTID]],廠商[],2,FALSE),"")</f>
        <v/>
      </c>
      <c r="S346" t="str">
        <f>VLOOKUP(record[[#This Row],[employeeID]],員工[],2,FALSE)</f>
        <v>謝素卿</v>
      </c>
    </row>
    <row r="347" spans="6:19" hidden="1" x14ac:dyDescent="0.25">
      <c r="F347" t="s">
        <v>1990</v>
      </c>
      <c r="G347" t="s">
        <v>442</v>
      </c>
      <c r="H347" t="str">
        <f>VLOOKUP(record[[#This Row],[ProcessSN]],表格2_7[],2,FALSE)</f>
        <v>30-4118-018-650</v>
      </c>
      <c r="I347" t="str">
        <f>VLOOKUP(record[[#This Row],[ProcessSN]],表格2_7[],3,FALSE)</f>
        <v>#100OQC</v>
      </c>
      <c r="J347" t="s">
        <v>599</v>
      </c>
      <c r="K347" s="195">
        <v>46153.876759259256</v>
      </c>
      <c r="L347">
        <v>112</v>
      </c>
      <c r="M347">
        <v>0</v>
      </c>
      <c r="N347" s="98" t="str">
        <f>IF(record[[#This Row],[Memo]]="Browser:chrome os:android","平板報工",IF(record[[#This Row],[Memo]]=0,"委外",record[[#This Row],[Memo]]))</f>
        <v/>
      </c>
      <c r="O347" t="s">
        <v>58</v>
      </c>
      <c r="P347" t="s">
        <v>121</v>
      </c>
      <c r="Q347" t="s">
        <v>58</v>
      </c>
      <c r="R347" t="str">
        <f>IFERROR(VLOOKUP(record[[#This Row],[PCUSTID]],廠商[],2,FALSE),"")</f>
        <v/>
      </c>
      <c r="S347" t="str">
        <f>VLOOKUP(record[[#This Row],[employeeID]],員工[],2,FALSE)</f>
        <v>謝素卿</v>
      </c>
    </row>
    <row r="348" spans="6:19" hidden="1" x14ac:dyDescent="0.25">
      <c r="F348" t="s">
        <v>1999</v>
      </c>
      <c r="G348" t="s">
        <v>441</v>
      </c>
      <c r="H348" t="str">
        <f>VLOOKUP(record[[#This Row],[ProcessSN]],表格2_7[],2,FALSE)</f>
        <v>30-4118-018-650</v>
      </c>
      <c r="I348" t="str">
        <f>VLOOKUP(record[[#This Row],[ProcessSN]],表格2_7[],3,FALSE)</f>
        <v>#100</v>
      </c>
      <c r="J348" t="s">
        <v>598</v>
      </c>
      <c r="K348" s="195">
        <v>46153.873888888891</v>
      </c>
      <c r="L348">
        <v>0</v>
      </c>
      <c r="M348">
        <v>8</v>
      </c>
      <c r="N348" s="98" t="str">
        <f>IF(record[[#This Row],[Memo]]="Browser:chrome os:android","平板報工",IF(record[[#This Row],[Memo]]=0,"委外",record[[#This Row],[Memo]]))</f>
        <v/>
      </c>
      <c r="O348" t="s">
        <v>58</v>
      </c>
      <c r="P348" t="s">
        <v>141</v>
      </c>
      <c r="Q348" t="s">
        <v>58</v>
      </c>
      <c r="R348" t="str">
        <f>IFERROR(VLOOKUP(record[[#This Row],[PCUSTID]],廠商[],2,FALSE),"")</f>
        <v/>
      </c>
      <c r="S348" t="str">
        <f>VLOOKUP(record[[#This Row],[employeeID]],員工[],2,FALSE)</f>
        <v>蔣梅</v>
      </c>
    </row>
    <row r="349" spans="6:19" hidden="1" x14ac:dyDescent="0.25">
      <c r="F349" t="s">
        <v>1999</v>
      </c>
      <c r="G349" t="s">
        <v>441</v>
      </c>
      <c r="H349" t="str">
        <f>VLOOKUP(record[[#This Row],[ProcessSN]],表格2_7[],2,FALSE)</f>
        <v>30-4118-018-650</v>
      </c>
      <c r="I349" t="str">
        <f>VLOOKUP(record[[#This Row],[ProcessSN]],表格2_7[],3,FALSE)</f>
        <v>#100</v>
      </c>
      <c r="J349" t="s">
        <v>598</v>
      </c>
      <c r="K349" s="195">
        <v>46153.873749999999</v>
      </c>
      <c r="L349">
        <v>326</v>
      </c>
      <c r="M349">
        <v>0</v>
      </c>
      <c r="N349" s="98" t="str">
        <f>IF(record[[#This Row],[Memo]]="Browser:chrome os:android","平板報工",IF(record[[#This Row],[Memo]]=0,"委外",record[[#This Row],[Memo]]))</f>
        <v/>
      </c>
      <c r="O349" t="s">
        <v>58</v>
      </c>
      <c r="P349" t="s">
        <v>141</v>
      </c>
      <c r="Q349" t="s">
        <v>58</v>
      </c>
      <c r="R349" t="str">
        <f>IFERROR(VLOOKUP(record[[#This Row],[PCUSTID]],廠商[],2,FALSE),"")</f>
        <v/>
      </c>
      <c r="S349" t="str">
        <f>VLOOKUP(record[[#This Row],[employeeID]],員工[],2,FALSE)</f>
        <v>蔣梅</v>
      </c>
    </row>
    <row r="350" spans="6:19" hidden="1" x14ac:dyDescent="0.25">
      <c r="F350" t="s">
        <v>1990</v>
      </c>
      <c r="G350" t="s">
        <v>441</v>
      </c>
      <c r="H350" t="str">
        <f>VLOOKUP(record[[#This Row],[ProcessSN]],表格2_7[],2,FALSE)</f>
        <v>30-4118-018-650</v>
      </c>
      <c r="I350" t="str">
        <f>VLOOKUP(record[[#This Row],[ProcessSN]],表格2_7[],3,FALSE)</f>
        <v>#100</v>
      </c>
      <c r="J350" t="s">
        <v>598</v>
      </c>
      <c r="K350" s="195">
        <v>46153.873437499999</v>
      </c>
      <c r="L350">
        <v>112</v>
      </c>
      <c r="M350">
        <v>0</v>
      </c>
      <c r="N350" s="98" t="str">
        <f>IF(record[[#This Row],[Memo]]="Browser:chrome os:android","平板報工",IF(record[[#This Row],[Memo]]=0,"委外",record[[#This Row],[Memo]]))</f>
        <v/>
      </c>
      <c r="O350" t="s">
        <v>58</v>
      </c>
      <c r="P350" t="s">
        <v>141</v>
      </c>
      <c r="Q350" t="s">
        <v>58</v>
      </c>
      <c r="R350" t="str">
        <f>IFERROR(VLOOKUP(record[[#This Row],[PCUSTID]],廠商[],2,FALSE),"")</f>
        <v/>
      </c>
      <c r="S350" t="str">
        <f>VLOOKUP(record[[#This Row],[employeeID]],員工[],2,FALSE)</f>
        <v>蔣梅</v>
      </c>
    </row>
    <row r="351" spans="6:19" hidden="1" x14ac:dyDescent="0.25">
      <c r="F351" t="s">
        <v>1970</v>
      </c>
      <c r="G351" t="s">
        <v>411</v>
      </c>
      <c r="H351" t="str">
        <f>VLOOKUP(record[[#This Row],[ProcessSN]],表格2_7[],2,FALSE)</f>
        <v>30-4118-018-570</v>
      </c>
      <c r="I351" t="str">
        <f>VLOOKUP(record[[#This Row],[ProcessSN]],表格2_7[],3,FALSE)</f>
        <v>#100SHIP</v>
      </c>
      <c r="J351" t="s">
        <v>600</v>
      </c>
      <c r="K351" s="195">
        <v>46153.865312499998</v>
      </c>
      <c r="L351">
        <v>60</v>
      </c>
      <c r="M351">
        <v>0</v>
      </c>
      <c r="N351" s="98" t="str">
        <f>IF(record[[#This Row],[Memo]]="Browser:chrome os:android","平板報工",IF(record[[#This Row],[Memo]]=0,"委外",record[[#This Row],[Memo]]))</f>
        <v/>
      </c>
      <c r="O351" t="s">
        <v>58</v>
      </c>
      <c r="P351" t="s">
        <v>886</v>
      </c>
      <c r="Q351" t="s">
        <v>58</v>
      </c>
      <c r="R351" t="str">
        <f>IFERROR(VLOOKUP(record[[#This Row],[PCUSTID]],廠商[],2,FALSE),"")</f>
        <v/>
      </c>
      <c r="S351" t="str">
        <f>VLOOKUP(record[[#This Row],[employeeID]],員工[],2,FALSE)</f>
        <v>謝蓁薰</v>
      </c>
    </row>
    <row r="352" spans="6:19" hidden="1" x14ac:dyDescent="0.25">
      <c r="F352" t="s">
        <v>1861</v>
      </c>
      <c r="G352" t="s">
        <v>436</v>
      </c>
      <c r="H352" t="str">
        <f>VLOOKUP(record[[#This Row],[ProcessSN]],表格2_7[],2,FALSE)</f>
        <v>30-4118-018-620</v>
      </c>
      <c r="I352" t="str">
        <f>VLOOKUP(record[[#This Row],[ProcessSN]],表格2_7[],3,FALSE)</f>
        <v>#100SHIP</v>
      </c>
      <c r="J352" t="s">
        <v>600</v>
      </c>
      <c r="K352" s="195">
        <v>46153.86515046296</v>
      </c>
      <c r="L352">
        <v>78</v>
      </c>
      <c r="M352">
        <v>0</v>
      </c>
      <c r="N352" s="98" t="str">
        <f>IF(record[[#This Row],[Memo]]="Browser:chrome os:android","平板報工",IF(record[[#This Row],[Memo]]=0,"委外",record[[#This Row],[Memo]]))</f>
        <v/>
      </c>
      <c r="O352" t="s">
        <v>58</v>
      </c>
      <c r="P352" t="s">
        <v>886</v>
      </c>
      <c r="Q352" t="s">
        <v>58</v>
      </c>
      <c r="R352" t="str">
        <f>IFERROR(VLOOKUP(record[[#This Row],[PCUSTID]],廠商[],2,FALSE),"")</f>
        <v/>
      </c>
      <c r="S352" t="str">
        <f>VLOOKUP(record[[#This Row],[employeeID]],員工[],2,FALSE)</f>
        <v>謝蓁薰</v>
      </c>
    </row>
    <row r="353" spans="6:19" hidden="1" x14ac:dyDescent="0.25">
      <c r="F353" t="s">
        <v>1919</v>
      </c>
      <c r="G353" t="s">
        <v>444</v>
      </c>
      <c r="H353" t="str">
        <f>VLOOKUP(record[[#This Row],[ProcessSN]],表格2_7[],2,FALSE)</f>
        <v>30-4118-018-650</v>
      </c>
      <c r="I353" t="str">
        <f>VLOOKUP(record[[#This Row],[ProcessSN]],表格2_7[],3,FALSE)</f>
        <v>#100SHIP</v>
      </c>
      <c r="J353" t="s">
        <v>600</v>
      </c>
      <c r="K353" s="195">
        <v>46153.864988425928</v>
      </c>
      <c r="L353">
        <v>40</v>
      </c>
      <c r="M353">
        <v>0</v>
      </c>
      <c r="N353" s="98" t="str">
        <f>IF(record[[#This Row],[Memo]]="Browser:chrome os:android","平板報工",IF(record[[#This Row],[Memo]]=0,"委外",record[[#This Row],[Memo]]))</f>
        <v/>
      </c>
      <c r="O353" t="s">
        <v>58</v>
      </c>
      <c r="P353" t="s">
        <v>886</v>
      </c>
      <c r="Q353" t="s">
        <v>58</v>
      </c>
      <c r="R353" t="str">
        <f>IFERROR(VLOOKUP(record[[#This Row],[PCUSTID]],廠商[],2,FALSE),"")</f>
        <v/>
      </c>
      <c r="S353" t="str">
        <f>VLOOKUP(record[[#This Row],[employeeID]],員工[],2,FALSE)</f>
        <v>謝蓁薰</v>
      </c>
    </row>
    <row r="354" spans="6:19" hidden="1" x14ac:dyDescent="0.25">
      <c r="F354" t="s">
        <v>1970</v>
      </c>
      <c r="G354" t="s">
        <v>410</v>
      </c>
      <c r="H354" t="str">
        <f>VLOOKUP(record[[#This Row],[ProcessSN]],表格2_7[],2,FALSE)</f>
        <v>30-4118-018-570</v>
      </c>
      <c r="I354" t="str">
        <f>VLOOKUP(record[[#This Row],[ProcessSN]],表格2_7[],3,FALSE)</f>
        <v>#100STOCK</v>
      </c>
      <c r="J354" t="s">
        <v>592</v>
      </c>
      <c r="K354" s="195">
        <v>46153.864571759259</v>
      </c>
      <c r="L354">
        <v>60</v>
      </c>
      <c r="M354">
        <v>0</v>
      </c>
      <c r="N354" s="98" t="str">
        <f>IF(record[[#This Row],[Memo]]="Browser:chrome os:android","平板報工",IF(record[[#This Row],[Memo]]=0,"委外",record[[#This Row],[Memo]]))</f>
        <v/>
      </c>
      <c r="O354" t="s">
        <v>58</v>
      </c>
      <c r="P354" t="s">
        <v>886</v>
      </c>
      <c r="Q354" t="s">
        <v>58</v>
      </c>
      <c r="R354" t="str">
        <f>IFERROR(VLOOKUP(record[[#This Row],[PCUSTID]],廠商[],2,FALSE),"")</f>
        <v/>
      </c>
      <c r="S354" t="str">
        <f>VLOOKUP(record[[#This Row],[employeeID]],員工[],2,FALSE)</f>
        <v>謝蓁薰</v>
      </c>
    </row>
    <row r="355" spans="6:19" hidden="1" x14ac:dyDescent="0.25">
      <c r="F355" t="s">
        <v>1981</v>
      </c>
      <c r="G355" t="s">
        <v>407</v>
      </c>
      <c r="H355" t="str">
        <f>VLOOKUP(record[[#This Row],[ProcessSN]],表格2_7[],2,FALSE)</f>
        <v>30-4118-018-570</v>
      </c>
      <c r="I355" t="str">
        <f>VLOOKUP(record[[#This Row],[ProcessSN]],表格2_7[],3,FALSE)</f>
        <v>#08IQC</v>
      </c>
      <c r="J355" t="s">
        <v>583</v>
      </c>
      <c r="K355" s="195">
        <v>46153.856504629628</v>
      </c>
      <c r="L355">
        <v>111</v>
      </c>
      <c r="M355">
        <v>0</v>
      </c>
      <c r="N355" s="98" t="str">
        <f>IF(record[[#This Row],[Memo]]="Browser:chrome os:android","平板報工",IF(record[[#This Row],[Memo]]=0,"委外",record[[#This Row],[Memo]]))</f>
        <v/>
      </c>
      <c r="O355" t="s">
        <v>58</v>
      </c>
      <c r="P355" t="s">
        <v>109</v>
      </c>
      <c r="Q355" t="s">
        <v>58</v>
      </c>
      <c r="R355" t="str">
        <f>IFERROR(VLOOKUP(record[[#This Row],[PCUSTID]],廠商[],2,FALSE),"")</f>
        <v/>
      </c>
      <c r="S355" t="str">
        <f>VLOOKUP(record[[#This Row],[employeeID]],員工[],2,FALSE)</f>
        <v>裴氏璧鳳</v>
      </c>
    </row>
    <row r="356" spans="6:19" hidden="1" x14ac:dyDescent="0.25">
      <c r="F356" t="s">
        <v>1990</v>
      </c>
      <c r="G356" t="s">
        <v>440</v>
      </c>
      <c r="H356" t="str">
        <f>VLOOKUP(record[[#This Row],[ProcessSN]],表格2_7[],2,FALSE)</f>
        <v>30-4118-018-650</v>
      </c>
      <c r="I356" t="str">
        <f>VLOOKUP(record[[#This Row],[ProcessSN]],表格2_7[],3,FALSE)</f>
        <v>#08IQC</v>
      </c>
      <c r="J356" t="s">
        <v>583</v>
      </c>
      <c r="K356" s="195">
        <v>46153.854305555556</v>
      </c>
      <c r="L356">
        <v>112</v>
      </c>
      <c r="M356">
        <v>0</v>
      </c>
      <c r="N356" s="98" t="str">
        <f>IF(record[[#This Row],[Memo]]="Browser:chrome os:android","平板報工",IF(record[[#This Row],[Memo]]=0,"委外",record[[#This Row],[Memo]]))</f>
        <v/>
      </c>
      <c r="O356" t="s">
        <v>58</v>
      </c>
      <c r="P356" t="s">
        <v>109</v>
      </c>
      <c r="Q356" t="s">
        <v>58</v>
      </c>
      <c r="R356" t="str">
        <f>IFERROR(VLOOKUP(record[[#This Row],[PCUSTID]],廠商[],2,FALSE),"")</f>
        <v/>
      </c>
      <c r="S356" t="str">
        <f>VLOOKUP(record[[#This Row],[employeeID]],員工[],2,FALSE)</f>
        <v>裴氏璧鳳</v>
      </c>
    </row>
    <row r="357" spans="6:19" hidden="1" x14ac:dyDescent="0.25">
      <c r="F357" t="s">
        <v>1999</v>
      </c>
      <c r="G357" t="s">
        <v>440</v>
      </c>
      <c r="H357" t="str">
        <f>VLOOKUP(record[[#This Row],[ProcessSN]],表格2_7[],2,FALSE)</f>
        <v>30-4118-018-650</v>
      </c>
      <c r="I357" t="str">
        <f>VLOOKUP(record[[#This Row],[ProcessSN]],表格2_7[],3,FALSE)</f>
        <v>#08IQC</v>
      </c>
      <c r="J357" t="s">
        <v>583</v>
      </c>
      <c r="K357" s="195">
        <v>46153.854201388887</v>
      </c>
      <c r="L357">
        <v>336</v>
      </c>
      <c r="M357">
        <v>0</v>
      </c>
      <c r="N357" s="98" t="str">
        <f>IF(record[[#This Row],[Memo]]="Browser:chrome os:android","平板報工",IF(record[[#This Row],[Memo]]=0,"委外",record[[#This Row],[Memo]]))</f>
        <v/>
      </c>
      <c r="O357" t="s">
        <v>58</v>
      </c>
      <c r="P357" t="s">
        <v>109</v>
      </c>
      <c r="Q357" t="s">
        <v>58</v>
      </c>
      <c r="R357" t="str">
        <f>IFERROR(VLOOKUP(record[[#This Row],[PCUSTID]],廠商[],2,FALSE),"")</f>
        <v/>
      </c>
      <c r="S357" t="str">
        <f>VLOOKUP(record[[#This Row],[employeeID]],員工[],2,FALSE)</f>
        <v>裴氏璧鳳</v>
      </c>
    </row>
    <row r="358" spans="6:19" hidden="1" x14ac:dyDescent="0.25">
      <c r="F358" t="s">
        <v>1989</v>
      </c>
      <c r="G358" t="s">
        <v>432</v>
      </c>
      <c r="H358" t="str">
        <f>VLOOKUP(record[[#This Row],[ProcessSN]],表格2_7[],2,FALSE)</f>
        <v>30-4118-018-620</v>
      </c>
      <c r="I358" t="str">
        <f>VLOOKUP(record[[#This Row],[ProcessSN]],表格2_7[],3,FALSE)</f>
        <v>#08IQC</v>
      </c>
      <c r="J358" t="s">
        <v>583</v>
      </c>
      <c r="K358" s="195">
        <v>46153.8516087963</v>
      </c>
      <c r="L358">
        <v>198</v>
      </c>
      <c r="M358">
        <v>0</v>
      </c>
      <c r="N358" s="98" t="str">
        <f>IF(record[[#This Row],[Memo]]="Browser:chrome os:android","平板報工",IF(record[[#This Row],[Memo]]=0,"委外",record[[#This Row],[Memo]]))</f>
        <v/>
      </c>
      <c r="O358" t="s">
        <v>58</v>
      </c>
      <c r="P358" t="s">
        <v>109</v>
      </c>
      <c r="Q358" t="s">
        <v>58</v>
      </c>
      <c r="R358" t="str">
        <f>IFERROR(VLOOKUP(record[[#This Row],[PCUSTID]],廠商[],2,FALSE),"")</f>
        <v/>
      </c>
      <c r="S358" t="str">
        <f>VLOOKUP(record[[#This Row],[employeeID]],員工[],2,FALSE)</f>
        <v>裴氏璧鳳</v>
      </c>
    </row>
    <row r="359" spans="6:19" hidden="1" x14ac:dyDescent="0.25">
      <c r="F359" t="s">
        <v>1987</v>
      </c>
      <c r="G359" t="s">
        <v>453</v>
      </c>
      <c r="H359" t="str">
        <f>VLOOKUP(record[[#This Row],[ProcessSN]],表格2_7[],2,FALSE)</f>
        <v>30-4118-018-6XX</v>
      </c>
      <c r="I359" t="str">
        <f>VLOOKUP(record[[#This Row],[ProcessSN]],表格2_7[],3,FALSE)</f>
        <v>#07STOCK</v>
      </c>
      <c r="J359" t="s">
        <v>592</v>
      </c>
      <c r="K359" s="195">
        <v>46153.83185185185</v>
      </c>
      <c r="L359">
        <v>352</v>
      </c>
      <c r="M359">
        <v>0</v>
      </c>
      <c r="N359" s="98" t="str">
        <f>IF(record[[#This Row],[Memo]]="Browser:chrome os:android","平板報工",IF(record[[#This Row],[Memo]]=0,"委外",record[[#This Row],[Memo]]))</f>
        <v/>
      </c>
      <c r="O359" t="s">
        <v>58</v>
      </c>
      <c r="P359" t="s">
        <v>186</v>
      </c>
      <c r="Q359" t="s">
        <v>58</v>
      </c>
      <c r="R359" t="str">
        <f>IFERROR(VLOOKUP(record[[#This Row],[PCUSTID]],廠商[],2,FALSE),"")</f>
        <v/>
      </c>
      <c r="S359" t="str">
        <f>VLOOKUP(record[[#This Row],[employeeID]],員工[],2,FALSE)</f>
        <v>許文姍</v>
      </c>
    </row>
    <row r="360" spans="6:19" hidden="1" x14ac:dyDescent="0.25">
      <c r="F360" t="s">
        <v>1945</v>
      </c>
      <c r="G360" t="s">
        <v>453</v>
      </c>
      <c r="H360" t="str">
        <f>VLOOKUP(record[[#This Row],[ProcessSN]],表格2_7[],2,FALSE)</f>
        <v>30-4118-018-6XX</v>
      </c>
      <c r="I360" t="str">
        <f>VLOOKUP(record[[#This Row],[ProcessSN]],表格2_7[],3,FALSE)</f>
        <v>#07STOCK</v>
      </c>
      <c r="J360" t="s">
        <v>592</v>
      </c>
      <c r="K360" s="195">
        <v>46153.831701388888</v>
      </c>
      <c r="L360">
        <v>81</v>
      </c>
      <c r="M360">
        <v>0</v>
      </c>
      <c r="N360" s="98" t="str">
        <f>IF(record[[#This Row],[Memo]]="Browser:chrome os:android","平板報工",IF(record[[#This Row],[Memo]]=0,"委外",record[[#This Row],[Memo]]))</f>
        <v/>
      </c>
      <c r="O360" t="s">
        <v>58</v>
      </c>
      <c r="P360" t="s">
        <v>186</v>
      </c>
      <c r="Q360" t="s">
        <v>58</v>
      </c>
      <c r="R360" t="str">
        <f>IFERROR(VLOOKUP(record[[#This Row],[PCUSTID]],廠商[],2,FALSE),"")</f>
        <v/>
      </c>
      <c r="S360" t="str">
        <f>VLOOKUP(record[[#This Row],[employeeID]],員工[],2,FALSE)</f>
        <v>許文姍</v>
      </c>
    </row>
    <row r="361" spans="6:19" x14ac:dyDescent="0.25">
      <c r="F361" t="s">
        <v>1924</v>
      </c>
      <c r="G361" t="s">
        <v>453</v>
      </c>
      <c r="H361" t="str">
        <f>VLOOKUP(record[[#This Row],[ProcessSN]],表格2_7[],2,FALSE)</f>
        <v>30-4118-018-6XX</v>
      </c>
      <c r="I361" t="str">
        <f>VLOOKUP(record[[#This Row],[ProcessSN]],表格2_7[],3,FALSE)</f>
        <v>#07STOCK</v>
      </c>
      <c r="J361" t="s">
        <v>592</v>
      </c>
      <c r="K361" s="195">
        <v>46153.831550925926</v>
      </c>
      <c r="L361">
        <v>334</v>
      </c>
      <c r="M361">
        <v>0</v>
      </c>
      <c r="N361" s="98" t="str">
        <f>IF(record[[#This Row],[Memo]]="Browser:chrome os:android","平板報工",IF(record[[#This Row],[Memo]]=0,"委外",record[[#This Row],[Memo]]))</f>
        <v/>
      </c>
      <c r="O361" t="s">
        <v>58</v>
      </c>
      <c r="P361" t="s">
        <v>186</v>
      </c>
      <c r="Q361" t="s">
        <v>58</v>
      </c>
      <c r="R361" t="str">
        <f>IFERROR(VLOOKUP(record[[#This Row],[PCUSTID]],廠商[],2,FALSE),"")</f>
        <v/>
      </c>
      <c r="S361" t="str">
        <f>VLOOKUP(record[[#This Row],[employeeID]],員工[],2,FALSE)</f>
        <v>許文姍</v>
      </c>
    </row>
    <row r="362" spans="6:19" hidden="1" x14ac:dyDescent="0.25">
      <c r="F362" t="s">
        <v>1822</v>
      </c>
      <c r="G362" t="s">
        <v>453</v>
      </c>
      <c r="H362" t="str">
        <f>VLOOKUP(record[[#This Row],[ProcessSN]],表格2_7[],2,FALSE)</f>
        <v>30-4118-018-6XX</v>
      </c>
      <c r="I362" t="str">
        <f>VLOOKUP(record[[#This Row],[ProcessSN]],表格2_7[],3,FALSE)</f>
        <v>#07STOCK</v>
      </c>
      <c r="J362" t="s">
        <v>592</v>
      </c>
      <c r="K362" s="195">
        <v>46153.831400462965</v>
      </c>
      <c r="L362">
        <v>1</v>
      </c>
      <c r="M362">
        <v>0</v>
      </c>
      <c r="N362" s="98" t="str">
        <f>IF(record[[#This Row],[Memo]]="Browser:chrome os:android","平板報工",IF(record[[#This Row],[Memo]]=0,"委外",record[[#This Row],[Memo]]))</f>
        <v/>
      </c>
      <c r="O362" t="s">
        <v>58</v>
      </c>
      <c r="P362" t="s">
        <v>186</v>
      </c>
      <c r="Q362" t="s">
        <v>58</v>
      </c>
      <c r="R362" t="str">
        <f>IFERROR(VLOOKUP(record[[#This Row],[PCUSTID]],廠商[],2,FALSE),"")</f>
        <v/>
      </c>
      <c r="S362" t="str">
        <f>VLOOKUP(record[[#This Row],[employeeID]],員工[],2,FALSE)</f>
        <v>許文姍</v>
      </c>
    </row>
    <row r="363" spans="6:19" hidden="1" x14ac:dyDescent="0.25">
      <c r="F363" t="s">
        <v>1989</v>
      </c>
      <c r="G363" t="s">
        <v>431</v>
      </c>
      <c r="H363" t="str">
        <f>VLOOKUP(record[[#This Row],[ProcessSN]],表格2_7[],2,FALSE)</f>
        <v>30-4118-018-620</v>
      </c>
      <c r="I363" t="str">
        <f>VLOOKUP(record[[#This Row],[ProcessSN]],表格2_7[],3,FALSE)</f>
        <v>#08RCV</v>
      </c>
      <c r="J363" t="s">
        <v>591</v>
      </c>
      <c r="K363" s="195">
        <v>46153.830729166664</v>
      </c>
      <c r="L363">
        <v>0</v>
      </c>
      <c r="M363">
        <v>2</v>
      </c>
      <c r="N363" s="98" t="str">
        <f>IF(record[[#This Row],[Memo]]="Browser:chrome os:android","平板報工",IF(record[[#This Row],[Memo]]=0,"委外",record[[#This Row],[Memo]]))</f>
        <v/>
      </c>
      <c r="O363" t="s">
        <v>58</v>
      </c>
      <c r="P363" t="s">
        <v>186</v>
      </c>
      <c r="Q363" t="s">
        <v>58</v>
      </c>
      <c r="R363" t="str">
        <f>IFERROR(VLOOKUP(record[[#This Row],[PCUSTID]],廠商[],2,FALSE),"")</f>
        <v/>
      </c>
      <c r="S363" t="str">
        <f>VLOOKUP(record[[#This Row],[employeeID]],員工[],2,FALSE)</f>
        <v>許文姍</v>
      </c>
    </row>
    <row r="364" spans="6:19" hidden="1" x14ac:dyDescent="0.25">
      <c r="F364" t="s">
        <v>1987</v>
      </c>
      <c r="G364" t="s">
        <v>448</v>
      </c>
      <c r="H364" t="str">
        <f>VLOOKUP(record[[#This Row],[ProcessSN]],表格2_7[],2,FALSE)</f>
        <v>30-4118-018-6XX</v>
      </c>
      <c r="I364" t="str">
        <f>VLOOKUP(record[[#This Row],[ProcessSN]],表格2_7[],3,FALSE)</f>
        <v>#04</v>
      </c>
      <c r="J364" t="s">
        <v>588</v>
      </c>
      <c r="K364" s="195">
        <v>46153.830451388887</v>
      </c>
      <c r="L364">
        <v>120</v>
      </c>
      <c r="M364">
        <v>0</v>
      </c>
      <c r="N364" s="98" t="str">
        <f>IF(record[[#This Row],[Memo]]="Browser:chrome os:android","平板報工",IF(record[[#This Row],[Memo]]=0,"委外",record[[#This Row],[Memo]]))</f>
        <v>平板報工</v>
      </c>
      <c r="O364" t="s">
        <v>643</v>
      </c>
      <c r="P364" t="s">
        <v>785</v>
      </c>
      <c r="Q364" t="s">
        <v>644</v>
      </c>
      <c r="R364" t="str">
        <f>IFERROR(VLOOKUP(record[[#This Row],[PCUSTID]],廠商[],2,FALSE),"")</f>
        <v/>
      </c>
      <c r="S364" t="str">
        <f>VLOOKUP(record[[#This Row],[employeeID]],員工[],2,FALSE)</f>
        <v>謝刻光</v>
      </c>
    </row>
    <row r="365" spans="6:19" hidden="1" x14ac:dyDescent="0.25">
      <c r="F365" t="s">
        <v>1981</v>
      </c>
      <c r="G365" t="s">
        <v>406</v>
      </c>
      <c r="H365" t="str">
        <f>VLOOKUP(record[[#This Row],[ProcessSN]],表格2_7[],2,FALSE)</f>
        <v>30-4118-018-570</v>
      </c>
      <c r="I365" t="str">
        <f>VLOOKUP(record[[#This Row],[ProcessSN]],表格2_7[],3,FALSE)</f>
        <v>#08RCV</v>
      </c>
      <c r="J365" t="s">
        <v>591</v>
      </c>
      <c r="K365" s="195">
        <v>46153.829606481479</v>
      </c>
      <c r="L365">
        <v>0</v>
      </c>
      <c r="M365">
        <v>9</v>
      </c>
      <c r="N365" s="98" t="str">
        <f>IF(record[[#This Row],[Memo]]="Browser:chrome os:android","平板報工",IF(record[[#This Row],[Memo]]=0,"委外",record[[#This Row],[Memo]]))</f>
        <v/>
      </c>
      <c r="O365" t="s">
        <v>58</v>
      </c>
      <c r="P365" t="s">
        <v>186</v>
      </c>
      <c r="Q365" t="s">
        <v>58</v>
      </c>
      <c r="R365" t="str">
        <f>IFERROR(VLOOKUP(record[[#This Row],[PCUSTID]],廠商[],2,FALSE),"")</f>
        <v/>
      </c>
      <c r="S365" t="str">
        <f>VLOOKUP(record[[#This Row],[employeeID]],員工[],2,FALSE)</f>
        <v>許文姍</v>
      </c>
    </row>
    <row r="366" spans="6:19" hidden="1" x14ac:dyDescent="0.25">
      <c r="F366" t="s">
        <v>1981</v>
      </c>
      <c r="G366" t="s">
        <v>406</v>
      </c>
      <c r="H366" t="str">
        <f>VLOOKUP(record[[#This Row],[ProcessSN]],表格2_7[],2,FALSE)</f>
        <v>30-4118-018-570</v>
      </c>
      <c r="I366" t="str">
        <f>VLOOKUP(record[[#This Row],[ProcessSN]],表格2_7[],3,FALSE)</f>
        <v>#08RCV</v>
      </c>
      <c r="J366" t="s">
        <v>591</v>
      </c>
      <c r="K366" s="195">
        <v>46153.829375000001</v>
      </c>
      <c r="L366">
        <v>111</v>
      </c>
      <c r="M366">
        <v>0</v>
      </c>
      <c r="N366" s="98" t="str">
        <f>IF(record[[#This Row],[Memo]]="Browser:chrome os:android","平板報工",IF(record[[#This Row],[Memo]]=0,"委外",record[[#This Row],[Memo]]))</f>
        <v/>
      </c>
      <c r="O366" t="s">
        <v>58</v>
      </c>
      <c r="P366" t="s">
        <v>186</v>
      </c>
      <c r="Q366" t="s">
        <v>58</v>
      </c>
      <c r="R366" t="str">
        <f>IFERROR(VLOOKUP(record[[#This Row],[PCUSTID]],廠商[],2,FALSE),"")</f>
        <v/>
      </c>
      <c r="S366" t="str">
        <f>VLOOKUP(record[[#This Row],[employeeID]],員工[],2,FALSE)</f>
        <v>許文姍</v>
      </c>
    </row>
    <row r="367" spans="6:19" hidden="1" x14ac:dyDescent="0.25">
      <c r="F367" t="s">
        <v>1999</v>
      </c>
      <c r="G367" t="s">
        <v>439</v>
      </c>
      <c r="H367" t="str">
        <f>VLOOKUP(record[[#This Row],[ProcessSN]],表格2_7[],2,FALSE)</f>
        <v>30-4118-018-650</v>
      </c>
      <c r="I367" t="str">
        <f>VLOOKUP(record[[#This Row],[ProcessSN]],表格2_7[],3,FALSE)</f>
        <v>#08RCV</v>
      </c>
      <c r="J367" t="s">
        <v>591</v>
      </c>
      <c r="K367" s="195">
        <v>46153.829282407409</v>
      </c>
      <c r="L367">
        <v>336</v>
      </c>
      <c r="M367">
        <v>0</v>
      </c>
      <c r="N367" s="98" t="str">
        <f>IF(record[[#This Row],[Memo]]="Browser:chrome os:android","平板報工",IF(record[[#This Row],[Memo]]=0,"委外",record[[#This Row],[Memo]]))</f>
        <v/>
      </c>
      <c r="O367" t="s">
        <v>58</v>
      </c>
      <c r="P367" t="s">
        <v>186</v>
      </c>
      <c r="Q367" t="s">
        <v>58</v>
      </c>
      <c r="R367" t="str">
        <f>IFERROR(VLOOKUP(record[[#This Row],[PCUSTID]],廠商[],2,FALSE),"")</f>
        <v/>
      </c>
      <c r="S367" t="str">
        <f>VLOOKUP(record[[#This Row],[employeeID]],員工[],2,FALSE)</f>
        <v>許文姍</v>
      </c>
    </row>
    <row r="368" spans="6:19" hidden="1" x14ac:dyDescent="0.25">
      <c r="F368" t="s">
        <v>1990</v>
      </c>
      <c r="G368" t="s">
        <v>439</v>
      </c>
      <c r="H368" t="str">
        <f>VLOOKUP(record[[#This Row],[ProcessSN]],表格2_7[],2,FALSE)</f>
        <v>30-4118-018-650</v>
      </c>
      <c r="I368" t="str">
        <f>VLOOKUP(record[[#This Row],[ProcessSN]],表格2_7[],3,FALSE)</f>
        <v>#08RCV</v>
      </c>
      <c r="J368" t="s">
        <v>591</v>
      </c>
      <c r="K368" s="195">
        <v>46153.829097222224</v>
      </c>
      <c r="L368">
        <v>112</v>
      </c>
      <c r="M368">
        <v>0</v>
      </c>
      <c r="N368" s="98" t="str">
        <f>IF(record[[#This Row],[Memo]]="Browser:chrome os:android","平板報工",IF(record[[#This Row],[Memo]]=0,"委外",record[[#This Row],[Memo]]))</f>
        <v/>
      </c>
      <c r="O368" t="s">
        <v>58</v>
      </c>
      <c r="P368" t="s">
        <v>186</v>
      </c>
      <c r="Q368" t="s">
        <v>58</v>
      </c>
      <c r="R368" t="str">
        <f>IFERROR(VLOOKUP(record[[#This Row],[PCUSTID]],廠商[],2,FALSE),"")</f>
        <v/>
      </c>
      <c r="S368" t="str">
        <f>VLOOKUP(record[[#This Row],[employeeID]],員工[],2,FALSE)</f>
        <v>許文姍</v>
      </c>
    </row>
    <row r="369" spans="6:19" hidden="1" x14ac:dyDescent="0.25">
      <c r="F369" t="s">
        <v>1989</v>
      </c>
      <c r="G369" t="s">
        <v>431</v>
      </c>
      <c r="H369" t="str">
        <f>VLOOKUP(record[[#This Row],[ProcessSN]],表格2_7[],2,FALSE)</f>
        <v>30-4118-018-620</v>
      </c>
      <c r="I369" t="str">
        <f>VLOOKUP(record[[#This Row],[ProcessSN]],表格2_7[],3,FALSE)</f>
        <v>#08RCV</v>
      </c>
      <c r="J369" t="s">
        <v>591</v>
      </c>
      <c r="K369" s="195">
        <v>46153.828981481478</v>
      </c>
      <c r="L369">
        <v>198</v>
      </c>
      <c r="M369">
        <v>0</v>
      </c>
      <c r="N369" s="98" t="str">
        <f>IF(record[[#This Row],[Memo]]="Browser:chrome os:android","平板報工",IF(record[[#This Row],[Memo]]=0,"委外",record[[#This Row],[Memo]]))</f>
        <v/>
      </c>
      <c r="O369" t="s">
        <v>58</v>
      </c>
      <c r="P369" t="s">
        <v>186</v>
      </c>
      <c r="Q369" t="s">
        <v>58</v>
      </c>
      <c r="R369" t="str">
        <f>IFERROR(VLOOKUP(record[[#This Row],[PCUSTID]],廠商[],2,FALSE),"")</f>
        <v/>
      </c>
      <c r="S369" t="str">
        <f>VLOOKUP(record[[#This Row],[employeeID]],員工[],2,FALSE)</f>
        <v>許文姍</v>
      </c>
    </row>
    <row r="370" spans="6:19" hidden="1" x14ac:dyDescent="0.25">
      <c r="F370" t="s">
        <v>1987</v>
      </c>
      <c r="G370" t="s">
        <v>450</v>
      </c>
      <c r="H370" t="str">
        <f>VLOOKUP(record[[#This Row],[ProcessSN]],表格2_7[],2,FALSE)</f>
        <v>30-4118-018-6XX</v>
      </c>
      <c r="I370" t="str">
        <f>VLOOKUP(record[[#This Row],[ProcessSN]],表格2_7[],3,FALSE)</f>
        <v>#06</v>
      </c>
      <c r="J370" t="s">
        <v>593</v>
      </c>
      <c r="K370" s="195">
        <v>46153.822974537034</v>
      </c>
      <c r="L370">
        <v>67</v>
      </c>
      <c r="M370">
        <v>0</v>
      </c>
      <c r="N370" s="98" t="str">
        <f>IF(record[[#This Row],[Memo]]="Browser:chrome os:android","平板報工",IF(record[[#This Row],[Memo]]=0,"委外",record[[#This Row],[Memo]]))</f>
        <v>平板報工</v>
      </c>
      <c r="O370" t="s">
        <v>643</v>
      </c>
      <c r="P370" t="s">
        <v>1413</v>
      </c>
      <c r="Q370" t="s">
        <v>644</v>
      </c>
      <c r="R370" t="str">
        <f>IFERROR(VLOOKUP(record[[#This Row],[PCUSTID]],廠商[],2,FALSE),"")</f>
        <v/>
      </c>
      <c r="S370" t="str">
        <f>VLOOKUP(record[[#This Row],[employeeID]],員工[],2,FALSE)</f>
        <v>阮氏芳英(芳)</v>
      </c>
    </row>
    <row r="371" spans="6:19" hidden="1" x14ac:dyDescent="0.25">
      <c r="F371" t="s">
        <v>1945</v>
      </c>
      <c r="G371" t="s">
        <v>452</v>
      </c>
      <c r="H371" t="str">
        <f>VLOOKUP(record[[#This Row],[ProcessSN]],表格2_7[],2,FALSE)</f>
        <v>30-4118-018-6XX</v>
      </c>
      <c r="I371" t="str">
        <f>VLOOKUP(record[[#This Row],[ProcessSN]],表格2_7[],3,FALSE)</f>
        <v>#07QC</v>
      </c>
      <c r="J371" t="s">
        <v>589</v>
      </c>
      <c r="K371" s="195">
        <v>46153.803402777776</v>
      </c>
      <c r="L371">
        <v>0</v>
      </c>
      <c r="M371">
        <v>39</v>
      </c>
      <c r="N371" s="98" t="str">
        <f>IF(record[[#This Row],[Memo]]="Browser:chrome os:android","平板報工",IF(record[[#This Row],[Memo]]=0,"委外",record[[#This Row],[Memo]]))</f>
        <v>素材NG*32 拋 磨NG*7</v>
      </c>
      <c r="O371" t="s">
        <v>2008</v>
      </c>
      <c r="P371" t="s">
        <v>141</v>
      </c>
      <c r="Q371" t="s">
        <v>58</v>
      </c>
      <c r="R371" t="str">
        <f>IFERROR(VLOOKUP(record[[#This Row],[PCUSTID]],廠商[],2,FALSE),"")</f>
        <v/>
      </c>
      <c r="S371" t="str">
        <f>VLOOKUP(record[[#This Row],[employeeID]],員工[],2,FALSE)</f>
        <v>蔣梅</v>
      </c>
    </row>
    <row r="372" spans="6:19" hidden="1" x14ac:dyDescent="0.25">
      <c r="F372" t="s">
        <v>1945</v>
      </c>
      <c r="G372" t="s">
        <v>452</v>
      </c>
      <c r="H372" t="str">
        <f>VLOOKUP(record[[#This Row],[ProcessSN]],表格2_7[],2,FALSE)</f>
        <v>30-4118-018-6XX</v>
      </c>
      <c r="I372" t="str">
        <f>VLOOKUP(record[[#This Row],[ProcessSN]],表格2_7[],3,FALSE)</f>
        <v>#07QC</v>
      </c>
      <c r="J372" t="s">
        <v>589</v>
      </c>
      <c r="K372" s="195">
        <v>46153.781145833331</v>
      </c>
      <c r="L372">
        <v>0</v>
      </c>
      <c r="M372">
        <v>45</v>
      </c>
      <c r="N372" s="98" t="str">
        <f>IF(record[[#This Row],[Memo]]="Browser:chrome os:android","平板報工",IF(record[[#This Row],[Memo]]=0,"委外",record[[#This Row],[Memo]]))</f>
        <v/>
      </c>
      <c r="O372" t="s">
        <v>58</v>
      </c>
      <c r="P372" t="s">
        <v>141</v>
      </c>
      <c r="Q372" t="s">
        <v>58</v>
      </c>
      <c r="R372" t="str">
        <f>IFERROR(VLOOKUP(record[[#This Row],[PCUSTID]],廠商[],2,FALSE),"")</f>
        <v/>
      </c>
      <c r="S372" t="str">
        <f>VLOOKUP(record[[#This Row],[employeeID]],員工[],2,FALSE)</f>
        <v>蔣梅</v>
      </c>
    </row>
    <row r="373" spans="6:19" hidden="1" x14ac:dyDescent="0.25">
      <c r="F373" t="s">
        <v>1945</v>
      </c>
      <c r="G373" t="s">
        <v>452</v>
      </c>
      <c r="H373" t="str">
        <f>VLOOKUP(record[[#This Row],[ProcessSN]],表格2_7[],2,FALSE)</f>
        <v>30-4118-018-6XX</v>
      </c>
      <c r="I373" t="str">
        <f>VLOOKUP(record[[#This Row],[ProcessSN]],表格2_7[],3,FALSE)</f>
        <v>#07QC</v>
      </c>
      <c r="J373" t="s">
        <v>589</v>
      </c>
      <c r="K373" s="195">
        <v>46153.780925925923</v>
      </c>
      <c r="L373">
        <v>0</v>
      </c>
      <c r="M373">
        <v>79</v>
      </c>
      <c r="N373" s="98" t="str">
        <f>IF(record[[#This Row],[Memo]]="Browser:chrome os:android","平板報工",IF(record[[#This Row],[Memo]]=0,"委外",record[[#This Row],[Memo]]))</f>
        <v>頭部尺寸NG</v>
      </c>
      <c r="O373" t="s">
        <v>1998</v>
      </c>
      <c r="P373" t="s">
        <v>141</v>
      </c>
      <c r="Q373" t="s">
        <v>58</v>
      </c>
      <c r="R373" t="str">
        <f>IFERROR(VLOOKUP(record[[#This Row],[PCUSTID]],廠商[],2,FALSE),"")</f>
        <v/>
      </c>
      <c r="S373" t="str">
        <f>VLOOKUP(record[[#This Row],[employeeID]],員工[],2,FALSE)</f>
        <v>蔣梅</v>
      </c>
    </row>
    <row r="374" spans="6:19" hidden="1" x14ac:dyDescent="0.25">
      <c r="F374" t="s">
        <v>2003</v>
      </c>
      <c r="G374" t="s">
        <v>463</v>
      </c>
      <c r="H374" t="str">
        <f>VLOOKUP(record[[#This Row],[ProcessSN]],表格2_7[],2,FALSE)</f>
        <v>30-4118-018-XXX</v>
      </c>
      <c r="I374" t="str">
        <f>VLOOKUP(record[[#This Row],[ProcessSN]],表格2_7[],3,FALSE)</f>
        <v>#00IQC</v>
      </c>
      <c r="J374" t="s">
        <v>583</v>
      </c>
      <c r="K374" s="195">
        <v>46153.733703703707</v>
      </c>
      <c r="L374">
        <v>5000</v>
      </c>
      <c r="M374">
        <v>0</v>
      </c>
      <c r="N374" s="98" t="str">
        <f>IF(record[[#This Row],[Memo]]="Browser:chrome os:android","平板報工",IF(record[[#This Row],[Memo]]=0,"委外",record[[#This Row],[Memo]]))</f>
        <v/>
      </c>
      <c r="O374" t="s">
        <v>58</v>
      </c>
      <c r="P374" t="s">
        <v>109</v>
      </c>
      <c r="Q374" t="s">
        <v>58</v>
      </c>
      <c r="R374" t="str">
        <f>IFERROR(VLOOKUP(record[[#This Row],[PCUSTID]],廠商[],2,FALSE),"")</f>
        <v/>
      </c>
      <c r="S374" t="str">
        <f>VLOOKUP(record[[#This Row],[employeeID]],員工[],2,FALSE)</f>
        <v>裴氏璧鳳</v>
      </c>
    </row>
    <row r="375" spans="6:19" hidden="1" x14ac:dyDescent="0.25">
      <c r="F375" t="s">
        <v>1945</v>
      </c>
      <c r="G375" t="s">
        <v>452</v>
      </c>
      <c r="H375" t="str">
        <f>VLOOKUP(record[[#This Row],[ProcessSN]],表格2_7[],2,FALSE)</f>
        <v>30-4118-018-6XX</v>
      </c>
      <c r="I375" t="str">
        <f>VLOOKUP(record[[#This Row],[ProcessSN]],表格2_7[],3,FALSE)</f>
        <v>#07QC</v>
      </c>
      <c r="J375" t="s">
        <v>589</v>
      </c>
      <c r="K375" s="195">
        <v>46153.725729166668</v>
      </c>
      <c r="L375">
        <v>81</v>
      </c>
      <c r="M375">
        <v>0</v>
      </c>
      <c r="N375" s="98" t="str">
        <f>IF(record[[#This Row],[Memo]]="Browser:chrome os:android","平板報工",IF(record[[#This Row],[Memo]]=0,"委外",record[[#This Row],[Memo]]))</f>
        <v/>
      </c>
      <c r="O375" t="s">
        <v>58</v>
      </c>
      <c r="P375" t="s">
        <v>141</v>
      </c>
      <c r="Q375" t="s">
        <v>58</v>
      </c>
      <c r="R375" t="str">
        <f>IFERROR(VLOOKUP(record[[#This Row],[PCUSTID]],廠商[],2,FALSE),"")</f>
        <v/>
      </c>
      <c r="S375" t="str">
        <f>VLOOKUP(record[[#This Row],[employeeID]],員工[],2,FALSE)</f>
        <v>蔣梅</v>
      </c>
    </row>
    <row r="376" spans="6:19" hidden="1" x14ac:dyDescent="0.25">
      <c r="F376" t="s">
        <v>1987</v>
      </c>
      <c r="G376" t="s">
        <v>452</v>
      </c>
      <c r="H376" t="str">
        <f>VLOOKUP(record[[#This Row],[ProcessSN]],表格2_7[],2,FALSE)</f>
        <v>30-4118-018-6XX</v>
      </c>
      <c r="I376" t="str">
        <f>VLOOKUP(record[[#This Row],[ProcessSN]],表格2_7[],3,FALSE)</f>
        <v>#07QC</v>
      </c>
      <c r="J376" t="s">
        <v>589</v>
      </c>
      <c r="K376" s="195">
        <v>46153.725289351853</v>
      </c>
      <c r="L376">
        <v>303</v>
      </c>
      <c r="M376">
        <v>0</v>
      </c>
      <c r="N376" s="98" t="str">
        <f>IF(record[[#This Row],[Memo]]="Browser:chrome os:android","平板報工",IF(record[[#This Row],[Memo]]=0,"委外",record[[#This Row],[Memo]]))</f>
        <v/>
      </c>
      <c r="O376" t="s">
        <v>58</v>
      </c>
      <c r="P376" t="s">
        <v>141</v>
      </c>
      <c r="Q376" t="s">
        <v>58</v>
      </c>
      <c r="R376" t="str">
        <f>IFERROR(VLOOKUP(record[[#This Row],[PCUSTID]],廠商[],2,FALSE),"")</f>
        <v/>
      </c>
      <c r="S376" t="str">
        <f>VLOOKUP(record[[#This Row],[employeeID]],員工[],2,FALSE)</f>
        <v>蔣梅</v>
      </c>
    </row>
    <row r="377" spans="6:19" x14ac:dyDescent="0.25">
      <c r="F377" t="s">
        <v>1924</v>
      </c>
      <c r="G377" t="s">
        <v>452</v>
      </c>
      <c r="H377" t="str">
        <f>VLOOKUP(record[[#This Row],[ProcessSN]],表格2_7[],2,FALSE)</f>
        <v>30-4118-018-6XX</v>
      </c>
      <c r="I377" t="str">
        <f>VLOOKUP(record[[#This Row],[ProcessSN]],表格2_7[],3,FALSE)</f>
        <v>#07QC</v>
      </c>
      <c r="J377" t="s">
        <v>589</v>
      </c>
      <c r="K377" s="195">
        <v>46153.724328703705</v>
      </c>
      <c r="L377">
        <v>334</v>
      </c>
      <c r="M377">
        <v>0</v>
      </c>
      <c r="N377" s="98" t="str">
        <f>IF(record[[#This Row],[Memo]]="Browser:chrome os:android","平板報工",IF(record[[#This Row],[Memo]]=0,"委外",record[[#This Row],[Memo]]))</f>
        <v/>
      </c>
      <c r="O377" t="s">
        <v>58</v>
      </c>
      <c r="P377" t="s">
        <v>141</v>
      </c>
      <c r="Q377" t="s">
        <v>58</v>
      </c>
      <c r="R377" t="str">
        <f>IFERROR(VLOOKUP(record[[#This Row],[PCUSTID]],廠商[],2,FALSE),"")</f>
        <v/>
      </c>
      <c r="S377" t="str">
        <f>VLOOKUP(record[[#This Row],[employeeID]],員工[],2,FALSE)</f>
        <v>蔣梅</v>
      </c>
    </row>
    <row r="378" spans="6:19" hidden="1" x14ac:dyDescent="0.25">
      <c r="F378" t="s">
        <v>1822</v>
      </c>
      <c r="G378" t="s">
        <v>452</v>
      </c>
      <c r="H378" t="str">
        <f>VLOOKUP(record[[#This Row],[ProcessSN]],表格2_7[],2,FALSE)</f>
        <v>30-4118-018-6XX</v>
      </c>
      <c r="I378" t="str">
        <f>VLOOKUP(record[[#This Row],[ProcessSN]],表格2_7[],3,FALSE)</f>
        <v>#07QC</v>
      </c>
      <c r="J378" t="s">
        <v>589</v>
      </c>
      <c r="K378" s="195">
        <v>46153.724085648151</v>
      </c>
      <c r="L378">
        <v>1</v>
      </c>
      <c r="M378">
        <v>0</v>
      </c>
      <c r="N378" s="98" t="str">
        <f>IF(record[[#This Row],[Memo]]="Browser:chrome os:android","平板報工",IF(record[[#This Row],[Memo]]=0,"委外",record[[#This Row],[Memo]]))</f>
        <v/>
      </c>
      <c r="O378" t="s">
        <v>58</v>
      </c>
      <c r="P378" t="s">
        <v>141</v>
      </c>
      <c r="Q378" t="s">
        <v>58</v>
      </c>
      <c r="R378" t="str">
        <f>IFERROR(VLOOKUP(record[[#This Row],[PCUSTID]],廠商[],2,FALSE),"")</f>
        <v/>
      </c>
      <c r="S378" t="str">
        <f>VLOOKUP(record[[#This Row],[employeeID]],員工[],2,FALSE)</f>
        <v>蔣梅</v>
      </c>
    </row>
    <row r="379" spans="6:19" hidden="1" x14ac:dyDescent="0.25">
      <c r="F379" t="s">
        <v>1987</v>
      </c>
      <c r="G379" t="s">
        <v>451</v>
      </c>
      <c r="H379" t="str">
        <f>VLOOKUP(record[[#This Row],[ProcessSN]],表格2_7[],2,FALSE)</f>
        <v>30-4118-018-6XX</v>
      </c>
      <c r="I379" t="str">
        <f>VLOOKUP(record[[#This Row],[ProcessSN]],表格2_7[],3,FALSE)</f>
        <v>#07</v>
      </c>
      <c r="J379" t="s">
        <v>588</v>
      </c>
      <c r="K379" s="195">
        <v>46153.722025462965</v>
      </c>
      <c r="L379">
        <v>7</v>
      </c>
      <c r="M379">
        <v>0</v>
      </c>
      <c r="N379" s="98" t="str">
        <f>IF(record[[#This Row],[Memo]]="Browser:chrome os:android","平板報工",IF(record[[#This Row],[Memo]]=0,"委外",record[[#This Row],[Memo]]))</f>
        <v/>
      </c>
      <c r="O379" t="s">
        <v>58</v>
      </c>
      <c r="P379" t="s">
        <v>1075</v>
      </c>
      <c r="Q379" t="s">
        <v>58</v>
      </c>
      <c r="R379" t="str">
        <f>IFERROR(VLOOKUP(record[[#This Row],[PCUSTID]],廠商[],2,FALSE),"")</f>
        <v/>
      </c>
      <c r="S379" t="str">
        <f>VLOOKUP(record[[#This Row],[employeeID]],員工[],2,FALSE)</f>
        <v>吳宥叡</v>
      </c>
    </row>
    <row r="380" spans="6:19" hidden="1" x14ac:dyDescent="0.25">
      <c r="F380" t="s">
        <v>1945</v>
      </c>
      <c r="G380" t="s">
        <v>451</v>
      </c>
      <c r="H380" t="str">
        <f>VLOOKUP(record[[#This Row],[ProcessSN]],表格2_7[],2,FALSE)</f>
        <v>30-4118-018-6XX</v>
      </c>
      <c r="I380" t="str">
        <f>VLOOKUP(record[[#This Row],[ProcessSN]],表格2_7[],3,FALSE)</f>
        <v>#07</v>
      </c>
      <c r="J380" t="s">
        <v>588</v>
      </c>
      <c r="K380" s="195">
        <v>46153.721678240741</v>
      </c>
      <c r="L380">
        <v>8</v>
      </c>
      <c r="M380">
        <v>0</v>
      </c>
      <c r="N380" s="98" t="str">
        <f>IF(record[[#This Row],[Memo]]="Browser:chrome os:android","平板報工",IF(record[[#This Row],[Memo]]=0,"委外",record[[#This Row],[Memo]]))</f>
        <v/>
      </c>
      <c r="O380" t="s">
        <v>58</v>
      </c>
      <c r="P380" t="s">
        <v>1075</v>
      </c>
      <c r="Q380" t="s">
        <v>58</v>
      </c>
      <c r="R380" t="str">
        <f>IFERROR(VLOOKUP(record[[#This Row],[PCUSTID]],廠商[],2,FALSE),"")</f>
        <v/>
      </c>
      <c r="S380" t="str">
        <f>VLOOKUP(record[[#This Row],[employeeID]],員工[],2,FALSE)</f>
        <v>吳宥叡</v>
      </c>
    </row>
    <row r="381" spans="6:19" x14ac:dyDescent="0.25">
      <c r="F381" t="s">
        <v>1924</v>
      </c>
      <c r="G381" t="s">
        <v>451</v>
      </c>
      <c r="H381" t="str">
        <f>VLOOKUP(record[[#This Row],[ProcessSN]],表格2_7[],2,FALSE)</f>
        <v>30-4118-018-6XX</v>
      </c>
      <c r="I381" t="str">
        <f>VLOOKUP(record[[#This Row],[ProcessSN]],表格2_7[],3,FALSE)</f>
        <v>#07</v>
      </c>
      <c r="J381" t="s">
        <v>588</v>
      </c>
      <c r="K381" s="195">
        <v>46153.721377314818</v>
      </c>
      <c r="L381">
        <v>113</v>
      </c>
      <c r="M381">
        <v>0</v>
      </c>
      <c r="N381" s="98" t="str">
        <f>IF(record[[#This Row],[Memo]]="Browser:chrome os:android","平板報工",IF(record[[#This Row],[Memo]]=0,"委外",record[[#This Row],[Memo]]))</f>
        <v/>
      </c>
      <c r="O381" t="s">
        <v>58</v>
      </c>
      <c r="P381" t="s">
        <v>1075</v>
      </c>
      <c r="Q381" t="s">
        <v>58</v>
      </c>
      <c r="R381" t="str">
        <f>IFERROR(VLOOKUP(record[[#This Row],[PCUSTID]],廠商[],2,FALSE),"")</f>
        <v/>
      </c>
      <c r="S381" t="str">
        <f>VLOOKUP(record[[#This Row],[employeeID]],員工[],2,FALSE)</f>
        <v>吳宥叡</v>
      </c>
    </row>
    <row r="382" spans="6:19" hidden="1" x14ac:dyDescent="0.25">
      <c r="F382" t="s">
        <v>1822</v>
      </c>
      <c r="G382" t="s">
        <v>451</v>
      </c>
      <c r="H382" t="str">
        <f>VLOOKUP(record[[#This Row],[ProcessSN]],表格2_7[],2,FALSE)</f>
        <v>30-4118-018-6XX</v>
      </c>
      <c r="I382" t="str">
        <f>VLOOKUP(record[[#This Row],[ProcessSN]],表格2_7[],3,FALSE)</f>
        <v>#07</v>
      </c>
      <c r="J382" t="s">
        <v>588</v>
      </c>
      <c r="K382" s="195">
        <v>46153.721134259256</v>
      </c>
      <c r="L382">
        <v>1</v>
      </c>
      <c r="M382">
        <v>0</v>
      </c>
      <c r="N382" s="98" t="str">
        <f>IF(record[[#This Row],[Memo]]="Browser:chrome os:android","平板報工",IF(record[[#This Row],[Memo]]=0,"委外",record[[#This Row],[Memo]]))</f>
        <v/>
      </c>
      <c r="O382" t="s">
        <v>58</v>
      </c>
      <c r="P382" t="s">
        <v>1075</v>
      </c>
      <c r="Q382" t="s">
        <v>58</v>
      </c>
      <c r="R382" t="str">
        <f>IFERROR(VLOOKUP(record[[#This Row],[PCUSTID]],廠商[],2,FALSE),"")</f>
        <v/>
      </c>
      <c r="S382" t="str">
        <f>VLOOKUP(record[[#This Row],[employeeID]],員工[],2,FALSE)</f>
        <v>吳宥叡</v>
      </c>
    </row>
    <row r="383" spans="6:19" hidden="1" x14ac:dyDescent="0.25">
      <c r="F383" t="s">
        <v>1822</v>
      </c>
      <c r="G383" t="s">
        <v>450</v>
      </c>
      <c r="H383" t="str">
        <f>VLOOKUP(record[[#This Row],[ProcessSN]],表格2_7[],2,FALSE)</f>
        <v>30-4118-018-6XX</v>
      </c>
      <c r="I383" t="str">
        <f>VLOOKUP(record[[#This Row],[ProcessSN]],表格2_7[],3,FALSE)</f>
        <v>#06</v>
      </c>
      <c r="J383" t="s">
        <v>593</v>
      </c>
      <c r="K383" s="195">
        <v>46153.721053240741</v>
      </c>
      <c r="L383">
        <v>1</v>
      </c>
      <c r="M383">
        <v>0</v>
      </c>
      <c r="N383" s="98" t="str">
        <f>IF(record[[#This Row],[Memo]]="Browser:chrome os:android","平板報工",IF(record[[#This Row],[Memo]]=0,"委外",record[[#This Row],[Memo]]))</f>
        <v/>
      </c>
      <c r="O383" t="s">
        <v>58</v>
      </c>
      <c r="P383" t="s">
        <v>1075</v>
      </c>
      <c r="Q383" t="s">
        <v>58</v>
      </c>
      <c r="R383" t="str">
        <f>IFERROR(VLOOKUP(record[[#This Row],[PCUSTID]],廠商[],2,FALSE),"")</f>
        <v/>
      </c>
      <c r="S383" t="str">
        <f>VLOOKUP(record[[#This Row],[employeeID]],員工[],2,FALSE)</f>
        <v>吳宥叡</v>
      </c>
    </row>
    <row r="384" spans="6:19" hidden="1" x14ac:dyDescent="0.25">
      <c r="F384" t="s">
        <v>1822</v>
      </c>
      <c r="G384" t="s">
        <v>449</v>
      </c>
      <c r="H384" t="str">
        <f>VLOOKUP(record[[#This Row],[ProcessSN]],表格2_7[],2,FALSE)</f>
        <v>30-4118-018-6XX</v>
      </c>
      <c r="I384" t="str">
        <f>VLOOKUP(record[[#This Row],[ProcessSN]],表格2_7[],3,FALSE)</f>
        <v>#05</v>
      </c>
      <c r="J384" t="s">
        <v>588</v>
      </c>
      <c r="K384" s="195">
        <v>46153.720960648148</v>
      </c>
      <c r="L384">
        <v>1</v>
      </c>
      <c r="M384">
        <v>0</v>
      </c>
      <c r="N384" s="98" t="str">
        <f>IF(record[[#This Row],[Memo]]="Browser:chrome os:android","平板報工",IF(record[[#This Row],[Memo]]=0,"委外",record[[#This Row],[Memo]]))</f>
        <v/>
      </c>
      <c r="O384" t="s">
        <v>58</v>
      </c>
      <c r="P384" t="s">
        <v>1075</v>
      </c>
      <c r="Q384" t="s">
        <v>58</v>
      </c>
      <c r="R384" t="str">
        <f>IFERROR(VLOOKUP(record[[#This Row],[PCUSTID]],廠商[],2,FALSE),"")</f>
        <v/>
      </c>
      <c r="S384" t="str">
        <f>VLOOKUP(record[[#This Row],[employeeID]],員工[],2,FALSE)</f>
        <v>吳宥叡</v>
      </c>
    </row>
    <row r="385" spans="6:19" hidden="1" x14ac:dyDescent="0.25">
      <c r="F385" t="s">
        <v>2005</v>
      </c>
      <c r="G385" t="s">
        <v>438</v>
      </c>
      <c r="H385" t="str">
        <f>VLOOKUP(record[[#This Row],[ProcessSN]],表格2_7[],2,FALSE)</f>
        <v>30-4118-018-650</v>
      </c>
      <c r="I385" t="str">
        <f>VLOOKUP(record[[#This Row],[ProcessSN]],表格2_7[],3,FALSE)</f>
        <v>#08</v>
      </c>
      <c r="J385" t="s">
        <v>597</v>
      </c>
      <c r="K385" s="195">
        <v>46153.705092592594</v>
      </c>
      <c r="L385">
        <v>768</v>
      </c>
      <c r="M385">
        <v>0</v>
      </c>
      <c r="N385" s="98" t="str">
        <f>IF(record[[#This Row],[Memo]]="Browser:chrome os:android","平板報工",IF(record[[#This Row],[Memo]]=0,"委外",record[[#This Row],[Memo]]))</f>
        <v>委外</v>
      </c>
      <c r="P385" t="s">
        <v>186</v>
      </c>
      <c r="Q385" t="s">
        <v>287</v>
      </c>
      <c r="R385" t="str">
        <f>IFERROR(VLOOKUP(record[[#This Row],[PCUSTID]],廠商[],2,FALSE),"")</f>
        <v>泉盛</v>
      </c>
      <c r="S385" t="str">
        <f>VLOOKUP(record[[#This Row],[employeeID]],員工[],2,FALSE)</f>
        <v>許文姍</v>
      </c>
    </row>
    <row r="386" spans="6:19" hidden="1" x14ac:dyDescent="0.25">
      <c r="F386" t="s">
        <v>2005</v>
      </c>
      <c r="G386" t="s">
        <v>437</v>
      </c>
      <c r="H386" t="str">
        <f>VLOOKUP(record[[#This Row],[ProcessSN]],表格2_7[],2,FALSE)</f>
        <v>30-4118-018-650</v>
      </c>
      <c r="I386" t="str">
        <f>VLOOKUP(record[[#This Row],[ProcessSN]],表格2_7[],3,FALSE)</f>
        <v>#08PICK</v>
      </c>
      <c r="J386" t="s">
        <v>582</v>
      </c>
      <c r="K386" s="195">
        <v>46153.704907407409</v>
      </c>
      <c r="L386">
        <v>768</v>
      </c>
      <c r="M386">
        <v>0</v>
      </c>
      <c r="N386" s="98" t="str">
        <f>IF(record[[#This Row],[Memo]]="Browser:chrome os:android","平板報工",IF(record[[#This Row],[Memo]]=0,"委外",record[[#This Row],[Memo]]))</f>
        <v/>
      </c>
      <c r="O386" t="s">
        <v>58</v>
      </c>
      <c r="P386" t="s">
        <v>186</v>
      </c>
      <c r="Q386" t="s">
        <v>58</v>
      </c>
      <c r="R386" t="str">
        <f>IFERROR(VLOOKUP(record[[#This Row],[PCUSTID]],廠商[],2,FALSE),"")</f>
        <v/>
      </c>
      <c r="S386" t="str">
        <f>VLOOKUP(record[[#This Row],[employeeID]],員工[],2,FALSE)</f>
        <v>許文姍</v>
      </c>
    </row>
    <row r="387" spans="6:19" hidden="1" x14ac:dyDescent="0.25">
      <c r="F387" t="s">
        <v>2004</v>
      </c>
      <c r="G387" t="s">
        <v>430</v>
      </c>
      <c r="H387" t="str">
        <f>VLOOKUP(record[[#This Row],[ProcessSN]],表格2_7[],2,FALSE)</f>
        <v>30-4118-018-620</v>
      </c>
      <c r="I387" t="str">
        <f>VLOOKUP(record[[#This Row],[ProcessSN]],表格2_7[],3,FALSE)</f>
        <v>#08</v>
      </c>
      <c r="J387" t="s">
        <v>597</v>
      </c>
      <c r="K387" s="195">
        <v>46153.693020833336</v>
      </c>
      <c r="L387">
        <v>250</v>
      </c>
      <c r="M387">
        <v>0</v>
      </c>
      <c r="N387" s="98" t="str">
        <f>IF(record[[#This Row],[Memo]]="Browser:chrome os:android","平板報工",IF(record[[#This Row],[Memo]]=0,"委外",record[[#This Row],[Memo]]))</f>
        <v>委外</v>
      </c>
      <c r="P387" t="s">
        <v>186</v>
      </c>
      <c r="Q387" t="s">
        <v>287</v>
      </c>
      <c r="R387" t="str">
        <f>IFERROR(VLOOKUP(record[[#This Row],[PCUSTID]],廠商[],2,FALSE),"")</f>
        <v>泉盛</v>
      </c>
      <c r="S387" t="str">
        <f>VLOOKUP(record[[#This Row],[employeeID]],員工[],2,FALSE)</f>
        <v>許文姍</v>
      </c>
    </row>
    <row r="388" spans="6:19" hidden="1" x14ac:dyDescent="0.25">
      <c r="F388" t="s">
        <v>1987</v>
      </c>
      <c r="G388" t="s">
        <v>451</v>
      </c>
      <c r="H388" t="str">
        <f>VLOOKUP(record[[#This Row],[ProcessSN]],表格2_7[],2,FALSE)</f>
        <v>30-4118-018-6XX</v>
      </c>
      <c r="I388" t="str">
        <f>VLOOKUP(record[[#This Row],[ProcessSN]],表格2_7[],3,FALSE)</f>
        <v>#07</v>
      </c>
      <c r="J388" t="s">
        <v>588</v>
      </c>
      <c r="K388" s="195">
        <v>46153.66337962963</v>
      </c>
      <c r="L388">
        <v>230</v>
      </c>
      <c r="M388">
        <v>0</v>
      </c>
      <c r="N388" s="98" t="str">
        <f>IF(record[[#This Row],[Memo]]="Browser:chrome os:android","平板報工",IF(record[[#This Row],[Memo]]=0,"委外",record[[#This Row],[Memo]]))</f>
        <v>平板報工</v>
      </c>
      <c r="O388" t="s">
        <v>643</v>
      </c>
      <c r="P388" t="s">
        <v>145</v>
      </c>
      <c r="Q388" t="s">
        <v>644</v>
      </c>
      <c r="R388" t="str">
        <f>IFERROR(VLOOKUP(record[[#This Row],[PCUSTID]],廠商[],2,FALSE),"")</f>
        <v/>
      </c>
      <c r="S388" t="str">
        <f>VLOOKUP(record[[#This Row],[employeeID]],員工[],2,FALSE)</f>
        <v>阮秋霞</v>
      </c>
    </row>
    <row r="389" spans="6:19" hidden="1" x14ac:dyDescent="0.25">
      <c r="F389" t="s">
        <v>1987</v>
      </c>
      <c r="G389" t="s">
        <v>450</v>
      </c>
      <c r="H389" t="str">
        <f>VLOOKUP(record[[#This Row],[ProcessSN]],表格2_7[],2,FALSE)</f>
        <v>30-4118-018-6XX</v>
      </c>
      <c r="I389" t="str">
        <f>VLOOKUP(record[[#This Row],[ProcessSN]],表格2_7[],3,FALSE)</f>
        <v>#06</v>
      </c>
      <c r="J389" t="s">
        <v>593</v>
      </c>
      <c r="K389" s="195">
        <v>46153.662546296298</v>
      </c>
      <c r="L389">
        <v>133</v>
      </c>
      <c r="M389">
        <v>0</v>
      </c>
      <c r="N389" s="98" t="str">
        <f>IF(record[[#This Row],[Memo]]="Browser:chrome os:android","平板報工",IF(record[[#This Row],[Memo]]=0,"委外",record[[#This Row],[Memo]]))</f>
        <v>平板報工</v>
      </c>
      <c r="O389" t="s">
        <v>643</v>
      </c>
      <c r="P389" t="s">
        <v>1413</v>
      </c>
      <c r="Q389" t="s">
        <v>644</v>
      </c>
      <c r="R389" t="str">
        <f>IFERROR(VLOOKUP(record[[#This Row],[PCUSTID]],廠商[],2,FALSE),"")</f>
        <v/>
      </c>
      <c r="S389" t="str">
        <f>VLOOKUP(record[[#This Row],[employeeID]],員工[],2,FALSE)</f>
        <v>阮氏芳英(芳)</v>
      </c>
    </row>
    <row r="390" spans="6:19" hidden="1" x14ac:dyDescent="0.25">
      <c r="F390" t="s">
        <v>1987</v>
      </c>
      <c r="G390" t="s">
        <v>449</v>
      </c>
      <c r="H390" t="str">
        <f>VLOOKUP(record[[#This Row],[ProcessSN]],表格2_7[],2,FALSE)</f>
        <v>30-4118-018-6XX</v>
      </c>
      <c r="I390" t="str">
        <f>VLOOKUP(record[[#This Row],[ProcessSN]],表格2_7[],3,FALSE)</f>
        <v>#05</v>
      </c>
      <c r="J390" t="s">
        <v>588</v>
      </c>
      <c r="K390" s="195">
        <v>46153.659895833334</v>
      </c>
      <c r="L390">
        <v>249</v>
      </c>
      <c r="M390">
        <v>0</v>
      </c>
      <c r="N390" s="98" t="str">
        <f>IF(record[[#This Row],[Memo]]="Browser:chrome os:android","平板報工",IF(record[[#This Row],[Memo]]=0,"委外",record[[#This Row],[Memo]]))</f>
        <v>平板報工</v>
      </c>
      <c r="O390" t="s">
        <v>643</v>
      </c>
      <c r="P390" t="s">
        <v>145</v>
      </c>
      <c r="Q390" t="s">
        <v>644</v>
      </c>
      <c r="R390" t="str">
        <f>IFERROR(VLOOKUP(record[[#This Row],[PCUSTID]],廠商[],2,FALSE),"")</f>
        <v/>
      </c>
      <c r="S390" t="str">
        <f>VLOOKUP(record[[#This Row],[employeeID]],員工[],2,FALSE)</f>
        <v>阮秋霞</v>
      </c>
    </row>
    <row r="391" spans="6:19" hidden="1" x14ac:dyDescent="0.25">
      <c r="F391" t="s">
        <v>1987</v>
      </c>
      <c r="G391" t="s">
        <v>453</v>
      </c>
      <c r="H391" t="str">
        <f>VLOOKUP(record[[#This Row],[ProcessSN]],表格2_7[],2,FALSE)</f>
        <v>30-4118-018-6XX</v>
      </c>
      <c r="I391" t="str">
        <f>VLOOKUP(record[[#This Row],[ProcessSN]],表格2_7[],3,FALSE)</f>
        <v>#07STOCK</v>
      </c>
      <c r="J391" t="s">
        <v>592</v>
      </c>
      <c r="K391" s="195">
        <v>46153.655023148145</v>
      </c>
      <c r="L391">
        <v>250</v>
      </c>
      <c r="M391">
        <v>0</v>
      </c>
      <c r="N391" s="98" t="str">
        <f>IF(record[[#This Row],[Memo]]="Browser:chrome os:android","平板報工",IF(record[[#This Row],[Memo]]=0,"委外",record[[#This Row],[Memo]]))</f>
        <v/>
      </c>
      <c r="O391" t="s">
        <v>58</v>
      </c>
      <c r="P391" t="s">
        <v>186</v>
      </c>
      <c r="Q391" t="s">
        <v>58</v>
      </c>
      <c r="R391" t="str">
        <f>IFERROR(VLOOKUP(record[[#This Row],[PCUSTID]],廠商[],2,FALSE),"")</f>
        <v/>
      </c>
      <c r="S391" t="str">
        <f>VLOOKUP(record[[#This Row],[employeeID]],員工[],2,FALSE)</f>
        <v>許文姍</v>
      </c>
    </row>
    <row r="392" spans="6:19" hidden="1" x14ac:dyDescent="0.25">
      <c r="F392" t="s">
        <v>1987</v>
      </c>
      <c r="G392" t="s">
        <v>448</v>
      </c>
      <c r="H392" t="str">
        <f>VLOOKUP(record[[#This Row],[ProcessSN]],表格2_7[],2,FALSE)</f>
        <v>30-4118-018-6XX</v>
      </c>
      <c r="I392" t="str">
        <f>VLOOKUP(record[[#This Row],[ProcessSN]],表格2_7[],3,FALSE)</f>
        <v>#04</v>
      </c>
      <c r="J392" t="s">
        <v>588</v>
      </c>
      <c r="K392" s="195">
        <v>46153.65488425926</v>
      </c>
      <c r="L392">
        <v>206</v>
      </c>
      <c r="M392">
        <v>0</v>
      </c>
      <c r="N392" s="98" t="str">
        <f>IF(record[[#This Row],[Memo]]="Browser:chrome os:android","平板報工",IF(record[[#This Row],[Memo]]=0,"委外",record[[#This Row],[Memo]]))</f>
        <v>平板報工</v>
      </c>
      <c r="O392" t="s">
        <v>643</v>
      </c>
      <c r="P392" t="s">
        <v>107</v>
      </c>
      <c r="Q392" t="s">
        <v>644</v>
      </c>
      <c r="R392" t="str">
        <f>IFERROR(VLOOKUP(record[[#This Row],[PCUSTID]],廠商[],2,FALSE),"")</f>
        <v/>
      </c>
      <c r="S392" t="str">
        <f>VLOOKUP(record[[#This Row],[employeeID]],員工[],2,FALSE)</f>
        <v>黎氏順</v>
      </c>
    </row>
    <row r="393" spans="6:19" hidden="1" x14ac:dyDescent="0.25">
      <c r="F393" t="s">
        <v>2004</v>
      </c>
      <c r="G393" t="s">
        <v>429</v>
      </c>
      <c r="H393" t="str">
        <f>VLOOKUP(record[[#This Row],[ProcessSN]],表格2_7[],2,FALSE)</f>
        <v>30-4118-018-620</v>
      </c>
      <c r="I393" t="str">
        <f>VLOOKUP(record[[#This Row],[ProcessSN]],表格2_7[],3,FALSE)</f>
        <v>#08PICK</v>
      </c>
      <c r="J393" t="s">
        <v>582</v>
      </c>
      <c r="K393" s="195">
        <v>46153.654768518521</v>
      </c>
      <c r="L393">
        <v>250</v>
      </c>
      <c r="M393">
        <v>0</v>
      </c>
      <c r="N393" s="98" t="str">
        <f>IF(record[[#This Row],[Memo]]="Browser:chrome os:android","平板報工",IF(record[[#This Row],[Memo]]=0,"委外",record[[#This Row],[Memo]]))</f>
        <v/>
      </c>
      <c r="O393" t="s">
        <v>58</v>
      </c>
      <c r="P393" t="s">
        <v>186</v>
      </c>
      <c r="Q393" t="s">
        <v>58</v>
      </c>
      <c r="R393" t="str">
        <f>IFERROR(VLOOKUP(record[[#This Row],[PCUSTID]],廠商[],2,FALSE),"")</f>
        <v/>
      </c>
      <c r="S393" t="str">
        <f>VLOOKUP(record[[#This Row],[employeeID]],員工[],2,FALSE)</f>
        <v>許文姍</v>
      </c>
    </row>
    <row r="394" spans="6:19" hidden="1" x14ac:dyDescent="0.25">
      <c r="F394" t="s">
        <v>1987</v>
      </c>
      <c r="G394" t="s">
        <v>452</v>
      </c>
      <c r="H394" t="str">
        <f>VLOOKUP(record[[#This Row],[ProcessSN]],表格2_7[],2,FALSE)</f>
        <v>30-4118-018-6XX</v>
      </c>
      <c r="I394" t="str">
        <f>VLOOKUP(record[[#This Row],[ProcessSN]],表格2_7[],3,FALSE)</f>
        <v>#07QC</v>
      </c>
      <c r="J394" t="s">
        <v>589</v>
      </c>
      <c r="K394" s="195">
        <v>46153.586562500001</v>
      </c>
      <c r="L394">
        <v>299</v>
      </c>
      <c r="M394">
        <v>0</v>
      </c>
      <c r="N394" s="98" t="str">
        <f>IF(record[[#This Row],[Memo]]="Browser:chrome os:android","平板報工",IF(record[[#This Row],[Memo]]=0,"委外",record[[#This Row],[Memo]]))</f>
        <v>平板報工</v>
      </c>
      <c r="O394" t="s">
        <v>643</v>
      </c>
      <c r="P394" t="s">
        <v>141</v>
      </c>
      <c r="Q394" t="s">
        <v>644</v>
      </c>
      <c r="R394" t="str">
        <f>IFERROR(VLOOKUP(record[[#This Row],[PCUSTID]],廠商[],2,FALSE),"")</f>
        <v/>
      </c>
      <c r="S394" t="str">
        <f>VLOOKUP(record[[#This Row],[employeeID]],員工[],2,FALSE)</f>
        <v>蔣梅</v>
      </c>
    </row>
    <row r="395" spans="6:19" hidden="1" x14ac:dyDescent="0.25">
      <c r="F395" t="s">
        <v>2003</v>
      </c>
      <c r="G395" t="s">
        <v>462</v>
      </c>
      <c r="H395" t="str">
        <f>VLOOKUP(record[[#This Row],[ProcessSN]],表格2_7[],2,FALSE)</f>
        <v>30-4118-018-XXX</v>
      </c>
      <c r="I395" t="str">
        <f>VLOOKUP(record[[#This Row],[ProcessSN]],表格2_7[],3,FALSE)</f>
        <v>#00PICK</v>
      </c>
      <c r="J395" t="s">
        <v>582</v>
      </c>
      <c r="K395" s="195">
        <v>46153.5547337963</v>
      </c>
      <c r="L395">
        <v>5000</v>
      </c>
      <c r="M395">
        <v>0</v>
      </c>
      <c r="N395" s="98" t="str">
        <f>IF(record[[#This Row],[Memo]]="Browser:chrome os:android","平板報工",IF(record[[#This Row],[Memo]]=0,"委外",record[[#This Row],[Memo]]))</f>
        <v/>
      </c>
      <c r="O395" t="s">
        <v>58</v>
      </c>
      <c r="P395" t="s">
        <v>186</v>
      </c>
      <c r="Q395" t="s">
        <v>58</v>
      </c>
      <c r="R395" t="str">
        <f>IFERROR(VLOOKUP(record[[#This Row],[PCUSTID]],廠商[],2,FALSE),"")</f>
        <v/>
      </c>
      <c r="S395" t="str">
        <f>VLOOKUP(record[[#This Row],[employeeID]],員工[],2,FALSE)</f>
        <v>許文姍</v>
      </c>
    </row>
    <row r="396" spans="6:19" hidden="1" x14ac:dyDescent="0.25">
      <c r="F396" t="s">
        <v>1903</v>
      </c>
      <c r="G396" t="s">
        <v>387</v>
      </c>
      <c r="H396" t="str">
        <f>VLOOKUP(record[[#This Row],[ProcessSN]],表格2_7[],2,FALSE)</f>
        <v>30-4118-018-500</v>
      </c>
      <c r="I396" t="str">
        <f>VLOOKUP(record[[#This Row],[ProcessSN]],表格2_7[],3,FALSE)</f>
        <v>#100SHIP</v>
      </c>
      <c r="J396" t="s">
        <v>600</v>
      </c>
      <c r="K396" s="195">
        <v>46153.397141203706</v>
      </c>
      <c r="L396">
        <v>20</v>
      </c>
      <c r="M396">
        <v>0</v>
      </c>
      <c r="N396" s="98" t="str">
        <f>IF(record[[#This Row],[Memo]]="Browser:chrome os:android","平板報工",IF(record[[#This Row],[Memo]]=0,"委外",record[[#This Row],[Memo]]))</f>
        <v/>
      </c>
      <c r="O396" t="s">
        <v>58</v>
      </c>
      <c r="P396" t="s">
        <v>886</v>
      </c>
      <c r="Q396" t="s">
        <v>58</v>
      </c>
      <c r="R396" t="str">
        <f>IFERROR(VLOOKUP(record[[#This Row],[PCUSTID]],廠商[],2,FALSE),"")</f>
        <v/>
      </c>
      <c r="S396" t="str">
        <f>VLOOKUP(record[[#This Row],[employeeID]],員工[],2,FALSE)</f>
        <v>謝蓁薰</v>
      </c>
    </row>
    <row r="397" spans="6:19" hidden="1" x14ac:dyDescent="0.25">
      <c r="F397" t="s">
        <v>1884</v>
      </c>
      <c r="G397" t="s">
        <v>354</v>
      </c>
      <c r="H397" t="str">
        <f>VLOOKUP(record[[#This Row],[ProcessSN]],表格2_7[],2,FALSE)</f>
        <v>30-4118-018-420</v>
      </c>
      <c r="I397" t="str">
        <f>VLOOKUP(record[[#This Row],[ProcessSN]],表格2_7[],3,FALSE)</f>
        <v>#100SHIP</v>
      </c>
      <c r="J397" t="s">
        <v>600</v>
      </c>
      <c r="K397" s="195">
        <v>46153.393078703702</v>
      </c>
      <c r="L397">
        <v>2</v>
      </c>
      <c r="M397">
        <v>0</v>
      </c>
      <c r="N397" s="98" t="str">
        <f>IF(record[[#This Row],[Memo]]="Browser:chrome os:android","平板報工",IF(record[[#This Row],[Memo]]=0,"委外",record[[#This Row],[Memo]]))</f>
        <v/>
      </c>
      <c r="O397" t="s">
        <v>58</v>
      </c>
      <c r="P397" t="s">
        <v>886</v>
      </c>
      <c r="Q397" t="s">
        <v>58</v>
      </c>
      <c r="R397" t="str">
        <f>IFERROR(VLOOKUP(record[[#This Row],[PCUSTID]],廠商[],2,FALSE),"")</f>
        <v/>
      </c>
      <c r="S397" t="str">
        <f>VLOOKUP(record[[#This Row],[employeeID]],員工[],2,FALSE)</f>
        <v>謝蓁薰</v>
      </c>
    </row>
    <row r="398" spans="6:19" x14ac:dyDescent="0.25">
      <c r="F398" t="s">
        <v>1924</v>
      </c>
      <c r="G398" t="s">
        <v>451</v>
      </c>
      <c r="H398" t="str">
        <f>VLOOKUP(record[[#This Row],[ProcessSN]],表格2_7[],2,FALSE)</f>
        <v>30-4118-018-6XX</v>
      </c>
      <c r="I398" t="str">
        <f>VLOOKUP(record[[#This Row],[ProcessSN]],表格2_7[],3,FALSE)</f>
        <v>#07</v>
      </c>
      <c r="J398" t="s">
        <v>588</v>
      </c>
      <c r="K398" s="195">
        <v>46153.380150462966</v>
      </c>
      <c r="L398">
        <v>3</v>
      </c>
      <c r="M398">
        <v>0</v>
      </c>
      <c r="N398" s="98" t="str">
        <f>IF(record[[#This Row],[Memo]]="Browser:chrome os:android","平板報工",IF(record[[#This Row],[Memo]]=0,"委外",record[[#This Row],[Memo]]))</f>
        <v/>
      </c>
      <c r="O398" t="s">
        <v>58</v>
      </c>
      <c r="P398" t="s">
        <v>1075</v>
      </c>
      <c r="Q398" t="s">
        <v>58</v>
      </c>
      <c r="R398" t="str">
        <f>IFERROR(VLOOKUP(record[[#This Row],[PCUSTID]],廠商[],2,FALSE),"")</f>
        <v/>
      </c>
      <c r="S398" t="str">
        <f>VLOOKUP(record[[#This Row],[employeeID]],員工[],2,FALSE)</f>
        <v>吳宥叡</v>
      </c>
    </row>
    <row r="399" spans="6:19" x14ac:dyDescent="0.25">
      <c r="F399" t="s">
        <v>1924</v>
      </c>
      <c r="G399" t="s">
        <v>450</v>
      </c>
      <c r="H399" t="str">
        <f>VLOOKUP(record[[#This Row],[ProcessSN]],表格2_7[],2,FALSE)</f>
        <v>30-4118-018-6XX</v>
      </c>
      <c r="I399" t="str">
        <f>VLOOKUP(record[[#This Row],[ProcessSN]],表格2_7[],3,FALSE)</f>
        <v>#06</v>
      </c>
      <c r="J399" t="s">
        <v>593</v>
      </c>
      <c r="K399" s="195">
        <v>46153.380046296297</v>
      </c>
      <c r="L399">
        <v>3</v>
      </c>
      <c r="M399">
        <v>0</v>
      </c>
      <c r="N399" s="98" t="str">
        <f>IF(record[[#This Row],[Memo]]="Browser:chrome os:android","平板報工",IF(record[[#This Row],[Memo]]=0,"委外",record[[#This Row],[Memo]]))</f>
        <v/>
      </c>
      <c r="O399" t="s">
        <v>58</v>
      </c>
      <c r="P399" t="s">
        <v>1075</v>
      </c>
      <c r="Q399" t="s">
        <v>58</v>
      </c>
      <c r="R399" t="str">
        <f>IFERROR(VLOOKUP(record[[#This Row],[PCUSTID]],廠商[],2,FALSE),"")</f>
        <v/>
      </c>
      <c r="S399" t="str">
        <f>VLOOKUP(record[[#This Row],[employeeID]],員工[],2,FALSE)</f>
        <v>吳宥叡</v>
      </c>
    </row>
    <row r="400" spans="6:19" x14ac:dyDescent="0.25">
      <c r="F400" t="s">
        <v>1924</v>
      </c>
      <c r="G400" t="s">
        <v>449</v>
      </c>
      <c r="H400" t="str">
        <f>VLOOKUP(record[[#This Row],[ProcessSN]],表格2_7[],2,FALSE)</f>
        <v>30-4118-018-6XX</v>
      </c>
      <c r="I400" t="str">
        <f>VLOOKUP(record[[#This Row],[ProcessSN]],表格2_7[],3,FALSE)</f>
        <v>#05</v>
      </c>
      <c r="J400" t="s">
        <v>588</v>
      </c>
      <c r="K400" s="195">
        <v>46153.379965277774</v>
      </c>
      <c r="L400">
        <v>3</v>
      </c>
      <c r="M400">
        <v>0</v>
      </c>
      <c r="N400" s="98" t="str">
        <f>IF(record[[#This Row],[Memo]]="Browser:chrome os:android","平板報工",IF(record[[#This Row],[Memo]]=0,"委外",record[[#This Row],[Memo]]))</f>
        <v/>
      </c>
      <c r="O400" t="s">
        <v>58</v>
      </c>
      <c r="P400" t="s">
        <v>1075</v>
      </c>
      <c r="Q400" t="s">
        <v>58</v>
      </c>
      <c r="R400" t="str">
        <f>IFERROR(VLOOKUP(record[[#This Row],[PCUSTID]],廠商[],2,FALSE),"")</f>
        <v/>
      </c>
      <c r="S400" t="str">
        <f>VLOOKUP(record[[#This Row],[employeeID]],員工[],2,FALSE)</f>
        <v>吳宥叡</v>
      </c>
    </row>
    <row r="401" spans="6:19" x14ac:dyDescent="0.25">
      <c r="F401" t="s">
        <v>1924</v>
      </c>
      <c r="G401" t="s">
        <v>448</v>
      </c>
      <c r="H401" t="str">
        <f>VLOOKUP(record[[#This Row],[ProcessSN]],表格2_7[],2,FALSE)</f>
        <v>30-4118-018-6XX</v>
      </c>
      <c r="I401" t="str">
        <f>VLOOKUP(record[[#This Row],[ProcessSN]],表格2_7[],3,FALSE)</f>
        <v>#04</v>
      </c>
      <c r="J401" t="s">
        <v>588</v>
      </c>
      <c r="K401" s="195">
        <v>46153.37976851852</v>
      </c>
      <c r="L401">
        <v>40</v>
      </c>
      <c r="M401">
        <v>19</v>
      </c>
      <c r="N401" s="98" t="str">
        <f>IF(record[[#This Row],[Memo]]="Browser:chrome os:android","平板報工",IF(record[[#This Row],[Memo]]=0,"委外",record[[#This Row],[Memo]]))</f>
        <v>5/11覆回*3pcs</v>
      </c>
      <c r="O401" t="s">
        <v>2002</v>
      </c>
      <c r="P401" t="s">
        <v>1075</v>
      </c>
      <c r="Q401" t="s">
        <v>58</v>
      </c>
      <c r="R401" t="str">
        <f>IFERROR(VLOOKUP(record[[#This Row],[PCUSTID]],廠商[],2,FALSE),"")</f>
        <v/>
      </c>
      <c r="S401" t="str">
        <f>VLOOKUP(record[[#This Row],[employeeID]],員工[],2,FALSE)</f>
        <v>吳宥叡</v>
      </c>
    </row>
    <row r="402" spans="6:19" hidden="1" x14ac:dyDescent="0.25">
      <c r="F402" t="s">
        <v>1945</v>
      </c>
      <c r="G402" t="s">
        <v>453</v>
      </c>
      <c r="H402" t="str">
        <f>VLOOKUP(record[[#This Row],[ProcessSN]],表格2_7[],2,FALSE)</f>
        <v>30-4118-018-6XX</v>
      </c>
      <c r="I402" t="str">
        <f>VLOOKUP(record[[#This Row],[ProcessSN]],表格2_7[],3,FALSE)</f>
        <v>#07STOCK</v>
      </c>
      <c r="J402" t="s">
        <v>592</v>
      </c>
      <c r="K402" s="195">
        <v>46153.342951388891</v>
      </c>
      <c r="L402">
        <v>168</v>
      </c>
      <c r="M402">
        <v>0</v>
      </c>
      <c r="N402" s="98" t="str">
        <f>IF(record[[#This Row],[Memo]]="Browser:chrome os:android","平板報工",IF(record[[#This Row],[Memo]]=0,"委外",record[[#This Row],[Memo]]))</f>
        <v/>
      </c>
      <c r="O402" t="s">
        <v>58</v>
      </c>
      <c r="P402" t="s">
        <v>186</v>
      </c>
      <c r="Q402" t="s">
        <v>58</v>
      </c>
      <c r="R402" t="str">
        <f>IFERROR(VLOOKUP(record[[#This Row],[PCUSTID]],廠商[],2,FALSE),"")</f>
        <v/>
      </c>
      <c r="S402" t="str">
        <f>VLOOKUP(record[[#This Row],[employeeID]],員工[],2,FALSE)</f>
        <v>許文姍</v>
      </c>
    </row>
    <row r="403" spans="6:19" x14ac:dyDescent="0.25">
      <c r="F403" t="s">
        <v>1924</v>
      </c>
      <c r="G403" t="s">
        <v>453</v>
      </c>
      <c r="H403" t="str">
        <f>VLOOKUP(record[[#This Row],[ProcessSN]],表格2_7[],2,FALSE)</f>
        <v>30-4118-018-6XX</v>
      </c>
      <c r="I403" t="str">
        <f>VLOOKUP(record[[#This Row],[ProcessSN]],表格2_7[],3,FALSE)</f>
        <v>#07STOCK</v>
      </c>
      <c r="J403" t="s">
        <v>592</v>
      </c>
      <c r="K403" s="195">
        <v>46153.342789351853</v>
      </c>
      <c r="L403">
        <v>168</v>
      </c>
      <c r="M403">
        <v>0</v>
      </c>
      <c r="N403" s="98" t="str">
        <f>IF(record[[#This Row],[Memo]]="Browser:chrome os:android","平板報工",IF(record[[#This Row],[Memo]]=0,"委外",record[[#This Row],[Memo]]))</f>
        <v/>
      </c>
      <c r="O403" t="s">
        <v>58</v>
      </c>
      <c r="P403" t="s">
        <v>186</v>
      </c>
      <c r="Q403" t="s">
        <v>58</v>
      </c>
      <c r="R403" t="str">
        <f>IFERROR(VLOOKUP(record[[#This Row],[PCUSTID]],廠商[],2,FALSE),"")</f>
        <v/>
      </c>
      <c r="S403" t="str">
        <f>VLOOKUP(record[[#This Row],[employeeID]],員工[],2,FALSE)</f>
        <v>許文姍</v>
      </c>
    </row>
    <row r="404" spans="6:19" hidden="1" x14ac:dyDescent="0.25">
      <c r="F404" t="s">
        <v>1999</v>
      </c>
      <c r="G404" t="s">
        <v>438</v>
      </c>
      <c r="H404" t="str">
        <f>VLOOKUP(record[[#This Row],[ProcessSN]],表格2_7[],2,FALSE)</f>
        <v>30-4118-018-650</v>
      </c>
      <c r="I404" t="str">
        <f>VLOOKUP(record[[#This Row],[ProcessSN]],表格2_7[],3,FALSE)</f>
        <v>#08</v>
      </c>
      <c r="J404" t="s">
        <v>597</v>
      </c>
      <c r="K404" s="195">
        <v>46153.339097222219</v>
      </c>
      <c r="L404">
        <v>336</v>
      </c>
      <c r="M404">
        <v>0</v>
      </c>
      <c r="N404" s="98" t="str">
        <f>IF(record[[#This Row],[Memo]]="Browser:chrome os:android","平板報工",IF(record[[#This Row],[Memo]]=0,"委外",record[[#This Row],[Memo]]))</f>
        <v>委外</v>
      </c>
      <c r="P404" t="s">
        <v>186</v>
      </c>
      <c r="Q404" t="s">
        <v>287</v>
      </c>
      <c r="R404" t="str">
        <f>IFERROR(VLOOKUP(record[[#This Row],[PCUSTID]],廠商[],2,FALSE),"")</f>
        <v>泉盛</v>
      </c>
      <c r="S404" t="str">
        <f>VLOOKUP(record[[#This Row],[employeeID]],員工[],2,FALSE)</f>
        <v>許文姍</v>
      </c>
    </row>
    <row r="405" spans="6:19" hidden="1" x14ac:dyDescent="0.25">
      <c r="F405" t="s">
        <v>1999</v>
      </c>
      <c r="G405" t="s">
        <v>437</v>
      </c>
      <c r="H405" t="str">
        <f>VLOOKUP(record[[#This Row],[ProcessSN]],表格2_7[],2,FALSE)</f>
        <v>30-4118-018-650</v>
      </c>
      <c r="I405" t="str">
        <f>VLOOKUP(record[[#This Row],[ProcessSN]],表格2_7[],3,FALSE)</f>
        <v>#08PICK</v>
      </c>
      <c r="J405" t="s">
        <v>582</v>
      </c>
      <c r="K405" s="195">
        <v>46153.338900462964</v>
      </c>
      <c r="L405">
        <v>336</v>
      </c>
      <c r="M405">
        <v>0</v>
      </c>
      <c r="N405" s="98" t="str">
        <f>IF(record[[#This Row],[Memo]]="Browser:chrome os:android","平板報工",IF(record[[#This Row],[Memo]]=0,"委外",record[[#This Row],[Memo]]))</f>
        <v/>
      </c>
      <c r="O405" t="s">
        <v>58</v>
      </c>
      <c r="P405" t="s">
        <v>186</v>
      </c>
      <c r="Q405" t="s">
        <v>58</v>
      </c>
      <c r="R405" t="str">
        <f>IFERROR(VLOOKUP(record[[#This Row],[PCUSTID]],廠商[],2,FALSE),"")</f>
        <v/>
      </c>
      <c r="S405" t="str">
        <f>VLOOKUP(record[[#This Row],[employeeID]],員工[],2,FALSE)</f>
        <v>許文姍</v>
      </c>
    </row>
    <row r="406" spans="6:19" hidden="1" x14ac:dyDescent="0.25">
      <c r="F406" t="s">
        <v>1987</v>
      </c>
      <c r="G406" t="s">
        <v>451</v>
      </c>
      <c r="H406" t="str">
        <f>VLOOKUP(record[[#This Row],[ProcessSN]],表格2_7[],2,FALSE)</f>
        <v>30-4118-018-6XX</v>
      </c>
      <c r="I406" t="str">
        <f>VLOOKUP(record[[#This Row],[ProcessSN]],表格2_7[],3,FALSE)</f>
        <v>#07</v>
      </c>
      <c r="J406" t="s">
        <v>588</v>
      </c>
      <c r="K406" s="195">
        <v>46152.304895833331</v>
      </c>
      <c r="L406">
        <v>256</v>
      </c>
      <c r="M406">
        <v>0</v>
      </c>
      <c r="N406" s="98" t="str">
        <f>IF(record[[#This Row],[Memo]]="Browser:chrome os:android","平板報工",IF(record[[#This Row],[Memo]]=0,"委外",record[[#This Row],[Memo]]))</f>
        <v>平板報工</v>
      </c>
      <c r="O406" t="s">
        <v>643</v>
      </c>
      <c r="P406" t="s">
        <v>806</v>
      </c>
      <c r="Q406" t="s">
        <v>644</v>
      </c>
      <c r="R406" t="str">
        <f>IFERROR(VLOOKUP(record[[#This Row],[PCUSTID]],廠商[],2,FALSE),"")</f>
        <v/>
      </c>
      <c r="S406" t="str">
        <f>VLOOKUP(record[[#This Row],[employeeID]],員工[],2,FALSE)</f>
        <v>方思緯</v>
      </c>
    </row>
    <row r="407" spans="6:19" hidden="1" x14ac:dyDescent="0.25">
      <c r="F407" t="s">
        <v>1987</v>
      </c>
      <c r="G407" t="s">
        <v>450</v>
      </c>
      <c r="H407" t="str">
        <f>VLOOKUP(record[[#This Row],[ProcessSN]],表格2_7[],2,FALSE)</f>
        <v>30-4118-018-6XX</v>
      </c>
      <c r="I407" t="str">
        <f>VLOOKUP(record[[#This Row],[ProcessSN]],表格2_7[],3,FALSE)</f>
        <v>#06</v>
      </c>
      <c r="J407" t="s">
        <v>593</v>
      </c>
      <c r="K407" s="195">
        <v>46152.303599537037</v>
      </c>
      <c r="L407">
        <v>281</v>
      </c>
      <c r="M407">
        <v>2</v>
      </c>
      <c r="N407" s="98" t="str">
        <f>IF(record[[#This Row],[Memo]]="Browser:chrome os:android","平板報工",IF(record[[#This Row],[Memo]]=0,"委外",record[[#This Row],[Memo]]))</f>
        <v>平板報工</v>
      </c>
      <c r="O407" t="s">
        <v>643</v>
      </c>
      <c r="P407" t="s">
        <v>170</v>
      </c>
      <c r="Q407" t="s">
        <v>644</v>
      </c>
      <c r="R407" t="str">
        <f>IFERROR(VLOOKUP(record[[#This Row],[PCUSTID]],廠商[],2,FALSE),"")</f>
        <v/>
      </c>
      <c r="S407" t="str">
        <f>VLOOKUP(record[[#This Row],[employeeID]],員工[],2,FALSE)</f>
        <v>黃清宇</v>
      </c>
    </row>
    <row r="408" spans="6:19" hidden="1" x14ac:dyDescent="0.25">
      <c r="F408" t="s">
        <v>1987</v>
      </c>
      <c r="G408" t="s">
        <v>449</v>
      </c>
      <c r="H408" t="str">
        <f>VLOOKUP(record[[#This Row],[ProcessSN]],表格2_7[],2,FALSE)</f>
        <v>30-4118-018-6XX</v>
      </c>
      <c r="I408" t="str">
        <f>VLOOKUP(record[[#This Row],[ProcessSN]],表格2_7[],3,FALSE)</f>
        <v>#05</v>
      </c>
      <c r="J408" t="s">
        <v>588</v>
      </c>
      <c r="K408" s="195">
        <v>46152.295983796299</v>
      </c>
      <c r="L408">
        <v>260</v>
      </c>
      <c r="M408">
        <v>0</v>
      </c>
      <c r="N408" s="98" t="str">
        <f>IF(record[[#This Row],[Memo]]="Browser:chrome os:android","平板報工",IF(record[[#This Row],[Memo]]=0,"委外",record[[#This Row],[Memo]]))</f>
        <v>平板報工</v>
      </c>
      <c r="O408" t="s">
        <v>643</v>
      </c>
      <c r="P408" t="s">
        <v>806</v>
      </c>
      <c r="Q408" t="s">
        <v>644</v>
      </c>
      <c r="R408" t="str">
        <f>IFERROR(VLOOKUP(record[[#This Row],[PCUSTID]],廠商[],2,FALSE),"")</f>
        <v/>
      </c>
      <c r="S408" t="str">
        <f>VLOOKUP(record[[#This Row],[employeeID]],員工[],2,FALSE)</f>
        <v>方思緯</v>
      </c>
    </row>
    <row r="409" spans="6:19" hidden="1" x14ac:dyDescent="0.25">
      <c r="F409" t="s">
        <v>1987</v>
      </c>
      <c r="G409" t="s">
        <v>448</v>
      </c>
      <c r="H409" t="str">
        <f>VLOOKUP(record[[#This Row],[ProcessSN]],表格2_7[],2,FALSE)</f>
        <v>30-4118-018-6XX</v>
      </c>
      <c r="I409" t="str">
        <f>VLOOKUP(record[[#This Row],[ProcessSN]],表格2_7[],3,FALSE)</f>
        <v>#04</v>
      </c>
      <c r="J409" t="s">
        <v>588</v>
      </c>
      <c r="K409" s="195">
        <v>46152.288321759261</v>
      </c>
      <c r="L409">
        <v>270</v>
      </c>
      <c r="M409">
        <v>0</v>
      </c>
      <c r="N409" s="98" t="str">
        <f>IF(record[[#This Row],[Memo]]="Browser:chrome os:android","平板報工",IF(record[[#This Row],[Memo]]=0,"委外",record[[#This Row],[Memo]]))</f>
        <v>平板報工</v>
      </c>
      <c r="O409" t="s">
        <v>643</v>
      </c>
      <c r="P409" t="s">
        <v>691</v>
      </c>
      <c r="Q409" t="s">
        <v>644</v>
      </c>
      <c r="R409" t="str">
        <f>IFERROR(VLOOKUP(record[[#This Row],[PCUSTID]],廠商[],2,FALSE),"")</f>
        <v/>
      </c>
      <c r="S409" t="str">
        <f>VLOOKUP(record[[#This Row],[employeeID]],員工[],2,FALSE)</f>
        <v>武氏賢</v>
      </c>
    </row>
    <row r="410" spans="6:19" hidden="1" x14ac:dyDescent="0.25">
      <c r="F410" t="s">
        <v>1987</v>
      </c>
      <c r="G410" t="s">
        <v>451</v>
      </c>
      <c r="H410" t="str">
        <f>VLOOKUP(record[[#This Row],[ProcessSN]],表格2_7[],2,FALSE)</f>
        <v>30-4118-018-6XX</v>
      </c>
      <c r="I410" t="str">
        <f>VLOOKUP(record[[#This Row],[ProcessSN]],表格2_7[],3,FALSE)</f>
        <v>#07</v>
      </c>
      <c r="J410" t="s">
        <v>588</v>
      </c>
      <c r="K410" s="195">
        <v>46151.994988425926</v>
      </c>
      <c r="L410">
        <v>109</v>
      </c>
      <c r="M410">
        <v>9</v>
      </c>
      <c r="N410" s="98" t="str">
        <f>IF(record[[#This Row],[Memo]]="Browser:chrome os:android","平板報工",IF(record[[#This Row],[Memo]]=0,"委外",record[[#This Row],[Memo]]))</f>
        <v>平板報工</v>
      </c>
      <c r="O410" t="s">
        <v>643</v>
      </c>
      <c r="P410" t="s">
        <v>1098</v>
      </c>
      <c r="Q410" t="s">
        <v>644</v>
      </c>
      <c r="R410" t="str">
        <f>IFERROR(VLOOKUP(record[[#This Row],[PCUSTID]],廠商[],2,FALSE),"")</f>
        <v/>
      </c>
      <c r="S410" t="str">
        <f>VLOOKUP(record[[#This Row],[employeeID]],員工[],2,FALSE)</f>
        <v>阮氏芳英(英)</v>
      </c>
    </row>
    <row r="411" spans="6:19" hidden="1" x14ac:dyDescent="0.25">
      <c r="F411" t="s">
        <v>1987</v>
      </c>
      <c r="G411" t="s">
        <v>450</v>
      </c>
      <c r="H411" t="str">
        <f>VLOOKUP(record[[#This Row],[ProcessSN]],表格2_7[],2,FALSE)</f>
        <v>30-4118-018-6XX</v>
      </c>
      <c r="I411" t="str">
        <f>VLOOKUP(record[[#This Row],[ProcessSN]],表格2_7[],3,FALSE)</f>
        <v>#06</v>
      </c>
      <c r="J411" t="s">
        <v>593</v>
      </c>
      <c r="K411" s="195">
        <v>46151.993726851855</v>
      </c>
      <c r="L411">
        <v>216</v>
      </c>
      <c r="M411">
        <v>0</v>
      </c>
      <c r="N411" s="98" t="str">
        <f>IF(record[[#This Row],[Memo]]="Browser:chrome os:android","平板報工",IF(record[[#This Row],[Memo]]=0,"委外",record[[#This Row],[Memo]]))</f>
        <v>平板報工</v>
      </c>
      <c r="O411" t="s">
        <v>643</v>
      </c>
      <c r="P411" t="s">
        <v>176</v>
      </c>
      <c r="Q411" t="s">
        <v>644</v>
      </c>
      <c r="R411" t="str">
        <f>IFERROR(VLOOKUP(record[[#This Row],[PCUSTID]],廠商[],2,FALSE),"")</f>
        <v/>
      </c>
      <c r="S411" t="str">
        <f>VLOOKUP(record[[#This Row],[employeeID]],員工[],2,FALSE)</f>
        <v>郭政雄</v>
      </c>
    </row>
    <row r="412" spans="6:19" hidden="1" x14ac:dyDescent="0.25">
      <c r="F412" t="s">
        <v>1945</v>
      </c>
      <c r="G412" t="s">
        <v>451</v>
      </c>
      <c r="H412" t="str">
        <f>VLOOKUP(record[[#This Row],[ProcessSN]],表格2_7[],2,FALSE)</f>
        <v>30-4118-018-6XX</v>
      </c>
      <c r="I412" t="str">
        <f>VLOOKUP(record[[#This Row],[ProcessSN]],表格2_7[],3,FALSE)</f>
        <v>#07</v>
      </c>
      <c r="J412" t="s">
        <v>588</v>
      </c>
      <c r="K412" s="195">
        <v>46151.992650462962</v>
      </c>
      <c r="L412">
        <v>121</v>
      </c>
      <c r="M412">
        <v>0</v>
      </c>
      <c r="N412" s="98" t="str">
        <f>IF(record[[#This Row],[Memo]]="Browser:chrome os:android","平板報工",IF(record[[#This Row],[Memo]]=0,"委外",record[[#This Row],[Memo]]))</f>
        <v>平板報工</v>
      </c>
      <c r="O412" t="s">
        <v>643</v>
      </c>
      <c r="P412" t="s">
        <v>1098</v>
      </c>
      <c r="Q412" t="s">
        <v>644</v>
      </c>
      <c r="R412" t="str">
        <f>IFERROR(VLOOKUP(record[[#This Row],[PCUSTID]],廠商[],2,FALSE),"")</f>
        <v/>
      </c>
      <c r="S412" t="str">
        <f>VLOOKUP(record[[#This Row],[employeeID]],員工[],2,FALSE)</f>
        <v>阮氏芳英(英)</v>
      </c>
    </row>
    <row r="413" spans="6:19" hidden="1" x14ac:dyDescent="0.25">
      <c r="F413" t="s">
        <v>1987</v>
      </c>
      <c r="G413" t="s">
        <v>449</v>
      </c>
      <c r="H413" t="str">
        <f>VLOOKUP(record[[#This Row],[ProcessSN]],表格2_7[],2,FALSE)</f>
        <v>30-4118-018-6XX</v>
      </c>
      <c r="I413" t="str">
        <f>VLOOKUP(record[[#This Row],[ProcessSN]],表格2_7[],3,FALSE)</f>
        <v>#05</v>
      </c>
      <c r="J413" t="s">
        <v>588</v>
      </c>
      <c r="K413" s="195">
        <v>46151.992129629631</v>
      </c>
      <c r="L413">
        <v>240</v>
      </c>
      <c r="M413">
        <v>0</v>
      </c>
      <c r="N413" s="98" t="str">
        <f>IF(record[[#This Row],[Memo]]="Browser:chrome os:android","平板報工",IF(record[[#This Row],[Memo]]=0,"委外",record[[#This Row],[Memo]]))</f>
        <v>平板報工</v>
      </c>
      <c r="O413" t="s">
        <v>643</v>
      </c>
      <c r="P413" t="s">
        <v>1098</v>
      </c>
      <c r="Q413" t="s">
        <v>644</v>
      </c>
      <c r="R413" t="str">
        <f>IFERROR(VLOOKUP(record[[#This Row],[PCUSTID]],廠商[],2,FALSE),"")</f>
        <v/>
      </c>
      <c r="S413" t="str">
        <f>VLOOKUP(record[[#This Row],[employeeID]],員工[],2,FALSE)</f>
        <v>阮氏芳英(英)</v>
      </c>
    </row>
    <row r="414" spans="6:19" hidden="1" x14ac:dyDescent="0.25">
      <c r="F414" t="s">
        <v>1987</v>
      </c>
      <c r="G414" t="s">
        <v>448</v>
      </c>
      <c r="H414" t="str">
        <f>VLOOKUP(record[[#This Row],[ProcessSN]],表格2_7[],2,FALSE)</f>
        <v>30-4118-018-6XX</v>
      </c>
      <c r="I414" t="str">
        <f>VLOOKUP(record[[#This Row],[ProcessSN]],表格2_7[],3,FALSE)</f>
        <v>#04</v>
      </c>
      <c r="J414" t="s">
        <v>588</v>
      </c>
      <c r="K414" s="195">
        <v>46151.990914351853</v>
      </c>
      <c r="L414">
        <v>217</v>
      </c>
      <c r="M414">
        <v>1</v>
      </c>
      <c r="N414" s="98" t="str">
        <f>IF(record[[#This Row],[Memo]]="Browser:chrome os:android","平板報工",IF(record[[#This Row],[Memo]]=0,"委外",record[[#This Row],[Memo]]))</f>
        <v>平板報工</v>
      </c>
      <c r="O414" t="s">
        <v>643</v>
      </c>
      <c r="P414" t="s">
        <v>127</v>
      </c>
      <c r="Q414" t="s">
        <v>644</v>
      </c>
      <c r="R414" t="str">
        <f>IFERROR(VLOOKUP(record[[#This Row],[PCUSTID]],廠商[],2,FALSE),"")</f>
        <v/>
      </c>
      <c r="S414" t="str">
        <f>VLOOKUP(record[[#This Row],[employeeID]],員工[],2,FALSE)</f>
        <v>潘雪梅</v>
      </c>
    </row>
    <row r="415" spans="6:19" hidden="1" x14ac:dyDescent="0.25">
      <c r="F415" t="s">
        <v>1909</v>
      </c>
      <c r="G415" t="s">
        <v>376</v>
      </c>
      <c r="H415" t="str">
        <f>VLOOKUP(record[[#This Row],[ProcessSN]],表格2_7[],2,FALSE)</f>
        <v>30-4118-018-4XX</v>
      </c>
      <c r="I415" t="str">
        <f>VLOOKUP(record[[#This Row],[ProcessSN]],表格2_7[],3,FALSE)</f>
        <v>#06</v>
      </c>
      <c r="J415" t="s">
        <v>593</v>
      </c>
      <c r="K415" s="195">
        <v>46151.968321759261</v>
      </c>
      <c r="L415">
        <v>57</v>
      </c>
      <c r="M415">
        <v>0</v>
      </c>
      <c r="N415" s="98" t="str">
        <f>IF(record[[#This Row],[Memo]]="Browser:chrome os:android","平板報工",IF(record[[#This Row],[Memo]]=0,"委外",record[[#This Row],[Memo]]))</f>
        <v>平板報工</v>
      </c>
      <c r="O415" t="s">
        <v>643</v>
      </c>
      <c r="P415" t="s">
        <v>176</v>
      </c>
      <c r="Q415" t="s">
        <v>644</v>
      </c>
      <c r="R415" t="str">
        <f>IFERROR(VLOOKUP(record[[#This Row],[PCUSTID]],廠商[],2,FALSE),"")</f>
        <v/>
      </c>
      <c r="S415" t="str">
        <f>VLOOKUP(record[[#This Row],[employeeID]],員工[],2,FALSE)</f>
        <v>郭政雄</v>
      </c>
    </row>
    <row r="416" spans="6:19" hidden="1" x14ac:dyDescent="0.25">
      <c r="F416" t="s">
        <v>1945</v>
      </c>
      <c r="G416" t="s">
        <v>451</v>
      </c>
      <c r="H416" t="str">
        <f>VLOOKUP(record[[#This Row],[ProcessSN]],表格2_7[],2,FALSE)</f>
        <v>30-4118-018-6XX</v>
      </c>
      <c r="I416" t="str">
        <f>VLOOKUP(record[[#This Row],[ProcessSN]],表格2_7[],3,FALSE)</f>
        <v>#07</v>
      </c>
      <c r="J416" t="s">
        <v>588</v>
      </c>
      <c r="K416" s="195">
        <v>46151.720925925925</v>
      </c>
      <c r="L416">
        <v>46</v>
      </c>
      <c r="M416">
        <v>0</v>
      </c>
      <c r="N416" s="98" t="str">
        <f>IF(record[[#This Row],[Memo]]="Browser:chrome os:android","平板報工",IF(record[[#This Row],[Memo]]=0,"委外",record[[#This Row],[Memo]]))</f>
        <v/>
      </c>
      <c r="O416" t="s">
        <v>58</v>
      </c>
      <c r="P416" t="s">
        <v>107</v>
      </c>
      <c r="Q416" t="s">
        <v>58</v>
      </c>
      <c r="R416" t="str">
        <f>IFERROR(VLOOKUP(record[[#This Row],[PCUSTID]],廠商[],2,FALSE),"")</f>
        <v/>
      </c>
      <c r="S416" t="str">
        <f>VLOOKUP(record[[#This Row],[employeeID]],員工[],2,FALSE)</f>
        <v>黎氏順</v>
      </c>
    </row>
    <row r="417" spans="6:19" hidden="1" x14ac:dyDescent="0.25">
      <c r="F417" t="s">
        <v>1945</v>
      </c>
      <c r="G417" t="s">
        <v>452</v>
      </c>
      <c r="H417" t="str">
        <f>VLOOKUP(record[[#This Row],[ProcessSN]],表格2_7[],2,FALSE)</f>
        <v>30-4118-018-6XX</v>
      </c>
      <c r="I417" t="str">
        <f>VLOOKUP(record[[#This Row],[ProcessSN]],表格2_7[],3,FALSE)</f>
        <v>#07QC</v>
      </c>
      <c r="J417" t="s">
        <v>589</v>
      </c>
      <c r="K417" s="195">
        <v>46151.712465277778</v>
      </c>
      <c r="L417">
        <v>168</v>
      </c>
      <c r="M417">
        <v>0</v>
      </c>
      <c r="N417" s="98" t="str">
        <f>IF(record[[#This Row],[Memo]]="Browser:chrome os:android","平板報工",IF(record[[#This Row],[Memo]]=0,"委外",record[[#This Row],[Memo]]))</f>
        <v/>
      </c>
      <c r="O417" t="s">
        <v>58</v>
      </c>
      <c r="P417" t="s">
        <v>141</v>
      </c>
      <c r="Q417" t="s">
        <v>58</v>
      </c>
      <c r="R417" t="str">
        <f>IFERROR(VLOOKUP(record[[#This Row],[PCUSTID]],廠商[],2,FALSE),"")</f>
        <v/>
      </c>
      <c r="S417" t="str">
        <f>VLOOKUP(record[[#This Row],[employeeID]],員工[],2,FALSE)</f>
        <v>蔣梅</v>
      </c>
    </row>
    <row r="418" spans="6:19" hidden="1" x14ac:dyDescent="0.25">
      <c r="F418" t="s">
        <v>1995</v>
      </c>
      <c r="G418" t="s">
        <v>438</v>
      </c>
      <c r="H418" t="str">
        <f>VLOOKUP(record[[#This Row],[ProcessSN]],表格2_7[],2,FALSE)</f>
        <v>30-4118-018-650</v>
      </c>
      <c r="I418" t="str">
        <f>VLOOKUP(record[[#This Row],[ProcessSN]],表格2_7[],3,FALSE)</f>
        <v>#08</v>
      </c>
      <c r="J418" t="s">
        <v>597</v>
      </c>
      <c r="K418" s="195">
        <v>46151.711863425924</v>
      </c>
      <c r="L418">
        <v>384</v>
      </c>
      <c r="M418">
        <v>0</v>
      </c>
      <c r="N418" s="98" t="str">
        <f>IF(record[[#This Row],[Memo]]="Browser:chrome os:android","平板報工",IF(record[[#This Row],[Memo]]=0,"委外",record[[#This Row],[Memo]]))</f>
        <v>委外</v>
      </c>
      <c r="P418" t="s">
        <v>886</v>
      </c>
      <c r="Q418" t="s">
        <v>287</v>
      </c>
      <c r="R418" t="str">
        <f>IFERROR(VLOOKUP(record[[#This Row],[PCUSTID]],廠商[],2,FALSE),"")</f>
        <v>泉盛</v>
      </c>
      <c r="S418" t="str">
        <f>VLOOKUP(record[[#This Row],[employeeID]],員工[],2,FALSE)</f>
        <v>謝蓁薰</v>
      </c>
    </row>
    <row r="419" spans="6:19" hidden="1" x14ac:dyDescent="0.25">
      <c r="F419" t="s">
        <v>1945</v>
      </c>
      <c r="G419" t="s">
        <v>452</v>
      </c>
      <c r="H419" t="str">
        <f>VLOOKUP(record[[#This Row],[ProcessSN]],表格2_7[],2,FALSE)</f>
        <v>30-4118-018-6XX</v>
      </c>
      <c r="I419" t="str">
        <f>VLOOKUP(record[[#This Row],[ProcessSN]],表格2_7[],3,FALSE)</f>
        <v>#07QC</v>
      </c>
      <c r="J419" t="s">
        <v>589</v>
      </c>
      <c r="K419" s="195">
        <v>46151.711828703701</v>
      </c>
      <c r="L419">
        <v>0</v>
      </c>
      <c r="M419">
        <v>70</v>
      </c>
      <c r="N419" s="98" t="str">
        <f>IF(record[[#This Row],[Memo]]="Browser:chrome os:android","平板報工",IF(record[[#This Row],[Memo]]=0,"委外",record[[#This Row],[Memo]]))</f>
        <v>頭部尺寸NG</v>
      </c>
      <c r="O419" t="s">
        <v>1998</v>
      </c>
      <c r="P419" t="s">
        <v>141</v>
      </c>
      <c r="Q419" t="s">
        <v>58</v>
      </c>
      <c r="R419" t="str">
        <f>IFERROR(VLOOKUP(record[[#This Row],[PCUSTID]],廠商[],2,FALSE),"")</f>
        <v/>
      </c>
      <c r="S419" t="str">
        <f>VLOOKUP(record[[#This Row],[employeeID]],員工[],2,FALSE)</f>
        <v>蔣梅</v>
      </c>
    </row>
    <row r="420" spans="6:19" hidden="1" x14ac:dyDescent="0.25">
      <c r="F420" t="s">
        <v>1995</v>
      </c>
      <c r="G420" t="s">
        <v>437</v>
      </c>
      <c r="H420" t="str">
        <f>VLOOKUP(record[[#This Row],[ProcessSN]],表格2_7[],2,FALSE)</f>
        <v>30-4118-018-650</v>
      </c>
      <c r="I420" t="str">
        <f>VLOOKUP(record[[#This Row],[ProcessSN]],表格2_7[],3,FALSE)</f>
        <v>#08PICK</v>
      </c>
      <c r="J420" t="s">
        <v>582</v>
      </c>
      <c r="K420" s="195">
        <v>46151.711724537039</v>
      </c>
      <c r="L420">
        <v>384</v>
      </c>
      <c r="M420">
        <v>0</v>
      </c>
      <c r="N420" s="98" t="str">
        <f>IF(record[[#This Row],[Memo]]="Browser:chrome os:android","平板報工",IF(record[[#This Row],[Memo]]=0,"委外",record[[#This Row],[Memo]]))</f>
        <v/>
      </c>
      <c r="O420" t="s">
        <v>58</v>
      </c>
      <c r="P420" t="s">
        <v>886</v>
      </c>
      <c r="Q420" t="s">
        <v>58</v>
      </c>
      <c r="R420" t="str">
        <f>IFERROR(VLOOKUP(record[[#This Row],[PCUSTID]],廠商[],2,FALSE),"")</f>
        <v/>
      </c>
      <c r="S420" t="str">
        <f>VLOOKUP(record[[#This Row],[employeeID]],員工[],2,FALSE)</f>
        <v>謝蓁薰</v>
      </c>
    </row>
    <row r="421" spans="6:19" x14ac:dyDescent="0.25">
      <c r="F421" t="s">
        <v>1924</v>
      </c>
      <c r="G421" t="s">
        <v>452</v>
      </c>
      <c r="H421" t="str">
        <f>VLOOKUP(record[[#This Row],[ProcessSN]],表格2_7[],2,FALSE)</f>
        <v>30-4118-018-6XX</v>
      </c>
      <c r="I421" t="str">
        <f>VLOOKUP(record[[#This Row],[ProcessSN]],表格2_7[],3,FALSE)</f>
        <v>#07QC</v>
      </c>
      <c r="J421" t="s">
        <v>589</v>
      </c>
      <c r="K421" s="195">
        <v>46151.7108912037</v>
      </c>
      <c r="L421">
        <v>168</v>
      </c>
      <c r="M421">
        <v>0</v>
      </c>
      <c r="N421" s="98" t="str">
        <f>IF(record[[#This Row],[Memo]]="Browser:chrome os:android","平板報工",IF(record[[#This Row],[Memo]]=0,"委外",record[[#This Row],[Memo]]))</f>
        <v/>
      </c>
      <c r="O421" t="s">
        <v>58</v>
      </c>
      <c r="P421" t="s">
        <v>141</v>
      </c>
      <c r="Q421" t="s">
        <v>58</v>
      </c>
      <c r="R421" t="str">
        <f>IFERROR(VLOOKUP(record[[#This Row],[PCUSTID]],廠商[],2,FALSE),"")</f>
        <v/>
      </c>
      <c r="S421" t="str">
        <f>VLOOKUP(record[[#This Row],[employeeID]],員工[],2,FALSE)</f>
        <v>蔣梅</v>
      </c>
    </row>
    <row r="422" spans="6:19" hidden="1" x14ac:dyDescent="0.25">
      <c r="F422" t="s">
        <v>1945</v>
      </c>
      <c r="G422" t="s">
        <v>453</v>
      </c>
      <c r="H422" t="str">
        <f>VLOOKUP(record[[#This Row],[ProcessSN]],表格2_7[],2,FALSE)</f>
        <v>30-4118-018-6XX</v>
      </c>
      <c r="I422" t="str">
        <f>VLOOKUP(record[[#This Row],[ProcessSN]],表格2_7[],3,FALSE)</f>
        <v>#07STOCK</v>
      </c>
      <c r="J422" t="s">
        <v>592</v>
      </c>
      <c r="K422" s="195">
        <v>46151.704340277778</v>
      </c>
      <c r="L422">
        <v>384</v>
      </c>
      <c r="M422">
        <v>0</v>
      </c>
      <c r="N422" s="98" t="str">
        <f>IF(record[[#This Row],[Memo]]="Browser:chrome os:android","平板報工",IF(record[[#This Row],[Memo]]=0,"委外",record[[#This Row],[Memo]]))</f>
        <v/>
      </c>
      <c r="O422" t="s">
        <v>58</v>
      </c>
      <c r="P422" t="s">
        <v>886</v>
      </c>
      <c r="Q422" t="s">
        <v>58</v>
      </c>
      <c r="R422" t="str">
        <f>IFERROR(VLOOKUP(record[[#This Row],[PCUSTID]],廠商[],2,FALSE),"")</f>
        <v/>
      </c>
      <c r="S422" t="str">
        <f>VLOOKUP(record[[#This Row],[employeeID]],員工[],2,FALSE)</f>
        <v>謝蓁薰</v>
      </c>
    </row>
    <row r="423" spans="6:19" hidden="1" x14ac:dyDescent="0.25">
      <c r="F423" t="s">
        <v>1944</v>
      </c>
      <c r="G423" t="s">
        <v>417</v>
      </c>
      <c r="H423" t="str">
        <f>VLOOKUP(record[[#This Row],[ProcessSN]],表格2_7[],2,FALSE)</f>
        <v>30-4118-018-5XX</v>
      </c>
      <c r="I423" t="str">
        <f>VLOOKUP(record[[#This Row],[ProcessSN]],表格2_7[],3,FALSE)</f>
        <v>#06</v>
      </c>
      <c r="J423" t="s">
        <v>593</v>
      </c>
      <c r="K423" s="195">
        <v>46151.704293981478</v>
      </c>
      <c r="L423">
        <v>50</v>
      </c>
      <c r="M423">
        <v>0</v>
      </c>
      <c r="N423" s="98" t="str">
        <f>IF(record[[#This Row],[Memo]]="Browser:chrome os:android","平板報工",IF(record[[#This Row],[Memo]]=0,"委外",record[[#This Row],[Memo]]))</f>
        <v/>
      </c>
      <c r="O423" t="s">
        <v>58</v>
      </c>
      <c r="P423" t="s">
        <v>1413</v>
      </c>
      <c r="Q423" t="s">
        <v>58</v>
      </c>
      <c r="R423" t="str">
        <f>IFERROR(VLOOKUP(record[[#This Row],[PCUSTID]],廠商[],2,FALSE),"")</f>
        <v/>
      </c>
      <c r="S423" t="str">
        <f>VLOOKUP(record[[#This Row],[employeeID]],員工[],2,FALSE)</f>
        <v>阮氏芳英(芳)</v>
      </c>
    </row>
    <row r="424" spans="6:19" hidden="1" x14ac:dyDescent="0.25">
      <c r="F424" t="s">
        <v>1909</v>
      </c>
      <c r="G424" t="s">
        <v>376</v>
      </c>
      <c r="H424" t="str">
        <f>VLOOKUP(record[[#This Row],[ProcessSN]],表格2_7[],2,FALSE)</f>
        <v>30-4118-018-4XX</v>
      </c>
      <c r="I424" t="str">
        <f>VLOOKUP(record[[#This Row],[ProcessSN]],表格2_7[],3,FALSE)</f>
        <v>#06</v>
      </c>
      <c r="J424" t="s">
        <v>593</v>
      </c>
      <c r="K424" s="195">
        <v>46151.703969907408</v>
      </c>
      <c r="L424">
        <v>56</v>
      </c>
      <c r="M424">
        <v>0</v>
      </c>
      <c r="N424" s="98" t="str">
        <f>IF(record[[#This Row],[Memo]]="Browser:chrome os:android","平板報工",IF(record[[#This Row],[Memo]]=0,"委外",record[[#This Row],[Memo]]))</f>
        <v/>
      </c>
      <c r="O424" t="s">
        <v>58</v>
      </c>
      <c r="P424" t="s">
        <v>1413</v>
      </c>
      <c r="Q424" t="s">
        <v>58</v>
      </c>
      <c r="R424" t="str">
        <f>IFERROR(VLOOKUP(record[[#This Row],[PCUSTID]],廠商[],2,FALSE),"")</f>
        <v/>
      </c>
      <c r="S424" t="str">
        <f>VLOOKUP(record[[#This Row],[employeeID]],員工[],2,FALSE)</f>
        <v>阮氏芳英(芳)</v>
      </c>
    </row>
    <row r="425" spans="6:19" hidden="1" x14ac:dyDescent="0.25">
      <c r="F425" t="s">
        <v>1944</v>
      </c>
      <c r="G425" t="s">
        <v>417</v>
      </c>
      <c r="H425" t="str">
        <f>VLOOKUP(record[[#This Row],[ProcessSN]],表格2_7[],2,FALSE)</f>
        <v>30-4118-018-5XX</v>
      </c>
      <c r="I425" t="str">
        <f>VLOOKUP(record[[#This Row],[ProcessSN]],表格2_7[],3,FALSE)</f>
        <v>#06</v>
      </c>
      <c r="J425" t="s">
        <v>593</v>
      </c>
      <c r="K425" s="195">
        <v>46151.703657407408</v>
      </c>
      <c r="L425">
        <v>111</v>
      </c>
      <c r="M425">
        <v>0</v>
      </c>
      <c r="N425" s="98" t="str">
        <f>IF(record[[#This Row],[Memo]]="Browser:chrome os:android","平板報工",IF(record[[#This Row],[Memo]]=0,"委外",record[[#This Row],[Memo]]))</f>
        <v/>
      </c>
      <c r="O425" t="s">
        <v>58</v>
      </c>
      <c r="P425" t="s">
        <v>1413</v>
      </c>
      <c r="Q425" t="s">
        <v>58</v>
      </c>
      <c r="R425" t="str">
        <f>IFERROR(VLOOKUP(record[[#This Row],[PCUSTID]],廠商[],2,FALSE),"")</f>
        <v/>
      </c>
      <c r="S425" t="str">
        <f>VLOOKUP(record[[#This Row],[employeeID]],員工[],2,FALSE)</f>
        <v>阮氏芳英(芳)</v>
      </c>
    </row>
    <row r="426" spans="6:19" hidden="1" x14ac:dyDescent="0.25">
      <c r="F426" t="s">
        <v>1906</v>
      </c>
      <c r="G426" t="s">
        <v>417</v>
      </c>
      <c r="H426" t="str">
        <f>VLOOKUP(record[[#This Row],[ProcessSN]],表格2_7[],2,FALSE)</f>
        <v>30-4118-018-5XX</v>
      </c>
      <c r="I426" t="str">
        <f>VLOOKUP(record[[#This Row],[ProcessSN]],表格2_7[],3,FALSE)</f>
        <v>#06</v>
      </c>
      <c r="J426" t="s">
        <v>593</v>
      </c>
      <c r="K426" s="195">
        <v>46151.703032407408</v>
      </c>
      <c r="L426">
        <v>95</v>
      </c>
      <c r="M426">
        <v>0</v>
      </c>
      <c r="N426" s="98" t="str">
        <f>IF(record[[#This Row],[Memo]]="Browser:chrome os:android","平板報工",IF(record[[#This Row],[Memo]]=0,"委外",record[[#This Row],[Memo]]))</f>
        <v/>
      </c>
      <c r="O426" t="s">
        <v>58</v>
      </c>
      <c r="P426" t="s">
        <v>1413</v>
      </c>
      <c r="Q426" t="s">
        <v>58</v>
      </c>
      <c r="R426" t="str">
        <f>IFERROR(VLOOKUP(record[[#This Row],[PCUSTID]],廠商[],2,FALSE),"")</f>
        <v/>
      </c>
      <c r="S426" t="str">
        <f>VLOOKUP(record[[#This Row],[employeeID]],員工[],2,FALSE)</f>
        <v>阮氏芳英(芳)</v>
      </c>
    </row>
    <row r="427" spans="6:19" x14ac:dyDescent="0.25">
      <c r="F427" t="s">
        <v>1924</v>
      </c>
      <c r="G427" t="s">
        <v>451</v>
      </c>
      <c r="H427" t="str">
        <f>VLOOKUP(record[[#This Row],[ProcessSN]],表格2_7[],2,FALSE)</f>
        <v>30-4118-018-6XX</v>
      </c>
      <c r="I427" t="str">
        <f>VLOOKUP(record[[#This Row],[ProcessSN]],表格2_7[],3,FALSE)</f>
        <v>#07</v>
      </c>
      <c r="J427" t="s">
        <v>588</v>
      </c>
      <c r="K427" s="195">
        <v>46151.69458333333</v>
      </c>
      <c r="L427">
        <v>150</v>
      </c>
      <c r="M427">
        <v>6</v>
      </c>
      <c r="N427" s="98" t="str">
        <f>IF(record[[#This Row],[Memo]]="Browser:chrome os:android","平板報工",IF(record[[#This Row],[Memo]]=0,"委外",record[[#This Row],[Memo]]))</f>
        <v/>
      </c>
      <c r="O427" t="s">
        <v>58</v>
      </c>
      <c r="P427" t="s">
        <v>107</v>
      </c>
      <c r="Q427" t="s">
        <v>58</v>
      </c>
      <c r="R427" t="str">
        <f>IFERROR(VLOOKUP(record[[#This Row],[PCUSTID]],廠商[],2,FALSE),"")</f>
        <v/>
      </c>
      <c r="S427" t="str">
        <f>VLOOKUP(record[[#This Row],[employeeID]],員工[],2,FALSE)</f>
        <v>黎氏順</v>
      </c>
    </row>
    <row r="428" spans="6:19" hidden="1" x14ac:dyDescent="0.25">
      <c r="F428" t="s">
        <v>1987</v>
      </c>
      <c r="G428" t="s">
        <v>449</v>
      </c>
      <c r="H428" t="str">
        <f>VLOOKUP(record[[#This Row],[ProcessSN]],表格2_7[],2,FALSE)</f>
        <v>30-4118-018-6XX</v>
      </c>
      <c r="I428" t="str">
        <f>VLOOKUP(record[[#This Row],[ProcessSN]],表格2_7[],3,FALSE)</f>
        <v>#05</v>
      </c>
      <c r="J428" t="s">
        <v>588</v>
      </c>
      <c r="K428" s="195">
        <v>46151.693923611114</v>
      </c>
      <c r="L428">
        <v>15</v>
      </c>
      <c r="M428">
        <v>0</v>
      </c>
      <c r="N428" s="98" t="str">
        <f>IF(record[[#This Row],[Memo]]="Browser:chrome os:android","平板報工",IF(record[[#This Row],[Memo]]=0,"委外",record[[#This Row],[Memo]]))</f>
        <v/>
      </c>
      <c r="O428" t="s">
        <v>58</v>
      </c>
      <c r="P428" t="s">
        <v>107</v>
      </c>
      <c r="Q428" t="s">
        <v>58</v>
      </c>
      <c r="R428" t="str">
        <f>IFERROR(VLOOKUP(record[[#This Row],[PCUSTID]],廠商[],2,FALSE),"")</f>
        <v/>
      </c>
      <c r="S428" t="str">
        <f>VLOOKUP(record[[#This Row],[employeeID]],員工[],2,FALSE)</f>
        <v>黎氏順</v>
      </c>
    </row>
    <row r="429" spans="6:19" hidden="1" x14ac:dyDescent="0.25">
      <c r="F429" t="s">
        <v>1987</v>
      </c>
      <c r="G429" t="s">
        <v>448</v>
      </c>
      <c r="H429" t="str">
        <f>VLOOKUP(record[[#This Row],[ProcessSN]],表格2_7[],2,FALSE)</f>
        <v>30-4118-018-6XX</v>
      </c>
      <c r="I429" t="str">
        <f>VLOOKUP(record[[#This Row],[ProcessSN]],表格2_7[],3,FALSE)</f>
        <v>#04</v>
      </c>
      <c r="J429" t="s">
        <v>588</v>
      </c>
      <c r="K429" s="195">
        <v>46151.693437499998</v>
      </c>
      <c r="L429">
        <v>164</v>
      </c>
      <c r="M429">
        <v>28</v>
      </c>
      <c r="N429" s="98" t="str">
        <f>IF(record[[#This Row],[Memo]]="Browser:chrome os:android","平板報工",IF(record[[#This Row],[Memo]]=0,"委外",record[[#This Row],[Memo]]))</f>
        <v/>
      </c>
      <c r="O429" t="s">
        <v>58</v>
      </c>
      <c r="P429" t="s">
        <v>188</v>
      </c>
      <c r="Q429" t="s">
        <v>58</v>
      </c>
      <c r="R429" t="str">
        <f>IFERROR(VLOOKUP(record[[#This Row],[PCUSTID]],廠商[],2,FALSE),"")</f>
        <v/>
      </c>
      <c r="S429" t="str">
        <f>VLOOKUP(record[[#This Row],[employeeID]],員工[],2,FALSE)</f>
        <v>阮氏璧紅</v>
      </c>
    </row>
    <row r="430" spans="6:19" hidden="1" x14ac:dyDescent="0.25">
      <c r="F430" t="s">
        <v>1944</v>
      </c>
      <c r="G430" t="s">
        <v>416</v>
      </c>
      <c r="H430" t="str">
        <f>VLOOKUP(record[[#This Row],[ProcessSN]],表格2_7[],2,FALSE)</f>
        <v>30-4118-018-5XX</v>
      </c>
      <c r="I430" t="str">
        <f>VLOOKUP(record[[#This Row],[ProcessSN]],表格2_7[],3,FALSE)</f>
        <v>#05</v>
      </c>
      <c r="J430" t="s">
        <v>588</v>
      </c>
      <c r="K430" s="195">
        <v>46151.692916666667</v>
      </c>
      <c r="L430">
        <v>161</v>
      </c>
      <c r="M430">
        <v>1</v>
      </c>
      <c r="N430" s="98" t="str">
        <f>IF(record[[#This Row],[Memo]]="Browser:chrome os:android","平板報工",IF(record[[#This Row],[Memo]]=0,"委外",record[[#This Row],[Memo]]))</f>
        <v/>
      </c>
      <c r="O430" t="s">
        <v>58</v>
      </c>
      <c r="P430" t="s">
        <v>107</v>
      </c>
      <c r="Q430" t="s">
        <v>58</v>
      </c>
      <c r="R430" t="str">
        <f>IFERROR(VLOOKUP(record[[#This Row],[PCUSTID]],廠商[],2,FALSE),"")</f>
        <v/>
      </c>
      <c r="S430" t="str">
        <f>VLOOKUP(record[[#This Row],[employeeID]],員工[],2,FALSE)</f>
        <v>黎氏順</v>
      </c>
    </row>
    <row r="431" spans="6:19" hidden="1" x14ac:dyDescent="0.25">
      <c r="F431" t="s">
        <v>1906</v>
      </c>
      <c r="G431" t="s">
        <v>416</v>
      </c>
      <c r="H431" t="str">
        <f>VLOOKUP(record[[#This Row],[ProcessSN]],表格2_7[],2,FALSE)</f>
        <v>30-4118-018-5XX</v>
      </c>
      <c r="I431" t="str">
        <f>VLOOKUP(record[[#This Row],[ProcessSN]],表格2_7[],3,FALSE)</f>
        <v>#05</v>
      </c>
      <c r="J431" t="s">
        <v>588</v>
      </c>
      <c r="K431" s="195">
        <v>46151.691400462965</v>
      </c>
      <c r="L431">
        <v>36</v>
      </c>
      <c r="M431">
        <v>0</v>
      </c>
      <c r="N431" s="98" t="str">
        <f>IF(record[[#This Row],[Memo]]="Browser:chrome os:android","平板報工",IF(record[[#This Row],[Memo]]=0,"委外",record[[#This Row],[Memo]]))</f>
        <v/>
      </c>
      <c r="O431" t="s">
        <v>58</v>
      </c>
      <c r="P431" t="s">
        <v>107</v>
      </c>
      <c r="Q431" t="s">
        <v>58</v>
      </c>
      <c r="R431" t="str">
        <f>IFERROR(VLOOKUP(record[[#This Row],[PCUSTID]],廠商[],2,FALSE),"")</f>
        <v/>
      </c>
      <c r="S431" t="str">
        <f>VLOOKUP(record[[#This Row],[employeeID]],員工[],2,FALSE)</f>
        <v>黎氏順</v>
      </c>
    </row>
    <row r="432" spans="6:19" hidden="1" x14ac:dyDescent="0.25">
      <c r="F432" t="s">
        <v>1987</v>
      </c>
      <c r="G432" t="s">
        <v>447</v>
      </c>
      <c r="H432" t="str">
        <f>VLOOKUP(record[[#This Row],[ProcessSN]],表格2_7[],2,FALSE)</f>
        <v>30-4118-018-6XX</v>
      </c>
      <c r="I432" t="str">
        <f>VLOOKUP(record[[#This Row],[ProcessSN]],表格2_7[],3,FALSE)</f>
        <v>#03</v>
      </c>
      <c r="J432" t="s">
        <v>588</v>
      </c>
      <c r="K432" s="195">
        <v>46151.687569444446</v>
      </c>
      <c r="L432">
        <v>1492</v>
      </c>
      <c r="M432">
        <v>0</v>
      </c>
      <c r="N432" s="98" t="str">
        <f>IF(record[[#This Row],[Memo]]="Browser:chrome os:android","平板報工",IF(record[[#This Row],[Memo]]=0,"委外",record[[#This Row],[Memo]]))</f>
        <v/>
      </c>
      <c r="O432" t="s">
        <v>58</v>
      </c>
      <c r="P432" t="s">
        <v>101</v>
      </c>
      <c r="Q432" t="s">
        <v>58</v>
      </c>
      <c r="R432" t="str">
        <f>IFERROR(VLOOKUP(record[[#This Row],[PCUSTID]],廠商[],2,FALSE),"")</f>
        <v/>
      </c>
      <c r="S432" t="str">
        <f>VLOOKUP(record[[#This Row],[employeeID]],員工[],2,FALSE)</f>
        <v>陳氏絨</v>
      </c>
    </row>
    <row r="433" spans="6:19" hidden="1" x14ac:dyDescent="0.25">
      <c r="F433" t="s">
        <v>1945</v>
      </c>
      <c r="G433" t="s">
        <v>452</v>
      </c>
      <c r="H433" t="str">
        <f>VLOOKUP(record[[#This Row],[ProcessSN]],表格2_7[],2,FALSE)</f>
        <v>30-4118-018-6XX</v>
      </c>
      <c r="I433" t="str">
        <f>VLOOKUP(record[[#This Row],[ProcessSN]],表格2_7[],3,FALSE)</f>
        <v>#07QC</v>
      </c>
      <c r="J433" t="s">
        <v>589</v>
      </c>
      <c r="K433" s="195">
        <v>46151.682592592595</v>
      </c>
      <c r="L433">
        <v>384</v>
      </c>
      <c r="M433">
        <v>0</v>
      </c>
      <c r="N433" s="98" t="str">
        <f>IF(record[[#This Row],[Memo]]="Browser:chrome os:android","平板報工",IF(record[[#This Row],[Memo]]=0,"委外",record[[#This Row],[Memo]]))</f>
        <v/>
      </c>
      <c r="O433" t="s">
        <v>58</v>
      </c>
      <c r="P433" t="s">
        <v>141</v>
      </c>
      <c r="Q433" t="s">
        <v>58</v>
      </c>
      <c r="R433" t="str">
        <f>IFERROR(VLOOKUP(record[[#This Row],[PCUSTID]],廠商[],2,FALSE),"")</f>
        <v/>
      </c>
      <c r="S433" t="str">
        <f>VLOOKUP(record[[#This Row],[employeeID]],員工[],2,FALSE)</f>
        <v>蔣梅</v>
      </c>
    </row>
    <row r="434" spans="6:19" hidden="1" x14ac:dyDescent="0.25">
      <c r="F434" t="s">
        <v>1944</v>
      </c>
      <c r="G434" t="s">
        <v>415</v>
      </c>
      <c r="H434" t="str">
        <f>VLOOKUP(record[[#This Row],[ProcessSN]],表格2_7[],2,FALSE)</f>
        <v>30-4118-018-5XX</v>
      </c>
      <c r="I434" t="str">
        <f>VLOOKUP(record[[#This Row],[ProcessSN]],表格2_7[],3,FALSE)</f>
        <v>#04</v>
      </c>
      <c r="J434" t="s">
        <v>588</v>
      </c>
      <c r="K434" s="195">
        <v>46151.673368055555</v>
      </c>
      <c r="L434">
        <v>76</v>
      </c>
      <c r="M434">
        <v>0</v>
      </c>
      <c r="N434" s="98" t="str">
        <f>IF(record[[#This Row],[Memo]]="Browser:chrome os:android","平板報工",IF(record[[#This Row],[Memo]]=0,"委外",record[[#This Row],[Memo]]))</f>
        <v/>
      </c>
      <c r="O434" t="s">
        <v>58</v>
      </c>
      <c r="P434" t="s">
        <v>188</v>
      </c>
      <c r="Q434" t="s">
        <v>58</v>
      </c>
      <c r="R434" t="str">
        <f>IFERROR(VLOOKUP(record[[#This Row],[PCUSTID]],廠商[],2,FALSE),"")</f>
        <v/>
      </c>
      <c r="S434" t="str">
        <f>VLOOKUP(record[[#This Row],[employeeID]],員工[],2,FALSE)</f>
        <v>阮氏璧紅</v>
      </c>
    </row>
    <row r="435" spans="6:19" hidden="1" x14ac:dyDescent="0.25">
      <c r="F435" t="s">
        <v>1945</v>
      </c>
      <c r="G435" t="s">
        <v>452</v>
      </c>
      <c r="H435" t="str">
        <f>VLOOKUP(record[[#This Row],[ProcessSN]],表格2_7[],2,FALSE)</f>
        <v>30-4118-018-6XX</v>
      </c>
      <c r="I435" t="str">
        <f>VLOOKUP(record[[#This Row],[ProcessSN]],表格2_7[],3,FALSE)</f>
        <v>#07QC</v>
      </c>
      <c r="J435" t="s">
        <v>589</v>
      </c>
      <c r="K435" s="195">
        <v>46151.358668981484</v>
      </c>
      <c r="L435">
        <v>0</v>
      </c>
      <c r="M435">
        <v>107</v>
      </c>
      <c r="N435" s="98" t="str">
        <f>IF(record[[#This Row],[Memo]]="Browser:chrome os:android","平板報工",IF(record[[#This Row],[Memo]]=0,"委外",record[[#This Row],[Memo]]))</f>
        <v>頭不尺寸NG(12.55以下)</v>
      </c>
      <c r="O435" t="s">
        <v>1994</v>
      </c>
      <c r="P435" t="s">
        <v>141</v>
      </c>
      <c r="Q435" t="s">
        <v>58</v>
      </c>
      <c r="R435" t="str">
        <f>IFERROR(VLOOKUP(record[[#This Row],[PCUSTID]],廠商[],2,FALSE),"")</f>
        <v/>
      </c>
      <c r="S435" t="str">
        <f>VLOOKUP(record[[#This Row],[employeeID]],員工[],2,FALSE)</f>
        <v>蔣梅</v>
      </c>
    </row>
    <row r="436" spans="6:19" hidden="1" x14ac:dyDescent="0.25">
      <c r="F436" t="s">
        <v>1906</v>
      </c>
      <c r="G436" t="s">
        <v>416</v>
      </c>
      <c r="H436" t="str">
        <f>VLOOKUP(record[[#This Row],[ProcessSN]],表格2_7[],2,FALSE)</f>
        <v>30-4118-018-5XX</v>
      </c>
      <c r="I436" t="str">
        <f>VLOOKUP(record[[#This Row],[ProcessSN]],表格2_7[],3,FALSE)</f>
        <v>#05</v>
      </c>
      <c r="J436" t="s">
        <v>588</v>
      </c>
      <c r="K436" s="195">
        <v>46151.329085648147</v>
      </c>
      <c r="L436">
        <v>59</v>
      </c>
      <c r="M436">
        <v>0</v>
      </c>
      <c r="N436" s="98" t="str">
        <f>IF(record[[#This Row],[Memo]]="Browser:chrome os:android","平板報工",IF(record[[#This Row],[Memo]]=0,"委外",record[[#This Row],[Memo]]))</f>
        <v/>
      </c>
      <c r="O436" t="s">
        <v>58</v>
      </c>
      <c r="P436" t="s">
        <v>135</v>
      </c>
      <c r="Q436" t="s">
        <v>58</v>
      </c>
      <c r="R436" t="str">
        <f>IFERROR(VLOOKUP(record[[#This Row],[PCUSTID]],廠商[],2,FALSE),"")</f>
        <v/>
      </c>
      <c r="S436" t="str">
        <f>VLOOKUP(record[[#This Row],[employeeID]],員工[],2,FALSE)</f>
        <v>阮士文</v>
      </c>
    </row>
    <row r="437" spans="6:19" hidden="1" x14ac:dyDescent="0.25">
      <c r="F437" t="s">
        <v>1982</v>
      </c>
      <c r="G437" t="s">
        <v>426</v>
      </c>
      <c r="H437" t="str">
        <f>VLOOKUP(record[[#This Row],[ProcessSN]],表格2_7[],2,FALSE)</f>
        <v>30-4118-018-600</v>
      </c>
      <c r="I437" t="str">
        <f>VLOOKUP(record[[#This Row],[ProcessSN]],表格2_7[],3,FALSE)</f>
        <v>#100OQC</v>
      </c>
      <c r="J437" t="s">
        <v>599</v>
      </c>
      <c r="K437" s="195">
        <v>46151.325138888889</v>
      </c>
      <c r="L437">
        <v>105</v>
      </c>
      <c r="M437">
        <v>0</v>
      </c>
      <c r="N437" s="98" t="str">
        <f>IF(record[[#This Row],[Memo]]="Browser:chrome os:android","平板報工",IF(record[[#This Row],[Memo]]=0,"委外",record[[#This Row],[Memo]]))</f>
        <v/>
      </c>
      <c r="O437" t="s">
        <v>58</v>
      </c>
      <c r="P437" t="s">
        <v>121</v>
      </c>
      <c r="Q437" t="s">
        <v>58</v>
      </c>
      <c r="R437" t="str">
        <f>IFERROR(VLOOKUP(record[[#This Row],[PCUSTID]],廠商[],2,FALSE),"")</f>
        <v/>
      </c>
      <c r="S437" t="str">
        <f>VLOOKUP(record[[#This Row],[employeeID]],員工[],2,FALSE)</f>
        <v>謝素卿</v>
      </c>
    </row>
    <row r="438" spans="6:19" hidden="1" x14ac:dyDescent="0.25">
      <c r="F438" t="s">
        <v>1945</v>
      </c>
      <c r="G438" t="s">
        <v>450</v>
      </c>
      <c r="H438" t="str">
        <f>VLOOKUP(record[[#This Row],[ProcessSN]],表格2_7[],2,FALSE)</f>
        <v>30-4118-018-6XX</v>
      </c>
      <c r="I438" t="str">
        <f>VLOOKUP(record[[#This Row],[ProcessSN]],表格2_7[],3,FALSE)</f>
        <v>#06</v>
      </c>
      <c r="J438" t="s">
        <v>593</v>
      </c>
      <c r="K438" s="195">
        <v>46151.297685185185</v>
      </c>
      <c r="L438">
        <v>121</v>
      </c>
      <c r="M438">
        <v>0</v>
      </c>
      <c r="N438" s="98" t="str">
        <f>IF(record[[#This Row],[Memo]]="Browser:chrome os:android","平板報工",IF(record[[#This Row],[Memo]]=0,"委外",record[[#This Row],[Memo]]))</f>
        <v>平板報工</v>
      </c>
      <c r="O438" t="s">
        <v>643</v>
      </c>
      <c r="P438" t="s">
        <v>806</v>
      </c>
      <c r="Q438" t="s">
        <v>644</v>
      </c>
      <c r="R438" t="str">
        <f>IFERROR(VLOOKUP(record[[#This Row],[PCUSTID]],廠商[],2,FALSE),"")</f>
        <v/>
      </c>
      <c r="S438" t="str">
        <f>VLOOKUP(record[[#This Row],[employeeID]],員工[],2,FALSE)</f>
        <v>方思緯</v>
      </c>
    </row>
    <row r="439" spans="6:19" x14ac:dyDescent="0.25">
      <c r="F439" t="s">
        <v>1924</v>
      </c>
      <c r="G439" t="s">
        <v>450</v>
      </c>
      <c r="H439" t="str">
        <f>VLOOKUP(record[[#This Row],[ProcessSN]],表格2_7[],2,FALSE)</f>
        <v>30-4118-018-6XX</v>
      </c>
      <c r="I439" t="str">
        <f>VLOOKUP(record[[#This Row],[ProcessSN]],表格2_7[],3,FALSE)</f>
        <v>#06</v>
      </c>
      <c r="J439" t="s">
        <v>593</v>
      </c>
      <c r="K439" s="195">
        <v>46151.297349537039</v>
      </c>
      <c r="L439">
        <v>158</v>
      </c>
      <c r="M439">
        <v>0</v>
      </c>
      <c r="N439" s="98" t="str">
        <f>IF(record[[#This Row],[Memo]]="Browser:chrome os:android","平板報工",IF(record[[#This Row],[Memo]]=0,"委外",record[[#This Row],[Memo]]))</f>
        <v>平板報工</v>
      </c>
      <c r="O439" t="s">
        <v>643</v>
      </c>
      <c r="P439" t="s">
        <v>806</v>
      </c>
      <c r="Q439" t="s">
        <v>644</v>
      </c>
      <c r="R439" t="str">
        <f>IFERROR(VLOOKUP(record[[#This Row],[PCUSTID]],廠商[],2,FALSE),"")</f>
        <v/>
      </c>
      <c r="S439" t="str">
        <f>VLOOKUP(record[[#This Row],[employeeID]],員工[],2,FALSE)</f>
        <v>方思緯</v>
      </c>
    </row>
    <row r="440" spans="6:19" hidden="1" x14ac:dyDescent="0.25">
      <c r="F440" t="s">
        <v>1945</v>
      </c>
      <c r="G440" t="s">
        <v>451</v>
      </c>
      <c r="H440" t="str">
        <f>VLOOKUP(record[[#This Row],[ProcessSN]],表格2_7[],2,FALSE)</f>
        <v>30-4118-018-6XX</v>
      </c>
      <c r="I440" t="str">
        <f>VLOOKUP(record[[#This Row],[ProcessSN]],表格2_7[],3,FALSE)</f>
        <v>#07</v>
      </c>
      <c r="J440" t="s">
        <v>588</v>
      </c>
      <c r="K440" s="195">
        <v>46151.296064814815</v>
      </c>
      <c r="L440">
        <v>201</v>
      </c>
      <c r="M440">
        <v>0</v>
      </c>
      <c r="N440" s="98" t="str">
        <f>IF(record[[#This Row],[Memo]]="Browser:chrome os:android","平板報工",IF(record[[#This Row],[Memo]]=0,"委外",record[[#This Row],[Memo]]))</f>
        <v>平板報工</v>
      </c>
      <c r="O440" t="s">
        <v>643</v>
      </c>
      <c r="P440" t="s">
        <v>843</v>
      </c>
      <c r="Q440" t="s">
        <v>644</v>
      </c>
      <c r="R440" t="str">
        <f>IFERROR(VLOOKUP(record[[#This Row],[PCUSTID]],廠商[],2,FALSE),"")</f>
        <v/>
      </c>
      <c r="S440" t="str">
        <f>VLOOKUP(record[[#This Row],[employeeID]],員工[],2,FALSE)</f>
        <v>張楚承</v>
      </c>
    </row>
    <row r="441" spans="6:19" hidden="1" x14ac:dyDescent="0.25">
      <c r="F441" t="s">
        <v>1906</v>
      </c>
      <c r="G441" t="s">
        <v>415</v>
      </c>
      <c r="H441" t="str">
        <f>VLOOKUP(record[[#This Row],[ProcessSN]],表格2_7[],2,FALSE)</f>
        <v>30-4118-018-5XX</v>
      </c>
      <c r="I441" t="str">
        <f>VLOOKUP(record[[#This Row],[ProcessSN]],表格2_7[],3,FALSE)</f>
        <v>#04</v>
      </c>
      <c r="J441" t="s">
        <v>588</v>
      </c>
      <c r="K441" s="195">
        <v>46151.295011574075</v>
      </c>
      <c r="L441">
        <v>93</v>
      </c>
      <c r="M441">
        <v>0</v>
      </c>
      <c r="N441" s="98" t="str">
        <f>IF(record[[#This Row],[Memo]]="Browser:chrome os:android","平板報工",IF(record[[#This Row],[Memo]]=0,"委外",record[[#This Row],[Memo]]))</f>
        <v>平板報工</v>
      </c>
      <c r="O441" t="s">
        <v>643</v>
      </c>
      <c r="P441" t="s">
        <v>806</v>
      </c>
      <c r="Q441" t="s">
        <v>644</v>
      </c>
      <c r="R441" t="str">
        <f>IFERROR(VLOOKUP(record[[#This Row],[PCUSTID]],廠商[],2,FALSE),"")</f>
        <v/>
      </c>
      <c r="S441" t="str">
        <f>VLOOKUP(record[[#This Row],[employeeID]],員工[],2,FALSE)</f>
        <v>方思緯</v>
      </c>
    </row>
    <row r="442" spans="6:19" x14ac:dyDescent="0.25">
      <c r="F442" t="s">
        <v>1924</v>
      </c>
      <c r="G442" t="s">
        <v>449</v>
      </c>
      <c r="H442" t="str">
        <f>VLOOKUP(record[[#This Row],[ProcessSN]],表格2_7[],2,FALSE)</f>
        <v>30-4118-018-6XX</v>
      </c>
      <c r="I442" t="str">
        <f>VLOOKUP(record[[#This Row],[ProcessSN]],表格2_7[],3,FALSE)</f>
        <v>#05</v>
      </c>
      <c r="J442" t="s">
        <v>588</v>
      </c>
      <c r="K442" s="195">
        <v>46151.293553240743</v>
      </c>
      <c r="L442">
        <v>157</v>
      </c>
      <c r="M442">
        <v>0</v>
      </c>
      <c r="N442" s="98" t="str">
        <f>IF(record[[#This Row],[Memo]]="Browser:chrome os:android","平板報工",IF(record[[#This Row],[Memo]]=0,"委外",record[[#This Row],[Memo]]))</f>
        <v>平板報工</v>
      </c>
      <c r="O442" t="s">
        <v>643</v>
      </c>
      <c r="P442" t="s">
        <v>843</v>
      </c>
      <c r="Q442" t="s">
        <v>644</v>
      </c>
      <c r="R442" t="str">
        <f>IFERROR(VLOOKUP(record[[#This Row],[PCUSTID]],廠商[],2,FALSE),"")</f>
        <v/>
      </c>
      <c r="S442" t="str">
        <f>VLOOKUP(record[[#This Row],[employeeID]],員工[],2,FALSE)</f>
        <v>張楚承</v>
      </c>
    </row>
    <row r="443" spans="6:19" x14ac:dyDescent="0.25">
      <c r="F443" t="s">
        <v>1924</v>
      </c>
      <c r="G443" t="s">
        <v>448</v>
      </c>
      <c r="H443" t="str">
        <f>VLOOKUP(record[[#This Row],[ProcessSN]],表格2_7[],2,FALSE)</f>
        <v>30-4118-018-6XX</v>
      </c>
      <c r="I443" t="str">
        <f>VLOOKUP(record[[#This Row],[ProcessSN]],表格2_7[],3,FALSE)</f>
        <v>#04</v>
      </c>
      <c r="J443" t="s">
        <v>588</v>
      </c>
      <c r="K443" s="195">
        <v>46151.291331018518</v>
      </c>
      <c r="L443">
        <v>157</v>
      </c>
      <c r="M443">
        <v>0</v>
      </c>
      <c r="N443" s="98" t="str">
        <f>IF(record[[#This Row],[Memo]]="Browser:chrome os:android","平板報工",IF(record[[#This Row],[Memo]]=0,"委外",record[[#This Row],[Memo]]))</f>
        <v>平板報工</v>
      </c>
      <c r="O443" t="s">
        <v>643</v>
      </c>
      <c r="P443" t="s">
        <v>806</v>
      </c>
      <c r="Q443" t="s">
        <v>644</v>
      </c>
      <c r="R443" t="str">
        <f>IFERROR(VLOOKUP(record[[#This Row],[PCUSTID]],廠商[],2,FALSE),"")</f>
        <v/>
      </c>
      <c r="S443" t="str">
        <f>VLOOKUP(record[[#This Row],[employeeID]],員工[],2,FALSE)</f>
        <v>方思緯</v>
      </c>
    </row>
    <row r="444" spans="6:19" hidden="1" x14ac:dyDescent="0.25">
      <c r="F444" t="s">
        <v>1944</v>
      </c>
      <c r="G444" t="s">
        <v>415</v>
      </c>
      <c r="H444" t="str">
        <f>VLOOKUP(record[[#This Row],[ProcessSN]],表格2_7[],2,FALSE)</f>
        <v>30-4118-018-5XX</v>
      </c>
      <c r="I444" t="str">
        <f>VLOOKUP(record[[#This Row],[ProcessSN]],表格2_7[],3,FALSE)</f>
        <v>#04</v>
      </c>
      <c r="J444" t="s">
        <v>588</v>
      </c>
      <c r="K444" s="195">
        <v>46151.288842592592</v>
      </c>
      <c r="L444">
        <v>100</v>
      </c>
      <c r="M444">
        <v>2</v>
      </c>
      <c r="N444" s="98" t="str">
        <f>IF(record[[#This Row],[Memo]]="Browser:chrome os:android","平板報工",IF(record[[#This Row],[Memo]]=0,"委外",record[[#This Row],[Memo]]))</f>
        <v>平板報工</v>
      </c>
      <c r="O444" t="s">
        <v>643</v>
      </c>
      <c r="P444" t="s">
        <v>806</v>
      </c>
      <c r="Q444" t="s">
        <v>644</v>
      </c>
      <c r="R444" t="str">
        <f>IFERROR(VLOOKUP(record[[#This Row],[PCUSTID]],廠商[],2,FALSE),"")</f>
        <v/>
      </c>
      <c r="S444" t="str">
        <f>VLOOKUP(record[[#This Row],[employeeID]],員工[],2,FALSE)</f>
        <v>方思緯</v>
      </c>
    </row>
    <row r="445" spans="6:19" hidden="1" x14ac:dyDescent="0.25">
      <c r="F445" t="s">
        <v>1945</v>
      </c>
      <c r="G445" t="s">
        <v>450</v>
      </c>
      <c r="H445" t="str">
        <f>VLOOKUP(record[[#This Row],[ProcessSN]],表格2_7[],2,FALSE)</f>
        <v>30-4118-018-6XX</v>
      </c>
      <c r="I445" t="str">
        <f>VLOOKUP(record[[#This Row],[ProcessSN]],表格2_7[],3,FALSE)</f>
        <v>#06</v>
      </c>
      <c r="J445" t="s">
        <v>593</v>
      </c>
      <c r="K445" s="195">
        <v>46151.038136574076</v>
      </c>
      <c r="L445">
        <v>134</v>
      </c>
      <c r="M445">
        <v>0</v>
      </c>
      <c r="N445" s="98" t="str">
        <f>IF(record[[#This Row],[Memo]]="Browser:chrome os:android","平板報工",IF(record[[#This Row],[Memo]]=0,"委外",record[[#This Row],[Memo]]))</f>
        <v/>
      </c>
      <c r="O445" t="s">
        <v>58</v>
      </c>
      <c r="P445" t="s">
        <v>841</v>
      </c>
      <c r="Q445" t="s">
        <v>58</v>
      </c>
      <c r="R445" t="str">
        <f>IFERROR(VLOOKUP(record[[#This Row],[PCUSTID]],廠商[],2,FALSE),"")</f>
        <v/>
      </c>
      <c r="S445" t="str">
        <f>VLOOKUP(record[[#This Row],[employeeID]],員工[],2,FALSE)</f>
        <v>范氏香</v>
      </c>
    </row>
    <row r="446" spans="6:19" hidden="1" x14ac:dyDescent="0.25">
      <c r="F446" t="s">
        <v>1945</v>
      </c>
      <c r="G446" t="s">
        <v>449</v>
      </c>
      <c r="H446" t="str">
        <f>VLOOKUP(record[[#This Row],[ProcessSN]],表格2_7[],2,FALSE)</f>
        <v>30-4118-018-6XX</v>
      </c>
      <c r="I446" t="str">
        <f>VLOOKUP(record[[#This Row],[ProcessSN]],表格2_7[],3,FALSE)</f>
        <v>#05</v>
      </c>
      <c r="J446" t="s">
        <v>588</v>
      </c>
      <c r="K446" s="195">
        <v>46151.030578703707</v>
      </c>
      <c r="L446">
        <v>200</v>
      </c>
      <c r="M446">
        <v>0</v>
      </c>
      <c r="N446" s="98" t="str">
        <f>IF(record[[#This Row],[Memo]]="Browser:chrome os:android","平板報工",IF(record[[#This Row],[Memo]]=0,"委外",record[[#This Row],[Memo]]))</f>
        <v>平板報工</v>
      </c>
      <c r="O446" t="s">
        <v>643</v>
      </c>
      <c r="P446" t="s">
        <v>1847</v>
      </c>
      <c r="Q446" t="s">
        <v>644</v>
      </c>
      <c r="R446" t="str">
        <f>IFERROR(VLOOKUP(record[[#This Row],[PCUSTID]],廠商[],2,FALSE),"")</f>
        <v/>
      </c>
      <c r="S446" t="str">
        <f>VLOOKUP(record[[#This Row],[employeeID]],員工[],2,FALSE)</f>
        <v>潘黎慶平</v>
      </c>
    </row>
    <row r="447" spans="6:19" hidden="1" x14ac:dyDescent="0.25">
      <c r="F447" t="s">
        <v>1945</v>
      </c>
      <c r="G447" t="s">
        <v>448</v>
      </c>
      <c r="H447" t="str">
        <f>VLOOKUP(record[[#This Row],[ProcessSN]],表格2_7[],2,FALSE)</f>
        <v>30-4118-018-6XX</v>
      </c>
      <c r="I447" t="str">
        <f>VLOOKUP(record[[#This Row],[ProcessSN]],表格2_7[],3,FALSE)</f>
        <v>#04</v>
      </c>
      <c r="J447" t="s">
        <v>588</v>
      </c>
      <c r="K447" s="195">
        <v>46151.02789351852</v>
      </c>
      <c r="L447">
        <v>31</v>
      </c>
      <c r="M447">
        <v>0</v>
      </c>
      <c r="N447" s="98" t="str">
        <f>IF(record[[#This Row],[Memo]]="Browser:chrome os:android","平板報工",IF(record[[#This Row],[Memo]]=0,"委外",record[[#This Row],[Memo]]))</f>
        <v>平板報工</v>
      </c>
      <c r="O447" t="s">
        <v>643</v>
      </c>
      <c r="P447" t="s">
        <v>1098</v>
      </c>
      <c r="Q447" t="s">
        <v>644</v>
      </c>
      <c r="R447" t="str">
        <f>IFERROR(VLOOKUP(record[[#This Row],[PCUSTID]],廠商[],2,FALSE),"")</f>
        <v/>
      </c>
      <c r="S447" t="str">
        <f>VLOOKUP(record[[#This Row],[employeeID]],員工[],2,FALSE)</f>
        <v>阮氏芳英(英)</v>
      </c>
    </row>
    <row r="448" spans="6:19" hidden="1" x14ac:dyDescent="0.25">
      <c r="F448" t="s">
        <v>1945</v>
      </c>
      <c r="G448" t="s">
        <v>451</v>
      </c>
      <c r="H448" t="str">
        <f>VLOOKUP(record[[#This Row],[ProcessSN]],表格2_7[],2,FALSE)</f>
        <v>30-4118-018-6XX</v>
      </c>
      <c r="I448" t="str">
        <f>VLOOKUP(record[[#This Row],[ProcessSN]],表格2_7[],3,FALSE)</f>
        <v>#07</v>
      </c>
      <c r="J448" t="s">
        <v>588</v>
      </c>
      <c r="K448" s="195">
        <v>46151.02412037037</v>
      </c>
      <c r="L448">
        <v>0</v>
      </c>
      <c r="M448">
        <v>2</v>
      </c>
      <c r="N448" s="98" t="str">
        <f>IF(record[[#This Row],[Memo]]="Browser:chrome os:android","平板報工",IF(record[[#This Row],[Memo]]=0,"委外",record[[#This Row],[Memo]]))</f>
        <v/>
      </c>
      <c r="O448" t="s">
        <v>58</v>
      </c>
      <c r="P448" t="s">
        <v>89</v>
      </c>
      <c r="Q448" t="s">
        <v>58</v>
      </c>
      <c r="R448" t="str">
        <f>IFERROR(VLOOKUP(record[[#This Row],[PCUSTID]],廠商[],2,FALSE),"")</f>
        <v/>
      </c>
      <c r="S448" t="str">
        <f>VLOOKUP(record[[#This Row],[employeeID]],員工[],2,FALSE)</f>
        <v>李美蓮</v>
      </c>
    </row>
    <row r="449" spans="6:19" hidden="1" x14ac:dyDescent="0.25">
      <c r="F449" t="s">
        <v>1945</v>
      </c>
      <c r="G449" t="s">
        <v>451</v>
      </c>
      <c r="H449" t="str">
        <f>VLOOKUP(record[[#This Row],[ProcessSN]],表格2_7[],2,FALSE)</f>
        <v>30-4118-018-6XX</v>
      </c>
      <c r="I449" t="str">
        <f>VLOOKUP(record[[#This Row],[ProcessSN]],表格2_7[],3,FALSE)</f>
        <v>#07</v>
      </c>
      <c r="J449" t="s">
        <v>588</v>
      </c>
      <c r="K449" s="195">
        <v>46150.984525462962</v>
      </c>
      <c r="L449">
        <v>256</v>
      </c>
      <c r="M449">
        <v>0</v>
      </c>
      <c r="N449" s="98" t="str">
        <f>IF(record[[#This Row],[Memo]]="Browser:chrome os:android","平板報工",IF(record[[#This Row],[Memo]]=0,"委外",record[[#This Row],[Memo]]))</f>
        <v>平板報工</v>
      </c>
      <c r="O449" t="s">
        <v>643</v>
      </c>
      <c r="P449" t="s">
        <v>89</v>
      </c>
      <c r="Q449" t="s">
        <v>644</v>
      </c>
      <c r="R449" t="str">
        <f>IFERROR(VLOOKUP(record[[#This Row],[PCUSTID]],廠商[],2,FALSE),"")</f>
        <v/>
      </c>
      <c r="S449" t="str">
        <f>VLOOKUP(record[[#This Row],[employeeID]],員工[],2,FALSE)</f>
        <v>李美蓮</v>
      </c>
    </row>
    <row r="450" spans="6:19" hidden="1" x14ac:dyDescent="0.25">
      <c r="F450" t="s">
        <v>1982</v>
      </c>
      <c r="G450" t="s">
        <v>425</v>
      </c>
      <c r="H450" t="str">
        <f>VLOOKUP(record[[#This Row],[ProcessSN]],表格2_7[],2,FALSE)</f>
        <v>30-4118-018-600</v>
      </c>
      <c r="I450" t="str">
        <f>VLOOKUP(record[[#This Row],[ProcessSN]],表格2_7[],3,FALSE)</f>
        <v>#100</v>
      </c>
      <c r="J450" t="s">
        <v>598</v>
      </c>
      <c r="K450" s="195">
        <v>46150.823495370372</v>
      </c>
      <c r="L450">
        <v>0</v>
      </c>
      <c r="M450">
        <v>44</v>
      </c>
      <c r="N450" s="98" t="str">
        <f>IF(record[[#This Row],[Memo]]="Browser:chrome os:android","平板報工",IF(record[[#This Row],[Memo]]=0,"委外",record[[#This Row],[Memo]]))</f>
        <v>平板報工</v>
      </c>
      <c r="O450" t="s">
        <v>643</v>
      </c>
      <c r="P450" t="s">
        <v>141</v>
      </c>
      <c r="Q450" t="s">
        <v>644</v>
      </c>
      <c r="R450" t="str">
        <f>IFERROR(VLOOKUP(record[[#This Row],[PCUSTID]],廠商[],2,FALSE),"")</f>
        <v/>
      </c>
      <c r="S450" t="str">
        <f>VLOOKUP(record[[#This Row],[employeeID]],員工[],2,FALSE)</f>
        <v>蔣梅</v>
      </c>
    </row>
    <row r="451" spans="6:19" hidden="1" x14ac:dyDescent="0.25">
      <c r="F451" t="s">
        <v>1982</v>
      </c>
      <c r="G451" t="s">
        <v>425</v>
      </c>
      <c r="H451" t="str">
        <f>VLOOKUP(record[[#This Row],[ProcessSN]],表格2_7[],2,FALSE)</f>
        <v>30-4118-018-600</v>
      </c>
      <c r="I451" t="str">
        <f>VLOOKUP(record[[#This Row],[ProcessSN]],表格2_7[],3,FALSE)</f>
        <v>#100</v>
      </c>
      <c r="J451" t="s">
        <v>598</v>
      </c>
      <c r="K451" s="195">
        <v>46150.823240740741</v>
      </c>
      <c r="L451">
        <v>105</v>
      </c>
      <c r="M451">
        <v>0</v>
      </c>
      <c r="N451" s="98" t="str">
        <f>IF(record[[#This Row],[Memo]]="Browser:chrome os:android","平板報工",IF(record[[#This Row],[Memo]]=0,"委外",record[[#This Row],[Memo]]))</f>
        <v>平板報工</v>
      </c>
      <c r="O451" t="s">
        <v>643</v>
      </c>
      <c r="P451" t="s">
        <v>141</v>
      </c>
      <c r="Q451" t="s">
        <v>644</v>
      </c>
      <c r="R451" t="str">
        <f>IFERROR(VLOOKUP(record[[#This Row],[PCUSTID]],廠商[],2,FALSE),"")</f>
        <v/>
      </c>
      <c r="S451" t="str">
        <f>VLOOKUP(record[[#This Row],[employeeID]],員工[],2,FALSE)</f>
        <v>蔣梅</v>
      </c>
    </row>
    <row r="452" spans="6:19" hidden="1" x14ac:dyDescent="0.25">
      <c r="F452" t="s">
        <v>1945</v>
      </c>
      <c r="G452" t="s">
        <v>450</v>
      </c>
      <c r="H452" t="str">
        <f>VLOOKUP(record[[#This Row],[ProcessSN]],表格2_7[],2,FALSE)</f>
        <v>30-4118-018-6XX</v>
      </c>
      <c r="I452" t="str">
        <f>VLOOKUP(record[[#This Row],[ProcessSN]],表格2_7[],3,FALSE)</f>
        <v>#06</v>
      </c>
      <c r="J452" t="s">
        <v>593</v>
      </c>
      <c r="K452" s="195">
        <v>46150.821423611109</v>
      </c>
      <c r="L452">
        <v>70</v>
      </c>
      <c r="M452">
        <v>0</v>
      </c>
      <c r="N452" s="98" t="str">
        <f>IF(record[[#This Row],[Memo]]="Browser:chrome os:android","平板報工",IF(record[[#This Row],[Memo]]=0,"委外",record[[#This Row],[Memo]]))</f>
        <v>平板報工</v>
      </c>
      <c r="O452" t="s">
        <v>643</v>
      </c>
      <c r="P452" t="s">
        <v>1413</v>
      </c>
      <c r="Q452" t="s">
        <v>644</v>
      </c>
      <c r="R452" t="str">
        <f>IFERROR(VLOOKUP(record[[#This Row],[PCUSTID]],廠商[],2,FALSE),"")</f>
        <v/>
      </c>
      <c r="S452" t="str">
        <f>VLOOKUP(record[[#This Row],[employeeID]],員工[],2,FALSE)</f>
        <v>阮氏芳英(芳)</v>
      </c>
    </row>
    <row r="453" spans="6:19" hidden="1" x14ac:dyDescent="0.25">
      <c r="F453" t="s">
        <v>1982</v>
      </c>
      <c r="G453" t="s">
        <v>428</v>
      </c>
      <c r="H453" t="str">
        <f>VLOOKUP(record[[#This Row],[ProcessSN]],表格2_7[],2,FALSE)</f>
        <v>30-4118-018-600</v>
      </c>
      <c r="I453" t="str">
        <f>VLOOKUP(record[[#This Row],[ProcessSN]],表格2_7[],3,FALSE)</f>
        <v>#100SHIP</v>
      </c>
      <c r="J453" t="s">
        <v>600</v>
      </c>
      <c r="K453" s="195">
        <v>46150.783321759256</v>
      </c>
      <c r="L453">
        <v>67</v>
      </c>
      <c r="M453">
        <v>0</v>
      </c>
      <c r="N453" s="98" t="str">
        <f>IF(record[[#This Row],[Memo]]="Browser:chrome os:android","平板報工",IF(record[[#This Row],[Memo]]=0,"委外",record[[#This Row],[Memo]]))</f>
        <v/>
      </c>
      <c r="O453" t="s">
        <v>58</v>
      </c>
      <c r="P453" t="s">
        <v>886</v>
      </c>
      <c r="Q453" t="s">
        <v>58</v>
      </c>
      <c r="R453" t="str">
        <f>IFERROR(VLOOKUP(record[[#This Row],[PCUSTID]],廠商[],2,FALSE),"")</f>
        <v/>
      </c>
      <c r="S453" t="str">
        <f>VLOOKUP(record[[#This Row],[employeeID]],員工[],2,FALSE)</f>
        <v>謝蓁薰</v>
      </c>
    </row>
    <row r="454" spans="6:19" hidden="1" x14ac:dyDescent="0.25">
      <c r="F454" t="s">
        <v>1977</v>
      </c>
      <c r="G454" t="s">
        <v>428</v>
      </c>
      <c r="H454" t="str">
        <f>VLOOKUP(record[[#This Row],[ProcessSN]],表格2_7[],2,FALSE)</f>
        <v>30-4118-018-600</v>
      </c>
      <c r="I454" t="str">
        <f>VLOOKUP(record[[#This Row],[ProcessSN]],表格2_7[],3,FALSE)</f>
        <v>#100SHIP</v>
      </c>
      <c r="J454" t="s">
        <v>600</v>
      </c>
      <c r="K454" s="195">
        <v>46150.783182870371</v>
      </c>
      <c r="L454">
        <v>385</v>
      </c>
      <c r="M454">
        <v>0</v>
      </c>
      <c r="N454" s="98" t="str">
        <f>IF(record[[#This Row],[Memo]]="Browser:chrome os:android","平板報工",IF(record[[#This Row],[Memo]]=0,"委外",record[[#This Row],[Memo]]))</f>
        <v/>
      </c>
      <c r="O454" t="s">
        <v>58</v>
      </c>
      <c r="P454" t="s">
        <v>886</v>
      </c>
      <c r="Q454" t="s">
        <v>58</v>
      </c>
      <c r="R454" t="str">
        <f>IFERROR(VLOOKUP(record[[#This Row],[PCUSTID]],廠商[],2,FALSE),"")</f>
        <v/>
      </c>
      <c r="S454" t="str">
        <f>VLOOKUP(record[[#This Row],[employeeID]],員工[],2,FALSE)</f>
        <v>謝蓁薰</v>
      </c>
    </row>
    <row r="455" spans="6:19" hidden="1" x14ac:dyDescent="0.25">
      <c r="F455" t="s">
        <v>1971</v>
      </c>
      <c r="G455" t="s">
        <v>428</v>
      </c>
      <c r="H455" t="str">
        <f>VLOOKUP(record[[#This Row],[ProcessSN]],表格2_7[],2,FALSE)</f>
        <v>30-4118-018-600</v>
      </c>
      <c r="I455" t="str">
        <f>VLOOKUP(record[[#This Row],[ProcessSN]],表格2_7[],3,FALSE)</f>
        <v>#100SHIP</v>
      </c>
      <c r="J455" t="s">
        <v>600</v>
      </c>
      <c r="K455" s="195">
        <v>46150.783020833333</v>
      </c>
      <c r="L455">
        <v>32</v>
      </c>
      <c r="M455">
        <v>0</v>
      </c>
      <c r="N455" s="98" t="str">
        <f>IF(record[[#This Row],[Memo]]="Browser:chrome os:android","平板報工",IF(record[[#This Row],[Memo]]=0,"委外",record[[#This Row],[Memo]]))</f>
        <v/>
      </c>
      <c r="O455" t="s">
        <v>58</v>
      </c>
      <c r="P455" t="s">
        <v>886</v>
      </c>
      <c r="Q455" t="s">
        <v>58</v>
      </c>
      <c r="R455" t="str">
        <f>IFERROR(VLOOKUP(record[[#This Row],[PCUSTID]],廠商[],2,FALSE),"")</f>
        <v/>
      </c>
      <c r="S455" t="str">
        <f>VLOOKUP(record[[#This Row],[employeeID]],員工[],2,FALSE)</f>
        <v>謝蓁薰</v>
      </c>
    </row>
    <row r="456" spans="6:19" hidden="1" x14ac:dyDescent="0.25">
      <c r="F456" t="s">
        <v>1971</v>
      </c>
      <c r="G456" t="s">
        <v>427</v>
      </c>
      <c r="H456" t="str">
        <f>VLOOKUP(record[[#This Row],[ProcessSN]],表格2_7[],2,FALSE)</f>
        <v>30-4118-018-600</v>
      </c>
      <c r="I456" t="str">
        <f>VLOOKUP(record[[#This Row],[ProcessSN]],表格2_7[],3,FALSE)</f>
        <v>#100STOCK</v>
      </c>
      <c r="J456" t="s">
        <v>592</v>
      </c>
      <c r="K456" s="195">
        <v>46150.782916666663</v>
      </c>
      <c r="L456">
        <v>32</v>
      </c>
      <c r="M456">
        <v>0</v>
      </c>
      <c r="N456" s="98" t="str">
        <f>IF(record[[#This Row],[Memo]]="Browser:chrome os:android","平板報工",IF(record[[#This Row],[Memo]]=0,"委外",record[[#This Row],[Memo]]))</f>
        <v/>
      </c>
      <c r="O456" t="s">
        <v>58</v>
      </c>
      <c r="P456" t="s">
        <v>886</v>
      </c>
      <c r="Q456" t="s">
        <v>58</v>
      </c>
      <c r="R456" t="str">
        <f>IFERROR(VLOOKUP(record[[#This Row],[PCUSTID]],廠商[],2,FALSE),"")</f>
        <v/>
      </c>
      <c r="S456" t="str">
        <f>VLOOKUP(record[[#This Row],[employeeID]],員工[],2,FALSE)</f>
        <v>謝蓁薰</v>
      </c>
    </row>
    <row r="457" spans="6:19" hidden="1" x14ac:dyDescent="0.25">
      <c r="F457" t="s">
        <v>1982</v>
      </c>
      <c r="G457" t="s">
        <v>427</v>
      </c>
      <c r="H457" t="str">
        <f>VLOOKUP(record[[#This Row],[ProcessSN]],表格2_7[],2,FALSE)</f>
        <v>30-4118-018-600</v>
      </c>
      <c r="I457" t="str">
        <f>VLOOKUP(record[[#This Row],[ProcessSN]],表格2_7[],3,FALSE)</f>
        <v>#100STOCK</v>
      </c>
      <c r="J457" t="s">
        <v>592</v>
      </c>
      <c r="K457" s="195">
        <v>46150.782789351855</v>
      </c>
      <c r="L457">
        <v>67</v>
      </c>
      <c r="M457">
        <v>0</v>
      </c>
      <c r="N457" s="98" t="str">
        <f>IF(record[[#This Row],[Memo]]="Browser:chrome os:android","平板報工",IF(record[[#This Row],[Memo]]=0,"委外",record[[#This Row],[Memo]]))</f>
        <v/>
      </c>
      <c r="O457" t="s">
        <v>58</v>
      </c>
      <c r="P457" t="s">
        <v>886</v>
      </c>
      <c r="Q457" t="s">
        <v>58</v>
      </c>
      <c r="R457" t="str">
        <f>IFERROR(VLOOKUP(record[[#This Row],[PCUSTID]],廠商[],2,FALSE),"")</f>
        <v/>
      </c>
      <c r="S457" t="str">
        <f>VLOOKUP(record[[#This Row],[employeeID]],員工[],2,FALSE)</f>
        <v>謝蓁薰</v>
      </c>
    </row>
    <row r="458" spans="6:19" hidden="1" x14ac:dyDescent="0.25">
      <c r="F458" t="s">
        <v>1977</v>
      </c>
      <c r="G458" t="s">
        <v>427</v>
      </c>
      <c r="H458" t="str">
        <f>VLOOKUP(record[[#This Row],[ProcessSN]],表格2_7[],2,FALSE)</f>
        <v>30-4118-018-600</v>
      </c>
      <c r="I458" t="str">
        <f>VLOOKUP(record[[#This Row],[ProcessSN]],表格2_7[],3,FALSE)</f>
        <v>#100STOCK</v>
      </c>
      <c r="J458" t="s">
        <v>592</v>
      </c>
      <c r="K458" s="195">
        <v>46150.78266203704</v>
      </c>
      <c r="L458">
        <v>385</v>
      </c>
      <c r="M458">
        <v>0</v>
      </c>
      <c r="N458" s="98" t="str">
        <f>IF(record[[#This Row],[Memo]]="Browser:chrome os:android","平板報工",IF(record[[#This Row],[Memo]]=0,"委外",record[[#This Row],[Memo]]))</f>
        <v/>
      </c>
      <c r="O458" t="s">
        <v>58</v>
      </c>
      <c r="P458" t="s">
        <v>886</v>
      </c>
      <c r="Q458" t="s">
        <v>58</v>
      </c>
      <c r="R458" t="str">
        <f>IFERROR(VLOOKUP(record[[#This Row],[PCUSTID]],廠商[],2,FALSE),"")</f>
        <v/>
      </c>
      <c r="S458" t="str">
        <f>VLOOKUP(record[[#This Row],[employeeID]],員工[],2,FALSE)</f>
        <v>謝蓁薰</v>
      </c>
    </row>
    <row r="459" spans="6:19" hidden="1" x14ac:dyDescent="0.25">
      <c r="F459" t="s">
        <v>1982</v>
      </c>
      <c r="G459" t="s">
        <v>426</v>
      </c>
      <c r="H459" t="str">
        <f>VLOOKUP(record[[#This Row],[ProcessSN]],表格2_7[],2,FALSE)</f>
        <v>30-4118-018-600</v>
      </c>
      <c r="I459" t="str">
        <f>VLOOKUP(record[[#This Row],[ProcessSN]],表格2_7[],3,FALSE)</f>
        <v>#100OQC</v>
      </c>
      <c r="J459" t="s">
        <v>599</v>
      </c>
      <c r="K459" s="195">
        <v>46150.7655787037</v>
      </c>
      <c r="L459">
        <v>67</v>
      </c>
      <c r="M459">
        <v>0</v>
      </c>
      <c r="N459" s="98" t="str">
        <f>IF(record[[#This Row],[Memo]]="Browser:chrome os:android","平板報工",IF(record[[#This Row],[Memo]]=0,"委外",record[[#This Row],[Memo]]))</f>
        <v/>
      </c>
      <c r="O459" t="s">
        <v>58</v>
      </c>
      <c r="P459" t="s">
        <v>121</v>
      </c>
      <c r="Q459" t="s">
        <v>58</v>
      </c>
      <c r="R459" t="str">
        <f>IFERROR(VLOOKUP(record[[#This Row],[PCUSTID]],廠商[],2,FALSE),"")</f>
        <v/>
      </c>
      <c r="S459" t="str">
        <f>VLOOKUP(record[[#This Row],[employeeID]],員工[],2,FALSE)</f>
        <v>謝素卿</v>
      </c>
    </row>
    <row r="460" spans="6:19" hidden="1" x14ac:dyDescent="0.25">
      <c r="F460" t="s">
        <v>1977</v>
      </c>
      <c r="G460" t="s">
        <v>426</v>
      </c>
      <c r="H460" t="str">
        <f>VLOOKUP(record[[#This Row],[ProcessSN]],表格2_7[],2,FALSE)</f>
        <v>30-4118-018-600</v>
      </c>
      <c r="I460" t="str">
        <f>VLOOKUP(record[[#This Row],[ProcessSN]],表格2_7[],3,FALSE)</f>
        <v>#100OQC</v>
      </c>
      <c r="J460" t="s">
        <v>599</v>
      </c>
      <c r="K460" s="195">
        <v>46150.765439814815</v>
      </c>
      <c r="L460">
        <v>385</v>
      </c>
      <c r="M460">
        <v>0</v>
      </c>
      <c r="N460" s="98" t="str">
        <f>IF(record[[#This Row],[Memo]]="Browser:chrome os:android","平板報工",IF(record[[#This Row],[Memo]]=0,"委外",record[[#This Row],[Memo]]))</f>
        <v/>
      </c>
      <c r="O460" t="s">
        <v>58</v>
      </c>
      <c r="P460" t="s">
        <v>121</v>
      </c>
      <c r="Q460" t="s">
        <v>58</v>
      </c>
      <c r="R460" t="str">
        <f>IFERROR(VLOOKUP(record[[#This Row],[PCUSTID]],廠商[],2,FALSE),"")</f>
        <v/>
      </c>
      <c r="S460" t="str">
        <f>VLOOKUP(record[[#This Row],[employeeID]],員工[],2,FALSE)</f>
        <v>謝素卿</v>
      </c>
    </row>
    <row r="461" spans="6:19" hidden="1" x14ac:dyDescent="0.25">
      <c r="F461" t="s">
        <v>1982</v>
      </c>
      <c r="G461" t="s">
        <v>425</v>
      </c>
      <c r="H461" t="str">
        <f>VLOOKUP(record[[#This Row],[ProcessSN]],表格2_7[],2,FALSE)</f>
        <v>30-4118-018-600</v>
      </c>
      <c r="I461" t="str">
        <f>VLOOKUP(record[[#This Row],[ProcessSN]],表格2_7[],3,FALSE)</f>
        <v>#100</v>
      </c>
      <c r="J461" t="s">
        <v>598</v>
      </c>
      <c r="K461" s="195">
        <v>46150.752604166664</v>
      </c>
      <c r="L461">
        <v>67</v>
      </c>
      <c r="M461">
        <v>0</v>
      </c>
      <c r="N461" s="98" t="str">
        <f>IF(record[[#This Row],[Memo]]="Browser:chrome os:android","平板報工",IF(record[[#This Row],[Memo]]=0,"委外",record[[#This Row],[Memo]]))</f>
        <v/>
      </c>
      <c r="O461" t="s">
        <v>58</v>
      </c>
      <c r="P461" t="s">
        <v>141</v>
      </c>
      <c r="Q461" t="s">
        <v>58</v>
      </c>
      <c r="R461" t="str">
        <f>IFERROR(VLOOKUP(record[[#This Row],[PCUSTID]],廠商[],2,FALSE),"")</f>
        <v/>
      </c>
      <c r="S461" t="str">
        <f>VLOOKUP(record[[#This Row],[employeeID]],員工[],2,FALSE)</f>
        <v>蔣梅</v>
      </c>
    </row>
    <row r="462" spans="6:19" hidden="1" x14ac:dyDescent="0.25">
      <c r="F462" t="s">
        <v>1977</v>
      </c>
      <c r="G462" t="s">
        <v>425</v>
      </c>
      <c r="H462" t="str">
        <f>VLOOKUP(record[[#This Row],[ProcessSN]],表格2_7[],2,FALSE)</f>
        <v>30-4118-018-600</v>
      </c>
      <c r="I462" t="str">
        <f>VLOOKUP(record[[#This Row],[ProcessSN]],表格2_7[],3,FALSE)</f>
        <v>#100</v>
      </c>
      <c r="J462" t="s">
        <v>598</v>
      </c>
      <c r="K462" s="195">
        <v>46150.752326388887</v>
      </c>
      <c r="L462">
        <v>385</v>
      </c>
      <c r="M462">
        <v>0</v>
      </c>
      <c r="N462" s="98" t="str">
        <f>IF(record[[#This Row],[Memo]]="Browser:chrome os:android","平板報工",IF(record[[#This Row],[Memo]]=0,"委外",record[[#This Row],[Memo]]))</f>
        <v/>
      </c>
      <c r="O462" t="s">
        <v>58</v>
      </c>
      <c r="P462" t="s">
        <v>141</v>
      </c>
      <c r="Q462" t="s">
        <v>58</v>
      </c>
      <c r="R462" t="str">
        <f>IFERROR(VLOOKUP(record[[#This Row],[PCUSTID]],廠商[],2,FALSE),"")</f>
        <v/>
      </c>
      <c r="S462" t="str">
        <f>VLOOKUP(record[[#This Row],[employeeID]],員工[],2,FALSE)</f>
        <v>蔣梅</v>
      </c>
    </row>
    <row r="463" spans="6:19" hidden="1" x14ac:dyDescent="0.25">
      <c r="F463" t="s">
        <v>1982</v>
      </c>
      <c r="G463" t="s">
        <v>424</v>
      </c>
      <c r="H463" t="str">
        <f>VLOOKUP(record[[#This Row],[ProcessSN]],表格2_7[],2,FALSE)</f>
        <v>30-4118-018-600</v>
      </c>
      <c r="I463" t="str">
        <f>VLOOKUP(record[[#This Row],[ProcessSN]],表格2_7[],3,FALSE)</f>
        <v>#08IQC</v>
      </c>
      <c r="J463" t="s">
        <v>583</v>
      </c>
      <c r="K463" s="195">
        <v>46150.740740740737</v>
      </c>
      <c r="L463">
        <v>216</v>
      </c>
      <c r="M463">
        <v>0</v>
      </c>
      <c r="N463" s="98" t="str">
        <f>IF(record[[#This Row],[Memo]]="Browser:chrome os:android","平板報工",IF(record[[#This Row],[Memo]]=0,"委外",record[[#This Row],[Memo]]))</f>
        <v/>
      </c>
      <c r="O463" t="s">
        <v>58</v>
      </c>
      <c r="P463" t="s">
        <v>109</v>
      </c>
      <c r="Q463" t="s">
        <v>58</v>
      </c>
      <c r="R463" t="str">
        <f>IFERROR(VLOOKUP(record[[#This Row],[PCUSTID]],廠商[],2,FALSE),"")</f>
        <v/>
      </c>
      <c r="S463" t="str">
        <f>VLOOKUP(record[[#This Row],[employeeID]],員工[],2,FALSE)</f>
        <v>裴氏璧鳳</v>
      </c>
    </row>
    <row r="464" spans="6:19" hidden="1" x14ac:dyDescent="0.25">
      <c r="F464" t="s">
        <v>1976</v>
      </c>
      <c r="G464" t="s">
        <v>358</v>
      </c>
      <c r="H464" t="str">
        <f>VLOOKUP(record[[#This Row],[ProcessSN]],表格2_7[],2,FALSE)</f>
        <v>30-4118-018-450</v>
      </c>
      <c r="I464" t="str">
        <f>VLOOKUP(record[[#This Row],[ProcessSN]],表格2_7[],3,FALSE)</f>
        <v>#08IQC</v>
      </c>
      <c r="J464" t="s">
        <v>583</v>
      </c>
      <c r="K464" s="195">
        <v>46150.739791666667</v>
      </c>
      <c r="L464">
        <v>70</v>
      </c>
      <c r="M464">
        <v>0</v>
      </c>
      <c r="N464" s="98" t="str">
        <f>IF(record[[#This Row],[Memo]]="Browser:chrome os:android","平板報工",IF(record[[#This Row],[Memo]]=0,"委外",record[[#This Row],[Memo]]))</f>
        <v/>
      </c>
      <c r="O464" t="s">
        <v>58</v>
      </c>
      <c r="P464" t="s">
        <v>109</v>
      </c>
      <c r="Q464" t="s">
        <v>58</v>
      </c>
      <c r="R464" t="str">
        <f>IFERROR(VLOOKUP(record[[#This Row],[PCUSTID]],廠商[],2,FALSE),"")</f>
        <v/>
      </c>
      <c r="S464" t="str">
        <f>VLOOKUP(record[[#This Row],[employeeID]],員工[],2,FALSE)</f>
        <v>裴氏璧鳳</v>
      </c>
    </row>
    <row r="465" spans="6:19" hidden="1" x14ac:dyDescent="0.25">
      <c r="F465" t="s">
        <v>1857</v>
      </c>
      <c r="G465" t="s">
        <v>470</v>
      </c>
      <c r="H465" t="str">
        <f>VLOOKUP(record[[#This Row],[ProcessSN]],表格2_7[],2,FALSE)</f>
        <v>30-4118-018-XXX</v>
      </c>
      <c r="I465" t="str">
        <f>VLOOKUP(record[[#This Row],[ProcessSN]],表格2_7[],3,FALSE)</f>
        <v>#02IQC</v>
      </c>
      <c r="J465" t="s">
        <v>583</v>
      </c>
      <c r="K465" s="195">
        <v>46150.722974537035</v>
      </c>
      <c r="L465">
        <v>838</v>
      </c>
      <c r="M465">
        <v>0</v>
      </c>
      <c r="N465" s="98" t="str">
        <f>IF(record[[#This Row],[Memo]]="Browser:chrome os:android","平板報工",IF(record[[#This Row],[Memo]]=0,"委外",record[[#This Row],[Memo]]))</f>
        <v/>
      </c>
      <c r="O465" t="s">
        <v>58</v>
      </c>
      <c r="P465" t="s">
        <v>109</v>
      </c>
      <c r="Q465" t="s">
        <v>58</v>
      </c>
      <c r="R465" t="str">
        <f>IFERROR(VLOOKUP(record[[#This Row],[PCUSTID]],廠商[],2,FALSE),"")</f>
        <v/>
      </c>
      <c r="S465" t="str">
        <f>VLOOKUP(record[[#This Row],[employeeID]],員工[],2,FALSE)</f>
        <v>裴氏璧鳳</v>
      </c>
    </row>
    <row r="466" spans="6:19" hidden="1" x14ac:dyDescent="0.25">
      <c r="F466" t="s">
        <v>1945</v>
      </c>
      <c r="G466" t="s">
        <v>451</v>
      </c>
      <c r="H466" t="str">
        <f>VLOOKUP(record[[#This Row],[ProcessSN]],表格2_7[],2,FALSE)</f>
        <v>30-4118-018-6XX</v>
      </c>
      <c r="I466" t="str">
        <f>VLOOKUP(record[[#This Row],[ProcessSN]],表格2_7[],3,FALSE)</f>
        <v>#07</v>
      </c>
      <c r="J466" t="s">
        <v>588</v>
      </c>
      <c r="K466" s="195">
        <v>46150.716782407406</v>
      </c>
      <c r="L466">
        <v>1</v>
      </c>
      <c r="M466">
        <v>1</v>
      </c>
      <c r="N466" s="98" t="str">
        <f>IF(record[[#This Row],[Memo]]="Browser:chrome os:android","平板報工",IF(record[[#This Row],[Memo]]=0,"委外",record[[#This Row],[Memo]]))</f>
        <v>覆回*1pcs(5/8)</v>
      </c>
      <c r="O466" t="s">
        <v>1993</v>
      </c>
      <c r="P466" t="s">
        <v>101</v>
      </c>
      <c r="Q466" t="s">
        <v>58</v>
      </c>
      <c r="R466" t="str">
        <f>IFERROR(VLOOKUP(record[[#This Row],[PCUSTID]],廠商[],2,FALSE),"")</f>
        <v/>
      </c>
      <c r="S466" t="str">
        <f>VLOOKUP(record[[#This Row],[employeeID]],員工[],2,FALSE)</f>
        <v>陳氏絨</v>
      </c>
    </row>
    <row r="467" spans="6:19" hidden="1" x14ac:dyDescent="0.25">
      <c r="F467" t="s">
        <v>1982</v>
      </c>
      <c r="G467" t="s">
        <v>423</v>
      </c>
      <c r="H467" t="str">
        <f>VLOOKUP(record[[#This Row],[ProcessSN]],表格2_7[],2,FALSE)</f>
        <v>30-4118-018-600</v>
      </c>
      <c r="I467" t="str">
        <f>VLOOKUP(record[[#This Row],[ProcessSN]],表格2_7[],3,FALSE)</f>
        <v>#08RCV</v>
      </c>
      <c r="J467" t="s">
        <v>591</v>
      </c>
      <c r="K467" s="195">
        <v>46150.688391203701</v>
      </c>
      <c r="L467">
        <v>216</v>
      </c>
      <c r="M467">
        <v>0</v>
      </c>
      <c r="N467" s="98" t="str">
        <f>IF(record[[#This Row],[Memo]]="Browser:chrome os:android","平板報工",IF(record[[#This Row],[Memo]]=0,"委外",record[[#This Row],[Memo]]))</f>
        <v/>
      </c>
      <c r="O467" t="s">
        <v>58</v>
      </c>
      <c r="P467" t="s">
        <v>186</v>
      </c>
      <c r="Q467" t="s">
        <v>58</v>
      </c>
      <c r="R467" t="str">
        <f>IFERROR(VLOOKUP(record[[#This Row],[PCUSTID]],廠商[],2,FALSE),"")</f>
        <v/>
      </c>
      <c r="S467" t="str">
        <f>VLOOKUP(record[[#This Row],[employeeID]],員工[],2,FALSE)</f>
        <v>許文姍</v>
      </c>
    </row>
    <row r="468" spans="6:19" hidden="1" x14ac:dyDescent="0.25">
      <c r="F468" t="s">
        <v>1945</v>
      </c>
      <c r="G468" t="s">
        <v>451</v>
      </c>
      <c r="H468" t="str">
        <f>VLOOKUP(record[[#This Row],[ProcessSN]],表格2_7[],2,FALSE)</f>
        <v>30-4118-018-6XX</v>
      </c>
      <c r="I468" t="str">
        <f>VLOOKUP(record[[#This Row],[ProcessSN]],表格2_7[],3,FALSE)</f>
        <v>#07</v>
      </c>
      <c r="J468" t="s">
        <v>588</v>
      </c>
      <c r="K468" s="195">
        <v>46150.68173611111</v>
      </c>
      <c r="L468">
        <v>202</v>
      </c>
      <c r="M468">
        <v>1</v>
      </c>
      <c r="N468" s="98" t="str">
        <f>IF(record[[#This Row],[Memo]]="Browser:chrome os:android","平板報工",IF(record[[#This Row],[Memo]]=0,"委外",record[[#This Row],[Memo]]))</f>
        <v/>
      </c>
      <c r="O468" t="s">
        <v>58</v>
      </c>
      <c r="P468" t="s">
        <v>785</v>
      </c>
      <c r="Q468" t="s">
        <v>58</v>
      </c>
      <c r="R468" t="str">
        <f>IFERROR(VLOOKUP(record[[#This Row],[PCUSTID]],廠商[],2,FALSE),"")</f>
        <v/>
      </c>
      <c r="S468" t="str">
        <f>VLOOKUP(record[[#This Row],[employeeID]],員工[],2,FALSE)</f>
        <v>謝刻光</v>
      </c>
    </row>
    <row r="469" spans="6:19" hidden="1" x14ac:dyDescent="0.25">
      <c r="F469" t="s">
        <v>1945</v>
      </c>
      <c r="G469" t="s">
        <v>450</v>
      </c>
      <c r="H469" t="str">
        <f>VLOOKUP(record[[#This Row],[ProcessSN]],表格2_7[],2,FALSE)</f>
        <v>30-4118-018-6XX</v>
      </c>
      <c r="I469" t="str">
        <f>VLOOKUP(record[[#This Row],[ProcessSN]],表格2_7[],3,FALSE)</f>
        <v>#06</v>
      </c>
      <c r="J469" t="s">
        <v>593</v>
      </c>
      <c r="K469" s="195">
        <v>46150.680937500001</v>
      </c>
      <c r="L469">
        <v>133</v>
      </c>
      <c r="M469">
        <v>0</v>
      </c>
      <c r="N469" s="98" t="str">
        <f>IF(record[[#This Row],[Memo]]="Browser:chrome os:android","平板報工",IF(record[[#This Row],[Memo]]=0,"委外",record[[#This Row],[Memo]]))</f>
        <v/>
      </c>
      <c r="O469" t="s">
        <v>58</v>
      </c>
      <c r="P469" t="s">
        <v>1413</v>
      </c>
      <c r="Q469" t="s">
        <v>58</v>
      </c>
      <c r="R469" t="str">
        <f>IFERROR(VLOOKUP(record[[#This Row],[PCUSTID]],廠商[],2,FALSE),"")</f>
        <v/>
      </c>
      <c r="S469" t="str">
        <f>VLOOKUP(record[[#This Row],[employeeID]],員工[],2,FALSE)</f>
        <v>阮氏芳英(芳)</v>
      </c>
    </row>
    <row r="470" spans="6:19" hidden="1" x14ac:dyDescent="0.25">
      <c r="F470" t="s">
        <v>1945</v>
      </c>
      <c r="G470" t="s">
        <v>450</v>
      </c>
      <c r="H470" t="str">
        <f>VLOOKUP(record[[#This Row],[ProcessSN]],表格2_7[],2,FALSE)</f>
        <v>30-4118-018-6XX</v>
      </c>
      <c r="I470" t="str">
        <f>VLOOKUP(record[[#This Row],[ProcessSN]],表格2_7[],3,FALSE)</f>
        <v>#06</v>
      </c>
      <c r="J470" t="s">
        <v>593</v>
      </c>
      <c r="K470" s="195">
        <v>46150.679236111115</v>
      </c>
      <c r="L470">
        <v>167</v>
      </c>
      <c r="M470">
        <v>42</v>
      </c>
      <c r="N470" s="98" t="str">
        <f>IF(record[[#This Row],[Memo]]="Browser:chrome os:android","平板報工",IF(record[[#This Row],[Memo]]=0,"委外",record[[#This Row],[Memo]]))</f>
        <v/>
      </c>
      <c r="O470" t="s">
        <v>58</v>
      </c>
      <c r="P470" t="s">
        <v>139</v>
      </c>
      <c r="Q470" t="s">
        <v>58</v>
      </c>
      <c r="R470" t="str">
        <f>IFERROR(VLOOKUP(record[[#This Row],[PCUSTID]],廠商[],2,FALSE),"")</f>
        <v/>
      </c>
      <c r="S470" t="str">
        <f>VLOOKUP(record[[#This Row],[employeeID]],員工[],2,FALSE)</f>
        <v>高氏顏</v>
      </c>
    </row>
    <row r="471" spans="6:19" hidden="1" x14ac:dyDescent="0.25">
      <c r="F471" t="s">
        <v>1945</v>
      </c>
      <c r="G471" t="s">
        <v>449</v>
      </c>
      <c r="H471" t="str">
        <f>VLOOKUP(record[[#This Row],[ProcessSN]],表格2_7[],2,FALSE)</f>
        <v>30-4118-018-6XX</v>
      </c>
      <c r="I471" t="str">
        <f>VLOOKUP(record[[#This Row],[ProcessSN]],表格2_7[],3,FALSE)</f>
        <v>#05</v>
      </c>
      <c r="J471" t="s">
        <v>588</v>
      </c>
      <c r="K471" s="195">
        <v>46150.678391203706</v>
      </c>
      <c r="L471">
        <v>280</v>
      </c>
      <c r="M471">
        <v>15</v>
      </c>
      <c r="N471" s="98" t="str">
        <f>IF(record[[#This Row],[Memo]]="Browser:chrome os:android","平板報工",IF(record[[#This Row],[Memo]]=0,"委外",record[[#This Row],[Memo]]))</f>
        <v/>
      </c>
      <c r="O471" t="s">
        <v>58</v>
      </c>
      <c r="P471" t="s">
        <v>145</v>
      </c>
      <c r="Q471" t="s">
        <v>58</v>
      </c>
      <c r="R471" t="str">
        <f>IFERROR(VLOOKUP(record[[#This Row],[PCUSTID]],廠商[],2,FALSE),"")</f>
        <v/>
      </c>
      <c r="S471" t="str">
        <f>VLOOKUP(record[[#This Row],[employeeID]],員工[],2,FALSE)</f>
        <v>阮秋霞</v>
      </c>
    </row>
    <row r="472" spans="6:19" hidden="1" x14ac:dyDescent="0.25">
      <c r="F472" t="s">
        <v>1945</v>
      </c>
      <c r="G472" t="s">
        <v>448</v>
      </c>
      <c r="H472" t="str">
        <f>VLOOKUP(record[[#This Row],[ProcessSN]],表格2_7[],2,FALSE)</f>
        <v>30-4118-018-6XX</v>
      </c>
      <c r="I472" t="str">
        <f>VLOOKUP(record[[#This Row],[ProcessSN]],表格2_7[],3,FALSE)</f>
        <v>#04</v>
      </c>
      <c r="J472" t="s">
        <v>588</v>
      </c>
      <c r="K472" s="195">
        <v>46150.677037037036</v>
      </c>
      <c r="L472">
        <v>257</v>
      </c>
      <c r="M472">
        <v>11</v>
      </c>
      <c r="N472" s="98" t="str">
        <f>IF(record[[#This Row],[Memo]]="Browser:chrome os:android","平板報工",IF(record[[#This Row],[Memo]]=0,"委外",record[[#This Row],[Memo]]))</f>
        <v/>
      </c>
      <c r="O472" t="s">
        <v>58</v>
      </c>
      <c r="P472" t="s">
        <v>107</v>
      </c>
      <c r="Q472" t="s">
        <v>58</v>
      </c>
      <c r="R472" t="str">
        <f>IFERROR(VLOOKUP(record[[#This Row],[PCUSTID]],廠商[],2,FALSE),"")</f>
        <v/>
      </c>
      <c r="S472" t="str">
        <f>VLOOKUP(record[[#This Row],[employeeID]],員工[],2,FALSE)</f>
        <v>黎氏順</v>
      </c>
    </row>
    <row r="473" spans="6:19" hidden="1" x14ac:dyDescent="0.25">
      <c r="F473" t="s">
        <v>1977</v>
      </c>
      <c r="G473" t="s">
        <v>424</v>
      </c>
      <c r="H473" t="str">
        <f>VLOOKUP(record[[#This Row],[ProcessSN]],表格2_7[],2,FALSE)</f>
        <v>30-4118-018-600</v>
      </c>
      <c r="I473" t="str">
        <f>VLOOKUP(record[[#This Row],[ProcessSN]],表格2_7[],3,FALSE)</f>
        <v>#08IQC</v>
      </c>
      <c r="J473" t="s">
        <v>583</v>
      </c>
      <c r="K473" s="195">
        <v>46150.646284722221</v>
      </c>
      <c r="L473">
        <v>385</v>
      </c>
      <c r="M473">
        <v>0</v>
      </c>
      <c r="N473" s="98" t="str">
        <f>IF(record[[#This Row],[Memo]]="Browser:chrome os:android","平板報工",IF(record[[#This Row],[Memo]]=0,"委外",record[[#This Row],[Memo]]))</f>
        <v/>
      </c>
      <c r="O473" t="s">
        <v>58</v>
      </c>
      <c r="P473" t="s">
        <v>109</v>
      </c>
      <c r="Q473" t="s">
        <v>58</v>
      </c>
      <c r="R473" t="str">
        <f>IFERROR(VLOOKUP(record[[#This Row],[PCUSTID]],廠商[],2,FALSE),"")</f>
        <v/>
      </c>
      <c r="S473" t="str">
        <f>VLOOKUP(record[[#This Row],[employeeID]],員工[],2,FALSE)</f>
        <v>裴氏璧鳳</v>
      </c>
    </row>
    <row r="474" spans="6:19" hidden="1" x14ac:dyDescent="0.25">
      <c r="F474" t="s">
        <v>1977</v>
      </c>
      <c r="G474" t="s">
        <v>423</v>
      </c>
      <c r="H474" t="str">
        <f>VLOOKUP(record[[#This Row],[ProcessSN]],表格2_7[],2,FALSE)</f>
        <v>30-4118-018-600</v>
      </c>
      <c r="I474" t="str">
        <f>VLOOKUP(record[[#This Row],[ProcessSN]],表格2_7[],3,FALSE)</f>
        <v>#08RCV</v>
      </c>
      <c r="J474" t="s">
        <v>591</v>
      </c>
      <c r="K474" s="195">
        <v>46150.639733796299</v>
      </c>
      <c r="L474">
        <v>0</v>
      </c>
      <c r="M474">
        <v>23</v>
      </c>
      <c r="N474" s="98" t="str">
        <f>IF(record[[#This Row],[Memo]]="Browser:chrome os:android","平板報工",IF(record[[#This Row],[Memo]]=0,"委外",record[[#This Row],[Memo]]))</f>
        <v/>
      </c>
      <c r="O474" t="s">
        <v>58</v>
      </c>
      <c r="P474" t="s">
        <v>186</v>
      </c>
      <c r="Q474" t="s">
        <v>58</v>
      </c>
      <c r="R474" t="str">
        <f>IFERROR(VLOOKUP(record[[#This Row],[PCUSTID]],廠商[],2,FALSE),"")</f>
        <v/>
      </c>
      <c r="S474" t="str">
        <f>VLOOKUP(record[[#This Row],[employeeID]],員工[],2,FALSE)</f>
        <v>許文姍</v>
      </c>
    </row>
    <row r="475" spans="6:19" hidden="1" x14ac:dyDescent="0.25">
      <c r="F475" t="s">
        <v>1977</v>
      </c>
      <c r="G475" t="s">
        <v>423</v>
      </c>
      <c r="H475" t="str">
        <f>VLOOKUP(record[[#This Row],[ProcessSN]],表格2_7[],2,FALSE)</f>
        <v>30-4118-018-600</v>
      </c>
      <c r="I475" t="str">
        <f>VLOOKUP(record[[#This Row],[ProcessSN]],表格2_7[],3,FALSE)</f>
        <v>#08RCV</v>
      </c>
      <c r="J475" t="s">
        <v>591</v>
      </c>
      <c r="K475" s="195">
        <v>46150.639606481483</v>
      </c>
      <c r="L475">
        <v>385</v>
      </c>
      <c r="M475">
        <v>0</v>
      </c>
      <c r="N475" s="98" t="str">
        <f>IF(record[[#This Row],[Memo]]="Browser:chrome os:android","平板報工",IF(record[[#This Row],[Memo]]=0,"委外",record[[#This Row],[Memo]]))</f>
        <v/>
      </c>
      <c r="O475" t="s">
        <v>58</v>
      </c>
      <c r="P475" t="s">
        <v>186</v>
      </c>
      <c r="Q475" t="s">
        <v>58</v>
      </c>
      <c r="R475" t="str">
        <f>IFERROR(VLOOKUP(record[[#This Row],[PCUSTID]],廠商[],2,FALSE),"")</f>
        <v/>
      </c>
      <c r="S475" t="str">
        <f>VLOOKUP(record[[#This Row],[employeeID]],員工[],2,FALSE)</f>
        <v>許文姍</v>
      </c>
    </row>
    <row r="476" spans="6:19" hidden="1" x14ac:dyDescent="0.25">
      <c r="F476" t="s">
        <v>1976</v>
      </c>
      <c r="G476" t="s">
        <v>357</v>
      </c>
      <c r="H476" t="str">
        <f>VLOOKUP(record[[#This Row],[ProcessSN]],表格2_7[],2,FALSE)</f>
        <v>30-4118-018-450</v>
      </c>
      <c r="I476" t="str">
        <f>VLOOKUP(record[[#This Row],[ProcessSN]],表格2_7[],3,FALSE)</f>
        <v>#08RCV</v>
      </c>
      <c r="J476" t="s">
        <v>591</v>
      </c>
      <c r="K476" s="195">
        <v>46150.639351851853</v>
      </c>
      <c r="L476">
        <v>70</v>
      </c>
      <c r="M476">
        <v>0</v>
      </c>
      <c r="N476" s="98" t="str">
        <f>IF(record[[#This Row],[Memo]]="Browser:chrome os:android","平板報工",IF(record[[#This Row],[Memo]]=0,"委外",record[[#This Row],[Memo]]))</f>
        <v/>
      </c>
      <c r="O476" t="s">
        <v>58</v>
      </c>
      <c r="P476" t="s">
        <v>186</v>
      </c>
      <c r="Q476" t="s">
        <v>58</v>
      </c>
      <c r="R476" t="str">
        <f>IFERROR(VLOOKUP(record[[#This Row],[PCUSTID]],廠商[],2,FALSE),"")</f>
        <v/>
      </c>
      <c r="S476" t="str">
        <f>VLOOKUP(record[[#This Row],[employeeID]],員工[],2,FALSE)</f>
        <v>許文姍</v>
      </c>
    </row>
    <row r="477" spans="6:19" hidden="1" x14ac:dyDescent="0.25">
      <c r="F477" t="s">
        <v>1945</v>
      </c>
      <c r="G477" t="s">
        <v>453</v>
      </c>
      <c r="H477" t="str">
        <f>VLOOKUP(record[[#This Row],[ProcessSN]],表格2_7[],2,FALSE)</f>
        <v>30-4118-018-6XX</v>
      </c>
      <c r="I477" t="str">
        <f>VLOOKUP(record[[#This Row],[ProcessSN]],表格2_7[],3,FALSE)</f>
        <v>#07STOCK</v>
      </c>
      <c r="J477" t="s">
        <v>592</v>
      </c>
      <c r="K477" s="195">
        <v>46150.635972222219</v>
      </c>
      <c r="L477">
        <v>312</v>
      </c>
      <c r="M477">
        <v>0</v>
      </c>
      <c r="N477" s="98" t="str">
        <f>IF(record[[#This Row],[Memo]]="Browser:chrome os:android","平板報工",IF(record[[#This Row],[Memo]]=0,"委外",record[[#This Row],[Memo]]))</f>
        <v/>
      </c>
      <c r="O477" t="s">
        <v>58</v>
      </c>
      <c r="P477" t="s">
        <v>186</v>
      </c>
      <c r="Q477" t="s">
        <v>58</v>
      </c>
      <c r="R477" t="str">
        <f>IFERROR(VLOOKUP(record[[#This Row],[PCUSTID]],廠商[],2,FALSE),"")</f>
        <v/>
      </c>
      <c r="S477" t="str">
        <f>VLOOKUP(record[[#This Row],[employeeID]],員工[],2,FALSE)</f>
        <v>許文姍</v>
      </c>
    </row>
    <row r="478" spans="6:19" hidden="1" x14ac:dyDescent="0.25">
      <c r="F478" t="s">
        <v>1990</v>
      </c>
      <c r="G478" t="s">
        <v>438</v>
      </c>
      <c r="H478" t="str">
        <f>VLOOKUP(record[[#This Row],[ProcessSN]],表格2_7[],2,FALSE)</f>
        <v>30-4118-018-650</v>
      </c>
      <c r="I478" t="str">
        <f>VLOOKUP(record[[#This Row],[ProcessSN]],表格2_7[],3,FALSE)</f>
        <v>#08</v>
      </c>
      <c r="J478" t="s">
        <v>597</v>
      </c>
      <c r="K478" s="195">
        <v>46150.631944444445</v>
      </c>
      <c r="L478">
        <v>112</v>
      </c>
      <c r="M478">
        <v>0</v>
      </c>
      <c r="N478" s="98" t="str">
        <f>IF(record[[#This Row],[Memo]]="Browser:chrome os:android","平板報工",IF(record[[#This Row],[Memo]]=0,"委外",record[[#This Row],[Memo]]))</f>
        <v>委外</v>
      </c>
      <c r="P478" t="s">
        <v>186</v>
      </c>
      <c r="Q478" t="s">
        <v>287</v>
      </c>
      <c r="R478" t="str">
        <f>IFERROR(VLOOKUP(record[[#This Row],[PCUSTID]],廠商[],2,FALSE),"")</f>
        <v>泉盛</v>
      </c>
      <c r="S478" t="str">
        <f>VLOOKUP(record[[#This Row],[employeeID]],員工[],2,FALSE)</f>
        <v>許文姍</v>
      </c>
    </row>
    <row r="479" spans="6:19" hidden="1" x14ac:dyDescent="0.25">
      <c r="F479" t="s">
        <v>1989</v>
      </c>
      <c r="G479" t="s">
        <v>430</v>
      </c>
      <c r="H479" t="str">
        <f>VLOOKUP(record[[#This Row],[ProcessSN]],表格2_7[],2,FALSE)</f>
        <v>30-4118-018-620</v>
      </c>
      <c r="I479" t="str">
        <f>VLOOKUP(record[[#This Row],[ProcessSN]],表格2_7[],3,FALSE)</f>
        <v>#08</v>
      </c>
      <c r="J479" t="s">
        <v>597</v>
      </c>
      <c r="K479" s="195">
        <v>46150.631851851853</v>
      </c>
      <c r="L479">
        <v>200</v>
      </c>
      <c r="M479">
        <v>0</v>
      </c>
      <c r="N479" s="98" t="str">
        <f>IF(record[[#This Row],[Memo]]="Browser:chrome os:android","平板報工",IF(record[[#This Row],[Memo]]=0,"委外",record[[#This Row],[Memo]]))</f>
        <v>委外</v>
      </c>
      <c r="P479" t="s">
        <v>186</v>
      </c>
      <c r="Q479" t="s">
        <v>287</v>
      </c>
      <c r="R479" t="str">
        <f>IFERROR(VLOOKUP(record[[#This Row],[PCUSTID]],廠商[],2,FALSE),"")</f>
        <v>泉盛</v>
      </c>
      <c r="S479" t="str">
        <f>VLOOKUP(record[[#This Row],[employeeID]],員工[],2,FALSE)</f>
        <v>許文姍</v>
      </c>
    </row>
    <row r="480" spans="6:19" hidden="1" x14ac:dyDescent="0.25">
      <c r="F480" t="s">
        <v>1990</v>
      </c>
      <c r="G480" t="s">
        <v>437</v>
      </c>
      <c r="H480" t="str">
        <f>VLOOKUP(record[[#This Row],[ProcessSN]],表格2_7[],2,FALSE)</f>
        <v>30-4118-018-650</v>
      </c>
      <c r="I480" t="str">
        <f>VLOOKUP(record[[#This Row],[ProcessSN]],表格2_7[],3,FALSE)</f>
        <v>#08PICK</v>
      </c>
      <c r="J480" t="s">
        <v>582</v>
      </c>
      <c r="K480" s="195">
        <v>46150.63008101852</v>
      </c>
      <c r="L480">
        <v>112</v>
      </c>
      <c r="M480">
        <v>0</v>
      </c>
      <c r="N480" s="98" t="str">
        <f>IF(record[[#This Row],[Memo]]="Browser:chrome os:android","平板報工",IF(record[[#This Row],[Memo]]=0,"委外",record[[#This Row],[Memo]]))</f>
        <v/>
      </c>
      <c r="O480" t="s">
        <v>58</v>
      </c>
      <c r="P480" t="s">
        <v>186</v>
      </c>
      <c r="Q480" t="s">
        <v>58</v>
      </c>
      <c r="R480" t="str">
        <f>IFERROR(VLOOKUP(record[[#This Row],[PCUSTID]],廠商[],2,FALSE),"")</f>
        <v/>
      </c>
      <c r="S480" t="str">
        <f>VLOOKUP(record[[#This Row],[employeeID]],員工[],2,FALSE)</f>
        <v>許文姍</v>
      </c>
    </row>
    <row r="481" spans="6:19" hidden="1" x14ac:dyDescent="0.25">
      <c r="F481" t="s">
        <v>1989</v>
      </c>
      <c r="G481" t="s">
        <v>429</v>
      </c>
      <c r="H481" t="str">
        <f>VLOOKUP(record[[#This Row],[ProcessSN]],表格2_7[],2,FALSE)</f>
        <v>30-4118-018-620</v>
      </c>
      <c r="I481" t="str">
        <f>VLOOKUP(record[[#This Row],[ProcessSN]],表格2_7[],3,FALSE)</f>
        <v>#08PICK</v>
      </c>
      <c r="J481" t="s">
        <v>582</v>
      </c>
      <c r="K481" s="195">
        <v>46150.629918981482</v>
      </c>
      <c r="L481">
        <v>200</v>
      </c>
      <c r="M481">
        <v>0</v>
      </c>
      <c r="N481" s="98" t="str">
        <f>IF(record[[#This Row],[Memo]]="Browser:chrome os:android","平板報工",IF(record[[#This Row],[Memo]]=0,"委外",record[[#This Row],[Memo]]))</f>
        <v/>
      </c>
      <c r="O481" t="s">
        <v>58</v>
      </c>
      <c r="P481" t="s">
        <v>186</v>
      </c>
      <c r="Q481" t="s">
        <v>58</v>
      </c>
      <c r="R481" t="str">
        <f>IFERROR(VLOOKUP(record[[#This Row],[PCUSTID]],廠商[],2,FALSE),"")</f>
        <v/>
      </c>
      <c r="S481" t="str">
        <f>VLOOKUP(record[[#This Row],[employeeID]],員工[],2,FALSE)</f>
        <v>許文姍</v>
      </c>
    </row>
    <row r="482" spans="6:19" hidden="1" x14ac:dyDescent="0.25">
      <c r="F482" t="s">
        <v>1987</v>
      </c>
      <c r="G482" t="s">
        <v>446</v>
      </c>
      <c r="H482" t="str">
        <f>VLOOKUP(record[[#This Row],[ProcessSN]],表格2_7[],2,FALSE)</f>
        <v>30-4118-018-6XX</v>
      </c>
      <c r="I482" t="str">
        <f>VLOOKUP(record[[#This Row],[ProcessSN]],表格2_7[],3,FALSE)</f>
        <v>#03GIVE</v>
      </c>
      <c r="J482" t="s">
        <v>587</v>
      </c>
      <c r="K482" s="195">
        <v>46150.628298611111</v>
      </c>
      <c r="L482">
        <v>2000</v>
      </c>
      <c r="M482">
        <v>0</v>
      </c>
      <c r="N482" s="98" t="str">
        <f>IF(record[[#This Row],[Memo]]="Browser:chrome os:android","平板報工",IF(record[[#This Row],[Memo]]=0,"委外",record[[#This Row],[Memo]]))</f>
        <v/>
      </c>
      <c r="O482" t="s">
        <v>58</v>
      </c>
      <c r="P482" t="s">
        <v>1698</v>
      </c>
      <c r="Q482" t="s">
        <v>58</v>
      </c>
      <c r="R482" t="str">
        <f>IFERROR(VLOOKUP(record[[#This Row],[PCUSTID]],廠商[],2,FALSE),"")</f>
        <v/>
      </c>
      <c r="S482" t="str">
        <f>VLOOKUP(record[[#This Row],[employeeID]],員工[],2,FALSE)</f>
        <v>羅思潔</v>
      </c>
    </row>
    <row r="483" spans="6:19" hidden="1" x14ac:dyDescent="0.25">
      <c r="F483" t="s">
        <v>1945</v>
      </c>
      <c r="G483" t="s">
        <v>452</v>
      </c>
      <c r="H483" t="str">
        <f>VLOOKUP(record[[#This Row],[ProcessSN]],表格2_7[],2,FALSE)</f>
        <v>30-4118-018-6XX</v>
      </c>
      <c r="I483" t="str">
        <f>VLOOKUP(record[[#This Row],[ProcessSN]],表格2_7[],3,FALSE)</f>
        <v>#07QC</v>
      </c>
      <c r="J483" t="s">
        <v>589</v>
      </c>
      <c r="K483" s="195">
        <v>46150.627986111111</v>
      </c>
      <c r="L483">
        <v>312</v>
      </c>
      <c r="M483">
        <v>0</v>
      </c>
      <c r="N483" s="98" t="str">
        <f>IF(record[[#This Row],[Memo]]="Browser:chrome os:android","平板報工",IF(record[[#This Row],[Memo]]=0,"委外",record[[#This Row],[Memo]]))</f>
        <v>平板報工</v>
      </c>
      <c r="O483" t="s">
        <v>643</v>
      </c>
      <c r="P483" t="s">
        <v>141</v>
      </c>
      <c r="Q483" t="s">
        <v>644</v>
      </c>
      <c r="R483" t="str">
        <f>IFERROR(VLOOKUP(record[[#This Row],[PCUSTID]],廠商[],2,FALSE),"")</f>
        <v/>
      </c>
      <c r="S483" t="str">
        <f>VLOOKUP(record[[#This Row],[employeeID]],員工[],2,FALSE)</f>
        <v>蔣梅</v>
      </c>
    </row>
    <row r="484" spans="6:19" hidden="1" x14ac:dyDescent="0.25">
      <c r="F484" t="s">
        <v>1987</v>
      </c>
      <c r="G484" t="s">
        <v>445</v>
      </c>
      <c r="H484" t="str">
        <f>VLOOKUP(record[[#This Row],[ProcessSN]],表格2_7[],2,FALSE)</f>
        <v>30-4118-018-6XX</v>
      </c>
      <c r="I484" t="str">
        <f>VLOOKUP(record[[#This Row],[ProcessSN]],表格2_7[],3,FALSE)</f>
        <v>#03PICK</v>
      </c>
      <c r="J484" t="s">
        <v>582</v>
      </c>
      <c r="K484" s="195">
        <v>46150.574803240743</v>
      </c>
      <c r="L484">
        <v>2000</v>
      </c>
      <c r="M484">
        <v>0</v>
      </c>
      <c r="N484" s="98" t="str">
        <f>IF(record[[#This Row],[Memo]]="Browser:chrome os:android","平板報工",IF(record[[#This Row],[Memo]]=0,"委外",record[[#This Row],[Memo]]))</f>
        <v/>
      </c>
      <c r="O484" t="s">
        <v>58</v>
      </c>
      <c r="P484" t="s">
        <v>1611</v>
      </c>
      <c r="Q484" t="s">
        <v>58</v>
      </c>
      <c r="R484" t="str">
        <f>IFERROR(VLOOKUP(record[[#This Row],[PCUSTID]],廠商[],2,FALSE),"")</f>
        <v/>
      </c>
      <c r="S484" t="str">
        <f>VLOOKUP(record[[#This Row],[employeeID]],員工[],2,FALSE)</f>
        <v>林沛瑄</v>
      </c>
    </row>
    <row r="485" spans="6:19" hidden="1" x14ac:dyDescent="0.25">
      <c r="F485" t="s">
        <v>1857</v>
      </c>
      <c r="G485" t="s">
        <v>471</v>
      </c>
      <c r="H485" t="str">
        <f>VLOOKUP(record[[#This Row],[ProcessSN]],表格2_7[],2,FALSE)</f>
        <v>30-4118-018-XXX</v>
      </c>
      <c r="I485" t="str">
        <f>VLOOKUP(record[[#This Row],[ProcessSN]],表格2_7[],3,FALSE)</f>
        <v>#02STOCK</v>
      </c>
      <c r="J485" t="s">
        <v>592</v>
      </c>
      <c r="K485" s="195">
        <v>46150.487870370373</v>
      </c>
      <c r="L485">
        <v>1846</v>
      </c>
      <c r="M485">
        <v>0</v>
      </c>
      <c r="N485" s="98" t="str">
        <f>IF(record[[#This Row],[Memo]]="Browser:chrome os:android","平板報工",IF(record[[#This Row],[Memo]]=0,"委外",record[[#This Row],[Memo]]))</f>
        <v/>
      </c>
      <c r="O485" t="s">
        <v>58</v>
      </c>
      <c r="P485" t="s">
        <v>1611</v>
      </c>
      <c r="Q485" t="s">
        <v>58</v>
      </c>
      <c r="R485" t="str">
        <f>IFERROR(VLOOKUP(record[[#This Row],[PCUSTID]],廠商[],2,FALSE),"")</f>
        <v/>
      </c>
      <c r="S485" t="str">
        <f>VLOOKUP(record[[#This Row],[employeeID]],員工[],2,FALSE)</f>
        <v>林沛瑄</v>
      </c>
    </row>
    <row r="486" spans="6:19" hidden="1" x14ac:dyDescent="0.25">
      <c r="F486" t="s">
        <v>1857</v>
      </c>
      <c r="G486" t="s">
        <v>469</v>
      </c>
      <c r="H486" t="str">
        <f>VLOOKUP(record[[#This Row],[ProcessSN]],表格2_7[],2,FALSE)</f>
        <v>30-4118-018-XXX</v>
      </c>
      <c r="I486" t="str">
        <f>VLOOKUP(record[[#This Row],[ProcessSN]],表格2_7[],3,FALSE)</f>
        <v>#02RCV</v>
      </c>
      <c r="J486" t="s">
        <v>591</v>
      </c>
      <c r="K486" s="195">
        <v>46150.408796296295</v>
      </c>
      <c r="L486">
        <v>838</v>
      </c>
      <c r="M486">
        <v>0</v>
      </c>
      <c r="N486" s="98" t="str">
        <f>IF(record[[#This Row],[Memo]]="Browser:chrome os:android","平板報工",IF(record[[#This Row],[Memo]]=0,"委外",record[[#This Row],[Memo]]))</f>
        <v/>
      </c>
      <c r="O486" t="s">
        <v>58</v>
      </c>
      <c r="P486" t="s">
        <v>1698</v>
      </c>
      <c r="Q486" t="s">
        <v>58</v>
      </c>
      <c r="R486" t="str">
        <f>IFERROR(VLOOKUP(record[[#This Row],[PCUSTID]],廠商[],2,FALSE),"")</f>
        <v/>
      </c>
      <c r="S486" t="str">
        <f>VLOOKUP(record[[#This Row],[employeeID]],員工[],2,FALSE)</f>
        <v>羅思潔</v>
      </c>
    </row>
    <row r="487" spans="6:19" hidden="1" x14ac:dyDescent="0.25">
      <c r="F487" t="s">
        <v>1857</v>
      </c>
      <c r="G487" t="s">
        <v>468</v>
      </c>
      <c r="H487" t="str">
        <f>VLOOKUP(record[[#This Row],[ProcessSN]],表格2_7[],2,FALSE)</f>
        <v>30-4118-018-XXX</v>
      </c>
      <c r="I487" t="str">
        <f>VLOOKUP(record[[#This Row],[ProcessSN]],表格2_7[],3,FALSE)</f>
        <v>#02</v>
      </c>
      <c r="J487" t="s">
        <v>590</v>
      </c>
      <c r="K487" s="195">
        <v>46150.382384259261</v>
      </c>
      <c r="L487">
        <v>504</v>
      </c>
      <c r="M487">
        <v>0</v>
      </c>
      <c r="N487" s="98" t="str">
        <f>IF(record[[#This Row],[Memo]]="Browser:chrome os:android","平板報工",IF(record[[#This Row],[Memo]]=0,"委外",record[[#This Row],[Memo]]))</f>
        <v>委外</v>
      </c>
      <c r="P487" t="s">
        <v>1698</v>
      </c>
      <c r="Q487" t="s">
        <v>216</v>
      </c>
      <c r="R487" t="str">
        <f>IFERROR(VLOOKUP(record[[#This Row],[PCUSTID]],廠商[],2,FALSE),"")</f>
        <v>俊杰</v>
      </c>
      <c r="S487" t="str">
        <f>VLOOKUP(record[[#This Row],[employeeID]],員工[],2,FALSE)</f>
        <v>羅思潔</v>
      </c>
    </row>
    <row r="488" spans="6:19" hidden="1" x14ac:dyDescent="0.25">
      <c r="F488" t="s">
        <v>1857</v>
      </c>
      <c r="G488" t="s">
        <v>467</v>
      </c>
      <c r="H488" t="str">
        <f>VLOOKUP(record[[#This Row],[ProcessSN]],表格2_7[],2,FALSE)</f>
        <v>30-4118-018-XXX</v>
      </c>
      <c r="I488" t="str">
        <f>VLOOKUP(record[[#This Row],[ProcessSN]],表格2_7[],3,FALSE)</f>
        <v>#01QC</v>
      </c>
      <c r="J488" t="s">
        <v>589</v>
      </c>
      <c r="K488" s="195">
        <v>46150.336087962962</v>
      </c>
      <c r="L488">
        <v>504</v>
      </c>
      <c r="M488">
        <v>0</v>
      </c>
      <c r="N488" s="98" t="str">
        <f>IF(record[[#This Row],[Memo]]="Browser:chrome os:android","平板報工",IF(record[[#This Row],[Memo]]=0,"委外",record[[#This Row],[Memo]]))</f>
        <v>平板報工</v>
      </c>
      <c r="O488" t="s">
        <v>643</v>
      </c>
      <c r="P488" t="s">
        <v>182</v>
      </c>
      <c r="Q488" t="s">
        <v>644</v>
      </c>
      <c r="R488" t="str">
        <f>IFERROR(VLOOKUP(record[[#This Row],[PCUSTID]],廠商[],2,FALSE),"")</f>
        <v/>
      </c>
      <c r="S488" t="str">
        <f>VLOOKUP(record[[#This Row],[employeeID]],員工[],2,FALSE)</f>
        <v>梅氏和</v>
      </c>
    </row>
    <row r="489" spans="6:19" hidden="1" x14ac:dyDescent="0.25">
      <c r="F489" t="s">
        <v>1945</v>
      </c>
      <c r="G489" t="s">
        <v>451</v>
      </c>
      <c r="H489" t="str">
        <f>VLOOKUP(record[[#This Row],[ProcessSN]],表格2_7[],2,FALSE)</f>
        <v>30-4118-018-6XX</v>
      </c>
      <c r="I489" t="str">
        <f>VLOOKUP(record[[#This Row],[ProcessSN]],表格2_7[],3,FALSE)</f>
        <v>#07</v>
      </c>
      <c r="J489" t="s">
        <v>588</v>
      </c>
      <c r="K489" s="195">
        <v>46150.313854166663</v>
      </c>
      <c r="L489">
        <v>196</v>
      </c>
      <c r="M489">
        <v>1</v>
      </c>
      <c r="N489" s="98" t="str">
        <f>IF(record[[#This Row],[Memo]]="Browser:chrome os:android","平板報工",IF(record[[#This Row],[Memo]]=0,"委外",record[[#This Row],[Memo]]))</f>
        <v/>
      </c>
      <c r="O489" t="s">
        <v>58</v>
      </c>
      <c r="P489" t="s">
        <v>843</v>
      </c>
      <c r="Q489" t="s">
        <v>58</v>
      </c>
      <c r="R489" t="str">
        <f>IFERROR(VLOOKUP(record[[#This Row],[PCUSTID]],廠商[],2,FALSE),"")</f>
        <v/>
      </c>
      <c r="S489" t="str">
        <f>VLOOKUP(record[[#This Row],[employeeID]],員工[],2,FALSE)</f>
        <v>張楚承</v>
      </c>
    </row>
    <row r="490" spans="6:19" hidden="1" x14ac:dyDescent="0.25">
      <c r="F490" t="s">
        <v>1945</v>
      </c>
      <c r="G490" t="s">
        <v>449</v>
      </c>
      <c r="H490" t="str">
        <f>VLOOKUP(record[[#This Row],[ProcessSN]],表格2_7[],2,FALSE)</f>
        <v>30-4118-018-6XX</v>
      </c>
      <c r="I490" t="str">
        <f>VLOOKUP(record[[#This Row],[ProcessSN]],表格2_7[],3,FALSE)</f>
        <v>#05</v>
      </c>
      <c r="J490" t="s">
        <v>588</v>
      </c>
      <c r="K490" s="195">
        <v>46150.313067129631</v>
      </c>
      <c r="L490">
        <v>145</v>
      </c>
      <c r="M490">
        <v>0</v>
      </c>
      <c r="N490" s="98" t="str">
        <f>IF(record[[#This Row],[Memo]]="Browser:chrome os:android","平板報工",IF(record[[#This Row],[Memo]]=0,"委外",record[[#This Row],[Memo]]))</f>
        <v/>
      </c>
      <c r="O490" t="s">
        <v>58</v>
      </c>
      <c r="P490" t="s">
        <v>843</v>
      </c>
      <c r="Q490" t="s">
        <v>58</v>
      </c>
      <c r="R490" t="str">
        <f>IFERROR(VLOOKUP(record[[#This Row],[PCUSTID]],廠商[],2,FALSE),"")</f>
        <v/>
      </c>
      <c r="S490" t="str">
        <f>VLOOKUP(record[[#This Row],[employeeID]],員工[],2,FALSE)</f>
        <v>張楚承</v>
      </c>
    </row>
    <row r="491" spans="6:19" hidden="1" x14ac:dyDescent="0.25">
      <c r="F491" t="s">
        <v>1945</v>
      </c>
      <c r="G491" t="s">
        <v>450</v>
      </c>
      <c r="H491" t="str">
        <f>VLOOKUP(record[[#This Row],[ProcessSN]],表格2_7[],2,FALSE)</f>
        <v>30-4118-018-6XX</v>
      </c>
      <c r="I491" t="str">
        <f>VLOOKUP(record[[#This Row],[ProcessSN]],表格2_7[],3,FALSE)</f>
        <v>#06</v>
      </c>
      <c r="J491" t="s">
        <v>593</v>
      </c>
      <c r="K491" s="195">
        <v>46150.284594907411</v>
      </c>
      <c r="L491">
        <v>133</v>
      </c>
      <c r="M491">
        <v>0</v>
      </c>
      <c r="N491" s="98" t="str">
        <f>IF(record[[#This Row],[Memo]]="Browser:chrome os:android","平板報工",IF(record[[#This Row],[Memo]]=0,"委外",record[[#This Row],[Memo]]))</f>
        <v/>
      </c>
      <c r="O491" t="s">
        <v>58</v>
      </c>
      <c r="P491" t="s">
        <v>806</v>
      </c>
      <c r="Q491" t="s">
        <v>58</v>
      </c>
      <c r="R491" t="str">
        <f>IFERROR(VLOOKUP(record[[#This Row],[PCUSTID]],廠商[],2,FALSE),"")</f>
        <v/>
      </c>
      <c r="S491" t="str">
        <f>VLOOKUP(record[[#This Row],[employeeID]],員工[],2,FALSE)</f>
        <v>方思緯</v>
      </c>
    </row>
    <row r="492" spans="6:19" hidden="1" x14ac:dyDescent="0.25">
      <c r="F492" t="s">
        <v>1945</v>
      </c>
      <c r="G492" t="s">
        <v>448</v>
      </c>
      <c r="H492" t="str">
        <f>VLOOKUP(record[[#This Row],[ProcessSN]],表格2_7[],2,FALSE)</f>
        <v>30-4118-018-6XX</v>
      </c>
      <c r="I492" t="str">
        <f>VLOOKUP(record[[#This Row],[ProcessSN]],表格2_7[],3,FALSE)</f>
        <v>#04</v>
      </c>
      <c r="J492" t="s">
        <v>588</v>
      </c>
      <c r="K492" s="195">
        <v>46150.284317129626</v>
      </c>
      <c r="L492">
        <v>280</v>
      </c>
      <c r="M492">
        <v>0</v>
      </c>
      <c r="N492" s="98" t="str">
        <f>IF(record[[#This Row],[Memo]]="Browser:chrome os:android","平板報工",IF(record[[#This Row],[Memo]]=0,"委外",record[[#This Row],[Memo]]))</f>
        <v/>
      </c>
      <c r="O492" t="s">
        <v>58</v>
      </c>
      <c r="P492" t="s">
        <v>806</v>
      </c>
      <c r="Q492" t="s">
        <v>58</v>
      </c>
      <c r="R492" t="str">
        <f>IFERROR(VLOOKUP(record[[#This Row],[PCUSTID]],廠商[],2,FALSE),"")</f>
        <v/>
      </c>
      <c r="S492" t="str">
        <f>VLOOKUP(record[[#This Row],[employeeID]],員工[],2,FALSE)</f>
        <v>方思緯</v>
      </c>
    </row>
    <row r="493" spans="6:19" hidden="1" x14ac:dyDescent="0.25">
      <c r="F493" t="s">
        <v>1945</v>
      </c>
      <c r="G493" t="s">
        <v>450</v>
      </c>
      <c r="H493" t="str">
        <f>VLOOKUP(record[[#This Row],[ProcessSN]],表格2_7[],2,FALSE)</f>
        <v>30-4118-018-6XX</v>
      </c>
      <c r="I493" t="str">
        <f>VLOOKUP(record[[#This Row],[ProcessSN]],表格2_7[],3,FALSE)</f>
        <v>#06</v>
      </c>
      <c r="J493" t="s">
        <v>593</v>
      </c>
      <c r="K493" s="195">
        <v>46150.137719907405</v>
      </c>
      <c r="L493">
        <v>68</v>
      </c>
      <c r="M493">
        <v>0</v>
      </c>
      <c r="N493" s="98" t="str">
        <f>IF(record[[#This Row],[Memo]]="Browser:chrome os:android","平板報工",IF(record[[#This Row],[Memo]]=0,"委外",record[[#This Row],[Memo]]))</f>
        <v/>
      </c>
      <c r="O493" t="s">
        <v>58</v>
      </c>
      <c r="P493" t="s">
        <v>1098</v>
      </c>
      <c r="Q493" t="s">
        <v>58</v>
      </c>
      <c r="R493" t="str">
        <f>IFERROR(VLOOKUP(record[[#This Row],[PCUSTID]],廠商[],2,FALSE),"")</f>
        <v/>
      </c>
      <c r="S493" t="str">
        <f>VLOOKUP(record[[#This Row],[employeeID]],員工[],2,FALSE)</f>
        <v>阮氏芳英(英)</v>
      </c>
    </row>
    <row r="494" spans="6:19" hidden="1" x14ac:dyDescent="0.25">
      <c r="F494" t="s">
        <v>1945</v>
      </c>
      <c r="G494" t="s">
        <v>451</v>
      </c>
      <c r="H494" t="str">
        <f>VLOOKUP(record[[#This Row],[ProcessSN]],表格2_7[],2,FALSE)</f>
        <v>30-4118-018-6XX</v>
      </c>
      <c r="I494" t="str">
        <f>VLOOKUP(record[[#This Row],[ProcessSN]],表格2_7[],3,FALSE)</f>
        <v>#07</v>
      </c>
      <c r="J494" t="s">
        <v>588</v>
      </c>
      <c r="K494" s="195">
        <v>46150.013182870367</v>
      </c>
      <c r="L494">
        <v>99</v>
      </c>
      <c r="M494">
        <v>1</v>
      </c>
      <c r="N494" s="98" t="str">
        <f>IF(record[[#This Row],[Memo]]="Browser:chrome os:android","平板報工",IF(record[[#This Row],[Memo]]=0,"委外",record[[#This Row],[Memo]]))</f>
        <v/>
      </c>
      <c r="O494" t="s">
        <v>58</v>
      </c>
      <c r="P494" t="s">
        <v>89</v>
      </c>
      <c r="Q494" t="s">
        <v>58</v>
      </c>
      <c r="R494" t="str">
        <f>IFERROR(VLOOKUP(record[[#This Row],[PCUSTID]],廠商[],2,FALSE),"")</f>
        <v/>
      </c>
      <c r="S494" t="str">
        <f>VLOOKUP(record[[#This Row],[employeeID]],員工[],2,FALSE)</f>
        <v>李美蓮</v>
      </c>
    </row>
    <row r="495" spans="6:19" hidden="1" x14ac:dyDescent="0.25">
      <c r="F495" t="s">
        <v>1945</v>
      </c>
      <c r="G495" t="s">
        <v>449</v>
      </c>
      <c r="H495" t="str">
        <f>VLOOKUP(record[[#This Row],[ProcessSN]],表格2_7[],2,FALSE)</f>
        <v>30-4118-018-6XX</v>
      </c>
      <c r="I495" t="str">
        <f>VLOOKUP(record[[#This Row],[ProcessSN]],表格2_7[],3,FALSE)</f>
        <v>#05</v>
      </c>
      <c r="J495" t="s">
        <v>588</v>
      </c>
      <c r="K495" s="195">
        <v>46150.01226851852</v>
      </c>
      <c r="L495">
        <v>240</v>
      </c>
      <c r="M495">
        <v>0</v>
      </c>
      <c r="N495" s="98" t="str">
        <f>IF(record[[#This Row],[Memo]]="Browser:chrome os:android","平板報工",IF(record[[#This Row],[Memo]]=0,"委外",record[[#This Row],[Memo]]))</f>
        <v/>
      </c>
      <c r="O495" t="s">
        <v>58</v>
      </c>
      <c r="P495" t="s">
        <v>1847</v>
      </c>
      <c r="Q495" t="s">
        <v>58</v>
      </c>
      <c r="R495" t="str">
        <f>IFERROR(VLOOKUP(record[[#This Row],[PCUSTID]],廠商[],2,FALSE),"")</f>
        <v/>
      </c>
      <c r="S495" t="str">
        <f>VLOOKUP(record[[#This Row],[employeeID]],員工[],2,FALSE)</f>
        <v>潘黎慶平</v>
      </c>
    </row>
    <row r="496" spans="6:19" hidden="1" x14ac:dyDescent="0.25">
      <c r="F496" t="s">
        <v>1945</v>
      </c>
      <c r="G496" t="s">
        <v>448</v>
      </c>
      <c r="H496" t="str">
        <f>VLOOKUP(record[[#This Row],[ProcessSN]],表格2_7[],2,FALSE)</f>
        <v>30-4118-018-6XX</v>
      </c>
      <c r="I496" t="str">
        <f>VLOOKUP(record[[#This Row],[ProcessSN]],表格2_7[],3,FALSE)</f>
        <v>#04</v>
      </c>
      <c r="J496" t="s">
        <v>588</v>
      </c>
      <c r="K496" s="195">
        <v>46150.010034722225</v>
      </c>
      <c r="L496">
        <v>0</v>
      </c>
      <c r="M496">
        <v>1</v>
      </c>
      <c r="N496" s="98" t="str">
        <f>IF(record[[#This Row],[Memo]]="Browser:chrome os:android","平板報工",IF(record[[#This Row],[Memo]]=0,"委外",record[[#This Row],[Memo]]))</f>
        <v/>
      </c>
      <c r="O496" t="s">
        <v>58</v>
      </c>
      <c r="P496" t="s">
        <v>1098</v>
      </c>
      <c r="Q496" t="s">
        <v>58</v>
      </c>
      <c r="R496" t="str">
        <f>IFERROR(VLOOKUP(record[[#This Row],[PCUSTID]],廠商[],2,FALSE),"")</f>
        <v/>
      </c>
      <c r="S496" t="str">
        <f>VLOOKUP(record[[#This Row],[employeeID]],員工[],2,FALSE)</f>
        <v>阮氏芳英(英)</v>
      </c>
    </row>
    <row r="497" spans="6:19" x14ac:dyDescent="0.25">
      <c r="F497" t="s">
        <v>1924</v>
      </c>
      <c r="G497" t="s">
        <v>451</v>
      </c>
      <c r="H497" t="str">
        <f>VLOOKUP(record[[#This Row],[ProcessSN]],表格2_7[],2,FALSE)</f>
        <v>30-4118-018-6XX</v>
      </c>
      <c r="I497" t="str">
        <f>VLOOKUP(record[[#This Row],[ProcessSN]],表格2_7[],3,FALSE)</f>
        <v>#07</v>
      </c>
      <c r="J497" t="s">
        <v>588</v>
      </c>
      <c r="K497" s="195">
        <v>46149.997199074074</v>
      </c>
      <c r="L497">
        <v>157</v>
      </c>
      <c r="M497">
        <v>0</v>
      </c>
      <c r="N497" s="98" t="str">
        <f>IF(record[[#This Row],[Memo]]="Browser:chrome os:android","平板報工",IF(record[[#This Row],[Memo]]=0,"委外",record[[#This Row],[Memo]]))</f>
        <v>平板報工</v>
      </c>
      <c r="O497" t="s">
        <v>643</v>
      </c>
      <c r="P497" t="s">
        <v>89</v>
      </c>
      <c r="Q497" t="s">
        <v>644</v>
      </c>
      <c r="R497" t="str">
        <f>IFERROR(VLOOKUP(record[[#This Row],[PCUSTID]],廠商[],2,FALSE),"")</f>
        <v/>
      </c>
      <c r="S497" t="str">
        <f>VLOOKUP(record[[#This Row],[employeeID]],員工[],2,FALSE)</f>
        <v>李美蓮</v>
      </c>
    </row>
    <row r="498" spans="6:19" hidden="1" x14ac:dyDescent="0.25">
      <c r="F498" t="s">
        <v>1857</v>
      </c>
      <c r="G498" t="s">
        <v>466</v>
      </c>
      <c r="H498" t="str">
        <f>VLOOKUP(record[[#This Row],[ProcessSN]],表格2_7[],2,FALSE)</f>
        <v>30-4118-018-XXX</v>
      </c>
      <c r="I498" t="str">
        <f>VLOOKUP(record[[#This Row],[ProcessSN]],表格2_7[],3,FALSE)</f>
        <v>#01-2</v>
      </c>
      <c r="J498" t="s">
        <v>588</v>
      </c>
      <c r="K498" s="195">
        <v>46149.995810185188</v>
      </c>
      <c r="L498">
        <v>254</v>
      </c>
      <c r="M498">
        <v>0</v>
      </c>
      <c r="N498" s="98" t="str">
        <f>IF(record[[#This Row],[Memo]]="Browser:chrome os:android","平板報工",IF(record[[#This Row],[Memo]]=0,"委外",record[[#This Row],[Memo]]))</f>
        <v/>
      </c>
      <c r="O498" t="s">
        <v>58</v>
      </c>
      <c r="P498" t="s">
        <v>1098</v>
      </c>
      <c r="Q498" t="s">
        <v>58</v>
      </c>
      <c r="R498" t="str">
        <f>IFERROR(VLOOKUP(record[[#This Row],[PCUSTID]],廠商[],2,FALSE),"")</f>
        <v/>
      </c>
      <c r="S498" t="str">
        <f>VLOOKUP(record[[#This Row],[employeeID]],員工[],2,FALSE)</f>
        <v>阮氏芳英(英)</v>
      </c>
    </row>
    <row r="499" spans="6:19" hidden="1" x14ac:dyDescent="0.25">
      <c r="F499" t="s">
        <v>1945</v>
      </c>
      <c r="G499" t="s">
        <v>448</v>
      </c>
      <c r="H499" t="str">
        <f>VLOOKUP(record[[#This Row],[ProcessSN]],表格2_7[],2,FALSE)</f>
        <v>30-4118-018-6XX</v>
      </c>
      <c r="I499" t="str">
        <f>VLOOKUP(record[[#This Row],[ProcessSN]],表格2_7[],3,FALSE)</f>
        <v>#04</v>
      </c>
      <c r="J499" t="s">
        <v>588</v>
      </c>
      <c r="K499" s="195">
        <v>46149.995428240742</v>
      </c>
      <c r="L499">
        <v>50</v>
      </c>
      <c r="M499">
        <v>5</v>
      </c>
      <c r="N499" s="98" t="str">
        <f>IF(record[[#This Row],[Memo]]="Browser:chrome os:android","平板報工",IF(record[[#This Row],[Memo]]=0,"委外",record[[#This Row],[Memo]]))</f>
        <v/>
      </c>
      <c r="O499" t="s">
        <v>58</v>
      </c>
      <c r="P499" t="s">
        <v>1098</v>
      </c>
      <c r="Q499" t="s">
        <v>58</v>
      </c>
      <c r="R499" t="str">
        <f>IFERROR(VLOOKUP(record[[#This Row],[PCUSTID]],廠商[],2,FALSE),"")</f>
        <v/>
      </c>
      <c r="S499" t="str">
        <f>VLOOKUP(record[[#This Row],[employeeID]],員工[],2,FALSE)</f>
        <v>阮氏芳英(英)</v>
      </c>
    </row>
    <row r="500" spans="6:19" hidden="1" x14ac:dyDescent="0.25">
      <c r="F500" t="s">
        <v>1986</v>
      </c>
      <c r="G500" t="s">
        <v>448</v>
      </c>
      <c r="H500" t="str">
        <f>VLOOKUP(record[[#This Row],[ProcessSN]],表格2_7[],2,FALSE)</f>
        <v>30-4118-018-6XX</v>
      </c>
      <c r="I500" t="str">
        <f>VLOOKUP(record[[#This Row],[ProcessSN]],表格2_7[],3,FALSE)</f>
        <v>#04</v>
      </c>
      <c r="J500" t="s">
        <v>588</v>
      </c>
      <c r="K500" s="195">
        <v>46149.995057870372</v>
      </c>
      <c r="L500">
        <v>110</v>
      </c>
      <c r="M500">
        <v>0</v>
      </c>
      <c r="N500" s="98" t="str">
        <f>IF(record[[#This Row],[Memo]]="Browser:chrome os:android","平板報工",IF(record[[#This Row],[Memo]]=0,"委外",record[[#This Row],[Memo]]))</f>
        <v/>
      </c>
      <c r="O500" t="s">
        <v>58</v>
      </c>
      <c r="P500" t="s">
        <v>1098</v>
      </c>
      <c r="Q500" t="s">
        <v>58</v>
      </c>
      <c r="R500" t="str">
        <f>IFERROR(VLOOKUP(record[[#This Row],[PCUSTID]],廠商[],2,FALSE),"")</f>
        <v/>
      </c>
      <c r="S500" t="str">
        <f>VLOOKUP(record[[#This Row],[employeeID]],員工[],2,FALSE)</f>
        <v>阮氏芳英(英)</v>
      </c>
    </row>
    <row r="501" spans="6:19" hidden="1" x14ac:dyDescent="0.25">
      <c r="F501" t="s">
        <v>1945</v>
      </c>
      <c r="G501" t="s">
        <v>450</v>
      </c>
      <c r="H501" t="str">
        <f>VLOOKUP(record[[#This Row],[ProcessSN]],表格2_7[],2,FALSE)</f>
        <v>30-4118-018-6XX</v>
      </c>
      <c r="I501" t="str">
        <f>VLOOKUP(record[[#This Row],[ProcessSN]],表格2_7[],3,FALSE)</f>
        <v>#06</v>
      </c>
      <c r="J501" t="s">
        <v>593</v>
      </c>
      <c r="K501" s="195">
        <v>46149.965069444443</v>
      </c>
      <c r="L501">
        <v>136</v>
      </c>
      <c r="M501">
        <v>0</v>
      </c>
      <c r="N501" s="98" t="str">
        <f>IF(record[[#This Row],[Memo]]="Browser:chrome os:android","平板報工",IF(record[[#This Row],[Memo]]=0,"委外",record[[#This Row],[Memo]]))</f>
        <v>平板報工</v>
      </c>
      <c r="O501" t="s">
        <v>643</v>
      </c>
      <c r="P501" t="s">
        <v>841</v>
      </c>
      <c r="Q501" t="s">
        <v>644</v>
      </c>
      <c r="R501" t="str">
        <f>IFERROR(VLOOKUP(record[[#This Row],[PCUSTID]],廠商[],2,FALSE),"")</f>
        <v/>
      </c>
      <c r="S501" t="str">
        <f>VLOOKUP(record[[#This Row],[employeeID]],員工[],2,FALSE)</f>
        <v>范氏香</v>
      </c>
    </row>
    <row r="502" spans="6:19" hidden="1" x14ac:dyDescent="0.25">
      <c r="F502" t="s">
        <v>1945</v>
      </c>
      <c r="G502" t="s">
        <v>450</v>
      </c>
      <c r="H502" t="str">
        <f>VLOOKUP(record[[#This Row],[ProcessSN]],表格2_7[],2,FALSE)</f>
        <v>30-4118-018-6XX</v>
      </c>
      <c r="I502" t="str">
        <f>VLOOKUP(record[[#This Row],[ProcessSN]],表格2_7[],3,FALSE)</f>
        <v>#06</v>
      </c>
      <c r="J502" t="s">
        <v>593</v>
      </c>
      <c r="K502" s="195">
        <v>46149.835300925923</v>
      </c>
      <c r="L502">
        <v>69</v>
      </c>
      <c r="M502">
        <v>1</v>
      </c>
      <c r="N502" s="98" t="str">
        <f>IF(record[[#This Row],[Memo]]="Browser:chrome os:android","平板報工",IF(record[[#This Row],[Memo]]=0,"委外",record[[#This Row],[Memo]]))</f>
        <v>平板報工</v>
      </c>
      <c r="O502" t="s">
        <v>643</v>
      </c>
      <c r="P502" t="s">
        <v>1413</v>
      </c>
      <c r="Q502" t="s">
        <v>644</v>
      </c>
      <c r="R502" t="str">
        <f>IFERROR(VLOOKUP(record[[#This Row],[PCUSTID]],廠商[],2,FALSE),"")</f>
        <v/>
      </c>
      <c r="S502" t="str">
        <f>VLOOKUP(record[[#This Row],[employeeID]],員工[],2,FALSE)</f>
        <v>阮氏芳英(芳)</v>
      </c>
    </row>
    <row r="503" spans="6:19" x14ac:dyDescent="0.25">
      <c r="F503" t="s">
        <v>1924</v>
      </c>
      <c r="G503" t="s">
        <v>450</v>
      </c>
      <c r="H503" t="str">
        <f>VLOOKUP(record[[#This Row],[ProcessSN]],表格2_7[],2,FALSE)</f>
        <v>30-4118-018-6XX</v>
      </c>
      <c r="I503" t="str">
        <f>VLOOKUP(record[[#This Row],[ProcessSN]],表格2_7[],3,FALSE)</f>
        <v>#06</v>
      </c>
      <c r="J503" t="s">
        <v>593</v>
      </c>
      <c r="K503" s="195">
        <v>46149.835046296299</v>
      </c>
      <c r="L503">
        <v>35</v>
      </c>
      <c r="M503">
        <v>0</v>
      </c>
      <c r="N503" s="98" t="str">
        <f>IF(record[[#This Row],[Memo]]="Browser:chrome os:android","平板報工",IF(record[[#This Row],[Memo]]=0,"委外",record[[#This Row],[Memo]]))</f>
        <v>平板報工</v>
      </c>
      <c r="O503" t="s">
        <v>643</v>
      </c>
      <c r="P503" t="s">
        <v>1413</v>
      </c>
      <c r="Q503" t="s">
        <v>644</v>
      </c>
      <c r="R503" t="str">
        <f>IFERROR(VLOOKUP(record[[#This Row],[PCUSTID]],廠商[],2,FALSE),"")</f>
        <v/>
      </c>
      <c r="S503" t="str">
        <f>VLOOKUP(record[[#This Row],[employeeID]],員工[],2,FALSE)</f>
        <v>阮氏芳英(芳)</v>
      </c>
    </row>
    <row r="504" spans="6:19" hidden="1" x14ac:dyDescent="0.25">
      <c r="F504" t="s">
        <v>1945</v>
      </c>
      <c r="G504" t="s">
        <v>450</v>
      </c>
      <c r="H504" t="str">
        <f>VLOOKUP(record[[#This Row],[ProcessSN]],表格2_7[],2,FALSE)</f>
        <v>30-4118-018-6XX</v>
      </c>
      <c r="I504" t="str">
        <f>VLOOKUP(record[[#This Row],[ProcessSN]],表格2_7[],3,FALSE)</f>
        <v>#06</v>
      </c>
      <c r="J504" t="s">
        <v>593</v>
      </c>
      <c r="K504" s="195">
        <v>46149.834803240738</v>
      </c>
      <c r="L504">
        <v>35</v>
      </c>
      <c r="M504">
        <v>0</v>
      </c>
      <c r="N504" s="98" t="str">
        <f>IF(record[[#This Row],[Memo]]="Browser:chrome os:android","平板報工",IF(record[[#This Row],[Memo]]=0,"委外",record[[#This Row],[Memo]]))</f>
        <v>平板報工</v>
      </c>
      <c r="O504" t="s">
        <v>643</v>
      </c>
      <c r="P504" t="s">
        <v>1413</v>
      </c>
      <c r="Q504" t="s">
        <v>644</v>
      </c>
      <c r="R504" t="str">
        <f>IFERROR(VLOOKUP(record[[#This Row],[PCUSTID]],廠商[],2,FALSE),"")</f>
        <v/>
      </c>
      <c r="S504" t="str">
        <f>VLOOKUP(record[[#This Row],[employeeID]],員工[],2,FALSE)</f>
        <v>阮氏芳英(芳)</v>
      </c>
    </row>
    <row r="505" spans="6:19" hidden="1" x14ac:dyDescent="0.25">
      <c r="F505" t="s">
        <v>1968</v>
      </c>
      <c r="G505" t="s">
        <v>327</v>
      </c>
      <c r="H505" t="str">
        <f>VLOOKUP(record[[#This Row],[ProcessSN]],表格2_7[],2,FALSE)</f>
        <v>30-4118-018-370</v>
      </c>
      <c r="I505" t="str">
        <f>VLOOKUP(record[[#This Row],[ProcessSN]],表格2_7[],3,FALSE)</f>
        <v>#100OQC</v>
      </c>
      <c r="J505" t="s">
        <v>599</v>
      </c>
      <c r="K505" s="195">
        <v>46149.800416666665</v>
      </c>
      <c r="L505">
        <v>132</v>
      </c>
      <c r="M505">
        <v>0</v>
      </c>
      <c r="N505" s="98" t="str">
        <f>IF(record[[#This Row],[Memo]]="Browser:chrome os:android","平板報工",IF(record[[#This Row],[Memo]]=0,"委外",record[[#This Row],[Memo]]))</f>
        <v/>
      </c>
      <c r="O505" t="s">
        <v>58</v>
      </c>
      <c r="P505" t="s">
        <v>121</v>
      </c>
      <c r="Q505" t="s">
        <v>58</v>
      </c>
      <c r="R505" t="str">
        <f>IFERROR(VLOOKUP(record[[#This Row],[PCUSTID]],廠商[],2,FALSE),"")</f>
        <v/>
      </c>
      <c r="S505" t="str">
        <f>VLOOKUP(record[[#This Row],[employeeID]],員工[],2,FALSE)</f>
        <v>謝素卿</v>
      </c>
    </row>
    <row r="506" spans="6:19" hidden="1" x14ac:dyDescent="0.25">
      <c r="F506" t="s">
        <v>1971</v>
      </c>
      <c r="G506" t="s">
        <v>426</v>
      </c>
      <c r="H506" t="str">
        <f>VLOOKUP(record[[#This Row],[ProcessSN]],表格2_7[],2,FALSE)</f>
        <v>30-4118-018-600</v>
      </c>
      <c r="I506" t="str">
        <f>VLOOKUP(record[[#This Row],[ProcessSN]],表格2_7[],3,FALSE)</f>
        <v>#100OQC</v>
      </c>
      <c r="J506" t="s">
        <v>599</v>
      </c>
      <c r="K506" s="195">
        <v>46149.79996527778</v>
      </c>
      <c r="L506">
        <v>24</v>
      </c>
      <c r="M506">
        <v>0</v>
      </c>
      <c r="N506" s="98" t="str">
        <f>IF(record[[#This Row],[Memo]]="Browser:chrome os:android","平板報工",IF(record[[#This Row],[Memo]]=0,"委外",record[[#This Row],[Memo]]))</f>
        <v/>
      </c>
      <c r="O506" t="s">
        <v>58</v>
      </c>
      <c r="P506" t="s">
        <v>121</v>
      </c>
      <c r="Q506" t="s">
        <v>58</v>
      </c>
      <c r="R506" t="str">
        <f>IFERROR(VLOOKUP(record[[#This Row],[PCUSTID]],廠商[],2,FALSE),"")</f>
        <v/>
      </c>
      <c r="S506" t="str">
        <f>VLOOKUP(record[[#This Row],[employeeID]],員工[],2,FALSE)</f>
        <v>謝素卿</v>
      </c>
    </row>
    <row r="507" spans="6:19" hidden="1" x14ac:dyDescent="0.25">
      <c r="F507" t="s">
        <v>1985</v>
      </c>
      <c r="G507" t="s">
        <v>463</v>
      </c>
      <c r="H507" t="str">
        <f>VLOOKUP(record[[#This Row],[ProcessSN]],表格2_7[],2,FALSE)</f>
        <v>30-4118-018-XXX</v>
      </c>
      <c r="I507" t="str">
        <f>VLOOKUP(record[[#This Row],[ProcessSN]],表格2_7[],3,FALSE)</f>
        <v>#00IQC</v>
      </c>
      <c r="J507" t="s">
        <v>583</v>
      </c>
      <c r="K507" s="195">
        <v>46149.792314814818</v>
      </c>
      <c r="L507">
        <v>3200</v>
      </c>
      <c r="M507">
        <v>0</v>
      </c>
      <c r="N507" s="98" t="str">
        <f>IF(record[[#This Row],[Memo]]="Browser:chrome os:android","平板報工",IF(record[[#This Row],[Memo]]=0,"委外",record[[#This Row],[Memo]]))</f>
        <v/>
      </c>
      <c r="O507" t="s">
        <v>58</v>
      </c>
      <c r="P507" t="s">
        <v>109</v>
      </c>
      <c r="Q507" t="s">
        <v>58</v>
      </c>
      <c r="R507" t="str">
        <f>IFERROR(VLOOKUP(record[[#This Row],[PCUSTID]],廠商[],2,FALSE),"")</f>
        <v/>
      </c>
      <c r="S507" t="str">
        <f>VLOOKUP(record[[#This Row],[employeeID]],員工[],2,FALSE)</f>
        <v>裴氏璧鳳</v>
      </c>
    </row>
    <row r="508" spans="6:19" hidden="1" x14ac:dyDescent="0.25">
      <c r="F508" t="s">
        <v>1857</v>
      </c>
      <c r="G508" t="s">
        <v>470</v>
      </c>
      <c r="H508" t="str">
        <f>VLOOKUP(record[[#This Row],[ProcessSN]],表格2_7[],2,FALSE)</f>
        <v>30-4118-018-XXX</v>
      </c>
      <c r="I508" t="str">
        <f>VLOOKUP(record[[#This Row],[ProcessSN]],表格2_7[],3,FALSE)</f>
        <v>#02IQC</v>
      </c>
      <c r="J508" t="s">
        <v>583</v>
      </c>
      <c r="K508" s="195">
        <v>46149.772615740738</v>
      </c>
      <c r="L508">
        <v>1008</v>
      </c>
      <c r="M508">
        <v>0</v>
      </c>
      <c r="N508" s="98" t="str">
        <f>IF(record[[#This Row],[Memo]]="Browser:chrome os:android","平板報工",IF(record[[#This Row],[Memo]]=0,"委外",record[[#This Row],[Memo]]))</f>
        <v/>
      </c>
      <c r="O508" t="s">
        <v>58</v>
      </c>
      <c r="P508" t="s">
        <v>109</v>
      </c>
      <c r="Q508" t="s">
        <v>58</v>
      </c>
      <c r="R508" t="str">
        <f>IFERROR(VLOOKUP(record[[#This Row],[PCUSTID]],廠商[],2,FALSE),"")</f>
        <v/>
      </c>
      <c r="S508" t="str">
        <f>VLOOKUP(record[[#This Row],[employeeID]],員工[],2,FALSE)</f>
        <v>裴氏璧鳳</v>
      </c>
    </row>
    <row r="509" spans="6:19" hidden="1" x14ac:dyDescent="0.25">
      <c r="F509" t="s">
        <v>1971</v>
      </c>
      <c r="G509" t="s">
        <v>425</v>
      </c>
      <c r="H509" t="str">
        <f>VLOOKUP(record[[#This Row],[ProcessSN]],表格2_7[],2,FALSE)</f>
        <v>30-4118-018-600</v>
      </c>
      <c r="I509" t="str">
        <f>VLOOKUP(record[[#This Row],[ProcessSN]],表格2_7[],3,FALSE)</f>
        <v>#100</v>
      </c>
      <c r="J509" t="s">
        <v>598</v>
      </c>
      <c r="K509" s="195">
        <v>46149.753912037035</v>
      </c>
      <c r="L509">
        <v>24</v>
      </c>
      <c r="M509">
        <v>0</v>
      </c>
      <c r="N509" s="98" t="str">
        <f>IF(record[[#This Row],[Memo]]="Browser:chrome os:android","平板報工",IF(record[[#This Row],[Memo]]=0,"委外",record[[#This Row],[Memo]]))</f>
        <v>平板報工</v>
      </c>
      <c r="O509" t="s">
        <v>643</v>
      </c>
      <c r="P509" t="s">
        <v>141</v>
      </c>
      <c r="Q509" t="s">
        <v>644</v>
      </c>
      <c r="R509" t="str">
        <f>IFERROR(VLOOKUP(record[[#This Row],[PCUSTID]],廠商[],2,FALSE),"")</f>
        <v/>
      </c>
      <c r="S509" t="str">
        <f>VLOOKUP(record[[#This Row],[employeeID]],員工[],2,FALSE)</f>
        <v>蔣梅</v>
      </c>
    </row>
    <row r="510" spans="6:19" hidden="1" x14ac:dyDescent="0.25">
      <c r="F510" t="s">
        <v>1968</v>
      </c>
      <c r="G510" t="s">
        <v>326</v>
      </c>
      <c r="H510" t="str">
        <f>VLOOKUP(record[[#This Row],[ProcessSN]],表格2_7[],2,FALSE)</f>
        <v>30-4118-018-370</v>
      </c>
      <c r="I510" t="str">
        <f>VLOOKUP(record[[#This Row],[ProcessSN]],表格2_7[],3,FALSE)</f>
        <v>#100</v>
      </c>
      <c r="J510" t="s">
        <v>598</v>
      </c>
      <c r="K510" s="195">
        <v>46149.743495370371</v>
      </c>
      <c r="L510">
        <v>0</v>
      </c>
      <c r="M510">
        <v>4</v>
      </c>
      <c r="N510" s="98" t="str">
        <f>IF(record[[#This Row],[Memo]]="Browser:chrome os:android","平板報工",IF(record[[#This Row],[Memo]]=0,"委外",record[[#This Row],[Memo]]))</f>
        <v>平板報工</v>
      </c>
      <c r="O510" t="s">
        <v>643</v>
      </c>
      <c r="P510" t="s">
        <v>141</v>
      </c>
      <c r="Q510" t="s">
        <v>644</v>
      </c>
      <c r="R510" t="str">
        <f>IFERROR(VLOOKUP(record[[#This Row],[PCUSTID]],廠商[],2,FALSE),"")</f>
        <v/>
      </c>
      <c r="S510" t="str">
        <f>VLOOKUP(record[[#This Row],[employeeID]],員工[],2,FALSE)</f>
        <v>蔣梅</v>
      </c>
    </row>
    <row r="511" spans="6:19" hidden="1" x14ac:dyDescent="0.25">
      <c r="F511" t="s">
        <v>1968</v>
      </c>
      <c r="G511" t="s">
        <v>326</v>
      </c>
      <c r="H511" t="str">
        <f>VLOOKUP(record[[#This Row],[ProcessSN]],表格2_7[],2,FALSE)</f>
        <v>30-4118-018-370</v>
      </c>
      <c r="I511" t="str">
        <f>VLOOKUP(record[[#This Row],[ProcessSN]],表格2_7[],3,FALSE)</f>
        <v>#100</v>
      </c>
      <c r="J511" t="s">
        <v>598</v>
      </c>
      <c r="K511" s="195">
        <v>46149.743171296293</v>
      </c>
      <c r="L511">
        <v>132</v>
      </c>
      <c r="M511">
        <v>0</v>
      </c>
      <c r="N511" s="98" t="str">
        <f>IF(record[[#This Row],[Memo]]="Browser:chrome os:android","平板報工",IF(record[[#This Row],[Memo]]=0,"委外",record[[#This Row],[Memo]]))</f>
        <v>平板報工</v>
      </c>
      <c r="O511" t="s">
        <v>643</v>
      </c>
      <c r="P511" t="s">
        <v>141</v>
      </c>
      <c r="Q511" t="s">
        <v>644</v>
      </c>
      <c r="R511" t="str">
        <f>IFERROR(VLOOKUP(record[[#This Row],[PCUSTID]],廠商[],2,FALSE),"")</f>
        <v/>
      </c>
      <c r="S511" t="str">
        <f>VLOOKUP(record[[#This Row],[employeeID]],員工[],2,FALSE)</f>
        <v>蔣梅</v>
      </c>
    </row>
    <row r="512" spans="6:19" hidden="1" x14ac:dyDescent="0.25">
      <c r="F512" t="s">
        <v>1968</v>
      </c>
      <c r="G512" t="s">
        <v>329</v>
      </c>
      <c r="H512" t="str">
        <f>VLOOKUP(record[[#This Row],[ProcessSN]],表格2_7[],2,FALSE)</f>
        <v>30-4118-018-370</v>
      </c>
      <c r="I512" t="str">
        <f>VLOOKUP(record[[#This Row],[ProcessSN]],表格2_7[],3,FALSE)</f>
        <v>#100SHIP</v>
      </c>
      <c r="J512" t="s">
        <v>600</v>
      </c>
      <c r="K512" s="195">
        <v>46149.738692129627</v>
      </c>
      <c r="L512">
        <v>9</v>
      </c>
      <c r="M512">
        <v>0</v>
      </c>
      <c r="N512" s="98" t="str">
        <f>IF(record[[#This Row],[Memo]]="Browser:chrome os:android","平板報工",IF(record[[#This Row],[Memo]]=0,"委外",record[[#This Row],[Memo]]))</f>
        <v/>
      </c>
      <c r="O512" t="s">
        <v>58</v>
      </c>
      <c r="P512" t="s">
        <v>886</v>
      </c>
      <c r="Q512" t="s">
        <v>58</v>
      </c>
      <c r="R512" t="str">
        <f>IFERROR(VLOOKUP(record[[#This Row],[PCUSTID]],廠商[],2,FALSE),"")</f>
        <v/>
      </c>
      <c r="S512" t="str">
        <f>VLOOKUP(record[[#This Row],[employeeID]],員工[],2,FALSE)</f>
        <v>謝蓁薰</v>
      </c>
    </row>
    <row r="513" spans="6:19" hidden="1" x14ac:dyDescent="0.25">
      <c r="F513" t="s">
        <v>1968</v>
      </c>
      <c r="G513" t="s">
        <v>328</v>
      </c>
      <c r="H513" t="str">
        <f>VLOOKUP(record[[#This Row],[ProcessSN]],表格2_7[],2,FALSE)</f>
        <v>30-4118-018-370</v>
      </c>
      <c r="I513" t="str">
        <f>VLOOKUP(record[[#This Row],[ProcessSN]],表格2_7[],3,FALSE)</f>
        <v>#100STOCK</v>
      </c>
      <c r="J513" t="s">
        <v>592</v>
      </c>
      <c r="K513" s="195">
        <v>46149.738587962966</v>
      </c>
      <c r="L513">
        <v>9</v>
      </c>
      <c r="M513">
        <v>0</v>
      </c>
      <c r="N513" s="98" t="str">
        <f>IF(record[[#This Row],[Memo]]="Browser:chrome os:android","平板報工",IF(record[[#This Row],[Memo]]=0,"委外",record[[#This Row],[Memo]]))</f>
        <v/>
      </c>
      <c r="O513" t="s">
        <v>58</v>
      </c>
      <c r="P513" t="s">
        <v>886</v>
      </c>
      <c r="Q513" t="s">
        <v>58</v>
      </c>
      <c r="R513" t="str">
        <f>IFERROR(VLOOKUP(record[[#This Row],[PCUSTID]],廠商[],2,FALSE),"")</f>
        <v/>
      </c>
      <c r="S513" t="str">
        <f>VLOOKUP(record[[#This Row],[employeeID]],員工[],2,FALSE)</f>
        <v>謝蓁薰</v>
      </c>
    </row>
    <row r="514" spans="6:19" hidden="1" x14ac:dyDescent="0.25">
      <c r="F514" t="s">
        <v>1971</v>
      </c>
      <c r="G514" t="s">
        <v>428</v>
      </c>
      <c r="H514" t="str">
        <f>VLOOKUP(record[[#This Row],[ProcessSN]],表格2_7[],2,FALSE)</f>
        <v>30-4118-018-600</v>
      </c>
      <c r="I514" t="str">
        <f>VLOOKUP(record[[#This Row],[ProcessSN]],表格2_7[],3,FALSE)</f>
        <v>#100SHIP</v>
      </c>
      <c r="J514" t="s">
        <v>600</v>
      </c>
      <c r="K514" s="195">
        <v>46149.738449074073</v>
      </c>
      <c r="L514">
        <v>124</v>
      </c>
      <c r="M514">
        <v>0</v>
      </c>
      <c r="N514" s="98" t="str">
        <f>IF(record[[#This Row],[Memo]]="Browser:chrome os:android","平板報工",IF(record[[#This Row],[Memo]]=0,"委外",record[[#This Row],[Memo]]))</f>
        <v/>
      </c>
      <c r="O514" t="s">
        <v>58</v>
      </c>
      <c r="P514" t="s">
        <v>886</v>
      </c>
      <c r="Q514" t="s">
        <v>58</v>
      </c>
      <c r="R514" t="str">
        <f>IFERROR(VLOOKUP(record[[#This Row],[PCUSTID]],廠商[],2,FALSE),"")</f>
        <v/>
      </c>
      <c r="S514" t="str">
        <f>VLOOKUP(record[[#This Row],[employeeID]],員工[],2,FALSE)</f>
        <v>謝蓁薰</v>
      </c>
    </row>
    <row r="515" spans="6:19" hidden="1" x14ac:dyDescent="0.25">
      <c r="F515" t="s">
        <v>1971</v>
      </c>
      <c r="G515" t="s">
        <v>427</v>
      </c>
      <c r="H515" t="str">
        <f>VLOOKUP(record[[#This Row],[ProcessSN]],表格2_7[],2,FALSE)</f>
        <v>30-4118-018-600</v>
      </c>
      <c r="I515" t="str">
        <f>VLOOKUP(record[[#This Row],[ProcessSN]],表格2_7[],3,FALSE)</f>
        <v>#100STOCK</v>
      </c>
      <c r="J515" t="s">
        <v>592</v>
      </c>
      <c r="K515" s="195">
        <v>46149.738321759258</v>
      </c>
      <c r="L515">
        <v>124</v>
      </c>
      <c r="M515">
        <v>0</v>
      </c>
      <c r="N515" s="98" t="str">
        <f>IF(record[[#This Row],[Memo]]="Browser:chrome os:android","平板報工",IF(record[[#This Row],[Memo]]=0,"委外",record[[#This Row],[Memo]]))</f>
        <v/>
      </c>
      <c r="O515" t="s">
        <v>58</v>
      </c>
      <c r="P515" t="s">
        <v>886</v>
      </c>
      <c r="Q515" t="s">
        <v>58</v>
      </c>
      <c r="R515" t="str">
        <f>IFERROR(VLOOKUP(record[[#This Row],[PCUSTID]],廠商[],2,FALSE),"")</f>
        <v/>
      </c>
      <c r="S515" t="str">
        <f>VLOOKUP(record[[#This Row],[employeeID]],員工[],2,FALSE)</f>
        <v>謝蓁薰</v>
      </c>
    </row>
    <row r="516" spans="6:19" hidden="1" x14ac:dyDescent="0.25">
      <c r="F516" t="s">
        <v>1968</v>
      </c>
      <c r="G516" t="s">
        <v>327</v>
      </c>
      <c r="H516" t="str">
        <f>VLOOKUP(record[[#This Row],[ProcessSN]],表格2_7[],2,FALSE)</f>
        <v>30-4118-018-370</v>
      </c>
      <c r="I516" t="str">
        <f>VLOOKUP(record[[#This Row],[ProcessSN]],表格2_7[],3,FALSE)</f>
        <v>#100OQC</v>
      </c>
      <c r="J516" t="s">
        <v>599</v>
      </c>
      <c r="K516" s="195">
        <v>46149.725844907407</v>
      </c>
      <c r="L516">
        <v>9</v>
      </c>
      <c r="M516">
        <v>0</v>
      </c>
      <c r="N516" s="98" t="str">
        <f>IF(record[[#This Row],[Memo]]="Browser:chrome os:android","平板報工",IF(record[[#This Row],[Memo]]=0,"委外",record[[#This Row],[Memo]]))</f>
        <v/>
      </c>
      <c r="O516" t="s">
        <v>58</v>
      </c>
      <c r="P516" t="s">
        <v>121</v>
      </c>
      <c r="Q516" t="s">
        <v>58</v>
      </c>
      <c r="R516" t="str">
        <f>IFERROR(VLOOKUP(record[[#This Row],[PCUSTID]],廠商[],2,FALSE),"")</f>
        <v/>
      </c>
      <c r="S516" t="str">
        <f>VLOOKUP(record[[#This Row],[employeeID]],員工[],2,FALSE)</f>
        <v>謝素卿</v>
      </c>
    </row>
    <row r="517" spans="6:19" hidden="1" x14ac:dyDescent="0.25">
      <c r="F517" t="s">
        <v>1952</v>
      </c>
      <c r="G517" t="s">
        <v>401</v>
      </c>
      <c r="H517" t="str">
        <f>VLOOKUP(record[[#This Row],[ProcessSN]],表格2_7[],2,FALSE)</f>
        <v>30-4118-018-550</v>
      </c>
      <c r="I517" t="str">
        <f>VLOOKUP(record[[#This Row],[ProcessSN]],表格2_7[],3,FALSE)</f>
        <v>#100OQC</v>
      </c>
      <c r="J517" t="s">
        <v>599</v>
      </c>
      <c r="K517" s="195">
        <v>46149.685231481482</v>
      </c>
      <c r="L517">
        <v>383</v>
      </c>
      <c r="M517">
        <v>0</v>
      </c>
      <c r="N517" s="98" t="str">
        <f>IF(record[[#This Row],[Memo]]="Browser:chrome os:android","平板報工",IF(record[[#This Row],[Memo]]=0,"委外",record[[#This Row],[Memo]]))</f>
        <v/>
      </c>
      <c r="O517" t="s">
        <v>58</v>
      </c>
      <c r="P517" t="s">
        <v>121</v>
      </c>
      <c r="Q517" t="s">
        <v>58</v>
      </c>
      <c r="R517" t="str">
        <f>IFERROR(VLOOKUP(record[[#This Row],[PCUSTID]],廠商[],2,FALSE),"")</f>
        <v/>
      </c>
      <c r="S517" t="str">
        <f>VLOOKUP(record[[#This Row],[employeeID]],員工[],2,FALSE)</f>
        <v>謝素卿</v>
      </c>
    </row>
    <row r="518" spans="6:19" hidden="1" x14ac:dyDescent="0.25">
      <c r="F518" t="s">
        <v>1971</v>
      </c>
      <c r="G518" t="s">
        <v>426</v>
      </c>
      <c r="H518" t="str">
        <f>VLOOKUP(record[[#This Row],[ProcessSN]],表格2_7[],2,FALSE)</f>
        <v>30-4118-018-600</v>
      </c>
      <c r="I518" t="str">
        <f>VLOOKUP(record[[#This Row],[ProcessSN]],表格2_7[],3,FALSE)</f>
        <v>#100OQC</v>
      </c>
      <c r="J518" t="s">
        <v>599</v>
      </c>
      <c r="K518" s="195">
        <v>46149.684814814813</v>
      </c>
      <c r="L518">
        <v>132</v>
      </c>
      <c r="M518">
        <v>0</v>
      </c>
      <c r="N518" s="98" t="str">
        <f>IF(record[[#This Row],[Memo]]="Browser:chrome os:android","平板報工",IF(record[[#This Row],[Memo]]=0,"委外",record[[#This Row],[Memo]]))</f>
        <v/>
      </c>
      <c r="O518" t="s">
        <v>58</v>
      </c>
      <c r="P518" t="s">
        <v>121</v>
      </c>
      <c r="Q518" t="s">
        <v>58</v>
      </c>
      <c r="R518" t="str">
        <f>IFERROR(VLOOKUP(record[[#This Row],[PCUSTID]],廠商[],2,FALSE),"")</f>
        <v/>
      </c>
      <c r="S518" t="str">
        <f>VLOOKUP(record[[#This Row],[employeeID]],員工[],2,FALSE)</f>
        <v>謝素卿</v>
      </c>
    </row>
    <row r="519" spans="6:19" x14ac:dyDescent="0.25">
      <c r="F519" t="s">
        <v>1924</v>
      </c>
      <c r="G519" t="s">
        <v>451</v>
      </c>
      <c r="H519" t="str">
        <f>VLOOKUP(record[[#This Row],[ProcessSN]],表格2_7[],2,FALSE)</f>
        <v>30-4118-018-6XX</v>
      </c>
      <c r="I519" t="str">
        <f>VLOOKUP(record[[#This Row],[ProcessSN]],表格2_7[],3,FALSE)</f>
        <v>#07</v>
      </c>
      <c r="J519" t="s">
        <v>588</v>
      </c>
      <c r="K519" s="195">
        <v>46149.677453703705</v>
      </c>
      <c r="L519">
        <v>10</v>
      </c>
      <c r="M519">
        <v>1</v>
      </c>
      <c r="N519" s="98" t="str">
        <f>IF(record[[#This Row],[Memo]]="Browser:chrome os:android","平板報工",IF(record[[#This Row],[Memo]]=0,"委外",record[[#This Row],[Memo]]))</f>
        <v/>
      </c>
      <c r="O519" t="s">
        <v>58</v>
      </c>
      <c r="P519" t="s">
        <v>785</v>
      </c>
      <c r="Q519" t="s">
        <v>58</v>
      </c>
      <c r="R519" t="str">
        <f>IFERROR(VLOOKUP(record[[#This Row],[PCUSTID]],廠商[],2,FALSE),"")</f>
        <v/>
      </c>
      <c r="S519" t="str">
        <f>VLOOKUP(record[[#This Row],[employeeID]],員工[],2,FALSE)</f>
        <v>謝刻光</v>
      </c>
    </row>
    <row r="520" spans="6:19" hidden="1" x14ac:dyDescent="0.25">
      <c r="F520" t="s">
        <v>1945</v>
      </c>
      <c r="G520" t="s">
        <v>451</v>
      </c>
      <c r="H520" t="str">
        <f>VLOOKUP(record[[#This Row],[ProcessSN]],表格2_7[],2,FALSE)</f>
        <v>30-4118-018-6XX</v>
      </c>
      <c r="I520" t="str">
        <f>VLOOKUP(record[[#This Row],[ProcessSN]],表格2_7[],3,FALSE)</f>
        <v>#07</v>
      </c>
      <c r="J520" t="s">
        <v>588</v>
      </c>
      <c r="K520" s="195">
        <v>46149.677256944444</v>
      </c>
      <c r="L520">
        <v>227</v>
      </c>
      <c r="M520">
        <v>0</v>
      </c>
      <c r="N520" s="98" t="str">
        <f>IF(record[[#This Row],[Memo]]="Browser:chrome os:android","平板報工",IF(record[[#This Row],[Memo]]=0,"委外",record[[#This Row],[Memo]]))</f>
        <v/>
      </c>
      <c r="O520" t="s">
        <v>58</v>
      </c>
      <c r="P520" t="s">
        <v>785</v>
      </c>
      <c r="Q520" t="s">
        <v>58</v>
      </c>
      <c r="R520" t="str">
        <f>IFERROR(VLOOKUP(record[[#This Row],[PCUSTID]],廠商[],2,FALSE),"")</f>
        <v/>
      </c>
      <c r="S520" t="str">
        <f>VLOOKUP(record[[#This Row],[employeeID]],員工[],2,FALSE)</f>
        <v>謝刻光</v>
      </c>
    </row>
    <row r="521" spans="6:19" hidden="1" x14ac:dyDescent="0.25">
      <c r="F521" t="s">
        <v>1945</v>
      </c>
      <c r="G521" t="s">
        <v>450</v>
      </c>
      <c r="H521" t="str">
        <f>VLOOKUP(record[[#This Row],[ProcessSN]],表格2_7[],2,FALSE)</f>
        <v>30-4118-018-6XX</v>
      </c>
      <c r="I521" t="str">
        <f>VLOOKUP(record[[#This Row],[ProcessSN]],表格2_7[],3,FALSE)</f>
        <v>#06</v>
      </c>
      <c r="J521" t="s">
        <v>593</v>
      </c>
      <c r="K521" s="195">
        <v>46149.67695601852</v>
      </c>
      <c r="L521">
        <v>114</v>
      </c>
      <c r="M521">
        <v>1</v>
      </c>
      <c r="N521" s="98" t="str">
        <f>IF(record[[#This Row],[Memo]]="Browser:chrome os:android","平板報工",IF(record[[#This Row],[Memo]]=0,"委外",record[[#This Row],[Memo]]))</f>
        <v/>
      </c>
      <c r="O521" t="s">
        <v>58</v>
      </c>
      <c r="P521" t="s">
        <v>139</v>
      </c>
      <c r="Q521" t="s">
        <v>58</v>
      </c>
      <c r="R521" t="str">
        <f>IFERROR(VLOOKUP(record[[#This Row],[PCUSTID]],廠商[],2,FALSE),"")</f>
        <v/>
      </c>
      <c r="S521" t="str">
        <f>VLOOKUP(record[[#This Row],[employeeID]],員工[],2,FALSE)</f>
        <v>高氏顏</v>
      </c>
    </row>
    <row r="522" spans="6:19" hidden="1" x14ac:dyDescent="0.25">
      <c r="F522" t="s">
        <v>1945</v>
      </c>
      <c r="G522" t="s">
        <v>450</v>
      </c>
      <c r="H522" t="str">
        <f>VLOOKUP(record[[#This Row],[ProcessSN]],表格2_7[],2,FALSE)</f>
        <v>30-4118-018-6XX</v>
      </c>
      <c r="I522" t="str">
        <f>VLOOKUP(record[[#This Row],[ProcessSN]],表格2_7[],3,FALSE)</f>
        <v>#06</v>
      </c>
      <c r="J522" t="s">
        <v>593</v>
      </c>
      <c r="K522" s="195">
        <v>46149.67628472222</v>
      </c>
      <c r="L522">
        <v>113</v>
      </c>
      <c r="M522">
        <v>0</v>
      </c>
      <c r="N522" s="98" t="str">
        <f>IF(record[[#This Row],[Memo]]="Browser:chrome os:android","平板報工",IF(record[[#This Row],[Memo]]=0,"委外",record[[#This Row],[Memo]]))</f>
        <v/>
      </c>
      <c r="O522" t="s">
        <v>58</v>
      </c>
      <c r="P522" t="s">
        <v>139</v>
      </c>
      <c r="Q522" t="s">
        <v>58</v>
      </c>
      <c r="R522" t="str">
        <f>IFERROR(VLOOKUP(record[[#This Row],[PCUSTID]],廠商[],2,FALSE),"")</f>
        <v/>
      </c>
      <c r="S522" t="str">
        <f>VLOOKUP(record[[#This Row],[employeeID]],員工[],2,FALSE)</f>
        <v>高氏顏</v>
      </c>
    </row>
    <row r="523" spans="6:19" x14ac:dyDescent="0.25">
      <c r="F523" t="s">
        <v>1924</v>
      </c>
      <c r="G523" t="s">
        <v>450</v>
      </c>
      <c r="H523" t="str">
        <f>VLOOKUP(record[[#This Row],[ProcessSN]],表格2_7[],2,FALSE)</f>
        <v>30-4118-018-6XX</v>
      </c>
      <c r="I523" t="str">
        <f>VLOOKUP(record[[#This Row],[ProcessSN]],表格2_7[],3,FALSE)</f>
        <v>#06</v>
      </c>
      <c r="J523" t="s">
        <v>593</v>
      </c>
      <c r="K523" s="195">
        <v>46149.673715277779</v>
      </c>
      <c r="L523">
        <v>133</v>
      </c>
      <c r="M523">
        <v>0</v>
      </c>
      <c r="N523" s="98" t="str">
        <f>IF(record[[#This Row],[Memo]]="Browser:chrome os:android","平板報工",IF(record[[#This Row],[Memo]]=0,"委外",record[[#This Row],[Memo]]))</f>
        <v/>
      </c>
      <c r="O523" t="s">
        <v>58</v>
      </c>
      <c r="P523" t="s">
        <v>1413</v>
      </c>
      <c r="Q523" t="s">
        <v>58</v>
      </c>
      <c r="R523" t="str">
        <f>IFERROR(VLOOKUP(record[[#This Row],[PCUSTID]],廠商[],2,FALSE),"")</f>
        <v/>
      </c>
      <c r="S523" t="str">
        <f>VLOOKUP(record[[#This Row],[employeeID]],員工[],2,FALSE)</f>
        <v>阮氏芳英(芳)</v>
      </c>
    </row>
    <row r="524" spans="6:19" hidden="1" x14ac:dyDescent="0.25">
      <c r="F524" t="s">
        <v>1945</v>
      </c>
      <c r="G524" t="s">
        <v>449</v>
      </c>
      <c r="H524" t="str">
        <f>VLOOKUP(record[[#This Row],[ProcessSN]],表格2_7[],2,FALSE)</f>
        <v>30-4118-018-6XX</v>
      </c>
      <c r="I524" t="str">
        <f>VLOOKUP(record[[#This Row],[ProcessSN]],表格2_7[],3,FALSE)</f>
        <v>#05</v>
      </c>
      <c r="J524" t="s">
        <v>588</v>
      </c>
      <c r="K524" s="195">
        <v>46149.673020833332</v>
      </c>
      <c r="L524">
        <v>267</v>
      </c>
      <c r="M524">
        <v>0</v>
      </c>
      <c r="N524" s="98" t="str">
        <f>IF(record[[#This Row],[Memo]]="Browser:chrome os:android","平板報工",IF(record[[#This Row],[Memo]]=0,"委外",record[[#This Row],[Memo]]))</f>
        <v/>
      </c>
      <c r="O524" t="s">
        <v>58</v>
      </c>
      <c r="P524" t="s">
        <v>145</v>
      </c>
      <c r="Q524" t="s">
        <v>58</v>
      </c>
      <c r="R524" t="str">
        <f>IFERROR(VLOOKUP(record[[#This Row],[PCUSTID]],廠商[],2,FALSE),"")</f>
        <v/>
      </c>
      <c r="S524" t="str">
        <f>VLOOKUP(record[[#This Row],[employeeID]],員工[],2,FALSE)</f>
        <v>阮秋霞</v>
      </c>
    </row>
    <row r="525" spans="6:19" hidden="1" x14ac:dyDescent="0.25">
      <c r="F525" t="s">
        <v>1945</v>
      </c>
      <c r="G525" t="s">
        <v>448</v>
      </c>
      <c r="H525" t="str">
        <f>VLOOKUP(record[[#This Row],[ProcessSN]],表格2_7[],2,FALSE)</f>
        <v>30-4118-018-6XX</v>
      </c>
      <c r="I525" t="str">
        <f>VLOOKUP(record[[#This Row],[ProcessSN]],表格2_7[],3,FALSE)</f>
        <v>#04</v>
      </c>
      <c r="J525" t="s">
        <v>588</v>
      </c>
      <c r="K525" s="195">
        <v>46149.672129629631</v>
      </c>
      <c r="L525">
        <v>4</v>
      </c>
      <c r="M525">
        <v>0</v>
      </c>
      <c r="N525" s="98" t="str">
        <f>IF(record[[#This Row],[Memo]]="Browser:chrome os:android","平板報工",IF(record[[#This Row],[Memo]]=0,"委外",record[[#This Row],[Memo]]))</f>
        <v/>
      </c>
      <c r="O525" t="s">
        <v>58</v>
      </c>
      <c r="P525" t="s">
        <v>107</v>
      </c>
      <c r="Q525" t="s">
        <v>58</v>
      </c>
      <c r="R525" t="str">
        <f>IFERROR(VLOOKUP(record[[#This Row],[PCUSTID]],廠商[],2,FALSE),"")</f>
        <v/>
      </c>
      <c r="S525" t="str">
        <f>VLOOKUP(record[[#This Row],[employeeID]],員工[],2,FALSE)</f>
        <v>黎氏順</v>
      </c>
    </row>
    <row r="526" spans="6:19" hidden="1" x14ac:dyDescent="0.25">
      <c r="F526" t="s">
        <v>1952</v>
      </c>
      <c r="G526" t="s">
        <v>400</v>
      </c>
      <c r="H526" t="str">
        <f>VLOOKUP(record[[#This Row],[ProcessSN]],表格2_7[],2,FALSE)</f>
        <v>30-4118-018-550</v>
      </c>
      <c r="I526" t="str">
        <f>VLOOKUP(record[[#This Row],[ProcessSN]],表格2_7[],3,FALSE)</f>
        <v>#100</v>
      </c>
      <c r="J526" t="s">
        <v>598</v>
      </c>
      <c r="K526" s="195">
        <v>46149.662349537037</v>
      </c>
      <c r="L526">
        <v>0</v>
      </c>
      <c r="M526">
        <v>7</v>
      </c>
      <c r="N526" s="98" t="str">
        <f>IF(record[[#This Row],[Memo]]="Browser:chrome os:android","平板報工",IF(record[[#This Row],[Memo]]=0,"委外",record[[#This Row],[Memo]]))</f>
        <v/>
      </c>
      <c r="O526" t="s">
        <v>58</v>
      </c>
      <c r="P526" t="s">
        <v>141</v>
      </c>
      <c r="Q526" t="s">
        <v>58</v>
      </c>
      <c r="R526" t="str">
        <f>IFERROR(VLOOKUP(record[[#This Row],[PCUSTID]],廠商[],2,FALSE),"")</f>
        <v/>
      </c>
      <c r="S526" t="str">
        <f>VLOOKUP(record[[#This Row],[employeeID]],員工[],2,FALSE)</f>
        <v>蔣梅</v>
      </c>
    </row>
    <row r="527" spans="6:19" hidden="1" x14ac:dyDescent="0.25">
      <c r="F527" t="s">
        <v>1952</v>
      </c>
      <c r="G527" t="s">
        <v>400</v>
      </c>
      <c r="H527" t="str">
        <f>VLOOKUP(record[[#This Row],[ProcessSN]],表格2_7[],2,FALSE)</f>
        <v>30-4118-018-550</v>
      </c>
      <c r="I527" t="str">
        <f>VLOOKUP(record[[#This Row],[ProcessSN]],表格2_7[],3,FALSE)</f>
        <v>#100</v>
      </c>
      <c r="J527" t="s">
        <v>598</v>
      </c>
      <c r="K527" s="195">
        <v>46149.662210648145</v>
      </c>
      <c r="L527">
        <v>383</v>
      </c>
      <c r="M527">
        <v>0</v>
      </c>
      <c r="N527" s="98" t="str">
        <f>IF(record[[#This Row],[Memo]]="Browser:chrome os:android","平板報工",IF(record[[#This Row],[Memo]]=0,"委外",record[[#This Row],[Memo]]))</f>
        <v/>
      </c>
      <c r="O527" t="s">
        <v>58</v>
      </c>
      <c r="P527" t="s">
        <v>141</v>
      </c>
      <c r="Q527" t="s">
        <v>58</v>
      </c>
      <c r="R527" t="str">
        <f>IFERROR(VLOOKUP(record[[#This Row],[PCUSTID]],廠商[],2,FALSE),"")</f>
        <v/>
      </c>
      <c r="S527" t="str">
        <f>VLOOKUP(record[[#This Row],[employeeID]],員工[],2,FALSE)</f>
        <v>蔣梅</v>
      </c>
    </row>
    <row r="528" spans="6:19" hidden="1" x14ac:dyDescent="0.25">
      <c r="F528" t="s">
        <v>1971</v>
      </c>
      <c r="G528" t="s">
        <v>425</v>
      </c>
      <c r="H528" t="str">
        <f>VLOOKUP(record[[#This Row],[ProcessSN]],表格2_7[],2,FALSE)</f>
        <v>30-4118-018-600</v>
      </c>
      <c r="I528" t="str">
        <f>VLOOKUP(record[[#This Row],[ProcessSN]],表格2_7[],3,FALSE)</f>
        <v>#100</v>
      </c>
      <c r="J528" t="s">
        <v>598</v>
      </c>
      <c r="K528" s="195">
        <v>46149.661122685182</v>
      </c>
      <c r="L528">
        <v>0</v>
      </c>
      <c r="M528">
        <v>1</v>
      </c>
      <c r="N528" s="98" t="str">
        <f>IF(record[[#This Row],[Memo]]="Browser:chrome os:android","平板報工",IF(record[[#This Row],[Memo]]=0,"委外",record[[#This Row],[Memo]]))</f>
        <v/>
      </c>
      <c r="O528" t="s">
        <v>58</v>
      </c>
      <c r="P528" t="s">
        <v>141</v>
      </c>
      <c r="Q528" t="s">
        <v>58</v>
      </c>
      <c r="R528" t="str">
        <f>IFERROR(VLOOKUP(record[[#This Row],[PCUSTID]],廠商[],2,FALSE),"")</f>
        <v/>
      </c>
      <c r="S528" t="str">
        <f>VLOOKUP(record[[#This Row],[employeeID]],員工[],2,FALSE)</f>
        <v>蔣梅</v>
      </c>
    </row>
    <row r="529" spans="6:19" hidden="1" x14ac:dyDescent="0.25">
      <c r="F529" t="s">
        <v>1971</v>
      </c>
      <c r="G529" t="s">
        <v>425</v>
      </c>
      <c r="H529" t="str">
        <f>VLOOKUP(record[[#This Row],[ProcessSN]],表格2_7[],2,FALSE)</f>
        <v>30-4118-018-600</v>
      </c>
      <c r="I529" t="str">
        <f>VLOOKUP(record[[#This Row],[ProcessSN]],表格2_7[],3,FALSE)</f>
        <v>#100</v>
      </c>
      <c r="J529" t="s">
        <v>598</v>
      </c>
      <c r="K529" s="195">
        <v>46149.660925925928</v>
      </c>
      <c r="L529">
        <v>132</v>
      </c>
      <c r="M529">
        <v>0</v>
      </c>
      <c r="N529" s="98" t="str">
        <f>IF(record[[#This Row],[Memo]]="Browser:chrome os:android","平板報工",IF(record[[#This Row],[Memo]]=0,"委外",record[[#This Row],[Memo]]))</f>
        <v/>
      </c>
      <c r="O529" t="s">
        <v>58</v>
      </c>
      <c r="P529" t="s">
        <v>141</v>
      </c>
      <c r="Q529" t="s">
        <v>58</v>
      </c>
      <c r="R529" t="str">
        <f>IFERROR(VLOOKUP(record[[#This Row],[PCUSTID]],廠商[],2,FALSE),"")</f>
        <v/>
      </c>
      <c r="S529" t="str">
        <f>VLOOKUP(record[[#This Row],[employeeID]],員工[],2,FALSE)</f>
        <v>蔣梅</v>
      </c>
    </row>
    <row r="530" spans="6:19" hidden="1" x14ac:dyDescent="0.25">
      <c r="F530" t="s">
        <v>1951</v>
      </c>
      <c r="G530" t="s">
        <v>428</v>
      </c>
      <c r="H530" t="str">
        <f>VLOOKUP(record[[#This Row],[ProcessSN]],表格2_7[],2,FALSE)</f>
        <v>30-4118-018-600</v>
      </c>
      <c r="I530" t="str">
        <f>VLOOKUP(record[[#This Row],[ProcessSN]],表格2_7[],3,FALSE)</f>
        <v>#100SHIP</v>
      </c>
      <c r="J530" t="s">
        <v>600</v>
      </c>
      <c r="K530" s="195">
        <v>46149.649201388886</v>
      </c>
      <c r="L530">
        <v>78</v>
      </c>
      <c r="M530">
        <v>0</v>
      </c>
      <c r="N530" s="98" t="str">
        <f>IF(record[[#This Row],[Memo]]="Browser:chrome os:android","平板報工",IF(record[[#This Row],[Memo]]=0,"委外",record[[#This Row],[Memo]]))</f>
        <v/>
      </c>
      <c r="O530" t="s">
        <v>58</v>
      </c>
      <c r="P530" t="s">
        <v>886</v>
      </c>
      <c r="Q530" t="s">
        <v>58</v>
      </c>
      <c r="R530" t="str">
        <f>IFERROR(VLOOKUP(record[[#This Row],[PCUSTID]],廠商[],2,FALSE),"")</f>
        <v/>
      </c>
      <c r="S530" t="str">
        <f>VLOOKUP(record[[#This Row],[employeeID]],員工[],2,FALSE)</f>
        <v>謝蓁薰</v>
      </c>
    </row>
    <row r="531" spans="6:19" hidden="1" x14ac:dyDescent="0.25">
      <c r="F531" t="s">
        <v>1958</v>
      </c>
      <c r="G531" t="s">
        <v>329</v>
      </c>
      <c r="H531" t="str">
        <f>VLOOKUP(record[[#This Row],[ProcessSN]],表格2_7[],2,FALSE)</f>
        <v>30-4118-018-370</v>
      </c>
      <c r="I531" t="str">
        <f>VLOOKUP(record[[#This Row],[ProcessSN]],表格2_7[],3,FALSE)</f>
        <v>#100SHIP</v>
      </c>
      <c r="J531" t="s">
        <v>600</v>
      </c>
      <c r="K531" s="195">
        <v>46149.64875</v>
      </c>
      <c r="L531">
        <v>141</v>
      </c>
      <c r="M531">
        <v>0</v>
      </c>
      <c r="N531" s="98" t="str">
        <f>IF(record[[#This Row],[Memo]]="Browser:chrome os:android","平板報工",IF(record[[#This Row],[Memo]]=0,"委外",record[[#This Row],[Memo]]))</f>
        <v/>
      </c>
      <c r="O531" t="s">
        <v>58</v>
      </c>
      <c r="P531" t="s">
        <v>886</v>
      </c>
      <c r="Q531" t="s">
        <v>58</v>
      </c>
      <c r="R531" t="str">
        <f>IFERROR(VLOOKUP(record[[#This Row],[PCUSTID]],廠商[],2,FALSE),"")</f>
        <v/>
      </c>
      <c r="S531" t="str">
        <f>VLOOKUP(record[[#This Row],[employeeID]],員工[],2,FALSE)</f>
        <v>謝蓁薰</v>
      </c>
    </row>
    <row r="532" spans="6:19" hidden="1" x14ac:dyDescent="0.25">
      <c r="F532" t="s">
        <v>1857</v>
      </c>
      <c r="G532" t="s">
        <v>466</v>
      </c>
      <c r="H532" t="str">
        <f>VLOOKUP(record[[#This Row],[ProcessSN]],表格2_7[],2,FALSE)</f>
        <v>30-4118-018-XXX</v>
      </c>
      <c r="I532" t="str">
        <f>VLOOKUP(record[[#This Row],[ProcessSN]],表格2_7[],3,FALSE)</f>
        <v>#01-2</v>
      </c>
      <c r="J532" t="s">
        <v>588</v>
      </c>
      <c r="K532" s="195">
        <v>46149.644363425927</v>
      </c>
      <c r="L532">
        <v>250</v>
      </c>
      <c r="M532">
        <v>0</v>
      </c>
      <c r="N532" s="98" t="str">
        <f>IF(record[[#This Row],[Memo]]="Browser:chrome os:android","平板報工",IF(record[[#This Row],[Memo]]=0,"委外",record[[#This Row],[Memo]]))</f>
        <v>平板報工</v>
      </c>
      <c r="O532" t="s">
        <v>643</v>
      </c>
      <c r="P532" t="s">
        <v>107</v>
      </c>
      <c r="Q532" t="s">
        <v>644</v>
      </c>
      <c r="R532" t="str">
        <f>IFERROR(VLOOKUP(record[[#This Row],[PCUSTID]],廠商[],2,FALSE),"")</f>
        <v/>
      </c>
      <c r="S532" t="str">
        <f>VLOOKUP(record[[#This Row],[employeeID]],員工[],2,FALSE)</f>
        <v>黎氏順</v>
      </c>
    </row>
    <row r="533" spans="6:19" hidden="1" x14ac:dyDescent="0.25">
      <c r="F533" t="s">
        <v>1971</v>
      </c>
      <c r="G533" t="s">
        <v>424</v>
      </c>
      <c r="H533" t="str">
        <f>VLOOKUP(record[[#This Row],[ProcessSN]],表格2_7[],2,FALSE)</f>
        <v>30-4118-018-600</v>
      </c>
      <c r="I533" t="str">
        <f>VLOOKUP(record[[#This Row],[ProcessSN]],表格2_7[],3,FALSE)</f>
        <v>#08IQC</v>
      </c>
      <c r="J533" t="s">
        <v>583</v>
      </c>
      <c r="K533" s="195">
        <v>46149.642870370371</v>
      </c>
      <c r="L533">
        <v>157</v>
      </c>
      <c r="M533">
        <v>0</v>
      </c>
      <c r="N533" s="98" t="str">
        <f>IF(record[[#This Row],[Memo]]="Browser:chrome os:android","平板報工",IF(record[[#This Row],[Memo]]=0,"委外",record[[#This Row],[Memo]]))</f>
        <v/>
      </c>
      <c r="O533" t="s">
        <v>58</v>
      </c>
      <c r="P533" t="s">
        <v>109</v>
      </c>
      <c r="Q533" t="s">
        <v>58</v>
      </c>
      <c r="R533" t="str">
        <f>IFERROR(VLOOKUP(record[[#This Row],[PCUSTID]],廠商[],2,FALSE),"")</f>
        <v/>
      </c>
      <c r="S533" t="str">
        <f>VLOOKUP(record[[#This Row],[employeeID]],員工[],2,FALSE)</f>
        <v>裴氏璧鳳</v>
      </c>
    </row>
    <row r="534" spans="6:19" hidden="1" x14ac:dyDescent="0.25">
      <c r="F534" t="s">
        <v>1945</v>
      </c>
      <c r="G534" t="s">
        <v>448</v>
      </c>
      <c r="H534" t="str">
        <f>VLOOKUP(record[[#This Row],[ProcessSN]],表格2_7[],2,FALSE)</f>
        <v>30-4118-018-6XX</v>
      </c>
      <c r="I534" t="str">
        <f>VLOOKUP(record[[#This Row],[ProcessSN]],表格2_7[],3,FALSE)</f>
        <v>#04</v>
      </c>
      <c r="J534" t="s">
        <v>588</v>
      </c>
      <c r="K534" s="195">
        <v>46149.642465277779</v>
      </c>
      <c r="L534">
        <v>114</v>
      </c>
      <c r="M534">
        <v>5</v>
      </c>
      <c r="N534" s="98" t="str">
        <f>IF(record[[#This Row],[Memo]]="Browser:chrome os:android","平板報工",IF(record[[#This Row],[Memo]]=0,"委外",record[[#This Row],[Memo]]))</f>
        <v>平板報工</v>
      </c>
      <c r="O534" t="s">
        <v>643</v>
      </c>
      <c r="P534" t="s">
        <v>107</v>
      </c>
      <c r="Q534" t="s">
        <v>644</v>
      </c>
      <c r="R534" t="str">
        <f>IFERROR(VLOOKUP(record[[#This Row],[PCUSTID]],廠商[],2,FALSE),"")</f>
        <v/>
      </c>
      <c r="S534" t="str">
        <f>VLOOKUP(record[[#This Row],[employeeID]],員工[],2,FALSE)</f>
        <v>黎氏順</v>
      </c>
    </row>
    <row r="535" spans="6:19" hidden="1" x14ac:dyDescent="0.25">
      <c r="F535" t="s">
        <v>1945</v>
      </c>
      <c r="G535" t="s">
        <v>448</v>
      </c>
      <c r="H535" t="str">
        <f>VLOOKUP(record[[#This Row],[ProcessSN]],表格2_7[],2,FALSE)</f>
        <v>30-4118-018-6XX</v>
      </c>
      <c r="I535" t="str">
        <f>VLOOKUP(record[[#This Row],[ProcessSN]],表格2_7[],3,FALSE)</f>
        <v>#04</v>
      </c>
      <c r="J535" t="s">
        <v>588</v>
      </c>
      <c r="K535" s="195">
        <v>46149.641898148147</v>
      </c>
      <c r="L535">
        <v>130</v>
      </c>
      <c r="M535">
        <v>0</v>
      </c>
      <c r="N535" s="98" t="str">
        <f>IF(record[[#This Row],[Memo]]="Browser:chrome os:android","平板報工",IF(record[[#This Row],[Memo]]=0,"委外",record[[#This Row],[Memo]]))</f>
        <v>平板報工</v>
      </c>
      <c r="O535" t="s">
        <v>643</v>
      </c>
      <c r="P535" t="s">
        <v>107</v>
      </c>
      <c r="Q535" t="s">
        <v>644</v>
      </c>
      <c r="R535" t="str">
        <f>IFERROR(VLOOKUP(record[[#This Row],[PCUSTID]],廠商[],2,FALSE),"")</f>
        <v/>
      </c>
      <c r="S535" t="str">
        <f>VLOOKUP(record[[#This Row],[employeeID]],員工[],2,FALSE)</f>
        <v>黎氏順</v>
      </c>
    </row>
    <row r="536" spans="6:19" hidden="1" x14ac:dyDescent="0.25">
      <c r="F536" t="s">
        <v>1985</v>
      </c>
      <c r="G536" t="s">
        <v>462</v>
      </c>
      <c r="H536" t="str">
        <f>VLOOKUP(record[[#This Row],[ProcessSN]],表格2_7[],2,FALSE)</f>
        <v>30-4118-018-XXX</v>
      </c>
      <c r="I536" t="str">
        <f>VLOOKUP(record[[#This Row],[ProcessSN]],表格2_7[],3,FALSE)</f>
        <v>#00PICK</v>
      </c>
      <c r="J536" t="s">
        <v>582</v>
      </c>
      <c r="K536" s="195">
        <v>46149.626458333332</v>
      </c>
      <c r="L536">
        <v>3200</v>
      </c>
      <c r="M536">
        <v>0</v>
      </c>
      <c r="N536" s="98" t="str">
        <f>IF(record[[#This Row],[Memo]]="Browser:chrome os:android","平板報工",IF(record[[#This Row],[Memo]]=0,"委外",record[[#This Row],[Memo]]))</f>
        <v/>
      </c>
      <c r="O536" t="s">
        <v>58</v>
      </c>
      <c r="P536" t="s">
        <v>186</v>
      </c>
      <c r="Q536" t="s">
        <v>58</v>
      </c>
      <c r="R536" t="str">
        <f>IFERROR(VLOOKUP(record[[#This Row],[PCUSTID]],廠商[],2,FALSE),"")</f>
        <v/>
      </c>
      <c r="S536" t="str">
        <f>VLOOKUP(record[[#This Row],[employeeID]],員工[],2,FALSE)</f>
        <v>許文姍</v>
      </c>
    </row>
    <row r="537" spans="6:19" hidden="1" x14ac:dyDescent="0.25">
      <c r="F537" t="s">
        <v>1945</v>
      </c>
      <c r="G537" t="s">
        <v>453</v>
      </c>
      <c r="H537" t="str">
        <f>VLOOKUP(record[[#This Row],[ProcessSN]],表格2_7[],2,FALSE)</f>
        <v>30-4118-018-6XX</v>
      </c>
      <c r="I537" t="str">
        <f>VLOOKUP(record[[#This Row],[ProcessSN]],表格2_7[],3,FALSE)</f>
        <v>#07STOCK</v>
      </c>
      <c r="J537" t="s">
        <v>592</v>
      </c>
      <c r="K537" s="195">
        <v>46149.621122685188</v>
      </c>
      <c r="L537">
        <v>63</v>
      </c>
      <c r="M537">
        <v>0</v>
      </c>
      <c r="N537" s="98" t="str">
        <f>IF(record[[#This Row],[Memo]]="Browser:chrome os:android","平板報工",IF(record[[#This Row],[Memo]]=0,"委外",record[[#This Row],[Memo]]))</f>
        <v/>
      </c>
      <c r="O537" t="s">
        <v>58</v>
      </c>
      <c r="P537" t="s">
        <v>186</v>
      </c>
      <c r="Q537" t="s">
        <v>58</v>
      </c>
      <c r="R537" t="str">
        <f>IFERROR(VLOOKUP(record[[#This Row],[PCUSTID]],廠商[],2,FALSE),"")</f>
        <v/>
      </c>
      <c r="S537" t="str">
        <f>VLOOKUP(record[[#This Row],[employeeID]],員工[],2,FALSE)</f>
        <v>許文姍</v>
      </c>
    </row>
    <row r="538" spans="6:19" x14ac:dyDescent="0.25">
      <c r="F538" t="s">
        <v>1924</v>
      </c>
      <c r="G538" t="s">
        <v>453</v>
      </c>
      <c r="H538" t="str">
        <f>VLOOKUP(record[[#This Row],[ProcessSN]],表格2_7[],2,FALSE)</f>
        <v>30-4118-018-6XX</v>
      </c>
      <c r="I538" t="str">
        <f>VLOOKUP(record[[#This Row],[ProcessSN]],表格2_7[],3,FALSE)</f>
        <v>#07STOCK</v>
      </c>
      <c r="J538" t="s">
        <v>592</v>
      </c>
      <c r="K538" s="195">
        <v>46149.620949074073</v>
      </c>
      <c r="L538">
        <v>273</v>
      </c>
      <c r="M538">
        <v>0</v>
      </c>
      <c r="N538" s="98" t="str">
        <f>IF(record[[#This Row],[Memo]]="Browser:chrome os:android","平板報工",IF(record[[#This Row],[Memo]]=0,"委外",record[[#This Row],[Memo]]))</f>
        <v/>
      </c>
      <c r="O538" t="s">
        <v>58</v>
      </c>
      <c r="P538" t="s">
        <v>186</v>
      </c>
      <c r="Q538" t="s">
        <v>58</v>
      </c>
      <c r="R538" t="str">
        <f>IFERROR(VLOOKUP(record[[#This Row],[PCUSTID]],廠商[],2,FALSE),"")</f>
        <v/>
      </c>
      <c r="S538" t="str">
        <f>VLOOKUP(record[[#This Row],[employeeID]],員工[],2,FALSE)</f>
        <v>許文姍</v>
      </c>
    </row>
    <row r="539" spans="6:19" hidden="1" x14ac:dyDescent="0.25">
      <c r="F539" t="s">
        <v>1971</v>
      </c>
      <c r="G539" t="s">
        <v>423</v>
      </c>
      <c r="H539" t="str">
        <f>VLOOKUP(record[[#This Row],[ProcessSN]],表格2_7[],2,FALSE)</f>
        <v>30-4118-018-600</v>
      </c>
      <c r="I539" t="str">
        <f>VLOOKUP(record[[#This Row],[ProcessSN]],表格2_7[],3,FALSE)</f>
        <v>#08RCV</v>
      </c>
      <c r="J539" t="s">
        <v>591</v>
      </c>
      <c r="K539" s="195">
        <v>46149.618055555555</v>
      </c>
      <c r="L539">
        <v>0</v>
      </c>
      <c r="M539">
        <v>1</v>
      </c>
      <c r="N539" s="98" t="str">
        <f>IF(record[[#This Row],[Memo]]="Browser:chrome os:android","平板報工",IF(record[[#This Row],[Memo]]=0,"委外",record[[#This Row],[Memo]]))</f>
        <v/>
      </c>
      <c r="O539" t="s">
        <v>58</v>
      </c>
      <c r="P539" t="s">
        <v>186</v>
      </c>
      <c r="Q539" t="s">
        <v>58</v>
      </c>
      <c r="R539" t="str">
        <f>IFERROR(VLOOKUP(record[[#This Row],[PCUSTID]],廠商[],2,FALSE),"")</f>
        <v/>
      </c>
      <c r="S539" t="str">
        <f>VLOOKUP(record[[#This Row],[employeeID]],員工[],2,FALSE)</f>
        <v>許文姍</v>
      </c>
    </row>
    <row r="540" spans="6:19" hidden="1" x14ac:dyDescent="0.25">
      <c r="F540" t="s">
        <v>1971</v>
      </c>
      <c r="G540" t="s">
        <v>423</v>
      </c>
      <c r="H540" t="str">
        <f>VLOOKUP(record[[#This Row],[ProcessSN]],表格2_7[],2,FALSE)</f>
        <v>30-4118-018-600</v>
      </c>
      <c r="I540" t="str">
        <f>VLOOKUP(record[[#This Row],[ProcessSN]],表格2_7[],3,FALSE)</f>
        <v>#08RCV</v>
      </c>
      <c r="J540" t="s">
        <v>591</v>
      </c>
      <c r="K540" s="195">
        <v>46149.617928240739</v>
      </c>
      <c r="L540">
        <v>157</v>
      </c>
      <c r="M540">
        <v>0</v>
      </c>
      <c r="N540" s="98" t="str">
        <f>IF(record[[#This Row],[Memo]]="Browser:chrome os:android","平板報工",IF(record[[#This Row],[Memo]]=0,"委外",record[[#This Row],[Memo]]))</f>
        <v/>
      </c>
      <c r="O540" t="s">
        <v>58</v>
      </c>
      <c r="P540" t="s">
        <v>186</v>
      </c>
      <c r="Q540" t="s">
        <v>58</v>
      </c>
      <c r="R540" t="str">
        <f>IFERROR(VLOOKUP(record[[#This Row],[PCUSTID]],廠商[],2,FALSE),"")</f>
        <v/>
      </c>
      <c r="S540" t="str">
        <f>VLOOKUP(record[[#This Row],[employeeID]],員工[],2,FALSE)</f>
        <v>許文姍</v>
      </c>
    </row>
    <row r="541" spans="6:19" hidden="1" x14ac:dyDescent="0.25">
      <c r="F541" t="s">
        <v>1982</v>
      </c>
      <c r="G541" t="s">
        <v>422</v>
      </c>
      <c r="H541" t="str">
        <f>VLOOKUP(record[[#This Row],[ProcessSN]],表格2_7[],2,FALSE)</f>
        <v>30-4118-018-600</v>
      </c>
      <c r="I541" t="str">
        <f>VLOOKUP(record[[#This Row],[ProcessSN]],表格2_7[],3,FALSE)</f>
        <v>#08</v>
      </c>
      <c r="J541" t="s">
        <v>597</v>
      </c>
      <c r="K541" s="195">
        <v>46149.607025462959</v>
      </c>
      <c r="L541">
        <v>216</v>
      </c>
      <c r="M541">
        <v>0</v>
      </c>
      <c r="N541" s="98" t="str">
        <f>IF(record[[#This Row],[Memo]]="Browser:chrome os:android","平板報工",IF(record[[#This Row],[Memo]]=0,"委外",record[[#This Row],[Memo]]))</f>
        <v>委外</v>
      </c>
      <c r="P541" t="s">
        <v>186</v>
      </c>
      <c r="Q541" t="s">
        <v>287</v>
      </c>
      <c r="R541" t="str">
        <f>IFERROR(VLOOKUP(record[[#This Row],[PCUSTID]],廠商[],2,FALSE),"")</f>
        <v>泉盛</v>
      </c>
      <c r="S541" t="str">
        <f>VLOOKUP(record[[#This Row],[employeeID]],員工[],2,FALSE)</f>
        <v>許文姍</v>
      </c>
    </row>
    <row r="542" spans="6:19" hidden="1" x14ac:dyDescent="0.25">
      <c r="F542" t="s">
        <v>1981</v>
      </c>
      <c r="G542" t="s">
        <v>405</v>
      </c>
      <c r="H542" t="str">
        <f>VLOOKUP(record[[#This Row],[ProcessSN]],表格2_7[],2,FALSE)</f>
        <v>30-4118-018-570</v>
      </c>
      <c r="I542" t="str">
        <f>VLOOKUP(record[[#This Row],[ProcessSN]],表格2_7[],3,FALSE)</f>
        <v>#08</v>
      </c>
      <c r="J542" t="s">
        <v>597</v>
      </c>
      <c r="K542" s="195">
        <v>46149.606921296298</v>
      </c>
      <c r="L542">
        <v>120</v>
      </c>
      <c r="M542">
        <v>0</v>
      </c>
      <c r="N542" s="98" t="str">
        <f>IF(record[[#This Row],[Memo]]="Browser:chrome os:android","平板報工",IF(record[[#This Row],[Memo]]=0,"委外",record[[#This Row],[Memo]]))</f>
        <v>委外</v>
      </c>
      <c r="P542" t="s">
        <v>186</v>
      </c>
      <c r="Q542" t="s">
        <v>287</v>
      </c>
      <c r="R542" t="str">
        <f>IFERROR(VLOOKUP(record[[#This Row],[PCUSTID]],廠商[],2,FALSE),"")</f>
        <v>泉盛</v>
      </c>
      <c r="S542" t="str">
        <f>VLOOKUP(record[[#This Row],[employeeID]],員工[],2,FALSE)</f>
        <v>許文姍</v>
      </c>
    </row>
    <row r="543" spans="6:19" hidden="1" x14ac:dyDescent="0.25">
      <c r="F543" t="s">
        <v>1982</v>
      </c>
      <c r="G543" t="s">
        <v>421</v>
      </c>
      <c r="H543" t="str">
        <f>VLOOKUP(record[[#This Row],[ProcessSN]],表格2_7[],2,FALSE)</f>
        <v>30-4118-018-600</v>
      </c>
      <c r="I543" t="str">
        <f>VLOOKUP(record[[#This Row],[ProcessSN]],表格2_7[],3,FALSE)</f>
        <v>#08PICK</v>
      </c>
      <c r="J543" t="s">
        <v>582</v>
      </c>
      <c r="K543" s="195">
        <v>46149.606678240743</v>
      </c>
      <c r="L543">
        <v>216</v>
      </c>
      <c r="M543">
        <v>0</v>
      </c>
      <c r="N543" s="98" t="str">
        <f>IF(record[[#This Row],[Memo]]="Browser:chrome os:android","平板報工",IF(record[[#This Row],[Memo]]=0,"委外",record[[#This Row],[Memo]]))</f>
        <v/>
      </c>
      <c r="O543" t="s">
        <v>58</v>
      </c>
      <c r="P543" t="s">
        <v>186</v>
      </c>
      <c r="Q543" t="s">
        <v>58</v>
      </c>
      <c r="R543" t="str">
        <f>IFERROR(VLOOKUP(record[[#This Row],[PCUSTID]],廠商[],2,FALSE),"")</f>
        <v/>
      </c>
      <c r="S543" t="str">
        <f>VLOOKUP(record[[#This Row],[employeeID]],員工[],2,FALSE)</f>
        <v>許文姍</v>
      </c>
    </row>
    <row r="544" spans="6:19" hidden="1" x14ac:dyDescent="0.25">
      <c r="F544" t="s">
        <v>1981</v>
      </c>
      <c r="G544" t="s">
        <v>404</v>
      </c>
      <c r="H544" t="str">
        <f>VLOOKUP(record[[#This Row],[ProcessSN]],表格2_7[],2,FALSE)</f>
        <v>30-4118-018-570</v>
      </c>
      <c r="I544" t="str">
        <f>VLOOKUP(record[[#This Row],[ProcessSN]],表格2_7[],3,FALSE)</f>
        <v>#08PICK</v>
      </c>
      <c r="J544" t="s">
        <v>582</v>
      </c>
      <c r="K544" s="195">
        <v>46149.606574074074</v>
      </c>
      <c r="L544">
        <v>120</v>
      </c>
      <c r="M544">
        <v>0</v>
      </c>
      <c r="N544" s="98" t="str">
        <f>IF(record[[#This Row],[Memo]]="Browser:chrome os:android","平板報工",IF(record[[#This Row],[Memo]]=0,"委外",record[[#This Row],[Memo]]))</f>
        <v/>
      </c>
      <c r="O544" t="s">
        <v>58</v>
      </c>
      <c r="P544" t="s">
        <v>186</v>
      </c>
      <c r="Q544" t="s">
        <v>58</v>
      </c>
      <c r="R544" t="str">
        <f>IFERROR(VLOOKUP(record[[#This Row],[PCUSTID]],廠商[],2,FALSE),"")</f>
        <v/>
      </c>
      <c r="S544" t="str">
        <f>VLOOKUP(record[[#This Row],[employeeID]],員工[],2,FALSE)</f>
        <v>許文姍</v>
      </c>
    </row>
    <row r="545" spans="6:19" x14ac:dyDescent="0.25">
      <c r="F545" t="s">
        <v>1924</v>
      </c>
      <c r="G545" t="s">
        <v>451</v>
      </c>
      <c r="H545" t="str">
        <f>VLOOKUP(record[[#This Row],[ProcessSN]],表格2_7[],2,FALSE)</f>
        <v>30-4118-018-6XX</v>
      </c>
      <c r="I545" t="str">
        <f>VLOOKUP(record[[#This Row],[ProcessSN]],表格2_7[],3,FALSE)</f>
        <v>#07</v>
      </c>
      <c r="J545" t="s">
        <v>588</v>
      </c>
      <c r="K545" s="195">
        <v>46149.5627662037</v>
      </c>
      <c r="L545">
        <v>109</v>
      </c>
      <c r="M545">
        <v>0</v>
      </c>
      <c r="N545" s="98" t="str">
        <f>IF(record[[#This Row],[Memo]]="Browser:chrome os:android","平板報工",IF(record[[#This Row],[Memo]]=0,"委外",record[[#This Row],[Memo]]))</f>
        <v>補報工</v>
      </c>
      <c r="O545" t="s">
        <v>1980</v>
      </c>
      <c r="P545" t="s">
        <v>1075</v>
      </c>
      <c r="Q545" t="s">
        <v>58</v>
      </c>
      <c r="R545" t="str">
        <f>IFERROR(VLOOKUP(record[[#This Row],[PCUSTID]],廠商[],2,FALSE),"")</f>
        <v/>
      </c>
      <c r="S545" t="str">
        <f>VLOOKUP(record[[#This Row],[employeeID]],員工[],2,FALSE)</f>
        <v>吳宥叡</v>
      </c>
    </row>
    <row r="546" spans="6:19" x14ac:dyDescent="0.25">
      <c r="F546" t="s">
        <v>1924</v>
      </c>
      <c r="G546" t="s">
        <v>452</v>
      </c>
      <c r="H546" t="str">
        <f>VLOOKUP(record[[#This Row],[ProcessSN]],表格2_7[],2,FALSE)</f>
        <v>30-4118-018-6XX</v>
      </c>
      <c r="I546" t="str">
        <f>VLOOKUP(record[[#This Row],[ProcessSN]],表格2_7[],3,FALSE)</f>
        <v>#07QC</v>
      </c>
      <c r="J546" t="s">
        <v>589</v>
      </c>
      <c r="K546" s="195">
        <v>46149.558125000003</v>
      </c>
      <c r="L546">
        <v>273</v>
      </c>
      <c r="M546">
        <v>0</v>
      </c>
      <c r="N546" s="98" t="str">
        <f>IF(record[[#This Row],[Memo]]="Browser:chrome os:android","平板報工",IF(record[[#This Row],[Memo]]=0,"委外",record[[#This Row],[Memo]]))</f>
        <v>平板報工</v>
      </c>
      <c r="O546" t="s">
        <v>643</v>
      </c>
      <c r="P546" t="s">
        <v>141</v>
      </c>
      <c r="Q546" t="s">
        <v>644</v>
      </c>
      <c r="R546" t="str">
        <f>IFERROR(VLOOKUP(record[[#This Row],[PCUSTID]],廠商[],2,FALSE),"")</f>
        <v/>
      </c>
      <c r="S546" t="str">
        <f>VLOOKUP(record[[#This Row],[employeeID]],員工[],2,FALSE)</f>
        <v>蔣梅</v>
      </c>
    </row>
    <row r="547" spans="6:19" hidden="1" x14ac:dyDescent="0.25">
      <c r="F547" t="s">
        <v>1945</v>
      </c>
      <c r="G547" t="s">
        <v>452</v>
      </c>
      <c r="H547" t="str">
        <f>VLOOKUP(record[[#This Row],[ProcessSN]],表格2_7[],2,FALSE)</f>
        <v>30-4118-018-6XX</v>
      </c>
      <c r="I547" t="str">
        <f>VLOOKUP(record[[#This Row],[ProcessSN]],表格2_7[],3,FALSE)</f>
        <v>#07QC</v>
      </c>
      <c r="J547" t="s">
        <v>589</v>
      </c>
      <c r="K547" s="195">
        <v>46149.556296296294</v>
      </c>
      <c r="L547">
        <v>63</v>
      </c>
      <c r="M547">
        <v>0</v>
      </c>
      <c r="N547" s="98" t="str">
        <f>IF(record[[#This Row],[Memo]]="Browser:chrome os:android","平板報工",IF(record[[#This Row],[Memo]]=0,"委外",record[[#This Row],[Memo]]))</f>
        <v>平板報工</v>
      </c>
      <c r="O547" t="s">
        <v>643</v>
      </c>
      <c r="P547" t="s">
        <v>141</v>
      </c>
      <c r="Q547" t="s">
        <v>644</v>
      </c>
      <c r="R547" t="str">
        <f>IFERROR(VLOOKUP(record[[#This Row],[PCUSTID]],廠商[],2,FALSE),"")</f>
        <v/>
      </c>
      <c r="S547" t="str">
        <f>VLOOKUP(record[[#This Row],[employeeID]],員工[],2,FALSE)</f>
        <v>蔣梅</v>
      </c>
    </row>
    <row r="548" spans="6:19" hidden="1" x14ac:dyDescent="0.25">
      <c r="F548" t="s">
        <v>1857</v>
      </c>
      <c r="G548" t="s">
        <v>469</v>
      </c>
      <c r="H548" t="str">
        <f>VLOOKUP(record[[#This Row],[ProcessSN]],表格2_7[],2,FALSE)</f>
        <v>30-4118-018-XXX</v>
      </c>
      <c r="I548" t="str">
        <f>VLOOKUP(record[[#This Row],[ProcessSN]],表格2_7[],3,FALSE)</f>
        <v>#02RCV</v>
      </c>
      <c r="J548" t="s">
        <v>591</v>
      </c>
      <c r="K548" s="195">
        <v>46149.458124999997</v>
      </c>
      <c r="L548">
        <v>1008</v>
      </c>
      <c r="M548">
        <v>0</v>
      </c>
      <c r="N548" s="98" t="str">
        <f>IF(record[[#This Row],[Memo]]="Browser:chrome os:android","平板報工",IF(record[[#This Row],[Memo]]=0,"委外",record[[#This Row],[Memo]]))</f>
        <v/>
      </c>
      <c r="O548" t="s">
        <v>58</v>
      </c>
      <c r="P548" t="s">
        <v>186</v>
      </c>
      <c r="Q548" t="s">
        <v>58</v>
      </c>
      <c r="R548" t="str">
        <f>IFERROR(VLOOKUP(record[[#This Row],[PCUSTID]],廠商[],2,FALSE),"")</f>
        <v/>
      </c>
      <c r="S548" t="str">
        <f>VLOOKUP(record[[#This Row],[employeeID]],員工[],2,FALSE)</f>
        <v>許文姍</v>
      </c>
    </row>
    <row r="549" spans="6:19" hidden="1" x14ac:dyDescent="0.25">
      <c r="F549" t="s">
        <v>1857</v>
      </c>
      <c r="G549" t="s">
        <v>468</v>
      </c>
      <c r="H549" t="str">
        <f>VLOOKUP(record[[#This Row],[ProcessSN]],表格2_7[],2,FALSE)</f>
        <v>30-4118-018-XXX</v>
      </c>
      <c r="I549" t="str">
        <f>VLOOKUP(record[[#This Row],[ProcessSN]],表格2_7[],3,FALSE)</f>
        <v>#02</v>
      </c>
      <c r="J549" t="s">
        <v>590</v>
      </c>
      <c r="K549" s="195">
        <v>46149.386423611111</v>
      </c>
      <c r="L549">
        <v>840</v>
      </c>
      <c r="M549">
        <v>0</v>
      </c>
      <c r="N549" s="98" t="str">
        <f>IF(record[[#This Row],[Memo]]="Browser:chrome os:android","平板報工",IF(record[[#This Row],[Memo]]=0,"委外",record[[#This Row],[Memo]]))</f>
        <v>委外</v>
      </c>
      <c r="P549" t="s">
        <v>186</v>
      </c>
      <c r="Q549" t="s">
        <v>216</v>
      </c>
      <c r="R549" t="str">
        <f>IFERROR(VLOOKUP(record[[#This Row],[PCUSTID]],廠商[],2,FALSE),"")</f>
        <v>俊杰</v>
      </c>
      <c r="S549" t="str">
        <f>VLOOKUP(record[[#This Row],[employeeID]],員工[],2,FALSE)</f>
        <v>許文姍</v>
      </c>
    </row>
    <row r="550" spans="6:19" hidden="1" x14ac:dyDescent="0.25">
      <c r="F550" t="s">
        <v>1958</v>
      </c>
      <c r="G550" t="s">
        <v>328</v>
      </c>
      <c r="H550" t="str">
        <f>VLOOKUP(record[[#This Row],[ProcessSN]],表格2_7[],2,FALSE)</f>
        <v>30-4118-018-370</v>
      </c>
      <c r="I550" t="str">
        <f>VLOOKUP(record[[#This Row],[ProcessSN]],表格2_7[],3,FALSE)</f>
        <v>#100STOCK</v>
      </c>
      <c r="J550" t="s">
        <v>592</v>
      </c>
      <c r="K550" s="195">
        <v>46149.365520833337</v>
      </c>
      <c r="L550">
        <v>141</v>
      </c>
      <c r="M550">
        <v>0</v>
      </c>
      <c r="N550" s="98" t="str">
        <f>IF(record[[#This Row],[Memo]]="Browser:chrome os:android","平板報工",IF(record[[#This Row],[Memo]]=0,"委外",record[[#This Row],[Memo]]))</f>
        <v/>
      </c>
      <c r="O550" t="s">
        <v>58</v>
      </c>
      <c r="P550" t="s">
        <v>886</v>
      </c>
      <c r="Q550" t="s">
        <v>58</v>
      </c>
      <c r="R550" t="str">
        <f>IFERROR(VLOOKUP(record[[#This Row],[PCUSTID]],廠商[],2,FALSE),"")</f>
        <v/>
      </c>
      <c r="S550" t="str">
        <f>VLOOKUP(record[[#This Row],[employeeID]],員工[],2,FALSE)</f>
        <v>謝蓁薰</v>
      </c>
    </row>
    <row r="551" spans="6:19" hidden="1" x14ac:dyDescent="0.25">
      <c r="F551" t="s">
        <v>1968</v>
      </c>
      <c r="G551" t="s">
        <v>326</v>
      </c>
      <c r="H551" t="str">
        <f>VLOOKUP(record[[#This Row],[ProcessSN]],表格2_7[],2,FALSE)</f>
        <v>30-4118-018-370</v>
      </c>
      <c r="I551" t="str">
        <f>VLOOKUP(record[[#This Row],[ProcessSN]],表格2_7[],3,FALSE)</f>
        <v>#100</v>
      </c>
      <c r="J551" t="s">
        <v>598</v>
      </c>
      <c r="K551" s="195">
        <v>46149.360115740739</v>
      </c>
      <c r="L551">
        <v>9</v>
      </c>
      <c r="M551">
        <v>0</v>
      </c>
      <c r="N551" s="98" t="str">
        <f>IF(record[[#This Row],[Memo]]="Browser:chrome os:android","平板報工",IF(record[[#This Row],[Memo]]=0,"委外",record[[#This Row],[Memo]]))</f>
        <v>平板報工</v>
      </c>
      <c r="O551" t="s">
        <v>643</v>
      </c>
      <c r="P551" t="s">
        <v>99</v>
      </c>
      <c r="Q551" t="s">
        <v>644</v>
      </c>
      <c r="R551" t="str">
        <f>IFERROR(VLOOKUP(record[[#This Row],[PCUSTID]],廠商[],2,FALSE),"")</f>
        <v/>
      </c>
      <c r="S551" t="str">
        <f>VLOOKUP(record[[#This Row],[employeeID]],員工[],2,FALSE)</f>
        <v>阮氏河</v>
      </c>
    </row>
    <row r="552" spans="6:19" hidden="1" x14ac:dyDescent="0.25">
      <c r="F552" t="s">
        <v>1957</v>
      </c>
      <c r="G552" t="s">
        <v>346</v>
      </c>
      <c r="H552" t="str">
        <f>VLOOKUP(record[[#This Row],[ProcessSN]],表格2_7[],2,FALSE)</f>
        <v>30-4118-018-400</v>
      </c>
      <c r="I552" t="str">
        <f>VLOOKUP(record[[#This Row],[ProcessSN]],表格2_7[],3,FALSE)</f>
        <v>#100SHIP</v>
      </c>
      <c r="J552" t="s">
        <v>600</v>
      </c>
      <c r="K552" s="195">
        <v>46149.350694444445</v>
      </c>
      <c r="L552">
        <v>7</v>
      </c>
      <c r="M552">
        <v>0</v>
      </c>
      <c r="N552" s="98" t="str">
        <f>IF(record[[#This Row],[Memo]]="Browser:chrome os:android","平板報工",IF(record[[#This Row],[Memo]]=0,"委外",record[[#This Row],[Memo]]))</f>
        <v/>
      </c>
      <c r="O552" t="s">
        <v>58</v>
      </c>
      <c r="P552" t="s">
        <v>886</v>
      </c>
      <c r="Q552" t="s">
        <v>58</v>
      </c>
      <c r="R552" t="str">
        <f>IFERROR(VLOOKUP(record[[#This Row],[PCUSTID]],廠商[],2,FALSE),"")</f>
        <v/>
      </c>
      <c r="S552" t="str">
        <f>VLOOKUP(record[[#This Row],[employeeID]],員工[],2,FALSE)</f>
        <v>謝蓁薰</v>
      </c>
    </row>
    <row r="553" spans="6:19" hidden="1" x14ac:dyDescent="0.25">
      <c r="F553" t="s">
        <v>1857</v>
      </c>
      <c r="G553" t="s">
        <v>467</v>
      </c>
      <c r="H553" t="str">
        <f>VLOOKUP(record[[#This Row],[ProcessSN]],表格2_7[],2,FALSE)</f>
        <v>30-4118-018-XXX</v>
      </c>
      <c r="I553" t="str">
        <f>VLOOKUP(record[[#This Row],[ProcessSN]],表格2_7[],3,FALSE)</f>
        <v>#01QC</v>
      </c>
      <c r="J553" t="s">
        <v>589</v>
      </c>
      <c r="K553" s="195">
        <v>46149.345763888887</v>
      </c>
      <c r="L553">
        <v>840</v>
      </c>
      <c r="M553">
        <v>0</v>
      </c>
      <c r="N553" s="98" t="str">
        <f>IF(record[[#This Row],[Memo]]="Browser:chrome os:android","平板報工",IF(record[[#This Row],[Memo]]=0,"委外",record[[#This Row],[Memo]]))</f>
        <v>平板報工</v>
      </c>
      <c r="O553" t="s">
        <v>643</v>
      </c>
      <c r="P553" t="s">
        <v>182</v>
      </c>
      <c r="Q553" t="s">
        <v>644</v>
      </c>
      <c r="R553" t="str">
        <f>IFERROR(VLOOKUP(record[[#This Row],[PCUSTID]],廠商[],2,FALSE),"")</f>
        <v/>
      </c>
      <c r="S553" t="str">
        <f>VLOOKUP(record[[#This Row],[employeeID]],員工[],2,FALSE)</f>
        <v>梅氏和</v>
      </c>
    </row>
    <row r="554" spans="6:19" hidden="1" x14ac:dyDescent="0.25">
      <c r="F554" t="s">
        <v>1952</v>
      </c>
      <c r="G554" t="s">
        <v>401</v>
      </c>
      <c r="H554" t="str">
        <f>VLOOKUP(record[[#This Row],[ProcessSN]],表格2_7[],2,FALSE)</f>
        <v>30-4118-018-550</v>
      </c>
      <c r="I554" t="str">
        <f>VLOOKUP(record[[#This Row],[ProcessSN]],表格2_7[],3,FALSE)</f>
        <v>#100OQC</v>
      </c>
      <c r="J554" t="s">
        <v>599</v>
      </c>
      <c r="K554" s="195">
        <v>46149.336516203701</v>
      </c>
      <c r="L554">
        <v>183</v>
      </c>
      <c r="M554">
        <v>0</v>
      </c>
      <c r="N554" s="98" t="str">
        <f>IF(record[[#This Row],[Memo]]="Browser:chrome os:android","平板報工",IF(record[[#This Row],[Memo]]=0,"委外",record[[#This Row],[Memo]]))</f>
        <v/>
      </c>
      <c r="O554" t="s">
        <v>58</v>
      </c>
      <c r="P554" t="s">
        <v>121</v>
      </c>
      <c r="Q554" t="s">
        <v>58</v>
      </c>
      <c r="R554" t="str">
        <f>IFERROR(VLOOKUP(record[[#This Row],[PCUSTID]],廠商[],2,FALSE),"")</f>
        <v/>
      </c>
      <c r="S554" t="str">
        <f>VLOOKUP(record[[#This Row],[employeeID]],員工[],2,FALSE)</f>
        <v>謝素卿</v>
      </c>
    </row>
    <row r="555" spans="6:19" hidden="1" x14ac:dyDescent="0.25">
      <c r="F555" t="s">
        <v>1970</v>
      </c>
      <c r="G555" t="s">
        <v>411</v>
      </c>
      <c r="H555" t="str">
        <f>VLOOKUP(record[[#This Row],[ProcessSN]],表格2_7[],2,FALSE)</f>
        <v>30-4118-018-570</v>
      </c>
      <c r="I555" t="str">
        <f>VLOOKUP(record[[#This Row],[ProcessSN]],表格2_7[],3,FALSE)</f>
        <v>#100SHIP</v>
      </c>
      <c r="J555" t="s">
        <v>600</v>
      </c>
      <c r="K555" s="195">
        <v>46149.336504629631</v>
      </c>
      <c r="L555">
        <v>41</v>
      </c>
      <c r="M555">
        <v>0</v>
      </c>
      <c r="N555" s="98" t="str">
        <f>IF(record[[#This Row],[Memo]]="Browser:chrome os:android","平板報工",IF(record[[#This Row],[Memo]]=0,"委外",record[[#This Row],[Memo]]))</f>
        <v>補5/6出貨</v>
      </c>
      <c r="O555" t="s">
        <v>1979</v>
      </c>
      <c r="P555" t="s">
        <v>886</v>
      </c>
      <c r="Q555" t="s">
        <v>58</v>
      </c>
      <c r="R555" t="str">
        <f>IFERROR(VLOOKUP(record[[#This Row],[PCUSTID]],廠商[],2,FALSE),"")</f>
        <v/>
      </c>
      <c r="S555" t="str">
        <f>VLOOKUP(record[[#This Row],[employeeID]],員工[],2,FALSE)</f>
        <v>謝蓁薰</v>
      </c>
    </row>
    <row r="556" spans="6:19" hidden="1" x14ac:dyDescent="0.25">
      <c r="F556" t="s">
        <v>1940</v>
      </c>
      <c r="G556" t="s">
        <v>401</v>
      </c>
      <c r="H556" t="str">
        <f>VLOOKUP(record[[#This Row],[ProcessSN]],表格2_7[],2,FALSE)</f>
        <v>30-4118-018-550</v>
      </c>
      <c r="I556" t="str">
        <f>VLOOKUP(record[[#This Row],[ProcessSN]],表格2_7[],3,FALSE)</f>
        <v>#100OQC</v>
      </c>
      <c r="J556" t="s">
        <v>599</v>
      </c>
      <c r="K556" s="195">
        <v>46149.336365740739</v>
      </c>
      <c r="L556">
        <v>321</v>
      </c>
      <c r="M556">
        <v>0</v>
      </c>
      <c r="N556" s="98" t="str">
        <f>IF(record[[#This Row],[Memo]]="Browser:chrome os:android","平板報工",IF(record[[#This Row],[Memo]]=0,"委外",record[[#This Row],[Memo]]))</f>
        <v/>
      </c>
      <c r="O556" t="s">
        <v>58</v>
      </c>
      <c r="P556" t="s">
        <v>121</v>
      </c>
      <c r="Q556" t="s">
        <v>58</v>
      </c>
      <c r="R556" t="str">
        <f>IFERROR(VLOOKUP(record[[#This Row],[PCUSTID]],廠商[],2,FALSE),"")</f>
        <v/>
      </c>
      <c r="S556" t="str">
        <f>VLOOKUP(record[[#This Row],[employeeID]],員工[],2,FALSE)</f>
        <v>謝素卿</v>
      </c>
    </row>
    <row r="557" spans="6:19" hidden="1" x14ac:dyDescent="0.25">
      <c r="F557" t="s">
        <v>1970</v>
      </c>
      <c r="G557" t="s">
        <v>410</v>
      </c>
      <c r="H557" t="str">
        <f>VLOOKUP(record[[#This Row],[ProcessSN]],表格2_7[],2,FALSE)</f>
        <v>30-4118-018-570</v>
      </c>
      <c r="I557" t="str">
        <f>VLOOKUP(record[[#This Row],[ProcessSN]],表格2_7[],3,FALSE)</f>
        <v>#100STOCK</v>
      </c>
      <c r="J557" t="s">
        <v>592</v>
      </c>
      <c r="K557" s="195">
        <v>46149.33625</v>
      </c>
      <c r="L557">
        <v>41</v>
      </c>
      <c r="M557">
        <v>0</v>
      </c>
      <c r="N557" s="98" t="str">
        <f>IF(record[[#This Row],[Memo]]="Browser:chrome os:android","平板報工",IF(record[[#This Row],[Memo]]=0,"委外",record[[#This Row],[Memo]]))</f>
        <v/>
      </c>
      <c r="O557" t="s">
        <v>58</v>
      </c>
      <c r="P557" t="s">
        <v>886</v>
      </c>
      <c r="Q557" t="s">
        <v>58</v>
      </c>
      <c r="R557" t="str">
        <f>IFERROR(VLOOKUP(record[[#This Row],[PCUSTID]],廠商[],2,FALSE),"")</f>
        <v/>
      </c>
      <c r="S557" t="str">
        <f>VLOOKUP(record[[#This Row],[employeeID]],員工[],2,FALSE)</f>
        <v>謝蓁薰</v>
      </c>
    </row>
    <row r="558" spans="6:19" hidden="1" x14ac:dyDescent="0.25">
      <c r="F558" t="s">
        <v>1970</v>
      </c>
      <c r="G558" t="s">
        <v>409</v>
      </c>
      <c r="H558" t="str">
        <f>VLOOKUP(record[[#This Row],[ProcessSN]],表格2_7[],2,FALSE)</f>
        <v>30-4118-018-570</v>
      </c>
      <c r="I558" t="str">
        <f>VLOOKUP(record[[#This Row],[ProcessSN]],表格2_7[],3,FALSE)</f>
        <v>#10OQC</v>
      </c>
      <c r="J558" t="s">
        <v>599</v>
      </c>
      <c r="K558" s="195">
        <v>46149.336064814815</v>
      </c>
      <c r="L558">
        <v>101</v>
      </c>
      <c r="M558">
        <v>0</v>
      </c>
      <c r="N558" s="98" t="str">
        <f>IF(record[[#This Row],[Memo]]="Browser:chrome os:android","平板報工",IF(record[[#This Row],[Memo]]=0,"委外",record[[#This Row],[Memo]]))</f>
        <v/>
      </c>
      <c r="O558" t="s">
        <v>58</v>
      </c>
      <c r="P558" t="s">
        <v>121</v>
      </c>
      <c r="Q558" t="s">
        <v>58</v>
      </c>
      <c r="R558" t="str">
        <f>IFERROR(VLOOKUP(record[[#This Row],[PCUSTID]],廠商[],2,FALSE),"")</f>
        <v/>
      </c>
      <c r="S558" t="str">
        <f>VLOOKUP(record[[#This Row],[employeeID]],員工[],2,FALSE)</f>
        <v>謝素卿</v>
      </c>
    </row>
    <row r="559" spans="6:19" hidden="1" x14ac:dyDescent="0.25">
      <c r="F559" t="s">
        <v>1945</v>
      </c>
      <c r="G559" t="s">
        <v>451</v>
      </c>
      <c r="H559" t="str">
        <f>VLOOKUP(record[[#This Row],[ProcessSN]],表格2_7[],2,FALSE)</f>
        <v>30-4118-018-6XX</v>
      </c>
      <c r="I559" t="str">
        <f>VLOOKUP(record[[#This Row],[ProcessSN]],表格2_7[],3,FALSE)</f>
        <v>#07</v>
      </c>
      <c r="J559" t="s">
        <v>588</v>
      </c>
      <c r="K559" s="195">
        <v>46149.325150462966</v>
      </c>
      <c r="L559">
        <v>204</v>
      </c>
      <c r="M559">
        <v>4</v>
      </c>
      <c r="N559" s="98" t="str">
        <f>IF(record[[#This Row],[Memo]]="Browser:chrome os:android","平板報工",IF(record[[#This Row],[Memo]]=0,"委外",record[[#This Row],[Memo]]))</f>
        <v/>
      </c>
      <c r="O559" t="s">
        <v>58</v>
      </c>
      <c r="P559" t="s">
        <v>843</v>
      </c>
      <c r="Q559" t="s">
        <v>58</v>
      </c>
      <c r="R559" t="str">
        <f>IFERROR(VLOOKUP(record[[#This Row],[PCUSTID]],廠商[],2,FALSE),"")</f>
        <v/>
      </c>
      <c r="S559" t="str">
        <f>VLOOKUP(record[[#This Row],[employeeID]],員工[],2,FALSE)</f>
        <v>張楚承</v>
      </c>
    </row>
    <row r="560" spans="6:19" x14ac:dyDescent="0.25">
      <c r="F560" t="s">
        <v>1924</v>
      </c>
      <c r="G560" t="s">
        <v>449</v>
      </c>
      <c r="H560" t="str">
        <f>VLOOKUP(record[[#This Row],[ProcessSN]],表格2_7[],2,FALSE)</f>
        <v>30-4118-018-6XX</v>
      </c>
      <c r="I560" t="str">
        <f>VLOOKUP(record[[#This Row],[ProcessSN]],表格2_7[],3,FALSE)</f>
        <v>#05</v>
      </c>
      <c r="J560" t="s">
        <v>588</v>
      </c>
      <c r="K560" s="195">
        <v>46149.32408564815</v>
      </c>
      <c r="L560">
        <v>168</v>
      </c>
      <c r="M560">
        <v>0</v>
      </c>
      <c r="N560" s="98" t="str">
        <f>IF(record[[#This Row],[Memo]]="Browser:chrome os:android","平板報工",IF(record[[#This Row],[Memo]]=0,"委外",record[[#This Row],[Memo]]))</f>
        <v/>
      </c>
      <c r="O560" t="s">
        <v>58</v>
      </c>
      <c r="P560" t="s">
        <v>841</v>
      </c>
      <c r="Q560" t="s">
        <v>58</v>
      </c>
      <c r="R560" t="str">
        <f>IFERROR(VLOOKUP(record[[#This Row],[PCUSTID]],廠商[],2,FALSE),"")</f>
        <v/>
      </c>
      <c r="S560" t="str">
        <f>VLOOKUP(record[[#This Row],[employeeID]],員工[],2,FALSE)</f>
        <v>范氏香</v>
      </c>
    </row>
    <row r="561" spans="6:19" hidden="1" x14ac:dyDescent="0.25">
      <c r="F561" t="s">
        <v>1945</v>
      </c>
      <c r="G561" t="s">
        <v>449</v>
      </c>
      <c r="H561" t="str">
        <f>VLOOKUP(record[[#This Row],[ProcessSN]],表格2_7[],2,FALSE)</f>
        <v>30-4118-018-6XX</v>
      </c>
      <c r="I561" t="str">
        <f>VLOOKUP(record[[#This Row],[ProcessSN]],表格2_7[],3,FALSE)</f>
        <v>#05</v>
      </c>
      <c r="J561" t="s">
        <v>588</v>
      </c>
      <c r="K561" s="195">
        <v>46149.32203703704</v>
      </c>
      <c r="L561">
        <v>113</v>
      </c>
      <c r="M561">
        <v>0</v>
      </c>
      <c r="N561" s="98" t="str">
        <f>IF(record[[#This Row],[Memo]]="Browser:chrome os:android","平板報工",IF(record[[#This Row],[Memo]]=0,"委外",record[[#This Row],[Memo]]))</f>
        <v/>
      </c>
      <c r="O561" t="s">
        <v>58</v>
      </c>
      <c r="P561" t="s">
        <v>841</v>
      </c>
      <c r="Q561" t="s">
        <v>58</v>
      </c>
      <c r="R561" t="str">
        <f>IFERROR(VLOOKUP(record[[#This Row],[PCUSTID]],廠商[],2,FALSE),"")</f>
        <v/>
      </c>
      <c r="S561" t="str">
        <f>VLOOKUP(record[[#This Row],[employeeID]],員工[],2,FALSE)</f>
        <v>范氏香</v>
      </c>
    </row>
    <row r="562" spans="6:19" x14ac:dyDescent="0.25">
      <c r="F562" t="s">
        <v>1924</v>
      </c>
      <c r="G562" t="s">
        <v>448</v>
      </c>
      <c r="H562" t="str">
        <f>VLOOKUP(record[[#This Row],[ProcessSN]],表格2_7[],2,FALSE)</f>
        <v>30-4118-018-6XX</v>
      </c>
      <c r="I562" t="str">
        <f>VLOOKUP(record[[#This Row],[ProcessSN]],表格2_7[],3,FALSE)</f>
        <v>#04</v>
      </c>
      <c r="J562" t="s">
        <v>588</v>
      </c>
      <c r="K562" s="195">
        <v>46149.320381944446</v>
      </c>
      <c r="L562">
        <v>58</v>
      </c>
      <c r="M562">
        <v>0</v>
      </c>
      <c r="N562" s="98" t="str">
        <f>IF(record[[#This Row],[Memo]]="Browser:chrome os:android","平板報工",IF(record[[#This Row],[Memo]]=0,"委外",record[[#This Row],[Memo]]))</f>
        <v/>
      </c>
      <c r="O562" t="s">
        <v>58</v>
      </c>
      <c r="P562" t="s">
        <v>841</v>
      </c>
      <c r="Q562" t="s">
        <v>58</v>
      </c>
      <c r="R562" t="str">
        <f>IFERROR(VLOOKUP(record[[#This Row],[PCUSTID]],廠商[],2,FALSE),"")</f>
        <v/>
      </c>
      <c r="S562" t="str">
        <f>VLOOKUP(record[[#This Row],[employeeID]],員工[],2,FALSE)</f>
        <v>范氏香</v>
      </c>
    </row>
    <row r="563" spans="6:19" hidden="1" x14ac:dyDescent="0.25">
      <c r="F563" t="s">
        <v>1945</v>
      </c>
      <c r="G563" t="s">
        <v>448</v>
      </c>
      <c r="H563" t="str">
        <f>VLOOKUP(record[[#This Row],[ProcessSN]],表格2_7[],2,FALSE)</f>
        <v>30-4118-018-6XX</v>
      </c>
      <c r="I563" t="str">
        <f>VLOOKUP(record[[#This Row],[ProcessSN]],表格2_7[],3,FALSE)</f>
        <v>#04</v>
      </c>
      <c r="J563" t="s">
        <v>588</v>
      </c>
      <c r="K563" s="195">
        <v>46149.320115740738</v>
      </c>
      <c r="L563">
        <v>243</v>
      </c>
      <c r="M563">
        <v>10</v>
      </c>
      <c r="N563" s="98" t="str">
        <f>IF(record[[#This Row],[Memo]]="Browser:chrome os:android","平板報工",IF(record[[#This Row],[Memo]]=0,"委外",record[[#This Row],[Memo]]))</f>
        <v/>
      </c>
      <c r="O563" t="s">
        <v>58</v>
      </c>
      <c r="P563" t="s">
        <v>841</v>
      </c>
      <c r="Q563" t="s">
        <v>58</v>
      </c>
      <c r="R563" t="str">
        <f>IFERROR(VLOOKUP(record[[#This Row],[PCUSTID]],廠商[],2,FALSE),"")</f>
        <v/>
      </c>
      <c r="S563" t="str">
        <f>VLOOKUP(record[[#This Row],[employeeID]],員工[],2,FALSE)</f>
        <v>范氏香</v>
      </c>
    </row>
    <row r="564" spans="6:19" hidden="1" x14ac:dyDescent="0.25">
      <c r="F564" t="s">
        <v>1945</v>
      </c>
      <c r="G564" t="s">
        <v>450</v>
      </c>
      <c r="H564" t="str">
        <f>VLOOKUP(record[[#This Row],[ProcessSN]],表格2_7[],2,FALSE)</f>
        <v>30-4118-018-6XX</v>
      </c>
      <c r="I564" t="str">
        <f>VLOOKUP(record[[#This Row],[ProcessSN]],表格2_7[],3,FALSE)</f>
        <v>#06</v>
      </c>
      <c r="J564" t="s">
        <v>593</v>
      </c>
      <c r="K564" s="195">
        <v>46149.14539351852</v>
      </c>
      <c r="L564">
        <v>68</v>
      </c>
      <c r="M564">
        <v>0</v>
      </c>
      <c r="N564" s="98" t="str">
        <f>IF(record[[#This Row],[Memo]]="Browser:chrome os:android","平板報工",IF(record[[#This Row],[Memo]]=0,"委外",record[[#This Row],[Memo]]))</f>
        <v/>
      </c>
      <c r="O564" t="s">
        <v>58</v>
      </c>
      <c r="P564" t="s">
        <v>1098</v>
      </c>
      <c r="Q564" t="s">
        <v>58</v>
      </c>
      <c r="R564" t="str">
        <f>IFERROR(VLOOKUP(record[[#This Row],[PCUSTID]],廠商[],2,FALSE),"")</f>
        <v/>
      </c>
      <c r="S564" t="str">
        <f>VLOOKUP(record[[#This Row],[employeeID]],員工[],2,FALSE)</f>
        <v>阮氏芳英(英)</v>
      </c>
    </row>
    <row r="565" spans="6:19" x14ac:dyDescent="0.25">
      <c r="F565" t="s">
        <v>1924</v>
      </c>
      <c r="G565" t="s">
        <v>448</v>
      </c>
      <c r="H565" t="str">
        <f>VLOOKUP(record[[#This Row],[ProcessSN]],表格2_7[],2,FALSE)</f>
        <v>30-4118-018-6XX</v>
      </c>
      <c r="I565" t="str">
        <f>VLOOKUP(record[[#This Row],[ProcessSN]],表格2_7[],3,FALSE)</f>
        <v>#04</v>
      </c>
      <c r="J565" t="s">
        <v>588</v>
      </c>
      <c r="K565" s="195">
        <v>46149.043530092589</v>
      </c>
      <c r="L565">
        <v>110</v>
      </c>
      <c r="M565">
        <v>0</v>
      </c>
      <c r="N565" s="98" t="str">
        <f>IF(record[[#This Row],[Memo]]="Browser:chrome os:android","平板報工",IF(record[[#This Row],[Memo]]=0,"委外",record[[#This Row],[Memo]]))</f>
        <v/>
      </c>
      <c r="O565" t="s">
        <v>58</v>
      </c>
      <c r="P565" t="s">
        <v>89</v>
      </c>
      <c r="Q565" t="s">
        <v>58</v>
      </c>
      <c r="R565" t="str">
        <f>IFERROR(VLOOKUP(record[[#This Row],[PCUSTID]],廠商[],2,FALSE),"")</f>
        <v/>
      </c>
      <c r="S565" t="str">
        <f>VLOOKUP(record[[#This Row],[employeeID]],員工[],2,FALSE)</f>
        <v>李美蓮</v>
      </c>
    </row>
    <row r="566" spans="6:19" hidden="1" x14ac:dyDescent="0.25">
      <c r="F566" t="s">
        <v>1945</v>
      </c>
      <c r="G566" t="s">
        <v>448</v>
      </c>
      <c r="H566" t="str">
        <f>VLOOKUP(record[[#This Row],[ProcessSN]],表格2_7[],2,FALSE)</f>
        <v>30-4118-018-6XX</v>
      </c>
      <c r="I566" t="str">
        <f>VLOOKUP(record[[#This Row],[ProcessSN]],表格2_7[],3,FALSE)</f>
        <v>#04</v>
      </c>
      <c r="J566" t="s">
        <v>588</v>
      </c>
      <c r="K566" s="195">
        <v>46149.043194444443</v>
      </c>
      <c r="L566">
        <v>166</v>
      </c>
      <c r="M566">
        <v>15</v>
      </c>
      <c r="N566" s="98" t="str">
        <f>IF(record[[#This Row],[Memo]]="Browser:chrome os:android","平板報工",IF(record[[#This Row],[Memo]]=0,"委外",record[[#This Row],[Memo]]))</f>
        <v/>
      </c>
      <c r="O566" t="s">
        <v>58</v>
      </c>
      <c r="P566" t="s">
        <v>89</v>
      </c>
      <c r="Q566" t="s">
        <v>58</v>
      </c>
      <c r="R566" t="str">
        <f>IFERROR(VLOOKUP(record[[#This Row],[PCUSTID]],廠商[],2,FALSE),"")</f>
        <v/>
      </c>
      <c r="S566" t="str">
        <f>VLOOKUP(record[[#This Row],[employeeID]],員工[],2,FALSE)</f>
        <v>李美蓮</v>
      </c>
    </row>
    <row r="567" spans="6:19" hidden="1" x14ac:dyDescent="0.25">
      <c r="F567" t="s">
        <v>1945</v>
      </c>
      <c r="G567" t="s">
        <v>450</v>
      </c>
      <c r="H567" t="str">
        <f>VLOOKUP(record[[#This Row],[ProcessSN]],表格2_7[],2,FALSE)</f>
        <v>30-4118-018-6XX</v>
      </c>
      <c r="I567" t="str">
        <f>VLOOKUP(record[[#This Row],[ProcessSN]],表格2_7[],3,FALSE)</f>
        <v>#06</v>
      </c>
      <c r="J567" t="s">
        <v>593</v>
      </c>
      <c r="K567" s="195">
        <v>46149.025578703702</v>
      </c>
      <c r="L567">
        <v>66</v>
      </c>
      <c r="M567">
        <v>0</v>
      </c>
      <c r="N567" s="98" t="str">
        <f>IF(record[[#This Row],[Memo]]="Browser:chrome os:android","平板報工",IF(record[[#This Row],[Memo]]=0,"委外",record[[#This Row],[Memo]]))</f>
        <v/>
      </c>
      <c r="O567" t="s">
        <v>58</v>
      </c>
      <c r="P567" t="s">
        <v>180</v>
      </c>
      <c r="Q567" t="s">
        <v>58</v>
      </c>
      <c r="R567" t="str">
        <f>IFERROR(VLOOKUP(record[[#This Row],[PCUSTID]],廠商[],2,FALSE),"")</f>
        <v/>
      </c>
      <c r="S567" t="str">
        <f>VLOOKUP(record[[#This Row],[employeeID]],員工[],2,FALSE)</f>
        <v>黎功江</v>
      </c>
    </row>
    <row r="568" spans="6:19" hidden="1" x14ac:dyDescent="0.25">
      <c r="F568" t="s">
        <v>1945</v>
      </c>
      <c r="G568" t="s">
        <v>450</v>
      </c>
      <c r="H568" t="str">
        <f>VLOOKUP(record[[#This Row],[ProcessSN]],表格2_7[],2,FALSE)</f>
        <v>30-4118-018-6XX</v>
      </c>
      <c r="I568" t="str">
        <f>VLOOKUP(record[[#This Row],[ProcessSN]],表格2_7[],3,FALSE)</f>
        <v>#06</v>
      </c>
      <c r="J568" t="s">
        <v>593</v>
      </c>
      <c r="K568" s="195">
        <v>46149.022789351853</v>
      </c>
      <c r="L568">
        <v>67</v>
      </c>
      <c r="M568">
        <v>0</v>
      </c>
      <c r="N568" s="98" t="str">
        <f>IF(record[[#This Row],[Memo]]="Browser:chrome os:android","平板報工",IF(record[[#This Row],[Memo]]=0,"委外",record[[#This Row],[Memo]]))</f>
        <v/>
      </c>
      <c r="O568" t="s">
        <v>58</v>
      </c>
      <c r="P568" t="s">
        <v>841</v>
      </c>
      <c r="Q568" t="s">
        <v>58</v>
      </c>
      <c r="R568" t="str">
        <f>IFERROR(VLOOKUP(record[[#This Row],[PCUSTID]],廠商[],2,FALSE),"")</f>
        <v/>
      </c>
      <c r="S568" t="str">
        <f>VLOOKUP(record[[#This Row],[employeeID]],員工[],2,FALSE)</f>
        <v>范氏香</v>
      </c>
    </row>
    <row r="569" spans="6:19" hidden="1" x14ac:dyDescent="0.25">
      <c r="F569" t="s">
        <v>1945</v>
      </c>
      <c r="G569" t="s">
        <v>449</v>
      </c>
      <c r="H569" t="str">
        <f>VLOOKUP(record[[#This Row],[ProcessSN]],表格2_7[],2,FALSE)</f>
        <v>30-4118-018-6XX</v>
      </c>
      <c r="I569" t="str">
        <f>VLOOKUP(record[[#This Row],[ProcessSN]],表格2_7[],3,FALSE)</f>
        <v>#05</v>
      </c>
      <c r="J569" t="s">
        <v>588</v>
      </c>
      <c r="K569" s="195">
        <v>46149.022037037037</v>
      </c>
      <c r="L569">
        <v>240</v>
      </c>
      <c r="M569">
        <v>0</v>
      </c>
      <c r="N569" s="98" t="str">
        <f>IF(record[[#This Row],[Memo]]="Browser:chrome os:android","平板報工",IF(record[[#This Row],[Memo]]=0,"委外",record[[#This Row],[Memo]]))</f>
        <v/>
      </c>
      <c r="O569" t="s">
        <v>58</v>
      </c>
      <c r="P569" t="s">
        <v>1098</v>
      </c>
      <c r="Q569" t="s">
        <v>58</v>
      </c>
      <c r="R569" t="str">
        <f>IFERROR(VLOOKUP(record[[#This Row],[PCUSTID]],廠商[],2,FALSE),"")</f>
        <v/>
      </c>
      <c r="S569" t="str">
        <f>VLOOKUP(record[[#This Row],[employeeID]],員工[],2,FALSE)</f>
        <v>阮氏芳英(英)</v>
      </c>
    </row>
    <row r="570" spans="6:19" hidden="1" x14ac:dyDescent="0.25">
      <c r="F570" t="s">
        <v>1857</v>
      </c>
      <c r="G570" t="s">
        <v>466</v>
      </c>
      <c r="H570" t="str">
        <f>VLOOKUP(record[[#This Row],[ProcessSN]],表格2_7[],2,FALSE)</f>
        <v>30-4118-018-XXX</v>
      </c>
      <c r="I570" t="str">
        <f>VLOOKUP(record[[#This Row],[ProcessSN]],表格2_7[],3,FALSE)</f>
        <v>#01-2</v>
      </c>
      <c r="J570" t="s">
        <v>588</v>
      </c>
      <c r="K570" s="195">
        <v>46148.98605324074</v>
      </c>
      <c r="L570">
        <v>464</v>
      </c>
      <c r="M570">
        <v>0</v>
      </c>
      <c r="N570" s="98" t="str">
        <f>IF(record[[#This Row],[Memo]]="Browser:chrome os:android","平板報工",IF(record[[#This Row],[Memo]]=0,"委外",record[[#This Row],[Memo]]))</f>
        <v>平板報工</v>
      </c>
      <c r="O570" t="s">
        <v>643</v>
      </c>
      <c r="P570" t="s">
        <v>1847</v>
      </c>
      <c r="Q570" t="s">
        <v>644</v>
      </c>
      <c r="R570" t="str">
        <f>IFERROR(VLOOKUP(record[[#This Row],[PCUSTID]],廠商[],2,FALSE),"")</f>
        <v/>
      </c>
      <c r="S570" t="str">
        <f>VLOOKUP(record[[#This Row],[employeeID]],員工[],2,FALSE)</f>
        <v>潘黎慶平</v>
      </c>
    </row>
    <row r="571" spans="6:19" hidden="1" x14ac:dyDescent="0.25">
      <c r="F571" t="s">
        <v>1945</v>
      </c>
      <c r="G571" t="s">
        <v>450</v>
      </c>
      <c r="H571" t="str">
        <f>VLOOKUP(record[[#This Row],[ProcessSN]],表格2_7[],2,FALSE)</f>
        <v>30-4118-018-6XX</v>
      </c>
      <c r="I571" t="str">
        <f>VLOOKUP(record[[#This Row],[ProcessSN]],表格2_7[],3,FALSE)</f>
        <v>#06</v>
      </c>
      <c r="J571" t="s">
        <v>593</v>
      </c>
      <c r="K571" s="195">
        <v>46148.823541666665</v>
      </c>
      <c r="L571">
        <v>61</v>
      </c>
      <c r="M571">
        <v>0</v>
      </c>
      <c r="N571" s="98" t="str">
        <f>IF(record[[#This Row],[Memo]]="Browser:chrome os:android","平板報工",IF(record[[#This Row],[Memo]]=0,"委外",record[[#This Row],[Memo]]))</f>
        <v>平板報工</v>
      </c>
      <c r="O571" t="s">
        <v>643</v>
      </c>
      <c r="P571" t="s">
        <v>785</v>
      </c>
      <c r="Q571" t="s">
        <v>644</v>
      </c>
      <c r="R571" t="str">
        <f>IFERROR(VLOOKUP(record[[#This Row],[PCUSTID]],廠商[],2,FALSE),"")</f>
        <v/>
      </c>
      <c r="S571" t="str">
        <f>VLOOKUP(record[[#This Row],[employeeID]],員工[],2,FALSE)</f>
        <v>謝刻光</v>
      </c>
    </row>
    <row r="572" spans="6:19" x14ac:dyDescent="0.25">
      <c r="F572" t="s">
        <v>1924</v>
      </c>
      <c r="G572" t="s">
        <v>450</v>
      </c>
      <c r="H572" t="str">
        <f>VLOOKUP(record[[#This Row],[ProcessSN]],表格2_7[],2,FALSE)</f>
        <v>30-4118-018-6XX</v>
      </c>
      <c r="I572" t="str">
        <f>VLOOKUP(record[[#This Row],[ProcessSN]],表格2_7[],3,FALSE)</f>
        <v>#06</v>
      </c>
      <c r="J572" t="s">
        <v>593</v>
      </c>
      <c r="K572" s="195">
        <v>46148.82172453704</v>
      </c>
      <c r="L572">
        <v>58</v>
      </c>
      <c r="M572">
        <v>0</v>
      </c>
      <c r="N572" s="98" t="str">
        <f>IF(record[[#This Row],[Memo]]="Browser:chrome os:android","平板報工",IF(record[[#This Row],[Memo]]=0,"委外",record[[#This Row],[Memo]]))</f>
        <v>平板報工</v>
      </c>
      <c r="O572" t="s">
        <v>643</v>
      </c>
      <c r="P572" t="s">
        <v>1413</v>
      </c>
      <c r="Q572" t="s">
        <v>644</v>
      </c>
      <c r="R572" t="str">
        <f>IFERROR(VLOOKUP(record[[#This Row],[PCUSTID]],廠商[],2,FALSE),"")</f>
        <v/>
      </c>
      <c r="S572" t="str">
        <f>VLOOKUP(record[[#This Row],[employeeID]],員工[],2,FALSE)</f>
        <v>阮氏芳英(芳)</v>
      </c>
    </row>
    <row r="573" spans="6:19" hidden="1" x14ac:dyDescent="0.25">
      <c r="F573" t="s">
        <v>1952</v>
      </c>
      <c r="G573" t="s">
        <v>400</v>
      </c>
      <c r="H573" t="str">
        <f>VLOOKUP(record[[#This Row],[ProcessSN]],表格2_7[],2,FALSE)</f>
        <v>30-4118-018-550</v>
      </c>
      <c r="I573" t="str">
        <f>VLOOKUP(record[[#This Row],[ProcessSN]],表格2_7[],3,FALSE)</f>
        <v>#100</v>
      </c>
      <c r="J573" t="s">
        <v>598</v>
      </c>
      <c r="K573" s="195">
        <v>46148.821562500001</v>
      </c>
      <c r="L573">
        <v>183</v>
      </c>
      <c r="M573">
        <v>0</v>
      </c>
      <c r="N573" s="98" t="str">
        <f>IF(record[[#This Row],[Memo]]="Browser:chrome os:android","平板報工",IF(record[[#This Row],[Memo]]=0,"委外",record[[#This Row],[Memo]]))</f>
        <v/>
      </c>
      <c r="O573" t="s">
        <v>58</v>
      </c>
      <c r="P573" t="s">
        <v>141</v>
      </c>
      <c r="Q573" t="s">
        <v>58</v>
      </c>
      <c r="R573" t="str">
        <f>IFERROR(VLOOKUP(record[[#This Row],[PCUSTID]],廠商[],2,FALSE),"")</f>
        <v/>
      </c>
      <c r="S573" t="str">
        <f>VLOOKUP(record[[#This Row],[employeeID]],員工[],2,FALSE)</f>
        <v>蔣梅</v>
      </c>
    </row>
    <row r="574" spans="6:19" hidden="1" x14ac:dyDescent="0.25">
      <c r="F574" t="s">
        <v>1945</v>
      </c>
      <c r="G574" t="s">
        <v>450</v>
      </c>
      <c r="H574" t="str">
        <f>VLOOKUP(record[[#This Row],[ProcessSN]],表格2_7[],2,FALSE)</f>
        <v>30-4118-018-6XX</v>
      </c>
      <c r="I574" t="str">
        <f>VLOOKUP(record[[#This Row],[ProcessSN]],表格2_7[],3,FALSE)</f>
        <v>#06</v>
      </c>
      <c r="J574" t="s">
        <v>593</v>
      </c>
      <c r="K574" s="195">
        <v>46148.821481481478</v>
      </c>
      <c r="L574">
        <v>12</v>
      </c>
      <c r="M574">
        <v>0</v>
      </c>
      <c r="N574" s="98" t="str">
        <f>IF(record[[#This Row],[Memo]]="Browser:chrome os:android","平板報工",IF(record[[#This Row],[Memo]]=0,"委外",record[[#This Row],[Memo]]))</f>
        <v>平板報工</v>
      </c>
      <c r="O574" t="s">
        <v>643</v>
      </c>
      <c r="P574" t="s">
        <v>1413</v>
      </c>
      <c r="Q574" t="s">
        <v>644</v>
      </c>
      <c r="R574" t="str">
        <f>IFERROR(VLOOKUP(record[[#This Row],[PCUSTID]],廠商[],2,FALSE),"")</f>
        <v/>
      </c>
      <c r="S574" t="str">
        <f>VLOOKUP(record[[#This Row],[employeeID]],員工[],2,FALSE)</f>
        <v>阮氏芳英(芳)</v>
      </c>
    </row>
    <row r="575" spans="6:19" hidden="1" x14ac:dyDescent="0.25">
      <c r="F575" t="s">
        <v>1940</v>
      </c>
      <c r="G575" t="s">
        <v>400</v>
      </c>
      <c r="H575" t="str">
        <f>VLOOKUP(record[[#This Row],[ProcessSN]],表格2_7[],2,FALSE)</f>
        <v>30-4118-018-550</v>
      </c>
      <c r="I575" t="str">
        <f>VLOOKUP(record[[#This Row],[ProcessSN]],表格2_7[],3,FALSE)</f>
        <v>#100</v>
      </c>
      <c r="J575" t="s">
        <v>598</v>
      </c>
      <c r="K575" s="195">
        <v>46148.821331018517</v>
      </c>
      <c r="L575">
        <v>321</v>
      </c>
      <c r="M575">
        <v>0</v>
      </c>
      <c r="N575" s="98" t="str">
        <f>IF(record[[#This Row],[Memo]]="Browser:chrome os:android","平板報工",IF(record[[#This Row],[Memo]]=0,"委外",record[[#This Row],[Memo]]))</f>
        <v/>
      </c>
      <c r="O575" t="s">
        <v>58</v>
      </c>
      <c r="P575" t="s">
        <v>141</v>
      </c>
      <c r="Q575" t="s">
        <v>58</v>
      </c>
      <c r="R575" t="str">
        <f>IFERROR(VLOOKUP(record[[#This Row],[PCUSTID]],廠商[],2,FALSE),"")</f>
        <v/>
      </c>
      <c r="S575" t="str">
        <f>VLOOKUP(record[[#This Row],[employeeID]],員工[],2,FALSE)</f>
        <v>蔣梅</v>
      </c>
    </row>
    <row r="576" spans="6:19" hidden="1" x14ac:dyDescent="0.25">
      <c r="F576" t="s">
        <v>1933</v>
      </c>
      <c r="G576" t="s">
        <v>411</v>
      </c>
      <c r="H576" t="str">
        <f>VLOOKUP(record[[#This Row],[ProcessSN]],表格2_7[],2,FALSE)</f>
        <v>30-4118-018-570</v>
      </c>
      <c r="I576" t="str">
        <f>VLOOKUP(record[[#This Row],[ProcessSN]],表格2_7[],3,FALSE)</f>
        <v>#100SHIP</v>
      </c>
      <c r="J576" t="s">
        <v>600</v>
      </c>
      <c r="K576" s="195">
        <v>46148.790289351855</v>
      </c>
      <c r="L576">
        <v>109</v>
      </c>
      <c r="M576">
        <v>0</v>
      </c>
      <c r="N576" s="98" t="str">
        <f>IF(record[[#This Row],[Memo]]="Browser:chrome os:android","平板報工",IF(record[[#This Row],[Memo]]=0,"委外",record[[#This Row],[Memo]]))</f>
        <v/>
      </c>
      <c r="O576" t="s">
        <v>58</v>
      </c>
      <c r="P576" t="s">
        <v>886</v>
      </c>
      <c r="Q576" t="s">
        <v>58</v>
      </c>
      <c r="R576" t="str">
        <f>IFERROR(VLOOKUP(record[[#This Row],[PCUSTID]],廠商[],2,FALSE),"")</f>
        <v/>
      </c>
      <c r="S576" t="str">
        <f>VLOOKUP(record[[#This Row],[employeeID]],員工[],2,FALSE)</f>
        <v>謝蓁薰</v>
      </c>
    </row>
    <row r="577" spans="6:19" hidden="1" x14ac:dyDescent="0.25">
      <c r="F577" t="s">
        <v>1857</v>
      </c>
      <c r="G577" t="s">
        <v>470</v>
      </c>
      <c r="H577" t="str">
        <f>VLOOKUP(record[[#This Row],[ProcessSN]],表格2_7[],2,FALSE)</f>
        <v>30-4118-018-XXX</v>
      </c>
      <c r="I577" t="str">
        <f>VLOOKUP(record[[#This Row],[ProcessSN]],表格2_7[],3,FALSE)</f>
        <v>#02IQC</v>
      </c>
      <c r="J577" t="s">
        <v>583</v>
      </c>
      <c r="K577" s="195">
        <v>46148.782372685186</v>
      </c>
      <c r="L577">
        <v>838</v>
      </c>
      <c r="M577">
        <v>0</v>
      </c>
      <c r="N577" s="98" t="str">
        <f>IF(record[[#This Row],[Memo]]="Browser:chrome os:android","平板報工",IF(record[[#This Row],[Memo]]=0,"委外",record[[#This Row],[Memo]]))</f>
        <v/>
      </c>
      <c r="O577" t="s">
        <v>58</v>
      </c>
      <c r="P577" t="s">
        <v>109</v>
      </c>
      <c r="Q577" t="s">
        <v>58</v>
      </c>
      <c r="R577" t="str">
        <f>IFERROR(VLOOKUP(record[[#This Row],[PCUSTID]],廠商[],2,FALSE),"")</f>
        <v/>
      </c>
      <c r="S577" t="str">
        <f>VLOOKUP(record[[#This Row],[employeeID]],員工[],2,FALSE)</f>
        <v>裴氏璧鳳</v>
      </c>
    </row>
    <row r="578" spans="6:19" hidden="1" x14ac:dyDescent="0.25">
      <c r="F578" t="s">
        <v>1970</v>
      </c>
      <c r="G578" t="s">
        <v>408</v>
      </c>
      <c r="H578" t="str">
        <f>VLOOKUP(record[[#This Row],[ProcessSN]],表格2_7[],2,FALSE)</f>
        <v>30-4118-018-570</v>
      </c>
      <c r="I578" t="str">
        <f>VLOOKUP(record[[#This Row],[ProcessSN]],表格2_7[],3,FALSE)</f>
        <v>#100</v>
      </c>
      <c r="J578" t="s">
        <v>598</v>
      </c>
      <c r="K578" s="195">
        <v>46148.73033564815</v>
      </c>
      <c r="L578">
        <v>2</v>
      </c>
      <c r="M578">
        <v>0</v>
      </c>
      <c r="N578" s="98" t="str">
        <f>IF(record[[#This Row],[Memo]]="Browser:chrome os:android","平板報工",IF(record[[#This Row],[Memo]]=0,"委外",record[[#This Row],[Memo]]))</f>
        <v/>
      </c>
      <c r="O578" t="s">
        <v>58</v>
      </c>
      <c r="P578" t="s">
        <v>141</v>
      </c>
      <c r="Q578" t="s">
        <v>58</v>
      </c>
      <c r="R578" t="str">
        <f>IFERROR(VLOOKUP(record[[#This Row],[PCUSTID]],廠商[],2,FALSE),"")</f>
        <v/>
      </c>
      <c r="S578" t="str">
        <f>VLOOKUP(record[[#This Row],[employeeID]],員工[],2,FALSE)</f>
        <v>蔣梅</v>
      </c>
    </row>
    <row r="579" spans="6:19" hidden="1" x14ac:dyDescent="0.25">
      <c r="F579" t="s">
        <v>1970</v>
      </c>
      <c r="G579" t="s">
        <v>408</v>
      </c>
      <c r="H579" t="str">
        <f>VLOOKUP(record[[#This Row],[ProcessSN]],表格2_7[],2,FALSE)</f>
        <v>30-4118-018-570</v>
      </c>
      <c r="I579" t="str">
        <f>VLOOKUP(record[[#This Row],[ProcessSN]],表格2_7[],3,FALSE)</f>
        <v>#100</v>
      </c>
      <c r="J579" t="s">
        <v>598</v>
      </c>
      <c r="K579" s="195">
        <v>46148.727581018517</v>
      </c>
      <c r="L579">
        <v>99</v>
      </c>
      <c r="M579">
        <v>0</v>
      </c>
      <c r="N579" s="98" t="str">
        <f>IF(record[[#This Row],[Memo]]="Browser:chrome os:android","平板報工",IF(record[[#This Row],[Memo]]=0,"委外",record[[#This Row],[Memo]]))</f>
        <v/>
      </c>
      <c r="O579" t="s">
        <v>58</v>
      </c>
      <c r="P579" t="s">
        <v>141</v>
      </c>
      <c r="Q579" t="s">
        <v>58</v>
      </c>
      <c r="R579" t="str">
        <f>IFERROR(VLOOKUP(record[[#This Row],[PCUSTID]],廠商[],2,FALSE),"")</f>
        <v/>
      </c>
      <c r="S579" t="str">
        <f>VLOOKUP(record[[#This Row],[employeeID]],員工[],2,FALSE)</f>
        <v>蔣梅</v>
      </c>
    </row>
    <row r="580" spans="6:19" hidden="1" x14ac:dyDescent="0.25">
      <c r="F580" t="s">
        <v>1970</v>
      </c>
      <c r="G580" t="s">
        <v>408</v>
      </c>
      <c r="H580" t="str">
        <f>VLOOKUP(record[[#This Row],[ProcessSN]],表格2_7[],2,FALSE)</f>
        <v>30-4118-018-570</v>
      </c>
      <c r="I580" t="str">
        <f>VLOOKUP(record[[#This Row],[ProcessSN]],表格2_7[],3,FALSE)</f>
        <v>#100</v>
      </c>
      <c r="J580" t="s">
        <v>598</v>
      </c>
      <c r="K580" s="195">
        <v>46148.727361111109</v>
      </c>
      <c r="L580">
        <v>0</v>
      </c>
      <c r="M580">
        <v>4</v>
      </c>
      <c r="N580" s="98" t="str">
        <f>IF(record[[#This Row],[Memo]]="Browser:chrome os:android","平板報工",IF(record[[#This Row],[Memo]]=0,"委外",record[[#This Row],[Memo]]))</f>
        <v/>
      </c>
      <c r="O580" t="s">
        <v>58</v>
      </c>
      <c r="P580" t="s">
        <v>141</v>
      </c>
      <c r="Q580" t="s">
        <v>58</v>
      </c>
      <c r="R580" t="str">
        <f>IFERROR(VLOOKUP(record[[#This Row],[PCUSTID]],廠商[],2,FALSE),"")</f>
        <v/>
      </c>
      <c r="S580" t="str">
        <f>VLOOKUP(record[[#This Row],[employeeID]],員工[],2,FALSE)</f>
        <v>蔣梅</v>
      </c>
    </row>
    <row r="581" spans="6:19" hidden="1" x14ac:dyDescent="0.25">
      <c r="F581" t="s">
        <v>1960</v>
      </c>
      <c r="G581" t="s">
        <v>399</v>
      </c>
      <c r="H581" t="str">
        <f>VLOOKUP(record[[#This Row],[ProcessSN]],表格2_7[],2,FALSE)</f>
        <v>30-4118-018-550</v>
      </c>
      <c r="I581" t="str">
        <f>VLOOKUP(record[[#This Row],[ProcessSN]],表格2_7[],3,FALSE)</f>
        <v>#08IQC</v>
      </c>
      <c r="J581" t="s">
        <v>583</v>
      </c>
      <c r="K581" s="195">
        <v>46148.718425925923</v>
      </c>
      <c r="L581">
        <v>532</v>
      </c>
      <c r="M581">
        <v>0</v>
      </c>
      <c r="N581" s="98" t="str">
        <f>IF(record[[#This Row],[Memo]]="Browser:chrome os:android","平板報工",IF(record[[#This Row],[Memo]]=0,"委外",record[[#This Row],[Memo]]))</f>
        <v/>
      </c>
      <c r="O581" t="s">
        <v>58</v>
      </c>
      <c r="P581" t="s">
        <v>109</v>
      </c>
      <c r="Q581" t="s">
        <v>58</v>
      </c>
      <c r="R581" t="str">
        <f>IFERROR(VLOOKUP(record[[#This Row],[PCUSTID]],廠商[],2,FALSE),"")</f>
        <v/>
      </c>
      <c r="S581" t="str">
        <f>VLOOKUP(record[[#This Row],[employeeID]],員工[],2,FALSE)</f>
        <v>裴氏璧鳳</v>
      </c>
    </row>
    <row r="582" spans="6:19" hidden="1" x14ac:dyDescent="0.25">
      <c r="F582" t="s">
        <v>1970</v>
      </c>
      <c r="G582" t="s">
        <v>407</v>
      </c>
      <c r="H582" t="str">
        <f>VLOOKUP(record[[#This Row],[ProcessSN]],表格2_7[],2,FALSE)</f>
        <v>30-4118-018-570</v>
      </c>
      <c r="I582" t="str">
        <f>VLOOKUP(record[[#This Row],[ProcessSN]],表格2_7[],3,FALSE)</f>
        <v>#08IQC</v>
      </c>
      <c r="J582" t="s">
        <v>583</v>
      </c>
      <c r="K582" s="195">
        <v>46148.716400462959</v>
      </c>
      <c r="L582">
        <v>105</v>
      </c>
      <c r="M582">
        <v>0</v>
      </c>
      <c r="N582" s="98" t="str">
        <f>IF(record[[#This Row],[Memo]]="Browser:chrome os:android","平板報工",IF(record[[#This Row],[Memo]]=0,"委外",record[[#This Row],[Memo]]))</f>
        <v/>
      </c>
      <c r="O582" t="s">
        <v>58</v>
      </c>
      <c r="P582" t="s">
        <v>109</v>
      </c>
      <c r="Q582" t="s">
        <v>58</v>
      </c>
      <c r="R582" t="str">
        <f>IFERROR(VLOOKUP(record[[#This Row],[PCUSTID]],廠商[],2,FALSE),"")</f>
        <v/>
      </c>
      <c r="S582" t="str">
        <f>VLOOKUP(record[[#This Row],[employeeID]],員工[],2,FALSE)</f>
        <v>裴氏璧鳳</v>
      </c>
    </row>
    <row r="583" spans="6:19" hidden="1" x14ac:dyDescent="0.25">
      <c r="F583" t="s">
        <v>1968</v>
      </c>
      <c r="G583" t="s">
        <v>325</v>
      </c>
      <c r="H583" t="str">
        <f>VLOOKUP(record[[#This Row],[ProcessSN]],表格2_7[],2,FALSE)</f>
        <v>30-4118-018-370</v>
      </c>
      <c r="I583" t="str">
        <f>VLOOKUP(record[[#This Row],[ProcessSN]],表格2_7[],3,FALSE)</f>
        <v>#08IQC</v>
      </c>
      <c r="J583" t="s">
        <v>583</v>
      </c>
      <c r="K583" s="195">
        <v>46148.713692129626</v>
      </c>
      <c r="L583">
        <v>145</v>
      </c>
      <c r="M583">
        <v>0</v>
      </c>
      <c r="N583" s="98" t="str">
        <f>IF(record[[#This Row],[Memo]]="Browser:chrome os:android","平板報工",IF(record[[#This Row],[Memo]]=0,"委外",record[[#This Row],[Memo]]))</f>
        <v/>
      </c>
      <c r="O583" t="s">
        <v>58</v>
      </c>
      <c r="P583" t="s">
        <v>109</v>
      </c>
      <c r="Q583" t="s">
        <v>58</v>
      </c>
      <c r="R583" t="str">
        <f>IFERROR(VLOOKUP(record[[#This Row],[PCUSTID]],廠商[],2,FALSE),"")</f>
        <v/>
      </c>
      <c r="S583" t="str">
        <f>VLOOKUP(record[[#This Row],[employeeID]],員工[],2,FALSE)</f>
        <v>裴氏璧鳳</v>
      </c>
    </row>
    <row r="584" spans="6:19" hidden="1" x14ac:dyDescent="0.25">
      <c r="F584" t="s">
        <v>1970</v>
      </c>
      <c r="G584" t="s">
        <v>406</v>
      </c>
      <c r="H584" t="str">
        <f>VLOOKUP(record[[#This Row],[ProcessSN]],表格2_7[],2,FALSE)</f>
        <v>30-4118-018-570</v>
      </c>
      <c r="I584" t="str">
        <f>VLOOKUP(record[[#This Row],[ProcessSN]],表格2_7[],3,FALSE)</f>
        <v>#08RCV</v>
      </c>
      <c r="J584" t="s">
        <v>591</v>
      </c>
      <c r="K584" s="195">
        <v>46148.701493055552</v>
      </c>
      <c r="L584">
        <v>105</v>
      </c>
      <c r="M584">
        <v>0</v>
      </c>
      <c r="N584" s="98" t="str">
        <f>IF(record[[#This Row],[Memo]]="Browser:chrome os:android","平板報工",IF(record[[#This Row],[Memo]]=0,"委外",record[[#This Row],[Memo]]))</f>
        <v/>
      </c>
      <c r="O584" t="s">
        <v>58</v>
      </c>
      <c r="P584" t="s">
        <v>186</v>
      </c>
      <c r="Q584" t="s">
        <v>58</v>
      </c>
      <c r="R584" t="str">
        <f>IFERROR(VLOOKUP(record[[#This Row],[PCUSTID]],廠商[],2,FALSE),"")</f>
        <v/>
      </c>
      <c r="S584" t="str">
        <f>VLOOKUP(record[[#This Row],[employeeID]],員工[],2,FALSE)</f>
        <v>許文姍</v>
      </c>
    </row>
    <row r="585" spans="6:19" hidden="1" x14ac:dyDescent="0.25">
      <c r="F585" t="s">
        <v>1968</v>
      </c>
      <c r="G585" t="s">
        <v>324</v>
      </c>
      <c r="H585" t="str">
        <f>VLOOKUP(record[[#This Row],[ProcessSN]],表格2_7[],2,FALSE)</f>
        <v>30-4118-018-370</v>
      </c>
      <c r="I585" t="str">
        <f>VLOOKUP(record[[#This Row],[ProcessSN]],表格2_7[],3,FALSE)</f>
        <v>#08RCV</v>
      </c>
      <c r="J585" t="s">
        <v>591</v>
      </c>
      <c r="K585" s="195">
        <v>46148.701365740744</v>
      </c>
      <c r="L585">
        <v>145</v>
      </c>
      <c r="M585">
        <v>0</v>
      </c>
      <c r="N585" s="98" t="str">
        <f>IF(record[[#This Row],[Memo]]="Browser:chrome os:android","平板報工",IF(record[[#This Row],[Memo]]=0,"委外",record[[#This Row],[Memo]]))</f>
        <v/>
      </c>
      <c r="O585" t="s">
        <v>58</v>
      </c>
      <c r="P585" t="s">
        <v>186</v>
      </c>
      <c r="Q585" t="s">
        <v>58</v>
      </c>
      <c r="R585" t="str">
        <f>IFERROR(VLOOKUP(record[[#This Row],[PCUSTID]],廠商[],2,FALSE),"")</f>
        <v/>
      </c>
      <c r="S585" t="str">
        <f>VLOOKUP(record[[#This Row],[employeeID]],員工[],2,FALSE)</f>
        <v>許文姍</v>
      </c>
    </row>
    <row r="586" spans="6:19" hidden="1" x14ac:dyDescent="0.25">
      <c r="F586" t="s">
        <v>1945</v>
      </c>
      <c r="G586" t="s">
        <v>448</v>
      </c>
      <c r="H586" t="str">
        <f>VLOOKUP(record[[#This Row],[ProcessSN]],表格2_7[],2,FALSE)</f>
        <v>30-4118-018-6XX</v>
      </c>
      <c r="I586" t="str">
        <f>VLOOKUP(record[[#This Row],[ProcessSN]],表格2_7[],3,FALSE)</f>
        <v>#04</v>
      </c>
      <c r="J586" t="s">
        <v>588</v>
      </c>
      <c r="K586" s="195">
        <v>46148.684166666666</v>
      </c>
      <c r="L586">
        <v>0</v>
      </c>
      <c r="M586">
        <v>1</v>
      </c>
      <c r="N586" s="98" t="str">
        <f>IF(record[[#This Row],[Memo]]="Browser:chrome os:android","平板報工",IF(record[[#This Row],[Memo]]=0,"委外",record[[#This Row],[Memo]]))</f>
        <v/>
      </c>
      <c r="O586" t="s">
        <v>58</v>
      </c>
      <c r="P586" t="s">
        <v>101</v>
      </c>
      <c r="Q586" t="s">
        <v>58</v>
      </c>
      <c r="R586" t="str">
        <f>IFERROR(VLOOKUP(record[[#This Row],[PCUSTID]],廠商[],2,FALSE),"")</f>
        <v/>
      </c>
      <c r="S586" t="str">
        <f>VLOOKUP(record[[#This Row],[employeeID]],員工[],2,FALSE)</f>
        <v>陳氏絨</v>
      </c>
    </row>
    <row r="587" spans="6:19" x14ac:dyDescent="0.25">
      <c r="F587" t="s">
        <v>1924</v>
      </c>
      <c r="G587" t="s">
        <v>451</v>
      </c>
      <c r="H587" t="str">
        <f>VLOOKUP(record[[#This Row],[ProcessSN]],表格2_7[],2,FALSE)</f>
        <v>30-4118-018-6XX</v>
      </c>
      <c r="I587" t="str">
        <f>VLOOKUP(record[[#This Row],[ProcessSN]],表格2_7[],3,FALSE)</f>
        <v>#07</v>
      </c>
      <c r="J587" t="s">
        <v>588</v>
      </c>
      <c r="K587" s="195">
        <v>46148.672673611109</v>
      </c>
      <c r="L587">
        <v>51</v>
      </c>
      <c r="M587">
        <v>0</v>
      </c>
      <c r="N587" s="98" t="str">
        <f>IF(record[[#This Row],[Memo]]="Browser:chrome os:android","平板報工",IF(record[[#This Row],[Memo]]=0,"委外",record[[#This Row],[Memo]]))</f>
        <v/>
      </c>
      <c r="O587" t="s">
        <v>58</v>
      </c>
      <c r="P587" t="s">
        <v>785</v>
      </c>
      <c r="Q587" t="s">
        <v>58</v>
      </c>
      <c r="R587" t="str">
        <f>IFERROR(VLOOKUP(record[[#This Row],[PCUSTID]],廠商[],2,FALSE),"")</f>
        <v/>
      </c>
      <c r="S587" t="str">
        <f>VLOOKUP(record[[#This Row],[employeeID]],員工[],2,FALSE)</f>
        <v>謝刻光</v>
      </c>
    </row>
    <row r="588" spans="6:19" x14ac:dyDescent="0.25">
      <c r="F588" t="s">
        <v>1924</v>
      </c>
      <c r="G588" t="s">
        <v>450</v>
      </c>
      <c r="H588" t="str">
        <f>VLOOKUP(record[[#This Row],[ProcessSN]],表格2_7[],2,FALSE)</f>
        <v>30-4118-018-6XX</v>
      </c>
      <c r="I588" t="str">
        <f>VLOOKUP(record[[#This Row],[ProcessSN]],表格2_7[],3,FALSE)</f>
        <v>#06</v>
      </c>
      <c r="J588" t="s">
        <v>593</v>
      </c>
      <c r="K588" s="195">
        <v>46148.670451388891</v>
      </c>
      <c r="L588">
        <v>213</v>
      </c>
      <c r="M588">
        <v>0</v>
      </c>
      <c r="N588" s="98" t="str">
        <f>IF(record[[#This Row],[Memo]]="Browser:chrome os:android","平板報工",IF(record[[#This Row],[Memo]]=0,"委外",record[[#This Row],[Memo]]))</f>
        <v>平板報工</v>
      </c>
      <c r="O588" t="s">
        <v>643</v>
      </c>
      <c r="P588" t="s">
        <v>139</v>
      </c>
      <c r="Q588" t="s">
        <v>644</v>
      </c>
      <c r="R588" t="str">
        <f>IFERROR(VLOOKUP(record[[#This Row],[PCUSTID]],廠商[],2,FALSE),"")</f>
        <v/>
      </c>
      <c r="S588" t="str">
        <f>VLOOKUP(record[[#This Row],[employeeID]],員工[],2,FALSE)</f>
        <v>高氏顏</v>
      </c>
    </row>
    <row r="589" spans="6:19" x14ac:dyDescent="0.25">
      <c r="F589" t="s">
        <v>1924</v>
      </c>
      <c r="G589" t="s">
        <v>451</v>
      </c>
      <c r="H589" t="str">
        <f>VLOOKUP(record[[#This Row],[ProcessSN]],表格2_7[],2,FALSE)</f>
        <v>30-4118-018-6XX</v>
      </c>
      <c r="I589" t="str">
        <f>VLOOKUP(record[[#This Row],[ProcessSN]],表格2_7[],3,FALSE)</f>
        <v>#07</v>
      </c>
      <c r="J589" t="s">
        <v>588</v>
      </c>
      <c r="K589" s="195">
        <v>46148.663321759261</v>
      </c>
      <c r="L589">
        <v>179</v>
      </c>
      <c r="M589">
        <v>0</v>
      </c>
      <c r="N589" s="98" t="str">
        <f>IF(record[[#This Row],[Memo]]="Browser:chrome os:android","平板報工",IF(record[[#This Row],[Memo]]=0,"委外",record[[#This Row],[Memo]]))</f>
        <v>平板報工</v>
      </c>
      <c r="O589" t="s">
        <v>643</v>
      </c>
      <c r="P589" t="s">
        <v>785</v>
      </c>
      <c r="Q589" t="s">
        <v>644</v>
      </c>
      <c r="R589" t="str">
        <f>IFERROR(VLOOKUP(record[[#This Row],[PCUSTID]],廠商[],2,FALSE),"")</f>
        <v/>
      </c>
      <c r="S589" t="str">
        <f>VLOOKUP(record[[#This Row],[employeeID]],員工[],2,FALSE)</f>
        <v>謝刻光</v>
      </c>
    </row>
    <row r="590" spans="6:19" hidden="1" x14ac:dyDescent="0.25">
      <c r="F590" t="s">
        <v>1857</v>
      </c>
      <c r="G590" t="s">
        <v>466</v>
      </c>
      <c r="H590" t="str">
        <f>VLOOKUP(record[[#This Row],[ProcessSN]],表格2_7[],2,FALSE)</f>
        <v>30-4118-018-XXX</v>
      </c>
      <c r="I590" t="str">
        <f>VLOOKUP(record[[#This Row],[ProcessSN]],表格2_7[],3,FALSE)</f>
        <v>#01-2</v>
      </c>
      <c r="J590" t="s">
        <v>588</v>
      </c>
      <c r="K590" s="195">
        <v>46148.661516203705</v>
      </c>
      <c r="L590">
        <v>250</v>
      </c>
      <c r="M590">
        <v>0</v>
      </c>
      <c r="N590" s="98" t="str">
        <f>IF(record[[#This Row],[Memo]]="Browser:chrome os:android","平板報工",IF(record[[#This Row],[Memo]]=0,"委外",record[[#This Row],[Memo]]))</f>
        <v>平板報工</v>
      </c>
      <c r="O590" t="s">
        <v>643</v>
      </c>
      <c r="P590" t="s">
        <v>785</v>
      </c>
      <c r="Q590" t="s">
        <v>644</v>
      </c>
      <c r="R590" t="str">
        <f>IFERROR(VLOOKUP(record[[#This Row],[PCUSTID]],廠商[],2,FALSE),"")</f>
        <v/>
      </c>
      <c r="S590" t="str">
        <f>VLOOKUP(record[[#This Row],[employeeID]],員工[],2,FALSE)</f>
        <v>謝刻光</v>
      </c>
    </row>
    <row r="591" spans="6:19" hidden="1" x14ac:dyDescent="0.25">
      <c r="F591" t="s">
        <v>1945</v>
      </c>
      <c r="G591" t="s">
        <v>450</v>
      </c>
      <c r="H591" t="str">
        <f>VLOOKUP(record[[#This Row],[ProcessSN]],表格2_7[],2,FALSE)</f>
        <v>30-4118-018-6XX</v>
      </c>
      <c r="I591" t="str">
        <f>VLOOKUP(record[[#This Row],[ProcessSN]],表格2_7[],3,FALSE)</f>
        <v>#06</v>
      </c>
      <c r="J591" t="s">
        <v>593</v>
      </c>
      <c r="K591" s="195">
        <v>46148.656990740739</v>
      </c>
      <c r="L591">
        <v>4</v>
      </c>
      <c r="M591">
        <v>0</v>
      </c>
      <c r="N591" s="98" t="str">
        <f>IF(record[[#This Row],[Memo]]="Browser:chrome os:android","平板報工",IF(record[[#This Row],[Memo]]=0,"委外",record[[#This Row],[Memo]]))</f>
        <v>平板報工</v>
      </c>
      <c r="O591" t="s">
        <v>643</v>
      </c>
      <c r="P591" t="s">
        <v>1413</v>
      </c>
      <c r="Q591" t="s">
        <v>644</v>
      </c>
      <c r="R591" t="str">
        <f>IFERROR(VLOOKUP(record[[#This Row],[PCUSTID]],廠商[],2,FALSE),"")</f>
        <v/>
      </c>
      <c r="S591" t="str">
        <f>VLOOKUP(record[[#This Row],[employeeID]],員工[],2,FALSE)</f>
        <v>阮氏芳英(芳)</v>
      </c>
    </row>
    <row r="592" spans="6:19" hidden="1" x14ac:dyDescent="0.25">
      <c r="F592" t="s">
        <v>1945</v>
      </c>
      <c r="G592" t="s">
        <v>449</v>
      </c>
      <c r="H592" t="str">
        <f>VLOOKUP(record[[#This Row],[ProcessSN]],表格2_7[],2,FALSE)</f>
        <v>30-4118-018-6XX</v>
      </c>
      <c r="I592" t="str">
        <f>VLOOKUP(record[[#This Row],[ProcessSN]],表格2_7[],3,FALSE)</f>
        <v>#05</v>
      </c>
      <c r="J592" t="s">
        <v>588</v>
      </c>
      <c r="K592" s="195">
        <v>46148.656273148146</v>
      </c>
      <c r="L592">
        <v>130</v>
      </c>
      <c r="M592">
        <v>0</v>
      </c>
      <c r="N592" s="98" t="str">
        <f>IF(record[[#This Row],[Memo]]="Browser:chrome os:android","平板報工",IF(record[[#This Row],[Memo]]=0,"委外",record[[#This Row],[Memo]]))</f>
        <v>平板報工</v>
      </c>
      <c r="O592" t="s">
        <v>643</v>
      </c>
      <c r="P592" t="s">
        <v>145</v>
      </c>
      <c r="Q592" t="s">
        <v>644</v>
      </c>
      <c r="R592" t="str">
        <f>IFERROR(VLOOKUP(record[[#This Row],[PCUSTID]],廠商[],2,FALSE),"")</f>
        <v/>
      </c>
      <c r="S592" t="str">
        <f>VLOOKUP(record[[#This Row],[employeeID]],員工[],2,FALSE)</f>
        <v>阮秋霞</v>
      </c>
    </row>
    <row r="593" spans="6:19" x14ac:dyDescent="0.25">
      <c r="F593" t="s">
        <v>1924</v>
      </c>
      <c r="G593" t="s">
        <v>449</v>
      </c>
      <c r="H593" t="str">
        <f>VLOOKUP(record[[#This Row],[ProcessSN]],表格2_7[],2,FALSE)</f>
        <v>30-4118-018-6XX</v>
      </c>
      <c r="I593" t="str">
        <f>VLOOKUP(record[[#This Row],[ProcessSN]],表格2_7[],3,FALSE)</f>
        <v>#05</v>
      </c>
      <c r="J593" t="s">
        <v>588</v>
      </c>
      <c r="K593" s="195">
        <v>46148.655694444446</v>
      </c>
      <c r="L593">
        <v>107</v>
      </c>
      <c r="M593">
        <v>0</v>
      </c>
      <c r="N593" s="98" t="str">
        <f>IF(record[[#This Row],[Memo]]="Browser:chrome os:android","平板報工",IF(record[[#This Row],[Memo]]=0,"委外",record[[#This Row],[Memo]]))</f>
        <v>平板報工</v>
      </c>
      <c r="O593" t="s">
        <v>643</v>
      </c>
      <c r="P593" t="s">
        <v>145</v>
      </c>
      <c r="Q593" t="s">
        <v>644</v>
      </c>
      <c r="R593" t="str">
        <f>IFERROR(VLOOKUP(record[[#This Row],[PCUSTID]],廠商[],2,FALSE),"")</f>
        <v/>
      </c>
      <c r="S593" t="str">
        <f>VLOOKUP(record[[#This Row],[employeeID]],員工[],2,FALSE)</f>
        <v>阮秋霞</v>
      </c>
    </row>
    <row r="594" spans="6:19" hidden="1" x14ac:dyDescent="0.25">
      <c r="F594" t="s">
        <v>1944</v>
      </c>
      <c r="G594" t="s">
        <v>415</v>
      </c>
      <c r="H594" t="str">
        <f>VLOOKUP(record[[#This Row],[ProcessSN]],表格2_7[],2,FALSE)</f>
        <v>30-4118-018-5XX</v>
      </c>
      <c r="I594" t="str">
        <f>VLOOKUP(record[[#This Row],[ProcessSN]],表格2_7[],3,FALSE)</f>
        <v>#04</v>
      </c>
      <c r="J594" t="s">
        <v>588</v>
      </c>
      <c r="K594" s="195">
        <v>46148.654999999999</v>
      </c>
      <c r="L594">
        <v>25</v>
      </c>
      <c r="M594">
        <v>0</v>
      </c>
      <c r="N594" s="98" t="str">
        <f>IF(record[[#This Row],[Memo]]="Browser:chrome os:android","平板報工",IF(record[[#This Row],[Memo]]=0,"委外",record[[#This Row],[Memo]]))</f>
        <v>平板報工</v>
      </c>
      <c r="O594" t="s">
        <v>643</v>
      </c>
      <c r="P594" t="s">
        <v>107</v>
      </c>
      <c r="Q594" t="s">
        <v>644</v>
      </c>
      <c r="R594" t="str">
        <f>IFERROR(VLOOKUP(record[[#This Row],[PCUSTID]],廠商[],2,FALSE),"")</f>
        <v/>
      </c>
      <c r="S594" t="str">
        <f>VLOOKUP(record[[#This Row],[employeeID]],員工[],2,FALSE)</f>
        <v>黎氏順</v>
      </c>
    </row>
    <row r="595" spans="6:19" hidden="1" x14ac:dyDescent="0.25">
      <c r="F595" t="s">
        <v>1945</v>
      </c>
      <c r="G595" t="s">
        <v>448</v>
      </c>
      <c r="H595" t="str">
        <f>VLOOKUP(record[[#This Row],[ProcessSN]],表格2_7[],2,FALSE)</f>
        <v>30-4118-018-6XX</v>
      </c>
      <c r="I595" t="str">
        <f>VLOOKUP(record[[#This Row],[ProcessSN]],表格2_7[],3,FALSE)</f>
        <v>#04</v>
      </c>
      <c r="J595" t="s">
        <v>588</v>
      </c>
      <c r="K595" s="195">
        <v>46148.653935185182</v>
      </c>
      <c r="L595">
        <v>130</v>
      </c>
      <c r="M595">
        <v>0</v>
      </c>
      <c r="N595" s="98" t="str">
        <f>IF(record[[#This Row],[Memo]]="Browser:chrome os:android","平板報工",IF(record[[#This Row],[Memo]]=0,"委外",record[[#This Row],[Memo]]))</f>
        <v>平板報工</v>
      </c>
      <c r="O595" t="s">
        <v>643</v>
      </c>
      <c r="P595" t="s">
        <v>107</v>
      </c>
      <c r="Q595" t="s">
        <v>644</v>
      </c>
      <c r="R595" t="str">
        <f>IFERROR(VLOOKUP(record[[#This Row],[PCUSTID]],廠商[],2,FALSE),"")</f>
        <v/>
      </c>
      <c r="S595" t="str">
        <f>VLOOKUP(record[[#This Row],[employeeID]],員工[],2,FALSE)</f>
        <v>黎氏順</v>
      </c>
    </row>
    <row r="596" spans="6:19" hidden="1" x14ac:dyDescent="0.25">
      <c r="F596" t="s">
        <v>1945</v>
      </c>
      <c r="G596" t="s">
        <v>448</v>
      </c>
      <c r="H596" t="str">
        <f>VLOOKUP(record[[#This Row],[ProcessSN]],表格2_7[],2,FALSE)</f>
        <v>30-4118-018-6XX</v>
      </c>
      <c r="I596" t="str">
        <f>VLOOKUP(record[[#This Row],[ProcessSN]],表格2_7[],3,FALSE)</f>
        <v>#04</v>
      </c>
      <c r="J596" t="s">
        <v>588</v>
      </c>
      <c r="K596" s="195">
        <v>46148.653078703705</v>
      </c>
      <c r="L596">
        <v>115</v>
      </c>
      <c r="M596">
        <v>10</v>
      </c>
      <c r="N596" s="98" t="str">
        <f>IF(record[[#This Row],[Memo]]="Browser:chrome os:android","平板報工",IF(record[[#This Row],[Memo]]=0,"委外",record[[#This Row],[Memo]]))</f>
        <v>平板報工</v>
      </c>
      <c r="O596" t="s">
        <v>643</v>
      </c>
      <c r="P596" t="s">
        <v>107</v>
      </c>
      <c r="Q596" t="s">
        <v>644</v>
      </c>
      <c r="R596" t="str">
        <f>IFERROR(VLOOKUP(record[[#This Row],[PCUSTID]],廠商[],2,FALSE),"")</f>
        <v/>
      </c>
      <c r="S596" t="str">
        <f>VLOOKUP(record[[#This Row],[employeeID]],員工[],2,FALSE)</f>
        <v>黎氏順</v>
      </c>
    </row>
    <row r="597" spans="6:19" x14ac:dyDescent="0.25">
      <c r="F597" t="s">
        <v>1924</v>
      </c>
      <c r="G597" t="s">
        <v>448</v>
      </c>
      <c r="H597" t="str">
        <f>VLOOKUP(record[[#This Row],[ProcessSN]],表格2_7[],2,FALSE)</f>
        <v>30-4118-018-6XX</v>
      </c>
      <c r="I597" t="str">
        <f>VLOOKUP(record[[#This Row],[ProcessSN]],表格2_7[],3,FALSE)</f>
        <v>#04</v>
      </c>
      <c r="J597" t="s">
        <v>588</v>
      </c>
      <c r="K597" s="195">
        <v>46148.651377314818</v>
      </c>
      <c r="L597">
        <v>28</v>
      </c>
      <c r="M597">
        <v>0</v>
      </c>
      <c r="N597" s="98" t="str">
        <f>IF(record[[#This Row],[Memo]]="Browser:chrome os:android","平板報工",IF(record[[#This Row],[Memo]]=0,"委外",record[[#This Row],[Memo]]))</f>
        <v>平板報工</v>
      </c>
      <c r="O597" t="s">
        <v>643</v>
      </c>
      <c r="P597" t="s">
        <v>107</v>
      </c>
      <c r="Q597" t="s">
        <v>644</v>
      </c>
      <c r="R597" t="str">
        <f>IFERROR(VLOOKUP(record[[#This Row],[PCUSTID]],廠商[],2,FALSE),"")</f>
        <v/>
      </c>
      <c r="S597" t="str">
        <f>VLOOKUP(record[[#This Row],[employeeID]],員工[],2,FALSE)</f>
        <v>黎氏順</v>
      </c>
    </row>
    <row r="598" spans="6:19" x14ac:dyDescent="0.25">
      <c r="F598" t="s">
        <v>1924</v>
      </c>
      <c r="G598" t="s">
        <v>450</v>
      </c>
      <c r="H598" t="str">
        <f>VLOOKUP(record[[#This Row],[ProcessSN]],表格2_7[],2,FALSE)</f>
        <v>30-4118-018-6XX</v>
      </c>
      <c r="I598" t="str">
        <f>VLOOKUP(record[[#This Row],[ProcessSN]],表格2_7[],3,FALSE)</f>
        <v>#06</v>
      </c>
      <c r="J598" t="s">
        <v>593</v>
      </c>
      <c r="K598" s="195">
        <v>46148.644293981481</v>
      </c>
      <c r="L598">
        <v>129</v>
      </c>
      <c r="M598">
        <v>0</v>
      </c>
      <c r="N598" s="98" t="str">
        <f>IF(record[[#This Row],[Memo]]="Browser:chrome os:android","平板報工",IF(record[[#This Row],[Memo]]=0,"委外",record[[#This Row],[Memo]]))</f>
        <v>平板報工</v>
      </c>
      <c r="O598" t="s">
        <v>643</v>
      </c>
      <c r="P598" t="s">
        <v>1413</v>
      </c>
      <c r="Q598" t="s">
        <v>644</v>
      </c>
      <c r="R598" t="str">
        <f>IFERROR(VLOOKUP(record[[#This Row],[PCUSTID]],廠商[],2,FALSE),"")</f>
        <v/>
      </c>
      <c r="S598" t="str">
        <f>VLOOKUP(record[[#This Row],[employeeID]],員工[],2,FALSE)</f>
        <v>阮氏芳英(芳)</v>
      </c>
    </row>
    <row r="599" spans="6:19" hidden="1" x14ac:dyDescent="0.25">
      <c r="F599" t="s">
        <v>1960</v>
      </c>
      <c r="G599" t="s">
        <v>398</v>
      </c>
      <c r="H599" t="str">
        <f>VLOOKUP(record[[#This Row],[ProcessSN]],表格2_7[],2,FALSE)</f>
        <v>30-4118-018-550</v>
      </c>
      <c r="I599" t="str">
        <f>VLOOKUP(record[[#This Row],[ProcessSN]],表格2_7[],3,FALSE)</f>
        <v>#08RCV</v>
      </c>
      <c r="J599" t="s">
        <v>591</v>
      </c>
      <c r="K599" s="195">
        <v>46148.639293981483</v>
      </c>
      <c r="L599">
        <v>0</v>
      </c>
      <c r="M599">
        <v>13</v>
      </c>
      <c r="N599" s="98" t="str">
        <f>IF(record[[#This Row],[Memo]]="Browser:chrome os:android","平板報工",IF(record[[#This Row],[Memo]]=0,"委外",record[[#This Row],[Memo]]))</f>
        <v/>
      </c>
      <c r="O599" t="s">
        <v>58</v>
      </c>
      <c r="P599" t="s">
        <v>186</v>
      </c>
      <c r="Q599" t="s">
        <v>58</v>
      </c>
      <c r="R599" t="str">
        <f>IFERROR(VLOOKUP(record[[#This Row],[PCUSTID]],廠商[],2,FALSE),"")</f>
        <v/>
      </c>
      <c r="S599" t="str">
        <f>VLOOKUP(record[[#This Row],[employeeID]],員工[],2,FALSE)</f>
        <v>許文姍</v>
      </c>
    </row>
    <row r="600" spans="6:19" hidden="1" x14ac:dyDescent="0.25">
      <c r="F600" t="s">
        <v>1960</v>
      </c>
      <c r="G600" t="s">
        <v>398</v>
      </c>
      <c r="H600" t="str">
        <f>VLOOKUP(record[[#This Row],[ProcessSN]],表格2_7[],2,FALSE)</f>
        <v>30-4118-018-550</v>
      </c>
      <c r="I600" t="str">
        <f>VLOOKUP(record[[#This Row],[ProcessSN]],表格2_7[],3,FALSE)</f>
        <v>#08RCV</v>
      </c>
      <c r="J600" t="s">
        <v>591</v>
      </c>
      <c r="K600" s="195">
        <v>46148.639097222222</v>
      </c>
      <c r="L600">
        <v>532</v>
      </c>
      <c r="M600">
        <v>0</v>
      </c>
      <c r="N600" s="98" t="str">
        <f>IF(record[[#This Row],[Memo]]="Browser:chrome os:android","平板報工",IF(record[[#This Row],[Memo]]=0,"委外",record[[#This Row],[Memo]]))</f>
        <v/>
      </c>
      <c r="O600" t="s">
        <v>58</v>
      </c>
      <c r="P600" t="s">
        <v>186</v>
      </c>
      <c r="Q600" t="s">
        <v>58</v>
      </c>
      <c r="R600" t="str">
        <f>IFERROR(VLOOKUP(record[[#This Row],[PCUSTID]],廠商[],2,FALSE),"")</f>
        <v/>
      </c>
      <c r="S600" t="str">
        <f>VLOOKUP(record[[#This Row],[employeeID]],員工[],2,FALSE)</f>
        <v>許文姍</v>
      </c>
    </row>
    <row r="601" spans="6:19" hidden="1" x14ac:dyDescent="0.25">
      <c r="F601" t="s">
        <v>1909</v>
      </c>
      <c r="G601" t="s">
        <v>379</v>
      </c>
      <c r="H601" t="str">
        <f>VLOOKUP(record[[#This Row],[ProcessSN]],表格2_7[],2,FALSE)</f>
        <v>30-4118-018-4XX</v>
      </c>
      <c r="I601" t="str">
        <f>VLOOKUP(record[[#This Row],[ProcessSN]],表格2_7[],3,FALSE)</f>
        <v>#07STOCK</v>
      </c>
      <c r="J601" t="s">
        <v>592</v>
      </c>
      <c r="K601" s="195">
        <v>46148.599270833336</v>
      </c>
      <c r="L601">
        <v>78</v>
      </c>
      <c r="M601">
        <v>0</v>
      </c>
      <c r="N601" s="98" t="str">
        <f>IF(record[[#This Row],[Memo]]="Browser:chrome os:android","平板報工",IF(record[[#This Row],[Memo]]=0,"委外",record[[#This Row],[Memo]]))</f>
        <v/>
      </c>
      <c r="O601" t="s">
        <v>58</v>
      </c>
      <c r="P601" t="s">
        <v>186</v>
      </c>
      <c r="Q601" t="s">
        <v>58</v>
      </c>
      <c r="R601" t="str">
        <f>IFERROR(VLOOKUP(record[[#This Row],[PCUSTID]],廠商[],2,FALSE),"")</f>
        <v/>
      </c>
      <c r="S601" t="str">
        <f>VLOOKUP(record[[#This Row],[employeeID]],員工[],2,FALSE)</f>
        <v>許文姍</v>
      </c>
    </row>
    <row r="602" spans="6:19" hidden="1" x14ac:dyDescent="0.25">
      <c r="F602" t="s">
        <v>1859</v>
      </c>
      <c r="G602" t="s">
        <v>453</v>
      </c>
      <c r="H602" t="str">
        <f>VLOOKUP(record[[#This Row],[ProcessSN]],表格2_7[],2,FALSE)</f>
        <v>30-4118-018-6XX</v>
      </c>
      <c r="I602" t="str">
        <f>VLOOKUP(record[[#This Row],[ProcessSN]],表格2_7[],3,FALSE)</f>
        <v>#07STOCK</v>
      </c>
      <c r="J602" t="s">
        <v>592</v>
      </c>
      <c r="K602" s="195">
        <v>46148.598958333336</v>
      </c>
      <c r="L602">
        <v>54</v>
      </c>
      <c r="M602">
        <v>0</v>
      </c>
      <c r="N602" s="98" t="str">
        <f>IF(record[[#This Row],[Memo]]="Browser:chrome os:android","平板報工",IF(record[[#This Row],[Memo]]=0,"委外",record[[#This Row],[Memo]]))</f>
        <v/>
      </c>
      <c r="O602" t="s">
        <v>58</v>
      </c>
      <c r="P602" t="s">
        <v>186</v>
      </c>
      <c r="Q602" t="s">
        <v>58</v>
      </c>
      <c r="R602" t="str">
        <f>IFERROR(VLOOKUP(record[[#This Row],[PCUSTID]],廠商[],2,FALSE),"")</f>
        <v/>
      </c>
      <c r="S602" t="str">
        <f>VLOOKUP(record[[#This Row],[employeeID]],員工[],2,FALSE)</f>
        <v>許文姍</v>
      </c>
    </row>
    <row r="603" spans="6:19" x14ac:dyDescent="0.25">
      <c r="F603" t="s">
        <v>1924</v>
      </c>
      <c r="G603" t="s">
        <v>453</v>
      </c>
      <c r="H603" t="str">
        <f>VLOOKUP(record[[#This Row],[ProcessSN]],表格2_7[],2,FALSE)</f>
        <v>30-4118-018-6XX</v>
      </c>
      <c r="I603" t="str">
        <f>VLOOKUP(record[[#This Row],[ProcessSN]],表格2_7[],3,FALSE)</f>
        <v>#07STOCK</v>
      </c>
      <c r="J603" t="s">
        <v>592</v>
      </c>
      <c r="K603" s="195">
        <v>46148.598807870374</v>
      </c>
      <c r="L603">
        <v>354</v>
      </c>
      <c r="M603">
        <v>0</v>
      </c>
      <c r="N603" s="98" t="str">
        <f>IF(record[[#This Row],[Memo]]="Browser:chrome os:android","平板報工",IF(record[[#This Row],[Memo]]=0,"委外",record[[#This Row],[Memo]]))</f>
        <v/>
      </c>
      <c r="O603" t="s">
        <v>58</v>
      </c>
      <c r="P603" t="s">
        <v>186</v>
      </c>
      <c r="Q603" t="s">
        <v>58</v>
      </c>
      <c r="R603" t="str">
        <f>IFERROR(VLOOKUP(record[[#This Row],[PCUSTID]],廠商[],2,FALSE),"")</f>
        <v/>
      </c>
      <c r="S603" t="str">
        <f>VLOOKUP(record[[#This Row],[employeeID]],員工[],2,FALSE)</f>
        <v>許文姍</v>
      </c>
    </row>
    <row r="604" spans="6:19" hidden="1" x14ac:dyDescent="0.25">
      <c r="F604" t="s">
        <v>1909</v>
      </c>
      <c r="G604" t="s">
        <v>378</v>
      </c>
      <c r="H604" t="str">
        <f>VLOOKUP(record[[#This Row],[ProcessSN]],表格2_7[],2,FALSE)</f>
        <v>30-4118-018-4XX</v>
      </c>
      <c r="I604" t="str">
        <f>VLOOKUP(record[[#This Row],[ProcessSN]],表格2_7[],3,FALSE)</f>
        <v>#07QC</v>
      </c>
      <c r="J604" t="s">
        <v>589</v>
      </c>
      <c r="K604" s="195">
        <v>46148.586875000001</v>
      </c>
      <c r="L604">
        <v>0</v>
      </c>
      <c r="M604">
        <v>47</v>
      </c>
      <c r="N604" s="98" t="str">
        <f>IF(record[[#This Row],[Memo]]="Browser:chrome os:android","平板報工",IF(record[[#This Row],[Memo]]=0,"委外",record[[#This Row],[Memo]]))</f>
        <v>平板報工</v>
      </c>
      <c r="O604" t="s">
        <v>643</v>
      </c>
      <c r="P604" t="s">
        <v>141</v>
      </c>
      <c r="Q604" t="s">
        <v>644</v>
      </c>
      <c r="R604" t="str">
        <f>IFERROR(VLOOKUP(record[[#This Row],[PCUSTID]],廠商[],2,FALSE),"")</f>
        <v/>
      </c>
      <c r="S604" t="str">
        <f>VLOOKUP(record[[#This Row],[employeeID]],員工[],2,FALSE)</f>
        <v>蔣梅</v>
      </c>
    </row>
    <row r="605" spans="6:19" hidden="1" x14ac:dyDescent="0.25">
      <c r="F605" t="s">
        <v>1909</v>
      </c>
      <c r="G605" t="s">
        <v>378</v>
      </c>
      <c r="H605" t="str">
        <f>VLOOKUP(record[[#This Row],[ProcessSN]],表格2_7[],2,FALSE)</f>
        <v>30-4118-018-4XX</v>
      </c>
      <c r="I605" t="str">
        <f>VLOOKUP(record[[#This Row],[ProcessSN]],表格2_7[],3,FALSE)</f>
        <v>#07QC</v>
      </c>
      <c r="J605" t="s">
        <v>589</v>
      </c>
      <c r="K605" s="195">
        <v>46148.586689814816</v>
      </c>
      <c r="L605">
        <v>78</v>
      </c>
      <c r="M605">
        <v>0</v>
      </c>
      <c r="N605" s="98" t="str">
        <f>IF(record[[#This Row],[Memo]]="Browser:chrome os:android","平板報工",IF(record[[#This Row],[Memo]]=0,"委外",record[[#This Row],[Memo]]))</f>
        <v>平板報工</v>
      </c>
      <c r="O605" t="s">
        <v>643</v>
      </c>
      <c r="P605" t="s">
        <v>141</v>
      </c>
      <c r="Q605" t="s">
        <v>644</v>
      </c>
      <c r="R605" t="str">
        <f>IFERROR(VLOOKUP(record[[#This Row],[PCUSTID]],廠商[],2,FALSE),"")</f>
        <v/>
      </c>
      <c r="S605" t="str">
        <f>VLOOKUP(record[[#This Row],[employeeID]],員工[],2,FALSE)</f>
        <v>蔣梅</v>
      </c>
    </row>
    <row r="606" spans="6:19" hidden="1" x14ac:dyDescent="0.25">
      <c r="F606" t="s">
        <v>1909</v>
      </c>
      <c r="G606" t="s">
        <v>377</v>
      </c>
      <c r="H606" t="str">
        <f>VLOOKUP(record[[#This Row],[ProcessSN]],表格2_7[],2,FALSE)</f>
        <v>30-4118-018-4XX</v>
      </c>
      <c r="I606" t="str">
        <f>VLOOKUP(record[[#This Row],[ProcessSN]],表格2_7[],3,FALSE)</f>
        <v>#07</v>
      </c>
      <c r="J606" t="s">
        <v>588</v>
      </c>
      <c r="K606" s="195">
        <v>46148.585381944446</v>
      </c>
      <c r="L606">
        <v>105</v>
      </c>
      <c r="M606">
        <v>0</v>
      </c>
      <c r="N606" s="98" t="str">
        <f>IF(record[[#This Row],[Memo]]="Browser:chrome os:android","平板報工",IF(record[[#This Row],[Memo]]=0,"委外",record[[#This Row],[Memo]]))</f>
        <v/>
      </c>
      <c r="O606" t="s">
        <v>58</v>
      </c>
      <c r="P606" t="s">
        <v>1075</v>
      </c>
      <c r="Q606" t="s">
        <v>58</v>
      </c>
      <c r="R606" t="str">
        <f>IFERROR(VLOOKUP(record[[#This Row],[PCUSTID]],廠商[],2,FALSE),"")</f>
        <v/>
      </c>
      <c r="S606" t="str">
        <f>VLOOKUP(record[[#This Row],[employeeID]],員工[],2,FALSE)</f>
        <v>吳宥叡</v>
      </c>
    </row>
    <row r="607" spans="6:19" hidden="1" x14ac:dyDescent="0.25">
      <c r="F607" t="s">
        <v>1977</v>
      </c>
      <c r="G607" t="s">
        <v>422</v>
      </c>
      <c r="H607" t="str">
        <f>VLOOKUP(record[[#This Row],[ProcessSN]],表格2_7[],2,FALSE)</f>
        <v>30-4118-018-600</v>
      </c>
      <c r="I607" t="str">
        <f>VLOOKUP(record[[#This Row],[ProcessSN]],表格2_7[],3,FALSE)</f>
        <v>#08</v>
      </c>
      <c r="J607" t="s">
        <v>597</v>
      </c>
      <c r="K607" s="195">
        <v>46148.58520833333</v>
      </c>
      <c r="L607">
        <v>408</v>
      </c>
      <c r="M607">
        <v>0</v>
      </c>
      <c r="N607" s="98" t="str">
        <f>IF(record[[#This Row],[Memo]]="Browser:chrome os:android","平板報工",IF(record[[#This Row],[Memo]]=0,"委外",record[[#This Row],[Memo]]))</f>
        <v>委外</v>
      </c>
      <c r="P607" t="s">
        <v>186</v>
      </c>
      <c r="Q607" t="s">
        <v>287</v>
      </c>
      <c r="R607" t="str">
        <f>IFERROR(VLOOKUP(record[[#This Row],[PCUSTID]],廠商[],2,FALSE),"")</f>
        <v>泉盛</v>
      </c>
      <c r="S607" t="str">
        <f>VLOOKUP(record[[#This Row],[employeeID]],員工[],2,FALSE)</f>
        <v>許文姍</v>
      </c>
    </row>
    <row r="608" spans="6:19" hidden="1" x14ac:dyDescent="0.25">
      <c r="F608" t="s">
        <v>1909</v>
      </c>
      <c r="G608" t="s">
        <v>376</v>
      </c>
      <c r="H608" t="str">
        <f>VLOOKUP(record[[#This Row],[ProcessSN]],表格2_7[],2,FALSE)</f>
        <v>30-4118-018-4XX</v>
      </c>
      <c r="I608" t="str">
        <f>VLOOKUP(record[[#This Row],[ProcessSN]],表格2_7[],3,FALSE)</f>
        <v>#06</v>
      </c>
      <c r="J608" t="s">
        <v>593</v>
      </c>
      <c r="K608" s="195">
        <v>46148.585196759261</v>
      </c>
      <c r="L608">
        <v>11</v>
      </c>
      <c r="M608">
        <v>0</v>
      </c>
      <c r="N608" s="98" t="str">
        <f>IF(record[[#This Row],[Memo]]="Browser:chrome os:android","平板報工",IF(record[[#This Row],[Memo]]=0,"委外",record[[#This Row],[Memo]]))</f>
        <v/>
      </c>
      <c r="O608" t="s">
        <v>58</v>
      </c>
      <c r="P608" t="s">
        <v>1075</v>
      </c>
      <c r="Q608" t="s">
        <v>58</v>
      </c>
      <c r="R608" t="str">
        <f>IFERROR(VLOOKUP(record[[#This Row],[PCUSTID]],廠商[],2,FALSE),"")</f>
        <v/>
      </c>
      <c r="S608" t="str">
        <f>VLOOKUP(record[[#This Row],[employeeID]],員工[],2,FALSE)</f>
        <v>吳宥叡</v>
      </c>
    </row>
    <row r="609" spans="6:19" hidden="1" x14ac:dyDescent="0.25">
      <c r="F609" t="s">
        <v>1977</v>
      </c>
      <c r="G609" t="s">
        <v>421</v>
      </c>
      <c r="H609" t="str">
        <f>VLOOKUP(record[[#This Row],[ProcessSN]],表格2_7[],2,FALSE)</f>
        <v>30-4118-018-600</v>
      </c>
      <c r="I609" t="str">
        <f>VLOOKUP(record[[#This Row],[ProcessSN]],表格2_7[],3,FALSE)</f>
        <v>#08PICK</v>
      </c>
      <c r="J609" t="s">
        <v>582</v>
      </c>
      <c r="K609" s="195">
        <v>46148.585057870368</v>
      </c>
      <c r="L609">
        <v>408</v>
      </c>
      <c r="M609">
        <v>0</v>
      </c>
      <c r="N609" s="98" t="str">
        <f>IF(record[[#This Row],[Memo]]="Browser:chrome os:android","平板報工",IF(record[[#This Row],[Memo]]=0,"委外",record[[#This Row],[Memo]]))</f>
        <v/>
      </c>
      <c r="O609" t="s">
        <v>58</v>
      </c>
      <c r="P609" t="s">
        <v>186</v>
      </c>
      <c r="Q609" t="s">
        <v>58</v>
      </c>
      <c r="R609" t="str">
        <f>IFERROR(VLOOKUP(record[[#This Row],[PCUSTID]],廠商[],2,FALSE),"")</f>
        <v/>
      </c>
      <c r="S609" t="str">
        <f>VLOOKUP(record[[#This Row],[employeeID]],員工[],2,FALSE)</f>
        <v>許文姍</v>
      </c>
    </row>
    <row r="610" spans="6:19" x14ac:dyDescent="0.25">
      <c r="F610" t="s">
        <v>1924</v>
      </c>
      <c r="G610" t="s">
        <v>452</v>
      </c>
      <c r="H610" t="str">
        <f>VLOOKUP(record[[#This Row],[ProcessSN]],表格2_7[],2,FALSE)</f>
        <v>30-4118-018-6XX</v>
      </c>
      <c r="I610" t="str">
        <f>VLOOKUP(record[[#This Row],[ProcessSN]],表格2_7[],3,FALSE)</f>
        <v>#07QC</v>
      </c>
      <c r="J610" t="s">
        <v>589</v>
      </c>
      <c r="K610" s="195">
        <v>46148.577615740738</v>
      </c>
      <c r="L610">
        <v>354</v>
      </c>
      <c r="M610">
        <v>0</v>
      </c>
      <c r="N610" s="98" t="str">
        <f>IF(record[[#This Row],[Memo]]="Browser:chrome os:android","平板報工",IF(record[[#This Row],[Memo]]=0,"委外",record[[#This Row],[Memo]]))</f>
        <v>平板報工</v>
      </c>
      <c r="O610" t="s">
        <v>643</v>
      </c>
      <c r="P610" t="s">
        <v>141</v>
      </c>
      <c r="Q610" t="s">
        <v>644</v>
      </c>
      <c r="R610" t="str">
        <f>IFERROR(VLOOKUP(record[[#This Row],[PCUSTID]],廠商[],2,FALSE),"")</f>
        <v/>
      </c>
      <c r="S610" t="str">
        <f>VLOOKUP(record[[#This Row],[employeeID]],員工[],2,FALSE)</f>
        <v>蔣梅</v>
      </c>
    </row>
    <row r="611" spans="6:19" hidden="1" x14ac:dyDescent="0.25">
      <c r="F611" t="s">
        <v>1859</v>
      </c>
      <c r="G611" t="s">
        <v>452</v>
      </c>
      <c r="H611" t="str">
        <f>VLOOKUP(record[[#This Row],[ProcessSN]],表格2_7[],2,FALSE)</f>
        <v>30-4118-018-6XX</v>
      </c>
      <c r="I611" t="str">
        <f>VLOOKUP(record[[#This Row],[ProcessSN]],表格2_7[],3,FALSE)</f>
        <v>#07QC</v>
      </c>
      <c r="J611" t="s">
        <v>589</v>
      </c>
      <c r="K611" s="195">
        <v>46148.577314814815</v>
      </c>
      <c r="L611">
        <v>54</v>
      </c>
      <c r="M611">
        <v>0</v>
      </c>
      <c r="N611" s="98" t="str">
        <f>IF(record[[#This Row],[Memo]]="Browser:chrome os:android","平板報工",IF(record[[#This Row],[Memo]]=0,"委外",record[[#This Row],[Memo]]))</f>
        <v>平板報工</v>
      </c>
      <c r="O611" t="s">
        <v>643</v>
      </c>
      <c r="P611" t="s">
        <v>141</v>
      </c>
      <c r="Q611" t="s">
        <v>644</v>
      </c>
      <c r="R611" t="str">
        <f>IFERROR(VLOOKUP(record[[#This Row],[PCUSTID]],廠商[],2,FALSE),"")</f>
        <v/>
      </c>
      <c r="S611" t="str">
        <f>VLOOKUP(record[[#This Row],[employeeID]],員工[],2,FALSE)</f>
        <v>蔣梅</v>
      </c>
    </row>
    <row r="612" spans="6:19" hidden="1" x14ac:dyDescent="0.25">
      <c r="F612" t="s">
        <v>1976</v>
      </c>
      <c r="G612" t="s">
        <v>356</v>
      </c>
      <c r="H612" t="str">
        <f>VLOOKUP(record[[#This Row],[ProcessSN]],表格2_7[],2,FALSE)</f>
        <v>30-4118-018-450</v>
      </c>
      <c r="I612" t="str">
        <f>VLOOKUP(record[[#This Row],[ProcessSN]],表格2_7[],3,FALSE)</f>
        <v>#08</v>
      </c>
      <c r="J612" t="s">
        <v>597</v>
      </c>
      <c r="K612" s="195">
        <v>46148.575196759259</v>
      </c>
      <c r="L612">
        <v>78</v>
      </c>
      <c r="M612">
        <v>0</v>
      </c>
      <c r="N612" s="98" t="str">
        <f>IF(record[[#This Row],[Memo]]="Browser:chrome os:android","平板報工",IF(record[[#This Row],[Memo]]=0,"委外",record[[#This Row],[Memo]]))</f>
        <v>委外</v>
      </c>
      <c r="P612" t="s">
        <v>186</v>
      </c>
      <c r="Q612" t="s">
        <v>287</v>
      </c>
      <c r="R612" t="str">
        <f>IFERROR(VLOOKUP(record[[#This Row],[PCUSTID]],廠商[],2,FALSE),"")</f>
        <v>泉盛</v>
      </c>
      <c r="S612" t="str">
        <f>VLOOKUP(record[[#This Row],[employeeID]],員工[],2,FALSE)</f>
        <v>許文姍</v>
      </c>
    </row>
    <row r="613" spans="6:19" hidden="1" x14ac:dyDescent="0.25">
      <c r="F613" t="s">
        <v>1976</v>
      </c>
      <c r="G613" t="s">
        <v>355</v>
      </c>
      <c r="H613" t="str">
        <f>VLOOKUP(record[[#This Row],[ProcessSN]],表格2_7[],2,FALSE)</f>
        <v>30-4118-018-450</v>
      </c>
      <c r="I613" t="str">
        <f>VLOOKUP(record[[#This Row],[ProcessSN]],表格2_7[],3,FALSE)</f>
        <v>#08PICK</v>
      </c>
      <c r="J613" t="s">
        <v>582</v>
      </c>
      <c r="K613" s="195">
        <v>46148.574965277781</v>
      </c>
      <c r="L613">
        <v>78</v>
      </c>
      <c r="M613">
        <v>0</v>
      </c>
      <c r="N613" s="98" t="str">
        <f>IF(record[[#This Row],[Memo]]="Browser:chrome os:android","平板報工",IF(record[[#This Row],[Memo]]=0,"委外",record[[#This Row],[Memo]]))</f>
        <v/>
      </c>
      <c r="O613" t="s">
        <v>58</v>
      </c>
      <c r="P613" t="s">
        <v>186</v>
      </c>
      <c r="Q613" t="s">
        <v>58</v>
      </c>
      <c r="R613" t="str">
        <f>IFERROR(VLOOKUP(record[[#This Row],[PCUSTID]],廠商[],2,FALSE),"")</f>
        <v/>
      </c>
      <c r="S613" t="str">
        <f>VLOOKUP(record[[#This Row],[employeeID]],員工[],2,FALSE)</f>
        <v>許文姍</v>
      </c>
    </row>
    <row r="614" spans="6:19" hidden="1" x14ac:dyDescent="0.25">
      <c r="F614" t="s">
        <v>1857</v>
      </c>
      <c r="G614" t="s">
        <v>469</v>
      </c>
      <c r="H614" t="str">
        <f>VLOOKUP(record[[#This Row],[ProcessSN]],表格2_7[],2,FALSE)</f>
        <v>30-4118-018-XXX</v>
      </c>
      <c r="I614" t="str">
        <f>VLOOKUP(record[[#This Row],[ProcessSN]],表格2_7[],3,FALSE)</f>
        <v>#02RCV</v>
      </c>
      <c r="J614" t="s">
        <v>591</v>
      </c>
      <c r="K614" s="195">
        <v>46148.461354166669</v>
      </c>
      <c r="L614">
        <v>838</v>
      </c>
      <c r="M614">
        <v>0</v>
      </c>
      <c r="N614" s="98" t="str">
        <f>IF(record[[#This Row],[Memo]]="Browser:chrome os:android","平板報工",IF(record[[#This Row],[Memo]]=0,"委外",record[[#This Row],[Memo]]))</f>
        <v/>
      </c>
      <c r="O614" t="s">
        <v>58</v>
      </c>
      <c r="P614" t="s">
        <v>186</v>
      </c>
      <c r="Q614" t="s">
        <v>58</v>
      </c>
      <c r="R614" t="str">
        <f>IFERROR(VLOOKUP(record[[#This Row],[PCUSTID]],廠商[],2,FALSE),"")</f>
        <v/>
      </c>
      <c r="S614" t="str">
        <f>VLOOKUP(record[[#This Row],[employeeID]],員工[],2,FALSE)</f>
        <v>許文姍</v>
      </c>
    </row>
    <row r="615" spans="6:19" hidden="1" x14ac:dyDescent="0.25">
      <c r="F615" t="s">
        <v>1935</v>
      </c>
      <c r="G615" t="s">
        <v>395</v>
      </c>
      <c r="H615" t="str">
        <f>VLOOKUP(record[[#This Row],[ProcessSN]],表格2_7[],2,FALSE)</f>
        <v>30-4118-018-520</v>
      </c>
      <c r="I615" t="str">
        <f>VLOOKUP(record[[#This Row],[ProcessSN]],表格2_7[],3,FALSE)</f>
        <v>#100SHIP</v>
      </c>
      <c r="J615" t="s">
        <v>600</v>
      </c>
      <c r="K615" s="195">
        <v>46148.384456018517</v>
      </c>
      <c r="L615">
        <v>100</v>
      </c>
      <c r="M615">
        <v>0</v>
      </c>
      <c r="N615" s="98" t="str">
        <f>IF(record[[#This Row],[Memo]]="Browser:chrome os:android","平板報工",IF(record[[#This Row],[Memo]]=0,"委外",record[[#This Row],[Memo]]))</f>
        <v/>
      </c>
      <c r="O615" t="s">
        <v>58</v>
      </c>
      <c r="P615" t="s">
        <v>886</v>
      </c>
      <c r="Q615" t="s">
        <v>58</v>
      </c>
      <c r="R615" t="str">
        <f>IFERROR(VLOOKUP(record[[#This Row],[PCUSTID]],廠商[],2,FALSE),"")</f>
        <v/>
      </c>
      <c r="S615" t="str">
        <f>VLOOKUP(record[[#This Row],[employeeID]],員工[],2,FALSE)</f>
        <v>謝蓁薰</v>
      </c>
    </row>
    <row r="616" spans="6:19" hidden="1" x14ac:dyDescent="0.25">
      <c r="F616" t="s">
        <v>1935</v>
      </c>
      <c r="G616" t="s">
        <v>395</v>
      </c>
      <c r="H616" t="str">
        <f>VLOOKUP(record[[#This Row],[ProcessSN]],表格2_7[],2,FALSE)</f>
        <v>30-4118-018-520</v>
      </c>
      <c r="I616" t="str">
        <f>VLOOKUP(record[[#This Row],[ProcessSN]],表格2_7[],3,FALSE)</f>
        <v>#100SHIP</v>
      </c>
      <c r="J616" t="s">
        <v>600</v>
      </c>
      <c r="K616" s="195">
        <v>46148.384120370371</v>
      </c>
      <c r="L616">
        <v>80</v>
      </c>
      <c r="M616">
        <v>0</v>
      </c>
      <c r="N616" s="98" t="str">
        <f>IF(record[[#This Row],[Memo]]="Browser:chrome os:android","平板報工",IF(record[[#This Row],[Memo]]=0,"委外",record[[#This Row],[Memo]]))</f>
        <v/>
      </c>
      <c r="O616" t="s">
        <v>58</v>
      </c>
      <c r="P616" t="s">
        <v>886</v>
      </c>
      <c r="Q616" t="s">
        <v>58</v>
      </c>
      <c r="R616" t="str">
        <f>IFERROR(VLOOKUP(record[[#This Row],[PCUSTID]],廠商[],2,FALSE),"")</f>
        <v/>
      </c>
      <c r="S616" t="str">
        <f>VLOOKUP(record[[#This Row],[employeeID]],員工[],2,FALSE)</f>
        <v>謝蓁薰</v>
      </c>
    </row>
    <row r="617" spans="6:19" hidden="1" x14ac:dyDescent="0.25">
      <c r="F617" t="s">
        <v>1935</v>
      </c>
      <c r="G617" t="s">
        <v>394</v>
      </c>
      <c r="H617" t="str">
        <f>VLOOKUP(record[[#This Row],[ProcessSN]],表格2_7[],2,FALSE)</f>
        <v>30-4118-018-520</v>
      </c>
      <c r="I617" t="str">
        <f>VLOOKUP(record[[#This Row],[ProcessSN]],表格2_7[],3,FALSE)</f>
        <v>#100STOCK</v>
      </c>
      <c r="J617" t="s">
        <v>592</v>
      </c>
      <c r="K617" s="195">
        <v>46148.383993055555</v>
      </c>
      <c r="L617">
        <v>201</v>
      </c>
      <c r="M617">
        <v>0</v>
      </c>
      <c r="N617" s="98" t="str">
        <f>IF(record[[#This Row],[Memo]]="Browser:chrome os:android","平板報工",IF(record[[#This Row],[Memo]]=0,"委外",record[[#This Row],[Memo]]))</f>
        <v/>
      </c>
      <c r="O617" t="s">
        <v>58</v>
      </c>
      <c r="P617" t="s">
        <v>886</v>
      </c>
      <c r="Q617" t="s">
        <v>58</v>
      </c>
      <c r="R617" t="str">
        <f>IFERROR(VLOOKUP(record[[#This Row],[PCUSTID]],廠商[],2,FALSE),"")</f>
        <v/>
      </c>
      <c r="S617" t="str">
        <f>VLOOKUP(record[[#This Row],[employeeID]],員工[],2,FALSE)</f>
        <v>謝蓁薰</v>
      </c>
    </row>
    <row r="618" spans="6:19" hidden="1" x14ac:dyDescent="0.25">
      <c r="F618" t="s">
        <v>1951</v>
      </c>
      <c r="G618" t="s">
        <v>428</v>
      </c>
      <c r="H618" t="str">
        <f>VLOOKUP(record[[#This Row],[ProcessSN]],表格2_7[],2,FALSE)</f>
        <v>30-4118-018-600</v>
      </c>
      <c r="I618" t="str">
        <f>VLOOKUP(record[[#This Row],[ProcessSN]],表格2_7[],3,FALSE)</f>
        <v>#100SHIP</v>
      </c>
      <c r="J618" t="s">
        <v>600</v>
      </c>
      <c r="K618" s="195">
        <v>46148.383761574078</v>
      </c>
      <c r="L618">
        <v>80</v>
      </c>
      <c r="M618">
        <v>0</v>
      </c>
      <c r="N618" s="98" t="str">
        <f>IF(record[[#This Row],[Memo]]="Browser:chrome os:android","平板報工",IF(record[[#This Row],[Memo]]=0,"委外",record[[#This Row],[Memo]]))</f>
        <v/>
      </c>
      <c r="O618" t="s">
        <v>58</v>
      </c>
      <c r="P618" t="s">
        <v>886</v>
      </c>
      <c r="Q618" t="s">
        <v>58</v>
      </c>
      <c r="R618" t="str">
        <f>IFERROR(VLOOKUP(record[[#This Row],[PCUSTID]],廠商[],2,FALSE),"")</f>
        <v/>
      </c>
      <c r="S618" t="str">
        <f>VLOOKUP(record[[#This Row],[employeeID]],員工[],2,FALSE)</f>
        <v>謝蓁薰</v>
      </c>
    </row>
    <row r="619" spans="6:19" hidden="1" x14ac:dyDescent="0.25">
      <c r="F619" t="s">
        <v>1957</v>
      </c>
      <c r="G619" t="s">
        <v>346</v>
      </c>
      <c r="H619" t="str">
        <f>VLOOKUP(record[[#This Row],[ProcessSN]],表格2_7[],2,FALSE)</f>
        <v>30-4118-018-400</v>
      </c>
      <c r="I619" t="str">
        <f>VLOOKUP(record[[#This Row],[ProcessSN]],表格2_7[],3,FALSE)</f>
        <v>#100SHIP</v>
      </c>
      <c r="J619" t="s">
        <v>600</v>
      </c>
      <c r="K619" s="195">
        <v>46148.383506944447</v>
      </c>
      <c r="L619">
        <v>1</v>
      </c>
      <c r="M619">
        <v>0</v>
      </c>
      <c r="N619" s="98" t="str">
        <f>IF(record[[#This Row],[Memo]]="Browser:chrome os:android","平板報工",IF(record[[#This Row],[Memo]]=0,"委外",record[[#This Row],[Memo]]))</f>
        <v/>
      </c>
      <c r="O619" t="s">
        <v>58</v>
      </c>
      <c r="P619" t="s">
        <v>886</v>
      </c>
      <c r="Q619" t="s">
        <v>58</v>
      </c>
      <c r="R619" t="str">
        <f>IFERROR(VLOOKUP(record[[#This Row],[PCUSTID]],廠商[],2,FALSE),"")</f>
        <v/>
      </c>
      <c r="S619" t="str">
        <f>VLOOKUP(record[[#This Row],[employeeID]],員工[],2,FALSE)</f>
        <v>謝蓁薰</v>
      </c>
    </row>
    <row r="620" spans="6:19" hidden="1" x14ac:dyDescent="0.25">
      <c r="F620" t="s">
        <v>1957</v>
      </c>
      <c r="G620" t="s">
        <v>345</v>
      </c>
      <c r="H620" t="str">
        <f>VLOOKUP(record[[#This Row],[ProcessSN]],表格2_7[],2,FALSE)</f>
        <v>30-4118-018-400</v>
      </c>
      <c r="I620" t="str">
        <f>VLOOKUP(record[[#This Row],[ProcessSN]],表格2_7[],3,FALSE)</f>
        <v>#100STOCK</v>
      </c>
      <c r="J620" t="s">
        <v>592</v>
      </c>
      <c r="K620" s="195">
        <v>46148.383252314816</v>
      </c>
      <c r="L620">
        <v>97</v>
      </c>
      <c r="M620">
        <v>0</v>
      </c>
      <c r="N620" s="98" t="str">
        <f>IF(record[[#This Row],[Memo]]="Browser:chrome os:android","平板報工",IF(record[[#This Row],[Memo]]=0,"委外",record[[#This Row],[Memo]]))</f>
        <v/>
      </c>
      <c r="O620" t="s">
        <v>58</v>
      </c>
      <c r="P620" t="s">
        <v>886</v>
      </c>
      <c r="Q620" t="s">
        <v>58</v>
      </c>
      <c r="R620" t="str">
        <f>IFERROR(VLOOKUP(record[[#This Row],[PCUSTID]],廠商[],2,FALSE),"")</f>
        <v/>
      </c>
      <c r="S620" t="str">
        <f>VLOOKUP(record[[#This Row],[employeeID]],員工[],2,FALSE)</f>
        <v>謝蓁薰</v>
      </c>
    </row>
    <row r="621" spans="6:19" hidden="1" x14ac:dyDescent="0.25">
      <c r="F621" t="s">
        <v>1857</v>
      </c>
      <c r="G621" t="s">
        <v>468</v>
      </c>
      <c r="H621" t="str">
        <f>VLOOKUP(record[[#This Row],[ProcessSN]],表格2_7[],2,FALSE)</f>
        <v>30-4118-018-XXX</v>
      </c>
      <c r="I621" t="str">
        <f>VLOOKUP(record[[#This Row],[ProcessSN]],表格2_7[],3,FALSE)</f>
        <v>#02</v>
      </c>
      <c r="J621" t="s">
        <v>590</v>
      </c>
      <c r="K621" s="195">
        <v>46148.374212962961</v>
      </c>
      <c r="L621">
        <v>840</v>
      </c>
      <c r="M621">
        <v>0</v>
      </c>
      <c r="N621" s="98" t="str">
        <f>IF(record[[#This Row],[Memo]]="Browser:chrome os:android","平板報工",IF(record[[#This Row],[Memo]]=0,"委外",record[[#This Row],[Memo]]))</f>
        <v>委外</v>
      </c>
      <c r="P621" t="s">
        <v>186</v>
      </c>
      <c r="Q621" t="s">
        <v>216</v>
      </c>
      <c r="R621" t="str">
        <f>IFERROR(VLOOKUP(record[[#This Row],[PCUSTID]],廠商[],2,FALSE),"")</f>
        <v>俊杰</v>
      </c>
      <c r="S621" t="str">
        <f>VLOOKUP(record[[#This Row],[employeeID]],員工[],2,FALSE)</f>
        <v>許文姍</v>
      </c>
    </row>
    <row r="622" spans="6:19" hidden="1" x14ac:dyDescent="0.25">
      <c r="F622" t="s">
        <v>1857</v>
      </c>
      <c r="G622" t="s">
        <v>467</v>
      </c>
      <c r="H622" t="str">
        <f>VLOOKUP(record[[#This Row],[ProcessSN]],表格2_7[],2,FALSE)</f>
        <v>30-4118-018-XXX</v>
      </c>
      <c r="I622" t="str">
        <f>VLOOKUP(record[[#This Row],[ProcessSN]],表格2_7[],3,FALSE)</f>
        <v>#01QC</v>
      </c>
      <c r="J622" t="s">
        <v>589</v>
      </c>
      <c r="K622" s="195">
        <v>46148.352754629632</v>
      </c>
      <c r="L622">
        <v>840</v>
      </c>
      <c r="M622">
        <v>0</v>
      </c>
      <c r="N622" s="98" t="str">
        <f>IF(record[[#This Row],[Memo]]="Browser:chrome os:android","平板報工",IF(record[[#This Row],[Memo]]=0,"委外",record[[#This Row],[Memo]]))</f>
        <v>平板報工</v>
      </c>
      <c r="O622" t="s">
        <v>643</v>
      </c>
      <c r="P622" t="s">
        <v>182</v>
      </c>
      <c r="Q622" t="s">
        <v>644</v>
      </c>
      <c r="R622" t="str">
        <f>IFERROR(VLOOKUP(record[[#This Row],[PCUSTID]],廠商[],2,FALSE),"")</f>
        <v/>
      </c>
      <c r="S622" t="str">
        <f>VLOOKUP(record[[#This Row],[employeeID]],員工[],2,FALSE)</f>
        <v>梅氏和</v>
      </c>
    </row>
    <row r="623" spans="6:19" hidden="1" x14ac:dyDescent="0.25">
      <c r="F623" t="s">
        <v>1958</v>
      </c>
      <c r="G623" t="s">
        <v>327</v>
      </c>
      <c r="H623" t="str">
        <f>VLOOKUP(record[[#This Row],[ProcessSN]],表格2_7[],2,FALSE)</f>
        <v>30-4118-018-370</v>
      </c>
      <c r="I623" t="str">
        <f>VLOOKUP(record[[#This Row],[ProcessSN]],表格2_7[],3,FALSE)</f>
        <v>#100OQC</v>
      </c>
      <c r="J623" t="s">
        <v>599</v>
      </c>
      <c r="K623" s="195">
        <v>46148.347638888888</v>
      </c>
      <c r="L623">
        <v>141</v>
      </c>
      <c r="M623">
        <v>0</v>
      </c>
      <c r="N623" s="98" t="str">
        <f>IF(record[[#This Row],[Memo]]="Browser:chrome os:android","平板報工",IF(record[[#This Row],[Memo]]=0,"委外",record[[#This Row],[Memo]]))</f>
        <v/>
      </c>
      <c r="O623" t="s">
        <v>58</v>
      </c>
      <c r="P623" t="s">
        <v>121</v>
      </c>
      <c r="Q623" t="s">
        <v>58</v>
      </c>
      <c r="R623" t="str">
        <f>IFERROR(VLOOKUP(record[[#This Row],[PCUSTID]],廠商[],2,FALSE),"")</f>
        <v/>
      </c>
      <c r="S623" t="str">
        <f>VLOOKUP(record[[#This Row],[employeeID]],員工[],2,FALSE)</f>
        <v>謝素卿</v>
      </c>
    </row>
    <row r="624" spans="6:19" hidden="1" x14ac:dyDescent="0.25">
      <c r="F624" t="s">
        <v>1944</v>
      </c>
      <c r="G624" t="s">
        <v>415</v>
      </c>
      <c r="H624" t="str">
        <f>VLOOKUP(record[[#This Row],[ProcessSN]],表格2_7[],2,FALSE)</f>
        <v>30-4118-018-5XX</v>
      </c>
      <c r="I624" t="str">
        <f>VLOOKUP(record[[#This Row],[ProcessSN]],表格2_7[],3,FALSE)</f>
        <v>#04</v>
      </c>
      <c r="J624" t="s">
        <v>588</v>
      </c>
      <c r="K624" s="195">
        <v>46148.321562500001</v>
      </c>
      <c r="L624">
        <v>116</v>
      </c>
      <c r="M624">
        <v>0</v>
      </c>
      <c r="N624" s="98" t="str">
        <f>IF(record[[#This Row],[Memo]]="Browser:chrome os:android","平板報工",IF(record[[#This Row],[Memo]]=0,"委外",record[[#This Row],[Memo]]))</f>
        <v/>
      </c>
      <c r="O624" t="s">
        <v>58</v>
      </c>
      <c r="P624" t="s">
        <v>841</v>
      </c>
      <c r="Q624" t="s">
        <v>58</v>
      </c>
      <c r="R624" t="str">
        <f>IFERROR(VLOOKUP(record[[#This Row],[PCUSTID]],廠商[],2,FALSE),"")</f>
        <v/>
      </c>
      <c r="S624" t="str">
        <f>VLOOKUP(record[[#This Row],[employeeID]],員工[],2,FALSE)</f>
        <v>范氏香</v>
      </c>
    </row>
    <row r="625" spans="6:19" x14ac:dyDescent="0.25">
      <c r="F625" t="s">
        <v>1924</v>
      </c>
      <c r="G625" t="s">
        <v>451</v>
      </c>
      <c r="H625" t="str">
        <f>VLOOKUP(record[[#This Row],[ProcessSN]],表格2_7[],2,FALSE)</f>
        <v>30-4118-018-6XX</v>
      </c>
      <c r="I625" t="str">
        <f>VLOOKUP(record[[#This Row],[ProcessSN]],表格2_7[],3,FALSE)</f>
        <v>#07</v>
      </c>
      <c r="J625" t="s">
        <v>588</v>
      </c>
      <c r="K625" s="195">
        <v>46148.320706018516</v>
      </c>
      <c r="L625">
        <v>0</v>
      </c>
      <c r="M625">
        <v>2</v>
      </c>
      <c r="N625" s="98" t="str">
        <f>IF(record[[#This Row],[Memo]]="Browser:chrome os:android","平板報工",IF(record[[#This Row],[Memo]]=0,"委外",record[[#This Row],[Memo]]))</f>
        <v/>
      </c>
      <c r="O625" t="s">
        <v>58</v>
      </c>
      <c r="P625" t="s">
        <v>135</v>
      </c>
      <c r="Q625" t="s">
        <v>58</v>
      </c>
      <c r="R625" t="str">
        <f>IFERROR(VLOOKUP(record[[#This Row],[PCUSTID]],廠商[],2,FALSE),"")</f>
        <v/>
      </c>
      <c r="S625" t="str">
        <f>VLOOKUP(record[[#This Row],[employeeID]],員工[],2,FALSE)</f>
        <v>阮士文</v>
      </c>
    </row>
    <row r="626" spans="6:19" hidden="1" x14ac:dyDescent="0.25">
      <c r="F626" t="s">
        <v>1944</v>
      </c>
      <c r="G626" t="s">
        <v>415</v>
      </c>
      <c r="H626" t="str">
        <f>VLOOKUP(record[[#This Row],[ProcessSN]],表格2_7[],2,FALSE)</f>
        <v>30-4118-018-5XX</v>
      </c>
      <c r="I626" t="str">
        <f>VLOOKUP(record[[#This Row],[ProcessSN]],表格2_7[],3,FALSE)</f>
        <v>#04</v>
      </c>
      <c r="J626" t="s">
        <v>588</v>
      </c>
      <c r="K626" s="195">
        <v>46148.319155092591</v>
      </c>
      <c r="L626">
        <v>0</v>
      </c>
      <c r="M626">
        <v>14</v>
      </c>
      <c r="N626" s="98" t="str">
        <f>IF(record[[#This Row],[Memo]]="Browser:chrome os:android","平板報工",IF(record[[#This Row],[Memo]]=0,"委外",record[[#This Row],[Memo]]))</f>
        <v/>
      </c>
      <c r="O626" t="s">
        <v>58</v>
      </c>
      <c r="P626" t="s">
        <v>841</v>
      </c>
      <c r="Q626" t="s">
        <v>58</v>
      </c>
      <c r="R626" t="str">
        <f>IFERROR(VLOOKUP(record[[#This Row],[PCUSTID]],廠商[],2,FALSE),"")</f>
        <v/>
      </c>
      <c r="S626" t="str">
        <f>VLOOKUP(record[[#This Row],[employeeID]],員工[],2,FALSE)</f>
        <v>范氏香</v>
      </c>
    </row>
    <row r="627" spans="6:19" hidden="1" x14ac:dyDescent="0.25">
      <c r="F627" t="s">
        <v>1944</v>
      </c>
      <c r="G627" t="s">
        <v>415</v>
      </c>
      <c r="H627" t="str">
        <f>VLOOKUP(record[[#This Row],[ProcessSN]],表格2_7[],2,FALSE)</f>
        <v>30-4118-018-5XX</v>
      </c>
      <c r="I627" t="str">
        <f>VLOOKUP(record[[#This Row],[ProcessSN]],表格2_7[],3,FALSE)</f>
        <v>#04</v>
      </c>
      <c r="J627" t="s">
        <v>588</v>
      </c>
      <c r="K627" s="195">
        <v>46148.30746527778</v>
      </c>
      <c r="L627">
        <v>133</v>
      </c>
      <c r="M627">
        <v>0</v>
      </c>
      <c r="N627" s="98" t="str">
        <f>IF(record[[#This Row],[Memo]]="Browser:chrome os:android","平板報工",IF(record[[#This Row],[Memo]]=0,"委外",record[[#This Row],[Memo]]))</f>
        <v>平板報工</v>
      </c>
      <c r="O627" t="s">
        <v>643</v>
      </c>
      <c r="P627" t="s">
        <v>841</v>
      </c>
      <c r="Q627" t="s">
        <v>644</v>
      </c>
      <c r="R627" t="str">
        <f>IFERROR(VLOOKUP(record[[#This Row],[PCUSTID]],廠商[],2,FALSE),"")</f>
        <v/>
      </c>
      <c r="S627" t="str">
        <f>VLOOKUP(record[[#This Row],[employeeID]],員工[],2,FALSE)</f>
        <v>范氏香</v>
      </c>
    </row>
    <row r="628" spans="6:19" x14ac:dyDescent="0.25">
      <c r="F628" t="s">
        <v>1924</v>
      </c>
      <c r="G628" t="s">
        <v>449</v>
      </c>
      <c r="H628" t="str">
        <f>VLOOKUP(record[[#This Row],[ProcessSN]],表格2_7[],2,FALSE)</f>
        <v>30-4118-018-6XX</v>
      </c>
      <c r="I628" t="str">
        <f>VLOOKUP(record[[#This Row],[ProcessSN]],表格2_7[],3,FALSE)</f>
        <v>#05</v>
      </c>
      <c r="J628" t="s">
        <v>588</v>
      </c>
      <c r="K628" s="195">
        <v>46148.306944444441</v>
      </c>
      <c r="L628">
        <v>259</v>
      </c>
      <c r="M628">
        <v>0</v>
      </c>
      <c r="N628" s="98" t="str">
        <f>IF(record[[#This Row],[Memo]]="Browser:chrome os:android","平板報工",IF(record[[#This Row],[Memo]]=0,"委外",record[[#This Row],[Memo]]))</f>
        <v>平板報工</v>
      </c>
      <c r="O628" t="s">
        <v>643</v>
      </c>
      <c r="P628" t="s">
        <v>841</v>
      </c>
      <c r="Q628" t="s">
        <v>644</v>
      </c>
      <c r="R628" t="str">
        <f>IFERROR(VLOOKUP(record[[#This Row],[PCUSTID]],廠商[],2,FALSE),"")</f>
        <v/>
      </c>
      <c r="S628" t="str">
        <f>VLOOKUP(record[[#This Row],[employeeID]],員工[],2,FALSE)</f>
        <v>范氏香</v>
      </c>
    </row>
    <row r="629" spans="6:19" x14ac:dyDescent="0.25">
      <c r="F629" t="s">
        <v>1924</v>
      </c>
      <c r="G629" t="s">
        <v>448</v>
      </c>
      <c r="H629" t="str">
        <f>VLOOKUP(record[[#This Row],[ProcessSN]],表格2_7[],2,FALSE)</f>
        <v>30-4118-018-6XX</v>
      </c>
      <c r="I629" t="str">
        <f>VLOOKUP(record[[#This Row],[ProcessSN]],表格2_7[],3,FALSE)</f>
        <v>#04</v>
      </c>
      <c r="J629" t="s">
        <v>588</v>
      </c>
      <c r="K629" s="195">
        <v>46148.306747685187</v>
      </c>
      <c r="L629">
        <v>110</v>
      </c>
      <c r="M629">
        <v>0</v>
      </c>
      <c r="N629" s="98" t="str">
        <f>IF(record[[#This Row],[Memo]]="Browser:chrome os:android","平板報工",IF(record[[#This Row],[Memo]]=0,"委外",record[[#This Row],[Memo]]))</f>
        <v>平板報工</v>
      </c>
      <c r="O629" t="s">
        <v>643</v>
      </c>
      <c r="P629" t="s">
        <v>841</v>
      </c>
      <c r="Q629" t="s">
        <v>644</v>
      </c>
      <c r="R629" t="str">
        <f>IFERROR(VLOOKUP(record[[#This Row],[PCUSTID]],廠商[],2,FALSE),"")</f>
        <v/>
      </c>
      <c r="S629" t="str">
        <f>VLOOKUP(record[[#This Row],[employeeID]],員工[],2,FALSE)</f>
        <v>范氏香</v>
      </c>
    </row>
    <row r="630" spans="6:19" x14ac:dyDescent="0.25">
      <c r="F630" t="s">
        <v>1924</v>
      </c>
      <c r="G630" t="s">
        <v>451</v>
      </c>
      <c r="H630" t="str">
        <f>VLOOKUP(record[[#This Row],[ProcessSN]],表格2_7[],2,FALSE)</f>
        <v>30-4118-018-6XX</v>
      </c>
      <c r="I630" t="str">
        <f>VLOOKUP(record[[#This Row],[ProcessSN]],表格2_7[],3,FALSE)</f>
        <v>#07</v>
      </c>
      <c r="J630" t="s">
        <v>588</v>
      </c>
      <c r="K630" s="195">
        <v>46148.278263888889</v>
      </c>
      <c r="L630">
        <v>227</v>
      </c>
      <c r="M630">
        <v>0</v>
      </c>
      <c r="N630" s="98" t="str">
        <f>IF(record[[#This Row],[Memo]]="Browser:chrome os:android","平板報工",IF(record[[#This Row],[Memo]]=0,"委外",record[[#This Row],[Memo]]))</f>
        <v>平板報工</v>
      </c>
      <c r="O630" t="s">
        <v>643</v>
      </c>
      <c r="P630" t="s">
        <v>843</v>
      </c>
      <c r="Q630" t="s">
        <v>644</v>
      </c>
      <c r="R630" t="str">
        <f>IFERROR(VLOOKUP(record[[#This Row],[PCUSTID]],廠商[],2,FALSE),"")</f>
        <v/>
      </c>
      <c r="S630" t="str">
        <f>VLOOKUP(record[[#This Row],[employeeID]],員工[],2,FALSE)</f>
        <v>張楚承</v>
      </c>
    </row>
    <row r="631" spans="6:19" hidden="1" x14ac:dyDescent="0.25">
      <c r="F631" t="s">
        <v>1857</v>
      </c>
      <c r="G631" t="s">
        <v>466</v>
      </c>
      <c r="H631" t="str">
        <f>VLOOKUP(record[[#This Row],[ProcessSN]],表格2_7[],2,FALSE)</f>
        <v>30-4118-018-XXX</v>
      </c>
      <c r="I631" t="str">
        <f>VLOOKUP(record[[#This Row],[ProcessSN]],表格2_7[],3,FALSE)</f>
        <v>#01-2</v>
      </c>
      <c r="J631" t="s">
        <v>588</v>
      </c>
      <c r="K631" s="195">
        <v>46148.147430555553</v>
      </c>
      <c r="L631">
        <v>270</v>
      </c>
      <c r="M631">
        <v>0</v>
      </c>
      <c r="N631" s="98" t="str">
        <f>IF(record[[#This Row],[Memo]]="Browser:chrome os:android","平板報工",IF(record[[#This Row],[Memo]]=0,"委外",record[[#This Row],[Memo]]))</f>
        <v>平板報工</v>
      </c>
      <c r="O631" t="s">
        <v>643</v>
      </c>
      <c r="P631" t="s">
        <v>1098</v>
      </c>
      <c r="Q631" t="s">
        <v>644</v>
      </c>
      <c r="R631" t="str">
        <f>IFERROR(VLOOKUP(record[[#This Row],[PCUSTID]],廠商[],2,FALSE),"")</f>
        <v/>
      </c>
      <c r="S631" t="str">
        <f>VLOOKUP(record[[#This Row],[employeeID]],員工[],2,FALSE)</f>
        <v>阮氏芳英(英)</v>
      </c>
    </row>
    <row r="632" spans="6:19" x14ac:dyDescent="0.25">
      <c r="F632" t="s">
        <v>1924</v>
      </c>
      <c r="G632" t="s">
        <v>450</v>
      </c>
      <c r="H632" t="str">
        <f>VLOOKUP(record[[#This Row],[ProcessSN]],表格2_7[],2,FALSE)</f>
        <v>30-4118-018-6XX</v>
      </c>
      <c r="I632" t="str">
        <f>VLOOKUP(record[[#This Row],[ProcessSN]],表格2_7[],3,FALSE)</f>
        <v>#06</v>
      </c>
      <c r="J632" t="s">
        <v>593</v>
      </c>
      <c r="K632" s="195">
        <v>46147.990451388891</v>
      </c>
      <c r="L632">
        <v>134</v>
      </c>
      <c r="M632">
        <v>0</v>
      </c>
      <c r="N632" s="98" t="str">
        <f>IF(record[[#This Row],[Memo]]="Browser:chrome os:android","平板報工",IF(record[[#This Row],[Memo]]=0,"委外",record[[#This Row],[Memo]]))</f>
        <v>平板報工</v>
      </c>
      <c r="O632" t="s">
        <v>643</v>
      </c>
      <c r="P632" t="s">
        <v>841</v>
      </c>
      <c r="Q632" t="s">
        <v>644</v>
      </c>
      <c r="R632" t="str">
        <f>IFERROR(VLOOKUP(record[[#This Row],[PCUSTID]],廠商[],2,FALSE),"")</f>
        <v/>
      </c>
      <c r="S632" t="str">
        <f>VLOOKUP(record[[#This Row],[employeeID]],員工[],2,FALSE)</f>
        <v>范氏香</v>
      </c>
    </row>
    <row r="633" spans="6:19" x14ac:dyDescent="0.25">
      <c r="F633" t="s">
        <v>1924</v>
      </c>
      <c r="G633" t="s">
        <v>450</v>
      </c>
      <c r="H633" t="str">
        <f>VLOOKUP(record[[#This Row],[ProcessSN]],表格2_7[],2,FALSE)</f>
        <v>30-4118-018-6XX</v>
      </c>
      <c r="I633" t="str">
        <f>VLOOKUP(record[[#This Row],[ProcessSN]],表格2_7[],3,FALSE)</f>
        <v>#06</v>
      </c>
      <c r="J633" t="s">
        <v>593</v>
      </c>
      <c r="K633" s="195">
        <v>46147.988275462965</v>
      </c>
      <c r="L633">
        <v>62</v>
      </c>
      <c r="M633">
        <v>0</v>
      </c>
      <c r="N633" s="98" t="str">
        <f>IF(record[[#This Row],[Memo]]="Browser:chrome os:android","平板報工",IF(record[[#This Row],[Memo]]=0,"委外",record[[#This Row],[Memo]]))</f>
        <v>補報阿芳加班少報5/5</v>
      </c>
      <c r="O633" t="s">
        <v>1974</v>
      </c>
      <c r="P633" t="s">
        <v>127</v>
      </c>
      <c r="Q633" t="s">
        <v>58</v>
      </c>
      <c r="R633" t="str">
        <f>IFERROR(VLOOKUP(record[[#This Row],[PCUSTID]],廠商[],2,FALSE),"")</f>
        <v/>
      </c>
      <c r="S633" t="str">
        <f>VLOOKUP(record[[#This Row],[employeeID]],員工[],2,FALSE)</f>
        <v>潘雪梅</v>
      </c>
    </row>
    <row r="634" spans="6:19" x14ac:dyDescent="0.25">
      <c r="F634" t="s">
        <v>1924</v>
      </c>
      <c r="G634" t="s">
        <v>448</v>
      </c>
      <c r="H634" t="str">
        <f>VLOOKUP(record[[#This Row],[ProcessSN]],表格2_7[],2,FALSE)</f>
        <v>30-4118-018-6XX</v>
      </c>
      <c r="I634" t="str">
        <f>VLOOKUP(record[[#This Row],[ProcessSN]],表格2_7[],3,FALSE)</f>
        <v>#04</v>
      </c>
      <c r="J634" t="s">
        <v>588</v>
      </c>
      <c r="K634" s="195">
        <v>46147.97693287037</v>
      </c>
      <c r="L634">
        <v>108</v>
      </c>
      <c r="M634">
        <v>0</v>
      </c>
      <c r="N634" s="98" t="str">
        <f>IF(record[[#This Row],[Memo]]="Browser:chrome os:android","平板報工",IF(record[[#This Row],[Memo]]=0,"委外",record[[#This Row],[Memo]]))</f>
        <v>平板報工</v>
      </c>
      <c r="O634" t="s">
        <v>643</v>
      </c>
      <c r="P634" t="s">
        <v>89</v>
      </c>
      <c r="Q634" t="s">
        <v>644</v>
      </c>
      <c r="R634" t="str">
        <f>IFERROR(VLOOKUP(record[[#This Row],[PCUSTID]],廠商[],2,FALSE),"")</f>
        <v/>
      </c>
      <c r="S634" t="str">
        <f>VLOOKUP(record[[#This Row],[employeeID]],員工[],2,FALSE)</f>
        <v>李美蓮</v>
      </c>
    </row>
    <row r="635" spans="6:19" hidden="1" x14ac:dyDescent="0.25">
      <c r="F635" t="s">
        <v>1944</v>
      </c>
      <c r="G635" t="s">
        <v>415</v>
      </c>
      <c r="H635" t="str">
        <f>VLOOKUP(record[[#This Row],[ProcessSN]],表格2_7[],2,FALSE)</f>
        <v>30-4118-018-5XX</v>
      </c>
      <c r="I635" t="str">
        <f>VLOOKUP(record[[#This Row],[ProcessSN]],表格2_7[],3,FALSE)</f>
        <v>#04</v>
      </c>
      <c r="J635" t="s">
        <v>588</v>
      </c>
      <c r="K635" s="195">
        <v>46147.976597222223</v>
      </c>
      <c r="L635">
        <v>0</v>
      </c>
      <c r="M635">
        <v>15</v>
      </c>
      <c r="N635" s="98" t="str">
        <f>IF(record[[#This Row],[Memo]]="Browser:chrome os:android","平板報工",IF(record[[#This Row],[Memo]]=0,"委外",record[[#This Row],[Memo]]))</f>
        <v>平板報工</v>
      </c>
      <c r="O635" t="s">
        <v>643</v>
      </c>
      <c r="P635" t="s">
        <v>89</v>
      </c>
      <c r="Q635" t="s">
        <v>644</v>
      </c>
      <c r="R635" t="str">
        <f>IFERROR(VLOOKUP(record[[#This Row],[PCUSTID]],廠商[],2,FALSE),"")</f>
        <v/>
      </c>
      <c r="S635" t="str">
        <f>VLOOKUP(record[[#This Row],[employeeID]],員工[],2,FALSE)</f>
        <v>李美蓮</v>
      </c>
    </row>
    <row r="636" spans="6:19" hidden="1" x14ac:dyDescent="0.25">
      <c r="F636" t="s">
        <v>1944</v>
      </c>
      <c r="G636" t="s">
        <v>415</v>
      </c>
      <c r="H636" t="str">
        <f>VLOOKUP(record[[#This Row],[ProcessSN]],表格2_7[],2,FALSE)</f>
        <v>30-4118-018-5XX</v>
      </c>
      <c r="I636" t="str">
        <f>VLOOKUP(record[[#This Row],[ProcessSN]],表格2_7[],3,FALSE)</f>
        <v>#04</v>
      </c>
      <c r="J636" t="s">
        <v>588</v>
      </c>
      <c r="K636" s="195">
        <v>46147.975706018522</v>
      </c>
      <c r="L636">
        <v>50</v>
      </c>
      <c r="M636">
        <v>0</v>
      </c>
      <c r="N636" s="98" t="str">
        <f>IF(record[[#This Row],[Memo]]="Browser:chrome os:android","平板報工",IF(record[[#This Row],[Memo]]=0,"委外",record[[#This Row],[Memo]]))</f>
        <v>平板報工</v>
      </c>
      <c r="O636" t="s">
        <v>643</v>
      </c>
      <c r="P636" t="s">
        <v>89</v>
      </c>
      <c r="Q636" t="s">
        <v>644</v>
      </c>
      <c r="R636" t="str">
        <f>IFERROR(VLOOKUP(record[[#This Row],[PCUSTID]],廠商[],2,FALSE),"")</f>
        <v/>
      </c>
      <c r="S636" t="str">
        <f>VLOOKUP(record[[#This Row],[employeeID]],員工[],2,FALSE)</f>
        <v>李美蓮</v>
      </c>
    </row>
    <row r="637" spans="6:19" hidden="1" x14ac:dyDescent="0.25">
      <c r="F637" t="s">
        <v>1944</v>
      </c>
      <c r="G637" t="s">
        <v>415</v>
      </c>
      <c r="H637" t="str">
        <f>VLOOKUP(record[[#This Row],[ProcessSN]],表格2_7[],2,FALSE)</f>
        <v>30-4118-018-5XX</v>
      </c>
      <c r="I637" t="str">
        <f>VLOOKUP(record[[#This Row],[ProcessSN]],表格2_7[],3,FALSE)</f>
        <v>#04</v>
      </c>
      <c r="J637" t="s">
        <v>588</v>
      </c>
      <c r="K637" s="195">
        <v>46147.975370370368</v>
      </c>
      <c r="L637">
        <v>138</v>
      </c>
      <c r="M637">
        <v>0</v>
      </c>
      <c r="N637" s="98" t="str">
        <f>IF(record[[#This Row],[Memo]]="Browser:chrome os:android","平板報工",IF(record[[#This Row],[Memo]]=0,"委外",record[[#This Row],[Memo]]))</f>
        <v>平板報工</v>
      </c>
      <c r="O637" t="s">
        <v>643</v>
      </c>
      <c r="P637" t="s">
        <v>89</v>
      </c>
      <c r="Q637" t="s">
        <v>644</v>
      </c>
      <c r="R637" t="str">
        <f>IFERROR(VLOOKUP(record[[#This Row],[PCUSTID]],廠商[],2,FALSE),"")</f>
        <v/>
      </c>
      <c r="S637" t="str">
        <f>VLOOKUP(record[[#This Row],[employeeID]],員工[],2,FALSE)</f>
        <v>李美蓮</v>
      </c>
    </row>
    <row r="638" spans="6:19" hidden="1" x14ac:dyDescent="0.25">
      <c r="F638" t="s">
        <v>1857</v>
      </c>
      <c r="G638" t="s">
        <v>466</v>
      </c>
      <c r="H638" t="str">
        <f>VLOOKUP(record[[#This Row],[ProcessSN]],表格2_7[],2,FALSE)</f>
        <v>30-4118-018-XXX</v>
      </c>
      <c r="I638" t="str">
        <f>VLOOKUP(record[[#This Row],[ProcessSN]],表格2_7[],3,FALSE)</f>
        <v>#01-2</v>
      </c>
      <c r="J638" t="s">
        <v>588</v>
      </c>
      <c r="K638" s="195">
        <v>46147.967557870368</v>
      </c>
      <c r="L638">
        <v>416</v>
      </c>
      <c r="M638">
        <v>0</v>
      </c>
      <c r="N638" s="98" t="str">
        <f>IF(record[[#This Row],[Memo]]="Browser:chrome os:android","平板報工",IF(record[[#This Row],[Memo]]=0,"委外",record[[#This Row],[Memo]]))</f>
        <v>平板報工</v>
      </c>
      <c r="O638" t="s">
        <v>643</v>
      </c>
      <c r="P638" t="s">
        <v>1098</v>
      </c>
      <c r="Q638" t="s">
        <v>644</v>
      </c>
      <c r="R638" t="str">
        <f>IFERROR(VLOOKUP(record[[#This Row],[PCUSTID]],廠商[],2,FALSE),"")</f>
        <v/>
      </c>
      <c r="S638" t="str">
        <f>VLOOKUP(record[[#This Row],[employeeID]],員工[],2,FALSE)</f>
        <v>阮氏芳英(英)</v>
      </c>
    </row>
    <row r="639" spans="6:19" x14ac:dyDescent="0.25">
      <c r="F639" t="s">
        <v>1924</v>
      </c>
      <c r="G639" t="s">
        <v>449</v>
      </c>
      <c r="H639" t="str">
        <f>VLOOKUP(record[[#This Row],[ProcessSN]],表格2_7[],2,FALSE)</f>
        <v>30-4118-018-6XX</v>
      </c>
      <c r="I639" t="str">
        <f>VLOOKUP(record[[#This Row],[ProcessSN]],表格2_7[],3,FALSE)</f>
        <v>#05</v>
      </c>
      <c r="J639" t="s">
        <v>588</v>
      </c>
      <c r="K639" s="195">
        <v>46147.967094907406</v>
      </c>
      <c r="L639">
        <v>231</v>
      </c>
      <c r="M639">
        <v>0</v>
      </c>
      <c r="N639" s="98" t="str">
        <f>IF(record[[#This Row],[Memo]]="Browser:chrome os:android","平板報工",IF(record[[#This Row],[Memo]]=0,"委外",record[[#This Row],[Memo]]))</f>
        <v>平板報工</v>
      </c>
      <c r="O639" t="s">
        <v>643</v>
      </c>
      <c r="P639" t="s">
        <v>1098</v>
      </c>
      <c r="Q639" t="s">
        <v>644</v>
      </c>
      <c r="R639" t="str">
        <f>IFERROR(VLOOKUP(record[[#This Row],[PCUSTID]],廠商[],2,FALSE),"")</f>
        <v/>
      </c>
      <c r="S639" t="str">
        <f>VLOOKUP(record[[#This Row],[employeeID]],員工[],2,FALSE)</f>
        <v>阮氏芳英(英)</v>
      </c>
    </row>
    <row r="640" spans="6:19" x14ac:dyDescent="0.25">
      <c r="F640" t="s">
        <v>1924</v>
      </c>
      <c r="G640" t="s">
        <v>451</v>
      </c>
      <c r="H640" t="str">
        <f>VLOOKUP(record[[#This Row],[ProcessSN]],表格2_7[],2,FALSE)</f>
        <v>30-4118-018-6XX</v>
      </c>
      <c r="I640" t="str">
        <f>VLOOKUP(record[[#This Row],[ProcessSN]],表格2_7[],3,FALSE)</f>
        <v>#07</v>
      </c>
      <c r="J640" t="s">
        <v>588</v>
      </c>
      <c r="K640" s="195">
        <v>46147.96671296296</v>
      </c>
      <c r="L640">
        <v>230</v>
      </c>
      <c r="M640">
        <v>1</v>
      </c>
      <c r="N640" s="98" t="str">
        <f>IF(record[[#This Row],[Memo]]="Browser:chrome os:android","平板報工",IF(record[[#This Row],[Memo]]=0,"委外",record[[#This Row],[Memo]]))</f>
        <v>平板報工</v>
      </c>
      <c r="O640" t="s">
        <v>643</v>
      </c>
      <c r="P640" t="s">
        <v>1098</v>
      </c>
      <c r="Q640" t="s">
        <v>644</v>
      </c>
      <c r="R640" t="str">
        <f>IFERROR(VLOOKUP(record[[#This Row],[PCUSTID]],廠商[],2,FALSE),"")</f>
        <v/>
      </c>
      <c r="S640" t="str">
        <f>VLOOKUP(record[[#This Row],[employeeID]],員工[],2,FALSE)</f>
        <v>阮氏芳英(英)</v>
      </c>
    </row>
    <row r="641" spans="6:19" hidden="1" x14ac:dyDescent="0.25">
      <c r="F641" t="s">
        <v>1957</v>
      </c>
      <c r="G641" t="s">
        <v>344</v>
      </c>
      <c r="H641" t="str">
        <f>VLOOKUP(record[[#This Row],[ProcessSN]],表格2_7[],2,FALSE)</f>
        <v>30-4118-018-400</v>
      </c>
      <c r="I641" t="str">
        <f>VLOOKUP(record[[#This Row],[ProcessSN]],表格2_7[],3,FALSE)</f>
        <v>#100OQC</v>
      </c>
      <c r="J641" t="s">
        <v>599</v>
      </c>
      <c r="K641" s="195">
        <v>46147.816701388889</v>
      </c>
      <c r="L641">
        <v>97</v>
      </c>
      <c r="M641">
        <v>0</v>
      </c>
      <c r="N641" s="98" t="str">
        <f>IF(record[[#This Row],[Memo]]="Browser:chrome os:android","平板報工",IF(record[[#This Row],[Memo]]=0,"委外",record[[#This Row],[Memo]]))</f>
        <v/>
      </c>
      <c r="O641" t="s">
        <v>58</v>
      </c>
      <c r="P641" t="s">
        <v>121</v>
      </c>
      <c r="Q641" t="s">
        <v>58</v>
      </c>
      <c r="R641" t="str">
        <f>IFERROR(VLOOKUP(record[[#This Row],[PCUSTID]],廠商[],2,FALSE),"")</f>
        <v/>
      </c>
      <c r="S641" t="str">
        <f>VLOOKUP(record[[#This Row],[employeeID]],員工[],2,FALSE)</f>
        <v>謝素卿</v>
      </c>
    </row>
    <row r="642" spans="6:19" x14ac:dyDescent="0.25">
      <c r="F642" t="s">
        <v>1924</v>
      </c>
      <c r="G642" t="s">
        <v>450</v>
      </c>
      <c r="H642" t="str">
        <f>VLOOKUP(record[[#This Row],[ProcessSN]],表格2_7[],2,FALSE)</f>
        <v>30-4118-018-6XX</v>
      </c>
      <c r="I642" t="str">
        <f>VLOOKUP(record[[#This Row],[ProcessSN]],表格2_7[],3,FALSE)</f>
        <v>#06</v>
      </c>
      <c r="J642" t="s">
        <v>593</v>
      </c>
      <c r="K642" s="195">
        <v>46147.814710648148</v>
      </c>
      <c r="L642">
        <v>72</v>
      </c>
      <c r="M642">
        <v>0</v>
      </c>
      <c r="N642" s="98" t="str">
        <f>IF(record[[#This Row],[Memo]]="Browser:chrome os:android","平板報工",IF(record[[#This Row],[Memo]]=0,"委外",record[[#This Row],[Memo]]))</f>
        <v>平板報工</v>
      </c>
      <c r="O642" t="s">
        <v>643</v>
      </c>
      <c r="P642" t="s">
        <v>1413</v>
      </c>
      <c r="Q642" t="s">
        <v>644</v>
      </c>
      <c r="R642" t="str">
        <f>IFERROR(VLOOKUP(record[[#This Row],[PCUSTID]],廠商[],2,FALSE),"")</f>
        <v/>
      </c>
      <c r="S642" t="str">
        <f>VLOOKUP(record[[#This Row],[employeeID]],員工[],2,FALSE)</f>
        <v>阮氏芳英(芳)</v>
      </c>
    </row>
    <row r="643" spans="6:19" hidden="1" x14ac:dyDescent="0.25">
      <c r="F643" t="s">
        <v>1957</v>
      </c>
      <c r="G643" t="s">
        <v>343</v>
      </c>
      <c r="H643" t="str">
        <f>VLOOKUP(record[[#This Row],[ProcessSN]],表格2_7[],2,FALSE)</f>
        <v>30-4118-018-400</v>
      </c>
      <c r="I643" t="str">
        <f>VLOOKUP(record[[#This Row],[ProcessSN]],表格2_7[],3,FALSE)</f>
        <v>#100</v>
      </c>
      <c r="J643" t="s">
        <v>598</v>
      </c>
      <c r="K643" s="195">
        <v>46147.805196759262</v>
      </c>
      <c r="L643">
        <v>0</v>
      </c>
      <c r="M643">
        <v>3</v>
      </c>
      <c r="N643" s="98" t="str">
        <f>IF(record[[#This Row],[Memo]]="Browser:chrome os:android","平板報工",IF(record[[#This Row],[Memo]]=0,"委外",record[[#This Row],[Memo]]))</f>
        <v/>
      </c>
      <c r="O643" t="s">
        <v>58</v>
      </c>
      <c r="P643" t="s">
        <v>141</v>
      </c>
      <c r="Q643" t="s">
        <v>58</v>
      </c>
      <c r="R643" t="str">
        <f>IFERROR(VLOOKUP(record[[#This Row],[PCUSTID]],廠商[],2,FALSE),"")</f>
        <v/>
      </c>
      <c r="S643" t="str">
        <f>VLOOKUP(record[[#This Row],[employeeID]],員工[],2,FALSE)</f>
        <v>蔣梅</v>
      </c>
    </row>
    <row r="644" spans="6:19" hidden="1" x14ac:dyDescent="0.25">
      <c r="F644" t="s">
        <v>1957</v>
      </c>
      <c r="G644" t="s">
        <v>343</v>
      </c>
      <c r="H644" t="str">
        <f>VLOOKUP(record[[#This Row],[ProcessSN]],表格2_7[],2,FALSE)</f>
        <v>30-4118-018-400</v>
      </c>
      <c r="I644" t="str">
        <f>VLOOKUP(record[[#This Row],[ProcessSN]],表格2_7[],3,FALSE)</f>
        <v>#100</v>
      </c>
      <c r="J644" t="s">
        <v>598</v>
      </c>
      <c r="K644" s="195">
        <v>46147.805069444446</v>
      </c>
      <c r="L644">
        <v>97</v>
      </c>
      <c r="M644">
        <v>0</v>
      </c>
      <c r="N644" s="98" t="str">
        <f>IF(record[[#This Row],[Memo]]="Browser:chrome os:android","平板報工",IF(record[[#This Row],[Memo]]=0,"委外",record[[#This Row],[Memo]]))</f>
        <v/>
      </c>
      <c r="O644" t="s">
        <v>58</v>
      </c>
      <c r="P644" t="s">
        <v>141</v>
      </c>
      <c r="Q644" t="s">
        <v>58</v>
      </c>
      <c r="R644" t="str">
        <f>IFERROR(VLOOKUP(record[[#This Row],[PCUSTID]],廠商[],2,FALSE),"")</f>
        <v/>
      </c>
      <c r="S644" t="str">
        <f>VLOOKUP(record[[#This Row],[employeeID]],員工[],2,FALSE)</f>
        <v>蔣梅</v>
      </c>
    </row>
    <row r="645" spans="6:19" hidden="1" x14ac:dyDescent="0.25">
      <c r="F645" t="s">
        <v>1958</v>
      </c>
      <c r="G645" t="s">
        <v>329</v>
      </c>
      <c r="H645" t="str">
        <f>VLOOKUP(record[[#This Row],[ProcessSN]],表格2_7[],2,FALSE)</f>
        <v>30-4118-018-370</v>
      </c>
      <c r="I645" t="str">
        <f>VLOOKUP(record[[#This Row],[ProcessSN]],表格2_7[],3,FALSE)</f>
        <v>#100SHIP</v>
      </c>
      <c r="J645" t="s">
        <v>600</v>
      </c>
      <c r="K645" s="195">
        <v>46147.780347222222</v>
      </c>
      <c r="L645">
        <v>120</v>
      </c>
      <c r="M645">
        <v>0</v>
      </c>
      <c r="N645" s="98" t="str">
        <f>IF(record[[#This Row],[Memo]]="Browser:chrome os:android","平板報工",IF(record[[#This Row],[Memo]]=0,"委外",record[[#This Row],[Memo]]))</f>
        <v/>
      </c>
      <c r="O645" t="s">
        <v>58</v>
      </c>
      <c r="P645" t="s">
        <v>886</v>
      </c>
      <c r="Q645" t="s">
        <v>58</v>
      </c>
      <c r="R645" t="str">
        <f>IFERROR(VLOOKUP(record[[#This Row],[PCUSTID]],廠商[],2,FALSE),"")</f>
        <v/>
      </c>
      <c r="S645" t="str">
        <f>VLOOKUP(record[[#This Row],[employeeID]],員工[],2,FALSE)</f>
        <v>謝蓁薰</v>
      </c>
    </row>
    <row r="646" spans="6:19" hidden="1" x14ac:dyDescent="0.25">
      <c r="F646" t="s">
        <v>1958</v>
      </c>
      <c r="G646" t="s">
        <v>328</v>
      </c>
      <c r="H646" t="str">
        <f>VLOOKUP(record[[#This Row],[ProcessSN]],表格2_7[],2,FALSE)</f>
        <v>30-4118-018-370</v>
      </c>
      <c r="I646" t="str">
        <f>VLOOKUP(record[[#This Row],[ProcessSN]],表格2_7[],3,FALSE)</f>
        <v>#100STOCK</v>
      </c>
      <c r="J646" t="s">
        <v>592</v>
      </c>
      <c r="K646" s="195">
        <v>46147.780162037037</v>
      </c>
      <c r="L646">
        <v>120</v>
      </c>
      <c r="M646">
        <v>0</v>
      </c>
      <c r="N646" s="98" t="str">
        <f>IF(record[[#This Row],[Memo]]="Browser:chrome os:android","平板報工",IF(record[[#This Row],[Memo]]=0,"委外",record[[#This Row],[Memo]]))</f>
        <v/>
      </c>
      <c r="O646" t="s">
        <v>58</v>
      </c>
      <c r="P646" t="s">
        <v>886</v>
      </c>
      <c r="Q646" t="s">
        <v>58</v>
      </c>
      <c r="R646" t="str">
        <f>IFERROR(VLOOKUP(record[[#This Row],[PCUSTID]],廠商[],2,FALSE),"")</f>
        <v/>
      </c>
      <c r="S646" t="str">
        <f>VLOOKUP(record[[#This Row],[employeeID]],員工[],2,FALSE)</f>
        <v>謝蓁薰</v>
      </c>
    </row>
    <row r="647" spans="6:19" hidden="1" x14ac:dyDescent="0.25">
      <c r="F647" t="s">
        <v>1958</v>
      </c>
      <c r="G647" t="s">
        <v>326</v>
      </c>
      <c r="H647" t="str">
        <f>VLOOKUP(record[[#This Row],[ProcessSN]],表格2_7[],2,FALSE)</f>
        <v>30-4118-018-370</v>
      </c>
      <c r="I647" t="str">
        <f>VLOOKUP(record[[#This Row],[ProcessSN]],表格2_7[],3,FALSE)</f>
        <v>#100</v>
      </c>
      <c r="J647" t="s">
        <v>598</v>
      </c>
      <c r="K647" s="195">
        <v>46147.768067129633</v>
      </c>
      <c r="L647">
        <v>0</v>
      </c>
      <c r="M647">
        <v>12</v>
      </c>
      <c r="N647" s="98" t="str">
        <f>IF(record[[#This Row],[Memo]]="Browser:chrome os:android","平板報工",IF(record[[#This Row],[Memo]]=0,"委外",record[[#This Row],[Memo]]))</f>
        <v>平板報工</v>
      </c>
      <c r="O647" t="s">
        <v>643</v>
      </c>
      <c r="P647" t="s">
        <v>141</v>
      </c>
      <c r="Q647" t="s">
        <v>644</v>
      </c>
      <c r="R647" t="str">
        <f>IFERROR(VLOOKUP(record[[#This Row],[PCUSTID]],廠商[],2,FALSE),"")</f>
        <v/>
      </c>
      <c r="S647" t="str">
        <f>VLOOKUP(record[[#This Row],[employeeID]],員工[],2,FALSE)</f>
        <v>蔣梅</v>
      </c>
    </row>
    <row r="648" spans="6:19" hidden="1" x14ac:dyDescent="0.25">
      <c r="F648" t="s">
        <v>1958</v>
      </c>
      <c r="G648" t="s">
        <v>326</v>
      </c>
      <c r="H648" t="str">
        <f>VLOOKUP(record[[#This Row],[ProcessSN]],表格2_7[],2,FALSE)</f>
        <v>30-4118-018-370</v>
      </c>
      <c r="I648" t="str">
        <f>VLOOKUP(record[[#This Row],[ProcessSN]],表格2_7[],3,FALSE)</f>
        <v>#100</v>
      </c>
      <c r="J648" t="s">
        <v>598</v>
      </c>
      <c r="K648" s="195">
        <v>46147.767789351848</v>
      </c>
      <c r="L648">
        <v>141</v>
      </c>
      <c r="M648">
        <v>0</v>
      </c>
      <c r="N648" s="98" t="str">
        <f>IF(record[[#This Row],[Memo]]="Browser:chrome os:android","平板報工",IF(record[[#This Row],[Memo]]=0,"委外",record[[#This Row],[Memo]]))</f>
        <v>平板報工</v>
      </c>
      <c r="O648" t="s">
        <v>643</v>
      </c>
      <c r="P648" t="s">
        <v>141</v>
      </c>
      <c r="Q648" t="s">
        <v>644</v>
      </c>
      <c r="R648" t="str">
        <f>IFERROR(VLOOKUP(record[[#This Row],[PCUSTID]],廠商[],2,FALSE),"")</f>
        <v/>
      </c>
      <c r="S648" t="str">
        <f>VLOOKUP(record[[#This Row],[employeeID]],員工[],2,FALSE)</f>
        <v>蔣梅</v>
      </c>
    </row>
    <row r="649" spans="6:19" hidden="1" x14ac:dyDescent="0.25">
      <c r="F649" t="s">
        <v>1958</v>
      </c>
      <c r="G649" t="s">
        <v>327</v>
      </c>
      <c r="H649" t="str">
        <f>VLOOKUP(record[[#This Row],[ProcessSN]],表格2_7[],2,FALSE)</f>
        <v>30-4118-018-370</v>
      </c>
      <c r="I649" t="str">
        <f>VLOOKUP(record[[#This Row],[ProcessSN]],表格2_7[],3,FALSE)</f>
        <v>#100OQC</v>
      </c>
      <c r="J649" t="s">
        <v>599</v>
      </c>
      <c r="K649" s="195">
        <v>46147.765405092592</v>
      </c>
      <c r="L649">
        <v>120</v>
      </c>
      <c r="M649">
        <v>0</v>
      </c>
      <c r="N649" s="98" t="str">
        <f>IF(record[[#This Row],[Memo]]="Browser:chrome os:android","平板報工",IF(record[[#This Row],[Memo]]=0,"委外",record[[#This Row],[Memo]]))</f>
        <v/>
      </c>
      <c r="O649" t="s">
        <v>58</v>
      </c>
      <c r="P649" t="s">
        <v>121</v>
      </c>
      <c r="Q649" t="s">
        <v>58</v>
      </c>
      <c r="R649" t="str">
        <f>IFERROR(VLOOKUP(record[[#This Row],[PCUSTID]],廠商[],2,FALSE),"")</f>
        <v/>
      </c>
      <c r="S649" t="str">
        <f>VLOOKUP(record[[#This Row],[employeeID]],員工[],2,FALSE)</f>
        <v>謝素卿</v>
      </c>
    </row>
    <row r="650" spans="6:19" hidden="1" x14ac:dyDescent="0.25">
      <c r="F650" t="s">
        <v>1941</v>
      </c>
      <c r="G650" t="s">
        <v>385</v>
      </c>
      <c r="H650" t="str">
        <f>VLOOKUP(record[[#This Row],[ProcessSN]],表格2_7[],2,FALSE)</f>
        <v>30-4118-018-500</v>
      </c>
      <c r="I650" t="str">
        <f>VLOOKUP(record[[#This Row],[ProcessSN]],表格2_7[],3,FALSE)</f>
        <v>#100OQC</v>
      </c>
      <c r="J650" t="s">
        <v>599</v>
      </c>
      <c r="K650" s="195">
        <v>46147.765266203707</v>
      </c>
      <c r="L650">
        <v>120</v>
      </c>
      <c r="M650">
        <v>0</v>
      </c>
      <c r="N650" s="98" t="str">
        <f>IF(record[[#This Row],[Memo]]="Browser:chrome os:android","平板報工",IF(record[[#This Row],[Memo]]=0,"委外",record[[#This Row],[Memo]]))</f>
        <v/>
      </c>
      <c r="O650" t="s">
        <v>58</v>
      </c>
      <c r="P650" t="s">
        <v>121</v>
      </c>
      <c r="Q650" t="s">
        <v>58</v>
      </c>
      <c r="R650" t="str">
        <f>IFERROR(VLOOKUP(record[[#This Row],[PCUSTID]],廠商[],2,FALSE),"")</f>
        <v/>
      </c>
      <c r="S650" t="str">
        <f>VLOOKUP(record[[#This Row],[employeeID]],員工[],2,FALSE)</f>
        <v>謝素卿</v>
      </c>
    </row>
    <row r="651" spans="6:19" hidden="1" x14ac:dyDescent="0.25">
      <c r="F651" t="s">
        <v>1935</v>
      </c>
      <c r="G651" t="s">
        <v>393</v>
      </c>
      <c r="H651" t="str">
        <f>VLOOKUP(record[[#This Row],[ProcessSN]],表格2_7[],2,FALSE)</f>
        <v>30-4118-018-520</v>
      </c>
      <c r="I651" t="str">
        <f>VLOOKUP(record[[#This Row],[ProcessSN]],表格2_7[],3,FALSE)</f>
        <v>#100OQC</v>
      </c>
      <c r="J651" t="s">
        <v>599</v>
      </c>
      <c r="K651" s="195">
        <v>46147.765138888892</v>
      </c>
      <c r="L651">
        <v>201</v>
      </c>
      <c r="M651">
        <v>0</v>
      </c>
      <c r="N651" s="98" t="str">
        <f>IF(record[[#This Row],[Memo]]="Browser:chrome os:android","平板報工",IF(record[[#This Row],[Memo]]=0,"委外",record[[#This Row],[Memo]]))</f>
        <v/>
      </c>
      <c r="O651" t="s">
        <v>58</v>
      </c>
      <c r="P651" t="s">
        <v>121</v>
      </c>
      <c r="Q651" t="s">
        <v>58</v>
      </c>
      <c r="R651" t="str">
        <f>IFERROR(VLOOKUP(record[[#This Row],[PCUSTID]],廠商[],2,FALSE),"")</f>
        <v/>
      </c>
      <c r="S651" t="str">
        <f>VLOOKUP(record[[#This Row],[employeeID]],員工[],2,FALSE)</f>
        <v>謝素卿</v>
      </c>
    </row>
    <row r="652" spans="6:19" hidden="1" x14ac:dyDescent="0.25">
      <c r="F652" t="s">
        <v>1952</v>
      </c>
      <c r="G652" t="s">
        <v>399</v>
      </c>
      <c r="H652" t="str">
        <f>VLOOKUP(record[[#This Row],[ProcessSN]],表格2_7[],2,FALSE)</f>
        <v>30-4118-018-550</v>
      </c>
      <c r="I652" t="str">
        <f>VLOOKUP(record[[#This Row],[ProcessSN]],表格2_7[],3,FALSE)</f>
        <v>#08IQC</v>
      </c>
      <c r="J652" t="s">
        <v>583</v>
      </c>
      <c r="K652" s="195">
        <v>46147.728726851848</v>
      </c>
      <c r="L652">
        <v>573</v>
      </c>
      <c r="M652">
        <v>0</v>
      </c>
      <c r="N652" s="98" t="str">
        <f>IF(record[[#This Row],[Memo]]="Browser:chrome os:android","平板報工",IF(record[[#This Row],[Memo]]=0,"委外",record[[#This Row],[Memo]]))</f>
        <v/>
      </c>
      <c r="O652" t="s">
        <v>58</v>
      </c>
      <c r="P652" t="s">
        <v>109</v>
      </c>
      <c r="Q652" t="s">
        <v>58</v>
      </c>
      <c r="R652" t="str">
        <f>IFERROR(VLOOKUP(record[[#This Row],[PCUSTID]],廠商[],2,FALSE),"")</f>
        <v/>
      </c>
      <c r="S652" t="str">
        <f>VLOOKUP(record[[#This Row],[employeeID]],員工[],2,FALSE)</f>
        <v>裴氏璧鳳</v>
      </c>
    </row>
    <row r="653" spans="6:19" hidden="1" x14ac:dyDescent="0.25">
      <c r="F653" t="s">
        <v>1958</v>
      </c>
      <c r="G653" t="s">
        <v>326</v>
      </c>
      <c r="H653" t="str">
        <f>VLOOKUP(record[[#This Row],[ProcessSN]],表格2_7[],2,FALSE)</f>
        <v>30-4118-018-370</v>
      </c>
      <c r="I653" t="str">
        <f>VLOOKUP(record[[#This Row],[ProcessSN]],表格2_7[],3,FALSE)</f>
        <v>#100</v>
      </c>
      <c r="J653" t="s">
        <v>598</v>
      </c>
      <c r="K653" s="195">
        <v>46147.717395833337</v>
      </c>
      <c r="L653">
        <v>120</v>
      </c>
      <c r="M653">
        <v>0</v>
      </c>
      <c r="N653" s="98" t="str">
        <f>IF(record[[#This Row],[Memo]]="Browser:chrome os:android","平板報工",IF(record[[#This Row],[Memo]]=0,"委外",record[[#This Row],[Memo]]))</f>
        <v/>
      </c>
      <c r="O653" t="s">
        <v>58</v>
      </c>
      <c r="P653" t="s">
        <v>141</v>
      </c>
      <c r="Q653" t="s">
        <v>58</v>
      </c>
      <c r="R653" t="str">
        <f>IFERROR(VLOOKUP(record[[#This Row],[PCUSTID]],廠商[],2,FALSE),"")</f>
        <v/>
      </c>
      <c r="S653" t="str">
        <f>VLOOKUP(record[[#This Row],[employeeID]],員工[],2,FALSE)</f>
        <v>蔣梅</v>
      </c>
    </row>
    <row r="654" spans="6:19" hidden="1" x14ac:dyDescent="0.25">
      <c r="F654" t="s">
        <v>1859</v>
      </c>
      <c r="G654" t="s">
        <v>451</v>
      </c>
      <c r="H654" t="str">
        <f>VLOOKUP(record[[#This Row],[ProcessSN]],表格2_7[],2,FALSE)</f>
        <v>30-4118-018-6XX</v>
      </c>
      <c r="I654" t="str">
        <f>VLOOKUP(record[[#This Row],[ProcessSN]],表格2_7[],3,FALSE)</f>
        <v>#07</v>
      </c>
      <c r="J654" t="s">
        <v>588</v>
      </c>
      <c r="K654" s="195">
        <v>46147.706446759257</v>
      </c>
      <c r="L654">
        <v>1</v>
      </c>
      <c r="M654">
        <v>0</v>
      </c>
      <c r="N654" s="98" t="str">
        <f>IF(record[[#This Row],[Memo]]="Browser:chrome os:android","平板報工",IF(record[[#This Row],[Memo]]=0,"委外",record[[#This Row],[Memo]]))</f>
        <v/>
      </c>
      <c r="O654" t="s">
        <v>58</v>
      </c>
      <c r="P654" t="s">
        <v>101</v>
      </c>
      <c r="Q654" t="s">
        <v>58</v>
      </c>
      <c r="R654" t="str">
        <f>IFERROR(VLOOKUP(record[[#This Row],[PCUSTID]],廠商[],2,FALSE),"")</f>
        <v/>
      </c>
      <c r="S654" t="str">
        <f>VLOOKUP(record[[#This Row],[employeeID]],員工[],2,FALSE)</f>
        <v>陳氏絨</v>
      </c>
    </row>
    <row r="655" spans="6:19" hidden="1" x14ac:dyDescent="0.25">
      <c r="F655" t="s">
        <v>1859</v>
      </c>
      <c r="G655" t="s">
        <v>450</v>
      </c>
      <c r="H655" t="str">
        <f>VLOOKUP(record[[#This Row],[ProcessSN]],表格2_7[],2,FALSE)</f>
        <v>30-4118-018-6XX</v>
      </c>
      <c r="I655" t="str">
        <f>VLOOKUP(record[[#This Row],[ProcessSN]],表格2_7[],3,FALSE)</f>
        <v>#06</v>
      </c>
      <c r="J655" t="s">
        <v>593</v>
      </c>
      <c r="K655" s="195">
        <v>46147.706284722219</v>
      </c>
      <c r="L655">
        <v>1</v>
      </c>
      <c r="M655">
        <v>0</v>
      </c>
      <c r="N655" s="98" t="str">
        <f>IF(record[[#This Row],[Memo]]="Browser:chrome os:android","平板報工",IF(record[[#This Row],[Memo]]=0,"委外",record[[#This Row],[Memo]]))</f>
        <v/>
      </c>
      <c r="O655" t="s">
        <v>58</v>
      </c>
      <c r="P655" t="s">
        <v>101</v>
      </c>
      <c r="Q655" t="s">
        <v>58</v>
      </c>
      <c r="R655" t="str">
        <f>IFERROR(VLOOKUP(record[[#This Row],[PCUSTID]],廠商[],2,FALSE),"")</f>
        <v/>
      </c>
      <c r="S655" t="str">
        <f>VLOOKUP(record[[#This Row],[employeeID]],員工[],2,FALSE)</f>
        <v>陳氏絨</v>
      </c>
    </row>
    <row r="656" spans="6:19" hidden="1" x14ac:dyDescent="0.25">
      <c r="F656" t="s">
        <v>1958</v>
      </c>
      <c r="G656" t="s">
        <v>325</v>
      </c>
      <c r="H656" t="str">
        <f>VLOOKUP(record[[#This Row],[ProcessSN]],表格2_7[],2,FALSE)</f>
        <v>30-4118-018-370</v>
      </c>
      <c r="I656" t="str">
        <f>VLOOKUP(record[[#This Row],[ProcessSN]],表格2_7[],3,FALSE)</f>
        <v>#08IQC</v>
      </c>
      <c r="J656" t="s">
        <v>583</v>
      </c>
      <c r="K656" s="195">
        <v>46147.700023148151</v>
      </c>
      <c r="L656">
        <v>273</v>
      </c>
      <c r="M656">
        <v>0</v>
      </c>
      <c r="N656" s="98" t="str">
        <f>IF(record[[#This Row],[Memo]]="Browser:chrome os:android","平板報工",IF(record[[#This Row],[Memo]]=0,"委外",record[[#This Row],[Memo]]))</f>
        <v/>
      </c>
      <c r="O656" t="s">
        <v>58</v>
      </c>
      <c r="P656" t="s">
        <v>109</v>
      </c>
      <c r="Q656" t="s">
        <v>58</v>
      </c>
      <c r="R656" t="str">
        <f>IFERROR(VLOOKUP(record[[#This Row],[PCUSTID]],廠商[],2,FALSE),"")</f>
        <v/>
      </c>
      <c r="S656" t="str">
        <f>VLOOKUP(record[[#This Row],[employeeID]],員工[],2,FALSE)</f>
        <v>裴氏璧鳳</v>
      </c>
    </row>
    <row r="657" spans="6:19" hidden="1" x14ac:dyDescent="0.25">
      <c r="F657" t="s">
        <v>1957</v>
      </c>
      <c r="G657" t="s">
        <v>342</v>
      </c>
      <c r="H657" t="str">
        <f>VLOOKUP(record[[#This Row],[ProcessSN]],表格2_7[],2,FALSE)</f>
        <v>30-4118-018-400</v>
      </c>
      <c r="I657" t="str">
        <f>VLOOKUP(record[[#This Row],[ProcessSN]],表格2_7[],3,FALSE)</f>
        <v>#08IQC</v>
      </c>
      <c r="J657" t="s">
        <v>583</v>
      </c>
      <c r="K657" s="195">
        <v>46147.699814814812</v>
      </c>
      <c r="L657">
        <v>100</v>
      </c>
      <c r="M657">
        <v>0</v>
      </c>
      <c r="N657" s="98" t="str">
        <f>IF(record[[#This Row],[Memo]]="Browser:chrome os:android","平板報工",IF(record[[#This Row],[Memo]]=0,"委外",record[[#This Row],[Memo]]))</f>
        <v/>
      </c>
      <c r="O657" t="s">
        <v>58</v>
      </c>
      <c r="P657" t="s">
        <v>109</v>
      </c>
      <c r="Q657" t="s">
        <v>58</v>
      </c>
      <c r="R657" t="str">
        <f>IFERROR(VLOOKUP(record[[#This Row],[PCUSTID]],廠商[],2,FALSE),"")</f>
        <v/>
      </c>
      <c r="S657" t="str">
        <f>VLOOKUP(record[[#This Row],[employeeID]],員工[],2,FALSE)</f>
        <v>裴氏璧鳳</v>
      </c>
    </row>
    <row r="658" spans="6:19" hidden="1" x14ac:dyDescent="0.25">
      <c r="F658" t="s">
        <v>1944</v>
      </c>
      <c r="G658" t="s">
        <v>415</v>
      </c>
      <c r="H658" t="str">
        <f>VLOOKUP(record[[#This Row],[ProcessSN]],表格2_7[],2,FALSE)</f>
        <v>30-4118-018-5XX</v>
      </c>
      <c r="I658" t="str">
        <f>VLOOKUP(record[[#This Row],[ProcessSN]],表格2_7[],3,FALSE)</f>
        <v>#04</v>
      </c>
      <c r="J658" t="s">
        <v>588</v>
      </c>
      <c r="K658" s="195">
        <v>46147.692037037035</v>
      </c>
      <c r="L658">
        <v>0</v>
      </c>
      <c r="M658">
        <v>11</v>
      </c>
      <c r="N658" s="98" t="str">
        <f>IF(record[[#This Row],[Memo]]="Browser:chrome os:android","平板報工",IF(record[[#This Row],[Memo]]=0,"委外",record[[#This Row],[Memo]]))</f>
        <v/>
      </c>
      <c r="O658" t="s">
        <v>58</v>
      </c>
      <c r="P658" t="s">
        <v>101</v>
      </c>
      <c r="Q658" t="s">
        <v>58</v>
      </c>
      <c r="R658" t="str">
        <f>IFERROR(VLOOKUP(record[[#This Row],[PCUSTID]],廠商[],2,FALSE),"")</f>
        <v/>
      </c>
      <c r="S658" t="str">
        <f>VLOOKUP(record[[#This Row],[employeeID]],員工[],2,FALSE)</f>
        <v>陳氏絨</v>
      </c>
    </row>
    <row r="659" spans="6:19" hidden="1" x14ac:dyDescent="0.25">
      <c r="F659" t="s">
        <v>1957</v>
      </c>
      <c r="G659" t="s">
        <v>341</v>
      </c>
      <c r="H659" t="str">
        <f>VLOOKUP(record[[#This Row],[ProcessSN]],表格2_7[],2,FALSE)</f>
        <v>30-4118-018-400</v>
      </c>
      <c r="I659" t="str">
        <f>VLOOKUP(record[[#This Row],[ProcessSN]],表格2_7[],3,FALSE)</f>
        <v>#08RCV</v>
      </c>
      <c r="J659" t="s">
        <v>591</v>
      </c>
      <c r="K659" s="195">
        <v>46147.687534722223</v>
      </c>
      <c r="L659">
        <v>100</v>
      </c>
      <c r="M659">
        <v>0</v>
      </c>
      <c r="N659" s="98" t="str">
        <f>IF(record[[#This Row],[Memo]]="Browser:chrome os:android","平板報工",IF(record[[#This Row],[Memo]]=0,"委外",record[[#This Row],[Memo]]))</f>
        <v/>
      </c>
      <c r="O659" t="s">
        <v>58</v>
      </c>
      <c r="P659" t="s">
        <v>186</v>
      </c>
      <c r="Q659" t="s">
        <v>58</v>
      </c>
      <c r="R659" t="str">
        <f>IFERROR(VLOOKUP(record[[#This Row],[PCUSTID]],廠商[],2,FALSE),"")</f>
        <v/>
      </c>
      <c r="S659" t="str">
        <f>VLOOKUP(record[[#This Row],[employeeID]],員工[],2,FALSE)</f>
        <v>許文姍</v>
      </c>
    </row>
    <row r="660" spans="6:19" hidden="1" x14ac:dyDescent="0.25">
      <c r="F660" t="s">
        <v>1958</v>
      </c>
      <c r="G660" t="s">
        <v>324</v>
      </c>
      <c r="H660" t="str">
        <f>VLOOKUP(record[[#This Row],[ProcessSN]],表格2_7[],2,FALSE)</f>
        <v>30-4118-018-370</v>
      </c>
      <c r="I660" t="str">
        <f>VLOOKUP(record[[#This Row],[ProcessSN]],表格2_7[],3,FALSE)</f>
        <v>#08RCV</v>
      </c>
      <c r="J660" t="s">
        <v>591</v>
      </c>
      <c r="K660" s="195">
        <v>46147.687384259261</v>
      </c>
      <c r="L660">
        <v>273</v>
      </c>
      <c r="M660">
        <v>0</v>
      </c>
      <c r="N660" s="98" t="str">
        <f>IF(record[[#This Row],[Memo]]="Browser:chrome os:android","平板報工",IF(record[[#This Row],[Memo]]=0,"委外",record[[#This Row],[Memo]]))</f>
        <v/>
      </c>
      <c r="O660" t="s">
        <v>58</v>
      </c>
      <c r="P660" t="s">
        <v>186</v>
      </c>
      <c r="Q660" t="s">
        <v>58</v>
      </c>
      <c r="R660" t="str">
        <f>IFERROR(VLOOKUP(record[[#This Row],[PCUSTID]],廠商[],2,FALSE),"")</f>
        <v/>
      </c>
      <c r="S660" t="str">
        <f>VLOOKUP(record[[#This Row],[employeeID]],員工[],2,FALSE)</f>
        <v>許文姍</v>
      </c>
    </row>
    <row r="661" spans="6:19" x14ac:dyDescent="0.25">
      <c r="F661" t="s">
        <v>1924</v>
      </c>
      <c r="G661" t="s">
        <v>450</v>
      </c>
      <c r="H661" t="str">
        <f>VLOOKUP(record[[#This Row],[ProcessSN]],表格2_7[],2,FALSE)</f>
        <v>30-4118-018-6XX</v>
      </c>
      <c r="I661" t="str">
        <f>VLOOKUP(record[[#This Row],[ProcessSN]],表格2_7[],3,FALSE)</f>
        <v>#06</v>
      </c>
      <c r="J661" t="s">
        <v>593</v>
      </c>
      <c r="K661" s="195">
        <v>46147.665173611109</v>
      </c>
      <c r="L661">
        <v>115</v>
      </c>
      <c r="M661">
        <v>1</v>
      </c>
      <c r="N661" s="98" t="str">
        <f>IF(record[[#This Row],[Memo]]="Browser:chrome os:android","平板報工",IF(record[[#This Row],[Memo]]=0,"委外",record[[#This Row],[Memo]]))</f>
        <v>平板報工</v>
      </c>
      <c r="O661" t="s">
        <v>643</v>
      </c>
      <c r="P661" t="s">
        <v>785</v>
      </c>
      <c r="Q661" t="s">
        <v>644</v>
      </c>
      <c r="R661" t="str">
        <f>IFERROR(VLOOKUP(record[[#This Row],[PCUSTID]],廠商[],2,FALSE),"")</f>
        <v/>
      </c>
      <c r="S661" t="str">
        <f>VLOOKUP(record[[#This Row],[employeeID]],員工[],2,FALSE)</f>
        <v>謝刻光</v>
      </c>
    </row>
    <row r="662" spans="6:19" hidden="1" x14ac:dyDescent="0.25">
      <c r="F662" t="s">
        <v>1944</v>
      </c>
      <c r="G662" t="s">
        <v>415</v>
      </c>
      <c r="H662" t="str">
        <f>VLOOKUP(record[[#This Row],[ProcessSN]],表格2_7[],2,FALSE)</f>
        <v>30-4118-018-5XX</v>
      </c>
      <c r="I662" t="str">
        <f>VLOOKUP(record[[#This Row],[ProcessSN]],表格2_7[],3,FALSE)</f>
        <v>#04</v>
      </c>
      <c r="J662" t="s">
        <v>588</v>
      </c>
      <c r="K662" s="195">
        <v>46147.664733796293</v>
      </c>
      <c r="L662">
        <v>186</v>
      </c>
      <c r="M662">
        <v>0</v>
      </c>
      <c r="N662" s="98" t="str">
        <f>IF(record[[#This Row],[Memo]]="Browser:chrome os:android","平板報工",IF(record[[#This Row],[Memo]]=0,"委外",record[[#This Row],[Memo]]))</f>
        <v>平板報工</v>
      </c>
      <c r="O662" t="s">
        <v>643</v>
      </c>
      <c r="P662" t="s">
        <v>785</v>
      </c>
      <c r="Q662" t="s">
        <v>644</v>
      </c>
      <c r="R662" t="str">
        <f>IFERROR(VLOOKUP(record[[#This Row],[PCUSTID]],廠商[],2,FALSE),"")</f>
        <v/>
      </c>
      <c r="S662" t="str">
        <f>VLOOKUP(record[[#This Row],[employeeID]],員工[],2,FALSE)</f>
        <v>謝刻光</v>
      </c>
    </row>
    <row r="663" spans="6:19" x14ac:dyDescent="0.25">
      <c r="F663" t="s">
        <v>1924</v>
      </c>
      <c r="G663" t="s">
        <v>448</v>
      </c>
      <c r="H663" t="str">
        <f>VLOOKUP(record[[#This Row],[ProcessSN]],表格2_7[],2,FALSE)</f>
        <v>30-4118-018-6XX</v>
      </c>
      <c r="I663" t="str">
        <f>VLOOKUP(record[[#This Row],[ProcessSN]],表格2_7[],3,FALSE)</f>
        <v>#04</v>
      </c>
      <c r="J663" t="s">
        <v>588</v>
      </c>
      <c r="K663" s="195">
        <v>46147.664305555554</v>
      </c>
      <c r="L663">
        <v>112</v>
      </c>
      <c r="M663">
        <v>2</v>
      </c>
      <c r="N663" s="98" t="str">
        <f>IF(record[[#This Row],[Memo]]="Browser:chrome os:android","平板報工",IF(record[[#This Row],[Memo]]=0,"委外",record[[#This Row],[Memo]]))</f>
        <v>平板報工</v>
      </c>
      <c r="O663" t="s">
        <v>643</v>
      </c>
      <c r="P663" t="s">
        <v>785</v>
      </c>
      <c r="Q663" t="s">
        <v>644</v>
      </c>
      <c r="R663" t="str">
        <f>IFERROR(VLOOKUP(record[[#This Row],[PCUSTID]],廠商[],2,FALSE),"")</f>
        <v/>
      </c>
      <c r="S663" t="str">
        <f>VLOOKUP(record[[#This Row],[employeeID]],員工[],2,FALSE)</f>
        <v>謝刻光</v>
      </c>
    </row>
    <row r="664" spans="6:19" x14ac:dyDescent="0.25">
      <c r="F664" t="s">
        <v>1924</v>
      </c>
      <c r="G664" t="s">
        <v>450</v>
      </c>
      <c r="H664" t="str">
        <f>VLOOKUP(record[[#This Row],[ProcessSN]],表格2_7[],2,FALSE)</f>
        <v>30-4118-018-6XX</v>
      </c>
      <c r="I664" t="str">
        <f>VLOOKUP(record[[#This Row],[ProcessSN]],表格2_7[],3,FALSE)</f>
        <v>#06</v>
      </c>
      <c r="J664" t="s">
        <v>593</v>
      </c>
      <c r="K664" s="195">
        <v>46147.659502314818</v>
      </c>
      <c r="L664">
        <v>54</v>
      </c>
      <c r="M664">
        <v>0</v>
      </c>
      <c r="N664" s="98" t="str">
        <f>IF(record[[#This Row],[Memo]]="Browser:chrome os:android","平板報工",IF(record[[#This Row],[Memo]]=0,"委外",record[[#This Row],[Memo]]))</f>
        <v>平板報工</v>
      </c>
      <c r="O664" t="s">
        <v>643</v>
      </c>
      <c r="P664" t="s">
        <v>1413</v>
      </c>
      <c r="Q664" t="s">
        <v>644</v>
      </c>
      <c r="R664" t="str">
        <f>IFERROR(VLOOKUP(record[[#This Row],[PCUSTID]],廠商[],2,FALSE),"")</f>
        <v/>
      </c>
      <c r="S664" t="str">
        <f>VLOOKUP(record[[#This Row],[employeeID]],員工[],2,FALSE)</f>
        <v>阮氏芳英(芳)</v>
      </c>
    </row>
    <row r="665" spans="6:19" x14ac:dyDescent="0.25">
      <c r="F665" t="s">
        <v>1924</v>
      </c>
      <c r="G665" t="s">
        <v>449</v>
      </c>
      <c r="H665" t="str">
        <f>VLOOKUP(record[[#This Row],[ProcessSN]],表格2_7[],2,FALSE)</f>
        <v>30-4118-018-6XX</v>
      </c>
      <c r="I665" t="str">
        <f>VLOOKUP(record[[#This Row],[ProcessSN]],表格2_7[],3,FALSE)</f>
        <v>#05</v>
      </c>
      <c r="J665" t="s">
        <v>588</v>
      </c>
      <c r="K665" s="195">
        <v>46147.655995370369</v>
      </c>
      <c r="L665">
        <v>207</v>
      </c>
      <c r="M665">
        <v>0</v>
      </c>
      <c r="N665" s="98" t="str">
        <f>IF(record[[#This Row],[Memo]]="Browser:chrome os:android","平板報工",IF(record[[#This Row],[Memo]]=0,"委外",record[[#This Row],[Memo]]))</f>
        <v>平板報工</v>
      </c>
      <c r="O665" t="s">
        <v>643</v>
      </c>
      <c r="P665" t="s">
        <v>145</v>
      </c>
      <c r="Q665" t="s">
        <v>644</v>
      </c>
      <c r="R665" t="str">
        <f>IFERROR(VLOOKUP(record[[#This Row],[PCUSTID]],廠商[],2,FALSE),"")</f>
        <v/>
      </c>
      <c r="S665" t="str">
        <f>VLOOKUP(record[[#This Row],[employeeID]],員工[],2,FALSE)</f>
        <v>阮秋霞</v>
      </c>
    </row>
    <row r="666" spans="6:19" hidden="1" x14ac:dyDescent="0.25">
      <c r="F666" t="s">
        <v>1941</v>
      </c>
      <c r="G666" t="s">
        <v>384</v>
      </c>
      <c r="H666" t="str">
        <f>VLOOKUP(record[[#This Row],[ProcessSN]],表格2_7[],2,FALSE)</f>
        <v>30-4118-018-500</v>
      </c>
      <c r="I666" t="str">
        <f>VLOOKUP(record[[#This Row],[ProcessSN]],表格2_7[],3,FALSE)</f>
        <v>#100</v>
      </c>
      <c r="J666" t="s">
        <v>598</v>
      </c>
      <c r="K666" s="195">
        <v>46147.653495370374</v>
      </c>
      <c r="L666">
        <v>0</v>
      </c>
      <c r="M666">
        <v>3</v>
      </c>
      <c r="N666" s="98" t="str">
        <f>IF(record[[#This Row],[Memo]]="Browser:chrome os:android","平板報工",IF(record[[#This Row],[Memo]]=0,"委外",record[[#This Row],[Memo]]))</f>
        <v>平板報工</v>
      </c>
      <c r="O666" t="s">
        <v>643</v>
      </c>
      <c r="P666" t="s">
        <v>141</v>
      </c>
      <c r="Q666" t="s">
        <v>644</v>
      </c>
      <c r="R666" t="str">
        <f>IFERROR(VLOOKUP(record[[#This Row],[PCUSTID]],廠商[],2,FALSE),"")</f>
        <v/>
      </c>
      <c r="S666" t="str">
        <f>VLOOKUP(record[[#This Row],[employeeID]],員工[],2,FALSE)</f>
        <v>蔣梅</v>
      </c>
    </row>
    <row r="667" spans="6:19" hidden="1" x14ac:dyDescent="0.25">
      <c r="F667" t="s">
        <v>1941</v>
      </c>
      <c r="G667" t="s">
        <v>384</v>
      </c>
      <c r="H667" t="str">
        <f>VLOOKUP(record[[#This Row],[ProcessSN]],表格2_7[],2,FALSE)</f>
        <v>30-4118-018-500</v>
      </c>
      <c r="I667" t="str">
        <f>VLOOKUP(record[[#This Row],[ProcessSN]],表格2_7[],3,FALSE)</f>
        <v>#100</v>
      </c>
      <c r="J667" t="s">
        <v>598</v>
      </c>
      <c r="K667" s="195">
        <v>46147.653055555558</v>
      </c>
      <c r="L667">
        <v>120</v>
      </c>
      <c r="M667">
        <v>0</v>
      </c>
      <c r="N667" s="98" t="str">
        <f>IF(record[[#This Row],[Memo]]="Browser:chrome os:android","平板報工",IF(record[[#This Row],[Memo]]=0,"委外",record[[#This Row],[Memo]]))</f>
        <v>平板報工</v>
      </c>
      <c r="O667" t="s">
        <v>643</v>
      </c>
      <c r="P667" t="s">
        <v>141</v>
      </c>
      <c r="Q667" t="s">
        <v>644</v>
      </c>
      <c r="R667" t="str">
        <f>IFERROR(VLOOKUP(record[[#This Row],[PCUSTID]],廠商[],2,FALSE),"")</f>
        <v/>
      </c>
      <c r="S667" t="str">
        <f>VLOOKUP(record[[#This Row],[employeeID]],員工[],2,FALSE)</f>
        <v>蔣梅</v>
      </c>
    </row>
    <row r="668" spans="6:19" x14ac:dyDescent="0.25">
      <c r="F668" t="s">
        <v>1924</v>
      </c>
      <c r="G668" t="s">
        <v>451</v>
      </c>
      <c r="H668" t="str">
        <f>VLOOKUP(record[[#This Row],[ProcessSN]],表格2_7[],2,FALSE)</f>
        <v>30-4118-018-6XX</v>
      </c>
      <c r="I668" t="str">
        <f>VLOOKUP(record[[#This Row],[ProcessSN]],表格2_7[],3,FALSE)</f>
        <v>#07</v>
      </c>
      <c r="J668" t="s">
        <v>588</v>
      </c>
      <c r="K668" s="195">
        <v>46147.652372685188</v>
      </c>
      <c r="L668">
        <v>0</v>
      </c>
      <c r="M668">
        <v>2</v>
      </c>
      <c r="N668" s="98" t="str">
        <f>IF(record[[#This Row],[Memo]]="Browser:chrome os:android","平板報工",IF(record[[#This Row],[Memo]]=0,"委外",record[[#This Row],[Memo]]))</f>
        <v>平板報工</v>
      </c>
      <c r="O668" t="s">
        <v>643</v>
      </c>
      <c r="P668" t="s">
        <v>139</v>
      </c>
      <c r="Q668" t="s">
        <v>644</v>
      </c>
      <c r="R668" t="str">
        <f>IFERROR(VLOOKUP(record[[#This Row],[PCUSTID]],廠商[],2,FALSE),"")</f>
        <v/>
      </c>
      <c r="S668" t="str">
        <f>VLOOKUP(record[[#This Row],[employeeID]],員工[],2,FALSE)</f>
        <v>高氏顏</v>
      </c>
    </row>
    <row r="669" spans="6:19" hidden="1" x14ac:dyDescent="0.25">
      <c r="F669" t="s">
        <v>1857</v>
      </c>
      <c r="G669" t="s">
        <v>466</v>
      </c>
      <c r="H669" t="str">
        <f>VLOOKUP(record[[#This Row],[ProcessSN]],表格2_7[],2,FALSE)</f>
        <v>30-4118-018-XXX</v>
      </c>
      <c r="I669" t="str">
        <f>VLOOKUP(record[[#This Row],[ProcessSN]],表格2_7[],3,FALSE)</f>
        <v>#01-2</v>
      </c>
      <c r="J669" t="s">
        <v>588</v>
      </c>
      <c r="K669" s="195">
        <v>46147.652025462965</v>
      </c>
      <c r="L669">
        <v>178</v>
      </c>
      <c r="M669">
        <v>0</v>
      </c>
      <c r="N669" s="98" t="str">
        <f>IF(record[[#This Row],[Memo]]="Browser:chrome os:android","平板報工",IF(record[[#This Row],[Memo]]=0,"委外",record[[#This Row],[Memo]]))</f>
        <v>平板報工</v>
      </c>
      <c r="O669" t="s">
        <v>643</v>
      </c>
      <c r="P669" t="s">
        <v>139</v>
      </c>
      <c r="Q669" t="s">
        <v>644</v>
      </c>
      <c r="R669" t="str">
        <f>IFERROR(VLOOKUP(record[[#This Row],[PCUSTID]],廠商[],2,FALSE),"")</f>
        <v/>
      </c>
      <c r="S669" t="str">
        <f>VLOOKUP(record[[#This Row],[employeeID]],員工[],2,FALSE)</f>
        <v>高氏顏</v>
      </c>
    </row>
    <row r="670" spans="6:19" x14ac:dyDescent="0.25">
      <c r="F670" t="s">
        <v>1924</v>
      </c>
      <c r="G670" t="s">
        <v>451</v>
      </c>
      <c r="H670" t="str">
        <f>VLOOKUP(record[[#This Row],[ProcessSN]],表格2_7[],2,FALSE)</f>
        <v>30-4118-018-6XX</v>
      </c>
      <c r="I670" t="str">
        <f>VLOOKUP(record[[#This Row],[ProcessSN]],表格2_7[],3,FALSE)</f>
        <v>#07</v>
      </c>
      <c r="J670" t="s">
        <v>588</v>
      </c>
      <c r="K670" s="195">
        <v>46147.651446759257</v>
      </c>
      <c r="L670">
        <v>58</v>
      </c>
      <c r="M670">
        <v>0</v>
      </c>
      <c r="N670" s="98" t="str">
        <f>IF(record[[#This Row],[Memo]]="Browser:chrome os:android","平板報工",IF(record[[#This Row],[Memo]]=0,"委外",record[[#This Row],[Memo]]))</f>
        <v>平板報工</v>
      </c>
      <c r="O670" t="s">
        <v>643</v>
      </c>
      <c r="P670" t="s">
        <v>139</v>
      </c>
      <c r="Q670" t="s">
        <v>644</v>
      </c>
      <c r="R670" t="str">
        <f>IFERROR(VLOOKUP(record[[#This Row],[PCUSTID]],廠商[],2,FALSE),"")</f>
        <v/>
      </c>
      <c r="S670" t="str">
        <f>VLOOKUP(record[[#This Row],[employeeID]],員工[],2,FALSE)</f>
        <v>高氏顏</v>
      </c>
    </row>
    <row r="671" spans="6:19" hidden="1" x14ac:dyDescent="0.25">
      <c r="F671" t="s">
        <v>1859</v>
      </c>
      <c r="G671" t="s">
        <v>451</v>
      </c>
      <c r="H671" t="str">
        <f>VLOOKUP(record[[#This Row],[ProcessSN]],表格2_7[],2,FALSE)</f>
        <v>30-4118-018-6XX</v>
      </c>
      <c r="I671" t="str">
        <f>VLOOKUP(record[[#This Row],[ProcessSN]],表格2_7[],3,FALSE)</f>
        <v>#07</v>
      </c>
      <c r="J671" t="s">
        <v>588</v>
      </c>
      <c r="K671" s="195">
        <v>46147.651273148149</v>
      </c>
      <c r="L671">
        <v>52</v>
      </c>
      <c r="M671">
        <v>0</v>
      </c>
      <c r="N671" s="98" t="str">
        <f>IF(record[[#This Row],[Memo]]="Browser:chrome os:android","平板報工",IF(record[[#This Row],[Memo]]=0,"委外",record[[#This Row],[Memo]]))</f>
        <v>平板報工</v>
      </c>
      <c r="O671" t="s">
        <v>643</v>
      </c>
      <c r="P671" t="s">
        <v>139</v>
      </c>
      <c r="Q671" t="s">
        <v>644</v>
      </c>
      <c r="R671" t="str">
        <f>IFERROR(VLOOKUP(record[[#This Row],[PCUSTID]],廠商[],2,FALSE),"")</f>
        <v/>
      </c>
      <c r="S671" t="str">
        <f>VLOOKUP(record[[#This Row],[employeeID]],員工[],2,FALSE)</f>
        <v>高氏顏</v>
      </c>
    </row>
    <row r="672" spans="6:19" hidden="1" x14ac:dyDescent="0.25">
      <c r="F672" t="s">
        <v>1952</v>
      </c>
      <c r="G672" t="s">
        <v>398</v>
      </c>
      <c r="H672" t="str">
        <f>VLOOKUP(record[[#This Row],[ProcessSN]],表格2_7[],2,FALSE)</f>
        <v>30-4118-018-550</v>
      </c>
      <c r="I672" t="str">
        <f>VLOOKUP(record[[#This Row],[ProcessSN]],表格2_7[],3,FALSE)</f>
        <v>#08RCV</v>
      </c>
      <c r="J672" t="s">
        <v>591</v>
      </c>
      <c r="K672" s="195">
        <v>46147.65053240741</v>
      </c>
      <c r="L672">
        <v>0</v>
      </c>
      <c r="M672">
        <v>23</v>
      </c>
      <c r="N672" s="98" t="str">
        <f>IF(record[[#This Row],[Memo]]="Browser:chrome os:android","平板報工",IF(record[[#This Row],[Memo]]=0,"委外",record[[#This Row],[Memo]]))</f>
        <v/>
      </c>
      <c r="O672" t="s">
        <v>58</v>
      </c>
      <c r="P672" t="s">
        <v>186</v>
      </c>
      <c r="Q672" t="s">
        <v>58</v>
      </c>
      <c r="R672" t="str">
        <f>IFERROR(VLOOKUP(record[[#This Row],[PCUSTID]],廠商[],2,FALSE),"")</f>
        <v/>
      </c>
      <c r="S672" t="str">
        <f>VLOOKUP(record[[#This Row],[employeeID]],員工[],2,FALSE)</f>
        <v>許文姍</v>
      </c>
    </row>
    <row r="673" spans="6:19" hidden="1" x14ac:dyDescent="0.25">
      <c r="F673" t="s">
        <v>1952</v>
      </c>
      <c r="G673" t="s">
        <v>398</v>
      </c>
      <c r="H673" t="str">
        <f>VLOOKUP(record[[#This Row],[ProcessSN]],表格2_7[],2,FALSE)</f>
        <v>30-4118-018-550</v>
      </c>
      <c r="I673" t="str">
        <f>VLOOKUP(record[[#This Row],[ProcessSN]],表格2_7[],3,FALSE)</f>
        <v>#08RCV</v>
      </c>
      <c r="J673" t="s">
        <v>591</v>
      </c>
      <c r="K673" s="195">
        <v>46147.650324074071</v>
      </c>
      <c r="L673">
        <v>573</v>
      </c>
      <c r="M673">
        <v>0</v>
      </c>
      <c r="N673" s="98" t="str">
        <f>IF(record[[#This Row],[Memo]]="Browser:chrome os:android","平板報工",IF(record[[#This Row],[Memo]]=0,"委外",record[[#This Row],[Memo]]))</f>
        <v/>
      </c>
      <c r="O673" t="s">
        <v>58</v>
      </c>
      <c r="P673" t="s">
        <v>186</v>
      </c>
      <c r="Q673" t="s">
        <v>58</v>
      </c>
      <c r="R673" t="str">
        <f>IFERROR(VLOOKUP(record[[#This Row],[PCUSTID]],廠商[],2,FALSE),"")</f>
        <v/>
      </c>
      <c r="S673" t="str">
        <f>VLOOKUP(record[[#This Row],[employeeID]],員工[],2,FALSE)</f>
        <v>許文姍</v>
      </c>
    </row>
    <row r="674" spans="6:19" x14ac:dyDescent="0.25">
      <c r="F674" t="s">
        <v>1924</v>
      </c>
      <c r="G674" t="s">
        <v>450</v>
      </c>
      <c r="H674" t="str">
        <f>VLOOKUP(record[[#This Row],[ProcessSN]],表格2_7[],2,FALSE)</f>
        <v>30-4118-018-6XX</v>
      </c>
      <c r="I674" t="str">
        <f>VLOOKUP(record[[#This Row],[ProcessSN]],表格2_7[],3,FALSE)</f>
        <v>#06</v>
      </c>
      <c r="J674" t="s">
        <v>593</v>
      </c>
      <c r="K674" s="195">
        <v>46147.647430555553</v>
      </c>
      <c r="L674">
        <v>133</v>
      </c>
      <c r="M674">
        <v>0</v>
      </c>
      <c r="N674" s="98" t="str">
        <f>IF(record[[#This Row],[Memo]]="Browser:chrome os:android","平板報工",IF(record[[#This Row],[Memo]]=0,"委外",record[[#This Row],[Memo]]))</f>
        <v>平板報工</v>
      </c>
      <c r="O674" t="s">
        <v>643</v>
      </c>
      <c r="P674" t="s">
        <v>1413</v>
      </c>
      <c r="Q674" t="s">
        <v>644</v>
      </c>
      <c r="R674" t="str">
        <f>IFERROR(VLOOKUP(record[[#This Row],[PCUSTID]],廠商[],2,FALSE),"")</f>
        <v/>
      </c>
      <c r="S674" t="str">
        <f>VLOOKUP(record[[#This Row],[employeeID]],員工[],2,FALSE)</f>
        <v>阮氏芳英(芳)</v>
      </c>
    </row>
    <row r="675" spans="6:19" hidden="1" x14ac:dyDescent="0.25">
      <c r="F675" t="s">
        <v>1935</v>
      </c>
      <c r="G675" t="s">
        <v>392</v>
      </c>
      <c r="H675" t="str">
        <f>VLOOKUP(record[[#This Row],[ProcessSN]],表格2_7[],2,FALSE)</f>
        <v>30-4118-018-520</v>
      </c>
      <c r="I675" t="str">
        <f>VLOOKUP(record[[#This Row],[ProcessSN]],表格2_7[],3,FALSE)</f>
        <v>#100</v>
      </c>
      <c r="J675" t="s">
        <v>598</v>
      </c>
      <c r="K675" s="195">
        <v>46147.59951388889</v>
      </c>
      <c r="L675">
        <v>0</v>
      </c>
      <c r="M675">
        <v>5</v>
      </c>
      <c r="N675" s="98" t="str">
        <f>IF(record[[#This Row],[Memo]]="Browser:chrome os:android","平板報工",IF(record[[#This Row],[Memo]]=0,"委外",record[[#This Row],[Memo]]))</f>
        <v>平板報工</v>
      </c>
      <c r="O675" t="s">
        <v>643</v>
      </c>
      <c r="P675" t="s">
        <v>141</v>
      </c>
      <c r="Q675" t="s">
        <v>644</v>
      </c>
      <c r="R675" t="str">
        <f>IFERROR(VLOOKUP(record[[#This Row],[PCUSTID]],廠商[],2,FALSE),"")</f>
        <v/>
      </c>
      <c r="S675" t="str">
        <f>VLOOKUP(record[[#This Row],[employeeID]],員工[],2,FALSE)</f>
        <v>蔣梅</v>
      </c>
    </row>
    <row r="676" spans="6:19" hidden="1" x14ac:dyDescent="0.25">
      <c r="F676" t="s">
        <v>1935</v>
      </c>
      <c r="G676" t="s">
        <v>392</v>
      </c>
      <c r="H676" t="str">
        <f>VLOOKUP(record[[#This Row],[ProcessSN]],表格2_7[],2,FALSE)</f>
        <v>30-4118-018-520</v>
      </c>
      <c r="I676" t="str">
        <f>VLOOKUP(record[[#This Row],[ProcessSN]],表格2_7[],3,FALSE)</f>
        <v>#100</v>
      </c>
      <c r="J676" t="s">
        <v>598</v>
      </c>
      <c r="K676" s="195">
        <v>46147.598946759259</v>
      </c>
      <c r="L676">
        <v>201</v>
      </c>
      <c r="M676">
        <v>0</v>
      </c>
      <c r="N676" s="98" t="str">
        <f>IF(record[[#This Row],[Memo]]="Browser:chrome os:android","平板報工",IF(record[[#This Row],[Memo]]=0,"委外",record[[#This Row],[Memo]]))</f>
        <v>平板報工</v>
      </c>
      <c r="O676" t="s">
        <v>643</v>
      </c>
      <c r="P676" t="s">
        <v>141</v>
      </c>
      <c r="Q676" t="s">
        <v>644</v>
      </c>
      <c r="R676" t="str">
        <f>IFERROR(VLOOKUP(record[[#This Row],[PCUSTID]],廠商[],2,FALSE),"")</f>
        <v/>
      </c>
      <c r="S676" t="str">
        <f>VLOOKUP(record[[#This Row],[employeeID]],員工[],2,FALSE)</f>
        <v>蔣梅</v>
      </c>
    </row>
    <row r="677" spans="6:19" hidden="1" x14ac:dyDescent="0.25">
      <c r="F677" t="s">
        <v>1859</v>
      </c>
      <c r="G677" t="s">
        <v>453</v>
      </c>
      <c r="H677" t="str">
        <f>VLOOKUP(record[[#This Row],[ProcessSN]],表格2_7[],2,FALSE)</f>
        <v>30-4118-018-6XX</v>
      </c>
      <c r="I677" t="str">
        <f>VLOOKUP(record[[#This Row],[ProcessSN]],表格2_7[],3,FALSE)</f>
        <v>#07STOCK</v>
      </c>
      <c r="J677" t="s">
        <v>592</v>
      </c>
      <c r="K677" s="195">
        <v>46147.593993055554</v>
      </c>
      <c r="L677">
        <v>105</v>
      </c>
      <c r="M677">
        <v>0</v>
      </c>
      <c r="N677" s="98" t="str">
        <f>IF(record[[#This Row],[Memo]]="Browser:chrome os:android","平板報工",IF(record[[#This Row],[Memo]]=0,"委外",record[[#This Row],[Memo]]))</f>
        <v/>
      </c>
      <c r="O677" t="s">
        <v>58</v>
      </c>
      <c r="P677" t="s">
        <v>186</v>
      </c>
      <c r="Q677" t="s">
        <v>58</v>
      </c>
      <c r="R677" t="str">
        <f>IFERROR(VLOOKUP(record[[#This Row],[PCUSTID]],廠商[],2,FALSE),"")</f>
        <v/>
      </c>
      <c r="S677" t="str">
        <f>VLOOKUP(record[[#This Row],[employeeID]],員工[],2,FALSE)</f>
        <v>許文姍</v>
      </c>
    </row>
    <row r="678" spans="6:19" hidden="1" x14ac:dyDescent="0.25">
      <c r="F678" t="s">
        <v>1968</v>
      </c>
      <c r="G678" t="s">
        <v>323</v>
      </c>
      <c r="H678" t="str">
        <f>VLOOKUP(record[[#This Row],[ProcessSN]],表格2_7[],2,FALSE)</f>
        <v>30-4118-018-370</v>
      </c>
      <c r="I678" t="str">
        <f>VLOOKUP(record[[#This Row],[ProcessSN]],表格2_7[],3,FALSE)</f>
        <v>#08</v>
      </c>
      <c r="J678" t="s">
        <v>597</v>
      </c>
      <c r="K678" s="195">
        <v>46147.570868055554</v>
      </c>
      <c r="L678">
        <v>145</v>
      </c>
      <c r="M678">
        <v>0</v>
      </c>
      <c r="N678" s="98" t="str">
        <f>IF(record[[#This Row],[Memo]]="Browser:chrome os:android","平板報工",IF(record[[#This Row],[Memo]]=0,"委外",record[[#This Row],[Memo]]))</f>
        <v>委外</v>
      </c>
      <c r="P678" t="s">
        <v>186</v>
      </c>
      <c r="Q678" t="s">
        <v>287</v>
      </c>
      <c r="R678" t="str">
        <f>IFERROR(VLOOKUP(record[[#This Row],[PCUSTID]],廠商[],2,FALSE),"")</f>
        <v>泉盛</v>
      </c>
      <c r="S678" t="str">
        <f>VLOOKUP(record[[#This Row],[employeeID]],員工[],2,FALSE)</f>
        <v>許文姍</v>
      </c>
    </row>
    <row r="679" spans="6:19" hidden="1" x14ac:dyDescent="0.25">
      <c r="F679" t="s">
        <v>1970</v>
      </c>
      <c r="G679" t="s">
        <v>405</v>
      </c>
      <c r="H679" t="str">
        <f>VLOOKUP(record[[#This Row],[ProcessSN]],表格2_7[],2,FALSE)</f>
        <v>30-4118-018-570</v>
      </c>
      <c r="I679" t="str">
        <f>VLOOKUP(record[[#This Row],[ProcessSN]],表格2_7[],3,FALSE)</f>
        <v>#08</v>
      </c>
      <c r="J679" t="s">
        <v>597</v>
      </c>
      <c r="K679" s="195">
        <v>46147.570775462962</v>
      </c>
      <c r="L679">
        <v>105</v>
      </c>
      <c r="M679">
        <v>0</v>
      </c>
      <c r="N679" s="98" t="str">
        <f>IF(record[[#This Row],[Memo]]="Browser:chrome os:android","平板報工",IF(record[[#This Row],[Memo]]=0,"委外",record[[#This Row],[Memo]]))</f>
        <v>委外</v>
      </c>
      <c r="P679" t="s">
        <v>186</v>
      </c>
      <c r="Q679" t="s">
        <v>287</v>
      </c>
      <c r="R679" t="str">
        <f>IFERROR(VLOOKUP(record[[#This Row],[PCUSTID]],廠商[],2,FALSE),"")</f>
        <v>泉盛</v>
      </c>
      <c r="S679" t="str">
        <f>VLOOKUP(record[[#This Row],[employeeID]],員工[],2,FALSE)</f>
        <v>許文姍</v>
      </c>
    </row>
    <row r="680" spans="6:19" hidden="1" x14ac:dyDescent="0.25">
      <c r="F680" t="s">
        <v>1971</v>
      </c>
      <c r="G680" t="s">
        <v>422</v>
      </c>
      <c r="H680" t="str">
        <f>VLOOKUP(record[[#This Row],[ProcessSN]],表格2_7[],2,FALSE)</f>
        <v>30-4118-018-600</v>
      </c>
      <c r="I680" t="str">
        <f>VLOOKUP(record[[#This Row],[ProcessSN]],表格2_7[],3,FALSE)</f>
        <v>#08</v>
      </c>
      <c r="J680" t="s">
        <v>597</v>
      </c>
      <c r="K680" s="195">
        <v>46147.570671296293</v>
      </c>
      <c r="L680">
        <v>158</v>
      </c>
      <c r="M680">
        <v>0</v>
      </c>
      <c r="N680" s="98" t="str">
        <f>IF(record[[#This Row],[Memo]]="Browser:chrome os:android","平板報工",IF(record[[#This Row],[Memo]]=0,"委外",record[[#This Row],[Memo]]))</f>
        <v>委外</v>
      </c>
      <c r="P680" t="s">
        <v>186</v>
      </c>
      <c r="Q680" t="s">
        <v>287</v>
      </c>
      <c r="R680" t="str">
        <f>IFERROR(VLOOKUP(record[[#This Row],[PCUSTID]],廠商[],2,FALSE),"")</f>
        <v>泉盛</v>
      </c>
      <c r="S680" t="str">
        <f>VLOOKUP(record[[#This Row],[employeeID]],員工[],2,FALSE)</f>
        <v>許文姍</v>
      </c>
    </row>
    <row r="681" spans="6:19" hidden="1" x14ac:dyDescent="0.25">
      <c r="F681" t="s">
        <v>1968</v>
      </c>
      <c r="G681" t="s">
        <v>322</v>
      </c>
      <c r="H681" t="str">
        <f>VLOOKUP(record[[#This Row],[ProcessSN]],表格2_7[],2,FALSE)</f>
        <v>30-4118-018-370</v>
      </c>
      <c r="I681" t="str">
        <f>VLOOKUP(record[[#This Row],[ProcessSN]],表格2_7[],3,FALSE)</f>
        <v>#08PICK</v>
      </c>
      <c r="J681" t="s">
        <v>582</v>
      </c>
      <c r="K681" s="195">
        <v>46147.570277777777</v>
      </c>
      <c r="L681">
        <v>145</v>
      </c>
      <c r="M681">
        <v>0</v>
      </c>
      <c r="N681" s="98" t="str">
        <f>IF(record[[#This Row],[Memo]]="Browser:chrome os:android","平板報工",IF(record[[#This Row],[Memo]]=0,"委外",record[[#This Row],[Memo]]))</f>
        <v/>
      </c>
      <c r="O681" t="s">
        <v>58</v>
      </c>
      <c r="P681" t="s">
        <v>186</v>
      </c>
      <c r="Q681" t="s">
        <v>58</v>
      </c>
      <c r="R681" t="str">
        <f>IFERROR(VLOOKUP(record[[#This Row],[PCUSTID]],廠商[],2,FALSE),"")</f>
        <v/>
      </c>
      <c r="S681" t="str">
        <f>VLOOKUP(record[[#This Row],[employeeID]],員工[],2,FALSE)</f>
        <v>許文姍</v>
      </c>
    </row>
    <row r="682" spans="6:19" hidden="1" x14ac:dyDescent="0.25">
      <c r="F682" t="s">
        <v>1971</v>
      </c>
      <c r="G682" t="s">
        <v>421</v>
      </c>
      <c r="H682" t="str">
        <f>VLOOKUP(record[[#This Row],[ProcessSN]],表格2_7[],2,FALSE)</f>
        <v>30-4118-018-600</v>
      </c>
      <c r="I682" t="str">
        <f>VLOOKUP(record[[#This Row],[ProcessSN]],表格2_7[],3,FALSE)</f>
        <v>#08PICK</v>
      </c>
      <c r="J682" t="s">
        <v>582</v>
      </c>
      <c r="K682" s="195">
        <v>46147.570127314815</v>
      </c>
      <c r="L682">
        <v>158</v>
      </c>
      <c r="M682">
        <v>0</v>
      </c>
      <c r="N682" s="98" t="str">
        <f>IF(record[[#This Row],[Memo]]="Browser:chrome os:android","平板報工",IF(record[[#This Row],[Memo]]=0,"委外",record[[#This Row],[Memo]]))</f>
        <v/>
      </c>
      <c r="O682" t="s">
        <v>58</v>
      </c>
      <c r="P682" t="s">
        <v>186</v>
      </c>
      <c r="Q682" t="s">
        <v>58</v>
      </c>
      <c r="R682" t="str">
        <f>IFERROR(VLOOKUP(record[[#This Row],[PCUSTID]],廠商[],2,FALSE),"")</f>
        <v/>
      </c>
      <c r="S682" t="str">
        <f>VLOOKUP(record[[#This Row],[employeeID]],員工[],2,FALSE)</f>
        <v>許文姍</v>
      </c>
    </row>
    <row r="683" spans="6:19" hidden="1" x14ac:dyDescent="0.25">
      <c r="F683" t="s">
        <v>1970</v>
      </c>
      <c r="G683" t="s">
        <v>404</v>
      </c>
      <c r="H683" t="str">
        <f>VLOOKUP(record[[#This Row],[ProcessSN]],表格2_7[],2,FALSE)</f>
        <v>30-4118-018-570</v>
      </c>
      <c r="I683" t="str">
        <f>VLOOKUP(record[[#This Row],[ProcessSN]],表格2_7[],3,FALSE)</f>
        <v>#08PICK</v>
      </c>
      <c r="J683" t="s">
        <v>582</v>
      </c>
      <c r="K683" s="195">
        <v>46147.570034722223</v>
      </c>
      <c r="L683">
        <v>105</v>
      </c>
      <c r="M683">
        <v>0</v>
      </c>
      <c r="N683" s="98" t="str">
        <f>IF(record[[#This Row],[Memo]]="Browser:chrome os:android","平板報工",IF(record[[#This Row],[Memo]]=0,"委外",record[[#This Row],[Memo]]))</f>
        <v/>
      </c>
      <c r="O683" t="s">
        <v>58</v>
      </c>
      <c r="P683" t="s">
        <v>186</v>
      </c>
      <c r="Q683" t="s">
        <v>58</v>
      </c>
      <c r="R683" t="str">
        <f>IFERROR(VLOOKUP(record[[#This Row],[PCUSTID]],廠商[],2,FALSE),"")</f>
        <v/>
      </c>
      <c r="S683" t="str">
        <f>VLOOKUP(record[[#This Row],[employeeID]],員工[],2,FALSE)</f>
        <v>許文姍</v>
      </c>
    </row>
    <row r="684" spans="6:19" hidden="1" x14ac:dyDescent="0.25">
      <c r="F684" t="s">
        <v>1906</v>
      </c>
      <c r="G684" t="s">
        <v>419</v>
      </c>
      <c r="H684" t="str">
        <f>VLOOKUP(record[[#This Row],[ProcessSN]],表格2_7[],2,FALSE)</f>
        <v>30-4118-018-5XX</v>
      </c>
      <c r="I684" t="str">
        <f>VLOOKUP(record[[#This Row],[ProcessSN]],表格2_7[],3,FALSE)</f>
        <v>#07QC</v>
      </c>
      <c r="J684" t="s">
        <v>589</v>
      </c>
      <c r="K684" s="195">
        <v>46147.558055555557</v>
      </c>
      <c r="L684">
        <v>0</v>
      </c>
      <c r="M684">
        <v>70</v>
      </c>
      <c r="N684" s="98" t="str">
        <f>IF(record[[#This Row],[Memo]]="Browser:chrome os:android","平板報工",IF(record[[#This Row],[Memo]]=0,"委外",record[[#This Row],[Memo]]))</f>
        <v/>
      </c>
      <c r="O684" t="s">
        <v>58</v>
      </c>
      <c r="P684" t="s">
        <v>141</v>
      </c>
      <c r="Q684" t="s">
        <v>58</v>
      </c>
      <c r="R684" t="str">
        <f>IFERROR(VLOOKUP(record[[#This Row],[PCUSTID]],廠商[],2,FALSE),"")</f>
        <v/>
      </c>
      <c r="S684" t="str">
        <f>VLOOKUP(record[[#This Row],[employeeID]],員工[],2,FALSE)</f>
        <v>蔣梅</v>
      </c>
    </row>
    <row r="685" spans="6:19" hidden="1" x14ac:dyDescent="0.25">
      <c r="F685" t="s">
        <v>1906</v>
      </c>
      <c r="G685" t="s">
        <v>418</v>
      </c>
      <c r="H685" t="str">
        <f>VLOOKUP(record[[#This Row],[ProcessSN]],表格2_7[],2,FALSE)</f>
        <v>30-4118-018-5XX</v>
      </c>
      <c r="I685" t="str">
        <f>VLOOKUP(record[[#This Row],[ProcessSN]],表格2_7[],3,FALSE)</f>
        <v>#07</v>
      </c>
      <c r="J685" t="s">
        <v>588</v>
      </c>
      <c r="K685" s="195">
        <v>46147.557557870372</v>
      </c>
      <c r="L685">
        <v>34</v>
      </c>
      <c r="M685">
        <v>0</v>
      </c>
      <c r="N685" s="98" t="str">
        <f>IF(record[[#This Row],[Memo]]="Browser:chrome os:android","平板報工",IF(record[[#This Row],[Memo]]=0,"委外",record[[#This Row],[Memo]]))</f>
        <v/>
      </c>
      <c r="O685" t="s">
        <v>58</v>
      </c>
      <c r="P685" t="s">
        <v>1075</v>
      </c>
      <c r="Q685" t="s">
        <v>58</v>
      </c>
      <c r="R685" t="str">
        <f>IFERROR(VLOOKUP(record[[#This Row],[PCUSTID]],廠商[],2,FALSE),"")</f>
        <v/>
      </c>
      <c r="S685" t="str">
        <f>VLOOKUP(record[[#This Row],[employeeID]],員工[],2,FALSE)</f>
        <v>吳宥叡</v>
      </c>
    </row>
    <row r="686" spans="6:19" hidden="1" x14ac:dyDescent="0.25">
      <c r="F686" t="s">
        <v>1906</v>
      </c>
      <c r="G686" t="s">
        <v>417</v>
      </c>
      <c r="H686" t="str">
        <f>VLOOKUP(record[[#This Row],[ProcessSN]],表格2_7[],2,FALSE)</f>
        <v>30-4118-018-5XX</v>
      </c>
      <c r="I686" t="str">
        <f>VLOOKUP(record[[#This Row],[ProcessSN]],表格2_7[],3,FALSE)</f>
        <v>#06</v>
      </c>
      <c r="J686" t="s">
        <v>593</v>
      </c>
      <c r="K686" s="195">
        <v>46147.557476851849</v>
      </c>
      <c r="L686">
        <v>34</v>
      </c>
      <c r="M686">
        <v>0</v>
      </c>
      <c r="N686" s="98" t="str">
        <f>IF(record[[#This Row],[Memo]]="Browser:chrome os:android","平板報工",IF(record[[#This Row],[Memo]]=0,"委外",record[[#This Row],[Memo]]))</f>
        <v/>
      </c>
      <c r="O686" t="s">
        <v>58</v>
      </c>
      <c r="P686" t="s">
        <v>1075</v>
      </c>
      <c r="Q686" t="s">
        <v>58</v>
      </c>
      <c r="R686" t="str">
        <f>IFERROR(VLOOKUP(record[[#This Row],[PCUSTID]],廠商[],2,FALSE),"")</f>
        <v/>
      </c>
      <c r="S686" t="str">
        <f>VLOOKUP(record[[#This Row],[employeeID]],員工[],2,FALSE)</f>
        <v>吳宥叡</v>
      </c>
    </row>
    <row r="687" spans="6:19" hidden="1" x14ac:dyDescent="0.25">
      <c r="F687" t="s">
        <v>1906</v>
      </c>
      <c r="G687" t="s">
        <v>416</v>
      </c>
      <c r="H687" t="str">
        <f>VLOOKUP(record[[#This Row],[ProcessSN]],表格2_7[],2,FALSE)</f>
        <v>30-4118-018-5XX</v>
      </c>
      <c r="I687" t="str">
        <f>VLOOKUP(record[[#This Row],[ProcessSN]],表格2_7[],3,FALSE)</f>
        <v>#05</v>
      </c>
      <c r="J687" t="s">
        <v>588</v>
      </c>
      <c r="K687" s="195">
        <v>46147.557395833333</v>
      </c>
      <c r="L687">
        <v>34</v>
      </c>
      <c r="M687">
        <v>0</v>
      </c>
      <c r="N687" s="98" t="str">
        <f>IF(record[[#This Row],[Memo]]="Browser:chrome os:android","平板報工",IF(record[[#This Row],[Memo]]=0,"委外",record[[#This Row],[Memo]]))</f>
        <v/>
      </c>
      <c r="O687" t="s">
        <v>58</v>
      </c>
      <c r="P687" t="s">
        <v>1075</v>
      </c>
      <c r="Q687" t="s">
        <v>58</v>
      </c>
      <c r="R687" t="str">
        <f>IFERROR(VLOOKUP(record[[#This Row],[PCUSTID]],廠商[],2,FALSE),"")</f>
        <v/>
      </c>
      <c r="S687" t="str">
        <f>VLOOKUP(record[[#This Row],[employeeID]],員工[],2,FALSE)</f>
        <v>吳宥叡</v>
      </c>
    </row>
    <row r="688" spans="6:19" hidden="1" x14ac:dyDescent="0.25">
      <c r="F688" t="s">
        <v>1906</v>
      </c>
      <c r="G688" t="s">
        <v>415</v>
      </c>
      <c r="H688" t="str">
        <f>VLOOKUP(record[[#This Row],[ProcessSN]],表格2_7[],2,FALSE)</f>
        <v>30-4118-018-5XX</v>
      </c>
      <c r="I688" t="str">
        <f>VLOOKUP(record[[#This Row],[ProcessSN]],表格2_7[],3,FALSE)</f>
        <v>#04</v>
      </c>
      <c r="J688" t="s">
        <v>588</v>
      </c>
      <c r="K688" s="195">
        <v>46147.557222222225</v>
      </c>
      <c r="L688">
        <v>34</v>
      </c>
      <c r="M688">
        <v>0</v>
      </c>
      <c r="N688" s="98" t="str">
        <f>IF(record[[#This Row],[Memo]]="Browser:chrome os:android","平板報工",IF(record[[#This Row],[Memo]]=0,"委外",record[[#This Row],[Memo]]))</f>
        <v/>
      </c>
      <c r="O688" t="s">
        <v>58</v>
      </c>
      <c r="P688" t="s">
        <v>1075</v>
      </c>
      <c r="Q688" t="s">
        <v>58</v>
      </c>
      <c r="R688" t="str">
        <f>IFERROR(VLOOKUP(record[[#This Row],[PCUSTID]],廠商[],2,FALSE),"")</f>
        <v/>
      </c>
      <c r="S688" t="str">
        <f>VLOOKUP(record[[#This Row],[employeeID]],員工[],2,FALSE)</f>
        <v>吳宥叡</v>
      </c>
    </row>
    <row r="689" spans="6:19" hidden="1" x14ac:dyDescent="0.25">
      <c r="F689" t="s">
        <v>1859</v>
      </c>
      <c r="G689" t="s">
        <v>452</v>
      </c>
      <c r="H689" t="str">
        <f>VLOOKUP(record[[#This Row],[ProcessSN]],表格2_7[],2,FALSE)</f>
        <v>30-4118-018-6XX</v>
      </c>
      <c r="I689" t="str">
        <f>VLOOKUP(record[[#This Row],[ProcessSN]],表格2_7[],3,FALSE)</f>
        <v>#07QC</v>
      </c>
      <c r="J689" t="s">
        <v>589</v>
      </c>
      <c r="K689" s="195">
        <v>46147.499097222222</v>
      </c>
      <c r="L689">
        <v>105</v>
      </c>
      <c r="M689">
        <v>0</v>
      </c>
      <c r="N689" s="98" t="str">
        <f>IF(record[[#This Row],[Memo]]="Browser:chrome os:android","平板報工",IF(record[[#This Row],[Memo]]=0,"委外",record[[#This Row],[Memo]]))</f>
        <v>平板報工</v>
      </c>
      <c r="O689" t="s">
        <v>643</v>
      </c>
      <c r="P689" t="s">
        <v>141</v>
      </c>
      <c r="Q689" t="s">
        <v>644</v>
      </c>
      <c r="R689" t="str">
        <f>IFERROR(VLOOKUP(record[[#This Row],[PCUSTID]],廠商[],2,FALSE),"")</f>
        <v/>
      </c>
      <c r="S689" t="str">
        <f>VLOOKUP(record[[#This Row],[employeeID]],員工[],2,FALSE)</f>
        <v>蔣梅</v>
      </c>
    </row>
    <row r="690" spans="6:19" hidden="1" x14ac:dyDescent="0.25">
      <c r="F690" t="s">
        <v>1859</v>
      </c>
      <c r="G690" t="s">
        <v>453</v>
      </c>
      <c r="H690" t="str">
        <f>VLOOKUP(record[[#This Row],[ProcessSN]],表格2_7[],2,FALSE)</f>
        <v>30-4118-018-6XX</v>
      </c>
      <c r="I690" t="str">
        <f>VLOOKUP(record[[#This Row],[ProcessSN]],表格2_7[],3,FALSE)</f>
        <v>#07STOCK</v>
      </c>
      <c r="J690" t="s">
        <v>592</v>
      </c>
      <c r="K690" s="195">
        <v>46147.498124999998</v>
      </c>
      <c r="L690">
        <v>76</v>
      </c>
      <c r="M690">
        <v>0</v>
      </c>
      <c r="N690" s="98" t="str">
        <f>IF(record[[#This Row],[Memo]]="Browser:chrome os:android","平板報工",IF(record[[#This Row],[Memo]]=0,"委外",record[[#This Row],[Memo]]))</f>
        <v/>
      </c>
      <c r="O690" t="s">
        <v>58</v>
      </c>
      <c r="P690" t="s">
        <v>186</v>
      </c>
      <c r="Q690" t="s">
        <v>58</v>
      </c>
      <c r="R690" t="str">
        <f>IFERROR(VLOOKUP(record[[#This Row],[PCUSTID]],廠商[],2,FALSE),"")</f>
        <v/>
      </c>
      <c r="S690" t="str">
        <f>VLOOKUP(record[[#This Row],[employeeID]],員工[],2,FALSE)</f>
        <v>許文姍</v>
      </c>
    </row>
    <row r="691" spans="6:19" x14ac:dyDescent="0.25">
      <c r="F691" t="s">
        <v>1924</v>
      </c>
      <c r="G691" t="s">
        <v>453</v>
      </c>
      <c r="H691" t="str">
        <f>VLOOKUP(record[[#This Row],[ProcessSN]],表格2_7[],2,FALSE)</f>
        <v>30-4118-018-6XX</v>
      </c>
      <c r="I691" t="str">
        <f>VLOOKUP(record[[#This Row],[ProcessSN]],表格2_7[],3,FALSE)</f>
        <v>#07STOCK</v>
      </c>
      <c r="J691" t="s">
        <v>592</v>
      </c>
      <c r="K691" s="195">
        <v>46147.49796296296</v>
      </c>
      <c r="L691">
        <v>82</v>
      </c>
      <c r="M691">
        <v>0</v>
      </c>
      <c r="N691" s="98" t="str">
        <f>IF(record[[#This Row],[Memo]]="Browser:chrome os:android","平板報工",IF(record[[#This Row],[Memo]]=0,"委外",record[[#This Row],[Memo]]))</f>
        <v/>
      </c>
      <c r="O691" t="s">
        <v>58</v>
      </c>
      <c r="P691" t="s">
        <v>186</v>
      </c>
      <c r="Q691" t="s">
        <v>58</v>
      </c>
      <c r="R691" t="str">
        <f>IFERROR(VLOOKUP(record[[#This Row],[PCUSTID]],廠商[],2,FALSE),"")</f>
        <v/>
      </c>
      <c r="S691" t="str">
        <f>VLOOKUP(record[[#This Row],[employeeID]],員工[],2,FALSE)</f>
        <v>許文姍</v>
      </c>
    </row>
    <row r="692" spans="6:19" hidden="1" x14ac:dyDescent="0.25">
      <c r="F692" t="s">
        <v>1909</v>
      </c>
      <c r="G692" t="s">
        <v>379</v>
      </c>
      <c r="H692" t="str">
        <f>VLOOKUP(record[[#This Row],[ProcessSN]],表格2_7[],2,FALSE)</f>
        <v>30-4118-018-4XX</v>
      </c>
      <c r="I692" t="str">
        <f>VLOOKUP(record[[#This Row],[ProcessSN]],表格2_7[],3,FALSE)</f>
        <v>#07STOCK</v>
      </c>
      <c r="J692" t="s">
        <v>592</v>
      </c>
      <c r="K692" s="195">
        <v>46147.496921296297</v>
      </c>
      <c r="L692">
        <v>145</v>
      </c>
      <c r="M692">
        <v>0</v>
      </c>
      <c r="N692" s="98" t="str">
        <f>IF(record[[#This Row],[Memo]]="Browser:chrome os:android","平板報工",IF(record[[#This Row],[Memo]]=0,"委外",record[[#This Row],[Memo]]))</f>
        <v/>
      </c>
      <c r="O692" t="s">
        <v>58</v>
      </c>
      <c r="P692" t="s">
        <v>186</v>
      </c>
      <c r="Q692" t="s">
        <v>58</v>
      </c>
      <c r="R692" t="str">
        <f>IFERROR(VLOOKUP(record[[#This Row],[PCUSTID]],廠商[],2,FALSE),"")</f>
        <v/>
      </c>
      <c r="S692" t="str">
        <f>VLOOKUP(record[[#This Row],[employeeID]],員工[],2,FALSE)</f>
        <v>許文姍</v>
      </c>
    </row>
    <row r="693" spans="6:19" hidden="1" x14ac:dyDescent="0.25">
      <c r="F693" t="s">
        <v>1859</v>
      </c>
      <c r="G693" t="s">
        <v>451</v>
      </c>
      <c r="H693" t="str">
        <f>VLOOKUP(record[[#This Row],[ProcessSN]],表格2_7[],2,FALSE)</f>
        <v>30-4118-018-6XX</v>
      </c>
      <c r="I693" t="str">
        <f>VLOOKUP(record[[#This Row],[ProcessSN]],表格2_7[],3,FALSE)</f>
        <v>#07</v>
      </c>
      <c r="J693" t="s">
        <v>588</v>
      </c>
      <c r="K693" s="195">
        <v>46147.463888888888</v>
      </c>
      <c r="L693">
        <v>50</v>
      </c>
      <c r="M693">
        <v>0</v>
      </c>
      <c r="N693" s="98" t="str">
        <f>IF(record[[#This Row],[Memo]]="Browser:chrome os:android","平板報工",IF(record[[#This Row],[Memo]]=0,"委外",record[[#This Row],[Memo]]))</f>
        <v>平板報工</v>
      </c>
      <c r="O693" t="s">
        <v>643</v>
      </c>
      <c r="P693" t="s">
        <v>139</v>
      </c>
      <c r="Q693" t="s">
        <v>644</v>
      </c>
      <c r="R693" t="str">
        <f>IFERROR(VLOOKUP(record[[#This Row],[PCUSTID]],廠商[],2,FALSE),"")</f>
        <v/>
      </c>
      <c r="S693" t="str">
        <f>VLOOKUP(record[[#This Row],[employeeID]],員工[],2,FALSE)</f>
        <v>高氏顏</v>
      </c>
    </row>
    <row r="694" spans="6:19" x14ac:dyDescent="0.25">
      <c r="F694" t="s">
        <v>1924</v>
      </c>
      <c r="G694" t="s">
        <v>452</v>
      </c>
      <c r="H694" t="str">
        <f>VLOOKUP(record[[#This Row],[ProcessSN]],表格2_7[],2,FALSE)</f>
        <v>30-4118-018-6XX</v>
      </c>
      <c r="I694" t="str">
        <f>VLOOKUP(record[[#This Row],[ProcessSN]],表格2_7[],3,FALSE)</f>
        <v>#07QC</v>
      </c>
      <c r="J694" t="s">
        <v>589</v>
      </c>
      <c r="K694" s="195">
        <v>46147.434282407405</v>
      </c>
      <c r="L694">
        <v>82</v>
      </c>
      <c r="M694">
        <v>0</v>
      </c>
      <c r="N694" s="98" t="str">
        <f>IF(record[[#This Row],[Memo]]="Browser:chrome os:android","平板報工",IF(record[[#This Row],[Memo]]=0,"委外",record[[#This Row],[Memo]]))</f>
        <v>平板報工</v>
      </c>
      <c r="O694" t="s">
        <v>643</v>
      </c>
      <c r="P694" t="s">
        <v>141</v>
      </c>
      <c r="Q694" t="s">
        <v>644</v>
      </c>
      <c r="R694" t="str">
        <f>IFERROR(VLOOKUP(record[[#This Row],[PCUSTID]],廠商[],2,FALSE),"")</f>
        <v/>
      </c>
      <c r="S694" t="str">
        <f>VLOOKUP(record[[#This Row],[employeeID]],員工[],2,FALSE)</f>
        <v>蔣梅</v>
      </c>
    </row>
    <row r="695" spans="6:19" hidden="1" x14ac:dyDescent="0.25">
      <c r="F695" t="s">
        <v>1859</v>
      </c>
      <c r="G695" t="s">
        <v>452</v>
      </c>
      <c r="H695" t="str">
        <f>VLOOKUP(record[[#This Row],[ProcessSN]],表格2_7[],2,FALSE)</f>
        <v>30-4118-018-6XX</v>
      </c>
      <c r="I695" t="str">
        <f>VLOOKUP(record[[#This Row],[ProcessSN]],表格2_7[],3,FALSE)</f>
        <v>#07QC</v>
      </c>
      <c r="J695" t="s">
        <v>589</v>
      </c>
      <c r="K695" s="195">
        <v>46147.433865740742</v>
      </c>
      <c r="L695">
        <v>76</v>
      </c>
      <c r="M695">
        <v>0</v>
      </c>
      <c r="N695" s="98" t="str">
        <f>IF(record[[#This Row],[Memo]]="Browser:chrome os:android","平板報工",IF(record[[#This Row],[Memo]]=0,"委外",record[[#This Row],[Memo]]))</f>
        <v>平板報工</v>
      </c>
      <c r="O695" t="s">
        <v>643</v>
      </c>
      <c r="P695" t="s">
        <v>141</v>
      </c>
      <c r="Q695" t="s">
        <v>644</v>
      </c>
      <c r="R695" t="str">
        <f>IFERROR(VLOOKUP(record[[#This Row],[PCUSTID]],廠商[],2,FALSE),"")</f>
        <v/>
      </c>
      <c r="S695" t="str">
        <f>VLOOKUP(record[[#This Row],[employeeID]],員工[],2,FALSE)</f>
        <v>蔣梅</v>
      </c>
    </row>
    <row r="696" spans="6:19" hidden="1" x14ac:dyDescent="0.25">
      <c r="F696" t="s">
        <v>1965</v>
      </c>
      <c r="G696" t="s">
        <v>413</v>
      </c>
      <c r="H696" t="str">
        <f>VLOOKUP(record[[#This Row],[ProcessSN]],表格2_7[],2,FALSE)</f>
        <v>30-4118-018-5XX</v>
      </c>
      <c r="I696" t="str">
        <f>VLOOKUP(record[[#This Row],[ProcessSN]],表格2_7[],3,FALSE)</f>
        <v>#03GIVE</v>
      </c>
      <c r="J696" t="s">
        <v>587</v>
      </c>
      <c r="K696" s="195">
        <v>46147.428981481484</v>
      </c>
      <c r="L696">
        <v>1492</v>
      </c>
      <c r="M696">
        <v>0</v>
      </c>
      <c r="N696" s="98" t="str">
        <f>IF(record[[#This Row],[Memo]]="Browser:chrome os:android","平板報工",IF(record[[#This Row],[Memo]]=0,"委外",record[[#This Row],[Memo]]))</f>
        <v/>
      </c>
      <c r="O696" t="s">
        <v>58</v>
      </c>
      <c r="P696" t="s">
        <v>1698</v>
      </c>
      <c r="Q696" t="s">
        <v>58</v>
      </c>
      <c r="R696" t="str">
        <f>IFERROR(VLOOKUP(record[[#This Row],[PCUSTID]],廠商[],2,FALSE),"")</f>
        <v/>
      </c>
      <c r="S696" t="str">
        <f>VLOOKUP(record[[#This Row],[employeeID]],員工[],2,FALSE)</f>
        <v>羅思潔</v>
      </c>
    </row>
    <row r="697" spans="6:19" hidden="1" x14ac:dyDescent="0.25">
      <c r="F697" t="s">
        <v>1840</v>
      </c>
      <c r="G697" t="s">
        <v>362</v>
      </c>
      <c r="H697" t="str">
        <f>VLOOKUP(record[[#This Row],[ProcessSN]],表格2_7[],2,FALSE)</f>
        <v>30-4118-018-450</v>
      </c>
      <c r="I697" t="str">
        <f>VLOOKUP(record[[#This Row],[ProcessSN]],表格2_7[],3,FALSE)</f>
        <v>#100SHIP</v>
      </c>
      <c r="J697" t="s">
        <v>600</v>
      </c>
      <c r="K697" s="195">
        <v>46147.409467592595</v>
      </c>
      <c r="L697">
        <v>22</v>
      </c>
      <c r="M697">
        <v>0</v>
      </c>
      <c r="N697" s="98" t="str">
        <f>IF(record[[#This Row],[Memo]]="Browser:chrome os:android","平板報工",IF(record[[#This Row],[Memo]]=0,"委外",record[[#This Row],[Memo]]))</f>
        <v/>
      </c>
      <c r="O697" t="s">
        <v>58</v>
      </c>
      <c r="P697" t="s">
        <v>886</v>
      </c>
      <c r="Q697" t="s">
        <v>58</v>
      </c>
      <c r="R697" t="str">
        <f>IFERROR(VLOOKUP(record[[#This Row],[PCUSTID]],廠商[],2,FALSE),"")</f>
        <v/>
      </c>
      <c r="S697" t="str">
        <f>VLOOKUP(record[[#This Row],[employeeID]],員工[],2,FALSE)</f>
        <v>謝蓁薰</v>
      </c>
    </row>
    <row r="698" spans="6:19" hidden="1" x14ac:dyDescent="0.25">
      <c r="F698" t="s">
        <v>1774</v>
      </c>
      <c r="G698" t="s">
        <v>362</v>
      </c>
      <c r="H698" t="str">
        <f>VLOOKUP(record[[#This Row],[ProcessSN]],表格2_7[],2,FALSE)</f>
        <v>30-4118-018-450</v>
      </c>
      <c r="I698" t="str">
        <f>VLOOKUP(record[[#This Row],[ProcessSN]],表格2_7[],3,FALSE)</f>
        <v>#100SHIP</v>
      </c>
      <c r="J698" t="s">
        <v>600</v>
      </c>
      <c r="K698" s="195">
        <v>46147.409282407411</v>
      </c>
      <c r="L698">
        <v>3</v>
      </c>
      <c r="M698">
        <v>0</v>
      </c>
      <c r="N698" s="98" t="str">
        <f>IF(record[[#This Row],[Memo]]="Browser:chrome os:android","平板報工",IF(record[[#This Row],[Memo]]=0,"委外",record[[#This Row],[Memo]]))</f>
        <v/>
      </c>
      <c r="O698" t="s">
        <v>58</v>
      </c>
      <c r="P698" t="s">
        <v>886</v>
      </c>
      <c r="Q698" t="s">
        <v>58</v>
      </c>
      <c r="R698" t="str">
        <f>IFERROR(VLOOKUP(record[[#This Row],[PCUSTID]],廠商[],2,FALSE),"")</f>
        <v/>
      </c>
      <c r="S698" t="str">
        <f>VLOOKUP(record[[#This Row],[employeeID]],員工[],2,FALSE)</f>
        <v>謝蓁薰</v>
      </c>
    </row>
    <row r="699" spans="6:19" hidden="1" x14ac:dyDescent="0.25">
      <c r="F699" t="s">
        <v>1934</v>
      </c>
      <c r="G699" t="s">
        <v>370</v>
      </c>
      <c r="H699" t="str">
        <f>VLOOKUP(record[[#This Row],[ProcessSN]],表格2_7[],2,FALSE)</f>
        <v>30-4118-018-470</v>
      </c>
      <c r="I699" t="str">
        <f>VLOOKUP(record[[#This Row],[ProcessSN]],表格2_7[],3,FALSE)</f>
        <v>#100SHIP</v>
      </c>
      <c r="J699" t="s">
        <v>600</v>
      </c>
      <c r="K699" s="195">
        <v>46147.406817129631</v>
      </c>
      <c r="L699">
        <v>87</v>
      </c>
      <c r="M699">
        <v>0</v>
      </c>
      <c r="N699" s="98" t="str">
        <f>IF(record[[#This Row],[Memo]]="Browser:chrome os:android","平板報工",IF(record[[#This Row],[Memo]]=0,"委外",record[[#This Row],[Memo]]))</f>
        <v/>
      </c>
      <c r="O699" t="s">
        <v>58</v>
      </c>
      <c r="P699" t="s">
        <v>886</v>
      </c>
      <c r="Q699" t="s">
        <v>58</v>
      </c>
      <c r="R699" t="str">
        <f>IFERROR(VLOOKUP(record[[#This Row],[PCUSTID]],廠商[],2,FALSE),"")</f>
        <v/>
      </c>
      <c r="S699" t="str">
        <f>VLOOKUP(record[[#This Row],[employeeID]],員工[],2,FALSE)</f>
        <v>謝蓁薰</v>
      </c>
    </row>
    <row r="700" spans="6:19" hidden="1" x14ac:dyDescent="0.25">
      <c r="F700" t="s">
        <v>1934</v>
      </c>
      <c r="G700" t="s">
        <v>369</v>
      </c>
      <c r="H700" t="str">
        <f>VLOOKUP(record[[#This Row],[ProcessSN]],表格2_7[],2,FALSE)</f>
        <v>30-4118-018-470</v>
      </c>
      <c r="I700" t="str">
        <f>VLOOKUP(record[[#This Row],[ProcessSN]],表格2_7[],3,FALSE)</f>
        <v>#100STOCK</v>
      </c>
      <c r="J700" t="s">
        <v>592</v>
      </c>
      <c r="K700" s="195">
        <v>46147.406689814816</v>
      </c>
      <c r="L700">
        <v>106</v>
      </c>
      <c r="M700">
        <v>0</v>
      </c>
      <c r="N700" s="98" t="str">
        <f>IF(record[[#This Row],[Memo]]="Browser:chrome os:android","平板報工",IF(record[[#This Row],[Memo]]=0,"委外",record[[#This Row],[Memo]]))</f>
        <v/>
      </c>
      <c r="O700" t="s">
        <v>58</v>
      </c>
      <c r="P700" t="s">
        <v>886</v>
      </c>
      <c r="Q700" t="s">
        <v>58</v>
      </c>
      <c r="R700" t="str">
        <f>IFERROR(VLOOKUP(record[[#This Row],[PCUSTID]],廠商[],2,FALSE),"")</f>
        <v/>
      </c>
      <c r="S700" t="str">
        <f>VLOOKUP(record[[#This Row],[employeeID]],員工[],2,FALSE)</f>
        <v>謝蓁薰</v>
      </c>
    </row>
    <row r="701" spans="6:19" hidden="1" x14ac:dyDescent="0.25">
      <c r="F701" t="s">
        <v>1874</v>
      </c>
      <c r="G701" t="s">
        <v>370</v>
      </c>
      <c r="H701" t="str">
        <f>VLOOKUP(record[[#This Row],[ProcessSN]],表格2_7[],2,FALSE)</f>
        <v>30-4118-018-470</v>
      </c>
      <c r="I701" t="str">
        <f>VLOOKUP(record[[#This Row],[ProcessSN]],表格2_7[],3,FALSE)</f>
        <v>#100SHIP</v>
      </c>
      <c r="J701" t="s">
        <v>600</v>
      </c>
      <c r="K701" s="195">
        <v>46147.406458333331</v>
      </c>
      <c r="L701">
        <v>13</v>
      </c>
      <c r="M701">
        <v>0</v>
      </c>
      <c r="N701" s="98" t="str">
        <f>IF(record[[#This Row],[Memo]]="Browser:chrome os:android","平板報工",IF(record[[#This Row],[Memo]]=0,"委外",record[[#This Row],[Memo]]))</f>
        <v/>
      </c>
      <c r="O701" t="s">
        <v>58</v>
      </c>
      <c r="P701" t="s">
        <v>886</v>
      </c>
      <c r="Q701" t="s">
        <v>58</v>
      </c>
      <c r="R701" t="str">
        <f>IFERROR(VLOOKUP(record[[#This Row],[PCUSTID]],廠商[],2,FALSE),"")</f>
        <v/>
      </c>
      <c r="S701" t="str">
        <f>VLOOKUP(record[[#This Row],[employeeID]],員工[],2,FALSE)</f>
        <v>謝蓁薰</v>
      </c>
    </row>
    <row r="702" spans="6:19" hidden="1" x14ac:dyDescent="0.25">
      <c r="F702" t="s">
        <v>1933</v>
      </c>
      <c r="G702" t="s">
        <v>411</v>
      </c>
      <c r="H702" t="str">
        <f>VLOOKUP(record[[#This Row],[ProcessSN]],表格2_7[],2,FALSE)</f>
        <v>30-4118-018-570</v>
      </c>
      <c r="I702" t="str">
        <f>VLOOKUP(record[[#This Row],[ProcessSN]],表格2_7[],3,FALSE)</f>
        <v>#100SHIP</v>
      </c>
      <c r="J702" t="s">
        <v>600</v>
      </c>
      <c r="K702" s="195">
        <v>46147.406331018516</v>
      </c>
      <c r="L702">
        <v>75</v>
      </c>
      <c r="M702">
        <v>0</v>
      </c>
      <c r="N702" s="98" t="str">
        <f>IF(record[[#This Row],[Memo]]="Browser:chrome os:android","平板報工",IF(record[[#This Row],[Memo]]=0,"委外",record[[#This Row],[Memo]]))</f>
        <v/>
      </c>
      <c r="O702" t="s">
        <v>58</v>
      </c>
      <c r="P702" t="s">
        <v>886</v>
      </c>
      <c r="Q702" t="s">
        <v>58</v>
      </c>
      <c r="R702" t="str">
        <f>IFERROR(VLOOKUP(record[[#This Row],[PCUSTID]],廠商[],2,FALSE),"")</f>
        <v/>
      </c>
      <c r="S702" t="str">
        <f>VLOOKUP(record[[#This Row],[employeeID]],員工[],2,FALSE)</f>
        <v>謝蓁薰</v>
      </c>
    </row>
    <row r="703" spans="6:19" hidden="1" x14ac:dyDescent="0.25">
      <c r="F703" t="s">
        <v>1933</v>
      </c>
      <c r="G703" t="s">
        <v>410</v>
      </c>
      <c r="H703" t="str">
        <f>VLOOKUP(record[[#This Row],[ProcessSN]],表格2_7[],2,FALSE)</f>
        <v>30-4118-018-570</v>
      </c>
      <c r="I703" t="str">
        <f>VLOOKUP(record[[#This Row],[ProcessSN]],表格2_7[],3,FALSE)</f>
        <v>#100STOCK</v>
      </c>
      <c r="J703" t="s">
        <v>592</v>
      </c>
      <c r="K703" s="195">
        <v>46147.406180555554</v>
      </c>
      <c r="L703">
        <v>184</v>
      </c>
      <c r="M703">
        <v>0</v>
      </c>
      <c r="N703" s="98" t="str">
        <f>IF(record[[#This Row],[Memo]]="Browser:chrome os:android","平板報工",IF(record[[#This Row],[Memo]]=0,"委外",record[[#This Row],[Memo]]))</f>
        <v/>
      </c>
      <c r="O703" t="s">
        <v>58</v>
      </c>
      <c r="P703" t="s">
        <v>886</v>
      </c>
      <c r="Q703" t="s">
        <v>58</v>
      </c>
      <c r="R703" t="str">
        <f>IFERROR(VLOOKUP(record[[#This Row],[PCUSTID]],廠商[],2,FALSE),"")</f>
        <v/>
      </c>
      <c r="S703" t="str">
        <f>VLOOKUP(record[[#This Row],[employeeID]],員工[],2,FALSE)</f>
        <v>謝蓁薰</v>
      </c>
    </row>
    <row r="704" spans="6:19" hidden="1" x14ac:dyDescent="0.25">
      <c r="F704" t="s">
        <v>1862</v>
      </c>
      <c r="G704" t="s">
        <v>411</v>
      </c>
      <c r="H704" t="str">
        <f>VLOOKUP(record[[#This Row],[ProcessSN]],表格2_7[],2,FALSE)</f>
        <v>30-4118-018-570</v>
      </c>
      <c r="I704" t="str">
        <f>VLOOKUP(record[[#This Row],[ProcessSN]],表格2_7[],3,FALSE)</f>
        <v>#100SHIP</v>
      </c>
      <c r="J704" t="s">
        <v>600</v>
      </c>
      <c r="K704" s="195">
        <v>46147.4059837963</v>
      </c>
      <c r="L704">
        <v>25</v>
      </c>
      <c r="M704">
        <v>0</v>
      </c>
      <c r="N704" s="98" t="str">
        <f>IF(record[[#This Row],[Memo]]="Browser:chrome os:android","平板報工",IF(record[[#This Row],[Memo]]=0,"委外",record[[#This Row],[Memo]]))</f>
        <v/>
      </c>
      <c r="O704" t="s">
        <v>58</v>
      </c>
      <c r="P704" t="s">
        <v>886</v>
      </c>
      <c r="Q704" t="s">
        <v>58</v>
      </c>
      <c r="R704" t="str">
        <f>IFERROR(VLOOKUP(record[[#This Row],[PCUSTID]],廠商[],2,FALSE),"")</f>
        <v/>
      </c>
      <c r="S704" t="str">
        <f>VLOOKUP(record[[#This Row],[employeeID]],員工[],2,FALSE)</f>
        <v>謝蓁薰</v>
      </c>
    </row>
    <row r="705" spans="6:19" hidden="1" x14ac:dyDescent="0.25">
      <c r="F705" t="s">
        <v>1951</v>
      </c>
      <c r="G705" t="s">
        <v>428</v>
      </c>
      <c r="H705" t="str">
        <f>VLOOKUP(record[[#This Row],[ProcessSN]],表格2_7[],2,FALSE)</f>
        <v>30-4118-018-600</v>
      </c>
      <c r="I705" t="str">
        <f>VLOOKUP(record[[#This Row],[ProcessSN]],表格2_7[],3,FALSE)</f>
        <v>#100SHIP</v>
      </c>
      <c r="J705" t="s">
        <v>600</v>
      </c>
      <c r="K705" s="195">
        <v>46147.405729166669</v>
      </c>
      <c r="L705">
        <v>40</v>
      </c>
      <c r="M705">
        <v>0</v>
      </c>
      <c r="N705" s="98" t="str">
        <f>IF(record[[#This Row],[Memo]]="Browser:chrome os:android","平板報工",IF(record[[#This Row],[Memo]]=0,"委外",record[[#This Row],[Memo]]))</f>
        <v/>
      </c>
      <c r="O705" t="s">
        <v>58</v>
      </c>
      <c r="P705" t="s">
        <v>886</v>
      </c>
      <c r="Q705" t="s">
        <v>58</v>
      </c>
      <c r="R705" t="str">
        <f>IFERROR(VLOOKUP(record[[#This Row],[PCUSTID]],廠商[],2,FALSE),"")</f>
        <v/>
      </c>
      <c r="S705" t="str">
        <f>VLOOKUP(record[[#This Row],[employeeID]],員工[],2,FALSE)</f>
        <v>謝蓁薰</v>
      </c>
    </row>
    <row r="706" spans="6:19" hidden="1" x14ac:dyDescent="0.25">
      <c r="F706" t="s">
        <v>1951</v>
      </c>
      <c r="G706" t="s">
        <v>428</v>
      </c>
      <c r="H706" t="str">
        <f>VLOOKUP(record[[#This Row],[ProcessSN]],表格2_7[],2,FALSE)</f>
        <v>30-4118-018-600</v>
      </c>
      <c r="I706" t="str">
        <f>VLOOKUP(record[[#This Row],[ProcessSN]],表格2_7[],3,FALSE)</f>
        <v>#100SHIP</v>
      </c>
      <c r="J706" t="s">
        <v>600</v>
      </c>
      <c r="K706" s="195">
        <v>46147.405601851853</v>
      </c>
      <c r="L706">
        <v>12</v>
      </c>
      <c r="M706">
        <v>0</v>
      </c>
      <c r="N706" s="98" t="str">
        <f>IF(record[[#This Row],[Memo]]="Browser:chrome os:android","平板報工",IF(record[[#This Row],[Memo]]=0,"委外",record[[#This Row],[Memo]]))</f>
        <v/>
      </c>
      <c r="O706" t="s">
        <v>58</v>
      </c>
      <c r="P706" t="s">
        <v>886</v>
      </c>
      <c r="Q706" t="s">
        <v>58</v>
      </c>
      <c r="R706" t="str">
        <f>IFERROR(VLOOKUP(record[[#This Row],[PCUSTID]],廠商[],2,FALSE),"")</f>
        <v/>
      </c>
      <c r="S706" t="str">
        <f>VLOOKUP(record[[#This Row],[employeeID]],員工[],2,FALSE)</f>
        <v>謝蓁薰</v>
      </c>
    </row>
    <row r="707" spans="6:19" hidden="1" x14ac:dyDescent="0.25">
      <c r="F707" t="s">
        <v>1918</v>
      </c>
      <c r="G707" t="s">
        <v>428</v>
      </c>
      <c r="H707" t="str">
        <f>VLOOKUP(record[[#This Row],[ProcessSN]],表格2_7[],2,FALSE)</f>
        <v>30-4118-018-600</v>
      </c>
      <c r="I707" t="str">
        <f>VLOOKUP(record[[#This Row],[ProcessSN]],表格2_7[],3,FALSE)</f>
        <v>#100SHIP</v>
      </c>
      <c r="J707" t="s">
        <v>600</v>
      </c>
      <c r="K707" s="195">
        <v>46147.405474537038</v>
      </c>
      <c r="L707">
        <v>2</v>
      </c>
      <c r="M707">
        <v>0</v>
      </c>
      <c r="N707" s="98" t="str">
        <f>IF(record[[#This Row],[Memo]]="Browser:chrome os:android","平板報工",IF(record[[#This Row],[Memo]]=0,"委外",record[[#This Row],[Memo]]))</f>
        <v/>
      </c>
      <c r="O707" t="s">
        <v>58</v>
      </c>
      <c r="P707" t="s">
        <v>886</v>
      </c>
      <c r="Q707" t="s">
        <v>58</v>
      </c>
      <c r="R707" t="str">
        <f>IFERROR(VLOOKUP(record[[#This Row],[PCUSTID]],廠商[],2,FALSE),"")</f>
        <v/>
      </c>
      <c r="S707" t="str">
        <f>VLOOKUP(record[[#This Row],[employeeID]],員工[],2,FALSE)</f>
        <v>謝蓁薰</v>
      </c>
    </row>
    <row r="708" spans="6:19" hidden="1" x14ac:dyDescent="0.25">
      <c r="F708" t="s">
        <v>1951</v>
      </c>
      <c r="G708" t="s">
        <v>427</v>
      </c>
      <c r="H708" t="str">
        <f>VLOOKUP(record[[#This Row],[ProcessSN]],表格2_7[],2,FALSE)</f>
        <v>30-4118-018-600</v>
      </c>
      <c r="I708" t="str">
        <f>VLOOKUP(record[[#This Row],[ProcessSN]],表格2_7[],3,FALSE)</f>
        <v>#100STOCK</v>
      </c>
      <c r="J708" t="s">
        <v>592</v>
      </c>
      <c r="K708" s="195">
        <v>46147.405358796299</v>
      </c>
      <c r="L708">
        <v>210</v>
      </c>
      <c r="M708">
        <v>0</v>
      </c>
      <c r="N708" s="98" t="str">
        <f>IF(record[[#This Row],[Memo]]="Browser:chrome os:android","平板報工",IF(record[[#This Row],[Memo]]=0,"委外",record[[#This Row],[Memo]]))</f>
        <v/>
      </c>
      <c r="O708" t="s">
        <v>58</v>
      </c>
      <c r="P708" t="s">
        <v>886</v>
      </c>
      <c r="Q708" t="s">
        <v>58</v>
      </c>
      <c r="R708" t="str">
        <f>IFERROR(VLOOKUP(record[[#This Row],[PCUSTID]],廠商[],2,FALSE),"")</f>
        <v/>
      </c>
      <c r="S708" t="str">
        <f>VLOOKUP(record[[#This Row],[employeeID]],員工[],2,FALSE)</f>
        <v>謝蓁薰</v>
      </c>
    </row>
    <row r="709" spans="6:19" hidden="1" x14ac:dyDescent="0.25">
      <c r="F709" t="s">
        <v>1918</v>
      </c>
      <c r="G709" t="s">
        <v>427</v>
      </c>
      <c r="H709" t="str">
        <f>VLOOKUP(record[[#This Row],[ProcessSN]],表格2_7[],2,FALSE)</f>
        <v>30-4118-018-600</v>
      </c>
      <c r="I709" t="str">
        <f>VLOOKUP(record[[#This Row],[ProcessSN]],表格2_7[],3,FALSE)</f>
        <v>#100STOCK</v>
      </c>
      <c r="J709" t="s">
        <v>592</v>
      </c>
      <c r="K709" s="195">
        <v>46147.40520833333</v>
      </c>
      <c r="L709">
        <v>2</v>
      </c>
      <c r="M709">
        <v>0</v>
      </c>
      <c r="N709" s="98" t="str">
        <f>IF(record[[#This Row],[Memo]]="Browser:chrome os:android","平板報工",IF(record[[#This Row],[Memo]]=0,"委外",record[[#This Row],[Memo]]))</f>
        <v/>
      </c>
      <c r="O709" t="s">
        <v>58</v>
      </c>
      <c r="P709" t="s">
        <v>886</v>
      </c>
      <c r="Q709" t="s">
        <v>58</v>
      </c>
      <c r="R709" t="str">
        <f>IFERROR(VLOOKUP(record[[#This Row],[PCUSTID]],廠商[],2,FALSE),"")</f>
        <v/>
      </c>
      <c r="S709" t="str">
        <f>VLOOKUP(record[[#This Row],[employeeID]],員工[],2,FALSE)</f>
        <v>謝蓁薰</v>
      </c>
    </row>
    <row r="710" spans="6:19" hidden="1" x14ac:dyDescent="0.25">
      <c r="F710" t="s">
        <v>1857</v>
      </c>
      <c r="G710" t="s">
        <v>468</v>
      </c>
      <c r="H710" t="str">
        <f>VLOOKUP(record[[#This Row],[ProcessSN]],表格2_7[],2,FALSE)</f>
        <v>30-4118-018-XXX</v>
      </c>
      <c r="I710" t="str">
        <f>VLOOKUP(record[[#This Row],[ProcessSN]],表格2_7[],3,FALSE)</f>
        <v>#02</v>
      </c>
      <c r="J710" t="s">
        <v>590</v>
      </c>
      <c r="K710" s="195">
        <v>46147.39739583333</v>
      </c>
      <c r="L710">
        <v>1344</v>
      </c>
      <c r="M710">
        <v>0</v>
      </c>
      <c r="N710" s="98" t="str">
        <f>IF(record[[#This Row],[Memo]]="Browser:chrome os:android","平板報工",IF(record[[#This Row],[Memo]]=0,"委外",record[[#This Row],[Memo]]))</f>
        <v>委外</v>
      </c>
      <c r="P710" t="s">
        <v>186</v>
      </c>
      <c r="Q710" t="s">
        <v>216</v>
      </c>
      <c r="R710" t="str">
        <f>IFERROR(VLOOKUP(record[[#This Row],[PCUSTID]],廠商[],2,FALSE),"")</f>
        <v>俊杰</v>
      </c>
      <c r="S710" t="str">
        <f>VLOOKUP(record[[#This Row],[employeeID]],員工[],2,FALSE)</f>
        <v>許文姍</v>
      </c>
    </row>
    <row r="711" spans="6:19" hidden="1" x14ac:dyDescent="0.25">
      <c r="F711" t="s">
        <v>1965</v>
      </c>
      <c r="G711" t="s">
        <v>412</v>
      </c>
      <c r="H711" t="str">
        <f>VLOOKUP(record[[#This Row],[ProcessSN]],表格2_7[],2,FALSE)</f>
        <v>30-4118-018-5XX</v>
      </c>
      <c r="I711" t="str">
        <f>VLOOKUP(record[[#This Row],[ProcessSN]],表格2_7[],3,FALSE)</f>
        <v>#03PICK</v>
      </c>
      <c r="J711" t="s">
        <v>582</v>
      </c>
      <c r="K711" s="195">
        <v>46147.361446759256</v>
      </c>
      <c r="L711">
        <v>1492</v>
      </c>
      <c r="M711">
        <v>0</v>
      </c>
      <c r="N711" s="98" t="str">
        <f>IF(record[[#This Row],[Memo]]="Browser:chrome os:android","平板報工",IF(record[[#This Row],[Memo]]=0,"委外",record[[#This Row],[Memo]]))</f>
        <v/>
      </c>
      <c r="O711" t="s">
        <v>58</v>
      </c>
      <c r="P711" t="s">
        <v>1611</v>
      </c>
      <c r="Q711" t="s">
        <v>58</v>
      </c>
      <c r="R711" t="str">
        <f>IFERROR(VLOOKUP(record[[#This Row],[PCUSTID]],廠商[],2,FALSE),"")</f>
        <v/>
      </c>
      <c r="S711" t="str">
        <f>VLOOKUP(record[[#This Row],[employeeID]],員工[],2,FALSE)</f>
        <v>林沛瑄</v>
      </c>
    </row>
    <row r="712" spans="6:19" hidden="1" x14ac:dyDescent="0.25">
      <c r="F712" t="s">
        <v>1857</v>
      </c>
      <c r="G712" t="s">
        <v>467</v>
      </c>
      <c r="H712" t="str">
        <f>VLOOKUP(record[[#This Row],[ProcessSN]],表格2_7[],2,FALSE)</f>
        <v>30-4118-018-XXX</v>
      </c>
      <c r="I712" t="str">
        <f>VLOOKUP(record[[#This Row],[ProcessSN]],表格2_7[],3,FALSE)</f>
        <v>#01QC</v>
      </c>
      <c r="J712" t="s">
        <v>589</v>
      </c>
      <c r="K712" s="195">
        <v>46147.358263888891</v>
      </c>
      <c r="L712">
        <v>504</v>
      </c>
      <c r="M712">
        <v>0</v>
      </c>
      <c r="N712" s="98" t="str">
        <f>IF(record[[#This Row],[Memo]]="Browser:chrome os:android","平板報工",IF(record[[#This Row],[Memo]]=0,"委外",record[[#This Row],[Memo]]))</f>
        <v>平板報工</v>
      </c>
      <c r="O712" t="s">
        <v>643</v>
      </c>
      <c r="P712" t="s">
        <v>99</v>
      </c>
      <c r="Q712" t="s">
        <v>644</v>
      </c>
      <c r="R712" t="str">
        <f>IFERROR(VLOOKUP(record[[#This Row],[PCUSTID]],廠商[],2,FALSE),"")</f>
        <v/>
      </c>
      <c r="S712" t="str">
        <f>VLOOKUP(record[[#This Row],[employeeID]],員工[],2,FALSE)</f>
        <v>阮氏河</v>
      </c>
    </row>
    <row r="713" spans="6:19" hidden="1" x14ac:dyDescent="0.25">
      <c r="F713" t="s">
        <v>1857</v>
      </c>
      <c r="G713" t="s">
        <v>467</v>
      </c>
      <c r="H713" t="str">
        <f>VLOOKUP(record[[#This Row],[ProcessSN]],表格2_7[],2,FALSE)</f>
        <v>30-4118-018-XXX</v>
      </c>
      <c r="I713" t="str">
        <f>VLOOKUP(record[[#This Row],[ProcessSN]],表格2_7[],3,FALSE)</f>
        <v>#01QC</v>
      </c>
      <c r="J713" t="s">
        <v>589</v>
      </c>
      <c r="K713" s="195">
        <v>46147.352280092593</v>
      </c>
      <c r="L713">
        <v>840</v>
      </c>
      <c r="M713">
        <v>0</v>
      </c>
      <c r="N713" s="98" t="str">
        <f>IF(record[[#This Row],[Memo]]="Browser:chrome os:android","平板報工",IF(record[[#This Row],[Memo]]=0,"委外",record[[#This Row],[Memo]]))</f>
        <v>平板報工</v>
      </c>
      <c r="O713" t="s">
        <v>643</v>
      </c>
      <c r="P713" t="s">
        <v>99</v>
      </c>
      <c r="Q713" t="s">
        <v>644</v>
      </c>
      <c r="R713" t="str">
        <f>IFERROR(VLOOKUP(record[[#This Row],[PCUSTID]],廠商[],2,FALSE),"")</f>
        <v/>
      </c>
      <c r="S713" t="str">
        <f>VLOOKUP(record[[#This Row],[employeeID]],員工[],2,FALSE)</f>
        <v>阮氏河</v>
      </c>
    </row>
    <row r="714" spans="6:19" hidden="1" x14ac:dyDescent="0.25">
      <c r="F714" t="s">
        <v>1857</v>
      </c>
      <c r="G714" t="s">
        <v>471</v>
      </c>
      <c r="H714" t="str">
        <f>VLOOKUP(record[[#This Row],[ProcessSN]],表格2_7[],2,FALSE)</f>
        <v>30-4118-018-XXX</v>
      </c>
      <c r="I714" t="str">
        <f>VLOOKUP(record[[#This Row],[ProcessSN]],表格2_7[],3,FALSE)</f>
        <v>#02STOCK</v>
      </c>
      <c r="J714" t="s">
        <v>592</v>
      </c>
      <c r="K714" s="195">
        <v>46147.347581018519</v>
      </c>
      <c r="L714">
        <v>1492</v>
      </c>
      <c r="M714">
        <v>0</v>
      </c>
      <c r="N714" s="98" t="str">
        <f>IF(record[[#This Row],[Memo]]="Browser:chrome os:android","平板報工",IF(record[[#This Row],[Memo]]=0,"委外",record[[#This Row],[Memo]]))</f>
        <v/>
      </c>
      <c r="O714" t="s">
        <v>58</v>
      </c>
      <c r="P714" t="s">
        <v>1698</v>
      </c>
      <c r="Q714" t="s">
        <v>58</v>
      </c>
      <c r="R714" t="str">
        <f>IFERROR(VLOOKUP(record[[#This Row],[PCUSTID]],廠商[],2,FALSE),"")</f>
        <v/>
      </c>
      <c r="S714" t="str">
        <f>VLOOKUP(record[[#This Row],[employeeID]],員工[],2,FALSE)</f>
        <v>羅思潔</v>
      </c>
    </row>
    <row r="715" spans="6:19" hidden="1" x14ac:dyDescent="0.25">
      <c r="F715" t="s">
        <v>1859</v>
      </c>
      <c r="G715" t="s">
        <v>451</v>
      </c>
      <c r="H715" t="str">
        <f>VLOOKUP(record[[#This Row],[ProcessSN]],表格2_7[],2,FALSE)</f>
        <v>30-4118-018-6XX</v>
      </c>
      <c r="I715" t="str">
        <f>VLOOKUP(record[[#This Row],[ProcessSN]],表格2_7[],3,FALSE)</f>
        <v>#07</v>
      </c>
      <c r="J715" t="s">
        <v>588</v>
      </c>
      <c r="K715" s="195">
        <v>46147.320439814815</v>
      </c>
      <c r="L715">
        <v>57</v>
      </c>
      <c r="M715">
        <v>0</v>
      </c>
      <c r="N715" s="98" t="str">
        <f>IF(record[[#This Row],[Memo]]="Browser:chrome os:android","平板報工",IF(record[[#This Row],[Memo]]=0,"委外",record[[#This Row],[Memo]]))</f>
        <v/>
      </c>
      <c r="O715" t="s">
        <v>58</v>
      </c>
      <c r="P715" t="s">
        <v>1098</v>
      </c>
      <c r="Q715" t="s">
        <v>58</v>
      </c>
      <c r="R715" t="str">
        <f>IFERROR(VLOOKUP(record[[#This Row],[PCUSTID]],廠商[],2,FALSE),"")</f>
        <v/>
      </c>
      <c r="S715" t="str">
        <f>VLOOKUP(record[[#This Row],[employeeID]],員工[],2,FALSE)</f>
        <v>阮氏芳英(英)</v>
      </c>
    </row>
    <row r="716" spans="6:19" hidden="1" x14ac:dyDescent="0.25">
      <c r="F716" t="s">
        <v>1857</v>
      </c>
      <c r="G716" t="s">
        <v>466</v>
      </c>
      <c r="H716" t="str">
        <f>VLOOKUP(record[[#This Row],[ProcessSN]],表格2_7[],2,FALSE)</f>
        <v>30-4118-018-XXX</v>
      </c>
      <c r="I716" t="str">
        <f>VLOOKUP(record[[#This Row],[ProcessSN]],表格2_7[],3,FALSE)</f>
        <v>#01-2</v>
      </c>
      <c r="J716" t="s">
        <v>588</v>
      </c>
      <c r="K716" s="195">
        <v>46147.319988425923</v>
      </c>
      <c r="L716">
        <v>270</v>
      </c>
      <c r="M716">
        <v>0</v>
      </c>
      <c r="N716" s="98" t="str">
        <f>IF(record[[#This Row],[Memo]]="Browser:chrome os:android","平板報工",IF(record[[#This Row],[Memo]]=0,"委外",record[[#This Row],[Memo]]))</f>
        <v/>
      </c>
      <c r="O716" t="s">
        <v>58</v>
      </c>
      <c r="P716" t="s">
        <v>1098</v>
      </c>
      <c r="Q716" t="s">
        <v>58</v>
      </c>
      <c r="R716" t="str">
        <f>IFERROR(VLOOKUP(record[[#This Row],[PCUSTID]],廠商[],2,FALSE),"")</f>
        <v/>
      </c>
      <c r="S716" t="str">
        <f>VLOOKUP(record[[#This Row],[employeeID]],員工[],2,FALSE)</f>
        <v>阮氏芳英(英)</v>
      </c>
    </row>
    <row r="717" spans="6:19" hidden="1" x14ac:dyDescent="0.25">
      <c r="F717" t="s">
        <v>1909</v>
      </c>
      <c r="G717" t="s">
        <v>377</v>
      </c>
      <c r="H717" t="str">
        <f>VLOOKUP(record[[#This Row],[ProcessSN]],表格2_7[],2,FALSE)</f>
        <v>30-4118-018-4XX</v>
      </c>
      <c r="I717" t="str">
        <f>VLOOKUP(record[[#This Row],[ProcessSN]],表格2_7[],3,FALSE)</f>
        <v>#07</v>
      </c>
      <c r="J717" t="s">
        <v>588</v>
      </c>
      <c r="K717" s="195">
        <v>46147.316921296297</v>
      </c>
      <c r="L717">
        <v>0</v>
      </c>
      <c r="M717">
        <v>1</v>
      </c>
      <c r="N717" s="98" t="str">
        <f>IF(record[[#This Row],[Memo]]="Browser:chrome os:android","平板報工",IF(record[[#This Row],[Memo]]=0,"委外",record[[#This Row],[Memo]]))</f>
        <v>晚5/1</v>
      </c>
      <c r="O717" t="s">
        <v>1964</v>
      </c>
      <c r="P717" t="s">
        <v>135</v>
      </c>
      <c r="Q717" t="s">
        <v>58</v>
      </c>
      <c r="R717" t="str">
        <f>IFERROR(VLOOKUP(record[[#This Row],[PCUSTID]],廠商[],2,FALSE),"")</f>
        <v/>
      </c>
      <c r="S717" t="str">
        <f>VLOOKUP(record[[#This Row],[employeeID]],員工[],2,FALSE)</f>
        <v>阮士文</v>
      </c>
    </row>
    <row r="718" spans="6:19" x14ac:dyDescent="0.25">
      <c r="F718" t="s">
        <v>1924</v>
      </c>
      <c r="G718" t="s">
        <v>448</v>
      </c>
      <c r="H718" t="str">
        <f>VLOOKUP(record[[#This Row],[ProcessSN]],表格2_7[],2,FALSE)</f>
        <v>30-4118-018-6XX</v>
      </c>
      <c r="I718" t="str">
        <f>VLOOKUP(record[[#This Row],[ProcessSN]],表格2_7[],3,FALSE)</f>
        <v>#04</v>
      </c>
      <c r="J718" t="s">
        <v>588</v>
      </c>
      <c r="K718" s="195">
        <v>46147.28802083333</v>
      </c>
      <c r="L718">
        <v>111</v>
      </c>
      <c r="M718">
        <v>0</v>
      </c>
      <c r="N718" s="98" t="str">
        <f>IF(record[[#This Row],[Memo]]="Browser:chrome os:android","平板報工",IF(record[[#This Row],[Memo]]=0,"委外",record[[#This Row],[Memo]]))</f>
        <v>平板報工</v>
      </c>
      <c r="O718" t="s">
        <v>643</v>
      </c>
      <c r="P718" t="s">
        <v>806</v>
      </c>
      <c r="Q718" t="s">
        <v>644</v>
      </c>
      <c r="R718" t="str">
        <f>IFERROR(VLOOKUP(record[[#This Row],[PCUSTID]],廠商[],2,FALSE),"")</f>
        <v/>
      </c>
      <c r="S718" t="str">
        <f>VLOOKUP(record[[#This Row],[employeeID]],員工[],2,FALSE)</f>
        <v>方思緯</v>
      </c>
    </row>
    <row r="719" spans="6:19" hidden="1" x14ac:dyDescent="0.25">
      <c r="F719" t="s">
        <v>1909</v>
      </c>
      <c r="G719" t="s">
        <v>374</v>
      </c>
      <c r="H719" t="str">
        <f>VLOOKUP(record[[#This Row],[ProcessSN]],表格2_7[],2,FALSE)</f>
        <v>30-4118-018-4XX</v>
      </c>
      <c r="I719" t="str">
        <f>VLOOKUP(record[[#This Row],[ProcessSN]],表格2_7[],3,FALSE)</f>
        <v>#04</v>
      </c>
      <c r="J719" t="s">
        <v>588</v>
      </c>
      <c r="K719" s="195">
        <v>46147.25849537037</v>
      </c>
      <c r="L719">
        <v>97</v>
      </c>
      <c r="M719">
        <v>1</v>
      </c>
      <c r="N719" s="98" t="str">
        <f>IF(record[[#This Row],[Memo]]="Browser:chrome os:android","平板報工",IF(record[[#This Row],[Memo]]=0,"委外",record[[#This Row],[Memo]]))</f>
        <v>平板報工</v>
      </c>
      <c r="O719" t="s">
        <v>643</v>
      </c>
      <c r="P719" t="s">
        <v>806</v>
      </c>
      <c r="Q719" t="s">
        <v>644</v>
      </c>
      <c r="R719" t="str">
        <f>IFERROR(VLOOKUP(record[[#This Row],[PCUSTID]],廠商[],2,FALSE),"")</f>
        <v/>
      </c>
      <c r="S719" t="str">
        <f>VLOOKUP(record[[#This Row],[employeeID]],員工[],2,FALSE)</f>
        <v>方思緯</v>
      </c>
    </row>
    <row r="720" spans="6:19" hidden="1" x14ac:dyDescent="0.25">
      <c r="F720" t="s">
        <v>1859</v>
      </c>
      <c r="G720" t="s">
        <v>450</v>
      </c>
      <c r="H720" t="str">
        <f>VLOOKUP(record[[#This Row],[ProcessSN]],表格2_7[],2,FALSE)</f>
        <v>30-4118-018-6XX</v>
      </c>
      <c r="I720" t="str">
        <f>VLOOKUP(record[[#This Row],[ProcessSN]],表格2_7[],3,FALSE)</f>
        <v>#06</v>
      </c>
      <c r="J720" t="s">
        <v>593</v>
      </c>
      <c r="K720" s="195">
        <v>46147.143217592595</v>
      </c>
      <c r="L720">
        <v>69</v>
      </c>
      <c r="M720">
        <v>0</v>
      </c>
      <c r="N720" s="98" t="str">
        <f>IF(record[[#This Row],[Memo]]="Browser:chrome os:android","平板報工",IF(record[[#This Row],[Memo]]=0,"委外",record[[#This Row],[Memo]]))</f>
        <v>平板報工</v>
      </c>
      <c r="O720" t="s">
        <v>643</v>
      </c>
      <c r="P720" t="s">
        <v>115</v>
      </c>
      <c r="Q720" t="s">
        <v>644</v>
      </c>
      <c r="R720" t="str">
        <f>IFERROR(VLOOKUP(record[[#This Row],[PCUSTID]],廠商[],2,FALSE),"")</f>
        <v/>
      </c>
      <c r="S720" t="str">
        <f>VLOOKUP(record[[#This Row],[employeeID]],員工[],2,FALSE)</f>
        <v>溫智淵</v>
      </c>
    </row>
    <row r="721" spans="6:19" x14ac:dyDescent="0.25">
      <c r="F721" t="s">
        <v>1924</v>
      </c>
      <c r="G721" t="s">
        <v>451</v>
      </c>
      <c r="H721" t="str">
        <f>VLOOKUP(record[[#This Row],[ProcessSN]],表格2_7[],2,FALSE)</f>
        <v>30-4118-018-6XX</v>
      </c>
      <c r="I721" t="str">
        <f>VLOOKUP(record[[#This Row],[ProcessSN]],表格2_7[],3,FALSE)</f>
        <v>#07</v>
      </c>
      <c r="J721" t="s">
        <v>588</v>
      </c>
      <c r="K721" s="195">
        <v>46147.139537037037</v>
      </c>
      <c r="L721">
        <v>73</v>
      </c>
      <c r="M721">
        <v>0</v>
      </c>
      <c r="N721" s="98" t="str">
        <f>IF(record[[#This Row],[Memo]]="Browser:chrome os:android","平板報工",IF(record[[#This Row],[Memo]]=0,"委外",record[[#This Row],[Memo]]))</f>
        <v>平板報工</v>
      </c>
      <c r="O721" t="s">
        <v>643</v>
      </c>
      <c r="P721" t="s">
        <v>1098</v>
      </c>
      <c r="Q721" t="s">
        <v>644</v>
      </c>
      <c r="R721" t="str">
        <f>IFERROR(VLOOKUP(record[[#This Row],[PCUSTID]],廠商[],2,FALSE),"")</f>
        <v/>
      </c>
      <c r="S721" t="str">
        <f>VLOOKUP(record[[#This Row],[employeeID]],員工[],2,FALSE)</f>
        <v>阮氏芳英(英)</v>
      </c>
    </row>
    <row r="722" spans="6:19" x14ac:dyDescent="0.25">
      <c r="F722" t="s">
        <v>1924</v>
      </c>
      <c r="G722" t="s">
        <v>449</v>
      </c>
      <c r="H722" t="str">
        <f>VLOOKUP(record[[#This Row],[ProcessSN]],表格2_7[],2,FALSE)</f>
        <v>30-4118-018-6XX</v>
      </c>
      <c r="I722" t="str">
        <f>VLOOKUP(record[[#This Row],[ProcessSN]],表格2_7[],3,FALSE)</f>
        <v>#05</v>
      </c>
      <c r="J722" t="s">
        <v>588</v>
      </c>
      <c r="K722" s="195">
        <v>46147.139120370368</v>
      </c>
      <c r="L722">
        <v>147</v>
      </c>
      <c r="M722">
        <v>0</v>
      </c>
      <c r="N722" s="98" t="str">
        <f>IF(record[[#This Row],[Memo]]="Browser:chrome os:android","平板報工",IF(record[[#This Row],[Memo]]=0,"委外",record[[#This Row],[Memo]]))</f>
        <v>平板報工</v>
      </c>
      <c r="O722" t="s">
        <v>643</v>
      </c>
      <c r="P722" t="s">
        <v>1098</v>
      </c>
      <c r="Q722" t="s">
        <v>644</v>
      </c>
      <c r="R722" t="str">
        <f>IFERROR(VLOOKUP(record[[#This Row],[PCUSTID]],廠商[],2,FALSE),"")</f>
        <v/>
      </c>
      <c r="S722" t="str">
        <f>VLOOKUP(record[[#This Row],[employeeID]],員工[],2,FALSE)</f>
        <v>阮氏芳英(英)</v>
      </c>
    </row>
    <row r="723" spans="6:19" hidden="1" x14ac:dyDescent="0.25">
      <c r="F723" t="s">
        <v>1859</v>
      </c>
      <c r="G723" t="s">
        <v>450</v>
      </c>
      <c r="H723" t="str">
        <f>VLOOKUP(record[[#This Row],[ProcessSN]],表格2_7[],2,FALSE)</f>
        <v>30-4118-018-6XX</v>
      </c>
      <c r="I723" t="str">
        <f>VLOOKUP(record[[#This Row],[ProcessSN]],表格2_7[],3,FALSE)</f>
        <v>#06</v>
      </c>
      <c r="J723" t="s">
        <v>593</v>
      </c>
      <c r="K723" s="195">
        <v>46147.019861111112</v>
      </c>
      <c r="L723">
        <v>90</v>
      </c>
      <c r="M723">
        <v>0</v>
      </c>
      <c r="N723" s="98" t="str">
        <f>IF(record[[#This Row],[Memo]]="Browser:chrome os:android","平板報工",IF(record[[#This Row],[Memo]]=0,"委外",record[[#This Row],[Memo]]))</f>
        <v/>
      </c>
      <c r="O723" t="s">
        <v>58</v>
      </c>
      <c r="P723" t="s">
        <v>841</v>
      </c>
      <c r="Q723" t="s">
        <v>58</v>
      </c>
      <c r="R723" t="str">
        <f>IFERROR(VLOOKUP(record[[#This Row],[PCUSTID]],廠商[],2,FALSE),"")</f>
        <v/>
      </c>
      <c r="S723" t="str">
        <f>VLOOKUP(record[[#This Row],[employeeID]],員工[],2,FALSE)</f>
        <v>范氏香</v>
      </c>
    </row>
    <row r="724" spans="6:19" hidden="1" x14ac:dyDescent="0.25">
      <c r="F724" t="s">
        <v>1944</v>
      </c>
      <c r="G724" t="s">
        <v>414</v>
      </c>
      <c r="H724" t="str">
        <f>VLOOKUP(record[[#This Row],[ProcessSN]],表格2_7[],2,FALSE)</f>
        <v>30-4118-018-5XX</v>
      </c>
      <c r="I724" t="str">
        <f>VLOOKUP(record[[#This Row],[ProcessSN]],表格2_7[],3,FALSE)</f>
        <v>#03</v>
      </c>
      <c r="J724" t="s">
        <v>588</v>
      </c>
      <c r="K724" s="195">
        <v>46147.018750000003</v>
      </c>
      <c r="L724">
        <v>356</v>
      </c>
      <c r="M724">
        <v>0</v>
      </c>
      <c r="N724" s="98" t="str">
        <f>IF(record[[#This Row],[Memo]]="Browser:chrome os:android","平板報工",IF(record[[#This Row],[Memo]]=0,"委外",record[[#This Row],[Memo]]))</f>
        <v/>
      </c>
      <c r="O724" t="s">
        <v>58</v>
      </c>
      <c r="P724" t="s">
        <v>135</v>
      </c>
      <c r="Q724" t="s">
        <v>58</v>
      </c>
      <c r="R724" t="str">
        <f>IFERROR(VLOOKUP(record[[#This Row],[PCUSTID]],廠商[],2,FALSE),"")</f>
        <v/>
      </c>
      <c r="S724" t="str">
        <f>VLOOKUP(record[[#This Row],[employeeID]],員工[],2,FALSE)</f>
        <v>阮士文</v>
      </c>
    </row>
    <row r="725" spans="6:19" hidden="1" x14ac:dyDescent="0.25">
      <c r="F725" t="s">
        <v>1859</v>
      </c>
      <c r="G725" t="s">
        <v>449</v>
      </c>
      <c r="H725" t="str">
        <f>VLOOKUP(record[[#This Row],[ProcessSN]],表格2_7[],2,FALSE)</f>
        <v>30-4118-018-6XX</v>
      </c>
      <c r="I725" t="str">
        <f>VLOOKUP(record[[#This Row],[ProcessSN]],表格2_7[],3,FALSE)</f>
        <v>#05</v>
      </c>
      <c r="J725" t="s">
        <v>588</v>
      </c>
      <c r="K725" s="195">
        <v>46147.017245370371</v>
      </c>
      <c r="L725">
        <v>108</v>
      </c>
      <c r="M725">
        <v>0</v>
      </c>
      <c r="N725" s="98" t="str">
        <f>IF(record[[#This Row],[Memo]]="Browser:chrome os:android","平板報工",IF(record[[#This Row],[Memo]]=0,"委外",record[[#This Row],[Memo]]))</f>
        <v/>
      </c>
      <c r="O725" t="s">
        <v>58</v>
      </c>
      <c r="P725" t="s">
        <v>1098</v>
      </c>
      <c r="Q725" t="s">
        <v>58</v>
      </c>
      <c r="R725" t="str">
        <f>IFERROR(VLOOKUP(record[[#This Row],[PCUSTID]],廠商[],2,FALSE),"")</f>
        <v/>
      </c>
      <c r="S725" t="str">
        <f>VLOOKUP(record[[#This Row],[employeeID]],員工[],2,FALSE)</f>
        <v>阮氏芳英(英)</v>
      </c>
    </row>
    <row r="726" spans="6:19" hidden="1" x14ac:dyDescent="0.25">
      <c r="F726" t="s">
        <v>1859</v>
      </c>
      <c r="G726" t="s">
        <v>448</v>
      </c>
      <c r="H726" t="str">
        <f>VLOOKUP(record[[#This Row],[ProcessSN]],表格2_7[],2,FALSE)</f>
        <v>30-4118-018-6XX</v>
      </c>
      <c r="I726" t="str">
        <f>VLOOKUP(record[[#This Row],[ProcessSN]],表格2_7[],3,FALSE)</f>
        <v>#04</v>
      </c>
      <c r="J726" t="s">
        <v>588</v>
      </c>
      <c r="K726" s="195">
        <v>46147.016828703701</v>
      </c>
      <c r="L726">
        <v>52</v>
      </c>
      <c r="M726">
        <v>0</v>
      </c>
      <c r="N726" s="98" t="str">
        <f>IF(record[[#This Row],[Memo]]="Browser:chrome os:android","平板報工",IF(record[[#This Row],[Memo]]=0,"委外",record[[#This Row],[Memo]]))</f>
        <v>補報</v>
      </c>
      <c r="O726" t="s">
        <v>868</v>
      </c>
      <c r="P726" t="s">
        <v>127</v>
      </c>
      <c r="Q726" t="s">
        <v>58</v>
      </c>
      <c r="R726" t="str">
        <f>IFERROR(VLOOKUP(record[[#This Row],[PCUSTID]],廠商[],2,FALSE),"")</f>
        <v/>
      </c>
      <c r="S726" t="str">
        <f>VLOOKUP(record[[#This Row],[employeeID]],員工[],2,FALSE)</f>
        <v>潘雪梅</v>
      </c>
    </row>
    <row r="727" spans="6:19" x14ac:dyDescent="0.25">
      <c r="F727" t="s">
        <v>1924</v>
      </c>
      <c r="G727" t="s">
        <v>449</v>
      </c>
      <c r="H727" t="str">
        <f>VLOOKUP(record[[#This Row],[ProcessSN]],表格2_7[],2,FALSE)</f>
        <v>30-4118-018-6XX</v>
      </c>
      <c r="I727" t="str">
        <f>VLOOKUP(record[[#This Row],[ProcessSN]],表格2_7[],3,FALSE)</f>
        <v>#05</v>
      </c>
      <c r="J727" t="s">
        <v>588</v>
      </c>
      <c r="K727" s="195">
        <v>46146.997129629628</v>
      </c>
      <c r="L727">
        <v>21</v>
      </c>
      <c r="M727">
        <v>0</v>
      </c>
      <c r="N727" s="98" t="str">
        <f>IF(record[[#This Row],[Memo]]="Browser:chrome os:android","平板報工",IF(record[[#This Row],[Memo]]=0,"委外",record[[#This Row],[Memo]]))</f>
        <v/>
      </c>
      <c r="O727" t="s">
        <v>58</v>
      </c>
      <c r="P727" t="s">
        <v>1098</v>
      </c>
      <c r="Q727" t="s">
        <v>58</v>
      </c>
      <c r="R727" t="str">
        <f>IFERROR(VLOOKUP(record[[#This Row],[PCUSTID]],廠商[],2,FALSE),"")</f>
        <v/>
      </c>
      <c r="S727" t="str">
        <f>VLOOKUP(record[[#This Row],[employeeID]],員工[],2,FALSE)</f>
        <v>阮氏芳英(英)</v>
      </c>
    </row>
    <row r="728" spans="6:19" hidden="1" x14ac:dyDescent="0.25">
      <c r="F728" t="s">
        <v>1857</v>
      </c>
      <c r="G728" t="s">
        <v>466</v>
      </c>
      <c r="H728" t="str">
        <f>VLOOKUP(record[[#This Row],[ProcessSN]],表格2_7[],2,FALSE)</f>
        <v>30-4118-018-XXX</v>
      </c>
      <c r="I728" t="str">
        <f>VLOOKUP(record[[#This Row],[ProcessSN]],表格2_7[],3,FALSE)</f>
        <v>#01-2</v>
      </c>
      <c r="J728" t="s">
        <v>588</v>
      </c>
      <c r="K728" s="195">
        <v>46146.993842592594</v>
      </c>
      <c r="L728">
        <v>408</v>
      </c>
      <c r="M728">
        <v>0</v>
      </c>
      <c r="N728" s="98" t="str">
        <f>IF(record[[#This Row],[Memo]]="Browser:chrome os:android","平板報工",IF(record[[#This Row],[Memo]]=0,"委外",record[[#This Row],[Memo]]))</f>
        <v>平板報工</v>
      </c>
      <c r="O728" t="s">
        <v>643</v>
      </c>
      <c r="P728" t="s">
        <v>1847</v>
      </c>
      <c r="Q728" t="s">
        <v>644</v>
      </c>
      <c r="R728" t="str">
        <f>IFERROR(VLOOKUP(record[[#This Row],[PCUSTID]],廠商[],2,FALSE),"")</f>
        <v/>
      </c>
      <c r="S728" t="str">
        <f>VLOOKUP(record[[#This Row],[employeeID]],員工[],2,FALSE)</f>
        <v>潘黎慶平</v>
      </c>
    </row>
    <row r="729" spans="6:19" x14ac:dyDescent="0.25">
      <c r="F729" t="s">
        <v>1924</v>
      </c>
      <c r="G729" t="s">
        <v>448</v>
      </c>
      <c r="H729" t="str">
        <f>VLOOKUP(record[[#This Row],[ProcessSN]],表格2_7[],2,FALSE)</f>
        <v>30-4118-018-6XX</v>
      </c>
      <c r="I729" t="str">
        <f>VLOOKUP(record[[#This Row],[ProcessSN]],表格2_7[],3,FALSE)</f>
        <v>#04</v>
      </c>
      <c r="J729" t="s">
        <v>588</v>
      </c>
      <c r="K729" s="195">
        <v>46146.992511574077</v>
      </c>
      <c r="L729">
        <v>106</v>
      </c>
      <c r="M729">
        <v>0</v>
      </c>
      <c r="N729" s="98" t="str">
        <f>IF(record[[#This Row],[Memo]]="Browser:chrome os:android","平板報工",IF(record[[#This Row],[Memo]]=0,"委外",record[[#This Row],[Memo]]))</f>
        <v>平板報工</v>
      </c>
      <c r="O729" t="s">
        <v>643</v>
      </c>
      <c r="P729" t="s">
        <v>89</v>
      </c>
      <c r="Q729" t="s">
        <v>644</v>
      </c>
      <c r="R729" t="str">
        <f>IFERROR(VLOOKUP(record[[#This Row],[PCUSTID]],廠商[],2,FALSE),"")</f>
        <v/>
      </c>
      <c r="S729" t="str">
        <f>VLOOKUP(record[[#This Row],[employeeID]],員工[],2,FALSE)</f>
        <v>李美蓮</v>
      </c>
    </row>
    <row r="730" spans="6:19" hidden="1" x14ac:dyDescent="0.25">
      <c r="F730" t="s">
        <v>1909</v>
      </c>
      <c r="G730" t="s">
        <v>374</v>
      </c>
      <c r="H730" t="str">
        <f>VLOOKUP(record[[#This Row],[ProcessSN]],表格2_7[],2,FALSE)</f>
        <v>30-4118-018-4XX</v>
      </c>
      <c r="I730" t="str">
        <f>VLOOKUP(record[[#This Row],[ProcessSN]],表格2_7[],3,FALSE)</f>
        <v>#04</v>
      </c>
      <c r="J730" t="s">
        <v>588</v>
      </c>
      <c r="K730" s="195">
        <v>46146.992291666669</v>
      </c>
      <c r="L730">
        <v>48</v>
      </c>
      <c r="M730">
        <v>10</v>
      </c>
      <c r="N730" s="98" t="str">
        <f>IF(record[[#This Row],[Memo]]="Browser:chrome os:android","平板報工",IF(record[[#This Row],[Memo]]=0,"委外",record[[#This Row],[Memo]]))</f>
        <v>平板報工</v>
      </c>
      <c r="O730" t="s">
        <v>643</v>
      </c>
      <c r="P730" t="s">
        <v>89</v>
      </c>
      <c r="Q730" t="s">
        <v>644</v>
      </c>
      <c r="R730" t="str">
        <f>IFERROR(VLOOKUP(record[[#This Row],[PCUSTID]],廠商[],2,FALSE),"")</f>
        <v/>
      </c>
      <c r="S730" t="str">
        <f>VLOOKUP(record[[#This Row],[employeeID]],員工[],2,FALSE)</f>
        <v>李美蓮</v>
      </c>
    </row>
    <row r="731" spans="6:19" hidden="1" x14ac:dyDescent="0.25">
      <c r="F731" t="s">
        <v>1859</v>
      </c>
      <c r="G731" t="s">
        <v>451</v>
      </c>
      <c r="H731" t="str">
        <f>VLOOKUP(record[[#This Row],[ProcessSN]],表格2_7[],2,FALSE)</f>
        <v>30-4118-018-6XX</v>
      </c>
      <c r="I731" t="str">
        <f>VLOOKUP(record[[#This Row],[ProcessSN]],表格2_7[],3,FALSE)</f>
        <v>#07</v>
      </c>
      <c r="J731" t="s">
        <v>588</v>
      </c>
      <c r="K731" s="195">
        <v>46146.980879629627</v>
      </c>
      <c r="L731">
        <v>75</v>
      </c>
      <c r="M731">
        <v>0</v>
      </c>
      <c r="N731" s="98" t="str">
        <f>IF(record[[#This Row],[Memo]]="Browser:chrome os:android","平板報工",IF(record[[#This Row],[Memo]]=0,"委外",record[[#This Row],[Memo]]))</f>
        <v>平板報工</v>
      </c>
      <c r="O731" t="s">
        <v>643</v>
      </c>
      <c r="P731" t="s">
        <v>1098</v>
      </c>
      <c r="Q731" t="s">
        <v>644</v>
      </c>
      <c r="R731" t="str">
        <f>IFERROR(VLOOKUP(record[[#This Row],[PCUSTID]],廠商[],2,FALSE),"")</f>
        <v/>
      </c>
      <c r="S731" t="str">
        <f>VLOOKUP(record[[#This Row],[employeeID]],員工[],2,FALSE)</f>
        <v>阮氏芳英(英)</v>
      </c>
    </row>
    <row r="732" spans="6:19" x14ac:dyDescent="0.25">
      <c r="F732" t="s">
        <v>1924</v>
      </c>
      <c r="G732" t="s">
        <v>451</v>
      </c>
      <c r="H732" t="str">
        <f>VLOOKUP(record[[#This Row],[ProcessSN]],表格2_7[],2,FALSE)</f>
        <v>30-4118-018-6XX</v>
      </c>
      <c r="I732" t="str">
        <f>VLOOKUP(record[[#This Row],[ProcessSN]],表格2_7[],3,FALSE)</f>
        <v>#07</v>
      </c>
      <c r="J732" t="s">
        <v>588</v>
      </c>
      <c r="K732" s="195">
        <v>46146.980706018519</v>
      </c>
      <c r="L732">
        <v>94</v>
      </c>
      <c r="M732">
        <v>1</v>
      </c>
      <c r="N732" s="98" t="str">
        <f>IF(record[[#This Row],[Memo]]="Browser:chrome os:android","平板報工",IF(record[[#This Row],[Memo]]=0,"委外",record[[#This Row],[Memo]]))</f>
        <v>平板報工</v>
      </c>
      <c r="O732" t="s">
        <v>643</v>
      </c>
      <c r="P732" t="s">
        <v>1098</v>
      </c>
      <c r="Q732" t="s">
        <v>644</v>
      </c>
      <c r="R732" t="str">
        <f>IFERROR(VLOOKUP(record[[#This Row],[PCUSTID]],廠商[],2,FALSE),"")</f>
        <v/>
      </c>
      <c r="S732" t="str">
        <f>VLOOKUP(record[[#This Row],[employeeID]],員工[],2,FALSE)</f>
        <v>阮氏芳英(英)</v>
      </c>
    </row>
    <row r="733" spans="6:19" x14ac:dyDescent="0.25">
      <c r="F733" t="s">
        <v>1924</v>
      </c>
      <c r="G733" t="s">
        <v>450</v>
      </c>
      <c r="H733" t="str">
        <f>VLOOKUP(record[[#This Row],[ProcessSN]],表格2_7[],2,FALSE)</f>
        <v>30-4118-018-6XX</v>
      </c>
      <c r="I733" t="str">
        <f>VLOOKUP(record[[#This Row],[ProcessSN]],表格2_7[],3,FALSE)</f>
        <v>#06</v>
      </c>
      <c r="J733" t="s">
        <v>593</v>
      </c>
      <c r="K733" s="195">
        <v>46146.980231481481</v>
      </c>
      <c r="L733">
        <v>44</v>
      </c>
      <c r="M733">
        <v>0</v>
      </c>
      <c r="N733" s="98" t="str">
        <f>IF(record[[#This Row],[Memo]]="Browser:chrome os:android","平板報工",IF(record[[#This Row],[Memo]]=0,"委外",record[[#This Row],[Memo]]))</f>
        <v>平板報工</v>
      </c>
      <c r="O733" t="s">
        <v>643</v>
      </c>
      <c r="P733" t="s">
        <v>841</v>
      </c>
      <c r="Q733" t="s">
        <v>644</v>
      </c>
      <c r="R733" t="str">
        <f>IFERROR(VLOOKUP(record[[#This Row],[PCUSTID]],廠商[],2,FALSE),"")</f>
        <v/>
      </c>
      <c r="S733" t="str">
        <f>VLOOKUP(record[[#This Row],[employeeID]],員工[],2,FALSE)</f>
        <v>范氏香</v>
      </c>
    </row>
    <row r="734" spans="6:19" x14ac:dyDescent="0.25">
      <c r="F734" t="s">
        <v>1924</v>
      </c>
      <c r="G734" t="s">
        <v>450</v>
      </c>
      <c r="H734" t="str">
        <f>VLOOKUP(record[[#This Row],[ProcessSN]],表格2_7[],2,FALSE)</f>
        <v>30-4118-018-6XX</v>
      </c>
      <c r="I734" t="str">
        <f>VLOOKUP(record[[#This Row],[ProcessSN]],表格2_7[],3,FALSE)</f>
        <v>#06</v>
      </c>
      <c r="J734" t="s">
        <v>593</v>
      </c>
      <c r="K734" s="195">
        <v>46146.833611111113</v>
      </c>
      <c r="L734">
        <v>107</v>
      </c>
      <c r="M734">
        <v>0</v>
      </c>
      <c r="N734" s="98" t="str">
        <f>IF(record[[#This Row],[Memo]]="Browser:chrome os:android","平板報工",IF(record[[#This Row],[Memo]]=0,"委外",record[[#This Row],[Memo]]))</f>
        <v>平板報工</v>
      </c>
      <c r="O734" t="s">
        <v>643</v>
      </c>
      <c r="P734" t="s">
        <v>1413</v>
      </c>
      <c r="Q734" t="s">
        <v>644</v>
      </c>
      <c r="R734" t="str">
        <f>IFERROR(VLOOKUP(record[[#This Row],[PCUSTID]],廠商[],2,FALSE),"")</f>
        <v/>
      </c>
      <c r="S734" t="str">
        <f>VLOOKUP(record[[#This Row],[employeeID]],員工[],2,FALSE)</f>
        <v>阮氏芳英(芳)</v>
      </c>
    </row>
    <row r="735" spans="6:19" hidden="1" x14ac:dyDescent="0.25">
      <c r="F735" t="s">
        <v>1951</v>
      </c>
      <c r="G735" t="s">
        <v>426</v>
      </c>
      <c r="H735" t="str">
        <f>VLOOKUP(record[[#This Row],[ProcessSN]],表格2_7[],2,FALSE)</f>
        <v>30-4118-018-600</v>
      </c>
      <c r="I735" t="str">
        <f>VLOOKUP(record[[#This Row],[ProcessSN]],表格2_7[],3,FALSE)</f>
        <v>#100OQC</v>
      </c>
      <c r="J735" t="s">
        <v>599</v>
      </c>
      <c r="K735" s="195">
        <v>46146.818993055553</v>
      </c>
      <c r="L735">
        <v>210</v>
      </c>
      <c r="M735">
        <v>0</v>
      </c>
      <c r="N735" s="98" t="str">
        <f>IF(record[[#This Row],[Memo]]="Browser:chrome os:android","平板報工",IF(record[[#This Row],[Memo]]=0,"委外",record[[#This Row],[Memo]]))</f>
        <v/>
      </c>
      <c r="O735" t="s">
        <v>58</v>
      </c>
      <c r="P735" t="s">
        <v>121</v>
      </c>
      <c r="Q735" t="s">
        <v>58</v>
      </c>
      <c r="R735" t="str">
        <f>IFERROR(VLOOKUP(record[[#This Row],[PCUSTID]],廠商[],2,FALSE),"")</f>
        <v/>
      </c>
      <c r="S735" t="str">
        <f>VLOOKUP(record[[#This Row],[employeeID]],員工[],2,FALSE)</f>
        <v>謝素卿</v>
      </c>
    </row>
    <row r="736" spans="6:19" hidden="1" x14ac:dyDescent="0.25">
      <c r="F736" t="s">
        <v>1951</v>
      </c>
      <c r="G736" t="s">
        <v>425</v>
      </c>
      <c r="H736" t="str">
        <f>VLOOKUP(record[[#This Row],[ProcessSN]],表格2_7[],2,FALSE)</f>
        <v>30-4118-018-600</v>
      </c>
      <c r="I736" t="str">
        <f>VLOOKUP(record[[#This Row],[ProcessSN]],表格2_7[],3,FALSE)</f>
        <v>#100</v>
      </c>
      <c r="J736" t="s">
        <v>598</v>
      </c>
      <c r="K736" s="195">
        <v>46146.807534722226</v>
      </c>
      <c r="L736">
        <v>0</v>
      </c>
      <c r="M736">
        <v>3</v>
      </c>
      <c r="N736" s="98" t="str">
        <f>IF(record[[#This Row],[Memo]]="Browser:chrome os:android","平板報工",IF(record[[#This Row],[Memo]]=0,"委外",record[[#This Row],[Memo]]))</f>
        <v/>
      </c>
      <c r="O736" t="s">
        <v>58</v>
      </c>
      <c r="P736" t="s">
        <v>141</v>
      </c>
      <c r="Q736" t="s">
        <v>58</v>
      </c>
      <c r="R736" t="str">
        <f>IFERROR(VLOOKUP(record[[#This Row],[PCUSTID]],廠商[],2,FALSE),"")</f>
        <v/>
      </c>
      <c r="S736" t="str">
        <f>VLOOKUP(record[[#This Row],[employeeID]],員工[],2,FALSE)</f>
        <v>蔣梅</v>
      </c>
    </row>
    <row r="737" spans="6:19" hidden="1" x14ac:dyDescent="0.25">
      <c r="F737" t="s">
        <v>1951</v>
      </c>
      <c r="G737" t="s">
        <v>425</v>
      </c>
      <c r="H737" t="str">
        <f>VLOOKUP(record[[#This Row],[ProcessSN]],表格2_7[],2,FALSE)</f>
        <v>30-4118-018-600</v>
      </c>
      <c r="I737" t="str">
        <f>VLOOKUP(record[[#This Row],[ProcessSN]],表格2_7[],3,FALSE)</f>
        <v>#100</v>
      </c>
      <c r="J737" t="s">
        <v>598</v>
      </c>
      <c r="K737" s="195">
        <v>46146.807349537034</v>
      </c>
      <c r="L737">
        <v>210</v>
      </c>
      <c r="M737">
        <v>0</v>
      </c>
      <c r="N737" s="98" t="str">
        <f>IF(record[[#This Row],[Memo]]="Browser:chrome os:android","平板報工",IF(record[[#This Row],[Memo]]=0,"委外",record[[#This Row],[Memo]]))</f>
        <v/>
      </c>
      <c r="O737" t="s">
        <v>58</v>
      </c>
      <c r="P737" t="s">
        <v>141</v>
      </c>
      <c r="Q737" t="s">
        <v>58</v>
      </c>
      <c r="R737" t="str">
        <f>IFERROR(VLOOKUP(record[[#This Row],[PCUSTID]],廠商[],2,FALSE),"")</f>
        <v/>
      </c>
      <c r="S737" t="str">
        <f>VLOOKUP(record[[#This Row],[employeeID]],員工[],2,FALSE)</f>
        <v>蔣梅</v>
      </c>
    </row>
    <row r="738" spans="6:19" hidden="1" x14ac:dyDescent="0.25">
      <c r="F738" t="s">
        <v>1857</v>
      </c>
      <c r="G738" t="s">
        <v>470</v>
      </c>
      <c r="H738" t="str">
        <f>VLOOKUP(record[[#This Row],[ProcessSN]],表格2_7[],2,FALSE)</f>
        <v>30-4118-018-XXX</v>
      </c>
      <c r="I738" t="str">
        <f>VLOOKUP(record[[#This Row],[ProcessSN]],表格2_7[],3,FALSE)</f>
        <v>#02IQC</v>
      </c>
      <c r="J738" t="s">
        <v>583</v>
      </c>
      <c r="K738" s="195">
        <v>46146.803668981483</v>
      </c>
      <c r="L738">
        <v>1492</v>
      </c>
      <c r="M738">
        <v>0</v>
      </c>
      <c r="N738" s="98" t="str">
        <f>IF(record[[#This Row],[Memo]]="Browser:chrome os:android","平板報工",IF(record[[#This Row],[Memo]]=0,"委外",record[[#This Row],[Memo]]))</f>
        <v/>
      </c>
      <c r="O738" t="s">
        <v>58</v>
      </c>
      <c r="P738" t="s">
        <v>109</v>
      </c>
      <c r="Q738" t="s">
        <v>58</v>
      </c>
      <c r="R738" t="str">
        <f>IFERROR(VLOOKUP(record[[#This Row],[PCUSTID]],廠商[],2,FALSE),"")</f>
        <v/>
      </c>
      <c r="S738" t="str">
        <f>VLOOKUP(record[[#This Row],[employeeID]],員工[],2,FALSE)</f>
        <v>裴氏璧鳳</v>
      </c>
    </row>
    <row r="739" spans="6:19" hidden="1" x14ac:dyDescent="0.25">
      <c r="F739" t="s">
        <v>1951</v>
      </c>
      <c r="G739" t="s">
        <v>424</v>
      </c>
      <c r="H739" t="str">
        <f>VLOOKUP(record[[#This Row],[ProcessSN]],表格2_7[],2,FALSE)</f>
        <v>30-4118-018-600</v>
      </c>
      <c r="I739" t="str">
        <f>VLOOKUP(record[[#This Row],[ProcessSN]],表格2_7[],3,FALSE)</f>
        <v>#08IQC</v>
      </c>
      <c r="J739" t="s">
        <v>583</v>
      </c>
      <c r="K739" s="195">
        <v>46146.74722222222</v>
      </c>
      <c r="L739">
        <v>213</v>
      </c>
      <c r="M739">
        <v>0</v>
      </c>
      <c r="N739" s="98" t="str">
        <f>IF(record[[#This Row],[Memo]]="Browser:chrome os:android","平板報工",IF(record[[#This Row],[Memo]]=0,"委外",record[[#This Row],[Memo]]))</f>
        <v/>
      </c>
      <c r="O739" t="s">
        <v>58</v>
      </c>
      <c r="P739" t="s">
        <v>109</v>
      </c>
      <c r="Q739" t="s">
        <v>58</v>
      </c>
      <c r="R739" t="str">
        <f>IFERROR(VLOOKUP(record[[#This Row],[PCUSTID]],廠商[],2,FALSE),"")</f>
        <v/>
      </c>
      <c r="S739" t="str">
        <f>VLOOKUP(record[[#This Row],[employeeID]],員工[],2,FALSE)</f>
        <v>裴氏璧鳳</v>
      </c>
    </row>
    <row r="740" spans="6:19" hidden="1" x14ac:dyDescent="0.25">
      <c r="F740" t="s">
        <v>1951</v>
      </c>
      <c r="G740" t="s">
        <v>423</v>
      </c>
      <c r="H740" t="str">
        <f>VLOOKUP(record[[#This Row],[ProcessSN]],表格2_7[],2,FALSE)</f>
        <v>30-4118-018-600</v>
      </c>
      <c r="I740" t="str">
        <f>VLOOKUP(record[[#This Row],[ProcessSN]],表格2_7[],3,FALSE)</f>
        <v>#08RCV</v>
      </c>
      <c r="J740" t="s">
        <v>591</v>
      </c>
      <c r="K740" s="195">
        <v>46146.730532407404</v>
      </c>
      <c r="L740">
        <v>0</v>
      </c>
      <c r="M740">
        <v>3</v>
      </c>
      <c r="N740" s="98" t="str">
        <f>IF(record[[#This Row],[Memo]]="Browser:chrome os:android","平板報工",IF(record[[#This Row],[Memo]]=0,"委外",record[[#This Row],[Memo]]))</f>
        <v/>
      </c>
      <c r="O740" t="s">
        <v>58</v>
      </c>
      <c r="P740" t="s">
        <v>186</v>
      </c>
      <c r="Q740" t="s">
        <v>58</v>
      </c>
      <c r="R740" t="str">
        <f>IFERROR(VLOOKUP(record[[#This Row],[PCUSTID]],廠商[],2,FALSE),"")</f>
        <v/>
      </c>
      <c r="S740" t="str">
        <f>VLOOKUP(record[[#This Row],[employeeID]],員工[],2,FALSE)</f>
        <v>許文姍</v>
      </c>
    </row>
    <row r="741" spans="6:19" hidden="1" x14ac:dyDescent="0.25">
      <c r="F741" t="s">
        <v>1951</v>
      </c>
      <c r="G741" t="s">
        <v>423</v>
      </c>
      <c r="H741" t="str">
        <f>VLOOKUP(record[[#This Row],[ProcessSN]],表格2_7[],2,FALSE)</f>
        <v>30-4118-018-600</v>
      </c>
      <c r="I741" t="str">
        <f>VLOOKUP(record[[#This Row],[ProcessSN]],表格2_7[],3,FALSE)</f>
        <v>#08RCV</v>
      </c>
      <c r="J741" t="s">
        <v>591</v>
      </c>
      <c r="K741" s="195">
        <v>46146.730428240742</v>
      </c>
      <c r="L741">
        <v>213</v>
      </c>
      <c r="M741">
        <v>0</v>
      </c>
      <c r="N741" s="98" t="str">
        <f>IF(record[[#This Row],[Memo]]="Browser:chrome os:android","平板報工",IF(record[[#This Row],[Memo]]=0,"委外",record[[#This Row],[Memo]]))</f>
        <v/>
      </c>
      <c r="O741" t="s">
        <v>58</v>
      </c>
      <c r="P741" t="s">
        <v>186</v>
      </c>
      <c r="Q741" t="s">
        <v>58</v>
      </c>
      <c r="R741" t="str">
        <f>IFERROR(VLOOKUP(record[[#This Row],[PCUSTID]],廠商[],2,FALSE),"")</f>
        <v/>
      </c>
      <c r="S741" t="str">
        <f>VLOOKUP(record[[#This Row],[employeeID]],員工[],2,FALSE)</f>
        <v>許文姍</v>
      </c>
    </row>
    <row r="742" spans="6:19" hidden="1" x14ac:dyDescent="0.25">
      <c r="F742" t="s">
        <v>1909</v>
      </c>
      <c r="G742" t="s">
        <v>378</v>
      </c>
      <c r="H742" t="str">
        <f>VLOOKUP(record[[#This Row],[ProcessSN]],表格2_7[],2,FALSE)</f>
        <v>30-4118-018-4XX</v>
      </c>
      <c r="I742" t="str">
        <f>VLOOKUP(record[[#This Row],[ProcessSN]],表格2_7[],3,FALSE)</f>
        <v>#07QC</v>
      </c>
      <c r="J742" t="s">
        <v>589</v>
      </c>
      <c r="K742" s="195">
        <v>46146.722662037035</v>
      </c>
      <c r="L742">
        <v>0</v>
      </c>
      <c r="M742">
        <v>121</v>
      </c>
      <c r="N742" s="98" t="str">
        <f>IF(record[[#This Row],[Memo]]="Browser:chrome os:android","平板報工",IF(record[[#This Row],[Memo]]=0,"委外",record[[#This Row],[Memo]]))</f>
        <v/>
      </c>
      <c r="O742" t="s">
        <v>58</v>
      </c>
      <c r="P742" t="s">
        <v>141</v>
      </c>
      <c r="Q742" t="s">
        <v>58</v>
      </c>
      <c r="R742" t="str">
        <f>IFERROR(VLOOKUP(record[[#This Row],[PCUSTID]],廠商[],2,FALSE),"")</f>
        <v/>
      </c>
      <c r="S742" t="str">
        <f>VLOOKUP(record[[#This Row],[employeeID]],員工[],2,FALSE)</f>
        <v>蔣梅</v>
      </c>
    </row>
    <row r="743" spans="6:19" x14ac:dyDescent="0.25">
      <c r="F743" t="s">
        <v>1924</v>
      </c>
      <c r="G743" t="s">
        <v>450</v>
      </c>
      <c r="H743" t="str">
        <f>VLOOKUP(record[[#This Row],[ProcessSN]],表格2_7[],2,FALSE)</f>
        <v>30-4118-018-6XX</v>
      </c>
      <c r="I743" t="str">
        <f>VLOOKUP(record[[#This Row],[ProcessSN]],表格2_7[],3,FALSE)</f>
        <v>#06</v>
      </c>
      <c r="J743" t="s">
        <v>593</v>
      </c>
      <c r="K743" s="195">
        <v>46146.653113425928</v>
      </c>
      <c r="L743">
        <v>17</v>
      </c>
      <c r="M743">
        <v>0</v>
      </c>
      <c r="N743" s="98" t="str">
        <f>IF(record[[#This Row],[Memo]]="Browser:chrome os:android","平板報工",IF(record[[#This Row],[Memo]]=0,"委外",record[[#This Row],[Memo]]))</f>
        <v>平板報工</v>
      </c>
      <c r="O743" t="s">
        <v>643</v>
      </c>
      <c r="P743" t="s">
        <v>139</v>
      </c>
      <c r="Q743" t="s">
        <v>644</v>
      </c>
      <c r="R743" t="str">
        <f>IFERROR(VLOOKUP(record[[#This Row],[PCUSTID]],廠商[],2,FALSE),"")</f>
        <v/>
      </c>
      <c r="S743" t="str">
        <f>VLOOKUP(record[[#This Row],[employeeID]],員工[],2,FALSE)</f>
        <v>高氏顏</v>
      </c>
    </row>
    <row r="744" spans="6:19" hidden="1" x14ac:dyDescent="0.25">
      <c r="F744" t="s">
        <v>1909</v>
      </c>
      <c r="G744" t="s">
        <v>377</v>
      </c>
      <c r="H744" t="str">
        <f>VLOOKUP(record[[#This Row],[ProcessSN]],表格2_7[],2,FALSE)</f>
        <v>30-4118-018-4XX</v>
      </c>
      <c r="I744" t="str">
        <f>VLOOKUP(record[[#This Row],[ProcessSN]],表格2_7[],3,FALSE)</f>
        <v>#07</v>
      </c>
      <c r="J744" t="s">
        <v>588</v>
      </c>
      <c r="K744" s="195">
        <v>46146.652731481481</v>
      </c>
      <c r="L744">
        <v>125</v>
      </c>
      <c r="M744">
        <v>0</v>
      </c>
      <c r="N744" s="98" t="str">
        <f>IF(record[[#This Row],[Memo]]="Browser:chrome os:android","平板報工",IF(record[[#This Row],[Memo]]=0,"委外",record[[#This Row],[Memo]]))</f>
        <v>平板報工</v>
      </c>
      <c r="O744" t="s">
        <v>643</v>
      </c>
      <c r="P744" t="s">
        <v>145</v>
      </c>
      <c r="Q744" t="s">
        <v>644</v>
      </c>
      <c r="R744" t="str">
        <f>IFERROR(VLOOKUP(record[[#This Row],[PCUSTID]],廠商[],2,FALSE),"")</f>
        <v/>
      </c>
      <c r="S744" t="str">
        <f>VLOOKUP(record[[#This Row],[employeeID]],員工[],2,FALSE)</f>
        <v>阮秋霞</v>
      </c>
    </row>
    <row r="745" spans="6:19" hidden="1" x14ac:dyDescent="0.25">
      <c r="F745" t="s">
        <v>1859</v>
      </c>
      <c r="G745" t="s">
        <v>450</v>
      </c>
      <c r="H745" t="str">
        <f>VLOOKUP(record[[#This Row],[ProcessSN]],表格2_7[],2,FALSE)</f>
        <v>30-4118-018-6XX</v>
      </c>
      <c r="I745" t="str">
        <f>VLOOKUP(record[[#This Row],[ProcessSN]],表格2_7[],3,FALSE)</f>
        <v>#06</v>
      </c>
      <c r="J745" t="s">
        <v>593</v>
      </c>
      <c r="K745" s="195">
        <v>46146.651875000003</v>
      </c>
      <c r="L745">
        <v>75</v>
      </c>
      <c r="M745">
        <v>0</v>
      </c>
      <c r="N745" s="98" t="str">
        <f>IF(record[[#This Row],[Memo]]="Browser:chrome os:android","平板報工",IF(record[[#This Row],[Memo]]=0,"委外",record[[#This Row],[Memo]]))</f>
        <v>平板報工</v>
      </c>
      <c r="O745" t="s">
        <v>643</v>
      </c>
      <c r="P745" t="s">
        <v>139</v>
      </c>
      <c r="Q745" t="s">
        <v>644</v>
      </c>
      <c r="R745" t="str">
        <f>IFERROR(VLOOKUP(record[[#This Row],[PCUSTID]],廠商[],2,FALSE),"")</f>
        <v/>
      </c>
      <c r="S745" t="str">
        <f>VLOOKUP(record[[#This Row],[employeeID]],員工[],2,FALSE)</f>
        <v>高氏顏</v>
      </c>
    </row>
    <row r="746" spans="6:19" hidden="1" x14ac:dyDescent="0.25">
      <c r="F746" t="s">
        <v>1909</v>
      </c>
      <c r="G746" t="s">
        <v>376</v>
      </c>
      <c r="H746" t="str">
        <f>VLOOKUP(record[[#This Row],[ProcessSN]],表格2_7[],2,FALSE)</f>
        <v>30-4118-018-4XX</v>
      </c>
      <c r="I746" t="str">
        <f>VLOOKUP(record[[#This Row],[ProcessSN]],表格2_7[],3,FALSE)</f>
        <v>#06</v>
      </c>
      <c r="J746" t="s">
        <v>593</v>
      </c>
      <c r="K746" s="195">
        <v>46146.651539351849</v>
      </c>
      <c r="L746">
        <v>111</v>
      </c>
      <c r="M746">
        <v>0</v>
      </c>
      <c r="N746" s="98" t="str">
        <f>IF(record[[#This Row],[Memo]]="Browser:chrome os:android","平板報工",IF(record[[#This Row],[Memo]]=0,"委外",record[[#This Row],[Memo]]))</f>
        <v>平板報工</v>
      </c>
      <c r="O746" t="s">
        <v>643</v>
      </c>
      <c r="P746" t="s">
        <v>139</v>
      </c>
      <c r="Q746" t="s">
        <v>644</v>
      </c>
      <c r="R746" t="str">
        <f>IFERROR(VLOOKUP(record[[#This Row],[PCUSTID]],廠商[],2,FALSE),"")</f>
        <v/>
      </c>
      <c r="S746" t="str">
        <f>VLOOKUP(record[[#This Row],[employeeID]],員工[],2,FALSE)</f>
        <v>高氏顏</v>
      </c>
    </row>
    <row r="747" spans="6:19" x14ac:dyDescent="0.25">
      <c r="F747" t="s">
        <v>1924</v>
      </c>
      <c r="G747" t="s">
        <v>448</v>
      </c>
      <c r="H747" t="str">
        <f>VLOOKUP(record[[#This Row],[ProcessSN]],表格2_7[],2,FALSE)</f>
        <v>30-4118-018-6XX</v>
      </c>
      <c r="I747" t="str">
        <f>VLOOKUP(record[[#This Row],[ProcessSN]],表格2_7[],3,FALSE)</f>
        <v>#04</v>
      </c>
      <c r="J747" t="s">
        <v>588</v>
      </c>
      <c r="K747" s="195">
        <v>46146.649027777778</v>
      </c>
      <c r="L747">
        <v>103</v>
      </c>
      <c r="M747">
        <v>0</v>
      </c>
      <c r="N747" s="98" t="str">
        <f>IF(record[[#This Row],[Memo]]="Browser:chrome os:android","平板報工",IF(record[[#This Row],[Memo]]=0,"委外",record[[#This Row],[Memo]]))</f>
        <v>平板報工</v>
      </c>
      <c r="O747" t="s">
        <v>643</v>
      </c>
      <c r="P747" t="s">
        <v>107</v>
      </c>
      <c r="Q747" t="s">
        <v>644</v>
      </c>
      <c r="R747" t="str">
        <f>IFERROR(VLOOKUP(record[[#This Row],[PCUSTID]],廠商[],2,FALSE),"")</f>
        <v/>
      </c>
      <c r="S747" t="str">
        <f>VLOOKUP(record[[#This Row],[employeeID]],員工[],2,FALSE)</f>
        <v>黎氏順</v>
      </c>
    </row>
    <row r="748" spans="6:19" hidden="1" x14ac:dyDescent="0.25">
      <c r="F748" t="s">
        <v>1909</v>
      </c>
      <c r="G748" t="s">
        <v>374</v>
      </c>
      <c r="H748" t="str">
        <f>VLOOKUP(record[[#This Row],[ProcessSN]],表格2_7[],2,FALSE)</f>
        <v>30-4118-018-4XX</v>
      </c>
      <c r="I748" t="str">
        <f>VLOOKUP(record[[#This Row],[ProcessSN]],表格2_7[],3,FALSE)</f>
        <v>#04</v>
      </c>
      <c r="J748" t="s">
        <v>588</v>
      </c>
      <c r="K748" s="195">
        <v>46146.646597222221</v>
      </c>
      <c r="L748">
        <v>139</v>
      </c>
      <c r="M748">
        <v>0</v>
      </c>
      <c r="N748" s="98" t="str">
        <f>IF(record[[#This Row],[Memo]]="Browser:chrome os:android","平板報工",IF(record[[#This Row],[Memo]]=0,"委外",record[[#This Row],[Memo]]))</f>
        <v>平板報工</v>
      </c>
      <c r="O748" t="s">
        <v>643</v>
      </c>
      <c r="P748" t="s">
        <v>107</v>
      </c>
      <c r="Q748" t="s">
        <v>644</v>
      </c>
      <c r="R748" t="str">
        <f>IFERROR(VLOOKUP(record[[#This Row],[PCUSTID]],廠商[],2,FALSE),"")</f>
        <v/>
      </c>
      <c r="S748" t="str">
        <f>VLOOKUP(record[[#This Row],[employeeID]],員工[],2,FALSE)</f>
        <v>黎氏順</v>
      </c>
    </row>
    <row r="749" spans="6:19" hidden="1" x14ac:dyDescent="0.25">
      <c r="F749" t="s">
        <v>1944</v>
      </c>
      <c r="G749" t="s">
        <v>414</v>
      </c>
      <c r="H749" t="str">
        <f>VLOOKUP(record[[#This Row],[ProcessSN]],表格2_7[],2,FALSE)</f>
        <v>30-4118-018-5XX</v>
      </c>
      <c r="I749" t="str">
        <f>VLOOKUP(record[[#This Row],[ProcessSN]],表格2_7[],3,FALSE)</f>
        <v>#03</v>
      </c>
      <c r="J749" t="s">
        <v>588</v>
      </c>
      <c r="K749" s="195">
        <v>46146.645868055559</v>
      </c>
      <c r="L749">
        <v>1000</v>
      </c>
      <c r="M749">
        <v>0</v>
      </c>
      <c r="N749" s="98" t="str">
        <f>IF(record[[#This Row],[Memo]]="Browser:chrome os:android","平板報工",IF(record[[#This Row],[Memo]]=0,"委外",record[[#This Row],[Memo]]))</f>
        <v>平板報工</v>
      </c>
      <c r="O749" t="s">
        <v>643</v>
      </c>
      <c r="P749" t="s">
        <v>107</v>
      </c>
      <c r="Q749" t="s">
        <v>644</v>
      </c>
      <c r="R749" t="str">
        <f>IFERROR(VLOOKUP(record[[#This Row],[PCUSTID]],廠商[],2,FALSE),"")</f>
        <v/>
      </c>
      <c r="S749" t="str">
        <f>VLOOKUP(record[[#This Row],[employeeID]],員工[],2,FALSE)</f>
        <v>黎氏順</v>
      </c>
    </row>
    <row r="750" spans="6:19" hidden="1" x14ac:dyDescent="0.25">
      <c r="F750" t="s">
        <v>1909</v>
      </c>
      <c r="G750" t="s">
        <v>378</v>
      </c>
      <c r="H750" t="str">
        <f>VLOOKUP(record[[#This Row],[ProcessSN]],表格2_7[],2,FALSE)</f>
        <v>30-4118-018-4XX</v>
      </c>
      <c r="I750" t="str">
        <f>VLOOKUP(record[[#This Row],[ProcessSN]],表格2_7[],3,FALSE)</f>
        <v>#07QC</v>
      </c>
      <c r="J750" t="s">
        <v>589</v>
      </c>
      <c r="K750" s="195">
        <v>46146.645543981482</v>
      </c>
      <c r="L750">
        <v>145</v>
      </c>
      <c r="M750">
        <v>0</v>
      </c>
      <c r="N750" s="98" t="str">
        <f>IF(record[[#This Row],[Memo]]="Browser:chrome os:android","平板報工",IF(record[[#This Row],[Memo]]=0,"委外",record[[#This Row],[Memo]]))</f>
        <v>平板報工</v>
      </c>
      <c r="O750" t="s">
        <v>643</v>
      </c>
      <c r="P750" t="s">
        <v>141</v>
      </c>
      <c r="Q750" t="s">
        <v>644</v>
      </c>
      <c r="R750" t="str">
        <f>IFERROR(VLOOKUP(record[[#This Row],[PCUSTID]],廠商[],2,FALSE),"")</f>
        <v/>
      </c>
      <c r="S750" t="str">
        <f>VLOOKUP(record[[#This Row],[employeeID]],員工[],2,FALSE)</f>
        <v>蔣梅</v>
      </c>
    </row>
    <row r="751" spans="6:19" hidden="1" x14ac:dyDescent="0.25">
      <c r="F751" t="s">
        <v>1909</v>
      </c>
      <c r="G751" t="s">
        <v>376</v>
      </c>
      <c r="H751" t="str">
        <f>VLOOKUP(record[[#This Row],[ProcessSN]],表格2_7[],2,FALSE)</f>
        <v>30-4118-018-4XX</v>
      </c>
      <c r="I751" t="str">
        <f>VLOOKUP(record[[#This Row],[ProcessSN]],表格2_7[],3,FALSE)</f>
        <v>#06</v>
      </c>
      <c r="J751" t="s">
        <v>593</v>
      </c>
      <c r="K751" s="195">
        <v>46146.64199074074</v>
      </c>
      <c r="L751">
        <v>109</v>
      </c>
      <c r="M751">
        <v>0</v>
      </c>
      <c r="N751" s="98" t="str">
        <f>IF(record[[#This Row],[Memo]]="Browser:chrome os:android","平板報工",IF(record[[#This Row],[Memo]]=0,"委外",record[[#This Row],[Memo]]))</f>
        <v>平板報工</v>
      </c>
      <c r="O751" t="s">
        <v>643</v>
      </c>
      <c r="P751" t="s">
        <v>1413</v>
      </c>
      <c r="Q751" t="s">
        <v>644</v>
      </c>
      <c r="R751" t="str">
        <f>IFERROR(VLOOKUP(record[[#This Row],[PCUSTID]],廠商[],2,FALSE),"")</f>
        <v/>
      </c>
      <c r="S751" t="str">
        <f>VLOOKUP(record[[#This Row],[employeeID]],員工[],2,FALSE)</f>
        <v>阮氏芳英(芳)</v>
      </c>
    </row>
    <row r="752" spans="6:19" hidden="1" x14ac:dyDescent="0.25">
      <c r="F752" t="s">
        <v>1857</v>
      </c>
      <c r="G752" t="s">
        <v>466</v>
      </c>
      <c r="H752" t="str">
        <f>VLOOKUP(record[[#This Row],[ProcessSN]],表格2_7[],2,FALSE)</f>
        <v>30-4118-018-XXX</v>
      </c>
      <c r="I752" t="str">
        <f>VLOOKUP(record[[#This Row],[ProcessSN]],表格2_7[],3,FALSE)</f>
        <v>#01-2</v>
      </c>
      <c r="J752" t="s">
        <v>588</v>
      </c>
      <c r="K752" s="195">
        <v>46146.638333333336</v>
      </c>
      <c r="L752">
        <v>264</v>
      </c>
      <c r="M752">
        <v>0</v>
      </c>
      <c r="N752" s="98" t="str">
        <f>IF(record[[#This Row],[Memo]]="Browser:chrome os:android","平板報工",IF(record[[#This Row],[Memo]]=0,"委外",record[[#This Row],[Memo]]))</f>
        <v>平板報工</v>
      </c>
      <c r="O752" t="s">
        <v>643</v>
      </c>
      <c r="P752" t="s">
        <v>145</v>
      </c>
      <c r="Q752" t="s">
        <v>644</v>
      </c>
      <c r="R752" t="str">
        <f>IFERROR(VLOOKUP(record[[#This Row],[PCUSTID]],廠商[],2,FALSE),"")</f>
        <v/>
      </c>
      <c r="S752" t="str">
        <f>VLOOKUP(record[[#This Row],[employeeID]],員工[],2,FALSE)</f>
        <v>阮秋霞</v>
      </c>
    </row>
    <row r="753" spans="6:19" hidden="1" x14ac:dyDescent="0.25">
      <c r="F753" t="s">
        <v>1909</v>
      </c>
      <c r="G753" t="s">
        <v>375</v>
      </c>
      <c r="H753" t="str">
        <f>VLOOKUP(record[[#This Row],[ProcessSN]],表格2_7[],2,FALSE)</f>
        <v>30-4118-018-4XX</v>
      </c>
      <c r="I753" t="str">
        <f>VLOOKUP(record[[#This Row],[ProcessSN]],表格2_7[],3,FALSE)</f>
        <v>#05</v>
      </c>
      <c r="J753" t="s">
        <v>588</v>
      </c>
      <c r="K753" s="195">
        <v>46146.635810185187</v>
      </c>
      <c r="L753">
        <v>90</v>
      </c>
      <c r="M753">
        <v>0</v>
      </c>
      <c r="N753" s="98" t="str">
        <f>IF(record[[#This Row],[Memo]]="Browser:chrome os:android","平板報工",IF(record[[#This Row],[Memo]]=0,"委外",record[[#This Row],[Memo]]))</f>
        <v>平板報工</v>
      </c>
      <c r="O753" t="s">
        <v>643</v>
      </c>
      <c r="P753" t="s">
        <v>785</v>
      </c>
      <c r="Q753" t="s">
        <v>644</v>
      </c>
      <c r="R753" t="str">
        <f>IFERROR(VLOOKUP(record[[#This Row],[PCUSTID]],廠商[],2,FALSE),"")</f>
        <v/>
      </c>
      <c r="S753" t="str">
        <f>VLOOKUP(record[[#This Row],[employeeID]],員工[],2,FALSE)</f>
        <v>謝刻光</v>
      </c>
    </row>
    <row r="754" spans="6:19" x14ac:dyDescent="0.25">
      <c r="F754" t="s">
        <v>1924</v>
      </c>
      <c r="G754" t="s">
        <v>449</v>
      </c>
      <c r="H754" t="str">
        <f>VLOOKUP(record[[#This Row],[ProcessSN]],表格2_7[],2,FALSE)</f>
        <v>30-4118-018-6XX</v>
      </c>
      <c r="I754" t="str">
        <f>VLOOKUP(record[[#This Row],[ProcessSN]],表格2_7[],3,FALSE)</f>
        <v>#05</v>
      </c>
      <c r="J754" t="s">
        <v>588</v>
      </c>
      <c r="K754" s="195">
        <v>46146.627546296295</v>
      </c>
      <c r="L754">
        <v>168</v>
      </c>
      <c r="M754">
        <v>0</v>
      </c>
      <c r="N754" s="98" t="str">
        <f>IF(record[[#This Row],[Memo]]="Browser:chrome os:android","平板報工",IF(record[[#This Row],[Memo]]=0,"委外",record[[#This Row],[Memo]]))</f>
        <v>平板報工</v>
      </c>
      <c r="O754" t="s">
        <v>643</v>
      </c>
      <c r="P754" t="s">
        <v>785</v>
      </c>
      <c r="Q754" t="s">
        <v>644</v>
      </c>
      <c r="R754" t="str">
        <f>IFERROR(VLOOKUP(record[[#This Row],[PCUSTID]],廠商[],2,FALSE),"")</f>
        <v/>
      </c>
      <c r="S754" t="str">
        <f>VLOOKUP(record[[#This Row],[employeeID]],員工[],2,FALSE)</f>
        <v>謝刻光</v>
      </c>
    </row>
    <row r="755" spans="6:19" hidden="1" x14ac:dyDescent="0.25">
      <c r="F755" t="s">
        <v>1960</v>
      </c>
      <c r="G755" t="s">
        <v>397</v>
      </c>
      <c r="H755" t="str">
        <f>VLOOKUP(record[[#This Row],[ProcessSN]],表格2_7[],2,FALSE)</f>
        <v>30-4118-018-550</v>
      </c>
      <c r="I755" t="str">
        <f>VLOOKUP(record[[#This Row],[ProcessSN]],表格2_7[],3,FALSE)</f>
        <v>#08</v>
      </c>
      <c r="J755" t="s">
        <v>597</v>
      </c>
      <c r="K755" s="195">
        <v>46146.622013888889</v>
      </c>
      <c r="L755">
        <v>545</v>
      </c>
      <c r="M755">
        <v>0</v>
      </c>
      <c r="N755" s="98" t="str">
        <f>IF(record[[#This Row],[Memo]]="Browser:chrome os:android","平板報工",IF(record[[#This Row],[Memo]]=0,"委外",record[[#This Row],[Memo]]))</f>
        <v>委外</v>
      </c>
      <c r="P755" t="s">
        <v>186</v>
      </c>
      <c r="Q755" t="s">
        <v>287</v>
      </c>
      <c r="R755" t="str">
        <f>IFERROR(VLOOKUP(record[[#This Row],[PCUSTID]],廠商[],2,FALSE),"")</f>
        <v>泉盛</v>
      </c>
      <c r="S755" t="str">
        <f>VLOOKUP(record[[#This Row],[employeeID]],員工[],2,FALSE)</f>
        <v>許文姍</v>
      </c>
    </row>
    <row r="756" spans="6:19" hidden="1" x14ac:dyDescent="0.25">
      <c r="F756" t="s">
        <v>1958</v>
      </c>
      <c r="G756" t="s">
        <v>323</v>
      </c>
      <c r="H756" t="str">
        <f>VLOOKUP(record[[#This Row],[ProcessSN]],表格2_7[],2,FALSE)</f>
        <v>30-4118-018-370</v>
      </c>
      <c r="I756" t="str">
        <f>VLOOKUP(record[[#This Row],[ProcessSN]],表格2_7[],3,FALSE)</f>
        <v>#08</v>
      </c>
      <c r="J756" t="s">
        <v>597</v>
      </c>
      <c r="K756" s="195">
        <v>46146.621655092589</v>
      </c>
      <c r="L756">
        <v>273</v>
      </c>
      <c r="M756">
        <v>0</v>
      </c>
      <c r="N756" s="98" t="str">
        <f>IF(record[[#This Row],[Memo]]="Browser:chrome os:android","平板報工",IF(record[[#This Row],[Memo]]=0,"委外",record[[#This Row],[Memo]]))</f>
        <v>委外</v>
      </c>
      <c r="P756" t="s">
        <v>186</v>
      </c>
      <c r="Q756" t="s">
        <v>287</v>
      </c>
      <c r="R756" t="str">
        <f>IFERROR(VLOOKUP(record[[#This Row],[PCUSTID]],廠商[],2,FALSE),"")</f>
        <v>泉盛</v>
      </c>
      <c r="S756" t="str">
        <f>VLOOKUP(record[[#This Row],[employeeID]],員工[],2,FALSE)</f>
        <v>許文姍</v>
      </c>
    </row>
    <row r="757" spans="6:19" hidden="1" x14ac:dyDescent="0.25">
      <c r="F757" t="s">
        <v>1957</v>
      </c>
      <c r="G757" t="s">
        <v>340</v>
      </c>
      <c r="H757" t="str">
        <f>VLOOKUP(record[[#This Row],[ProcessSN]],表格2_7[],2,FALSE)</f>
        <v>30-4118-018-400</v>
      </c>
      <c r="I757" t="str">
        <f>VLOOKUP(record[[#This Row],[ProcessSN]],表格2_7[],3,FALSE)</f>
        <v>#08</v>
      </c>
      <c r="J757" t="s">
        <v>597</v>
      </c>
      <c r="K757" s="195">
        <v>46146.621550925927</v>
      </c>
      <c r="L757">
        <v>100</v>
      </c>
      <c r="M757">
        <v>0</v>
      </c>
      <c r="N757" s="98" t="str">
        <f>IF(record[[#This Row],[Memo]]="Browser:chrome os:android","平板報工",IF(record[[#This Row],[Memo]]=0,"委外",record[[#This Row],[Memo]]))</f>
        <v>委外</v>
      </c>
      <c r="P757" t="s">
        <v>186</v>
      </c>
      <c r="Q757" t="s">
        <v>287</v>
      </c>
      <c r="R757" t="str">
        <f>IFERROR(VLOOKUP(record[[#This Row],[PCUSTID]],廠商[],2,FALSE),"")</f>
        <v>泉盛</v>
      </c>
      <c r="S757" t="str">
        <f>VLOOKUP(record[[#This Row],[employeeID]],員工[],2,FALSE)</f>
        <v>許文姍</v>
      </c>
    </row>
    <row r="758" spans="6:19" hidden="1" x14ac:dyDescent="0.25">
      <c r="F758" t="s">
        <v>1906</v>
      </c>
      <c r="G758" t="s">
        <v>420</v>
      </c>
      <c r="H758" t="str">
        <f>VLOOKUP(record[[#This Row],[ProcessSN]],表格2_7[],2,FALSE)</f>
        <v>30-4118-018-5XX</v>
      </c>
      <c r="I758" t="str">
        <f>VLOOKUP(record[[#This Row],[ProcessSN]],表格2_7[],3,FALSE)</f>
        <v>#07STOCK</v>
      </c>
      <c r="J758" t="s">
        <v>592</v>
      </c>
      <c r="K758" s="195">
        <v>46146.616261574076</v>
      </c>
      <c r="L758">
        <v>545</v>
      </c>
      <c r="M758">
        <v>0</v>
      </c>
      <c r="N758" s="98" t="str">
        <f>IF(record[[#This Row],[Memo]]="Browser:chrome os:android","平板報工",IF(record[[#This Row],[Memo]]=0,"委外",record[[#This Row],[Memo]]))</f>
        <v/>
      </c>
      <c r="O758" t="s">
        <v>58</v>
      </c>
      <c r="P758" t="s">
        <v>186</v>
      </c>
      <c r="Q758" t="s">
        <v>58</v>
      </c>
      <c r="R758" t="str">
        <f>IFERROR(VLOOKUP(record[[#This Row],[PCUSTID]],廠商[],2,FALSE),"")</f>
        <v/>
      </c>
      <c r="S758" t="str">
        <f>VLOOKUP(record[[#This Row],[employeeID]],員工[],2,FALSE)</f>
        <v>許文姍</v>
      </c>
    </row>
    <row r="759" spans="6:19" hidden="1" x14ac:dyDescent="0.25">
      <c r="F759" t="s">
        <v>1909</v>
      </c>
      <c r="G759" t="s">
        <v>379</v>
      </c>
      <c r="H759" t="str">
        <f>VLOOKUP(record[[#This Row],[ProcessSN]],表格2_7[],2,FALSE)</f>
        <v>30-4118-018-4XX</v>
      </c>
      <c r="I759" t="str">
        <f>VLOOKUP(record[[#This Row],[ProcessSN]],表格2_7[],3,FALSE)</f>
        <v>#07STOCK</v>
      </c>
      <c r="J759" t="s">
        <v>592</v>
      </c>
      <c r="K759" s="195">
        <v>46146.616064814814</v>
      </c>
      <c r="L759">
        <v>373</v>
      </c>
      <c r="M759">
        <v>0</v>
      </c>
      <c r="N759" s="98" t="str">
        <f>IF(record[[#This Row],[Memo]]="Browser:chrome os:android","平板報工",IF(record[[#This Row],[Memo]]=0,"委外",record[[#This Row],[Memo]]))</f>
        <v/>
      </c>
      <c r="O759" t="s">
        <v>58</v>
      </c>
      <c r="P759" t="s">
        <v>186</v>
      </c>
      <c r="Q759" t="s">
        <v>58</v>
      </c>
      <c r="R759" t="str">
        <f>IFERROR(VLOOKUP(record[[#This Row],[PCUSTID]],廠商[],2,FALSE),"")</f>
        <v/>
      </c>
      <c r="S759" t="str">
        <f>VLOOKUP(record[[#This Row],[employeeID]],員工[],2,FALSE)</f>
        <v>許文姍</v>
      </c>
    </row>
    <row r="760" spans="6:19" hidden="1" x14ac:dyDescent="0.25">
      <c r="F760" t="s">
        <v>1960</v>
      </c>
      <c r="G760" t="s">
        <v>396</v>
      </c>
      <c r="H760" t="str">
        <f>VLOOKUP(record[[#This Row],[ProcessSN]],表格2_7[],2,FALSE)</f>
        <v>30-4118-018-550</v>
      </c>
      <c r="I760" t="str">
        <f>VLOOKUP(record[[#This Row],[ProcessSN]],表格2_7[],3,FALSE)</f>
        <v>#08PICK</v>
      </c>
      <c r="J760" t="s">
        <v>582</v>
      </c>
      <c r="K760" s="195">
        <v>46146.615520833337</v>
      </c>
      <c r="L760">
        <v>545</v>
      </c>
      <c r="M760">
        <v>0</v>
      </c>
      <c r="N760" s="98" t="str">
        <f>IF(record[[#This Row],[Memo]]="Browser:chrome os:android","平板報工",IF(record[[#This Row],[Memo]]=0,"委外",record[[#This Row],[Memo]]))</f>
        <v/>
      </c>
      <c r="O760" t="s">
        <v>58</v>
      </c>
      <c r="P760" t="s">
        <v>186</v>
      </c>
      <c r="Q760" t="s">
        <v>58</v>
      </c>
      <c r="R760" t="str">
        <f>IFERROR(VLOOKUP(record[[#This Row],[PCUSTID]],廠商[],2,FALSE),"")</f>
        <v/>
      </c>
      <c r="S760" t="str">
        <f>VLOOKUP(record[[#This Row],[employeeID]],員工[],2,FALSE)</f>
        <v>許文姍</v>
      </c>
    </row>
    <row r="761" spans="6:19" hidden="1" x14ac:dyDescent="0.25">
      <c r="F761" t="s">
        <v>1958</v>
      </c>
      <c r="G761" t="s">
        <v>322</v>
      </c>
      <c r="H761" t="str">
        <f>VLOOKUP(record[[#This Row],[ProcessSN]],表格2_7[],2,FALSE)</f>
        <v>30-4118-018-370</v>
      </c>
      <c r="I761" t="str">
        <f>VLOOKUP(record[[#This Row],[ProcessSN]],表格2_7[],3,FALSE)</f>
        <v>#08PICK</v>
      </c>
      <c r="J761" t="s">
        <v>582</v>
      </c>
      <c r="K761" s="195">
        <v>46146.615405092591</v>
      </c>
      <c r="L761">
        <v>273</v>
      </c>
      <c r="M761">
        <v>0</v>
      </c>
      <c r="N761" s="98" t="str">
        <f>IF(record[[#This Row],[Memo]]="Browser:chrome os:android","平板報工",IF(record[[#This Row],[Memo]]=0,"委外",record[[#This Row],[Memo]]))</f>
        <v>273</v>
      </c>
      <c r="O761" t="s">
        <v>1959</v>
      </c>
      <c r="P761" t="s">
        <v>186</v>
      </c>
      <c r="Q761" t="s">
        <v>58</v>
      </c>
      <c r="R761" t="str">
        <f>IFERROR(VLOOKUP(record[[#This Row],[PCUSTID]],廠商[],2,FALSE),"")</f>
        <v/>
      </c>
      <c r="S761" t="str">
        <f>VLOOKUP(record[[#This Row],[employeeID]],員工[],2,FALSE)</f>
        <v>許文姍</v>
      </c>
    </row>
    <row r="762" spans="6:19" hidden="1" x14ac:dyDescent="0.25">
      <c r="F762" t="s">
        <v>1957</v>
      </c>
      <c r="G762" t="s">
        <v>339</v>
      </c>
      <c r="H762" t="str">
        <f>VLOOKUP(record[[#This Row],[ProcessSN]],表格2_7[],2,FALSE)</f>
        <v>30-4118-018-400</v>
      </c>
      <c r="I762" t="str">
        <f>VLOOKUP(record[[#This Row],[ProcessSN]],表格2_7[],3,FALSE)</f>
        <v>#08PICK</v>
      </c>
      <c r="J762" t="s">
        <v>582</v>
      </c>
      <c r="K762" s="195">
        <v>46146.615254629629</v>
      </c>
      <c r="L762">
        <v>100</v>
      </c>
      <c r="M762">
        <v>0</v>
      </c>
      <c r="N762" s="98" t="str">
        <f>IF(record[[#This Row],[Memo]]="Browser:chrome os:android","平板報工",IF(record[[#This Row],[Memo]]=0,"委外",record[[#This Row],[Memo]]))</f>
        <v/>
      </c>
      <c r="O762" t="s">
        <v>58</v>
      </c>
      <c r="P762" t="s">
        <v>186</v>
      </c>
      <c r="Q762" t="s">
        <v>58</v>
      </c>
      <c r="R762" t="str">
        <f>IFERROR(VLOOKUP(record[[#This Row],[PCUSTID]],廠商[],2,FALSE),"")</f>
        <v/>
      </c>
      <c r="S762" t="str">
        <f>VLOOKUP(record[[#This Row],[employeeID]],員工[],2,FALSE)</f>
        <v>許文姍</v>
      </c>
    </row>
    <row r="763" spans="6:19" hidden="1" x14ac:dyDescent="0.25">
      <c r="F763" t="s">
        <v>1906</v>
      </c>
      <c r="G763" t="s">
        <v>419</v>
      </c>
      <c r="H763" t="str">
        <f>VLOOKUP(record[[#This Row],[ProcessSN]],表格2_7[],2,FALSE)</f>
        <v>30-4118-018-5XX</v>
      </c>
      <c r="I763" t="str">
        <f>VLOOKUP(record[[#This Row],[ProcessSN]],表格2_7[],3,FALSE)</f>
        <v>#07QC</v>
      </c>
      <c r="J763" t="s">
        <v>589</v>
      </c>
      <c r="K763" s="195">
        <v>46146.587210648147</v>
      </c>
      <c r="L763">
        <v>264</v>
      </c>
      <c r="M763">
        <v>0</v>
      </c>
      <c r="N763" s="98" t="str">
        <f>IF(record[[#This Row],[Memo]]="Browser:chrome os:android","平板報工",IF(record[[#This Row],[Memo]]=0,"委外",record[[#This Row],[Memo]]))</f>
        <v>平板報工</v>
      </c>
      <c r="O763" t="s">
        <v>643</v>
      </c>
      <c r="P763" t="s">
        <v>141</v>
      </c>
      <c r="Q763" t="s">
        <v>644</v>
      </c>
      <c r="R763" t="str">
        <f>IFERROR(VLOOKUP(record[[#This Row],[PCUSTID]],廠商[],2,FALSE),"")</f>
        <v/>
      </c>
      <c r="S763" t="str">
        <f>VLOOKUP(record[[#This Row],[employeeID]],員工[],2,FALSE)</f>
        <v>蔣梅</v>
      </c>
    </row>
    <row r="764" spans="6:19" hidden="1" x14ac:dyDescent="0.25">
      <c r="F764" t="s">
        <v>1909</v>
      </c>
      <c r="G764" t="s">
        <v>377</v>
      </c>
      <c r="H764" t="str">
        <f>VLOOKUP(record[[#This Row],[ProcessSN]],表格2_7[],2,FALSE)</f>
        <v>30-4118-018-4XX</v>
      </c>
      <c r="I764" t="str">
        <f>VLOOKUP(record[[#This Row],[ProcessSN]],表格2_7[],3,FALSE)</f>
        <v>#07</v>
      </c>
      <c r="J764" t="s">
        <v>588</v>
      </c>
      <c r="K764" s="195">
        <v>46146.579513888886</v>
      </c>
      <c r="L764">
        <v>108</v>
      </c>
      <c r="M764">
        <v>0</v>
      </c>
      <c r="N764" s="98" t="str">
        <f>IF(record[[#This Row],[Memo]]="Browser:chrome os:android","平板報工",IF(record[[#This Row],[Memo]]=0,"委外",record[[#This Row],[Memo]]))</f>
        <v>平板報工</v>
      </c>
      <c r="O764" t="s">
        <v>643</v>
      </c>
      <c r="P764" t="s">
        <v>145</v>
      </c>
      <c r="Q764" t="s">
        <v>644</v>
      </c>
      <c r="R764" t="str">
        <f>IFERROR(VLOOKUP(record[[#This Row],[PCUSTID]],廠商[],2,FALSE),"")</f>
        <v/>
      </c>
      <c r="S764" t="str">
        <f>VLOOKUP(record[[#This Row],[employeeID]],員工[],2,FALSE)</f>
        <v>阮秋霞</v>
      </c>
    </row>
    <row r="765" spans="6:19" hidden="1" x14ac:dyDescent="0.25">
      <c r="F765" t="s">
        <v>1909</v>
      </c>
      <c r="G765" t="s">
        <v>376</v>
      </c>
      <c r="H765" t="str">
        <f>VLOOKUP(record[[#This Row],[ProcessSN]],表格2_7[],2,FALSE)</f>
        <v>30-4118-018-4XX</v>
      </c>
      <c r="I765" t="str">
        <f>VLOOKUP(record[[#This Row],[ProcessSN]],表格2_7[],3,FALSE)</f>
        <v>#06</v>
      </c>
      <c r="J765" t="s">
        <v>593</v>
      </c>
      <c r="K765" s="195">
        <v>46146.573009259257</v>
      </c>
      <c r="L765">
        <v>142</v>
      </c>
      <c r="M765">
        <v>0</v>
      </c>
      <c r="N765" s="98" t="str">
        <f>IF(record[[#This Row],[Memo]]="Browser:chrome os:android","平板報工",IF(record[[#This Row],[Memo]]=0,"委外",record[[#This Row],[Memo]]))</f>
        <v>晚班5/2</v>
      </c>
      <c r="O765" t="s">
        <v>1956</v>
      </c>
      <c r="P765" t="s">
        <v>101</v>
      </c>
      <c r="Q765" t="s">
        <v>58</v>
      </c>
      <c r="R765" t="str">
        <f>IFERROR(VLOOKUP(record[[#This Row],[PCUSTID]],廠商[],2,FALSE),"")</f>
        <v/>
      </c>
      <c r="S765" t="str">
        <f>VLOOKUP(record[[#This Row],[employeeID]],員工[],2,FALSE)</f>
        <v>陳氏絨</v>
      </c>
    </row>
    <row r="766" spans="6:19" hidden="1" x14ac:dyDescent="0.25">
      <c r="F766" t="s">
        <v>1909</v>
      </c>
      <c r="G766" t="s">
        <v>376</v>
      </c>
      <c r="H766" t="str">
        <f>VLOOKUP(record[[#This Row],[ProcessSN]],表格2_7[],2,FALSE)</f>
        <v>30-4118-018-4XX</v>
      </c>
      <c r="I766" t="str">
        <f>VLOOKUP(record[[#This Row],[ProcessSN]],表格2_7[],3,FALSE)</f>
        <v>#06</v>
      </c>
      <c r="J766" t="s">
        <v>593</v>
      </c>
      <c r="K766" s="195">
        <v>46146.559444444443</v>
      </c>
      <c r="L766">
        <v>24</v>
      </c>
      <c r="M766">
        <v>0</v>
      </c>
      <c r="N766" s="98" t="str">
        <f>IF(record[[#This Row],[Memo]]="Browser:chrome os:android","平板報工",IF(record[[#This Row],[Memo]]=0,"委外",record[[#This Row],[Memo]]))</f>
        <v>平板報工</v>
      </c>
      <c r="O766" t="s">
        <v>643</v>
      </c>
      <c r="P766" t="s">
        <v>1413</v>
      </c>
      <c r="Q766" t="s">
        <v>644</v>
      </c>
      <c r="R766" t="str">
        <f>IFERROR(VLOOKUP(record[[#This Row],[PCUSTID]],廠商[],2,FALSE),"")</f>
        <v/>
      </c>
      <c r="S766" t="str">
        <f>VLOOKUP(record[[#This Row],[employeeID]],員工[],2,FALSE)</f>
        <v>阮氏芳英(芳)</v>
      </c>
    </row>
    <row r="767" spans="6:19" hidden="1" x14ac:dyDescent="0.25">
      <c r="F767" t="s">
        <v>1857</v>
      </c>
      <c r="G767" t="s">
        <v>469</v>
      </c>
      <c r="H767" t="str">
        <f>VLOOKUP(record[[#This Row],[ProcessSN]],表格2_7[],2,FALSE)</f>
        <v>30-4118-018-XXX</v>
      </c>
      <c r="I767" t="str">
        <f>VLOOKUP(record[[#This Row],[ProcessSN]],表格2_7[],3,FALSE)</f>
        <v>#02RCV</v>
      </c>
      <c r="J767" t="s">
        <v>591</v>
      </c>
      <c r="K767" s="195">
        <v>46146.484826388885</v>
      </c>
      <c r="L767">
        <v>0</v>
      </c>
      <c r="M767">
        <v>20</v>
      </c>
      <c r="N767" s="98" t="str">
        <f>IF(record[[#This Row],[Memo]]="Browser:chrome os:android","平板報工",IF(record[[#This Row],[Memo]]=0,"委外",record[[#This Row],[Memo]]))</f>
        <v/>
      </c>
      <c r="O767" t="s">
        <v>58</v>
      </c>
      <c r="P767" t="s">
        <v>186</v>
      </c>
      <c r="Q767" t="s">
        <v>58</v>
      </c>
      <c r="R767" t="str">
        <f>IFERROR(VLOOKUP(record[[#This Row],[PCUSTID]],廠商[],2,FALSE),"")</f>
        <v/>
      </c>
      <c r="S767" t="str">
        <f>VLOOKUP(record[[#This Row],[employeeID]],員工[],2,FALSE)</f>
        <v>許文姍</v>
      </c>
    </row>
    <row r="768" spans="6:19" hidden="1" x14ac:dyDescent="0.25">
      <c r="F768" t="s">
        <v>1857</v>
      </c>
      <c r="G768" t="s">
        <v>469</v>
      </c>
      <c r="H768" t="str">
        <f>VLOOKUP(record[[#This Row],[ProcessSN]],表格2_7[],2,FALSE)</f>
        <v>30-4118-018-XXX</v>
      </c>
      <c r="I768" t="str">
        <f>VLOOKUP(record[[#This Row],[ProcessSN]],表格2_7[],3,FALSE)</f>
        <v>#02RCV</v>
      </c>
      <c r="J768" t="s">
        <v>591</v>
      </c>
      <c r="K768" s="195">
        <v>46146.4846412037</v>
      </c>
      <c r="L768">
        <v>1492</v>
      </c>
      <c r="M768">
        <v>0</v>
      </c>
      <c r="N768" s="98" t="str">
        <f>IF(record[[#This Row],[Memo]]="Browser:chrome os:android","平板報工",IF(record[[#This Row],[Memo]]=0,"委外",record[[#This Row],[Memo]]))</f>
        <v/>
      </c>
      <c r="O768" t="s">
        <v>58</v>
      </c>
      <c r="P768" t="s">
        <v>186</v>
      </c>
      <c r="Q768" t="s">
        <v>58</v>
      </c>
      <c r="R768" t="str">
        <f>IFERROR(VLOOKUP(record[[#This Row],[PCUSTID]],廠商[],2,FALSE),"")</f>
        <v/>
      </c>
      <c r="S768" t="str">
        <f>VLOOKUP(record[[#This Row],[employeeID]],員工[],2,FALSE)</f>
        <v>許文姍</v>
      </c>
    </row>
    <row r="769" spans="6:19" hidden="1" x14ac:dyDescent="0.25">
      <c r="F769" t="s">
        <v>1909</v>
      </c>
      <c r="G769" t="s">
        <v>378</v>
      </c>
      <c r="H769" t="str">
        <f>VLOOKUP(record[[#This Row],[ProcessSN]],表格2_7[],2,FALSE)</f>
        <v>30-4118-018-4XX</v>
      </c>
      <c r="I769" t="str">
        <f>VLOOKUP(record[[#This Row],[ProcessSN]],表格2_7[],3,FALSE)</f>
        <v>#07QC</v>
      </c>
      <c r="J769" t="s">
        <v>589</v>
      </c>
      <c r="K769" s="195">
        <v>46146.466412037036</v>
      </c>
      <c r="L769">
        <v>0</v>
      </c>
      <c r="M769">
        <v>100</v>
      </c>
      <c r="N769" s="98" t="str">
        <f>IF(record[[#This Row],[Memo]]="Browser:chrome os:android","平板報工",IF(record[[#This Row],[Memo]]=0,"委外",record[[#This Row],[Memo]]))</f>
        <v>平板報工</v>
      </c>
      <c r="O769" t="s">
        <v>643</v>
      </c>
      <c r="P769" t="s">
        <v>141</v>
      </c>
      <c r="Q769" t="s">
        <v>644</v>
      </c>
      <c r="R769" t="str">
        <f>IFERROR(VLOOKUP(record[[#This Row],[PCUSTID]],廠商[],2,FALSE),"")</f>
        <v/>
      </c>
      <c r="S769" t="str">
        <f>VLOOKUP(record[[#This Row],[employeeID]],員工[],2,FALSE)</f>
        <v>蔣梅</v>
      </c>
    </row>
    <row r="770" spans="6:19" hidden="1" x14ac:dyDescent="0.25">
      <c r="F770" t="s">
        <v>1909</v>
      </c>
      <c r="G770" t="s">
        <v>378</v>
      </c>
      <c r="H770" t="str">
        <f>VLOOKUP(record[[#This Row],[ProcessSN]],表格2_7[],2,FALSE)</f>
        <v>30-4118-018-4XX</v>
      </c>
      <c r="I770" t="str">
        <f>VLOOKUP(record[[#This Row],[ProcessSN]],表格2_7[],3,FALSE)</f>
        <v>#07QC</v>
      </c>
      <c r="J770" t="s">
        <v>589</v>
      </c>
      <c r="K770" s="195">
        <v>46146.466215277775</v>
      </c>
      <c r="L770">
        <v>373</v>
      </c>
      <c r="M770">
        <v>0</v>
      </c>
      <c r="N770" s="98" t="str">
        <f>IF(record[[#This Row],[Memo]]="Browser:chrome os:android","平板報工",IF(record[[#This Row],[Memo]]=0,"委外",record[[#This Row],[Memo]]))</f>
        <v>平板報工</v>
      </c>
      <c r="O770" t="s">
        <v>643</v>
      </c>
      <c r="P770" t="s">
        <v>141</v>
      </c>
      <c r="Q770" t="s">
        <v>644</v>
      </c>
      <c r="R770" t="str">
        <f>IFERROR(VLOOKUP(record[[#This Row],[PCUSTID]],廠商[],2,FALSE),"")</f>
        <v/>
      </c>
      <c r="S770" t="str">
        <f>VLOOKUP(record[[#This Row],[employeeID]],員工[],2,FALSE)</f>
        <v>蔣梅</v>
      </c>
    </row>
    <row r="771" spans="6:19" hidden="1" x14ac:dyDescent="0.25">
      <c r="F771" t="s">
        <v>1857</v>
      </c>
      <c r="G771" t="s">
        <v>468</v>
      </c>
      <c r="H771" t="str">
        <f>VLOOKUP(record[[#This Row],[ProcessSN]],表格2_7[],2,FALSE)</f>
        <v>30-4118-018-XXX</v>
      </c>
      <c r="I771" t="str">
        <f>VLOOKUP(record[[#This Row],[ProcessSN]],表格2_7[],3,FALSE)</f>
        <v>#02</v>
      </c>
      <c r="J771" t="s">
        <v>590</v>
      </c>
      <c r="K771" s="195">
        <v>46146.341516203705</v>
      </c>
      <c r="L771">
        <v>1008</v>
      </c>
      <c r="M771">
        <v>0</v>
      </c>
      <c r="N771" s="98" t="str">
        <f>IF(record[[#This Row],[Memo]]="Browser:chrome os:android","平板報工",IF(record[[#This Row],[Memo]]=0,"委外",record[[#This Row],[Memo]]))</f>
        <v/>
      </c>
      <c r="O771" t="s">
        <v>58</v>
      </c>
      <c r="P771" t="s">
        <v>186</v>
      </c>
      <c r="Q771" t="s">
        <v>58</v>
      </c>
      <c r="R771" t="str">
        <f>IFERROR(VLOOKUP(record[[#This Row],[PCUSTID]],廠商[],2,FALSE),"")</f>
        <v/>
      </c>
      <c r="S771" t="str">
        <f>VLOOKUP(record[[#This Row],[employeeID]],員工[],2,FALSE)</f>
        <v>許文姍</v>
      </c>
    </row>
    <row r="772" spans="6:19" hidden="1" x14ac:dyDescent="0.25">
      <c r="F772" t="s">
        <v>1933</v>
      </c>
      <c r="G772" t="s">
        <v>409</v>
      </c>
      <c r="H772" t="str">
        <f>VLOOKUP(record[[#This Row],[ProcessSN]],表格2_7[],2,FALSE)</f>
        <v>30-4118-018-570</v>
      </c>
      <c r="I772" t="str">
        <f>VLOOKUP(record[[#This Row],[ProcessSN]],表格2_7[],3,FALSE)</f>
        <v>#10OQC</v>
      </c>
      <c r="J772" t="s">
        <v>599</v>
      </c>
      <c r="K772" s="195">
        <v>46146.333680555559</v>
      </c>
      <c r="L772">
        <v>184</v>
      </c>
      <c r="M772">
        <v>0</v>
      </c>
      <c r="N772" s="98" t="str">
        <f>IF(record[[#This Row],[Memo]]="Browser:chrome os:android","平板報工",IF(record[[#This Row],[Memo]]=0,"委外",record[[#This Row],[Memo]]))</f>
        <v/>
      </c>
      <c r="O772" t="s">
        <v>58</v>
      </c>
      <c r="P772" t="s">
        <v>121</v>
      </c>
      <c r="Q772" t="s">
        <v>58</v>
      </c>
      <c r="R772" t="str">
        <f>IFERROR(VLOOKUP(record[[#This Row],[PCUSTID]],廠商[],2,FALSE),"")</f>
        <v/>
      </c>
      <c r="S772" t="str">
        <f>VLOOKUP(record[[#This Row],[employeeID]],員工[],2,FALSE)</f>
        <v>謝素卿</v>
      </c>
    </row>
    <row r="773" spans="6:19" hidden="1" x14ac:dyDescent="0.25">
      <c r="F773" t="s">
        <v>1934</v>
      </c>
      <c r="G773" t="s">
        <v>368</v>
      </c>
      <c r="H773" t="str">
        <f>VLOOKUP(record[[#This Row],[ProcessSN]],表格2_7[],2,FALSE)</f>
        <v>30-4118-018-470</v>
      </c>
      <c r="I773" t="str">
        <f>VLOOKUP(record[[#This Row],[ProcessSN]],表格2_7[],3,FALSE)</f>
        <v>#100OQC</v>
      </c>
      <c r="J773" t="s">
        <v>599</v>
      </c>
      <c r="K773" s="195">
        <v>46146.333506944444</v>
      </c>
      <c r="L773">
        <v>106</v>
      </c>
      <c r="M773">
        <v>0</v>
      </c>
      <c r="N773" s="98" t="str">
        <f>IF(record[[#This Row],[Memo]]="Browser:chrome os:android","平板報工",IF(record[[#This Row],[Memo]]=0,"委外",record[[#This Row],[Memo]]))</f>
        <v/>
      </c>
      <c r="O773" t="s">
        <v>58</v>
      </c>
      <c r="P773" t="s">
        <v>121</v>
      </c>
      <c r="Q773" t="s">
        <v>58</v>
      </c>
      <c r="R773" t="str">
        <f>IFERROR(VLOOKUP(record[[#This Row],[PCUSTID]],廠商[],2,FALSE),"")</f>
        <v/>
      </c>
      <c r="S773" t="str">
        <f>VLOOKUP(record[[#This Row],[employeeID]],員工[],2,FALSE)</f>
        <v>謝素卿</v>
      </c>
    </row>
    <row r="774" spans="6:19" x14ac:dyDescent="0.25">
      <c r="F774" t="s">
        <v>1924</v>
      </c>
      <c r="G774" t="s">
        <v>448</v>
      </c>
      <c r="H774" t="str">
        <f>VLOOKUP(record[[#This Row],[ProcessSN]],表格2_7[],2,FALSE)</f>
        <v>30-4118-018-6XX</v>
      </c>
      <c r="I774" t="str">
        <f>VLOOKUP(record[[#This Row],[ProcessSN]],表格2_7[],3,FALSE)</f>
        <v>#04</v>
      </c>
      <c r="J774" t="s">
        <v>588</v>
      </c>
      <c r="K774" s="195">
        <v>46144.327002314814</v>
      </c>
      <c r="L774">
        <v>100</v>
      </c>
      <c r="M774">
        <v>0</v>
      </c>
      <c r="N774" s="98" t="str">
        <f>IF(record[[#This Row],[Memo]]="Browser:chrome os:android","平板報工",IF(record[[#This Row],[Memo]]=0,"委外",record[[#This Row],[Memo]]))</f>
        <v>平板報工</v>
      </c>
      <c r="O774" t="s">
        <v>643</v>
      </c>
      <c r="P774" t="s">
        <v>180</v>
      </c>
      <c r="Q774" t="s">
        <v>644</v>
      </c>
      <c r="R774" t="str">
        <f>IFERROR(VLOOKUP(record[[#This Row],[PCUSTID]],廠商[],2,FALSE),"")</f>
        <v/>
      </c>
      <c r="S774" t="str">
        <f>VLOOKUP(record[[#This Row],[employeeID]],員工[],2,FALSE)</f>
        <v>黎功江</v>
      </c>
    </row>
    <row r="775" spans="6:19" hidden="1" x14ac:dyDescent="0.25">
      <c r="F775" t="s">
        <v>1909</v>
      </c>
      <c r="G775" t="s">
        <v>374</v>
      </c>
      <c r="H775" t="str">
        <f>VLOOKUP(record[[#This Row],[ProcessSN]],表格2_7[],2,FALSE)</f>
        <v>30-4118-018-4XX</v>
      </c>
      <c r="I775" t="str">
        <f>VLOOKUP(record[[#This Row],[ProcessSN]],表格2_7[],3,FALSE)</f>
        <v>#04</v>
      </c>
      <c r="J775" t="s">
        <v>588</v>
      </c>
      <c r="K775" s="195">
        <v>46144.32671296296</v>
      </c>
      <c r="L775">
        <v>110</v>
      </c>
      <c r="M775">
        <v>0</v>
      </c>
      <c r="N775" s="98" t="str">
        <f>IF(record[[#This Row],[Memo]]="Browser:chrome os:android","平板報工",IF(record[[#This Row],[Memo]]=0,"委外",record[[#This Row],[Memo]]))</f>
        <v>平板報工</v>
      </c>
      <c r="O775" t="s">
        <v>643</v>
      </c>
      <c r="P775" t="s">
        <v>180</v>
      </c>
      <c r="Q775" t="s">
        <v>644</v>
      </c>
      <c r="R775" t="str">
        <f>IFERROR(VLOOKUP(record[[#This Row],[PCUSTID]],廠商[],2,FALSE),"")</f>
        <v/>
      </c>
      <c r="S775" t="str">
        <f>VLOOKUP(record[[#This Row],[employeeID]],員工[],2,FALSE)</f>
        <v>黎功江</v>
      </c>
    </row>
    <row r="776" spans="6:19" hidden="1" x14ac:dyDescent="0.25">
      <c r="F776" t="s">
        <v>1944</v>
      </c>
      <c r="G776" t="s">
        <v>414</v>
      </c>
      <c r="H776" t="str">
        <f>VLOOKUP(record[[#This Row],[ProcessSN]],表格2_7[],2,FALSE)</f>
        <v>30-4118-018-5XX</v>
      </c>
      <c r="I776" t="str">
        <f>VLOOKUP(record[[#This Row],[ProcessSN]],表格2_7[],3,FALSE)</f>
        <v>#03</v>
      </c>
      <c r="J776" t="s">
        <v>588</v>
      </c>
      <c r="K776" s="195">
        <v>46144.325127314813</v>
      </c>
      <c r="L776">
        <v>644</v>
      </c>
      <c r="M776">
        <v>0</v>
      </c>
      <c r="N776" s="98" t="str">
        <f>IF(record[[#This Row],[Memo]]="Browser:chrome os:android","平板報工",IF(record[[#This Row],[Memo]]=0,"委外",record[[#This Row],[Memo]]))</f>
        <v>平板報工</v>
      </c>
      <c r="O776" t="s">
        <v>643</v>
      </c>
      <c r="P776" t="s">
        <v>180</v>
      </c>
      <c r="Q776" t="s">
        <v>644</v>
      </c>
      <c r="R776" t="str">
        <f>IFERROR(VLOOKUP(record[[#This Row],[PCUSTID]],廠商[],2,FALSE),"")</f>
        <v/>
      </c>
      <c r="S776" t="str">
        <f>VLOOKUP(record[[#This Row],[employeeID]],員工[],2,FALSE)</f>
        <v>黎功江</v>
      </c>
    </row>
    <row r="777" spans="6:19" hidden="1" x14ac:dyDescent="0.25">
      <c r="F777" t="s">
        <v>1945</v>
      </c>
      <c r="G777" t="s">
        <v>447</v>
      </c>
      <c r="H777" t="str">
        <f>VLOOKUP(record[[#This Row],[ProcessSN]],表格2_7[],2,FALSE)</f>
        <v>30-4118-018-6XX</v>
      </c>
      <c r="I777" t="str">
        <f>VLOOKUP(record[[#This Row],[ProcessSN]],表格2_7[],3,FALSE)</f>
        <v>#03</v>
      </c>
      <c r="J777" t="s">
        <v>588</v>
      </c>
      <c r="K777" s="195">
        <v>46144.324444444443</v>
      </c>
      <c r="L777">
        <v>216</v>
      </c>
      <c r="M777">
        <v>0</v>
      </c>
      <c r="N777" s="98" t="str">
        <f>IF(record[[#This Row],[Memo]]="Browser:chrome os:android","平板報工",IF(record[[#This Row],[Memo]]=0,"委外",record[[#This Row],[Memo]]))</f>
        <v>平板報工</v>
      </c>
      <c r="O777" t="s">
        <v>643</v>
      </c>
      <c r="P777" t="s">
        <v>180</v>
      </c>
      <c r="Q777" t="s">
        <v>644</v>
      </c>
      <c r="R777" t="str">
        <f>IFERROR(VLOOKUP(record[[#This Row],[PCUSTID]],廠商[],2,FALSE),"")</f>
        <v/>
      </c>
      <c r="S777" t="str">
        <f>VLOOKUP(record[[#This Row],[employeeID]],員工[],2,FALSE)</f>
        <v>黎功江</v>
      </c>
    </row>
    <row r="778" spans="6:19" hidden="1" x14ac:dyDescent="0.25">
      <c r="F778" t="s">
        <v>1909</v>
      </c>
      <c r="G778" t="s">
        <v>377</v>
      </c>
      <c r="H778" t="str">
        <f>VLOOKUP(record[[#This Row],[ProcessSN]],表格2_7[],2,FALSE)</f>
        <v>30-4118-018-4XX</v>
      </c>
      <c r="I778" t="str">
        <f>VLOOKUP(record[[#This Row],[ProcessSN]],表格2_7[],3,FALSE)</f>
        <v>#07</v>
      </c>
      <c r="J778" t="s">
        <v>588</v>
      </c>
      <c r="K778" s="195">
        <v>46144.322743055556</v>
      </c>
      <c r="L778">
        <v>270</v>
      </c>
      <c r="M778">
        <v>0</v>
      </c>
      <c r="N778" s="98" t="str">
        <f>IF(record[[#This Row],[Memo]]="Browser:chrome os:android","平板報工",IF(record[[#This Row],[Memo]]=0,"委外",record[[#This Row],[Memo]]))</f>
        <v>平板報工</v>
      </c>
      <c r="O778" t="s">
        <v>643</v>
      </c>
      <c r="P778" t="s">
        <v>691</v>
      </c>
      <c r="Q778" t="s">
        <v>644</v>
      </c>
      <c r="R778" t="str">
        <f>IFERROR(VLOOKUP(record[[#This Row],[PCUSTID]],廠商[],2,FALSE),"")</f>
        <v/>
      </c>
      <c r="S778" t="str">
        <f>VLOOKUP(record[[#This Row],[employeeID]],員工[],2,FALSE)</f>
        <v>武氏賢</v>
      </c>
    </row>
    <row r="779" spans="6:19" hidden="1" x14ac:dyDescent="0.25">
      <c r="F779" t="s">
        <v>1909</v>
      </c>
      <c r="G779" t="s">
        <v>375</v>
      </c>
      <c r="H779" t="str">
        <f>VLOOKUP(record[[#This Row],[ProcessSN]],表格2_7[],2,FALSE)</f>
        <v>30-4118-018-4XX</v>
      </c>
      <c r="I779" t="str">
        <f>VLOOKUP(record[[#This Row],[ProcessSN]],表格2_7[],3,FALSE)</f>
        <v>#05</v>
      </c>
      <c r="J779" t="s">
        <v>588</v>
      </c>
      <c r="K779" s="195">
        <v>46144.320057870369</v>
      </c>
      <c r="L779">
        <v>276</v>
      </c>
      <c r="M779">
        <v>0</v>
      </c>
      <c r="N779" s="98" t="str">
        <f>IF(record[[#This Row],[Memo]]="Browser:chrome os:android","平板報工",IF(record[[#This Row],[Memo]]=0,"委外",record[[#This Row],[Memo]]))</f>
        <v>平板報工</v>
      </c>
      <c r="O779" t="s">
        <v>643</v>
      </c>
      <c r="P779" t="s">
        <v>691</v>
      </c>
      <c r="Q779" t="s">
        <v>644</v>
      </c>
      <c r="R779" t="str">
        <f>IFERROR(VLOOKUP(record[[#This Row],[PCUSTID]],廠商[],2,FALSE),"")</f>
        <v/>
      </c>
      <c r="S779" t="str">
        <f>VLOOKUP(record[[#This Row],[employeeID]],員工[],2,FALSE)</f>
        <v>武氏賢</v>
      </c>
    </row>
    <row r="780" spans="6:19" hidden="1" x14ac:dyDescent="0.25">
      <c r="F780" t="s">
        <v>1909</v>
      </c>
      <c r="G780" t="s">
        <v>376</v>
      </c>
      <c r="H780" t="str">
        <f>VLOOKUP(record[[#This Row],[ProcessSN]],表格2_7[],2,FALSE)</f>
        <v>30-4118-018-4XX</v>
      </c>
      <c r="I780" t="str">
        <f>VLOOKUP(record[[#This Row],[ProcessSN]],表格2_7[],3,FALSE)</f>
        <v>#06</v>
      </c>
      <c r="J780" t="s">
        <v>593</v>
      </c>
      <c r="K780" s="195">
        <v>46144.312847222223</v>
      </c>
      <c r="L780">
        <v>133</v>
      </c>
      <c r="M780">
        <v>0</v>
      </c>
      <c r="N780" s="98" t="str">
        <f>IF(record[[#This Row],[Memo]]="Browser:chrome os:android","平板報工",IF(record[[#This Row],[Memo]]=0,"委外",record[[#This Row],[Memo]]))</f>
        <v>平板報工</v>
      </c>
      <c r="O780" t="s">
        <v>643</v>
      </c>
      <c r="P780" t="s">
        <v>170</v>
      </c>
      <c r="Q780" t="s">
        <v>644</v>
      </c>
      <c r="R780" t="str">
        <f>IFERROR(VLOOKUP(record[[#This Row],[PCUSTID]],廠商[],2,FALSE),"")</f>
        <v/>
      </c>
      <c r="S780" t="str">
        <f>VLOOKUP(record[[#This Row],[employeeID]],員工[],2,FALSE)</f>
        <v>黃清宇</v>
      </c>
    </row>
    <row r="781" spans="6:19" hidden="1" x14ac:dyDescent="0.25">
      <c r="F781" t="s">
        <v>1909</v>
      </c>
      <c r="G781" t="s">
        <v>374</v>
      </c>
      <c r="H781" t="str">
        <f>VLOOKUP(record[[#This Row],[ProcessSN]],表格2_7[],2,FALSE)</f>
        <v>30-4118-018-4XX</v>
      </c>
      <c r="I781" t="str">
        <f>VLOOKUP(record[[#This Row],[ProcessSN]],表格2_7[],3,FALSE)</f>
        <v>#04</v>
      </c>
      <c r="J781" t="s">
        <v>588</v>
      </c>
      <c r="K781" s="195">
        <v>46144.010289351849</v>
      </c>
      <c r="L781">
        <v>140</v>
      </c>
      <c r="M781">
        <v>0</v>
      </c>
      <c r="N781" s="98" t="str">
        <f>IF(record[[#This Row],[Memo]]="Browser:chrome os:android","平板報工",IF(record[[#This Row],[Memo]]=0,"委外",record[[#This Row],[Memo]]))</f>
        <v/>
      </c>
      <c r="O781" t="s">
        <v>58</v>
      </c>
      <c r="P781" t="s">
        <v>127</v>
      </c>
      <c r="Q781" t="s">
        <v>58</v>
      </c>
      <c r="R781" t="str">
        <f>IFERROR(VLOOKUP(record[[#This Row],[PCUSTID]],廠商[],2,FALSE),"")</f>
        <v/>
      </c>
      <c r="S781" t="str">
        <f>VLOOKUP(record[[#This Row],[employeeID]],員工[],2,FALSE)</f>
        <v>潘雪梅</v>
      </c>
    </row>
    <row r="782" spans="6:19" x14ac:dyDescent="0.25">
      <c r="F782" t="s">
        <v>1924</v>
      </c>
      <c r="G782" t="s">
        <v>448</v>
      </c>
      <c r="H782" t="str">
        <f>VLOOKUP(record[[#This Row],[ProcessSN]],表格2_7[],2,FALSE)</f>
        <v>30-4118-018-6XX</v>
      </c>
      <c r="I782" t="str">
        <f>VLOOKUP(record[[#This Row],[ProcessSN]],表格2_7[],3,FALSE)</f>
        <v>#04</v>
      </c>
      <c r="J782" t="s">
        <v>588</v>
      </c>
      <c r="K782" s="195">
        <v>46144.009745370371</v>
      </c>
      <c r="L782">
        <v>100</v>
      </c>
      <c r="M782">
        <v>0</v>
      </c>
      <c r="N782" s="98" t="str">
        <f>IF(record[[#This Row],[Memo]]="Browser:chrome os:android","平板報工",IF(record[[#This Row],[Memo]]=0,"委外",record[[#This Row],[Memo]]))</f>
        <v/>
      </c>
      <c r="O782" t="s">
        <v>58</v>
      </c>
      <c r="P782" t="s">
        <v>127</v>
      </c>
      <c r="Q782" t="s">
        <v>58</v>
      </c>
      <c r="R782" t="str">
        <f>IFERROR(VLOOKUP(record[[#This Row],[PCUSTID]],廠商[],2,FALSE),"")</f>
        <v/>
      </c>
      <c r="S782" t="str">
        <f>VLOOKUP(record[[#This Row],[employeeID]],員工[],2,FALSE)</f>
        <v>潘雪梅</v>
      </c>
    </row>
    <row r="783" spans="6:19" hidden="1" x14ac:dyDescent="0.25">
      <c r="F783" t="s">
        <v>1945</v>
      </c>
      <c r="G783" t="s">
        <v>447</v>
      </c>
      <c r="H783" t="str">
        <f>VLOOKUP(record[[#This Row],[ProcessSN]],表格2_7[],2,FALSE)</f>
        <v>30-4118-018-6XX</v>
      </c>
      <c r="I783" t="str">
        <f>VLOOKUP(record[[#This Row],[ProcessSN]],表格2_7[],3,FALSE)</f>
        <v>#03</v>
      </c>
      <c r="J783" t="s">
        <v>588</v>
      </c>
      <c r="K783" s="195">
        <v>46144.009305555555</v>
      </c>
      <c r="L783">
        <v>968</v>
      </c>
      <c r="M783">
        <v>0</v>
      </c>
      <c r="N783" s="98" t="str">
        <f>IF(record[[#This Row],[Memo]]="Browser:chrome os:android","平板報工",IF(record[[#This Row],[Memo]]=0,"委外",record[[#This Row],[Memo]]))</f>
        <v/>
      </c>
      <c r="O783" t="s">
        <v>58</v>
      </c>
      <c r="P783" t="s">
        <v>127</v>
      </c>
      <c r="Q783" t="s">
        <v>58</v>
      </c>
      <c r="R783" t="str">
        <f>IFERROR(VLOOKUP(record[[#This Row],[PCUSTID]],廠商[],2,FALSE),"")</f>
        <v/>
      </c>
      <c r="S783" t="str">
        <f>VLOOKUP(record[[#This Row],[employeeID]],員工[],2,FALSE)</f>
        <v>潘雪梅</v>
      </c>
    </row>
    <row r="784" spans="6:19" hidden="1" x14ac:dyDescent="0.25">
      <c r="F784" t="s">
        <v>1909</v>
      </c>
      <c r="G784" t="s">
        <v>376</v>
      </c>
      <c r="H784" t="str">
        <f>VLOOKUP(record[[#This Row],[ProcessSN]],表格2_7[],2,FALSE)</f>
        <v>30-4118-018-4XX</v>
      </c>
      <c r="I784" t="str">
        <f>VLOOKUP(record[[#This Row],[ProcessSN]],表格2_7[],3,FALSE)</f>
        <v>#06</v>
      </c>
      <c r="J784" t="s">
        <v>593</v>
      </c>
      <c r="K784" s="195">
        <v>46144.008645833332</v>
      </c>
      <c r="L784">
        <v>0</v>
      </c>
      <c r="M784">
        <v>1</v>
      </c>
      <c r="N784" s="98" t="str">
        <f>IF(record[[#This Row],[Memo]]="Browser:chrome os:android","平板報工",IF(record[[#This Row],[Memo]]=0,"委外",record[[#This Row],[Memo]]))</f>
        <v/>
      </c>
      <c r="O784" t="s">
        <v>58</v>
      </c>
      <c r="P784" t="s">
        <v>123</v>
      </c>
      <c r="Q784" t="s">
        <v>58</v>
      </c>
      <c r="R784" t="str">
        <f>IFERROR(VLOOKUP(record[[#This Row],[PCUSTID]],廠商[],2,FALSE),"")</f>
        <v/>
      </c>
      <c r="S784" t="str">
        <f>VLOOKUP(record[[#This Row],[employeeID]],員工[],2,FALSE)</f>
        <v>洪乙力</v>
      </c>
    </row>
    <row r="785" spans="6:19" hidden="1" x14ac:dyDescent="0.25">
      <c r="F785" t="s">
        <v>1857</v>
      </c>
      <c r="G785" t="s">
        <v>466</v>
      </c>
      <c r="H785" t="str">
        <f>VLOOKUP(record[[#This Row],[ProcessSN]],表格2_7[],2,FALSE)</f>
        <v>30-4118-018-XXX</v>
      </c>
      <c r="I785" t="str">
        <f>VLOOKUP(record[[#This Row],[ProcessSN]],表格2_7[],3,FALSE)</f>
        <v>#01-2</v>
      </c>
      <c r="J785" t="s">
        <v>588</v>
      </c>
      <c r="K785" s="195">
        <v>46144.008136574077</v>
      </c>
      <c r="L785">
        <v>120</v>
      </c>
      <c r="M785">
        <v>0</v>
      </c>
      <c r="N785" s="98" t="str">
        <f>IF(record[[#This Row],[Memo]]="Browser:chrome os:android","平板報工",IF(record[[#This Row],[Memo]]=0,"委外",record[[#This Row],[Memo]]))</f>
        <v/>
      </c>
      <c r="O785" t="s">
        <v>58</v>
      </c>
      <c r="P785" t="s">
        <v>1847</v>
      </c>
      <c r="Q785" t="s">
        <v>58</v>
      </c>
      <c r="R785" t="str">
        <f>IFERROR(VLOOKUP(record[[#This Row],[PCUSTID]],廠商[],2,FALSE),"")</f>
        <v/>
      </c>
      <c r="S785" t="str">
        <f>VLOOKUP(record[[#This Row],[employeeID]],員工[],2,FALSE)</f>
        <v>潘黎慶平</v>
      </c>
    </row>
    <row r="786" spans="6:19" hidden="1" x14ac:dyDescent="0.25">
      <c r="F786" t="s">
        <v>1909</v>
      </c>
      <c r="G786" t="s">
        <v>377</v>
      </c>
      <c r="H786" t="str">
        <f>VLOOKUP(record[[#This Row],[ProcessSN]],表格2_7[],2,FALSE)</f>
        <v>30-4118-018-4XX</v>
      </c>
      <c r="I786" t="str">
        <f>VLOOKUP(record[[#This Row],[ProcessSN]],表格2_7[],3,FALSE)</f>
        <v>#07</v>
      </c>
      <c r="J786" t="s">
        <v>588</v>
      </c>
      <c r="K786" s="195">
        <v>46144.005462962959</v>
      </c>
      <c r="L786">
        <v>256</v>
      </c>
      <c r="M786">
        <v>3</v>
      </c>
      <c r="N786" s="98" t="str">
        <f>IF(record[[#This Row],[Memo]]="Browser:chrome os:android","平板報工",IF(record[[#This Row],[Memo]]=0,"委外",record[[#This Row],[Memo]]))</f>
        <v/>
      </c>
      <c r="O786" t="s">
        <v>58</v>
      </c>
      <c r="P786" t="s">
        <v>1098</v>
      </c>
      <c r="Q786" t="s">
        <v>58</v>
      </c>
      <c r="R786" t="str">
        <f>IFERROR(VLOOKUP(record[[#This Row],[PCUSTID]],廠商[],2,FALSE),"")</f>
        <v/>
      </c>
      <c r="S786" t="str">
        <f>VLOOKUP(record[[#This Row],[employeeID]],員工[],2,FALSE)</f>
        <v>阮氏芳英(英)</v>
      </c>
    </row>
    <row r="787" spans="6:19" hidden="1" x14ac:dyDescent="0.25">
      <c r="F787" t="s">
        <v>1909</v>
      </c>
      <c r="G787" t="s">
        <v>376</v>
      </c>
      <c r="H787" t="str">
        <f>VLOOKUP(record[[#This Row],[ProcessSN]],表格2_7[],2,FALSE)</f>
        <v>30-4118-018-4XX</v>
      </c>
      <c r="I787" t="str">
        <f>VLOOKUP(record[[#This Row],[ProcessSN]],表格2_7[],3,FALSE)</f>
        <v>#06</v>
      </c>
      <c r="J787" t="s">
        <v>593</v>
      </c>
      <c r="K787" s="195">
        <v>46144.005023148151</v>
      </c>
      <c r="L787">
        <v>133</v>
      </c>
      <c r="M787">
        <v>0</v>
      </c>
      <c r="N787" s="98" t="str">
        <f>IF(record[[#This Row],[Memo]]="Browser:chrome os:android","平板報工",IF(record[[#This Row],[Memo]]=0,"委外",record[[#This Row],[Memo]]))</f>
        <v/>
      </c>
      <c r="O787" t="s">
        <v>58</v>
      </c>
      <c r="P787" t="s">
        <v>123</v>
      </c>
      <c r="Q787" t="s">
        <v>58</v>
      </c>
      <c r="R787" t="str">
        <f>IFERROR(VLOOKUP(record[[#This Row],[PCUSTID]],廠商[],2,FALSE),"")</f>
        <v/>
      </c>
      <c r="S787" t="str">
        <f>VLOOKUP(record[[#This Row],[employeeID]],員工[],2,FALSE)</f>
        <v>洪乙力</v>
      </c>
    </row>
    <row r="788" spans="6:19" hidden="1" x14ac:dyDescent="0.25">
      <c r="F788" t="s">
        <v>1909</v>
      </c>
      <c r="G788" t="s">
        <v>376</v>
      </c>
      <c r="H788" t="str">
        <f>VLOOKUP(record[[#This Row],[ProcessSN]],表格2_7[],2,FALSE)</f>
        <v>30-4118-018-4XX</v>
      </c>
      <c r="I788" t="str">
        <f>VLOOKUP(record[[#This Row],[ProcessSN]],表格2_7[],3,FALSE)</f>
        <v>#06</v>
      </c>
      <c r="J788" t="s">
        <v>593</v>
      </c>
      <c r="K788" s="195">
        <v>46143.98065972222</v>
      </c>
      <c r="L788">
        <v>133</v>
      </c>
      <c r="M788">
        <v>0</v>
      </c>
      <c r="N788" s="98" t="str">
        <f>IF(record[[#This Row],[Memo]]="Browser:chrome os:android","平板報工",IF(record[[#This Row],[Memo]]=0,"委外",record[[#This Row],[Memo]]))</f>
        <v>平板報工</v>
      </c>
      <c r="O788" t="s">
        <v>643</v>
      </c>
      <c r="P788" t="s">
        <v>841</v>
      </c>
      <c r="Q788" t="s">
        <v>644</v>
      </c>
      <c r="R788" t="str">
        <f>IFERROR(VLOOKUP(record[[#This Row],[PCUSTID]],廠商[],2,FALSE),"")</f>
        <v/>
      </c>
      <c r="S788" t="str">
        <f>VLOOKUP(record[[#This Row],[employeeID]],員工[],2,FALSE)</f>
        <v>范氏香</v>
      </c>
    </row>
    <row r="789" spans="6:19" hidden="1" x14ac:dyDescent="0.25">
      <c r="F789" t="s">
        <v>1933</v>
      </c>
      <c r="G789" t="s">
        <v>408</v>
      </c>
      <c r="H789" t="str">
        <f>VLOOKUP(record[[#This Row],[ProcessSN]],表格2_7[],2,FALSE)</f>
        <v>30-4118-018-570</v>
      </c>
      <c r="I789" t="str">
        <f>VLOOKUP(record[[#This Row],[ProcessSN]],表格2_7[],3,FALSE)</f>
        <v>#100</v>
      </c>
      <c r="J789" t="s">
        <v>598</v>
      </c>
      <c r="K789" s="195">
        <v>46143.693622685183</v>
      </c>
      <c r="L789">
        <v>0</v>
      </c>
      <c r="M789">
        <v>8</v>
      </c>
      <c r="N789" s="98" t="str">
        <f>IF(record[[#This Row],[Memo]]="Browser:chrome os:android","平板報工",IF(record[[#This Row],[Memo]]=0,"委外",record[[#This Row],[Memo]]))</f>
        <v/>
      </c>
      <c r="O789" t="s">
        <v>58</v>
      </c>
      <c r="P789" t="s">
        <v>141</v>
      </c>
      <c r="Q789" t="s">
        <v>58</v>
      </c>
      <c r="R789" t="str">
        <f>IFERROR(VLOOKUP(record[[#This Row],[PCUSTID]],廠商[],2,FALSE),"")</f>
        <v/>
      </c>
      <c r="S789" t="str">
        <f>VLOOKUP(record[[#This Row],[employeeID]],員工[],2,FALSE)</f>
        <v>蔣梅</v>
      </c>
    </row>
    <row r="790" spans="6:19" hidden="1" x14ac:dyDescent="0.25">
      <c r="F790" t="s">
        <v>1933</v>
      </c>
      <c r="G790" t="s">
        <v>408</v>
      </c>
      <c r="H790" t="str">
        <f>VLOOKUP(record[[#This Row],[ProcessSN]],表格2_7[],2,FALSE)</f>
        <v>30-4118-018-570</v>
      </c>
      <c r="I790" t="str">
        <f>VLOOKUP(record[[#This Row],[ProcessSN]],表格2_7[],3,FALSE)</f>
        <v>#100</v>
      </c>
      <c r="J790" t="s">
        <v>598</v>
      </c>
      <c r="K790" s="195">
        <v>46143.693472222221</v>
      </c>
      <c r="L790">
        <v>184</v>
      </c>
      <c r="M790">
        <v>0</v>
      </c>
      <c r="N790" s="98" t="str">
        <f>IF(record[[#This Row],[Memo]]="Browser:chrome os:android","平板報工",IF(record[[#This Row],[Memo]]=0,"委外",record[[#This Row],[Memo]]))</f>
        <v/>
      </c>
      <c r="O790" t="s">
        <v>58</v>
      </c>
      <c r="P790" t="s">
        <v>141</v>
      </c>
      <c r="Q790" t="s">
        <v>58</v>
      </c>
      <c r="R790" t="str">
        <f>IFERROR(VLOOKUP(record[[#This Row],[PCUSTID]],廠商[],2,FALSE),"")</f>
        <v/>
      </c>
      <c r="S790" t="str">
        <f>VLOOKUP(record[[#This Row],[employeeID]],員工[],2,FALSE)</f>
        <v>蔣梅</v>
      </c>
    </row>
    <row r="791" spans="6:19" hidden="1" x14ac:dyDescent="0.25">
      <c r="F791" t="s">
        <v>1906</v>
      </c>
      <c r="G791" t="s">
        <v>418</v>
      </c>
      <c r="H791" t="str">
        <f>VLOOKUP(record[[#This Row],[ProcessSN]],表格2_7[],2,FALSE)</f>
        <v>30-4118-018-5XX</v>
      </c>
      <c r="I791" t="str">
        <f>VLOOKUP(record[[#This Row],[ProcessSN]],表格2_7[],3,FALSE)</f>
        <v>#07</v>
      </c>
      <c r="J791" t="s">
        <v>588</v>
      </c>
      <c r="K791" s="195">
        <v>46143.67728009259</v>
      </c>
      <c r="L791">
        <v>158</v>
      </c>
      <c r="M791">
        <v>0</v>
      </c>
      <c r="N791" s="98" t="str">
        <f>IF(record[[#This Row],[Memo]]="Browser:chrome os:android","平板報工",IF(record[[#This Row],[Memo]]=0,"委外",record[[#This Row],[Memo]]))</f>
        <v/>
      </c>
      <c r="O791" t="s">
        <v>58</v>
      </c>
      <c r="P791" t="s">
        <v>785</v>
      </c>
      <c r="Q791" t="s">
        <v>58</v>
      </c>
      <c r="R791" t="str">
        <f>IFERROR(VLOOKUP(record[[#This Row],[PCUSTID]],廠商[],2,FALSE),"")</f>
        <v/>
      </c>
      <c r="S791" t="str">
        <f>VLOOKUP(record[[#This Row],[employeeID]],員工[],2,FALSE)</f>
        <v>謝刻光</v>
      </c>
    </row>
    <row r="792" spans="6:19" hidden="1" x14ac:dyDescent="0.25">
      <c r="F792" t="s">
        <v>1909</v>
      </c>
      <c r="G792" t="s">
        <v>375</v>
      </c>
      <c r="H792" t="str">
        <f>VLOOKUP(record[[#This Row],[ProcessSN]],表格2_7[],2,FALSE)</f>
        <v>30-4118-018-4XX</v>
      </c>
      <c r="I792" t="str">
        <f>VLOOKUP(record[[#This Row],[ProcessSN]],表格2_7[],3,FALSE)</f>
        <v>#05</v>
      </c>
      <c r="J792" t="s">
        <v>588</v>
      </c>
      <c r="K792" s="195">
        <v>46143.67560185185</v>
      </c>
      <c r="L792">
        <v>250</v>
      </c>
      <c r="M792">
        <v>0</v>
      </c>
      <c r="N792" s="98" t="str">
        <f>IF(record[[#This Row],[Memo]]="Browser:chrome os:android","平板報工",IF(record[[#This Row],[Memo]]=0,"委外",record[[#This Row],[Memo]]))</f>
        <v/>
      </c>
      <c r="O792" t="s">
        <v>58</v>
      </c>
      <c r="P792" t="s">
        <v>107</v>
      </c>
      <c r="Q792" t="s">
        <v>58</v>
      </c>
      <c r="R792" t="str">
        <f>IFERROR(VLOOKUP(record[[#This Row],[PCUSTID]],廠商[],2,FALSE),"")</f>
        <v/>
      </c>
      <c r="S792" t="str">
        <f>VLOOKUP(record[[#This Row],[employeeID]],員工[],2,FALSE)</f>
        <v>黎氏順</v>
      </c>
    </row>
    <row r="793" spans="6:19" hidden="1" x14ac:dyDescent="0.25">
      <c r="F793" t="s">
        <v>1945</v>
      </c>
      <c r="G793" t="s">
        <v>447</v>
      </c>
      <c r="H793" t="str">
        <f>VLOOKUP(record[[#This Row],[ProcessSN]],表格2_7[],2,FALSE)</f>
        <v>30-4118-018-6XX</v>
      </c>
      <c r="I793" t="str">
        <f>VLOOKUP(record[[#This Row],[ProcessSN]],表格2_7[],3,FALSE)</f>
        <v>#03</v>
      </c>
      <c r="J793" t="s">
        <v>588</v>
      </c>
      <c r="K793" s="195">
        <v>46143.673726851855</v>
      </c>
      <c r="L793">
        <v>504</v>
      </c>
      <c r="M793">
        <v>0</v>
      </c>
      <c r="N793" s="98" t="str">
        <f>IF(record[[#This Row],[Memo]]="Browser:chrome os:android","平板報工",IF(record[[#This Row],[Memo]]=0,"委外",record[[#This Row],[Memo]]))</f>
        <v>平板報工</v>
      </c>
      <c r="O793" t="s">
        <v>643</v>
      </c>
      <c r="P793" t="s">
        <v>188</v>
      </c>
      <c r="Q793" t="s">
        <v>644</v>
      </c>
      <c r="R793" t="str">
        <f>IFERROR(VLOOKUP(record[[#This Row],[PCUSTID]],廠商[],2,FALSE),"")</f>
        <v/>
      </c>
      <c r="S793" t="str">
        <f>VLOOKUP(record[[#This Row],[employeeID]],員工[],2,FALSE)</f>
        <v>阮氏璧紅</v>
      </c>
    </row>
    <row r="794" spans="6:19" hidden="1" x14ac:dyDescent="0.25">
      <c r="F794" t="s">
        <v>1909</v>
      </c>
      <c r="G794" t="s">
        <v>374</v>
      </c>
      <c r="H794" t="str">
        <f>VLOOKUP(record[[#This Row],[ProcessSN]],表格2_7[],2,FALSE)</f>
        <v>30-4118-018-4XX</v>
      </c>
      <c r="I794" t="str">
        <f>VLOOKUP(record[[#This Row],[ProcessSN]],表格2_7[],3,FALSE)</f>
        <v>#04</v>
      </c>
      <c r="J794" t="s">
        <v>588</v>
      </c>
      <c r="K794" s="195">
        <v>46143.673275462963</v>
      </c>
      <c r="L794">
        <v>140</v>
      </c>
      <c r="M794">
        <v>0</v>
      </c>
      <c r="N794" s="98" t="str">
        <f>IF(record[[#This Row],[Memo]]="Browser:chrome os:android","平板報工",IF(record[[#This Row],[Memo]]=0,"委外",record[[#This Row],[Memo]]))</f>
        <v>平板報工</v>
      </c>
      <c r="O794" t="s">
        <v>643</v>
      </c>
      <c r="P794" t="s">
        <v>188</v>
      </c>
      <c r="Q794" t="s">
        <v>644</v>
      </c>
      <c r="R794" t="str">
        <f>IFERROR(VLOOKUP(record[[#This Row],[PCUSTID]],廠商[],2,FALSE),"")</f>
        <v/>
      </c>
      <c r="S794" t="str">
        <f>VLOOKUP(record[[#This Row],[employeeID]],員工[],2,FALSE)</f>
        <v>阮氏璧紅</v>
      </c>
    </row>
    <row r="795" spans="6:19" hidden="1" x14ac:dyDescent="0.25">
      <c r="F795" t="s">
        <v>1857</v>
      </c>
      <c r="G795" t="s">
        <v>466</v>
      </c>
      <c r="H795" t="str">
        <f>VLOOKUP(record[[#This Row],[ProcessSN]],表格2_7[],2,FALSE)</f>
        <v>30-4118-018-XXX</v>
      </c>
      <c r="I795" t="str">
        <f>VLOOKUP(record[[#This Row],[ProcessSN]],表格2_7[],3,FALSE)</f>
        <v>#01-2</v>
      </c>
      <c r="J795" t="s">
        <v>588</v>
      </c>
      <c r="K795" s="195">
        <v>46143.672743055555</v>
      </c>
      <c r="L795">
        <v>216</v>
      </c>
      <c r="M795">
        <v>0</v>
      </c>
      <c r="N795" s="98" t="str">
        <f>IF(record[[#This Row],[Memo]]="Browser:chrome os:android","平板報工",IF(record[[#This Row],[Memo]]=0,"委外",record[[#This Row],[Memo]]))</f>
        <v>平板報工</v>
      </c>
      <c r="O795" t="s">
        <v>643</v>
      </c>
      <c r="P795" t="s">
        <v>188</v>
      </c>
      <c r="Q795" t="s">
        <v>644</v>
      </c>
      <c r="R795" t="str">
        <f>IFERROR(VLOOKUP(record[[#This Row],[PCUSTID]],廠商[],2,FALSE),"")</f>
        <v/>
      </c>
      <c r="S795" t="str">
        <f>VLOOKUP(record[[#This Row],[employeeID]],員工[],2,FALSE)</f>
        <v>阮氏璧紅</v>
      </c>
    </row>
    <row r="796" spans="6:19" x14ac:dyDescent="0.25">
      <c r="F796" t="s">
        <v>1924</v>
      </c>
      <c r="G796" t="s">
        <v>448</v>
      </c>
      <c r="H796" t="str">
        <f>VLOOKUP(record[[#This Row],[ProcessSN]],表格2_7[],2,FALSE)</f>
        <v>30-4118-018-6XX</v>
      </c>
      <c r="I796" t="str">
        <f>VLOOKUP(record[[#This Row],[ProcessSN]],表格2_7[],3,FALSE)</f>
        <v>#04</v>
      </c>
      <c r="J796" t="s">
        <v>588</v>
      </c>
      <c r="K796" s="195">
        <v>46143.672152777777</v>
      </c>
      <c r="L796">
        <v>110</v>
      </c>
      <c r="M796">
        <v>0</v>
      </c>
      <c r="N796" s="98" t="str">
        <f>IF(record[[#This Row],[Memo]]="Browser:chrome os:android","平板報工",IF(record[[#This Row],[Memo]]=0,"委外",record[[#This Row],[Memo]]))</f>
        <v>平板報工</v>
      </c>
      <c r="O796" t="s">
        <v>643</v>
      </c>
      <c r="P796" t="s">
        <v>188</v>
      </c>
      <c r="Q796" t="s">
        <v>644</v>
      </c>
      <c r="R796" t="str">
        <f>IFERROR(VLOOKUP(record[[#This Row],[PCUSTID]],廠商[],2,FALSE),"")</f>
        <v/>
      </c>
      <c r="S796" t="str">
        <f>VLOOKUP(record[[#This Row],[employeeID]],員工[],2,FALSE)</f>
        <v>阮氏璧紅</v>
      </c>
    </row>
    <row r="797" spans="6:19" hidden="1" x14ac:dyDescent="0.25">
      <c r="F797" t="s">
        <v>1909</v>
      </c>
      <c r="G797" t="s">
        <v>376</v>
      </c>
      <c r="H797" t="str">
        <f>VLOOKUP(record[[#This Row],[ProcessSN]],表格2_7[],2,FALSE)</f>
        <v>30-4118-018-4XX</v>
      </c>
      <c r="I797" t="str">
        <f>VLOOKUP(record[[#This Row],[ProcessSN]],表格2_7[],3,FALSE)</f>
        <v>#06</v>
      </c>
      <c r="J797" t="s">
        <v>593</v>
      </c>
      <c r="K797" s="195">
        <v>46143.656527777777</v>
      </c>
      <c r="L797">
        <v>72</v>
      </c>
      <c r="M797">
        <v>0</v>
      </c>
      <c r="N797" s="98" t="str">
        <f>IF(record[[#This Row],[Memo]]="Browser:chrome os:android","平板報工",IF(record[[#This Row],[Memo]]=0,"委外",record[[#This Row],[Memo]]))</f>
        <v>平板報工</v>
      </c>
      <c r="O797" t="s">
        <v>643</v>
      </c>
      <c r="P797" t="s">
        <v>101</v>
      </c>
      <c r="Q797" t="s">
        <v>644</v>
      </c>
      <c r="R797" t="str">
        <f>IFERROR(VLOOKUP(record[[#This Row],[PCUSTID]],廠商[],2,FALSE),"")</f>
        <v/>
      </c>
      <c r="S797" t="str">
        <f>VLOOKUP(record[[#This Row],[employeeID]],員工[],2,FALSE)</f>
        <v>陳氏絨</v>
      </c>
    </row>
    <row r="798" spans="6:19" hidden="1" x14ac:dyDescent="0.25">
      <c r="F798" t="s">
        <v>1934</v>
      </c>
      <c r="G798" t="s">
        <v>367</v>
      </c>
      <c r="H798" t="str">
        <f>VLOOKUP(record[[#This Row],[ProcessSN]],表格2_7[],2,FALSE)</f>
        <v>30-4118-018-470</v>
      </c>
      <c r="I798" t="str">
        <f>VLOOKUP(record[[#This Row],[ProcessSN]],表格2_7[],3,FALSE)</f>
        <v>#100</v>
      </c>
      <c r="J798" t="s">
        <v>598</v>
      </c>
      <c r="K798" s="195">
        <v>46143.641377314816</v>
      </c>
      <c r="L798">
        <v>106</v>
      </c>
      <c r="M798">
        <v>0</v>
      </c>
      <c r="N798" s="98" t="str">
        <f>IF(record[[#This Row],[Memo]]="Browser:chrome os:android","平板報工",IF(record[[#This Row],[Memo]]=0,"委外",record[[#This Row],[Memo]]))</f>
        <v>平板報工</v>
      </c>
      <c r="O798" t="s">
        <v>643</v>
      </c>
      <c r="P798" t="s">
        <v>141</v>
      </c>
      <c r="Q798" t="s">
        <v>644</v>
      </c>
      <c r="R798" t="str">
        <f>IFERROR(VLOOKUP(record[[#This Row],[PCUSTID]],廠商[],2,FALSE),"")</f>
        <v/>
      </c>
      <c r="S798" t="str">
        <f>VLOOKUP(record[[#This Row],[employeeID]],員工[],2,FALSE)</f>
        <v>蔣梅</v>
      </c>
    </row>
    <row r="799" spans="6:19" hidden="1" x14ac:dyDescent="0.25">
      <c r="F799" t="s">
        <v>1906</v>
      </c>
      <c r="G799" t="s">
        <v>419</v>
      </c>
      <c r="H799" t="str">
        <f>VLOOKUP(record[[#This Row],[ProcessSN]],表格2_7[],2,FALSE)</f>
        <v>30-4118-018-5XX</v>
      </c>
      <c r="I799" t="str">
        <f>VLOOKUP(record[[#This Row],[ProcessSN]],表格2_7[],3,FALSE)</f>
        <v>#07QC</v>
      </c>
      <c r="J799" t="s">
        <v>589</v>
      </c>
      <c r="K799" s="195">
        <v>46143.602905092594</v>
      </c>
      <c r="L799">
        <v>0</v>
      </c>
      <c r="M799">
        <v>55</v>
      </c>
      <c r="N799" s="98" t="str">
        <f>IF(record[[#This Row],[Memo]]="Browser:chrome os:android","平板報工",IF(record[[#This Row],[Memo]]=0,"委外",record[[#This Row],[Memo]]))</f>
        <v/>
      </c>
      <c r="O799" t="s">
        <v>58</v>
      </c>
      <c r="P799" t="s">
        <v>141</v>
      </c>
      <c r="Q799" t="s">
        <v>58</v>
      </c>
      <c r="R799" t="str">
        <f>IFERROR(VLOOKUP(record[[#This Row],[PCUSTID]],廠商[],2,FALSE),"")</f>
        <v/>
      </c>
      <c r="S799" t="str">
        <f>VLOOKUP(record[[#This Row],[employeeID]],員工[],2,FALSE)</f>
        <v>蔣梅</v>
      </c>
    </row>
    <row r="800" spans="6:19" hidden="1" x14ac:dyDescent="0.25">
      <c r="F800" t="s">
        <v>1906</v>
      </c>
      <c r="G800" t="s">
        <v>419</v>
      </c>
      <c r="H800" t="str">
        <f>VLOOKUP(record[[#This Row],[ProcessSN]],表格2_7[],2,FALSE)</f>
        <v>30-4118-018-5XX</v>
      </c>
      <c r="I800" t="str">
        <f>VLOOKUP(record[[#This Row],[ProcessSN]],表格2_7[],3,FALSE)</f>
        <v>#07QC</v>
      </c>
      <c r="J800" t="s">
        <v>589</v>
      </c>
      <c r="K800" s="195">
        <v>46143.602766203701</v>
      </c>
      <c r="L800">
        <v>281</v>
      </c>
      <c r="M800">
        <v>0</v>
      </c>
      <c r="N800" s="98" t="str">
        <f>IF(record[[#This Row],[Memo]]="Browser:chrome os:android","平板報工",IF(record[[#This Row],[Memo]]=0,"委外",record[[#This Row],[Memo]]))</f>
        <v/>
      </c>
      <c r="O800" t="s">
        <v>58</v>
      </c>
      <c r="P800" t="s">
        <v>141</v>
      </c>
      <c r="Q800" t="s">
        <v>58</v>
      </c>
      <c r="R800" t="str">
        <f>IFERROR(VLOOKUP(record[[#This Row],[PCUSTID]],廠商[],2,FALSE),"")</f>
        <v/>
      </c>
      <c r="S800" t="str">
        <f>VLOOKUP(record[[#This Row],[employeeID]],員工[],2,FALSE)</f>
        <v>蔣梅</v>
      </c>
    </row>
    <row r="801" spans="6:19" hidden="1" x14ac:dyDescent="0.25">
      <c r="F801" t="s">
        <v>1857</v>
      </c>
      <c r="G801" t="s">
        <v>467</v>
      </c>
      <c r="H801" t="str">
        <f>VLOOKUP(record[[#This Row],[ProcessSN]],表格2_7[],2,FALSE)</f>
        <v>30-4118-018-XXX</v>
      </c>
      <c r="I801" t="str">
        <f>VLOOKUP(record[[#This Row],[ProcessSN]],表格2_7[],3,FALSE)</f>
        <v>#01QC</v>
      </c>
      <c r="J801" t="s">
        <v>589</v>
      </c>
      <c r="K801" s="195">
        <v>46143.380428240744</v>
      </c>
      <c r="L801">
        <v>840</v>
      </c>
      <c r="M801">
        <v>0</v>
      </c>
      <c r="N801" s="98" t="str">
        <f>IF(record[[#This Row],[Memo]]="Browser:chrome os:android","平板報工",IF(record[[#This Row],[Memo]]=0,"委外",record[[#This Row],[Memo]]))</f>
        <v>平板報工</v>
      </c>
      <c r="O801" t="s">
        <v>643</v>
      </c>
      <c r="P801" t="s">
        <v>182</v>
      </c>
      <c r="Q801" t="s">
        <v>644</v>
      </c>
      <c r="R801" t="str">
        <f>IFERROR(VLOOKUP(record[[#This Row],[PCUSTID]],廠商[],2,FALSE),"")</f>
        <v/>
      </c>
      <c r="S801" t="str">
        <f>VLOOKUP(record[[#This Row],[employeeID]],員工[],2,FALSE)</f>
        <v>梅氏和</v>
      </c>
    </row>
    <row r="802" spans="6:19" x14ac:dyDescent="0.25">
      <c r="F802" t="s">
        <v>1924</v>
      </c>
      <c r="G802" t="s">
        <v>448</v>
      </c>
      <c r="H802" t="str">
        <f>VLOOKUP(record[[#This Row],[ProcessSN]],表格2_7[],2,FALSE)</f>
        <v>30-4118-018-6XX</v>
      </c>
      <c r="I802" t="str">
        <f>VLOOKUP(record[[#This Row],[ProcessSN]],表格2_7[],3,FALSE)</f>
        <v>#04</v>
      </c>
      <c r="J802" t="s">
        <v>588</v>
      </c>
      <c r="K802" s="195">
        <v>46143.294224537036</v>
      </c>
      <c r="L802">
        <v>115</v>
      </c>
      <c r="M802">
        <v>11</v>
      </c>
      <c r="N802" s="98" t="str">
        <f>IF(record[[#This Row],[Memo]]="Browser:chrome os:android","平板報工",IF(record[[#This Row],[Memo]]=0,"委外",record[[#This Row],[Memo]]))</f>
        <v>平板報工</v>
      </c>
      <c r="O802" t="s">
        <v>643</v>
      </c>
      <c r="P802" t="s">
        <v>806</v>
      </c>
      <c r="Q802" t="s">
        <v>644</v>
      </c>
      <c r="R802" t="str">
        <f>IFERROR(VLOOKUP(record[[#This Row],[PCUSTID]],廠商[],2,FALSE),"")</f>
        <v/>
      </c>
      <c r="S802" t="str">
        <f>VLOOKUP(record[[#This Row],[employeeID]],員工[],2,FALSE)</f>
        <v>方思緯</v>
      </c>
    </row>
    <row r="803" spans="6:19" hidden="1" x14ac:dyDescent="0.25">
      <c r="F803" t="s">
        <v>1909</v>
      </c>
      <c r="G803" t="s">
        <v>374</v>
      </c>
      <c r="H803" t="str">
        <f>VLOOKUP(record[[#This Row],[ProcessSN]],表格2_7[],2,FALSE)</f>
        <v>30-4118-018-4XX</v>
      </c>
      <c r="I803" t="str">
        <f>VLOOKUP(record[[#This Row],[ProcessSN]],表格2_7[],3,FALSE)</f>
        <v>#04</v>
      </c>
      <c r="J803" t="s">
        <v>588</v>
      </c>
      <c r="K803" s="195">
        <v>46143.272141203706</v>
      </c>
      <c r="L803">
        <v>140</v>
      </c>
      <c r="M803">
        <v>0</v>
      </c>
      <c r="N803" s="98" t="str">
        <f>IF(record[[#This Row],[Memo]]="Browser:chrome os:android","平板報工",IF(record[[#This Row],[Memo]]=0,"委外",record[[#This Row],[Memo]]))</f>
        <v>平板報工</v>
      </c>
      <c r="O803" t="s">
        <v>643</v>
      </c>
      <c r="P803" t="s">
        <v>806</v>
      </c>
      <c r="Q803" t="s">
        <v>644</v>
      </c>
      <c r="R803" t="str">
        <f>IFERROR(VLOOKUP(record[[#This Row],[PCUSTID]],廠商[],2,FALSE),"")</f>
        <v/>
      </c>
      <c r="S803" t="str">
        <f>VLOOKUP(record[[#This Row],[employeeID]],員工[],2,FALSE)</f>
        <v>方思緯</v>
      </c>
    </row>
    <row r="804" spans="6:19" hidden="1" x14ac:dyDescent="0.25">
      <c r="F804" t="s">
        <v>1857</v>
      </c>
      <c r="G804" t="s">
        <v>465</v>
      </c>
      <c r="H804" t="str">
        <f>VLOOKUP(record[[#This Row],[ProcessSN]],表格2_7[],2,FALSE)</f>
        <v>30-4118-018-XXX</v>
      </c>
      <c r="I804" t="str">
        <f>VLOOKUP(record[[#This Row],[ProcessSN]],表格2_7[],3,FALSE)</f>
        <v>#01-1</v>
      </c>
      <c r="J804" t="s">
        <v>588</v>
      </c>
      <c r="K804" s="195">
        <v>46143.269548611112</v>
      </c>
      <c r="L804">
        <v>336</v>
      </c>
      <c r="M804">
        <v>0</v>
      </c>
      <c r="N804" s="98" t="str">
        <f>IF(record[[#This Row],[Memo]]="Browser:chrome os:android","平板報工",IF(record[[#This Row],[Memo]]=0,"委外",record[[#This Row],[Memo]]))</f>
        <v>平板報工</v>
      </c>
      <c r="O804" t="s">
        <v>643</v>
      </c>
      <c r="P804" t="s">
        <v>806</v>
      </c>
      <c r="Q804" t="s">
        <v>644</v>
      </c>
      <c r="R804" t="str">
        <f>IFERROR(VLOOKUP(record[[#This Row],[PCUSTID]],廠商[],2,FALSE),"")</f>
        <v/>
      </c>
      <c r="S804" t="str">
        <f>VLOOKUP(record[[#This Row],[employeeID]],員工[],2,FALSE)</f>
        <v>方思緯</v>
      </c>
    </row>
    <row r="805" spans="6:19" hidden="1" x14ac:dyDescent="0.25">
      <c r="F805" t="s">
        <v>1906</v>
      </c>
      <c r="G805" t="s">
        <v>418</v>
      </c>
      <c r="H805" t="str">
        <f>VLOOKUP(record[[#This Row],[ProcessSN]],表格2_7[],2,FALSE)</f>
        <v>30-4118-018-5XX</v>
      </c>
      <c r="I805" t="str">
        <f>VLOOKUP(record[[#This Row],[ProcessSN]],表格2_7[],3,FALSE)</f>
        <v>#07</v>
      </c>
      <c r="J805" t="s">
        <v>588</v>
      </c>
      <c r="K805" s="195">
        <v>46143.153078703705</v>
      </c>
      <c r="L805">
        <v>115</v>
      </c>
      <c r="M805">
        <v>1</v>
      </c>
      <c r="N805" s="98" t="str">
        <f>IF(record[[#This Row],[Memo]]="Browser:chrome os:android","平板報工",IF(record[[#This Row],[Memo]]=0,"委外",record[[#This Row],[Memo]]))</f>
        <v>平板報工</v>
      </c>
      <c r="O805" t="s">
        <v>643</v>
      </c>
      <c r="P805" t="s">
        <v>1098</v>
      </c>
      <c r="Q805" t="s">
        <v>644</v>
      </c>
      <c r="R805" t="str">
        <f>IFERROR(VLOOKUP(record[[#This Row],[PCUSTID]],廠商[],2,FALSE),"")</f>
        <v/>
      </c>
      <c r="S805" t="str">
        <f>VLOOKUP(record[[#This Row],[employeeID]],員工[],2,FALSE)</f>
        <v>阮氏芳英(英)</v>
      </c>
    </row>
    <row r="806" spans="6:19" hidden="1" x14ac:dyDescent="0.25">
      <c r="F806" t="s">
        <v>1857</v>
      </c>
      <c r="G806" t="s">
        <v>466</v>
      </c>
      <c r="H806" t="str">
        <f>VLOOKUP(record[[#This Row],[ProcessSN]],表格2_7[],2,FALSE)</f>
        <v>30-4118-018-XXX</v>
      </c>
      <c r="I806" t="str">
        <f>VLOOKUP(record[[#This Row],[ProcessSN]],表格2_7[],3,FALSE)</f>
        <v>#01-2</v>
      </c>
      <c r="J806" t="s">
        <v>588</v>
      </c>
      <c r="K806" s="195">
        <v>46143.152754629627</v>
      </c>
      <c r="L806">
        <v>264</v>
      </c>
      <c r="M806">
        <v>0</v>
      </c>
      <c r="N806" s="98" t="str">
        <f>IF(record[[#This Row],[Memo]]="Browser:chrome os:android","平板報工",IF(record[[#This Row],[Memo]]=0,"委外",record[[#This Row],[Memo]]))</f>
        <v>平板報工</v>
      </c>
      <c r="O806" t="s">
        <v>643</v>
      </c>
      <c r="P806" t="s">
        <v>1098</v>
      </c>
      <c r="Q806" t="s">
        <v>644</v>
      </c>
      <c r="R806" t="str">
        <f>IFERROR(VLOOKUP(record[[#This Row],[PCUSTID]],廠商[],2,FALSE),"")</f>
        <v/>
      </c>
      <c r="S806" t="str">
        <f>VLOOKUP(record[[#This Row],[employeeID]],員工[],2,FALSE)</f>
        <v>阮氏芳英(英)</v>
      </c>
    </row>
    <row r="807" spans="6:19" hidden="1" x14ac:dyDescent="0.25">
      <c r="F807" t="s">
        <v>1909</v>
      </c>
      <c r="G807" t="s">
        <v>375</v>
      </c>
      <c r="H807" t="str">
        <f>VLOOKUP(record[[#This Row],[ProcessSN]],表格2_7[],2,FALSE)</f>
        <v>30-4118-018-4XX</v>
      </c>
      <c r="I807" t="str">
        <f>VLOOKUP(record[[#This Row],[ProcessSN]],表格2_7[],3,FALSE)</f>
        <v>#05</v>
      </c>
      <c r="J807" t="s">
        <v>588</v>
      </c>
      <c r="K807" s="195">
        <v>46143.152488425927</v>
      </c>
      <c r="L807">
        <v>140</v>
      </c>
      <c r="M807">
        <v>0</v>
      </c>
      <c r="N807" s="98" t="str">
        <f>IF(record[[#This Row],[Memo]]="Browser:chrome os:android","平板報工",IF(record[[#This Row],[Memo]]=0,"委外",record[[#This Row],[Memo]]))</f>
        <v>平板報工</v>
      </c>
      <c r="O807" t="s">
        <v>643</v>
      </c>
      <c r="P807" t="s">
        <v>1098</v>
      </c>
      <c r="Q807" t="s">
        <v>644</v>
      </c>
      <c r="R807" t="str">
        <f>IFERROR(VLOOKUP(record[[#This Row],[PCUSTID]],廠商[],2,FALSE),"")</f>
        <v/>
      </c>
      <c r="S807" t="str">
        <f>VLOOKUP(record[[#This Row],[employeeID]],員工[],2,FALSE)</f>
        <v>阮氏芳英(英)</v>
      </c>
    </row>
    <row r="808" spans="6:19" hidden="1" x14ac:dyDescent="0.25">
      <c r="F808" t="s">
        <v>1906</v>
      </c>
      <c r="G808" t="s">
        <v>417</v>
      </c>
      <c r="H808" t="str">
        <f>VLOOKUP(record[[#This Row],[ProcessSN]],表格2_7[],2,FALSE)</f>
        <v>30-4118-018-5XX</v>
      </c>
      <c r="I808" t="str">
        <f>VLOOKUP(record[[#This Row],[ProcessSN]],表格2_7[],3,FALSE)</f>
        <v>#06</v>
      </c>
      <c r="J808" t="s">
        <v>593</v>
      </c>
      <c r="K808" s="195">
        <v>46143.037245370368</v>
      </c>
      <c r="L808">
        <v>65</v>
      </c>
      <c r="M808">
        <v>0</v>
      </c>
      <c r="N808" s="98" t="str">
        <f>IF(record[[#This Row],[Memo]]="Browser:chrome os:android","平板報工",IF(record[[#This Row],[Memo]]=0,"委外",record[[#This Row],[Memo]]))</f>
        <v/>
      </c>
      <c r="O808" t="s">
        <v>58</v>
      </c>
      <c r="P808" t="s">
        <v>841</v>
      </c>
      <c r="Q808" t="s">
        <v>58</v>
      </c>
      <c r="R808" t="str">
        <f>IFERROR(VLOOKUP(record[[#This Row],[PCUSTID]],廠商[],2,FALSE),"")</f>
        <v/>
      </c>
      <c r="S808" t="str">
        <f>VLOOKUP(record[[#This Row],[employeeID]],員工[],2,FALSE)</f>
        <v>范氏香</v>
      </c>
    </row>
    <row r="809" spans="6:19" hidden="1" x14ac:dyDescent="0.25">
      <c r="F809" t="s">
        <v>1859</v>
      </c>
      <c r="G809" t="s">
        <v>449</v>
      </c>
      <c r="H809" t="str">
        <f>VLOOKUP(record[[#This Row],[ProcessSN]],表格2_7[],2,FALSE)</f>
        <v>30-4118-018-6XX</v>
      </c>
      <c r="I809" t="str">
        <f>VLOOKUP(record[[#This Row],[ProcessSN]],表格2_7[],3,FALSE)</f>
        <v>#05</v>
      </c>
      <c r="J809" t="s">
        <v>588</v>
      </c>
      <c r="K809" s="195">
        <v>46142.978078703702</v>
      </c>
      <c r="L809">
        <v>52</v>
      </c>
      <c r="M809">
        <v>0</v>
      </c>
      <c r="N809" s="98" t="str">
        <f>IF(record[[#This Row],[Memo]]="Browser:chrome os:android","平板報工",IF(record[[#This Row],[Memo]]=0,"委外",record[[#This Row],[Memo]]))</f>
        <v>平板報工</v>
      </c>
      <c r="O809" t="s">
        <v>643</v>
      </c>
      <c r="P809" t="s">
        <v>176</v>
      </c>
      <c r="Q809" t="s">
        <v>644</v>
      </c>
      <c r="R809" t="str">
        <f>IFERROR(VLOOKUP(record[[#This Row],[PCUSTID]],廠商[],2,FALSE),"")</f>
        <v/>
      </c>
      <c r="S809" t="str">
        <f>VLOOKUP(record[[#This Row],[employeeID]],員工[],2,FALSE)</f>
        <v>郭政雄</v>
      </c>
    </row>
    <row r="810" spans="6:19" hidden="1" x14ac:dyDescent="0.25">
      <c r="F810" t="s">
        <v>1909</v>
      </c>
      <c r="G810" t="s">
        <v>374</v>
      </c>
      <c r="H810" t="str">
        <f>VLOOKUP(record[[#This Row],[ProcessSN]],表格2_7[],2,FALSE)</f>
        <v>30-4118-018-4XX</v>
      </c>
      <c r="I810" t="str">
        <f>VLOOKUP(record[[#This Row],[ProcessSN]],表格2_7[],3,FALSE)</f>
        <v>#04</v>
      </c>
      <c r="J810" t="s">
        <v>588</v>
      </c>
      <c r="K810" s="195">
        <v>46142.977789351855</v>
      </c>
      <c r="L810">
        <v>128</v>
      </c>
      <c r="M810">
        <v>2</v>
      </c>
      <c r="N810" s="98" t="str">
        <f>IF(record[[#This Row],[Memo]]="Browser:chrome os:android","平板報工",IF(record[[#This Row],[Memo]]=0,"委外",record[[#This Row],[Memo]]))</f>
        <v>平板報工</v>
      </c>
      <c r="O810" t="s">
        <v>643</v>
      </c>
      <c r="P810" t="s">
        <v>176</v>
      </c>
      <c r="Q810" t="s">
        <v>644</v>
      </c>
      <c r="R810" t="str">
        <f>IFERROR(VLOOKUP(record[[#This Row],[PCUSTID]],廠商[],2,FALSE),"")</f>
        <v/>
      </c>
      <c r="S810" t="str">
        <f>VLOOKUP(record[[#This Row],[employeeID]],員工[],2,FALSE)</f>
        <v>郭政雄</v>
      </c>
    </row>
    <row r="811" spans="6:19" hidden="1" x14ac:dyDescent="0.25">
      <c r="F811" t="s">
        <v>1857</v>
      </c>
      <c r="G811" t="s">
        <v>465</v>
      </c>
      <c r="H811" t="str">
        <f>VLOOKUP(record[[#This Row],[ProcessSN]],表格2_7[],2,FALSE)</f>
        <v>30-4118-018-XXX</v>
      </c>
      <c r="I811" t="str">
        <f>VLOOKUP(record[[#This Row],[ProcessSN]],表格2_7[],3,FALSE)</f>
        <v>#01-1</v>
      </c>
      <c r="J811" t="s">
        <v>588</v>
      </c>
      <c r="K811" s="195">
        <v>46142.977430555555</v>
      </c>
      <c r="L811">
        <v>920</v>
      </c>
      <c r="M811">
        <v>0</v>
      </c>
      <c r="N811" s="98" t="str">
        <f>IF(record[[#This Row],[Memo]]="Browser:chrome os:android","平板報工",IF(record[[#This Row],[Memo]]=0,"委外",record[[#This Row],[Memo]]))</f>
        <v>平板報工</v>
      </c>
      <c r="O811" t="s">
        <v>643</v>
      </c>
      <c r="P811" t="s">
        <v>176</v>
      </c>
      <c r="Q811" t="s">
        <v>644</v>
      </c>
      <c r="R811" t="str">
        <f>IFERROR(VLOOKUP(record[[#This Row],[PCUSTID]],廠商[],2,FALSE),"")</f>
        <v/>
      </c>
      <c r="S811" t="str">
        <f>VLOOKUP(record[[#This Row],[employeeID]],員工[],2,FALSE)</f>
        <v>郭政雄</v>
      </c>
    </row>
    <row r="812" spans="6:19" hidden="1" x14ac:dyDescent="0.25">
      <c r="F812" t="s">
        <v>1857</v>
      </c>
      <c r="G812" t="s">
        <v>466</v>
      </c>
      <c r="H812" t="str">
        <f>VLOOKUP(record[[#This Row],[ProcessSN]],表格2_7[],2,FALSE)</f>
        <v>30-4118-018-XXX</v>
      </c>
      <c r="I812" t="str">
        <f>VLOOKUP(record[[#This Row],[ProcessSN]],表格2_7[],3,FALSE)</f>
        <v>#01-2</v>
      </c>
      <c r="J812" t="s">
        <v>588</v>
      </c>
      <c r="K812" s="195">
        <v>46142.973136574074</v>
      </c>
      <c r="L812">
        <v>456</v>
      </c>
      <c r="M812">
        <v>0</v>
      </c>
      <c r="N812" s="98" t="str">
        <f>IF(record[[#This Row],[Memo]]="Browser:chrome os:android","平板報工",IF(record[[#This Row],[Memo]]=0,"委外",record[[#This Row],[Memo]]))</f>
        <v>平板報工</v>
      </c>
      <c r="O812" t="s">
        <v>643</v>
      </c>
      <c r="P812" t="s">
        <v>1847</v>
      </c>
      <c r="Q812" t="s">
        <v>644</v>
      </c>
      <c r="R812" t="str">
        <f>IFERROR(VLOOKUP(record[[#This Row],[PCUSTID]],廠商[],2,FALSE),"")</f>
        <v/>
      </c>
      <c r="S812" t="str">
        <f>VLOOKUP(record[[#This Row],[employeeID]],員工[],2,FALSE)</f>
        <v>潘黎慶平</v>
      </c>
    </row>
    <row r="813" spans="6:19" hidden="1" x14ac:dyDescent="0.25">
      <c r="F813" t="s">
        <v>1906</v>
      </c>
      <c r="G813" t="s">
        <v>418</v>
      </c>
      <c r="H813" t="str">
        <f>VLOOKUP(record[[#This Row],[ProcessSN]],表格2_7[],2,FALSE)</f>
        <v>30-4118-018-5XX</v>
      </c>
      <c r="I813" t="str">
        <f>VLOOKUP(record[[#This Row],[ProcessSN]],表格2_7[],3,FALSE)</f>
        <v>#07</v>
      </c>
      <c r="J813" t="s">
        <v>588</v>
      </c>
      <c r="K813" s="195">
        <v>46142.972233796296</v>
      </c>
      <c r="L813">
        <v>230</v>
      </c>
      <c r="M813">
        <v>0</v>
      </c>
      <c r="N813" s="98" t="str">
        <f>IF(record[[#This Row],[Memo]]="Browser:chrome os:android","平板報工",IF(record[[#This Row],[Memo]]=0,"委外",record[[#This Row],[Memo]]))</f>
        <v>平板報工</v>
      </c>
      <c r="O813" t="s">
        <v>643</v>
      </c>
      <c r="P813" t="s">
        <v>1098</v>
      </c>
      <c r="Q813" t="s">
        <v>644</v>
      </c>
      <c r="R813" t="str">
        <f>IFERROR(VLOOKUP(record[[#This Row],[PCUSTID]],廠商[],2,FALSE),"")</f>
        <v/>
      </c>
      <c r="S813" t="str">
        <f>VLOOKUP(record[[#This Row],[employeeID]],員工[],2,FALSE)</f>
        <v>阮氏芳英(英)</v>
      </c>
    </row>
    <row r="814" spans="6:19" hidden="1" x14ac:dyDescent="0.25">
      <c r="F814" t="s">
        <v>1909</v>
      </c>
      <c r="G814" t="s">
        <v>375</v>
      </c>
      <c r="H814" t="str">
        <f>VLOOKUP(record[[#This Row],[ProcessSN]],表格2_7[],2,FALSE)</f>
        <v>30-4118-018-4XX</v>
      </c>
      <c r="I814" t="str">
        <f>VLOOKUP(record[[#This Row],[ProcessSN]],表格2_7[],3,FALSE)</f>
        <v>#05</v>
      </c>
      <c r="J814" t="s">
        <v>588</v>
      </c>
      <c r="K814" s="195">
        <v>46142.972037037034</v>
      </c>
      <c r="L814">
        <v>230</v>
      </c>
      <c r="M814">
        <v>0</v>
      </c>
      <c r="N814" s="98" t="str">
        <f>IF(record[[#This Row],[Memo]]="Browser:chrome os:android","平板報工",IF(record[[#This Row],[Memo]]=0,"委外",record[[#This Row],[Memo]]))</f>
        <v>平板報工</v>
      </c>
      <c r="O814" t="s">
        <v>643</v>
      </c>
      <c r="P814" t="s">
        <v>1098</v>
      </c>
      <c r="Q814" t="s">
        <v>644</v>
      </c>
      <c r="R814" t="str">
        <f>IFERROR(VLOOKUP(record[[#This Row],[PCUSTID]],廠商[],2,FALSE),"")</f>
        <v/>
      </c>
      <c r="S814" t="str">
        <f>VLOOKUP(record[[#This Row],[employeeID]],員工[],2,FALSE)</f>
        <v>阮氏芳英(英)</v>
      </c>
    </row>
    <row r="815" spans="6:19" hidden="1" x14ac:dyDescent="0.25">
      <c r="F815" t="s">
        <v>1906</v>
      </c>
      <c r="G815" t="s">
        <v>417</v>
      </c>
      <c r="H815" t="str">
        <f>VLOOKUP(record[[#This Row],[ProcessSN]],表格2_7[],2,FALSE)</f>
        <v>30-4118-018-5XX</v>
      </c>
      <c r="I815" t="str">
        <f>VLOOKUP(record[[#This Row],[ProcessSN]],表格2_7[],3,FALSE)</f>
        <v>#06</v>
      </c>
      <c r="J815" t="s">
        <v>593</v>
      </c>
      <c r="K815" s="195">
        <v>46142.813113425924</v>
      </c>
      <c r="L815">
        <v>67</v>
      </c>
      <c r="M815">
        <v>0</v>
      </c>
      <c r="N815" s="98" t="str">
        <f>IF(record[[#This Row],[Memo]]="Browser:chrome os:android","平板報工",IF(record[[#This Row],[Memo]]=0,"委外",record[[#This Row],[Memo]]))</f>
        <v>平板報工</v>
      </c>
      <c r="O815" t="s">
        <v>643</v>
      </c>
      <c r="P815" t="s">
        <v>1413</v>
      </c>
      <c r="Q815" t="s">
        <v>644</v>
      </c>
      <c r="R815" t="str">
        <f>IFERROR(VLOOKUP(record[[#This Row],[PCUSTID]],廠商[],2,FALSE),"")</f>
        <v/>
      </c>
      <c r="S815" t="str">
        <f>VLOOKUP(record[[#This Row],[employeeID]],員工[],2,FALSE)</f>
        <v>阮氏芳英(芳)</v>
      </c>
    </row>
    <row r="816" spans="6:19" hidden="1" x14ac:dyDescent="0.25">
      <c r="F816" t="s">
        <v>1940</v>
      </c>
      <c r="G816" t="s">
        <v>399</v>
      </c>
      <c r="H816" t="str">
        <f>VLOOKUP(record[[#This Row],[ProcessSN]],表格2_7[],2,FALSE)</f>
        <v>30-4118-018-550</v>
      </c>
      <c r="I816" t="str">
        <f>VLOOKUP(record[[#This Row],[ProcessSN]],表格2_7[],3,FALSE)</f>
        <v>#08IQC</v>
      </c>
      <c r="J816" t="s">
        <v>583</v>
      </c>
      <c r="K816" s="195">
        <v>46142.757256944446</v>
      </c>
      <c r="L816">
        <v>321</v>
      </c>
      <c r="M816">
        <v>0</v>
      </c>
      <c r="N816" s="98" t="str">
        <f>IF(record[[#This Row],[Memo]]="Browser:chrome os:android","平板報工",IF(record[[#This Row],[Memo]]=0,"委外",record[[#This Row],[Memo]]))</f>
        <v/>
      </c>
      <c r="O816" t="s">
        <v>58</v>
      </c>
      <c r="P816" t="s">
        <v>109</v>
      </c>
      <c r="Q816" t="s">
        <v>58</v>
      </c>
      <c r="R816" t="str">
        <f>IFERROR(VLOOKUP(record[[#This Row],[PCUSTID]],廠商[],2,FALSE),"")</f>
        <v/>
      </c>
      <c r="S816" t="str">
        <f>VLOOKUP(record[[#This Row],[employeeID]],員工[],2,FALSE)</f>
        <v>裴氏璧鳳</v>
      </c>
    </row>
    <row r="817" spans="6:19" hidden="1" x14ac:dyDescent="0.25">
      <c r="F817" t="s">
        <v>1933</v>
      </c>
      <c r="G817" t="s">
        <v>407</v>
      </c>
      <c r="H817" t="str">
        <f>VLOOKUP(record[[#This Row],[ProcessSN]],表格2_7[],2,FALSE)</f>
        <v>30-4118-018-570</v>
      </c>
      <c r="I817" t="str">
        <f>VLOOKUP(record[[#This Row],[ProcessSN]],表格2_7[],3,FALSE)</f>
        <v>#08IQC</v>
      </c>
      <c r="J817" t="s">
        <v>583</v>
      </c>
      <c r="K817" s="195">
        <v>46142.754814814813</v>
      </c>
      <c r="L817">
        <v>192</v>
      </c>
      <c r="M817">
        <v>0</v>
      </c>
      <c r="N817" s="98" t="str">
        <f>IF(record[[#This Row],[Memo]]="Browser:chrome os:android","平板報工",IF(record[[#This Row],[Memo]]=0,"委外",record[[#This Row],[Memo]]))</f>
        <v/>
      </c>
      <c r="O817" t="s">
        <v>58</v>
      </c>
      <c r="P817" t="s">
        <v>109</v>
      </c>
      <c r="Q817" t="s">
        <v>58</v>
      </c>
      <c r="R817" t="str">
        <f>IFERROR(VLOOKUP(record[[#This Row],[PCUSTID]],廠商[],2,FALSE),"")</f>
        <v/>
      </c>
      <c r="S817" t="str">
        <f>VLOOKUP(record[[#This Row],[employeeID]],員工[],2,FALSE)</f>
        <v>裴氏璧鳳</v>
      </c>
    </row>
    <row r="818" spans="6:19" hidden="1" x14ac:dyDescent="0.25">
      <c r="F818" t="s">
        <v>1941</v>
      </c>
      <c r="G818" t="s">
        <v>383</v>
      </c>
      <c r="H818" t="str">
        <f>VLOOKUP(record[[#This Row],[ProcessSN]],表格2_7[],2,FALSE)</f>
        <v>30-4118-018-500</v>
      </c>
      <c r="I818" t="str">
        <f>VLOOKUP(record[[#This Row],[ProcessSN]],表格2_7[],3,FALSE)</f>
        <v>#08IQC</v>
      </c>
      <c r="J818" t="s">
        <v>583</v>
      </c>
      <c r="K818" s="195">
        <v>46142.751666666663</v>
      </c>
      <c r="L818">
        <v>123</v>
      </c>
      <c r="M818">
        <v>0</v>
      </c>
      <c r="N818" s="98" t="str">
        <f>IF(record[[#This Row],[Memo]]="Browser:chrome os:android","平板報工",IF(record[[#This Row],[Memo]]=0,"委外",record[[#This Row],[Memo]]))</f>
        <v/>
      </c>
      <c r="O818" t="s">
        <v>58</v>
      </c>
      <c r="P818" t="s">
        <v>109</v>
      </c>
      <c r="Q818" t="s">
        <v>58</v>
      </c>
      <c r="R818" t="str">
        <f>IFERROR(VLOOKUP(record[[#This Row],[PCUSTID]],廠商[],2,FALSE),"")</f>
        <v/>
      </c>
      <c r="S818" t="str">
        <f>VLOOKUP(record[[#This Row],[employeeID]],員工[],2,FALSE)</f>
        <v>裴氏璧鳳</v>
      </c>
    </row>
    <row r="819" spans="6:19" hidden="1" x14ac:dyDescent="0.25">
      <c r="F819" t="s">
        <v>1935</v>
      </c>
      <c r="G819" t="s">
        <v>391</v>
      </c>
      <c r="H819" t="str">
        <f>VLOOKUP(record[[#This Row],[ProcessSN]],表格2_7[],2,FALSE)</f>
        <v>30-4118-018-520</v>
      </c>
      <c r="I819" t="str">
        <f>VLOOKUP(record[[#This Row],[ProcessSN]],表格2_7[],3,FALSE)</f>
        <v>#08IQC</v>
      </c>
      <c r="J819" t="s">
        <v>583</v>
      </c>
      <c r="K819" s="195">
        <v>46142.749479166669</v>
      </c>
      <c r="L819">
        <v>206</v>
      </c>
      <c r="M819">
        <v>0</v>
      </c>
      <c r="N819" s="98" t="str">
        <f>IF(record[[#This Row],[Memo]]="Browser:chrome os:android","平板報工",IF(record[[#This Row],[Memo]]=0,"委外",record[[#This Row],[Memo]]))</f>
        <v/>
      </c>
      <c r="O819" t="s">
        <v>58</v>
      </c>
      <c r="P819" t="s">
        <v>109</v>
      </c>
      <c r="Q819" t="s">
        <v>58</v>
      </c>
      <c r="R819" t="str">
        <f>IFERROR(VLOOKUP(record[[#This Row],[PCUSTID]],廠商[],2,FALSE),"")</f>
        <v/>
      </c>
      <c r="S819" t="str">
        <f>VLOOKUP(record[[#This Row],[employeeID]],員工[],2,FALSE)</f>
        <v>裴氏璧鳳</v>
      </c>
    </row>
    <row r="820" spans="6:19" hidden="1" x14ac:dyDescent="0.25">
      <c r="F820" t="s">
        <v>1934</v>
      </c>
      <c r="G820" t="s">
        <v>366</v>
      </c>
      <c r="H820" t="str">
        <f>VLOOKUP(record[[#This Row],[ProcessSN]],表格2_7[],2,FALSE)</f>
        <v>30-4118-018-470</v>
      </c>
      <c r="I820" t="str">
        <f>VLOOKUP(record[[#This Row],[ProcessSN]],表格2_7[],3,FALSE)</f>
        <v>#08IQC</v>
      </c>
      <c r="J820" t="s">
        <v>583</v>
      </c>
      <c r="K820" s="195">
        <v>46142.745833333334</v>
      </c>
      <c r="L820">
        <v>106</v>
      </c>
      <c r="M820">
        <v>0</v>
      </c>
      <c r="N820" s="98" t="str">
        <f>IF(record[[#This Row],[Memo]]="Browser:chrome os:android","平板報工",IF(record[[#This Row],[Memo]]=0,"委外",record[[#This Row],[Memo]]))</f>
        <v/>
      </c>
      <c r="O820" t="s">
        <v>58</v>
      </c>
      <c r="P820" t="s">
        <v>109</v>
      </c>
      <c r="Q820" t="s">
        <v>58</v>
      </c>
      <c r="R820" t="str">
        <f>IFERROR(VLOOKUP(record[[#This Row],[PCUSTID]],廠商[],2,FALSE),"")</f>
        <v/>
      </c>
      <c r="S820" t="str">
        <f>VLOOKUP(record[[#This Row],[employeeID]],員工[],2,FALSE)</f>
        <v>裴氏璧鳳</v>
      </c>
    </row>
    <row r="821" spans="6:19" hidden="1" x14ac:dyDescent="0.25">
      <c r="F821" t="s">
        <v>1940</v>
      </c>
      <c r="G821" t="s">
        <v>398</v>
      </c>
      <c r="H821" t="str">
        <f>VLOOKUP(record[[#This Row],[ProcessSN]],表格2_7[],2,FALSE)</f>
        <v>30-4118-018-550</v>
      </c>
      <c r="I821" t="str">
        <f>VLOOKUP(record[[#This Row],[ProcessSN]],表格2_7[],3,FALSE)</f>
        <v>#08RCV</v>
      </c>
      <c r="J821" t="s">
        <v>591</v>
      </c>
      <c r="K821" s="195">
        <v>46142.702928240738</v>
      </c>
      <c r="L821">
        <v>0</v>
      </c>
      <c r="M821">
        <v>14</v>
      </c>
      <c r="N821" s="98" t="str">
        <f>IF(record[[#This Row],[Memo]]="Browser:chrome os:android","平板報工",IF(record[[#This Row],[Memo]]=0,"委外",record[[#This Row],[Memo]]))</f>
        <v>泉盛回報料少1pcs</v>
      </c>
      <c r="O821" t="s">
        <v>1955</v>
      </c>
      <c r="P821" t="s">
        <v>186</v>
      </c>
      <c r="Q821" t="s">
        <v>58</v>
      </c>
      <c r="R821" t="str">
        <f>IFERROR(VLOOKUP(record[[#This Row],[PCUSTID]],廠商[],2,FALSE),"")</f>
        <v/>
      </c>
      <c r="S821" t="str">
        <f>VLOOKUP(record[[#This Row],[employeeID]],員工[],2,FALSE)</f>
        <v>許文姍</v>
      </c>
    </row>
    <row r="822" spans="6:19" hidden="1" x14ac:dyDescent="0.25">
      <c r="F822" t="s">
        <v>1940</v>
      </c>
      <c r="G822" t="s">
        <v>398</v>
      </c>
      <c r="H822" t="str">
        <f>VLOOKUP(record[[#This Row],[ProcessSN]],表格2_7[],2,FALSE)</f>
        <v>30-4118-018-550</v>
      </c>
      <c r="I822" t="str">
        <f>VLOOKUP(record[[#This Row],[ProcessSN]],表格2_7[],3,FALSE)</f>
        <v>#08RCV</v>
      </c>
      <c r="J822" t="s">
        <v>591</v>
      </c>
      <c r="K822" s="195">
        <v>46142.702187499999</v>
      </c>
      <c r="L822">
        <v>321</v>
      </c>
      <c r="M822">
        <v>0</v>
      </c>
      <c r="N822" s="98" t="str">
        <f>IF(record[[#This Row],[Memo]]="Browser:chrome os:android","平板報工",IF(record[[#This Row],[Memo]]=0,"委外",record[[#This Row],[Memo]]))</f>
        <v/>
      </c>
      <c r="O822" t="s">
        <v>58</v>
      </c>
      <c r="P822" t="s">
        <v>186</v>
      </c>
      <c r="Q822" t="s">
        <v>58</v>
      </c>
      <c r="R822" t="str">
        <f>IFERROR(VLOOKUP(record[[#This Row],[PCUSTID]],廠商[],2,FALSE),"")</f>
        <v/>
      </c>
      <c r="S822" t="str">
        <f>VLOOKUP(record[[#This Row],[employeeID]],員工[],2,FALSE)</f>
        <v>許文姍</v>
      </c>
    </row>
    <row r="823" spans="6:19" hidden="1" x14ac:dyDescent="0.25">
      <c r="F823" t="s">
        <v>1933</v>
      </c>
      <c r="G823" t="s">
        <v>406</v>
      </c>
      <c r="H823" t="str">
        <f>VLOOKUP(record[[#This Row],[ProcessSN]],表格2_7[],2,FALSE)</f>
        <v>30-4118-018-570</v>
      </c>
      <c r="I823" t="str">
        <f>VLOOKUP(record[[#This Row],[ProcessSN]],表格2_7[],3,FALSE)</f>
        <v>#08RCV</v>
      </c>
      <c r="J823" t="s">
        <v>591</v>
      </c>
      <c r="K823" s="195">
        <v>46142.701516203706</v>
      </c>
      <c r="L823">
        <v>0</v>
      </c>
      <c r="M823">
        <v>7</v>
      </c>
      <c r="N823" s="98" t="str">
        <f>IF(record[[#This Row],[Memo]]="Browser:chrome os:android","平板報工",IF(record[[#This Row],[Memo]]=0,"委外",record[[#This Row],[Memo]]))</f>
        <v/>
      </c>
      <c r="O823" t="s">
        <v>58</v>
      </c>
      <c r="P823" t="s">
        <v>186</v>
      </c>
      <c r="Q823" t="s">
        <v>58</v>
      </c>
      <c r="R823" t="str">
        <f>IFERROR(VLOOKUP(record[[#This Row],[PCUSTID]],廠商[],2,FALSE),"")</f>
        <v/>
      </c>
      <c r="S823" t="str">
        <f>VLOOKUP(record[[#This Row],[employeeID]],員工[],2,FALSE)</f>
        <v>許文姍</v>
      </c>
    </row>
    <row r="824" spans="6:19" hidden="1" x14ac:dyDescent="0.25">
      <c r="F824" t="s">
        <v>1933</v>
      </c>
      <c r="G824" t="s">
        <v>406</v>
      </c>
      <c r="H824" t="str">
        <f>VLOOKUP(record[[#This Row],[ProcessSN]],表格2_7[],2,FALSE)</f>
        <v>30-4118-018-570</v>
      </c>
      <c r="I824" t="str">
        <f>VLOOKUP(record[[#This Row],[ProcessSN]],表格2_7[],3,FALSE)</f>
        <v>#08RCV</v>
      </c>
      <c r="J824" t="s">
        <v>591</v>
      </c>
      <c r="K824" s="195">
        <v>46142.701365740744</v>
      </c>
      <c r="L824">
        <v>192</v>
      </c>
      <c r="M824">
        <v>0</v>
      </c>
      <c r="N824" s="98" t="str">
        <f>IF(record[[#This Row],[Memo]]="Browser:chrome os:android","平板報工",IF(record[[#This Row],[Memo]]=0,"委外",record[[#This Row],[Memo]]))</f>
        <v/>
      </c>
      <c r="O824" t="s">
        <v>58</v>
      </c>
      <c r="P824" t="s">
        <v>186</v>
      </c>
      <c r="Q824" t="s">
        <v>58</v>
      </c>
      <c r="R824" t="str">
        <f>IFERROR(VLOOKUP(record[[#This Row],[PCUSTID]],廠商[],2,FALSE),"")</f>
        <v/>
      </c>
      <c r="S824" t="str">
        <f>VLOOKUP(record[[#This Row],[employeeID]],員工[],2,FALSE)</f>
        <v>許文姍</v>
      </c>
    </row>
    <row r="825" spans="6:19" hidden="1" x14ac:dyDescent="0.25">
      <c r="F825" t="s">
        <v>1874</v>
      </c>
      <c r="G825" t="s">
        <v>369</v>
      </c>
      <c r="H825" t="str">
        <f>VLOOKUP(record[[#This Row],[ProcessSN]],表格2_7[],2,FALSE)</f>
        <v>30-4118-018-470</v>
      </c>
      <c r="I825" t="str">
        <f>VLOOKUP(record[[#This Row],[ProcessSN]],表格2_7[],3,FALSE)</f>
        <v>#100STOCK</v>
      </c>
      <c r="J825" t="s">
        <v>592</v>
      </c>
      <c r="K825" s="195">
        <v>46142.700891203705</v>
      </c>
      <c r="L825">
        <v>13</v>
      </c>
      <c r="M825">
        <v>0</v>
      </c>
      <c r="N825" s="98" t="str">
        <f>IF(record[[#This Row],[Memo]]="Browser:chrome os:android","平板報工",IF(record[[#This Row],[Memo]]=0,"委外",record[[#This Row],[Memo]]))</f>
        <v/>
      </c>
      <c r="O825" t="s">
        <v>58</v>
      </c>
      <c r="P825" t="s">
        <v>886</v>
      </c>
      <c r="Q825" t="s">
        <v>58</v>
      </c>
      <c r="R825" t="str">
        <f>IFERROR(VLOOKUP(record[[#This Row],[PCUSTID]],廠商[],2,FALSE),"")</f>
        <v/>
      </c>
      <c r="S825" t="str">
        <f>VLOOKUP(record[[#This Row],[employeeID]],員工[],2,FALSE)</f>
        <v>謝蓁薰</v>
      </c>
    </row>
    <row r="826" spans="6:19" hidden="1" x14ac:dyDescent="0.25">
      <c r="F826" t="s">
        <v>1941</v>
      </c>
      <c r="G826" t="s">
        <v>382</v>
      </c>
      <c r="H826" t="str">
        <f>VLOOKUP(record[[#This Row],[ProcessSN]],表格2_7[],2,FALSE)</f>
        <v>30-4118-018-500</v>
      </c>
      <c r="I826" t="str">
        <f>VLOOKUP(record[[#This Row],[ProcessSN]],表格2_7[],3,FALSE)</f>
        <v>#08RCV</v>
      </c>
      <c r="J826" t="s">
        <v>591</v>
      </c>
      <c r="K826" s="195">
        <v>46142.700555555559</v>
      </c>
      <c r="L826">
        <v>0</v>
      </c>
      <c r="M826">
        <v>6</v>
      </c>
      <c r="N826" s="98" t="str">
        <f>IF(record[[#This Row],[Memo]]="Browser:chrome os:android","平板報工",IF(record[[#This Row],[Memo]]=0,"委外",record[[#This Row],[Memo]]))</f>
        <v/>
      </c>
      <c r="O826" t="s">
        <v>58</v>
      </c>
      <c r="P826" t="s">
        <v>186</v>
      </c>
      <c r="Q826" t="s">
        <v>58</v>
      </c>
      <c r="R826" t="str">
        <f>IFERROR(VLOOKUP(record[[#This Row],[PCUSTID]],廠商[],2,FALSE),"")</f>
        <v/>
      </c>
      <c r="S826" t="str">
        <f>VLOOKUP(record[[#This Row],[employeeID]],員工[],2,FALSE)</f>
        <v>許文姍</v>
      </c>
    </row>
    <row r="827" spans="6:19" hidden="1" x14ac:dyDescent="0.25">
      <c r="F827" t="s">
        <v>1941</v>
      </c>
      <c r="G827" t="s">
        <v>382</v>
      </c>
      <c r="H827" t="str">
        <f>VLOOKUP(record[[#This Row],[ProcessSN]],表格2_7[],2,FALSE)</f>
        <v>30-4118-018-500</v>
      </c>
      <c r="I827" t="str">
        <f>VLOOKUP(record[[#This Row],[ProcessSN]],表格2_7[],3,FALSE)</f>
        <v>#08RCV</v>
      </c>
      <c r="J827" t="s">
        <v>591</v>
      </c>
      <c r="K827" s="195">
        <v>46142.70034722222</v>
      </c>
      <c r="L827">
        <v>123</v>
      </c>
      <c r="M827">
        <v>0</v>
      </c>
      <c r="N827" s="98" t="str">
        <f>IF(record[[#This Row],[Memo]]="Browser:chrome os:android","平板報工",IF(record[[#This Row],[Memo]]=0,"委外",record[[#This Row],[Memo]]))</f>
        <v/>
      </c>
      <c r="O827" t="s">
        <v>58</v>
      </c>
      <c r="P827" t="s">
        <v>186</v>
      </c>
      <c r="Q827" t="s">
        <v>58</v>
      </c>
      <c r="R827" t="str">
        <f>IFERROR(VLOOKUP(record[[#This Row],[PCUSTID]],廠商[],2,FALSE),"")</f>
        <v/>
      </c>
      <c r="S827" t="str">
        <f>VLOOKUP(record[[#This Row],[employeeID]],員工[],2,FALSE)</f>
        <v>許文姍</v>
      </c>
    </row>
    <row r="828" spans="6:19" hidden="1" x14ac:dyDescent="0.25">
      <c r="F828" t="s">
        <v>1935</v>
      </c>
      <c r="G828" t="s">
        <v>390</v>
      </c>
      <c r="H828" t="str">
        <f>VLOOKUP(record[[#This Row],[ProcessSN]],表格2_7[],2,FALSE)</f>
        <v>30-4118-018-520</v>
      </c>
      <c r="I828" t="str">
        <f>VLOOKUP(record[[#This Row],[ProcessSN]],表格2_7[],3,FALSE)</f>
        <v>#08RCV</v>
      </c>
      <c r="J828" t="s">
        <v>591</v>
      </c>
      <c r="K828" s="195">
        <v>46142.699108796296</v>
      </c>
      <c r="L828">
        <v>0</v>
      </c>
      <c r="M828">
        <v>3</v>
      </c>
      <c r="N828" s="98" t="str">
        <f>IF(record[[#This Row],[Memo]]="Browser:chrome os:android","平板報工",IF(record[[#This Row],[Memo]]=0,"委外",record[[#This Row],[Memo]]))</f>
        <v/>
      </c>
      <c r="O828" t="s">
        <v>58</v>
      </c>
      <c r="P828" t="s">
        <v>186</v>
      </c>
      <c r="Q828" t="s">
        <v>58</v>
      </c>
      <c r="R828" t="str">
        <f>IFERROR(VLOOKUP(record[[#This Row],[PCUSTID]],廠商[],2,FALSE),"")</f>
        <v/>
      </c>
      <c r="S828" t="str">
        <f>VLOOKUP(record[[#This Row],[employeeID]],員工[],2,FALSE)</f>
        <v>許文姍</v>
      </c>
    </row>
    <row r="829" spans="6:19" hidden="1" x14ac:dyDescent="0.25">
      <c r="F829" t="s">
        <v>1935</v>
      </c>
      <c r="G829" t="s">
        <v>390</v>
      </c>
      <c r="H829" t="str">
        <f>VLOOKUP(record[[#This Row],[ProcessSN]],表格2_7[],2,FALSE)</f>
        <v>30-4118-018-520</v>
      </c>
      <c r="I829" t="str">
        <f>VLOOKUP(record[[#This Row],[ProcessSN]],表格2_7[],3,FALSE)</f>
        <v>#08RCV</v>
      </c>
      <c r="J829" t="s">
        <v>591</v>
      </c>
      <c r="K829" s="195">
        <v>46142.698912037034</v>
      </c>
      <c r="L829">
        <v>24</v>
      </c>
      <c r="M829">
        <v>0</v>
      </c>
      <c r="N829" s="98" t="str">
        <f>IF(record[[#This Row],[Memo]]="Browser:chrome os:android","平板報工",IF(record[[#This Row],[Memo]]=0,"委外",record[[#This Row],[Memo]]))</f>
        <v/>
      </c>
      <c r="O829" t="s">
        <v>58</v>
      </c>
      <c r="P829" t="s">
        <v>186</v>
      </c>
      <c r="Q829" t="s">
        <v>58</v>
      </c>
      <c r="R829" t="str">
        <f>IFERROR(VLOOKUP(record[[#This Row],[PCUSTID]],廠商[],2,FALSE),"")</f>
        <v/>
      </c>
      <c r="S829" t="str">
        <f>VLOOKUP(record[[#This Row],[employeeID]],員工[],2,FALSE)</f>
        <v>許文姍</v>
      </c>
    </row>
    <row r="830" spans="6:19" hidden="1" x14ac:dyDescent="0.25">
      <c r="F830" t="s">
        <v>1935</v>
      </c>
      <c r="G830" t="s">
        <v>390</v>
      </c>
      <c r="H830" t="str">
        <f>VLOOKUP(record[[#This Row],[ProcessSN]],表格2_7[],2,FALSE)</f>
        <v>30-4118-018-520</v>
      </c>
      <c r="I830" t="str">
        <f>VLOOKUP(record[[#This Row],[ProcessSN]],表格2_7[],3,FALSE)</f>
        <v>#08RCV</v>
      </c>
      <c r="J830" t="s">
        <v>591</v>
      </c>
      <c r="K830" s="195">
        <v>46142.697048611109</v>
      </c>
      <c r="L830">
        <v>182</v>
      </c>
      <c r="M830">
        <v>0</v>
      </c>
      <c r="N830" s="98" t="str">
        <f>IF(record[[#This Row],[Memo]]="Browser:chrome os:android","平板報工",IF(record[[#This Row],[Memo]]=0,"委外",record[[#This Row],[Memo]]))</f>
        <v/>
      </c>
      <c r="O830" t="s">
        <v>58</v>
      </c>
      <c r="P830" t="s">
        <v>186</v>
      </c>
      <c r="Q830" t="s">
        <v>58</v>
      </c>
      <c r="R830" t="str">
        <f>IFERROR(VLOOKUP(record[[#This Row],[PCUSTID]],廠商[],2,FALSE),"")</f>
        <v/>
      </c>
      <c r="S830" t="str">
        <f>VLOOKUP(record[[#This Row],[employeeID]],員工[],2,FALSE)</f>
        <v>許文姍</v>
      </c>
    </row>
    <row r="831" spans="6:19" hidden="1" x14ac:dyDescent="0.25">
      <c r="F831" t="s">
        <v>1934</v>
      </c>
      <c r="G831" t="s">
        <v>365</v>
      </c>
      <c r="H831" t="str">
        <f>VLOOKUP(record[[#This Row],[ProcessSN]],表格2_7[],2,FALSE)</f>
        <v>30-4118-018-470</v>
      </c>
      <c r="I831" t="str">
        <f>VLOOKUP(record[[#This Row],[ProcessSN]],表格2_7[],3,FALSE)</f>
        <v>#08RCV</v>
      </c>
      <c r="J831" t="s">
        <v>591</v>
      </c>
      <c r="K831" s="195">
        <v>46142.695925925924</v>
      </c>
      <c r="L831">
        <v>0</v>
      </c>
      <c r="M831">
        <v>3</v>
      </c>
      <c r="N831" s="98" t="str">
        <f>IF(record[[#This Row],[Memo]]="Browser:chrome os:android","平板報工",IF(record[[#This Row],[Memo]]=0,"委外",record[[#This Row],[Memo]]))</f>
        <v/>
      </c>
      <c r="O831" t="s">
        <v>58</v>
      </c>
      <c r="P831" t="s">
        <v>186</v>
      </c>
      <c r="Q831" t="s">
        <v>58</v>
      </c>
      <c r="R831" t="str">
        <f>IFERROR(VLOOKUP(record[[#This Row],[PCUSTID]],廠商[],2,FALSE),"")</f>
        <v/>
      </c>
      <c r="S831" t="str">
        <f>VLOOKUP(record[[#This Row],[employeeID]],員工[],2,FALSE)</f>
        <v>許文姍</v>
      </c>
    </row>
    <row r="832" spans="6:19" hidden="1" x14ac:dyDescent="0.25">
      <c r="F832" t="s">
        <v>1934</v>
      </c>
      <c r="G832" t="s">
        <v>365</v>
      </c>
      <c r="H832" t="str">
        <f>VLOOKUP(record[[#This Row],[ProcessSN]],表格2_7[],2,FALSE)</f>
        <v>30-4118-018-470</v>
      </c>
      <c r="I832" t="str">
        <f>VLOOKUP(record[[#This Row],[ProcessSN]],表格2_7[],3,FALSE)</f>
        <v>#08RCV</v>
      </c>
      <c r="J832" t="s">
        <v>591</v>
      </c>
      <c r="K832" s="195">
        <v>46142.695740740739</v>
      </c>
      <c r="L832">
        <v>106</v>
      </c>
      <c r="M832">
        <v>0</v>
      </c>
      <c r="N832" s="98" t="str">
        <f>IF(record[[#This Row],[Memo]]="Browser:chrome os:android","平板報工",IF(record[[#This Row],[Memo]]=0,"委外",record[[#This Row],[Memo]]))</f>
        <v/>
      </c>
      <c r="O832" t="s">
        <v>58</v>
      </c>
      <c r="P832" t="s">
        <v>186</v>
      </c>
      <c r="Q832" t="s">
        <v>58</v>
      </c>
      <c r="R832" t="str">
        <f>IFERROR(VLOOKUP(record[[#This Row],[PCUSTID]],廠商[],2,FALSE),"")</f>
        <v/>
      </c>
      <c r="S832" t="str">
        <f>VLOOKUP(record[[#This Row],[employeeID]],員工[],2,FALSE)</f>
        <v>許文姍</v>
      </c>
    </row>
    <row r="833" spans="6:19" hidden="1" x14ac:dyDescent="0.25">
      <c r="F833" t="s">
        <v>1859</v>
      </c>
      <c r="G833" t="s">
        <v>449</v>
      </c>
      <c r="H833" t="str">
        <f>VLOOKUP(record[[#This Row],[ProcessSN]],表格2_7[],2,FALSE)</f>
        <v>30-4118-018-6XX</v>
      </c>
      <c r="I833" t="str">
        <f>VLOOKUP(record[[#This Row],[ProcessSN]],表格2_7[],3,FALSE)</f>
        <v>#05</v>
      </c>
      <c r="J833" t="s">
        <v>588</v>
      </c>
      <c r="K833" s="195">
        <v>46142.677928240744</v>
      </c>
      <c r="L833">
        <v>75</v>
      </c>
      <c r="M833">
        <v>0</v>
      </c>
      <c r="N833" s="98" t="str">
        <f>IF(record[[#This Row],[Memo]]="Browser:chrome os:android","平板報工",IF(record[[#This Row],[Memo]]=0,"委外",record[[#This Row],[Memo]]))</f>
        <v/>
      </c>
      <c r="O833" t="s">
        <v>58</v>
      </c>
      <c r="P833" t="s">
        <v>785</v>
      </c>
      <c r="Q833" t="s">
        <v>58</v>
      </c>
      <c r="R833" t="str">
        <f>IFERROR(VLOOKUP(record[[#This Row],[PCUSTID]],廠商[],2,FALSE),"")</f>
        <v/>
      </c>
      <c r="S833" t="str">
        <f>VLOOKUP(record[[#This Row],[employeeID]],員工[],2,FALSE)</f>
        <v>謝刻光</v>
      </c>
    </row>
    <row r="834" spans="6:19" hidden="1" x14ac:dyDescent="0.25">
      <c r="F834" t="s">
        <v>1859</v>
      </c>
      <c r="G834" t="s">
        <v>448</v>
      </c>
      <c r="H834" t="str">
        <f>VLOOKUP(record[[#This Row],[ProcessSN]],表格2_7[],2,FALSE)</f>
        <v>30-4118-018-6XX</v>
      </c>
      <c r="I834" t="str">
        <f>VLOOKUP(record[[#This Row],[ProcessSN]],表格2_7[],3,FALSE)</f>
        <v>#04</v>
      </c>
      <c r="J834" t="s">
        <v>588</v>
      </c>
      <c r="K834" s="195">
        <v>46142.676712962966</v>
      </c>
      <c r="L834">
        <v>76</v>
      </c>
      <c r="M834">
        <v>0</v>
      </c>
      <c r="N834" s="98" t="str">
        <f>IF(record[[#This Row],[Memo]]="Browser:chrome os:android","平板報工",IF(record[[#This Row],[Memo]]=0,"委外",record[[#This Row],[Memo]]))</f>
        <v/>
      </c>
      <c r="O834" t="s">
        <v>58</v>
      </c>
      <c r="P834" t="s">
        <v>107</v>
      </c>
      <c r="Q834" t="s">
        <v>58</v>
      </c>
      <c r="R834" t="str">
        <f>IFERROR(VLOOKUP(record[[#This Row],[PCUSTID]],廠商[],2,FALSE),"")</f>
        <v/>
      </c>
      <c r="S834" t="str">
        <f>VLOOKUP(record[[#This Row],[employeeID]],員工[],2,FALSE)</f>
        <v>黎氏順</v>
      </c>
    </row>
    <row r="835" spans="6:19" hidden="1" x14ac:dyDescent="0.25">
      <c r="F835" t="s">
        <v>1906</v>
      </c>
      <c r="G835" t="s">
        <v>417</v>
      </c>
      <c r="H835" t="str">
        <f>VLOOKUP(record[[#This Row],[ProcessSN]],表格2_7[],2,FALSE)</f>
        <v>30-4118-018-5XX</v>
      </c>
      <c r="I835" t="str">
        <f>VLOOKUP(record[[#This Row],[ProcessSN]],表格2_7[],3,FALSE)</f>
        <v>#06</v>
      </c>
      <c r="J835" t="s">
        <v>593</v>
      </c>
      <c r="K835" s="195">
        <v>46142.653807870367</v>
      </c>
      <c r="L835">
        <v>3</v>
      </c>
      <c r="M835">
        <v>0</v>
      </c>
      <c r="N835" s="98" t="str">
        <f>IF(record[[#This Row],[Memo]]="Browser:chrome os:android","平板報工",IF(record[[#This Row],[Memo]]=0,"委外",record[[#This Row],[Memo]]))</f>
        <v>平板報工</v>
      </c>
      <c r="O835" t="s">
        <v>643</v>
      </c>
      <c r="P835" t="s">
        <v>1413</v>
      </c>
      <c r="Q835" t="s">
        <v>644</v>
      </c>
      <c r="R835" t="str">
        <f>IFERROR(VLOOKUP(record[[#This Row],[PCUSTID]],廠商[],2,FALSE),"")</f>
        <v/>
      </c>
      <c r="S835" t="str">
        <f>VLOOKUP(record[[#This Row],[employeeID]],員工[],2,FALSE)</f>
        <v>阮氏芳英(芳)</v>
      </c>
    </row>
    <row r="836" spans="6:19" hidden="1" x14ac:dyDescent="0.25">
      <c r="F836" t="s">
        <v>1859</v>
      </c>
      <c r="G836" t="s">
        <v>448</v>
      </c>
      <c r="H836" t="str">
        <f>VLOOKUP(record[[#This Row],[ProcessSN]],表格2_7[],2,FALSE)</f>
        <v>30-4118-018-6XX</v>
      </c>
      <c r="I836" t="str">
        <f>VLOOKUP(record[[#This Row],[ProcessSN]],表格2_7[],3,FALSE)</f>
        <v>#04</v>
      </c>
      <c r="J836" t="s">
        <v>588</v>
      </c>
      <c r="K836" s="195">
        <v>46142.65253472222</v>
      </c>
      <c r="L836">
        <v>51</v>
      </c>
      <c r="M836">
        <v>0</v>
      </c>
      <c r="N836" s="98" t="str">
        <f>IF(record[[#This Row],[Memo]]="Browser:chrome os:android","平板報工",IF(record[[#This Row],[Memo]]=0,"委外",record[[#This Row],[Memo]]))</f>
        <v>平板報工</v>
      </c>
      <c r="O836" t="s">
        <v>643</v>
      </c>
      <c r="P836" t="s">
        <v>107</v>
      </c>
      <c r="Q836" t="s">
        <v>644</v>
      </c>
      <c r="R836" t="str">
        <f>IFERROR(VLOOKUP(record[[#This Row],[PCUSTID]],廠商[],2,FALSE),"")</f>
        <v/>
      </c>
      <c r="S836" t="str">
        <f>VLOOKUP(record[[#This Row],[employeeID]],員工[],2,FALSE)</f>
        <v>黎氏順</v>
      </c>
    </row>
    <row r="837" spans="6:19" hidden="1" x14ac:dyDescent="0.25">
      <c r="F837" t="s">
        <v>1909</v>
      </c>
      <c r="G837" t="s">
        <v>374</v>
      </c>
      <c r="H837" t="str">
        <f>VLOOKUP(record[[#This Row],[ProcessSN]],表格2_7[],2,FALSE)</f>
        <v>30-4118-018-4XX</v>
      </c>
      <c r="I837" t="str">
        <f>VLOOKUP(record[[#This Row],[ProcessSN]],表格2_7[],3,FALSE)</f>
        <v>#04</v>
      </c>
      <c r="J837" t="s">
        <v>588</v>
      </c>
      <c r="K837" s="195">
        <v>46142.651909722219</v>
      </c>
      <c r="L837">
        <v>140</v>
      </c>
      <c r="M837">
        <v>2</v>
      </c>
      <c r="N837" s="98" t="str">
        <f>IF(record[[#This Row],[Memo]]="Browser:chrome os:android","平板報工",IF(record[[#This Row],[Memo]]=0,"委外",record[[#This Row],[Memo]]))</f>
        <v>平板報工</v>
      </c>
      <c r="O837" t="s">
        <v>643</v>
      </c>
      <c r="P837" t="s">
        <v>107</v>
      </c>
      <c r="Q837" t="s">
        <v>644</v>
      </c>
      <c r="R837" t="str">
        <f>IFERROR(VLOOKUP(record[[#This Row],[PCUSTID]],廠商[],2,FALSE),"")</f>
        <v/>
      </c>
      <c r="S837" t="str">
        <f>VLOOKUP(record[[#This Row],[employeeID]],員工[],2,FALSE)</f>
        <v>黎氏順</v>
      </c>
    </row>
    <row r="838" spans="6:19" hidden="1" x14ac:dyDescent="0.25">
      <c r="F838" t="s">
        <v>1857</v>
      </c>
      <c r="G838" t="s">
        <v>465</v>
      </c>
      <c r="H838" t="str">
        <f>VLOOKUP(record[[#This Row],[ProcessSN]],表格2_7[],2,FALSE)</f>
        <v>30-4118-018-XXX</v>
      </c>
      <c r="I838" t="str">
        <f>VLOOKUP(record[[#This Row],[ProcessSN]],表格2_7[],3,FALSE)</f>
        <v>#01-1</v>
      </c>
      <c r="J838" t="s">
        <v>588</v>
      </c>
      <c r="K838" s="195">
        <v>46142.650520833333</v>
      </c>
      <c r="L838">
        <v>1000</v>
      </c>
      <c r="M838">
        <v>0</v>
      </c>
      <c r="N838" s="98" t="str">
        <f>IF(record[[#This Row],[Memo]]="Browser:chrome os:android","平板報工",IF(record[[#This Row],[Memo]]=0,"委外",record[[#This Row],[Memo]]))</f>
        <v>平板報工</v>
      </c>
      <c r="O838" t="s">
        <v>643</v>
      </c>
      <c r="P838" t="s">
        <v>107</v>
      </c>
      <c r="Q838" t="s">
        <v>644</v>
      </c>
      <c r="R838" t="str">
        <f>IFERROR(VLOOKUP(record[[#This Row],[PCUSTID]],廠商[],2,FALSE),"")</f>
        <v/>
      </c>
      <c r="S838" t="str">
        <f>VLOOKUP(record[[#This Row],[employeeID]],員工[],2,FALSE)</f>
        <v>黎氏順</v>
      </c>
    </row>
    <row r="839" spans="6:19" hidden="1" x14ac:dyDescent="0.25">
      <c r="F839" t="s">
        <v>1857</v>
      </c>
      <c r="G839" t="s">
        <v>466</v>
      </c>
      <c r="H839" t="str">
        <f>VLOOKUP(record[[#This Row],[ProcessSN]],表格2_7[],2,FALSE)</f>
        <v>30-4118-018-XXX</v>
      </c>
      <c r="I839" t="str">
        <f>VLOOKUP(record[[#This Row],[ProcessSN]],表格2_7[],3,FALSE)</f>
        <v>#01-2</v>
      </c>
      <c r="J839" t="s">
        <v>588</v>
      </c>
      <c r="K839" s="195">
        <v>46142.642430555556</v>
      </c>
      <c r="L839">
        <v>258</v>
      </c>
      <c r="M839">
        <v>0</v>
      </c>
      <c r="N839" s="98" t="str">
        <f>IF(record[[#This Row],[Memo]]="Browser:chrome os:android","平板報工",IF(record[[#This Row],[Memo]]=0,"委外",record[[#This Row],[Memo]]))</f>
        <v>平板報工</v>
      </c>
      <c r="O839" t="s">
        <v>643</v>
      </c>
      <c r="P839" t="s">
        <v>145</v>
      </c>
      <c r="Q839" t="s">
        <v>644</v>
      </c>
      <c r="R839" t="str">
        <f>IFERROR(VLOOKUP(record[[#This Row],[PCUSTID]],廠商[],2,FALSE),"")</f>
        <v/>
      </c>
      <c r="S839" t="str">
        <f>VLOOKUP(record[[#This Row],[employeeID]],員工[],2,FALSE)</f>
        <v>阮秋霞</v>
      </c>
    </row>
    <row r="840" spans="6:19" hidden="1" x14ac:dyDescent="0.25">
      <c r="F840" t="s">
        <v>1906</v>
      </c>
      <c r="G840" t="s">
        <v>418</v>
      </c>
      <c r="H840" t="str">
        <f>VLOOKUP(record[[#This Row],[ProcessSN]],表格2_7[],2,FALSE)</f>
        <v>30-4118-018-5XX</v>
      </c>
      <c r="I840" t="str">
        <f>VLOOKUP(record[[#This Row],[ProcessSN]],表格2_7[],3,FALSE)</f>
        <v>#07</v>
      </c>
      <c r="J840" t="s">
        <v>588</v>
      </c>
      <c r="K840" s="195">
        <v>46142.640983796293</v>
      </c>
      <c r="L840">
        <v>90</v>
      </c>
      <c r="M840">
        <v>0</v>
      </c>
      <c r="N840" s="98" t="str">
        <f>IF(record[[#This Row],[Memo]]="Browser:chrome os:android","平板報工",IF(record[[#This Row],[Memo]]=0,"委外",record[[#This Row],[Memo]]))</f>
        <v>平板報工</v>
      </c>
      <c r="O840" t="s">
        <v>643</v>
      </c>
      <c r="P840" t="s">
        <v>145</v>
      </c>
      <c r="Q840" t="s">
        <v>644</v>
      </c>
      <c r="R840" t="str">
        <f>IFERROR(VLOOKUP(record[[#This Row],[PCUSTID]],廠商[],2,FALSE),"")</f>
        <v/>
      </c>
      <c r="S840" t="str">
        <f>VLOOKUP(record[[#This Row],[employeeID]],員工[],2,FALSE)</f>
        <v>阮秋霞</v>
      </c>
    </row>
    <row r="841" spans="6:19" hidden="1" x14ac:dyDescent="0.25">
      <c r="F841" t="s">
        <v>1906</v>
      </c>
      <c r="G841" t="s">
        <v>417</v>
      </c>
      <c r="H841" t="str">
        <f>VLOOKUP(record[[#This Row],[ProcessSN]],表格2_7[],2,FALSE)</f>
        <v>30-4118-018-5XX</v>
      </c>
      <c r="I841" t="str">
        <f>VLOOKUP(record[[#This Row],[ProcessSN]],表格2_7[],3,FALSE)</f>
        <v>#06</v>
      </c>
      <c r="J841" t="s">
        <v>593</v>
      </c>
      <c r="K841" s="195">
        <v>46142.638749999998</v>
      </c>
      <c r="L841">
        <v>134</v>
      </c>
      <c r="M841">
        <v>0</v>
      </c>
      <c r="N841" s="98" t="str">
        <f>IF(record[[#This Row],[Memo]]="Browser:chrome os:android","平板報工",IF(record[[#This Row],[Memo]]=0,"委外",record[[#This Row],[Memo]]))</f>
        <v>平板報工</v>
      </c>
      <c r="O841" t="s">
        <v>643</v>
      </c>
      <c r="P841" t="s">
        <v>1413</v>
      </c>
      <c r="Q841" t="s">
        <v>644</v>
      </c>
      <c r="R841" t="str">
        <f>IFERROR(VLOOKUP(record[[#This Row],[PCUSTID]],廠商[],2,FALSE),"")</f>
        <v/>
      </c>
      <c r="S841" t="str">
        <f>VLOOKUP(record[[#This Row],[employeeID]],員工[],2,FALSE)</f>
        <v>阮氏芳英(芳)</v>
      </c>
    </row>
    <row r="842" spans="6:19" hidden="1" x14ac:dyDescent="0.25">
      <c r="F842" t="s">
        <v>1906</v>
      </c>
      <c r="G842" t="s">
        <v>417</v>
      </c>
      <c r="H842" t="str">
        <f>VLOOKUP(record[[#This Row],[ProcessSN]],表格2_7[],2,FALSE)</f>
        <v>30-4118-018-5XX</v>
      </c>
      <c r="I842" t="str">
        <f>VLOOKUP(record[[#This Row],[ProcessSN]],表格2_7[],3,FALSE)</f>
        <v>#06</v>
      </c>
      <c r="J842" t="s">
        <v>593</v>
      </c>
      <c r="K842" s="195">
        <v>46142.638449074075</v>
      </c>
      <c r="L842">
        <v>106</v>
      </c>
      <c r="M842">
        <v>0</v>
      </c>
      <c r="N842" s="98" t="str">
        <f>IF(record[[#This Row],[Memo]]="Browser:chrome os:android","平板報工",IF(record[[#This Row],[Memo]]=0,"委外",record[[#This Row],[Memo]]))</f>
        <v>平板報工</v>
      </c>
      <c r="O842" t="s">
        <v>643</v>
      </c>
      <c r="P842" t="s">
        <v>1413</v>
      </c>
      <c r="Q842" t="s">
        <v>644</v>
      </c>
      <c r="R842" t="str">
        <f>IFERROR(VLOOKUP(record[[#This Row],[PCUSTID]],廠商[],2,FALSE),"")</f>
        <v/>
      </c>
      <c r="S842" t="str">
        <f>VLOOKUP(record[[#This Row],[employeeID]],員工[],2,FALSE)</f>
        <v>阮氏芳英(芳)</v>
      </c>
    </row>
    <row r="843" spans="6:19" hidden="1" x14ac:dyDescent="0.25">
      <c r="F843" t="s">
        <v>1906</v>
      </c>
      <c r="G843" t="s">
        <v>416</v>
      </c>
      <c r="H843" t="str">
        <f>VLOOKUP(record[[#This Row],[ProcessSN]],表格2_7[],2,FALSE)</f>
        <v>30-4118-018-5XX</v>
      </c>
      <c r="I843" t="str">
        <f>VLOOKUP(record[[#This Row],[ProcessSN]],表格2_7[],3,FALSE)</f>
        <v>#05</v>
      </c>
      <c r="J843" t="s">
        <v>588</v>
      </c>
      <c r="K843" s="195">
        <v>46142.6327662037</v>
      </c>
      <c r="L843">
        <v>36</v>
      </c>
      <c r="M843">
        <v>0</v>
      </c>
      <c r="N843" s="98" t="str">
        <f>IF(record[[#This Row],[Memo]]="Browser:chrome os:android","平板報工",IF(record[[#This Row],[Memo]]=0,"委外",record[[#This Row],[Memo]]))</f>
        <v>平板報工</v>
      </c>
      <c r="O843" t="s">
        <v>643</v>
      </c>
      <c r="P843" t="s">
        <v>785</v>
      </c>
      <c r="Q843" t="s">
        <v>644</v>
      </c>
      <c r="R843" t="str">
        <f>IFERROR(VLOOKUP(record[[#This Row],[PCUSTID]],廠商[],2,FALSE),"")</f>
        <v/>
      </c>
      <c r="S843" t="str">
        <f>VLOOKUP(record[[#This Row],[employeeID]],員工[],2,FALSE)</f>
        <v>謝刻光</v>
      </c>
    </row>
    <row r="844" spans="6:19" hidden="1" x14ac:dyDescent="0.25">
      <c r="F844" t="s">
        <v>1909</v>
      </c>
      <c r="G844" t="s">
        <v>375</v>
      </c>
      <c r="H844" t="str">
        <f>VLOOKUP(record[[#This Row],[ProcessSN]],表格2_7[],2,FALSE)</f>
        <v>30-4118-018-4XX</v>
      </c>
      <c r="I844" t="str">
        <f>VLOOKUP(record[[#This Row],[ProcessSN]],表格2_7[],3,FALSE)</f>
        <v>#05</v>
      </c>
      <c r="J844" t="s">
        <v>588</v>
      </c>
      <c r="K844" s="195">
        <v>46142.632465277777</v>
      </c>
      <c r="L844">
        <v>80</v>
      </c>
      <c r="M844">
        <v>0</v>
      </c>
      <c r="N844" s="98" t="str">
        <f>IF(record[[#This Row],[Memo]]="Browser:chrome os:android","平板報工",IF(record[[#This Row],[Memo]]=0,"委外",record[[#This Row],[Memo]]))</f>
        <v>平板報工</v>
      </c>
      <c r="O844" t="s">
        <v>643</v>
      </c>
      <c r="P844" t="s">
        <v>785</v>
      </c>
      <c r="Q844" t="s">
        <v>644</v>
      </c>
      <c r="R844" t="str">
        <f>IFERROR(VLOOKUP(record[[#This Row],[PCUSTID]],廠商[],2,FALSE),"")</f>
        <v/>
      </c>
      <c r="S844" t="str">
        <f>VLOOKUP(record[[#This Row],[employeeID]],員工[],2,FALSE)</f>
        <v>謝刻光</v>
      </c>
    </row>
    <row r="845" spans="6:19" hidden="1" x14ac:dyDescent="0.25">
      <c r="F845" t="s">
        <v>1859</v>
      </c>
      <c r="G845" t="s">
        <v>453</v>
      </c>
      <c r="H845" t="str">
        <f>VLOOKUP(record[[#This Row],[ProcessSN]],表格2_7[],2,FALSE)</f>
        <v>30-4118-018-6XX</v>
      </c>
      <c r="I845" t="str">
        <f>VLOOKUP(record[[#This Row],[ProcessSN]],表格2_7[],3,FALSE)</f>
        <v>#07STOCK</v>
      </c>
      <c r="J845" t="s">
        <v>592</v>
      </c>
      <c r="K845" s="195">
        <v>46142.611747685187</v>
      </c>
      <c r="L845">
        <v>216</v>
      </c>
      <c r="M845">
        <v>0</v>
      </c>
      <c r="N845" s="98" t="str">
        <f>IF(record[[#This Row],[Memo]]="Browser:chrome os:android","平板報工",IF(record[[#This Row],[Memo]]=0,"委外",record[[#This Row],[Memo]]))</f>
        <v/>
      </c>
      <c r="O845" t="s">
        <v>58</v>
      </c>
      <c r="P845" t="s">
        <v>186</v>
      </c>
      <c r="Q845" t="s">
        <v>58</v>
      </c>
      <c r="R845" t="str">
        <f>IFERROR(VLOOKUP(record[[#This Row],[PCUSTID]],廠商[],2,FALSE),"")</f>
        <v/>
      </c>
      <c r="S845" t="str">
        <f>VLOOKUP(record[[#This Row],[employeeID]],員工[],2,FALSE)</f>
        <v>許文姍</v>
      </c>
    </row>
    <row r="846" spans="6:19" hidden="1" x14ac:dyDescent="0.25">
      <c r="F846" t="s">
        <v>1906</v>
      </c>
      <c r="G846" t="s">
        <v>420</v>
      </c>
      <c r="H846" t="str">
        <f>VLOOKUP(record[[#This Row],[ProcessSN]],表格2_7[],2,FALSE)</f>
        <v>30-4118-018-5XX</v>
      </c>
      <c r="I846" t="str">
        <f>VLOOKUP(record[[#This Row],[ProcessSN]],表格2_7[],3,FALSE)</f>
        <v>#07STOCK</v>
      </c>
      <c r="J846" t="s">
        <v>592</v>
      </c>
      <c r="K846" s="195">
        <v>46142.610335648147</v>
      </c>
      <c r="L846">
        <v>596</v>
      </c>
      <c r="M846">
        <v>0</v>
      </c>
      <c r="N846" s="98" t="str">
        <f>IF(record[[#This Row],[Memo]]="Browser:chrome os:android","平板報工",IF(record[[#This Row],[Memo]]=0,"委外",record[[#This Row],[Memo]]))</f>
        <v/>
      </c>
      <c r="O846" t="s">
        <v>58</v>
      </c>
      <c r="P846" t="s">
        <v>186</v>
      </c>
      <c r="Q846" t="s">
        <v>58</v>
      </c>
      <c r="R846" t="str">
        <f>IFERROR(VLOOKUP(record[[#This Row],[PCUSTID]],廠商[],2,FALSE),"")</f>
        <v/>
      </c>
      <c r="S846" t="str">
        <f>VLOOKUP(record[[#This Row],[employeeID]],員工[],2,FALSE)</f>
        <v>許文姍</v>
      </c>
    </row>
    <row r="847" spans="6:19" hidden="1" x14ac:dyDescent="0.25">
      <c r="F847" t="s">
        <v>1952</v>
      </c>
      <c r="G847" t="s">
        <v>397</v>
      </c>
      <c r="H847" t="str">
        <f>VLOOKUP(record[[#This Row],[ProcessSN]],表格2_7[],2,FALSE)</f>
        <v>30-4118-018-550</v>
      </c>
      <c r="I847" t="str">
        <f>VLOOKUP(record[[#This Row],[ProcessSN]],表格2_7[],3,FALSE)</f>
        <v>#08</v>
      </c>
      <c r="J847" t="s">
        <v>597</v>
      </c>
      <c r="K847" s="195">
        <v>46142.600300925929</v>
      </c>
      <c r="L847">
        <v>596</v>
      </c>
      <c r="M847">
        <v>0</v>
      </c>
      <c r="N847" s="98" t="str">
        <f>IF(record[[#This Row],[Memo]]="Browser:chrome os:android","平板報工",IF(record[[#This Row],[Memo]]=0,"委外",record[[#This Row],[Memo]]))</f>
        <v>委外</v>
      </c>
      <c r="P847" t="s">
        <v>186</v>
      </c>
      <c r="Q847" t="s">
        <v>287</v>
      </c>
      <c r="R847" t="str">
        <f>IFERROR(VLOOKUP(record[[#This Row],[PCUSTID]],廠商[],2,FALSE),"")</f>
        <v>泉盛</v>
      </c>
      <c r="S847" t="str">
        <f>VLOOKUP(record[[#This Row],[employeeID]],員工[],2,FALSE)</f>
        <v>許文姍</v>
      </c>
    </row>
    <row r="848" spans="6:19" hidden="1" x14ac:dyDescent="0.25">
      <c r="F848" t="s">
        <v>1951</v>
      </c>
      <c r="G848" t="s">
        <v>422</v>
      </c>
      <c r="H848" t="str">
        <f>VLOOKUP(record[[#This Row],[ProcessSN]],表格2_7[],2,FALSE)</f>
        <v>30-4118-018-600</v>
      </c>
      <c r="I848" t="str">
        <f>VLOOKUP(record[[#This Row],[ProcessSN]],表格2_7[],3,FALSE)</f>
        <v>#08</v>
      </c>
      <c r="J848" t="s">
        <v>597</v>
      </c>
      <c r="K848" s="195">
        <v>46142.600162037037</v>
      </c>
      <c r="L848">
        <v>216</v>
      </c>
      <c r="M848">
        <v>0</v>
      </c>
      <c r="N848" s="98" t="str">
        <f>IF(record[[#This Row],[Memo]]="Browser:chrome os:android","平板報工",IF(record[[#This Row],[Memo]]=0,"委外",record[[#This Row],[Memo]]))</f>
        <v>委外</v>
      </c>
      <c r="P848" t="s">
        <v>186</v>
      </c>
      <c r="Q848" t="s">
        <v>287</v>
      </c>
      <c r="R848" t="str">
        <f>IFERROR(VLOOKUP(record[[#This Row],[PCUSTID]],廠商[],2,FALSE),"")</f>
        <v>泉盛</v>
      </c>
      <c r="S848" t="str">
        <f>VLOOKUP(record[[#This Row],[employeeID]],員工[],2,FALSE)</f>
        <v>許文姍</v>
      </c>
    </row>
    <row r="849" spans="6:19" hidden="1" x14ac:dyDescent="0.25">
      <c r="F849" t="s">
        <v>1952</v>
      </c>
      <c r="G849" t="s">
        <v>396</v>
      </c>
      <c r="H849" t="str">
        <f>VLOOKUP(record[[#This Row],[ProcessSN]],表格2_7[],2,FALSE)</f>
        <v>30-4118-018-550</v>
      </c>
      <c r="I849" t="str">
        <f>VLOOKUP(record[[#This Row],[ProcessSN]],表格2_7[],3,FALSE)</f>
        <v>#08PICK</v>
      </c>
      <c r="J849" t="s">
        <v>582</v>
      </c>
      <c r="K849" s="195">
        <v>46142.599664351852</v>
      </c>
      <c r="L849">
        <v>596</v>
      </c>
      <c r="M849">
        <v>0</v>
      </c>
      <c r="N849" s="98" t="str">
        <f>IF(record[[#This Row],[Memo]]="Browser:chrome os:android","平板報工",IF(record[[#This Row],[Memo]]=0,"委外",record[[#This Row],[Memo]]))</f>
        <v/>
      </c>
      <c r="O849" t="s">
        <v>58</v>
      </c>
      <c r="P849" t="s">
        <v>186</v>
      </c>
      <c r="Q849" t="s">
        <v>58</v>
      </c>
      <c r="R849" t="str">
        <f>IFERROR(VLOOKUP(record[[#This Row],[PCUSTID]],廠商[],2,FALSE),"")</f>
        <v/>
      </c>
      <c r="S849" t="str">
        <f>VLOOKUP(record[[#This Row],[employeeID]],員工[],2,FALSE)</f>
        <v>許文姍</v>
      </c>
    </row>
    <row r="850" spans="6:19" hidden="1" x14ac:dyDescent="0.25">
      <c r="F850" t="s">
        <v>1951</v>
      </c>
      <c r="G850" t="s">
        <v>421</v>
      </c>
      <c r="H850" t="str">
        <f>VLOOKUP(record[[#This Row],[ProcessSN]],表格2_7[],2,FALSE)</f>
        <v>30-4118-018-600</v>
      </c>
      <c r="I850" t="str">
        <f>VLOOKUP(record[[#This Row],[ProcessSN]],表格2_7[],3,FALSE)</f>
        <v>#08PICK</v>
      </c>
      <c r="J850" t="s">
        <v>582</v>
      </c>
      <c r="K850" s="195">
        <v>46142.588761574072</v>
      </c>
      <c r="L850">
        <v>216</v>
      </c>
      <c r="M850">
        <v>0</v>
      </c>
      <c r="N850" s="98" t="str">
        <f>IF(record[[#This Row],[Memo]]="Browser:chrome os:android","平板報工",IF(record[[#This Row],[Memo]]=0,"委外",record[[#This Row],[Memo]]))</f>
        <v/>
      </c>
      <c r="O850" t="s">
        <v>58</v>
      </c>
      <c r="P850" t="s">
        <v>186</v>
      </c>
      <c r="Q850" t="s">
        <v>58</v>
      </c>
      <c r="R850" t="str">
        <f>IFERROR(VLOOKUP(record[[#This Row],[PCUSTID]],廠商[],2,FALSE),"")</f>
        <v/>
      </c>
      <c r="S850" t="str">
        <f>VLOOKUP(record[[#This Row],[employeeID]],員工[],2,FALSE)</f>
        <v>許文姍</v>
      </c>
    </row>
    <row r="851" spans="6:19" hidden="1" x14ac:dyDescent="0.25">
      <c r="F851" t="s">
        <v>1906</v>
      </c>
      <c r="G851" t="s">
        <v>419</v>
      </c>
      <c r="H851" t="str">
        <f>VLOOKUP(record[[#This Row],[ProcessSN]],表格2_7[],2,FALSE)</f>
        <v>30-4118-018-5XX</v>
      </c>
      <c r="I851" t="str">
        <f>VLOOKUP(record[[#This Row],[ProcessSN]],表格2_7[],3,FALSE)</f>
        <v>#07QC</v>
      </c>
      <c r="J851" t="s">
        <v>589</v>
      </c>
      <c r="K851" s="195">
        <v>46142.585300925923</v>
      </c>
      <c r="L851">
        <v>0</v>
      </c>
      <c r="M851">
        <v>14</v>
      </c>
      <c r="N851" s="98" t="str">
        <f>IF(record[[#This Row],[Memo]]="Browser:chrome os:android","平板報工",IF(record[[#This Row],[Memo]]=0,"委外",record[[#This Row],[Memo]]))</f>
        <v/>
      </c>
      <c r="O851" t="s">
        <v>58</v>
      </c>
      <c r="P851" t="s">
        <v>141</v>
      </c>
      <c r="Q851" t="s">
        <v>58</v>
      </c>
      <c r="R851" t="str">
        <f>IFERROR(VLOOKUP(record[[#This Row],[PCUSTID]],廠商[],2,FALSE),"")</f>
        <v/>
      </c>
      <c r="S851" t="str">
        <f>VLOOKUP(record[[#This Row],[employeeID]],員工[],2,FALSE)</f>
        <v>蔣梅</v>
      </c>
    </row>
    <row r="852" spans="6:19" hidden="1" x14ac:dyDescent="0.25">
      <c r="F852" t="s">
        <v>1906</v>
      </c>
      <c r="G852" t="s">
        <v>419</v>
      </c>
      <c r="H852" t="str">
        <f>VLOOKUP(record[[#This Row],[ProcessSN]],表格2_7[],2,FALSE)</f>
        <v>30-4118-018-5XX</v>
      </c>
      <c r="I852" t="str">
        <f>VLOOKUP(record[[#This Row],[ProcessSN]],表格2_7[],3,FALSE)</f>
        <v>#07QC</v>
      </c>
      <c r="J852" t="s">
        <v>589</v>
      </c>
      <c r="K852" s="195">
        <v>46142.585127314815</v>
      </c>
      <c r="L852">
        <v>596</v>
      </c>
      <c r="M852">
        <v>0</v>
      </c>
      <c r="N852" s="98" t="str">
        <f>IF(record[[#This Row],[Memo]]="Browser:chrome os:android","平板報工",IF(record[[#This Row],[Memo]]=0,"委外",record[[#This Row],[Memo]]))</f>
        <v/>
      </c>
      <c r="O852" t="s">
        <v>58</v>
      </c>
      <c r="P852" t="s">
        <v>141</v>
      </c>
      <c r="Q852" t="s">
        <v>58</v>
      </c>
      <c r="R852" t="str">
        <f>IFERROR(VLOOKUP(record[[#This Row],[PCUSTID]],廠商[],2,FALSE),"")</f>
        <v/>
      </c>
      <c r="S852" t="str">
        <f>VLOOKUP(record[[#This Row],[employeeID]],員工[],2,FALSE)</f>
        <v>蔣梅</v>
      </c>
    </row>
    <row r="853" spans="6:19" hidden="1" x14ac:dyDescent="0.25">
      <c r="F853" t="s">
        <v>1859</v>
      </c>
      <c r="G853" t="s">
        <v>452</v>
      </c>
      <c r="H853" t="str">
        <f>VLOOKUP(record[[#This Row],[ProcessSN]],表格2_7[],2,FALSE)</f>
        <v>30-4118-018-6XX</v>
      </c>
      <c r="I853" t="str">
        <f>VLOOKUP(record[[#This Row],[ProcessSN]],表格2_7[],3,FALSE)</f>
        <v>#07QC</v>
      </c>
      <c r="J853" t="s">
        <v>589</v>
      </c>
      <c r="K853" s="195">
        <v>46142.573472222219</v>
      </c>
      <c r="L853">
        <v>59</v>
      </c>
      <c r="M853">
        <v>0</v>
      </c>
      <c r="N853" s="98" t="str">
        <f>IF(record[[#This Row],[Memo]]="Browser:chrome os:android","平板報工",IF(record[[#This Row],[Memo]]=0,"委外",record[[#This Row],[Memo]]))</f>
        <v/>
      </c>
      <c r="O853" t="s">
        <v>58</v>
      </c>
      <c r="P853" t="s">
        <v>99</v>
      </c>
      <c r="Q853" t="s">
        <v>58</v>
      </c>
      <c r="R853" t="str">
        <f>IFERROR(VLOOKUP(record[[#This Row],[PCUSTID]],廠商[],2,FALSE),"")</f>
        <v/>
      </c>
      <c r="S853" t="str">
        <f>VLOOKUP(record[[#This Row],[employeeID]],員工[],2,FALSE)</f>
        <v>阮氏河</v>
      </c>
    </row>
    <row r="854" spans="6:19" hidden="1" x14ac:dyDescent="0.25">
      <c r="F854" t="s">
        <v>1859</v>
      </c>
      <c r="G854" t="s">
        <v>452</v>
      </c>
      <c r="H854" t="str">
        <f>VLOOKUP(record[[#This Row],[ProcessSN]],表格2_7[],2,FALSE)</f>
        <v>30-4118-018-6XX</v>
      </c>
      <c r="I854" t="str">
        <f>VLOOKUP(record[[#This Row],[ProcessSN]],表格2_7[],3,FALSE)</f>
        <v>#07QC</v>
      </c>
      <c r="J854" t="s">
        <v>589</v>
      </c>
      <c r="K854" s="195">
        <v>46142.572928240741</v>
      </c>
      <c r="L854">
        <v>0</v>
      </c>
      <c r="M854">
        <v>-59</v>
      </c>
      <c r="N854" s="98" t="str">
        <f>IF(record[[#This Row],[Memo]]="Browser:chrome os:android","平板報工",IF(record[[#This Row],[Memo]]=0,"委外",record[[#This Row],[Memo]]))</f>
        <v>覆回</v>
      </c>
      <c r="O854" t="s">
        <v>682</v>
      </c>
      <c r="P854" t="s">
        <v>886</v>
      </c>
      <c r="Q854" t="s">
        <v>58</v>
      </c>
      <c r="R854" t="str">
        <f>IFERROR(VLOOKUP(record[[#This Row],[PCUSTID]],廠商[],2,FALSE),"")</f>
        <v/>
      </c>
      <c r="S854" t="str">
        <f>VLOOKUP(record[[#This Row],[employeeID]],員工[],2,FALSE)</f>
        <v>謝蓁薰</v>
      </c>
    </row>
    <row r="855" spans="6:19" hidden="1" x14ac:dyDescent="0.25">
      <c r="F855" t="s">
        <v>1859</v>
      </c>
      <c r="G855" t="s">
        <v>452</v>
      </c>
      <c r="H855" t="str">
        <f>VLOOKUP(record[[#This Row],[ProcessSN]],表格2_7[],2,FALSE)</f>
        <v>30-4118-018-6XX</v>
      </c>
      <c r="I855" t="str">
        <f>VLOOKUP(record[[#This Row],[ProcessSN]],表格2_7[],3,FALSE)</f>
        <v>#07QC</v>
      </c>
      <c r="J855" t="s">
        <v>589</v>
      </c>
      <c r="K855" s="195">
        <v>46142.570393518516</v>
      </c>
      <c r="L855">
        <v>157</v>
      </c>
      <c r="M855">
        <v>0</v>
      </c>
      <c r="N855" s="98" t="str">
        <f>IF(record[[#This Row],[Memo]]="Browser:chrome os:android","平板報工",IF(record[[#This Row],[Memo]]=0,"委外",record[[#This Row],[Memo]]))</f>
        <v>平板報工</v>
      </c>
      <c r="O855" t="s">
        <v>643</v>
      </c>
      <c r="P855" t="s">
        <v>99</v>
      </c>
      <c r="Q855" t="s">
        <v>644</v>
      </c>
      <c r="R855" t="str">
        <f>IFERROR(VLOOKUP(record[[#This Row],[PCUSTID]],廠商[],2,FALSE),"")</f>
        <v/>
      </c>
      <c r="S855" t="str">
        <f>VLOOKUP(record[[#This Row],[employeeID]],員工[],2,FALSE)</f>
        <v>阮氏河</v>
      </c>
    </row>
    <row r="856" spans="6:19" hidden="1" x14ac:dyDescent="0.25">
      <c r="F856" t="s">
        <v>1859</v>
      </c>
      <c r="G856" t="s">
        <v>452</v>
      </c>
      <c r="H856" t="str">
        <f>VLOOKUP(record[[#This Row],[ProcessSN]],表格2_7[],2,FALSE)</f>
        <v>30-4118-018-6XX</v>
      </c>
      <c r="I856" t="str">
        <f>VLOOKUP(record[[#This Row],[ProcessSN]],表格2_7[],3,FALSE)</f>
        <v>#07QC</v>
      </c>
      <c r="J856" t="s">
        <v>589</v>
      </c>
      <c r="K856" s="195">
        <v>46142.570081018515</v>
      </c>
      <c r="L856">
        <v>0</v>
      </c>
      <c r="M856">
        <v>3</v>
      </c>
      <c r="N856" s="98" t="str">
        <f>IF(record[[#This Row],[Memo]]="Browser:chrome os:android","平板報工",IF(record[[#This Row],[Memo]]=0,"委外",record[[#This Row],[Memo]]))</f>
        <v>平板報工</v>
      </c>
      <c r="O856" t="s">
        <v>643</v>
      </c>
      <c r="P856" t="s">
        <v>99</v>
      </c>
      <c r="Q856" t="s">
        <v>644</v>
      </c>
      <c r="R856" t="str">
        <f>IFERROR(VLOOKUP(record[[#This Row],[PCUSTID]],廠商[],2,FALSE),"")</f>
        <v/>
      </c>
      <c r="S856" t="str">
        <f>VLOOKUP(record[[#This Row],[employeeID]],員工[],2,FALSE)</f>
        <v>阮氏河</v>
      </c>
    </row>
    <row r="857" spans="6:19" hidden="1" x14ac:dyDescent="0.25">
      <c r="F857" t="s">
        <v>1861</v>
      </c>
      <c r="G857" t="s">
        <v>435</v>
      </c>
      <c r="H857" t="str">
        <f>VLOOKUP(record[[#This Row],[ProcessSN]],表格2_7[],2,FALSE)</f>
        <v>30-4118-018-620</v>
      </c>
      <c r="I857" t="str">
        <f>VLOOKUP(record[[#This Row],[ProcessSN]],表格2_7[],3,FALSE)</f>
        <v>#100STOCK</v>
      </c>
      <c r="J857" t="s">
        <v>592</v>
      </c>
      <c r="K857" s="195">
        <v>46142.546157407407</v>
      </c>
      <c r="L857">
        <v>78</v>
      </c>
      <c r="M857">
        <v>0</v>
      </c>
      <c r="N857" s="98" t="str">
        <f>IF(record[[#This Row],[Memo]]="Browser:chrome os:android","平板報工",IF(record[[#This Row],[Memo]]=0,"委外",record[[#This Row],[Memo]]))</f>
        <v/>
      </c>
      <c r="O857" t="s">
        <v>58</v>
      </c>
      <c r="P857" t="s">
        <v>886</v>
      </c>
      <c r="Q857" t="s">
        <v>58</v>
      </c>
      <c r="R857" t="str">
        <f>IFERROR(VLOOKUP(record[[#This Row],[PCUSTID]],廠商[],2,FALSE),"")</f>
        <v/>
      </c>
      <c r="S857" t="str">
        <f>VLOOKUP(record[[#This Row],[employeeID]],員工[],2,FALSE)</f>
        <v>謝蓁薰</v>
      </c>
    </row>
    <row r="858" spans="6:19" hidden="1" x14ac:dyDescent="0.25">
      <c r="F858" t="s">
        <v>1862</v>
      </c>
      <c r="G858" t="s">
        <v>410</v>
      </c>
      <c r="H858" t="str">
        <f>VLOOKUP(record[[#This Row],[ProcessSN]],表格2_7[],2,FALSE)</f>
        <v>30-4118-018-570</v>
      </c>
      <c r="I858" t="str">
        <f>VLOOKUP(record[[#This Row],[ProcessSN]],表格2_7[],3,FALSE)</f>
        <v>#100STOCK</v>
      </c>
      <c r="J858" t="s">
        <v>592</v>
      </c>
      <c r="K858" s="195">
        <v>46142.500115740739</v>
      </c>
      <c r="L858">
        <v>25</v>
      </c>
      <c r="M858">
        <v>0</v>
      </c>
      <c r="N858" s="98" t="str">
        <f>IF(record[[#This Row],[Memo]]="Browser:chrome os:android","平板報工",IF(record[[#This Row],[Memo]]=0,"委外",record[[#This Row],[Memo]]))</f>
        <v/>
      </c>
      <c r="O858" t="s">
        <v>58</v>
      </c>
      <c r="P858" t="s">
        <v>886</v>
      </c>
      <c r="Q858" t="s">
        <v>58</v>
      </c>
      <c r="R858" t="str">
        <f>IFERROR(VLOOKUP(record[[#This Row],[PCUSTID]],廠商[],2,FALSE),"")</f>
        <v/>
      </c>
      <c r="S858" t="str">
        <f>VLOOKUP(record[[#This Row],[employeeID]],員工[],2,FALSE)</f>
        <v>謝蓁薰</v>
      </c>
    </row>
    <row r="859" spans="6:19" hidden="1" x14ac:dyDescent="0.25">
      <c r="F859" t="s">
        <v>1840</v>
      </c>
      <c r="G859" t="s">
        <v>361</v>
      </c>
      <c r="H859" t="str">
        <f>VLOOKUP(record[[#This Row],[ProcessSN]],表格2_7[],2,FALSE)</f>
        <v>30-4118-018-450</v>
      </c>
      <c r="I859" t="str">
        <f>VLOOKUP(record[[#This Row],[ProcessSN]],表格2_7[],3,FALSE)</f>
        <v>#100STOCK</v>
      </c>
      <c r="J859" t="s">
        <v>592</v>
      </c>
      <c r="K859" s="195">
        <v>46142.498576388891</v>
      </c>
      <c r="L859">
        <v>242</v>
      </c>
      <c r="M859">
        <v>0</v>
      </c>
      <c r="N859" s="98" t="str">
        <f>IF(record[[#This Row],[Memo]]="Browser:chrome os:android","平板報工",IF(record[[#This Row],[Memo]]=0,"委外",record[[#This Row],[Memo]]))</f>
        <v/>
      </c>
      <c r="O859" t="s">
        <v>58</v>
      </c>
      <c r="P859" t="s">
        <v>886</v>
      </c>
      <c r="Q859" t="s">
        <v>58</v>
      </c>
      <c r="R859" t="str">
        <f>IFERROR(VLOOKUP(record[[#This Row],[PCUSTID]],廠商[],2,FALSE),"")</f>
        <v/>
      </c>
      <c r="S859" t="str">
        <f>VLOOKUP(record[[#This Row],[employeeID]],員工[],2,FALSE)</f>
        <v>謝蓁薰</v>
      </c>
    </row>
    <row r="860" spans="6:19" hidden="1" x14ac:dyDescent="0.25">
      <c r="F860" t="s">
        <v>1774</v>
      </c>
      <c r="G860" t="s">
        <v>361</v>
      </c>
      <c r="H860" t="str">
        <f>VLOOKUP(record[[#This Row],[ProcessSN]],表格2_7[],2,FALSE)</f>
        <v>30-4118-018-450</v>
      </c>
      <c r="I860" t="str">
        <f>VLOOKUP(record[[#This Row],[ProcessSN]],表格2_7[],3,FALSE)</f>
        <v>#100STOCK</v>
      </c>
      <c r="J860" t="s">
        <v>592</v>
      </c>
      <c r="K860" s="195">
        <v>46142.498240740744</v>
      </c>
      <c r="L860">
        <v>3</v>
      </c>
      <c r="M860">
        <v>0</v>
      </c>
      <c r="N860" s="98" t="str">
        <f>IF(record[[#This Row],[Memo]]="Browser:chrome os:android","平板報工",IF(record[[#This Row],[Memo]]=0,"委外",record[[#This Row],[Memo]]))</f>
        <v/>
      </c>
      <c r="O860" t="s">
        <v>58</v>
      </c>
      <c r="P860" t="s">
        <v>886</v>
      </c>
      <c r="Q860" t="s">
        <v>58</v>
      </c>
      <c r="R860" t="str">
        <f>IFERROR(VLOOKUP(record[[#This Row],[PCUSTID]],廠商[],2,FALSE),"")</f>
        <v/>
      </c>
      <c r="S860" t="str">
        <f>VLOOKUP(record[[#This Row],[employeeID]],員工[],2,FALSE)</f>
        <v>謝蓁薰</v>
      </c>
    </row>
    <row r="861" spans="6:19" hidden="1" x14ac:dyDescent="0.25">
      <c r="F861" t="s">
        <v>1903</v>
      </c>
      <c r="G861" t="s">
        <v>386</v>
      </c>
      <c r="H861" t="str">
        <f>VLOOKUP(record[[#This Row],[ProcessSN]],表格2_7[],2,FALSE)</f>
        <v>30-4118-018-500</v>
      </c>
      <c r="I861" t="str">
        <f>VLOOKUP(record[[#This Row],[ProcessSN]],表格2_7[],3,FALSE)</f>
        <v>#100STOCK</v>
      </c>
      <c r="J861" t="s">
        <v>592</v>
      </c>
      <c r="K861" s="195">
        <v>46142.489490740743</v>
      </c>
      <c r="L861">
        <v>71</v>
      </c>
      <c r="M861">
        <v>0</v>
      </c>
      <c r="N861" s="98" t="str">
        <f>IF(record[[#This Row],[Memo]]="Browser:chrome os:android","平板報工",IF(record[[#This Row],[Memo]]=0,"委外",record[[#This Row],[Memo]]))</f>
        <v/>
      </c>
      <c r="O861" t="s">
        <v>58</v>
      </c>
      <c r="P861" t="s">
        <v>886</v>
      </c>
      <c r="Q861" t="s">
        <v>58</v>
      </c>
      <c r="R861" t="str">
        <f>IFERROR(VLOOKUP(record[[#This Row],[PCUSTID]],廠商[],2,FALSE),"")</f>
        <v/>
      </c>
      <c r="S861" t="str">
        <f>VLOOKUP(record[[#This Row],[employeeID]],員工[],2,FALSE)</f>
        <v>謝蓁薰</v>
      </c>
    </row>
    <row r="862" spans="6:19" hidden="1" x14ac:dyDescent="0.25">
      <c r="F862" t="s">
        <v>1919</v>
      </c>
      <c r="G862" t="s">
        <v>443</v>
      </c>
      <c r="H862" t="str">
        <f>VLOOKUP(record[[#This Row],[ProcessSN]],表格2_7[],2,FALSE)</f>
        <v>30-4118-018-650</v>
      </c>
      <c r="I862" t="str">
        <f>VLOOKUP(record[[#This Row],[ProcessSN]],表格2_7[],3,FALSE)</f>
        <v>#100STOCK</v>
      </c>
      <c r="J862" t="s">
        <v>592</v>
      </c>
      <c r="K862" s="195">
        <v>46142.485393518517</v>
      </c>
      <c r="L862">
        <v>40</v>
      </c>
      <c r="M862">
        <v>0</v>
      </c>
      <c r="N862" s="98" t="str">
        <f>IF(record[[#This Row],[Memo]]="Browser:chrome os:android","平板報工",IF(record[[#This Row],[Memo]]=0,"委外",record[[#This Row],[Memo]]))</f>
        <v/>
      </c>
      <c r="O862" t="s">
        <v>58</v>
      </c>
      <c r="P862" t="s">
        <v>886</v>
      </c>
      <c r="Q862" t="s">
        <v>58</v>
      </c>
      <c r="R862" t="str">
        <f>IFERROR(VLOOKUP(record[[#This Row],[PCUSTID]],廠商[],2,FALSE),"")</f>
        <v/>
      </c>
      <c r="S862" t="str">
        <f>VLOOKUP(record[[#This Row],[employeeID]],員工[],2,FALSE)</f>
        <v>謝蓁薰</v>
      </c>
    </row>
    <row r="863" spans="6:19" hidden="1" x14ac:dyDescent="0.25">
      <c r="F863" t="s">
        <v>1884</v>
      </c>
      <c r="G863" t="s">
        <v>353</v>
      </c>
      <c r="H863" t="str">
        <f>VLOOKUP(record[[#This Row],[ProcessSN]],表格2_7[],2,FALSE)</f>
        <v>30-4118-018-420</v>
      </c>
      <c r="I863" t="str">
        <f>VLOOKUP(record[[#This Row],[ProcessSN]],表格2_7[],3,FALSE)</f>
        <v>#100STOCK</v>
      </c>
      <c r="J863" t="s">
        <v>592</v>
      </c>
      <c r="K863" s="195">
        <v>46142.485219907408</v>
      </c>
      <c r="L863">
        <v>25</v>
      </c>
      <c r="M863">
        <v>0</v>
      </c>
      <c r="N863" s="98" t="str">
        <f>IF(record[[#This Row],[Memo]]="Browser:chrome os:android","平板報工",IF(record[[#This Row],[Memo]]=0,"委外",record[[#This Row],[Memo]]))</f>
        <v/>
      </c>
      <c r="O863" t="s">
        <v>58</v>
      </c>
      <c r="P863" t="s">
        <v>886</v>
      </c>
      <c r="Q863" t="s">
        <v>58</v>
      </c>
      <c r="R863" t="str">
        <f>IFERROR(VLOOKUP(record[[#This Row],[PCUSTID]],廠商[],2,FALSE),"")</f>
        <v/>
      </c>
      <c r="S863" t="str">
        <f>VLOOKUP(record[[#This Row],[employeeID]],員工[],2,FALSE)</f>
        <v>謝蓁薰</v>
      </c>
    </row>
    <row r="864" spans="6:19" hidden="1" x14ac:dyDescent="0.25">
      <c r="F864" t="s">
        <v>1915</v>
      </c>
      <c r="G864" t="s">
        <v>402</v>
      </c>
      <c r="H864" t="str">
        <f>VLOOKUP(record[[#This Row],[ProcessSN]],表格2_7[],2,FALSE)</f>
        <v>30-4118-018-550</v>
      </c>
      <c r="I864" t="str">
        <f>VLOOKUP(record[[#This Row],[ProcessSN]],表格2_7[],3,FALSE)</f>
        <v>#100STOCK</v>
      </c>
      <c r="J864" t="s">
        <v>592</v>
      </c>
      <c r="K864" s="195">
        <v>46142.485046296293</v>
      </c>
      <c r="L864">
        <v>93</v>
      </c>
      <c r="M864">
        <v>0</v>
      </c>
      <c r="N864" s="98" t="str">
        <f>IF(record[[#This Row],[Memo]]="Browser:chrome os:android","平板報工",IF(record[[#This Row],[Memo]]=0,"委外",record[[#This Row],[Memo]]))</f>
        <v/>
      </c>
      <c r="O864" t="s">
        <v>58</v>
      </c>
      <c r="P864" t="s">
        <v>886</v>
      </c>
      <c r="Q864" t="s">
        <v>58</v>
      </c>
      <c r="R864" t="str">
        <f>IFERROR(VLOOKUP(record[[#This Row],[PCUSTID]],廠商[],2,FALSE),"")</f>
        <v/>
      </c>
      <c r="S864" t="str">
        <f>VLOOKUP(record[[#This Row],[employeeID]],員工[],2,FALSE)</f>
        <v>謝蓁薰</v>
      </c>
    </row>
    <row r="865" spans="6:19" hidden="1" x14ac:dyDescent="0.25">
      <c r="F865" t="s">
        <v>1888</v>
      </c>
      <c r="G865" t="s">
        <v>361</v>
      </c>
      <c r="H865" t="str">
        <f>VLOOKUP(record[[#This Row],[ProcessSN]],表格2_7[],2,FALSE)</f>
        <v>30-4118-018-450</v>
      </c>
      <c r="I865" t="str">
        <f>VLOOKUP(record[[#This Row],[ProcessSN]],表格2_7[],3,FALSE)</f>
        <v>#100STOCK</v>
      </c>
      <c r="J865" t="s">
        <v>592</v>
      </c>
      <c r="K865" s="195">
        <v>46142.484791666669</v>
      </c>
      <c r="L865">
        <v>83</v>
      </c>
      <c r="M865">
        <v>0</v>
      </c>
      <c r="N865" s="98" t="str">
        <f>IF(record[[#This Row],[Memo]]="Browser:chrome os:android","平板報工",IF(record[[#This Row],[Memo]]=0,"委外",record[[#This Row],[Memo]]))</f>
        <v/>
      </c>
      <c r="O865" t="s">
        <v>58</v>
      </c>
      <c r="P865" t="s">
        <v>886</v>
      </c>
      <c r="Q865" t="s">
        <v>58</v>
      </c>
      <c r="R865" t="str">
        <f>IFERROR(VLOOKUP(record[[#This Row],[PCUSTID]],廠商[],2,FALSE),"")</f>
        <v/>
      </c>
      <c r="S865" t="str">
        <f>VLOOKUP(record[[#This Row],[employeeID]],員工[],2,FALSE)</f>
        <v>謝蓁薰</v>
      </c>
    </row>
    <row r="866" spans="6:19" hidden="1" x14ac:dyDescent="0.25">
      <c r="F866" t="s">
        <v>1859</v>
      </c>
      <c r="G866" t="s">
        <v>451</v>
      </c>
      <c r="H866" t="str">
        <f>VLOOKUP(record[[#This Row],[ProcessSN]],表格2_7[],2,FALSE)</f>
        <v>30-4118-018-6XX</v>
      </c>
      <c r="I866" t="str">
        <f>VLOOKUP(record[[#This Row],[ProcessSN]],表格2_7[],3,FALSE)</f>
        <v>#07</v>
      </c>
      <c r="J866" t="s">
        <v>588</v>
      </c>
      <c r="K866" s="195">
        <v>46142.466180555559</v>
      </c>
      <c r="L866">
        <v>27</v>
      </c>
      <c r="M866">
        <v>0</v>
      </c>
      <c r="N866" s="98" t="str">
        <f>IF(record[[#This Row],[Memo]]="Browser:chrome os:android","平板報工",IF(record[[#This Row],[Memo]]=0,"委外",record[[#This Row],[Memo]]))</f>
        <v>平板報工</v>
      </c>
      <c r="O866" t="s">
        <v>643</v>
      </c>
      <c r="P866" t="s">
        <v>145</v>
      </c>
      <c r="Q866" t="s">
        <v>644</v>
      </c>
      <c r="R866" t="str">
        <f>IFERROR(VLOOKUP(record[[#This Row],[PCUSTID]],廠商[],2,FALSE),"")</f>
        <v/>
      </c>
      <c r="S866" t="str">
        <f>VLOOKUP(record[[#This Row],[employeeID]],員工[],2,FALSE)</f>
        <v>阮秋霞</v>
      </c>
    </row>
    <row r="867" spans="6:19" hidden="1" x14ac:dyDescent="0.25">
      <c r="F867" t="s">
        <v>1859</v>
      </c>
      <c r="G867" t="s">
        <v>450</v>
      </c>
      <c r="H867" t="str">
        <f>VLOOKUP(record[[#This Row],[ProcessSN]],表格2_7[],2,FALSE)</f>
        <v>30-4118-018-6XX</v>
      </c>
      <c r="I867" t="str">
        <f>VLOOKUP(record[[#This Row],[ProcessSN]],表格2_7[],3,FALSE)</f>
        <v>#06</v>
      </c>
      <c r="J867" t="s">
        <v>593</v>
      </c>
      <c r="K867" s="195">
        <v>46142.46166666667</v>
      </c>
      <c r="L867">
        <v>27</v>
      </c>
      <c r="M867">
        <v>0</v>
      </c>
      <c r="N867" s="98" t="str">
        <f>IF(record[[#This Row],[Memo]]="Browser:chrome os:android","平板報工",IF(record[[#This Row],[Memo]]=0,"委外",record[[#This Row],[Memo]]))</f>
        <v>平板報工</v>
      </c>
      <c r="O867" t="s">
        <v>643</v>
      </c>
      <c r="P867" t="s">
        <v>1413</v>
      </c>
      <c r="Q867" t="s">
        <v>644</v>
      </c>
      <c r="R867" t="str">
        <f>IFERROR(VLOOKUP(record[[#This Row],[PCUSTID]],廠商[],2,FALSE),"")</f>
        <v/>
      </c>
      <c r="S867" t="str">
        <f>VLOOKUP(record[[#This Row],[employeeID]],員工[],2,FALSE)</f>
        <v>阮氏芳英(芳)</v>
      </c>
    </row>
    <row r="868" spans="6:19" hidden="1" x14ac:dyDescent="0.25">
      <c r="F868" t="s">
        <v>1859</v>
      </c>
      <c r="G868" t="s">
        <v>449</v>
      </c>
      <c r="H868" t="str">
        <f>VLOOKUP(record[[#This Row],[ProcessSN]],表格2_7[],2,FALSE)</f>
        <v>30-4118-018-6XX</v>
      </c>
      <c r="I868" t="str">
        <f>VLOOKUP(record[[#This Row],[ProcessSN]],表格2_7[],3,FALSE)</f>
        <v>#05</v>
      </c>
      <c r="J868" t="s">
        <v>588</v>
      </c>
      <c r="K868" s="195">
        <v>46142.460520833331</v>
      </c>
      <c r="L868">
        <v>27</v>
      </c>
      <c r="M868">
        <v>0</v>
      </c>
      <c r="N868" s="98" t="str">
        <f>IF(record[[#This Row],[Memo]]="Browser:chrome os:android","平板報工",IF(record[[#This Row],[Memo]]=0,"委外",record[[#This Row],[Memo]]))</f>
        <v>平板報工</v>
      </c>
      <c r="O868" t="s">
        <v>643</v>
      </c>
      <c r="P868" t="s">
        <v>785</v>
      </c>
      <c r="Q868" t="s">
        <v>644</v>
      </c>
      <c r="R868" t="str">
        <f>IFERROR(VLOOKUP(record[[#This Row],[PCUSTID]],廠商[],2,FALSE),"")</f>
        <v/>
      </c>
      <c r="S868" t="str">
        <f>VLOOKUP(record[[#This Row],[employeeID]],員工[],2,FALSE)</f>
        <v>謝刻光</v>
      </c>
    </row>
    <row r="869" spans="6:19" hidden="1" x14ac:dyDescent="0.25">
      <c r="F869" t="s">
        <v>1857</v>
      </c>
      <c r="G869" t="s">
        <v>467</v>
      </c>
      <c r="H869" t="str">
        <f>VLOOKUP(record[[#This Row],[ProcessSN]],表格2_7[],2,FALSE)</f>
        <v>30-4118-018-XXX</v>
      </c>
      <c r="I869" t="str">
        <f>VLOOKUP(record[[#This Row],[ProcessSN]],表格2_7[],3,FALSE)</f>
        <v>#01QC</v>
      </c>
      <c r="J869" t="s">
        <v>589</v>
      </c>
      <c r="K869" s="195">
        <v>46142.428368055553</v>
      </c>
      <c r="L869">
        <v>168</v>
      </c>
      <c r="M869">
        <v>0</v>
      </c>
      <c r="N869" s="98" t="str">
        <f>IF(record[[#This Row],[Memo]]="Browser:chrome os:android","平板報工",IF(record[[#This Row],[Memo]]=0,"委外",record[[#This Row],[Memo]]))</f>
        <v>平板報工</v>
      </c>
      <c r="O869" t="s">
        <v>643</v>
      </c>
      <c r="P869" t="s">
        <v>182</v>
      </c>
      <c r="Q869" t="s">
        <v>644</v>
      </c>
      <c r="R869" t="str">
        <f>IFERROR(VLOOKUP(record[[#This Row],[PCUSTID]],廠商[],2,FALSE),"")</f>
        <v/>
      </c>
      <c r="S869" t="str">
        <f>VLOOKUP(record[[#This Row],[employeeID]],員工[],2,FALSE)</f>
        <v>梅氏和</v>
      </c>
    </row>
    <row r="870" spans="6:19" hidden="1" x14ac:dyDescent="0.25">
      <c r="F870" t="s">
        <v>1857</v>
      </c>
      <c r="G870" t="s">
        <v>468</v>
      </c>
      <c r="H870" t="str">
        <f>VLOOKUP(record[[#This Row],[ProcessSN]],表格2_7[],2,FALSE)</f>
        <v>30-4118-018-XXX</v>
      </c>
      <c r="I870" t="str">
        <f>VLOOKUP(record[[#This Row],[ProcessSN]],表格2_7[],3,FALSE)</f>
        <v>#02</v>
      </c>
      <c r="J870" t="s">
        <v>590</v>
      </c>
      <c r="K870" s="195">
        <v>46142.373055555552</v>
      </c>
      <c r="L870">
        <v>504</v>
      </c>
      <c r="M870">
        <v>0</v>
      </c>
      <c r="N870" s="98" t="str">
        <f>IF(record[[#This Row],[Memo]]="Browser:chrome os:android","平板報工",IF(record[[#This Row],[Memo]]=0,"委外",record[[#This Row],[Memo]]))</f>
        <v>委外</v>
      </c>
      <c r="P870" t="s">
        <v>186</v>
      </c>
      <c r="Q870" t="s">
        <v>216</v>
      </c>
      <c r="R870" t="str">
        <f>IFERROR(VLOOKUP(record[[#This Row],[PCUSTID]],廠商[],2,FALSE),"")</f>
        <v>俊杰</v>
      </c>
      <c r="S870" t="str">
        <f>VLOOKUP(record[[#This Row],[employeeID]],員工[],2,FALSE)</f>
        <v>許文姍</v>
      </c>
    </row>
    <row r="871" spans="6:19" hidden="1" x14ac:dyDescent="0.25">
      <c r="F871" t="s">
        <v>1857</v>
      </c>
      <c r="G871" t="s">
        <v>467</v>
      </c>
      <c r="H871" t="str">
        <f>VLOOKUP(record[[#This Row],[ProcessSN]],表格2_7[],2,FALSE)</f>
        <v>30-4118-018-XXX</v>
      </c>
      <c r="I871" t="str">
        <f>VLOOKUP(record[[#This Row],[ProcessSN]],表格2_7[],3,FALSE)</f>
        <v>#01QC</v>
      </c>
      <c r="J871" t="s">
        <v>589</v>
      </c>
      <c r="K871" s="195">
        <v>46142.348634259259</v>
      </c>
      <c r="L871">
        <v>504</v>
      </c>
      <c r="M871">
        <v>0</v>
      </c>
      <c r="N871" s="98" t="str">
        <f>IF(record[[#This Row],[Memo]]="Browser:chrome os:android","平板報工",IF(record[[#This Row],[Memo]]=0,"委外",record[[#This Row],[Memo]]))</f>
        <v>平板報工</v>
      </c>
      <c r="O871" t="s">
        <v>643</v>
      </c>
      <c r="P871" t="s">
        <v>182</v>
      </c>
      <c r="Q871" t="s">
        <v>644</v>
      </c>
      <c r="R871" t="str">
        <f>IFERROR(VLOOKUP(record[[#This Row],[PCUSTID]],廠商[],2,FALSE),"")</f>
        <v/>
      </c>
      <c r="S871" t="str">
        <f>VLOOKUP(record[[#This Row],[employeeID]],員工[],2,FALSE)</f>
        <v>梅氏和</v>
      </c>
    </row>
    <row r="872" spans="6:19" hidden="1" x14ac:dyDescent="0.25">
      <c r="F872" t="s">
        <v>1906</v>
      </c>
      <c r="G872" t="s">
        <v>418</v>
      </c>
      <c r="H872" t="str">
        <f>VLOOKUP(record[[#This Row],[ProcessSN]],表格2_7[],2,FALSE)</f>
        <v>30-4118-018-5XX</v>
      </c>
      <c r="I872" t="str">
        <f>VLOOKUP(record[[#This Row],[ProcessSN]],表格2_7[],3,FALSE)</f>
        <v>#07</v>
      </c>
      <c r="J872" t="s">
        <v>588</v>
      </c>
      <c r="K872" s="195">
        <v>46142.315671296295</v>
      </c>
      <c r="L872">
        <v>26</v>
      </c>
      <c r="M872">
        <v>0</v>
      </c>
      <c r="N872" s="98" t="str">
        <f>IF(record[[#This Row],[Memo]]="Browser:chrome os:android","平板報工",IF(record[[#This Row],[Memo]]=0,"委外",record[[#This Row],[Memo]]))</f>
        <v/>
      </c>
      <c r="O872" t="s">
        <v>58</v>
      </c>
      <c r="P872" t="s">
        <v>135</v>
      </c>
      <c r="Q872" t="s">
        <v>58</v>
      </c>
      <c r="R872" t="str">
        <f>IFERROR(VLOOKUP(record[[#This Row],[PCUSTID]],廠商[],2,FALSE),"")</f>
        <v/>
      </c>
      <c r="S872" t="str">
        <f>VLOOKUP(record[[#This Row],[employeeID]],員工[],2,FALSE)</f>
        <v>阮士文</v>
      </c>
    </row>
    <row r="873" spans="6:19" hidden="1" x14ac:dyDescent="0.25">
      <c r="F873" t="s">
        <v>1859</v>
      </c>
      <c r="G873" t="s">
        <v>451</v>
      </c>
      <c r="H873" t="str">
        <f>VLOOKUP(record[[#This Row],[ProcessSN]],表格2_7[],2,FALSE)</f>
        <v>30-4118-018-6XX</v>
      </c>
      <c r="I873" t="str">
        <f>VLOOKUP(record[[#This Row],[ProcessSN]],表格2_7[],3,FALSE)</f>
        <v>#07</v>
      </c>
      <c r="J873" t="s">
        <v>588</v>
      </c>
      <c r="K873" s="195">
        <v>46142.315474537034</v>
      </c>
      <c r="L873">
        <v>133</v>
      </c>
      <c r="M873">
        <v>1</v>
      </c>
      <c r="N873" s="98" t="str">
        <f>IF(record[[#This Row],[Memo]]="Browser:chrome os:android","平板報工",IF(record[[#This Row],[Memo]]=0,"委外",record[[#This Row],[Memo]]))</f>
        <v/>
      </c>
      <c r="O873" t="s">
        <v>58</v>
      </c>
      <c r="P873" t="s">
        <v>135</v>
      </c>
      <c r="Q873" t="s">
        <v>58</v>
      </c>
      <c r="R873" t="str">
        <f>IFERROR(VLOOKUP(record[[#This Row],[PCUSTID]],廠商[],2,FALSE),"")</f>
        <v/>
      </c>
      <c r="S873" t="str">
        <f>VLOOKUP(record[[#This Row],[employeeID]],員工[],2,FALSE)</f>
        <v>阮士文</v>
      </c>
    </row>
    <row r="874" spans="6:19" hidden="1" x14ac:dyDescent="0.25">
      <c r="F874" t="s">
        <v>1859</v>
      </c>
      <c r="G874" t="s">
        <v>450</v>
      </c>
      <c r="H874" t="str">
        <f>VLOOKUP(record[[#This Row],[ProcessSN]],表格2_7[],2,FALSE)</f>
        <v>30-4118-018-6XX</v>
      </c>
      <c r="I874" t="str">
        <f>VLOOKUP(record[[#This Row],[ProcessSN]],表格2_7[],3,FALSE)</f>
        <v>#06</v>
      </c>
      <c r="J874" t="s">
        <v>593</v>
      </c>
      <c r="K874" s="195">
        <v>46142.315347222226</v>
      </c>
      <c r="L874">
        <v>134</v>
      </c>
      <c r="M874">
        <v>0</v>
      </c>
      <c r="N874" s="98" t="str">
        <f>IF(record[[#This Row],[Memo]]="Browser:chrome os:android","平板報工",IF(record[[#This Row],[Memo]]=0,"委外",record[[#This Row],[Memo]]))</f>
        <v/>
      </c>
      <c r="O874" t="s">
        <v>58</v>
      </c>
      <c r="P874" t="s">
        <v>135</v>
      </c>
      <c r="Q874" t="s">
        <v>58</v>
      </c>
      <c r="R874" t="str">
        <f>IFERROR(VLOOKUP(record[[#This Row],[PCUSTID]],廠商[],2,FALSE),"")</f>
        <v/>
      </c>
      <c r="S874" t="str">
        <f>VLOOKUP(record[[#This Row],[employeeID]],員工[],2,FALSE)</f>
        <v>阮士文</v>
      </c>
    </row>
    <row r="875" spans="6:19" hidden="1" x14ac:dyDescent="0.25">
      <c r="F875" t="s">
        <v>1859</v>
      </c>
      <c r="G875" t="s">
        <v>449</v>
      </c>
      <c r="H875" t="str">
        <f>VLOOKUP(record[[#This Row],[ProcessSN]],表格2_7[],2,FALSE)</f>
        <v>30-4118-018-6XX</v>
      </c>
      <c r="I875" t="str">
        <f>VLOOKUP(record[[#This Row],[ProcessSN]],表格2_7[],3,FALSE)</f>
        <v>#05</v>
      </c>
      <c r="J875" t="s">
        <v>588</v>
      </c>
      <c r="K875" s="195">
        <v>46142.31517361111</v>
      </c>
      <c r="L875">
        <v>94</v>
      </c>
      <c r="M875">
        <v>0</v>
      </c>
      <c r="N875" s="98" t="str">
        <f>IF(record[[#This Row],[Memo]]="Browser:chrome os:android","平板報工",IF(record[[#This Row],[Memo]]=0,"委外",record[[#This Row],[Memo]]))</f>
        <v/>
      </c>
      <c r="O875" t="s">
        <v>58</v>
      </c>
      <c r="P875" t="s">
        <v>135</v>
      </c>
      <c r="Q875" t="s">
        <v>58</v>
      </c>
      <c r="R875" t="str">
        <f>IFERROR(VLOOKUP(record[[#This Row],[PCUSTID]],廠商[],2,FALSE),"")</f>
        <v/>
      </c>
      <c r="S875" t="str">
        <f>VLOOKUP(record[[#This Row],[employeeID]],員工[],2,FALSE)</f>
        <v>阮士文</v>
      </c>
    </row>
    <row r="876" spans="6:19" hidden="1" x14ac:dyDescent="0.25">
      <c r="F876" t="s">
        <v>1857</v>
      </c>
      <c r="G876" t="s">
        <v>465</v>
      </c>
      <c r="H876" t="str">
        <f>VLOOKUP(record[[#This Row],[ProcessSN]],表格2_7[],2,FALSE)</f>
        <v>30-4118-018-XXX</v>
      </c>
      <c r="I876" t="str">
        <f>VLOOKUP(record[[#This Row],[ProcessSN]],表格2_7[],3,FALSE)</f>
        <v>#01-1</v>
      </c>
      <c r="J876" t="s">
        <v>588</v>
      </c>
      <c r="K876" s="195">
        <v>46142.281006944446</v>
      </c>
      <c r="L876">
        <v>1038</v>
      </c>
      <c r="M876">
        <v>0</v>
      </c>
      <c r="N876" s="98" t="str">
        <f>IF(record[[#This Row],[Memo]]="Browser:chrome os:android","平板報工",IF(record[[#This Row],[Memo]]=0,"委外",record[[#This Row],[Memo]]))</f>
        <v>平板報工</v>
      </c>
      <c r="O876" t="s">
        <v>643</v>
      </c>
      <c r="P876" t="s">
        <v>806</v>
      </c>
      <c r="Q876" t="s">
        <v>644</v>
      </c>
      <c r="R876" t="str">
        <f>IFERROR(VLOOKUP(record[[#This Row],[PCUSTID]],廠商[],2,FALSE),"")</f>
        <v/>
      </c>
      <c r="S876" t="str">
        <f>VLOOKUP(record[[#This Row],[employeeID]],員工[],2,FALSE)</f>
        <v>方思緯</v>
      </c>
    </row>
    <row r="877" spans="6:19" hidden="1" x14ac:dyDescent="0.25">
      <c r="F877" t="s">
        <v>1909</v>
      </c>
      <c r="G877" t="s">
        <v>374</v>
      </c>
      <c r="H877" t="str">
        <f>VLOOKUP(record[[#This Row],[ProcessSN]],表格2_7[],2,FALSE)</f>
        <v>30-4118-018-4XX</v>
      </c>
      <c r="I877" t="str">
        <f>VLOOKUP(record[[#This Row],[ProcessSN]],表格2_7[],3,FALSE)</f>
        <v>#04</v>
      </c>
      <c r="J877" t="s">
        <v>588</v>
      </c>
      <c r="K877" s="195">
        <v>46142.277013888888</v>
      </c>
      <c r="L877">
        <v>140</v>
      </c>
      <c r="M877">
        <v>0</v>
      </c>
      <c r="N877" s="98" t="str">
        <f>IF(record[[#This Row],[Memo]]="Browser:chrome os:android","平板報工",IF(record[[#This Row],[Memo]]=0,"委外",record[[#This Row],[Memo]]))</f>
        <v>平板報工</v>
      </c>
      <c r="O877" t="s">
        <v>643</v>
      </c>
      <c r="P877" t="s">
        <v>806</v>
      </c>
      <c r="Q877" t="s">
        <v>644</v>
      </c>
      <c r="R877" t="str">
        <f>IFERROR(VLOOKUP(record[[#This Row],[PCUSTID]],廠商[],2,FALSE),"")</f>
        <v/>
      </c>
      <c r="S877" t="str">
        <f>VLOOKUP(record[[#This Row],[employeeID]],員工[],2,FALSE)</f>
        <v>方思緯</v>
      </c>
    </row>
    <row r="878" spans="6:19" hidden="1" x14ac:dyDescent="0.25">
      <c r="F878" t="s">
        <v>1859</v>
      </c>
      <c r="G878" t="s">
        <v>448</v>
      </c>
      <c r="H878" t="str">
        <f>VLOOKUP(record[[#This Row],[ProcessSN]],表格2_7[],2,FALSE)</f>
        <v>30-4118-018-6XX</v>
      </c>
      <c r="I878" t="str">
        <f>VLOOKUP(record[[#This Row],[ProcessSN]],表格2_7[],3,FALSE)</f>
        <v>#04</v>
      </c>
      <c r="J878" t="s">
        <v>588</v>
      </c>
      <c r="K878" s="195">
        <v>46142.275856481479</v>
      </c>
      <c r="L878">
        <v>125</v>
      </c>
      <c r="M878">
        <v>0</v>
      </c>
      <c r="N878" s="98" t="str">
        <f>IF(record[[#This Row],[Memo]]="Browser:chrome os:android","平板報工",IF(record[[#This Row],[Memo]]=0,"委外",record[[#This Row],[Memo]]))</f>
        <v>平板報工</v>
      </c>
      <c r="O878" t="s">
        <v>643</v>
      </c>
      <c r="P878" t="s">
        <v>806</v>
      </c>
      <c r="Q878" t="s">
        <v>644</v>
      </c>
      <c r="R878" t="str">
        <f>IFERROR(VLOOKUP(record[[#This Row],[PCUSTID]],廠商[],2,FALSE),"")</f>
        <v/>
      </c>
      <c r="S878" t="str">
        <f>VLOOKUP(record[[#This Row],[employeeID]],員工[],2,FALSE)</f>
        <v>方思緯</v>
      </c>
    </row>
    <row r="879" spans="6:19" hidden="1" x14ac:dyDescent="0.25">
      <c r="F879" t="s">
        <v>1857</v>
      </c>
      <c r="G879" t="s">
        <v>466</v>
      </c>
      <c r="H879" t="str">
        <f>VLOOKUP(record[[#This Row],[ProcessSN]],表格2_7[],2,FALSE)</f>
        <v>30-4118-018-XXX</v>
      </c>
      <c r="I879" t="str">
        <f>VLOOKUP(record[[#This Row],[ProcessSN]],表格2_7[],3,FALSE)</f>
        <v>#01-2</v>
      </c>
      <c r="J879" t="s">
        <v>588</v>
      </c>
      <c r="K879" s="195">
        <v>46142.136967592596</v>
      </c>
      <c r="L879">
        <v>270</v>
      </c>
      <c r="M879">
        <v>0</v>
      </c>
      <c r="N879" s="98" t="str">
        <f>IF(record[[#This Row],[Memo]]="Browser:chrome os:android","平板報工",IF(record[[#This Row],[Memo]]=0,"委外",record[[#This Row],[Memo]]))</f>
        <v>平板報工</v>
      </c>
      <c r="O879" t="s">
        <v>643</v>
      </c>
      <c r="P879" t="s">
        <v>1098</v>
      </c>
      <c r="Q879" t="s">
        <v>644</v>
      </c>
      <c r="R879" t="str">
        <f>IFERROR(VLOOKUP(record[[#This Row],[PCUSTID]],廠商[],2,FALSE),"")</f>
        <v/>
      </c>
      <c r="S879" t="str">
        <f>VLOOKUP(record[[#This Row],[employeeID]],員工[],2,FALSE)</f>
        <v>阮氏芳英(英)</v>
      </c>
    </row>
    <row r="880" spans="6:19" hidden="1" x14ac:dyDescent="0.25">
      <c r="F880" t="s">
        <v>1859</v>
      </c>
      <c r="G880" t="s">
        <v>449</v>
      </c>
      <c r="H880" t="str">
        <f>VLOOKUP(record[[#This Row],[ProcessSN]],表格2_7[],2,FALSE)</f>
        <v>30-4118-018-6XX</v>
      </c>
      <c r="I880" t="str">
        <f>VLOOKUP(record[[#This Row],[ProcessSN]],表格2_7[],3,FALSE)</f>
        <v>#05</v>
      </c>
      <c r="J880" t="s">
        <v>588</v>
      </c>
      <c r="K880" s="195">
        <v>46141.998680555553</v>
      </c>
      <c r="L880">
        <v>40</v>
      </c>
      <c r="M880">
        <v>0</v>
      </c>
      <c r="N880" s="98" t="str">
        <f>IF(record[[#This Row],[Memo]]="Browser:chrome os:android","平板報工",IF(record[[#This Row],[Memo]]=0,"委外",record[[#This Row],[Memo]]))</f>
        <v/>
      </c>
      <c r="O880" t="s">
        <v>58</v>
      </c>
      <c r="P880" t="s">
        <v>1098</v>
      </c>
      <c r="Q880" t="s">
        <v>58</v>
      </c>
      <c r="R880" t="str">
        <f>IFERROR(VLOOKUP(record[[#This Row],[PCUSTID]],廠商[],2,FALSE),"")</f>
        <v/>
      </c>
      <c r="S880" t="str">
        <f>VLOOKUP(record[[#This Row],[employeeID]],員工[],2,FALSE)</f>
        <v>阮氏芳英(英)</v>
      </c>
    </row>
    <row r="881" spans="6:19" hidden="1" x14ac:dyDescent="0.25">
      <c r="F881" t="s">
        <v>1859</v>
      </c>
      <c r="G881" t="s">
        <v>448</v>
      </c>
      <c r="H881" t="str">
        <f>VLOOKUP(record[[#This Row],[ProcessSN]],表格2_7[],2,FALSE)</f>
        <v>30-4118-018-6XX</v>
      </c>
      <c r="I881" t="str">
        <f>VLOOKUP(record[[#This Row],[ProcessSN]],表格2_7[],3,FALSE)</f>
        <v>#04</v>
      </c>
      <c r="J881" t="s">
        <v>588</v>
      </c>
      <c r="K881" s="195">
        <v>46141.983888888892</v>
      </c>
      <c r="L881">
        <v>92</v>
      </c>
      <c r="M881">
        <v>7</v>
      </c>
      <c r="N881" s="98" t="str">
        <f>IF(record[[#This Row],[Memo]]="Browser:chrome os:android","平板報工",IF(record[[#This Row],[Memo]]=0,"委外",record[[#This Row],[Memo]]))</f>
        <v>平板報工</v>
      </c>
      <c r="O881" t="s">
        <v>643</v>
      </c>
      <c r="P881" t="s">
        <v>176</v>
      </c>
      <c r="Q881" t="s">
        <v>644</v>
      </c>
      <c r="R881" t="str">
        <f>IFERROR(VLOOKUP(record[[#This Row],[PCUSTID]],廠商[],2,FALSE),"")</f>
        <v/>
      </c>
      <c r="S881" t="str">
        <f>VLOOKUP(record[[#This Row],[employeeID]],員工[],2,FALSE)</f>
        <v>郭政雄</v>
      </c>
    </row>
    <row r="882" spans="6:19" hidden="1" x14ac:dyDescent="0.25">
      <c r="F882" t="s">
        <v>1857</v>
      </c>
      <c r="G882" t="s">
        <v>466</v>
      </c>
      <c r="H882" t="str">
        <f>VLOOKUP(record[[#This Row],[ProcessSN]],表格2_7[],2,FALSE)</f>
        <v>30-4118-018-XXX</v>
      </c>
      <c r="I882" t="str">
        <f>VLOOKUP(record[[#This Row],[ProcessSN]],表格2_7[],3,FALSE)</f>
        <v>#01-2</v>
      </c>
      <c r="J882" t="s">
        <v>588</v>
      </c>
      <c r="K882" s="195">
        <v>46141.981087962966</v>
      </c>
      <c r="L882">
        <v>264</v>
      </c>
      <c r="M882">
        <v>0</v>
      </c>
      <c r="N882" s="98" t="str">
        <f>IF(record[[#This Row],[Memo]]="Browser:chrome os:android","平板報工",IF(record[[#This Row],[Memo]]=0,"委外",record[[#This Row],[Memo]]))</f>
        <v>平板報工</v>
      </c>
      <c r="O882" t="s">
        <v>643</v>
      </c>
      <c r="P882" t="s">
        <v>1847</v>
      </c>
      <c r="Q882" t="s">
        <v>644</v>
      </c>
      <c r="R882" t="str">
        <f>IFERROR(VLOOKUP(record[[#This Row],[PCUSTID]],廠商[],2,FALSE),"")</f>
        <v/>
      </c>
      <c r="S882" t="str">
        <f>VLOOKUP(record[[#This Row],[employeeID]],員工[],2,FALSE)</f>
        <v>潘黎慶平</v>
      </c>
    </row>
    <row r="883" spans="6:19" hidden="1" x14ac:dyDescent="0.25">
      <c r="F883" t="s">
        <v>1906</v>
      </c>
      <c r="G883" t="s">
        <v>417</v>
      </c>
      <c r="H883" t="str">
        <f>VLOOKUP(record[[#This Row],[ProcessSN]],表格2_7[],2,FALSE)</f>
        <v>30-4118-018-5XX</v>
      </c>
      <c r="I883" t="str">
        <f>VLOOKUP(record[[#This Row],[ProcessSN]],表格2_7[],3,FALSE)</f>
        <v>#06</v>
      </c>
      <c r="J883" t="s">
        <v>593</v>
      </c>
      <c r="K883" s="195">
        <v>46141.973113425927</v>
      </c>
      <c r="L883">
        <v>182</v>
      </c>
      <c r="M883">
        <v>1</v>
      </c>
      <c r="N883" s="98" t="str">
        <f>IF(record[[#This Row],[Memo]]="Browser:chrome os:android","平板報工",IF(record[[#This Row],[Memo]]=0,"委外",record[[#This Row],[Memo]]))</f>
        <v>平板報工</v>
      </c>
      <c r="O883" t="s">
        <v>643</v>
      </c>
      <c r="P883" t="s">
        <v>1098</v>
      </c>
      <c r="Q883" t="s">
        <v>644</v>
      </c>
      <c r="R883" t="str">
        <f>IFERROR(VLOOKUP(record[[#This Row],[PCUSTID]],廠商[],2,FALSE),"")</f>
        <v/>
      </c>
      <c r="S883" t="str">
        <f>VLOOKUP(record[[#This Row],[employeeID]],員工[],2,FALSE)</f>
        <v>阮氏芳英(英)</v>
      </c>
    </row>
    <row r="884" spans="6:19" hidden="1" x14ac:dyDescent="0.25">
      <c r="F884" t="s">
        <v>1906</v>
      </c>
      <c r="G884" t="s">
        <v>418</v>
      </c>
      <c r="H884" t="str">
        <f>VLOOKUP(record[[#This Row],[ProcessSN]],表格2_7[],2,FALSE)</f>
        <v>30-4118-018-5XX</v>
      </c>
      <c r="I884" t="str">
        <f>VLOOKUP(record[[#This Row],[ProcessSN]],表格2_7[],3,FALSE)</f>
        <v>#07</v>
      </c>
      <c r="J884" t="s">
        <v>588</v>
      </c>
      <c r="K884" s="195">
        <v>46141.972627314812</v>
      </c>
      <c r="L884">
        <v>230</v>
      </c>
      <c r="M884">
        <v>0</v>
      </c>
      <c r="N884" s="98" t="str">
        <f>IF(record[[#This Row],[Memo]]="Browser:chrome os:android","平板報工",IF(record[[#This Row],[Memo]]=0,"委外",record[[#This Row],[Memo]]))</f>
        <v>平板報工</v>
      </c>
      <c r="O884" t="s">
        <v>643</v>
      </c>
      <c r="P884" t="s">
        <v>1098</v>
      </c>
      <c r="Q884" t="s">
        <v>644</v>
      </c>
      <c r="R884" t="str">
        <f>IFERROR(VLOOKUP(record[[#This Row],[PCUSTID]],廠商[],2,FALSE),"")</f>
        <v/>
      </c>
      <c r="S884" t="str">
        <f>VLOOKUP(record[[#This Row],[employeeID]],員工[],2,FALSE)</f>
        <v>阮氏芳英(英)</v>
      </c>
    </row>
    <row r="885" spans="6:19" hidden="1" x14ac:dyDescent="0.25">
      <c r="F885" t="s">
        <v>1909</v>
      </c>
      <c r="G885" t="s">
        <v>374</v>
      </c>
      <c r="H885" t="str">
        <f>VLOOKUP(record[[#This Row],[ProcessSN]],表格2_7[],2,FALSE)</f>
        <v>30-4118-018-4XX</v>
      </c>
      <c r="I885" t="str">
        <f>VLOOKUP(record[[#This Row],[ProcessSN]],表格2_7[],3,FALSE)</f>
        <v>#04</v>
      </c>
      <c r="J885" t="s">
        <v>588</v>
      </c>
      <c r="K885" s="195">
        <v>46141.970532407409</v>
      </c>
      <c r="L885">
        <v>150</v>
      </c>
      <c r="M885">
        <v>1</v>
      </c>
      <c r="N885" s="98" t="str">
        <f>IF(record[[#This Row],[Memo]]="Browser:chrome os:android","平板報工",IF(record[[#This Row],[Memo]]=0,"委外",record[[#This Row],[Memo]]))</f>
        <v>平板報工</v>
      </c>
      <c r="O885" t="s">
        <v>643</v>
      </c>
      <c r="P885" t="s">
        <v>176</v>
      </c>
      <c r="Q885" t="s">
        <v>644</v>
      </c>
      <c r="R885" t="str">
        <f>IFERROR(VLOOKUP(record[[#This Row],[PCUSTID]],廠商[],2,FALSE),"")</f>
        <v/>
      </c>
      <c r="S885" t="str">
        <f>VLOOKUP(record[[#This Row],[employeeID]],員工[],2,FALSE)</f>
        <v>郭政雄</v>
      </c>
    </row>
    <row r="886" spans="6:19" hidden="1" x14ac:dyDescent="0.25">
      <c r="F886" t="s">
        <v>1857</v>
      </c>
      <c r="G886" t="s">
        <v>465</v>
      </c>
      <c r="H886" t="str">
        <f>VLOOKUP(record[[#This Row],[ProcessSN]],表格2_7[],2,FALSE)</f>
        <v>30-4118-018-XXX</v>
      </c>
      <c r="I886" t="str">
        <f>VLOOKUP(record[[#This Row],[ProcessSN]],表格2_7[],3,FALSE)</f>
        <v>#01-1</v>
      </c>
      <c r="J886" t="s">
        <v>588</v>
      </c>
      <c r="K886" s="195">
        <v>46141.97016203704</v>
      </c>
      <c r="L886">
        <v>930</v>
      </c>
      <c r="M886">
        <v>0</v>
      </c>
      <c r="N886" s="98" t="str">
        <f>IF(record[[#This Row],[Memo]]="Browser:chrome os:android","平板報工",IF(record[[#This Row],[Memo]]=0,"委外",record[[#This Row],[Memo]]))</f>
        <v>平板報工</v>
      </c>
      <c r="O886" t="s">
        <v>643</v>
      </c>
      <c r="P886" t="s">
        <v>176</v>
      </c>
      <c r="Q886" t="s">
        <v>644</v>
      </c>
      <c r="R886" t="str">
        <f>IFERROR(VLOOKUP(record[[#This Row],[PCUSTID]],廠商[],2,FALSE),"")</f>
        <v/>
      </c>
      <c r="S886" t="str">
        <f>VLOOKUP(record[[#This Row],[employeeID]],員工[],2,FALSE)</f>
        <v>郭政雄</v>
      </c>
    </row>
    <row r="887" spans="6:19" hidden="1" x14ac:dyDescent="0.25">
      <c r="F887" t="s">
        <v>1906</v>
      </c>
      <c r="G887" t="s">
        <v>417</v>
      </c>
      <c r="H887" t="str">
        <f>VLOOKUP(record[[#This Row],[ProcessSN]],表格2_7[],2,FALSE)</f>
        <v>30-4118-018-5XX</v>
      </c>
      <c r="I887" t="str">
        <f>VLOOKUP(record[[#This Row],[ProcessSN]],表格2_7[],3,FALSE)</f>
        <v>#06</v>
      </c>
      <c r="J887" t="s">
        <v>593</v>
      </c>
      <c r="K887" s="195">
        <v>46141.96675925926</v>
      </c>
      <c r="L887">
        <v>134</v>
      </c>
      <c r="M887">
        <v>0</v>
      </c>
      <c r="N887" s="98" t="str">
        <f>IF(record[[#This Row],[Memo]]="Browser:chrome os:android","平板報工",IF(record[[#This Row],[Memo]]=0,"委外",record[[#This Row],[Memo]]))</f>
        <v>平板報工</v>
      </c>
      <c r="O887" t="s">
        <v>643</v>
      </c>
      <c r="P887" t="s">
        <v>841</v>
      </c>
      <c r="Q887" t="s">
        <v>644</v>
      </c>
      <c r="R887" t="str">
        <f>IFERROR(VLOOKUP(record[[#This Row],[PCUSTID]],廠商[],2,FALSE),"")</f>
        <v/>
      </c>
      <c r="S887" t="str">
        <f>VLOOKUP(record[[#This Row],[employeeID]],員工[],2,FALSE)</f>
        <v>范氏香</v>
      </c>
    </row>
    <row r="888" spans="6:19" hidden="1" x14ac:dyDescent="0.25">
      <c r="F888" t="s">
        <v>1906</v>
      </c>
      <c r="G888" t="s">
        <v>416</v>
      </c>
      <c r="H888" t="str">
        <f>VLOOKUP(record[[#This Row],[ProcessSN]],表格2_7[],2,FALSE)</f>
        <v>30-4118-018-5XX</v>
      </c>
      <c r="I888" t="str">
        <f>VLOOKUP(record[[#This Row],[ProcessSN]],表格2_7[],3,FALSE)</f>
        <v>#05</v>
      </c>
      <c r="J888" t="s">
        <v>588</v>
      </c>
      <c r="K888" s="195">
        <v>46141.948993055557</v>
      </c>
      <c r="L888">
        <v>182</v>
      </c>
      <c r="M888">
        <v>1</v>
      </c>
      <c r="N888" s="98" t="str">
        <f>IF(record[[#This Row],[Memo]]="Browser:chrome os:android","平板報工",IF(record[[#This Row],[Memo]]=0,"委外",record[[#This Row],[Memo]]))</f>
        <v/>
      </c>
      <c r="O888" t="s">
        <v>58</v>
      </c>
      <c r="P888" t="s">
        <v>1098</v>
      </c>
      <c r="Q888" t="s">
        <v>58</v>
      </c>
      <c r="R888" t="str">
        <f>IFERROR(VLOOKUP(record[[#This Row],[PCUSTID]],廠商[],2,FALSE),"")</f>
        <v/>
      </c>
      <c r="S888" t="str">
        <f>VLOOKUP(record[[#This Row],[employeeID]],員工[],2,FALSE)</f>
        <v>阮氏芳英(英)</v>
      </c>
    </row>
    <row r="889" spans="6:19" hidden="1" x14ac:dyDescent="0.25">
      <c r="F889" t="s">
        <v>1906</v>
      </c>
      <c r="G889" t="s">
        <v>417</v>
      </c>
      <c r="H889" t="str">
        <f>VLOOKUP(record[[#This Row],[ProcessSN]],表格2_7[],2,FALSE)</f>
        <v>30-4118-018-5XX</v>
      </c>
      <c r="I889" t="str">
        <f>VLOOKUP(record[[#This Row],[ProcessSN]],表格2_7[],3,FALSE)</f>
        <v>#06</v>
      </c>
      <c r="J889" t="s">
        <v>593</v>
      </c>
      <c r="K889" s="195">
        <v>46141.819907407407</v>
      </c>
      <c r="L889">
        <v>67</v>
      </c>
      <c r="M889">
        <v>0</v>
      </c>
      <c r="N889" s="98" t="str">
        <f>IF(record[[#This Row],[Memo]]="Browser:chrome os:android","平板報工",IF(record[[#This Row],[Memo]]=0,"委外",record[[#This Row],[Memo]]))</f>
        <v>平板報工</v>
      </c>
      <c r="O889" t="s">
        <v>643</v>
      </c>
      <c r="P889" t="s">
        <v>1413</v>
      </c>
      <c r="Q889" t="s">
        <v>644</v>
      </c>
      <c r="R889" t="str">
        <f>IFERROR(VLOOKUP(record[[#This Row],[PCUSTID]],廠商[],2,FALSE),"")</f>
        <v/>
      </c>
      <c r="S889" t="str">
        <f>VLOOKUP(record[[#This Row],[employeeID]],員工[],2,FALSE)</f>
        <v>阮氏芳英(芳)</v>
      </c>
    </row>
    <row r="890" spans="6:19" hidden="1" x14ac:dyDescent="0.25">
      <c r="F890" t="s">
        <v>1859</v>
      </c>
      <c r="G890" t="s">
        <v>448</v>
      </c>
      <c r="H890" t="str">
        <f>VLOOKUP(record[[#This Row],[ProcessSN]],表格2_7[],2,FALSE)</f>
        <v>30-4118-018-6XX</v>
      </c>
      <c r="I890" t="str">
        <f>VLOOKUP(record[[#This Row],[ProcessSN]],表格2_7[],3,FALSE)</f>
        <v>#04</v>
      </c>
      <c r="J890" t="s">
        <v>588</v>
      </c>
      <c r="K890" s="195">
        <v>46141.722187500003</v>
      </c>
      <c r="L890">
        <v>71</v>
      </c>
      <c r="M890">
        <v>0</v>
      </c>
      <c r="N890" s="98" t="str">
        <f>IF(record[[#This Row],[Memo]]="Browser:chrome os:android","平板報工",IF(record[[#This Row],[Memo]]=0,"委外",record[[#This Row],[Memo]]))</f>
        <v/>
      </c>
      <c r="O890" t="s">
        <v>58</v>
      </c>
      <c r="P890" t="s">
        <v>101</v>
      </c>
      <c r="Q890" t="s">
        <v>58</v>
      </c>
      <c r="R890" t="str">
        <f>IFERROR(VLOOKUP(record[[#This Row],[PCUSTID]],廠商[],2,FALSE),"")</f>
        <v/>
      </c>
      <c r="S890" t="str">
        <f>VLOOKUP(record[[#This Row],[employeeID]],員工[],2,FALSE)</f>
        <v>陳氏絨</v>
      </c>
    </row>
    <row r="891" spans="6:19" hidden="1" x14ac:dyDescent="0.25">
      <c r="F891" t="s">
        <v>1859</v>
      </c>
      <c r="G891" t="s">
        <v>449</v>
      </c>
      <c r="H891" t="str">
        <f>VLOOKUP(record[[#This Row],[ProcessSN]],表格2_7[],2,FALSE)</f>
        <v>30-4118-018-6XX</v>
      </c>
      <c r="I891" t="str">
        <f>VLOOKUP(record[[#This Row],[ProcessSN]],表格2_7[],3,FALSE)</f>
        <v>#05</v>
      </c>
      <c r="J891" t="s">
        <v>588</v>
      </c>
      <c r="K891" s="195">
        <v>46141.720972222225</v>
      </c>
      <c r="L891">
        <v>82</v>
      </c>
      <c r="M891">
        <v>0</v>
      </c>
      <c r="N891" s="98" t="str">
        <f>IF(record[[#This Row],[Memo]]="Browser:chrome os:android","平板報工",IF(record[[#This Row],[Memo]]=0,"委外",record[[#This Row],[Memo]]))</f>
        <v/>
      </c>
      <c r="O891" t="s">
        <v>58</v>
      </c>
      <c r="P891" t="s">
        <v>101</v>
      </c>
      <c r="Q891" t="s">
        <v>58</v>
      </c>
      <c r="R891" t="str">
        <f>IFERROR(VLOOKUP(record[[#This Row],[PCUSTID]],廠商[],2,FALSE),"")</f>
        <v/>
      </c>
      <c r="S891" t="str">
        <f>VLOOKUP(record[[#This Row],[employeeID]],員工[],2,FALSE)</f>
        <v>陳氏絨</v>
      </c>
    </row>
    <row r="892" spans="6:19" hidden="1" x14ac:dyDescent="0.25">
      <c r="F892" t="s">
        <v>1859</v>
      </c>
      <c r="G892" t="s">
        <v>450</v>
      </c>
      <c r="H892" t="str">
        <f>VLOOKUP(record[[#This Row],[ProcessSN]],表格2_7[],2,FALSE)</f>
        <v>30-4118-018-6XX</v>
      </c>
      <c r="I892" t="str">
        <f>VLOOKUP(record[[#This Row],[ProcessSN]],表格2_7[],3,FALSE)</f>
        <v>#06</v>
      </c>
      <c r="J892" t="s">
        <v>593</v>
      </c>
      <c r="K892" s="195">
        <v>46141.705694444441</v>
      </c>
      <c r="L892">
        <v>144</v>
      </c>
      <c r="M892">
        <v>1</v>
      </c>
      <c r="N892" s="98" t="str">
        <f>IF(record[[#This Row],[Memo]]="Browser:chrome os:android","平板報工",IF(record[[#This Row],[Memo]]=0,"委外",record[[#This Row],[Memo]]))</f>
        <v>4/25</v>
      </c>
      <c r="O892" t="s">
        <v>1947</v>
      </c>
      <c r="P892" t="s">
        <v>1098</v>
      </c>
      <c r="Q892" t="s">
        <v>58</v>
      </c>
      <c r="R892" t="str">
        <f>IFERROR(VLOOKUP(record[[#This Row],[PCUSTID]],廠商[],2,FALSE),"")</f>
        <v/>
      </c>
      <c r="S892" t="str">
        <f>VLOOKUP(record[[#This Row],[employeeID]],員工[],2,FALSE)</f>
        <v>阮氏芳英(英)</v>
      </c>
    </row>
    <row r="893" spans="6:19" hidden="1" x14ac:dyDescent="0.25">
      <c r="F893" t="s">
        <v>1918</v>
      </c>
      <c r="G893" t="s">
        <v>428</v>
      </c>
      <c r="H893" t="str">
        <f>VLOOKUP(record[[#This Row],[ProcessSN]],表格2_7[],2,FALSE)</f>
        <v>30-4118-018-600</v>
      </c>
      <c r="I893" t="str">
        <f>VLOOKUP(record[[#This Row],[ProcessSN]],表格2_7[],3,FALSE)</f>
        <v>#100SHIP</v>
      </c>
      <c r="J893" t="s">
        <v>600</v>
      </c>
      <c r="K893" s="195">
        <v>46141.702523148146</v>
      </c>
      <c r="L893">
        <v>218</v>
      </c>
      <c r="M893">
        <v>0</v>
      </c>
      <c r="N893" s="98" t="str">
        <f>IF(record[[#This Row],[Memo]]="Browser:chrome os:android","平板報工",IF(record[[#This Row],[Memo]]=0,"委外",record[[#This Row],[Memo]]))</f>
        <v/>
      </c>
      <c r="O893" t="s">
        <v>58</v>
      </c>
      <c r="P893" t="s">
        <v>886</v>
      </c>
      <c r="Q893" t="s">
        <v>58</v>
      </c>
      <c r="R893" t="str">
        <f>IFERROR(VLOOKUP(record[[#This Row],[PCUSTID]],廠商[],2,FALSE),"")</f>
        <v/>
      </c>
      <c r="S893" t="str">
        <f>VLOOKUP(record[[#This Row],[employeeID]],員工[],2,FALSE)</f>
        <v>謝蓁薰</v>
      </c>
    </row>
    <row r="894" spans="6:19" hidden="1" x14ac:dyDescent="0.25">
      <c r="F894" t="s">
        <v>1904</v>
      </c>
      <c r="G894" t="s">
        <v>428</v>
      </c>
      <c r="H894" t="str">
        <f>VLOOKUP(record[[#This Row],[ProcessSN]],表格2_7[],2,FALSE)</f>
        <v>30-4118-018-600</v>
      </c>
      <c r="I894" t="str">
        <f>VLOOKUP(record[[#This Row],[ProcessSN]],表格2_7[],3,FALSE)</f>
        <v>#100SHIP</v>
      </c>
      <c r="J894" t="s">
        <v>600</v>
      </c>
      <c r="K894" s="195">
        <v>46141.70239583333</v>
      </c>
      <c r="L894">
        <v>6</v>
      </c>
      <c r="M894">
        <v>0</v>
      </c>
      <c r="N894" s="98" t="str">
        <f>IF(record[[#This Row],[Memo]]="Browser:chrome os:android","平板報工",IF(record[[#This Row],[Memo]]=0,"委外",record[[#This Row],[Memo]]))</f>
        <v/>
      </c>
      <c r="O894" t="s">
        <v>58</v>
      </c>
      <c r="P894" t="s">
        <v>886</v>
      </c>
      <c r="Q894" t="s">
        <v>58</v>
      </c>
      <c r="R894" t="str">
        <f>IFERROR(VLOOKUP(record[[#This Row],[PCUSTID]],廠商[],2,FALSE),"")</f>
        <v/>
      </c>
      <c r="S894" t="str">
        <f>VLOOKUP(record[[#This Row],[employeeID]],員工[],2,FALSE)</f>
        <v>謝蓁薰</v>
      </c>
    </row>
    <row r="895" spans="6:19" hidden="1" x14ac:dyDescent="0.25">
      <c r="F895" t="s">
        <v>1918</v>
      </c>
      <c r="G895" t="s">
        <v>428</v>
      </c>
      <c r="H895" t="str">
        <f>VLOOKUP(record[[#This Row],[ProcessSN]],表格2_7[],2,FALSE)</f>
        <v>30-4118-018-600</v>
      </c>
      <c r="I895" t="str">
        <f>VLOOKUP(record[[#This Row],[ProcessSN]],表格2_7[],3,FALSE)</f>
        <v>#100SHIP</v>
      </c>
      <c r="J895" t="s">
        <v>600</v>
      </c>
      <c r="K895" s="195">
        <v>46141.702280092592</v>
      </c>
      <c r="L895">
        <v>19</v>
      </c>
      <c r="M895">
        <v>0</v>
      </c>
      <c r="N895" s="98" t="str">
        <f>IF(record[[#This Row],[Memo]]="Browser:chrome os:android","平板報工",IF(record[[#This Row],[Memo]]=0,"委外",record[[#This Row],[Memo]]))</f>
        <v/>
      </c>
      <c r="O895" t="s">
        <v>58</v>
      </c>
      <c r="P895" t="s">
        <v>886</v>
      </c>
      <c r="Q895" t="s">
        <v>58</v>
      </c>
      <c r="R895" t="str">
        <f>IFERROR(VLOOKUP(record[[#This Row],[PCUSTID]],廠商[],2,FALSE),"")</f>
        <v/>
      </c>
      <c r="S895" t="str">
        <f>VLOOKUP(record[[#This Row],[employeeID]],員工[],2,FALSE)</f>
        <v>謝蓁薰</v>
      </c>
    </row>
    <row r="896" spans="6:19" hidden="1" x14ac:dyDescent="0.25">
      <c r="F896" t="s">
        <v>1918</v>
      </c>
      <c r="G896" t="s">
        <v>427</v>
      </c>
      <c r="H896" t="str">
        <f>VLOOKUP(record[[#This Row],[ProcessSN]],表格2_7[],2,FALSE)</f>
        <v>30-4118-018-600</v>
      </c>
      <c r="I896" t="str">
        <f>VLOOKUP(record[[#This Row],[ProcessSN]],表格2_7[],3,FALSE)</f>
        <v>#100STOCK</v>
      </c>
      <c r="J896" t="s">
        <v>592</v>
      </c>
      <c r="K896" s="195">
        <v>46141.702152777776</v>
      </c>
      <c r="L896">
        <v>237</v>
      </c>
      <c r="M896">
        <v>0</v>
      </c>
      <c r="N896" s="98" t="str">
        <f>IF(record[[#This Row],[Memo]]="Browser:chrome os:android","平板報工",IF(record[[#This Row],[Memo]]=0,"委外",record[[#This Row],[Memo]]))</f>
        <v/>
      </c>
      <c r="O896" t="s">
        <v>58</v>
      </c>
      <c r="P896" t="s">
        <v>886</v>
      </c>
      <c r="Q896" t="s">
        <v>58</v>
      </c>
      <c r="R896" t="str">
        <f>IFERROR(VLOOKUP(record[[#This Row],[PCUSTID]],廠商[],2,FALSE),"")</f>
        <v/>
      </c>
      <c r="S896" t="str">
        <f>VLOOKUP(record[[#This Row],[employeeID]],員工[],2,FALSE)</f>
        <v>謝蓁薰</v>
      </c>
    </row>
    <row r="897" spans="6:19" hidden="1" x14ac:dyDescent="0.25">
      <c r="F897" t="s">
        <v>1915</v>
      </c>
      <c r="G897" t="s">
        <v>403</v>
      </c>
      <c r="H897" t="str">
        <f>VLOOKUP(record[[#This Row],[ProcessSN]],表格2_7[],2,FALSE)</f>
        <v>30-4118-018-550</v>
      </c>
      <c r="I897" t="str">
        <f>VLOOKUP(record[[#This Row],[ProcessSN]],表格2_7[],3,FALSE)</f>
        <v>#100SHIP</v>
      </c>
      <c r="J897" t="s">
        <v>600</v>
      </c>
      <c r="K897" s="195">
        <v>46141.701921296299</v>
      </c>
      <c r="L897">
        <v>397</v>
      </c>
      <c r="M897">
        <v>0</v>
      </c>
      <c r="N897" s="98" t="str">
        <f>IF(record[[#This Row],[Memo]]="Browser:chrome os:android","平板報工",IF(record[[#This Row],[Memo]]=0,"委外",record[[#This Row],[Memo]]))</f>
        <v/>
      </c>
      <c r="O897" t="s">
        <v>58</v>
      </c>
      <c r="P897" t="s">
        <v>886</v>
      </c>
      <c r="Q897" t="s">
        <v>58</v>
      </c>
      <c r="R897" t="str">
        <f>IFERROR(VLOOKUP(record[[#This Row],[PCUSTID]],廠商[],2,FALSE),"")</f>
        <v/>
      </c>
      <c r="S897" t="str">
        <f>VLOOKUP(record[[#This Row],[employeeID]],員工[],2,FALSE)</f>
        <v>謝蓁薰</v>
      </c>
    </row>
    <row r="898" spans="6:19" hidden="1" x14ac:dyDescent="0.25">
      <c r="F898" t="s">
        <v>1915</v>
      </c>
      <c r="G898" t="s">
        <v>402</v>
      </c>
      <c r="H898" t="str">
        <f>VLOOKUP(record[[#This Row],[ProcessSN]],表格2_7[],2,FALSE)</f>
        <v>30-4118-018-550</v>
      </c>
      <c r="I898" t="str">
        <f>VLOOKUP(record[[#This Row],[ProcessSN]],表格2_7[],3,FALSE)</f>
        <v>#100STOCK</v>
      </c>
      <c r="J898" t="s">
        <v>592</v>
      </c>
      <c r="K898" s="195">
        <v>46141.701782407406</v>
      </c>
      <c r="L898">
        <v>397</v>
      </c>
      <c r="M898">
        <v>0</v>
      </c>
      <c r="N898" s="98" t="str">
        <f>IF(record[[#This Row],[Memo]]="Browser:chrome os:android","平板報工",IF(record[[#This Row],[Memo]]=0,"委外",record[[#This Row],[Memo]]))</f>
        <v/>
      </c>
      <c r="O898" t="s">
        <v>58</v>
      </c>
      <c r="P898" t="s">
        <v>886</v>
      </c>
      <c r="Q898" t="s">
        <v>58</v>
      </c>
      <c r="R898" t="str">
        <f>IFERROR(VLOOKUP(record[[#This Row],[PCUSTID]],廠商[],2,FALSE),"")</f>
        <v/>
      </c>
      <c r="S898" t="str">
        <f>VLOOKUP(record[[#This Row],[employeeID]],員工[],2,FALSE)</f>
        <v>謝蓁薰</v>
      </c>
    </row>
    <row r="899" spans="6:19" hidden="1" x14ac:dyDescent="0.25">
      <c r="F899" t="s">
        <v>1945</v>
      </c>
      <c r="G899" t="s">
        <v>446</v>
      </c>
      <c r="H899" t="str">
        <f>VLOOKUP(record[[#This Row],[ProcessSN]],表格2_7[],2,FALSE)</f>
        <v>30-4118-018-6XX</v>
      </c>
      <c r="I899" t="str">
        <f>VLOOKUP(record[[#This Row],[ProcessSN]],表格2_7[],3,FALSE)</f>
        <v>#03GIVE</v>
      </c>
      <c r="J899" t="s">
        <v>587</v>
      </c>
      <c r="K899" s="195">
        <v>46141.699178240742</v>
      </c>
      <c r="L899">
        <v>1688</v>
      </c>
      <c r="M899">
        <v>0</v>
      </c>
      <c r="N899" s="98" t="str">
        <f>IF(record[[#This Row],[Memo]]="Browser:chrome os:android","平板報工",IF(record[[#This Row],[Memo]]=0,"委外",record[[#This Row],[Memo]]))</f>
        <v/>
      </c>
      <c r="O899" t="s">
        <v>58</v>
      </c>
      <c r="P899" t="s">
        <v>1698</v>
      </c>
      <c r="Q899" t="s">
        <v>58</v>
      </c>
      <c r="R899" t="str">
        <f>IFERROR(VLOOKUP(record[[#This Row],[PCUSTID]],廠商[],2,FALSE),"")</f>
        <v/>
      </c>
      <c r="S899" t="str">
        <f>VLOOKUP(record[[#This Row],[employeeID]],員工[],2,FALSE)</f>
        <v>羅思潔</v>
      </c>
    </row>
    <row r="900" spans="6:19" hidden="1" x14ac:dyDescent="0.25">
      <c r="F900" t="s">
        <v>1944</v>
      </c>
      <c r="G900" t="s">
        <v>413</v>
      </c>
      <c r="H900" t="str">
        <f>VLOOKUP(record[[#This Row],[ProcessSN]],表格2_7[],2,FALSE)</f>
        <v>30-4118-018-5XX</v>
      </c>
      <c r="I900" t="str">
        <f>VLOOKUP(record[[#This Row],[ProcessSN]],表格2_7[],3,FALSE)</f>
        <v>#03GIVE</v>
      </c>
      <c r="J900" t="s">
        <v>587</v>
      </c>
      <c r="K900" s="195">
        <v>46141.698969907404</v>
      </c>
      <c r="L900">
        <v>2000</v>
      </c>
      <c r="M900">
        <v>0</v>
      </c>
      <c r="N900" s="98" t="str">
        <f>IF(record[[#This Row],[Memo]]="Browser:chrome os:android","平板報工",IF(record[[#This Row],[Memo]]=0,"委外",record[[#This Row],[Memo]]))</f>
        <v/>
      </c>
      <c r="O900" t="s">
        <v>58</v>
      </c>
      <c r="P900" t="s">
        <v>1698</v>
      </c>
      <c r="Q900" t="s">
        <v>58</v>
      </c>
      <c r="R900" t="str">
        <f>IFERROR(VLOOKUP(record[[#This Row],[PCUSTID]],廠商[],2,FALSE),"")</f>
        <v/>
      </c>
      <c r="S900" t="str">
        <f>VLOOKUP(record[[#This Row],[employeeID]],員工[],2,FALSE)</f>
        <v>羅思潔</v>
      </c>
    </row>
    <row r="901" spans="6:19" hidden="1" x14ac:dyDescent="0.25">
      <c r="F901" t="s">
        <v>1915</v>
      </c>
      <c r="G901" t="s">
        <v>401</v>
      </c>
      <c r="H901" t="str">
        <f>VLOOKUP(record[[#This Row],[ProcessSN]],表格2_7[],2,FALSE)</f>
        <v>30-4118-018-550</v>
      </c>
      <c r="I901" t="str">
        <f>VLOOKUP(record[[#This Row],[ProcessSN]],表格2_7[],3,FALSE)</f>
        <v>#100OQC</v>
      </c>
      <c r="J901" t="s">
        <v>599</v>
      </c>
      <c r="K901" s="195">
        <v>46141.698009259257</v>
      </c>
      <c r="L901">
        <v>490</v>
      </c>
      <c r="M901">
        <v>0</v>
      </c>
      <c r="N901" s="98" t="str">
        <f>IF(record[[#This Row],[Memo]]="Browser:chrome os:android","平板報工",IF(record[[#This Row],[Memo]]=0,"委外",record[[#This Row],[Memo]]))</f>
        <v/>
      </c>
      <c r="O901" t="s">
        <v>58</v>
      </c>
      <c r="P901" t="s">
        <v>121</v>
      </c>
      <c r="Q901" t="s">
        <v>58</v>
      </c>
      <c r="R901" t="str">
        <f>IFERROR(VLOOKUP(record[[#This Row],[PCUSTID]],廠商[],2,FALSE),"")</f>
        <v/>
      </c>
      <c r="S901" t="str">
        <f>VLOOKUP(record[[#This Row],[employeeID]],員工[],2,FALSE)</f>
        <v>謝素卿</v>
      </c>
    </row>
    <row r="902" spans="6:19" hidden="1" x14ac:dyDescent="0.25">
      <c r="F902" t="s">
        <v>1918</v>
      </c>
      <c r="G902" t="s">
        <v>426</v>
      </c>
      <c r="H902" t="str">
        <f>VLOOKUP(record[[#This Row],[ProcessSN]],表格2_7[],2,FALSE)</f>
        <v>30-4118-018-600</v>
      </c>
      <c r="I902" t="str">
        <f>VLOOKUP(record[[#This Row],[ProcessSN]],表格2_7[],3,FALSE)</f>
        <v>#100OQC</v>
      </c>
      <c r="J902" t="s">
        <v>599</v>
      </c>
      <c r="K902" s="195">
        <v>46141.697534722225</v>
      </c>
      <c r="L902">
        <v>239</v>
      </c>
      <c r="M902">
        <v>0</v>
      </c>
      <c r="N902" s="98" t="str">
        <f>IF(record[[#This Row],[Memo]]="Browser:chrome os:android","平板報工",IF(record[[#This Row],[Memo]]=0,"委外",record[[#This Row],[Memo]]))</f>
        <v/>
      </c>
      <c r="O902" t="s">
        <v>58</v>
      </c>
      <c r="P902" t="s">
        <v>121</v>
      </c>
      <c r="Q902" t="s">
        <v>58</v>
      </c>
      <c r="R902" t="str">
        <f>IFERROR(VLOOKUP(record[[#This Row],[PCUSTID]],廠商[],2,FALSE),"")</f>
        <v/>
      </c>
      <c r="S902" t="str">
        <f>VLOOKUP(record[[#This Row],[employeeID]],員工[],2,FALSE)</f>
        <v>謝素卿</v>
      </c>
    </row>
    <row r="903" spans="6:19" x14ac:dyDescent="0.25">
      <c r="F903" t="s">
        <v>1924</v>
      </c>
      <c r="G903" t="s">
        <v>447</v>
      </c>
      <c r="H903" t="str">
        <f>VLOOKUP(record[[#This Row],[ProcessSN]],表格2_7[],2,FALSE)</f>
        <v>30-4118-018-6XX</v>
      </c>
      <c r="I903" t="str">
        <f>VLOOKUP(record[[#This Row],[ProcessSN]],表格2_7[],3,FALSE)</f>
        <v>#03</v>
      </c>
      <c r="J903" t="s">
        <v>588</v>
      </c>
      <c r="K903" s="195">
        <v>46141.688877314817</v>
      </c>
      <c r="L903">
        <v>474</v>
      </c>
      <c r="M903">
        <v>0</v>
      </c>
      <c r="N903" s="98" t="str">
        <f>IF(record[[#This Row],[Memo]]="Browser:chrome os:android","平板報工",IF(record[[#This Row],[Memo]]=0,"委外",record[[#This Row],[Memo]]))</f>
        <v/>
      </c>
      <c r="O903" t="s">
        <v>58</v>
      </c>
      <c r="P903" t="s">
        <v>180</v>
      </c>
      <c r="Q903" t="s">
        <v>58</v>
      </c>
      <c r="R903" t="str">
        <f>IFERROR(VLOOKUP(record[[#This Row],[PCUSTID]],廠商[],2,FALSE),"")</f>
        <v/>
      </c>
      <c r="S903" t="str">
        <f>VLOOKUP(record[[#This Row],[employeeID]],員工[],2,FALSE)</f>
        <v>黎功江</v>
      </c>
    </row>
    <row r="904" spans="6:19" hidden="1" x14ac:dyDescent="0.25">
      <c r="F904" t="s">
        <v>1915</v>
      </c>
      <c r="G904" t="s">
        <v>400</v>
      </c>
      <c r="H904" t="str">
        <f>VLOOKUP(record[[#This Row],[ProcessSN]],表格2_7[],2,FALSE)</f>
        <v>30-4118-018-550</v>
      </c>
      <c r="I904" t="str">
        <f>VLOOKUP(record[[#This Row],[ProcessSN]],表格2_7[],3,FALSE)</f>
        <v>#100</v>
      </c>
      <c r="J904" t="s">
        <v>598</v>
      </c>
      <c r="K904" s="195">
        <v>46141.685127314813</v>
      </c>
      <c r="L904">
        <v>0</v>
      </c>
      <c r="M904">
        <v>1</v>
      </c>
      <c r="N904" s="98" t="str">
        <f>IF(record[[#This Row],[Memo]]="Browser:chrome os:android","平板報工",IF(record[[#This Row],[Memo]]=0,"委外",record[[#This Row],[Memo]]))</f>
        <v/>
      </c>
      <c r="O904" t="s">
        <v>58</v>
      </c>
      <c r="P904" t="s">
        <v>99</v>
      </c>
      <c r="Q904" t="s">
        <v>58</v>
      </c>
      <c r="R904" t="str">
        <f>IFERROR(VLOOKUP(record[[#This Row],[PCUSTID]],廠商[],2,FALSE),"")</f>
        <v/>
      </c>
      <c r="S904" t="str">
        <f>VLOOKUP(record[[#This Row],[employeeID]],員工[],2,FALSE)</f>
        <v>阮氏河</v>
      </c>
    </row>
    <row r="905" spans="6:19" hidden="1" x14ac:dyDescent="0.25">
      <c r="F905" t="s">
        <v>1915</v>
      </c>
      <c r="G905" t="s">
        <v>398</v>
      </c>
      <c r="H905" t="str">
        <f>VLOOKUP(record[[#This Row],[ProcessSN]],表格2_7[],2,FALSE)</f>
        <v>30-4118-018-550</v>
      </c>
      <c r="I905" t="str">
        <f>VLOOKUP(record[[#This Row],[ProcessSN]],表格2_7[],3,FALSE)</f>
        <v>#08RCV</v>
      </c>
      <c r="J905" t="s">
        <v>591</v>
      </c>
      <c r="K905" s="195">
        <v>46141.684328703705</v>
      </c>
      <c r="L905">
        <v>0</v>
      </c>
      <c r="M905">
        <v>2</v>
      </c>
      <c r="N905" s="98" t="str">
        <f>IF(record[[#This Row],[Memo]]="Browser:chrome os:android","平板報工",IF(record[[#This Row],[Memo]]=0,"委外",record[[#This Row],[Memo]]))</f>
        <v/>
      </c>
      <c r="O905" t="s">
        <v>58</v>
      </c>
      <c r="P905" t="s">
        <v>186</v>
      </c>
      <c r="Q905" t="s">
        <v>58</v>
      </c>
      <c r="R905" t="str">
        <f>IFERROR(VLOOKUP(record[[#This Row],[PCUSTID]],廠商[],2,FALSE),"")</f>
        <v/>
      </c>
      <c r="S905" t="str">
        <f>VLOOKUP(record[[#This Row],[employeeID]],員工[],2,FALSE)</f>
        <v>許文姍</v>
      </c>
    </row>
    <row r="906" spans="6:19" hidden="1" x14ac:dyDescent="0.25">
      <c r="F906" t="s">
        <v>1904</v>
      </c>
      <c r="G906" t="s">
        <v>427</v>
      </c>
      <c r="H906" t="str">
        <f>VLOOKUP(record[[#This Row],[ProcessSN]],表格2_7[],2,FALSE)</f>
        <v>30-4118-018-600</v>
      </c>
      <c r="I906" t="str">
        <f>VLOOKUP(record[[#This Row],[ProcessSN]],表格2_7[],3,FALSE)</f>
        <v>#100STOCK</v>
      </c>
      <c r="J906" t="s">
        <v>592</v>
      </c>
      <c r="K906" s="195">
        <v>46141.680023148147</v>
      </c>
      <c r="L906">
        <v>6</v>
      </c>
      <c r="M906">
        <v>0</v>
      </c>
      <c r="N906" s="98" t="str">
        <f>IF(record[[#This Row],[Memo]]="Browser:chrome os:android","平板報工",IF(record[[#This Row],[Memo]]=0,"委外",record[[#This Row],[Memo]]))</f>
        <v/>
      </c>
      <c r="O906" t="s">
        <v>58</v>
      </c>
      <c r="P906" t="s">
        <v>886</v>
      </c>
      <c r="Q906" t="s">
        <v>58</v>
      </c>
      <c r="R906" t="str">
        <f>IFERROR(VLOOKUP(record[[#This Row],[PCUSTID]],廠商[],2,FALSE),"")</f>
        <v/>
      </c>
      <c r="S906" t="str">
        <f>VLOOKUP(record[[#This Row],[employeeID]],員工[],2,FALSE)</f>
        <v>謝蓁薰</v>
      </c>
    </row>
    <row r="907" spans="6:19" hidden="1" x14ac:dyDescent="0.25">
      <c r="F907" t="s">
        <v>1872</v>
      </c>
      <c r="G907" t="s">
        <v>403</v>
      </c>
      <c r="H907" t="str">
        <f>VLOOKUP(record[[#This Row],[ProcessSN]],表格2_7[],2,FALSE)</f>
        <v>30-4118-018-550</v>
      </c>
      <c r="I907" t="str">
        <f>VLOOKUP(record[[#This Row],[ProcessSN]],表格2_7[],3,FALSE)</f>
        <v>#100SHIP</v>
      </c>
      <c r="J907" t="s">
        <v>600</v>
      </c>
      <c r="K907" s="195">
        <v>46141.679814814815</v>
      </c>
      <c r="L907">
        <v>103</v>
      </c>
      <c r="M907">
        <v>0</v>
      </c>
      <c r="N907" s="98" t="str">
        <f>IF(record[[#This Row],[Memo]]="Browser:chrome os:android","平板報工",IF(record[[#This Row],[Memo]]=0,"委外",record[[#This Row],[Memo]]))</f>
        <v/>
      </c>
      <c r="O907" t="s">
        <v>58</v>
      </c>
      <c r="P907" t="s">
        <v>886</v>
      </c>
      <c r="Q907" t="s">
        <v>58</v>
      </c>
      <c r="R907" t="str">
        <f>IFERROR(VLOOKUP(record[[#This Row],[PCUSTID]],廠商[],2,FALSE),"")</f>
        <v/>
      </c>
      <c r="S907" t="str">
        <f>VLOOKUP(record[[#This Row],[employeeID]],員工[],2,FALSE)</f>
        <v>謝蓁薰</v>
      </c>
    </row>
    <row r="908" spans="6:19" hidden="1" x14ac:dyDescent="0.25">
      <c r="F908" t="s">
        <v>1915</v>
      </c>
      <c r="G908" t="s">
        <v>400</v>
      </c>
      <c r="H908" t="str">
        <f>VLOOKUP(record[[#This Row],[ProcessSN]],表格2_7[],2,FALSE)</f>
        <v>30-4118-018-550</v>
      </c>
      <c r="I908" t="str">
        <f>VLOOKUP(record[[#This Row],[ProcessSN]],表格2_7[],3,FALSE)</f>
        <v>#100</v>
      </c>
      <c r="J908" t="s">
        <v>598</v>
      </c>
      <c r="K908" s="195">
        <v>46141.678449074076</v>
      </c>
      <c r="L908">
        <v>490</v>
      </c>
      <c r="M908">
        <v>0</v>
      </c>
      <c r="N908" s="98" t="str">
        <f>IF(record[[#This Row],[Memo]]="Browser:chrome os:android","平板報工",IF(record[[#This Row],[Memo]]=0,"委外",record[[#This Row],[Memo]]))</f>
        <v/>
      </c>
      <c r="O908" t="s">
        <v>58</v>
      </c>
      <c r="P908" t="s">
        <v>99</v>
      </c>
      <c r="Q908" t="s">
        <v>58</v>
      </c>
      <c r="R908" t="str">
        <f>IFERROR(VLOOKUP(record[[#This Row],[PCUSTID]],廠商[],2,FALSE),"")</f>
        <v/>
      </c>
      <c r="S908" t="str">
        <f>VLOOKUP(record[[#This Row],[employeeID]],員工[],2,FALSE)</f>
        <v>阮氏河</v>
      </c>
    </row>
    <row r="909" spans="6:19" hidden="1" x14ac:dyDescent="0.25">
      <c r="F909" t="s">
        <v>1946</v>
      </c>
      <c r="G909" t="s">
        <v>400</v>
      </c>
      <c r="H909" t="str">
        <f>VLOOKUP(record[[#This Row],[ProcessSN]],表格2_7[],2,FALSE)</f>
        <v>30-4118-018-550</v>
      </c>
      <c r="I909" t="str">
        <f>VLOOKUP(record[[#This Row],[ProcessSN]],表格2_7[],3,FALSE)</f>
        <v>#100</v>
      </c>
      <c r="J909" t="s">
        <v>598</v>
      </c>
      <c r="K909" s="195">
        <v>46141.677997685183</v>
      </c>
      <c r="L909">
        <v>0</v>
      </c>
      <c r="M909">
        <v>15</v>
      </c>
      <c r="N909" s="98" t="str">
        <f>IF(record[[#This Row],[Memo]]="Browser:chrome os:android","平板報工",IF(record[[#This Row],[Memo]]=0,"委外",record[[#This Row],[Memo]]))</f>
        <v/>
      </c>
      <c r="O909" t="s">
        <v>58</v>
      </c>
      <c r="P909" t="s">
        <v>99</v>
      </c>
      <c r="Q909" t="s">
        <v>58</v>
      </c>
      <c r="R909" t="str">
        <f>IFERROR(VLOOKUP(record[[#This Row],[PCUSTID]],廠商[],2,FALSE),"")</f>
        <v/>
      </c>
      <c r="S909" t="str">
        <f>VLOOKUP(record[[#This Row],[employeeID]],員工[],2,FALSE)</f>
        <v>阮氏河</v>
      </c>
    </row>
    <row r="910" spans="6:19" hidden="1" x14ac:dyDescent="0.25">
      <c r="F910" t="s">
        <v>1872</v>
      </c>
      <c r="G910" t="s">
        <v>402</v>
      </c>
      <c r="H910" t="str">
        <f>VLOOKUP(record[[#This Row],[ProcessSN]],表格2_7[],2,FALSE)</f>
        <v>30-4118-018-550</v>
      </c>
      <c r="I910" t="str">
        <f>VLOOKUP(record[[#This Row],[ProcessSN]],表格2_7[],3,FALSE)</f>
        <v>#100STOCK</v>
      </c>
      <c r="J910" t="s">
        <v>592</v>
      </c>
      <c r="K910" s="195">
        <v>46141.676759259259</v>
      </c>
      <c r="L910">
        <v>103</v>
      </c>
      <c r="M910">
        <v>0</v>
      </c>
      <c r="N910" s="98" t="str">
        <f>IF(record[[#This Row],[Memo]]="Browser:chrome os:android","平板報工",IF(record[[#This Row],[Memo]]=0,"委外",record[[#This Row],[Memo]]))</f>
        <v/>
      </c>
      <c r="O910" t="s">
        <v>58</v>
      </c>
      <c r="P910" t="s">
        <v>886</v>
      </c>
      <c r="Q910" t="s">
        <v>58</v>
      </c>
      <c r="R910" t="str">
        <f>IFERROR(VLOOKUP(record[[#This Row],[PCUSTID]],廠商[],2,FALSE),"")</f>
        <v/>
      </c>
      <c r="S910" t="str">
        <f>VLOOKUP(record[[#This Row],[employeeID]],員工[],2,FALSE)</f>
        <v>謝蓁薰</v>
      </c>
    </row>
    <row r="911" spans="6:19" hidden="1" x14ac:dyDescent="0.25">
      <c r="F911" t="s">
        <v>1918</v>
      </c>
      <c r="G911" t="s">
        <v>425</v>
      </c>
      <c r="H911" t="str">
        <f>VLOOKUP(record[[#This Row],[ProcessSN]],表格2_7[],2,FALSE)</f>
        <v>30-4118-018-600</v>
      </c>
      <c r="I911" t="str">
        <f>VLOOKUP(record[[#This Row],[ProcessSN]],表格2_7[],3,FALSE)</f>
        <v>#100</v>
      </c>
      <c r="J911" t="s">
        <v>598</v>
      </c>
      <c r="K911" s="195">
        <v>46141.670439814814</v>
      </c>
      <c r="L911">
        <v>175</v>
      </c>
      <c r="M911">
        <v>0</v>
      </c>
      <c r="N911" s="98" t="str">
        <f>IF(record[[#This Row],[Memo]]="Browser:chrome os:android","平板報工",IF(record[[#This Row],[Memo]]=0,"委外",record[[#This Row],[Memo]]))</f>
        <v/>
      </c>
      <c r="O911" t="s">
        <v>58</v>
      </c>
      <c r="P911" t="s">
        <v>141</v>
      </c>
      <c r="Q911" t="s">
        <v>58</v>
      </c>
      <c r="R911" t="str">
        <f>IFERROR(VLOOKUP(record[[#This Row],[PCUSTID]],廠商[],2,FALSE),"")</f>
        <v/>
      </c>
      <c r="S911" t="str">
        <f>VLOOKUP(record[[#This Row],[employeeID]],員工[],2,FALSE)</f>
        <v>蔣梅</v>
      </c>
    </row>
    <row r="912" spans="6:19" hidden="1" x14ac:dyDescent="0.25">
      <c r="F912" t="s">
        <v>1918</v>
      </c>
      <c r="G912" t="s">
        <v>425</v>
      </c>
      <c r="H912" t="str">
        <f>VLOOKUP(record[[#This Row],[ProcessSN]],表格2_7[],2,FALSE)</f>
        <v>30-4118-018-600</v>
      </c>
      <c r="I912" t="str">
        <f>VLOOKUP(record[[#This Row],[ProcessSN]],表格2_7[],3,FALSE)</f>
        <v>#100</v>
      </c>
      <c r="J912" t="s">
        <v>598</v>
      </c>
      <c r="K912" s="195">
        <v>46141.670300925929</v>
      </c>
      <c r="L912">
        <v>0</v>
      </c>
      <c r="M912">
        <v>29</v>
      </c>
      <c r="N912" s="98" t="str">
        <f>IF(record[[#This Row],[Memo]]="Browser:chrome os:android","平板報工",IF(record[[#This Row],[Memo]]=0,"委外",record[[#This Row],[Memo]]))</f>
        <v/>
      </c>
      <c r="O912" t="s">
        <v>58</v>
      </c>
      <c r="P912" t="s">
        <v>141</v>
      </c>
      <c r="Q912" t="s">
        <v>58</v>
      </c>
      <c r="R912" t="str">
        <f>IFERROR(VLOOKUP(record[[#This Row],[PCUSTID]],廠商[],2,FALSE),"")</f>
        <v/>
      </c>
      <c r="S912" t="str">
        <f>VLOOKUP(record[[#This Row],[employeeID]],員工[],2,FALSE)</f>
        <v>蔣梅</v>
      </c>
    </row>
    <row r="913" spans="6:19" hidden="1" x14ac:dyDescent="0.25">
      <c r="F913" t="s">
        <v>1915</v>
      </c>
      <c r="G913" t="s">
        <v>399</v>
      </c>
      <c r="H913" t="str">
        <f>VLOOKUP(record[[#This Row],[ProcessSN]],表格2_7[],2,FALSE)</f>
        <v>30-4118-018-550</v>
      </c>
      <c r="I913" t="str">
        <f>VLOOKUP(record[[#This Row],[ProcessSN]],表格2_7[],3,FALSE)</f>
        <v>#08IQC</v>
      </c>
      <c r="J913" t="s">
        <v>583</v>
      </c>
      <c r="K913" s="195">
        <v>46141.664004629631</v>
      </c>
      <c r="L913">
        <v>506</v>
      </c>
      <c r="M913">
        <v>0</v>
      </c>
      <c r="N913" s="98" t="str">
        <f>IF(record[[#This Row],[Memo]]="Browser:chrome os:android","平板報工",IF(record[[#This Row],[Memo]]=0,"委外",record[[#This Row],[Memo]]))</f>
        <v/>
      </c>
      <c r="O913" t="s">
        <v>58</v>
      </c>
      <c r="P913" t="s">
        <v>109</v>
      </c>
      <c r="Q913" t="s">
        <v>58</v>
      </c>
      <c r="R913" t="str">
        <f>IFERROR(VLOOKUP(record[[#This Row],[PCUSTID]],廠商[],2,FALSE),"")</f>
        <v/>
      </c>
      <c r="S913" t="str">
        <f>VLOOKUP(record[[#This Row],[employeeID]],員工[],2,FALSE)</f>
        <v>裴氏璧鳳</v>
      </c>
    </row>
    <row r="914" spans="6:19" hidden="1" x14ac:dyDescent="0.25">
      <c r="F914" t="s">
        <v>1918</v>
      </c>
      <c r="G914" t="s">
        <v>424</v>
      </c>
      <c r="H914" t="str">
        <f>VLOOKUP(record[[#This Row],[ProcessSN]],表格2_7[],2,FALSE)</f>
        <v>30-4118-018-600</v>
      </c>
      <c r="I914" t="str">
        <f>VLOOKUP(record[[#This Row],[ProcessSN]],表格2_7[],3,FALSE)</f>
        <v>#08IQC</v>
      </c>
      <c r="J914" t="s">
        <v>583</v>
      </c>
      <c r="K914" s="195">
        <v>46141.663587962961</v>
      </c>
      <c r="L914">
        <v>201</v>
      </c>
      <c r="M914">
        <v>0</v>
      </c>
      <c r="N914" s="98" t="str">
        <f>IF(record[[#This Row],[Memo]]="Browser:chrome os:android","平板報工",IF(record[[#This Row],[Memo]]=0,"委外",record[[#This Row],[Memo]]))</f>
        <v/>
      </c>
      <c r="O914" t="s">
        <v>58</v>
      </c>
      <c r="P914" t="s">
        <v>109</v>
      </c>
      <c r="Q914" t="s">
        <v>58</v>
      </c>
      <c r="R914" t="str">
        <f>IFERROR(VLOOKUP(record[[#This Row],[PCUSTID]],廠商[],2,FALSE),"")</f>
        <v/>
      </c>
      <c r="S914" t="str">
        <f>VLOOKUP(record[[#This Row],[employeeID]],員工[],2,FALSE)</f>
        <v>裴氏璧鳳</v>
      </c>
    </row>
    <row r="915" spans="6:19" hidden="1" x14ac:dyDescent="0.25">
      <c r="F915" t="s">
        <v>1906</v>
      </c>
      <c r="G915" t="s">
        <v>415</v>
      </c>
      <c r="H915" t="str">
        <f>VLOOKUP(record[[#This Row],[ProcessSN]],表格2_7[],2,FALSE)</f>
        <v>30-4118-018-5XX</v>
      </c>
      <c r="I915" t="str">
        <f>VLOOKUP(record[[#This Row],[ProcessSN]],表格2_7[],3,FALSE)</f>
        <v>#04</v>
      </c>
      <c r="J915" t="s">
        <v>588</v>
      </c>
      <c r="K915" s="195">
        <v>46141.65797453704</v>
      </c>
      <c r="L915">
        <v>167</v>
      </c>
      <c r="M915">
        <v>0</v>
      </c>
      <c r="N915" s="98" t="str">
        <f>IF(record[[#This Row],[Memo]]="Browser:chrome os:android","平板報工",IF(record[[#This Row],[Memo]]=0,"委外",record[[#This Row],[Memo]]))</f>
        <v>平板報工</v>
      </c>
      <c r="O915" t="s">
        <v>643</v>
      </c>
      <c r="P915" t="s">
        <v>145</v>
      </c>
      <c r="Q915" t="s">
        <v>644</v>
      </c>
      <c r="R915" t="str">
        <f>IFERROR(VLOOKUP(record[[#This Row],[PCUSTID]],廠商[],2,FALSE),"")</f>
        <v/>
      </c>
      <c r="S915" t="str">
        <f>VLOOKUP(record[[#This Row],[employeeID]],員工[],2,FALSE)</f>
        <v>阮秋霞</v>
      </c>
    </row>
    <row r="916" spans="6:19" hidden="1" x14ac:dyDescent="0.25">
      <c r="F916" t="s">
        <v>1909</v>
      </c>
      <c r="G916" t="s">
        <v>374</v>
      </c>
      <c r="H916" t="str">
        <f>VLOOKUP(record[[#This Row],[ProcessSN]],表格2_7[],2,FALSE)</f>
        <v>30-4118-018-4XX</v>
      </c>
      <c r="I916" t="str">
        <f>VLOOKUP(record[[#This Row],[ProcessSN]],表格2_7[],3,FALSE)</f>
        <v>#04</v>
      </c>
      <c r="J916" t="s">
        <v>588</v>
      </c>
      <c r="K916" s="195">
        <v>46141.655324074076</v>
      </c>
      <c r="L916">
        <v>85</v>
      </c>
      <c r="M916">
        <v>2</v>
      </c>
      <c r="N916" s="98" t="str">
        <f>IF(record[[#This Row],[Memo]]="Browser:chrome os:android","平板報工",IF(record[[#This Row],[Memo]]=0,"委外",record[[#This Row],[Memo]]))</f>
        <v>平板報工</v>
      </c>
      <c r="O916" t="s">
        <v>643</v>
      </c>
      <c r="P916" t="s">
        <v>145</v>
      </c>
      <c r="Q916" t="s">
        <v>644</v>
      </c>
      <c r="R916" t="str">
        <f>IFERROR(VLOOKUP(record[[#This Row],[PCUSTID]],廠商[],2,FALSE),"")</f>
        <v/>
      </c>
      <c r="S916" t="str">
        <f>VLOOKUP(record[[#This Row],[employeeID]],員工[],2,FALSE)</f>
        <v>阮秋霞</v>
      </c>
    </row>
    <row r="917" spans="6:19" hidden="1" x14ac:dyDescent="0.25">
      <c r="F917" t="s">
        <v>1857</v>
      </c>
      <c r="G917" t="s">
        <v>466</v>
      </c>
      <c r="H917" t="str">
        <f>VLOOKUP(record[[#This Row],[ProcessSN]],表格2_7[],2,FALSE)</f>
        <v>30-4118-018-XXX</v>
      </c>
      <c r="I917" t="str">
        <f>VLOOKUP(record[[#This Row],[ProcessSN]],表格2_7[],3,FALSE)</f>
        <v>#01-2</v>
      </c>
      <c r="J917" t="s">
        <v>588</v>
      </c>
      <c r="K917" s="195">
        <v>46141.654479166667</v>
      </c>
      <c r="L917">
        <v>168</v>
      </c>
      <c r="M917">
        <v>0</v>
      </c>
      <c r="N917" s="98" t="str">
        <f>IF(record[[#This Row],[Memo]]="Browser:chrome os:android","平板報工",IF(record[[#This Row],[Memo]]=0,"委外",record[[#This Row],[Memo]]))</f>
        <v>平板報工</v>
      </c>
      <c r="O917" t="s">
        <v>643</v>
      </c>
      <c r="P917" t="s">
        <v>145</v>
      </c>
      <c r="Q917" t="s">
        <v>644</v>
      </c>
      <c r="R917" t="str">
        <f>IFERROR(VLOOKUP(record[[#This Row],[PCUSTID]],廠商[],2,FALSE),"")</f>
        <v/>
      </c>
      <c r="S917" t="str">
        <f>VLOOKUP(record[[#This Row],[employeeID]],員工[],2,FALSE)</f>
        <v>阮秋霞</v>
      </c>
    </row>
    <row r="918" spans="6:19" hidden="1" x14ac:dyDescent="0.25">
      <c r="F918" t="s">
        <v>1857</v>
      </c>
      <c r="G918" t="s">
        <v>465</v>
      </c>
      <c r="H918" t="str">
        <f>VLOOKUP(record[[#This Row],[ProcessSN]],表格2_7[],2,FALSE)</f>
        <v>30-4118-018-XXX</v>
      </c>
      <c r="I918" t="str">
        <f>VLOOKUP(record[[#This Row],[ProcessSN]],表格2_7[],3,FALSE)</f>
        <v>#01-1</v>
      </c>
      <c r="J918" t="s">
        <v>588</v>
      </c>
      <c r="K918" s="195">
        <v>46141.653194444443</v>
      </c>
      <c r="L918">
        <v>816</v>
      </c>
      <c r="M918">
        <v>0</v>
      </c>
      <c r="N918" s="98" t="str">
        <f>IF(record[[#This Row],[Memo]]="Browser:chrome os:android","平板報工",IF(record[[#This Row],[Memo]]=0,"委外",record[[#This Row],[Memo]]))</f>
        <v>平板報工</v>
      </c>
      <c r="O918" t="s">
        <v>643</v>
      </c>
      <c r="P918" t="s">
        <v>107</v>
      </c>
      <c r="Q918" t="s">
        <v>644</v>
      </c>
      <c r="R918" t="str">
        <f>IFERROR(VLOOKUP(record[[#This Row],[PCUSTID]],廠商[],2,FALSE),"")</f>
        <v/>
      </c>
      <c r="S918" t="str">
        <f>VLOOKUP(record[[#This Row],[employeeID]],員工[],2,FALSE)</f>
        <v>黎氏順</v>
      </c>
    </row>
    <row r="919" spans="6:19" hidden="1" x14ac:dyDescent="0.25">
      <c r="F919" t="s">
        <v>1906</v>
      </c>
      <c r="G919" t="s">
        <v>418</v>
      </c>
      <c r="H919" t="str">
        <f>VLOOKUP(record[[#This Row],[ProcessSN]],表格2_7[],2,FALSE)</f>
        <v>30-4118-018-5XX</v>
      </c>
      <c r="I919" t="str">
        <f>VLOOKUP(record[[#This Row],[ProcessSN]],表格2_7[],3,FALSE)</f>
        <v>#07</v>
      </c>
      <c r="J919" t="s">
        <v>588</v>
      </c>
      <c r="K919" s="195">
        <v>46141.650462962964</v>
      </c>
      <c r="L919">
        <v>230</v>
      </c>
      <c r="M919">
        <v>0</v>
      </c>
      <c r="N919" s="98" t="str">
        <f>IF(record[[#This Row],[Memo]]="Browser:chrome os:android","平板報工",IF(record[[#This Row],[Memo]]=0,"委外",record[[#This Row],[Memo]]))</f>
        <v>平板報工</v>
      </c>
      <c r="O919" t="s">
        <v>643</v>
      </c>
      <c r="P919" t="s">
        <v>145</v>
      </c>
      <c r="Q919" t="s">
        <v>644</v>
      </c>
      <c r="R919" t="str">
        <f>IFERROR(VLOOKUP(record[[#This Row],[PCUSTID]],廠商[],2,FALSE),"")</f>
        <v/>
      </c>
      <c r="S919" t="str">
        <f>VLOOKUP(record[[#This Row],[employeeID]],員工[],2,FALSE)</f>
        <v>阮秋霞</v>
      </c>
    </row>
    <row r="920" spans="6:19" hidden="1" x14ac:dyDescent="0.25">
      <c r="F920" t="s">
        <v>1906</v>
      </c>
      <c r="G920" t="s">
        <v>416</v>
      </c>
      <c r="H920" t="str">
        <f>VLOOKUP(record[[#This Row],[ProcessSN]],表格2_7[],2,FALSE)</f>
        <v>30-4118-018-5XX</v>
      </c>
      <c r="I920" t="str">
        <f>VLOOKUP(record[[#This Row],[ProcessSN]],表格2_7[],3,FALSE)</f>
        <v>#05</v>
      </c>
      <c r="J920" t="s">
        <v>588</v>
      </c>
      <c r="K920" s="195">
        <v>46141.647094907406</v>
      </c>
      <c r="L920">
        <v>272</v>
      </c>
      <c r="M920">
        <v>0</v>
      </c>
      <c r="N920" s="98" t="str">
        <f>IF(record[[#This Row],[Memo]]="Browser:chrome os:android","平板報工",IF(record[[#This Row],[Memo]]=0,"委外",record[[#This Row],[Memo]]))</f>
        <v>平板報工</v>
      </c>
      <c r="O920" t="s">
        <v>643</v>
      </c>
      <c r="P920" t="s">
        <v>785</v>
      </c>
      <c r="Q920" t="s">
        <v>644</v>
      </c>
      <c r="R920" t="str">
        <f>IFERROR(VLOOKUP(record[[#This Row],[PCUSTID]],廠商[],2,FALSE),"")</f>
        <v/>
      </c>
      <c r="S920" t="str">
        <f>VLOOKUP(record[[#This Row],[employeeID]],員工[],2,FALSE)</f>
        <v>謝刻光</v>
      </c>
    </row>
    <row r="921" spans="6:19" hidden="1" x14ac:dyDescent="0.25">
      <c r="F921" t="s">
        <v>1945</v>
      </c>
      <c r="G921" t="s">
        <v>445</v>
      </c>
      <c r="H921" t="str">
        <f>VLOOKUP(record[[#This Row],[ProcessSN]],表格2_7[],2,FALSE)</f>
        <v>30-4118-018-6XX</v>
      </c>
      <c r="I921" t="str">
        <f>VLOOKUP(record[[#This Row],[ProcessSN]],表格2_7[],3,FALSE)</f>
        <v>#03PICK</v>
      </c>
      <c r="J921" t="s">
        <v>582</v>
      </c>
      <c r="K921" s="195">
        <v>46141.642905092594</v>
      </c>
      <c r="L921">
        <v>1688</v>
      </c>
      <c r="M921">
        <v>0</v>
      </c>
      <c r="N921" s="98" t="str">
        <f>IF(record[[#This Row],[Memo]]="Browser:chrome os:android","平板報工",IF(record[[#This Row],[Memo]]=0,"委外",record[[#This Row],[Memo]]))</f>
        <v/>
      </c>
      <c r="O921" t="s">
        <v>58</v>
      </c>
      <c r="P921" t="s">
        <v>186</v>
      </c>
      <c r="Q921" t="s">
        <v>58</v>
      </c>
      <c r="R921" t="str">
        <f>IFERROR(VLOOKUP(record[[#This Row],[PCUSTID]],廠商[],2,FALSE),"")</f>
        <v/>
      </c>
      <c r="S921" t="str">
        <f>VLOOKUP(record[[#This Row],[employeeID]],員工[],2,FALSE)</f>
        <v>許文姍</v>
      </c>
    </row>
    <row r="922" spans="6:19" hidden="1" x14ac:dyDescent="0.25">
      <c r="F922" t="s">
        <v>1944</v>
      </c>
      <c r="G922" t="s">
        <v>412</v>
      </c>
      <c r="H922" t="str">
        <f>VLOOKUP(record[[#This Row],[ProcessSN]],表格2_7[],2,FALSE)</f>
        <v>30-4118-018-5XX</v>
      </c>
      <c r="I922" t="str">
        <f>VLOOKUP(record[[#This Row],[ProcessSN]],表格2_7[],3,FALSE)</f>
        <v>#03PICK</v>
      </c>
      <c r="J922" t="s">
        <v>582</v>
      </c>
      <c r="K922" s="195">
        <v>46141.642754629633</v>
      </c>
      <c r="L922">
        <v>2000</v>
      </c>
      <c r="M922">
        <v>0</v>
      </c>
      <c r="N922" s="98" t="str">
        <f>IF(record[[#This Row],[Memo]]="Browser:chrome os:android","平板報工",IF(record[[#This Row],[Memo]]=0,"委外",record[[#This Row],[Memo]]))</f>
        <v/>
      </c>
      <c r="O922" t="s">
        <v>58</v>
      </c>
      <c r="P922" t="s">
        <v>186</v>
      </c>
      <c r="Q922" t="s">
        <v>58</v>
      </c>
      <c r="R922" t="str">
        <f>IFERROR(VLOOKUP(record[[#This Row],[PCUSTID]],廠商[],2,FALSE),"")</f>
        <v/>
      </c>
      <c r="S922" t="str">
        <f>VLOOKUP(record[[#This Row],[employeeID]],員工[],2,FALSE)</f>
        <v>許文姍</v>
      </c>
    </row>
    <row r="923" spans="6:19" hidden="1" x14ac:dyDescent="0.25">
      <c r="F923" t="s">
        <v>1906</v>
      </c>
      <c r="G923" t="s">
        <v>417</v>
      </c>
      <c r="H923" t="str">
        <f>VLOOKUP(record[[#This Row],[ProcessSN]],表格2_7[],2,FALSE)</f>
        <v>30-4118-018-5XX</v>
      </c>
      <c r="I923" t="str">
        <f>VLOOKUP(record[[#This Row],[ProcessSN]],表格2_7[],3,FALSE)</f>
        <v>#06</v>
      </c>
      <c r="J923" t="s">
        <v>593</v>
      </c>
      <c r="K923" s="195">
        <v>46141.636747685188</v>
      </c>
      <c r="L923">
        <v>266</v>
      </c>
      <c r="M923">
        <v>0</v>
      </c>
      <c r="N923" s="98" t="str">
        <f>IF(record[[#This Row],[Memo]]="Browser:chrome os:android","平板報工",IF(record[[#This Row],[Memo]]=0,"委外",record[[#This Row],[Memo]]))</f>
        <v>平板報工</v>
      </c>
      <c r="O923" t="s">
        <v>643</v>
      </c>
      <c r="P923" t="s">
        <v>1413</v>
      </c>
      <c r="Q923" t="s">
        <v>644</v>
      </c>
      <c r="R923" t="str">
        <f>IFERROR(VLOOKUP(record[[#This Row],[PCUSTID]],廠商[],2,FALSE),"")</f>
        <v/>
      </c>
      <c r="S923" t="str">
        <f>VLOOKUP(record[[#This Row],[employeeID]],員工[],2,FALSE)</f>
        <v>阮氏芳英(芳)</v>
      </c>
    </row>
    <row r="924" spans="6:19" hidden="1" x14ac:dyDescent="0.25">
      <c r="F924" t="s">
        <v>1906</v>
      </c>
      <c r="G924" t="s">
        <v>420</v>
      </c>
      <c r="H924" t="str">
        <f>VLOOKUP(record[[#This Row],[ProcessSN]],表格2_7[],2,FALSE)</f>
        <v>30-4118-018-5XX</v>
      </c>
      <c r="I924" t="str">
        <f>VLOOKUP(record[[#This Row],[ProcessSN]],表格2_7[],3,FALSE)</f>
        <v>#07STOCK</v>
      </c>
      <c r="J924" t="s">
        <v>592</v>
      </c>
      <c r="K924" s="195">
        <v>46141.544374999998</v>
      </c>
      <c r="L924">
        <v>465</v>
      </c>
      <c r="M924">
        <v>0</v>
      </c>
      <c r="N924" s="98" t="str">
        <f>IF(record[[#This Row],[Memo]]="Browser:chrome os:android","平板報工",IF(record[[#This Row],[Memo]]=0,"委外",record[[#This Row],[Memo]]))</f>
        <v/>
      </c>
      <c r="O924" t="s">
        <v>58</v>
      </c>
      <c r="P924" t="s">
        <v>186</v>
      </c>
      <c r="Q924" t="s">
        <v>58</v>
      </c>
      <c r="R924" t="str">
        <f>IFERROR(VLOOKUP(record[[#This Row],[PCUSTID]],廠商[],2,FALSE),"")</f>
        <v/>
      </c>
      <c r="S924" t="str">
        <f>VLOOKUP(record[[#This Row],[employeeID]],員工[],2,FALSE)</f>
        <v>許文姍</v>
      </c>
    </row>
    <row r="925" spans="6:19" hidden="1" x14ac:dyDescent="0.25">
      <c r="F925" t="s">
        <v>1906</v>
      </c>
      <c r="G925" t="s">
        <v>419</v>
      </c>
      <c r="H925" t="str">
        <f>VLOOKUP(record[[#This Row],[ProcessSN]],表格2_7[],2,FALSE)</f>
        <v>30-4118-018-5XX</v>
      </c>
      <c r="I925" t="str">
        <f>VLOOKUP(record[[#This Row],[ProcessSN]],表格2_7[],3,FALSE)</f>
        <v>#07QC</v>
      </c>
      <c r="J925" t="s">
        <v>589</v>
      </c>
      <c r="K925" s="195">
        <v>46141.469571759262</v>
      </c>
      <c r="L925">
        <v>0</v>
      </c>
      <c r="M925">
        <v>23</v>
      </c>
      <c r="N925" s="98" t="str">
        <f>IF(record[[#This Row],[Memo]]="Browser:chrome os:android","平板報工",IF(record[[#This Row],[Memo]]=0,"委外",record[[#This Row],[Memo]]))</f>
        <v/>
      </c>
      <c r="O925" t="s">
        <v>58</v>
      </c>
      <c r="P925" t="s">
        <v>141</v>
      </c>
      <c r="Q925" t="s">
        <v>58</v>
      </c>
      <c r="R925" t="str">
        <f>IFERROR(VLOOKUP(record[[#This Row],[PCUSTID]],廠商[],2,FALSE),"")</f>
        <v/>
      </c>
      <c r="S925" t="str">
        <f>VLOOKUP(record[[#This Row],[employeeID]],員工[],2,FALSE)</f>
        <v>蔣梅</v>
      </c>
    </row>
    <row r="926" spans="6:19" hidden="1" x14ac:dyDescent="0.25">
      <c r="F926" t="s">
        <v>1818</v>
      </c>
      <c r="G926" t="s">
        <v>471</v>
      </c>
      <c r="H926" t="str">
        <f>VLOOKUP(record[[#This Row],[ProcessSN]],表格2_7[],2,FALSE)</f>
        <v>30-4118-018-XXX</v>
      </c>
      <c r="I926" t="str">
        <f>VLOOKUP(record[[#This Row],[ProcessSN]],表格2_7[],3,FALSE)</f>
        <v>#02STOCK</v>
      </c>
      <c r="J926" t="s">
        <v>592</v>
      </c>
      <c r="K926" s="195">
        <v>46141.456909722219</v>
      </c>
      <c r="L926">
        <v>859</v>
      </c>
      <c r="M926">
        <v>0</v>
      </c>
      <c r="N926" s="98" t="str">
        <f>IF(record[[#This Row],[Memo]]="Browser:chrome os:android","平板報工",IF(record[[#This Row],[Memo]]=0,"委外",record[[#This Row],[Memo]]))</f>
        <v/>
      </c>
      <c r="O926" t="s">
        <v>58</v>
      </c>
      <c r="P926" t="s">
        <v>1698</v>
      </c>
      <c r="Q926" t="s">
        <v>58</v>
      </c>
      <c r="R926" t="str">
        <f>IFERROR(VLOOKUP(record[[#This Row],[PCUSTID]],廠商[],2,FALSE),"")</f>
        <v/>
      </c>
      <c r="S926" t="str">
        <f>VLOOKUP(record[[#This Row],[employeeID]],員工[],2,FALSE)</f>
        <v>羅思潔</v>
      </c>
    </row>
    <row r="927" spans="6:19" hidden="1" x14ac:dyDescent="0.25">
      <c r="F927" t="s">
        <v>1906</v>
      </c>
      <c r="G927" t="s">
        <v>419</v>
      </c>
      <c r="H927" t="str">
        <f>VLOOKUP(record[[#This Row],[ProcessSN]],表格2_7[],2,FALSE)</f>
        <v>30-4118-018-5XX</v>
      </c>
      <c r="I927" t="str">
        <f>VLOOKUP(record[[#This Row],[ProcessSN]],表格2_7[],3,FALSE)</f>
        <v>#07QC</v>
      </c>
      <c r="J927" t="s">
        <v>589</v>
      </c>
      <c r="K927" s="195">
        <v>46141.450023148151</v>
      </c>
      <c r="L927">
        <v>465</v>
      </c>
      <c r="M927">
        <v>0</v>
      </c>
      <c r="N927" s="98" t="str">
        <f>IF(record[[#This Row],[Memo]]="Browser:chrome os:android","平板報工",IF(record[[#This Row],[Memo]]=0,"委外",record[[#This Row],[Memo]]))</f>
        <v/>
      </c>
      <c r="O927" t="s">
        <v>58</v>
      </c>
      <c r="P927" t="s">
        <v>99</v>
      </c>
      <c r="Q927" t="s">
        <v>58</v>
      </c>
      <c r="R927" t="str">
        <f>IFERROR(VLOOKUP(record[[#This Row],[PCUSTID]],廠商[],2,FALSE),"")</f>
        <v/>
      </c>
      <c r="S927" t="str">
        <f>VLOOKUP(record[[#This Row],[employeeID]],員工[],2,FALSE)</f>
        <v>阮氏河</v>
      </c>
    </row>
    <row r="928" spans="6:19" hidden="1" x14ac:dyDescent="0.25">
      <c r="F928" t="s">
        <v>1941</v>
      </c>
      <c r="G928" t="s">
        <v>381</v>
      </c>
      <c r="H928" t="str">
        <f>VLOOKUP(record[[#This Row],[ProcessSN]],表格2_7[],2,FALSE)</f>
        <v>30-4118-018-500</v>
      </c>
      <c r="I928" t="str">
        <f>VLOOKUP(record[[#This Row],[ProcessSN]],表格2_7[],3,FALSE)</f>
        <v>#08</v>
      </c>
      <c r="J928" t="s">
        <v>597</v>
      </c>
      <c r="K928" s="195">
        <v>46141.449074074073</v>
      </c>
      <c r="L928">
        <v>129</v>
      </c>
      <c r="M928">
        <v>0</v>
      </c>
      <c r="N928" s="98" t="str">
        <f>IF(record[[#This Row],[Memo]]="Browser:chrome os:android","平板報工",IF(record[[#This Row],[Memo]]=0,"委外",record[[#This Row],[Memo]]))</f>
        <v>委外</v>
      </c>
      <c r="P928" t="s">
        <v>186</v>
      </c>
      <c r="Q928" t="s">
        <v>287</v>
      </c>
      <c r="R928" t="str">
        <f>IFERROR(VLOOKUP(record[[#This Row],[PCUSTID]],廠商[],2,FALSE),"")</f>
        <v>泉盛</v>
      </c>
      <c r="S928" t="str">
        <f>VLOOKUP(record[[#This Row],[employeeID]],員工[],2,FALSE)</f>
        <v>許文姍</v>
      </c>
    </row>
    <row r="929" spans="6:19" hidden="1" x14ac:dyDescent="0.25">
      <c r="F929" t="s">
        <v>1940</v>
      </c>
      <c r="G929" t="s">
        <v>397</v>
      </c>
      <c r="H929" t="str">
        <f>VLOOKUP(record[[#This Row],[ProcessSN]],表格2_7[],2,FALSE)</f>
        <v>30-4118-018-550</v>
      </c>
      <c r="I929" t="str">
        <f>VLOOKUP(record[[#This Row],[ProcessSN]],表格2_7[],3,FALSE)</f>
        <v>#08</v>
      </c>
      <c r="J929" t="s">
        <v>597</v>
      </c>
      <c r="K929" s="195">
        <v>46141.448946759258</v>
      </c>
      <c r="L929">
        <v>336</v>
      </c>
      <c r="M929">
        <v>0</v>
      </c>
      <c r="N929" s="98" t="str">
        <f>IF(record[[#This Row],[Memo]]="Browser:chrome os:android","平板報工",IF(record[[#This Row],[Memo]]=0,"委外",record[[#This Row],[Memo]]))</f>
        <v>委外</v>
      </c>
      <c r="P929" t="s">
        <v>186</v>
      </c>
      <c r="Q929" t="s">
        <v>287</v>
      </c>
      <c r="R929" t="str">
        <f>IFERROR(VLOOKUP(record[[#This Row],[PCUSTID]],廠商[],2,FALSE),"")</f>
        <v>泉盛</v>
      </c>
      <c r="S929" t="str">
        <f>VLOOKUP(record[[#This Row],[employeeID]],員工[],2,FALSE)</f>
        <v>許文姍</v>
      </c>
    </row>
    <row r="930" spans="6:19" hidden="1" x14ac:dyDescent="0.25">
      <c r="F930" t="s">
        <v>1941</v>
      </c>
      <c r="G930" t="s">
        <v>380</v>
      </c>
      <c r="H930" t="str">
        <f>VLOOKUP(record[[#This Row],[ProcessSN]],表格2_7[],2,FALSE)</f>
        <v>30-4118-018-500</v>
      </c>
      <c r="I930" t="str">
        <f>VLOOKUP(record[[#This Row],[ProcessSN]],表格2_7[],3,FALSE)</f>
        <v>#08PICK</v>
      </c>
      <c r="J930" t="s">
        <v>582</v>
      </c>
      <c r="K930" s="195">
        <v>46141.448391203703</v>
      </c>
      <c r="L930">
        <v>129</v>
      </c>
      <c r="M930">
        <v>0</v>
      </c>
      <c r="N930" s="98" t="str">
        <f>IF(record[[#This Row],[Memo]]="Browser:chrome os:android","平板報工",IF(record[[#This Row],[Memo]]=0,"委外",record[[#This Row],[Memo]]))</f>
        <v/>
      </c>
      <c r="O930" t="s">
        <v>58</v>
      </c>
      <c r="P930" t="s">
        <v>186</v>
      </c>
      <c r="Q930" t="s">
        <v>58</v>
      </c>
      <c r="R930" t="str">
        <f>IFERROR(VLOOKUP(record[[#This Row],[PCUSTID]],廠商[],2,FALSE),"")</f>
        <v/>
      </c>
      <c r="S930" t="str">
        <f>VLOOKUP(record[[#This Row],[employeeID]],員工[],2,FALSE)</f>
        <v>許文姍</v>
      </c>
    </row>
    <row r="931" spans="6:19" hidden="1" x14ac:dyDescent="0.25">
      <c r="F931" t="s">
        <v>1940</v>
      </c>
      <c r="G931" t="s">
        <v>396</v>
      </c>
      <c r="H931" t="str">
        <f>VLOOKUP(record[[#This Row],[ProcessSN]],表格2_7[],2,FALSE)</f>
        <v>30-4118-018-550</v>
      </c>
      <c r="I931" t="str">
        <f>VLOOKUP(record[[#This Row],[ProcessSN]],表格2_7[],3,FALSE)</f>
        <v>#08PICK</v>
      </c>
      <c r="J931" t="s">
        <v>582</v>
      </c>
      <c r="K931" s="195">
        <v>46141.448310185187</v>
      </c>
      <c r="L931">
        <v>336</v>
      </c>
      <c r="M931">
        <v>0</v>
      </c>
      <c r="N931" s="98" t="str">
        <f>IF(record[[#This Row],[Memo]]="Browser:chrome os:android","平板報工",IF(record[[#This Row],[Memo]]=0,"委外",record[[#This Row],[Memo]]))</f>
        <v/>
      </c>
      <c r="O931" t="s">
        <v>58</v>
      </c>
      <c r="P931" t="s">
        <v>186</v>
      </c>
      <c r="Q931" t="s">
        <v>58</v>
      </c>
      <c r="R931" t="str">
        <f>IFERROR(VLOOKUP(record[[#This Row],[PCUSTID]],廠商[],2,FALSE),"")</f>
        <v/>
      </c>
      <c r="S931" t="str">
        <f>VLOOKUP(record[[#This Row],[employeeID]],員工[],2,FALSE)</f>
        <v>許文姍</v>
      </c>
    </row>
    <row r="932" spans="6:19" hidden="1" x14ac:dyDescent="0.25">
      <c r="F932" t="s">
        <v>1918</v>
      </c>
      <c r="G932" t="s">
        <v>423</v>
      </c>
      <c r="H932" t="str">
        <f>VLOOKUP(record[[#This Row],[ProcessSN]],表格2_7[],2,FALSE)</f>
        <v>30-4118-018-600</v>
      </c>
      <c r="I932" t="str">
        <f>VLOOKUP(record[[#This Row],[ProcessSN]],表格2_7[],3,FALSE)</f>
        <v>#08RCV</v>
      </c>
      <c r="J932" t="s">
        <v>591</v>
      </c>
      <c r="K932" s="195">
        <v>46141.447280092594</v>
      </c>
      <c r="L932">
        <v>0</v>
      </c>
      <c r="M932">
        <v>39</v>
      </c>
      <c r="N932" s="98" t="str">
        <f>IF(record[[#This Row],[Memo]]="Browser:chrome os:android","平板報工",IF(record[[#This Row],[Memo]]=0,"委外",record[[#This Row],[Memo]]))</f>
        <v/>
      </c>
      <c r="O932" t="s">
        <v>58</v>
      </c>
      <c r="P932" t="s">
        <v>186</v>
      </c>
      <c r="Q932" t="s">
        <v>58</v>
      </c>
      <c r="R932" t="str">
        <f>IFERROR(VLOOKUP(record[[#This Row],[PCUSTID]],廠商[],2,FALSE),"")</f>
        <v/>
      </c>
      <c r="S932" t="str">
        <f>VLOOKUP(record[[#This Row],[employeeID]],員工[],2,FALSE)</f>
        <v>許文姍</v>
      </c>
    </row>
    <row r="933" spans="6:19" hidden="1" x14ac:dyDescent="0.25">
      <c r="F933" t="s">
        <v>1915</v>
      </c>
      <c r="G933" t="s">
        <v>398</v>
      </c>
      <c r="H933" t="str">
        <f>VLOOKUP(record[[#This Row],[ProcessSN]],表格2_7[],2,FALSE)</f>
        <v>30-4118-018-550</v>
      </c>
      <c r="I933" t="str">
        <f>VLOOKUP(record[[#This Row],[ProcessSN]],表格2_7[],3,FALSE)</f>
        <v>#08RCV</v>
      </c>
      <c r="J933" t="s">
        <v>591</v>
      </c>
      <c r="K933" s="195">
        <v>46141.446979166663</v>
      </c>
      <c r="L933">
        <v>506</v>
      </c>
      <c r="M933">
        <v>0</v>
      </c>
      <c r="N933" s="98" t="str">
        <f>IF(record[[#This Row],[Memo]]="Browser:chrome os:android","平板報工",IF(record[[#This Row],[Memo]]=0,"委外",record[[#This Row],[Memo]]))</f>
        <v/>
      </c>
      <c r="O933" t="s">
        <v>58</v>
      </c>
      <c r="P933" t="s">
        <v>186</v>
      </c>
      <c r="Q933" t="s">
        <v>58</v>
      </c>
      <c r="R933" t="str">
        <f>IFERROR(VLOOKUP(record[[#This Row],[PCUSTID]],廠商[],2,FALSE),"")</f>
        <v/>
      </c>
      <c r="S933" t="str">
        <f>VLOOKUP(record[[#This Row],[employeeID]],員工[],2,FALSE)</f>
        <v>許文姍</v>
      </c>
    </row>
    <row r="934" spans="6:19" hidden="1" x14ac:dyDescent="0.25">
      <c r="F934" t="s">
        <v>1918</v>
      </c>
      <c r="G934" t="s">
        <v>423</v>
      </c>
      <c r="H934" t="str">
        <f>VLOOKUP(record[[#This Row],[ProcessSN]],表格2_7[],2,FALSE)</f>
        <v>30-4118-018-600</v>
      </c>
      <c r="I934" t="str">
        <f>VLOOKUP(record[[#This Row],[ProcessSN]],表格2_7[],3,FALSE)</f>
        <v>#08RCV</v>
      </c>
      <c r="J934" t="s">
        <v>591</v>
      </c>
      <c r="K934" s="195">
        <v>46141.446863425925</v>
      </c>
      <c r="L934">
        <v>201</v>
      </c>
      <c r="M934">
        <v>0</v>
      </c>
      <c r="N934" s="98" t="str">
        <f>IF(record[[#This Row],[Memo]]="Browser:chrome os:android","平板報工",IF(record[[#This Row],[Memo]]=0,"委外",record[[#This Row],[Memo]]))</f>
        <v/>
      </c>
      <c r="O934" t="s">
        <v>58</v>
      </c>
      <c r="P934" t="s">
        <v>186</v>
      </c>
      <c r="Q934" t="s">
        <v>58</v>
      </c>
      <c r="R934" t="str">
        <f>IFERROR(VLOOKUP(record[[#This Row],[PCUSTID]],廠商[],2,FALSE),"")</f>
        <v/>
      </c>
      <c r="S934" t="str">
        <f>VLOOKUP(record[[#This Row],[employeeID]],員工[],2,FALSE)</f>
        <v>許文姍</v>
      </c>
    </row>
    <row r="935" spans="6:19" hidden="1" x14ac:dyDescent="0.25">
      <c r="F935" t="s">
        <v>1919</v>
      </c>
      <c r="G935" t="s">
        <v>444</v>
      </c>
      <c r="H935" t="str">
        <f>VLOOKUP(record[[#This Row],[ProcessSN]],表格2_7[],2,FALSE)</f>
        <v>30-4118-018-650</v>
      </c>
      <c r="I935" t="str">
        <f>VLOOKUP(record[[#This Row],[ProcessSN]],表格2_7[],3,FALSE)</f>
        <v>#100SHIP</v>
      </c>
      <c r="J935" t="s">
        <v>600</v>
      </c>
      <c r="K935" s="195">
        <v>46141.368576388886</v>
      </c>
      <c r="L935">
        <v>417</v>
      </c>
      <c r="M935">
        <v>0</v>
      </c>
      <c r="N935" s="98" t="str">
        <f>IF(record[[#This Row],[Memo]]="Browser:chrome os:android","平板報工",IF(record[[#This Row],[Memo]]=0,"委外",record[[#This Row],[Memo]]))</f>
        <v>補4/28出貨</v>
      </c>
      <c r="O935" t="s">
        <v>1939</v>
      </c>
      <c r="P935" t="s">
        <v>886</v>
      </c>
      <c r="Q935" t="s">
        <v>58</v>
      </c>
      <c r="R935" t="str">
        <f>IFERROR(VLOOKUP(record[[#This Row],[PCUSTID]],廠商[],2,FALSE),"")</f>
        <v/>
      </c>
      <c r="S935" t="str">
        <f>VLOOKUP(record[[#This Row],[employeeID]],員工[],2,FALSE)</f>
        <v>謝蓁薰</v>
      </c>
    </row>
    <row r="936" spans="6:19" hidden="1" x14ac:dyDescent="0.25">
      <c r="F936" t="s">
        <v>1919</v>
      </c>
      <c r="G936" t="s">
        <v>443</v>
      </c>
      <c r="H936" t="str">
        <f>VLOOKUP(record[[#This Row],[ProcessSN]],表格2_7[],2,FALSE)</f>
        <v>30-4118-018-650</v>
      </c>
      <c r="I936" t="str">
        <f>VLOOKUP(record[[#This Row],[ProcessSN]],表格2_7[],3,FALSE)</f>
        <v>#100STOCK</v>
      </c>
      <c r="J936" t="s">
        <v>592</v>
      </c>
      <c r="K936" s="195">
        <v>46141.368333333332</v>
      </c>
      <c r="L936">
        <v>417</v>
      </c>
      <c r="M936">
        <v>0</v>
      </c>
      <c r="N936" s="98" t="str">
        <f>IF(record[[#This Row],[Memo]]="Browser:chrome os:android","平板報工",IF(record[[#This Row],[Memo]]=0,"委外",record[[#This Row],[Memo]]))</f>
        <v/>
      </c>
      <c r="O936" t="s">
        <v>58</v>
      </c>
      <c r="P936" t="s">
        <v>886</v>
      </c>
      <c r="Q936" t="s">
        <v>58</v>
      </c>
      <c r="R936" t="str">
        <f>IFERROR(VLOOKUP(record[[#This Row],[PCUSTID]],廠商[],2,FALSE),"")</f>
        <v/>
      </c>
      <c r="S936" t="str">
        <f>VLOOKUP(record[[#This Row],[employeeID]],員工[],2,FALSE)</f>
        <v>謝蓁薰</v>
      </c>
    </row>
    <row r="937" spans="6:19" hidden="1" x14ac:dyDescent="0.25">
      <c r="F937" t="s">
        <v>1884</v>
      </c>
      <c r="G937" t="s">
        <v>354</v>
      </c>
      <c r="H937" t="str">
        <f>VLOOKUP(record[[#This Row],[ProcessSN]],表格2_7[],2,FALSE)</f>
        <v>30-4118-018-420</v>
      </c>
      <c r="I937" t="str">
        <f>VLOOKUP(record[[#This Row],[ProcessSN]],表格2_7[],3,FALSE)</f>
        <v>#100SHIP</v>
      </c>
      <c r="J937" t="s">
        <v>600</v>
      </c>
      <c r="K937" s="195">
        <v>46141.366053240738</v>
      </c>
      <c r="L937">
        <v>1</v>
      </c>
      <c r="M937">
        <v>0</v>
      </c>
      <c r="N937" s="98" t="str">
        <f>IF(record[[#This Row],[Memo]]="Browser:chrome os:android","平板報工",IF(record[[#This Row],[Memo]]=0,"委外",record[[#This Row],[Memo]]))</f>
        <v/>
      </c>
      <c r="O937" t="s">
        <v>58</v>
      </c>
      <c r="P937" t="s">
        <v>886</v>
      </c>
      <c r="Q937" t="s">
        <v>58</v>
      </c>
      <c r="R937" t="str">
        <f>IFERROR(VLOOKUP(record[[#This Row],[PCUSTID]],廠商[],2,FALSE),"")</f>
        <v/>
      </c>
      <c r="S937" t="str">
        <f>VLOOKUP(record[[#This Row],[employeeID]],員工[],2,FALSE)</f>
        <v>謝蓁薰</v>
      </c>
    </row>
    <row r="938" spans="6:19" hidden="1" x14ac:dyDescent="0.25">
      <c r="F938" t="s">
        <v>1884</v>
      </c>
      <c r="G938" t="s">
        <v>353</v>
      </c>
      <c r="H938" t="str">
        <f>VLOOKUP(record[[#This Row],[ProcessSN]],表格2_7[],2,FALSE)</f>
        <v>30-4118-018-420</v>
      </c>
      <c r="I938" t="str">
        <f>VLOOKUP(record[[#This Row],[ProcessSN]],表格2_7[],3,FALSE)</f>
        <v>#100STOCK</v>
      </c>
      <c r="J938" t="s">
        <v>592</v>
      </c>
      <c r="K938" s="195">
        <v>46141.365937499999</v>
      </c>
      <c r="L938">
        <v>1</v>
      </c>
      <c r="M938">
        <v>0</v>
      </c>
      <c r="N938" s="98" t="str">
        <f>IF(record[[#This Row],[Memo]]="Browser:chrome os:android","平板報工",IF(record[[#This Row],[Memo]]=0,"委外",record[[#This Row],[Memo]]))</f>
        <v/>
      </c>
      <c r="O938" t="s">
        <v>58</v>
      </c>
      <c r="P938" t="s">
        <v>886</v>
      </c>
      <c r="Q938" t="s">
        <v>58</v>
      </c>
      <c r="R938" t="str">
        <f>IFERROR(VLOOKUP(record[[#This Row],[PCUSTID]],廠商[],2,FALSE),"")</f>
        <v/>
      </c>
      <c r="S938" t="str">
        <f>VLOOKUP(record[[#This Row],[employeeID]],員工[],2,FALSE)</f>
        <v>謝蓁薰</v>
      </c>
    </row>
    <row r="939" spans="6:19" hidden="1" x14ac:dyDescent="0.25">
      <c r="F939" t="s">
        <v>1918</v>
      </c>
      <c r="G939" t="s">
        <v>425</v>
      </c>
      <c r="H939" t="str">
        <f>VLOOKUP(record[[#This Row],[ProcessSN]],表格2_7[],2,FALSE)</f>
        <v>30-4118-018-600</v>
      </c>
      <c r="I939" t="str">
        <f>VLOOKUP(record[[#This Row],[ProcessSN]],表格2_7[],3,FALSE)</f>
        <v>#100</v>
      </c>
      <c r="J939" t="s">
        <v>598</v>
      </c>
      <c r="K939" s="195">
        <v>46141.33666666667</v>
      </c>
      <c r="L939">
        <v>64</v>
      </c>
      <c r="M939">
        <v>0</v>
      </c>
      <c r="N939" s="98" t="str">
        <f>IF(record[[#This Row],[Memo]]="Browser:chrome os:android","平板報工",IF(record[[#This Row],[Memo]]=0,"委外",record[[#This Row],[Memo]]))</f>
        <v/>
      </c>
      <c r="O939" t="s">
        <v>58</v>
      </c>
      <c r="P939" t="s">
        <v>141</v>
      </c>
      <c r="Q939" t="s">
        <v>58</v>
      </c>
      <c r="R939" t="str">
        <f>IFERROR(VLOOKUP(record[[#This Row],[PCUSTID]],廠商[],2,FALSE),"")</f>
        <v/>
      </c>
      <c r="S939" t="str">
        <f>VLOOKUP(record[[#This Row],[employeeID]],員工[],2,FALSE)</f>
        <v>蔣梅</v>
      </c>
    </row>
    <row r="940" spans="6:19" hidden="1" x14ac:dyDescent="0.25">
      <c r="F940" t="s">
        <v>1919</v>
      </c>
      <c r="G940" t="s">
        <v>442</v>
      </c>
      <c r="H940" t="str">
        <f>VLOOKUP(record[[#This Row],[ProcessSN]],表格2_7[],2,FALSE)</f>
        <v>30-4118-018-650</v>
      </c>
      <c r="I940" t="str">
        <f>VLOOKUP(record[[#This Row],[ProcessSN]],表格2_7[],3,FALSE)</f>
        <v>#100OQC</v>
      </c>
      <c r="J940" t="s">
        <v>599</v>
      </c>
      <c r="K940" s="195">
        <v>46141.323414351849</v>
      </c>
      <c r="L940">
        <v>457</v>
      </c>
      <c r="M940">
        <v>0</v>
      </c>
      <c r="N940" s="98" t="str">
        <f>IF(record[[#This Row],[Memo]]="Browser:chrome os:android","平板報工",IF(record[[#This Row],[Memo]]=0,"委外",record[[#This Row],[Memo]]))</f>
        <v/>
      </c>
      <c r="O940" t="s">
        <v>58</v>
      </c>
      <c r="P940" t="s">
        <v>121</v>
      </c>
      <c r="Q940" t="s">
        <v>58</v>
      </c>
      <c r="R940" t="str">
        <f>IFERROR(VLOOKUP(record[[#This Row],[PCUSTID]],廠商[],2,FALSE),"")</f>
        <v/>
      </c>
      <c r="S940" t="str">
        <f>VLOOKUP(record[[#This Row],[employeeID]],員工[],2,FALSE)</f>
        <v>謝素卿</v>
      </c>
    </row>
    <row r="941" spans="6:19" hidden="1" x14ac:dyDescent="0.25">
      <c r="F941" t="s">
        <v>1906</v>
      </c>
      <c r="G941" t="s">
        <v>417</v>
      </c>
      <c r="H941" t="str">
        <f>VLOOKUP(record[[#This Row],[ProcessSN]],表格2_7[],2,FALSE)</f>
        <v>30-4118-018-5XX</v>
      </c>
      <c r="I941" t="str">
        <f>VLOOKUP(record[[#This Row],[ProcessSN]],表格2_7[],3,FALSE)</f>
        <v>#06</v>
      </c>
      <c r="J941" t="s">
        <v>593</v>
      </c>
      <c r="K941" s="195">
        <v>46141.321469907409</v>
      </c>
      <c r="L941">
        <v>24</v>
      </c>
      <c r="M941">
        <v>0</v>
      </c>
      <c r="N941" s="98" t="str">
        <f>IF(record[[#This Row],[Memo]]="Browser:chrome os:android","平板報工",IF(record[[#This Row],[Memo]]=0,"委外",record[[#This Row],[Memo]]))</f>
        <v/>
      </c>
      <c r="O941" t="s">
        <v>58</v>
      </c>
      <c r="P941" t="s">
        <v>135</v>
      </c>
      <c r="Q941" t="s">
        <v>58</v>
      </c>
      <c r="R941" t="str">
        <f>IFERROR(VLOOKUP(record[[#This Row],[PCUSTID]],廠商[],2,FALSE),"")</f>
        <v/>
      </c>
      <c r="S941" t="str">
        <f>VLOOKUP(record[[#This Row],[employeeID]],員工[],2,FALSE)</f>
        <v>阮士文</v>
      </c>
    </row>
    <row r="942" spans="6:19" hidden="1" x14ac:dyDescent="0.25">
      <c r="F942" t="s">
        <v>1906</v>
      </c>
      <c r="G942" t="s">
        <v>418</v>
      </c>
      <c r="H942" t="str">
        <f>VLOOKUP(record[[#This Row],[ProcessSN]],表格2_7[],2,FALSE)</f>
        <v>30-4118-018-5XX</v>
      </c>
      <c r="I942" t="str">
        <f>VLOOKUP(record[[#This Row],[ProcessSN]],表格2_7[],3,FALSE)</f>
        <v>#07</v>
      </c>
      <c r="J942" t="s">
        <v>588</v>
      </c>
      <c r="K942" s="195">
        <v>46141.281817129631</v>
      </c>
      <c r="L942">
        <v>230</v>
      </c>
      <c r="M942">
        <v>0</v>
      </c>
      <c r="N942" s="98" t="str">
        <f>IF(record[[#This Row],[Memo]]="Browser:chrome os:android","平板報工",IF(record[[#This Row],[Memo]]=0,"委外",record[[#This Row],[Memo]]))</f>
        <v>平板報工</v>
      </c>
      <c r="O942" t="s">
        <v>643</v>
      </c>
      <c r="P942" t="s">
        <v>843</v>
      </c>
      <c r="Q942" t="s">
        <v>644</v>
      </c>
      <c r="R942" t="str">
        <f>IFERROR(VLOOKUP(record[[#This Row],[PCUSTID]],廠商[],2,FALSE),"")</f>
        <v/>
      </c>
      <c r="S942" t="str">
        <f>VLOOKUP(record[[#This Row],[employeeID]],員工[],2,FALSE)</f>
        <v>張楚承</v>
      </c>
    </row>
    <row r="943" spans="6:19" hidden="1" x14ac:dyDescent="0.25">
      <c r="F943" t="s">
        <v>1906</v>
      </c>
      <c r="G943" t="s">
        <v>415</v>
      </c>
      <c r="H943" t="str">
        <f>VLOOKUP(record[[#This Row],[ProcessSN]],表格2_7[],2,FALSE)</f>
        <v>30-4118-018-5XX</v>
      </c>
      <c r="I943" t="str">
        <f>VLOOKUP(record[[#This Row],[ProcessSN]],表格2_7[],3,FALSE)</f>
        <v>#04</v>
      </c>
      <c r="J943" t="s">
        <v>588</v>
      </c>
      <c r="K943" s="195">
        <v>46141.275729166664</v>
      </c>
      <c r="L943">
        <v>0</v>
      </c>
      <c r="M943">
        <v>1</v>
      </c>
      <c r="N943" s="98" t="str">
        <f>IF(record[[#This Row],[Memo]]="Browser:chrome os:android","平板報工",IF(record[[#This Row],[Memo]]=0,"委外",record[[#This Row],[Memo]]))</f>
        <v>平板報工</v>
      </c>
      <c r="O943" t="s">
        <v>643</v>
      </c>
      <c r="P943" t="s">
        <v>806</v>
      </c>
      <c r="Q943" t="s">
        <v>644</v>
      </c>
      <c r="R943" t="str">
        <f>IFERROR(VLOOKUP(record[[#This Row],[PCUSTID]],廠商[],2,FALSE),"")</f>
        <v/>
      </c>
      <c r="S943" t="str">
        <f>VLOOKUP(record[[#This Row],[employeeID]],員工[],2,FALSE)</f>
        <v>方思緯</v>
      </c>
    </row>
    <row r="944" spans="6:19" hidden="1" x14ac:dyDescent="0.25">
      <c r="F944" t="s">
        <v>1906</v>
      </c>
      <c r="G944" t="s">
        <v>415</v>
      </c>
      <c r="H944" t="str">
        <f>VLOOKUP(record[[#This Row],[ProcessSN]],表格2_7[],2,FALSE)</f>
        <v>30-4118-018-5XX</v>
      </c>
      <c r="I944" t="str">
        <f>VLOOKUP(record[[#This Row],[ProcessSN]],表格2_7[],3,FALSE)</f>
        <v>#04</v>
      </c>
      <c r="J944" t="s">
        <v>588</v>
      </c>
      <c r="K944" s="195">
        <v>46141.273738425924</v>
      </c>
      <c r="L944">
        <v>280</v>
      </c>
      <c r="M944">
        <v>0</v>
      </c>
      <c r="N944" s="98" t="str">
        <f>IF(record[[#This Row],[Memo]]="Browser:chrome os:android","平板報工",IF(record[[#This Row],[Memo]]=0,"委外",record[[#This Row],[Memo]]))</f>
        <v>平板報工</v>
      </c>
      <c r="O944" t="s">
        <v>643</v>
      </c>
      <c r="P944" t="s">
        <v>806</v>
      </c>
      <c r="Q944" t="s">
        <v>644</v>
      </c>
      <c r="R944" t="str">
        <f>IFERROR(VLOOKUP(record[[#This Row],[PCUSTID]],廠商[],2,FALSE),"")</f>
        <v/>
      </c>
      <c r="S944" t="str">
        <f>VLOOKUP(record[[#This Row],[employeeID]],員工[],2,FALSE)</f>
        <v>方思緯</v>
      </c>
    </row>
    <row r="945" spans="6:19" x14ac:dyDescent="0.25">
      <c r="F945" t="s">
        <v>1924</v>
      </c>
      <c r="G945" t="s">
        <v>447</v>
      </c>
      <c r="H945" t="str">
        <f>VLOOKUP(record[[#This Row],[ProcessSN]],表格2_7[],2,FALSE)</f>
        <v>30-4118-018-6XX</v>
      </c>
      <c r="I945" t="str">
        <f>VLOOKUP(record[[#This Row],[ProcessSN]],表格2_7[],3,FALSE)</f>
        <v>#03</v>
      </c>
      <c r="J945" t="s">
        <v>588</v>
      </c>
      <c r="K945" s="195">
        <v>46141.263275462959</v>
      </c>
      <c r="L945">
        <v>492</v>
      </c>
      <c r="M945">
        <v>0</v>
      </c>
      <c r="N945" s="98" t="str">
        <f>IF(record[[#This Row],[Memo]]="Browser:chrome os:android","平板報工",IF(record[[#This Row],[Memo]]=0,"委外",record[[#This Row],[Memo]]))</f>
        <v>平板報工</v>
      </c>
      <c r="O945" t="s">
        <v>643</v>
      </c>
      <c r="P945" t="s">
        <v>806</v>
      </c>
      <c r="Q945" t="s">
        <v>644</v>
      </c>
      <c r="R945" t="str">
        <f>IFERROR(VLOOKUP(record[[#This Row],[PCUSTID]],廠商[],2,FALSE),"")</f>
        <v/>
      </c>
      <c r="S945" t="str">
        <f>VLOOKUP(record[[#This Row],[employeeID]],員工[],2,FALSE)</f>
        <v>方思緯</v>
      </c>
    </row>
    <row r="946" spans="6:19" hidden="1" x14ac:dyDescent="0.25">
      <c r="F946" t="s">
        <v>1906</v>
      </c>
      <c r="G946" t="s">
        <v>416</v>
      </c>
      <c r="H946" t="str">
        <f>VLOOKUP(record[[#This Row],[ProcessSN]],表格2_7[],2,FALSE)</f>
        <v>30-4118-018-5XX</v>
      </c>
      <c r="I946" t="str">
        <f>VLOOKUP(record[[#This Row],[ProcessSN]],表格2_7[],3,FALSE)</f>
        <v>#05</v>
      </c>
      <c r="J946" t="s">
        <v>588</v>
      </c>
      <c r="K946" s="195">
        <v>46141.143136574072</v>
      </c>
      <c r="L946">
        <v>140</v>
      </c>
      <c r="M946">
        <v>0</v>
      </c>
      <c r="N946" s="98" t="str">
        <f>IF(record[[#This Row],[Memo]]="Browser:chrome os:android","平板報工",IF(record[[#This Row],[Memo]]=0,"委外",record[[#This Row],[Memo]]))</f>
        <v>平板報工</v>
      </c>
      <c r="O946" t="s">
        <v>643</v>
      </c>
      <c r="P946" t="s">
        <v>1098</v>
      </c>
      <c r="Q946" t="s">
        <v>644</v>
      </c>
      <c r="R946" t="str">
        <f>IFERROR(VLOOKUP(record[[#This Row],[PCUSTID]],廠商[],2,FALSE),"")</f>
        <v/>
      </c>
      <c r="S946" t="str">
        <f>VLOOKUP(record[[#This Row],[employeeID]],員工[],2,FALSE)</f>
        <v>阮氏芳英(英)</v>
      </c>
    </row>
    <row r="947" spans="6:19" hidden="1" x14ac:dyDescent="0.25">
      <c r="F947" t="s">
        <v>1906</v>
      </c>
      <c r="G947" t="s">
        <v>418</v>
      </c>
      <c r="H947" t="str">
        <f>VLOOKUP(record[[#This Row],[ProcessSN]],表格2_7[],2,FALSE)</f>
        <v>30-4118-018-5XX</v>
      </c>
      <c r="I947" t="str">
        <f>VLOOKUP(record[[#This Row],[ProcessSN]],表格2_7[],3,FALSE)</f>
        <v>#07</v>
      </c>
      <c r="J947" t="s">
        <v>588</v>
      </c>
      <c r="K947" s="195">
        <v>46140.983622685184</v>
      </c>
      <c r="L947">
        <v>215</v>
      </c>
      <c r="M947">
        <v>0</v>
      </c>
      <c r="N947" s="98" t="str">
        <f>IF(record[[#This Row],[Memo]]="Browser:chrome os:android","平板報工",IF(record[[#This Row],[Memo]]=0,"委外",record[[#This Row],[Memo]]))</f>
        <v/>
      </c>
      <c r="O947" t="s">
        <v>58</v>
      </c>
      <c r="P947" t="s">
        <v>1098</v>
      </c>
      <c r="Q947" t="s">
        <v>58</v>
      </c>
      <c r="R947" t="str">
        <f>IFERROR(VLOOKUP(record[[#This Row],[PCUSTID]],廠商[],2,FALSE),"")</f>
        <v/>
      </c>
      <c r="S947" t="str">
        <f>VLOOKUP(record[[#This Row],[employeeID]],員工[],2,FALSE)</f>
        <v>阮氏芳英(英)</v>
      </c>
    </row>
    <row r="948" spans="6:19" hidden="1" x14ac:dyDescent="0.25">
      <c r="F948" t="s">
        <v>1906</v>
      </c>
      <c r="G948" t="s">
        <v>417</v>
      </c>
      <c r="H948" t="str">
        <f>VLOOKUP(record[[#This Row],[ProcessSN]],表格2_7[],2,FALSE)</f>
        <v>30-4118-018-5XX</v>
      </c>
      <c r="I948" t="str">
        <f>VLOOKUP(record[[#This Row],[ProcessSN]],表格2_7[],3,FALSE)</f>
        <v>#06</v>
      </c>
      <c r="J948" t="s">
        <v>593</v>
      </c>
      <c r="K948" s="195">
        <v>46140.981423611112</v>
      </c>
      <c r="L948">
        <v>95</v>
      </c>
      <c r="M948">
        <v>0</v>
      </c>
      <c r="N948" s="98" t="str">
        <f>IF(record[[#This Row],[Memo]]="Browser:chrome os:android","平板報工",IF(record[[#This Row],[Memo]]=0,"委外",record[[#This Row],[Memo]]))</f>
        <v/>
      </c>
      <c r="O948" t="s">
        <v>58</v>
      </c>
      <c r="P948" t="s">
        <v>115</v>
      </c>
      <c r="Q948" t="s">
        <v>58</v>
      </c>
      <c r="R948" t="str">
        <f>IFERROR(VLOOKUP(record[[#This Row],[PCUSTID]],廠商[],2,FALSE),"")</f>
        <v/>
      </c>
      <c r="S948" t="str">
        <f>VLOOKUP(record[[#This Row],[employeeID]],員工[],2,FALSE)</f>
        <v>溫智淵</v>
      </c>
    </row>
    <row r="949" spans="6:19" hidden="1" x14ac:dyDescent="0.25">
      <c r="F949" t="s">
        <v>1906</v>
      </c>
      <c r="G949" t="s">
        <v>417</v>
      </c>
      <c r="H949" t="str">
        <f>VLOOKUP(record[[#This Row],[ProcessSN]],表格2_7[],2,FALSE)</f>
        <v>30-4118-018-5XX</v>
      </c>
      <c r="I949" t="str">
        <f>VLOOKUP(record[[#This Row],[ProcessSN]],表格2_7[],3,FALSE)</f>
        <v>#06</v>
      </c>
      <c r="J949" t="s">
        <v>593</v>
      </c>
      <c r="K949" s="195">
        <v>46140.974675925929</v>
      </c>
      <c r="L949">
        <v>67</v>
      </c>
      <c r="M949">
        <v>0</v>
      </c>
      <c r="N949" s="98" t="str">
        <f>IF(record[[#This Row],[Memo]]="Browser:chrome os:android","平板報工",IF(record[[#This Row],[Memo]]=0,"委外",record[[#This Row],[Memo]]))</f>
        <v>平板報工</v>
      </c>
      <c r="O949" t="s">
        <v>643</v>
      </c>
      <c r="P949" t="s">
        <v>841</v>
      </c>
      <c r="Q949" t="s">
        <v>644</v>
      </c>
      <c r="R949" t="str">
        <f>IFERROR(VLOOKUP(record[[#This Row],[PCUSTID]],廠商[],2,FALSE),"")</f>
        <v/>
      </c>
      <c r="S949" t="str">
        <f>VLOOKUP(record[[#This Row],[employeeID]],員工[],2,FALSE)</f>
        <v>范氏香</v>
      </c>
    </row>
    <row r="950" spans="6:19" hidden="1" x14ac:dyDescent="0.25">
      <c r="F950" t="s">
        <v>1906</v>
      </c>
      <c r="G950" t="s">
        <v>415</v>
      </c>
      <c r="H950" t="str">
        <f>VLOOKUP(record[[#This Row],[ProcessSN]],表格2_7[],2,FALSE)</f>
        <v>30-4118-018-5XX</v>
      </c>
      <c r="I950" t="str">
        <f>VLOOKUP(record[[#This Row],[ProcessSN]],表格2_7[],3,FALSE)</f>
        <v>#04</v>
      </c>
      <c r="J950" t="s">
        <v>588</v>
      </c>
      <c r="K950" s="195">
        <v>46140.972025462965</v>
      </c>
      <c r="L950">
        <v>130</v>
      </c>
      <c r="M950">
        <v>0</v>
      </c>
      <c r="N950" s="98" t="str">
        <f>IF(record[[#This Row],[Memo]]="Browser:chrome os:android","平板報工",IF(record[[#This Row],[Memo]]=0,"委外",record[[#This Row],[Memo]]))</f>
        <v>平板報工</v>
      </c>
      <c r="O950" t="s">
        <v>643</v>
      </c>
      <c r="P950" t="s">
        <v>180</v>
      </c>
      <c r="Q950" t="s">
        <v>644</v>
      </c>
      <c r="R950" t="str">
        <f>IFERROR(VLOOKUP(record[[#This Row],[PCUSTID]],廠商[],2,FALSE),"")</f>
        <v/>
      </c>
      <c r="S950" t="str">
        <f>VLOOKUP(record[[#This Row],[employeeID]],員工[],2,FALSE)</f>
        <v>黎功江</v>
      </c>
    </row>
    <row r="951" spans="6:19" hidden="1" x14ac:dyDescent="0.25">
      <c r="F951" t="s">
        <v>1906</v>
      </c>
      <c r="G951" t="s">
        <v>416</v>
      </c>
      <c r="H951" t="str">
        <f>VLOOKUP(record[[#This Row],[ProcessSN]],表格2_7[],2,FALSE)</f>
        <v>30-4118-018-5XX</v>
      </c>
      <c r="I951" t="str">
        <f>VLOOKUP(record[[#This Row],[ProcessSN]],表格2_7[],3,FALSE)</f>
        <v>#05</v>
      </c>
      <c r="J951" t="s">
        <v>588</v>
      </c>
      <c r="K951" s="195">
        <v>46140.96770833333</v>
      </c>
      <c r="L951">
        <v>230</v>
      </c>
      <c r="M951">
        <v>0</v>
      </c>
      <c r="N951" s="98" t="str">
        <f>IF(record[[#This Row],[Memo]]="Browser:chrome os:android","平板報工",IF(record[[#This Row],[Memo]]=0,"委外",record[[#This Row],[Memo]]))</f>
        <v>平板報工</v>
      </c>
      <c r="O951" t="s">
        <v>643</v>
      </c>
      <c r="P951" t="s">
        <v>1098</v>
      </c>
      <c r="Q951" t="s">
        <v>644</v>
      </c>
      <c r="R951" t="str">
        <f>IFERROR(VLOOKUP(record[[#This Row],[PCUSTID]],廠商[],2,FALSE),"")</f>
        <v/>
      </c>
      <c r="S951" t="str">
        <f>VLOOKUP(record[[#This Row],[employeeID]],員工[],2,FALSE)</f>
        <v>阮氏芳英(英)</v>
      </c>
    </row>
    <row r="952" spans="6:19" hidden="1" x14ac:dyDescent="0.25">
      <c r="F952" t="s">
        <v>1906</v>
      </c>
      <c r="G952" t="s">
        <v>415</v>
      </c>
      <c r="H952" t="str">
        <f>VLOOKUP(record[[#This Row],[ProcessSN]],表格2_7[],2,FALSE)</f>
        <v>30-4118-018-5XX</v>
      </c>
      <c r="I952" t="str">
        <f>VLOOKUP(record[[#This Row],[ProcessSN]],表格2_7[],3,FALSE)</f>
        <v>#04</v>
      </c>
      <c r="J952" t="s">
        <v>588</v>
      </c>
      <c r="K952" s="195">
        <v>46140.864293981482</v>
      </c>
      <c r="L952">
        <v>120</v>
      </c>
      <c r="M952">
        <v>0</v>
      </c>
      <c r="N952" s="98" t="str">
        <f>IF(record[[#This Row],[Memo]]="Browser:chrome os:android","平板報工",IF(record[[#This Row],[Memo]]=0,"委外",record[[#This Row],[Memo]]))</f>
        <v/>
      </c>
      <c r="O952" t="s">
        <v>58</v>
      </c>
      <c r="P952" t="s">
        <v>785</v>
      </c>
      <c r="Q952" t="s">
        <v>58</v>
      </c>
      <c r="R952" t="str">
        <f>IFERROR(VLOOKUP(record[[#This Row],[PCUSTID]],廠商[],2,FALSE),"")</f>
        <v/>
      </c>
      <c r="S952" t="str">
        <f>VLOOKUP(record[[#This Row],[employeeID]],員工[],2,FALSE)</f>
        <v>謝刻光</v>
      </c>
    </row>
    <row r="953" spans="6:19" x14ac:dyDescent="0.25">
      <c r="F953" t="s">
        <v>1924</v>
      </c>
      <c r="G953" t="s">
        <v>447</v>
      </c>
      <c r="H953" t="str">
        <f>VLOOKUP(record[[#This Row],[ProcessSN]],表格2_7[],2,FALSE)</f>
        <v>30-4118-018-6XX</v>
      </c>
      <c r="I953" t="str">
        <f>VLOOKUP(record[[#This Row],[ProcessSN]],表格2_7[],3,FALSE)</f>
        <v>#03</v>
      </c>
      <c r="J953" t="s">
        <v>588</v>
      </c>
      <c r="K953" s="195">
        <v>46140.830960648149</v>
      </c>
      <c r="L953">
        <v>473</v>
      </c>
      <c r="M953">
        <v>0</v>
      </c>
      <c r="N953" s="98" t="str">
        <f>IF(record[[#This Row],[Memo]]="Browser:chrome os:android","平板報工",IF(record[[#This Row],[Memo]]=0,"委外",record[[#This Row],[Memo]]))</f>
        <v>平板報工</v>
      </c>
      <c r="O953" t="s">
        <v>643</v>
      </c>
      <c r="P953" t="s">
        <v>785</v>
      </c>
      <c r="Q953" t="s">
        <v>644</v>
      </c>
      <c r="R953" t="str">
        <f>IFERROR(VLOOKUP(record[[#This Row],[PCUSTID]],廠商[],2,FALSE),"")</f>
        <v/>
      </c>
      <c r="S953" t="str">
        <f>VLOOKUP(record[[#This Row],[employeeID]],員工[],2,FALSE)</f>
        <v>謝刻光</v>
      </c>
    </row>
    <row r="954" spans="6:19" hidden="1" x14ac:dyDescent="0.25">
      <c r="F954" t="s">
        <v>1906</v>
      </c>
      <c r="G954" t="s">
        <v>417</v>
      </c>
      <c r="H954" t="str">
        <f>VLOOKUP(record[[#This Row],[ProcessSN]],表格2_7[],2,FALSE)</f>
        <v>30-4118-018-5XX</v>
      </c>
      <c r="I954" t="str">
        <f>VLOOKUP(record[[#This Row],[ProcessSN]],表格2_7[],3,FALSE)</f>
        <v>#06</v>
      </c>
      <c r="J954" t="s">
        <v>593</v>
      </c>
      <c r="K954" s="195">
        <v>46140.819664351853</v>
      </c>
      <c r="L954">
        <v>67</v>
      </c>
      <c r="M954">
        <v>0</v>
      </c>
      <c r="N954" s="98" t="str">
        <f>IF(record[[#This Row],[Memo]]="Browser:chrome os:android","平板報工",IF(record[[#This Row],[Memo]]=0,"委外",record[[#This Row],[Memo]]))</f>
        <v>平板報工</v>
      </c>
      <c r="O954" t="s">
        <v>643</v>
      </c>
      <c r="P954" t="s">
        <v>1413</v>
      </c>
      <c r="Q954" t="s">
        <v>644</v>
      </c>
      <c r="R954" t="str">
        <f>IFERROR(VLOOKUP(record[[#This Row],[PCUSTID]],廠商[],2,FALSE),"")</f>
        <v/>
      </c>
      <c r="S954" t="str">
        <f>VLOOKUP(record[[#This Row],[employeeID]],員工[],2,FALSE)</f>
        <v>阮氏芳英(芳)</v>
      </c>
    </row>
    <row r="955" spans="6:19" hidden="1" x14ac:dyDescent="0.25">
      <c r="F955" t="s">
        <v>1828</v>
      </c>
      <c r="G955" t="s">
        <v>444</v>
      </c>
      <c r="H955" t="str">
        <f>VLOOKUP(record[[#This Row],[ProcessSN]],表格2_7[],2,FALSE)</f>
        <v>30-4118-018-650</v>
      </c>
      <c r="I955" t="str">
        <f>VLOOKUP(record[[#This Row],[ProcessSN]],表格2_7[],3,FALSE)</f>
        <v>#100SHIP</v>
      </c>
      <c r="J955" t="s">
        <v>600</v>
      </c>
      <c r="K955" s="195">
        <v>46140.802256944444</v>
      </c>
      <c r="L955">
        <v>83</v>
      </c>
      <c r="M955">
        <v>0</v>
      </c>
      <c r="N955" s="98" t="str">
        <f>IF(record[[#This Row],[Memo]]="Browser:chrome os:android","平板報工",IF(record[[#This Row],[Memo]]=0,"委外",record[[#This Row],[Memo]]))</f>
        <v/>
      </c>
      <c r="O955" t="s">
        <v>58</v>
      </c>
      <c r="P955" t="s">
        <v>886</v>
      </c>
      <c r="Q955" t="s">
        <v>58</v>
      </c>
      <c r="R955" t="str">
        <f>IFERROR(VLOOKUP(record[[#This Row],[PCUSTID]],廠商[],2,FALSE),"")</f>
        <v/>
      </c>
      <c r="S955" t="str">
        <f>VLOOKUP(record[[#This Row],[employeeID]],員工[],2,FALSE)</f>
        <v>謝蓁薰</v>
      </c>
    </row>
    <row r="956" spans="6:19" hidden="1" x14ac:dyDescent="0.25">
      <c r="F956" t="s">
        <v>1828</v>
      </c>
      <c r="G956" t="s">
        <v>443</v>
      </c>
      <c r="H956" t="str">
        <f>VLOOKUP(record[[#This Row],[ProcessSN]],表格2_7[],2,FALSE)</f>
        <v>30-4118-018-650</v>
      </c>
      <c r="I956" t="str">
        <f>VLOOKUP(record[[#This Row],[ProcessSN]],表格2_7[],3,FALSE)</f>
        <v>#100STOCK</v>
      </c>
      <c r="J956" t="s">
        <v>592</v>
      </c>
      <c r="K956" s="195">
        <v>46140.801944444444</v>
      </c>
      <c r="L956">
        <v>83</v>
      </c>
      <c r="M956">
        <v>0</v>
      </c>
      <c r="N956" s="98" t="str">
        <f>IF(record[[#This Row],[Memo]]="Browser:chrome os:android","平板報工",IF(record[[#This Row],[Memo]]=0,"委外",record[[#This Row],[Memo]]))</f>
        <v/>
      </c>
      <c r="O956" t="s">
        <v>58</v>
      </c>
      <c r="P956" t="s">
        <v>886</v>
      </c>
      <c r="Q956" t="s">
        <v>58</v>
      </c>
      <c r="R956" t="str">
        <f>IFERROR(VLOOKUP(record[[#This Row],[PCUSTID]],廠商[],2,FALSE),"")</f>
        <v/>
      </c>
      <c r="S956" t="str">
        <f>VLOOKUP(record[[#This Row],[employeeID]],員工[],2,FALSE)</f>
        <v>謝蓁薰</v>
      </c>
    </row>
    <row r="957" spans="6:19" hidden="1" x14ac:dyDescent="0.25">
      <c r="F957" t="s">
        <v>1903</v>
      </c>
      <c r="G957" t="s">
        <v>385</v>
      </c>
      <c r="H957" t="str">
        <f>VLOOKUP(record[[#This Row],[ProcessSN]],表格2_7[],2,FALSE)</f>
        <v>30-4118-018-500</v>
      </c>
      <c r="I957" t="str">
        <f>VLOOKUP(record[[#This Row],[ProcessSN]],表格2_7[],3,FALSE)</f>
        <v>#100OQC</v>
      </c>
      <c r="J957" t="s">
        <v>599</v>
      </c>
      <c r="K957" s="195">
        <v>46140.79619212963</v>
      </c>
      <c r="L957">
        <v>71</v>
      </c>
      <c r="M957">
        <v>0</v>
      </c>
      <c r="N957" s="98" t="str">
        <f>IF(record[[#This Row],[Memo]]="Browser:chrome os:android","平板報工",IF(record[[#This Row],[Memo]]=0,"委外",record[[#This Row],[Memo]]))</f>
        <v/>
      </c>
      <c r="O957" t="s">
        <v>58</v>
      </c>
      <c r="P957" t="s">
        <v>121</v>
      </c>
      <c r="Q957" t="s">
        <v>58</v>
      </c>
      <c r="R957" t="str">
        <f>IFERROR(VLOOKUP(record[[#This Row],[PCUSTID]],廠商[],2,FALSE),"")</f>
        <v/>
      </c>
      <c r="S957" t="str">
        <f>VLOOKUP(record[[#This Row],[employeeID]],員工[],2,FALSE)</f>
        <v>謝素卿</v>
      </c>
    </row>
    <row r="958" spans="6:19" hidden="1" x14ac:dyDescent="0.25">
      <c r="F958" t="s">
        <v>1884</v>
      </c>
      <c r="G958" t="s">
        <v>352</v>
      </c>
      <c r="H958" t="str">
        <f>VLOOKUP(record[[#This Row],[ProcessSN]],表格2_7[],2,FALSE)</f>
        <v>30-4118-018-420</v>
      </c>
      <c r="I958" t="str">
        <f>VLOOKUP(record[[#This Row],[ProcessSN]],表格2_7[],3,FALSE)</f>
        <v>#100OQC</v>
      </c>
      <c r="J958" t="s">
        <v>599</v>
      </c>
      <c r="K958" s="195">
        <v>46140.796053240738</v>
      </c>
      <c r="L958">
        <v>26</v>
      </c>
      <c r="M958">
        <v>0</v>
      </c>
      <c r="N958" s="98" t="str">
        <f>IF(record[[#This Row],[Memo]]="Browser:chrome os:android","平板報工",IF(record[[#This Row],[Memo]]=0,"委外",record[[#This Row],[Memo]]))</f>
        <v/>
      </c>
      <c r="O958" t="s">
        <v>58</v>
      </c>
      <c r="P958" t="s">
        <v>121</v>
      </c>
      <c r="Q958" t="s">
        <v>58</v>
      </c>
      <c r="R958" t="str">
        <f>IFERROR(VLOOKUP(record[[#This Row],[PCUSTID]],廠商[],2,FALSE),"")</f>
        <v/>
      </c>
      <c r="S958" t="str">
        <f>VLOOKUP(record[[#This Row],[employeeID]],員工[],2,FALSE)</f>
        <v>謝素卿</v>
      </c>
    </row>
    <row r="959" spans="6:19" hidden="1" x14ac:dyDescent="0.25">
      <c r="F959" t="s">
        <v>1919</v>
      </c>
      <c r="G959" t="s">
        <v>441</v>
      </c>
      <c r="H959" t="str">
        <f>VLOOKUP(record[[#This Row],[ProcessSN]],表格2_7[],2,FALSE)</f>
        <v>30-4118-018-650</v>
      </c>
      <c r="I959" t="str">
        <f>VLOOKUP(record[[#This Row],[ProcessSN]],表格2_7[],3,FALSE)</f>
        <v>#100</v>
      </c>
      <c r="J959" t="s">
        <v>598</v>
      </c>
      <c r="K959" s="195">
        <v>46140.796006944445</v>
      </c>
      <c r="L959">
        <v>207</v>
      </c>
      <c r="M959">
        <v>0</v>
      </c>
      <c r="N959" s="98" t="str">
        <f>IF(record[[#This Row],[Memo]]="Browser:chrome os:android","平板報工",IF(record[[#This Row],[Memo]]=0,"委外",record[[#This Row],[Memo]]))</f>
        <v/>
      </c>
      <c r="O959" t="s">
        <v>58</v>
      </c>
      <c r="P959" t="s">
        <v>141</v>
      </c>
      <c r="Q959" t="s">
        <v>58</v>
      </c>
      <c r="R959" t="str">
        <f>IFERROR(VLOOKUP(record[[#This Row],[PCUSTID]],廠商[],2,FALSE),"")</f>
        <v/>
      </c>
      <c r="S959" t="str">
        <f>VLOOKUP(record[[#This Row],[employeeID]],員工[],2,FALSE)</f>
        <v>蔣梅</v>
      </c>
    </row>
    <row r="960" spans="6:19" hidden="1" x14ac:dyDescent="0.25">
      <c r="F960" t="s">
        <v>1888</v>
      </c>
      <c r="G960" t="s">
        <v>360</v>
      </c>
      <c r="H960" t="str">
        <f>VLOOKUP(record[[#This Row],[ProcessSN]],表格2_7[],2,FALSE)</f>
        <v>30-4118-018-450</v>
      </c>
      <c r="I960" t="str">
        <f>VLOOKUP(record[[#This Row],[ProcessSN]],表格2_7[],3,FALSE)</f>
        <v>#100OQC</v>
      </c>
      <c r="J960" t="s">
        <v>599</v>
      </c>
      <c r="K960" s="195">
        <v>46140.795891203707</v>
      </c>
      <c r="L960">
        <v>83</v>
      </c>
      <c r="M960">
        <v>0</v>
      </c>
      <c r="N960" s="98" t="str">
        <f>IF(record[[#This Row],[Memo]]="Browser:chrome os:android","平板報工",IF(record[[#This Row],[Memo]]=0,"委外",record[[#This Row],[Memo]]))</f>
        <v/>
      </c>
      <c r="O960" t="s">
        <v>58</v>
      </c>
      <c r="P960" t="s">
        <v>121</v>
      </c>
      <c r="Q960" t="s">
        <v>58</v>
      </c>
      <c r="R960" t="str">
        <f>IFERROR(VLOOKUP(record[[#This Row],[PCUSTID]],廠商[],2,FALSE),"")</f>
        <v/>
      </c>
      <c r="S960" t="str">
        <f>VLOOKUP(record[[#This Row],[employeeID]],員工[],2,FALSE)</f>
        <v>謝素卿</v>
      </c>
    </row>
    <row r="961" spans="6:19" hidden="1" x14ac:dyDescent="0.25">
      <c r="F961" t="s">
        <v>1919</v>
      </c>
      <c r="G961" t="s">
        <v>441</v>
      </c>
      <c r="H961" t="str">
        <f>VLOOKUP(record[[#This Row],[ProcessSN]],表格2_7[],2,FALSE)</f>
        <v>30-4118-018-650</v>
      </c>
      <c r="I961" t="str">
        <f>VLOOKUP(record[[#This Row],[ProcessSN]],表格2_7[],3,FALSE)</f>
        <v>#100</v>
      </c>
      <c r="J961" t="s">
        <v>598</v>
      </c>
      <c r="K961" s="195">
        <v>46140.79583333333</v>
      </c>
      <c r="L961">
        <v>250</v>
      </c>
      <c r="M961">
        <v>0</v>
      </c>
      <c r="N961" s="98" t="str">
        <f>IF(record[[#This Row],[Memo]]="Browser:chrome os:android","平板報工",IF(record[[#This Row],[Memo]]=0,"委外",record[[#This Row],[Memo]]))</f>
        <v/>
      </c>
      <c r="O961" t="s">
        <v>58</v>
      </c>
      <c r="P961" t="s">
        <v>99</v>
      </c>
      <c r="Q961" t="s">
        <v>58</v>
      </c>
      <c r="R961" t="str">
        <f>IFERROR(VLOOKUP(record[[#This Row],[PCUSTID]],廠商[],2,FALSE),"")</f>
        <v/>
      </c>
      <c r="S961" t="str">
        <f>VLOOKUP(record[[#This Row],[employeeID]],員工[],2,FALSE)</f>
        <v>阮氏河</v>
      </c>
    </row>
    <row r="962" spans="6:19" hidden="1" x14ac:dyDescent="0.25">
      <c r="F962" t="s">
        <v>1919</v>
      </c>
      <c r="G962" t="s">
        <v>441</v>
      </c>
      <c r="H962" t="str">
        <f>VLOOKUP(record[[#This Row],[ProcessSN]],表格2_7[],2,FALSE)</f>
        <v>30-4118-018-650</v>
      </c>
      <c r="I962" t="str">
        <f>VLOOKUP(record[[#This Row],[ProcessSN]],表格2_7[],3,FALSE)</f>
        <v>#100</v>
      </c>
      <c r="J962" t="s">
        <v>598</v>
      </c>
      <c r="K962" s="195">
        <v>46140.795486111114</v>
      </c>
      <c r="L962">
        <v>0</v>
      </c>
      <c r="M962">
        <v>23</v>
      </c>
      <c r="N962" s="98" t="str">
        <f>IF(record[[#This Row],[Memo]]="Browser:chrome os:android","平板報工",IF(record[[#This Row],[Memo]]=0,"委外",record[[#This Row],[Memo]]))</f>
        <v/>
      </c>
      <c r="O962" t="s">
        <v>58</v>
      </c>
      <c r="P962" t="s">
        <v>141</v>
      </c>
      <c r="Q962" t="s">
        <v>58</v>
      </c>
      <c r="R962" t="str">
        <f>IFERROR(VLOOKUP(record[[#This Row],[PCUSTID]],廠商[],2,FALSE),"")</f>
        <v/>
      </c>
      <c r="S962" t="str">
        <f>VLOOKUP(record[[#This Row],[employeeID]],員工[],2,FALSE)</f>
        <v>蔣梅</v>
      </c>
    </row>
    <row r="963" spans="6:19" hidden="1" x14ac:dyDescent="0.25">
      <c r="F963" t="s">
        <v>1818</v>
      </c>
      <c r="G963" t="s">
        <v>470</v>
      </c>
      <c r="H963" t="str">
        <f>VLOOKUP(record[[#This Row],[ProcessSN]],表格2_7[],2,FALSE)</f>
        <v>30-4118-018-XXX</v>
      </c>
      <c r="I963" t="str">
        <f>VLOOKUP(record[[#This Row],[ProcessSN]],表格2_7[],3,FALSE)</f>
        <v>#02IQC</v>
      </c>
      <c r="J963" t="s">
        <v>583</v>
      </c>
      <c r="K963" s="195">
        <v>46140.759965277779</v>
      </c>
      <c r="L963">
        <v>859</v>
      </c>
      <c r="M963">
        <v>0</v>
      </c>
      <c r="N963" s="98" t="str">
        <f>IF(record[[#This Row],[Memo]]="Browser:chrome os:android","平板報工",IF(record[[#This Row],[Memo]]=0,"委外",record[[#This Row],[Memo]]))</f>
        <v/>
      </c>
      <c r="O963" t="s">
        <v>58</v>
      </c>
      <c r="P963" t="s">
        <v>109</v>
      </c>
      <c r="Q963" t="s">
        <v>58</v>
      </c>
      <c r="R963" t="str">
        <f>IFERROR(VLOOKUP(record[[#This Row],[PCUSTID]],廠商[],2,FALSE),"")</f>
        <v/>
      </c>
      <c r="S963" t="str">
        <f>VLOOKUP(record[[#This Row],[employeeID]],員工[],2,FALSE)</f>
        <v>裴氏璧鳳</v>
      </c>
    </row>
    <row r="964" spans="6:19" hidden="1" x14ac:dyDescent="0.25">
      <c r="F964" t="s">
        <v>1918</v>
      </c>
      <c r="G964" t="s">
        <v>424</v>
      </c>
      <c r="H964" t="str">
        <f>VLOOKUP(record[[#This Row],[ProcessSN]],表格2_7[],2,FALSE)</f>
        <v>30-4118-018-600</v>
      </c>
      <c r="I964" t="str">
        <f>VLOOKUP(record[[#This Row],[ProcessSN]],表格2_7[],3,FALSE)</f>
        <v>#08IQC</v>
      </c>
      <c r="J964" t="s">
        <v>583</v>
      </c>
      <c r="K964" s="195">
        <v>46140.759247685186</v>
      </c>
      <c r="L964">
        <v>67</v>
      </c>
      <c r="M964">
        <v>0</v>
      </c>
      <c r="N964" s="98" t="str">
        <f>IF(record[[#This Row],[Memo]]="Browser:chrome os:android","平板報工",IF(record[[#This Row],[Memo]]=0,"委外",record[[#This Row],[Memo]]))</f>
        <v/>
      </c>
      <c r="O964" t="s">
        <v>58</v>
      </c>
      <c r="P964" t="s">
        <v>109</v>
      </c>
      <c r="Q964" t="s">
        <v>58</v>
      </c>
      <c r="R964" t="str">
        <f>IFERROR(VLOOKUP(record[[#This Row],[PCUSTID]],廠商[],2,FALSE),"")</f>
        <v/>
      </c>
      <c r="S964" t="str">
        <f>VLOOKUP(record[[#This Row],[employeeID]],員工[],2,FALSE)</f>
        <v>裴氏璧鳳</v>
      </c>
    </row>
    <row r="965" spans="6:19" hidden="1" x14ac:dyDescent="0.25">
      <c r="F965" t="s">
        <v>1919</v>
      </c>
      <c r="G965" t="s">
        <v>440</v>
      </c>
      <c r="H965" t="str">
        <f>VLOOKUP(record[[#This Row],[ProcessSN]],表格2_7[],2,FALSE)</f>
        <v>30-4118-018-650</v>
      </c>
      <c r="I965" t="str">
        <f>VLOOKUP(record[[#This Row],[ProcessSN]],表格2_7[],3,FALSE)</f>
        <v>#08IQC</v>
      </c>
      <c r="J965" t="s">
        <v>583</v>
      </c>
      <c r="K965" s="195">
        <v>46140.756805555553</v>
      </c>
      <c r="L965">
        <v>480</v>
      </c>
      <c r="M965">
        <v>0</v>
      </c>
      <c r="N965" s="98" t="str">
        <f>IF(record[[#This Row],[Memo]]="Browser:chrome os:android","平板報工",IF(record[[#This Row],[Memo]]=0,"委外",record[[#This Row],[Memo]]))</f>
        <v/>
      </c>
      <c r="O965" t="s">
        <v>58</v>
      </c>
      <c r="P965" t="s">
        <v>109</v>
      </c>
      <c r="Q965" t="s">
        <v>58</v>
      </c>
      <c r="R965" t="str">
        <f>IFERROR(VLOOKUP(record[[#This Row],[PCUSTID]],廠商[],2,FALSE),"")</f>
        <v/>
      </c>
      <c r="S965" t="str">
        <f>VLOOKUP(record[[#This Row],[employeeID]],員工[],2,FALSE)</f>
        <v>裴氏璧鳳</v>
      </c>
    </row>
    <row r="966" spans="6:19" hidden="1" x14ac:dyDescent="0.25">
      <c r="F966" t="s">
        <v>1904</v>
      </c>
      <c r="G966" t="s">
        <v>428</v>
      </c>
      <c r="H966" t="str">
        <f>VLOOKUP(record[[#This Row],[ProcessSN]],表格2_7[],2,FALSE)</f>
        <v>30-4118-018-600</v>
      </c>
      <c r="I966" t="str">
        <f>VLOOKUP(record[[#This Row],[ProcessSN]],表格2_7[],3,FALSE)</f>
        <v>#100SHIP</v>
      </c>
      <c r="J966" t="s">
        <v>600</v>
      </c>
      <c r="K966" s="195">
        <v>46140.745185185187</v>
      </c>
      <c r="L966">
        <v>2</v>
      </c>
      <c r="M966">
        <v>0</v>
      </c>
      <c r="N966" s="98" t="str">
        <f>IF(record[[#This Row],[Memo]]="Browser:chrome os:android","平板報工",IF(record[[#This Row],[Memo]]=0,"委外",record[[#This Row],[Memo]]))</f>
        <v>1.5露白 出組裝</v>
      </c>
      <c r="O966" t="s">
        <v>1282</v>
      </c>
      <c r="P966" t="s">
        <v>886</v>
      </c>
      <c r="Q966" t="s">
        <v>58</v>
      </c>
      <c r="R966" t="str">
        <f>IFERROR(VLOOKUP(record[[#This Row],[PCUSTID]],廠商[],2,FALSE),"")</f>
        <v/>
      </c>
      <c r="S966" t="str">
        <f>VLOOKUP(record[[#This Row],[employeeID]],員工[],2,FALSE)</f>
        <v>謝蓁薰</v>
      </c>
    </row>
    <row r="967" spans="6:19" hidden="1" x14ac:dyDescent="0.25">
      <c r="F967" t="s">
        <v>1868</v>
      </c>
      <c r="G967" t="s">
        <v>428</v>
      </c>
      <c r="H967" t="str">
        <f>VLOOKUP(record[[#This Row],[ProcessSN]],表格2_7[],2,FALSE)</f>
        <v>30-4118-018-600</v>
      </c>
      <c r="I967" t="str">
        <f>VLOOKUP(record[[#This Row],[ProcessSN]],表格2_7[],3,FALSE)</f>
        <v>#100SHIP</v>
      </c>
      <c r="J967" t="s">
        <v>600</v>
      </c>
      <c r="K967" s="195">
        <v>46140.745034722226</v>
      </c>
      <c r="L967">
        <v>6</v>
      </c>
      <c r="M967">
        <v>0</v>
      </c>
      <c r="N967" s="98" t="str">
        <f>IF(record[[#This Row],[Memo]]="Browser:chrome os:android","平板報工",IF(record[[#This Row],[Memo]]=0,"委外",record[[#This Row],[Memo]]))</f>
        <v>1.5露白 出組裝</v>
      </c>
      <c r="O967" t="s">
        <v>1282</v>
      </c>
      <c r="P967" t="s">
        <v>886</v>
      </c>
      <c r="Q967" t="s">
        <v>58</v>
      </c>
      <c r="R967" t="str">
        <f>IFERROR(VLOOKUP(record[[#This Row],[PCUSTID]],廠商[],2,FALSE),"")</f>
        <v/>
      </c>
      <c r="S967" t="str">
        <f>VLOOKUP(record[[#This Row],[employeeID]],員工[],2,FALSE)</f>
        <v>謝蓁薰</v>
      </c>
    </row>
    <row r="968" spans="6:19" hidden="1" x14ac:dyDescent="0.25">
      <c r="F968" t="s">
        <v>1904</v>
      </c>
      <c r="G968" t="s">
        <v>428</v>
      </c>
      <c r="H968" t="str">
        <f>VLOOKUP(record[[#This Row],[ProcessSN]],表格2_7[],2,FALSE)</f>
        <v>30-4118-018-600</v>
      </c>
      <c r="I968" t="str">
        <f>VLOOKUP(record[[#This Row],[ProcessSN]],表格2_7[],3,FALSE)</f>
        <v>#100SHIP</v>
      </c>
      <c r="J968" t="s">
        <v>600</v>
      </c>
      <c r="K968" s="195">
        <v>46140.744756944441</v>
      </c>
      <c r="L968">
        <v>2</v>
      </c>
      <c r="M968">
        <v>0</v>
      </c>
      <c r="N968" s="98" t="str">
        <f>IF(record[[#This Row],[Memo]]="Browser:chrome os:android","平板報工",IF(record[[#This Row],[Memo]]=0,"委外",record[[#This Row],[Memo]]))</f>
        <v/>
      </c>
      <c r="O968" t="s">
        <v>58</v>
      </c>
      <c r="P968" t="s">
        <v>886</v>
      </c>
      <c r="Q968" t="s">
        <v>58</v>
      </c>
      <c r="R968" t="str">
        <f>IFERROR(VLOOKUP(record[[#This Row],[PCUSTID]],廠商[],2,FALSE),"")</f>
        <v/>
      </c>
      <c r="S968" t="str">
        <f>VLOOKUP(record[[#This Row],[employeeID]],員工[],2,FALSE)</f>
        <v>謝蓁薰</v>
      </c>
    </row>
    <row r="969" spans="6:19" hidden="1" x14ac:dyDescent="0.25">
      <c r="F969" t="s">
        <v>1585</v>
      </c>
      <c r="G969" t="s">
        <v>428</v>
      </c>
      <c r="H969" t="str">
        <f>VLOOKUP(record[[#This Row],[ProcessSN]],表格2_7[],2,FALSE)</f>
        <v>30-4118-018-600</v>
      </c>
      <c r="I969" t="str">
        <f>VLOOKUP(record[[#This Row],[ProcessSN]],表格2_7[],3,FALSE)</f>
        <v>#100SHIP</v>
      </c>
      <c r="J969" t="s">
        <v>600</v>
      </c>
      <c r="K969" s="195">
        <v>46140.744606481479</v>
      </c>
      <c r="L969">
        <v>4</v>
      </c>
      <c r="M969">
        <v>0</v>
      </c>
      <c r="N969" s="98" t="str">
        <f>IF(record[[#This Row],[Memo]]="Browser:chrome os:android","平板報工",IF(record[[#This Row],[Memo]]=0,"委外",record[[#This Row],[Memo]]))</f>
        <v/>
      </c>
      <c r="O969" t="s">
        <v>58</v>
      </c>
      <c r="P969" t="s">
        <v>886</v>
      </c>
      <c r="Q969" t="s">
        <v>58</v>
      </c>
      <c r="R969" t="str">
        <f>IFERROR(VLOOKUP(record[[#This Row],[PCUSTID]],廠商[],2,FALSE),"")</f>
        <v/>
      </c>
      <c r="S969" t="str">
        <f>VLOOKUP(record[[#This Row],[employeeID]],員工[],2,FALSE)</f>
        <v>謝蓁薰</v>
      </c>
    </row>
    <row r="970" spans="6:19" hidden="1" x14ac:dyDescent="0.25">
      <c r="F970" t="s">
        <v>1578</v>
      </c>
      <c r="G970" t="s">
        <v>428</v>
      </c>
      <c r="H970" t="str">
        <f>VLOOKUP(record[[#This Row],[ProcessSN]],表格2_7[],2,FALSE)</f>
        <v>30-4118-018-600</v>
      </c>
      <c r="I970" t="str">
        <f>VLOOKUP(record[[#This Row],[ProcessSN]],表格2_7[],3,FALSE)</f>
        <v>#100SHIP</v>
      </c>
      <c r="J970" t="s">
        <v>600</v>
      </c>
      <c r="K970" s="195">
        <v>46140.744444444441</v>
      </c>
      <c r="L970">
        <v>3</v>
      </c>
      <c r="M970">
        <v>0</v>
      </c>
      <c r="N970" s="98" t="str">
        <f>IF(record[[#This Row],[Memo]]="Browser:chrome os:android","平板報工",IF(record[[#This Row],[Memo]]=0,"委外",record[[#This Row],[Memo]]))</f>
        <v/>
      </c>
      <c r="O970" t="s">
        <v>58</v>
      </c>
      <c r="P970" t="s">
        <v>886</v>
      </c>
      <c r="Q970" t="s">
        <v>58</v>
      </c>
      <c r="R970" t="str">
        <f>IFERROR(VLOOKUP(record[[#This Row],[PCUSTID]],廠商[],2,FALSE),"")</f>
        <v/>
      </c>
      <c r="S970" t="str">
        <f>VLOOKUP(record[[#This Row],[employeeID]],員工[],2,FALSE)</f>
        <v>謝蓁薰</v>
      </c>
    </row>
    <row r="971" spans="6:19" hidden="1" x14ac:dyDescent="0.25">
      <c r="F971" t="s">
        <v>1574</v>
      </c>
      <c r="G971" t="s">
        <v>428</v>
      </c>
      <c r="H971" t="str">
        <f>VLOOKUP(record[[#This Row],[ProcessSN]],表格2_7[],2,FALSE)</f>
        <v>30-4118-018-600</v>
      </c>
      <c r="I971" t="str">
        <f>VLOOKUP(record[[#This Row],[ProcessSN]],表格2_7[],3,FALSE)</f>
        <v>#100SHIP</v>
      </c>
      <c r="J971" t="s">
        <v>600</v>
      </c>
      <c r="K971" s="195">
        <v>46140.744305555556</v>
      </c>
      <c r="L971">
        <v>4</v>
      </c>
      <c r="M971">
        <v>0</v>
      </c>
      <c r="N971" s="98" t="str">
        <f>IF(record[[#This Row],[Memo]]="Browser:chrome os:android","平板報工",IF(record[[#This Row],[Memo]]=0,"委外",record[[#This Row],[Memo]]))</f>
        <v/>
      </c>
      <c r="O971" t="s">
        <v>58</v>
      </c>
      <c r="P971" t="s">
        <v>886</v>
      </c>
      <c r="Q971" t="s">
        <v>58</v>
      </c>
      <c r="R971" t="str">
        <f>IFERROR(VLOOKUP(record[[#This Row],[PCUSTID]],廠商[],2,FALSE),"")</f>
        <v/>
      </c>
      <c r="S971" t="str">
        <f>VLOOKUP(record[[#This Row],[employeeID]],員工[],2,FALSE)</f>
        <v>謝蓁薰</v>
      </c>
    </row>
    <row r="972" spans="6:19" hidden="1" x14ac:dyDescent="0.25">
      <c r="F972" t="s">
        <v>1585</v>
      </c>
      <c r="G972" t="s">
        <v>427</v>
      </c>
      <c r="H972" t="str">
        <f>VLOOKUP(record[[#This Row],[ProcessSN]],表格2_7[],2,FALSE)</f>
        <v>30-4118-018-600</v>
      </c>
      <c r="I972" t="str">
        <f>VLOOKUP(record[[#This Row],[ProcessSN]],表格2_7[],3,FALSE)</f>
        <v>#100STOCK</v>
      </c>
      <c r="J972" t="s">
        <v>592</v>
      </c>
      <c r="K972" s="195">
        <v>46140.744201388887</v>
      </c>
      <c r="L972">
        <v>4</v>
      </c>
      <c r="M972">
        <v>0</v>
      </c>
      <c r="N972" s="98" t="str">
        <f>IF(record[[#This Row],[Memo]]="Browser:chrome os:android","平板報工",IF(record[[#This Row],[Memo]]=0,"委外",record[[#This Row],[Memo]]))</f>
        <v/>
      </c>
      <c r="O972" t="s">
        <v>58</v>
      </c>
      <c r="P972" t="s">
        <v>886</v>
      </c>
      <c r="Q972" t="s">
        <v>58</v>
      </c>
      <c r="R972" t="str">
        <f>IFERROR(VLOOKUP(record[[#This Row],[PCUSTID]],廠商[],2,FALSE),"")</f>
        <v/>
      </c>
      <c r="S972" t="str">
        <f>VLOOKUP(record[[#This Row],[employeeID]],員工[],2,FALSE)</f>
        <v>謝蓁薰</v>
      </c>
    </row>
    <row r="973" spans="6:19" hidden="1" x14ac:dyDescent="0.25">
      <c r="F973" t="s">
        <v>1578</v>
      </c>
      <c r="G973" t="s">
        <v>427</v>
      </c>
      <c r="H973" t="str">
        <f>VLOOKUP(record[[#This Row],[ProcessSN]],表格2_7[],2,FALSE)</f>
        <v>30-4118-018-600</v>
      </c>
      <c r="I973" t="str">
        <f>VLOOKUP(record[[#This Row],[ProcessSN]],表格2_7[],3,FALSE)</f>
        <v>#100STOCK</v>
      </c>
      <c r="J973" t="s">
        <v>592</v>
      </c>
      <c r="K973" s="195">
        <v>46140.744085648148</v>
      </c>
      <c r="L973">
        <v>3</v>
      </c>
      <c r="M973">
        <v>0</v>
      </c>
      <c r="N973" s="98" t="str">
        <f>IF(record[[#This Row],[Memo]]="Browser:chrome os:android","平板報工",IF(record[[#This Row],[Memo]]=0,"委外",record[[#This Row],[Memo]]))</f>
        <v/>
      </c>
      <c r="O973" t="s">
        <v>58</v>
      </c>
      <c r="P973" t="s">
        <v>886</v>
      </c>
      <c r="Q973" t="s">
        <v>58</v>
      </c>
      <c r="R973" t="str">
        <f>IFERROR(VLOOKUP(record[[#This Row],[PCUSTID]],廠商[],2,FALSE),"")</f>
        <v/>
      </c>
      <c r="S973" t="str">
        <f>VLOOKUP(record[[#This Row],[employeeID]],員工[],2,FALSE)</f>
        <v>謝蓁薰</v>
      </c>
    </row>
    <row r="974" spans="6:19" hidden="1" x14ac:dyDescent="0.25">
      <c r="F974" t="s">
        <v>1574</v>
      </c>
      <c r="G974" t="s">
        <v>427</v>
      </c>
      <c r="H974" t="str">
        <f>VLOOKUP(record[[#This Row],[ProcessSN]],表格2_7[],2,FALSE)</f>
        <v>30-4118-018-600</v>
      </c>
      <c r="I974" t="str">
        <f>VLOOKUP(record[[#This Row],[ProcessSN]],表格2_7[],3,FALSE)</f>
        <v>#100STOCK</v>
      </c>
      <c r="J974" t="s">
        <v>592</v>
      </c>
      <c r="K974" s="195">
        <v>46140.743958333333</v>
      </c>
      <c r="L974">
        <v>4</v>
      </c>
      <c r="M974">
        <v>0</v>
      </c>
      <c r="N974" s="98" t="str">
        <f>IF(record[[#This Row],[Memo]]="Browser:chrome os:android","平板報工",IF(record[[#This Row],[Memo]]=0,"委外",record[[#This Row],[Memo]]))</f>
        <v/>
      </c>
      <c r="O974" t="s">
        <v>58</v>
      </c>
      <c r="P974" t="s">
        <v>886</v>
      </c>
      <c r="Q974" t="s">
        <v>58</v>
      </c>
      <c r="R974" t="str">
        <f>IFERROR(VLOOKUP(record[[#This Row],[PCUSTID]],廠商[],2,FALSE),"")</f>
        <v/>
      </c>
      <c r="S974" t="str">
        <f>VLOOKUP(record[[#This Row],[employeeID]],員工[],2,FALSE)</f>
        <v>謝蓁薰</v>
      </c>
    </row>
    <row r="975" spans="6:19" hidden="1" x14ac:dyDescent="0.25">
      <c r="F975" t="s">
        <v>1904</v>
      </c>
      <c r="G975" t="s">
        <v>427</v>
      </c>
      <c r="H975" t="str">
        <f>VLOOKUP(record[[#This Row],[ProcessSN]],表格2_7[],2,FALSE)</f>
        <v>30-4118-018-600</v>
      </c>
      <c r="I975" t="str">
        <f>VLOOKUP(record[[#This Row],[ProcessSN]],表格2_7[],3,FALSE)</f>
        <v>#100STOCK</v>
      </c>
      <c r="J975" t="s">
        <v>592</v>
      </c>
      <c r="K975" s="195">
        <v>46140.743854166663</v>
      </c>
      <c r="L975">
        <v>4</v>
      </c>
      <c r="M975">
        <v>0</v>
      </c>
      <c r="N975" s="98" t="str">
        <f>IF(record[[#This Row],[Memo]]="Browser:chrome os:android","平板報工",IF(record[[#This Row],[Memo]]=0,"委外",record[[#This Row],[Memo]]))</f>
        <v/>
      </c>
      <c r="O975" t="s">
        <v>58</v>
      </c>
      <c r="P975" t="s">
        <v>886</v>
      </c>
      <c r="Q975" t="s">
        <v>58</v>
      </c>
      <c r="R975" t="str">
        <f>IFERROR(VLOOKUP(record[[#This Row],[PCUSTID]],廠商[],2,FALSE),"")</f>
        <v/>
      </c>
      <c r="S975" t="str">
        <f>VLOOKUP(record[[#This Row],[employeeID]],員工[],2,FALSE)</f>
        <v>謝蓁薰</v>
      </c>
    </row>
    <row r="976" spans="6:19" hidden="1" x14ac:dyDescent="0.25">
      <c r="F976" t="s">
        <v>1918</v>
      </c>
      <c r="G976" t="s">
        <v>423</v>
      </c>
      <c r="H976" t="str">
        <f>VLOOKUP(record[[#This Row],[ProcessSN]],表格2_7[],2,FALSE)</f>
        <v>30-4118-018-600</v>
      </c>
      <c r="I976" t="str">
        <f>VLOOKUP(record[[#This Row],[ProcessSN]],表格2_7[],3,FALSE)</f>
        <v>#08RCV</v>
      </c>
      <c r="J976" t="s">
        <v>591</v>
      </c>
      <c r="K976" s="195">
        <v>46140.741273148145</v>
      </c>
      <c r="L976">
        <v>67</v>
      </c>
      <c r="M976">
        <v>0</v>
      </c>
      <c r="N976" s="98" t="str">
        <f>IF(record[[#This Row],[Memo]]="Browser:chrome os:android","平板報工",IF(record[[#This Row],[Memo]]=0,"委外",record[[#This Row],[Memo]]))</f>
        <v/>
      </c>
      <c r="O976" t="s">
        <v>58</v>
      </c>
      <c r="P976" t="s">
        <v>886</v>
      </c>
      <c r="Q976" t="s">
        <v>58</v>
      </c>
      <c r="R976" t="str">
        <f>IFERROR(VLOOKUP(record[[#This Row],[PCUSTID]],廠商[],2,FALSE),"")</f>
        <v/>
      </c>
      <c r="S976" t="str">
        <f>VLOOKUP(record[[#This Row],[employeeID]],員工[],2,FALSE)</f>
        <v>謝蓁薰</v>
      </c>
    </row>
    <row r="977" spans="6:19" hidden="1" x14ac:dyDescent="0.25">
      <c r="F977" t="s">
        <v>1919</v>
      </c>
      <c r="G977" t="s">
        <v>439</v>
      </c>
      <c r="H977" t="str">
        <f>VLOOKUP(record[[#This Row],[ProcessSN]],表格2_7[],2,FALSE)</f>
        <v>30-4118-018-650</v>
      </c>
      <c r="I977" t="str">
        <f>VLOOKUP(record[[#This Row],[ProcessSN]],表格2_7[],3,FALSE)</f>
        <v>#08RCV</v>
      </c>
      <c r="J977" t="s">
        <v>591</v>
      </c>
      <c r="K977" s="195">
        <v>46140.741053240738</v>
      </c>
      <c r="L977">
        <v>480</v>
      </c>
      <c r="M977">
        <v>0</v>
      </c>
      <c r="N977" s="98" t="str">
        <f>IF(record[[#This Row],[Memo]]="Browser:chrome os:android","平板報工",IF(record[[#This Row],[Memo]]=0,"委外",record[[#This Row],[Memo]]))</f>
        <v/>
      </c>
      <c r="O977" t="s">
        <v>58</v>
      </c>
      <c r="P977" t="s">
        <v>886</v>
      </c>
      <c r="Q977" t="s">
        <v>58</v>
      </c>
      <c r="R977" t="str">
        <f>IFERROR(VLOOKUP(record[[#This Row],[PCUSTID]],廠商[],2,FALSE),"")</f>
        <v/>
      </c>
      <c r="S977" t="str">
        <f>VLOOKUP(record[[#This Row],[employeeID]],員工[],2,FALSE)</f>
        <v>謝蓁薰</v>
      </c>
    </row>
    <row r="978" spans="6:19" hidden="1" x14ac:dyDescent="0.25">
      <c r="F978" t="s">
        <v>1903</v>
      </c>
      <c r="G978" t="s">
        <v>384</v>
      </c>
      <c r="H978" t="str">
        <f>VLOOKUP(record[[#This Row],[ProcessSN]],表格2_7[],2,FALSE)</f>
        <v>30-4118-018-500</v>
      </c>
      <c r="I978" t="str">
        <f>VLOOKUP(record[[#This Row],[ProcessSN]],表格2_7[],3,FALSE)</f>
        <v>#100</v>
      </c>
      <c r="J978" t="s">
        <v>598</v>
      </c>
      <c r="K978" s="195">
        <v>46140.709594907406</v>
      </c>
      <c r="L978">
        <v>0</v>
      </c>
      <c r="M978">
        <v>21</v>
      </c>
      <c r="N978" s="98" t="str">
        <f>IF(record[[#This Row],[Memo]]="Browser:chrome os:android","平板報工",IF(record[[#This Row],[Memo]]=0,"委外",record[[#This Row],[Memo]]))</f>
        <v/>
      </c>
      <c r="O978" t="s">
        <v>58</v>
      </c>
      <c r="P978" t="s">
        <v>141</v>
      </c>
      <c r="Q978" t="s">
        <v>58</v>
      </c>
      <c r="R978" t="str">
        <f>IFERROR(VLOOKUP(record[[#This Row],[PCUSTID]],廠商[],2,FALSE),"")</f>
        <v/>
      </c>
      <c r="S978" t="str">
        <f>VLOOKUP(record[[#This Row],[employeeID]],員工[],2,FALSE)</f>
        <v>蔣梅</v>
      </c>
    </row>
    <row r="979" spans="6:19" hidden="1" x14ac:dyDescent="0.25">
      <c r="F979" t="s">
        <v>1903</v>
      </c>
      <c r="G979" t="s">
        <v>384</v>
      </c>
      <c r="H979" t="str">
        <f>VLOOKUP(record[[#This Row],[ProcessSN]],表格2_7[],2,FALSE)</f>
        <v>30-4118-018-500</v>
      </c>
      <c r="I979" t="str">
        <f>VLOOKUP(record[[#This Row],[ProcessSN]],表格2_7[],3,FALSE)</f>
        <v>#100</v>
      </c>
      <c r="J979" t="s">
        <v>598</v>
      </c>
      <c r="K979" s="195">
        <v>46140.709467592591</v>
      </c>
      <c r="L979">
        <v>71</v>
      </c>
      <c r="M979">
        <v>0</v>
      </c>
      <c r="N979" s="98" t="str">
        <f>IF(record[[#This Row],[Memo]]="Browser:chrome os:android","平板報工",IF(record[[#This Row],[Memo]]=0,"委外",record[[#This Row],[Memo]]))</f>
        <v/>
      </c>
      <c r="O979" t="s">
        <v>58</v>
      </c>
      <c r="P979" t="s">
        <v>141</v>
      </c>
      <c r="Q979" t="s">
        <v>58</v>
      </c>
      <c r="R979" t="str">
        <f>IFERROR(VLOOKUP(record[[#This Row],[PCUSTID]],廠商[],2,FALSE),"")</f>
        <v/>
      </c>
      <c r="S979" t="str">
        <f>VLOOKUP(record[[#This Row],[employeeID]],員工[],2,FALSE)</f>
        <v>蔣梅</v>
      </c>
    </row>
    <row r="980" spans="6:19" hidden="1" x14ac:dyDescent="0.25">
      <c r="F980" t="s">
        <v>1850</v>
      </c>
      <c r="G980" t="s">
        <v>420</v>
      </c>
      <c r="H980" t="str">
        <f>VLOOKUP(record[[#This Row],[ProcessSN]],表格2_7[],2,FALSE)</f>
        <v>30-4118-018-5XX</v>
      </c>
      <c r="I980" t="str">
        <f>VLOOKUP(record[[#This Row],[ProcessSN]],表格2_7[],3,FALSE)</f>
        <v>#07STOCK</v>
      </c>
      <c r="J980" t="s">
        <v>592</v>
      </c>
      <c r="K980" s="195">
        <v>46140.692604166667</v>
      </c>
      <c r="L980">
        <v>43</v>
      </c>
      <c r="M980">
        <v>0</v>
      </c>
      <c r="N980" s="98" t="str">
        <f>IF(record[[#This Row],[Memo]]="Browser:chrome os:android","平板報工",IF(record[[#This Row],[Memo]]=0,"委外",record[[#This Row],[Memo]]))</f>
        <v/>
      </c>
      <c r="O980" t="s">
        <v>58</v>
      </c>
      <c r="P980" t="s">
        <v>186</v>
      </c>
      <c r="Q980" t="s">
        <v>58</v>
      </c>
      <c r="R980" t="str">
        <f>IFERROR(VLOOKUP(record[[#This Row],[PCUSTID]],廠商[],2,FALSE),"")</f>
        <v/>
      </c>
      <c r="S980" t="str">
        <f>VLOOKUP(record[[#This Row],[employeeID]],員工[],2,FALSE)</f>
        <v>許文姍</v>
      </c>
    </row>
    <row r="981" spans="6:19" hidden="1" x14ac:dyDescent="0.25">
      <c r="F981" t="s">
        <v>1906</v>
      </c>
      <c r="G981" t="s">
        <v>417</v>
      </c>
      <c r="H981" t="str">
        <f>VLOOKUP(record[[#This Row],[ProcessSN]],表格2_7[],2,FALSE)</f>
        <v>30-4118-018-5XX</v>
      </c>
      <c r="I981" t="str">
        <f>VLOOKUP(record[[#This Row],[ProcessSN]],表格2_7[],3,FALSE)</f>
        <v>#06</v>
      </c>
      <c r="J981" t="s">
        <v>593</v>
      </c>
      <c r="K981" s="195">
        <v>46140.669942129629</v>
      </c>
      <c r="L981">
        <v>6</v>
      </c>
      <c r="M981">
        <v>78</v>
      </c>
      <c r="N981" s="98" t="str">
        <f>IF(record[[#This Row],[Memo]]="Browser:chrome os:android","平板報工",IF(record[[#This Row],[Memo]]=0,"委外",record[[#This Row],[Memo]]))</f>
        <v>平板報工</v>
      </c>
      <c r="O981" t="s">
        <v>643</v>
      </c>
      <c r="P981" t="s">
        <v>1413</v>
      </c>
      <c r="Q981" t="s">
        <v>644</v>
      </c>
      <c r="R981" t="str">
        <f>IFERROR(VLOOKUP(record[[#This Row],[PCUSTID]],廠商[],2,FALSE),"")</f>
        <v/>
      </c>
      <c r="S981" t="str">
        <f>VLOOKUP(record[[#This Row],[employeeID]],員工[],2,FALSE)</f>
        <v>阮氏芳英(芳)</v>
      </c>
    </row>
    <row r="982" spans="6:19" hidden="1" x14ac:dyDescent="0.25">
      <c r="F982" t="s">
        <v>1585</v>
      </c>
      <c r="G982" t="s">
        <v>426</v>
      </c>
      <c r="H982" t="str">
        <f>VLOOKUP(record[[#This Row],[ProcessSN]],表格2_7[],2,FALSE)</f>
        <v>30-4118-018-600</v>
      </c>
      <c r="I982" t="str">
        <f>VLOOKUP(record[[#This Row],[ProcessSN]],表格2_7[],3,FALSE)</f>
        <v>#100OQC</v>
      </c>
      <c r="J982" t="s">
        <v>599</v>
      </c>
      <c r="K982" s="195">
        <v>46140.657604166663</v>
      </c>
      <c r="L982">
        <v>4</v>
      </c>
      <c r="M982">
        <v>0</v>
      </c>
      <c r="N982" s="98" t="str">
        <f>IF(record[[#This Row],[Memo]]="Browser:chrome os:android","平板報工",IF(record[[#This Row],[Memo]]=0,"委外",record[[#This Row],[Memo]]))</f>
        <v/>
      </c>
      <c r="O982" t="s">
        <v>58</v>
      </c>
      <c r="P982" t="s">
        <v>121</v>
      </c>
      <c r="Q982" t="s">
        <v>58</v>
      </c>
      <c r="R982" t="str">
        <f>IFERROR(VLOOKUP(record[[#This Row],[PCUSTID]],廠商[],2,FALSE),"")</f>
        <v/>
      </c>
      <c r="S982" t="str">
        <f>VLOOKUP(record[[#This Row],[employeeID]],員工[],2,FALSE)</f>
        <v>謝素卿</v>
      </c>
    </row>
    <row r="983" spans="6:19" hidden="1" x14ac:dyDescent="0.25">
      <c r="F983" t="s">
        <v>1574</v>
      </c>
      <c r="G983" t="s">
        <v>426</v>
      </c>
      <c r="H983" t="str">
        <f>VLOOKUP(record[[#This Row],[ProcessSN]],表格2_7[],2,FALSE)</f>
        <v>30-4118-018-600</v>
      </c>
      <c r="I983" t="str">
        <f>VLOOKUP(record[[#This Row],[ProcessSN]],表格2_7[],3,FALSE)</f>
        <v>#100OQC</v>
      </c>
      <c r="J983" t="s">
        <v>599</v>
      </c>
      <c r="K983" s="195">
        <v>46140.657476851855</v>
      </c>
      <c r="L983">
        <v>4</v>
      </c>
      <c r="M983">
        <v>0</v>
      </c>
      <c r="N983" s="98" t="str">
        <f>IF(record[[#This Row],[Memo]]="Browser:chrome os:android","平板報工",IF(record[[#This Row],[Memo]]=0,"委外",record[[#This Row],[Memo]]))</f>
        <v/>
      </c>
      <c r="O983" t="s">
        <v>58</v>
      </c>
      <c r="P983" t="s">
        <v>121</v>
      </c>
      <c r="Q983" t="s">
        <v>58</v>
      </c>
      <c r="R983" t="str">
        <f>IFERROR(VLOOKUP(record[[#This Row],[PCUSTID]],廠商[],2,FALSE),"")</f>
        <v/>
      </c>
      <c r="S983" t="str">
        <f>VLOOKUP(record[[#This Row],[employeeID]],員工[],2,FALSE)</f>
        <v>謝素卿</v>
      </c>
    </row>
    <row r="984" spans="6:19" hidden="1" x14ac:dyDescent="0.25">
      <c r="F984" t="s">
        <v>1578</v>
      </c>
      <c r="G984" t="s">
        <v>426</v>
      </c>
      <c r="H984" t="str">
        <f>VLOOKUP(record[[#This Row],[ProcessSN]],表格2_7[],2,FALSE)</f>
        <v>30-4118-018-600</v>
      </c>
      <c r="I984" t="str">
        <f>VLOOKUP(record[[#This Row],[ProcessSN]],表格2_7[],3,FALSE)</f>
        <v>#100OQC</v>
      </c>
      <c r="J984" t="s">
        <v>599</v>
      </c>
      <c r="K984" s="195">
        <v>46140.657349537039</v>
      </c>
      <c r="L984">
        <v>3</v>
      </c>
      <c r="M984">
        <v>0</v>
      </c>
      <c r="N984" s="98" t="str">
        <f>IF(record[[#This Row],[Memo]]="Browser:chrome os:android","平板報工",IF(record[[#This Row],[Memo]]=0,"委外",record[[#This Row],[Memo]]))</f>
        <v/>
      </c>
      <c r="O984" t="s">
        <v>58</v>
      </c>
      <c r="P984" t="s">
        <v>121</v>
      </c>
      <c r="Q984" t="s">
        <v>58</v>
      </c>
      <c r="R984" t="str">
        <f>IFERROR(VLOOKUP(record[[#This Row],[PCUSTID]],廠商[],2,FALSE),"")</f>
        <v/>
      </c>
      <c r="S984" t="str">
        <f>VLOOKUP(record[[#This Row],[employeeID]],員工[],2,FALSE)</f>
        <v>謝素卿</v>
      </c>
    </row>
    <row r="985" spans="6:19" hidden="1" x14ac:dyDescent="0.25">
      <c r="F985" t="s">
        <v>1906</v>
      </c>
      <c r="G985" t="s">
        <v>417</v>
      </c>
      <c r="H985" t="str">
        <f>VLOOKUP(record[[#This Row],[ProcessSN]],表格2_7[],2,FALSE)</f>
        <v>30-4118-018-5XX</v>
      </c>
      <c r="I985" t="str">
        <f>VLOOKUP(record[[#This Row],[ProcessSN]],表格2_7[],3,FALSE)</f>
        <v>#06</v>
      </c>
      <c r="J985" t="s">
        <v>593</v>
      </c>
      <c r="K985" s="195">
        <v>46140.650381944448</v>
      </c>
      <c r="L985">
        <v>182</v>
      </c>
      <c r="M985">
        <v>0</v>
      </c>
      <c r="N985" s="98" t="str">
        <f>IF(record[[#This Row],[Memo]]="Browser:chrome os:android","平板報工",IF(record[[#This Row],[Memo]]=0,"委外",record[[#This Row],[Memo]]))</f>
        <v>平板報工</v>
      </c>
      <c r="O985" t="s">
        <v>643</v>
      </c>
      <c r="P985" t="s">
        <v>1413</v>
      </c>
      <c r="Q985" t="s">
        <v>644</v>
      </c>
      <c r="R985" t="str">
        <f>IFERROR(VLOOKUP(record[[#This Row],[PCUSTID]],廠商[],2,FALSE),"")</f>
        <v/>
      </c>
      <c r="S985" t="str">
        <f>VLOOKUP(record[[#This Row],[employeeID]],員工[],2,FALSE)</f>
        <v>阮氏芳英(芳)</v>
      </c>
    </row>
    <row r="986" spans="6:19" hidden="1" x14ac:dyDescent="0.25">
      <c r="F986" t="s">
        <v>1868</v>
      </c>
      <c r="G986" t="s">
        <v>427</v>
      </c>
      <c r="H986" t="str">
        <f>VLOOKUP(record[[#This Row],[ProcessSN]],表格2_7[],2,FALSE)</f>
        <v>30-4118-018-600</v>
      </c>
      <c r="I986" t="str">
        <f>VLOOKUP(record[[#This Row],[ProcessSN]],表格2_7[],3,FALSE)</f>
        <v>#100STOCK</v>
      </c>
      <c r="J986" t="s">
        <v>592</v>
      </c>
      <c r="K986" s="195">
        <v>46140.650277777779</v>
      </c>
      <c r="L986">
        <v>6</v>
      </c>
      <c r="M986">
        <v>0</v>
      </c>
      <c r="N986" s="98" t="str">
        <f>IF(record[[#This Row],[Memo]]="Browser:chrome os:android","平板報工",IF(record[[#This Row],[Memo]]=0,"委外",record[[#This Row],[Memo]]))</f>
        <v/>
      </c>
      <c r="O986" t="s">
        <v>58</v>
      </c>
      <c r="P986" t="s">
        <v>886</v>
      </c>
      <c r="Q986" t="s">
        <v>58</v>
      </c>
      <c r="R986" t="str">
        <f>IFERROR(VLOOKUP(record[[#This Row],[PCUSTID]],廠商[],2,FALSE),"")</f>
        <v/>
      </c>
      <c r="S986" t="str">
        <f>VLOOKUP(record[[#This Row],[employeeID]],員工[],2,FALSE)</f>
        <v>謝蓁薰</v>
      </c>
    </row>
    <row r="987" spans="6:19" hidden="1" x14ac:dyDescent="0.25">
      <c r="F987" t="s">
        <v>1868</v>
      </c>
      <c r="G987" t="s">
        <v>426</v>
      </c>
      <c r="H987" t="str">
        <f>VLOOKUP(record[[#This Row],[ProcessSN]],表格2_7[],2,FALSE)</f>
        <v>30-4118-018-600</v>
      </c>
      <c r="I987" t="str">
        <f>VLOOKUP(record[[#This Row],[ProcessSN]],表格2_7[],3,FALSE)</f>
        <v>#100OQC</v>
      </c>
      <c r="J987" t="s">
        <v>599</v>
      </c>
      <c r="K987" s="195">
        <v>46140.650173611109</v>
      </c>
      <c r="L987">
        <v>6</v>
      </c>
      <c r="M987">
        <v>0</v>
      </c>
      <c r="N987" s="98" t="str">
        <f>IF(record[[#This Row],[Memo]]="Browser:chrome os:android","平板報工",IF(record[[#This Row],[Memo]]=0,"委外",record[[#This Row],[Memo]]))</f>
        <v>1.5露白</v>
      </c>
      <c r="O987" t="s">
        <v>1827</v>
      </c>
      <c r="P987" t="s">
        <v>886</v>
      </c>
      <c r="Q987" t="s">
        <v>58</v>
      </c>
      <c r="R987" t="str">
        <f>IFERROR(VLOOKUP(record[[#This Row],[PCUSTID]],廠商[],2,FALSE),"")</f>
        <v/>
      </c>
      <c r="S987" t="str">
        <f>VLOOKUP(record[[#This Row],[employeeID]],員工[],2,FALSE)</f>
        <v>謝蓁薰</v>
      </c>
    </row>
    <row r="988" spans="6:19" hidden="1" x14ac:dyDescent="0.25">
      <c r="F988" t="s">
        <v>1868</v>
      </c>
      <c r="G988" t="s">
        <v>425</v>
      </c>
      <c r="H988" t="str">
        <f>VLOOKUP(record[[#This Row],[ProcessSN]],表格2_7[],2,FALSE)</f>
        <v>30-4118-018-600</v>
      </c>
      <c r="I988" t="str">
        <f>VLOOKUP(record[[#This Row],[ProcessSN]],表格2_7[],3,FALSE)</f>
        <v>#100</v>
      </c>
      <c r="J988" t="s">
        <v>598</v>
      </c>
      <c r="K988" s="195">
        <v>46140.650034722225</v>
      </c>
      <c r="L988">
        <v>6</v>
      </c>
      <c r="M988">
        <v>0</v>
      </c>
      <c r="N988" s="98" t="str">
        <f>IF(record[[#This Row],[Memo]]="Browser:chrome os:android","平板報工",IF(record[[#This Row],[Memo]]=0,"委外",record[[#This Row],[Memo]]))</f>
        <v>1.5露白</v>
      </c>
      <c r="O988" t="s">
        <v>1827</v>
      </c>
      <c r="P988" t="s">
        <v>886</v>
      </c>
      <c r="Q988" t="s">
        <v>58</v>
      </c>
      <c r="R988" t="str">
        <f>IFERROR(VLOOKUP(record[[#This Row],[PCUSTID]],廠商[],2,FALSE),"")</f>
        <v/>
      </c>
      <c r="S988" t="str">
        <f>VLOOKUP(record[[#This Row],[employeeID]],員工[],2,FALSE)</f>
        <v>謝蓁薰</v>
      </c>
    </row>
    <row r="989" spans="6:19" hidden="1" x14ac:dyDescent="0.25">
      <c r="F989" t="s">
        <v>1868</v>
      </c>
      <c r="G989" t="s">
        <v>425</v>
      </c>
      <c r="H989" t="str">
        <f>VLOOKUP(record[[#This Row],[ProcessSN]],表格2_7[],2,FALSE)</f>
        <v>30-4118-018-600</v>
      </c>
      <c r="I989" t="str">
        <f>VLOOKUP(record[[#This Row],[ProcessSN]],表格2_7[],3,FALSE)</f>
        <v>#100</v>
      </c>
      <c r="J989" t="s">
        <v>598</v>
      </c>
      <c r="K989" s="195">
        <v>46140.649710648147</v>
      </c>
      <c r="L989">
        <v>0</v>
      </c>
      <c r="M989">
        <v>-6</v>
      </c>
      <c r="N989" s="98" t="str">
        <f>IF(record[[#This Row],[Memo]]="Browser:chrome os:android","平板報工",IF(record[[#This Row],[Memo]]=0,"委外",record[[#This Row],[Memo]]))</f>
        <v>1.5露白</v>
      </c>
      <c r="O989" t="s">
        <v>1827</v>
      </c>
      <c r="P989" t="s">
        <v>886</v>
      </c>
      <c r="Q989" t="s">
        <v>58</v>
      </c>
      <c r="R989" t="str">
        <f>IFERROR(VLOOKUP(record[[#This Row],[PCUSTID]],廠商[],2,FALSE),"")</f>
        <v/>
      </c>
      <c r="S989" t="str">
        <f>VLOOKUP(record[[#This Row],[employeeID]],員工[],2,FALSE)</f>
        <v>謝蓁薰</v>
      </c>
    </row>
    <row r="990" spans="6:19" hidden="1" x14ac:dyDescent="0.25">
      <c r="F990" t="s">
        <v>1906</v>
      </c>
      <c r="G990" t="s">
        <v>416</v>
      </c>
      <c r="H990" t="str">
        <f>VLOOKUP(record[[#This Row],[ProcessSN]],表格2_7[],2,FALSE)</f>
        <v>30-4118-018-5XX</v>
      </c>
      <c r="I990" t="str">
        <f>VLOOKUP(record[[#This Row],[ProcessSN]],表格2_7[],3,FALSE)</f>
        <v>#05</v>
      </c>
      <c r="J990" t="s">
        <v>588</v>
      </c>
      <c r="K990" s="195">
        <v>46140.648599537039</v>
      </c>
      <c r="L990">
        <v>270</v>
      </c>
      <c r="M990">
        <v>0</v>
      </c>
      <c r="N990" s="98" t="str">
        <f>IF(record[[#This Row],[Memo]]="Browser:chrome os:android","平板報工",IF(record[[#This Row],[Memo]]=0,"委外",record[[#This Row],[Memo]]))</f>
        <v>平板報工</v>
      </c>
      <c r="O990" t="s">
        <v>643</v>
      </c>
      <c r="P990" t="s">
        <v>785</v>
      </c>
      <c r="Q990" t="s">
        <v>644</v>
      </c>
      <c r="R990" t="str">
        <f>IFERROR(VLOOKUP(record[[#This Row],[PCUSTID]],廠商[],2,FALSE),"")</f>
        <v/>
      </c>
      <c r="S990" t="str">
        <f>VLOOKUP(record[[#This Row],[employeeID]],員工[],2,FALSE)</f>
        <v>謝刻光</v>
      </c>
    </row>
    <row r="991" spans="6:19" hidden="1" x14ac:dyDescent="0.25">
      <c r="F991" t="s">
        <v>1906</v>
      </c>
      <c r="G991" t="s">
        <v>418</v>
      </c>
      <c r="H991" t="str">
        <f>VLOOKUP(record[[#This Row],[ProcessSN]],表格2_7[],2,FALSE)</f>
        <v>30-4118-018-5XX</v>
      </c>
      <c r="I991" t="str">
        <f>VLOOKUP(record[[#This Row],[ProcessSN]],表格2_7[],3,FALSE)</f>
        <v>#07</v>
      </c>
      <c r="J991" t="s">
        <v>588</v>
      </c>
      <c r="K991" s="195">
        <v>46140.648055555554</v>
      </c>
      <c r="L991">
        <v>210</v>
      </c>
      <c r="M991">
        <v>0</v>
      </c>
      <c r="N991" s="98" t="str">
        <f>IF(record[[#This Row],[Memo]]="Browser:chrome os:android","平板報工",IF(record[[#This Row],[Memo]]=0,"委外",record[[#This Row],[Memo]]))</f>
        <v>平板報工</v>
      </c>
      <c r="O991" t="s">
        <v>643</v>
      </c>
      <c r="P991" t="s">
        <v>785</v>
      </c>
      <c r="Q991" t="s">
        <v>644</v>
      </c>
      <c r="R991" t="str">
        <f>IFERROR(VLOOKUP(record[[#This Row],[PCUSTID]],廠商[],2,FALSE),"")</f>
        <v/>
      </c>
      <c r="S991" t="str">
        <f>VLOOKUP(record[[#This Row],[employeeID]],員工[],2,FALSE)</f>
        <v>謝刻光</v>
      </c>
    </row>
    <row r="992" spans="6:19" hidden="1" x14ac:dyDescent="0.25">
      <c r="F992" t="s">
        <v>1906</v>
      </c>
      <c r="G992" t="s">
        <v>415</v>
      </c>
      <c r="H992" t="str">
        <f>VLOOKUP(record[[#This Row],[ProcessSN]],表格2_7[],2,FALSE)</f>
        <v>30-4118-018-5XX</v>
      </c>
      <c r="I992" t="str">
        <f>VLOOKUP(record[[#This Row],[ProcessSN]],表格2_7[],3,FALSE)</f>
        <v>#04</v>
      </c>
      <c r="J992" t="s">
        <v>588</v>
      </c>
      <c r="K992" s="195">
        <v>46140.646724537037</v>
      </c>
      <c r="L992">
        <v>145</v>
      </c>
      <c r="M992">
        <v>0</v>
      </c>
      <c r="N992" s="98" t="str">
        <f>IF(record[[#This Row],[Memo]]="Browser:chrome os:android","平板報工",IF(record[[#This Row],[Memo]]=0,"委外",record[[#This Row],[Memo]]))</f>
        <v>平板報工</v>
      </c>
      <c r="O992" t="s">
        <v>643</v>
      </c>
      <c r="P992" t="s">
        <v>107</v>
      </c>
      <c r="Q992" t="s">
        <v>644</v>
      </c>
      <c r="R992" t="str">
        <f>IFERROR(VLOOKUP(record[[#This Row],[PCUSTID]],廠商[],2,FALSE),"")</f>
        <v/>
      </c>
      <c r="S992" t="str">
        <f>VLOOKUP(record[[#This Row],[employeeID]],員工[],2,FALSE)</f>
        <v>黎氏順</v>
      </c>
    </row>
    <row r="993" spans="6:19" hidden="1" x14ac:dyDescent="0.25">
      <c r="F993" t="s">
        <v>1906</v>
      </c>
      <c r="G993" t="s">
        <v>415</v>
      </c>
      <c r="H993" t="str">
        <f>VLOOKUP(record[[#This Row],[ProcessSN]],表格2_7[],2,FALSE)</f>
        <v>30-4118-018-5XX</v>
      </c>
      <c r="I993" t="str">
        <f>VLOOKUP(record[[#This Row],[ProcessSN]],表格2_7[],3,FALSE)</f>
        <v>#04</v>
      </c>
      <c r="J993" t="s">
        <v>588</v>
      </c>
      <c r="K993" s="195">
        <v>46140.646273148152</v>
      </c>
      <c r="L993">
        <v>145</v>
      </c>
      <c r="M993">
        <v>0</v>
      </c>
      <c r="N993" s="98" t="str">
        <f>IF(record[[#This Row],[Memo]]="Browser:chrome os:android","平板報工",IF(record[[#This Row],[Memo]]=0,"委外",record[[#This Row],[Memo]]))</f>
        <v>平板報工</v>
      </c>
      <c r="O993" t="s">
        <v>643</v>
      </c>
      <c r="P993" t="s">
        <v>107</v>
      </c>
      <c r="Q993" t="s">
        <v>644</v>
      </c>
      <c r="R993" t="str">
        <f>IFERROR(VLOOKUP(record[[#This Row],[PCUSTID]],廠商[],2,FALSE),"")</f>
        <v/>
      </c>
      <c r="S993" t="str">
        <f>VLOOKUP(record[[#This Row],[employeeID]],員工[],2,FALSE)</f>
        <v>黎氏順</v>
      </c>
    </row>
    <row r="994" spans="6:19" x14ac:dyDescent="0.25">
      <c r="F994" t="s">
        <v>1924</v>
      </c>
      <c r="G994" t="s">
        <v>447</v>
      </c>
      <c r="H994" t="str">
        <f>VLOOKUP(record[[#This Row],[ProcessSN]],表格2_7[],2,FALSE)</f>
        <v>30-4118-018-6XX</v>
      </c>
      <c r="I994" t="str">
        <f>VLOOKUP(record[[#This Row],[ProcessSN]],表格2_7[],3,FALSE)</f>
        <v>#03</v>
      </c>
      <c r="J994" t="s">
        <v>588</v>
      </c>
      <c r="K994" s="195">
        <v>46140.64502314815</v>
      </c>
      <c r="L994">
        <v>61</v>
      </c>
      <c r="M994">
        <v>0</v>
      </c>
      <c r="N994" s="98" t="str">
        <f>IF(record[[#This Row],[Memo]]="Browser:chrome os:android","平板報工",IF(record[[#This Row],[Memo]]=0,"委外",record[[#This Row],[Memo]]))</f>
        <v>平板報工</v>
      </c>
      <c r="O994" t="s">
        <v>643</v>
      </c>
      <c r="P994" t="s">
        <v>107</v>
      </c>
      <c r="Q994" t="s">
        <v>644</v>
      </c>
      <c r="R994" t="str">
        <f>IFERROR(VLOOKUP(record[[#This Row],[PCUSTID]],廠商[],2,FALSE),"")</f>
        <v/>
      </c>
      <c r="S994" t="str">
        <f>VLOOKUP(record[[#This Row],[employeeID]],員工[],2,FALSE)</f>
        <v>黎氏順</v>
      </c>
    </row>
    <row r="995" spans="6:19" hidden="1" x14ac:dyDescent="0.25">
      <c r="F995" t="s">
        <v>1909</v>
      </c>
      <c r="G995" t="s">
        <v>373</v>
      </c>
      <c r="H995" t="str">
        <f>VLOOKUP(record[[#This Row],[ProcessSN]],表格2_7[],2,FALSE)</f>
        <v>30-4118-018-4XX</v>
      </c>
      <c r="I995" t="str">
        <f>VLOOKUP(record[[#This Row],[ProcessSN]],表格2_7[],3,FALSE)</f>
        <v>#03</v>
      </c>
      <c r="J995" t="s">
        <v>588</v>
      </c>
      <c r="K995" s="195">
        <v>46140.644594907404</v>
      </c>
      <c r="L995">
        <v>899</v>
      </c>
      <c r="M995">
        <v>0</v>
      </c>
      <c r="N995" s="98" t="str">
        <f>IF(record[[#This Row],[Memo]]="Browser:chrome os:android","平板報工",IF(record[[#This Row],[Memo]]=0,"委外",record[[#This Row],[Memo]]))</f>
        <v>平板報工</v>
      </c>
      <c r="O995" t="s">
        <v>643</v>
      </c>
      <c r="P995" t="s">
        <v>107</v>
      </c>
      <c r="Q995" t="s">
        <v>644</v>
      </c>
      <c r="R995" t="str">
        <f>IFERROR(VLOOKUP(record[[#This Row],[PCUSTID]],廠商[],2,FALSE),"")</f>
        <v/>
      </c>
      <c r="S995" t="str">
        <f>VLOOKUP(record[[#This Row],[employeeID]],員工[],2,FALSE)</f>
        <v>黎氏順</v>
      </c>
    </row>
    <row r="996" spans="6:19" hidden="1" x14ac:dyDescent="0.25">
      <c r="F996" t="s">
        <v>1935</v>
      </c>
      <c r="G996" t="s">
        <v>389</v>
      </c>
      <c r="H996" t="str">
        <f>VLOOKUP(record[[#This Row],[ProcessSN]],表格2_7[],2,FALSE)</f>
        <v>30-4118-018-520</v>
      </c>
      <c r="I996" t="str">
        <f>VLOOKUP(record[[#This Row],[ProcessSN]],表格2_7[],3,FALSE)</f>
        <v>#08</v>
      </c>
      <c r="J996" t="s">
        <v>597</v>
      </c>
      <c r="K996" s="195">
        <v>46140.606446759259</v>
      </c>
      <c r="L996">
        <v>209</v>
      </c>
      <c r="M996">
        <v>0</v>
      </c>
      <c r="N996" s="98" t="str">
        <f>IF(record[[#This Row],[Memo]]="Browser:chrome os:android","平板報工",IF(record[[#This Row],[Memo]]=0,"委外",record[[#This Row],[Memo]]))</f>
        <v>委外</v>
      </c>
      <c r="P996" t="s">
        <v>186</v>
      </c>
      <c r="Q996" t="s">
        <v>287</v>
      </c>
      <c r="R996" t="str">
        <f>IFERROR(VLOOKUP(record[[#This Row],[PCUSTID]],廠商[],2,FALSE),"")</f>
        <v>泉盛</v>
      </c>
      <c r="S996" t="str">
        <f>VLOOKUP(record[[#This Row],[employeeID]],員工[],2,FALSE)</f>
        <v>許文姍</v>
      </c>
    </row>
    <row r="997" spans="6:19" hidden="1" x14ac:dyDescent="0.25">
      <c r="F997" t="s">
        <v>1935</v>
      </c>
      <c r="G997" t="s">
        <v>388</v>
      </c>
      <c r="H997" t="str">
        <f>VLOOKUP(record[[#This Row],[ProcessSN]],表格2_7[],2,FALSE)</f>
        <v>30-4118-018-520</v>
      </c>
      <c r="I997" t="str">
        <f>VLOOKUP(record[[#This Row],[ProcessSN]],表格2_7[],3,FALSE)</f>
        <v>#08PICK</v>
      </c>
      <c r="J997" t="s">
        <v>582</v>
      </c>
      <c r="K997" s="195">
        <v>46140.606261574074</v>
      </c>
      <c r="L997">
        <v>209</v>
      </c>
      <c r="M997">
        <v>0</v>
      </c>
      <c r="N997" s="98" t="str">
        <f>IF(record[[#This Row],[Memo]]="Browser:chrome os:android","平板報工",IF(record[[#This Row],[Memo]]=0,"委外",record[[#This Row],[Memo]]))</f>
        <v/>
      </c>
      <c r="O997" t="s">
        <v>58</v>
      </c>
      <c r="P997" t="s">
        <v>186</v>
      </c>
      <c r="Q997" t="s">
        <v>58</v>
      </c>
      <c r="R997" t="str">
        <f>IFERROR(VLOOKUP(record[[#This Row],[PCUSTID]],廠商[],2,FALSE),"")</f>
        <v/>
      </c>
      <c r="S997" t="str">
        <f>VLOOKUP(record[[#This Row],[employeeID]],員工[],2,FALSE)</f>
        <v>許文姍</v>
      </c>
    </row>
    <row r="998" spans="6:19" hidden="1" x14ac:dyDescent="0.25">
      <c r="F998" t="s">
        <v>1850</v>
      </c>
      <c r="G998" t="s">
        <v>419</v>
      </c>
      <c r="H998" t="str">
        <f>VLOOKUP(record[[#This Row],[ProcessSN]],表格2_7[],2,FALSE)</f>
        <v>30-4118-018-5XX</v>
      </c>
      <c r="I998" t="str">
        <f>VLOOKUP(record[[#This Row],[ProcessSN]],表格2_7[],3,FALSE)</f>
        <v>#07QC</v>
      </c>
      <c r="J998" t="s">
        <v>589</v>
      </c>
      <c r="K998" s="195">
        <v>46140.605775462966</v>
      </c>
      <c r="L998">
        <v>43</v>
      </c>
      <c r="M998">
        <v>-43</v>
      </c>
      <c r="N998" s="98" t="str">
        <f>IF(record[[#This Row],[Memo]]="Browser:chrome os:android","平板報工",IF(record[[#This Row],[Memo]]=0,"委外",record[[#This Row],[Memo]]))</f>
        <v>覆回</v>
      </c>
      <c r="O998" t="s">
        <v>682</v>
      </c>
      <c r="P998" t="s">
        <v>113</v>
      </c>
      <c r="Q998" t="s">
        <v>58</v>
      </c>
      <c r="R998" t="str">
        <f>IFERROR(VLOOKUP(record[[#This Row],[PCUSTID]],廠商[],2,FALSE),"")</f>
        <v/>
      </c>
      <c r="S998" t="str">
        <f>VLOOKUP(record[[#This Row],[employeeID]],員工[],2,FALSE)</f>
        <v>王奕蓁</v>
      </c>
    </row>
    <row r="999" spans="6:19" hidden="1" x14ac:dyDescent="0.25">
      <c r="F999" t="s">
        <v>1934</v>
      </c>
      <c r="G999" t="s">
        <v>364</v>
      </c>
      <c r="H999" t="str">
        <f>VLOOKUP(record[[#This Row],[ProcessSN]],表格2_7[],2,FALSE)</f>
        <v>30-4118-018-470</v>
      </c>
      <c r="I999" t="str">
        <f>VLOOKUP(record[[#This Row],[ProcessSN]],表格2_7[],3,FALSE)</f>
        <v>#08</v>
      </c>
      <c r="J999" t="s">
        <v>597</v>
      </c>
      <c r="K999" s="195">
        <v>46140.597291666665</v>
      </c>
      <c r="L999">
        <v>109</v>
      </c>
      <c r="M999">
        <v>0</v>
      </c>
      <c r="N999" s="98" t="str">
        <f>IF(record[[#This Row],[Memo]]="Browser:chrome os:android","平板報工",IF(record[[#This Row],[Memo]]=0,"委外",record[[#This Row],[Memo]]))</f>
        <v>委外</v>
      </c>
      <c r="P999" t="s">
        <v>186</v>
      </c>
      <c r="Q999" t="s">
        <v>287</v>
      </c>
      <c r="R999" t="str">
        <f>IFERROR(VLOOKUP(record[[#This Row],[PCUSTID]],廠商[],2,FALSE),"")</f>
        <v>泉盛</v>
      </c>
      <c r="S999" t="str">
        <f>VLOOKUP(record[[#This Row],[employeeID]],員工[],2,FALSE)</f>
        <v>許文姍</v>
      </c>
    </row>
    <row r="1000" spans="6:19" hidden="1" x14ac:dyDescent="0.25">
      <c r="F1000" t="s">
        <v>1933</v>
      </c>
      <c r="G1000" t="s">
        <v>405</v>
      </c>
      <c r="H1000" t="str">
        <f>VLOOKUP(record[[#This Row],[ProcessSN]],表格2_7[],2,FALSE)</f>
        <v>30-4118-018-570</v>
      </c>
      <c r="I1000" t="str">
        <f>VLOOKUP(record[[#This Row],[ProcessSN]],表格2_7[],3,FALSE)</f>
        <v>#08</v>
      </c>
      <c r="J1000" t="s">
        <v>597</v>
      </c>
      <c r="K1000" s="195">
        <v>46140.597187500003</v>
      </c>
      <c r="L1000">
        <v>199</v>
      </c>
      <c r="M1000">
        <v>0</v>
      </c>
      <c r="N1000" s="98" t="str">
        <f>IF(record[[#This Row],[Memo]]="Browser:chrome os:android","平板報工",IF(record[[#This Row],[Memo]]=0,"委外",record[[#This Row],[Memo]]))</f>
        <v>委外</v>
      </c>
      <c r="P1000" t="s">
        <v>186</v>
      </c>
      <c r="Q1000" t="s">
        <v>287</v>
      </c>
      <c r="R1000" t="str">
        <f>IFERROR(VLOOKUP(record[[#This Row],[PCUSTID]],廠商[],2,FALSE),"")</f>
        <v>泉盛</v>
      </c>
      <c r="S1000" t="str">
        <f>VLOOKUP(record[[#This Row],[employeeID]],員工[],2,FALSE)</f>
        <v>許文姍</v>
      </c>
    </row>
    <row r="1001" spans="6:19" hidden="1" x14ac:dyDescent="0.25">
      <c r="F1001" t="s">
        <v>1934</v>
      </c>
      <c r="G1001" t="s">
        <v>363</v>
      </c>
      <c r="H1001" t="str">
        <f>VLOOKUP(record[[#This Row],[ProcessSN]],表格2_7[],2,FALSE)</f>
        <v>30-4118-018-470</v>
      </c>
      <c r="I1001" t="str">
        <f>VLOOKUP(record[[#This Row],[ProcessSN]],表格2_7[],3,FALSE)</f>
        <v>#08PICK</v>
      </c>
      <c r="J1001" t="s">
        <v>582</v>
      </c>
      <c r="K1001" s="195">
        <v>46140.596689814818</v>
      </c>
      <c r="L1001">
        <v>109</v>
      </c>
      <c r="M1001">
        <v>0</v>
      </c>
      <c r="N1001" s="98" t="str">
        <f>IF(record[[#This Row],[Memo]]="Browser:chrome os:android","平板報工",IF(record[[#This Row],[Memo]]=0,"委外",record[[#This Row],[Memo]]))</f>
        <v/>
      </c>
      <c r="O1001" t="s">
        <v>58</v>
      </c>
      <c r="P1001" t="s">
        <v>186</v>
      </c>
      <c r="Q1001" t="s">
        <v>58</v>
      </c>
      <c r="R1001" t="str">
        <f>IFERROR(VLOOKUP(record[[#This Row],[PCUSTID]],廠商[],2,FALSE),"")</f>
        <v/>
      </c>
      <c r="S1001" t="str">
        <f>VLOOKUP(record[[#This Row],[employeeID]],員工[],2,FALSE)</f>
        <v>許文姍</v>
      </c>
    </row>
    <row r="1002" spans="6:19" hidden="1" x14ac:dyDescent="0.25">
      <c r="F1002" t="s">
        <v>1933</v>
      </c>
      <c r="G1002" t="s">
        <v>404</v>
      </c>
      <c r="H1002" t="str">
        <f>VLOOKUP(record[[#This Row],[ProcessSN]],表格2_7[],2,FALSE)</f>
        <v>30-4118-018-570</v>
      </c>
      <c r="I1002" t="str">
        <f>VLOOKUP(record[[#This Row],[ProcessSN]],表格2_7[],3,FALSE)</f>
        <v>#08PICK</v>
      </c>
      <c r="J1002" t="s">
        <v>582</v>
      </c>
      <c r="K1002" s="195">
        <v>46140.596562500003</v>
      </c>
      <c r="L1002">
        <v>199</v>
      </c>
      <c r="M1002">
        <v>0</v>
      </c>
      <c r="N1002" s="98" t="str">
        <f>IF(record[[#This Row],[Memo]]="Browser:chrome os:android","平板報工",IF(record[[#This Row],[Memo]]=0,"委外",record[[#This Row],[Memo]]))</f>
        <v/>
      </c>
      <c r="O1002" t="s">
        <v>58</v>
      </c>
      <c r="P1002" t="s">
        <v>186</v>
      </c>
      <c r="Q1002" t="s">
        <v>58</v>
      </c>
      <c r="R1002" t="str">
        <f>IFERROR(VLOOKUP(record[[#This Row],[PCUSTID]],廠商[],2,FALSE),"")</f>
        <v/>
      </c>
      <c r="S1002" t="str">
        <f>VLOOKUP(record[[#This Row],[employeeID]],員工[],2,FALSE)</f>
        <v>許文姍</v>
      </c>
    </row>
    <row r="1003" spans="6:19" hidden="1" x14ac:dyDescent="0.25">
      <c r="F1003" t="s">
        <v>1884</v>
      </c>
      <c r="G1003" t="s">
        <v>351</v>
      </c>
      <c r="H1003" t="str">
        <f>VLOOKUP(record[[#This Row],[ProcessSN]],表格2_7[],2,FALSE)</f>
        <v>30-4118-018-420</v>
      </c>
      <c r="I1003" t="str">
        <f>VLOOKUP(record[[#This Row],[ProcessSN]],表格2_7[],3,FALSE)</f>
        <v>#100</v>
      </c>
      <c r="J1003" t="s">
        <v>598</v>
      </c>
      <c r="K1003" s="195">
        <v>46140.573483796295</v>
      </c>
      <c r="L1003">
        <v>0</v>
      </c>
      <c r="M1003">
        <v>2</v>
      </c>
      <c r="N1003" s="98" t="str">
        <f>IF(record[[#This Row],[Memo]]="Browser:chrome os:android","平板報工",IF(record[[#This Row],[Memo]]=0,"委外",record[[#This Row],[Memo]]))</f>
        <v/>
      </c>
      <c r="O1003" t="s">
        <v>58</v>
      </c>
      <c r="P1003" t="s">
        <v>141</v>
      </c>
      <c r="Q1003" t="s">
        <v>58</v>
      </c>
      <c r="R1003" t="str">
        <f>IFERROR(VLOOKUP(record[[#This Row],[PCUSTID]],廠商[],2,FALSE),"")</f>
        <v/>
      </c>
      <c r="S1003" t="str">
        <f>VLOOKUP(record[[#This Row],[employeeID]],員工[],2,FALSE)</f>
        <v>蔣梅</v>
      </c>
    </row>
    <row r="1004" spans="6:19" hidden="1" x14ac:dyDescent="0.25">
      <c r="F1004" t="s">
        <v>1884</v>
      </c>
      <c r="G1004" t="s">
        <v>351</v>
      </c>
      <c r="H1004" t="str">
        <f>VLOOKUP(record[[#This Row],[ProcessSN]],表格2_7[],2,FALSE)</f>
        <v>30-4118-018-420</v>
      </c>
      <c r="I1004" t="str">
        <f>VLOOKUP(record[[#This Row],[ProcessSN]],表格2_7[],3,FALSE)</f>
        <v>#100</v>
      </c>
      <c r="J1004" t="s">
        <v>598</v>
      </c>
      <c r="K1004" s="195">
        <v>46140.573333333334</v>
      </c>
      <c r="L1004">
        <v>26</v>
      </c>
      <c r="M1004">
        <v>0</v>
      </c>
      <c r="N1004" s="98" t="str">
        <f>IF(record[[#This Row],[Memo]]="Browser:chrome os:android","平板報工",IF(record[[#This Row],[Memo]]=0,"委外",record[[#This Row],[Memo]]))</f>
        <v/>
      </c>
      <c r="O1004" t="s">
        <v>58</v>
      </c>
      <c r="P1004" t="s">
        <v>141</v>
      </c>
      <c r="Q1004" t="s">
        <v>58</v>
      </c>
      <c r="R1004" t="str">
        <f>IFERROR(VLOOKUP(record[[#This Row],[PCUSTID]],廠商[],2,FALSE),"")</f>
        <v/>
      </c>
      <c r="S1004" t="str">
        <f>VLOOKUP(record[[#This Row],[employeeID]],員工[],2,FALSE)</f>
        <v>蔣梅</v>
      </c>
    </row>
    <row r="1005" spans="6:19" hidden="1" x14ac:dyDescent="0.25">
      <c r="F1005" t="s">
        <v>1850</v>
      </c>
      <c r="G1005" t="s">
        <v>420</v>
      </c>
      <c r="H1005" t="str">
        <f>VLOOKUP(record[[#This Row],[ProcessSN]],表格2_7[],2,FALSE)</f>
        <v>30-4118-018-5XX</v>
      </c>
      <c r="I1005" t="str">
        <f>VLOOKUP(record[[#This Row],[ProcessSN]],表格2_7[],3,FALSE)</f>
        <v>#07STOCK</v>
      </c>
      <c r="J1005" t="s">
        <v>592</v>
      </c>
      <c r="K1005" s="195">
        <v>46140.556898148148</v>
      </c>
      <c r="L1005">
        <v>275</v>
      </c>
      <c r="M1005">
        <v>0</v>
      </c>
      <c r="N1005" s="98" t="str">
        <f>IF(record[[#This Row],[Memo]]="Browser:chrome os:android","平板報工",IF(record[[#This Row],[Memo]]=0,"委外",record[[#This Row],[Memo]]))</f>
        <v/>
      </c>
      <c r="O1005" t="s">
        <v>58</v>
      </c>
      <c r="P1005" t="s">
        <v>186</v>
      </c>
      <c r="Q1005" t="s">
        <v>58</v>
      </c>
      <c r="R1005" t="str">
        <f>IFERROR(VLOOKUP(record[[#This Row],[PCUSTID]],廠商[],2,FALSE),"")</f>
        <v/>
      </c>
      <c r="S1005" t="str">
        <f>VLOOKUP(record[[#This Row],[employeeID]],員工[],2,FALSE)</f>
        <v>許文姍</v>
      </c>
    </row>
    <row r="1006" spans="6:19" hidden="1" x14ac:dyDescent="0.25">
      <c r="F1006" t="s">
        <v>1859</v>
      </c>
      <c r="G1006" t="s">
        <v>453</v>
      </c>
      <c r="H1006" t="str">
        <f>VLOOKUP(record[[#This Row],[ProcessSN]],表格2_7[],2,FALSE)</f>
        <v>30-4118-018-6XX</v>
      </c>
      <c r="I1006" t="str">
        <f>VLOOKUP(record[[#This Row],[ProcessSN]],表格2_7[],3,FALSE)</f>
        <v>#07STOCK</v>
      </c>
      <c r="J1006" t="s">
        <v>592</v>
      </c>
      <c r="K1006" s="195">
        <v>46140.555752314816</v>
      </c>
      <c r="L1006">
        <v>199</v>
      </c>
      <c r="M1006">
        <v>0</v>
      </c>
      <c r="N1006" s="98" t="str">
        <f>IF(record[[#This Row],[Memo]]="Browser:chrome os:android","平板報工",IF(record[[#This Row],[Memo]]=0,"委外",record[[#This Row],[Memo]]))</f>
        <v/>
      </c>
      <c r="O1006" t="s">
        <v>58</v>
      </c>
      <c r="P1006" t="s">
        <v>186</v>
      </c>
      <c r="Q1006" t="s">
        <v>58</v>
      </c>
      <c r="R1006" t="str">
        <f>IFERROR(VLOOKUP(record[[#This Row],[PCUSTID]],廠商[],2,FALSE),"")</f>
        <v/>
      </c>
      <c r="S1006" t="str">
        <f>VLOOKUP(record[[#This Row],[employeeID]],員工[],2,FALSE)</f>
        <v>許文姍</v>
      </c>
    </row>
    <row r="1007" spans="6:19" hidden="1" x14ac:dyDescent="0.25">
      <c r="F1007" t="s">
        <v>1888</v>
      </c>
      <c r="G1007" t="s">
        <v>359</v>
      </c>
      <c r="H1007" t="str">
        <f>VLOOKUP(record[[#This Row],[ProcessSN]],表格2_7[],2,FALSE)</f>
        <v>30-4118-018-450</v>
      </c>
      <c r="I1007" t="str">
        <f>VLOOKUP(record[[#This Row],[ProcessSN]],表格2_7[],3,FALSE)</f>
        <v>#100</v>
      </c>
      <c r="J1007" t="s">
        <v>598</v>
      </c>
      <c r="K1007" s="195">
        <v>46140.55195601852</v>
      </c>
      <c r="L1007">
        <v>83</v>
      </c>
      <c r="M1007">
        <v>0</v>
      </c>
      <c r="N1007" s="98" t="str">
        <f>IF(record[[#This Row],[Memo]]="Browser:chrome os:android","平板報工",IF(record[[#This Row],[Memo]]=0,"委外",record[[#This Row],[Memo]]))</f>
        <v/>
      </c>
      <c r="O1007" t="s">
        <v>58</v>
      </c>
      <c r="P1007" t="s">
        <v>141</v>
      </c>
      <c r="Q1007" t="s">
        <v>58</v>
      </c>
      <c r="R1007" t="str">
        <f>IFERROR(VLOOKUP(record[[#This Row],[PCUSTID]],廠商[],2,FALSE),"")</f>
        <v/>
      </c>
      <c r="S1007" t="str">
        <f>VLOOKUP(record[[#This Row],[employeeID]],員工[],2,FALSE)</f>
        <v>蔣梅</v>
      </c>
    </row>
    <row r="1008" spans="6:19" hidden="1" x14ac:dyDescent="0.25">
      <c r="F1008" t="s">
        <v>1888</v>
      </c>
      <c r="G1008" t="s">
        <v>357</v>
      </c>
      <c r="H1008" t="str">
        <f>VLOOKUP(record[[#This Row],[ProcessSN]],表格2_7[],2,FALSE)</f>
        <v>30-4118-018-450</v>
      </c>
      <c r="I1008" t="str">
        <f>VLOOKUP(record[[#This Row],[ProcessSN]],表格2_7[],3,FALSE)</f>
        <v>#08RCV</v>
      </c>
      <c r="J1008" t="s">
        <v>591</v>
      </c>
      <c r="K1008" s="195">
        <v>46140.551793981482</v>
      </c>
      <c r="L1008">
        <v>0</v>
      </c>
      <c r="M1008">
        <v>2</v>
      </c>
      <c r="N1008" s="98" t="str">
        <f>IF(record[[#This Row],[Memo]]="Browser:chrome os:android","平板報工",IF(record[[#This Row],[Memo]]=0,"委外",record[[#This Row],[Memo]]))</f>
        <v/>
      </c>
      <c r="O1008" t="s">
        <v>58</v>
      </c>
      <c r="P1008" t="s">
        <v>141</v>
      </c>
      <c r="Q1008" t="s">
        <v>58</v>
      </c>
      <c r="R1008" t="str">
        <f>IFERROR(VLOOKUP(record[[#This Row],[PCUSTID]],廠商[],2,FALSE),"")</f>
        <v/>
      </c>
      <c r="S1008" t="str">
        <f>VLOOKUP(record[[#This Row],[employeeID]],員工[],2,FALSE)</f>
        <v>蔣梅</v>
      </c>
    </row>
    <row r="1009" spans="6:19" hidden="1" x14ac:dyDescent="0.25">
      <c r="F1009" t="s">
        <v>1888</v>
      </c>
      <c r="G1009" t="s">
        <v>358</v>
      </c>
      <c r="H1009" t="str">
        <f>VLOOKUP(record[[#This Row],[ProcessSN]],表格2_7[],2,FALSE)</f>
        <v>30-4118-018-450</v>
      </c>
      <c r="I1009" t="str">
        <f>VLOOKUP(record[[#This Row],[ProcessSN]],表格2_7[],3,FALSE)</f>
        <v>#08IQC</v>
      </c>
      <c r="J1009" t="s">
        <v>583</v>
      </c>
      <c r="K1009" s="195">
        <v>46140.55164351852</v>
      </c>
      <c r="L1009">
        <v>1</v>
      </c>
      <c r="M1009">
        <v>0</v>
      </c>
      <c r="N1009" s="98" t="str">
        <f>IF(record[[#This Row],[Memo]]="Browser:chrome os:android","平板報工",IF(record[[#This Row],[Memo]]=0,"委外",record[[#This Row],[Memo]]))</f>
        <v>覆回</v>
      </c>
      <c r="O1009" t="s">
        <v>682</v>
      </c>
      <c r="P1009" t="s">
        <v>141</v>
      </c>
      <c r="Q1009" t="s">
        <v>58</v>
      </c>
      <c r="R1009" t="str">
        <f>IFERROR(VLOOKUP(record[[#This Row],[PCUSTID]],廠商[],2,FALSE),"")</f>
        <v/>
      </c>
      <c r="S1009" t="str">
        <f>VLOOKUP(record[[#This Row],[employeeID]],員工[],2,FALSE)</f>
        <v>蔣梅</v>
      </c>
    </row>
    <row r="1010" spans="6:19" hidden="1" x14ac:dyDescent="0.25">
      <c r="F1010" t="s">
        <v>1888</v>
      </c>
      <c r="G1010" t="s">
        <v>357</v>
      </c>
      <c r="H1010" t="str">
        <f>VLOOKUP(record[[#This Row],[ProcessSN]],表格2_7[],2,FALSE)</f>
        <v>30-4118-018-450</v>
      </c>
      <c r="I1010" t="str">
        <f>VLOOKUP(record[[#This Row],[ProcessSN]],表格2_7[],3,FALSE)</f>
        <v>#08RCV</v>
      </c>
      <c r="J1010" t="s">
        <v>591</v>
      </c>
      <c r="K1010" s="195">
        <v>46140.551412037035</v>
      </c>
      <c r="L1010">
        <v>1</v>
      </c>
      <c r="M1010">
        <v>0</v>
      </c>
      <c r="N1010" s="98" t="str">
        <f>IF(record[[#This Row],[Memo]]="Browser:chrome os:android","平板報工",IF(record[[#This Row],[Memo]]=0,"委外",record[[#This Row],[Memo]]))</f>
        <v>覆回</v>
      </c>
      <c r="O1010" t="s">
        <v>682</v>
      </c>
      <c r="P1010" t="s">
        <v>141</v>
      </c>
      <c r="Q1010" t="s">
        <v>58</v>
      </c>
      <c r="R1010" t="str">
        <f>IFERROR(VLOOKUP(record[[#This Row],[PCUSTID]],廠商[],2,FALSE),"")</f>
        <v/>
      </c>
      <c r="S1010" t="str">
        <f>VLOOKUP(record[[#This Row],[employeeID]],員工[],2,FALSE)</f>
        <v>蔣梅</v>
      </c>
    </row>
    <row r="1011" spans="6:19" hidden="1" x14ac:dyDescent="0.25">
      <c r="F1011" t="s">
        <v>1818</v>
      </c>
      <c r="G1011" t="s">
        <v>469</v>
      </c>
      <c r="H1011" t="str">
        <f>VLOOKUP(record[[#This Row],[ProcessSN]],表格2_7[],2,FALSE)</f>
        <v>30-4118-018-XXX</v>
      </c>
      <c r="I1011" t="str">
        <f>VLOOKUP(record[[#This Row],[ProcessSN]],表格2_7[],3,FALSE)</f>
        <v>#02RCV</v>
      </c>
      <c r="J1011" t="s">
        <v>591</v>
      </c>
      <c r="K1011" s="195">
        <v>46140.547037037039</v>
      </c>
      <c r="L1011">
        <v>0</v>
      </c>
      <c r="M1011">
        <v>5</v>
      </c>
      <c r="N1011" s="98" t="str">
        <f>IF(record[[#This Row],[Memo]]="Browser:chrome os:android","平板報工",IF(record[[#This Row],[Memo]]=0,"委外",record[[#This Row],[Memo]]))</f>
        <v/>
      </c>
      <c r="O1011" t="s">
        <v>58</v>
      </c>
      <c r="P1011" t="s">
        <v>186</v>
      </c>
      <c r="Q1011" t="s">
        <v>58</v>
      </c>
      <c r="R1011" t="str">
        <f>IFERROR(VLOOKUP(record[[#This Row],[PCUSTID]],廠商[],2,FALSE),"")</f>
        <v/>
      </c>
      <c r="S1011" t="str">
        <f>VLOOKUP(record[[#This Row],[employeeID]],員工[],2,FALSE)</f>
        <v>許文姍</v>
      </c>
    </row>
    <row r="1012" spans="6:19" hidden="1" x14ac:dyDescent="0.25">
      <c r="F1012" t="s">
        <v>1818</v>
      </c>
      <c r="G1012" t="s">
        <v>471</v>
      </c>
      <c r="H1012" t="str">
        <f>VLOOKUP(record[[#This Row],[ProcessSN]],表格2_7[],2,FALSE)</f>
        <v>30-4118-018-XXX</v>
      </c>
      <c r="I1012" t="str">
        <f>VLOOKUP(record[[#This Row],[ProcessSN]],表格2_7[],3,FALSE)</f>
        <v>#02STOCK</v>
      </c>
      <c r="J1012" t="s">
        <v>592</v>
      </c>
      <c r="K1012" s="195">
        <v>46140.546122685184</v>
      </c>
      <c r="L1012">
        <v>3696</v>
      </c>
      <c r="M1012">
        <v>0</v>
      </c>
      <c r="N1012" s="98" t="str">
        <f>IF(record[[#This Row],[Memo]]="Browser:chrome os:android","平板報工",IF(record[[#This Row],[Memo]]=0,"委外",record[[#This Row],[Memo]]))</f>
        <v/>
      </c>
      <c r="O1012" t="s">
        <v>58</v>
      </c>
      <c r="P1012" t="s">
        <v>1698</v>
      </c>
      <c r="Q1012" t="s">
        <v>58</v>
      </c>
      <c r="R1012" t="str">
        <f>IFERROR(VLOOKUP(record[[#This Row],[PCUSTID]],廠商[],2,FALSE),"")</f>
        <v/>
      </c>
      <c r="S1012" t="str">
        <f>VLOOKUP(record[[#This Row],[employeeID]],員工[],2,FALSE)</f>
        <v>羅思潔</v>
      </c>
    </row>
    <row r="1013" spans="6:19" hidden="1" x14ac:dyDescent="0.25">
      <c r="F1013" t="s">
        <v>1585</v>
      </c>
      <c r="G1013" t="s">
        <v>425</v>
      </c>
      <c r="H1013" t="str">
        <f>VLOOKUP(record[[#This Row],[ProcessSN]],表格2_7[],2,FALSE)</f>
        <v>30-4118-018-600</v>
      </c>
      <c r="I1013" t="str">
        <f>VLOOKUP(record[[#This Row],[ProcessSN]],表格2_7[],3,FALSE)</f>
        <v>#100</v>
      </c>
      <c r="J1013" t="s">
        <v>598</v>
      </c>
      <c r="K1013" s="195">
        <v>46140.486481481479</v>
      </c>
      <c r="L1013">
        <v>4</v>
      </c>
      <c r="M1013">
        <v>0</v>
      </c>
      <c r="N1013" s="98" t="str">
        <f>IF(record[[#This Row],[Memo]]="Browser:chrome os:android","平板報工",IF(record[[#This Row],[Memo]]=0,"委外",record[[#This Row],[Memo]]))</f>
        <v>補漆回</v>
      </c>
      <c r="O1013" t="s">
        <v>1846</v>
      </c>
      <c r="P1013" t="s">
        <v>141</v>
      </c>
      <c r="Q1013" t="s">
        <v>58</v>
      </c>
      <c r="R1013" t="str">
        <f>IFERROR(VLOOKUP(record[[#This Row],[PCUSTID]],廠商[],2,FALSE),"")</f>
        <v/>
      </c>
      <c r="S1013" t="str">
        <f>VLOOKUP(record[[#This Row],[employeeID]],員工[],2,FALSE)</f>
        <v>蔣梅</v>
      </c>
    </row>
    <row r="1014" spans="6:19" hidden="1" x14ac:dyDescent="0.25">
      <c r="F1014" t="s">
        <v>1585</v>
      </c>
      <c r="G1014" t="s">
        <v>424</v>
      </c>
      <c r="H1014" t="str">
        <f>VLOOKUP(record[[#This Row],[ProcessSN]],表格2_7[],2,FALSE)</f>
        <v>30-4118-018-600</v>
      </c>
      <c r="I1014" t="str">
        <f>VLOOKUP(record[[#This Row],[ProcessSN]],表格2_7[],3,FALSE)</f>
        <v>#08IQC</v>
      </c>
      <c r="J1014" t="s">
        <v>583</v>
      </c>
      <c r="K1014" s="195">
        <v>46140.486331018517</v>
      </c>
      <c r="L1014">
        <v>1</v>
      </c>
      <c r="M1014">
        <v>0</v>
      </c>
      <c r="N1014" s="98" t="str">
        <f>IF(record[[#This Row],[Memo]]="Browser:chrome os:android","平板報工",IF(record[[#This Row],[Memo]]=0,"委外",record[[#This Row],[Memo]]))</f>
        <v>補漆回</v>
      </c>
      <c r="O1014" t="s">
        <v>1846</v>
      </c>
      <c r="P1014" t="s">
        <v>141</v>
      </c>
      <c r="Q1014" t="s">
        <v>58</v>
      </c>
      <c r="R1014" t="str">
        <f>IFERROR(VLOOKUP(record[[#This Row],[PCUSTID]],廠商[],2,FALSE),"")</f>
        <v/>
      </c>
      <c r="S1014" t="str">
        <f>VLOOKUP(record[[#This Row],[employeeID]],員工[],2,FALSE)</f>
        <v>蔣梅</v>
      </c>
    </row>
    <row r="1015" spans="6:19" hidden="1" x14ac:dyDescent="0.25">
      <c r="F1015" t="s">
        <v>1585</v>
      </c>
      <c r="G1015" t="s">
        <v>423</v>
      </c>
      <c r="H1015" t="str">
        <f>VLOOKUP(record[[#This Row],[ProcessSN]],表格2_7[],2,FALSE)</f>
        <v>30-4118-018-600</v>
      </c>
      <c r="I1015" t="str">
        <f>VLOOKUP(record[[#This Row],[ProcessSN]],表格2_7[],3,FALSE)</f>
        <v>#08RCV</v>
      </c>
      <c r="J1015" t="s">
        <v>591</v>
      </c>
      <c r="K1015" s="195">
        <v>46140.486180555556</v>
      </c>
      <c r="L1015">
        <v>0</v>
      </c>
      <c r="M1015">
        <v>34</v>
      </c>
      <c r="N1015" s="98" t="str">
        <f>IF(record[[#This Row],[Memo]]="Browser:chrome os:android","平板報工",IF(record[[#This Row],[Memo]]=0,"委外",record[[#This Row],[Memo]]))</f>
        <v/>
      </c>
      <c r="O1015" t="s">
        <v>58</v>
      </c>
      <c r="P1015" t="s">
        <v>141</v>
      </c>
      <c r="Q1015" t="s">
        <v>58</v>
      </c>
      <c r="R1015" t="str">
        <f>IFERROR(VLOOKUP(record[[#This Row],[PCUSTID]],廠商[],2,FALSE),"")</f>
        <v/>
      </c>
      <c r="S1015" t="str">
        <f>VLOOKUP(record[[#This Row],[employeeID]],員工[],2,FALSE)</f>
        <v>蔣梅</v>
      </c>
    </row>
    <row r="1016" spans="6:19" hidden="1" x14ac:dyDescent="0.25">
      <c r="F1016" t="s">
        <v>1585</v>
      </c>
      <c r="G1016" t="s">
        <v>423</v>
      </c>
      <c r="H1016" t="str">
        <f>VLOOKUP(record[[#This Row],[ProcessSN]],表格2_7[],2,FALSE)</f>
        <v>30-4118-018-600</v>
      </c>
      <c r="I1016" t="str">
        <f>VLOOKUP(record[[#This Row],[ProcessSN]],表格2_7[],3,FALSE)</f>
        <v>#08RCV</v>
      </c>
      <c r="J1016" t="s">
        <v>591</v>
      </c>
      <c r="K1016" s="195">
        <v>46140.486041666663</v>
      </c>
      <c r="L1016">
        <v>1</v>
      </c>
      <c r="M1016">
        <v>0</v>
      </c>
      <c r="N1016" s="98" t="str">
        <f>IF(record[[#This Row],[Memo]]="Browser:chrome os:android","平板報工",IF(record[[#This Row],[Memo]]=0,"委外",record[[#This Row],[Memo]]))</f>
        <v>補漆回</v>
      </c>
      <c r="O1016" t="s">
        <v>1846</v>
      </c>
      <c r="P1016" t="s">
        <v>141</v>
      </c>
      <c r="Q1016" t="s">
        <v>58</v>
      </c>
      <c r="R1016" t="str">
        <f>IFERROR(VLOOKUP(record[[#This Row],[PCUSTID]],廠商[],2,FALSE),"")</f>
        <v/>
      </c>
      <c r="S1016" t="str">
        <f>VLOOKUP(record[[#This Row],[employeeID]],員工[],2,FALSE)</f>
        <v>蔣梅</v>
      </c>
    </row>
    <row r="1017" spans="6:19" hidden="1" x14ac:dyDescent="0.25">
      <c r="F1017" t="s">
        <v>1574</v>
      </c>
      <c r="G1017" t="s">
        <v>423</v>
      </c>
      <c r="H1017" t="str">
        <f>VLOOKUP(record[[#This Row],[ProcessSN]],表格2_7[],2,FALSE)</f>
        <v>30-4118-018-600</v>
      </c>
      <c r="I1017" t="str">
        <f>VLOOKUP(record[[#This Row],[ProcessSN]],表格2_7[],3,FALSE)</f>
        <v>#08RCV</v>
      </c>
      <c r="J1017" t="s">
        <v>591</v>
      </c>
      <c r="K1017" s="195">
        <v>46140.485046296293</v>
      </c>
      <c r="L1017">
        <v>0</v>
      </c>
      <c r="M1017">
        <v>13</v>
      </c>
      <c r="N1017" s="98" t="str">
        <f>IF(record[[#This Row],[Memo]]="Browser:chrome os:android","平板報工",IF(record[[#This Row],[Memo]]=0,"委外",record[[#This Row],[Memo]]))</f>
        <v/>
      </c>
      <c r="O1017" t="s">
        <v>58</v>
      </c>
      <c r="P1017" t="s">
        <v>141</v>
      </c>
      <c r="Q1017" t="s">
        <v>58</v>
      </c>
      <c r="R1017" t="str">
        <f>IFERROR(VLOOKUP(record[[#This Row],[PCUSTID]],廠商[],2,FALSE),"")</f>
        <v/>
      </c>
      <c r="S1017" t="str">
        <f>VLOOKUP(record[[#This Row],[employeeID]],員工[],2,FALSE)</f>
        <v>蔣梅</v>
      </c>
    </row>
    <row r="1018" spans="6:19" hidden="1" x14ac:dyDescent="0.25">
      <c r="F1018" t="s">
        <v>1574</v>
      </c>
      <c r="G1018" t="s">
        <v>425</v>
      </c>
      <c r="H1018" t="str">
        <f>VLOOKUP(record[[#This Row],[ProcessSN]],表格2_7[],2,FALSE)</f>
        <v>30-4118-018-600</v>
      </c>
      <c r="I1018" t="str">
        <f>VLOOKUP(record[[#This Row],[ProcessSN]],表格2_7[],3,FALSE)</f>
        <v>#100</v>
      </c>
      <c r="J1018" t="s">
        <v>598</v>
      </c>
      <c r="K1018" s="195">
        <v>46140.484918981485</v>
      </c>
      <c r="L1018">
        <v>4</v>
      </c>
      <c r="M1018">
        <v>0</v>
      </c>
      <c r="N1018" s="98" t="str">
        <f>IF(record[[#This Row],[Memo]]="Browser:chrome os:android","平板報工",IF(record[[#This Row],[Memo]]=0,"委外",record[[#This Row],[Memo]]))</f>
        <v>補漆回</v>
      </c>
      <c r="O1018" t="s">
        <v>1846</v>
      </c>
      <c r="P1018" t="s">
        <v>141</v>
      </c>
      <c r="Q1018" t="s">
        <v>58</v>
      </c>
      <c r="R1018" t="str">
        <f>IFERROR(VLOOKUP(record[[#This Row],[PCUSTID]],廠商[],2,FALSE),"")</f>
        <v/>
      </c>
      <c r="S1018" t="str">
        <f>VLOOKUP(record[[#This Row],[employeeID]],員工[],2,FALSE)</f>
        <v>蔣梅</v>
      </c>
    </row>
    <row r="1019" spans="6:19" hidden="1" x14ac:dyDescent="0.25">
      <c r="F1019" t="s">
        <v>1574</v>
      </c>
      <c r="G1019" t="s">
        <v>424</v>
      </c>
      <c r="H1019" t="str">
        <f>VLOOKUP(record[[#This Row],[ProcessSN]],表格2_7[],2,FALSE)</f>
        <v>30-4118-018-600</v>
      </c>
      <c r="I1019" t="str">
        <f>VLOOKUP(record[[#This Row],[ProcessSN]],表格2_7[],3,FALSE)</f>
        <v>#08IQC</v>
      </c>
      <c r="J1019" t="s">
        <v>583</v>
      </c>
      <c r="K1019" s="195">
        <v>46140.484756944446</v>
      </c>
      <c r="L1019">
        <v>4</v>
      </c>
      <c r="M1019">
        <v>0</v>
      </c>
      <c r="N1019" s="98" t="str">
        <f>IF(record[[#This Row],[Memo]]="Browser:chrome os:android","平板報工",IF(record[[#This Row],[Memo]]=0,"委外",record[[#This Row],[Memo]]))</f>
        <v>補漆回</v>
      </c>
      <c r="O1019" t="s">
        <v>1846</v>
      </c>
      <c r="P1019" t="s">
        <v>141</v>
      </c>
      <c r="Q1019" t="s">
        <v>58</v>
      </c>
      <c r="R1019" t="str">
        <f>IFERROR(VLOOKUP(record[[#This Row],[PCUSTID]],廠商[],2,FALSE),"")</f>
        <v/>
      </c>
      <c r="S1019" t="str">
        <f>VLOOKUP(record[[#This Row],[employeeID]],員工[],2,FALSE)</f>
        <v>蔣梅</v>
      </c>
    </row>
    <row r="1020" spans="6:19" hidden="1" x14ac:dyDescent="0.25">
      <c r="F1020" t="s">
        <v>1574</v>
      </c>
      <c r="G1020" t="s">
        <v>423</v>
      </c>
      <c r="H1020" t="str">
        <f>VLOOKUP(record[[#This Row],[ProcessSN]],表格2_7[],2,FALSE)</f>
        <v>30-4118-018-600</v>
      </c>
      <c r="I1020" t="str">
        <f>VLOOKUP(record[[#This Row],[ProcessSN]],表格2_7[],3,FALSE)</f>
        <v>#08RCV</v>
      </c>
      <c r="J1020" t="s">
        <v>591</v>
      </c>
      <c r="K1020" s="195">
        <v>46140.484618055554</v>
      </c>
      <c r="L1020">
        <v>4</v>
      </c>
      <c r="M1020">
        <v>0</v>
      </c>
      <c r="N1020" s="98" t="str">
        <f>IF(record[[#This Row],[Memo]]="Browser:chrome os:android","平板報工",IF(record[[#This Row],[Memo]]=0,"委外",record[[#This Row],[Memo]]))</f>
        <v>補漆回</v>
      </c>
      <c r="O1020" t="s">
        <v>1846</v>
      </c>
      <c r="P1020" t="s">
        <v>141</v>
      </c>
      <c r="Q1020" t="s">
        <v>58</v>
      </c>
      <c r="R1020" t="str">
        <f>IFERROR(VLOOKUP(record[[#This Row],[PCUSTID]],廠商[],2,FALSE),"")</f>
        <v/>
      </c>
      <c r="S1020" t="str">
        <f>VLOOKUP(record[[#This Row],[employeeID]],員工[],2,FALSE)</f>
        <v>蔣梅</v>
      </c>
    </row>
    <row r="1021" spans="6:19" hidden="1" x14ac:dyDescent="0.25">
      <c r="F1021" t="s">
        <v>1578</v>
      </c>
      <c r="G1021" t="s">
        <v>425</v>
      </c>
      <c r="H1021" t="str">
        <f>VLOOKUP(record[[#This Row],[ProcessSN]],表格2_7[],2,FALSE)</f>
        <v>30-4118-018-600</v>
      </c>
      <c r="I1021" t="str">
        <f>VLOOKUP(record[[#This Row],[ProcessSN]],表格2_7[],3,FALSE)</f>
        <v>#100</v>
      </c>
      <c r="J1021" t="s">
        <v>598</v>
      </c>
      <c r="K1021" s="195">
        <v>46140.484050925923</v>
      </c>
      <c r="L1021">
        <v>3</v>
      </c>
      <c r="M1021">
        <v>0</v>
      </c>
      <c r="N1021" s="98" t="str">
        <f>IF(record[[#This Row],[Memo]]="Browser:chrome os:android","平板報工",IF(record[[#This Row],[Memo]]=0,"委外",record[[#This Row],[Memo]]))</f>
        <v>補漆回</v>
      </c>
      <c r="O1021" t="s">
        <v>1846</v>
      </c>
      <c r="P1021" t="s">
        <v>141</v>
      </c>
      <c r="Q1021" t="s">
        <v>58</v>
      </c>
      <c r="R1021" t="str">
        <f>IFERROR(VLOOKUP(record[[#This Row],[PCUSTID]],廠商[],2,FALSE),"")</f>
        <v/>
      </c>
      <c r="S1021" t="str">
        <f>VLOOKUP(record[[#This Row],[employeeID]],員工[],2,FALSE)</f>
        <v>蔣梅</v>
      </c>
    </row>
    <row r="1022" spans="6:19" hidden="1" x14ac:dyDescent="0.25">
      <c r="F1022" t="s">
        <v>1407</v>
      </c>
      <c r="G1022" t="s">
        <v>362</v>
      </c>
      <c r="H1022" t="str">
        <f>VLOOKUP(record[[#This Row],[ProcessSN]],表格2_7[],2,FALSE)</f>
        <v>30-4118-018-450</v>
      </c>
      <c r="I1022" t="str">
        <f>VLOOKUP(record[[#This Row],[ProcessSN]],表格2_7[],3,FALSE)</f>
        <v>#100SHIP</v>
      </c>
      <c r="J1022" t="s">
        <v>600</v>
      </c>
      <c r="K1022" s="195">
        <v>46140.4687037037</v>
      </c>
      <c r="L1022">
        <v>1</v>
      </c>
      <c r="M1022">
        <v>0</v>
      </c>
      <c r="N1022" s="98" t="str">
        <f>IF(record[[#This Row],[Memo]]="Browser:chrome os:android","平板報工",IF(record[[#This Row],[Memo]]=0,"委外",record[[#This Row],[Memo]]))</f>
        <v/>
      </c>
      <c r="O1022" t="s">
        <v>58</v>
      </c>
      <c r="P1022" t="s">
        <v>886</v>
      </c>
      <c r="Q1022" t="s">
        <v>58</v>
      </c>
      <c r="R1022" t="str">
        <f>IFERROR(VLOOKUP(record[[#This Row],[PCUSTID]],廠商[],2,FALSE),"")</f>
        <v/>
      </c>
      <c r="S1022" t="str">
        <f>VLOOKUP(record[[#This Row],[employeeID]],員工[],2,FALSE)</f>
        <v>謝蓁薰</v>
      </c>
    </row>
    <row r="1023" spans="6:19" hidden="1" x14ac:dyDescent="0.25">
      <c r="F1023" t="s">
        <v>1774</v>
      </c>
      <c r="G1023" t="s">
        <v>362</v>
      </c>
      <c r="H1023" t="str">
        <f>VLOOKUP(record[[#This Row],[ProcessSN]],表格2_7[],2,FALSE)</f>
        <v>30-4118-018-450</v>
      </c>
      <c r="I1023" t="str">
        <f>VLOOKUP(record[[#This Row],[ProcessSN]],表格2_7[],3,FALSE)</f>
        <v>#100SHIP</v>
      </c>
      <c r="J1023" t="s">
        <v>600</v>
      </c>
      <c r="K1023" s="195">
        <v>46140.468564814815</v>
      </c>
      <c r="L1023">
        <v>196</v>
      </c>
      <c r="M1023">
        <v>0</v>
      </c>
      <c r="N1023" s="98" t="str">
        <f>IF(record[[#This Row],[Memo]]="Browser:chrome os:android","平板報工",IF(record[[#This Row],[Memo]]=0,"委外",record[[#This Row],[Memo]]))</f>
        <v/>
      </c>
      <c r="O1023" t="s">
        <v>58</v>
      </c>
      <c r="P1023" t="s">
        <v>886</v>
      </c>
      <c r="Q1023" t="s">
        <v>58</v>
      </c>
      <c r="R1023" t="str">
        <f>IFERROR(VLOOKUP(record[[#This Row],[PCUSTID]],廠商[],2,FALSE),"")</f>
        <v/>
      </c>
      <c r="S1023" t="str">
        <f>VLOOKUP(record[[#This Row],[employeeID]],員工[],2,FALSE)</f>
        <v>謝蓁薰</v>
      </c>
    </row>
    <row r="1024" spans="6:19" hidden="1" x14ac:dyDescent="0.25">
      <c r="F1024" t="s">
        <v>1646</v>
      </c>
      <c r="G1024" t="s">
        <v>362</v>
      </c>
      <c r="H1024" t="str">
        <f>VLOOKUP(record[[#This Row],[ProcessSN]],表格2_7[],2,FALSE)</f>
        <v>30-4118-018-450</v>
      </c>
      <c r="I1024" t="str">
        <f>VLOOKUP(record[[#This Row],[ProcessSN]],表格2_7[],3,FALSE)</f>
        <v>#100SHIP</v>
      </c>
      <c r="J1024" t="s">
        <v>600</v>
      </c>
      <c r="K1024" s="195">
        <v>46140.468402777777</v>
      </c>
      <c r="L1024">
        <v>3</v>
      </c>
      <c r="M1024">
        <v>0</v>
      </c>
      <c r="N1024" s="98" t="str">
        <f>IF(record[[#This Row],[Memo]]="Browser:chrome os:android","平板報工",IF(record[[#This Row],[Memo]]=0,"委外",record[[#This Row],[Memo]]))</f>
        <v/>
      </c>
      <c r="O1024" t="s">
        <v>58</v>
      </c>
      <c r="P1024" t="s">
        <v>886</v>
      </c>
      <c r="Q1024" t="s">
        <v>58</v>
      </c>
      <c r="R1024" t="str">
        <f>IFERROR(VLOOKUP(record[[#This Row],[PCUSTID]],廠商[],2,FALSE),"")</f>
        <v/>
      </c>
      <c r="S1024" t="str">
        <f>VLOOKUP(record[[#This Row],[employeeID]],員工[],2,FALSE)</f>
        <v>謝蓁薰</v>
      </c>
    </row>
    <row r="1025" spans="6:19" hidden="1" x14ac:dyDescent="0.25">
      <c r="F1025" t="s">
        <v>1407</v>
      </c>
      <c r="G1025" t="s">
        <v>361</v>
      </c>
      <c r="H1025" t="str">
        <f>VLOOKUP(record[[#This Row],[ProcessSN]],表格2_7[],2,FALSE)</f>
        <v>30-4118-018-450</v>
      </c>
      <c r="I1025" t="str">
        <f>VLOOKUP(record[[#This Row],[ProcessSN]],表格2_7[],3,FALSE)</f>
        <v>#100STOCK</v>
      </c>
      <c r="J1025" t="s">
        <v>592</v>
      </c>
      <c r="K1025" s="195">
        <v>46140.468287037038</v>
      </c>
      <c r="L1025">
        <v>1</v>
      </c>
      <c r="M1025">
        <v>0</v>
      </c>
      <c r="N1025" s="98" t="str">
        <f>IF(record[[#This Row],[Memo]]="Browser:chrome os:android","平板報工",IF(record[[#This Row],[Memo]]=0,"委外",record[[#This Row],[Memo]]))</f>
        <v/>
      </c>
      <c r="O1025" t="s">
        <v>58</v>
      </c>
      <c r="P1025" t="s">
        <v>886</v>
      </c>
      <c r="Q1025" t="s">
        <v>58</v>
      </c>
      <c r="R1025" t="str">
        <f>IFERROR(VLOOKUP(record[[#This Row],[PCUSTID]],廠商[],2,FALSE),"")</f>
        <v/>
      </c>
      <c r="S1025" t="str">
        <f>VLOOKUP(record[[#This Row],[employeeID]],員工[],2,FALSE)</f>
        <v>謝蓁薰</v>
      </c>
    </row>
    <row r="1026" spans="6:19" hidden="1" x14ac:dyDescent="0.25">
      <c r="F1026" t="s">
        <v>1774</v>
      </c>
      <c r="G1026" t="s">
        <v>361</v>
      </c>
      <c r="H1026" t="str">
        <f>VLOOKUP(record[[#This Row],[ProcessSN]],表格2_7[],2,FALSE)</f>
        <v>30-4118-018-450</v>
      </c>
      <c r="I1026" t="str">
        <f>VLOOKUP(record[[#This Row],[ProcessSN]],表格2_7[],3,FALSE)</f>
        <v>#100STOCK</v>
      </c>
      <c r="J1026" t="s">
        <v>592</v>
      </c>
      <c r="K1026" s="195">
        <v>46140.468124999999</v>
      </c>
      <c r="L1026">
        <v>196</v>
      </c>
      <c r="M1026">
        <v>0</v>
      </c>
      <c r="N1026" s="98" t="str">
        <f>IF(record[[#This Row],[Memo]]="Browser:chrome os:android","平板報工",IF(record[[#This Row],[Memo]]=0,"委外",record[[#This Row],[Memo]]))</f>
        <v/>
      </c>
      <c r="O1026" t="s">
        <v>58</v>
      </c>
      <c r="P1026" t="s">
        <v>886</v>
      </c>
      <c r="Q1026" t="s">
        <v>58</v>
      </c>
      <c r="R1026" t="str">
        <f>IFERROR(VLOOKUP(record[[#This Row],[PCUSTID]],廠商[],2,FALSE),"")</f>
        <v/>
      </c>
      <c r="S1026" t="str">
        <f>VLOOKUP(record[[#This Row],[employeeID]],員工[],2,FALSE)</f>
        <v>謝蓁薰</v>
      </c>
    </row>
    <row r="1027" spans="6:19" hidden="1" x14ac:dyDescent="0.25">
      <c r="F1027" t="s">
        <v>1646</v>
      </c>
      <c r="G1027" t="s">
        <v>361</v>
      </c>
      <c r="H1027" t="str">
        <f>VLOOKUP(record[[#This Row],[ProcessSN]],表格2_7[],2,FALSE)</f>
        <v>30-4118-018-450</v>
      </c>
      <c r="I1027" t="str">
        <f>VLOOKUP(record[[#This Row],[ProcessSN]],表格2_7[],3,FALSE)</f>
        <v>#100STOCK</v>
      </c>
      <c r="J1027" t="s">
        <v>592</v>
      </c>
      <c r="K1027" s="195">
        <v>46140.467951388891</v>
      </c>
      <c r="L1027">
        <v>3</v>
      </c>
      <c r="M1027">
        <v>0</v>
      </c>
      <c r="N1027" s="98" t="str">
        <f>IF(record[[#This Row],[Memo]]="Browser:chrome os:android","平板報工",IF(record[[#This Row],[Memo]]=0,"委外",record[[#This Row],[Memo]]))</f>
        <v/>
      </c>
      <c r="O1027" t="s">
        <v>58</v>
      </c>
      <c r="P1027" t="s">
        <v>886</v>
      </c>
      <c r="Q1027" t="s">
        <v>58</v>
      </c>
      <c r="R1027" t="str">
        <f>IFERROR(VLOOKUP(record[[#This Row],[PCUSTID]],廠商[],2,FALSE),"")</f>
        <v/>
      </c>
      <c r="S1027" t="str">
        <f>VLOOKUP(record[[#This Row],[employeeID]],員工[],2,FALSE)</f>
        <v>謝蓁薰</v>
      </c>
    </row>
    <row r="1028" spans="6:19" hidden="1" x14ac:dyDescent="0.25">
      <c r="F1028" t="s">
        <v>1859</v>
      </c>
      <c r="G1028" t="s">
        <v>452</v>
      </c>
      <c r="H1028" t="str">
        <f>VLOOKUP(record[[#This Row],[ProcessSN]],表格2_7[],2,FALSE)</f>
        <v>30-4118-018-6XX</v>
      </c>
      <c r="I1028" t="str">
        <f>VLOOKUP(record[[#This Row],[ProcessSN]],表格2_7[],3,FALSE)</f>
        <v>#07QC</v>
      </c>
      <c r="J1028" t="s">
        <v>589</v>
      </c>
      <c r="K1028" s="195">
        <v>46140.467534722222</v>
      </c>
      <c r="L1028">
        <v>0</v>
      </c>
      <c r="M1028">
        <v>60</v>
      </c>
      <c r="N1028" s="98" t="str">
        <f>IF(record[[#This Row],[Memo]]="Browser:chrome os:android","平板報工",IF(record[[#This Row],[Memo]]=0,"委外",record[[#This Row],[Memo]]))</f>
        <v>頭部傷痕</v>
      </c>
      <c r="O1028" t="s">
        <v>1932</v>
      </c>
      <c r="P1028" t="s">
        <v>141</v>
      </c>
      <c r="Q1028" t="s">
        <v>58</v>
      </c>
      <c r="R1028" t="str">
        <f>IFERROR(VLOOKUP(record[[#This Row],[PCUSTID]],廠商[],2,FALSE),"")</f>
        <v/>
      </c>
      <c r="S1028" t="str">
        <f>VLOOKUP(record[[#This Row],[employeeID]],員工[],2,FALSE)</f>
        <v>蔣梅</v>
      </c>
    </row>
    <row r="1029" spans="6:19" hidden="1" x14ac:dyDescent="0.25">
      <c r="F1029" t="s">
        <v>1859</v>
      </c>
      <c r="G1029" t="s">
        <v>452</v>
      </c>
      <c r="H1029" t="str">
        <f>VLOOKUP(record[[#This Row],[ProcessSN]],表格2_7[],2,FALSE)</f>
        <v>30-4118-018-6XX</v>
      </c>
      <c r="I1029" t="str">
        <f>VLOOKUP(record[[#This Row],[ProcessSN]],表格2_7[],3,FALSE)</f>
        <v>#07QC</v>
      </c>
      <c r="J1029" t="s">
        <v>589</v>
      </c>
      <c r="K1029" s="195">
        <v>46140.467187499999</v>
      </c>
      <c r="L1029">
        <v>199</v>
      </c>
      <c r="M1029">
        <v>0</v>
      </c>
      <c r="N1029" s="98" t="str">
        <f>IF(record[[#This Row],[Memo]]="Browser:chrome os:android","平板報工",IF(record[[#This Row],[Memo]]=0,"委外",record[[#This Row],[Memo]]))</f>
        <v/>
      </c>
      <c r="O1029" t="s">
        <v>58</v>
      </c>
      <c r="P1029" t="s">
        <v>141</v>
      </c>
      <c r="Q1029" t="s">
        <v>58</v>
      </c>
      <c r="R1029" t="str">
        <f>IFERROR(VLOOKUP(record[[#This Row],[PCUSTID]],廠商[],2,FALSE),"")</f>
        <v/>
      </c>
      <c r="S1029" t="str">
        <f>VLOOKUP(record[[#This Row],[employeeID]],員工[],2,FALSE)</f>
        <v>蔣梅</v>
      </c>
    </row>
    <row r="1030" spans="6:19" hidden="1" x14ac:dyDescent="0.25">
      <c r="F1030" t="s">
        <v>1850</v>
      </c>
      <c r="G1030" t="s">
        <v>419</v>
      </c>
      <c r="H1030" t="str">
        <f>VLOOKUP(record[[#This Row],[ProcessSN]],表格2_7[],2,FALSE)</f>
        <v>30-4118-018-5XX</v>
      </c>
      <c r="I1030" t="str">
        <f>VLOOKUP(record[[#This Row],[ProcessSN]],表格2_7[],3,FALSE)</f>
        <v>#07QC</v>
      </c>
      <c r="J1030" t="s">
        <v>589</v>
      </c>
      <c r="K1030" s="195">
        <v>46140.466886574075</v>
      </c>
      <c r="L1030">
        <v>0</v>
      </c>
      <c r="M1030">
        <v>48</v>
      </c>
      <c r="N1030" s="98" t="str">
        <f>IF(record[[#This Row],[Memo]]="Browser:chrome os:android","平板報工",IF(record[[#This Row],[Memo]]=0,"委外",record[[#This Row],[Memo]]))</f>
        <v>頭部傷痕</v>
      </c>
      <c r="O1030" t="s">
        <v>1932</v>
      </c>
      <c r="P1030" t="s">
        <v>141</v>
      </c>
      <c r="Q1030" t="s">
        <v>58</v>
      </c>
      <c r="R1030" t="str">
        <f>IFERROR(VLOOKUP(record[[#This Row],[PCUSTID]],廠商[],2,FALSE),"")</f>
        <v/>
      </c>
      <c r="S1030" t="str">
        <f>VLOOKUP(record[[#This Row],[employeeID]],員工[],2,FALSE)</f>
        <v>蔣梅</v>
      </c>
    </row>
    <row r="1031" spans="6:19" hidden="1" x14ac:dyDescent="0.25">
      <c r="F1031" t="s">
        <v>1850</v>
      </c>
      <c r="G1031" t="s">
        <v>419</v>
      </c>
      <c r="H1031" t="str">
        <f>VLOOKUP(record[[#This Row],[ProcessSN]],表格2_7[],2,FALSE)</f>
        <v>30-4118-018-5XX</v>
      </c>
      <c r="I1031" t="str">
        <f>VLOOKUP(record[[#This Row],[ProcessSN]],表格2_7[],3,FALSE)</f>
        <v>#07QC</v>
      </c>
      <c r="J1031" t="s">
        <v>589</v>
      </c>
      <c r="K1031" s="195">
        <v>46140.466423611113</v>
      </c>
      <c r="L1031">
        <v>109</v>
      </c>
      <c r="M1031">
        <v>0</v>
      </c>
      <c r="N1031" s="98" t="str">
        <f>IF(record[[#This Row],[Memo]]="Browser:chrome os:android","平板報工",IF(record[[#This Row],[Memo]]=0,"委外",record[[#This Row],[Memo]]))</f>
        <v/>
      </c>
      <c r="O1031" t="s">
        <v>58</v>
      </c>
      <c r="P1031" t="s">
        <v>141</v>
      </c>
      <c r="Q1031" t="s">
        <v>58</v>
      </c>
      <c r="R1031" t="str">
        <f>IFERROR(VLOOKUP(record[[#This Row],[PCUSTID]],廠商[],2,FALSE),"")</f>
        <v/>
      </c>
      <c r="S1031" t="str">
        <f>VLOOKUP(record[[#This Row],[employeeID]],員工[],2,FALSE)</f>
        <v>蔣梅</v>
      </c>
    </row>
    <row r="1032" spans="6:19" hidden="1" x14ac:dyDescent="0.25">
      <c r="F1032" t="s">
        <v>1850</v>
      </c>
      <c r="G1032" t="s">
        <v>419</v>
      </c>
      <c r="H1032" t="str">
        <f>VLOOKUP(record[[#This Row],[ProcessSN]],表格2_7[],2,FALSE)</f>
        <v>30-4118-018-5XX</v>
      </c>
      <c r="I1032" t="str">
        <f>VLOOKUP(record[[#This Row],[ProcessSN]],表格2_7[],3,FALSE)</f>
        <v>#07QC</v>
      </c>
      <c r="J1032" t="s">
        <v>589</v>
      </c>
      <c r="K1032" s="195">
        <v>46140.447141203702</v>
      </c>
      <c r="L1032">
        <v>166</v>
      </c>
      <c r="M1032">
        <v>0</v>
      </c>
      <c r="N1032" s="98" t="str">
        <f>IF(record[[#This Row],[Memo]]="Browser:chrome os:android","平板報工",IF(record[[#This Row],[Memo]]=0,"委外",record[[#This Row],[Memo]]))</f>
        <v>平板報工</v>
      </c>
      <c r="O1032" t="s">
        <v>643</v>
      </c>
      <c r="P1032" t="s">
        <v>99</v>
      </c>
      <c r="Q1032" t="s">
        <v>644</v>
      </c>
      <c r="R1032" t="str">
        <f>IFERROR(VLOOKUP(record[[#This Row],[PCUSTID]],廠商[],2,FALSE),"")</f>
        <v/>
      </c>
      <c r="S1032" t="str">
        <f>VLOOKUP(record[[#This Row],[employeeID]],員工[],2,FALSE)</f>
        <v>阮氏河</v>
      </c>
    </row>
    <row r="1033" spans="6:19" hidden="1" x14ac:dyDescent="0.25">
      <c r="F1033" t="s">
        <v>1850</v>
      </c>
      <c r="G1033" t="s">
        <v>419</v>
      </c>
      <c r="H1033" t="str">
        <f>VLOOKUP(record[[#This Row],[ProcessSN]],表格2_7[],2,FALSE)</f>
        <v>30-4118-018-5XX</v>
      </c>
      <c r="I1033" t="str">
        <f>VLOOKUP(record[[#This Row],[ProcessSN]],表格2_7[],3,FALSE)</f>
        <v>#07QC</v>
      </c>
      <c r="J1033" t="s">
        <v>589</v>
      </c>
      <c r="K1033" s="195">
        <v>46140.446932870371</v>
      </c>
      <c r="L1033">
        <v>0</v>
      </c>
      <c r="M1033">
        <v>1</v>
      </c>
      <c r="N1033" s="98" t="str">
        <f>IF(record[[#This Row],[Memo]]="Browser:chrome os:android","平板報工",IF(record[[#This Row],[Memo]]=0,"委外",record[[#This Row],[Memo]]))</f>
        <v>平板報工</v>
      </c>
      <c r="O1033" t="s">
        <v>643</v>
      </c>
      <c r="P1033" t="s">
        <v>99</v>
      </c>
      <c r="Q1033" t="s">
        <v>644</v>
      </c>
      <c r="R1033" t="str">
        <f>IFERROR(VLOOKUP(record[[#This Row],[PCUSTID]],廠商[],2,FALSE),"")</f>
        <v/>
      </c>
      <c r="S1033" t="str">
        <f>VLOOKUP(record[[#This Row],[employeeID]],員工[],2,FALSE)</f>
        <v>阮氏河</v>
      </c>
    </row>
    <row r="1034" spans="6:19" hidden="1" x14ac:dyDescent="0.25">
      <c r="F1034" t="s">
        <v>1859</v>
      </c>
      <c r="G1034" t="s">
        <v>451</v>
      </c>
      <c r="H1034" t="str">
        <f>VLOOKUP(record[[#This Row],[ProcessSN]],表格2_7[],2,FALSE)</f>
        <v>30-4118-018-6XX</v>
      </c>
      <c r="I1034" t="str">
        <f>VLOOKUP(record[[#This Row],[ProcessSN]],表格2_7[],3,FALSE)</f>
        <v>#07</v>
      </c>
      <c r="J1034" t="s">
        <v>588</v>
      </c>
      <c r="K1034" s="195">
        <v>46140.423368055555</v>
      </c>
      <c r="L1034">
        <v>230</v>
      </c>
      <c r="M1034">
        <v>0</v>
      </c>
      <c r="N1034" s="98" t="str">
        <f>IF(record[[#This Row],[Memo]]="Browser:chrome os:android","平板報工",IF(record[[#This Row],[Memo]]=0,"委外",record[[#This Row],[Memo]]))</f>
        <v>補報</v>
      </c>
      <c r="O1034" t="s">
        <v>868</v>
      </c>
      <c r="P1034" t="s">
        <v>101</v>
      </c>
      <c r="Q1034" t="s">
        <v>58</v>
      </c>
      <c r="R1034" t="str">
        <f>IFERROR(VLOOKUP(record[[#This Row],[PCUSTID]],廠商[],2,FALSE),"")</f>
        <v/>
      </c>
      <c r="S1034" t="str">
        <f>VLOOKUP(record[[#This Row],[employeeID]],員工[],2,FALSE)</f>
        <v>陳氏絨</v>
      </c>
    </row>
    <row r="1035" spans="6:19" hidden="1" x14ac:dyDescent="0.25">
      <c r="F1035" t="s">
        <v>1818</v>
      </c>
      <c r="G1035" t="s">
        <v>469</v>
      </c>
      <c r="H1035" t="str">
        <f>VLOOKUP(record[[#This Row],[ProcessSN]],表格2_7[],2,FALSE)</f>
        <v>30-4118-018-XXX</v>
      </c>
      <c r="I1035" t="str">
        <f>VLOOKUP(record[[#This Row],[ProcessSN]],表格2_7[],3,FALSE)</f>
        <v>#02RCV</v>
      </c>
      <c r="J1035" t="s">
        <v>591</v>
      </c>
      <c r="K1035" s="195">
        <v>46140.415578703702</v>
      </c>
      <c r="L1035">
        <v>859</v>
      </c>
      <c r="M1035">
        <v>0</v>
      </c>
      <c r="N1035" s="98" t="str">
        <f>IF(record[[#This Row],[Memo]]="Browser:chrome os:android","平板報工",IF(record[[#This Row],[Memo]]=0,"委外",record[[#This Row],[Memo]]))</f>
        <v/>
      </c>
      <c r="O1035" t="s">
        <v>58</v>
      </c>
      <c r="P1035" t="s">
        <v>186</v>
      </c>
      <c r="Q1035" t="s">
        <v>58</v>
      </c>
      <c r="R1035" t="str">
        <f>IFERROR(VLOOKUP(record[[#This Row],[PCUSTID]],廠商[],2,FALSE),"")</f>
        <v/>
      </c>
      <c r="S1035" t="str">
        <f>VLOOKUP(record[[#This Row],[employeeID]],員工[],2,FALSE)</f>
        <v>許文姍</v>
      </c>
    </row>
    <row r="1036" spans="6:19" hidden="1" x14ac:dyDescent="0.25">
      <c r="F1036" t="s">
        <v>1859</v>
      </c>
      <c r="G1036" t="s">
        <v>451</v>
      </c>
      <c r="H1036" t="str">
        <f>VLOOKUP(record[[#This Row],[ProcessSN]],表格2_7[],2,FALSE)</f>
        <v>30-4118-018-6XX</v>
      </c>
      <c r="I1036" t="str">
        <f>VLOOKUP(record[[#This Row],[ProcessSN]],表格2_7[],3,FALSE)</f>
        <v>#07</v>
      </c>
      <c r="J1036" t="s">
        <v>588</v>
      </c>
      <c r="K1036" s="195">
        <v>46140.371412037035</v>
      </c>
      <c r="L1036">
        <v>6</v>
      </c>
      <c r="M1036">
        <v>0</v>
      </c>
      <c r="N1036" s="98" t="str">
        <f>IF(record[[#This Row],[Memo]]="Browser:chrome os:android","平板報工",IF(record[[#This Row],[Memo]]=0,"委外",record[[#This Row],[Memo]]))</f>
        <v>平板報工</v>
      </c>
      <c r="O1036" t="s">
        <v>643</v>
      </c>
      <c r="P1036" t="s">
        <v>785</v>
      </c>
      <c r="Q1036" t="s">
        <v>644</v>
      </c>
      <c r="R1036" t="str">
        <f>IFERROR(VLOOKUP(record[[#This Row],[PCUSTID]],廠商[],2,FALSE),"")</f>
        <v/>
      </c>
      <c r="S1036" t="str">
        <f>VLOOKUP(record[[#This Row],[employeeID]],員工[],2,FALSE)</f>
        <v>謝刻光</v>
      </c>
    </row>
    <row r="1037" spans="6:19" hidden="1" x14ac:dyDescent="0.25">
      <c r="F1037" t="s">
        <v>1903</v>
      </c>
      <c r="G1037" t="s">
        <v>387</v>
      </c>
      <c r="H1037" t="str">
        <f>VLOOKUP(record[[#This Row],[ProcessSN]],表格2_7[],2,FALSE)</f>
        <v>30-4118-018-500</v>
      </c>
      <c r="I1037" t="str">
        <f>VLOOKUP(record[[#This Row],[ProcessSN]],表格2_7[],3,FALSE)</f>
        <v>#100SHIP</v>
      </c>
      <c r="J1037" t="s">
        <v>600</v>
      </c>
      <c r="K1037" s="195">
        <v>46140.341620370367</v>
      </c>
      <c r="L1037">
        <v>380</v>
      </c>
      <c r="M1037">
        <v>0</v>
      </c>
      <c r="N1037" s="98" t="str">
        <f>IF(record[[#This Row],[Memo]]="Browser:chrome os:android","平板報工",IF(record[[#This Row],[Memo]]=0,"委外",record[[#This Row],[Memo]]))</f>
        <v>補4/27出貨</v>
      </c>
      <c r="O1037" t="s">
        <v>1929</v>
      </c>
      <c r="P1037" t="s">
        <v>886</v>
      </c>
      <c r="Q1037" t="s">
        <v>58</v>
      </c>
      <c r="R1037" t="str">
        <f>IFERROR(VLOOKUP(record[[#This Row],[PCUSTID]],廠商[],2,FALSE),"")</f>
        <v/>
      </c>
      <c r="S1037" t="str">
        <f>VLOOKUP(record[[#This Row],[employeeID]],員工[],2,FALSE)</f>
        <v>謝蓁薰</v>
      </c>
    </row>
    <row r="1038" spans="6:19" hidden="1" x14ac:dyDescent="0.25">
      <c r="F1038" t="s">
        <v>1903</v>
      </c>
      <c r="G1038" t="s">
        <v>386</v>
      </c>
      <c r="H1038" t="str">
        <f>VLOOKUP(record[[#This Row],[ProcessSN]],表格2_7[],2,FALSE)</f>
        <v>30-4118-018-500</v>
      </c>
      <c r="I1038" t="str">
        <f>VLOOKUP(record[[#This Row],[ProcessSN]],表格2_7[],3,FALSE)</f>
        <v>#100STOCK</v>
      </c>
      <c r="J1038" t="s">
        <v>592</v>
      </c>
      <c r="K1038" s="195">
        <v>46140.341423611113</v>
      </c>
      <c r="L1038">
        <v>380</v>
      </c>
      <c r="M1038">
        <v>0</v>
      </c>
      <c r="N1038" s="98" t="str">
        <f>IF(record[[#This Row],[Memo]]="Browser:chrome os:android","平板報工",IF(record[[#This Row],[Memo]]=0,"委外",record[[#This Row],[Memo]]))</f>
        <v/>
      </c>
      <c r="O1038" t="s">
        <v>58</v>
      </c>
      <c r="P1038" t="s">
        <v>886</v>
      </c>
      <c r="Q1038" t="s">
        <v>58</v>
      </c>
      <c r="R1038" t="str">
        <f>IFERROR(VLOOKUP(record[[#This Row],[PCUSTID]],廠商[],2,FALSE),"")</f>
        <v/>
      </c>
      <c r="S1038" t="str">
        <f>VLOOKUP(record[[#This Row],[employeeID]],員工[],2,FALSE)</f>
        <v>謝蓁薰</v>
      </c>
    </row>
    <row r="1039" spans="6:19" hidden="1" x14ac:dyDescent="0.25">
      <c r="F1039" t="s">
        <v>1904</v>
      </c>
      <c r="G1039" t="s">
        <v>428</v>
      </c>
      <c r="H1039" t="str">
        <f>VLOOKUP(record[[#This Row],[ProcessSN]],表格2_7[],2,FALSE)</f>
        <v>30-4118-018-600</v>
      </c>
      <c r="I1039" t="str">
        <f>VLOOKUP(record[[#This Row],[ProcessSN]],表格2_7[],3,FALSE)</f>
        <v>#100SHIP</v>
      </c>
      <c r="J1039" t="s">
        <v>600</v>
      </c>
      <c r="K1039" s="195">
        <v>46140.340995370374</v>
      </c>
      <c r="L1039">
        <v>132</v>
      </c>
      <c r="M1039">
        <v>0</v>
      </c>
      <c r="N1039" s="98" t="str">
        <f>IF(record[[#This Row],[Memo]]="Browser:chrome os:android","平板報工",IF(record[[#This Row],[Memo]]=0,"委外",record[[#This Row],[Memo]]))</f>
        <v>補4/27出貨</v>
      </c>
      <c r="O1039" t="s">
        <v>1929</v>
      </c>
      <c r="P1039" t="s">
        <v>886</v>
      </c>
      <c r="Q1039" t="s">
        <v>58</v>
      </c>
      <c r="R1039" t="str">
        <f>IFERROR(VLOOKUP(record[[#This Row],[PCUSTID]],廠商[],2,FALSE),"")</f>
        <v/>
      </c>
      <c r="S1039" t="str">
        <f>VLOOKUP(record[[#This Row],[employeeID]],員工[],2,FALSE)</f>
        <v>謝蓁薰</v>
      </c>
    </row>
    <row r="1040" spans="6:19" hidden="1" x14ac:dyDescent="0.25">
      <c r="F1040" t="s">
        <v>1890</v>
      </c>
      <c r="G1040" t="s">
        <v>387</v>
      </c>
      <c r="H1040" t="str">
        <f>VLOOKUP(record[[#This Row],[ProcessSN]],表格2_7[],2,FALSE)</f>
        <v>30-4118-018-500</v>
      </c>
      <c r="I1040" t="str">
        <f>VLOOKUP(record[[#This Row],[ProcessSN]],表格2_7[],3,FALSE)</f>
        <v>#100SHIP</v>
      </c>
      <c r="J1040" t="s">
        <v>600</v>
      </c>
      <c r="K1040" s="195">
        <v>46140.339756944442</v>
      </c>
      <c r="L1040">
        <v>114</v>
      </c>
      <c r="M1040">
        <v>0</v>
      </c>
      <c r="N1040" s="98" t="str">
        <f>IF(record[[#This Row],[Memo]]="Browser:chrome os:android","平板報工",IF(record[[#This Row],[Memo]]=0,"委外",record[[#This Row],[Memo]]))</f>
        <v/>
      </c>
      <c r="O1040" t="s">
        <v>58</v>
      </c>
      <c r="P1040" t="s">
        <v>886</v>
      </c>
      <c r="Q1040" t="s">
        <v>58</v>
      </c>
      <c r="R1040" t="str">
        <f>IFERROR(VLOOKUP(record[[#This Row],[PCUSTID]],廠商[],2,FALSE),"")</f>
        <v/>
      </c>
      <c r="S1040" t="str">
        <f>VLOOKUP(record[[#This Row],[employeeID]],員工[],2,FALSE)</f>
        <v>謝蓁薰</v>
      </c>
    </row>
    <row r="1041" spans="6:19" hidden="1" x14ac:dyDescent="0.25">
      <c r="F1041" t="s">
        <v>1890</v>
      </c>
      <c r="G1041" t="s">
        <v>386</v>
      </c>
      <c r="H1041" t="str">
        <f>VLOOKUP(record[[#This Row],[ProcessSN]],表格2_7[],2,FALSE)</f>
        <v>30-4118-018-500</v>
      </c>
      <c r="I1041" t="str">
        <f>VLOOKUP(record[[#This Row],[ProcessSN]],表格2_7[],3,FALSE)</f>
        <v>#100STOCK</v>
      </c>
      <c r="J1041" t="s">
        <v>592</v>
      </c>
      <c r="K1041" s="195">
        <v>46140.33966435185</v>
      </c>
      <c r="L1041">
        <v>114</v>
      </c>
      <c r="M1041">
        <v>0</v>
      </c>
      <c r="N1041" s="98" t="str">
        <f>IF(record[[#This Row],[Memo]]="Browser:chrome os:android","平板報工",IF(record[[#This Row],[Memo]]=0,"委外",record[[#This Row],[Memo]]))</f>
        <v/>
      </c>
      <c r="O1041" t="s">
        <v>58</v>
      </c>
      <c r="P1041" t="s">
        <v>886</v>
      </c>
      <c r="Q1041" t="s">
        <v>58</v>
      </c>
      <c r="R1041" t="str">
        <f>IFERROR(VLOOKUP(record[[#This Row],[PCUSTID]],廠商[],2,FALSE),"")</f>
        <v/>
      </c>
      <c r="S1041" t="str">
        <f>VLOOKUP(record[[#This Row],[employeeID]],員工[],2,FALSE)</f>
        <v>謝蓁薰</v>
      </c>
    </row>
    <row r="1042" spans="6:19" hidden="1" x14ac:dyDescent="0.25">
      <c r="F1042" t="s">
        <v>1865</v>
      </c>
      <c r="G1042" t="s">
        <v>387</v>
      </c>
      <c r="H1042" t="str">
        <f>VLOOKUP(record[[#This Row],[ProcessSN]],表格2_7[],2,FALSE)</f>
        <v>30-4118-018-500</v>
      </c>
      <c r="I1042" t="str">
        <f>VLOOKUP(record[[#This Row],[ProcessSN]],表格2_7[],3,FALSE)</f>
        <v>#100SHIP</v>
      </c>
      <c r="J1042" t="s">
        <v>600</v>
      </c>
      <c r="K1042" s="195">
        <v>46140.339513888888</v>
      </c>
      <c r="L1042">
        <v>5</v>
      </c>
      <c r="M1042">
        <v>0</v>
      </c>
      <c r="N1042" s="98" t="str">
        <f>IF(record[[#This Row],[Memo]]="Browser:chrome os:android","平板報工",IF(record[[#This Row],[Memo]]=0,"委外",record[[#This Row],[Memo]]))</f>
        <v/>
      </c>
      <c r="O1042" t="s">
        <v>58</v>
      </c>
      <c r="P1042" t="s">
        <v>886</v>
      </c>
      <c r="Q1042" t="s">
        <v>58</v>
      </c>
      <c r="R1042" t="str">
        <f>IFERROR(VLOOKUP(record[[#This Row],[PCUSTID]],廠商[],2,FALSE),"")</f>
        <v/>
      </c>
      <c r="S1042" t="str">
        <f>VLOOKUP(record[[#This Row],[employeeID]],員工[],2,FALSE)</f>
        <v>謝蓁薰</v>
      </c>
    </row>
    <row r="1043" spans="6:19" hidden="1" x14ac:dyDescent="0.25">
      <c r="F1043" t="s">
        <v>1891</v>
      </c>
      <c r="G1043" t="s">
        <v>428</v>
      </c>
      <c r="H1043" t="str">
        <f>VLOOKUP(record[[#This Row],[ProcessSN]],表格2_7[],2,FALSE)</f>
        <v>30-4118-018-600</v>
      </c>
      <c r="I1043" t="str">
        <f>VLOOKUP(record[[#This Row],[ProcessSN]],表格2_7[],3,FALSE)</f>
        <v>#100SHIP</v>
      </c>
      <c r="J1043" t="s">
        <v>600</v>
      </c>
      <c r="K1043" s="195">
        <v>46140.339108796295</v>
      </c>
      <c r="L1043">
        <v>113</v>
      </c>
      <c r="M1043">
        <v>0</v>
      </c>
      <c r="N1043" s="98" t="str">
        <f>IF(record[[#This Row],[Memo]]="Browser:chrome os:android","平板報工",IF(record[[#This Row],[Memo]]=0,"委外",record[[#This Row],[Memo]]))</f>
        <v/>
      </c>
      <c r="O1043" t="s">
        <v>58</v>
      </c>
      <c r="P1043" t="s">
        <v>886</v>
      </c>
      <c r="Q1043" t="s">
        <v>58</v>
      </c>
      <c r="R1043" t="str">
        <f>IFERROR(VLOOKUP(record[[#This Row],[PCUSTID]],廠商[],2,FALSE),"")</f>
        <v/>
      </c>
      <c r="S1043" t="str">
        <f>VLOOKUP(record[[#This Row],[employeeID]],員工[],2,FALSE)</f>
        <v>謝蓁薰</v>
      </c>
    </row>
    <row r="1044" spans="6:19" hidden="1" x14ac:dyDescent="0.25">
      <c r="F1044" t="s">
        <v>1868</v>
      </c>
      <c r="G1044" t="s">
        <v>428</v>
      </c>
      <c r="H1044" t="str">
        <f>VLOOKUP(record[[#This Row],[ProcessSN]],表格2_7[],2,FALSE)</f>
        <v>30-4118-018-600</v>
      </c>
      <c r="I1044" t="str">
        <f>VLOOKUP(record[[#This Row],[ProcessSN]],表格2_7[],3,FALSE)</f>
        <v>#100SHIP</v>
      </c>
      <c r="J1044" t="s">
        <v>600</v>
      </c>
      <c r="K1044" s="195">
        <v>46140.338946759257</v>
      </c>
      <c r="L1044">
        <v>6</v>
      </c>
      <c r="M1044">
        <v>0</v>
      </c>
      <c r="N1044" s="98" t="str">
        <f>IF(record[[#This Row],[Memo]]="Browser:chrome os:android","平板報工",IF(record[[#This Row],[Memo]]=0,"委外",record[[#This Row],[Memo]]))</f>
        <v/>
      </c>
      <c r="O1044" t="s">
        <v>58</v>
      </c>
      <c r="P1044" t="s">
        <v>886</v>
      </c>
      <c r="Q1044" t="s">
        <v>58</v>
      </c>
      <c r="R1044" t="str">
        <f>IFERROR(VLOOKUP(record[[#This Row],[PCUSTID]],廠商[],2,FALSE),"")</f>
        <v/>
      </c>
      <c r="S1044" t="str">
        <f>VLOOKUP(record[[#This Row],[employeeID]],員工[],2,FALSE)</f>
        <v>謝蓁薰</v>
      </c>
    </row>
    <row r="1045" spans="6:19" hidden="1" x14ac:dyDescent="0.25">
      <c r="F1045" t="s">
        <v>1904</v>
      </c>
      <c r="G1045" t="s">
        <v>427</v>
      </c>
      <c r="H1045" t="str">
        <f>VLOOKUP(record[[#This Row],[ProcessSN]],表格2_7[],2,FALSE)</f>
        <v>30-4118-018-600</v>
      </c>
      <c r="I1045" t="str">
        <f>VLOOKUP(record[[#This Row],[ProcessSN]],表格2_7[],3,FALSE)</f>
        <v>#100STOCK</v>
      </c>
      <c r="J1045" t="s">
        <v>592</v>
      </c>
      <c r="K1045" s="195">
        <v>46140.338761574072</v>
      </c>
      <c r="L1045">
        <v>132</v>
      </c>
      <c r="M1045">
        <v>0</v>
      </c>
      <c r="N1045" s="98" t="str">
        <f>IF(record[[#This Row],[Memo]]="Browser:chrome os:android","平板報工",IF(record[[#This Row],[Memo]]=0,"委外",record[[#This Row],[Memo]]))</f>
        <v/>
      </c>
      <c r="O1045" t="s">
        <v>58</v>
      </c>
      <c r="P1045" t="s">
        <v>886</v>
      </c>
      <c r="Q1045" t="s">
        <v>58</v>
      </c>
      <c r="R1045" t="str">
        <f>IFERROR(VLOOKUP(record[[#This Row],[PCUSTID]],廠商[],2,FALSE),"")</f>
        <v/>
      </c>
      <c r="S1045" t="str">
        <f>VLOOKUP(record[[#This Row],[employeeID]],員工[],2,FALSE)</f>
        <v>謝蓁薰</v>
      </c>
    </row>
    <row r="1046" spans="6:19" hidden="1" x14ac:dyDescent="0.25">
      <c r="F1046" t="s">
        <v>1891</v>
      </c>
      <c r="G1046" t="s">
        <v>427</v>
      </c>
      <c r="H1046" t="str">
        <f>VLOOKUP(record[[#This Row],[ProcessSN]],表格2_7[],2,FALSE)</f>
        <v>30-4118-018-600</v>
      </c>
      <c r="I1046" t="str">
        <f>VLOOKUP(record[[#This Row],[ProcessSN]],表格2_7[],3,FALSE)</f>
        <v>#100STOCK</v>
      </c>
      <c r="J1046" t="s">
        <v>592</v>
      </c>
      <c r="K1046" s="195">
        <v>46140.33865740741</v>
      </c>
      <c r="L1046">
        <v>113</v>
      </c>
      <c r="M1046">
        <v>0</v>
      </c>
      <c r="N1046" s="98" t="str">
        <f>IF(record[[#This Row],[Memo]]="Browser:chrome os:android","平板報工",IF(record[[#This Row],[Memo]]=0,"委外",record[[#This Row],[Memo]]))</f>
        <v/>
      </c>
      <c r="O1046" t="s">
        <v>58</v>
      </c>
      <c r="P1046" t="s">
        <v>886</v>
      </c>
      <c r="Q1046" t="s">
        <v>58</v>
      </c>
      <c r="R1046" t="str">
        <f>IFERROR(VLOOKUP(record[[#This Row],[PCUSTID]],廠商[],2,FALSE),"")</f>
        <v/>
      </c>
      <c r="S1046" t="str">
        <f>VLOOKUP(record[[#This Row],[employeeID]],員工[],2,FALSE)</f>
        <v>謝蓁薰</v>
      </c>
    </row>
    <row r="1047" spans="6:19" hidden="1" x14ac:dyDescent="0.25">
      <c r="F1047" t="s">
        <v>1868</v>
      </c>
      <c r="G1047" t="s">
        <v>427</v>
      </c>
      <c r="H1047" t="str">
        <f>VLOOKUP(record[[#This Row],[ProcessSN]],表格2_7[],2,FALSE)</f>
        <v>30-4118-018-600</v>
      </c>
      <c r="I1047" t="str">
        <f>VLOOKUP(record[[#This Row],[ProcessSN]],表格2_7[],3,FALSE)</f>
        <v>#100STOCK</v>
      </c>
      <c r="J1047" t="s">
        <v>592</v>
      </c>
      <c r="K1047" s="195">
        <v>46140.338541666664</v>
      </c>
      <c r="L1047">
        <v>6</v>
      </c>
      <c r="M1047">
        <v>0</v>
      </c>
      <c r="N1047" s="98" t="str">
        <f>IF(record[[#This Row],[Memo]]="Browser:chrome os:android","平板報工",IF(record[[#This Row],[Memo]]=0,"委外",record[[#This Row],[Memo]]))</f>
        <v/>
      </c>
      <c r="O1047" t="s">
        <v>58</v>
      </c>
      <c r="P1047" t="s">
        <v>886</v>
      </c>
      <c r="Q1047" t="s">
        <v>58</v>
      </c>
      <c r="R1047" t="str">
        <f>IFERROR(VLOOKUP(record[[#This Row],[PCUSTID]],廠商[],2,FALSE),"")</f>
        <v/>
      </c>
      <c r="S1047" t="str">
        <f>VLOOKUP(record[[#This Row],[employeeID]],員工[],2,FALSE)</f>
        <v>謝蓁薰</v>
      </c>
    </row>
    <row r="1048" spans="6:19" hidden="1" x14ac:dyDescent="0.25">
      <c r="F1048" t="s">
        <v>1906</v>
      </c>
      <c r="G1048" t="s">
        <v>416</v>
      </c>
      <c r="H1048" t="str">
        <f>VLOOKUP(record[[#This Row],[ProcessSN]],表格2_7[],2,FALSE)</f>
        <v>30-4118-018-5XX</v>
      </c>
      <c r="I1048" t="str">
        <f>VLOOKUP(record[[#This Row],[ProcessSN]],表格2_7[],3,FALSE)</f>
        <v>#05</v>
      </c>
      <c r="J1048" t="s">
        <v>588</v>
      </c>
      <c r="K1048" s="195">
        <v>46140.308530092596</v>
      </c>
      <c r="L1048">
        <v>154</v>
      </c>
      <c r="M1048">
        <v>0</v>
      </c>
      <c r="N1048" s="98" t="str">
        <f>IF(record[[#This Row],[Memo]]="Browser:chrome os:android","平板報工",IF(record[[#This Row],[Memo]]=0,"委外",record[[#This Row],[Memo]]))</f>
        <v/>
      </c>
      <c r="O1048" t="s">
        <v>58</v>
      </c>
      <c r="P1048" t="s">
        <v>843</v>
      </c>
      <c r="Q1048" t="s">
        <v>58</v>
      </c>
      <c r="R1048" t="str">
        <f>IFERROR(VLOOKUP(record[[#This Row],[PCUSTID]],廠商[],2,FALSE),"")</f>
        <v/>
      </c>
      <c r="S1048" t="str">
        <f>VLOOKUP(record[[#This Row],[employeeID]],員工[],2,FALSE)</f>
        <v>張楚承</v>
      </c>
    </row>
    <row r="1049" spans="6:19" hidden="1" x14ac:dyDescent="0.25">
      <c r="F1049" t="s">
        <v>1850</v>
      </c>
      <c r="G1049" t="s">
        <v>418</v>
      </c>
      <c r="H1049" t="str">
        <f>VLOOKUP(record[[#This Row],[ProcessSN]],表格2_7[],2,FALSE)</f>
        <v>30-4118-018-5XX</v>
      </c>
      <c r="I1049" t="str">
        <f>VLOOKUP(record[[#This Row],[ProcessSN]],表格2_7[],3,FALSE)</f>
        <v>#07</v>
      </c>
      <c r="J1049" t="s">
        <v>588</v>
      </c>
      <c r="K1049" s="195">
        <v>46140.296273148146</v>
      </c>
      <c r="L1049">
        <v>231</v>
      </c>
      <c r="M1049">
        <v>0</v>
      </c>
      <c r="N1049" s="98" t="str">
        <f>IF(record[[#This Row],[Memo]]="Browser:chrome os:android","平板報工",IF(record[[#This Row],[Memo]]=0,"委外",record[[#This Row],[Memo]]))</f>
        <v>4/28 Release*1pcs</v>
      </c>
      <c r="O1049" t="s">
        <v>1928</v>
      </c>
      <c r="P1049" t="s">
        <v>1075</v>
      </c>
      <c r="Q1049" t="s">
        <v>58</v>
      </c>
      <c r="R1049" t="str">
        <f>IFERROR(VLOOKUP(record[[#This Row],[PCUSTID]],廠商[],2,FALSE),"")</f>
        <v/>
      </c>
      <c r="S1049" t="str">
        <f>VLOOKUP(record[[#This Row],[employeeID]],員工[],2,FALSE)</f>
        <v>吳宥叡</v>
      </c>
    </row>
    <row r="1050" spans="6:19" hidden="1" x14ac:dyDescent="0.25">
      <c r="F1050" t="s">
        <v>1906</v>
      </c>
      <c r="G1050" t="s">
        <v>415</v>
      </c>
      <c r="H1050" t="str">
        <f>VLOOKUP(record[[#This Row],[ProcessSN]],表格2_7[],2,FALSE)</f>
        <v>30-4118-018-5XX</v>
      </c>
      <c r="I1050" t="str">
        <f>VLOOKUP(record[[#This Row],[ProcessSN]],表格2_7[],3,FALSE)</f>
        <v>#04</v>
      </c>
      <c r="J1050" t="s">
        <v>588</v>
      </c>
      <c r="K1050" s="195">
        <v>46140.290879629632</v>
      </c>
      <c r="L1050">
        <v>280</v>
      </c>
      <c r="M1050">
        <v>0</v>
      </c>
      <c r="N1050" s="98" t="str">
        <f>IF(record[[#This Row],[Memo]]="Browser:chrome os:android","平板報工",IF(record[[#This Row],[Memo]]=0,"委外",record[[#This Row],[Memo]]))</f>
        <v>平板報工</v>
      </c>
      <c r="O1050" t="s">
        <v>643</v>
      </c>
      <c r="P1050" t="s">
        <v>806</v>
      </c>
      <c r="Q1050" t="s">
        <v>644</v>
      </c>
      <c r="R1050" t="str">
        <f>IFERROR(VLOOKUP(record[[#This Row],[PCUSTID]],廠商[],2,FALSE),"")</f>
        <v/>
      </c>
      <c r="S1050" t="str">
        <f>VLOOKUP(record[[#This Row],[employeeID]],員工[],2,FALSE)</f>
        <v>方思緯</v>
      </c>
    </row>
    <row r="1051" spans="6:19" hidden="1" x14ac:dyDescent="0.25">
      <c r="F1051" t="s">
        <v>1909</v>
      </c>
      <c r="G1051" t="s">
        <v>373</v>
      </c>
      <c r="H1051" t="str">
        <f>VLOOKUP(record[[#This Row],[ProcessSN]],表格2_7[],2,FALSE)</f>
        <v>30-4118-018-4XX</v>
      </c>
      <c r="I1051" t="str">
        <f>VLOOKUP(record[[#This Row],[ProcessSN]],表格2_7[],3,FALSE)</f>
        <v>#03</v>
      </c>
      <c r="J1051" t="s">
        <v>588</v>
      </c>
      <c r="K1051" s="195">
        <v>46140.289212962962</v>
      </c>
      <c r="L1051">
        <v>576</v>
      </c>
      <c r="M1051">
        <v>25</v>
      </c>
      <c r="N1051" s="98" t="str">
        <f>IF(record[[#This Row],[Memo]]="Browser:chrome os:android","平板報工",IF(record[[#This Row],[Memo]]=0,"委外",record[[#This Row],[Memo]]))</f>
        <v>平板報工</v>
      </c>
      <c r="O1051" t="s">
        <v>643</v>
      </c>
      <c r="P1051" t="s">
        <v>806</v>
      </c>
      <c r="Q1051" t="s">
        <v>644</v>
      </c>
      <c r="R1051" t="str">
        <f>IFERROR(VLOOKUP(record[[#This Row],[PCUSTID]],廠商[],2,FALSE),"")</f>
        <v/>
      </c>
      <c r="S1051" t="str">
        <f>VLOOKUP(record[[#This Row],[employeeID]],員工[],2,FALSE)</f>
        <v>方思緯</v>
      </c>
    </row>
    <row r="1052" spans="6:19" hidden="1" x14ac:dyDescent="0.25">
      <c r="F1052" t="s">
        <v>1906</v>
      </c>
      <c r="G1052" t="s">
        <v>414</v>
      </c>
      <c r="H1052" t="str">
        <f>VLOOKUP(record[[#This Row],[ProcessSN]],表格2_7[],2,FALSE)</f>
        <v>30-4118-018-5XX</v>
      </c>
      <c r="I1052" t="str">
        <f>VLOOKUP(record[[#This Row],[ProcessSN]],表格2_7[],3,FALSE)</f>
        <v>#03</v>
      </c>
      <c r="J1052" t="s">
        <v>588</v>
      </c>
      <c r="K1052" s="195">
        <v>46140.268333333333</v>
      </c>
      <c r="L1052">
        <v>320</v>
      </c>
      <c r="M1052">
        <v>0</v>
      </c>
      <c r="N1052" s="98" t="str">
        <f>IF(record[[#This Row],[Memo]]="Browser:chrome os:android","平板報工",IF(record[[#This Row],[Memo]]=0,"委外",record[[#This Row],[Memo]]))</f>
        <v>平板報工</v>
      </c>
      <c r="O1052" t="s">
        <v>643</v>
      </c>
      <c r="P1052" t="s">
        <v>806</v>
      </c>
      <c r="Q1052" t="s">
        <v>644</v>
      </c>
      <c r="R1052" t="str">
        <f>IFERROR(VLOOKUP(record[[#This Row],[PCUSTID]],廠商[],2,FALSE),"")</f>
        <v/>
      </c>
      <c r="S1052" t="str">
        <f>VLOOKUP(record[[#This Row],[employeeID]],員工[],2,FALSE)</f>
        <v>方思緯</v>
      </c>
    </row>
    <row r="1053" spans="6:19" hidden="1" x14ac:dyDescent="0.25">
      <c r="F1053" t="s">
        <v>1906</v>
      </c>
      <c r="G1053" t="s">
        <v>416</v>
      </c>
      <c r="H1053" t="str">
        <f>VLOOKUP(record[[#This Row],[ProcessSN]],表格2_7[],2,FALSE)</f>
        <v>30-4118-018-5XX</v>
      </c>
      <c r="I1053" t="str">
        <f>VLOOKUP(record[[#This Row],[ProcessSN]],表格2_7[],3,FALSE)</f>
        <v>#05</v>
      </c>
      <c r="J1053" t="s">
        <v>588</v>
      </c>
      <c r="K1053" s="195">
        <v>46140.138668981483</v>
      </c>
      <c r="L1053">
        <v>160</v>
      </c>
      <c r="M1053">
        <v>0</v>
      </c>
      <c r="N1053" s="98" t="str">
        <f>IF(record[[#This Row],[Memo]]="Browser:chrome os:android","平板報工",IF(record[[#This Row],[Memo]]=0,"委外",record[[#This Row],[Memo]]))</f>
        <v/>
      </c>
      <c r="O1053" t="s">
        <v>58</v>
      </c>
      <c r="P1053" t="s">
        <v>1098</v>
      </c>
      <c r="Q1053" t="s">
        <v>58</v>
      </c>
      <c r="R1053" t="str">
        <f>IFERROR(VLOOKUP(record[[#This Row],[PCUSTID]],廠商[],2,FALSE),"")</f>
        <v/>
      </c>
      <c r="S1053" t="str">
        <f>VLOOKUP(record[[#This Row],[employeeID]],員工[],2,FALSE)</f>
        <v>阮氏芳英(英)</v>
      </c>
    </row>
    <row r="1054" spans="6:19" hidden="1" x14ac:dyDescent="0.25">
      <c r="F1054" t="s">
        <v>1906</v>
      </c>
      <c r="G1054" t="s">
        <v>415</v>
      </c>
      <c r="H1054" t="str">
        <f>VLOOKUP(record[[#This Row],[ProcessSN]],表格2_7[],2,FALSE)</f>
        <v>30-4118-018-5XX</v>
      </c>
      <c r="I1054" t="str">
        <f>VLOOKUP(record[[#This Row],[ProcessSN]],表格2_7[],3,FALSE)</f>
        <v>#04</v>
      </c>
      <c r="J1054" t="s">
        <v>588</v>
      </c>
      <c r="K1054" s="195">
        <v>46139.986886574072</v>
      </c>
      <c r="L1054">
        <v>130</v>
      </c>
      <c r="M1054">
        <v>1</v>
      </c>
      <c r="N1054" s="98" t="str">
        <f>IF(record[[#This Row],[Memo]]="Browser:chrome os:android","平板報工",IF(record[[#This Row],[Memo]]=0,"委外",record[[#This Row],[Memo]]))</f>
        <v>平板報工</v>
      </c>
      <c r="O1054" t="s">
        <v>643</v>
      </c>
      <c r="P1054" t="s">
        <v>180</v>
      </c>
      <c r="Q1054" t="s">
        <v>644</v>
      </c>
      <c r="R1054" t="str">
        <f>IFERROR(VLOOKUP(record[[#This Row],[PCUSTID]],廠商[],2,FALSE),"")</f>
        <v/>
      </c>
      <c r="S1054" t="str">
        <f>VLOOKUP(record[[#This Row],[employeeID]],員工[],2,FALSE)</f>
        <v>黎功江</v>
      </c>
    </row>
    <row r="1055" spans="6:19" hidden="1" x14ac:dyDescent="0.25">
      <c r="F1055" t="s">
        <v>1906</v>
      </c>
      <c r="G1055" t="s">
        <v>414</v>
      </c>
      <c r="H1055" t="str">
        <f>VLOOKUP(record[[#This Row],[ProcessSN]],表格2_7[],2,FALSE)</f>
        <v>30-4118-018-5XX</v>
      </c>
      <c r="I1055" t="str">
        <f>VLOOKUP(record[[#This Row],[ProcessSN]],表格2_7[],3,FALSE)</f>
        <v>#03</v>
      </c>
      <c r="J1055" t="s">
        <v>588</v>
      </c>
      <c r="K1055" s="195">
        <v>46139.986145833333</v>
      </c>
      <c r="L1055">
        <v>624</v>
      </c>
      <c r="M1055">
        <v>0</v>
      </c>
      <c r="N1055" s="98" t="str">
        <f>IF(record[[#This Row],[Memo]]="Browser:chrome os:android","平板報工",IF(record[[#This Row],[Memo]]=0,"委外",record[[#This Row],[Memo]]))</f>
        <v>平板報工</v>
      </c>
      <c r="O1055" t="s">
        <v>643</v>
      </c>
      <c r="P1055" t="s">
        <v>180</v>
      </c>
      <c r="Q1055" t="s">
        <v>644</v>
      </c>
      <c r="R1055" t="str">
        <f>IFERROR(VLOOKUP(record[[#This Row],[PCUSTID]],廠商[],2,FALSE),"")</f>
        <v/>
      </c>
      <c r="S1055" t="str">
        <f>VLOOKUP(record[[#This Row],[employeeID]],員工[],2,FALSE)</f>
        <v>黎功江</v>
      </c>
    </row>
    <row r="1056" spans="6:19" hidden="1" x14ac:dyDescent="0.25">
      <c r="F1056" t="s">
        <v>1906</v>
      </c>
      <c r="G1056" t="s">
        <v>417</v>
      </c>
      <c r="H1056" t="str">
        <f>VLOOKUP(record[[#This Row],[ProcessSN]],表格2_7[],2,FALSE)</f>
        <v>30-4118-018-5XX</v>
      </c>
      <c r="I1056" t="str">
        <f>VLOOKUP(record[[#This Row],[ProcessSN]],表格2_7[],3,FALSE)</f>
        <v>#06</v>
      </c>
      <c r="J1056" t="s">
        <v>593</v>
      </c>
      <c r="K1056" s="195">
        <v>46139.978645833333</v>
      </c>
      <c r="L1056">
        <v>67</v>
      </c>
      <c r="M1056">
        <v>0</v>
      </c>
      <c r="N1056" s="98" t="str">
        <f>IF(record[[#This Row],[Memo]]="Browser:chrome os:android","平板報工",IF(record[[#This Row],[Memo]]=0,"委外",record[[#This Row],[Memo]]))</f>
        <v>平板報工</v>
      </c>
      <c r="O1056" t="s">
        <v>643</v>
      </c>
      <c r="P1056" t="s">
        <v>841</v>
      </c>
      <c r="Q1056" t="s">
        <v>644</v>
      </c>
      <c r="R1056" t="str">
        <f>IFERROR(VLOOKUP(record[[#This Row],[PCUSTID]],廠商[],2,FALSE),"")</f>
        <v/>
      </c>
      <c r="S1056" t="str">
        <f>VLOOKUP(record[[#This Row],[employeeID]],員工[],2,FALSE)</f>
        <v>范氏香</v>
      </c>
    </row>
    <row r="1057" spans="6:19" hidden="1" x14ac:dyDescent="0.25">
      <c r="F1057" t="s">
        <v>1906</v>
      </c>
      <c r="G1057" t="s">
        <v>416</v>
      </c>
      <c r="H1057" t="str">
        <f>VLOOKUP(record[[#This Row],[ProcessSN]],表格2_7[],2,FALSE)</f>
        <v>30-4118-018-5XX</v>
      </c>
      <c r="I1057" t="str">
        <f>VLOOKUP(record[[#This Row],[ProcessSN]],表格2_7[],3,FALSE)</f>
        <v>#05</v>
      </c>
      <c r="J1057" t="s">
        <v>588</v>
      </c>
      <c r="K1057" s="195">
        <v>46139.970277777778</v>
      </c>
      <c r="L1057">
        <v>120</v>
      </c>
      <c r="M1057">
        <v>0</v>
      </c>
      <c r="N1057" s="98" t="str">
        <f>IF(record[[#This Row],[Memo]]="Browser:chrome os:android","平板報工",IF(record[[#This Row],[Memo]]=0,"委外",record[[#This Row],[Memo]]))</f>
        <v>平板報工</v>
      </c>
      <c r="O1057" t="s">
        <v>643</v>
      </c>
      <c r="P1057" t="s">
        <v>691</v>
      </c>
      <c r="Q1057" t="s">
        <v>644</v>
      </c>
      <c r="R1057" t="str">
        <f>IFERROR(VLOOKUP(record[[#This Row],[PCUSTID]],廠商[],2,FALSE),"")</f>
        <v/>
      </c>
      <c r="S1057" t="str">
        <f>VLOOKUP(record[[#This Row],[employeeID]],員工[],2,FALSE)</f>
        <v>武氏賢</v>
      </c>
    </row>
    <row r="1058" spans="6:19" hidden="1" x14ac:dyDescent="0.25">
      <c r="F1058" t="s">
        <v>1904</v>
      </c>
      <c r="G1058" t="s">
        <v>426</v>
      </c>
      <c r="H1058" t="str">
        <f>VLOOKUP(record[[#This Row],[ProcessSN]],表格2_7[],2,FALSE)</f>
        <v>30-4118-018-600</v>
      </c>
      <c r="I1058" t="str">
        <f>VLOOKUP(record[[#This Row],[ProcessSN]],表格2_7[],3,FALSE)</f>
        <v>#100OQC</v>
      </c>
      <c r="J1058" t="s">
        <v>599</v>
      </c>
      <c r="K1058" s="195">
        <v>46139.892407407409</v>
      </c>
      <c r="L1058">
        <v>142</v>
      </c>
      <c r="M1058">
        <v>0</v>
      </c>
      <c r="N1058" s="98" t="str">
        <f>IF(record[[#This Row],[Memo]]="Browser:chrome os:android","平板報工",IF(record[[#This Row],[Memo]]=0,"委外",record[[#This Row],[Memo]]))</f>
        <v/>
      </c>
      <c r="O1058" t="s">
        <v>58</v>
      </c>
      <c r="P1058" t="s">
        <v>121</v>
      </c>
      <c r="Q1058" t="s">
        <v>58</v>
      </c>
      <c r="R1058" t="str">
        <f>IFERROR(VLOOKUP(record[[#This Row],[PCUSTID]],廠商[],2,FALSE),"")</f>
        <v/>
      </c>
      <c r="S1058" t="str">
        <f>VLOOKUP(record[[#This Row],[employeeID]],員工[],2,FALSE)</f>
        <v>謝素卿</v>
      </c>
    </row>
    <row r="1059" spans="6:19" hidden="1" x14ac:dyDescent="0.25">
      <c r="F1059" t="s">
        <v>1891</v>
      </c>
      <c r="G1059" t="s">
        <v>426</v>
      </c>
      <c r="H1059" t="str">
        <f>VLOOKUP(record[[#This Row],[ProcessSN]],表格2_7[],2,FALSE)</f>
        <v>30-4118-018-600</v>
      </c>
      <c r="I1059" t="str">
        <f>VLOOKUP(record[[#This Row],[ProcessSN]],表格2_7[],3,FALSE)</f>
        <v>#100OQC</v>
      </c>
      <c r="J1059" t="s">
        <v>599</v>
      </c>
      <c r="K1059" s="195">
        <v>46139.892199074071</v>
      </c>
      <c r="L1059">
        <v>113</v>
      </c>
      <c r="M1059">
        <v>0</v>
      </c>
      <c r="N1059" s="98" t="str">
        <f>IF(record[[#This Row],[Memo]]="Browser:chrome os:android","平板報工",IF(record[[#This Row],[Memo]]=0,"委外",record[[#This Row],[Memo]]))</f>
        <v/>
      </c>
      <c r="O1059" t="s">
        <v>58</v>
      </c>
      <c r="P1059" t="s">
        <v>121</v>
      </c>
      <c r="Q1059" t="s">
        <v>58</v>
      </c>
      <c r="R1059" t="str">
        <f>IFERROR(VLOOKUP(record[[#This Row],[PCUSTID]],廠商[],2,FALSE),"")</f>
        <v/>
      </c>
      <c r="S1059" t="str">
        <f>VLOOKUP(record[[#This Row],[employeeID]],員工[],2,FALSE)</f>
        <v>謝素卿</v>
      </c>
    </row>
    <row r="1060" spans="6:19" hidden="1" x14ac:dyDescent="0.25">
      <c r="F1060" t="s">
        <v>1868</v>
      </c>
      <c r="G1060" t="s">
        <v>426</v>
      </c>
      <c r="H1060" t="str">
        <f>VLOOKUP(record[[#This Row],[ProcessSN]],表格2_7[],2,FALSE)</f>
        <v>30-4118-018-600</v>
      </c>
      <c r="I1060" t="str">
        <f>VLOOKUP(record[[#This Row],[ProcessSN]],表格2_7[],3,FALSE)</f>
        <v>#100OQC</v>
      </c>
      <c r="J1060" t="s">
        <v>599</v>
      </c>
      <c r="K1060" s="195">
        <v>46139.891921296294</v>
      </c>
      <c r="L1060">
        <v>6</v>
      </c>
      <c r="M1060">
        <v>0</v>
      </c>
      <c r="N1060" s="98" t="str">
        <f>IF(record[[#This Row],[Memo]]="Browser:chrome os:android","平板報工",IF(record[[#This Row],[Memo]]=0,"委外",record[[#This Row],[Memo]]))</f>
        <v/>
      </c>
      <c r="O1060" t="s">
        <v>58</v>
      </c>
      <c r="P1060" t="s">
        <v>121</v>
      </c>
      <c r="Q1060" t="s">
        <v>58</v>
      </c>
      <c r="R1060" t="str">
        <f>IFERROR(VLOOKUP(record[[#This Row],[PCUSTID]],廠商[],2,FALSE),"")</f>
        <v/>
      </c>
      <c r="S1060" t="str">
        <f>VLOOKUP(record[[#This Row],[employeeID]],員工[],2,FALSE)</f>
        <v>謝素卿</v>
      </c>
    </row>
    <row r="1061" spans="6:19" hidden="1" x14ac:dyDescent="0.25">
      <c r="F1061" t="s">
        <v>1903</v>
      </c>
      <c r="G1061" t="s">
        <v>385</v>
      </c>
      <c r="H1061" t="str">
        <f>VLOOKUP(record[[#This Row],[ProcessSN]],表格2_7[],2,FALSE)</f>
        <v>30-4118-018-500</v>
      </c>
      <c r="I1061" t="str">
        <f>VLOOKUP(record[[#This Row],[ProcessSN]],表格2_7[],3,FALSE)</f>
        <v>#100OQC</v>
      </c>
      <c r="J1061" t="s">
        <v>599</v>
      </c>
      <c r="K1061" s="195">
        <v>46139.891261574077</v>
      </c>
      <c r="L1061">
        <v>380</v>
      </c>
      <c r="M1061">
        <v>0</v>
      </c>
      <c r="N1061" s="98" t="str">
        <f>IF(record[[#This Row],[Memo]]="Browser:chrome os:android","平板報工",IF(record[[#This Row],[Memo]]=0,"委外",record[[#This Row],[Memo]]))</f>
        <v/>
      </c>
      <c r="O1061" t="s">
        <v>58</v>
      </c>
      <c r="P1061" t="s">
        <v>121</v>
      </c>
      <c r="Q1061" t="s">
        <v>58</v>
      </c>
      <c r="R1061" t="str">
        <f>IFERROR(VLOOKUP(record[[#This Row],[PCUSTID]],廠商[],2,FALSE),"")</f>
        <v/>
      </c>
      <c r="S1061" t="str">
        <f>VLOOKUP(record[[#This Row],[employeeID]],員工[],2,FALSE)</f>
        <v>謝素卿</v>
      </c>
    </row>
    <row r="1062" spans="6:19" hidden="1" x14ac:dyDescent="0.25">
      <c r="F1062" t="s">
        <v>1890</v>
      </c>
      <c r="G1062" t="s">
        <v>385</v>
      </c>
      <c r="H1062" t="str">
        <f>VLOOKUP(record[[#This Row],[ProcessSN]],表格2_7[],2,FALSE)</f>
        <v>30-4118-018-500</v>
      </c>
      <c r="I1062" t="str">
        <f>VLOOKUP(record[[#This Row],[ProcessSN]],表格2_7[],3,FALSE)</f>
        <v>#100OQC</v>
      </c>
      <c r="J1062" t="s">
        <v>599</v>
      </c>
      <c r="K1062" s="195">
        <v>46139.891006944446</v>
      </c>
      <c r="L1062">
        <v>114</v>
      </c>
      <c r="M1062">
        <v>0</v>
      </c>
      <c r="N1062" s="98" t="str">
        <f>IF(record[[#This Row],[Memo]]="Browser:chrome os:android","平板報工",IF(record[[#This Row],[Memo]]=0,"委外",record[[#This Row],[Memo]]))</f>
        <v/>
      </c>
      <c r="O1062" t="s">
        <v>58</v>
      </c>
      <c r="P1062" t="s">
        <v>121</v>
      </c>
      <c r="Q1062" t="s">
        <v>58</v>
      </c>
      <c r="R1062" t="str">
        <f>IFERROR(VLOOKUP(record[[#This Row],[PCUSTID]],廠商[],2,FALSE),"")</f>
        <v/>
      </c>
      <c r="S1062" t="str">
        <f>VLOOKUP(record[[#This Row],[employeeID]],員工[],2,FALSE)</f>
        <v>謝素卿</v>
      </c>
    </row>
    <row r="1063" spans="6:19" hidden="1" x14ac:dyDescent="0.25">
      <c r="F1063" t="s">
        <v>1903</v>
      </c>
      <c r="G1063" t="s">
        <v>384</v>
      </c>
      <c r="H1063" t="str">
        <f>VLOOKUP(record[[#This Row],[ProcessSN]],表格2_7[],2,FALSE)</f>
        <v>30-4118-018-500</v>
      </c>
      <c r="I1063" t="str">
        <f>VLOOKUP(record[[#This Row],[ProcessSN]],表格2_7[],3,FALSE)</f>
        <v>#100</v>
      </c>
      <c r="J1063" t="s">
        <v>598</v>
      </c>
      <c r="K1063" s="195">
        <v>46139.853333333333</v>
      </c>
      <c r="L1063">
        <v>380</v>
      </c>
      <c r="M1063">
        <v>0</v>
      </c>
      <c r="N1063" s="98" t="str">
        <f>IF(record[[#This Row],[Memo]]="Browser:chrome os:android","平板報工",IF(record[[#This Row],[Memo]]=0,"委外",record[[#This Row],[Memo]]))</f>
        <v>平板報工</v>
      </c>
      <c r="O1063" t="s">
        <v>643</v>
      </c>
      <c r="P1063" t="s">
        <v>99</v>
      </c>
      <c r="Q1063" t="s">
        <v>644</v>
      </c>
      <c r="R1063" t="str">
        <f>IFERROR(VLOOKUP(record[[#This Row],[PCUSTID]],廠商[],2,FALSE),"")</f>
        <v/>
      </c>
      <c r="S1063" t="str">
        <f>VLOOKUP(record[[#This Row],[employeeID]],員工[],2,FALSE)</f>
        <v>阮氏河</v>
      </c>
    </row>
    <row r="1064" spans="6:19" hidden="1" x14ac:dyDescent="0.25">
      <c r="F1064" t="s">
        <v>1839</v>
      </c>
      <c r="G1064" t="s">
        <v>387</v>
      </c>
      <c r="H1064" t="str">
        <f>VLOOKUP(record[[#This Row],[ProcessSN]],表格2_7[],2,FALSE)</f>
        <v>30-4118-018-500</v>
      </c>
      <c r="I1064" t="str">
        <f>VLOOKUP(record[[#This Row],[ProcessSN]],表格2_7[],3,FALSE)</f>
        <v>#100SHIP</v>
      </c>
      <c r="J1064" t="s">
        <v>600</v>
      </c>
      <c r="K1064" s="195">
        <v>46139.841319444444</v>
      </c>
      <c r="L1064">
        <v>1</v>
      </c>
      <c r="M1064">
        <v>0</v>
      </c>
      <c r="N1064" s="98" t="str">
        <f>IF(record[[#This Row],[Memo]]="Browser:chrome os:android","平板報工",IF(record[[#This Row],[Memo]]=0,"委外",record[[#This Row],[Memo]]))</f>
        <v/>
      </c>
      <c r="O1064" t="s">
        <v>58</v>
      </c>
      <c r="P1064" t="s">
        <v>1073</v>
      </c>
      <c r="Q1064" t="s">
        <v>58</v>
      </c>
      <c r="R1064" t="str">
        <f>IFERROR(VLOOKUP(record[[#This Row],[PCUSTID]],廠商[],2,FALSE),"")</f>
        <v/>
      </c>
      <c r="S1064" t="str">
        <f>VLOOKUP(record[[#This Row],[employeeID]],員工[],2,FALSE)</f>
        <v>武如瓊</v>
      </c>
    </row>
    <row r="1065" spans="6:19" hidden="1" x14ac:dyDescent="0.25">
      <c r="F1065" t="s">
        <v>1865</v>
      </c>
      <c r="G1065" t="s">
        <v>386</v>
      </c>
      <c r="H1065" t="str">
        <f>VLOOKUP(record[[#This Row],[ProcessSN]],表格2_7[],2,FALSE)</f>
        <v>30-4118-018-500</v>
      </c>
      <c r="I1065" t="str">
        <f>VLOOKUP(record[[#This Row],[ProcessSN]],表格2_7[],3,FALSE)</f>
        <v>#100STOCK</v>
      </c>
      <c r="J1065" t="s">
        <v>592</v>
      </c>
      <c r="K1065" s="195">
        <v>46139.841099537036</v>
      </c>
      <c r="L1065">
        <v>5</v>
      </c>
      <c r="M1065">
        <v>0</v>
      </c>
      <c r="N1065" s="98" t="str">
        <f>IF(record[[#This Row],[Memo]]="Browser:chrome os:android","平板報工",IF(record[[#This Row],[Memo]]=0,"委外",record[[#This Row],[Memo]]))</f>
        <v/>
      </c>
      <c r="O1065" t="s">
        <v>58</v>
      </c>
      <c r="P1065" t="s">
        <v>1073</v>
      </c>
      <c r="Q1065" t="s">
        <v>58</v>
      </c>
      <c r="R1065" t="str">
        <f>IFERROR(VLOOKUP(record[[#This Row],[PCUSTID]],廠商[],2,FALSE),"")</f>
        <v/>
      </c>
      <c r="S1065" t="str">
        <f>VLOOKUP(record[[#This Row],[employeeID]],員工[],2,FALSE)</f>
        <v>武如瓊</v>
      </c>
    </row>
    <row r="1066" spans="6:19" hidden="1" x14ac:dyDescent="0.25">
      <c r="F1066" t="s">
        <v>1839</v>
      </c>
      <c r="G1066" t="s">
        <v>386</v>
      </c>
      <c r="H1066" t="str">
        <f>VLOOKUP(record[[#This Row],[ProcessSN]],表格2_7[],2,FALSE)</f>
        <v>30-4118-018-500</v>
      </c>
      <c r="I1066" t="str">
        <f>VLOOKUP(record[[#This Row],[ProcessSN]],表格2_7[],3,FALSE)</f>
        <v>#100STOCK</v>
      </c>
      <c r="J1066" t="s">
        <v>592</v>
      </c>
      <c r="K1066" s="195">
        <v>46139.840937499997</v>
      </c>
      <c r="L1066">
        <v>1</v>
      </c>
      <c r="M1066">
        <v>0</v>
      </c>
      <c r="N1066" s="98" t="str">
        <f>IF(record[[#This Row],[Memo]]="Browser:chrome os:android","平板報工",IF(record[[#This Row],[Memo]]=0,"委外",record[[#This Row],[Memo]]))</f>
        <v/>
      </c>
      <c r="O1066" t="s">
        <v>58</v>
      </c>
      <c r="P1066" t="s">
        <v>1073</v>
      </c>
      <c r="Q1066" t="s">
        <v>58</v>
      </c>
      <c r="R1066" t="str">
        <f>IFERROR(VLOOKUP(record[[#This Row],[PCUSTID]],廠商[],2,FALSE),"")</f>
        <v/>
      </c>
      <c r="S1066" t="str">
        <f>VLOOKUP(record[[#This Row],[employeeID]],員工[],2,FALSE)</f>
        <v>武如瓊</v>
      </c>
    </row>
    <row r="1067" spans="6:19" hidden="1" x14ac:dyDescent="0.25">
      <c r="F1067" t="s">
        <v>1868</v>
      </c>
      <c r="G1067" t="s">
        <v>428</v>
      </c>
      <c r="H1067" t="str">
        <f>VLOOKUP(record[[#This Row],[ProcessSN]],表格2_7[],2,FALSE)</f>
        <v>30-4118-018-600</v>
      </c>
      <c r="I1067" t="str">
        <f>VLOOKUP(record[[#This Row],[ProcessSN]],表格2_7[],3,FALSE)</f>
        <v>#100SHIP</v>
      </c>
      <c r="J1067" t="s">
        <v>600</v>
      </c>
      <c r="K1067" s="195">
        <v>46139.840682870374</v>
      </c>
      <c r="L1067">
        <v>168</v>
      </c>
      <c r="M1067">
        <v>0</v>
      </c>
      <c r="N1067" s="98" t="str">
        <f>IF(record[[#This Row],[Memo]]="Browser:chrome os:android","平板報工",IF(record[[#This Row],[Memo]]=0,"委外",record[[#This Row],[Memo]]))</f>
        <v/>
      </c>
      <c r="O1067" t="s">
        <v>58</v>
      </c>
      <c r="P1067" t="s">
        <v>1073</v>
      </c>
      <c r="Q1067" t="s">
        <v>58</v>
      </c>
      <c r="R1067" t="str">
        <f>IFERROR(VLOOKUP(record[[#This Row],[PCUSTID]],廠商[],2,FALSE),"")</f>
        <v/>
      </c>
      <c r="S1067" t="str">
        <f>VLOOKUP(record[[#This Row],[employeeID]],員工[],2,FALSE)</f>
        <v>武如瓊</v>
      </c>
    </row>
    <row r="1068" spans="6:19" hidden="1" x14ac:dyDescent="0.25">
      <c r="F1068" t="s">
        <v>1868</v>
      </c>
      <c r="G1068" t="s">
        <v>427</v>
      </c>
      <c r="H1068" t="str">
        <f>VLOOKUP(record[[#This Row],[ProcessSN]],表格2_7[],2,FALSE)</f>
        <v>30-4118-018-600</v>
      </c>
      <c r="I1068" t="str">
        <f>VLOOKUP(record[[#This Row],[ProcessSN]],表格2_7[],3,FALSE)</f>
        <v>#100STOCK</v>
      </c>
      <c r="J1068" t="s">
        <v>592</v>
      </c>
      <c r="K1068" s="195">
        <v>46139.840497685182</v>
      </c>
      <c r="L1068">
        <v>168</v>
      </c>
      <c r="M1068">
        <v>0</v>
      </c>
      <c r="N1068" s="98" t="str">
        <f>IF(record[[#This Row],[Memo]]="Browser:chrome os:android","平板報工",IF(record[[#This Row],[Memo]]=0,"委外",record[[#This Row],[Memo]]))</f>
        <v/>
      </c>
      <c r="O1068" t="s">
        <v>58</v>
      </c>
      <c r="P1068" t="s">
        <v>1073</v>
      </c>
      <c r="Q1068" t="s">
        <v>58</v>
      </c>
      <c r="R1068" t="str">
        <f>IFERROR(VLOOKUP(record[[#This Row],[PCUSTID]],廠商[],2,FALSE),"")</f>
        <v/>
      </c>
      <c r="S1068" t="str">
        <f>VLOOKUP(record[[#This Row],[employeeID]],員工[],2,FALSE)</f>
        <v>武如瓊</v>
      </c>
    </row>
    <row r="1069" spans="6:19" hidden="1" x14ac:dyDescent="0.25">
      <c r="F1069" t="s">
        <v>1906</v>
      </c>
      <c r="G1069" t="s">
        <v>415</v>
      </c>
      <c r="H1069" t="str">
        <f>VLOOKUP(record[[#This Row],[ProcessSN]],表格2_7[],2,FALSE)</f>
        <v>30-4118-018-5XX</v>
      </c>
      <c r="I1069" t="str">
        <f>VLOOKUP(record[[#This Row],[ProcessSN]],表格2_7[],3,FALSE)</f>
        <v>#04</v>
      </c>
      <c r="J1069" t="s">
        <v>588</v>
      </c>
      <c r="K1069" s="195">
        <v>46139.830092592594</v>
      </c>
      <c r="L1069">
        <v>120</v>
      </c>
      <c r="M1069">
        <v>0</v>
      </c>
      <c r="N1069" s="98" t="str">
        <f>IF(record[[#This Row],[Memo]]="Browser:chrome os:android","平板報工",IF(record[[#This Row],[Memo]]=0,"委外",record[[#This Row],[Memo]]))</f>
        <v/>
      </c>
      <c r="O1069" t="s">
        <v>58</v>
      </c>
      <c r="P1069" t="s">
        <v>188</v>
      </c>
      <c r="Q1069" t="s">
        <v>58</v>
      </c>
      <c r="R1069" t="str">
        <f>IFERROR(VLOOKUP(record[[#This Row],[PCUSTID]],廠商[],2,FALSE),"")</f>
        <v/>
      </c>
      <c r="S1069" t="str">
        <f>VLOOKUP(record[[#This Row],[employeeID]],員工[],2,FALSE)</f>
        <v>阮氏璧紅</v>
      </c>
    </row>
    <row r="1070" spans="6:19" hidden="1" x14ac:dyDescent="0.25">
      <c r="F1070" t="s">
        <v>1906</v>
      </c>
      <c r="G1070" t="s">
        <v>414</v>
      </c>
      <c r="H1070" t="str">
        <f>VLOOKUP(record[[#This Row],[ProcessSN]],表格2_7[],2,FALSE)</f>
        <v>30-4118-018-5XX</v>
      </c>
      <c r="I1070" t="str">
        <f>VLOOKUP(record[[#This Row],[ProcessSN]],表格2_7[],3,FALSE)</f>
        <v>#03</v>
      </c>
      <c r="J1070" t="s">
        <v>588</v>
      </c>
      <c r="K1070" s="195">
        <v>46139.829756944448</v>
      </c>
      <c r="L1070">
        <v>384</v>
      </c>
      <c r="M1070">
        <v>0</v>
      </c>
      <c r="N1070" s="98" t="str">
        <f>IF(record[[#This Row],[Memo]]="Browser:chrome os:android","平板報工",IF(record[[#This Row],[Memo]]=0,"委外",record[[#This Row],[Memo]]))</f>
        <v/>
      </c>
      <c r="O1070" t="s">
        <v>58</v>
      </c>
      <c r="P1070" t="s">
        <v>188</v>
      </c>
      <c r="Q1070" t="s">
        <v>58</v>
      </c>
      <c r="R1070" t="str">
        <f>IFERROR(VLOOKUP(record[[#This Row],[PCUSTID]],廠商[],2,FALSE),"")</f>
        <v/>
      </c>
      <c r="S1070" t="str">
        <f>VLOOKUP(record[[#This Row],[employeeID]],員工[],2,FALSE)</f>
        <v>阮氏璧紅</v>
      </c>
    </row>
    <row r="1071" spans="6:19" hidden="1" x14ac:dyDescent="0.25">
      <c r="F1071" t="s">
        <v>1906</v>
      </c>
      <c r="G1071" t="s">
        <v>417</v>
      </c>
      <c r="H1071" t="str">
        <f>VLOOKUP(record[[#This Row],[ProcessSN]],表格2_7[],2,FALSE)</f>
        <v>30-4118-018-5XX</v>
      </c>
      <c r="I1071" t="str">
        <f>VLOOKUP(record[[#This Row],[ProcessSN]],表格2_7[],3,FALSE)</f>
        <v>#06</v>
      </c>
      <c r="J1071" t="s">
        <v>593</v>
      </c>
      <c r="K1071" s="195">
        <v>46139.824675925927</v>
      </c>
      <c r="L1071">
        <v>70</v>
      </c>
      <c r="M1071">
        <v>0</v>
      </c>
      <c r="N1071" s="98" t="str">
        <f>IF(record[[#This Row],[Memo]]="Browser:chrome os:android","平板報工",IF(record[[#This Row],[Memo]]=0,"委外",record[[#This Row],[Memo]]))</f>
        <v>平板報工</v>
      </c>
      <c r="O1071" t="s">
        <v>643</v>
      </c>
      <c r="P1071" t="s">
        <v>1413</v>
      </c>
      <c r="Q1071" t="s">
        <v>644</v>
      </c>
      <c r="R1071" t="str">
        <f>IFERROR(VLOOKUP(record[[#This Row],[PCUSTID]],廠商[],2,FALSE),"")</f>
        <v/>
      </c>
      <c r="S1071" t="str">
        <f>VLOOKUP(record[[#This Row],[employeeID]],員工[],2,FALSE)</f>
        <v>阮氏芳英(芳)</v>
      </c>
    </row>
    <row r="1072" spans="6:19" hidden="1" x14ac:dyDescent="0.25">
      <c r="F1072" t="s">
        <v>1904</v>
      </c>
      <c r="G1072" t="s">
        <v>425</v>
      </c>
      <c r="H1072" t="str">
        <f>VLOOKUP(record[[#This Row],[ProcessSN]],表格2_7[],2,FALSE)</f>
        <v>30-4118-018-600</v>
      </c>
      <c r="I1072" t="str">
        <f>VLOOKUP(record[[#This Row],[ProcessSN]],表格2_7[],3,FALSE)</f>
        <v>#100</v>
      </c>
      <c r="J1072" t="s">
        <v>598</v>
      </c>
      <c r="K1072" s="195">
        <v>46139.823784722219</v>
      </c>
      <c r="L1072">
        <v>140</v>
      </c>
      <c r="M1072">
        <v>0</v>
      </c>
      <c r="N1072" s="98" t="str">
        <f>IF(record[[#This Row],[Memo]]="Browser:chrome os:android","平板報工",IF(record[[#This Row],[Memo]]=0,"委外",record[[#This Row],[Memo]]))</f>
        <v/>
      </c>
      <c r="O1072" t="s">
        <v>58</v>
      </c>
      <c r="P1072" t="s">
        <v>141</v>
      </c>
      <c r="Q1072" t="s">
        <v>58</v>
      </c>
      <c r="R1072" t="str">
        <f>IFERROR(VLOOKUP(record[[#This Row],[PCUSTID]],廠商[],2,FALSE),"")</f>
        <v/>
      </c>
      <c r="S1072" t="str">
        <f>VLOOKUP(record[[#This Row],[employeeID]],員工[],2,FALSE)</f>
        <v>蔣梅</v>
      </c>
    </row>
    <row r="1073" spans="6:19" hidden="1" x14ac:dyDescent="0.25">
      <c r="F1073" t="s">
        <v>1904</v>
      </c>
      <c r="G1073" t="s">
        <v>425</v>
      </c>
      <c r="H1073" t="str">
        <f>VLOOKUP(record[[#This Row],[ProcessSN]],表格2_7[],2,FALSE)</f>
        <v>30-4118-018-600</v>
      </c>
      <c r="I1073" t="str">
        <f>VLOOKUP(record[[#This Row],[ProcessSN]],表格2_7[],3,FALSE)</f>
        <v>#100</v>
      </c>
      <c r="J1073" t="s">
        <v>598</v>
      </c>
      <c r="K1073" s="195">
        <v>46139.823645833334</v>
      </c>
      <c r="L1073">
        <v>2</v>
      </c>
      <c r="M1073">
        <v>0</v>
      </c>
      <c r="N1073" s="98" t="str">
        <f>IF(record[[#This Row],[Memo]]="Browser:chrome os:android","平板報工",IF(record[[#This Row],[Memo]]=0,"委外",record[[#This Row],[Memo]]))</f>
        <v>1.5隔離出貨</v>
      </c>
      <c r="O1073" t="s">
        <v>1927</v>
      </c>
      <c r="P1073" t="s">
        <v>141</v>
      </c>
      <c r="Q1073" t="s">
        <v>58</v>
      </c>
      <c r="R1073" t="str">
        <f>IFERROR(VLOOKUP(record[[#This Row],[PCUSTID]],廠商[],2,FALSE),"")</f>
        <v/>
      </c>
      <c r="S1073" t="str">
        <f>VLOOKUP(record[[#This Row],[employeeID]],員工[],2,FALSE)</f>
        <v>蔣梅</v>
      </c>
    </row>
    <row r="1074" spans="6:19" hidden="1" x14ac:dyDescent="0.25">
      <c r="F1074" t="s">
        <v>1904</v>
      </c>
      <c r="G1074" t="s">
        <v>425</v>
      </c>
      <c r="H1074" t="str">
        <f>VLOOKUP(record[[#This Row],[ProcessSN]],表格2_7[],2,FALSE)</f>
        <v>30-4118-018-600</v>
      </c>
      <c r="I1074" t="str">
        <f>VLOOKUP(record[[#This Row],[ProcessSN]],表格2_7[],3,FALSE)</f>
        <v>#100</v>
      </c>
      <c r="J1074" t="s">
        <v>598</v>
      </c>
      <c r="K1074" s="195">
        <v>46139.823055555556</v>
      </c>
      <c r="L1074">
        <v>0</v>
      </c>
      <c r="M1074">
        <v>7</v>
      </c>
      <c r="N1074" s="98" t="str">
        <f>IF(record[[#This Row],[Memo]]="Browser:chrome os:android","平板報工",IF(record[[#This Row],[Memo]]=0,"委外",record[[#This Row],[Memo]]))</f>
        <v/>
      </c>
      <c r="O1074" t="s">
        <v>58</v>
      </c>
      <c r="P1074" t="s">
        <v>141</v>
      </c>
      <c r="Q1074" t="s">
        <v>58</v>
      </c>
      <c r="R1074" t="str">
        <f>IFERROR(VLOOKUP(record[[#This Row],[PCUSTID]],廠商[],2,FALSE),"")</f>
        <v/>
      </c>
      <c r="S1074" t="str">
        <f>VLOOKUP(record[[#This Row],[employeeID]],員工[],2,FALSE)</f>
        <v>蔣梅</v>
      </c>
    </row>
    <row r="1075" spans="6:19" hidden="1" x14ac:dyDescent="0.25">
      <c r="F1075" t="s">
        <v>1818</v>
      </c>
      <c r="G1075" t="s">
        <v>470</v>
      </c>
      <c r="H1075" t="str">
        <f>VLOOKUP(record[[#This Row],[ProcessSN]],表格2_7[],2,FALSE)</f>
        <v>30-4118-018-XXX</v>
      </c>
      <c r="I1075" t="str">
        <f>VLOOKUP(record[[#This Row],[ProcessSN]],表格2_7[],3,FALSE)</f>
        <v>#02IQC</v>
      </c>
      <c r="J1075" t="s">
        <v>583</v>
      </c>
      <c r="K1075" s="195">
        <v>46139.810069444444</v>
      </c>
      <c r="L1075">
        <v>3696</v>
      </c>
      <c r="M1075">
        <v>0</v>
      </c>
      <c r="N1075" s="98" t="str">
        <f>IF(record[[#This Row],[Memo]]="Browser:chrome os:android","平板報工",IF(record[[#This Row],[Memo]]=0,"委外",record[[#This Row],[Memo]]))</f>
        <v/>
      </c>
      <c r="O1075" t="s">
        <v>58</v>
      </c>
      <c r="P1075" t="s">
        <v>109</v>
      </c>
      <c r="Q1075" t="s">
        <v>58</v>
      </c>
      <c r="R1075" t="str">
        <f>IFERROR(VLOOKUP(record[[#This Row],[PCUSTID]],廠商[],2,FALSE),"")</f>
        <v/>
      </c>
      <c r="S1075" t="str">
        <f>VLOOKUP(record[[#This Row],[employeeID]],員工[],2,FALSE)</f>
        <v>裴氏璧鳳</v>
      </c>
    </row>
    <row r="1076" spans="6:19" hidden="1" x14ac:dyDescent="0.25">
      <c r="F1076" t="s">
        <v>1904</v>
      </c>
      <c r="G1076" t="s">
        <v>424</v>
      </c>
      <c r="H1076" t="str">
        <f>VLOOKUP(record[[#This Row],[ProcessSN]],表格2_7[],2,FALSE)</f>
        <v>30-4118-018-600</v>
      </c>
      <c r="I1076" t="str">
        <f>VLOOKUP(record[[#This Row],[ProcessSN]],表格2_7[],3,FALSE)</f>
        <v>#08IQC</v>
      </c>
      <c r="J1076" t="s">
        <v>583</v>
      </c>
      <c r="K1076" s="195">
        <v>46139.80841435185</v>
      </c>
      <c r="L1076">
        <v>149</v>
      </c>
      <c r="M1076">
        <v>0</v>
      </c>
      <c r="N1076" s="98" t="str">
        <f>IF(record[[#This Row],[Memo]]="Browser:chrome os:android","平板報工",IF(record[[#This Row],[Memo]]=0,"委外",record[[#This Row],[Memo]]))</f>
        <v/>
      </c>
      <c r="O1076" t="s">
        <v>58</v>
      </c>
      <c r="P1076" t="s">
        <v>109</v>
      </c>
      <c r="Q1076" t="s">
        <v>58</v>
      </c>
      <c r="R1076" t="str">
        <f>IFERROR(VLOOKUP(record[[#This Row],[PCUSTID]],廠商[],2,FALSE),"")</f>
        <v/>
      </c>
      <c r="S1076" t="str">
        <f>VLOOKUP(record[[#This Row],[employeeID]],員工[],2,FALSE)</f>
        <v>裴氏璧鳳</v>
      </c>
    </row>
    <row r="1077" spans="6:19" hidden="1" x14ac:dyDescent="0.25">
      <c r="F1077" t="s">
        <v>1903</v>
      </c>
      <c r="G1077" t="s">
        <v>383</v>
      </c>
      <c r="H1077" t="str">
        <f>VLOOKUP(record[[#This Row],[ProcessSN]],表格2_7[],2,FALSE)</f>
        <v>30-4118-018-500</v>
      </c>
      <c r="I1077" t="str">
        <f>VLOOKUP(record[[#This Row],[ProcessSN]],表格2_7[],3,FALSE)</f>
        <v>#08IQC</v>
      </c>
      <c r="J1077" t="s">
        <v>583</v>
      </c>
      <c r="K1077" s="195">
        <v>46139.808298611111</v>
      </c>
      <c r="L1077">
        <v>472</v>
      </c>
      <c r="M1077">
        <v>0</v>
      </c>
      <c r="N1077" s="98" t="str">
        <f>IF(record[[#This Row],[Memo]]="Browser:chrome os:android","平板報工",IF(record[[#This Row],[Memo]]=0,"委外",record[[#This Row],[Memo]]))</f>
        <v/>
      </c>
      <c r="O1077" t="s">
        <v>58</v>
      </c>
      <c r="P1077" t="s">
        <v>109</v>
      </c>
      <c r="Q1077" t="s">
        <v>58</v>
      </c>
      <c r="R1077" t="str">
        <f>IFERROR(VLOOKUP(record[[#This Row],[PCUSTID]],廠商[],2,FALSE),"")</f>
        <v/>
      </c>
      <c r="S1077" t="str">
        <f>VLOOKUP(record[[#This Row],[employeeID]],員工[],2,FALSE)</f>
        <v>裴氏璧鳳</v>
      </c>
    </row>
    <row r="1078" spans="6:19" hidden="1" x14ac:dyDescent="0.25">
      <c r="F1078" t="s">
        <v>1904</v>
      </c>
      <c r="G1078" t="s">
        <v>423</v>
      </c>
      <c r="H1078" t="str">
        <f>VLOOKUP(record[[#This Row],[ProcessSN]],表格2_7[],2,FALSE)</f>
        <v>30-4118-018-600</v>
      </c>
      <c r="I1078" t="str">
        <f>VLOOKUP(record[[#This Row],[ProcessSN]],表格2_7[],3,FALSE)</f>
        <v>#08RCV</v>
      </c>
      <c r="J1078" t="s">
        <v>591</v>
      </c>
      <c r="K1078" s="195">
        <v>46139.789583333331</v>
      </c>
      <c r="L1078">
        <v>149</v>
      </c>
      <c r="M1078">
        <v>0</v>
      </c>
      <c r="N1078" s="98" t="str">
        <f>IF(record[[#This Row],[Memo]]="Browser:chrome os:android","平板報工",IF(record[[#This Row],[Memo]]=0,"委外",record[[#This Row],[Memo]]))</f>
        <v/>
      </c>
      <c r="O1078" t="s">
        <v>58</v>
      </c>
      <c r="P1078" t="s">
        <v>886</v>
      </c>
      <c r="Q1078" t="s">
        <v>58</v>
      </c>
      <c r="R1078" t="str">
        <f>IFERROR(VLOOKUP(record[[#This Row],[PCUSTID]],廠商[],2,FALSE),"")</f>
        <v/>
      </c>
      <c r="S1078" t="str">
        <f>VLOOKUP(record[[#This Row],[employeeID]],員工[],2,FALSE)</f>
        <v>謝蓁薰</v>
      </c>
    </row>
    <row r="1079" spans="6:19" hidden="1" x14ac:dyDescent="0.25">
      <c r="F1079" t="s">
        <v>1903</v>
      </c>
      <c r="G1079" t="s">
        <v>382</v>
      </c>
      <c r="H1079" t="str">
        <f>VLOOKUP(record[[#This Row],[ProcessSN]],表格2_7[],2,FALSE)</f>
        <v>30-4118-018-500</v>
      </c>
      <c r="I1079" t="str">
        <f>VLOOKUP(record[[#This Row],[ProcessSN]],表格2_7[],3,FALSE)</f>
        <v>#08RCV</v>
      </c>
      <c r="J1079" t="s">
        <v>591</v>
      </c>
      <c r="K1079" s="195">
        <v>46139.789027777777</v>
      </c>
      <c r="L1079">
        <v>472</v>
      </c>
      <c r="M1079">
        <v>0</v>
      </c>
      <c r="N1079" s="98" t="str">
        <f>IF(record[[#This Row],[Memo]]="Browser:chrome os:android","平板報工",IF(record[[#This Row],[Memo]]=0,"委外",record[[#This Row],[Memo]]))</f>
        <v/>
      </c>
      <c r="O1079" t="s">
        <v>58</v>
      </c>
      <c r="P1079" t="s">
        <v>886</v>
      </c>
      <c r="Q1079" t="s">
        <v>58</v>
      </c>
      <c r="R1079" t="str">
        <f>IFERROR(VLOOKUP(record[[#This Row],[PCUSTID]],廠商[],2,FALSE),"")</f>
        <v/>
      </c>
      <c r="S1079" t="str">
        <f>VLOOKUP(record[[#This Row],[employeeID]],員工[],2,FALSE)</f>
        <v>謝蓁薰</v>
      </c>
    </row>
    <row r="1080" spans="6:19" hidden="1" x14ac:dyDescent="0.25">
      <c r="F1080" t="s">
        <v>1891</v>
      </c>
      <c r="G1080" t="s">
        <v>425</v>
      </c>
      <c r="H1080" t="str">
        <f>VLOOKUP(record[[#This Row],[ProcessSN]],表格2_7[],2,FALSE)</f>
        <v>30-4118-018-600</v>
      </c>
      <c r="I1080" t="str">
        <f>VLOOKUP(record[[#This Row],[ProcessSN]],表格2_7[],3,FALSE)</f>
        <v>#100</v>
      </c>
      <c r="J1080" t="s">
        <v>598</v>
      </c>
      <c r="K1080" s="195">
        <v>46139.777499999997</v>
      </c>
      <c r="L1080">
        <v>113</v>
      </c>
      <c r="M1080">
        <v>0</v>
      </c>
      <c r="N1080" s="98" t="str">
        <f>IF(record[[#This Row],[Memo]]="Browser:chrome os:android","平板報工",IF(record[[#This Row],[Memo]]=0,"委外",record[[#This Row],[Memo]]))</f>
        <v/>
      </c>
      <c r="O1080" t="s">
        <v>58</v>
      </c>
      <c r="P1080" t="s">
        <v>141</v>
      </c>
      <c r="Q1080" t="s">
        <v>58</v>
      </c>
      <c r="R1080" t="str">
        <f>IFERROR(VLOOKUP(record[[#This Row],[PCUSTID]],廠商[],2,FALSE),"")</f>
        <v/>
      </c>
      <c r="S1080" t="str">
        <f>VLOOKUP(record[[#This Row],[employeeID]],員工[],2,FALSE)</f>
        <v>蔣梅</v>
      </c>
    </row>
    <row r="1081" spans="6:19" hidden="1" x14ac:dyDescent="0.25">
      <c r="F1081" t="s">
        <v>1890</v>
      </c>
      <c r="G1081" t="s">
        <v>384</v>
      </c>
      <c r="H1081" t="str">
        <f>VLOOKUP(record[[#This Row],[ProcessSN]],表格2_7[],2,FALSE)</f>
        <v>30-4118-018-500</v>
      </c>
      <c r="I1081" t="str">
        <f>VLOOKUP(record[[#This Row],[ProcessSN]],表格2_7[],3,FALSE)</f>
        <v>#100</v>
      </c>
      <c r="J1081" t="s">
        <v>598</v>
      </c>
      <c r="K1081" s="195">
        <v>46139.775925925926</v>
      </c>
      <c r="L1081">
        <v>2</v>
      </c>
      <c r="M1081">
        <v>0</v>
      </c>
      <c r="N1081" s="98" t="str">
        <f>IF(record[[#This Row],[Memo]]="Browser:chrome os:android","平板報工",IF(record[[#This Row],[Memo]]=0,"委外",record[[#This Row],[Memo]]))</f>
        <v/>
      </c>
      <c r="O1081" t="s">
        <v>58</v>
      </c>
      <c r="P1081" t="s">
        <v>141</v>
      </c>
      <c r="Q1081" t="s">
        <v>58</v>
      </c>
      <c r="R1081" t="str">
        <f>IFERROR(VLOOKUP(record[[#This Row],[PCUSTID]],廠商[],2,FALSE),"")</f>
        <v/>
      </c>
      <c r="S1081" t="str">
        <f>VLOOKUP(record[[#This Row],[employeeID]],員工[],2,FALSE)</f>
        <v>蔣梅</v>
      </c>
    </row>
    <row r="1082" spans="6:19" hidden="1" x14ac:dyDescent="0.25">
      <c r="F1082" t="s">
        <v>1891</v>
      </c>
      <c r="G1082" t="s">
        <v>424</v>
      </c>
      <c r="H1082" t="str">
        <f>VLOOKUP(record[[#This Row],[ProcessSN]],表格2_7[],2,FALSE)</f>
        <v>30-4118-018-600</v>
      </c>
      <c r="I1082" t="str">
        <f>VLOOKUP(record[[#This Row],[ProcessSN]],表格2_7[],3,FALSE)</f>
        <v>#08IQC</v>
      </c>
      <c r="J1082" t="s">
        <v>583</v>
      </c>
      <c r="K1082" s="195">
        <v>46139.765532407408</v>
      </c>
      <c r="L1082">
        <v>113</v>
      </c>
      <c r="M1082">
        <v>0</v>
      </c>
      <c r="N1082" s="98" t="str">
        <f>IF(record[[#This Row],[Memo]]="Browser:chrome os:android","平板報工",IF(record[[#This Row],[Memo]]=0,"委外",record[[#This Row],[Memo]]))</f>
        <v/>
      </c>
      <c r="O1082" t="s">
        <v>58</v>
      </c>
      <c r="P1082" t="s">
        <v>109</v>
      </c>
      <c r="Q1082" t="s">
        <v>58</v>
      </c>
      <c r="R1082" t="str">
        <f>IFERROR(VLOOKUP(record[[#This Row],[PCUSTID]],廠商[],2,FALSE),"")</f>
        <v/>
      </c>
      <c r="S1082" t="str">
        <f>VLOOKUP(record[[#This Row],[employeeID]],員工[],2,FALSE)</f>
        <v>裴氏璧鳳</v>
      </c>
    </row>
    <row r="1083" spans="6:19" hidden="1" x14ac:dyDescent="0.25">
      <c r="F1083" t="s">
        <v>1890</v>
      </c>
      <c r="G1083" t="s">
        <v>384</v>
      </c>
      <c r="H1083" t="str">
        <f>VLOOKUP(record[[#This Row],[ProcessSN]],表格2_7[],2,FALSE)</f>
        <v>30-4118-018-500</v>
      </c>
      <c r="I1083" t="str">
        <f>VLOOKUP(record[[#This Row],[ProcessSN]],表格2_7[],3,FALSE)</f>
        <v>#100</v>
      </c>
      <c r="J1083" t="s">
        <v>598</v>
      </c>
      <c r="K1083" s="195">
        <v>46139.764872685184</v>
      </c>
      <c r="L1083">
        <v>0</v>
      </c>
      <c r="M1083">
        <v>11</v>
      </c>
      <c r="N1083" s="98" t="str">
        <f>IF(record[[#This Row],[Memo]]="Browser:chrome os:android","平板報工",IF(record[[#This Row],[Memo]]=0,"委外",record[[#This Row],[Memo]]))</f>
        <v/>
      </c>
      <c r="O1083" t="s">
        <v>58</v>
      </c>
      <c r="P1083" t="s">
        <v>141</v>
      </c>
      <c r="Q1083" t="s">
        <v>58</v>
      </c>
      <c r="R1083" t="str">
        <f>IFERROR(VLOOKUP(record[[#This Row],[PCUSTID]],廠商[],2,FALSE),"")</f>
        <v/>
      </c>
      <c r="S1083" t="str">
        <f>VLOOKUP(record[[#This Row],[employeeID]],員工[],2,FALSE)</f>
        <v>蔣梅</v>
      </c>
    </row>
    <row r="1084" spans="6:19" hidden="1" x14ac:dyDescent="0.25">
      <c r="F1084" t="s">
        <v>1884</v>
      </c>
      <c r="G1084" t="s">
        <v>350</v>
      </c>
      <c r="H1084" t="str">
        <f>VLOOKUP(record[[#This Row],[ProcessSN]],表格2_7[],2,FALSE)</f>
        <v>30-4118-018-420</v>
      </c>
      <c r="I1084" t="str">
        <f>VLOOKUP(record[[#This Row],[ProcessSN]],表格2_7[],3,FALSE)</f>
        <v>#08IQC</v>
      </c>
      <c r="J1084" t="s">
        <v>583</v>
      </c>
      <c r="K1084" s="195">
        <v>46139.763009259259</v>
      </c>
      <c r="L1084">
        <v>28</v>
      </c>
      <c r="M1084">
        <v>0</v>
      </c>
      <c r="N1084" s="98" t="str">
        <f>IF(record[[#This Row],[Memo]]="Browser:chrome os:android","平板報工",IF(record[[#This Row],[Memo]]=0,"委外",record[[#This Row],[Memo]]))</f>
        <v/>
      </c>
      <c r="O1084" t="s">
        <v>58</v>
      </c>
      <c r="P1084" t="s">
        <v>109</v>
      </c>
      <c r="Q1084" t="s">
        <v>58</v>
      </c>
      <c r="R1084" t="str">
        <f>IFERROR(VLOOKUP(record[[#This Row],[PCUSTID]],廠商[],2,FALSE),"")</f>
        <v/>
      </c>
      <c r="S1084" t="str">
        <f>VLOOKUP(record[[#This Row],[employeeID]],員工[],2,FALSE)</f>
        <v>裴氏璧鳳</v>
      </c>
    </row>
    <row r="1085" spans="6:19" hidden="1" x14ac:dyDescent="0.25">
      <c r="F1085" t="s">
        <v>1890</v>
      </c>
      <c r="G1085" t="s">
        <v>384</v>
      </c>
      <c r="H1085" t="str">
        <f>VLOOKUP(record[[#This Row],[ProcessSN]],表格2_7[],2,FALSE)</f>
        <v>30-4118-018-500</v>
      </c>
      <c r="I1085" t="str">
        <f>VLOOKUP(record[[#This Row],[ProcessSN]],表格2_7[],3,FALSE)</f>
        <v>#100</v>
      </c>
      <c r="J1085" t="s">
        <v>598</v>
      </c>
      <c r="K1085" s="195">
        <v>46139.76189814815</v>
      </c>
      <c r="L1085">
        <v>112</v>
      </c>
      <c r="M1085">
        <v>0</v>
      </c>
      <c r="N1085" s="98" t="str">
        <f>IF(record[[#This Row],[Memo]]="Browser:chrome os:android","平板報工",IF(record[[#This Row],[Memo]]=0,"委外",record[[#This Row],[Memo]]))</f>
        <v/>
      </c>
      <c r="O1085" t="s">
        <v>58</v>
      </c>
      <c r="P1085" t="s">
        <v>141</v>
      </c>
      <c r="Q1085" t="s">
        <v>58</v>
      </c>
      <c r="R1085" t="str">
        <f>IFERROR(VLOOKUP(record[[#This Row],[PCUSTID]],廠商[],2,FALSE),"")</f>
        <v/>
      </c>
      <c r="S1085" t="str">
        <f>VLOOKUP(record[[#This Row],[employeeID]],員工[],2,FALSE)</f>
        <v>蔣梅</v>
      </c>
    </row>
    <row r="1086" spans="6:19" hidden="1" x14ac:dyDescent="0.25">
      <c r="F1086" t="s">
        <v>1868</v>
      </c>
      <c r="G1086" t="s">
        <v>425</v>
      </c>
      <c r="H1086" t="str">
        <f>VLOOKUP(record[[#This Row],[ProcessSN]],表格2_7[],2,FALSE)</f>
        <v>30-4118-018-600</v>
      </c>
      <c r="I1086" t="str">
        <f>VLOOKUP(record[[#This Row],[ProcessSN]],表格2_7[],3,FALSE)</f>
        <v>#100</v>
      </c>
      <c r="J1086" t="s">
        <v>598</v>
      </c>
      <c r="K1086" s="195">
        <v>46139.761435185188</v>
      </c>
      <c r="L1086">
        <v>0</v>
      </c>
      <c r="M1086">
        <v>17</v>
      </c>
      <c r="N1086" s="98" t="str">
        <f>IF(record[[#This Row],[Memo]]="Browser:chrome os:android","平板報工",IF(record[[#This Row],[Memo]]=0,"委外",record[[#This Row],[Memo]]))</f>
        <v/>
      </c>
      <c r="O1086" t="s">
        <v>58</v>
      </c>
      <c r="P1086" t="s">
        <v>141</v>
      </c>
      <c r="Q1086" t="s">
        <v>58</v>
      </c>
      <c r="R1086" t="str">
        <f>IFERROR(VLOOKUP(record[[#This Row],[PCUSTID]],廠商[],2,FALSE),"")</f>
        <v/>
      </c>
      <c r="S1086" t="str">
        <f>VLOOKUP(record[[#This Row],[employeeID]],員工[],2,FALSE)</f>
        <v>蔣梅</v>
      </c>
    </row>
    <row r="1087" spans="6:19" hidden="1" x14ac:dyDescent="0.25">
      <c r="F1087" t="s">
        <v>1868</v>
      </c>
      <c r="G1087" t="s">
        <v>425</v>
      </c>
      <c r="H1087" t="str">
        <f>VLOOKUP(record[[#This Row],[ProcessSN]],表格2_7[],2,FALSE)</f>
        <v>30-4118-018-600</v>
      </c>
      <c r="I1087" t="str">
        <f>VLOOKUP(record[[#This Row],[ProcessSN]],表格2_7[],3,FALSE)</f>
        <v>#100</v>
      </c>
      <c r="J1087" t="s">
        <v>598</v>
      </c>
      <c r="K1087" s="195">
        <v>46139.761296296296</v>
      </c>
      <c r="L1087">
        <v>6</v>
      </c>
      <c r="M1087">
        <v>0</v>
      </c>
      <c r="N1087" s="98" t="str">
        <f>IF(record[[#This Row],[Memo]]="Browser:chrome os:android","平板報工",IF(record[[#This Row],[Memo]]=0,"委外",record[[#This Row],[Memo]]))</f>
        <v>覆回</v>
      </c>
      <c r="O1087" t="s">
        <v>682</v>
      </c>
      <c r="P1087" t="s">
        <v>141</v>
      </c>
      <c r="Q1087" t="s">
        <v>58</v>
      </c>
      <c r="R1087" t="str">
        <f>IFERROR(VLOOKUP(record[[#This Row],[PCUSTID]],廠商[],2,FALSE),"")</f>
        <v/>
      </c>
      <c r="S1087" t="str">
        <f>VLOOKUP(record[[#This Row],[employeeID]],員工[],2,FALSE)</f>
        <v>蔣梅</v>
      </c>
    </row>
    <row r="1088" spans="6:19" hidden="1" x14ac:dyDescent="0.25">
      <c r="F1088" t="s">
        <v>1890</v>
      </c>
      <c r="G1088" t="s">
        <v>383</v>
      </c>
      <c r="H1088" t="str">
        <f>VLOOKUP(record[[#This Row],[ProcessSN]],表格2_7[],2,FALSE)</f>
        <v>30-4118-018-500</v>
      </c>
      <c r="I1088" t="str">
        <f>VLOOKUP(record[[#This Row],[ProcessSN]],表格2_7[],3,FALSE)</f>
        <v>#08IQC</v>
      </c>
      <c r="J1088" t="s">
        <v>583</v>
      </c>
      <c r="K1088" s="195">
        <v>46139.758611111109</v>
      </c>
      <c r="L1088">
        <v>125</v>
      </c>
      <c r="M1088">
        <v>0</v>
      </c>
      <c r="N1088" s="98" t="str">
        <f>IF(record[[#This Row],[Memo]]="Browser:chrome os:android","平板報工",IF(record[[#This Row],[Memo]]=0,"委外",record[[#This Row],[Memo]]))</f>
        <v/>
      </c>
      <c r="O1088" t="s">
        <v>58</v>
      </c>
      <c r="P1088" t="s">
        <v>109</v>
      </c>
      <c r="Q1088" t="s">
        <v>58</v>
      </c>
      <c r="R1088" t="str">
        <f>IFERROR(VLOOKUP(record[[#This Row],[PCUSTID]],廠商[],2,FALSE),"")</f>
        <v/>
      </c>
      <c r="S1088" t="str">
        <f>VLOOKUP(record[[#This Row],[employeeID]],員工[],2,FALSE)</f>
        <v>裴氏璧鳳</v>
      </c>
    </row>
    <row r="1089" spans="6:19" hidden="1" x14ac:dyDescent="0.25">
      <c r="F1089" t="s">
        <v>1888</v>
      </c>
      <c r="G1089" t="s">
        <v>358</v>
      </c>
      <c r="H1089" t="str">
        <f>VLOOKUP(record[[#This Row],[ProcessSN]],表格2_7[],2,FALSE)</f>
        <v>30-4118-018-450</v>
      </c>
      <c r="I1089" t="str">
        <f>VLOOKUP(record[[#This Row],[ProcessSN]],表格2_7[],3,FALSE)</f>
        <v>#08IQC</v>
      </c>
      <c r="J1089" t="s">
        <v>583</v>
      </c>
      <c r="K1089" s="195">
        <v>46139.750925925924</v>
      </c>
      <c r="L1089">
        <v>82</v>
      </c>
      <c r="M1089">
        <v>0</v>
      </c>
      <c r="N1089" s="98" t="str">
        <f>IF(record[[#This Row],[Memo]]="Browser:chrome os:android","平板報工",IF(record[[#This Row],[Memo]]=0,"委外",record[[#This Row],[Memo]]))</f>
        <v/>
      </c>
      <c r="O1089" t="s">
        <v>58</v>
      </c>
      <c r="P1089" t="s">
        <v>109</v>
      </c>
      <c r="Q1089" t="s">
        <v>58</v>
      </c>
      <c r="R1089" t="str">
        <f>IFERROR(VLOOKUP(record[[#This Row],[PCUSTID]],廠商[],2,FALSE),"")</f>
        <v/>
      </c>
      <c r="S1089" t="str">
        <f>VLOOKUP(record[[#This Row],[employeeID]],員工[],2,FALSE)</f>
        <v>裴氏璧鳳</v>
      </c>
    </row>
    <row r="1090" spans="6:19" hidden="1" x14ac:dyDescent="0.25">
      <c r="F1090" t="s">
        <v>1906</v>
      </c>
      <c r="G1090" t="s">
        <v>417</v>
      </c>
      <c r="H1090" t="str">
        <f>VLOOKUP(record[[#This Row],[ProcessSN]],表格2_7[],2,FALSE)</f>
        <v>30-4118-018-5XX</v>
      </c>
      <c r="I1090" t="str">
        <f>VLOOKUP(record[[#This Row],[ProcessSN]],表格2_7[],3,FALSE)</f>
        <v>#06</v>
      </c>
      <c r="J1090" t="s">
        <v>593</v>
      </c>
      <c r="K1090" s="195">
        <v>46139.706064814818</v>
      </c>
      <c r="L1090">
        <v>133</v>
      </c>
      <c r="M1090">
        <v>0</v>
      </c>
      <c r="N1090" s="98" t="str">
        <f>IF(record[[#This Row],[Memo]]="Browser:chrome os:android","平板報工",IF(record[[#This Row],[Memo]]=0,"委外",record[[#This Row],[Memo]]))</f>
        <v/>
      </c>
      <c r="O1090" t="s">
        <v>58</v>
      </c>
      <c r="P1090" t="s">
        <v>1413</v>
      </c>
      <c r="Q1090" t="s">
        <v>58</v>
      </c>
      <c r="R1090" t="str">
        <f>IFERROR(VLOOKUP(record[[#This Row],[PCUSTID]],廠商[],2,FALSE),"")</f>
        <v/>
      </c>
      <c r="S1090" t="str">
        <f>VLOOKUP(record[[#This Row],[employeeID]],員工[],2,FALSE)</f>
        <v>阮氏芳英(芳)</v>
      </c>
    </row>
    <row r="1091" spans="6:19" hidden="1" x14ac:dyDescent="0.25">
      <c r="F1091" t="s">
        <v>1906</v>
      </c>
      <c r="G1091" t="s">
        <v>416</v>
      </c>
      <c r="H1091" t="str">
        <f>VLOOKUP(record[[#This Row],[ProcessSN]],表格2_7[],2,FALSE)</f>
        <v>30-4118-018-5XX</v>
      </c>
      <c r="I1091" t="str">
        <f>VLOOKUP(record[[#This Row],[ProcessSN]],表格2_7[],3,FALSE)</f>
        <v>#05</v>
      </c>
      <c r="J1091" t="s">
        <v>588</v>
      </c>
      <c r="K1091" s="195">
        <v>46139.703472222223</v>
      </c>
      <c r="L1091">
        <v>250</v>
      </c>
      <c r="M1091">
        <v>0</v>
      </c>
      <c r="N1091" s="98" t="str">
        <f>IF(record[[#This Row],[Memo]]="Browser:chrome os:android","平板報工",IF(record[[#This Row],[Memo]]=0,"委外",record[[#This Row],[Memo]]))</f>
        <v/>
      </c>
      <c r="O1091" t="s">
        <v>58</v>
      </c>
      <c r="P1091" t="s">
        <v>785</v>
      </c>
      <c r="Q1091" t="s">
        <v>58</v>
      </c>
      <c r="R1091" t="str">
        <f>IFERROR(VLOOKUP(record[[#This Row],[PCUSTID]],廠商[],2,FALSE),"")</f>
        <v/>
      </c>
      <c r="S1091" t="str">
        <f>VLOOKUP(record[[#This Row],[employeeID]],員工[],2,FALSE)</f>
        <v>謝刻光</v>
      </c>
    </row>
    <row r="1092" spans="6:19" hidden="1" x14ac:dyDescent="0.25">
      <c r="F1092" t="s">
        <v>1906</v>
      </c>
      <c r="G1092" t="s">
        <v>415</v>
      </c>
      <c r="H1092" t="str">
        <f>VLOOKUP(record[[#This Row],[ProcessSN]],表格2_7[],2,FALSE)</f>
        <v>30-4118-018-5XX</v>
      </c>
      <c r="I1092" t="str">
        <f>VLOOKUP(record[[#This Row],[ProcessSN]],表格2_7[],3,FALSE)</f>
        <v>#04</v>
      </c>
      <c r="J1092" t="s">
        <v>588</v>
      </c>
      <c r="K1092" s="195">
        <v>46139.702951388892</v>
      </c>
      <c r="L1092">
        <v>150</v>
      </c>
      <c r="M1092">
        <v>0</v>
      </c>
      <c r="N1092" s="98" t="str">
        <f>IF(record[[#This Row],[Memo]]="Browser:chrome os:android","平板報工",IF(record[[#This Row],[Memo]]=0,"委外",record[[#This Row],[Memo]]))</f>
        <v/>
      </c>
      <c r="O1092" t="s">
        <v>58</v>
      </c>
      <c r="P1092" t="s">
        <v>107</v>
      </c>
      <c r="Q1092" t="s">
        <v>58</v>
      </c>
      <c r="R1092" t="str">
        <f>IFERROR(VLOOKUP(record[[#This Row],[PCUSTID]],廠商[],2,FALSE),"")</f>
        <v/>
      </c>
      <c r="S1092" t="str">
        <f>VLOOKUP(record[[#This Row],[employeeID]],員工[],2,FALSE)</f>
        <v>黎氏順</v>
      </c>
    </row>
    <row r="1093" spans="6:19" hidden="1" x14ac:dyDescent="0.25">
      <c r="F1093" t="s">
        <v>1891</v>
      </c>
      <c r="G1093" t="s">
        <v>423</v>
      </c>
      <c r="H1093" t="str">
        <f>VLOOKUP(record[[#This Row],[ProcessSN]],表格2_7[],2,FALSE)</f>
        <v>30-4118-018-600</v>
      </c>
      <c r="I1093" t="str">
        <f>VLOOKUP(record[[#This Row],[ProcessSN]],表格2_7[],3,FALSE)</f>
        <v>#08RCV</v>
      </c>
      <c r="J1093" t="s">
        <v>591</v>
      </c>
      <c r="K1093" s="195">
        <v>46139.695</v>
      </c>
      <c r="L1093">
        <v>3</v>
      </c>
      <c r="M1093">
        <v>-3</v>
      </c>
      <c r="N1093" s="98" t="str">
        <f>IF(record[[#This Row],[Memo]]="Browser:chrome os:android","平板報工",IF(record[[#This Row],[Memo]]=0,"委外",record[[#This Row],[Memo]]))</f>
        <v>覆回</v>
      </c>
      <c r="O1093" t="s">
        <v>682</v>
      </c>
      <c r="P1093" t="s">
        <v>113</v>
      </c>
      <c r="Q1093" t="s">
        <v>58</v>
      </c>
      <c r="R1093" t="str">
        <f>IFERROR(VLOOKUP(record[[#This Row],[PCUSTID]],廠商[],2,FALSE),"")</f>
        <v/>
      </c>
      <c r="S1093" t="str">
        <f>VLOOKUP(record[[#This Row],[employeeID]],員工[],2,FALSE)</f>
        <v>王奕蓁</v>
      </c>
    </row>
    <row r="1094" spans="6:19" hidden="1" x14ac:dyDescent="0.25">
      <c r="F1094" t="s">
        <v>1850</v>
      </c>
      <c r="G1094" t="s">
        <v>418</v>
      </c>
      <c r="H1094" t="str">
        <f>VLOOKUP(record[[#This Row],[ProcessSN]],表格2_7[],2,FALSE)</f>
        <v>30-4118-018-5XX</v>
      </c>
      <c r="I1094" t="str">
        <f>VLOOKUP(record[[#This Row],[ProcessSN]],表格2_7[],3,FALSE)</f>
        <v>#07</v>
      </c>
      <c r="J1094" t="s">
        <v>588</v>
      </c>
      <c r="K1094" s="195">
        <v>46139.66165509259</v>
      </c>
      <c r="L1094">
        <v>190</v>
      </c>
      <c r="M1094">
        <v>0</v>
      </c>
      <c r="N1094" s="98" t="str">
        <f>IF(record[[#This Row],[Memo]]="Browser:chrome os:android","平板報工",IF(record[[#This Row],[Memo]]=0,"委外",record[[#This Row],[Memo]]))</f>
        <v>平板報工</v>
      </c>
      <c r="O1094" t="s">
        <v>643</v>
      </c>
      <c r="P1094" t="s">
        <v>785</v>
      </c>
      <c r="Q1094" t="s">
        <v>644</v>
      </c>
      <c r="R1094" t="str">
        <f>IFERROR(VLOOKUP(record[[#This Row],[PCUSTID]],廠商[],2,FALSE),"")</f>
        <v/>
      </c>
      <c r="S1094" t="str">
        <f>VLOOKUP(record[[#This Row],[employeeID]],員工[],2,FALSE)</f>
        <v>謝刻光</v>
      </c>
    </row>
    <row r="1095" spans="6:19" hidden="1" x14ac:dyDescent="0.25">
      <c r="F1095" t="s">
        <v>1891</v>
      </c>
      <c r="G1095" t="s">
        <v>423</v>
      </c>
      <c r="H1095" t="str">
        <f>VLOOKUP(record[[#This Row],[ProcessSN]],表格2_7[],2,FALSE)</f>
        <v>30-4118-018-600</v>
      </c>
      <c r="I1095" t="str">
        <f>VLOOKUP(record[[#This Row],[ProcessSN]],表格2_7[],3,FALSE)</f>
        <v>#08RCV</v>
      </c>
      <c r="J1095" t="s">
        <v>591</v>
      </c>
      <c r="K1095" s="195">
        <v>46139.658194444448</v>
      </c>
      <c r="L1095">
        <v>0</v>
      </c>
      <c r="M1095">
        <v>6</v>
      </c>
      <c r="N1095" s="98" t="str">
        <f>IF(record[[#This Row],[Memo]]="Browser:chrome os:android","平板報工",IF(record[[#This Row],[Memo]]=0,"委外",record[[#This Row],[Memo]]))</f>
        <v/>
      </c>
      <c r="O1095" t="s">
        <v>58</v>
      </c>
      <c r="P1095" t="s">
        <v>1698</v>
      </c>
      <c r="Q1095" t="s">
        <v>58</v>
      </c>
      <c r="R1095" t="str">
        <f>IFERROR(VLOOKUP(record[[#This Row],[PCUSTID]],廠商[],2,FALSE),"")</f>
        <v/>
      </c>
      <c r="S1095" t="str">
        <f>VLOOKUP(record[[#This Row],[employeeID]],員工[],2,FALSE)</f>
        <v>羅思潔</v>
      </c>
    </row>
    <row r="1096" spans="6:19" hidden="1" x14ac:dyDescent="0.25">
      <c r="F1096" t="s">
        <v>1891</v>
      </c>
      <c r="G1096" t="s">
        <v>423</v>
      </c>
      <c r="H1096" t="str">
        <f>VLOOKUP(record[[#This Row],[ProcessSN]],表格2_7[],2,FALSE)</f>
        <v>30-4118-018-600</v>
      </c>
      <c r="I1096" t="str">
        <f>VLOOKUP(record[[#This Row],[ProcessSN]],表格2_7[],3,FALSE)</f>
        <v>#08RCV</v>
      </c>
      <c r="J1096" t="s">
        <v>591</v>
      </c>
      <c r="K1096" s="195">
        <v>46139.658078703702</v>
      </c>
      <c r="L1096">
        <v>110</v>
      </c>
      <c r="M1096">
        <v>0</v>
      </c>
      <c r="N1096" s="98" t="str">
        <f>IF(record[[#This Row],[Memo]]="Browser:chrome os:android","平板報工",IF(record[[#This Row],[Memo]]=0,"委外",record[[#This Row],[Memo]]))</f>
        <v/>
      </c>
      <c r="O1096" t="s">
        <v>58</v>
      </c>
      <c r="P1096" t="s">
        <v>1698</v>
      </c>
      <c r="Q1096" t="s">
        <v>58</v>
      </c>
      <c r="R1096" t="str">
        <f>IFERROR(VLOOKUP(record[[#This Row],[PCUSTID]],廠商[],2,FALSE),"")</f>
        <v/>
      </c>
      <c r="S1096" t="str">
        <f>VLOOKUP(record[[#This Row],[employeeID]],員工[],2,FALSE)</f>
        <v>羅思潔</v>
      </c>
    </row>
    <row r="1097" spans="6:19" hidden="1" x14ac:dyDescent="0.25">
      <c r="F1097" t="s">
        <v>1884</v>
      </c>
      <c r="G1097" t="s">
        <v>349</v>
      </c>
      <c r="H1097" t="str">
        <f>VLOOKUP(record[[#This Row],[ProcessSN]],表格2_7[],2,FALSE)</f>
        <v>30-4118-018-420</v>
      </c>
      <c r="I1097" t="str">
        <f>VLOOKUP(record[[#This Row],[ProcessSN]],表格2_7[],3,FALSE)</f>
        <v>#08RCV</v>
      </c>
      <c r="J1097" t="s">
        <v>591</v>
      </c>
      <c r="K1097" s="195">
        <v>46139.657766203702</v>
      </c>
      <c r="L1097">
        <v>0</v>
      </c>
      <c r="M1097">
        <v>2</v>
      </c>
      <c r="N1097" s="98" t="str">
        <f>IF(record[[#This Row],[Memo]]="Browser:chrome os:android","平板報工",IF(record[[#This Row],[Memo]]=0,"委外",record[[#This Row],[Memo]]))</f>
        <v/>
      </c>
      <c r="O1097" t="s">
        <v>58</v>
      </c>
      <c r="P1097" t="s">
        <v>1698</v>
      </c>
      <c r="Q1097" t="s">
        <v>58</v>
      </c>
      <c r="R1097" t="str">
        <f>IFERROR(VLOOKUP(record[[#This Row],[PCUSTID]],廠商[],2,FALSE),"")</f>
        <v/>
      </c>
      <c r="S1097" t="str">
        <f>VLOOKUP(record[[#This Row],[employeeID]],員工[],2,FALSE)</f>
        <v>羅思潔</v>
      </c>
    </row>
    <row r="1098" spans="6:19" hidden="1" x14ac:dyDescent="0.25">
      <c r="F1098" t="s">
        <v>1884</v>
      </c>
      <c r="G1098" t="s">
        <v>349</v>
      </c>
      <c r="H1098" t="str">
        <f>VLOOKUP(record[[#This Row],[ProcessSN]],表格2_7[],2,FALSE)</f>
        <v>30-4118-018-420</v>
      </c>
      <c r="I1098" t="str">
        <f>VLOOKUP(record[[#This Row],[ProcessSN]],表格2_7[],3,FALSE)</f>
        <v>#08RCV</v>
      </c>
      <c r="J1098" t="s">
        <v>591</v>
      </c>
      <c r="K1098" s="195">
        <v>46139.657604166663</v>
      </c>
      <c r="L1098">
        <v>28</v>
      </c>
      <c r="M1098">
        <v>0</v>
      </c>
      <c r="N1098" s="98" t="str">
        <f>IF(record[[#This Row],[Memo]]="Browser:chrome os:android","平板報工",IF(record[[#This Row],[Memo]]=0,"委外",record[[#This Row],[Memo]]))</f>
        <v/>
      </c>
      <c r="O1098" t="s">
        <v>58</v>
      </c>
      <c r="P1098" t="s">
        <v>1698</v>
      </c>
      <c r="Q1098" t="s">
        <v>58</v>
      </c>
      <c r="R1098" t="str">
        <f>IFERROR(VLOOKUP(record[[#This Row],[PCUSTID]],廠商[],2,FALSE),"")</f>
        <v/>
      </c>
      <c r="S1098" t="str">
        <f>VLOOKUP(record[[#This Row],[employeeID]],員工[],2,FALSE)</f>
        <v>羅思潔</v>
      </c>
    </row>
    <row r="1099" spans="6:19" hidden="1" x14ac:dyDescent="0.25">
      <c r="F1099" t="s">
        <v>1890</v>
      </c>
      <c r="G1099" t="s">
        <v>382</v>
      </c>
      <c r="H1099" t="str">
        <f>VLOOKUP(record[[#This Row],[ProcessSN]],表格2_7[],2,FALSE)</f>
        <v>30-4118-018-500</v>
      </c>
      <c r="I1099" t="str">
        <f>VLOOKUP(record[[#This Row],[ProcessSN]],表格2_7[],3,FALSE)</f>
        <v>#08RCV</v>
      </c>
      <c r="J1099" t="s">
        <v>591</v>
      </c>
      <c r="K1099" s="195">
        <v>46139.657326388886</v>
      </c>
      <c r="L1099">
        <v>0</v>
      </c>
      <c r="M1099">
        <v>5</v>
      </c>
      <c r="N1099" s="98" t="str">
        <f>IF(record[[#This Row],[Memo]]="Browser:chrome os:android","平板報工",IF(record[[#This Row],[Memo]]=0,"委外",record[[#This Row],[Memo]]))</f>
        <v/>
      </c>
      <c r="O1099" t="s">
        <v>58</v>
      </c>
      <c r="P1099" t="s">
        <v>1698</v>
      </c>
      <c r="Q1099" t="s">
        <v>58</v>
      </c>
      <c r="R1099" t="str">
        <f>IFERROR(VLOOKUP(record[[#This Row],[PCUSTID]],廠商[],2,FALSE),"")</f>
        <v/>
      </c>
      <c r="S1099" t="str">
        <f>VLOOKUP(record[[#This Row],[employeeID]],員工[],2,FALSE)</f>
        <v>羅思潔</v>
      </c>
    </row>
    <row r="1100" spans="6:19" hidden="1" x14ac:dyDescent="0.25">
      <c r="F1100" t="s">
        <v>1890</v>
      </c>
      <c r="G1100" t="s">
        <v>382</v>
      </c>
      <c r="H1100" t="str">
        <f>VLOOKUP(record[[#This Row],[ProcessSN]],表格2_7[],2,FALSE)</f>
        <v>30-4118-018-500</v>
      </c>
      <c r="I1100" t="str">
        <f>VLOOKUP(record[[#This Row],[ProcessSN]],表格2_7[],3,FALSE)</f>
        <v>#08RCV</v>
      </c>
      <c r="J1100" t="s">
        <v>591</v>
      </c>
      <c r="K1100" s="195">
        <v>46139.657164351855</v>
      </c>
      <c r="L1100">
        <v>125</v>
      </c>
      <c r="M1100">
        <v>0</v>
      </c>
      <c r="N1100" s="98" t="str">
        <f>IF(record[[#This Row],[Memo]]="Browser:chrome os:android","平板報工",IF(record[[#This Row],[Memo]]=0,"委外",record[[#This Row],[Memo]]))</f>
        <v/>
      </c>
      <c r="O1100" t="s">
        <v>58</v>
      </c>
      <c r="P1100" t="s">
        <v>1698</v>
      </c>
      <c r="Q1100" t="s">
        <v>58</v>
      </c>
      <c r="R1100" t="str">
        <f>IFERROR(VLOOKUP(record[[#This Row],[PCUSTID]],廠商[],2,FALSE),"")</f>
        <v/>
      </c>
      <c r="S1100" t="str">
        <f>VLOOKUP(record[[#This Row],[employeeID]],員工[],2,FALSE)</f>
        <v>羅思潔</v>
      </c>
    </row>
    <row r="1101" spans="6:19" hidden="1" x14ac:dyDescent="0.25">
      <c r="F1101" t="s">
        <v>1888</v>
      </c>
      <c r="G1101" t="s">
        <v>357</v>
      </c>
      <c r="H1101" t="str">
        <f>VLOOKUP(record[[#This Row],[ProcessSN]],表格2_7[],2,FALSE)</f>
        <v>30-4118-018-450</v>
      </c>
      <c r="I1101" t="str">
        <f>VLOOKUP(record[[#This Row],[ProcessSN]],表格2_7[],3,FALSE)</f>
        <v>#08RCV</v>
      </c>
      <c r="J1101" t="s">
        <v>591</v>
      </c>
      <c r="K1101" s="195">
        <v>46139.656527777777</v>
      </c>
      <c r="L1101">
        <v>82</v>
      </c>
      <c r="M1101">
        <v>0</v>
      </c>
      <c r="N1101" s="98" t="str">
        <f>IF(record[[#This Row],[Memo]]="Browser:chrome os:android","平板報工",IF(record[[#This Row],[Memo]]=0,"委外",record[[#This Row],[Memo]]))</f>
        <v/>
      </c>
      <c r="O1101" t="s">
        <v>58</v>
      </c>
      <c r="P1101" t="s">
        <v>1698</v>
      </c>
      <c r="Q1101" t="s">
        <v>58</v>
      </c>
      <c r="R1101" t="str">
        <f>IFERROR(VLOOKUP(record[[#This Row],[PCUSTID]],廠商[],2,FALSE),"")</f>
        <v/>
      </c>
      <c r="S1101" t="str">
        <f>VLOOKUP(record[[#This Row],[employeeID]],員工[],2,FALSE)</f>
        <v>羅思潔</v>
      </c>
    </row>
    <row r="1102" spans="6:19" hidden="1" x14ac:dyDescent="0.25">
      <c r="F1102" t="s">
        <v>1906</v>
      </c>
      <c r="G1102" t="s">
        <v>415</v>
      </c>
      <c r="H1102" t="str">
        <f>VLOOKUP(record[[#This Row],[ProcessSN]],表格2_7[],2,FALSE)</f>
        <v>30-4118-018-5XX</v>
      </c>
      <c r="I1102" t="str">
        <f>VLOOKUP(record[[#This Row],[ProcessSN]],表格2_7[],3,FALSE)</f>
        <v>#04</v>
      </c>
      <c r="J1102" t="s">
        <v>588</v>
      </c>
      <c r="K1102" s="195">
        <v>46139.649085648147</v>
      </c>
      <c r="L1102">
        <v>150</v>
      </c>
      <c r="M1102">
        <v>0</v>
      </c>
      <c r="N1102" s="98" t="str">
        <f>IF(record[[#This Row],[Memo]]="Browser:chrome os:android","平板報工",IF(record[[#This Row],[Memo]]=0,"委外",record[[#This Row],[Memo]]))</f>
        <v>平板報工</v>
      </c>
      <c r="O1102" t="s">
        <v>643</v>
      </c>
      <c r="P1102" t="s">
        <v>107</v>
      </c>
      <c r="Q1102" t="s">
        <v>644</v>
      </c>
      <c r="R1102" t="str">
        <f>IFERROR(VLOOKUP(record[[#This Row],[PCUSTID]],廠商[],2,FALSE),"")</f>
        <v/>
      </c>
      <c r="S1102" t="str">
        <f>VLOOKUP(record[[#This Row],[employeeID]],員工[],2,FALSE)</f>
        <v>黎氏順</v>
      </c>
    </row>
    <row r="1103" spans="6:19" hidden="1" x14ac:dyDescent="0.25">
      <c r="F1103" t="s">
        <v>1906</v>
      </c>
      <c r="G1103" t="s">
        <v>414</v>
      </c>
      <c r="H1103" t="str">
        <f>VLOOKUP(record[[#This Row],[ProcessSN]],表格2_7[],2,FALSE)</f>
        <v>30-4118-018-5XX</v>
      </c>
      <c r="I1103" t="str">
        <f>VLOOKUP(record[[#This Row],[ProcessSN]],表格2_7[],3,FALSE)</f>
        <v>#03</v>
      </c>
      <c r="J1103" t="s">
        <v>588</v>
      </c>
      <c r="K1103" s="195">
        <v>46139.647870370369</v>
      </c>
      <c r="L1103">
        <v>672</v>
      </c>
      <c r="M1103">
        <v>0</v>
      </c>
      <c r="N1103" s="98" t="str">
        <f>IF(record[[#This Row],[Memo]]="Browser:chrome os:android","平板報工",IF(record[[#This Row],[Memo]]=0,"委外",record[[#This Row],[Memo]]))</f>
        <v>平板報工</v>
      </c>
      <c r="O1103" t="s">
        <v>643</v>
      </c>
      <c r="P1103" t="s">
        <v>107</v>
      </c>
      <c r="Q1103" t="s">
        <v>644</v>
      </c>
      <c r="R1103" t="str">
        <f>IFERROR(VLOOKUP(record[[#This Row],[PCUSTID]],廠商[],2,FALSE),"")</f>
        <v/>
      </c>
      <c r="S1103" t="str">
        <f>VLOOKUP(record[[#This Row],[employeeID]],員工[],2,FALSE)</f>
        <v>黎氏順</v>
      </c>
    </row>
    <row r="1104" spans="6:19" hidden="1" x14ac:dyDescent="0.25">
      <c r="F1104" t="s">
        <v>1818</v>
      </c>
      <c r="G1104" t="s">
        <v>471</v>
      </c>
      <c r="H1104" t="str">
        <f>VLOOKUP(record[[#This Row],[ProcessSN]],表格2_7[],2,FALSE)</f>
        <v>30-4118-018-XXX</v>
      </c>
      <c r="I1104" t="str">
        <f>VLOOKUP(record[[#This Row],[ProcessSN]],表格2_7[],3,FALSE)</f>
        <v>#02STOCK</v>
      </c>
      <c r="J1104" t="s">
        <v>592</v>
      </c>
      <c r="K1104" s="195">
        <v>46139.590069444443</v>
      </c>
      <c r="L1104">
        <v>421</v>
      </c>
      <c r="M1104">
        <v>0</v>
      </c>
      <c r="N1104" s="98" t="str">
        <f>IF(record[[#This Row],[Memo]]="Browser:chrome os:android","平板報工",IF(record[[#This Row],[Memo]]=0,"委外",record[[#This Row],[Memo]]))</f>
        <v/>
      </c>
      <c r="O1104" t="s">
        <v>58</v>
      </c>
      <c r="P1104" t="s">
        <v>1698</v>
      </c>
      <c r="Q1104" t="s">
        <v>58</v>
      </c>
      <c r="R1104" t="str">
        <f>IFERROR(VLOOKUP(record[[#This Row],[PCUSTID]],廠商[],2,FALSE),"")</f>
        <v/>
      </c>
      <c r="S1104" t="str">
        <f>VLOOKUP(record[[#This Row],[employeeID]],員工[],2,FALSE)</f>
        <v>羅思潔</v>
      </c>
    </row>
    <row r="1105" spans="6:19" hidden="1" x14ac:dyDescent="0.25">
      <c r="F1105" t="s">
        <v>1787</v>
      </c>
      <c r="G1105" t="s">
        <v>471</v>
      </c>
      <c r="H1105" t="str">
        <f>VLOOKUP(record[[#This Row],[ProcessSN]],表格2_7[],2,FALSE)</f>
        <v>30-4118-018-XXX</v>
      </c>
      <c r="I1105" t="str">
        <f>VLOOKUP(record[[#This Row],[ProcessSN]],表格2_7[],3,FALSE)</f>
        <v>#02STOCK</v>
      </c>
      <c r="J1105" t="s">
        <v>592</v>
      </c>
      <c r="K1105" s="195">
        <v>46139.589895833335</v>
      </c>
      <c r="L1105">
        <v>212</v>
      </c>
      <c r="M1105">
        <v>0</v>
      </c>
      <c r="N1105" s="98" t="str">
        <f>IF(record[[#This Row],[Memo]]="Browser:chrome os:android","平板報工",IF(record[[#This Row],[Memo]]=0,"委外",record[[#This Row],[Memo]]))</f>
        <v/>
      </c>
      <c r="O1105" t="s">
        <v>58</v>
      </c>
      <c r="P1105" t="s">
        <v>1698</v>
      </c>
      <c r="Q1105" t="s">
        <v>58</v>
      </c>
      <c r="R1105" t="str">
        <f>IFERROR(VLOOKUP(record[[#This Row],[PCUSTID]],廠商[],2,FALSE),"")</f>
        <v/>
      </c>
      <c r="S1105" t="str">
        <f>VLOOKUP(record[[#This Row],[employeeID]],員工[],2,FALSE)</f>
        <v>羅思潔</v>
      </c>
    </row>
    <row r="1106" spans="6:19" x14ac:dyDescent="0.25">
      <c r="F1106" t="s">
        <v>1924</v>
      </c>
      <c r="G1106" t="s">
        <v>446</v>
      </c>
      <c r="H1106" t="str">
        <f>VLOOKUP(record[[#This Row],[ProcessSN]],表格2_7[],2,FALSE)</f>
        <v>30-4118-018-6XX</v>
      </c>
      <c r="I1106" t="str">
        <f>VLOOKUP(record[[#This Row],[ProcessSN]],表格2_7[],3,FALSE)</f>
        <v>#03GIVE</v>
      </c>
      <c r="J1106" t="s">
        <v>587</v>
      </c>
      <c r="K1106" s="195">
        <v>46139.588391203702</v>
      </c>
      <c r="L1106">
        <v>1500</v>
      </c>
      <c r="M1106">
        <v>0</v>
      </c>
      <c r="N1106" s="98" t="str">
        <f>IF(record[[#This Row],[Memo]]="Browser:chrome os:android","平板報工",IF(record[[#This Row],[Memo]]=0,"委外",record[[#This Row],[Memo]]))</f>
        <v/>
      </c>
      <c r="O1106" t="s">
        <v>58</v>
      </c>
      <c r="P1106" t="s">
        <v>1698</v>
      </c>
      <c r="Q1106" t="s">
        <v>58</v>
      </c>
      <c r="R1106" t="str">
        <f>IFERROR(VLOOKUP(record[[#This Row],[PCUSTID]],廠商[],2,FALSE),"")</f>
        <v/>
      </c>
      <c r="S1106" t="str">
        <f>VLOOKUP(record[[#This Row],[employeeID]],員工[],2,FALSE)</f>
        <v>羅思潔</v>
      </c>
    </row>
    <row r="1107" spans="6:19" x14ac:dyDescent="0.25">
      <c r="F1107" t="s">
        <v>1924</v>
      </c>
      <c r="G1107" t="s">
        <v>445</v>
      </c>
      <c r="H1107" t="str">
        <f>VLOOKUP(record[[#This Row],[ProcessSN]],表格2_7[],2,FALSE)</f>
        <v>30-4118-018-6XX</v>
      </c>
      <c r="I1107" t="str">
        <f>VLOOKUP(record[[#This Row],[ProcessSN]],表格2_7[],3,FALSE)</f>
        <v>#03PICK</v>
      </c>
      <c r="J1107" t="s">
        <v>582</v>
      </c>
      <c r="K1107" s="195">
        <v>46139.570648148147</v>
      </c>
      <c r="L1107">
        <v>1500</v>
      </c>
      <c r="M1107">
        <v>0</v>
      </c>
      <c r="N1107" s="98" t="str">
        <f>IF(record[[#This Row],[Memo]]="Browser:chrome os:android","平板報工",IF(record[[#This Row],[Memo]]=0,"委外",record[[#This Row],[Memo]]))</f>
        <v/>
      </c>
      <c r="O1107" t="s">
        <v>58</v>
      </c>
      <c r="P1107" t="s">
        <v>113</v>
      </c>
      <c r="Q1107" t="s">
        <v>58</v>
      </c>
      <c r="R1107" t="str">
        <f>IFERROR(VLOOKUP(record[[#This Row],[PCUSTID]],廠商[],2,FALSE),"")</f>
        <v/>
      </c>
      <c r="S1107" t="str">
        <f>VLOOKUP(record[[#This Row],[employeeID]],員工[],2,FALSE)</f>
        <v>王奕蓁</v>
      </c>
    </row>
    <row r="1108" spans="6:19" hidden="1" x14ac:dyDescent="0.25">
      <c r="F1108" t="s">
        <v>1787</v>
      </c>
      <c r="G1108" t="s">
        <v>471</v>
      </c>
      <c r="H1108" t="str">
        <f>VLOOKUP(record[[#This Row],[ProcessSN]],表格2_7[],2,FALSE)</f>
        <v>30-4118-018-XXX</v>
      </c>
      <c r="I1108" t="str">
        <f>VLOOKUP(record[[#This Row],[ProcessSN]],表格2_7[],3,FALSE)</f>
        <v>#02STOCK</v>
      </c>
      <c r="J1108" t="s">
        <v>592</v>
      </c>
      <c r="K1108" s="195">
        <v>46139.567569444444</v>
      </c>
      <c r="L1108">
        <v>124</v>
      </c>
      <c r="M1108">
        <v>0</v>
      </c>
      <c r="N1108" s="98" t="str">
        <f>IF(record[[#This Row],[Memo]]="Browser:chrome os:android","平板報工",IF(record[[#This Row],[Memo]]=0,"委外",record[[#This Row],[Memo]]))</f>
        <v/>
      </c>
      <c r="O1108" t="s">
        <v>58</v>
      </c>
      <c r="P1108" t="s">
        <v>113</v>
      </c>
      <c r="Q1108" t="s">
        <v>58</v>
      </c>
      <c r="R1108" t="str">
        <f>IFERROR(VLOOKUP(record[[#This Row],[PCUSTID]],廠商[],2,FALSE),"")</f>
        <v/>
      </c>
      <c r="S1108" t="str">
        <f>VLOOKUP(record[[#This Row],[employeeID]],員工[],2,FALSE)</f>
        <v>王奕蓁</v>
      </c>
    </row>
    <row r="1109" spans="6:19" hidden="1" x14ac:dyDescent="0.25">
      <c r="F1109" t="s">
        <v>1772</v>
      </c>
      <c r="G1109" t="s">
        <v>471</v>
      </c>
      <c r="H1109" t="str">
        <f>VLOOKUP(record[[#This Row],[ProcessSN]],表格2_7[],2,FALSE)</f>
        <v>30-4118-018-XXX</v>
      </c>
      <c r="I1109" t="str">
        <f>VLOOKUP(record[[#This Row],[ProcessSN]],表格2_7[],3,FALSE)</f>
        <v>#02STOCK</v>
      </c>
      <c r="J1109" t="s">
        <v>592</v>
      </c>
      <c r="K1109" s="195">
        <v>46139.567453703705</v>
      </c>
      <c r="L1109">
        <v>899</v>
      </c>
      <c r="M1109">
        <v>0</v>
      </c>
      <c r="N1109" s="98" t="str">
        <f>IF(record[[#This Row],[Memo]]="Browser:chrome os:android","平板報工",IF(record[[#This Row],[Memo]]=0,"委外",record[[#This Row],[Memo]]))</f>
        <v/>
      </c>
      <c r="O1109" t="s">
        <v>58</v>
      </c>
      <c r="P1109" t="s">
        <v>113</v>
      </c>
      <c r="Q1109" t="s">
        <v>58</v>
      </c>
      <c r="R1109" t="str">
        <f>IFERROR(VLOOKUP(record[[#This Row],[PCUSTID]],廠商[],2,FALSE),"")</f>
        <v/>
      </c>
      <c r="S1109" t="str">
        <f>VLOOKUP(record[[#This Row],[employeeID]],員工[],2,FALSE)</f>
        <v>王奕蓁</v>
      </c>
    </row>
    <row r="1110" spans="6:19" hidden="1" x14ac:dyDescent="0.25">
      <c r="F1110" t="s">
        <v>1850</v>
      </c>
      <c r="G1110" t="s">
        <v>420</v>
      </c>
      <c r="H1110" t="str">
        <f>VLOOKUP(record[[#This Row],[ProcessSN]],表格2_7[],2,FALSE)</f>
        <v>30-4118-018-5XX</v>
      </c>
      <c r="I1110" t="str">
        <f>VLOOKUP(record[[#This Row],[ProcessSN]],表格2_7[],3,FALSE)</f>
        <v>#07STOCK</v>
      </c>
      <c r="J1110" t="s">
        <v>592</v>
      </c>
      <c r="K1110" s="195">
        <v>46139.513229166667</v>
      </c>
      <c r="L1110">
        <v>508</v>
      </c>
      <c r="M1110">
        <v>0</v>
      </c>
      <c r="N1110" s="98" t="str">
        <f>IF(record[[#This Row],[Memo]]="Browser:chrome os:android","平板報工",IF(record[[#This Row],[Memo]]=0,"委外",record[[#This Row],[Memo]]))</f>
        <v/>
      </c>
      <c r="O1110" t="s">
        <v>58</v>
      </c>
      <c r="P1110" t="s">
        <v>113</v>
      </c>
      <c r="Q1110" t="s">
        <v>58</v>
      </c>
      <c r="R1110" t="str">
        <f>IFERROR(VLOOKUP(record[[#This Row],[PCUSTID]],廠商[],2,FALSE),"")</f>
        <v/>
      </c>
      <c r="S1110" t="str">
        <f>VLOOKUP(record[[#This Row],[employeeID]],員工[],2,FALSE)</f>
        <v>王奕蓁</v>
      </c>
    </row>
    <row r="1111" spans="6:19" hidden="1" x14ac:dyDescent="0.25">
      <c r="F1111" t="s">
        <v>1803</v>
      </c>
      <c r="G1111" t="s">
        <v>420</v>
      </c>
      <c r="H1111" t="str">
        <f>VLOOKUP(record[[#This Row],[ProcessSN]],表格2_7[],2,FALSE)</f>
        <v>30-4118-018-5XX</v>
      </c>
      <c r="I1111" t="str">
        <f>VLOOKUP(record[[#This Row],[ProcessSN]],表格2_7[],3,FALSE)</f>
        <v>#07STOCK</v>
      </c>
      <c r="J1111" t="s">
        <v>592</v>
      </c>
      <c r="K1111" s="195">
        <v>46139.513101851851</v>
      </c>
      <c r="L1111">
        <v>1</v>
      </c>
      <c r="M1111">
        <v>0</v>
      </c>
      <c r="N1111" s="98" t="str">
        <f>IF(record[[#This Row],[Memo]]="Browser:chrome os:android","平板報工",IF(record[[#This Row],[Memo]]=0,"委外",record[[#This Row],[Memo]]))</f>
        <v/>
      </c>
      <c r="O1111" t="s">
        <v>58</v>
      </c>
      <c r="P1111" t="s">
        <v>113</v>
      </c>
      <c r="Q1111" t="s">
        <v>58</v>
      </c>
      <c r="R1111" t="str">
        <f>IFERROR(VLOOKUP(record[[#This Row],[PCUSTID]],廠商[],2,FALSE),"")</f>
        <v/>
      </c>
      <c r="S1111" t="str">
        <f>VLOOKUP(record[[#This Row],[employeeID]],員工[],2,FALSE)</f>
        <v>王奕蓁</v>
      </c>
    </row>
    <row r="1112" spans="6:19" hidden="1" x14ac:dyDescent="0.25">
      <c r="F1112" t="s">
        <v>1919</v>
      </c>
      <c r="G1112" t="s">
        <v>438</v>
      </c>
      <c r="H1112" t="str">
        <f>VLOOKUP(record[[#This Row],[ProcessSN]],表格2_7[],2,FALSE)</f>
        <v>30-4118-018-650</v>
      </c>
      <c r="I1112" t="str">
        <f>VLOOKUP(record[[#This Row],[ProcessSN]],表格2_7[],3,FALSE)</f>
        <v>#08</v>
      </c>
      <c r="J1112" t="s">
        <v>597</v>
      </c>
      <c r="K1112" s="195">
        <v>46139.505659722221</v>
      </c>
      <c r="L1112">
        <v>480</v>
      </c>
      <c r="M1112">
        <v>0</v>
      </c>
      <c r="N1112" s="98" t="str">
        <f>IF(record[[#This Row],[Memo]]="Browser:chrome os:android","平板報工",IF(record[[#This Row],[Memo]]=0,"委外",record[[#This Row],[Memo]]))</f>
        <v>委外</v>
      </c>
      <c r="P1112" t="s">
        <v>1698</v>
      </c>
      <c r="Q1112" t="s">
        <v>287</v>
      </c>
      <c r="R1112" t="str">
        <f>IFERROR(VLOOKUP(record[[#This Row],[PCUSTID]],廠商[],2,FALSE),"")</f>
        <v>泉盛</v>
      </c>
      <c r="S1112" t="str">
        <f>VLOOKUP(record[[#This Row],[employeeID]],員工[],2,FALSE)</f>
        <v>羅思潔</v>
      </c>
    </row>
    <row r="1113" spans="6:19" hidden="1" x14ac:dyDescent="0.25">
      <c r="F1113" t="s">
        <v>1918</v>
      </c>
      <c r="G1113" t="s">
        <v>422</v>
      </c>
      <c r="H1113" t="str">
        <f>VLOOKUP(record[[#This Row],[ProcessSN]],表格2_7[],2,FALSE)</f>
        <v>30-4118-018-600</v>
      </c>
      <c r="I1113" t="str">
        <f>VLOOKUP(record[[#This Row],[ProcessSN]],表格2_7[],3,FALSE)</f>
        <v>#08</v>
      </c>
      <c r="J1113" t="s">
        <v>597</v>
      </c>
      <c r="K1113" s="195">
        <v>46139.505543981482</v>
      </c>
      <c r="L1113">
        <v>307</v>
      </c>
      <c r="M1113">
        <v>0</v>
      </c>
      <c r="N1113" s="98" t="str">
        <f>IF(record[[#This Row],[Memo]]="Browser:chrome os:android","平板報工",IF(record[[#This Row],[Memo]]=0,"委外",record[[#This Row],[Memo]]))</f>
        <v>委外</v>
      </c>
      <c r="P1113" t="s">
        <v>1698</v>
      </c>
      <c r="Q1113" t="s">
        <v>287</v>
      </c>
      <c r="R1113" t="str">
        <f>IFERROR(VLOOKUP(record[[#This Row],[PCUSTID]],廠商[],2,FALSE),"")</f>
        <v>泉盛</v>
      </c>
      <c r="S1113" t="str">
        <f>VLOOKUP(record[[#This Row],[employeeID]],員工[],2,FALSE)</f>
        <v>羅思潔</v>
      </c>
    </row>
    <row r="1114" spans="6:19" hidden="1" x14ac:dyDescent="0.25">
      <c r="F1114" t="s">
        <v>1915</v>
      </c>
      <c r="G1114" t="s">
        <v>397</v>
      </c>
      <c r="H1114" t="str">
        <f>VLOOKUP(record[[#This Row],[ProcessSN]],表格2_7[],2,FALSE)</f>
        <v>30-4118-018-550</v>
      </c>
      <c r="I1114" t="str">
        <f>VLOOKUP(record[[#This Row],[ProcessSN]],表格2_7[],3,FALSE)</f>
        <v>#08</v>
      </c>
      <c r="J1114" t="s">
        <v>597</v>
      </c>
      <c r="K1114" s="195">
        <v>46139.50545138889</v>
      </c>
      <c r="L1114">
        <v>509</v>
      </c>
      <c r="M1114">
        <v>0</v>
      </c>
      <c r="N1114" s="98" t="str">
        <f>IF(record[[#This Row],[Memo]]="Browser:chrome os:android","平板報工",IF(record[[#This Row],[Memo]]=0,"委外",record[[#This Row],[Memo]]))</f>
        <v>委外</v>
      </c>
      <c r="P1114" t="s">
        <v>1698</v>
      </c>
      <c r="Q1114" t="s">
        <v>287</v>
      </c>
      <c r="R1114" t="str">
        <f>IFERROR(VLOOKUP(record[[#This Row],[PCUSTID]],廠商[],2,FALSE),"")</f>
        <v>泉盛</v>
      </c>
      <c r="S1114" t="str">
        <f>VLOOKUP(record[[#This Row],[employeeID]],員工[],2,FALSE)</f>
        <v>羅思潔</v>
      </c>
    </row>
    <row r="1115" spans="6:19" hidden="1" x14ac:dyDescent="0.25">
      <c r="F1115" t="s">
        <v>1919</v>
      </c>
      <c r="G1115" t="s">
        <v>437</v>
      </c>
      <c r="H1115" t="str">
        <f>VLOOKUP(record[[#This Row],[ProcessSN]],表格2_7[],2,FALSE)</f>
        <v>30-4118-018-650</v>
      </c>
      <c r="I1115" t="str">
        <f>VLOOKUP(record[[#This Row],[ProcessSN]],表格2_7[],3,FALSE)</f>
        <v>#08PICK</v>
      </c>
      <c r="J1115" t="s">
        <v>582</v>
      </c>
      <c r="K1115" s="195">
        <v>46139.502743055556</v>
      </c>
      <c r="L1115">
        <v>480</v>
      </c>
      <c r="M1115">
        <v>0</v>
      </c>
      <c r="N1115" s="98" t="str">
        <f>IF(record[[#This Row],[Memo]]="Browser:chrome os:android","平板報工",IF(record[[#This Row],[Memo]]=0,"委外",record[[#This Row],[Memo]]))</f>
        <v/>
      </c>
      <c r="O1115" t="s">
        <v>58</v>
      </c>
      <c r="P1115" t="s">
        <v>113</v>
      </c>
      <c r="Q1115" t="s">
        <v>58</v>
      </c>
      <c r="R1115" t="str">
        <f>IFERROR(VLOOKUP(record[[#This Row],[PCUSTID]],廠商[],2,FALSE),"")</f>
        <v/>
      </c>
      <c r="S1115" t="str">
        <f>VLOOKUP(record[[#This Row],[employeeID]],員工[],2,FALSE)</f>
        <v>王奕蓁</v>
      </c>
    </row>
    <row r="1116" spans="6:19" hidden="1" x14ac:dyDescent="0.25">
      <c r="F1116" t="s">
        <v>1918</v>
      </c>
      <c r="G1116" t="s">
        <v>421</v>
      </c>
      <c r="H1116" t="str">
        <f>VLOOKUP(record[[#This Row],[ProcessSN]],表格2_7[],2,FALSE)</f>
        <v>30-4118-018-600</v>
      </c>
      <c r="I1116" t="str">
        <f>VLOOKUP(record[[#This Row],[ProcessSN]],表格2_7[],3,FALSE)</f>
        <v>#08PICK</v>
      </c>
      <c r="J1116" t="s">
        <v>582</v>
      </c>
      <c r="K1116" s="195">
        <v>46139.502650462964</v>
      </c>
      <c r="L1116">
        <v>307</v>
      </c>
      <c r="M1116">
        <v>0</v>
      </c>
      <c r="N1116" s="98" t="str">
        <f>IF(record[[#This Row],[Memo]]="Browser:chrome os:android","平板報工",IF(record[[#This Row],[Memo]]=0,"委外",record[[#This Row],[Memo]]))</f>
        <v/>
      </c>
      <c r="O1116" t="s">
        <v>58</v>
      </c>
      <c r="P1116" t="s">
        <v>113</v>
      </c>
      <c r="Q1116" t="s">
        <v>58</v>
      </c>
      <c r="R1116" t="str">
        <f>IFERROR(VLOOKUP(record[[#This Row],[PCUSTID]],廠商[],2,FALSE),"")</f>
        <v/>
      </c>
      <c r="S1116" t="str">
        <f>VLOOKUP(record[[#This Row],[employeeID]],員工[],2,FALSE)</f>
        <v>王奕蓁</v>
      </c>
    </row>
    <row r="1117" spans="6:19" hidden="1" x14ac:dyDescent="0.25">
      <c r="F1117" t="s">
        <v>1915</v>
      </c>
      <c r="G1117" t="s">
        <v>396</v>
      </c>
      <c r="H1117" t="str">
        <f>VLOOKUP(record[[#This Row],[ProcessSN]],表格2_7[],2,FALSE)</f>
        <v>30-4118-018-550</v>
      </c>
      <c r="I1117" t="str">
        <f>VLOOKUP(record[[#This Row],[ProcessSN]],表格2_7[],3,FALSE)</f>
        <v>#08PICK</v>
      </c>
      <c r="J1117" t="s">
        <v>582</v>
      </c>
      <c r="K1117" s="195">
        <v>46139.502511574072</v>
      </c>
      <c r="L1117">
        <v>509</v>
      </c>
      <c r="M1117">
        <v>0</v>
      </c>
      <c r="N1117" s="98" t="str">
        <f>IF(record[[#This Row],[Memo]]="Browser:chrome os:android","平板報工",IF(record[[#This Row],[Memo]]=0,"委外",record[[#This Row],[Memo]]))</f>
        <v/>
      </c>
      <c r="O1117" t="s">
        <v>58</v>
      </c>
      <c r="P1117" t="s">
        <v>113</v>
      </c>
      <c r="Q1117" t="s">
        <v>58</v>
      </c>
      <c r="R1117" t="str">
        <f>IFERROR(VLOOKUP(record[[#This Row],[PCUSTID]],廠商[],2,FALSE),"")</f>
        <v/>
      </c>
      <c r="S1117" t="str">
        <f>VLOOKUP(record[[#This Row],[employeeID]],員工[],2,FALSE)</f>
        <v>王奕蓁</v>
      </c>
    </row>
    <row r="1118" spans="6:19" hidden="1" x14ac:dyDescent="0.25">
      <c r="F1118" t="s">
        <v>1859</v>
      </c>
      <c r="G1118" t="s">
        <v>453</v>
      </c>
      <c r="H1118" t="str">
        <f>VLOOKUP(record[[#This Row],[ProcessSN]],表格2_7[],2,FALSE)</f>
        <v>30-4118-018-6XX</v>
      </c>
      <c r="I1118" t="str">
        <f>VLOOKUP(record[[#This Row],[ProcessSN]],表格2_7[],3,FALSE)</f>
        <v>#07STOCK</v>
      </c>
      <c r="J1118" t="s">
        <v>592</v>
      </c>
      <c r="K1118" s="195">
        <v>46139.480613425927</v>
      </c>
      <c r="L1118">
        <v>331</v>
      </c>
      <c r="M1118">
        <v>0</v>
      </c>
      <c r="N1118" s="98" t="str">
        <f>IF(record[[#This Row],[Memo]]="Browser:chrome os:android","平板報工",IF(record[[#This Row],[Memo]]=0,"委外",record[[#This Row],[Memo]]))</f>
        <v/>
      </c>
      <c r="O1118" t="s">
        <v>58</v>
      </c>
      <c r="P1118" t="s">
        <v>113</v>
      </c>
      <c r="Q1118" t="s">
        <v>58</v>
      </c>
      <c r="R1118" t="str">
        <f>IFERROR(VLOOKUP(record[[#This Row],[PCUSTID]],廠商[],2,FALSE),"")</f>
        <v/>
      </c>
      <c r="S1118" t="str">
        <f>VLOOKUP(record[[#This Row],[employeeID]],員工[],2,FALSE)</f>
        <v>王奕蓁</v>
      </c>
    </row>
    <row r="1119" spans="6:19" hidden="1" x14ac:dyDescent="0.25">
      <c r="F1119" t="s">
        <v>1822</v>
      </c>
      <c r="G1119" t="s">
        <v>453</v>
      </c>
      <c r="H1119" t="str">
        <f>VLOOKUP(record[[#This Row],[ProcessSN]],表格2_7[],2,FALSE)</f>
        <v>30-4118-018-6XX</v>
      </c>
      <c r="I1119" t="str">
        <f>VLOOKUP(record[[#This Row],[ProcessSN]],表格2_7[],3,FALSE)</f>
        <v>#07STOCK</v>
      </c>
      <c r="J1119" t="s">
        <v>592</v>
      </c>
      <c r="K1119" s="195">
        <v>46139.480486111112</v>
      </c>
      <c r="L1119">
        <v>454</v>
      </c>
      <c r="M1119">
        <v>0</v>
      </c>
      <c r="N1119" s="98" t="str">
        <f>IF(record[[#This Row],[Memo]]="Browser:chrome os:android","平板報工",IF(record[[#This Row],[Memo]]=0,"委外",record[[#This Row],[Memo]]))</f>
        <v/>
      </c>
      <c r="O1119" t="s">
        <v>58</v>
      </c>
      <c r="P1119" t="s">
        <v>113</v>
      </c>
      <c r="Q1119" t="s">
        <v>58</v>
      </c>
      <c r="R1119" t="str">
        <f>IFERROR(VLOOKUP(record[[#This Row],[PCUSTID]],廠商[],2,FALSE),"")</f>
        <v/>
      </c>
      <c r="S1119" t="str">
        <f>VLOOKUP(record[[#This Row],[employeeID]],員工[],2,FALSE)</f>
        <v>王奕蓁</v>
      </c>
    </row>
    <row r="1120" spans="6:19" hidden="1" x14ac:dyDescent="0.25">
      <c r="F1120" t="s">
        <v>1815</v>
      </c>
      <c r="G1120" t="s">
        <v>453</v>
      </c>
      <c r="H1120" t="str">
        <f>VLOOKUP(record[[#This Row],[ProcessSN]],表格2_7[],2,FALSE)</f>
        <v>30-4118-018-6XX</v>
      </c>
      <c r="I1120" t="str">
        <f>VLOOKUP(record[[#This Row],[ProcessSN]],表格2_7[],3,FALSE)</f>
        <v>#07STOCK</v>
      </c>
      <c r="J1120" t="s">
        <v>592</v>
      </c>
      <c r="K1120" s="195">
        <v>46139.480347222219</v>
      </c>
      <c r="L1120">
        <v>2</v>
      </c>
      <c r="M1120">
        <v>0</v>
      </c>
      <c r="N1120" s="98" t="str">
        <f>IF(record[[#This Row],[Memo]]="Browser:chrome os:android","平板報工",IF(record[[#This Row],[Memo]]=0,"委外",record[[#This Row],[Memo]]))</f>
        <v/>
      </c>
      <c r="O1120" t="s">
        <v>58</v>
      </c>
      <c r="P1120" t="s">
        <v>113</v>
      </c>
      <c r="Q1120" t="s">
        <v>58</v>
      </c>
      <c r="R1120" t="str">
        <f>IFERROR(VLOOKUP(record[[#This Row],[PCUSTID]],廠商[],2,FALSE),"")</f>
        <v/>
      </c>
      <c r="S1120" t="str">
        <f>VLOOKUP(record[[#This Row],[employeeID]],員工[],2,FALSE)</f>
        <v>王奕蓁</v>
      </c>
    </row>
    <row r="1121" spans="6:19" hidden="1" x14ac:dyDescent="0.25">
      <c r="F1121" t="s">
        <v>1850</v>
      </c>
      <c r="G1121" t="s">
        <v>419</v>
      </c>
      <c r="H1121" t="str">
        <f>VLOOKUP(record[[#This Row],[ProcessSN]],表格2_7[],2,FALSE)</f>
        <v>30-4118-018-5XX</v>
      </c>
      <c r="I1121" t="str">
        <f>VLOOKUP(record[[#This Row],[ProcessSN]],表格2_7[],3,FALSE)</f>
        <v>#07QC</v>
      </c>
      <c r="J1121" t="s">
        <v>589</v>
      </c>
      <c r="K1121" s="195">
        <v>46139.463703703703</v>
      </c>
      <c r="L1121">
        <v>0</v>
      </c>
      <c r="M1121">
        <v>3</v>
      </c>
      <c r="N1121" s="98" t="str">
        <f>IF(record[[#This Row],[Memo]]="Browser:chrome os:android","平板報工",IF(record[[#This Row],[Memo]]=0,"委外",record[[#This Row],[Memo]]))</f>
        <v/>
      </c>
      <c r="O1121" t="s">
        <v>58</v>
      </c>
      <c r="P1121" t="s">
        <v>141</v>
      </c>
      <c r="Q1121" t="s">
        <v>58</v>
      </c>
      <c r="R1121" t="str">
        <f>IFERROR(VLOOKUP(record[[#This Row],[PCUSTID]],廠商[],2,FALSE),"")</f>
        <v/>
      </c>
      <c r="S1121" t="str">
        <f>VLOOKUP(record[[#This Row],[employeeID]],員工[],2,FALSE)</f>
        <v>蔣梅</v>
      </c>
    </row>
    <row r="1122" spans="6:19" hidden="1" x14ac:dyDescent="0.25">
      <c r="F1122" t="s">
        <v>1850</v>
      </c>
      <c r="G1122" t="s">
        <v>419</v>
      </c>
      <c r="H1122" t="str">
        <f>VLOOKUP(record[[#This Row],[ProcessSN]],表格2_7[],2,FALSE)</f>
        <v>30-4118-018-5XX</v>
      </c>
      <c r="I1122" t="str">
        <f>VLOOKUP(record[[#This Row],[ProcessSN]],表格2_7[],3,FALSE)</f>
        <v>#07QC</v>
      </c>
      <c r="J1122" t="s">
        <v>589</v>
      </c>
      <c r="K1122" s="195">
        <v>46139.463530092595</v>
      </c>
      <c r="L1122">
        <v>329</v>
      </c>
      <c r="M1122">
        <v>0</v>
      </c>
      <c r="N1122" s="98" t="str">
        <f>IF(record[[#This Row],[Memo]]="Browser:chrome os:android","平板報工",IF(record[[#This Row],[Memo]]=0,"委外",record[[#This Row],[Memo]]))</f>
        <v/>
      </c>
      <c r="O1122" t="s">
        <v>58</v>
      </c>
      <c r="P1122" t="s">
        <v>141</v>
      </c>
      <c r="Q1122" t="s">
        <v>58</v>
      </c>
      <c r="R1122" t="str">
        <f>IFERROR(VLOOKUP(record[[#This Row],[PCUSTID]],廠商[],2,FALSE),"")</f>
        <v/>
      </c>
      <c r="S1122" t="str">
        <f>VLOOKUP(record[[#This Row],[employeeID]],員工[],2,FALSE)</f>
        <v>蔣梅</v>
      </c>
    </row>
    <row r="1123" spans="6:19" hidden="1" x14ac:dyDescent="0.25">
      <c r="F1123" t="s">
        <v>1803</v>
      </c>
      <c r="G1123" t="s">
        <v>419</v>
      </c>
      <c r="H1123" t="str">
        <f>VLOOKUP(record[[#This Row],[ProcessSN]],表格2_7[],2,FALSE)</f>
        <v>30-4118-018-5XX</v>
      </c>
      <c r="I1123" t="str">
        <f>VLOOKUP(record[[#This Row],[ProcessSN]],表格2_7[],3,FALSE)</f>
        <v>#07QC</v>
      </c>
      <c r="J1123" t="s">
        <v>589</v>
      </c>
      <c r="K1123" s="195">
        <v>46139.463194444441</v>
      </c>
      <c r="L1123">
        <v>1</v>
      </c>
      <c r="M1123">
        <v>0</v>
      </c>
      <c r="N1123" s="98" t="str">
        <f>IF(record[[#This Row],[Memo]]="Browser:chrome os:android","平板報工",IF(record[[#This Row],[Memo]]=0,"委外",record[[#This Row],[Memo]]))</f>
        <v>覆回</v>
      </c>
      <c r="O1123" t="s">
        <v>682</v>
      </c>
      <c r="P1123" t="s">
        <v>141</v>
      </c>
      <c r="Q1123" t="s">
        <v>58</v>
      </c>
      <c r="R1123" t="str">
        <f>IFERROR(VLOOKUP(record[[#This Row],[PCUSTID]],廠商[],2,FALSE),"")</f>
        <v/>
      </c>
      <c r="S1123" t="str">
        <f>VLOOKUP(record[[#This Row],[employeeID]],員工[],2,FALSE)</f>
        <v>蔣梅</v>
      </c>
    </row>
    <row r="1124" spans="6:19" hidden="1" x14ac:dyDescent="0.25">
      <c r="F1124" t="s">
        <v>1815</v>
      </c>
      <c r="G1124" t="s">
        <v>452</v>
      </c>
      <c r="H1124" t="str">
        <f>VLOOKUP(record[[#This Row],[ProcessSN]],表格2_7[],2,FALSE)</f>
        <v>30-4118-018-6XX</v>
      </c>
      <c r="I1124" t="str">
        <f>VLOOKUP(record[[#This Row],[ProcessSN]],表格2_7[],3,FALSE)</f>
        <v>#07QC</v>
      </c>
      <c r="J1124" t="s">
        <v>589</v>
      </c>
      <c r="K1124" s="195">
        <v>46139.460914351854</v>
      </c>
      <c r="L1124">
        <v>2</v>
      </c>
      <c r="M1124">
        <v>0</v>
      </c>
      <c r="N1124" s="98" t="str">
        <f>IF(record[[#This Row],[Memo]]="Browser:chrome os:android","平板報工",IF(record[[#This Row],[Memo]]=0,"委外",record[[#This Row],[Memo]]))</f>
        <v>覆回</v>
      </c>
      <c r="O1124" t="s">
        <v>682</v>
      </c>
      <c r="P1124" t="s">
        <v>141</v>
      </c>
      <c r="Q1124" t="s">
        <v>58</v>
      </c>
      <c r="R1124" t="str">
        <f>IFERROR(VLOOKUP(record[[#This Row],[PCUSTID]],廠商[],2,FALSE),"")</f>
        <v/>
      </c>
      <c r="S1124" t="str">
        <f>VLOOKUP(record[[#This Row],[employeeID]],員工[],2,FALSE)</f>
        <v>蔣梅</v>
      </c>
    </row>
    <row r="1125" spans="6:19" hidden="1" x14ac:dyDescent="0.25">
      <c r="F1125" t="s">
        <v>1874</v>
      </c>
      <c r="G1125" t="s">
        <v>370</v>
      </c>
      <c r="H1125" t="str">
        <f>VLOOKUP(record[[#This Row],[ProcessSN]],表格2_7[],2,FALSE)</f>
        <v>30-4118-018-470</v>
      </c>
      <c r="I1125" t="str">
        <f>VLOOKUP(record[[#This Row],[ProcessSN]],表格2_7[],3,FALSE)</f>
        <v>#100SHIP</v>
      </c>
      <c r="J1125" t="s">
        <v>600</v>
      </c>
      <c r="K1125" s="195">
        <v>46139.407916666663</v>
      </c>
      <c r="L1125">
        <v>200</v>
      </c>
      <c r="M1125">
        <v>0</v>
      </c>
      <c r="N1125" s="98" t="str">
        <f>IF(record[[#This Row],[Memo]]="Browser:chrome os:android","平板報工",IF(record[[#This Row],[Memo]]=0,"委外",record[[#This Row],[Memo]]))</f>
        <v/>
      </c>
      <c r="O1125" t="s">
        <v>58</v>
      </c>
      <c r="P1125" t="s">
        <v>886</v>
      </c>
      <c r="Q1125" t="s">
        <v>58</v>
      </c>
      <c r="R1125" t="str">
        <f>IFERROR(VLOOKUP(record[[#This Row],[PCUSTID]],廠商[],2,FALSE),"")</f>
        <v/>
      </c>
      <c r="S1125" t="str">
        <f>VLOOKUP(record[[#This Row],[employeeID]],員工[],2,FALSE)</f>
        <v>謝蓁薰</v>
      </c>
    </row>
    <row r="1126" spans="6:19" hidden="1" x14ac:dyDescent="0.25">
      <c r="F1126" t="s">
        <v>1874</v>
      </c>
      <c r="G1126" t="s">
        <v>369</v>
      </c>
      <c r="H1126" t="str">
        <f>VLOOKUP(record[[#This Row],[ProcessSN]],表格2_7[],2,FALSE)</f>
        <v>30-4118-018-470</v>
      </c>
      <c r="I1126" t="str">
        <f>VLOOKUP(record[[#This Row],[ProcessSN]],表格2_7[],3,FALSE)</f>
        <v>#100STOCK</v>
      </c>
      <c r="J1126" t="s">
        <v>592</v>
      </c>
      <c r="K1126" s="195">
        <v>46139.407789351855</v>
      </c>
      <c r="L1126">
        <v>200</v>
      </c>
      <c r="M1126">
        <v>0</v>
      </c>
      <c r="N1126" s="98" t="str">
        <f>IF(record[[#This Row],[Memo]]="Browser:chrome os:android","平板報工",IF(record[[#This Row],[Memo]]=0,"委外",record[[#This Row],[Memo]]))</f>
        <v/>
      </c>
      <c r="O1126" t="s">
        <v>58</v>
      </c>
      <c r="P1126" t="s">
        <v>886</v>
      </c>
      <c r="Q1126" t="s">
        <v>58</v>
      </c>
      <c r="R1126" t="str">
        <f>IFERROR(VLOOKUP(record[[#This Row],[PCUSTID]],廠商[],2,FALSE),"")</f>
        <v/>
      </c>
      <c r="S1126" t="str">
        <f>VLOOKUP(record[[#This Row],[employeeID]],員工[],2,FALSE)</f>
        <v>謝蓁薰</v>
      </c>
    </row>
    <row r="1127" spans="6:19" hidden="1" x14ac:dyDescent="0.25">
      <c r="F1127" t="s">
        <v>1818</v>
      </c>
      <c r="G1127" t="s">
        <v>469</v>
      </c>
      <c r="H1127" t="str">
        <f>VLOOKUP(record[[#This Row],[ProcessSN]],表格2_7[],2,FALSE)</f>
        <v>30-4118-018-XXX</v>
      </c>
      <c r="I1127" t="str">
        <f>VLOOKUP(record[[#This Row],[ProcessSN]],表格2_7[],3,FALSE)</f>
        <v>#02RCV</v>
      </c>
      <c r="J1127" t="s">
        <v>591</v>
      </c>
      <c r="K1127" s="195">
        <v>46139.406030092592</v>
      </c>
      <c r="L1127">
        <v>0</v>
      </c>
      <c r="M1127">
        <v>19</v>
      </c>
      <c r="N1127" s="98" t="str">
        <f>IF(record[[#This Row],[Memo]]="Browser:chrome os:android","平板報工",IF(record[[#This Row],[Memo]]=0,"委外",record[[#This Row],[Memo]]))</f>
        <v/>
      </c>
      <c r="O1127" t="s">
        <v>58</v>
      </c>
      <c r="P1127" t="s">
        <v>113</v>
      </c>
      <c r="Q1127" t="s">
        <v>58</v>
      </c>
      <c r="R1127" t="str">
        <f>IFERROR(VLOOKUP(record[[#This Row],[PCUSTID]],廠商[],2,FALSE),"")</f>
        <v/>
      </c>
      <c r="S1127" t="str">
        <f>VLOOKUP(record[[#This Row],[employeeID]],員工[],2,FALSE)</f>
        <v>王奕蓁</v>
      </c>
    </row>
    <row r="1128" spans="6:19" hidden="1" x14ac:dyDescent="0.25">
      <c r="F1128" t="s">
        <v>1850</v>
      </c>
      <c r="G1128" t="s">
        <v>418</v>
      </c>
      <c r="H1128" t="str">
        <f>VLOOKUP(record[[#This Row],[ProcessSN]],表格2_7[],2,FALSE)</f>
        <v>30-4118-018-5XX</v>
      </c>
      <c r="I1128" t="str">
        <f>VLOOKUP(record[[#This Row],[ProcessSN]],表格2_7[],3,FALSE)</f>
        <v>#07</v>
      </c>
      <c r="J1128" t="s">
        <v>588</v>
      </c>
      <c r="K1128" s="195">
        <v>46139.403182870374</v>
      </c>
      <c r="L1128">
        <v>39</v>
      </c>
      <c r="M1128">
        <v>0</v>
      </c>
      <c r="N1128" s="98" t="str">
        <f>IF(record[[#This Row],[Memo]]="Browser:chrome os:android","平板報工",IF(record[[#This Row],[Memo]]=0,"委外",record[[#This Row],[Memo]]))</f>
        <v>平板報工</v>
      </c>
      <c r="O1128" t="s">
        <v>643</v>
      </c>
      <c r="P1128" t="s">
        <v>785</v>
      </c>
      <c r="Q1128" t="s">
        <v>644</v>
      </c>
      <c r="R1128" t="str">
        <f>IFERROR(VLOOKUP(record[[#This Row],[PCUSTID]],廠商[],2,FALSE),"")</f>
        <v/>
      </c>
      <c r="S1128" t="str">
        <f>VLOOKUP(record[[#This Row],[employeeID]],員工[],2,FALSE)</f>
        <v>謝刻光</v>
      </c>
    </row>
    <row r="1129" spans="6:19" hidden="1" x14ac:dyDescent="0.25">
      <c r="F1129" t="s">
        <v>1818</v>
      </c>
      <c r="G1129" t="s">
        <v>469</v>
      </c>
      <c r="H1129" t="str">
        <f>VLOOKUP(record[[#This Row],[ProcessSN]],表格2_7[],2,FALSE)</f>
        <v>30-4118-018-XXX</v>
      </c>
      <c r="I1129" t="str">
        <f>VLOOKUP(record[[#This Row],[ProcessSN]],表格2_7[],3,FALSE)</f>
        <v>#02RCV</v>
      </c>
      <c r="J1129" t="s">
        <v>591</v>
      </c>
      <c r="K1129" s="195">
        <v>46139.402291666665</v>
      </c>
      <c r="L1129">
        <v>3696</v>
      </c>
      <c r="M1129">
        <v>0</v>
      </c>
      <c r="N1129" s="98" t="str">
        <f>IF(record[[#This Row],[Memo]]="Browser:chrome os:android","平板報工",IF(record[[#This Row],[Memo]]=0,"委外",record[[#This Row],[Memo]]))</f>
        <v/>
      </c>
      <c r="O1129" t="s">
        <v>58</v>
      </c>
      <c r="P1129" t="s">
        <v>113</v>
      </c>
      <c r="Q1129" t="s">
        <v>58</v>
      </c>
      <c r="R1129" t="str">
        <f>IFERROR(VLOOKUP(record[[#This Row],[PCUSTID]],廠商[],2,FALSE),"")</f>
        <v/>
      </c>
      <c r="S1129" t="str">
        <f>VLOOKUP(record[[#This Row],[employeeID]],員工[],2,FALSE)</f>
        <v>王奕蓁</v>
      </c>
    </row>
    <row r="1130" spans="6:19" hidden="1" x14ac:dyDescent="0.25">
      <c r="F1130" t="s">
        <v>1850</v>
      </c>
      <c r="G1130" t="s">
        <v>419</v>
      </c>
      <c r="H1130" t="str">
        <f>VLOOKUP(record[[#This Row],[ProcessSN]],表格2_7[],2,FALSE)</f>
        <v>30-4118-018-5XX</v>
      </c>
      <c r="I1130" t="str">
        <f>VLOOKUP(record[[#This Row],[ProcessSN]],表格2_7[],3,FALSE)</f>
        <v>#07QC</v>
      </c>
      <c r="J1130" t="s">
        <v>589</v>
      </c>
      <c r="K1130" s="195">
        <v>46139.395405092589</v>
      </c>
      <c r="L1130">
        <v>165</v>
      </c>
      <c r="M1130">
        <v>0</v>
      </c>
      <c r="N1130" s="98" t="str">
        <f>IF(record[[#This Row],[Memo]]="Browser:chrome os:android","平板報工",IF(record[[#This Row],[Memo]]=0,"委外",record[[#This Row],[Memo]]))</f>
        <v>平板報工</v>
      </c>
      <c r="O1130" t="s">
        <v>643</v>
      </c>
      <c r="P1130" t="s">
        <v>99</v>
      </c>
      <c r="Q1130" t="s">
        <v>644</v>
      </c>
      <c r="R1130" t="str">
        <f>IFERROR(VLOOKUP(record[[#This Row],[PCUSTID]],廠商[],2,FALSE),"")</f>
        <v/>
      </c>
      <c r="S1130" t="str">
        <f>VLOOKUP(record[[#This Row],[employeeID]],員工[],2,FALSE)</f>
        <v>阮氏河</v>
      </c>
    </row>
    <row r="1131" spans="6:19" hidden="1" x14ac:dyDescent="0.25">
      <c r="F1131" t="s">
        <v>1850</v>
      </c>
      <c r="G1131" t="s">
        <v>419</v>
      </c>
      <c r="H1131" t="str">
        <f>VLOOKUP(record[[#This Row],[ProcessSN]],表格2_7[],2,FALSE)</f>
        <v>30-4118-018-5XX</v>
      </c>
      <c r="I1131" t="str">
        <f>VLOOKUP(record[[#This Row],[ProcessSN]],表格2_7[],3,FALSE)</f>
        <v>#07QC</v>
      </c>
      <c r="J1131" t="s">
        <v>589</v>
      </c>
      <c r="K1131" s="195">
        <v>46139.395231481481</v>
      </c>
      <c r="L1131">
        <v>0</v>
      </c>
      <c r="M1131">
        <v>2</v>
      </c>
      <c r="N1131" s="98" t="str">
        <f>IF(record[[#This Row],[Memo]]="Browser:chrome os:android","平板報工",IF(record[[#This Row],[Memo]]=0,"委外",record[[#This Row],[Memo]]))</f>
        <v>平板報工</v>
      </c>
      <c r="O1131" t="s">
        <v>643</v>
      </c>
      <c r="P1131" t="s">
        <v>99</v>
      </c>
      <c r="Q1131" t="s">
        <v>644</v>
      </c>
      <c r="R1131" t="str">
        <f>IFERROR(VLOOKUP(record[[#This Row],[PCUSTID]],廠商[],2,FALSE),"")</f>
        <v/>
      </c>
      <c r="S1131" t="str">
        <f>VLOOKUP(record[[#This Row],[employeeID]],員工[],2,FALSE)</f>
        <v>阮氏河</v>
      </c>
    </row>
    <row r="1132" spans="6:19" hidden="1" x14ac:dyDescent="0.25">
      <c r="F1132" t="s">
        <v>1818</v>
      </c>
      <c r="G1132" t="s">
        <v>468</v>
      </c>
      <c r="H1132" t="str">
        <f>VLOOKUP(record[[#This Row],[ProcessSN]],表格2_7[],2,FALSE)</f>
        <v>30-4118-018-XXX</v>
      </c>
      <c r="I1132" t="str">
        <f>VLOOKUP(record[[#This Row],[ProcessSN]],表格2_7[],3,FALSE)</f>
        <v>#02</v>
      </c>
      <c r="J1132" t="s">
        <v>590</v>
      </c>
      <c r="K1132" s="195">
        <v>46139.391747685186</v>
      </c>
      <c r="L1132">
        <v>31</v>
      </c>
      <c r="M1132">
        <v>0</v>
      </c>
      <c r="N1132" s="98" t="str">
        <f>IF(record[[#This Row],[Memo]]="Browser:chrome os:android","平板報工",IF(record[[#This Row],[Memo]]=0,"委外",record[[#This Row],[Memo]]))</f>
        <v>委外</v>
      </c>
      <c r="P1132" t="s">
        <v>1698</v>
      </c>
      <c r="Q1132" t="s">
        <v>216</v>
      </c>
      <c r="R1132" t="str">
        <f>IFERROR(VLOOKUP(record[[#This Row],[PCUSTID]],廠商[],2,FALSE),"")</f>
        <v>俊杰</v>
      </c>
      <c r="S1132" t="str">
        <f>VLOOKUP(record[[#This Row],[employeeID]],員工[],2,FALSE)</f>
        <v>羅思潔</v>
      </c>
    </row>
    <row r="1133" spans="6:19" hidden="1" x14ac:dyDescent="0.25">
      <c r="F1133" t="s">
        <v>1850</v>
      </c>
      <c r="G1133" t="s">
        <v>417</v>
      </c>
      <c r="H1133" t="str">
        <f>VLOOKUP(record[[#This Row],[ProcessSN]],表格2_7[],2,FALSE)</f>
        <v>30-4118-018-5XX</v>
      </c>
      <c r="I1133" t="str">
        <f>VLOOKUP(record[[#This Row],[ProcessSN]],表格2_7[],3,FALSE)</f>
        <v>#06</v>
      </c>
      <c r="J1133" t="s">
        <v>593</v>
      </c>
      <c r="K1133" s="195">
        <v>46138.320798611108</v>
      </c>
      <c r="L1133">
        <v>189</v>
      </c>
      <c r="M1133">
        <v>0</v>
      </c>
      <c r="N1133" s="98" t="str">
        <f>IF(record[[#This Row],[Memo]]="Browser:chrome os:android","平板報工",IF(record[[#This Row],[Memo]]=0,"委外",record[[#This Row],[Memo]]))</f>
        <v/>
      </c>
      <c r="O1133" t="s">
        <v>58</v>
      </c>
      <c r="P1133" t="s">
        <v>180</v>
      </c>
      <c r="Q1133" t="s">
        <v>58</v>
      </c>
      <c r="R1133" t="str">
        <f>IFERROR(VLOOKUP(record[[#This Row],[PCUSTID]],廠商[],2,FALSE),"")</f>
        <v/>
      </c>
      <c r="S1133" t="str">
        <f>VLOOKUP(record[[#This Row],[employeeID]],員工[],2,FALSE)</f>
        <v>黎功江</v>
      </c>
    </row>
    <row r="1134" spans="6:19" hidden="1" x14ac:dyDescent="0.25">
      <c r="F1134" t="s">
        <v>1850</v>
      </c>
      <c r="G1134" t="s">
        <v>416</v>
      </c>
      <c r="H1134" t="str">
        <f>VLOOKUP(record[[#This Row],[ProcessSN]],表格2_7[],2,FALSE)</f>
        <v>30-4118-018-5XX</v>
      </c>
      <c r="I1134" t="str">
        <f>VLOOKUP(record[[#This Row],[ProcessSN]],表格2_7[],3,FALSE)</f>
        <v>#05</v>
      </c>
      <c r="J1134" t="s">
        <v>588</v>
      </c>
      <c r="K1134" s="195">
        <v>46138.320370370369</v>
      </c>
      <c r="L1134">
        <v>189</v>
      </c>
      <c r="M1134">
        <v>0</v>
      </c>
      <c r="N1134" s="98" t="str">
        <f>IF(record[[#This Row],[Memo]]="Browser:chrome os:android","平板報工",IF(record[[#This Row],[Memo]]=0,"委外",record[[#This Row],[Memo]]))</f>
        <v/>
      </c>
      <c r="O1134" t="s">
        <v>58</v>
      </c>
      <c r="P1134" t="s">
        <v>806</v>
      </c>
      <c r="Q1134" t="s">
        <v>58</v>
      </c>
      <c r="R1134" t="str">
        <f>IFERROR(VLOOKUP(record[[#This Row],[PCUSTID]],廠商[],2,FALSE),"")</f>
        <v/>
      </c>
      <c r="S1134" t="str">
        <f>VLOOKUP(record[[#This Row],[employeeID]],員工[],2,FALSE)</f>
        <v>方思緯</v>
      </c>
    </row>
    <row r="1135" spans="6:19" hidden="1" x14ac:dyDescent="0.25">
      <c r="F1135" t="s">
        <v>1850</v>
      </c>
      <c r="G1135" t="s">
        <v>415</v>
      </c>
      <c r="H1135" t="str">
        <f>VLOOKUP(record[[#This Row],[ProcessSN]],表格2_7[],2,FALSE)</f>
        <v>30-4118-018-5XX</v>
      </c>
      <c r="I1135" t="str">
        <f>VLOOKUP(record[[#This Row],[ProcessSN]],表格2_7[],3,FALSE)</f>
        <v>#04</v>
      </c>
      <c r="J1135" t="s">
        <v>588</v>
      </c>
      <c r="K1135" s="195">
        <v>46138.318912037037</v>
      </c>
      <c r="L1135">
        <v>157</v>
      </c>
      <c r="M1135">
        <v>0</v>
      </c>
      <c r="N1135" s="98" t="str">
        <f>IF(record[[#This Row],[Memo]]="Browser:chrome os:android","平板報工",IF(record[[#This Row],[Memo]]=0,"委外",record[[#This Row],[Memo]]))</f>
        <v/>
      </c>
      <c r="O1135" t="s">
        <v>58</v>
      </c>
      <c r="P1135" t="s">
        <v>691</v>
      </c>
      <c r="Q1135" t="s">
        <v>58</v>
      </c>
      <c r="R1135" t="str">
        <f>IFERROR(VLOOKUP(record[[#This Row],[PCUSTID]],廠商[],2,FALSE),"")</f>
        <v/>
      </c>
      <c r="S1135" t="str">
        <f>VLOOKUP(record[[#This Row],[employeeID]],員工[],2,FALSE)</f>
        <v>武氏賢</v>
      </c>
    </row>
    <row r="1136" spans="6:19" hidden="1" x14ac:dyDescent="0.25">
      <c r="F1136" t="s">
        <v>1850</v>
      </c>
      <c r="G1136" t="s">
        <v>417</v>
      </c>
      <c r="H1136" t="str">
        <f>VLOOKUP(record[[#This Row],[ProcessSN]],表格2_7[],2,FALSE)</f>
        <v>30-4118-018-5XX</v>
      </c>
      <c r="I1136" t="str">
        <f>VLOOKUP(record[[#This Row],[ProcessSN]],表格2_7[],3,FALSE)</f>
        <v>#06</v>
      </c>
      <c r="J1136" t="s">
        <v>593</v>
      </c>
      <c r="K1136" s="195">
        <v>46137.972384259258</v>
      </c>
      <c r="L1136">
        <v>266</v>
      </c>
      <c r="M1136">
        <v>0</v>
      </c>
      <c r="N1136" s="98" t="str">
        <f>IF(record[[#This Row],[Memo]]="Browser:chrome os:android","平板報工",IF(record[[#This Row],[Memo]]=0,"委外",record[[#This Row],[Memo]]))</f>
        <v/>
      </c>
      <c r="O1136" t="s">
        <v>58</v>
      </c>
      <c r="P1136" t="s">
        <v>127</v>
      </c>
      <c r="Q1136" t="s">
        <v>58</v>
      </c>
      <c r="R1136" t="str">
        <f>IFERROR(VLOOKUP(record[[#This Row],[PCUSTID]],廠商[],2,FALSE),"")</f>
        <v/>
      </c>
      <c r="S1136" t="str">
        <f>VLOOKUP(record[[#This Row],[employeeID]],員工[],2,FALSE)</f>
        <v>潘雪梅</v>
      </c>
    </row>
    <row r="1137" spans="6:19" hidden="1" x14ac:dyDescent="0.25">
      <c r="F1137" t="s">
        <v>1850</v>
      </c>
      <c r="G1137" t="s">
        <v>416</v>
      </c>
      <c r="H1137" t="str">
        <f>VLOOKUP(record[[#This Row],[ProcessSN]],表格2_7[],2,FALSE)</f>
        <v>30-4118-018-5XX</v>
      </c>
      <c r="I1137" t="str">
        <f>VLOOKUP(record[[#This Row],[ProcessSN]],表格2_7[],3,FALSE)</f>
        <v>#05</v>
      </c>
      <c r="J1137" t="s">
        <v>588</v>
      </c>
      <c r="K1137" s="195">
        <v>46137.971990740742</v>
      </c>
      <c r="L1137">
        <v>266</v>
      </c>
      <c r="M1137">
        <v>0</v>
      </c>
      <c r="N1137" s="98" t="str">
        <f>IF(record[[#This Row],[Memo]]="Browser:chrome os:android","平板報工",IF(record[[#This Row],[Memo]]=0,"委外",record[[#This Row],[Memo]]))</f>
        <v/>
      </c>
      <c r="O1137" t="s">
        <v>58</v>
      </c>
      <c r="P1137" t="s">
        <v>1098</v>
      </c>
      <c r="Q1137" t="s">
        <v>58</v>
      </c>
      <c r="R1137" t="str">
        <f>IFERROR(VLOOKUP(record[[#This Row],[PCUSTID]],廠商[],2,FALSE),"")</f>
        <v/>
      </c>
      <c r="S1137" t="str">
        <f>VLOOKUP(record[[#This Row],[employeeID]],員工[],2,FALSE)</f>
        <v>阮氏芳英(英)</v>
      </c>
    </row>
    <row r="1138" spans="6:19" hidden="1" x14ac:dyDescent="0.25">
      <c r="F1138" t="s">
        <v>1850</v>
      </c>
      <c r="G1138" t="s">
        <v>415</v>
      </c>
      <c r="H1138" t="str">
        <f>VLOOKUP(record[[#This Row],[ProcessSN]],表格2_7[],2,FALSE)</f>
        <v>30-4118-018-5XX</v>
      </c>
      <c r="I1138" t="str">
        <f>VLOOKUP(record[[#This Row],[ProcessSN]],表格2_7[],3,FALSE)</f>
        <v>#04</v>
      </c>
      <c r="J1138" t="s">
        <v>588</v>
      </c>
      <c r="K1138" s="195">
        <v>46137.971122685187</v>
      </c>
      <c r="L1138">
        <v>272</v>
      </c>
      <c r="M1138">
        <v>1</v>
      </c>
      <c r="N1138" s="98" t="str">
        <f>IF(record[[#This Row],[Memo]]="Browser:chrome os:android","平板報工",IF(record[[#This Row],[Memo]]=0,"委外",record[[#This Row],[Memo]]))</f>
        <v/>
      </c>
      <c r="O1138" t="s">
        <v>58</v>
      </c>
      <c r="P1138" t="s">
        <v>135</v>
      </c>
      <c r="Q1138" t="s">
        <v>58</v>
      </c>
      <c r="R1138" t="str">
        <f>IFERROR(VLOOKUP(record[[#This Row],[PCUSTID]],廠商[],2,FALSE),"")</f>
        <v/>
      </c>
      <c r="S1138" t="str">
        <f>VLOOKUP(record[[#This Row],[employeeID]],員工[],2,FALSE)</f>
        <v>阮士文</v>
      </c>
    </row>
    <row r="1139" spans="6:19" hidden="1" x14ac:dyDescent="0.25">
      <c r="F1139" t="s">
        <v>1850</v>
      </c>
      <c r="G1139" t="s">
        <v>418</v>
      </c>
      <c r="H1139" t="str">
        <f>VLOOKUP(record[[#This Row],[ProcessSN]],表格2_7[],2,FALSE)</f>
        <v>30-4118-018-5XX</v>
      </c>
      <c r="I1139" t="str">
        <f>VLOOKUP(record[[#This Row],[ProcessSN]],表格2_7[],3,FALSE)</f>
        <v>#07</v>
      </c>
      <c r="J1139" t="s">
        <v>588</v>
      </c>
      <c r="K1139" s="195">
        <v>46137.969340277778</v>
      </c>
      <c r="L1139">
        <v>230</v>
      </c>
      <c r="M1139">
        <v>3</v>
      </c>
      <c r="N1139" s="98" t="str">
        <f>IF(record[[#This Row],[Memo]]="Browser:chrome os:android","平板報工",IF(record[[#This Row],[Memo]]=0,"委外",record[[#This Row],[Memo]]))</f>
        <v/>
      </c>
      <c r="O1139" t="s">
        <v>58</v>
      </c>
      <c r="P1139" t="s">
        <v>1098</v>
      </c>
      <c r="Q1139" t="s">
        <v>58</v>
      </c>
      <c r="R1139" t="str">
        <f>IFERROR(VLOOKUP(record[[#This Row],[PCUSTID]],廠商[],2,FALSE),"")</f>
        <v/>
      </c>
      <c r="S1139" t="str">
        <f>VLOOKUP(record[[#This Row],[employeeID]],員工[],2,FALSE)</f>
        <v>阮氏芳英(英)</v>
      </c>
    </row>
    <row r="1140" spans="6:19" hidden="1" x14ac:dyDescent="0.25">
      <c r="F1140" t="s">
        <v>1822</v>
      </c>
      <c r="G1140" t="s">
        <v>452</v>
      </c>
      <c r="H1140" t="str">
        <f>VLOOKUP(record[[#This Row],[ProcessSN]],表格2_7[],2,FALSE)</f>
        <v>30-4118-018-6XX</v>
      </c>
      <c r="I1140" t="str">
        <f>VLOOKUP(record[[#This Row],[ProcessSN]],表格2_7[],3,FALSE)</f>
        <v>#07QC</v>
      </c>
      <c r="J1140" t="s">
        <v>589</v>
      </c>
      <c r="K1140" s="195">
        <v>46137.702928240738</v>
      </c>
      <c r="L1140">
        <v>312</v>
      </c>
      <c r="M1140">
        <v>0</v>
      </c>
      <c r="N1140" s="98" t="str">
        <f>IF(record[[#This Row],[Memo]]="Browser:chrome os:android","平板報工",IF(record[[#This Row],[Memo]]=0,"委外",record[[#This Row],[Memo]]))</f>
        <v/>
      </c>
      <c r="O1140" t="s">
        <v>58</v>
      </c>
      <c r="P1140" t="s">
        <v>99</v>
      </c>
      <c r="Q1140" t="s">
        <v>58</v>
      </c>
      <c r="R1140" t="str">
        <f>IFERROR(VLOOKUP(record[[#This Row],[PCUSTID]],廠商[],2,FALSE),"")</f>
        <v/>
      </c>
      <c r="S1140" t="str">
        <f>VLOOKUP(record[[#This Row],[employeeID]],員工[],2,FALSE)</f>
        <v>阮氏河</v>
      </c>
    </row>
    <row r="1141" spans="6:19" hidden="1" x14ac:dyDescent="0.25">
      <c r="F1141" t="s">
        <v>1822</v>
      </c>
      <c r="G1141" t="s">
        <v>451</v>
      </c>
      <c r="H1141" t="str">
        <f>VLOOKUP(record[[#This Row],[ProcessSN]],表格2_7[],2,FALSE)</f>
        <v>30-4118-018-6XX</v>
      </c>
      <c r="I1141" t="str">
        <f>VLOOKUP(record[[#This Row],[ProcessSN]],表格2_7[],3,FALSE)</f>
        <v>#07</v>
      </c>
      <c r="J1141" t="s">
        <v>588</v>
      </c>
      <c r="K1141" s="195">
        <v>46137.690428240741</v>
      </c>
      <c r="L1141">
        <v>30</v>
      </c>
      <c r="M1141">
        <v>0</v>
      </c>
      <c r="N1141" s="98" t="str">
        <f>IF(record[[#This Row],[Memo]]="Browser:chrome os:android","平板報工",IF(record[[#This Row],[Memo]]=0,"委外",record[[#This Row],[Memo]]))</f>
        <v/>
      </c>
      <c r="O1141" t="s">
        <v>58</v>
      </c>
      <c r="P1141" t="s">
        <v>101</v>
      </c>
      <c r="Q1141" t="s">
        <v>58</v>
      </c>
      <c r="R1141" t="str">
        <f>IFERROR(VLOOKUP(record[[#This Row],[PCUSTID]],廠商[],2,FALSE),"")</f>
        <v/>
      </c>
      <c r="S1141" t="str">
        <f>VLOOKUP(record[[#This Row],[employeeID]],員工[],2,FALSE)</f>
        <v>陳氏絨</v>
      </c>
    </row>
    <row r="1142" spans="6:19" hidden="1" x14ac:dyDescent="0.25">
      <c r="F1142" t="s">
        <v>1822</v>
      </c>
      <c r="G1142" t="s">
        <v>450</v>
      </c>
      <c r="H1142" t="str">
        <f>VLOOKUP(record[[#This Row],[ProcessSN]],表格2_7[],2,FALSE)</f>
        <v>30-4118-018-6XX</v>
      </c>
      <c r="I1142" t="str">
        <f>VLOOKUP(record[[#This Row],[ProcessSN]],表格2_7[],3,FALSE)</f>
        <v>#06</v>
      </c>
      <c r="J1142" t="s">
        <v>593</v>
      </c>
      <c r="K1142" s="195">
        <v>46137.69023148148</v>
      </c>
      <c r="L1142">
        <v>30</v>
      </c>
      <c r="M1142">
        <v>0</v>
      </c>
      <c r="N1142" s="98" t="str">
        <f>IF(record[[#This Row],[Memo]]="Browser:chrome os:android","平板報工",IF(record[[#This Row],[Memo]]=0,"委外",record[[#This Row],[Memo]]))</f>
        <v/>
      </c>
      <c r="O1142" t="s">
        <v>58</v>
      </c>
      <c r="P1142" t="s">
        <v>101</v>
      </c>
      <c r="Q1142" t="s">
        <v>58</v>
      </c>
      <c r="R1142" t="str">
        <f>IFERROR(VLOOKUP(record[[#This Row],[PCUSTID]],廠商[],2,FALSE),"")</f>
        <v/>
      </c>
      <c r="S1142" t="str">
        <f>VLOOKUP(record[[#This Row],[employeeID]],員工[],2,FALSE)</f>
        <v>陳氏絨</v>
      </c>
    </row>
    <row r="1143" spans="6:19" hidden="1" x14ac:dyDescent="0.25">
      <c r="F1143" t="s">
        <v>1850</v>
      </c>
      <c r="G1143" t="s">
        <v>417</v>
      </c>
      <c r="H1143" t="str">
        <f>VLOOKUP(record[[#This Row],[ProcessSN]],表格2_7[],2,FALSE)</f>
        <v>30-4118-018-5XX</v>
      </c>
      <c r="I1143" t="str">
        <f>VLOOKUP(record[[#This Row],[ProcessSN]],表格2_7[],3,FALSE)</f>
        <v>#06</v>
      </c>
      <c r="J1143" t="s">
        <v>593</v>
      </c>
      <c r="K1143" s="195">
        <v>46137.658206018517</v>
      </c>
      <c r="L1143">
        <v>85</v>
      </c>
      <c r="M1143">
        <v>0</v>
      </c>
      <c r="N1143" s="98" t="str">
        <f>IF(record[[#This Row],[Memo]]="Browser:chrome os:android","平板報工",IF(record[[#This Row],[Memo]]=0,"委外",record[[#This Row],[Memo]]))</f>
        <v>平板報工</v>
      </c>
      <c r="O1143" t="s">
        <v>643</v>
      </c>
      <c r="P1143" t="s">
        <v>1413</v>
      </c>
      <c r="Q1143" t="s">
        <v>644</v>
      </c>
      <c r="R1143" t="str">
        <f>IFERROR(VLOOKUP(record[[#This Row],[PCUSTID]],廠商[],2,FALSE),"")</f>
        <v/>
      </c>
      <c r="S1143" t="str">
        <f>VLOOKUP(record[[#This Row],[employeeID]],員工[],2,FALSE)</f>
        <v>阮氏芳英(芳)</v>
      </c>
    </row>
    <row r="1144" spans="6:19" hidden="1" x14ac:dyDescent="0.25">
      <c r="F1144" t="s">
        <v>1850</v>
      </c>
      <c r="G1144" t="s">
        <v>416</v>
      </c>
      <c r="H1144" t="str">
        <f>VLOOKUP(record[[#This Row],[ProcessSN]],表格2_7[],2,FALSE)</f>
        <v>30-4118-018-5XX</v>
      </c>
      <c r="I1144" t="str">
        <f>VLOOKUP(record[[#This Row],[ProcessSN]],表格2_7[],3,FALSE)</f>
        <v>#05</v>
      </c>
      <c r="J1144" t="s">
        <v>588</v>
      </c>
      <c r="K1144" s="195">
        <v>46137.645335648151</v>
      </c>
      <c r="L1144">
        <v>85</v>
      </c>
      <c r="M1144">
        <v>0</v>
      </c>
      <c r="N1144" s="98" t="str">
        <f>IF(record[[#This Row],[Memo]]="Browser:chrome os:android","平板報工",IF(record[[#This Row],[Memo]]=0,"委外",record[[#This Row],[Memo]]))</f>
        <v>平板報工</v>
      </c>
      <c r="O1144" t="s">
        <v>643</v>
      </c>
      <c r="P1144" t="s">
        <v>785</v>
      </c>
      <c r="Q1144" t="s">
        <v>644</v>
      </c>
      <c r="R1144" t="str">
        <f>IFERROR(VLOOKUP(record[[#This Row],[PCUSTID]],廠商[],2,FALSE),"")</f>
        <v/>
      </c>
      <c r="S1144" t="str">
        <f>VLOOKUP(record[[#This Row],[employeeID]],員工[],2,FALSE)</f>
        <v>謝刻光</v>
      </c>
    </row>
    <row r="1145" spans="6:19" hidden="1" x14ac:dyDescent="0.25">
      <c r="F1145" t="s">
        <v>1850</v>
      </c>
      <c r="G1145" t="s">
        <v>415</v>
      </c>
      <c r="H1145" t="str">
        <f>VLOOKUP(record[[#This Row],[ProcessSN]],表格2_7[],2,FALSE)</f>
        <v>30-4118-018-5XX</v>
      </c>
      <c r="I1145" t="str">
        <f>VLOOKUP(record[[#This Row],[ProcessSN]],表格2_7[],3,FALSE)</f>
        <v>#04</v>
      </c>
      <c r="J1145" t="s">
        <v>588</v>
      </c>
      <c r="K1145" s="195">
        <v>46137.638009259259</v>
      </c>
      <c r="L1145">
        <v>109</v>
      </c>
      <c r="M1145">
        <v>0</v>
      </c>
      <c r="N1145" s="98" t="str">
        <f>IF(record[[#This Row],[Memo]]="Browser:chrome os:android","平板報工",IF(record[[#This Row],[Memo]]=0,"委外",record[[#This Row],[Memo]]))</f>
        <v>平板報工</v>
      </c>
      <c r="O1145" t="s">
        <v>643</v>
      </c>
      <c r="P1145" t="s">
        <v>107</v>
      </c>
      <c r="Q1145" t="s">
        <v>644</v>
      </c>
      <c r="R1145" t="str">
        <f>IFERROR(VLOOKUP(record[[#This Row],[PCUSTID]],廠商[],2,FALSE),"")</f>
        <v/>
      </c>
      <c r="S1145" t="str">
        <f>VLOOKUP(record[[#This Row],[employeeID]],員工[],2,FALSE)</f>
        <v>黎氏順</v>
      </c>
    </row>
    <row r="1146" spans="6:19" hidden="1" x14ac:dyDescent="0.25">
      <c r="F1146" t="s">
        <v>1859</v>
      </c>
      <c r="G1146" t="s">
        <v>452</v>
      </c>
      <c r="H1146" t="str">
        <f>VLOOKUP(record[[#This Row],[ProcessSN]],表格2_7[],2,FALSE)</f>
        <v>30-4118-018-6XX</v>
      </c>
      <c r="I1146" t="str">
        <f>VLOOKUP(record[[#This Row],[ProcessSN]],表格2_7[],3,FALSE)</f>
        <v>#07QC</v>
      </c>
      <c r="J1146" t="s">
        <v>589</v>
      </c>
      <c r="K1146" s="195">
        <v>46137.623680555553</v>
      </c>
      <c r="L1146">
        <v>168</v>
      </c>
      <c r="M1146">
        <v>0</v>
      </c>
      <c r="N1146" s="98" t="str">
        <f>IF(record[[#This Row],[Memo]]="Browser:chrome os:android","平板報工",IF(record[[#This Row],[Memo]]=0,"委外",record[[#This Row],[Memo]]))</f>
        <v/>
      </c>
      <c r="O1146" t="s">
        <v>58</v>
      </c>
      <c r="P1146" t="s">
        <v>99</v>
      </c>
      <c r="Q1146" t="s">
        <v>58</v>
      </c>
      <c r="R1146" t="str">
        <f>IFERROR(VLOOKUP(record[[#This Row],[PCUSTID]],廠商[],2,FALSE),"")</f>
        <v/>
      </c>
      <c r="S1146" t="str">
        <f>VLOOKUP(record[[#This Row],[employeeID]],員工[],2,FALSE)</f>
        <v>阮氏河</v>
      </c>
    </row>
    <row r="1147" spans="6:19" hidden="1" x14ac:dyDescent="0.25">
      <c r="F1147" t="s">
        <v>1822</v>
      </c>
      <c r="G1147" t="s">
        <v>452</v>
      </c>
      <c r="H1147" t="str">
        <f>VLOOKUP(record[[#This Row],[ProcessSN]],表格2_7[],2,FALSE)</f>
        <v>30-4118-018-6XX</v>
      </c>
      <c r="I1147" t="str">
        <f>VLOOKUP(record[[#This Row],[ProcessSN]],表格2_7[],3,FALSE)</f>
        <v>#07QC</v>
      </c>
      <c r="J1147" t="s">
        <v>589</v>
      </c>
      <c r="K1147" s="195">
        <v>46137.623425925929</v>
      </c>
      <c r="L1147">
        <v>0</v>
      </c>
      <c r="M1147">
        <v>4</v>
      </c>
      <c r="N1147" s="98" t="str">
        <f>IF(record[[#This Row],[Memo]]="Browser:chrome os:android","平板報工",IF(record[[#This Row],[Memo]]=0,"委外",record[[#This Row],[Memo]]))</f>
        <v/>
      </c>
      <c r="O1147" t="s">
        <v>58</v>
      </c>
      <c r="P1147" t="s">
        <v>99</v>
      </c>
      <c r="Q1147" t="s">
        <v>58</v>
      </c>
      <c r="R1147" t="str">
        <f>IFERROR(VLOOKUP(record[[#This Row],[PCUSTID]],廠商[],2,FALSE),"")</f>
        <v/>
      </c>
      <c r="S1147" t="str">
        <f>VLOOKUP(record[[#This Row],[employeeID]],員工[],2,FALSE)</f>
        <v>阮氏河</v>
      </c>
    </row>
    <row r="1148" spans="6:19" hidden="1" x14ac:dyDescent="0.25">
      <c r="F1148" t="s">
        <v>1859</v>
      </c>
      <c r="G1148" t="s">
        <v>451</v>
      </c>
      <c r="H1148" t="str">
        <f>VLOOKUP(record[[#This Row],[ProcessSN]],表格2_7[],2,FALSE)</f>
        <v>30-4118-018-6XX</v>
      </c>
      <c r="I1148" t="str">
        <f>VLOOKUP(record[[#This Row],[ProcessSN]],表格2_7[],3,FALSE)</f>
        <v>#07</v>
      </c>
      <c r="J1148" t="s">
        <v>588</v>
      </c>
      <c r="K1148" s="195">
        <v>46137.614884259259</v>
      </c>
      <c r="L1148">
        <v>191</v>
      </c>
      <c r="M1148">
        <v>0</v>
      </c>
      <c r="N1148" s="98" t="str">
        <f>IF(record[[#This Row],[Memo]]="Browser:chrome os:android","平板報工",IF(record[[#This Row],[Memo]]=0,"委外",record[[#This Row],[Memo]]))</f>
        <v>平板報工</v>
      </c>
      <c r="O1148" t="s">
        <v>643</v>
      </c>
      <c r="P1148" t="s">
        <v>785</v>
      </c>
      <c r="Q1148" t="s">
        <v>644</v>
      </c>
      <c r="R1148" t="str">
        <f>IFERROR(VLOOKUP(record[[#This Row],[PCUSTID]],廠商[],2,FALSE),"")</f>
        <v/>
      </c>
      <c r="S1148" t="str">
        <f>VLOOKUP(record[[#This Row],[employeeID]],員工[],2,FALSE)</f>
        <v>謝刻光</v>
      </c>
    </row>
    <row r="1149" spans="6:19" hidden="1" x14ac:dyDescent="0.25">
      <c r="F1149" t="s">
        <v>1859</v>
      </c>
      <c r="G1149" t="s">
        <v>452</v>
      </c>
      <c r="H1149" t="str">
        <f>VLOOKUP(record[[#This Row],[ProcessSN]],表格2_7[],2,FALSE)</f>
        <v>30-4118-018-6XX</v>
      </c>
      <c r="I1149" t="str">
        <f>VLOOKUP(record[[#This Row],[ProcessSN]],表格2_7[],3,FALSE)</f>
        <v>#07QC</v>
      </c>
      <c r="J1149" t="s">
        <v>589</v>
      </c>
      <c r="K1149" s="195">
        <v>46137.473182870373</v>
      </c>
      <c r="L1149">
        <v>163</v>
      </c>
      <c r="M1149">
        <v>0</v>
      </c>
      <c r="N1149" s="98" t="str">
        <f>IF(record[[#This Row],[Memo]]="Browser:chrome os:android","平板報工",IF(record[[#This Row],[Memo]]=0,"委外",record[[#This Row],[Memo]]))</f>
        <v/>
      </c>
      <c r="O1149" t="s">
        <v>58</v>
      </c>
      <c r="P1149" t="s">
        <v>141</v>
      </c>
      <c r="Q1149" t="s">
        <v>58</v>
      </c>
      <c r="R1149" t="str">
        <f>IFERROR(VLOOKUP(record[[#This Row],[PCUSTID]],廠商[],2,FALSE),"")</f>
        <v/>
      </c>
      <c r="S1149" t="str">
        <f>VLOOKUP(record[[#This Row],[employeeID]],員工[],2,FALSE)</f>
        <v>蔣梅</v>
      </c>
    </row>
    <row r="1150" spans="6:19" hidden="1" x14ac:dyDescent="0.25">
      <c r="F1150" t="s">
        <v>1822</v>
      </c>
      <c r="G1150" t="s">
        <v>452</v>
      </c>
      <c r="H1150" t="str">
        <f>VLOOKUP(record[[#This Row],[ProcessSN]],表格2_7[],2,FALSE)</f>
        <v>30-4118-018-6XX</v>
      </c>
      <c r="I1150" t="str">
        <f>VLOOKUP(record[[#This Row],[ProcessSN]],表格2_7[],3,FALSE)</f>
        <v>#07QC</v>
      </c>
      <c r="J1150" t="s">
        <v>589</v>
      </c>
      <c r="K1150" s="195">
        <v>46137.472997685189</v>
      </c>
      <c r="L1150">
        <v>0</v>
      </c>
      <c r="M1150">
        <v>6</v>
      </c>
      <c r="N1150" s="98" t="str">
        <f>IF(record[[#This Row],[Memo]]="Browser:chrome os:android","平板報工",IF(record[[#This Row],[Memo]]=0,"委外",record[[#This Row],[Memo]]))</f>
        <v/>
      </c>
      <c r="O1150" t="s">
        <v>58</v>
      </c>
      <c r="P1150" t="s">
        <v>141</v>
      </c>
      <c r="Q1150" t="s">
        <v>58</v>
      </c>
      <c r="R1150" t="str">
        <f>IFERROR(VLOOKUP(record[[#This Row],[PCUSTID]],廠商[],2,FALSE),"")</f>
        <v/>
      </c>
      <c r="S1150" t="str">
        <f>VLOOKUP(record[[#This Row],[employeeID]],員工[],2,FALSE)</f>
        <v>蔣梅</v>
      </c>
    </row>
    <row r="1151" spans="6:19" hidden="1" x14ac:dyDescent="0.25">
      <c r="F1151" t="s">
        <v>1822</v>
      </c>
      <c r="G1151" t="s">
        <v>452</v>
      </c>
      <c r="H1151" t="str">
        <f>VLOOKUP(record[[#This Row],[ProcessSN]],表格2_7[],2,FALSE)</f>
        <v>30-4118-018-6XX</v>
      </c>
      <c r="I1151" t="str">
        <f>VLOOKUP(record[[#This Row],[ProcessSN]],表格2_7[],3,FALSE)</f>
        <v>#07QC</v>
      </c>
      <c r="J1151" t="s">
        <v>589</v>
      </c>
      <c r="K1151" s="195">
        <v>46137.472604166665</v>
      </c>
      <c r="L1151">
        <v>142</v>
      </c>
      <c r="M1151">
        <v>0</v>
      </c>
      <c r="N1151" s="98" t="str">
        <f>IF(record[[#This Row],[Memo]]="Browser:chrome os:android","平板報工",IF(record[[#This Row],[Memo]]=0,"委外",record[[#This Row],[Memo]]))</f>
        <v/>
      </c>
      <c r="O1151" t="s">
        <v>58</v>
      </c>
      <c r="P1151" t="s">
        <v>141</v>
      </c>
      <c r="Q1151" t="s">
        <v>58</v>
      </c>
      <c r="R1151" t="str">
        <f>IFERROR(VLOOKUP(record[[#This Row],[PCUSTID]],廠商[],2,FALSE),"")</f>
        <v/>
      </c>
      <c r="S1151" t="str">
        <f>VLOOKUP(record[[#This Row],[employeeID]],員工[],2,FALSE)</f>
        <v>蔣梅</v>
      </c>
    </row>
    <row r="1152" spans="6:19" hidden="1" x14ac:dyDescent="0.25">
      <c r="F1152" t="s">
        <v>1868</v>
      </c>
      <c r="G1152" t="s">
        <v>426</v>
      </c>
      <c r="H1152" t="str">
        <f>VLOOKUP(record[[#This Row],[ProcessSN]],表格2_7[],2,FALSE)</f>
        <v>30-4118-018-600</v>
      </c>
      <c r="I1152" t="str">
        <f>VLOOKUP(record[[#This Row],[ProcessSN]],表格2_7[],3,FALSE)</f>
        <v>#100OQC</v>
      </c>
      <c r="J1152" t="s">
        <v>599</v>
      </c>
      <c r="K1152" s="195">
        <v>46137.338831018518</v>
      </c>
      <c r="L1152">
        <v>168</v>
      </c>
      <c r="M1152">
        <v>0</v>
      </c>
      <c r="N1152" s="98" t="str">
        <f>IF(record[[#This Row],[Memo]]="Browser:chrome os:android","平板報工",IF(record[[#This Row],[Memo]]=0,"委外",record[[#This Row],[Memo]]))</f>
        <v/>
      </c>
      <c r="O1152" t="s">
        <v>58</v>
      </c>
      <c r="P1152" t="s">
        <v>121</v>
      </c>
      <c r="Q1152" t="s">
        <v>58</v>
      </c>
      <c r="R1152" t="str">
        <f>IFERROR(VLOOKUP(record[[#This Row],[PCUSTID]],廠商[],2,FALSE),"")</f>
        <v/>
      </c>
      <c r="S1152" t="str">
        <f>VLOOKUP(record[[#This Row],[employeeID]],員工[],2,FALSE)</f>
        <v>謝素卿</v>
      </c>
    </row>
    <row r="1153" spans="6:19" hidden="1" x14ac:dyDescent="0.25">
      <c r="F1153" t="s">
        <v>1839</v>
      </c>
      <c r="G1153" t="s">
        <v>385</v>
      </c>
      <c r="H1153" t="str">
        <f>VLOOKUP(record[[#This Row],[ProcessSN]],表格2_7[],2,FALSE)</f>
        <v>30-4118-018-500</v>
      </c>
      <c r="I1153" t="str">
        <f>VLOOKUP(record[[#This Row],[ProcessSN]],表格2_7[],3,FALSE)</f>
        <v>#100OQC</v>
      </c>
      <c r="J1153" t="s">
        <v>599</v>
      </c>
      <c r="K1153" s="195">
        <v>46137.33861111111</v>
      </c>
      <c r="L1153">
        <v>1</v>
      </c>
      <c r="M1153">
        <v>0</v>
      </c>
      <c r="N1153" s="98" t="str">
        <f>IF(record[[#This Row],[Memo]]="Browser:chrome os:android","平板報工",IF(record[[#This Row],[Memo]]=0,"委外",record[[#This Row],[Memo]]))</f>
        <v/>
      </c>
      <c r="O1153" t="s">
        <v>58</v>
      </c>
      <c r="P1153" t="s">
        <v>121</v>
      </c>
      <c r="Q1153" t="s">
        <v>58</v>
      </c>
      <c r="R1153" t="str">
        <f>IFERROR(VLOOKUP(record[[#This Row],[PCUSTID]],廠商[],2,FALSE),"")</f>
        <v/>
      </c>
      <c r="S1153" t="str">
        <f>VLOOKUP(record[[#This Row],[employeeID]],員工[],2,FALSE)</f>
        <v>謝素卿</v>
      </c>
    </row>
    <row r="1154" spans="6:19" hidden="1" x14ac:dyDescent="0.25">
      <c r="F1154" t="s">
        <v>1874</v>
      </c>
      <c r="G1154" t="s">
        <v>368</v>
      </c>
      <c r="H1154" t="str">
        <f>VLOOKUP(record[[#This Row],[ProcessSN]],表格2_7[],2,FALSE)</f>
        <v>30-4118-018-470</v>
      </c>
      <c r="I1154" t="str">
        <f>VLOOKUP(record[[#This Row],[ProcessSN]],表格2_7[],3,FALSE)</f>
        <v>#100OQC</v>
      </c>
      <c r="J1154" t="s">
        <v>599</v>
      </c>
      <c r="K1154" s="195">
        <v>46137.338483796295</v>
      </c>
      <c r="L1154">
        <v>213</v>
      </c>
      <c r="M1154">
        <v>0</v>
      </c>
      <c r="N1154" s="98" t="str">
        <f>IF(record[[#This Row],[Memo]]="Browser:chrome os:android","平板報工",IF(record[[#This Row],[Memo]]=0,"委外",record[[#This Row],[Memo]]))</f>
        <v/>
      </c>
      <c r="O1154" t="s">
        <v>58</v>
      </c>
      <c r="P1154" t="s">
        <v>121</v>
      </c>
      <c r="Q1154" t="s">
        <v>58</v>
      </c>
      <c r="R1154" t="str">
        <f>IFERROR(VLOOKUP(record[[#This Row],[PCUSTID]],廠商[],2,FALSE),"")</f>
        <v/>
      </c>
      <c r="S1154" t="str">
        <f>VLOOKUP(record[[#This Row],[employeeID]],員工[],2,FALSE)</f>
        <v>謝素卿</v>
      </c>
    </row>
    <row r="1155" spans="6:19" hidden="1" x14ac:dyDescent="0.25">
      <c r="F1155" t="s">
        <v>1872</v>
      </c>
      <c r="G1155" t="s">
        <v>401</v>
      </c>
      <c r="H1155" t="str">
        <f>VLOOKUP(record[[#This Row],[ProcessSN]],表格2_7[],2,FALSE)</f>
        <v>30-4118-018-550</v>
      </c>
      <c r="I1155" t="str">
        <f>VLOOKUP(record[[#This Row],[ProcessSN]],表格2_7[],3,FALSE)</f>
        <v>#100OQC</v>
      </c>
      <c r="J1155" t="s">
        <v>599</v>
      </c>
      <c r="K1155" s="195">
        <v>46137.33834490741</v>
      </c>
      <c r="L1155">
        <v>103</v>
      </c>
      <c r="M1155">
        <v>0</v>
      </c>
      <c r="N1155" s="98" t="str">
        <f>IF(record[[#This Row],[Memo]]="Browser:chrome os:android","平板報工",IF(record[[#This Row],[Memo]]=0,"委外",record[[#This Row],[Memo]]))</f>
        <v/>
      </c>
      <c r="O1155" t="s">
        <v>58</v>
      </c>
      <c r="P1155" t="s">
        <v>121</v>
      </c>
      <c r="Q1155" t="s">
        <v>58</v>
      </c>
      <c r="R1155" t="str">
        <f>IFERROR(VLOOKUP(record[[#This Row],[PCUSTID]],廠商[],2,FALSE),"")</f>
        <v/>
      </c>
      <c r="S1155" t="str">
        <f>VLOOKUP(record[[#This Row],[employeeID]],員工[],2,FALSE)</f>
        <v>謝素卿</v>
      </c>
    </row>
    <row r="1156" spans="6:19" hidden="1" x14ac:dyDescent="0.25">
      <c r="F1156" t="s">
        <v>1822</v>
      </c>
      <c r="G1156" t="s">
        <v>451</v>
      </c>
      <c r="H1156" t="str">
        <f>VLOOKUP(record[[#This Row],[ProcessSN]],表格2_7[],2,FALSE)</f>
        <v>30-4118-018-6XX</v>
      </c>
      <c r="I1156" t="str">
        <f>VLOOKUP(record[[#This Row],[ProcessSN]],表格2_7[],3,FALSE)</f>
        <v>#07</v>
      </c>
      <c r="J1156" t="s">
        <v>588</v>
      </c>
      <c r="K1156" s="195">
        <v>46137.314340277779</v>
      </c>
      <c r="L1156">
        <v>123</v>
      </c>
      <c r="M1156">
        <v>0</v>
      </c>
      <c r="N1156" s="98" t="str">
        <f>IF(record[[#This Row],[Memo]]="Browser:chrome os:android","平板報工",IF(record[[#This Row],[Memo]]=0,"委外",record[[#This Row],[Memo]]))</f>
        <v/>
      </c>
      <c r="O1156" t="s">
        <v>58</v>
      </c>
      <c r="P1156" t="s">
        <v>843</v>
      </c>
      <c r="Q1156" t="s">
        <v>58</v>
      </c>
      <c r="R1156" t="str">
        <f>IFERROR(VLOOKUP(record[[#This Row],[PCUSTID]],廠商[],2,FALSE),"")</f>
        <v/>
      </c>
      <c r="S1156" t="str">
        <f>VLOOKUP(record[[#This Row],[employeeID]],員工[],2,FALSE)</f>
        <v>張楚承</v>
      </c>
    </row>
    <row r="1157" spans="6:19" hidden="1" x14ac:dyDescent="0.25">
      <c r="F1157" t="s">
        <v>1859</v>
      </c>
      <c r="G1157" t="s">
        <v>450</v>
      </c>
      <c r="H1157" t="str">
        <f>VLOOKUP(record[[#This Row],[ProcessSN]],表格2_7[],2,FALSE)</f>
        <v>30-4118-018-6XX</v>
      </c>
      <c r="I1157" t="str">
        <f>VLOOKUP(record[[#This Row],[ProcessSN]],表格2_7[],3,FALSE)</f>
        <v>#06</v>
      </c>
      <c r="J1157" t="s">
        <v>593</v>
      </c>
      <c r="K1157" s="195">
        <v>46137.313483796293</v>
      </c>
      <c r="L1157">
        <v>216</v>
      </c>
      <c r="M1157">
        <v>0</v>
      </c>
      <c r="N1157" s="98" t="str">
        <f>IF(record[[#This Row],[Memo]]="Browser:chrome os:android","平板報工",IF(record[[#This Row],[Memo]]=0,"委外",record[[#This Row],[Memo]]))</f>
        <v/>
      </c>
      <c r="O1157" t="s">
        <v>58</v>
      </c>
      <c r="P1157" t="s">
        <v>135</v>
      </c>
      <c r="Q1157" t="s">
        <v>58</v>
      </c>
      <c r="R1157" t="str">
        <f>IFERROR(VLOOKUP(record[[#This Row],[PCUSTID]],廠商[],2,FALSE),"")</f>
        <v/>
      </c>
      <c r="S1157" t="str">
        <f>VLOOKUP(record[[#This Row],[employeeID]],員工[],2,FALSE)</f>
        <v>阮士文</v>
      </c>
    </row>
    <row r="1158" spans="6:19" hidden="1" x14ac:dyDescent="0.25">
      <c r="F1158" t="s">
        <v>1859</v>
      </c>
      <c r="G1158" t="s">
        <v>449</v>
      </c>
      <c r="H1158" t="str">
        <f>VLOOKUP(record[[#This Row],[ProcessSN]],表格2_7[],2,FALSE)</f>
        <v>30-4118-018-6XX</v>
      </c>
      <c r="I1158" t="str">
        <f>VLOOKUP(record[[#This Row],[ProcessSN]],表格2_7[],3,FALSE)</f>
        <v>#05</v>
      </c>
      <c r="J1158" t="s">
        <v>588</v>
      </c>
      <c r="K1158" s="195">
        <v>46137.313206018516</v>
      </c>
      <c r="L1158">
        <v>226</v>
      </c>
      <c r="M1158">
        <v>0</v>
      </c>
      <c r="N1158" s="98" t="str">
        <f>IF(record[[#This Row],[Memo]]="Browser:chrome os:android","平板報工",IF(record[[#This Row],[Memo]]=0,"委外",record[[#This Row],[Memo]]))</f>
        <v/>
      </c>
      <c r="O1158" t="s">
        <v>58</v>
      </c>
      <c r="P1158" t="s">
        <v>843</v>
      </c>
      <c r="Q1158" t="s">
        <v>58</v>
      </c>
      <c r="R1158" t="str">
        <f>IFERROR(VLOOKUP(record[[#This Row],[PCUSTID]],廠商[],2,FALSE),"")</f>
        <v/>
      </c>
      <c r="S1158" t="str">
        <f>VLOOKUP(record[[#This Row],[employeeID]],員工[],2,FALSE)</f>
        <v>張楚承</v>
      </c>
    </row>
    <row r="1159" spans="6:19" hidden="1" x14ac:dyDescent="0.25">
      <c r="F1159" t="s">
        <v>1822</v>
      </c>
      <c r="G1159" t="s">
        <v>450</v>
      </c>
      <c r="H1159" t="str">
        <f>VLOOKUP(record[[#This Row],[ProcessSN]],表格2_7[],2,FALSE)</f>
        <v>30-4118-018-6XX</v>
      </c>
      <c r="I1159" t="str">
        <f>VLOOKUP(record[[#This Row],[ProcessSN]],表格2_7[],3,FALSE)</f>
        <v>#06</v>
      </c>
      <c r="J1159" t="s">
        <v>593</v>
      </c>
      <c r="K1159" s="195">
        <v>46137.312615740739</v>
      </c>
      <c r="L1159">
        <v>53</v>
      </c>
      <c r="M1159">
        <v>0</v>
      </c>
      <c r="N1159" s="98" t="str">
        <f>IF(record[[#This Row],[Memo]]="Browser:chrome os:android","平板報工",IF(record[[#This Row],[Memo]]=0,"委外",record[[#This Row],[Memo]]))</f>
        <v/>
      </c>
      <c r="O1159" t="s">
        <v>58</v>
      </c>
      <c r="P1159" t="s">
        <v>135</v>
      </c>
      <c r="Q1159" t="s">
        <v>58</v>
      </c>
      <c r="R1159" t="str">
        <f>IFERROR(VLOOKUP(record[[#This Row],[PCUSTID]],廠商[],2,FALSE),"")</f>
        <v/>
      </c>
      <c r="S1159" t="str">
        <f>VLOOKUP(record[[#This Row],[employeeID]],員工[],2,FALSE)</f>
        <v>阮士文</v>
      </c>
    </row>
    <row r="1160" spans="6:19" hidden="1" x14ac:dyDescent="0.25">
      <c r="F1160" t="s">
        <v>1859</v>
      </c>
      <c r="G1160" t="s">
        <v>448</v>
      </c>
      <c r="H1160" t="str">
        <f>VLOOKUP(record[[#This Row],[ProcessSN]],表格2_7[],2,FALSE)</f>
        <v>30-4118-018-6XX</v>
      </c>
      <c r="I1160" t="str">
        <f>VLOOKUP(record[[#This Row],[ProcessSN]],表格2_7[],3,FALSE)</f>
        <v>#04</v>
      </c>
      <c r="J1160" t="s">
        <v>588</v>
      </c>
      <c r="K1160" s="195">
        <v>46137.296238425923</v>
      </c>
      <c r="L1160">
        <v>220</v>
      </c>
      <c r="M1160">
        <v>0</v>
      </c>
      <c r="N1160" s="98" t="str">
        <f>IF(record[[#This Row],[Memo]]="Browser:chrome os:android","平板報工",IF(record[[#This Row],[Memo]]=0,"委外",record[[#This Row],[Memo]]))</f>
        <v>平板報工</v>
      </c>
      <c r="O1160" t="s">
        <v>643</v>
      </c>
      <c r="P1160" t="s">
        <v>806</v>
      </c>
      <c r="Q1160" t="s">
        <v>644</v>
      </c>
      <c r="R1160" t="str">
        <f>IFERROR(VLOOKUP(record[[#This Row],[PCUSTID]],廠商[],2,FALSE),"")</f>
        <v/>
      </c>
      <c r="S1160" t="str">
        <f>VLOOKUP(record[[#This Row],[employeeID]],員工[],2,FALSE)</f>
        <v>方思緯</v>
      </c>
    </row>
    <row r="1161" spans="6:19" hidden="1" x14ac:dyDescent="0.25">
      <c r="F1161" t="s">
        <v>1859</v>
      </c>
      <c r="G1161" t="s">
        <v>451</v>
      </c>
      <c r="H1161" t="str">
        <f>VLOOKUP(record[[#This Row],[ProcessSN]],表格2_7[],2,FALSE)</f>
        <v>30-4118-018-6XX</v>
      </c>
      <c r="I1161" t="str">
        <f>VLOOKUP(record[[#This Row],[ProcessSN]],表格2_7[],3,FALSE)</f>
        <v>#07</v>
      </c>
      <c r="J1161" t="s">
        <v>588</v>
      </c>
      <c r="K1161" s="195">
        <v>46137.276423611111</v>
      </c>
      <c r="L1161">
        <v>118</v>
      </c>
      <c r="M1161">
        <v>0</v>
      </c>
      <c r="N1161" s="98" t="str">
        <f>IF(record[[#This Row],[Memo]]="Browser:chrome os:android","平板報工",IF(record[[#This Row],[Memo]]=0,"委外",record[[#This Row],[Memo]]))</f>
        <v>平板報工</v>
      </c>
      <c r="O1161" t="s">
        <v>643</v>
      </c>
      <c r="P1161" t="s">
        <v>843</v>
      </c>
      <c r="Q1161" t="s">
        <v>644</v>
      </c>
      <c r="R1161" t="str">
        <f>IFERROR(VLOOKUP(record[[#This Row],[PCUSTID]],廠商[],2,FALSE),"")</f>
        <v/>
      </c>
      <c r="S1161" t="str">
        <f>VLOOKUP(record[[#This Row],[employeeID]],員工[],2,FALSE)</f>
        <v>張楚承</v>
      </c>
    </row>
    <row r="1162" spans="6:19" hidden="1" x14ac:dyDescent="0.25">
      <c r="F1162" t="s">
        <v>1859</v>
      </c>
      <c r="G1162" t="s">
        <v>448</v>
      </c>
      <c r="H1162" t="str">
        <f>VLOOKUP(record[[#This Row],[ProcessSN]],表格2_7[],2,FALSE)</f>
        <v>30-4118-018-6XX</v>
      </c>
      <c r="I1162" t="str">
        <f>VLOOKUP(record[[#This Row],[ProcessSN]],表格2_7[],3,FALSE)</f>
        <v>#04</v>
      </c>
      <c r="J1162" t="s">
        <v>588</v>
      </c>
      <c r="K1162" s="195">
        <v>46136.998784722222</v>
      </c>
      <c r="L1162">
        <v>17</v>
      </c>
      <c r="M1162">
        <v>0</v>
      </c>
      <c r="N1162" s="98" t="str">
        <f>IF(record[[#This Row],[Memo]]="Browser:chrome os:android","平板報工",IF(record[[#This Row],[Memo]]=0,"委外",record[[#This Row],[Memo]]))</f>
        <v/>
      </c>
      <c r="O1162" t="s">
        <v>58</v>
      </c>
      <c r="P1162" t="s">
        <v>127</v>
      </c>
      <c r="Q1162" t="s">
        <v>58</v>
      </c>
      <c r="R1162" t="str">
        <f>IFERROR(VLOOKUP(record[[#This Row],[PCUSTID]],廠商[],2,FALSE),"")</f>
        <v/>
      </c>
      <c r="S1162" t="str">
        <f>VLOOKUP(record[[#This Row],[employeeID]],員工[],2,FALSE)</f>
        <v>潘雪梅</v>
      </c>
    </row>
    <row r="1163" spans="6:19" hidden="1" x14ac:dyDescent="0.25">
      <c r="F1163" t="s">
        <v>1822</v>
      </c>
      <c r="G1163" t="s">
        <v>450</v>
      </c>
      <c r="H1163" t="str">
        <f>VLOOKUP(record[[#This Row],[ProcessSN]],表格2_7[],2,FALSE)</f>
        <v>30-4118-018-6XX</v>
      </c>
      <c r="I1163" t="str">
        <f>VLOOKUP(record[[#This Row],[ProcessSN]],表格2_7[],3,FALSE)</f>
        <v>#06</v>
      </c>
      <c r="J1163" t="s">
        <v>593</v>
      </c>
      <c r="K1163" s="195">
        <v>46136.982534722221</v>
      </c>
      <c r="L1163">
        <v>67</v>
      </c>
      <c r="M1163">
        <v>0</v>
      </c>
      <c r="N1163" s="98" t="str">
        <f>IF(record[[#This Row],[Memo]]="Browser:chrome os:android","平板報工",IF(record[[#This Row],[Memo]]=0,"委外",record[[#This Row],[Memo]]))</f>
        <v>平板報工</v>
      </c>
      <c r="O1163" t="s">
        <v>643</v>
      </c>
      <c r="P1163" t="s">
        <v>841</v>
      </c>
      <c r="Q1163" t="s">
        <v>644</v>
      </c>
      <c r="R1163" t="str">
        <f>IFERROR(VLOOKUP(record[[#This Row],[PCUSTID]],廠商[],2,FALSE),"")</f>
        <v/>
      </c>
      <c r="S1163" t="str">
        <f>VLOOKUP(record[[#This Row],[employeeID]],員工[],2,FALSE)</f>
        <v>范氏香</v>
      </c>
    </row>
    <row r="1164" spans="6:19" hidden="1" x14ac:dyDescent="0.25">
      <c r="F1164" t="s">
        <v>1859</v>
      </c>
      <c r="G1164" t="s">
        <v>450</v>
      </c>
      <c r="H1164" t="str">
        <f>VLOOKUP(record[[#This Row],[ProcessSN]],表格2_7[],2,FALSE)</f>
        <v>30-4118-018-6XX</v>
      </c>
      <c r="I1164" t="str">
        <f>VLOOKUP(record[[#This Row],[ProcessSN]],表格2_7[],3,FALSE)</f>
        <v>#06</v>
      </c>
      <c r="J1164" t="s">
        <v>593</v>
      </c>
      <c r="K1164" s="195">
        <v>46136.982303240744</v>
      </c>
      <c r="L1164">
        <v>67</v>
      </c>
      <c r="M1164">
        <v>0</v>
      </c>
      <c r="N1164" s="98" t="str">
        <f>IF(record[[#This Row],[Memo]]="Browser:chrome os:android","平板報工",IF(record[[#This Row],[Memo]]=0,"委外",record[[#This Row],[Memo]]))</f>
        <v>平板報工</v>
      </c>
      <c r="O1164" t="s">
        <v>643</v>
      </c>
      <c r="P1164" t="s">
        <v>841</v>
      </c>
      <c r="Q1164" t="s">
        <v>644</v>
      </c>
      <c r="R1164" t="str">
        <f>IFERROR(VLOOKUP(record[[#This Row],[PCUSTID]],廠商[],2,FALSE),"")</f>
        <v/>
      </c>
      <c r="S1164" t="str">
        <f>VLOOKUP(record[[#This Row],[employeeID]],員工[],2,FALSE)</f>
        <v>范氏香</v>
      </c>
    </row>
    <row r="1165" spans="6:19" hidden="1" x14ac:dyDescent="0.25">
      <c r="F1165" t="s">
        <v>1859</v>
      </c>
      <c r="G1165" t="s">
        <v>449</v>
      </c>
      <c r="H1165" t="str">
        <f>VLOOKUP(record[[#This Row],[ProcessSN]],表格2_7[],2,FALSE)</f>
        <v>30-4118-018-6XX</v>
      </c>
      <c r="I1165" t="str">
        <f>VLOOKUP(record[[#This Row],[ProcessSN]],表格2_7[],3,FALSE)</f>
        <v>#05</v>
      </c>
      <c r="J1165" t="s">
        <v>588</v>
      </c>
      <c r="K1165" s="195">
        <v>46136.981273148151</v>
      </c>
      <c r="L1165">
        <v>120</v>
      </c>
      <c r="M1165">
        <v>0</v>
      </c>
      <c r="N1165" s="98" t="str">
        <f>IF(record[[#This Row],[Memo]]="Browser:chrome os:android","平板報工",IF(record[[#This Row],[Memo]]=0,"委外",record[[#This Row],[Memo]]))</f>
        <v>平板報工</v>
      </c>
      <c r="O1165" t="s">
        <v>643</v>
      </c>
      <c r="P1165" t="s">
        <v>1098</v>
      </c>
      <c r="Q1165" t="s">
        <v>644</v>
      </c>
      <c r="R1165" t="str">
        <f>IFERROR(VLOOKUP(record[[#This Row],[PCUSTID]],廠商[],2,FALSE),"")</f>
        <v/>
      </c>
      <c r="S1165" t="str">
        <f>VLOOKUP(record[[#This Row],[employeeID]],員工[],2,FALSE)</f>
        <v>阮氏芳英(英)</v>
      </c>
    </row>
    <row r="1166" spans="6:19" hidden="1" x14ac:dyDescent="0.25">
      <c r="F1166" t="s">
        <v>1822</v>
      </c>
      <c r="G1166" t="s">
        <v>449</v>
      </c>
      <c r="H1166" t="str">
        <f>VLOOKUP(record[[#This Row],[ProcessSN]],表格2_7[],2,FALSE)</f>
        <v>30-4118-018-6XX</v>
      </c>
      <c r="I1166" t="str">
        <f>VLOOKUP(record[[#This Row],[ProcessSN]],表格2_7[],3,FALSE)</f>
        <v>#05</v>
      </c>
      <c r="J1166" t="s">
        <v>588</v>
      </c>
      <c r="K1166" s="195">
        <v>46136.981076388889</v>
      </c>
      <c r="L1166">
        <v>140</v>
      </c>
      <c r="M1166">
        <v>0</v>
      </c>
      <c r="N1166" s="98" t="str">
        <f>IF(record[[#This Row],[Memo]]="Browser:chrome os:android","平板報工",IF(record[[#This Row],[Memo]]=0,"委外",record[[#This Row],[Memo]]))</f>
        <v>平板報工</v>
      </c>
      <c r="O1166" t="s">
        <v>643</v>
      </c>
      <c r="P1166" t="s">
        <v>1098</v>
      </c>
      <c r="Q1166" t="s">
        <v>644</v>
      </c>
      <c r="R1166" t="str">
        <f>IFERROR(VLOOKUP(record[[#This Row],[PCUSTID]],廠商[],2,FALSE),"")</f>
        <v/>
      </c>
      <c r="S1166" t="str">
        <f>VLOOKUP(record[[#This Row],[employeeID]],員工[],2,FALSE)</f>
        <v>阮氏芳英(英)</v>
      </c>
    </row>
    <row r="1167" spans="6:19" hidden="1" x14ac:dyDescent="0.25">
      <c r="F1167" t="s">
        <v>1859</v>
      </c>
      <c r="G1167" t="s">
        <v>451</v>
      </c>
      <c r="H1167" t="str">
        <f>VLOOKUP(record[[#This Row],[ProcessSN]],表格2_7[],2,FALSE)</f>
        <v>30-4118-018-6XX</v>
      </c>
      <c r="I1167" t="str">
        <f>VLOOKUP(record[[#This Row],[ProcessSN]],表格2_7[],3,FALSE)</f>
        <v>#07</v>
      </c>
      <c r="J1167" t="s">
        <v>588</v>
      </c>
      <c r="K1167" s="195">
        <v>46136.980486111112</v>
      </c>
      <c r="L1167">
        <v>45</v>
      </c>
      <c r="M1167">
        <v>5</v>
      </c>
      <c r="N1167" s="98" t="str">
        <f>IF(record[[#This Row],[Memo]]="Browser:chrome os:android","平板報工",IF(record[[#This Row],[Memo]]=0,"委外",record[[#This Row],[Memo]]))</f>
        <v>平板報工</v>
      </c>
      <c r="O1167" t="s">
        <v>643</v>
      </c>
      <c r="P1167" t="s">
        <v>1098</v>
      </c>
      <c r="Q1167" t="s">
        <v>644</v>
      </c>
      <c r="R1167" t="str">
        <f>IFERROR(VLOOKUP(record[[#This Row],[PCUSTID]],廠商[],2,FALSE),"")</f>
        <v/>
      </c>
      <c r="S1167" t="str">
        <f>VLOOKUP(record[[#This Row],[employeeID]],員工[],2,FALSE)</f>
        <v>阮氏芳英(英)</v>
      </c>
    </row>
    <row r="1168" spans="6:19" hidden="1" x14ac:dyDescent="0.25">
      <c r="F1168" t="s">
        <v>1859</v>
      </c>
      <c r="G1168" t="s">
        <v>448</v>
      </c>
      <c r="H1168" t="str">
        <f>VLOOKUP(record[[#This Row],[ProcessSN]],表格2_7[],2,FALSE)</f>
        <v>30-4118-018-6XX</v>
      </c>
      <c r="I1168" t="str">
        <f>VLOOKUP(record[[#This Row],[ProcessSN]],表格2_7[],3,FALSE)</f>
        <v>#04</v>
      </c>
      <c r="J1168" t="s">
        <v>588</v>
      </c>
      <c r="K1168" s="195">
        <v>46136.979201388887</v>
      </c>
      <c r="L1168">
        <v>60</v>
      </c>
      <c r="M1168">
        <v>0</v>
      </c>
      <c r="N1168" s="98" t="str">
        <f>IF(record[[#This Row],[Memo]]="Browser:chrome os:android","平板報工",IF(record[[#This Row],[Memo]]=0,"委外",record[[#This Row],[Memo]]))</f>
        <v>平板報工</v>
      </c>
      <c r="O1168" t="s">
        <v>643</v>
      </c>
      <c r="P1168" t="s">
        <v>127</v>
      </c>
      <c r="Q1168" t="s">
        <v>644</v>
      </c>
      <c r="R1168" t="str">
        <f>IFERROR(VLOOKUP(record[[#This Row],[PCUSTID]],廠商[],2,FALSE),"")</f>
        <v/>
      </c>
      <c r="S1168" t="str">
        <f>VLOOKUP(record[[#This Row],[employeeID]],員工[],2,FALSE)</f>
        <v>潘雪梅</v>
      </c>
    </row>
    <row r="1169" spans="6:19" hidden="1" x14ac:dyDescent="0.25">
      <c r="F1169" t="s">
        <v>1822</v>
      </c>
      <c r="G1169" t="s">
        <v>448</v>
      </c>
      <c r="H1169" t="str">
        <f>VLOOKUP(record[[#This Row],[ProcessSN]],表格2_7[],2,FALSE)</f>
        <v>30-4118-018-6XX</v>
      </c>
      <c r="I1169" t="str">
        <f>VLOOKUP(record[[#This Row],[ProcessSN]],表格2_7[],3,FALSE)</f>
        <v>#04</v>
      </c>
      <c r="J1169" t="s">
        <v>588</v>
      </c>
      <c r="K1169" s="195">
        <v>46136.978912037041</v>
      </c>
      <c r="L1169">
        <v>43</v>
      </c>
      <c r="M1169">
        <v>0</v>
      </c>
      <c r="N1169" s="98" t="str">
        <f>IF(record[[#This Row],[Memo]]="Browser:chrome os:android","平板報工",IF(record[[#This Row],[Memo]]=0,"委外",record[[#This Row],[Memo]]))</f>
        <v>平板報工</v>
      </c>
      <c r="O1169" t="s">
        <v>643</v>
      </c>
      <c r="P1169" t="s">
        <v>127</v>
      </c>
      <c r="Q1169" t="s">
        <v>644</v>
      </c>
      <c r="R1169" t="str">
        <f>IFERROR(VLOOKUP(record[[#This Row],[PCUSTID]],廠商[],2,FALSE),"")</f>
        <v/>
      </c>
      <c r="S1169" t="str">
        <f>VLOOKUP(record[[#This Row],[employeeID]],員工[],2,FALSE)</f>
        <v>潘雪梅</v>
      </c>
    </row>
    <row r="1170" spans="6:19" hidden="1" x14ac:dyDescent="0.25">
      <c r="F1170" t="s">
        <v>1822</v>
      </c>
      <c r="G1170" t="s">
        <v>451</v>
      </c>
      <c r="H1170" t="str">
        <f>VLOOKUP(record[[#This Row],[ProcessSN]],表格2_7[],2,FALSE)</f>
        <v>30-4118-018-6XX</v>
      </c>
      <c r="I1170" t="str">
        <f>VLOOKUP(record[[#This Row],[ProcessSN]],表格2_7[],3,FALSE)</f>
        <v>#07</v>
      </c>
      <c r="J1170" t="s">
        <v>588</v>
      </c>
      <c r="K1170" s="195">
        <v>46136.974537037036</v>
      </c>
      <c r="L1170">
        <v>185</v>
      </c>
      <c r="M1170">
        <v>0</v>
      </c>
      <c r="N1170" s="98" t="str">
        <f>IF(record[[#This Row],[Memo]]="Browser:chrome os:android","平板報工",IF(record[[#This Row],[Memo]]=0,"委外",record[[#This Row],[Memo]]))</f>
        <v>平板報工</v>
      </c>
      <c r="O1170" t="s">
        <v>643</v>
      </c>
      <c r="P1170" t="s">
        <v>1098</v>
      </c>
      <c r="Q1170" t="s">
        <v>644</v>
      </c>
      <c r="R1170" t="str">
        <f>IFERROR(VLOOKUP(record[[#This Row],[PCUSTID]],廠商[],2,FALSE),"")</f>
        <v/>
      </c>
      <c r="S1170" t="str">
        <f>VLOOKUP(record[[#This Row],[employeeID]],員工[],2,FALSE)</f>
        <v>阮氏芳英(英)</v>
      </c>
    </row>
    <row r="1171" spans="6:19" hidden="1" x14ac:dyDescent="0.25">
      <c r="F1171" t="s">
        <v>1859</v>
      </c>
      <c r="G1171" t="s">
        <v>448</v>
      </c>
      <c r="H1171" t="str">
        <f>VLOOKUP(record[[#This Row],[ProcessSN]],表格2_7[],2,FALSE)</f>
        <v>30-4118-018-6XX</v>
      </c>
      <c r="I1171" t="str">
        <f>VLOOKUP(record[[#This Row],[ProcessSN]],表格2_7[],3,FALSE)</f>
        <v>#04</v>
      </c>
      <c r="J1171" t="s">
        <v>588</v>
      </c>
      <c r="K1171" s="195">
        <v>46136.833657407406</v>
      </c>
      <c r="L1171">
        <v>60</v>
      </c>
      <c r="M1171">
        <v>0</v>
      </c>
      <c r="N1171" s="98" t="str">
        <f>IF(record[[#This Row],[Memo]]="Browser:chrome os:android","平板報工",IF(record[[#This Row],[Memo]]=0,"委外",record[[#This Row],[Memo]]))</f>
        <v/>
      </c>
      <c r="O1171" t="s">
        <v>58</v>
      </c>
      <c r="P1171" t="s">
        <v>188</v>
      </c>
      <c r="Q1171" t="s">
        <v>58</v>
      </c>
      <c r="R1171" t="str">
        <f>IFERROR(VLOOKUP(record[[#This Row],[PCUSTID]],廠商[],2,FALSE),"")</f>
        <v/>
      </c>
      <c r="S1171" t="str">
        <f>VLOOKUP(record[[#This Row],[employeeID]],員工[],2,FALSE)</f>
        <v>阮氏璧紅</v>
      </c>
    </row>
    <row r="1172" spans="6:19" hidden="1" x14ac:dyDescent="0.25">
      <c r="F1172" t="s">
        <v>1822</v>
      </c>
      <c r="G1172" t="s">
        <v>448</v>
      </c>
      <c r="H1172" t="str">
        <f>VLOOKUP(record[[#This Row],[ProcessSN]],表格2_7[],2,FALSE)</f>
        <v>30-4118-018-6XX</v>
      </c>
      <c r="I1172" t="str">
        <f>VLOOKUP(record[[#This Row],[ProcessSN]],表格2_7[],3,FALSE)</f>
        <v>#04</v>
      </c>
      <c r="J1172" t="s">
        <v>588</v>
      </c>
      <c r="K1172" s="195">
        <v>46136.833506944444</v>
      </c>
      <c r="L1172">
        <v>60</v>
      </c>
      <c r="M1172">
        <v>0</v>
      </c>
      <c r="N1172" s="98" t="str">
        <f>IF(record[[#This Row],[Memo]]="Browser:chrome os:android","平板報工",IF(record[[#This Row],[Memo]]=0,"委外",record[[#This Row],[Memo]]))</f>
        <v/>
      </c>
      <c r="O1172" t="s">
        <v>58</v>
      </c>
      <c r="P1172" t="s">
        <v>188</v>
      </c>
      <c r="Q1172" t="s">
        <v>58</v>
      </c>
      <c r="R1172" t="str">
        <f>IFERROR(VLOOKUP(record[[#This Row],[PCUSTID]],廠商[],2,FALSE),"")</f>
        <v/>
      </c>
      <c r="S1172" t="str">
        <f>VLOOKUP(record[[#This Row],[employeeID]],員工[],2,FALSE)</f>
        <v>阮氏璧紅</v>
      </c>
    </row>
    <row r="1173" spans="6:19" hidden="1" x14ac:dyDescent="0.25">
      <c r="F1173" t="s">
        <v>1859</v>
      </c>
      <c r="G1173" t="s">
        <v>450</v>
      </c>
      <c r="H1173" t="str">
        <f>VLOOKUP(record[[#This Row],[ProcessSN]],表格2_7[],2,FALSE)</f>
        <v>30-4118-018-6XX</v>
      </c>
      <c r="I1173" t="str">
        <f>VLOOKUP(record[[#This Row],[ProcessSN]],表格2_7[],3,FALSE)</f>
        <v>#06</v>
      </c>
      <c r="J1173" t="s">
        <v>593</v>
      </c>
      <c r="K1173" s="195">
        <v>46136.829791666663</v>
      </c>
      <c r="L1173">
        <v>107</v>
      </c>
      <c r="M1173">
        <v>0</v>
      </c>
      <c r="N1173" s="98" t="str">
        <f>IF(record[[#This Row],[Memo]]="Browser:chrome os:android","平板報工",IF(record[[#This Row],[Memo]]=0,"委外",record[[#This Row],[Memo]]))</f>
        <v>平板報工</v>
      </c>
      <c r="O1173" t="s">
        <v>643</v>
      </c>
      <c r="P1173" t="s">
        <v>1413</v>
      </c>
      <c r="Q1173" t="s">
        <v>644</v>
      </c>
      <c r="R1173" t="str">
        <f>IFERROR(VLOOKUP(record[[#This Row],[PCUSTID]],廠商[],2,FALSE),"")</f>
        <v/>
      </c>
      <c r="S1173" t="str">
        <f>VLOOKUP(record[[#This Row],[employeeID]],員工[],2,FALSE)</f>
        <v>阮氏芳英(芳)</v>
      </c>
    </row>
    <row r="1174" spans="6:19" hidden="1" x14ac:dyDescent="0.25">
      <c r="F1174" t="s">
        <v>1815</v>
      </c>
      <c r="G1174" t="s">
        <v>451</v>
      </c>
      <c r="H1174" t="str">
        <f>VLOOKUP(record[[#This Row],[ProcessSN]],表格2_7[],2,FALSE)</f>
        <v>30-4118-018-6XX</v>
      </c>
      <c r="I1174" t="str">
        <f>VLOOKUP(record[[#This Row],[ProcessSN]],表格2_7[],3,FALSE)</f>
        <v>#07</v>
      </c>
      <c r="J1174" t="s">
        <v>588</v>
      </c>
      <c r="K1174" s="195">
        <v>46136.800486111111</v>
      </c>
      <c r="L1174">
        <v>61</v>
      </c>
      <c r="M1174">
        <v>3</v>
      </c>
      <c r="N1174" s="98" t="str">
        <f>IF(record[[#This Row],[Memo]]="Browser:chrome os:android","平板報工",IF(record[[#This Row],[Memo]]=0,"委外",record[[#This Row],[Memo]]))</f>
        <v>覆回*2PCS(4/24)</v>
      </c>
      <c r="O1174" t="s">
        <v>1914</v>
      </c>
      <c r="P1174" t="s">
        <v>101</v>
      </c>
      <c r="Q1174" t="s">
        <v>58</v>
      </c>
      <c r="R1174" t="str">
        <f>IFERROR(VLOOKUP(record[[#This Row],[PCUSTID]],廠商[],2,FALSE),"")</f>
        <v/>
      </c>
      <c r="S1174" t="str">
        <f>VLOOKUP(record[[#This Row],[employeeID]],員工[],2,FALSE)</f>
        <v>陳氏絨</v>
      </c>
    </row>
    <row r="1175" spans="6:19" hidden="1" x14ac:dyDescent="0.25">
      <c r="F1175" t="s">
        <v>1803</v>
      </c>
      <c r="G1175" t="s">
        <v>418</v>
      </c>
      <c r="H1175" t="str">
        <f>VLOOKUP(record[[#This Row],[ProcessSN]],表格2_7[],2,FALSE)</f>
        <v>30-4118-018-5XX</v>
      </c>
      <c r="I1175" t="str">
        <f>VLOOKUP(record[[#This Row],[ProcessSN]],表格2_7[],3,FALSE)</f>
        <v>#07</v>
      </c>
      <c r="J1175" t="s">
        <v>588</v>
      </c>
      <c r="K1175" s="195">
        <v>46136.799317129633</v>
      </c>
      <c r="L1175">
        <v>184</v>
      </c>
      <c r="M1175">
        <v>3</v>
      </c>
      <c r="N1175" s="98" t="str">
        <f>IF(record[[#This Row],[Memo]]="Browser:chrome os:android","平板報工",IF(record[[#This Row],[Memo]]=0,"委外",record[[#This Row],[Memo]]))</f>
        <v>覆回*1PCS(4/24)</v>
      </c>
      <c r="O1175" t="s">
        <v>1913</v>
      </c>
      <c r="P1175" t="s">
        <v>101</v>
      </c>
      <c r="Q1175" t="s">
        <v>58</v>
      </c>
      <c r="R1175" t="str">
        <f>IFERROR(VLOOKUP(record[[#This Row],[PCUSTID]],廠商[],2,FALSE),"")</f>
        <v/>
      </c>
      <c r="S1175" t="str">
        <f>VLOOKUP(record[[#This Row],[employeeID]],員工[],2,FALSE)</f>
        <v>陳氏絨</v>
      </c>
    </row>
    <row r="1176" spans="6:19" hidden="1" x14ac:dyDescent="0.25">
      <c r="F1176" t="s">
        <v>1818</v>
      </c>
      <c r="G1176" t="s">
        <v>470</v>
      </c>
      <c r="H1176" t="str">
        <f>VLOOKUP(record[[#This Row],[ProcessSN]],表格2_7[],2,FALSE)</f>
        <v>30-4118-018-XXX</v>
      </c>
      <c r="I1176" t="str">
        <f>VLOOKUP(record[[#This Row],[ProcessSN]],表格2_7[],3,FALSE)</f>
        <v>#02IQC</v>
      </c>
      <c r="J1176" t="s">
        <v>583</v>
      </c>
      <c r="K1176" s="195">
        <v>46136.76662037037</v>
      </c>
      <c r="L1176">
        <v>421</v>
      </c>
      <c r="M1176">
        <v>0</v>
      </c>
      <c r="N1176" s="98" t="str">
        <f>IF(record[[#This Row],[Memo]]="Browser:chrome os:android","平板報工",IF(record[[#This Row],[Memo]]=0,"委外",record[[#This Row],[Memo]]))</f>
        <v/>
      </c>
      <c r="O1176" t="s">
        <v>58</v>
      </c>
      <c r="P1176" t="s">
        <v>109</v>
      </c>
      <c r="Q1176" t="s">
        <v>58</v>
      </c>
      <c r="R1176" t="str">
        <f>IFERROR(VLOOKUP(record[[#This Row],[PCUSTID]],廠商[],2,FALSE),"")</f>
        <v/>
      </c>
      <c r="S1176" t="str">
        <f>VLOOKUP(record[[#This Row],[employeeID]],員工[],2,FALSE)</f>
        <v>裴氏璧鳳</v>
      </c>
    </row>
    <row r="1177" spans="6:19" hidden="1" x14ac:dyDescent="0.25">
      <c r="F1177" t="s">
        <v>1787</v>
      </c>
      <c r="G1177" t="s">
        <v>470</v>
      </c>
      <c r="H1177" t="str">
        <f>VLOOKUP(record[[#This Row],[ProcessSN]],表格2_7[],2,FALSE)</f>
        <v>30-4118-018-XXX</v>
      </c>
      <c r="I1177" t="str">
        <f>VLOOKUP(record[[#This Row],[ProcessSN]],表格2_7[],3,FALSE)</f>
        <v>#02IQC</v>
      </c>
      <c r="J1177" t="s">
        <v>583</v>
      </c>
      <c r="K1177" s="195">
        <v>46136.766469907408</v>
      </c>
      <c r="L1177">
        <v>336</v>
      </c>
      <c r="M1177">
        <v>0</v>
      </c>
      <c r="N1177" s="98" t="str">
        <f>IF(record[[#This Row],[Memo]]="Browser:chrome os:android","平板報工",IF(record[[#This Row],[Memo]]=0,"委外",record[[#This Row],[Memo]]))</f>
        <v/>
      </c>
      <c r="O1177" t="s">
        <v>58</v>
      </c>
      <c r="P1177" t="s">
        <v>109</v>
      </c>
      <c r="Q1177" t="s">
        <v>58</v>
      </c>
      <c r="R1177" t="str">
        <f>IFERROR(VLOOKUP(record[[#This Row],[PCUSTID]],廠商[],2,FALSE),"")</f>
        <v/>
      </c>
      <c r="S1177" t="str">
        <f>VLOOKUP(record[[#This Row],[employeeID]],員工[],2,FALSE)</f>
        <v>裴氏璧鳳</v>
      </c>
    </row>
    <row r="1178" spans="6:19" hidden="1" x14ac:dyDescent="0.25">
      <c r="F1178" t="s">
        <v>1772</v>
      </c>
      <c r="G1178" t="s">
        <v>470</v>
      </c>
      <c r="H1178" t="str">
        <f>VLOOKUP(record[[#This Row],[ProcessSN]],表格2_7[],2,FALSE)</f>
        <v>30-4118-018-XXX</v>
      </c>
      <c r="I1178" t="str">
        <f>VLOOKUP(record[[#This Row],[ProcessSN]],表格2_7[],3,FALSE)</f>
        <v>#02IQC</v>
      </c>
      <c r="J1178" t="s">
        <v>583</v>
      </c>
      <c r="K1178" s="195">
        <v>46136.766342592593</v>
      </c>
      <c r="L1178">
        <v>899</v>
      </c>
      <c r="M1178">
        <v>0</v>
      </c>
      <c r="N1178" s="98" t="str">
        <f>IF(record[[#This Row],[Memo]]="Browser:chrome os:android","平板報工",IF(record[[#This Row],[Memo]]=0,"委外",record[[#This Row],[Memo]]))</f>
        <v/>
      </c>
      <c r="O1178" t="s">
        <v>58</v>
      </c>
      <c r="P1178" t="s">
        <v>109</v>
      </c>
      <c r="Q1178" t="s">
        <v>58</v>
      </c>
      <c r="R1178" t="str">
        <f>IFERROR(VLOOKUP(record[[#This Row],[PCUSTID]],廠商[],2,FALSE),"")</f>
        <v/>
      </c>
      <c r="S1178" t="str">
        <f>VLOOKUP(record[[#This Row],[employeeID]],員工[],2,FALSE)</f>
        <v>裴氏璧鳳</v>
      </c>
    </row>
    <row r="1179" spans="6:19" hidden="1" x14ac:dyDescent="0.25">
      <c r="F1179" t="s">
        <v>1868</v>
      </c>
      <c r="G1179" t="s">
        <v>425</v>
      </c>
      <c r="H1179" t="str">
        <f>VLOOKUP(record[[#This Row],[ProcessSN]],表格2_7[],2,FALSE)</f>
        <v>30-4118-018-600</v>
      </c>
      <c r="I1179" t="str">
        <f>VLOOKUP(record[[#This Row],[ProcessSN]],表格2_7[],3,FALSE)</f>
        <v>#100</v>
      </c>
      <c r="J1179" t="s">
        <v>598</v>
      </c>
      <c r="K1179" s="195">
        <v>46136.743159722224</v>
      </c>
      <c r="L1179">
        <v>168</v>
      </c>
      <c r="M1179">
        <v>0</v>
      </c>
      <c r="N1179" s="98" t="str">
        <f>IF(record[[#This Row],[Memo]]="Browser:chrome os:android","平板報工",IF(record[[#This Row],[Memo]]=0,"委外",record[[#This Row],[Memo]]))</f>
        <v/>
      </c>
      <c r="O1179" t="s">
        <v>58</v>
      </c>
      <c r="P1179" t="s">
        <v>99</v>
      </c>
      <c r="Q1179" t="s">
        <v>58</v>
      </c>
      <c r="R1179" t="str">
        <f>IFERROR(VLOOKUP(record[[#This Row],[PCUSTID]],廠商[],2,FALSE),"")</f>
        <v/>
      </c>
      <c r="S1179" t="str">
        <f>VLOOKUP(record[[#This Row],[employeeID]],員工[],2,FALSE)</f>
        <v>阮氏河</v>
      </c>
    </row>
    <row r="1180" spans="6:19" hidden="1" x14ac:dyDescent="0.25">
      <c r="F1180" t="s">
        <v>1906</v>
      </c>
      <c r="G1180" t="s">
        <v>413</v>
      </c>
      <c r="H1180" t="str">
        <f>VLOOKUP(record[[#This Row],[ProcessSN]],表格2_7[],2,FALSE)</f>
        <v>30-4118-018-5XX</v>
      </c>
      <c r="I1180" t="str">
        <f>VLOOKUP(record[[#This Row],[ProcessSN]],表格2_7[],3,FALSE)</f>
        <v>#03GIVE</v>
      </c>
      <c r="J1180" t="s">
        <v>587</v>
      </c>
      <c r="K1180" s="195">
        <v>46136.677685185183</v>
      </c>
      <c r="L1180">
        <v>2000</v>
      </c>
      <c r="M1180">
        <v>0</v>
      </c>
      <c r="N1180" s="98" t="str">
        <f>IF(record[[#This Row],[Memo]]="Browser:chrome os:android","平板報工",IF(record[[#This Row],[Memo]]=0,"委外",record[[#This Row],[Memo]]))</f>
        <v/>
      </c>
      <c r="O1180" t="s">
        <v>58</v>
      </c>
      <c r="P1180" t="s">
        <v>1698</v>
      </c>
      <c r="Q1180" t="s">
        <v>58</v>
      </c>
      <c r="R1180" t="str">
        <f>IFERROR(VLOOKUP(record[[#This Row],[PCUSTID]],廠商[],2,FALSE),"")</f>
        <v/>
      </c>
      <c r="S1180" t="str">
        <f>VLOOKUP(record[[#This Row],[employeeID]],員工[],2,FALSE)</f>
        <v>羅思潔</v>
      </c>
    </row>
    <row r="1181" spans="6:19" hidden="1" x14ac:dyDescent="0.25">
      <c r="F1181" t="s">
        <v>1909</v>
      </c>
      <c r="G1181" t="s">
        <v>372</v>
      </c>
      <c r="H1181" t="str">
        <f>VLOOKUP(record[[#This Row],[ProcessSN]],表格2_7[],2,FALSE)</f>
        <v>30-4118-018-4XX</v>
      </c>
      <c r="I1181" t="str">
        <f>VLOOKUP(record[[#This Row],[ProcessSN]],表格2_7[],3,FALSE)</f>
        <v>#03GIVE</v>
      </c>
      <c r="J1181" t="s">
        <v>587</v>
      </c>
      <c r="K1181" s="195">
        <v>46136.677511574075</v>
      </c>
      <c r="L1181">
        <v>1500</v>
      </c>
      <c r="M1181">
        <v>0</v>
      </c>
      <c r="N1181" s="98" t="str">
        <f>IF(record[[#This Row],[Memo]]="Browser:chrome os:android","平板報工",IF(record[[#This Row],[Memo]]=0,"委外",record[[#This Row],[Memo]]))</f>
        <v/>
      </c>
      <c r="O1181" t="s">
        <v>58</v>
      </c>
      <c r="P1181" t="s">
        <v>1698</v>
      </c>
      <c r="Q1181" t="s">
        <v>58</v>
      </c>
      <c r="R1181" t="str">
        <f>IFERROR(VLOOKUP(record[[#This Row],[PCUSTID]],廠商[],2,FALSE),"")</f>
        <v/>
      </c>
      <c r="S1181" t="str">
        <f>VLOOKUP(record[[#This Row],[employeeID]],員工[],2,FALSE)</f>
        <v>羅思潔</v>
      </c>
    </row>
    <row r="1182" spans="6:19" hidden="1" x14ac:dyDescent="0.25">
      <c r="F1182" t="s">
        <v>1839</v>
      </c>
      <c r="G1182" t="s">
        <v>384</v>
      </c>
      <c r="H1182" t="str">
        <f>VLOOKUP(record[[#This Row],[ProcessSN]],表格2_7[],2,FALSE)</f>
        <v>30-4118-018-500</v>
      </c>
      <c r="I1182" t="str">
        <f>VLOOKUP(record[[#This Row],[ProcessSN]],表格2_7[],3,FALSE)</f>
        <v>#100</v>
      </c>
      <c r="J1182" t="s">
        <v>598</v>
      </c>
      <c r="K1182" s="195">
        <v>46136.66777777778</v>
      </c>
      <c r="L1182">
        <v>1</v>
      </c>
      <c r="M1182">
        <v>0</v>
      </c>
      <c r="N1182" s="98" t="str">
        <f>IF(record[[#This Row],[Memo]]="Browser:chrome os:android","平板報工",IF(record[[#This Row],[Memo]]=0,"委外",record[[#This Row],[Memo]]))</f>
        <v/>
      </c>
      <c r="O1182" t="s">
        <v>58</v>
      </c>
      <c r="P1182" t="s">
        <v>141</v>
      </c>
      <c r="Q1182" t="s">
        <v>58</v>
      </c>
      <c r="R1182" t="str">
        <f>IFERROR(VLOOKUP(record[[#This Row],[PCUSTID]],廠商[],2,FALSE),"")</f>
        <v/>
      </c>
      <c r="S1182" t="str">
        <f>VLOOKUP(record[[#This Row],[employeeID]],員工[],2,FALSE)</f>
        <v>蔣梅</v>
      </c>
    </row>
    <row r="1183" spans="6:19" hidden="1" x14ac:dyDescent="0.25">
      <c r="F1183" t="s">
        <v>1874</v>
      </c>
      <c r="G1183" t="s">
        <v>367</v>
      </c>
      <c r="H1183" t="str">
        <f>VLOOKUP(record[[#This Row],[ProcessSN]],表格2_7[],2,FALSE)</f>
        <v>30-4118-018-470</v>
      </c>
      <c r="I1183" t="str">
        <f>VLOOKUP(record[[#This Row],[ProcessSN]],表格2_7[],3,FALSE)</f>
        <v>#100</v>
      </c>
      <c r="J1183" t="s">
        <v>598</v>
      </c>
      <c r="K1183" s="195">
        <v>46136.663726851853</v>
      </c>
      <c r="L1183">
        <v>0</v>
      </c>
      <c r="M1183">
        <v>17</v>
      </c>
      <c r="N1183" s="98" t="str">
        <f>IF(record[[#This Row],[Memo]]="Browser:chrome os:android","平板報工",IF(record[[#This Row],[Memo]]=0,"委外",record[[#This Row],[Memo]]))</f>
        <v/>
      </c>
      <c r="O1183" t="s">
        <v>58</v>
      </c>
      <c r="P1183" t="s">
        <v>141</v>
      </c>
      <c r="Q1183" t="s">
        <v>58</v>
      </c>
      <c r="R1183" t="str">
        <f>IFERROR(VLOOKUP(record[[#This Row],[PCUSTID]],廠商[],2,FALSE),"")</f>
        <v/>
      </c>
      <c r="S1183" t="str">
        <f>VLOOKUP(record[[#This Row],[employeeID]],員工[],2,FALSE)</f>
        <v>蔣梅</v>
      </c>
    </row>
    <row r="1184" spans="6:19" hidden="1" x14ac:dyDescent="0.25">
      <c r="F1184" t="s">
        <v>1874</v>
      </c>
      <c r="G1184" t="s">
        <v>367</v>
      </c>
      <c r="H1184" t="str">
        <f>VLOOKUP(record[[#This Row],[ProcessSN]],表格2_7[],2,FALSE)</f>
        <v>30-4118-018-470</v>
      </c>
      <c r="I1184" t="str">
        <f>VLOOKUP(record[[#This Row],[ProcessSN]],表格2_7[],3,FALSE)</f>
        <v>#100</v>
      </c>
      <c r="J1184" t="s">
        <v>598</v>
      </c>
      <c r="K1184" s="195">
        <v>46136.663240740738</v>
      </c>
      <c r="L1184">
        <v>213</v>
      </c>
      <c r="M1184">
        <v>0</v>
      </c>
      <c r="N1184" s="98" t="str">
        <f>IF(record[[#This Row],[Memo]]="Browser:chrome os:android","平板報工",IF(record[[#This Row],[Memo]]=0,"委外",record[[#This Row],[Memo]]))</f>
        <v/>
      </c>
      <c r="O1184" t="s">
        <v>58</v>
      </c>
      <c r="P1184" t="s">
        <v>141</v>
      </c>
      <c r="Q1184" t="s">
        <v>58</v>
      </c>
      <c r="R1184" t="str">
        <f>IFERROR(VLOOKUP(record[[#This Row],[PCUSTID]],廠商[],2,FALSE),"")</f>
        <v/>
      </c>
      <c r="S1184" t="str">
        <f>VLOOKUP(record[[#This Row],[employeeID]],員工[],2,FALSE)</f>
        <v>蔣梅</v>
      </c>
    </row>
    <row r="1185" spans="6:19" hidden="1" x14ac:dyDescent="0.25">
      <c r="F1185" t="s">
        <v>1822</v>
      </c>
      <c r="G1185" t="s">
        <v>451</v>
      </c>
      <c r="H1185" t="str">
        <f>VLOOKUP(record[[#This Row],[ProcessSN]],表格2_7[],2,FALSE)</f>
        <v>30-4118-018-6XX</v>
      </c>
      <c r="I1185" t="str">
        <f>VLOOKUP(record[[#This Row],[ProcessSN]],表格2_7[],3,FALSE)</f>
        <v>#07</v>
      </c>
      <c r="J1185" t="s">
        <v>588</v>
      </c>
      <c r="K1185" s="195">
        <v>46136.653773148151</v>
      </c>
      <c r="L1185">
        <v>126</v>
      </c>
      <c r="M1185">
        <v>0</v>
      </c>
      <c r="N1185" s="98" t="str">
        <f>IF(record[[#This Row],[Memo]]="Browser:chrome os:android","平板報工",IF(record[[#This Row],[Memo]]=0,"委外",record[[#This Row],[Memo]]))</f>
        <v>平板報工</v>
      </c>
      <c r="O1185" t="s">
        <v>643</v>
      </c>
      <c r="P1185" t="s">
        <v>785</v>
      </c>
      <c r="Q1185" t="s">
        <v>644</v>
      </c>
      <c r="R1185" t="str">
        <f>IFERROR(VLOOKUP(record[[#This Row],[PCUSTID]],廠商[],2,FALSE),"")</f>
        <v/>
      </c>
      <c r="S1185" t="str">
        <f>VLOOKUP(record[[#This Row],[employeeID]],員工[],2,FALSE)</f>
        <v>謝刻光</v>
      </c>
    </row>
    <row r="1186" spans="6:19" hidden="1" x14ac:dyDescent="0.25">
      <c r="F1186" t="s">
        <v>1859</v>
      </c>
      <c r="G1186" t="s">
        <v>450</v>
      </c>
      <c r="H1186" t="str">
        <f>VLOOKUP(record[[#This Row],[ProcessSN]],表格2_7[],2,FALSE)</f>
        <v>30-4118-018-6XX</v>
      </c>
      <c r="I1186" t="str">
        <f>VLOOKUP(record[[#This Row],[ProcessSN]],表格2_7[],3,FALSE)</f>
        <v>#06</v>
      </c>
      <c r="J1186" t="s">
        <v>593</v>
      </c>
      <c r="K1186" s="195">
        <v>46136.649062500001</v>
      </c>
      <c r="L1186">
        <v>61</v>
      </c>
      <c r="M1186">
        <v>0</v>
      </c>
      <c r="N1186" s="98" t="str">
        <f>IF(record[[#This Row],[Memo]]="Browser:chrome os:android","平板報工",IF(record[[#This Row],[Memo]]=0,"委外",record[[#This Row],[Memo]]))</f>
        <v>平板報工</v>
      </c>
      <c r="O1186" t="s">
        <v>643</v>
      </c>
      <c r="P1186" t="s">
        <v>1413</v>
      </c>
      <c r="Q1186" t="s">
        <v>644</v>
      </c>
      <c r="R1186" t="str">
        <f>IFERROR(VLOOKUP(record[[#This Row],[PCUSTID]],廠商[],2,FALSE),"")</f>
        <v/>
      </c>
      <c r="S1186" t="str">
        <f>VLOOKUP(record[[#This Row],[employeeID]],員工[],2,FALSE)</f>
        <v>阮氏芳英(芳)</v>
      </c>
    </row>
    <row r="1187" spans="6:19" hidden="1" x14ac:dyDescent="0.25">
      <c r="F1187" t="s">
        <v>1822</v>
      </c>
      <c r="G1187" t="s">
        <v>450</v>
      </c>
      <c r="H1187" t="str">
        <f>VLOOKUP(record[[#This Row],[ProcessSN]],表格2_7[],2,FALSE)</f>
        <v>30-4118-018-6XX</v>
      </c>
      <c r="I1187" t="str">
        <f>VLOOKUP(record[[#This Row],[ProcessSN]],表格2_7[],3,FALSE)</f>
        <v>#06</v>
      </c>
      <c r="J1187" t="s">
        <v>593</v>
      </c>
      <c r="K1187" s="195">
        <v>46136.64880787037</v>
      </c>
      <c r="L1187">
        <v>72</v>
      </c>
      <c r="M1187">
        <v>0</v>
      </c>
      <c r="N1187" s="98" t="str">
        <f>IF(record[[#This Row],[Memo]]="Browser:chrome os:android","平板報工",IF(record[[#This Row],[Memo]]=0,"委外",record[[#This Row],[Memo]]))</f>
        <v>平板報工</v>
      </c>
      <c r="O1187" t="s">
        <v>643</v>
      </c>
      <c r="P1187" t="s">
        <v>1413</v>
      </c>
      <c r="Q1187" t="s">
        <v>644</v>
      </c>
      <c r="R1187" t="str">
        <f>IFERROR(VLOOKUP(record[[#This Row],[PCUSTID]],廠商[],2,FALSE),"")</f>
        <v/>
      </c>
      <c r="S1187" t="str">
        <f>VLOOKUP(record[[#This Row],[employeeID]],員工[],2,FALSE)</f>
        <v>阮氏芳英(芳)</v>
      </c>
    </row>
    <row r="1188" spans="6:19" hidden="1" x14ac:dyDescent="0.25">
      <c r="F1188" t="s">
        <v>1822</v>
      </c>
      <c r="G1188" t="s">
        <v>449</v>
      </c>
      <c r="H1188" t="str">
        <f>VLOOKUP(record[[#This Row],[ProcessSN]],表格2_7[],2,FALSE)</f>
        <v>30-4118-018-6XX</v>
      </c>
      <c r="I1188" t="str">
        <f>VLOOKUP(record[[#This Row],[ProcessSN]],表格2_7[],3,FALSE)</f>
        <v>#05</v>
      </c>
      <c r="J1188" t="s">
        <v>588</v>
      </c>
      <c r="K1188" s="195">
        <v>46136.647743055553</v>
      </c>
      <c r="L1188">
        <v>95</v>
      </c>
      <c r="M1188">
        <v>0</v>
      </c>
      <c r="N1188" s="98" t="str">
        <f>IF(record[[#This Row],[Memo]]="Browser:chrome os:android","平板報工",IF(record[[#This Row],[Memo]]=0,"委外",record[[#This Row],[Memo]]))</f>
        <v>平板報工</v>
      </c>
      <c r="O1188" t="s">
        <v>643</v>
      </c>
      <c r="P1188" t="s">
        <v>785</v>
      </c>
      <c r="Q1188" t="s">
        <v>644</v>
      </c>
      <c r="R1188" t="str">
        <f>IFERROR(VLOOKUP(record[[#This Row],[PCUSTID]],廠商[],2,FALSE),"")</f>
        <v/>
      </c>
      <c r="S1188" t="str">
        <f>VLOOKUP(record[[#This Row],[employeeID]],員工[],2,FALSE)</f>
        <v>謝刻光</v>
      </c>
    </row>
    <row r="1189" spans="6:19" hidden="1" x14ac:dyDescent="0.25">
      <c r="F1189" t="s">
        <v>1859</v>
      </c>
      <c r="G1189" t="s">
        <v>449</v>
      </c>
      <c r="H1189" t="str">
        <f>VLOOKUP(record[[#This Row],[ProcessSN]],表格2_7[],2,FALSE)</f>
        <v>30-4118-018-6XX</v>
      </c>
      <c r="I1189" t="str">
        <f>VLOOKUP(record[[#This Row],[ProcessSN]],表格2_7[],3,FALSE)</f>
        <v>#05</v>
      </c>
      <c r="J1189" t="s">
        <v>588</v>
      </c>
      <c r="K1189" s="195">
        <v>46136.646550925929</v>
      </c>
      <c r="L1189">
        <v>168</v>
      </c>
      <c r="M1189">
        <v>0</v>
      </c>
      <c r="N1189" s="98" t="str">
        <f>IF(record[[#This Row],[Memo]]="Browser:chrome os:android","平板報工",IF(record[[#This Row],[Memo]]=0,"委外",record[[#This Row],[Memo]]))</f>
        <v>平板報工</v>
      </c>
      <c r="O1189" t="s">
        <v>643</v>
      </c>
      <c r="P1189" t="s">
        <v>785</v>
      </c>
      <c r="Q1189" t="s">
        <v>644</v>
      </c>
      <c r="R1189" t="str">
        <f>IFERROR(VLOOKUP(record[[#This Row],[PCUSTID]],廠商[],2,FALSE),"")</f>
        <v/>
      </c>
      <c r="S1189" t="str">
        <f>VLOOKUP(record[[#This Row],[employeeID]],員工[],2,FALSE)</f>
        <v>謝刻光</v>
      </c>
    </row>
    <row r="1190" spans="6:19" hidden="1" x14ac:dyDescent="0.25">
      <c r="F1190" t="s">
        <v>1822</v>
      </c>
      <c r="G1190" t="s">
        <v>448</v>
      </c>
      <c r="H1190" t="str">
        <f>VLOOKUP(record[[#This Row],[ProcessSN]],表格2_7[],2,FALSE)</f>
        <v>30-4118-018-6XX</v>
      </c>
      <c r="I1190" t="str">
        <f>VLOOKUP(record[[#This Row],[ProcessSN]],表格2_7[],3,FALSE)</f>
        <v>#04</v>
      </c>
      <c r="J1190" t="s">
        <v>588</v>
      </c>
      <c r="K1190" s="195">
        <v>46136.645474537036</v>
      </c>
      <c r="L1190">
        <v>0</v>
      </c>
      <c r="M1190">
        <v>1</v>
      </c>
      <c r="N1190" s="98" t="str">
        <f>IF(record[[#This Row],[Memo]]="Browser:chrome os:android","平板報工",IF(record[[#This Row],[Memo]]=0,"委外",record[[#This Row],[Memo]]))</f>
        <v>平板報工</v>
      </c>
      <c r="O1190" t="s">
        <v>643</v>
      </c>
      <c r="P1190" t="s">
        <v>145</v>
      </c>
      <c r="Q1190" t="s">
        <v>644</v>
      </c>
      <c r="R1190" t="str">
        <f>IFERROR(VLOOKUP(record[[#This Row],[PCUSTID]],廠商[],2,FALSE),"")</f>
        <v/>
      </c>
      <c r="S1190" t="str">
        <f>VLOOKUP(record[[#This Row],[employeeID]],員工[],2,FALSE)</f>
        <v>阮秋霞</v>
      </c>
    </row>
    <row r="1191" spans="6:19" hidden="1" x14ac:dyDescent="0.25">
      <c r="F1191" t="s">
        <v>1859</v>
      </c>
      <c r="G1191" t="s">
        <v>448</v>
      </c>
      <c r="H1191" t="str">
        <f>VLOOKUP(record[[#This Row],[ProcessSN]],表格2_7[],2,FALSE)</f>
        <v>30-4118-018-6XX</v>
      </c>
      <c r="I1191" t="str">
        <f>VLOOKUP(record[[#This Row],[ProcessSN]],表格2_7[],3,FALSE)</f>
        <v>#04</v>
      </c>
      <c r="J1191" t="s">
        <v>588</v>
      </c>
      <c r="K1191" s="195">
        <v>46136.644097222219</v>
      </c>
      <c r="L1191">
        <v>168</v>
      </c>
      <c r="M1191">
        <v>0</v>
      </c>
      <c r="N1191" s="98" t="str">
        <f>IF(record[[#This Row],[Memo]]="Browser:chrome os:android","平板報工",IF(record[[#This Row],[Memo]]=0,"委外",record[[#This Row],[Memo]]))</f>
        <v>平板報工</v>
      </c>
      <c r="O1191" t="s">
        <v>643</v>
      </c>
      <c r="P1191" t="s">
        <v>145</v>
      </c>
      <c r="Q1191" t="s">
        <v>644</v>
      </c>
      <c r="R1191" t="str">
        <f>IFERROR(VLOOKUP(record[[#This Row],[PCUSTID]],廠商[],2,FALSE),"")</f>
        <v/>
      </c>
      <c r="S1191" t="str">
        <f>VLOOKUP(record[[#This Row],[employeeID]],員工[],2,FALSE)</f>
        <v>阮秋霞</v>
      </c>
    </row>
    <row r="1192" spans="6:19" hidden="1" x14ac:dyDescent="0.25">
      <c r="F1192" t="s">
        <v>1822</v>
      </c>
      <c r="G1192" t="s">
        <v>448</v>
      </c>
      <c r="H1192" t="str">
        <f>VLOOKUP(record[[#This Row],[ProcessSN]],表格2_7[],2,FALSE)</f>
        <v>30-4118-018-6XX</v>
      </c>
      <c r="I1192" t="str">
        <f>VLOOKUP(record[[#This Row],[ProcessSN]],表格2_7[],3,FALSE)</f>
        <v>#04</v>
      </c>
      <c r="J1192" t="s">
        <v>588</v>
      </c>
      <c r="K1192" s="195">
        <v>46136.642685185187</v>
      </c>
      <c r="L1192">
        <v>74</v>
      </c>
      <c r="M1192">
        <v>0</v>
      </c>
      <c r="N1192" s="98" t="str">
        <f>IF(record[[#This Row],[Memo]]="Browser:chrome os:android","平板報工",IF(record[[#This Row],[Memo]]=0,"委外",record[[#This Row],[Memo]]))</f>
        <v>平板報工</v>
      </c>
      <c r="O1192" t="s">
        <v>643</v>
      </c>
      <c r="P1192" t="s">
        <v>145</v>
      </c>
      <c r="Q1192" t="s">
        <v>644</v>
      </c>
      <c r="R1192" t="str">
        <f>IFERROR(VLOOKUP(record[[#This Row],[PCUSTID]],廠商[],2,FALSE),"")</f>
        <v/>
      </c>
      <c r="S1192" t="str">
        <f>VLOOKUP(record[[#This Row],[employeeID]],員工[],2,FALSE)</f>
        <v>阮秋霞</v>
      </c>
    </row>
    <row r="1193" spans="6:19" hidden="1" x14ac:dyDescent="0.25">
      <c r="F1193" t="s">
        <v>1822</v>
      </c>
      <c r="G1193" t="s">
        <v>450</v>
      </c>
      <c r="H1193" t="str">
        <f>VLOOKUP(record[[#This Row],[ProcessSN]],表格2_7[],2,FALSE)</f>
        <v>30-4118-018-6XX</v>
      </c>
      <c r="I1193" t="str">
        <f>VLOOKUP(record[[#This Row],[ProcessSN]],表格2_7[],3,FALSE)</f>
        <v>#06</v>
      </c>
      <c r="J1193" t="s">
        <v>593</v>
      </c>
      <c r="K1193" s="195">
        <v>46136.632060185184</v>
      </c>
      <c r="L1193">
        <v>133</v>
      </c>
      <c r="M1193">
        <v>0</v>
      </c>
      <c r="N1193" s="98" t="str">
        <f>IF(record[[#This Row],[Memo]]="Browser:chrome os:android","平板報工",IF(record[[#This Row],[Memo]]=0,"委外",record[[#This Row],[Memo]]))</f>
        <v>平板報工</v>
      </c>
      <c r="O1193" t="s">
        <v>643</v>
      </c>
      <c r="P1193" t="s">
        <v>1413</v>
      </c>
      <c r="Q1193" t="s">
        <v>644</v>
      </c>
      <c r="R1193" t="str">
        <f>IFERROR(VLOOKUP(record[[#This Row],[PCUSTID]],廠商[],2,FALSE),"")</f>
        <v/>
      </c>
      <c r="S1193" t="str">
        <f>VLOOKUP(record[[#This Row],[employeeID]],員工[],2,FALSE)</f>
        <v>阮氏芳英(芳)</v>
      </c>
    </row>
    <row r="1194" spans="6:19" hidden="1" x14ac:dyDescent="0.25">
      <c r="F1194" t="s">
        <v>1822</v>
      </c>
      <c r="G1194" t="s">
        <v>450</v>
      </c>
      <c r="H1194" t="str">
        <f>VLOOKUP(record[[#This Row],[ProcessSN]],表格2_7[],2,FALSE)</f>
        <v>30-4118-018-6XX</v>
      </c>
      <c r="I1194" t="str">
        <f>VLOOKUP(record[[#This Row],[ProcessSN]],表格2_7[],3,FALSE)</f>
        <v>#06</v>
      </c>
      <c r="J1194" t="s">
        <v>593</v>
      </c>
      <c r="K1194" s="195">
        <v>46136.632013888891</v>
      </c>
      <c r="L1194">
        <v>109</v>
      </c>
      <c r="M1194">
        <v>0</v>
      </c>
      <c r="N1194" s="98" t="str">
        <f>IF(record[[#This Row],[Memo]]="Browser:chrome os:android","平板報工",IF(record[[#This Row],[Memo]]=0,"委外",record[[#This Row],[Memo]]))</f>
        <v>平板報工</v>
      </c>
      <c r="O1194" t="s">
        <v>643</v>
      </c>
      <c r="P1194" t="s">
        <v>166</v>
      </c>
      <c r="Q1194" t="s">
        <v>644</v>
      </c>
      <c r="R1194" t="str">
        <f>IFERROR(VLOOKUP(record[[#This Row],[PCUSTID]],廠商[],2,FALSE),"")</f>
        <v/>
      </c>
      <c r="S1194" t="str">
        <f>VLOOKUP(record[[#This Row],[employeeID]],員工[],2,FALSE)</f>
        <v>阮懷香</v>
      </c>
    </row>
    <row r="1195" spans="6:19" hidden="1" x14ac:dyDescent="0.25">
      <c r="F1195" t="s">
        <v>1868</v>
      </c>
      <c r="G1195" t="s">
        <v>428</v>
      </c>
      <c r="H1195" t="str">
        <f>VLOOKUP(record[[#This Row],[ProcessSN]],表格2_7[],2,FALSE)</f>
        <v>30-4118-018-600</v>
      </c>
      <c r="I1195" t="str">
        <f>VLOOKUP(record[[#This Row],[ProcessSN]],表格2_7[],3,FALSE)</f>
        <v>#100SHIP</v>
      </c>
      <c r="J1195" t="s">
        <v>600</v>
      </c>
      <c r="K1195" s="195">
        <v>46136.62222222222</v>
      </c>
      <c r="L1195">
        <v>169</v>
      </c>
      <c r="M1195">
        <v>0</v>
      </c>
      <c r="N1195" s="98" t="str">
        <f>IF(record[[#This Row],[Memo]]="Browser:chrome os:android","平板報工",IF(record[[#This Row],[Memo]]=0,"委外",record[[#This Row],[Memo]]))</f>
        <v/>
      </c>
      <c r="O1195" t="s">
        <v>58</v>
      </c>
      <c r="P1195" t="s">
        <v>99</v>
      </c>
      <c r="Q1195" t="s">
        <v>58</v>
      </c>
      <c r="R1195" t="str">
        <f>IFERROR(VLOOKUP(record[[#This Row],[PCUSTID]],廠商[],2,FALSE),"")</f>
        <v/>
      </c>
      <c r="S1195" t="str">
        <f>VLOOKUP(record[[#This Row],[employeeID]],員工[],2,FALSE)</f>
        <v>阮氏河</v>
      </c>
    </row>
    <row r="1196" spans="6:19" hidden="1" x14ac:dyDescent="0.25">
      <c r="F1196" t="s">
        <v>1872</v>
      </c>
      <c r="G1196" t="s">
        <v>403</v>
      </c>
      <c r="H1196" t="str">
        <f>VLOOKUP(record[[#This Row],[ProcessSN]],表格2_7[],2,FALSE)</f>
        <v>30-4118-018-550</v>
      </c>
      <c r="I1196" t="str">
        <f>VLOOKUP(record[[#This Row],[ProcessSN]],表格2_7[],3,FALSE)</f>
        <v>#100SHIP</v>
      </c>
      <c r="J1196" t="s">
        <v>600</v>
      </c>
      <c r="K1196" s="195">
        <v>46136.622060185182</v>
      </c>
      <c r="L1196">
        <v>463</v>
      </c>
      <c r="M1196">
        <v>0</v>
      </c>
      <c r="N1196" s="98" t="str">
        <f>IF(record[[#This Row],[Memo]]="Browser:chrome os:android","平板報工",IF(record[[#This Row],[Memo]]=0,"委外",record[[#This Row],[Memo]]))</f>
        <v/>
      </c>
      <c r="O1196" t="s">
        <v>58</v>
      </c>
      <c r="P1196" t="s">
        <v>99</v>
      </c>
      <c r="Q1196" t="s">
        <v>58</v>
      </c>
      <c r="R1196" t="str">
        <f>IFERROR(VLOOKUP(record[[#This Row],[PCUSTID]],廠商[],2,FALSE),"")</f>
        <v/>
      </c>
      <c r="S1196" t="str">
        <f>VLOOKUP(record[[#This Row],[employeeID]],員工[],2,FALSE)</f>
        <v>阮氏河</v>
      </c>
    </row>
    <row r="1197" spans="6:19" hidden="1" x14ac:dyDescent="0.25">
      <c r="F1197" t="s">
        <v>1787</v>
      </c>
      <c r="G1197" t="s">
        <v>471</v>
      </c>
      <c r="H1197" t="str">
        <f>VLOOKUP(record[[#This Row],[ProcessSN]],表格2_7[],2,FALSE)</f>
        <v>30-4118-018-XXX</v>
      </c>
      <c r="I1197" t="str">
        <f>VLOOKUP(record[[#This Row],[ProcessSN]],表格2_7[],3,FALSE)</f>
        <v>#02STOCK</v>
      </c>
      <c r="J1197" t="s">
        <v>592</v>
      </c>
      <c r="K1197" s="195">
        <v>46136.57304398148</v>
      </c>
      <c r="L1197">
        <v>462</v>
      </c>
      <c r="M1197">
        <v>0</v>
      </c>
      <c r="N1197" s="98" t="str">
        <f>IF(record[[#This Row],[Memo]]="Browser:chrome os:android","平板報工",IF(record[[#This Row],[Memo]]=0,"委外",record[[#This Row],[Memo]]))</f>
        <v/>
      </c>
      <c r="O1197" t="s">
        <v>58</v>
      </c>
      <c r="P1197" t="s">
        <v>1698</v>
      </c>
      <c r="Q1197" t="s">
        <v>58</v>
      </c>
      <c r="R1197" t="str">
        <f>IFERROR(VLOOKUP(record[[#This Row],[PCUSTID]],廠商[],2,FALSE),"")</f>
        <v/>
      </c>
      <c r="S1197" t="str">
        <f>VLOOKUP(record[[#This Row],[employeeID]],員工[],2,FALSE)</f>
        <v>羅思潔</v>
      </c>
    </row>
    <row r="1198" spans="6:19" hidden="1" x14ac:dyDescent="0.25">
      <c r="F1198" t="s">
        <v>1772</v>
      </c>
      <c r="G1198" t="s">
        <v>471</v>
      </c>
      <c r="H1198" t="str">
        <f>VLOOKUP(record[[#This Row],[ProcessSN]],表格2_7[],2,FALSE)</f>
        <v>30-4118-018-XXX</v>
      </c>
      <c r="I1198" t="str">
        <f>VLOOKUP(record[[#This Row],[ProcessSN]],表格2_7[],3,FALSE)</f>
        <v>#02STOCK</v>
      </c>
      <c r="J1198" t="s">
        <v>592</v>
      </c>
      <c r="K1198" s="195">
        <v>46136.572812500002</v>
      </c>
      <c r="L1198">
        <v>2015</v>
      </c>
      <c r="M1198">
        <v>0</v>
      </c>
      <c r="N1198" s="98" t="str">
        <f>IF(record[[#This Row],[Memo]]="Browser:chrome os:android","平板報工",IF(record[[#This Row],[Memo]]=0,"委外",record[[#This Row],[Memo]]))</f>
        <v/>
      </c>
      <c r="O1198" t="s">
        <v>58</v>
      </c>
      <c r="P1198" t="s">
        <v>1698</v>
      </c>
      <c r="Q1198" t="s">
        <v>58</v>
      </c>
      <c r="R1198" t="str">
        <f>IFERROR(VLOOKUP(record[[#This Row],[PCUSTID]],廠商[],2,FALSE),"")</f>
        <v/>
      </c>
      <c r="S1198" t="str">
        <f>VLOOKUP(record[[#This Row],[employeeID]],員工[],2,FALSE)</f>
        <v>羅思潔</v>
      </c>
    </row>
    <row r="1199" spans="6:19" hidden="1" x14ac:dyDescent="0.25">
      <c r="F1199" t="s">
        <v>1872</v>
      </c>
      <c r="G1199" t="s">
        <v>400</v>
      </c>
      <c r="H1199" t="str">
        <f>VLOOKUP(record[[#This Row],[ProcessSN]],表格2_7[],2,FALSE)</f>
        <v>30-4118-018-550</v>
      </c>
      <c r="I1199" t="str">
        <f>VLOOKUP(record[[#This Row],[ProcessSN]],表格2_7[],3,FALSE)</f>
        <v>#100</v>
      </c>
      <c r="J1199" t="s">
        <v>598</v>
      </c>
      <c r="K1199" s="195">
        <v>46136.567071759258</v>
      </c>
      <c r="L1199">
        <v>0</v>
      </c>
      <c r="M1199">
        <v>23</v>
      </c>
      <c r="N1199" s="98" t="str">
        <f>IF(record[[#This Row],[Memo]]="Browser:chrome os:android","平板報工",IF(record[[#This Row],[Memo]]=0,"委外",record[[#This Row],[Memo]]))</f>
        <v/>
      </c>
      <c r="O1199" t="s">
        <v>58</v>
      </c>
      <c r="P1199" t="s">
        <v>141</v>
      </c>
      <c r="Q1199" t="s">
        <v>58</v>
      </c>
      <c r="R1199" t="str">
        <f>IFERROR(VLOOKUP(record[[#This Row],[PCUSTID]],廠商[],2,FALSE),"")</f>
        <v/>
      </c>
      <c r="S1199" t="str">
        <f>VLOOKUP(record[[#This Row],[employeeID]],員工[],2,FALSE)</f>
        <v>蔣梅</v>
      </c>
    </row>
    <row r="1200" spans="6:19" hidden="1" x14ac:dyDescent="0.25">
      <c r="F1200" t="s">
        <v>1872</v>
      </c>
      <c r="G1200" t="s">
        <v>399</v>
      </c>
      <c r="H1200" t="str">
        <f>VLOOKUP(record[[#This Row],[ProcessSN]],表格2_7[],2,FALSE)</f>
        <v>30-4118-018-550</v>
      </c>
      <c r="I1200" t="str">
        <f>VLOOKUP(record[[#This Row],[ProcessSN]],表格2_7[],3,FALSE)</f>
        <v>#08IQC</v>
      </c>
      <c r="J1200" t="s">
        <v>583</v>
      </c>
      <c r="K1200" s="195">
        <v>46136.566620370373</v>
      </c>
      <c r="L1200">
        <v>1</v>
      </c>
      <c r="M1200">
        <v>0</v>
      </c>
      <c r="N1200" s="98" t="str">
        <f>IF(record[[#This Row],[Memo]]="Browser:chrome os:android","平板報工",IF(record[[#This Row],[Memo]]=0,"委外",record[[#This Row],[Memo]]))</f>
        <v>補</v>
      </c>
      <c r="O1200" t="s">
        <v>690</v>
      </c>
      <c r="P1200" t="s">
        <v>186</v>
      </c>
      <c r="Q1200" t="s">
        <v>58</v>
      </c>
      <c r="R1200" t="str">
        <f>IFERROR(VLOOKUP(record[[#This Row],[PCUSTID]],廠商[],2,FALSE),"")</f>
        <v/>
      </c>
      <c r="S1200" t="str">
        <f>VLOOKUP(record[[#This Row],[employeeID]],員工[],2,FALSE)</f>
        <v>許文姍</v>
      </c>
    </row>
    <row r="1201" spans="6:19" hidden="1" x14ac:dyDescent="0.25">
      <c r="F1201" t="s">
        <v>1872</v>
      </c>
      <c r="G1201" t="s">
        <v>400</v>
      </c>
      <c r="H1201" t="str">
        <f>VLOOKUP(record[[#This Row],[ProcessSN]],表格2_7[],2,FALSE)</f>
        <v>30-4118-018-550</v>
      </c>
      <c r="I1201" t="str">
        <f>VLOOKUP(record[[#This Row],[ProcessSN]],表格2_7[],3,FALSE)</f>
        <v>#100</v>
      </c>
      <c r="J1201" t="s">
        <v>598</v>
      </c>
      <c r="K1201" s="195">
        <v>46136.563854166663</v>
      </c>
      <c r="L1201">
        <v>103</v>
      </c>
      <c r="M1201">
        <v>0</v>
      </c>
      <c r="N1201" s="98" t="str">
        <f>IF(record[[#This Row],[Memo]]="Browser:chrome os:android","平板報工",IF(record[[#This Row],[Memo]]=0,"委外",record[[#This Row],[Memo]]))</f>
        <v>平板報工</v>
      </c>
      <c r="O1201" t="s">
        <v>643</v>
      </c>
      <c r="P1201" t="s">
        <v>141</v>
      </c>
      <c r="Q1201" t="s">
        <v>644</v>
      </c>
      <c r="R1201" t="str">
        <f>IFERROR(VLOOKUP(record[[#This Row],[PCUSTID]],廠商[],2,FALSE),"")</f>
        <v/>
      </c>
      <c r="S1201" t="str">
        <f>VLOOKUP(record[[#This Row],[employeeID]],員工[],2,FALSE)</f>
        <v>蔣梅</v>
      </c>
    </row>
    <row r="1202" spans="6:19" hidden="1" x14ac:dyDescent="0.25">
      <c r="F1202" t="s">
        <v>1909</v>
      </c>
      <c r="G1202" t="s">
        <v>371</v>
      </c>
      <c r="H1202" t="str">
        <f>VLOOKUP(record[[#This Row],[ProcessSN]],表格2_7[],2,FALSE)</f>
        <v>30-4118-018-4XX</v>
      </c>
      <c r="I1202" t="str">
        <f>VLOOKUP(record[[#This Row],[ProcessSN]],表格2_7[],3,FALSE)</f>
        <v>#03PICK</v>
      </c>
      <c r="J1202" t="s">
        <v>582</v>
      </c>
      <c r="K1202" s="195">
        <v>46136.494988425926</v>
      </c>
      <c r="L1202">
        <v>1500</v>
      </c>
      <c r="M1202">
        <v>0</v>
      </c>
      <c r="N1202" s="98" t="str">
        <f>IF(record[[#This Row],[Memo]]="Browser:chrome os:android","平板報工",IF(record[[#This Row],[Memo]]=0,"委外",record[[#This Row],[Memo]]))</f>
        <v/>
      </c>
      <c r="O1202" t="s">
        <v>58</v>
      </c>
      <c r="P1202" t="s">
        <v>113</v>
      </c>
      <c r="Q1202" t="s">
        <v>58</v>
      </c>
      <c r="R1202" t="str">
        <f>IFERROR(VLOOKUP(record[[#This Row],[PCUSTID]],廠商[],2,FALSE),"")</f>
        <v/>
      </c>
      <c r="S1202" t="str">
        <f>VLOOKUP(record[[#This Row],[employeeID]],員工[],2,FALSE)</f>
        <v>王奕蓁</v>
      </c>
    </row>
    <row r="1203" spans="6:19" hidden="1" x14ac:dyDescent="0.25">
      <c r="F1203" t="s">
        <v>1868</v>
      </c>
      <c r="G1203" t="s">
        <v>427</v>
      </c>
      <c r="H1203" t="str">
        <f>VLOOKUP(record[[#This Row],[ProcessSN]],表格2_7[],2,FALSE)</f>
        <v>30-4118-018-600</v>
      </c>
      <c r="I1203" t="str">
        <f>VLOOKUP(record[[#This Row],[ProcessSN]],表格2_7[],3,FALSE)</f>
        <v>#100STOCK</v>
      </c>
      <c r="J1203" t="s">
        <v>592</v>
      </c>
      <c r="K1203" s="195">
        <v>46136.48809027778</v>
      </c>
      <c r="L1203">
        <v>169</v>
      </c>
      <c r="M1203">
        <v>0</v>
      </c>
      <c r="N1203" s="98" t="str">
        <f>IF(record[[#This Row],[Memo]]="Browser:chrome os:android","平板報工",IF(record[[#This Row],[Memo]]=0,"委外",record[[#This Row],[Memo]]))</f>
        <v/>
      </c>
      <c r="O1203" t="s">
        <v>58</v>
      </c>
      <c r="P1203" t="s">
        <v>99</v>
      </c>
      <c r="Q1203" t="s">
        <v>58</v>
      </c>
      <c r="R1203" t="str">
        <f>IFERROR(VLOOKUP(record[[#This Row],[PCUSTID]],廠商[],2,FALSE),"")</f>
        <v/>
      </c>
      <c r="S1203" t="str">
        <f>VLOOKUP(record[[#This Row],[employeeID]],員工[],2,FALSE)</f>
        <v>阮氏河</v>
      </c>
    </row>
    <row r="1204" spans="6:19" hidden="1" x14ac:dyDescent="0.25">
      <c r="F1204" t="s">
        <v>1872</v>
      </c>
      <c r="G1204" t="s">
        <v>402</v>
      </c>
      <c r="H1204" t="str">
        <f>VLOOKUP(record[[#This Row],[ProcessSN]],表格2_7[],2,FALSE)</f>
        <v>30-4118-018-550</v>
      </c>
      <c r="I1204" t="str">
        <f>VLOOKUP(record[[#This Row],[ProcessSN]],表格2_7[],3,FALSE)</f>
        <v>#100STOCK</v>
      </c>
      <c r="J1204" t="s">
        <v>592</v>
      </c>
      <c r="K1204" s="195">
        <v>46136.487939814811</v>
      </c>
      <c r="L1204">
        <v>463</v>
      </c>
      <c r="M1204">
        <v>0</v>
      </c>
      <c r="N1204" s="98" t="str">
        <f>IF(record[[#This Row],[Memo]]="Browser:chrome os:android","平板報工",IF(record[[#This Row],[Memo]]=0,"委外",record[[#This Row],[Memo]]))</f>
        <v/>
      </c>
      <c r="O1204" t="s">
        <v>58</v>
      </c>
      <c r="P1204" t="s">
        <v>99</v>
      </c>
      <c r="Q1204" t="s">
        <v>58</v>
      </c>
      <c r="R1204" t="str">
        <f>IFERROR(VLOOKUP(record[[#This Row],[PCUSTID]],廠商[],2,FALSE),"")</f>
        <v/>
      </c>
      <c r="S1204" t="str">
        <f>VLOOKUP(record[[#This Row],[employeeID]],員工[],2,FALSE)</f>
        <v>阮氏河</v>
      </c>
    </row>
    <row r="1205" spans="6:19" hidden="1" x14ac:dyDescent="0.25">
      <c r="F1205" t="s">
        <v>1850</v>
      </c>
      <c r="G1205" t="s">
        <v>419</v>
      </c>
      <c r="H1205" t="str">
        <f>VLOOKUP(record[[#This Row],[ProcessSN]],表格2_7[],2,FALSE)</f>
        <v>30-4118-018-5XX</v>
      </c>
      <c r="I1205" t="str">
        <f>VLOOKUP(record[[#This Row],[ProcessSN]],表格2_7[],3,FALSE)</f>
        <v>#07QC</v>
      </c>
      <c r="J1205" t="s">
        <v>589</v>
      </c>
      <c r="K1205" s="195">
        <v>46136.487812500003</v>
      </c>
      <c r="L1205">
        <v>0</v>
      </c>
      <c r="M1205">
        <v>7</v>
      </c>
      <c r="N1205" s="98" t="str">
        <f>IF(record[[#This Row],[Memo]]="Browser:chrome os:android","平板報工",IF(record[[#This Row],[Memo]]=0,"委外",record[[#This Row],[Memo]]))</f>
        <v>平板報工</v>
      </c>
      <c r="O1205" t="s">
        <v>643</v>
      </c>
      <c r="P1205" t="s">
        <v>141</v>
      </c>
      <c r="Q1205" t="s">
        <v>644</v>
      </c>
      <c r="R1205" t="str">
        <f>IFERROR(VLOOKUP(record[[#This Row],[PCUSTID]],廠商[],2,FALSE),"")</f>
        <v/>
      </c>
      <c r="S1205" t="str">
        <f>VLOOKUP(record[[#This Row],[employeeID]],員工[],2,FALSE)</f>
        <v>蔣梅</v>
      </c>
    </row>
    <row r="1206" spans="6:19" hidden="1" x14ac:dyDescent="0.25">
      <c r="F1206" t="s">
        <v>1850</v>
      </c>
      <c r="G1206" t="s">
        <v>419</v>
      </c>
      <c r="H1206" t="str">
        <f>VLOOKUP(record[[#This Row],[ProcessSN]],表格2_7[],2,FALSE)</f>
        <v>30-4118-018-5XX</v>
      </c>
      <c r="I1206" t="str">
        <f>VLOOKUP(record[[#This Row],[ProcessSN]],表格2_7[],3,FALSE)</f>
        <v>#07QC</v>
      </c>
      <c r="J1206" t="s">
        <v>589</v>
      </c>
      <c r="K1206" s="195">
        <v>46136.487592592595</v>
      </c>
      <c r="L1206">
        <v>14</v>
      </c>
      <c r="M1206">
        <v>0</v>
      </c>
      <c r="N1206" s="98" t="str">
        <f>IF(record[[#This Row],[Memo]]="Browser:chrome os:android","平板報工",IF(record[[#This Row],[Memo]]=0,"委外",record[[#This Row],[Memo]]))</f>
        <v>平板報工</v>
      </c>
      <c r="O1206" t="s">
        <v>643</v>
      </c>
      <c r="P1206" t="s">
        <v>141</v>
      </c>
      <c r="Q1206" t="s">
        <v>644</v>
      </c>
      <c r="R1206" t="str">
        <f>IFERROR(VLOOKUP(record[[#This Row],[PCUSTID]],廠商[],2,FALSE),"")</f>
        <v/>
      </c>
      <c r="S1206" t="str">
        <f>VLOOKUP(record[[#This Row],[employeeID]],員工[],2,FALSE)</f>
        <v>蔣梅</v>
      </c>
    </row>
    <row r="1207" spans="6:19" hidden="1" x14ac:dyDescent="0.25">
      <c r="F1207" t="s">
        <v>1906</v>
      </c>
      <c r="G1207" t="s">
        <v>412</v>
      </c>
      <c r="H1207" t="str">
        <f>VLOOKUP(record[[#This Row],[ProcessSN]],表格2_7[],2,FALSE)</f>
        <v>30-4118-018-5XX</v>
      </c>
      <c r="I1207" t="str">
        <f>VLOOKUP(record[[#This Row],[ProcessSN]],表格2_7[],3,FALSE)</f>
        <v>#03PICK</v>
      </c>
      <c r="J1207" t="s">
        <v>582</v>
      </c>
      <c r="K1207" s="195">
        <v>46136.486145833333</v>
      </c>
      <c r="L1207">
        <v>2000</v>
      </c>
      <c r="M1207">
        <v>0</v>
      </c>
      <c r="N1207" s="98" t="str">
        <f>IF(record[[#This Row],[Memo]]="Browser:chrome os:android","平板報工",IF(record[[#This Row],[Memo]]=0,"委外",record[[#This Row],[Memo]]))</f>
        <v/>
      </c>
      <c r="O1207" t="s">
        <v>58</v>
      </c>
      <c r="P1207" t="s">
        <v>113</v>
      </c>
      <c r="Q1207" t="s">
        <v>58</v>
      </c>
      <c r="R1207" t="str">
        <f>IFERROR(VLOOKUP(record[[#This Row],[PCUSTID]],廠商[],2,FALSE),"")</f>
        <v/>
      </c>
      <c r="S1207" t="str">
        <f>VLOOKUP(record[[#This Row],[employeeID]],員工[],2,FALSE)</f>
        <v>王奕蓁</v>
      </c>
    </row>
    <row r="1208" spans="6:19" hidden="1" x14ac:dyDescent="0.25">
      <c r="F1208" t="s">
        <v>1818</v>
      </c>
      <c r="G1208" t="s">
        <v>469</v>
      </c>
      <c r="H1208" t="str">
        <f>VLOOKUP(record[[#This Row],[ProcessSN]],表格2_7[],2,FALSE)</f>
        <v>30-4118-018-XXX</v>
      </c>
      <c r="I1208" t="str">
        <f>VLOOKUP(record[[#This Row],[ProcessSN]],表格2_7[],3,FALSE)</f>
        <v>#02RCV</v>
      </c>
      <c r="J1208" t="s">
        <v>591</v>
      </c>
      <c r="K1208" s="195">
        <v>46136.480092592596</v>
      </c>
      <c r="L1208">
        <v>421</v>
      </c>
      <c r="M1208">
        <v>0</v>
      </c>
      <c r="N1208" s="98" t="str">
        <f>IF(record[[#This Row],[Memo]]="Browser:chrome os:android","平板報工",IF(record[[#This Row],[Memo]]=0,"委外",record[[#This Row],[Memo]]))</f>
        <v/>
      </c>
      <c r="O1208" t="s">
        <v>58</v>
      </c>
      <c r="P1208" t="s">
        <v>186</v>
      </c>
      <c r="Q1208" t="s">
        <v>58</v>
      </c>
      <c r="R1208" t="str">
        <f>IFERROR(VLOOKUP(record[[#This Row],[PCUSTID]],廠商[],2,FALSE),"")</f>
        <v/>
      </c>
      <c r="S1208" t="str">
        <f>VLOOKUP(record[[#This Row],[employeeID]],員工[],2,FALSE)</f>
        <v>許文姍</v>
      </c>
    </row>
    <row r="1209" spans="6:19" hidden="1" x14ac:dyDescent="0.25">
      <c r="F1209" t="s">
        <v>1787</v>
      </c>
      <c r="G1209" t="s">
        <v>469</v>
      </c>
      <c r="H1209" t="str">
        <f>VLOOKUP(record[[#This Row],[ProcessSN]],表格2_7[],2,FALSE)</f>
        <v>30-4118-018-XXX</v>
      </c>
      <c r="I1209" t="str">
        <f>VLOOKUP(record[[#This Row],[ProcessSN]],表格2_7[],3,FALSE)</f>
        <v>#02RCV</v>
      </c>
      <c r="J1209" t="s">
        <v>591</v>
      </c>
      <c r="K1209" s="195">
        <v>46136.479930555557</v>
      </c>
      <c r="L1209">
        <v>336</v>
      </c>
      <c r="M1209">
        <v>0</v>
      </c>
      <c r="N1209" s="98" t="str">
        <f>IF(record[[#This Row],[Memo]]="Browser:chrome os:android","平板報工",IF(record[[#This Row],[Memo]]=0,"委外",record[[#This Row],[Memo]]))</f>
        <v/>
      </c>
      <c r="O1209" t="s">
        <v>58</v>
      </c>
      <c r="P1209" t="s">
        <v>186</v>
      </c>
      <c r="Q1209" t="s">
        <v>58</v>
      </c>
      <c r="R1209" t="str">
        <f>IFERROR(VLOOKUP(record[[#This Row],[PCUSTID]],廠商[],2,FALSE),"")</f>
        <v/>
      </c>
      <c r="S1209" t="str">
        <f>VLOOKUP(record[[#This Row],[employeeID]],員工[],2,FALSE)</f>
        <v>許文姍</v>
      </c>
    </row>
    <row r="1210" spans="6:19" hidden="1" x14ac:dyDescent="0.25">
      <c r="F1210" t="s">
        <v>1772</v>
      </c>
      <c r="G1210" t="s">
        <v>469</v>
      </c>
      <c r="H1210" t="str">
        <f>VLOOKUP(record[[#This Row],[ProcessSN]],表格2_7[],2,FALSE)</f>
        <v>30-4118-018-XXX</v>
      </c>
      <c r="I1210" t="str">
        <f>VLOOKUP(record[[#This Row],[ProcessSN]],表格2_7[],3,FALSE)</f>
        <v>#02RCV</v>
      </c>
      <c r="J1210" t="s">
        <v>591</v>
      </c>
      <c r="K1210" s="195">
        <v>46136.479618055557</v>
      </c>
      <c r="L1210">
        <v>899</v>
      </c>
      <c r="M1210">
        <v>0</v>
      </c>
      <c r="N1210" s="98" t="str">
        <f>IF(record[[#This Row],[Memo]]="Browser:chrome os:android","平板報工",IF(record[[#This Row],[Memo]]=0,"委外",record[[#This Row],[Memo]]))</f>
        <v/>
      </c>
      <c r="O1210" t="s">
        <v>58</v>
      </c>
      <c r="P1210" t="s">
        <v>186</v>
      </c>
      <c r="Q1210" t="s">
        <v>58</v>
      </c>
      <c r="R1210" t="str">
        <f>IFERROR(VLOOKUP(record[[#This Row],[PCUSTID]],廠商[],2,FALSE),"")</f>
        <v/>
      </c>
      <c r="S1210" t="str">
        <f>VLOOKUP(record[[#This Row],[employeeID]],員工[],2,FALSE)</f>
        <v>許文姍</v>
      </c>
    </row>
    <row r="1211" spans="6:19" hidden="1" x14ac:dyDescent="0.25">
      <c r="F1211" t="s">
        <v>1822</v>
      </c>
      <c r="G1211" t="s">
        <v>453</v>
      </c>
      <c r="H1211" t="str">
        <f>VLOOKUP(record[[#This Row],[ProcessSN]],表格2_7[],2,FALSE)</f>
        <v>30-4118-018-6XX</v>
      </c>
      <c r="I1211" t="str">
        <f>VLOOKUP(record[[#This Row],[ProcessSN]],表格2_7[],3,FALSE)</f>
        <v>#07STOCK</v>
      </c>
      <c r="J1211" t="s">
        <v>592</v>
      </c>
      <c r="K1211" s="195">
        <v>46136.468553240738</v>
      </c>
      <c r="L1211">
        <v>149</v>
      </c>
      <c r="M1211">
        <v>0</v>
      </c>
      <c r="N1211" s="98" t="str">
        <f>IF(record[[#This Row],[Memo]]="Browser:chrome os:android","平板報工",IF(record[[#This Row],[Memo]]=0,"委外",record[[#This Row],[Memo]]))</f>
        <v/>
      </c>
      <c r="O1211" t="s">
        <v>58</v>
      </c>
      <c r="P1211" t="s">
        <v>186</v>
      </c>
      <c r="Q1211" t="s">
        <v>58</v>
      </c>
      <c r="R1211" t="str">
        <f>IFERROR(VLOOKUP(record[[#This Row],[PCUSTID]],廠商[],2,FALSE),"")</f>
        <v/>
      </c>
      <c r="S1211" t="str">
        <f>VLOOKUP(record[[#This Row],[employeeID]],員工[],2,FALSE)</f>
        <v>許文姍</v>
      </c>
    </row>
    <row r="1212" spans="6:19" hidden="1" x14ac:dyDescent="0.25">
      <c r="F1212" t="s">
        <v>1850</v>
      </c>
      <c r="G1212" t="s">
        <v>420</v>
      </c>
      <c r="H1212" t="str">
        <f>VLOOKUP(record[[#This Row],[ProcessSN]],表格2_7[],2,FALSE)</f>
        <v>30-4118-018-5XX</v>
      </c>
      <c r="I1212" t="str">
        <f>VLOOKUP(record[[#This Row],[ProcessSN]],表格2_7[],3,FALSE)</f>
        <v>#07STOCK</v>
      </c>
      <c r="J1212" t="s">
        <v>592</v>
      </c>
      <c r="K1212" s="195">
        <v>46136.468368055554</v>
      </c>
      <c r="L1212">
        <v>472</v>
      </c>
      <c r="M1212">
        <v>0</v>
      </c>
      <c r="N1212" s="98" t="str">
        <f>IF(record[[#This Row],[Memo]]="Browser:chrome os:android","平板報工",IF(record[[#This Row],[Memo]]=0,"委外",record[[#This Row],[Memo]]))</f>
        <v/>
      </c>
      <c r="O1212" t="s">
        <v>58</v>
      </c>
      <c r="P1212" t="s">
        <v>186</v>
      </c>
      <c r="Q1212" t="s">
        <v>58</v>
      </c>
      <c r="R1212" t="str">
        <f>IFERROR(VLOOKUP(record[[#This Row],[PCUSTID]],廠商[],2,FALSE),"")</f>
        <v/>
      </c>
      <c r="S1212" t="str">
        <f>VLOOKUP(record[[#This Row],[employeeID]],員工[],2,FALSE)</f>
        <v>許文姍</v>
      </c>
    </row>
    <row r="1213" spans="6:19" hidden="1" x14ac:dyDescent="0.25">
      <c r="F1213" t="s">
        <v>1902</v>
      </c>
      <c r="G1213" t="s">
        <v>452</v>
      </c>
      <c r="H1213" t="str">
        <f>VLOOKUP(record[[#This Row],[ProcessSN]],表格2_7[],2,FALSE)</f>
        <v>30-4118-018-6XX</v>
      </c>
      <c r="I1213" t="str">
        <f>VLOOKUP(record[[#This Row],[ProcessSN]],表格2_7[],3,FALSE)</f>
        <v>#07QC</v>
      </c>
      <c r="J1213" t="s">
        <v>589</v>
      </c>
      <c r="K1213" s="195">
        <v>46136.465752314813</v>
      </c>
      <c r="L1213">
        <v>0</v>
      </c>
      <c r="M1213">
        <v>3</v>
      </c>
      <c r="N1213" s="98" t="str">
        <f>IF(record[[#This Row],[Memo]]="Browser:chrome os:android","平板報工",IF(record[[#This Row],[Memo]]=0,"委外",record[[#This Row],[Memo]]))</f>
        <v/>
      </c>
      <c r="O1213" t="s">
        <v>58</v>
      </c>
      <c r="P1213" t="s">
        <v>99</v>
      </c>
      <c r="Q1213" t="s">
        <v>58</v>
      </c>
      <c r="R1213" t="str">
        <f>IFERROR(VLOOKUP(record[[#This Row],[PCUSTID]],廠商[],2,FALSE),"")</f>
        <v/>
      </c>
      <c r="S1213" t="str">
        <f>VLOOKUP(record[[#This Row],[employeeID]],員工[],2,FALSE)</f>
        <v>阮氏河</v>
      </c>
    </row>
    <row r="1214" spans="6:19" hidden="1" x14ac:dyDescent="0.25">
      <c r="F1214" t="s">
        <v>1902</v>
      </c>
      <c r="G1214" t="s">
        <v>452</v>
      </c>
      <c r="H1214" t="str">
        <f>VLOOKUP(record[[#This Row],[ProcessSN]],表格2_7[],2,FALSE)</f>
        <v>30-4118-018-6XX</v>
      </c>
      <c r="I1214" t="str">
        <f>VLOOKUP(record[[#This Row],[ProcessSN]],表格2_7[],3,FALSE)</f>
        <v>#07QC</v>
      </c>
      <c r="J1214" t="s">
        <v>589</v>
      </c>
      <c r="K1214" s="195">
        <v>46136.465474537035</v>
      </c>
      <c r="L1214">
        <v>10</v>
      </c>
      <c r="M1214">
        <v>0</v>
      </c>
      <c r="N1214" s="98" t="str">
        <f>IF(record[[#This Row],[Memo]]="Browser:chrome os:android","平板報工",IF(record[[#This Row],[Memo]]=0,"委外",record[[#This Row],[Memo]]))</f>
        <v/>
      </c>
      <c r="O1214" t="s">
        <v>58</v>
      </c>
      <c r="P1214" t="s">
        <v>99</v>
      </c>
      <c r="Q1214" t="s">
        <v>58</v>
      </c>
      <c r="R1214" t="str">
        <f>IFERROR(VLOOKUP(record[[#This Row],[PCUSTID]],廠商[],2,FALSE),"")</f>
        <v/>
      </c>
      <c r="S1214" t="str">
        <f>VLOOKUP(record[[#This Row],[employeeID]],員工[],2,FALSE)</f>
        <v>阮氏河</v>
      </c>
    </row>
    <row r="1215" spans="6:19" hidden="1" x14ac:dyDescent="0.25">
      <c r="F1215" t="s">
        <v>1822</v>
      </c>
      <c r="G1215" t="s">
        <v>451</v>
      </c>
      <c r="H1215" t="str">
        <f>VLOOKUP(record[[#This Row],[ProcessSN]],表格2_7[],2,FALSE)</f>
        <v>30-4118-018-6XX</v>
      </c>
      <c r="I1215" t="str">
        <f>VLOOKUP(record[[#This Row],[ProcessSN]],表格2_7[],3,FALSE)</f>
        <v>#07</v>
      </c>
      <c r="J1215" t="s">
        <v>588</v>
      </c>
      <c r="K1215" s="195">
        <v>46136.464791666665</v>
      </c>
      <c r="L1215">
        <v>13</v>
      </c>
      <c r="M1215">
        <v>0</v>
      </c>
      <c r="N1215" s="98" t="str">
        <f>IF(record[[#This Row],[Memo]]="Browser:chrome os:android","平板報工",IF(record[[#This Row],[Memo]]=0,"委外",record[[#This Row],[Memo]]))</f>
        <v/>
      </c>
      <c r="O1215" t="s">
        <v>58</v>
      </c>
      <c r="P1215" t="s">
        <v>785</v>
      </c>
      <c r="Q1215" t="s">
        <v>58</v>
      </c>
      <c r="R1215" t="str">
        <f>IFERROR(VLOOKUP(record[[#This Row],[PCUSTID]],廠商[],2,FALSE),"")</f>
        <v/>
      </c>
      <c r="S1215" t="str">
        <f>VLOOKUP(record[[#This Row],[employeeID]],員工[],2,FALSE)</f>
        <v>謝刻光</v>
      </c>
    </row>
    <row r="1216" spans="6:19" hidden="1" x14ac:dyDescent="0.25">
      <c r="F1216" t="s">
        <v>1822</v>
      </c>
      <c r="G1216" t="s">
        <v>450</v>
      </c>
      <c r="H1216" t="str">
        <f>VLOOKUP(record[[#This Row],[ProcessSN]],表格2_7[],2,FALSE)</f>
        <v>30-4118-018-6XX</v>
      </c>
      <c r="I1216" t="str">
        <f>VLOOKUP(record[[#This Row],[ProcessSN]],表格2_7[],3,FALSE)</f>
        <v>#06</v>
      </c>
      <c r="J1216" t="s">
        <v>593</v>
      </c>
      <c r="K1216" s="195">
        <v>46136.464560185188</v>
      </c>
      <c r="L1216">
        <v>10</v>
      </c>
      <c r="M1216">
        <v>0</v>
      </c>
      <c r="N1216" s="98" t="str">
        <f>IF(record[[#This Row],[Memo]]="Browser:chrome os:android","平板報工",IF(record[[#This Row],[Memo]]=0,"委外",record[[#This Row],[Memo]]))</f>
        <v/>
      </c>
      <c r="O1216" t="s">
        <v>58</v>
      </c>
      <c r="P1216" t="s">
        <v>101</v>
      </c>
      <c r="Q1216" t="s">
        <v>58</v>
      </c>
      <c r="R1216" t="str">
        <f>IFERROR(VLOOKUP(record[[#This Row],[PCUSTID]],廠商[],2,FALSE),"")</f>
        <v/>
      </c>
      <c r="S1216" t="str">
        <f>VLOOKUP(record[[#This Row],[employeeID]],員工[],2,FALSE)</f>
        <v>陳氏絨</v>
      </c>
    </row>
    <row r="1217" spans="6:19" hidden="1" x14ac:dyDescent="0.25">
      <c r="F1217" t="s">
        <v>1822</v>
      </c>
      <c r="G1217" t="s">
        <v>452</v>
      </c>
      <c r="H1217" t="str">
        <f>VLOOKUP(record[[#This Row],[ProcessSN]],表格2_7[],2,FALSE)</f>
        <v>30-4118-018-6XX</v>
      </c>
      <c r="I1217" t="str">
        <f>VLOOKUP(record[[#This Row],[ProcessSN]],表格2_7[],3,FALSE)</f>
        <v>#07QC</v>
      </c>
      <c r="J1217" t="s">
        <v>589</v>
      </c>
      <c r="K1217" s="195">
        <v>46136.461365740739</v>
      </c>
      <c r="L1217">
        <v>139</v>
      </c>
      <c r="M1217">
        <v>0</v>
      </c>
      <c r="N1217" s="98" t="str">
        <f>IF(record[[#This Row],[Memo]]="Browser:chrome os:android","平板報工",IF(record[[#This Row],[Memo]]=0,"委外",record[[#This Row],[Memo]]))</f>
        <v/>
      </c>
      <c r="O1217" t="s">
        <v>58</v>
      </c>
      <c r="P1217" t="s">
        <v>97</v>
      </c>
      <c r="Q1217" t="s">
        <v>58</v>
      </c>
      <c r="R1217" t="str">
        <f>IFERROR(VLOOKUP(record[[#This Row],[PCUSTID]],廠商[],2,FALSE),"")</f>
        <v/>
      </c>
      <c r="S1217" t="str">
        <f>VLOOKUP(record[[#This Row],[employeeID]],員工[],2,FALSE)</f>
        <v>阮文明</v>
      </c>
    </row>
    <row r="1218" spans="6:19" hidden="1" x14ac:dyDescent="0.25">
      <c r="F1218" t="s">
        <v>1822</v>
      </c>
      <c r="G1218" t="s">
        <v>451</v>
      </c>
      <c r="H1218" t="str">
        <f>VLOOKUP(record[[#This Row],[ProcessSN]],表格2_7[],2,FALSE)</f>
        <v>30-4118-018-6XX</v>
      </c>
      <c r="I1218" t="str">
        <f>VLOOKUP(record[[#This Row],[ProcessSN]],表格2_7[],3,FALSE)</f>
        <v>#07</v>
      </c>
      <c r="J1218" t="s">
        <v>588</v>
      </c>
      <c r="K1218" s="195">
        <v>46136.461087962962</v>
      </c>
      <c r="L1218">
        <v>91</v>
      </c>
      <c r="M1218">
        <v>0</v>
      </c>
      <c r="N1218" s="98" t="str">
        <f>IF(record[[#This Row],[Memo]]="Browser:chrome os:android","平板報工",IF(record[[#This Row],[Memo]]=0,"委外",record[[#This Row],[Memo]]))</f>
        <v/>
      </c>
      <c r="O1218" t="s">
        <v>58</v>
      </c>
      <c r="P1218" t="s">
        <v>785</v>
      </c>
      <c r="Q1218" t="s">
        <v>58</v>
      </c>
      <c r="R1218" t="str">
        <f>IFERROR(VLOOKUP(record[[#This Row],[PCUSTID]],廠商[],2,FALSE),"")</f>
        <v/>
      </c>
      <c r="S1218" t="str">
        <f>VLOOKUP(record[[#This Row],[employeeID]],員工[],2,FALSE)</f>
        <v>謝刻光</v>
      </c>
    </row>
    <row r="1219" spans="6:19" hidden="1" x14ac:dyDescent="0.25">
      <c r="F1219" t="s">
        <v>1904</v>
      </c>
      <c r="G1219" t="s">
        <v>422</v>
      </c>
      <c r="H1219" t="str">
        <f>VLOOKUP(record[[#This Row],[ProcessSN]],表格2_7[],2,FALSE)</f>
        <v>30-4118-018-600</v>
      </c>
      <c r="I1219" t="str">
        <f>VLOOKUP(record[[#This Row],[ProcessSN]],表格2_7[],3,FALSE)</f>
        <v>#08</v>
      </c>
      <c r="J1219" t="s">
        <v>597</v>
      </c>
      <c r="K1219" s="195">
        <v>46136.459548611114</v>
      </c>
      <c r="L1219">
        <v>149</v>
      </c>
      <c r="M1219">
        <v>0</v>
      </c>
      <c r="N1219" s="98" t="str">
        <f>IF(record[[#This Row],[Memo]]="Browser:chrome os:android","平板報工",IF(record[[#This Row],[Memo]]=0,"委外",record[[#This Row],[Memo]]))</f>
        <v>委外</v>
      </c>
      <c r="P1219" t="s">
        <v>186</v>
      </c>
      <c r="Q1219" t="s">
        <v>287</v>
      </c>
      <c r="R1219" t="str">
        <f>IFERROR(VLOOKUP(record[[#This Row],[PCUSTID]],廠商[],2,FALSE),"")</f>
        <v>泉盛</v>
      </c>
      <c r="S1219" t="str">
        <f>VLOOKUP(record[[#This Row],[employeeID]],員工[],2,FALSE)</f>
        <v>許文姍</v>
      </c>
    </row>
    <row r="1220" spans="6:19" hidden="1" x14ac:dyDescent="0.25">
      <c r="F1220" t="s">
        <v>1850</v>
      </c>
      <c r="G1220" t="s">
        <v>419</v>
      </c>
      <c r="H1220" t="str">
        <f>VLOOKUP(record[[#This Row],[ProcessSN]],表格2_7[],2,FALSE)</f>
        <v>30-4118-018-5XX</v>
      </c>
      <c r="I1220" t="str">
        <f>VLOOKUP(record[[#This Row],[ProcessSN]],表格2_7[],3,FALSE)</f>
        <v>#07QC</v>
      </c>
      <c r="J1220" t="s">
        <v>589</v>
      </c>
      <c r="K1220" s="195">
        <v>46136.459467592591</v>
      </c>
      <c r="L1220">
        <v>314</v>
      </c>
      <c r="M1220">
        <v>0</v>
      </c>
      <c r="N1220" s="98" t="str">
        <f>IF(record[[#This Row],[Memo]]="Browser:chrome os:android","平板報工",IF(record[[#This Row],[Memo]]=0,"委外",record[[#This Row],[Memo]]))</f>
        <v/>
      </c>
      <c r="O1220" t="s">
        <v>58</v>
      </c>
      <c r="P1220" t="s">
        <v>141</v>
      </c>
      <c r="Q1220" t="s">
        <v>58</v>
      </c>
      <c r="R1220" t="str">
        <f>IFERROR(VLOOKUP(record[[#This Row],[PCUSTID]],廠商[],2,FALSE),"")</f>
        <v/>
      </c>
      <c r="S1220" t="str">
        <f>VLOOKUP(record[[#This Row],[employeeID]],員工[],2,FALSE)</f>
        <v>蔣梅</v>
      </c>
    </row>
    <row r="1221" spans="6:19" hidden="1" x14ac:dyDescent="0.25">
      <c r="F1221" t="s">
        <v>1904</v>
      </c>
      <c r="G1221" t="s">
        <v>421</v>
      </c>
      <c r="H1221" t="str">
        <f>VLOOKUP(record[[#This Row],[ProcessSN]],表格2_7[],2,FALSE)</f>
        <v>30-4118-018-600</v>
      </c>
      <c r="I1221" t="str">
        <f>VLOOKUP(record[[#This Row],[ProcessSN]],表格2_7[],3,FALSE)</f>
        <v>#08PICK</v>
      </c>
      <c r="J1221" t="s">
        <v>582</v>
      </c>
      <c r="K1221" s="195">
        <v>46136.459409722222</v>
      </c>
      <c r="L1221">
        <v>149</v>
      </c>
      <c r="M1221">
        <v>0</v>
      </c>
      <c r="N1221" s="98" t="str">
        <f>IF(record[[#This Row],[Memo]]="Browser:chrome os:android","平板報工",IF(record[[#This Row],[Memo]]=0,"委外",record[[#This Row],[Memo]]))</f>
        <v>149</v>
      </c>
      <c r="O1221" t="s">
        <v>1905</v>
      </c>
      <c r="P1221" t="s">
        <v>186</v>
      </c>
      <c r="Q1221" t="s">
        <v>58</v>
      </c>
      <c r="R1221" t="str">
        <f>IFERROR(VLOOKUP(record[[#This Row],[PCUSTID]],廠商[],2,FALSE),"")</f>
        <v/>
      </c>
      <c r="S1221" t="str">
        <f>VLOOKUP(record[[#This Row],[employeeID]],員工[],2,FALSE)</f>
        <v>許文姍</v>
      </c>
    </row>
    <row r="1222" spans="6:19" hidden="1" x14ac:dyDescent="0.25">
      <c r="F1222" t="s">
        <v>1903</v>
      </c>
      <c r="G1222" t="s">
        <v>381</v>
      </c>
      <c r="H1222" t="str">
        <f>VLOOKUP(record[[#This Row],[ProcessSN]],表格2_7[],2,FALSE)</f>
        <v>30-4118-018-500</v>
      </c>
      <c r="I1222" t="str">
        <f>VLOOKUP(record[[#This Row],[ProcessSN]],表格2_7[],3,FALSE)</f>
        <v>#08</v>
      </c>
      <c r="J1222" t="s">
        <v>597</v>
      </c>
      <c r="K1222" s="195">
        <v>46136.45516203704</v>
      </c>
      <c r="L1222">
        <v>472</v>
      </c>
      <c r="M1222">
        <v>0</v>
      </c>
      <c r="N1222" s="98" t="str">
        <f>IF(record[[#This Row],[Memo]]="Browser:chrome os:android","平板報工",IF(record[[#This Row],[Memo]]=0,"委外",record[[#This Row],[Memo]]))</f>
        <v>委外</v>
      </c>
      <c r="P1222" t="s">
        <v>186</v>
      </c>
      <c r="Q1222" t="s">
        <v>287</v>
      </c>
      <c r="R1222" t="str">
        <f>IFERROR(VLOOKUP(record[[#This Row],[PCUSTID]],廠商[],2,FALSE),"")</f>
        <v>泉盛</v>
      </c>
      <c r="S1222" t="str">
        <f>VLOOKUP(record[[#This Row],[employeeID]],員工[],2,FALSE)</f>
        <v>許文姍</v>
      </c>
    </row>
    <row r="1223" spans="6:19" hidden="1" x14ac:dyDescent="0.25">
      <c r="F1223" t="s">
        <v>1903</v>
      </c>
      <c r="G1223" t="s">
        <v>380</v>
      </c>
      <c r="H1223" t="str">
        <f>VLOOKUP(record[[#This Row],[ProcessSN]],表格2_7[],2,FALSE)</f>
        <v>30-4118-018-500</v>
      </c>
      <c r="I1223" t="str">
        <f>VLOOKUP(record[[#This Row],[ProcessSN]],表格2_7[],3,FALSE)</f>
        <v>#08PICK</v>
      </c>
      <c r="J1223" t="s">
        <v>582</v>
      </c>
      <c r="K1223" s="195">
        <v>46136.454942129632</v>
      </c>
      <c r="L1223">
        <v>472</v>
      </c>
      <c r="M1223">
        <v>0</v>
      </c>
      <c r="N1223" s="98" t="str">
        <f>IF(record[[#This Row],[Memo]]="Browser:chrome os:android","平板報工",IF(record[[#This Row],[Memo]]=0,"委外",record[[#This Row],[Memo]]))</f>
        <v/>
      </c>
      <c r="O1223" t="s">
        <v>58</v>
      </c>
      <c r="P1223" t="s">
        <v>186</v>
      </c>
      <c r="Q1223" t="s">
        <v>58</v>
      </c>
      <c r="R1223" t="str">
        <f>IFERROR(VLOOKUP(record[[#This Row],[PCUSTID]],廠商[],2,FALSE),"")</f>
        <v/>
      </c>
      <c r="S1223" t="str">
        <f>VLOOKUP(record[[#This Row],[employeeID]],員工[],2,FALSE)</f>
        <v>許文姍</v>
      </c>
    </row>
    <row r="1224" spans="6:19" hidden="1" x14ac:dyDescent="0.25">
      <c r="F1224" t="s">
        <v>1868</v>
      </c>
      <c r="G1224" t="s">
        <v>426</v>
      </c>
      <c r="H1224" t="str">
        <f>VLOOKUP(record[[#This Row],[ProcessSN]],表格2_7[],2,FALSE)</f>
        <v>30-4118-018-600</v>
      </c>
      <c r="I1224" t="str">
        <f>VLOOKUP(record[[#This Row],[ProcessSN]],表格2_7[],3,FALSE)</f>
        <v>#100OQC</v>
      </c>
      <c r="J1224" t="s">
        <v>599</v>
      </c>
      <c r="K1224" s="195">
        <v>46136.443958333337</v>
      </c>
      <c r="L1224">
        <v>169</v>
      </c>
      <c r="M1224">
        <v>0</v>
      </c>
      <c r="N1224" s="98" t="str">
        <f>IF(record[[#This Row],[Memo]]="Browser:chrome os:android","平板報工",IF(record[[#This Row],[Memo]]=0,"委外",record[[#This Row],[Memo]]))</f>
        <v/>
      </c>
      <c r="O1224" t="s">
        <v>58</v>
      </c>
      <c r="P1224" t="s">
        <v>121</v>
      </c>
      <c r="Q1224" t="s">
        <v>58</v>
      </c>
      <c r="R1224" t="str">
        <f>IFERROR(VLOOKUP(record[[#This Row],[PCUSTID]],廠商[],2,FALSE),"")</f>
        <v/>
      </c>
      <c r="S1224" t="str">
        <f>VLOOKUP(record[[#This Row],[employeeID]],員工[],2,FALSE)</f>
        <v>謝素卿</v>
      </c>
    </row>
    <row r="1225" spans="6:19" hidden="1" x14ac:dyDescent="0.25">
      <c r="F1225" t="s">
        <v>1872</v>
      </c>
      <c r="G1225" t="s">
        <v>401</v>
      </c>
      <c r="H1225" t="str">
        <f>VLOOKUP(record[[#This Row],[ProcessSN]],表格2_7[],2,FALSE)</f>
        <v>30-4118-018-550</v>
      </c>
      <c r="I1225" t="str">
        <f>VLOOKUP(record[[#This Row],[ProcessSN]],表格2_7[],3,FALSE)</f>
        <v>#100OQC</v>
      </c>
      <c r="J1225" t="s">
        <v>599</v>
      </c>
      <c r="K1225" s="195">
        <v>46136.443796296298</v>
      </c>
      <c r="L1225">
        <v>463</v>
      </c>
      <c r="M1225">
        <v>0</v>
      </c>
      <c r="N1225" s="98" t="str">
        <f>IF(record[[#This Row],[Memo]]="Browser:chrome os:android","平板報工",IF(record[[#This Row],[Memo]]=0,"委外",record[[#This Row],[Memo]]))</f>
        <v/>
      </c>
      <c r="O1225" t="s">
        <v>58</v>
      </c>
      <c r="P1225" t="s">
        <v>121</v>
      </c>
      <c r="Q1225" t="s">
        <v>58</v>
      </c>
      <c r="R1225" t="str">
        <f>IFERROR(VLOOKUP(record[[#This Row],[PCUSTID]],廠商[],2,FALSE),"")</f>
        <v/>
      </c>
      <c r="S1225" t="str">
        <f>VLOOKUP(record[[#This Row],[employeeID]],員工[],2,FALSE)</f>
        <v>謝素卿</v>
      </c>
    </row>
    <row r="1226" spans="6:19" hidden="1" x14ac:dyDescent="0.25">
      <c r="F1226" t="s">
        <v>1868</v>
      </c>
      <c r="G1226" t="s">
        <v>425</v>
      </c>
      <c r="H1226" t="str">
        <f>VLOOKUP(record[[#This Row],[ProcessSN]],表格2_7[],2,FALSE)</f>
        <v>30-4118-018-600</v>
      </c>
      <c r="I1226" t="str">
        <f>VLOOKUP(record[[#This Row],[ProcessSN]],表格2_7[],3,FALSE)</f>
        <v>#100</v>
      </c>
      <c r="J1226" t="s">
        <v>598</v>
      </c>
      <c r="K1226" s="195">
        <v>46136.424479166664</v>
      </c>
      <c r="L1226">
        <v>169</v>
      </c>
      <c r="M1226">
        <v>0</v>
      </c>
      <c r="N1226" s="98" t="str">
        <f>IF(record[[#This Row],[Memo]]="Browser:chrome os:android","平板報工",IF(record[[#This Row],[Memo]]=0,"委外",record[[#This Row],[Memo]]))</f>
        <v/>
      </c>
      <c r="O1226" t="s">
        <v>58</v>
      </c>
      <c r="P1226" t="s">
        <v>99</v>
      </c>
      <c r="Q1226" t="s">
        <v>58</v>
      </c>
      <c r="R1226" t="str">
        <f>IFERROR(VLOOKUP(record[[#This Row],[PCUSTID]],廠商[],2,FALSE),"")</f>
        <v/>
      </c>
      <c r="S1226" t="str">
        <f>VLOOKUP(record[[#This Row],[employeeID]],員工[],2,FALSE)</f>
        <v>阮氏河</v>
      </c>
    </row>
    <row r="1227" spans="6:19" hidden="1" x14ac:dyDescent="0.25">
      <c r="F1227" t="s">
        <v>1872</v>
      </c>
      <c r="G1227" t="s">
        <v>400</v>
      </c>
      <c r="H1227" t="str">
        <f>VLOOKUP(record[[#This Row],[ProcessSN]],表格2_7[],2,FALSE)</f>
        <v>30-4118-018-550</v>
      </c>
      <c r="I1227" t="str">
        <f>VLOOKUP(record[[#This Row],[ProcessSN]],表格2_7[],3,FALSE)</f>
        <v>#100</v>
      </c>
      <c r="J1227" t="s">
        <v>598</v>
      </c>
      <c r="K1227" s="195">
        <v>46136.424317129633</v>
      </c>
      <c r="L1227">
        <v>463</v>
      </c>
      <c r="M1227">
        <v>0</v>
      </c>
      <c r="N1227" s="98" t="str">
        <f>IF(record[[#This Row],[Memo]]="Browser:chrome os:android","平板報工",IF(record[[#This Row],[Memo]]=0,"委外",record[[#This Row],[Memo]]))</f>
        <v/>
      </c>
      <c r="O1227" t="s">
        <v>58</v>
      </c>
      <c r="P1227" t="s">
        <v>99</v>
      </c>
      <c r="Q1227" t="s">
        <v>58</v>
      </c>
      <c r="R1227" t="str">
        <f>IFERROR(VLOOKUP(record[[#This Row],[PCUSTID]],廠商[],2,FALSE),"")</f>
        <v/>
      </c>
      <c r="S1227" t="str">
        <f>VLOOKUP(record[[#This Row],[employeeID]],員工[],2,FALSE)</f>
        <v>阮氏河</v>
      </c>
    </row>
    <row r="1228" spans="6:19" hidden="1" x14ac:dyDescent="0.25">
      <c r="F1228" t="s">
        <v>1850</v>
      </c>
      <c r="G1228" t="s">
        <v>419</v>
      </c>
      <c r="H1228" t="str">
        <f>VLOOKUP(record[[#This Row],[ProcessSN]],表格2_7[],2,FALSE)</f>
        <v>30-4118-018-5XX</v>
      </c>
      <c r="I1228" t="str">
        <f>VLOOKUP(record[[#This Row],[ProcessSN]],表格2_7[],3,FALSE)</f>
        <v>#07QC</v>
      </c>
      <c r="J1228" t="s">
        <v>589</v>
      </c>
      <c r="K1228" s="195">
        <v>46136.422569444447</v>
      </c>
      <c r="L1228">
        <v>158</v>
      </c>
      <c r="M1228">
        <v>0</v>
      </c>
      <c r="N1228" s="98" t="str">
        <f>IF(record[[#This Row],[Memo]]="Browser:chrome os:android","平板報工",IF(record[[#This Row],[Memo]]=0,"委外",record[[#This Row],[Memo]]))</f>
        <v/>
      </c>
      <c r="O1228" t="s">
        <v>58</v>
      </c>
      <c r="P1228" t="s">
        <v>99</v>
      </c>
      <c r="Q1228" t="s">
        <v>58</v>
      </c>
      <c r="R1228" t="str">
        <f>IFERROR(VLOOKUP(record[[#This Row],[PCUSTID]],廠商[],2,FALSE),"")</f>
        <v/>
      </c>
      <c r="S1228" t="str">
        <f>VLOOKUP(record[[#This Row],[employeeID]],員工[],2,FALSE)</f>
        <v>阮氏河</v>
      </c>
    </row>
    <row r="1229" spans="6:19" hidden="1" x14ac:dyDescent="0.25">
      <c r="F1229" t="s">
        <v>1850</v>
      </c>
      <c r="G1229" t="s">
        <v>419</v>
      </c>
      <c r="H1229" t="str">
        <f>VLOOKUP(record[[#This Row],[ProcessSN]],表格2_7[],2,FALSE)</f>
        <v>30-4118-018-5XX</v>
      </c>
      <c r="I1229" t="str">
        <f>VLOOKUP(record[[#This Row],[ProcessSN]],表格2_7[],3,FALSE)</f>
        <v>#07QC</v>
      </c>
      <c r="J1229" t="s">
        <v>589</v>
      </c>
      <c r="K1229" s="195">
        <v>46136.422361111108</v>
      </c>
      <c r="L1229">
        <v>0</v>
      </c>
      <c r="M1229">
        <v>6</v>
      </c>
      <c r="N1229" s="98" t="str">
        <f>IF(record[[#This Row],[Memo]]="Browser:chrome os:android","平板報工",IF(record[[#This Row],[Memo]]=0,"委外",record[[#This Row],[Memo]]))</f>
        <v/>
      </c>
      <c r="O1229" t="s">
        <v>58</v>
      </c>
      <c r="P1229" t="s">
        <v>99</v>
      </c>
      <c r="Q1229" t="s">
        <v>58</v>
      </c>
      <c r="R1229" t="str">
        <f>IFERROR(VLOOKUP(record[[#This Row],[PCUSTID]],廠商[],2,FALSE),"")</f>
        <v/>
      </c>
      <c r="S1229" t="str">
        <f>VLOOKUP(record[[#This Row],[employeeID]],員工[],2,FALSE)</f>
        <v>阮氏河</v>
      </c>
    </row>
    <row r="1230" spans="6:19" hidden="1" x14ac:dyDescent="0.25">
      <c r="F1230" t="s">
        <v>1818</v>
      </c>
      <c r="G1230" t="s">
        <v>467</v>
      </c>
      <c r="H1230" t="str">
        <f>VLOOKUP(record[[#This Row],[ProcessSN]],表格2_7[],2,FALSE)</f>
        <v>30-4118-018-XXX</v>
      </c>
      <c r="I1230" t="str">
        <f>VLOOKUP(record[[#This Row],[ProcessSN]],表格2_7[],3,FALSE)</f>
        <v>#01QC</v>
      </c>
      <c r="J1230" t="s">
        <v>589</v>
      </c>
      <c r="K1230" s="195">
        <v>46136.375983796293</v>
      </c>
      <c r="L1230">
        <v>31</v>
      </c>
      <c r="M1230">
        <v>0</v>
      </c>
      <c r="N1230" s="98" t="str">
        <f>IF(record[[#This Row],[Memo]]="Browser:chrome os:android","平板報工",IF(record[[#This Row],[Memo]]=0,"委外",record[[#This Row],[Memo]]))</f>
        <v>平板報工</v>
      </c>
      <c r="O1230" t="s">
        <v>643</v>
      </c>
      <c r="P1230" t="s">
        <v>182</v>
      </c>
      <c r="Q1230" t="s">
        <v>644</v>
      </c>
      <c r="R1230" t="str">
        <f>IFERROR(VLOOKUP(record[[#This Row],[PCUSTID]],廠商[],2,FALSE),"")</f>
        <v/>
      </c>
      <c r="S1230" t="str">
        <f>VLOOKUP(record[[#This Row],[employeeID]],員工[],2,FALSE)</f>
        <v>梅氏和</v>
      </c>
    </row>
    <row r="1231" spans="6:19" hidden="1" x14ac:dyDescent="0.25">
      <c r="F1231" t="s">
        <v>1818</v>
      </c>
      <c r="G1231" t="s">
        <v>468</v>
      </c>
      <c r="H1231" t="str">
        <f>VLOOKUP(record[[#This Row],[ProcessSN]],表格2_7[],2,FALSE)</f>
        <v>30-4118-018-XXX</v>
      </c>
      <c r="I1231" t="str">
        <f>VLOOKUP(record[[#This Row],[ProcessSN]],表格2_7[],3,FALSE)</f>
        <v>#02</v>
      </c>
      <c r="J1231" t="s">
        <v>590</v>
      </c>
      <c r="K1231" s="195">
        <v>46136.372812499998</v>
      </c>
      <c r="L1231">
        <v>840</v>
      </c>
      <c r="M1231">
        <v>0</v>
      </c>
      <c r="N1231" s="98" t="str">
        <f>IF(record[[#This Row],[Memo]]="Browser:chrome os:android","平板報工",IF(record[[#This Row],[Memo]]=0,"委外",record[[#This Row],[Memo]]))</f>
        <v>委外</v>
      </c>
      <c r="P1231" t="s">
        <v>186</v>
      </c>
      <c r="Q1231" t="s">
        <v>216</v>
      </c>
      <c r="R1231" t="str">
        <f>IFERROR(VLOOKUP(record[[#This Row],[PCUSTID]],廠商[],2,FALSE),"")</f>
        <v>俊杰</v>
      </c>
      <c r="S1231" t="str">
        <f>VLOOKUP(record[[#This Row],[employeeID]],員工[],2,FALSE)</f>
        <v>許文姍</v>
      </c>
    </row>
    <row r="1232" spans="6:19" hidden="1" x14ac:dyDescent="0.25">
      <c r="F1232" t="s">
        <v>1872</v>
      </c>
      <c r="G1232" t="s">
        <v>398</v>
      </c>
      <c r="H1232" t="str">
        <f>VLOOKUP(record[[#This Row],[ProcessSN]],表格2_7[],2,FALSE)</f>
        <v>30-4118-018-550</v>
      </c>
      <c r="I1232" t="str">
        <f>VLOOKUP(record[[#This Row],[ProcessSN]],表格2_7[],3,FALSE)</f>
        <v>#08RCV</v>
      </c>
      <c r="J1232" t="s">
        <v>591</v>
      </c>
      <c r="K1232" s="195">
        <v>46136.366736111115</v>
      </c>
      <c r="L1232">
        <v>1</v>
      </c>
      <c r="M1232">
        <v>0</v>
      </c>
      <c r="N1232" s="98" t="str">
        <f>IF(record[[#This Row],[Memo]]="Browser:chrome os:android","平板報工",IF(record[[#This Row],[Memo]]=0,"委外",record[[#This Row],[Memo]]))</f>
        <v/>
      </c>
      <c r="O1232" t="s">
        <v>58</v>
      </c>
      <c r="P1232" t="s">
        <v>186</v>
      </c>
      <c r="Q1232" t="s">
        <v>58</v>
      </c>
      <c r="R1232" t="str">
        <f>IFERROR(VLOOKUP(record[[#This Row],[PCUSTID]],廠商[],2,FALSE),"")</f>
        <v/>
      </c>
      <c r="S1232" t="str">
        <f>VLOOKUP(record[[#This Row],[employeeID]],員工[],2,FALSE)</f>
        <v>許文姍</v>
      </c>
    </row>
    <row r="1233" spans="6:19" hidden="1" x14ac:dyDescent="0.25">
      <c r="F1233" t="s">
        <v>1818</v>
      </c>
      <c r="G1233" t="s">
        <v>467</v>
      </c>
      <c r="H1233" t="str">
        <f>VLOOKUP(record[[#This Row],[ProcessSN]],表格2_7[],2,FALSE)</f>
        <v>30-4118-018-XXX</v>
      </c>
      <c r="I1233" t="str">
        <f>VLOOKUP(record[[#This Row],[ProcessSN]],表格2_7[],3,FALSE)</f>
        <v>#01QC</v>
      </c>
      <c r="J1233" t="s">
        <v>589</v>
      </c>
      <c r="K1233" s="195">
        <v>46136.363900462966</v>
      </c>
      <c r="L1233">
        <v>840</v>
      </c>
      <c r="M1233">
        <v>0</v>
      </c>
      <c r="N1233" s="98" t="str">
        <f>IF(record[[#This Row],[Memo]]="Browser:chrome os:android","平板報工",IF(record[[#This Row],[Memo]]=0,"委外",record[[#This Row],[Memo]]))</f>
        <v>平板報工</v>
      </c>
      <c r="O1233" t="s">
        <v>643</v>
      </c>
      <c r="P1233" t="s">
        <v>182</v>
      </c>
      <c r="Q1233" t="s">
        <v>644</v>
      </c>
      <c r="R1233" t="str">
        <f>IFERROR(VLOOKUP(record[[#This Row],[PCUSTID]],廠商[],2,FALSE),"")</f>
        <v/>
      </c>
      <c r="S1233" t="str">
        <f>VLOOKUP(record[[#This Row],[employeeID]],員工[],2,FALSE)</f>
        <v>梅氏和</v>
      </c>
    </row>
    <row r="1234" spans="6:19" hidden="1" x14ac:dyDescent="0.25">
      <c r="F1234" t="s">
        <v>1868</v>
      </c>
      <c r="G1234" t="s">
        <v>424</v>
      </c>
      <c r="H1234" t="str">
        <f>VLOOKUP(record[[#This Row],[ProcessSN]],表格2_7[],2,FALSE)</f>
        <v>30-4118-018-600</v>
      </c>
      <c r="I1234" t="str">
        <f>VLOOKUP(record[[#This Row],[ProcessSN]],表格2_7[],3,FALSE)</f>
        <v>#08IQC</v>
      </c>
      <c r="J1234" t="s">
        <v>583</v>
      </c>
      <c r="K1234" s="195">
        <v>46136.347696759258</v>
      </c>
      <c r="L1234">
        <v>360</v>
      </c>
      <c r="M1234">
        <v>0</v>
      </c>
      <c r="N1234" s="98" t="str">
        <f>IF(record[[#This Row],[Memo]]="Browser:chrome os:android","平板報工",IF(record[[#This Row],[Memo]]=0,"委外",record[[#This Row],[Memo]]))</f>
        <v/>
      </c>
      <c r="O1234" t="s">
        <v>58</v>
      </c>
      <c r="P1234" t="s">
        <v>121</v>
      </c>
      <c r="Q1234" t="s">
        <v>58</v>
      </c>
      <c r="R1234" t="str">
        <f>IFERROR(VLOOKUP(record[[#This Row],[PCUSTID]],廠商[],2,FALSE),"")</f>
        <v/>
      </c>
      <c r="S1234" t="str">
        <f>VLOOKUP(record[[#This Row],[employeeID]],員工[],2,FALSE)</f>
        <v>謝素卿</v>
      </c>
    </row>
    <row r="1235" spans="6:19" hidden="1" x14ac:dyDescent="0.25">
      <c r="F1235" t="s">
        <v>1872</v>
      </c>
      <c r="G1235" t="s">
        <v>399</v>
      </c>
      <c r="H1235" t="str">
        <f>VLOOKUP(record[[#This Row],[ProcessSN]],表格2_7[],2,FALSE)</f>
        <v>30-4118-018-550</v>
      </c>
      <c r="I1235" t="str">
        <f>VLOOKUP(record[[#This Row],[ProcessSN]],表格2_7[],3,FALSE)</f>
        <v>#08IQC</v>
      </c>
      <c r="J1235" t="s">
        <v>583</v>
      </c>
      <c r="K1235" s="195">
        <v>46136.347488425927</v>
      </c>
      <c r="L1235">
        <v>588</v>
      </c>
      <c r="M1235">
        <v>0</v>
      </c>
      <c r="N1235" s="98" t="str">
        <f>IF(record[[#This Row],[Memo]]="Browser:chrome os:android","平板報工",IF(record[[#This Row],[Memo]]=0,"委外",record[[#This Row],[Memo]]))</f>
        <v/>
      </c>
      <c r="O1235" t="s">
        <v>58</v>
      </c>
      <c r="P1235" t="s">
        <v>121</v>
      </c>
      <c r="Q1235" t="s">
        <v>58</v>
      </c>
      <c r="R1235" t="str">
        <f>IFERROR(VLOOKUP(record[[#This Row],[PCUSTID]],廠商[],2,FALSE),"")</f>
        <v/>
      </c>
      <c r="S1235" t="str">
        <f>VLOOKUP(record[[#This Row],[employeeID]],員工[],2,FALSE)</f>
        <v>謝素卿</v>
      </c>
    </row>
    <row r="1236" spans="6:19" hidden="1" x14ac:dyDescent="0.25">
      <c r="F1236" t="s">
        <v>1874</v>
      </c>
      <c r="G1236" t="s">
        <v>366</v>
      </c>
      <c r="H1236" t="str">
        <f>VLOOKUP(record[[#This Row],[ProcessSN]],表格2_7[],2,FALSE)</f>
        <v>30-4118-018-470</v>
      </c>
      <c r="I1236" t="str">
        <f>VLOOKUP(record[[#This Row],[ProcessSN]],表格2_7[],3,FALSE)</f>
        <v>#08IQC</v>
      </c>
      <c r="J1236" t="s">
        <v>583</v>
      </c>
      <c r="K1236" s="195">
        <v>46136.347314814811</v>
      </c>
      <c r="L1236">
        <v>230</v>
      </c>
      <c r="M1236">
        <v>0</v>
      </c>
      <c r="N1236" s="98" t="str">
        <f>IF(record[[#This Row],[Memo]]="Browser:chrome os:android","平板報工",IF(record[[#This Row],[Memo]]=0,"委外",record[[#This Row],[Memo]]))</f>
        <v/>
      </c>
      <c r="O1236" t="s">
        <v>58</v>
      </c>
      <c r="P1236" t="s">
        <v>121</v>
      </c>
      <c r="Q1236" t="s">
        <v>58</v>
      </c>
      <c r="R1236" t="str">
        <f>IFERROR(VLOOKUP(record[[#This Row],[PCUSTID]],廠商[],2,FALSE),"")</f>
        <v/>
      </c>
      <c r="S1236" t="str">
        <f>VLOOKUP(record[[#This Row],[employeeID]],員工[],2,FALSE)</f>
        <v>謝素卿</v>
      </c>
    </row>
    <row r="1237" spans="6:19" hidden="1" x14ac:dyDescent="0.25">
      <c r="F1237" t="s">
        <v>1822</v>
      </c>
      <c r="G1237" t="s">
        <v>451</v>
      </c>
      <c r="H1237" t="str">
        <f>VLOOKUP(record[[#This Row],[ProcessSN]],表格2_7[],2,FALSE)</f>
        <v>30-4118-018-6XX</v>
      </c>
      <c r="I1237" t="str">
        <f>VLOOKUP(record[[#This Row],[ProcessSN]],表格2_7[],3,FALSE)</f>
        <v>#07</v>
      </c>
      <c r="J1237" t="s">
        <v>588</v>
      </c>
      <c r="K1237" s="195">
        <v>46136.319594907407</v>
      </c>
      <c r="L1237">
        <v>48</v>
      </c>
      <c r="M1237">
        <v>0</v>
      </c>
      <c r="N1237" s="98" t="str">
        <f>IF(record[[#This Row],[Memo]]="Browser:chrome os:android","平板報工",IF(record[[#This Row],[Memo]]=0,"委外",record[[#This Row],[Memo]]))</f>
        <v/>
      </c>
      <c r="O1237" t="s">
        <v>58</v>
      </c>
      <c r="P1237" t="s">
        <v>135</v>
      </c>
      <c r="Q1237" t="s">
        <v>58</v>
      </c>
      <c r="R1237" t="str">
        <f>IFERROR(VLOOKUP(record[[#This Row],[PCUSTID]],廠商[],2,FALSE),"")</f>
        <v/>
      </c>
      <c r="S1237" t="str">
        <f>VLOOKUP(record[[#This Row],[employeeID]],員工[],2,FALSE)</f>
        <v>阮士文</v>
      </c>
    </row>
    <row r="1238" spans="6:19" hidden="1" x14ac:dyDescent="0.25">
      <c r="F1238" t="s">
        <v>1850</v>
      </c>
      <c r="G1238" t="s">
        <v>418</v>
      </c>
      <c r="H1238" t="str">
        <f>VLOOKUP(record[[#This Row],[ProcessSN]],表格2_7[],2,FALSE)</f>
        <v>30-4118-018-5XX</v>
      </c>
      <c r="I1238" t="str">
        <f>VLOOKUP(record[[#This Row],[ProcessSN]],表格2_7[],3,FALSE)</f>
        <v>#07</v>
      </c>
      <c r="J1238" t="s">
        <v>588</v>
      </c>
      <c r="K1238" s="195">
        <v>46136.319456018522</v>
      </c>
      <c r="L1238">
        <v>184</v>
      </c>
      <c r="M1238">
        <v>4</v>
      </c>
      <c r="N1238" s="98" t="str">
        <f>IF(record[[#This Row],[Memo]]="Browser:chrome os:android","平板報工",IF(record[[#This Row],[Memo]]=0,"委外",record[[#This Row],[Memo]]))</f>
        <v/>
      </c>
      <c r="O1238" t="s">
        <v>58</v>
      </c>
      <c r="P1238" t="s">
        <v>135</v>
      </c>
      <c r="Q1238" t="s">
        <v>58</v>
      </c>
      <c r="R1238" t="str">
        <f>IFERROR(VLOOKUP(record[[#This Row],[PCUSTID]],廠商[],2,FALSE),"")</f>
        <v/>
      </c>
      <c r="S1238" t="str">
        <f>VLOOKUP(record[[#This Row],[employeeID]],員工[],2,FALSE)</f>
        <v>阮士文</v>
      </c>
    </row>
    <row r="1239" spans="6:19" hidden="1" x14ac:dyDescent="0.25">
      <c r="F1239" t="s">
        <v>1822</v>
      </c>
      <c r="G1239" t="s">
        <v>450</v>
      </c>
      <c r="H1239" t="str">
        <f>VLOOKUP(record[[#This Row],[ProcessSN]],表格2_7[],2,FALSE)</f>
        <v>30-4118-018-6XX</v>
      </c>
      <c r="I1239" t="str">
        <f>VLOOKUP(record[[#This Row],[ProcessSN]],表格2_7[],3,FALSE)</f>
        <v>#06</v>
      </c>
      <c r="J1239" t="s">
        <v>593</v>
      </c>
      <c r="K1239" s="195">
        <v>46136.31858796296</v>
      </c>
      <c r="L1239">
        <v>94</v>
      </c>
      <c r="M1239">
        <v>0</v>
      </c>
      <c r="N1239" s="98" t="str">
        <f>IF(record[[#This Row],[Memo]]="Browser:chrome os:android","平板報工",IF(record[[#This Row],[Memo]]=0,"委外",record[[#This Row],[Memo]]))</f>
        <v>平板報工</v>
      </c>
      <c r="O1239" t="s">
        <v>643</v>
      </c>
      <c r="P1239" t="s">
        <v>841</v>
      </c>
      <c r="Q1239" t="s">
        <v>644</v>
      </c>
      <c r="R1239" t="str">
        <f>IFERROR(VLOOKUP(record[[#This Row],[PCUSTID]],廠商[],2,FALSE),"")</f>
        <v/>
      </c>
      <c r="S1239" t="str">
        <f>VLOOKUP(record[[#This Row],[employeeID]],員工[],2,FALSE)</f>
        <v>范氏香</v>
      </c>
    </row>
    <row r="1240" spans="6:19" hidden="1" x14ac:dyDescent="0.25">
      <c r="F1240" t="s">
        <v>1850</v>
      </c>
      <c r="G1240" t="s">
        <v>417</v>
      </c>
      <c r="H1240" t="str">
        <f>VLOOKUP(record[[#This Row],[ProcessSN]],表格2_7[],2,FALSE)</f>
        <v>30-4118-018-5XX</v>
      </c>
      <c r="I1240" t="str">
        <f>VLOOKUP(record[[#This Row],[ProcessSN]],表格2_7[],3,FALSE)</f>
        <v>#06</v>
      </c>
      <c r="J1240" t="s">
        <v>593</v>
      </c>
      <c r="K1240" s="195">
        <v>46136.317777777775</v>
      </c>
      <c r="L1240">
        <v>37</v>
      </c>
      <c r="M1240">
        <v>0</v>
      </c>
      <c r="N1240" s="98" t="str">
        <f>IF(record[[#This Row],[Memo]]="Browser:chrome os:android","平板報工",IF(record[[#This Row],[Memo]]=0,"委外",record[[#This Row],[Memo]]))</f>
        <v>平板報工</v>
      </c>
      <c r="O1240" t="s">
        <v>643</v>
      </c>
      <c r="P1240" t="s">
        <v>841</v>
      </c>
      <c r="Q1240" t="s">
        <v>644</v>
      </c>
      <c r="R1240" t="str">
        <f>IFERROR(VLOOKUP(record[[#This Row],[PCUSTID]],廠商[],2,FALSE),"")</f>
        <v/>
      </c>
      <c r="S1240" t="str">
        <f>VLOOKUP(record[[#This Row],[employeeID]],員工[],2,FALSE)</f>
        <v>范氏香</v>
      </c>
    </row>
    <row r="1241" spans="6:19" hidden="1" x14ac:dyDescent="0.25">
      <c r="F1241" t="s">
        <v>1822</v>
      </c>
      <c r="G1241" t="s">
        <v>449</v>
      </c>
      <c r="H1241" t="str">
        <f>VLOOKUP(record[[#This Row],[ProcessSN]],表格2_7[],2,FALSE)</f>
        <v>30-4118-018-6XX</v>
      </c>
      <c r="I1241" t="str">
        <f>VLOOKUP(record[[#This Row],[ProcessSN]],表格2_7[],3,FALSE)</f>
        <v>#05</v>
      </c>
      <c r="J1241" t="s">
        <v>588</v>
      </c>
      <c r="K1241" s="195">
        <v>46136.294074074074</v>
      </c>
      <c r="L1241">
        <v>242</v>
      </c>
      <c r="M1241">
        <v>0</v>
      </c>
      <c r="N1241" s="98" t="str">
        <f>IF(record[[#This Row],[Memo]]="Browser:chrome os:android","平板報工",IF(record[[#This Row],[Memo]]=0,"委外",record[[#This Row],[Memo]]))</f>
        <v>平板報工</v>
      </c>
      <c r="O1241" t="s">
        <v>643</v>
      </c>
      <c r="P1241" t="s">
        <v>843</v>
      </c>
      <c r="Q1241" t="s">
        <v>644</v>
      </c>
      <c r="R1241" t="str">
        <f>IFERROR(VLOOKUP(record[[#This Row],[PCUSTID]],廠商[],2,FALSE),"")</f>
        <v/>
      </c>
      <c r="S1241" t="str">
        <f>VLOOKUP(record[[#This Row],[employeeID]],員工[],2,FALSE)</f>
        <v>張楚承</v>
      </c>
    </row>
    <row r="1242" spans="6:19" hidden="1" x14ac:dyDescent="0.25">
      <c r="F1242" t="s">
        <v>1822</v>
      </c>
      <c r="G1242" t="s">
        <v>448</v>
      </c>
      <c r="H1242" t="str">
        <f>VLOOKUP(record[[#This Row],[ProcessSN]],表格2_7[],2,FALSE)</f>
        <v>30-4118-018-6XX</v>
      </c>
      <c r="I1242" t="str">
        <f>VLOOKUP(record[[#This Row],[ProcessSN]],表格2_7[],3,FALSE)</f>
        <v>#04</v>
      </c>
      <c r="J1242" t="s">
        <v>588</v>
      </c>
      <c r="K1242" s="195">
        <v>46136.291412037041</v>
      </c>
      <c r="L1242">
        <v>200</v>
      </c>
      <c r="M1242">
        <v>5</v>
      </c>
      <c r="N1242" s="98" t="str">
        <f>IF(record[[#This Row],[Memo]]="Browser:chrome os:android","平板報工",IF(record[[#This Row],[Memo]]=0,"委外",record[[#This Row],[Memo]]))</f>
        <v>平板報工</v>
      </c>
      <c r="O1242" t="s">
        <v>643</v>
      </c>
      <c r="P1242" t="s">
        <v>806</v>
      </c>
      <c r="Q1242" t="s">
        <v>644</v>
      </c>
      <c r="R1242" t="str">
        <f>IFERROR(VLOOKUP(record[[#This Row],[PCUSTID]],廠商[],2,FALSE),"")</f>
        <v/>
      </c>
      <c r="S1242" t="str">
        <f>VLOOKUP(record[[#This Row],[employeeID]],員工[],2,FALSE)</f>
        <v>方思緯</v>
      </c>
    </row>
    <row r="1243" spans="6:19" hidden="1" x14ac:dyDescent="0.25">
      <c r="F1243" t="s">
        <v>1822</v>
      </c>
      <c r="G1243" t="s">
        <v>448</v>
      </c>
      <c r="H1243" t="str">
        <f>VLOOKUP(record[[#This Row],[ProcessSN]],表格2_7[],2,FALSE)</f>
        <v>30-4118-018-6XX</v>
      </c>
      <c r="I1243" t="str">
        <f>VLOOKUP(record[[#This Row],[ProcessSN]],表格2_7[],3,FALSE)</f>
        <v>#04</v>
      </c>
      <c r="J1243" t="s">
        <v>588</v>
      </c>
      <c r="K1243" s="195">
        <v>46135.989733796298</v>
      </c>
      <c r="L1243">
        <v>100</v>
      </c>
      <c r="M1243">
        <v>7</v>
      </c>
      <c r="N1243" s="98" t="str">
        <f>IF(record[[#This Row],[Memo]]="Browser:chrome os:android","平板報工",IF(record[[#This Row],[Memo]]=0,"委外",record[[#This Row],[Memo]]))</f>
        <v>平板報工</v>
      </c>
      <c r="O1243" t="s">
        <v>643</v>
      </c>
      <c r="P1243" t="s">
        <v>180</v>
      </c>
      <c r="Q1243" t="s">
        <v>644</v>
      </c>
      <c r="R1243" t="str">
        <f>IFERROR(VLOOKUP(record[[#This Row],[PCUSTID]],廠商[],2,FALSE),"")</f>
        <v/>
      </c>
      <c r="S1243" t="str">
        <f>VLOOKUP(record[[#This Row],[employeeID]],員工[],2,FALSE)</f>
        <v>黎功江</v>
      </c>
    </row>
    <row r="1244" spans="6:19" hidden="1" x14ac:dyDescent="0.25">
      <c r="F1244" t="s">
        <v>1818</v>
      </c>
      <c r="G1244" t="s">
        <v>466</v>
      </c>
      <c r="H1244" t="str">
        <f>VLOOKUP(record[[#This Row],[ProcessSN]],表格2_7[],2,FALSE)</f>
        <v>30-4118-018-XXX</v>
      </c>
      <c r="I1244" t="str">
        <f>VLOOKUP(record[[#This Row],[ProcessSN]],表格2_7[],3,FALSE)</f>
        <v>#01-2</v>
      </c>
      <c r="J1244" t="s">
        <v>588</v>
      </c>
      <c r="K1244" s="195">
        <v>46135.982071759259</v>
      </c>
      <c r="L1244">
        <v>571</v>
      </c>
      <c r="M1244">
        <v>0</v>
      </c>
      <c r="N1244" s="98" t="str">
        <f>IF(record[[#This Row],[Memo]]="Browser:chrome os:android","平板報工",IF(record[[#This Row],[Memo]]=0,"委外",record[[#This Row],[Memo]]))</f>
        <v/>
      </c>
      <c r="O1244" t="s">
        <v>58</v>
      </c>
      <c r="P1244" t="s">
        <v>89</v>
      </c>
      <c r="Q1244" t="s">
        <v>58</v>
      </c>
      <c r="R1244" t="str">
        <f>IFERROR(VLOOKUP(record[[#This Row],[PCUSTID]],廠商[],2,FALSE),"")</f>
        <v/>
      </c>
      <c r="S1244" t="str">
        <f>VLOOKUP(record[[#This Row],[employeeID]],員工[],2,FALSE)</f>
        <v>李美蓮</v>
      </c>
    </row>
    <row r="1245" spans="6:19" hidden="1" x14ac:dyDescent="0.25">
      <c r="F1245" t="s">
        <v>1822</v>
      </c>
      <c r="G1245" t="s">
        <v>449</v>
      </c>
      <c r="H1245" t="str">
        <f>VLOOKUP(record[[#This Row],[ProcessSN]],表格2_7[],2,FALSE)</f>
        <v>30-4118-018-6XX</v>
      </c>
      <c r="I1245" t="str">
        <f>VLOOKUP(record[[#This Row],[ProcessSN]],表格2_7[],3,FALSE)</f>
        <v>#05</v>
      </c>
      <c r="J1245" t="s">
        <v>588</v>
      </c>
      <c r="K1245" s="195">
        <v>46135.975138888891</v>
      </c>
      <c r="L1245">
        <v>91</v>
      </c>
      <c r="M1245">
        <v>0</v>
      </c>
      <c r="N1245" s="98" t="str">
        <f>IF(record[[#This Row],[Memo]]="Browser:chrome os:android","平板報工",IF(record[[#This Row],[Memo]]=0,"委外",record[[#This Row],[Memo]]))</f>
        <v>平板報工</v>
      </c>
      <c r="O1245" t="s">
        <v>643</v>
      </c>
      <c r="P1245" t="s">
        <v>1098</v>
      </c>
      <c r="Q1245" t="s">
        <v>644</v>
      </c>
      <c r="R1245" t="str">
        <f>IFERROR(VLOOKUP(record[[#This Row],[PCUSTID]],廠商[],2,FALSE),"")</f>
        <v/>
      </c>
      <c r="S1245" t="str">
        <f>VLOOKUP(record[[#This Row],[employeeID]],員工[],2,FALSE)</f>
        <v>阮氏芳英(英)</v>
      </c>
    </row>
    <row r="1246" spans="6:19" hidden="1" x14ac:dyDescent="0.25">
      <c r="F1246" t="s">
        <v>1850</v>
      </c>
      <c r="G1246" t="s">
        <v>418</v>
      </c>
      <c r="H1246" t="str">
        <f>VLOOKUP(record[[#This Row],[ProcessSN]],表格2_7[],2,FALSE)</f>
        <v>30-4118-018-5XX</v>
      </c>
      <c r="I1246" t="str">
        <f>VLOOKUP(record[[#This Row],[ProcessSN]],表格2_7[],3,FALSE)</f>
        <v>#07</v>
      </c>
      <c r="J1246" t="s">
        <v>588</v>
      </c>
      <c r="K1246" s="195">
        <v>46135.974004629628</v>
      </c>
      <c r="L1246">
        <v>230</v>
      </c>
      <c r="M1246">
        <v>1</v>
      </c>
      <c r="N1246" s="98" t="str">
        <f>IF(record[[#This Row],[Memo]]="Browser:chrome os:android","平板報工",IF(record[[#This Row],[Memo]]=0,"委外",record[[#This Row],[Memo]]))</f>
        <v>平板報工</v>
      </c>
      <c r="O1246" t="s">
        <v>643</v>
      </c>
      <c r="P1246" t="s">
        <v>1098</v>
      </c>
      <c r="Q1246" t="s">
        <v>644</v>
      </c>
      <c r="R1246" t="str">
        <f>IFERROR(VLOOKUP(record[[#This Row],[PCUSTID]],廠商[],2,FALSE),"")</f>
        <v/>
      </c>
      <c r="S1246" t="str">
        <f>VLOOKUP(record[[#This Row],[employeeID]],員工[],2,FALSE)</f>
        <v>阮氏芳英(英)</v>
      </c>
    </row>
    <row r="1247" spans="6:19" hidden="1" x14ac:dyDescent="0.25">
      <c r="F1247" t="s">
        <v>1850</v>
      </c>
      <c r="G1247" t="s">
        <v>417</v>
      </c>
      <c r="H1247" t="str">
        <f>VLOOKUP(record[[#This Row],[ProcessSN]],表格2_7[],2,FALSE)</f>
        <v>30-4118-018-5XX</v>
      </c>
      <c r="I1247" t="str">
        <f>VLOOKUP(record[[#This Row],[ProcessSN]],表格2_7[],3,FALSE)</f>
        <v>#06</v>
      </c>
      <c r="J1247" t="s">
        <v>593</v>
      </c>
      <c r="K1247" s="195">
        <v>46135.961759259262</v>
      </c>
      <c r="L1247">
        <v>134</v>
      </c>
      <c r="M1247">
        <v>0</v>
      </c>
      <c r="N1247" s="98" t="str">
        <f>IF(record[[#This Row],[Memo]]="Browser:chrome os:android","平板報工",IF(record[[#This Row],[Memo]]=0,"委外",record[[#This Row],[Memo]]))</f>
        <v>平板報工</v>
      </c>
      <c r="O1247" t="s">
        <v>643</v>
      </c>
      <c r="P1247" t="s">
        <v>841</v>
      </c>
      <c r="Q1247" t="s">
        <v>644</v>
      </c>
      <c r="R1247" t="str">
        <f>IFERROR(VLOOKUP(record[[#This Row],[PCUSTID]],廠商[],2,FALSE),"")</f>
        <v/>
      </c>
      <c r="S1247" t="str">
        <f>VLOOKUP(record[[#This Row],[employeeID]],員工[],2,FALSE)</f>
        <v>范氏香</v>
      </c>
    </row>
    <row r="1248" spans="6:19" hidden="1" x14ac:dyDescent="0.25">
      <c r="F1248" t="s">
        <v>1868</v>
      </c>
      <c r="G1248" t="s">
        <v>423</v>
      </c>
      <c r="H1248" t="str">
        <f>VLOOKUP(record[[#This Row],[ProcessSN]],表格2_7[],2,FALSE)</f>
        <v>30-4118-018-600</v>
      </c>
      <c r="I1248" t="str">
        <f>VLOOKUP(record[[#This Row],[ProcessSN]],表格2_7[],3,FALSE)</f>
        <v>#08RCV</v>
      </c>
      <c r="J1248" t="s">
        <v>591</v>
      </c>
      <c r="K1248" s="195">
        <v>46135.889201388891</v>
      </c>
      <c r="L1248">
        <v>360</v>
      </c>
      <c r="M1248">
        <v>0</v>
      </c>
      <c r="N1248" s="98" t="str">
        <f>IF(record[[#This Row],[Memo]]="Browser:chrome os:android","平板報工",IF(record[[#This Row],[Memo]]=0,"委外",record[[#This Row],[Memo]]))</f>
        <v/>
      </c>
      <c r="O1248" t="s">
        <v>58</v>
      </c>
      <c r="P1248" t="s">
        <v>886</v>
      </c>
      <c r="Q1248" t="s">
        <v>58</v>
      </c>
      <c r="R1248" t="str">
        <f>IFERROR(VLOOKUP(record[[#This Row],[PCUSTID]],廠商[],2,FALSE),"")</f>
        <v/>
      </c>
      <c r="S1248" t="str">
        <f>VLOOKUP(record[[#This Row],[employeeID]],員工[],2,FALSE)</f>
        <v>謝蓁薰</v>
      </c>
    </row>
    <row r="1249" spans="6:19" hidden="1" x14ac:dyDescent="0.25">
      <c r="F1249" t="s">
        <v>1872</v>
      </c>
      <c r="G1249" t="s">
        <v>398</v>
      </c>
      <c r="H1249" t="str">
        <f>VLOOKUP(record[[#This Row],[ProcessSN]],表格2_7[],2,FALSE)</f>
        <v>30-4118-018-550</v>
      </c>
      <c r="I1249" t="str">
        <f>VLOOKUP(record[[#This Row],[ProcessSN]],表格2_7[],3,FALSE)</f>
        <v>#08RCV</v>
      </c>
      <c r="J1249" t="s">
        <v>591</v>
      </c>
      <c r="K1249" s="195">
        <v>46135.888564814813</v>
      </c>
      <c r="L1249">
        <v>588</v>
      </c>
      <c r="M1249">
        <v>0</v>
      </c>
      <c r="N1249" s="98" t="str">
        <f>IF(record[[#This Row],[Memo]]="Browser:chrome os:android","平板報工",IF(record[[#This Row],[Memo]]=0,"委外",record[[#This Row],[Memo]]))</f>
        <v/>
      </c>
      <c r="O1249" t="s">
        <v>58</v>
      </c>
      <c r="P1249" t="s">
        <v>886</v>
      </c>
      <c r="Q1249" t="s">
        <v>58</v>
      </c>
      <c r="R1249" t="str">
        <f>IFERROR(VLOOKUP(record[[#This Row],[PCUSTID]],廠商[],2,FALSE),"")</f>
        <v/>
      </c>
      <c r="S1249" t="str">
        <f>VLOOKUP(record[[#This Row],[employeeID]],員工[],2,FALSE)</f>
        <v>謝蓁薰</v>
      </c>
    </row>
    <row r="1250" spans="6:19" hidden="1" x14ac:dyDescent="0.25">
      <c r="F1250" t="s">
        <v>1874</v>
      </c>
      <c r="G1250" t="s">
        <v>365</v>
      </c>
      <c r="H1250" t="str">
        <f>VLOOKUP(record[[#This Row],[ProcessSN]],表格2_7[],2,FALSE)</f>
        <v>30-4118-018-470</v>
      </c>
      <c r="I1250" t="str">
        <f>VLOOKUP(record[[#This Row],[ProcessSN]],表格2_7[],3,FALSE)</f>
        <v>#08RCV</v>
      </c>
      <c r="J1250" t="s">
        <v>591</v>
      </c>
      <c r="K1250" s="195">
        <v>46135.886180555557</v>
      </c>
      <c r="L1250">
        <v>230</v>
      </c>
      <c r="M1250">
        <v>0</v>
      </c>
      <c r="N1250" s="98" t="str">
        <f>IF(record[[#This Row],[Memo]]="Browser:chrome os:android","平板報工",IF(record[[#This Row],[Memo]]=0,"委外",record[[#This Row],[Memo]]))</f>
        <v/>
      </c>
      <c r="O1250" t="s">
        <v>58</v>
      </c>
      <c r="P1250" t="s">
        <v>886</v>
      </c>
      <c r="Q1250" t="s">
        <v>58</v>
      </c>
      <c r="R1250" t="str">
        <f>IFERROR(VLOOKUP(record[[#This Row],[PCUSTID]],廠商[],2,FALSE),"")</f>
        <v/>
      </c>
      <c r="S1250" t="str">
        <f>VLOOKUP(record[[#This Row],[employeeID]],員工[],2,FALSE)</f>
        <v>謝蓁薰</v>
      </c>
    </row>
    <row r="1251" spans="6:19" hidden="1" x14ac:dyDescent="0.25">
      <c r="F1251" t="s">
        <v>1861</v>
      </c>
      <c r="G1251" t="s">
        <v>436</v>
      </c>
      <c r="H1251" t="str">
        <f>VLOOKUP(record[[#This Row],[ProcessSN]],表格2_7[],2,FALSE)</f>
        <v>30-4118-018-620</v>
      </c>
      <c r="I1251" t="str">
        <f>VLOOKUP(record[[#This Row],[ProcessSN]],表格2_7[],3,FALSE)</f>
        <v>#100SHIP</v>
      </c>
      <c r="J1251" t="s">
        <v>600</v>
      </c>
      <c r="K1251" s="195">
        <v>46135.878136574072</v>
      </c>
      <c r="L1251">
        <v>166</v>
      </c>
      <c r="M1251">
        <v>0</v>
      </c>
      <c r="N1251" s="98" t="str">
        <f>IF(record[[#This Row],[Memo]]="Browser:chrome os:android","平板報工",IF(record[[#This Row],[Memo]]=0,"委外",record[[#This Row],[Memo]]))</f>
        <v>補4/22出貨</v>
      </c>
      <c r="O1251" t="s">
        <v>1879</v>
      </c>
      <c r="P1251" t="s">
        <v>886</v>
      </c>
      <c r="Q1251" t="s">
        <v>58</v>
      </c>
      <c r="R1251" t="str">
        <f>IFERROR(VLOOKUP(record[[#This Row],[PCUSTID]],廠商[],2,FALSE),"")</f>
        <v/>
      </c>
      <c r="S1251" t="str">
        <f>VLOOKUP(record[[#This Row],[employeeID]],員工[],2,FALSE)</f>
        <v>謝蓁薰</v>
      </c>
    </row>
    <row r="1252" spans="6:19" hidden="1" x14ac:dyDescent="0.25">
      <c r="F1252" t="s">
        <v>1829</v>
      </c>
      <c r="G1252" t="s">
        <v>436</v>
      </c>
      <c r="H1252" t="str">
        <f>VLOOKUP(record[[#This Row],[ProcessSN]],表格2_7[],2,FALSE)</f>
        <v>30-4118-018-620</v>
      </c>
      <c r="I1252" t="str">
        <f>VLOOKUP(record[[#This Row],[ProcessSN]],表格2_7[],3,FALSE)</f>
        <v>#100SHIP</v>
      </c>
      <c r="J1252" t="s">
        <v>600</v>
      </c>
      <c r="K1252" s="195">
        <v>46135.877766203703</v>
      </c>
      <c r="L1252">
        <v>34</v>
      </c>
      <c r="M1252">
        <v>0</v>
      </c>
      <c r="N1252" s="98" t="str">
        <f>IF(record[[#This Row],[Memo]]="Browser:chrome os:android","平板報工",IF(record[[#This Row],[Memo]]=0,"委外",record[[#This Row],[Memo]]))</f>
        <v>補4/22出貨</v>
      </c>
      <c r="O1252" t="s">
        <v>1879</v>
      </c>
      <c r="P1252" t="s">
        <v>886</v>
      </c>
      <c r="Q1252" t="s">
        <v>58</v>
      </c>
      <c r="R1252" t="str">
        <f>IFERROR(VLOOKUP(record[[#This Row],[PCUSTID]],廠商[],2,FALSE),"")</f>
        <v/>
      </c>
      <c r="S1252" t="str">
        <f>VLOOKUP(record[[#This Row],[employeeID]],員工[],2,FALSE)</f>
        <v>謝蓁薰</v>
      </c>
    </row>
    <row r="1253" spans="6:19" hidden="1" x14ac:dyDescent="0.25">
      <c r="F1253" t="s">
        <v>1861</v>
      </c>
      <c r="G1253" t="s">
        <v>435</v>
      </c>
      <c r="H1253" t="str">
        <f>VLOOKUP(record[[#This Row],[ProcessSN]],表格2_7[],2,FALSE)</f>
        <v>30-4118-018-620</v>
      </c>
      <c r="I1253" t="str">
        <f>VLOOKUP(record[[#This Row],[ProcessSN]],表格2_7[],3,FALSE)</f>
        <v>#100STOCK</v>
      </c>
      <c r="J1253" t="s">
        <v>592</v>
      </c>
      <c r="K1253" s="195">
        <v>46135.877488425926</v>
      </c>
      <c r="L1253">
        <v>166</v>
      </c>
      <c r="M1253">
        <v>0</v>
      </c>
      <c r="N1253" s="98" t="str">
        <f>IF(record[[#This Row],[Memo]]="Browser:chrome os:android","平板報工",IF(record[[#This Row],[Memo]]=0,"委外",record[[#This Row],[Memo]]))</f>
        <v/>
      </c>
      <c r="O1253" t="s">
        <v>58</v>
      </c>
      <c r="P1253" t="s">
        <v>886</v>
      </c>
      <c r="Q1253" t="s">
        <v>58</v>
      </c>
      <c r="R1253" t="str">
        <f>IFERROR(VLOOKUP(record[[#This Row],[PCUSTID]],廠商[],2,FALSE),"")</f>
        <v/>
      </c>
      <c r="S1253" t="str">
        <f>VLOOKUP(record[[#This Row],[employeeID]],員工[],2,FALSE)</f>
        <v>謝蓁薰</v>
      </c>
    </row>
    <row r="1254" spans="6:19" hidden="1" x14ac:dyDescent="0.25">
      <c r="F1254" t="s">
        <v>1829</v>
      </c>
      <c r="G1254" t="s">
        <v>435</v>
      </c>
      <c r="H1254" t="str">
        <f>VLOOKUP(record[[#This Row],[ProcessSN]],表格2_7[],2,FALSE)</f>
        <v>30-4118-018-620</v>
      </c>
      <c r="I1254" t="str">
        <f>VLOOKUP(record[[#This Row],[ProcessSN]],表格2_7[],3,FALSE)</f>
        <v>#100STOCK</v>
      </c>
      <c r="J1254" t="s">
        <v>592</v>
      </c>
      <c r="K1254" s="195">
        <v>46135.877314814818</v>
      </c>
      <c r="L1254">
        <v>34</v>
      </c>
      <c r="M1254">
        <v>0</v>
      </c>
      <c r="N1254" s="98" t="str">
        <f>IF(record[[#This Row],[Memo]]="Browser:chrome os:android","平板報工",IF(record[[#This Row],[Memo]]=0,"委外",record[[#This Row],[Memo]]))</f>
        <v/>
      </c>
      <c r="O1254" t="s">
        <v>58</v>
      </c>
      <c r="P1254" t="s">
        <v>886</v>
      </c>
      <c r="Q1254" t="s">
        <v>58</v>
      </c>
      <c r="R1254" t="str">
        <f>IFERROR(VLOOKUP(record[[#This Row],[PCUSTID]],廠商[],2,FALSE),"")</f>
        <v/>
      </c>
      <c r="S1254" t="str">
        <f>VLOOKUP(record[[#This Row],[employeeID]],員工[],2,FALSE)</f>
        <v>謝蓁薰</v>
      </c>
    </row>
    <row r="1255" spans="6:19" hidden="1" x14ac:dyDescent="0.25">
      <c r="F1255" t="s">
        <v>1841</v>
      </c>
      <c r="G1255" t="s">
        <v>428</v>
      </c>
      <c r="H1255" t="str">
        <f>VLOOKUP(record[[#This Row],[ProcessSN]],表格2_7[],2,FALSE)</f>
        <v>30-4118-018-600</v>
      </c>
      <c r="I1255" t="str">
        <f>VLOOKUP(record[[#This Row],[ProcessSN]],表格2_7[],3,FALSE)</f>
        <v>#100SHIP</v>
      </c>
      <c r="J1255" t="s">
        <v>600</v>
      </c>
      <c r="K1255" s="195">
        <v>46135.874756944446</v>
      </c>
      <c r="L1255">
        <v>70</v>
      </c>
      <c r="M1255">
        <v>0</v>
      </c>
      <c r="N1255" s="98" t="str">
        <f>IF(record[[#This Row],[Memo]]="Browser:chrome os:android","平板報工",IF(record[[#This Row],[Memo]]=0,"委外",record[[#This Row],[Memo]]))</f>
        <v/>
      </c>
      <c r="O1255" t="s">
        <v>58</v>
      </c>
      <c r="P1255" t="s">
        <v>886</v>
      </c>
      <c r="Q1255" t="s">
        <v>58</v>
      </c>
      <c r="R1255" t="str">
        <f>IFERROR(VLOOKUP(record[[#This Row],[PCUSTID]],廠商[],2,FALSE),"")</f>
        <v/>
      </c>
      <c r="S1255" t="str">
        <f>VLOOKUP(record[[#This Row],[employeeID]],員工[],2,FALSE)</f>
        <v>謝蓁薰</v>
      </c>
    </row>
    <row r="1256" spans="6:19" hidden="1" x14ac:dyDescent="0.25">
      <c r="F1256" t="s">
        <v>1841</v>
      </c>
      <c r="G1256" t="s">
        <v>427</v>
      </c>
      <c r="H1256" t="str">
        <f>VLOOKUP(record[[#This Row],[ProcessSN]],表格2_7[],2,FALSE)</f>
        <v>30-4118-018-600</v>
      </c>
      <c r="I1256" t="str">
        <f>VLOOKUP(record[[#This Row],[ProcessSN]],表格2_7[],3,FALSE)</f>
        <v>#100STOCK</v>
      </c>
      <c r="J1256" t="s">
        <v>592</v>
      </c>
      <c r="K1256" s="195">
        <v>46135.874641203707</v>
      </c>
      <c r="L1256">
        <v>70</v>
      </c>
      <c r="M1256">
        <v>0</v>
      </c>
      <c r="N1256" s="98" t="str">
        <f>IF(record[[#This Row],[Memo]]="Browser:chrome os:android","平板報工",IF(record[[#This Row],[Memo]]=0,"委外",record[[#This Row],[Memo]]))</f>
        <v/>
      </c>
      <c r="O1256" t="s">
        <v>58</v>
      </c>
      <c r="P1256" t="s">
        <v>886</v>
      </c>
      <c r="Q1256" t="s">
        <v>58</v>
      </c>
      <c r="R1256" t="str">
        <f>IFERROR(VLOOKUP(record[[#This Row],[PCUSTID]],廠商[],2,FALSE),"")</f>
        <v/>
      </c>
      <c r="S1256" t="str">
        <f>VLOOKUP(record[[#This Row],[employeeID]],員工[],2,FALSE)</f>
        <v>謝蓁薰</v>
      </c>
    </row>
    <row r="1257" spans="6:19" hidden="1" x14ac:dyDescent="0.25">
      <c r="F1257" t="s">
        <v>1714</v>
      </c>
      <c r="G1257" t="s">
        <v>428</v>
      </c>
      <c r="H1257" t="str">
        <f>VLOOKUP(record[[#This Row],[ProcessSN]],表格2_7[],2,FALSE)</f>
        <v>30-4118-018-600</v>
      </c>
      <c r="I1257" t="str">
        <f>VLOOKUP(record[[#This Row],[ProcessSN]],表格2_7[],3,FALSE)</f>
        <v>#100SHIP</v>
      </c>
      <c r="J1257" t="s">
        <v>600</v>
      </c>
      <c r="K1257" s="195">
        <v>46135.874490740738</v>
      </c>
      <c r="L1257">
        <v>11</v>
      </c>
      <c r="M1257">
        <v>0</v>
      </c>
      <c r="N1257" s="98" t="str">
        <f>IF(record[[#This Row],[Memo]]="Browser:chrome os:android","平板報工",IF(record[[#This Row],[Memo]]=0,"委外",record[[#This Row],[Memo]]))</f>
        <v/>
      </c>
      <c r="O1257" t="s">
        <v>58</v>
      </c>
      <c r="P1257" t="s">
        <v>886</v>
      </c>
      <c r="Q1257" t="s">
        <v>58</v>
      </c>
      <c r="R1257" t="str">
        <f>IFERROR(VLOOKUP(record[[#This Row],[PCUSTID]],廠商[],2,FALSE),"")</f>
        <v/>
      </c>
      <c r="S1257" t="str">
        <f>VLOOKUP(record[[#This Row],[employeeID]],員工[],2,FALSE)</f>
        <v>謝蓁薰</v>
      </c>
    </row>
    <row r="1258" spans="6:19" hidden="1" x14ac:dyDescent="0.25">
      <c r="F1258" t="s">
        <v>1866</v>
      </c>
      <c r="G1258" t="s">
        <v>403</v>
      </c>
      <c r="H1258" t="str">
        <f>VLOOKUP(record[[#This Row],[ProcessSN]],表格2_7[],2,FALSE)</f>
        <v>30-4118-018-550</v>
      </c>
      <c r="I1258" t="str">
        <f>VLOOKUP(record[[#This Row],[ProcessSN]],表格2_7[],3,FALSE)</f>
        <v>#100SHIP</v>
      </c>
      <c r="J1258" t="s">
        <v>600</v>
      </c>
      <c r="K1258" s="195">
        <v>46135.874293981484</v>
      </c>
      <c r="L1258">
        <v>36</v>
      </c>
      <c r="M1258">
        <v>0</v>
      </c>
      <c r="N1258" s="98" t="str">
        <f>IF(record[[#This Row],[Memo]]="Browser:chrome os:android","平板報工",IF(record[[#This Row],[Memo]]=0,"委外",record[[#This Row],[Memo]]))</f>
        <v/>
      </c>
      <c r="O1258" t="s">
        <v>58</v>
      </c>
      <c r="P1258" t="s">
        <v>886</v>
      </c>
      <c r="Q1258" t="s">
        <v>58</v>
      </c>
      <c r="R1258" t="str">
        <f>IFERROR(VLOOKUP(record[[#This Row],[PCUSTID]],廠商[],2,FALSE),"")</f>
        <v/>
      </c>
      <c r="S1258" t="str">
        <f>VLOOKUP(record[[#This Row],[employeeID]],員工[],2,FALSE)</f>
        <v>謝蓁薰</v>
      </c>
    </row>
    <row r="1259" spans="6:19" hidden="1" x14ac:dyDescent="0.25">
      <c r="F1259" t="s">
        <v>1830</v>
      </c>
      <c r="G1259" t="s">
        <v>403</v>
      </c>
      <c r="H1259" t="str">
        <f>VLOOKUP(record[[#This Row],[ProcessSN]],表格2_7[],2,FALSE)</f>
        <v>30-4118-018-550</v>
      </c>
      <c r="I1259" t="str">
        <f>VLOOKUP(record[[#This Row],[ProcessSN]],表格2_7[],3,FALSE)</f>
        <v>#100SHIP</v>
      </c>
      <c r="J1259" t="s">
        <v>600</v>
      </c>
      <c r="K1259" s="195">
        <v>46135.874143518522</v>
      </c>
      <c r="L1259">
        <v>1</v>
      </c>
      <c r="M1259">
        <v>0</v>
      </c>
      <c r="N1259" s="98" t="str">
        <f>IF(record[[#This Row],[Memo]]="Browser:chrome os:android","平板報工",IF(record[[#This Row],[Memo]]=0,"委外",record[[#This Row],[Memo]]))</f>
        <v/>
      </c>
      <c r="O1259" t="s">
        <v>58</v>
      </c>
      <c r="P1259" t="s">
        <v>886</v>
      </c>
      <c r="Q1259" t="s">
        <v>58</v>
      </c>
      <c r="R1259" t="str">
        <f>IFERROR(VLOOKUP(record[[#This Row],[PCUSTID]],廠商[],2,FALSE),"")</f>
        <v/>
      </c>
      <c r="S1259" t="str">
        <f>VLOOKUP(record[[#This Row],[employeeID]],員工[],2,FALSE)</f>
        <v>謝蓁薰</v>
      </c>
    </row>
    <row r="1260" spans="6:19" hidden="1" x14ac:dyDescent="0.25">
      <c r="F1260" t="s">
        <v>1866</v>
      </c>
      <c r="G1260" t="s">
        <v>402</v>
      </c>
      <c r="H1260" t="str">
        <f>VLOOKUP(record[[#This Row],[ProcessSN]],表格2_7[],2,FALSE)</f>
        <v>30-4118-018-550</v>
      </c>
      <c r="I1260" t="str">
        <f>VLOOKUP(record[[#This Row],[ProcessSN]],表格2_7[],3,FALSE)</f>
        <v>#100STOCK</v>
      </c>
      <c r="J1260" t="s">
        <v>592</v>
      </c>
      <c r="K1260" s="195">
        <v>46135.874027777776</v>
      </c>
      <c r="L1260">
        <v>36</v>
      </c>
      <c r="M1260">
        <v>0</v>
      </c>
      <c r="N1260" s="98" t="str">
        <f>IF(record[[#This Row],[Memo]]="Browser:chrome os:android","平板報工",IF(record[[#This Row],[Memo]]=0,"委外",record[[#This Row],[Memo]]))</f>
        <v/>
      </c>
      <c r="O1260" t="s">
        <v>58</v>
      </c>
      <c r="P1260" t="s">
        <v>886</v>
      </c>
      <c r="Q1260" t="s">
        <v>58</v>
      </c>
      <c r="R1260" t="str">
        <f>IFERROR(VLOOKUP(record[[#This Row],[PCUSTID]],廠商[],2,FALSE),"")</f>
        <v/>
      </c>
      <c r="S1260" t="str">
        <f>VLOOKUP(record[[#This Row],[employeeID]],員工[],2,FALSE)</f>
        <v>謝蓁薰</v>
      </c>
    </row>
    <row r="1261" spans="6:19" hidden="1" x14ac:dyDescent="0.25">
      <c r="F1261" t="s">
        <v>1830</v>
      </c>
      <c r="G1261" t="s">
        <v>402</v>
      </c>
      <c r="H1261" t="str">
        <f>VLOOKUP(record[[#This Row],[ProcessSN]],表格2_7[],2,FALSE)</f>
        <v>30-4118-018-550</v>
      </c>
      <c r="I1261" t="str">
        <f>VLOOKUP(record[[#This Row],[ProcessSN]],表格2_7[],3,FALSE)</f>
        <v>#100STOCK</v>
      </c>
      <c r="J1261" t="s">
        <v>592</v>
      </c>
      <c r="K1261" s="195">
        <v>46135.873935185184</v>
      </c>
      <c r="L1261">
        <v>1</v>
      </c>
      <c r="M1261">
        <v>0</v>
      </c>
      <c r="N1261" s="98" t="str">
        <f>IF(record[[#This Row],[Memo]]="Browser:chrome os:android","平板報工",IF(record[[#This Row],[Memo]]=0,"委外",record[[#This Row],[Memo]]))</f>
        <v/>
      </c>
      <c r="O1261" t="s">
        <v>58</v>
      </c>
      <c r="P1261" t="s">
        <v>886</v>
      </c>
      <c r="Q1261" t="s">
        <v>58</v>
      </c>
      <c r="R1261" t="str">
        <f>IFERROR(VLOOKUP(record[[#This Row],[PCUSTID]],廠商[],2,FALSE),"")</f>
        <v/>
      </c>
      <c r="S1261" t="str">
        <f>VLOOKUP(record[[#This Row],[employeeID]],員工[],2,FALSE)</f>
        <v>謝蓁薰</v>
      </c>
    </row>
    <row r="1262" spans="6:19" hidden="1" x14ac:dyDescent="0.25">
      <c r="F1262" t="s">
        <v>1822</v>
      </c>
      <c r="G1262" t="s">
        <v>448</v>
      </c>
      <c r="H1262" t="str">
        <f>VLOOKUP(record[[#This Row],[ProcessSN]],表格2_7[],2,FALSE)</f>
        <v>30-4118-018-6XX</v>
      </c>
      <c r="I1262" t="str">
        <f>VLOOKUP(record[[#This Row],[ProcessSN]],表格2_7[],3,FALSE)</f>
        <v>#04</v>
      </c>
      <c r="J1262" t="s">
        <v>588</v>
      </c>
      <c r="K1262" s="195">
        <v>46135.838587962964</v>
      </c>
      <c r="L1262">
        <v>92</v>
      </c>
      <c r="M1262">
        <v>28</v>
      </c>
      <c r="N1262" s="98" t="str">
        <f>IF(record[[#This Row],[Memo]]="Browser:chrome os:android","平板報工",IF(record[[#This Row],[Memo]]=0,"委外",record[[#This Row],[Memo]]))</f>
        <v/>
      </c>
      <c r="O1262" t="s">
        <v>58</v>
      </c>
      <c r="P1262" t="s">
        <v>188</v>
      </c>
      <c r="Q1262" t="s">
        <v>58</v>
      </c>
      <c r="R1262" t="str">
        <f>IFERROR(VLOOKUP(record[[#This Row],[PCUSTID]],廠商[],2,FALSE),"")</f>
        <v/>
      </c>
      <c r="S1262" t="str">
        <f>VLOOKUP(record[[#This Row],[employeeID]],員工[],2,FALSE)</f>
        <v>阮氏璧紅</v>
      </c>
    </row>
    <row r="1263" spans="6:19" hidden="1" x14ac:dyDescent="0.25">
      <c r="F1263" t="s">
        <v>1850</v>
      </c>
      <c r="G1263" t="s">
        <v>416</v>
      </c>
      <c r="H1263" t="str">
        <f>VLOOKUP(record[[#This Row],[ProcessSN]],表格2_7[],2,FALSE)</f>
        <v>30-4118-018-5XX</v>
      </c>
      <c r="I1263" t="str">
        <f>VLOOKUP(record[[#This Row],[ProcessSN]],表格2_7[],3,FALSE)</f>
        <v>#05</v>
      </c>
      <c r="J1263" t="s">
        <v>588</v>
      </c>
      <c r="K1263" s="195">
        <v>46135.832453703704</v>
      </c>
      <c r="L1263">
        <v>169</v>
      </c>
      <c r="M1263">
        <v>0</v>
      </c>
      <c r="N1263" s="98" t="str">
        <f>IF(record[[#This Row],[Memo]]="Browser:chrome os:android","平板報工",IF(record[[#This Row],[Memo]]=0,"委外",record[[#This Row],[Memo]]))</f>
        <v/>
      </c>
      <c r="O1263" t="s">
        <v>58</v>
      </c>
      <c r="P1263" t="s">
        <v>1098</v>
      </c>
      <c r="Q1263" t="s">
        <v>58</v>
      </c>
      <c r="R1263" t="str">
        <f>IFERROR(VLOOKUP(record[[#This Row],[PCUSTID]],廠商[],2,FALSE),"")</f>
        <v/>
      </c>
      <c r="S1263" t="str">
        <f>VLOOKUP(record[[#This Row],[employeeID]],員工[],2,FALSE)</f>
        <v>阮氏芳英(英)</v>
      </c>
    </row>
    <row r="1264" spans="6:19" hidden="1" x14ac:dyDescent="0.25">
      <c r="F1264" t="s">
        <v>1850</v>
      </c>
      <c r="G1264" t="s">
        <v>417</v>
      </c>
      <c r="H1264" t="str">
        <f>VLOOKUP(record[[#This Row],[ProcessSN]],表格2_7[],2,FALSE)</f>
        <v>30-4118-018-5XX</v>
      </c>
      <c r="I1264" t="str">
        <f>VLOOKUP(record[[#This Row],[ProcessSN]],表格2_7[],3,FALSE)</f>
        <v>#06</v>
      </c>
      <c r="J1264" t="s">
        <v>593</v>
      </c>
      <c r="K1264" s="195">
        <v>46135.825532407405</v>
      </c>
      <c r="L1264">
        <v>135</v>
      </c>
      <c r="M1264">
        <v>0</v>
      </c>
      <c r="N1264" s="98" t="str">
        <f>IF(record[[#This Row],[Memo]]="Browser:chrome os:android","平板報工",IF(record[[#This Row],[Memo]]=0,"委外",record[[#This Row],[Memo]]))</f>
        <v>平板報工</v>
      </c>
      <c r="O1264" t="s">
        <v>643</v>
      </c>
      <c r="P1264" t="s">
        <v>1413</v>
      </c>
      <c r="Q1264" t="s">
        <v>644</v>
      </c>
      <c r="R1264" t="str">
        <f>IFERROR(VLOOKUP(record[[#This Row],[PCUSTID]],廠商[],2,FALSE),"")</f>
        <v/>
      </c>
      <c r="S1264" t="str">
        <f>VLOOKUP(record[[#This Row],[employeeID]],員工[],2,FALSE)</f>
        <v>阮氏芳英(芳)</v>
      </c>
    </row>
    <row r="1265" spans="6:19" hidden="1" x14ac:dyDescent="0.25">
      <c r="F1265" t="s">
        <v>1772</v>
      </c>
      <c r="G1265" t="s">
        <v>470</v>
      </c>
      <c r="H1265" t="str">
        <f>VLOOKUP(record[[#This Row],[ProcessSN]],表格2_7[],2,FALSE)</f>
        <v>30-4118-018-XXX</v>
      </c>
      <c r="I1265" t="str">
        <f>VLOOKUP(record[[#This Row],[ProcessSN]],表格2_7[],3,FALSE)</f>
        <v>#02IQC</v>
      </c>
      <c r="J1265" t="s">
        <v>583</v>
      </c>
      <c r="K1265" s="195">
        <v>46135.737870370373</v>
      </c>
      <c r="L1265">
        <v>1343</v>
      </c>
      <c r="M1265">
        <v>0</v>
      </c>
      <c r="N1265" s="98" t="str">
        <f>IF(record[[#This Row],[Memo]]="Browser:chrome os:android","平板報工",IF(record[[#This Row],[Memo]]=0,"委外",record[[#This Row],[Memo]]))</f>
        <v/>
      </c>
      <c r="O1265" t="s">
        <v>58</v>
      </c>
      <c r="P1265" t="s">
        <v>109</v>
      </c>
      <c r="Q1265" t="s">
        <v>58</v>
      </c>
      <c r="R1265" t="str">
        <f>IFERROR(VLOOKUP(record[[#This Row],[PCUSTID]],廠商[],2,FALSE),"")</f>
        <v/>
      </c>
      <c r="S1265" t="str">
        <f>VLOOKUP(record[[#This Row],[employeeID]],員工[],2,FALSE)</f>
        <v>裴氏璧鳳</v>
      </c>
    </row>
    <row r="1266" spans="6:19" hidden="1" x14ac:dyDescent="0.25">
      <c r="F1266" t="s">
        <v>1841</v>
      </c>
      <c r="G1266" t="s">
        <v>426</v>
      </c>
      <c r="H1266" t="str">
        <f>VLOOKUP(record[[#This Row],[ProcessSN]],表格2_7[],2,FALSE)</f>
        <v>30-4118-018-600</v>
      </c>
      <c r="I1266" t="str">
        <f>VLOOKUP(record[[#This Row],[ProcessSN]],表格2_7[],3,FALSE)</f>
        <v>#100OQC</v>
      </c>
      <c r="J1266" t="s">
        <v>599</v>
      </c>
      <c r="K1266" s="195">
        <v>46135.737847222219</v>
      </c>
      <c r="L1266">
        <v>1</v>
      </c>
      <c r="M1266">
        <v>0</v>
      </c>
      <c r="N1266" s="98" t="str">
        <f>IF(record[[#This Row],[Memo]]="Browser:chrome os:android","平板報工",IF(record[[#This Row],[Memo]]=0,"委外",record[[#This Row],[Memo]]))</f>
        <v/>
      </c>
      <c r="O1266" t="s">
        <v>58</v>
      </c>
      <c r="P1266" t="s">
        <v>121</v>
      </c>
      <c r="Q1266" t="s">
        <v>58</v>
      </c>
      <c r="R1266" t="str">
        <f>IFERROR(VLOOKUP(record[[#This Row],[PCUSTID]],廠商[],2,FALSE),"")</f>
        <v/>
      </c>
      <c r="S1266" t="str">
        <f>VLOOKUP(record[[#This Row],[employeeID]],員工[],2,FALSE)</f>
        <v>謝素卿</v>
      </c>
    </row>
    <row r="1267" spans="6:19" hidden="1" x14ac:dyDescent="0.25">
      <c r="F1267" t="s">
        <v>1878</v>
      </c>
      <c r="G1267" t="s">
        <v>434</v>
      </c>
      <c r="H1267" t="str">
        <f>VLOOKUP(record[[#This Row],[ProcessSN]],表格2_7[],2,FALSE)</f>
        <v>30-4118-018-620</v>
      </c>
      <c r="I1267" t="str">
        <f>VLOOKUP(record[[#This Row],[ProcessSN]],表格2_7[],3,FALSE)</f>
        <v>#100OQC</v>
      </c>
      <c r="J1267" t="s">
        <v>599</v>
      </c>
      <c r="K1267" s="195">
        <v>46135.737638888888</v>
      </c>
      <c r="L1267">
        <v>244</v>
      </c>
      <c r="M1267">
        <v>0</v>
      </c>
      <c r="N1267" s="98" t="str">
        <f>IF(record[[#This Row],[Memo]]="Browser:chrome os:android","平板報工",IF(record[[#This Row],[Memo]]=0,"委外",record[[#This Row],[Memo]]))</f>
        <v/>
      </c>
      <c r="O1267" t="s">
        <v>58</v>
      </c>
      <c r="P1267" t="s">
        <v>121</v>
      </c>
      <c r="Q1267" t="s">
        <v>58</v>
      </c>
      <c r="R1267" t="str">
        <f>IFERROR(VLOOKUP(record[[#This Row],[PCUSTID]],廠商[],2,FALSE),"")</f>
        <v/>
      </c>
      <c r="S1267" t="str">
        <f>VLOOKUP(record[[#This Row],[employeeID]],員工[],2,FALSE)</f>
        <v>謝素卿</v>
      </c>
    </row>
    <row r="1268" spans="6:19" hidden="1" x14ac:dyDescent="0.25">
      <c r="F1268" t="s">
        <v>1866</v>
      </c>
      <c r="G1268" t="s">
        <v>401</v>
      </c>
      <c r="H1268" t="str">
        <f>VLOOKUP(record[[#This Row],[ProcessSN]],表格2_7[],2,FALSE)</f>
        <v>30-4118-018-550</v>
      </c>
      <c r="I1268" t="str">
        <f>VLOOKUP(record[[#This Row],[ProcessSN]],表格2_7[],3,FALSE)</f>
        <v>#100OQC</v>
      </c>
      <c r="J1268" t="s">
        <v>599</v>
      </c>
      <c r="K1268" s="195">
        <v>46135.737210648149</v>
      </c>
      <c r="L1268">
        <v>5</v>
      </c>
      <c r="M1268">
        <v>0</v>
      </c>
      <c r="N1268" s="98" t="str">
        <f>IF(record[[#This Row],[Memo]]="Browser:chrome os:android","平板報工",IF(record[[#This Row],[Memo]]=0,"委外",record[[#This Row],[Memo]]))</f>
        <v/>
      </c>
      <c r="O1268" t="s">
        <v>58</v>
      </c>
      <c r="P1268" t="s">
        <v>121</v>
      </c>
      <c r="Q1268" t="s">
        <v>58</v>
      </c>
      <c r="R1268" t="str">
        <f>IFERROR(VLOOKUP(record[[#This Row],[PCUSTID]],廠商[],2,FALSE),"")</f>
        <v/>
      </c>
      <c r="S1268" t="str">
        <f>VLOOKUP(record[[#This Row],[employeeID]],員工[],2,FALSE)</f>
        <v>謝素卿</v>
      </c>
    </row>
    <row r="1269" spans="6:19" hidden="1" x14ac:dyDescent="0.25">
      <c r="F1269" t="s">
        <v>1830</v>
      </c>
      <c r="G1269" t="s">
        <v>401</v>
      </c>
      <c r="H1269" t="str">
        <f>VLOOKUP(record[[#This Row],[ProcessSN]],表格2_7[],2,FALSE)</f>
        <v>30-4118-018-550</v>
      </c>
      <c r="I1269" t="str">
        <f>VLOOKUP(record[[#This Row],[ProcessSN]],表格2_7[],3,FALSE)</f>
        <v>#100OQC</v>
      </c>
      <c r="J1269" t="s">
        <v>599</v>
      </c>
      <c r="K1269" s="195">
        <v>46135.737083333333</v>
      </c>
      <c r="L1269">
        <v>1</v>
      </c>
      <c r="M1269">
        <v>0</v>
      </c>
      <c r="N1269" s="98" t="str">
        <f>IF(record[[#This Row],[Memo]]="Browser:chrome os:android","平板報工",IF(record[[#This Row],[Memo]]=0,"委外",record[[#This Row],[Memo]]))</f>
        <v/>
      </c>
      <c r="O1269" t="s">
        <v>58</v>
      </c>
      <c r="P1269" t="s">
        <v>121</v>
      </c>
      <c r="Q1269" t="s">
        <v>58</v>
      </c>
      <c r="R1269" t="str">
        <f>IFERROR(VLOOKUP(record[[#This Row],[PCUSTID]],廠商[],2,FALSE),"")</f>
        <v/>
      </c>
      <c r="S1269" t="str">
        <f>VLOOKUP(record[[#This Row],[employeeID]],員工[],2,FALSE)</f>
        <v>謝素卿</v>
      </c>
    </row>
    <row r="1270" spans="6:19" hidden="1" x14ac:dyDescent="0.25">
      <c r="F1270" t="s">
        <v>1840</v>
      </c>
      <c r="G1270" t="s">
        <v>360</v>
      </c>
      <c r="H1270" t="str">
        <f>VLOOKUP(record[[#This Row],[ProcessSN]],表格2_7[],2,FALSE)</f>
        <v>30-4118-018-450</v>
      </c>
      <c r="I1270" t="str">
        <f>VLOOKUP(record[[#This Row],[ProcessSN]],表格2_7[],3,FALSE)</f>
        <v>#100OQC</v>
      </c>
      <c r="J1270" t="s">
        <v>599</v>
      </c>
      <c r="K1270" s="195">
        <v>46135.73646990741</v>
      </c>
      <c r="L1270">
        <v>242</v>
      </c>
      <c r="M1270">
        <v>0</v>
      </c>
      <c r="N1270" s="98" t="str">
        <f>IF(record[[#This Row],[Memo]]="Browser:chrome os:android","平板報工",IF(record[[#This Row],[Memo]]=0,"委外",record[[#This Row],[Memo]]))</f>
        <v/>
      </c>
      <c r="O1270" t="s">
        <v>58</v>
      </c>
      <c r="P1270" t="s">
        <v>121</v>
      </c>
      <c r="Q1270" t="s">
        <v>58</v>
      </c>
      <c r="R1270" t="str">
        <f>IFERROR(VLOOKUP(record[[#This Row],[PCUSTID]],廠商[],2,FALSE),"")</f>
        <v/>
      </c>
      <c r="S1270" t="str">
        <f>VLOOKUP(record[[#This Row],[employeeID]],員工[],2,FALSE)</f>
        <v>謝素卿</v>
      </c>
    </row>
    <row r="1271" spans="6:19" hidden="1" x14ac:dyDescent="0.25">
      <c r="F1271" t="s">
        <v>1866</v>
      </c>
      <c r="G1271" t="s">
        <v>400</v>
      </c>
      <c r="H1271" t="str">
        <f>VLOOKUP(record[[#This Row],[ProcessSN]],表格2_7[],2,FALSE)</f>
        <v>30-4118-018-550</v>
      </c>
      <c r="I1271" t="str">
        <f>VLOOKUP(record[[#This Row],[ProcessSN]],表格2_7[],3,FALSE)</f>
        <v>#100</v>
      </c>
      <c r="J1271" t="s">
        <v>598</v>
      </c>
      <c r="K1271" s="195">
        <v>46135.676377314812</v>
      </c>
      <c r="L1271">
        <v>0</v>
      </c>
      <c r="M1271">
        <v>5</v>
      </c>
      <c r="N1271" s="98" t="str">
        <f>IF(record[[#This Row],[Memo]]="Browser:chrome os:android","平板報工",IF(record[[#This Row],[Memo]]=0,"委外",record[[#This Row],[Memo]]))</f>
        <v/>
      </c>
      <c r="O1271" t="s">
        <v>58</v>
      </c>
      <c r="P1271" t="s">
        <v>141</v>
      </c>
      <c r="Q1271" t="s">
        <v>58</v>
      </c>
      <c r="R1271" t="str">
        <f>IFERROR(VLOOKUP(record[[#This Row],[PCUSTID]],廠商[],2,FALSE),"")</f>
        <v/>
      </c>
      <c r="S1271" t="str">
        <f>VLOOKUP(record[[#This Row],[employeeID]],員工[],2,FALSE)</f>
        <v>蔣梅</v>
      </c>
    </row>
    <row r="1272" spans="6:19" hidden="1" x14ac:dyDescent="0.25">
      <c r="F1272" t="s">
        <v>1866</v>
      </c>
      <c r="G1272" t="s">
        <v>400</v>
      </c>
      <c r="H1272" t="str">
        <f>VLOOKUP(record[[#This Row],[ProcessSN]],表格2_7[],2,FALSE)</f>
        <v>30-4118-018-550</v>
      </c>
      <c r="I1272" t="str">
        <f>VLOOKUP(record[[#This Row],[ProcessSN]],表格2_7[],3,FALSE)</f>
        <v>#100</v>
      </c>
      <c r="J1272" t="s">
        <v>598</v>
      </c>
      <c r="K1272" s="195">
        <v>46135.676215277781</v>
      </c>
      <c r="L1272">
        <v>5</v>
      </c>
      <c r="M1272">
        <v>0</v>
      </c>
      <c r="N1272" s="98" t="str">
        <f>IF(record[[#This Row],[Memo]]="Browser:chrome os:android","平板報工",IF(record[[#This Row],[Memo]]=0,"委外",record[[#This Row],[Memo]]))</f>
        <v>覆回</v>
      </c>
      <c r="O1272" t="s">
        <v>682</v>
      </c>
      <c r="P1272" t="s">
        <v>141</v>
      </c>
      <c r="Q1272" t="s">
        <v>58</v>
      </c>
      <c r="R1272" t="str">
        <f>IFERROR(VLOOKUP(record[[#This Row],[PCUSTID]],廠商[],2,FALSE),"")</f>
        <v/>
      </c>
      <c r="S1272" t="str">
        <f>VLOOKUP(record[[#This Row],[employeeID]],員工[],2,FALSE)</f>
        <v>蔣梅</v>
      </c>
    </row>
    <row r="1273" spans="6:19" hidden="1" x14ac:dyDescent="0.25">
      <c r="F1273" t="s">
        <v>1866</v>
      </c>
      <c r="G1273" t="s">
        <v>399</v>
      </c>
      <c r="H1273" t="str">
        <f>VLOOKUP(record[[#This Row],[ProcessSN]],表格2_7[],2,FALSE)</f>
        <v>30-4118-018-550</v>
      </c>
      <c r="I1273" t="str">
        <f>VLOOKUP(record[[#This Row],[ProcessSN]],表格2_7[],3,FALSE)</f>
        <v>#08IQC</v>
      </c>
      <c r="J1273" t="s">
        <v>583</v>
      </c>
      <c r="K1273" s="195">
        <v>46135.674479166664</v>
      </c>
      <c r="L1273">
        <v>2</v>
      </c>
      <c r="M1273">
        <v>0</v>
      </c>
      <c r="N1273" s="98" t="str">
        <f>IF(record[[#This Row],[Memo]]="Browser:chrome os:android","平板報工",IF(record[[#This Row],[Memo]]=0,"委外",record[[#This Row],[Memo]]))</f>
        <v>補</v>
      </c>
      <c r="O1273" t="s">
        <v>690</v>
      </c>
      <c r="P1273" t="s">
        <v>186</v>
      </c>
      <c r="Q1273" t="s">
        <v>58</v>
      </c>
      <c r="R1273" t="str">
        <f>IFERROR(VLOOKUP(record[[#This Row],[PCUSTID]],廠商[],2,FALSE),"")</f>
        <v/>
      </c>
      <c r="S1273" t="str">
        <f>VLOOKUP(record[[#This Row],[employeeID]],員工[],2,FALSE)</f>
        <v>許文姍</v>
      </c>
    </row>
    <row r="1274" spans="6:19" hidden="1" x14ac:dyDescent="0.25">
      <c r="F1274" t="s">
        <v>1866</v>
      </c>
      <c r="G1274" t="s">
        <v>398</v>
      </c>
      <c r="H1274" t="str">
        <f>VLOOKUP(record[[#This Row],[ProcessSN]],表格2_7[],2,FALSE)</f>
        <v>30-4118-018-550</v>
      </c>
      <c r="I1274" t="str">
        <f>VLOOKUP(record[[#This Row],[ProcessSN]],表格2_7[],3,FALSE)</f>
        <v>#08RCV</v>
      </c>
      <c r="J1274" t="s">
        <v>591</v>
      </c>
      <c r="K1274" s="195">
        <v>46135.674259259256</v>
      </c>
      <c r="L1274">
        <v>2</v>
      </c>
      <c r="M1274">
        <v>0</v>
      </c>
      <c r="N1274" s="98" t="str">
        <f>IF(record[[#This Row],[Memo]]="Browser:chrome os:android","平板報工",IF(record[[#This Row],[Memo]]=0,"委外",record[[#This Row],[Memo]]))</f>
        <v/>
      </c>
      <c r="O1274" t="s">
        <v>58</v>
      </c>
      <c r="P1274" t="s">
        <v>186</v>
      </c>
      <c r="Q1274" t="s">
        <v>58</v>
      </c>
      <c r="R1274" t="str">
        <f>IFERROR(VLOOKUP(record[[#This Row],[PCUSTID]],廠商[],2,FALSE),"")</f>
        <v/>
      </c>
      <c r="S1274" t="str">
        <f>VLOOKUP(record[[#This Row],[employeeID]],員工[],2,FALSE)</f>
        <v>許文姍</v>
      </c>
    </row>
    <row r="1275" spans="6:19" hidden="1" x14ac:dyDescent="0.25">
      <c r="F1275" t="s">
        <v>1830</v>
      </c>
      <c r="G1275" t="s">
        <v>400</v>
      </c>
      <c r="H1275" t="str">
        <f>VLOOKUP(record[[#This Row],[ProcessSN]],表格2_7[],2,FALSE)</f>
        <v>30-4118-018-550</v>
      </c>
      <c r="I1275" t="str">
        <f>VLOOKUP(record[[#This Row],[ProcessSN]],表格2_7[],3,FALSE)</f>
        <v>#100</v>
      </c>
      <c r="J1275" t="s">
        <v>598</v>
      </c>
      <c r="K1275" s="195">
        <v>46135.67292824074</v>
      </c>
      <c r="L1275">
        <v>1</v>
      </c>
      <c r="M1275">
        <v>0</v>
      </c>
      <c r="N1275" s="98" t="str">
        <f>IF(record[[#This Row],[Memo]]="Browser:chrome os:android","平板報工",IF(record[[#This Row],[Memo]]=0,"委外",record[[#This Row],[Memo]]))</f>
        <v/>
      </c>
      <c r="O1275" t="s">
        <v>58</v>
      </c>
      <c r="P1275" t="s">
        <v>141</v>
      </c>
      <c r="Q1275" t="s">
        <v>58</v>
      </c>
      <c r="R1275" t="str">
        <f>IFERROR(VLOOKUP(record[[#This Row],[PCUSTID]],廠商[],2,FALSE),"")</f>
        <v/>
      </c>
      <c r="S1275" t="str">
        <f>VLOOKUP(record[[#This Row],[employeeID]],員工[],2,FALSE)</f>
        <v>蔣梅</v>
      </c>
    </row>
    <row r="1276" spans="6:19" hidden="1" x14ac:dyDescent="0.25">
      <c r="F1276" t="s">
        <v>1866</v>
      </c>
      <c r="G1276" t="s">
        <v>400</v>
      </c>
      <c r="H1276" t="str">
        <f>VLOOKUP(record[[#This Row],[ProcessSN]],表格2_7[],2,FALSE)</f>
        <v>30-4118-018-550</v>
      </c>
      <c r="I1276" t="str">
        <f>VLOOKUP(record[[#This Row],[ProcessSN]],表格2_7[],3,FALSE)</f>
        <v>#100</v>
      </c>
      <c r="J1276" t="s">
        <v>598</v>
      </c>
      <c r="K1276" s="195">
        <v>46135.671585648146</v>
      </c>
      <c r="L1276">
        <v>0</v>
      </c>
      <c r="M1276">
        <v>-1</v>
      </c>
      <c r="N1276" s="98" t="str">
        <f>IF(record[[#This Row],[Memo]]="Browser:chrome os:android","平板報工",IF(record[[#This Row],[Memo]]=0,"委外",record[[#This Row],[Memo]]))</f>
        <v/>
      </c>
      <c r="O1276" t="s">
        <v>58</v>
      </c>
      <c r="P1276" t="s">
        <v>113</v>
      </c>
      <c r="Q1276" t="s">
        <v>58</v>
      </c>
      <c r="R1276" t="str">
        <f>IFERROR(VLOOKUP(record[[#This Row],[PCUSTID]],廠商[],2,FALSE),"")</f>
        <v/>
      </c>
      <c r="S1276" t="str">
        <f>VLOOKUP(record[[#This Row],[employeeID]],員工[],2,FALSE)</f>
        <v>王奕蓁</v>
      </c>
    </row>
    <row r="1277" spans="6:19" hidden="1" x14ac:dyDescent="0.25">
      <c r="F1277" t="s">
        <v>1841</v>
      </c>
      <c r="G1277" t="s">
        <v>425</v>
      </c>
      <c r="H1277" t="str">
        <f>VLOOKUP(record[[#This Row],[ProcessSN]],表格2_7[],2,FALSE)</f>
        <v>30-4118-018-600</v>
      </c>
      <c r="I1277" t="str">
        <f>VLOOKUP(record[[#This Row],[ProcessSN]],表格2_7[],3,FALSE)</f>
        <v>#100</v>
      </c>
      <c r="J1277" t="s">
        <v>598</v>
      </c>
      <c r="K1277" s="195">
        <v>46135.670127314814</v>
      </c>
      <c r="L1277">
        <v>0</v>
      </c>
      <c r="M1277">
        <v>5</v>
      </c>
      <c r="N1277" s="98" t="str">
        <f>IF(record[[#This Row],[Memo]]="Browser:chrome os:android","平板報工",IF(record[[#This Row],[Memo]]=0,"委外",record[[#This Row],[Memo]]))</f>
        <v/>
      </c>
      <c r="O1277" t="s">
        <v>58</v>
      </c>
      <c r="P1277" t="s">
        <v>141</v>
      </c>
      <c r="Q1277" t="s">
        <v>58</v>
      </c>
      <c r="R1277" t="str">
        <f>IFERROR(VLOOKUP(record[[#This Row],[PCUSTID]],廠商[],2,FALSE),"")</f>
        <v/>
      </c>
      <c r="S1277" t="str">
        <f>VLOOKUP(record[[#This Row],[employeeID]],員工[],2,FALSE)</f>
        <v>蔣梅</v>
      </c>
    </row>
    <row r="1278" spans="6:19" hidden="1" x14ac:dyDescent="0.25">
      <c r="F1278" t="s">
        <v>1841</v>
      </c>
      <c r="G1278" t="s">
        <v>425</v>
      </c>
      <c r="H1278" t="str">
        <f>VLOOKUP(record[[#This Row],[ProcessSN]],表格2_7[],2,FALSE)</f>
        <v>30-4118-018-600</v>
      </c>
      <c r="I1278" t="str">
        <f>VLOOKUP(record[[#This Row],[ProcessSN]],表格2_7[],3,FALSE)</f>
        <v>#100</v>
      </c>
      <c r="J1278" t="s">
        <v>598</v>
      </c>
      <c r="K1278" s="195">
        <v>46135.669988425929</v>
      </c>
      <c r="L1278">
        <v>1</v>
      </c>
      <c r="M1278">
        <v>0</v>
      </c>
      <c r="N1278" s="98" t="str">
        <f>IF(record[[#This Row],[Memo]]="Browser:chrome os:android","平板報工",IF(record[[#This Row],[Memo]]=0,"委外",record[[#This Row],[Memo]]))</f>
        <v>覆回</v>
      </c>
      <c r="O1278" t="s">
        <v>682</v>
      </c>
      <c r="P1278" t="s">
        <v>141</v>
      </c>
      <c r="Q1278" t="s">
        <v>58</v>
      </c>
      <c r="R1278" t="str">
        <f>IFERROR(VLOOKUP(record[[#This Row],[PCUSTID]],廠商[],2,FALSE),"")</f>
        <v/>
      </c>
      <c r="S1278" t="str">
        <f>VLOOKUP(record[[#This Row],[employeeID]],員工[],2,FALSE)</f>
        <v>蔣梅</v>
      </c>
    </row>
    <row r="1279" spans="6:19" hidden="1" x14ac:dyDescent="0.25">
      <c r="F1279" t="s">
        <v>1850</v>
      </c>
      <c r="G1279" t="s">
        <v>417</v>
      </c>
      <c r="H1279" t="str">
        <f>VLOOKUP(record[[#This Row],[ProcessSN]],表格2_7[],2,FALSE)</f>
        <v>30-4118-018-5XX</v>
      </c>
      <c r="I1279" t="str">
        <f>VLOOKUP(record[[#This Row],[ProcessSN]],表格2_7[],3,FALSE)</f>
        <v>#06</v>
      </c>
      <c r="J1279" t="s">
        <v>593</v>
      </c>
      <c r="K1279" s="195">
        <v>46135.654895833337</v>
      </c>
      <c r="L1279">
        <v>266</v>
      </c>
      <c r="M1279">
        <v>0</v>
      </c>
      <c r="N1279" s="98" t="str">
        <f>IF(record[[#This Row],[Memo]]="Browser:chrome os:android","平板報工",IF(record[[#This Row],[Memo]]=0,"委外",record[[#This Row],[Memo]]))</f>
        <v>平板報工</v>
      </c>
      <c r="O1279" t="s">
        <v>643</v>
      </c>
      <c r="P1279" t="s">
        <v>1413</v>
      </c>
      <c r="Q1279" t="s">
        <v>644</v>
      </c>
      <c r="R1279" t="str">
        <f>IFERROR(VLOOKUP(record[[#This Row],[PCUSTID]],廠商[],2,FALSE),"")</f>
        <v/>
      </c>
      <c r="S1279" t="str">
        <f>VLOOKUP(record[[#This Row],[employeeID]],員工[],2,FALSE)</f>
        <v>阮氏芳英(芳)</v>
      </c>
    </row>
    <row r="1280" spans="6:19" hidden="1" x14ac:dyDescent="0.25">
      <c r="F1280" t="s">
        <v>1850</v>
      </c>
      <c r="G1280" t="s">
        <v>416</v>
      </c>
      <c r="H1280" t="str">
        <f>VLOOKUP(record[[#This Row],[ProcessSN]],表格2_7[],2,FALSE)</f>
        <v>30-4118-018-5XX</v>
      </c>
      <c r="I1280" t="str">
        <f>VLOOKUP(record[[#This Row],[ProcessSN]],表格2_7[],3,FALSE)</f>
        <v>#05</v>
      </c>
      <c r="J1280" t="s">
        <v>588</v>
      </c>
      <c r="K1280" s="195">
        <v>46135.650196759256</v>
      </c>
      <c r="L1280">
        <v>263</v>
      </c>
      <c r="M1280">
        <v>0</v>
      </c>
      <c r="N1280" s="98" t="str">
        <f>IF(record[[#This Row],[Memo]]="Browser:chrome os:android","平板報工",IF(record[[#This Row],[Memo]]=0,"委外",record[[#This Row],[Memo]]))</f>
        <v>平板報工</v>
      </c>
      <c r="O1280" t="s">
        <v>643</v>
      </c>
      <c r="P1280" t="s">
        <v>785</v>
      </c>
      <c r="Q1280" t="s">
        <v>644</v>
      </c>
      <c r="R1280" t="str">
        <f>IFERROR(VLOOKUP(record[[#This Row],[PCUSTID]],廠商[],2,FALSE),"")</f>
        <v/>
      </c>
      <c r="S1280" t="str">
        <f>VLOOKUP(record[[#This Row],[employeeID]],員工[],2,FALSE)</f>
        <v>謝刻光</v>
      </c>
    </row>
    <row r="1281" spans="6:19" hidden="1" x14ac:dyDescent="0.25">
      <c r="F1281" t="s">
        <v>1850</v>
      </c>
      <c r="G1281" t="s">
        <v>415</v>
      </c>
      <c r="H1281" t="str">
        <f>VLOOKUP(record[[#This Row],[ProcessSN]],表格2_7[],2,FALSE)</f>
        <v>30-4118-018-5XX</v>
      </c>
      <c r="I1281" t="str">
        <f>VLOOKUP(record[[#This Row],[ProcessSN]],表格2_7[],3,FALSE)</f>
        <v>#04</v>
      </c>
      <c r="J1281" t="s">
        <v>588</v>
      </c>
      <c r="K1281" s="195">
        <v>46135.648935185185</v>
      </c>
      <c r="L1281">
        <v>286</v>
      </c>
      <c r="M1281">
        <v>0</v>
      </c>
      <c r="N1281" s="98" t="str">
        <f>IF(record[[#This Row],[Memo]]="Browser:chrome os:android","平板報工",IF(record[[#This Row],[Memo]]=0,"委外",record[[#This Row],[Memo]]))</f>
        <v/>
      </c>
      <c r="O1281" t="s">
        <v>58</v>
      </c>
      <c r="P1281" t="s">
        <v>188</v>
      </c>
      <c r="Q1281" t="s">
        <v>58</v>
      </c>
      <c r="R1281" t="str">
        <f>IFERROR(VLOOKUP(record[[#This Row],[PCUSTID]],廠商[],2,FALSE),"")</f>
        <v/>
      </c>
      <c r="S1281" t="str">
        <f>VLOOKUP(record[[#This Row],[employeeID]],員工[],2,FALSE)</f>
        <v>阮氏璧紅</v>
      </c>
    </row>
    <row r="1282" spans="6:19" hidden="1" x14ac:dyDescent="0.25">
      <c r="F1282" t="s">
        <v>1818</v>
      </c>
      <c r="G1282" t="s">
        <v>466</v>
      </c>
      <c r="H1282" t="str">
        <f>VLOOKUP(record[[#This Row],[ProcessSN]],表格2_7[],2,FALSE)</f>
        <v>30-4118-018-XXX</v>
      </c>
      <c r="I1282" t="str">
        <f>VLOOKUP(record[[#This Row],[ProcessSN]],表格2_7[],3,FALSE)</f>
        <v>#01-2</v>
      </c>
      <c r="J1282" t="s">
        <v>588</v>
      </c>
      <c r="K1282" s="195">
        <v>46135.647187499999</v>
      </c>
      <c r="L1282">
        <v>250</v>
      </c>
      <c r="M1282">
        <v>0</v>
      </c>
      <c r="N1282" s="98" t="str">
        <f>IF(record[[#This Row],[Memo]]="Browser:chrome os:android","平板報工",IF(record[[#This Row],[Memo]]=0,"委外",record[[#This Row],[Memo]]))</f>
        <v>平板報工</v>
      </c>
      <c r="O1282" t="s">
        <v>643</v>
      </c>
      <c r="P1282" t="s">
        <v>107</v>
      </c>
      <c r="Q1282" t="s">
        <v>644</v>
      </c>
      <c r="R1282" t="str">
        <f>IFERROR(VLOOKUP(record[[#This Row],[PCUSTID]],廠商[],2,FALSE),"")</f>
        <v/>
      </c>
      <c r="S1282" t="str">
        <f>VLOOKUP(record[[#This Row],[employeeID]],員工[],2,FALSE)</f>
        <v>黎氏順</v>
      </c>
    </row>
    <row r="1283" spans="6:19" hidden="1" x14ac:dyDescent="0.25">
      <c r="F1283" t="s">
        <v>1850</v>
      </c>
      <c r="G1283" t="s">
        <v>418</v>
      </c>
      <c r="H1283" t="str">
        <f>VLOOKUP(record[[#This Row],[ProcessSN]],表格2_7[],2,FALSE)</f>
        <v>30-4118-018-5XX</v>
      </c>
      <c r="I1283" t="str">
        <f>VLOOKUP(record[[#This Row],[ProcessSN]],表格2_7[],3,FALSE)</f>
        <v>#07</v>
      </c>
      <c r="J1283" t="s">
        <v>588</v>
      </c>
      <c r="K1283" s="195">
        <v>46135.64707175926</v>
      </c>
      <c r="L1283">
        <v>218</v>
      </c>
      <c r="M1283">
        <v>0</v>
      </c>
      <c r="N1283" s="98" t="str">
        <f>IF(record[[#This Row],[Memo]]="Browser:chrome os:android","平板報工",IF(record[[#This Row],[Memo]]=0,"委外",record[[#This Row],[Memo]]))</f>
        <v>平板報工</v>
      </c>
      <c r="O1283" t="s">
        <v>643</v>
      </c>
      <c r="P1283" t="s">
        <v>785</v>
      </c>
      <c r="Q1283" t="s">
        <v>644</v>
      </c>
      <c r="R1283" t="str">
        <f>IFERROR(VLOOKUP(record[[#This Row],[PCUSTID]],廠商[],2,FALSE),"")</f>
        <v/>
      </c>
      <c r="S1283" t="str">
        <f>VLOOKUP(record[[#This Row],[employeeID]],員工[],2,FALSE)</f>
        <v>謝刻光</v>
      </c>
    </row>
    <row r="1284" spans="6:19" hidden="1" x14ac:dyDescent="0.25">
      <c r="F1284" t="s">
        <v>1790</v>
      </c>
      <c r="G1284" t="s">
        <v>379</v>
      </c>
      <c r="H1284" t="str">
        <f>VLOOKUP(record[[#This Row],[ProcessSN]],表格2_7[],2,FALSE)</f>
        <v>30-4118-018-4XX</v>
      </c>
      <c r="I1284" t="str">
        <f>VLOOKUP(record[[#This Row],[ProcessSN]],表格2_7[],3,FALSE)</f>
        <v>#07STOCK</v>
      </c>
      <c r="J1284" t="s">
        <v>592</v>
      </c>
      <c r="K1284" s="195">
        <v>46135.646469907406</v>
      </c>
      <c r="L1284">
        <v>109</v>
      </c>
      <c r="M1284">
        <v>0</v>
      </c>
      <c r="N1284" s="98" t="str">
        <f>IF(record[[#This Row],[Memo]]="Browser:chrome os:android","平板報工",IF(record[[#This Row],[Memo]]=0,"委外",record[[#This Row],[Memo]]))</f>
        <v/>
      </c>
      <c r="O1284" t="s">
        <v>58</v>
      </c>
      <c r="P1284" t="s">
        <v>186</v>
      </c>
      <c r="Q1284" t="s">
        <v>58</v>
      </c>
      <c r="R1284" t="str">
        <f>IFERROR(VLOOKUP(record[[#This Row],[PCUSTID]],廠商[],2,FALSE),"")</f>
        <v/>
      </c>
      <c r="S1284" t="str">
        <f>VLOOKUP(record[[#This Row],[employeeID]],員工[],2,FALSE)</f>
        <v>許文姍</v>
      </c>
    </row>
    <row r="1285" spans="6:19" hidden="1" x14ac:dyDescent="0.25">
      <c r="F1285" t="s">
        <v>1702</v>
      </c>
      <c r="G1285" t="s">
        <v>379</v>
      </c>
      <c r="H1285" t="str">
        <f>VLOOKUP(record[[#This Row],[ProcessSN]],表格2_7[],2,FALSE)</f>
        <v>30-4118-018-4XX</v>
      </c>
      <c r="I1285" t="str">
        <f>VLOOKUP(record[[#This Row],[ProcessSN]],表格2_7[],3,FALSE)</f>
        <v>#07STOCK</v>
      </c>
      <c r="J1285" t="s">
        <v>592</v>
      </c>
      <c r="K1285" s="195">
        <v>46135.646307870367</v>
      </c>
      <c r="L1285">
        <v>4</v>
      </c>
      <c r="M1285">
        <v>0</v>
      </c>
      <c r="N1285" s="98" t="str">
        <f>IF(record[[#This Row],[Memo]]="Browser:chrome os:android","平板報工",IF(record[[#This Row],[Memo]]=0,"委外",record[[#This Row],[Memo]]))</f>
        <v/>
      </c>
      <c r="O1285" t="s">
        <v>58</v>
      </c>
      <c r="P1285" t="s">
        <v>186</v>
      </c>
      <c r="Q1285" t="s">
        <v>58</v>
      </c>
      <c r="R1285" t="str">
        <f>IFERROR(VLOOKUP(record[[#This Row],[PCUSTID]],廠商[],2,FALSE),"")</f>
        <v/>
      </c>
      <c r="S1285" t="str">
        <f>VLOOKUP(record[[#This Row],[employeeID]],員工[],2,FALSE)</f>
        <v>許文姍</v>
      </c>
    </row>
    <row r="1286" spans="6:19" hidden="1" x14ac:dyDescent="0.25">
      <c r="F1286" t="s">
        <v>1587</v>
      </c>
      <c r="G1286" t="s">
        <v>379</v>
      </c>
      <c r="H1286" t="str">
        <f>VLOOKUP(record[[#This Row],[ProcessSN]],表格2_7[],2,FALSE)</f>
        <v>30-4118-018-4XX</v>
      </c>
      <c r="I1286" t="str">
        <f>VLOOKUP(record[[#This Row],[ProcessSN]],表格2_7[],3,FALSE)</f>
        <v>#07STOCK</v>
      </c>
      <c r="J1286" t="s">
        <v>592</v>
      </c>
      <c r="K1286" s="195">
        <v>46135.646145833336</v>
      </c>
      <c r="L1286">
        <v>2</v>
      </c>
      <c r="M1286">
        <v>0</v>
      </c>
      <c r="N1286" s="98" t="str">
        <f>IF(record[[#This Row],[Memo]]="Browser:chrome os:android","平板報工",IF(record[[#This Row],[Memo]]=0,"委外",record[[#This Row],[Memo]]))</f>
        <v/>
      </c>
      <c r="O1286" t="s">
        <v>58</v>
      </c>
      <c r="P1286" t="s">
        <v>186</v>
      </c>
      <c r="Q1286" t="s">
        <v>58</v>
      </c>
      <c r="R1286" t="str">
        <f>IFERROR(VLOOKUP(record[[#This Row],[PCUSTID]],廠商[],2,FALSE),"")</f>
        <v/>
      </c>
      <c r="S1286" t="str">
        <f>VLOOKUP(record[[#This Row],[employeeID]],員工[],2,FALSE)</f>
        <v>許文姍</v>
      </c>
    </row>
    <row r="1287" spans="6:19" hidden="1" x14ac:dyDescent="0.25">
      <c r="F1287" t="s">
        <v>1850</v>
      </c>
      <c r="G1287" t="s">
        <v>420</v>
      </c>
      <c r="H1287" t="str">
        <f>VLOOKUP(record[[#This Row],[ProcessSN]],表格2_7[],2,FALSE)</f>
        <v>30-4118-018-5XX</v>
      </c>
      <c r="I1287" t="str">
        <f>VLOOKUP(record[[#This Row],[ProcessSN]],表格2_7[],3,FALSE)</f>
        <v>#07STOCK</v>
      </c>
      <c r="J1287" t="s">
        <v>592</v>
      </c>
      <c r="K1287" s="195">
        <v>46135.645358796297</v>
      </c>
      <c r="L1287">
        <v>130</v>
      </c>
      <c r="M1287">
        <v>0</v>
      </c>
      <c r="N1287" s="98" t="str">
        <f>IF(record[[#This Row],[Memo]]="Browser:chrome os:android","平板報工",IF(record[[#This Row],[Memo]]=0,"委外",record[[#This Row],[Memo]]))</f>
        <v/>
      </c>
      <c r="O1287" t="s">
        <v>58</v>
      </c>
      <c r="P1287" t="s">
        <v>186</v>
      </c>
      <c r="Q1287" t="s">
        <v>58</v>
      </c>
      <c r="R1287" t="str">
        <f>IFERROR(VLOOKUP(record[[#This Row],[PCUSTID]],廠商[],2,FALSE),"")</f>
        <v/>
      </c>
      <c r="S1287" t="str">
        <f>VLOOKUP(record[[#This Row],[employeeID]],員工[],2,FALSE)</f>
        <v>許文姍</v>
      </c>
    </row>
    <row r="1288" spans="6:19" hidden="1" x14ac:dyDescent="0.25">
      <c r="F1288" t="s">
        <v>1818</v>
      </c>
      <c r="G1288" t="s">
        <v>466</v>
      </c>
      <c r="H1288" t="str">
        <f>VLOOKUP(record[[#This Row],[ProcessSN]],表格2_7[],2,FALSE)</f>
        <v>30-4118-018-XXX</v>
      </c>
      <c r="I1288" t="str">
        <f>VLOOKUP(record[[#This Row],[ProcessSN]],表格2_7[],3,FALSE)</f>
        <v>#01-2</v>
      </c>
      <c r="J1288" t="s">
        <v>588</v>
      </c>
      <c r="K1288" s="195">
        <v>46135.64534722222</v>
      </c>
      <c r="L1288">
        <v>50</v>
      </c>
      <c r="M1288">
        <v>0</v>
      </c>
      <c r="N1288" s="98" t="str">
        <f>IF(record[[#This Row],[Memo]]="Browser:chrome os:android","平板報工",IF(record[[#This Row],[Memo]]=0,"委外",record[[#This Row],[Memo]]))</f>
        <v>平板報工</v>
      </c>
      <c r="O1288" t="s">
        <v>643</v>
      </c>
      <c r="P1288" t="s">
        <v>107</v>
      </c>
      <c r="Q1288" t="s">
        <v>644</v>
      </c>
      <c r="R1288" t="str">
        <f>IFERROR(VLOOKUP(record[[#This Row],[PCUSTID]],廠商[],2,FALSE),"")</f>
        <v/>
      </c>
      <c r="S1288" t="str">
        <f>VLOOKUP(record[[#This Row],[employeeID]],員工[],2,FALSE)</f>
        <v>黎氏順</v>
      </c>
    </row>
    <row r="1289" spans="6:19" hidden="1" x14ac:dyDescent="0.25">
      <c r="F1289" t="s">
        <v>1815</v>
      </c>
      <c r="G1289" t="s">
        <v>453</v>
      </c>
      <c r="H1289" t="str">
        <f>VLOOKUP(record[[#This Row],[ProcessSN]],表格2_7[],2,FALSE)</f>
        <v>30-4118-018-6XX</v>
      </c>
      <c r="I1289" t="str">
        <f>VLOOKUP(record[[#This Row],[ProcessSN]],表格2_7[],3,FALSE)</f>
        <v>#07STOCK</v>
      </c>
      <c r="J1289" t="s">
        <v>592</v>
      </c>
      <c r="K1289" s="195">
        <v>46135.644699074073</v>
      </c>
      <c r="L1289">
        <v>116</v>
      </c>
      <c r="M1289">
        <v>0</v>
      </c>
      <c r="N1289" s="98" t="str">
        <f>IF(record[[#This Row],[Memo]]="Browser:chrome os:android","平板報工",IF(record[[#This Row],[Memo]]=0,"委外",record[[#This Row],[Memo]]))</f>
        <v/>
      </c>
      <c r="O1289" t="s">
        <v>58</v>
      </c>
      <c r="P1289" t="s">
        <v>186</v>
      </c>
      <c r="Q1289" t="s">
        <v>58</v>
      </c>
      <c r="R1289" t="str">
        <f>IFERROR(VLOOKUP(record[[#This Row],[PCUSTID]],廠商[],2,FALSE),"")</f>
        <v/>
      </c>
      <c r="S1289" t="str">
        <f>VLOOKUP(record[[#This Row],[employeeID]],員工[],2,FALSE)</f>
        <v>許文姍</v>
      </c>
    </row>
    <row r="1290" spans="6:19" hidden="1" x14ac:dyDescent="0.25">
      <c r="F1290" t="s">
        <v>1850</v>
      </c>
      <c r="G1290" t="s">
        <v>417</v>
      </c>
      <c r="H1290" t="str">
        <f>VLOOKUP(record[[#This Row],[ProcessSN]],表格2_7[],2,FALSE)</f>
        <v>30-4118-018-5XX</v>
      </c>
      <c r="I1290" t="str">
        <f>VLOOKUP(record[[#This Row],[ProcessSN]],表格2_7[],3,FALSE)</f>
        <v>#06</v>
      </c>
      <c r="J1290" t="s">
        <v>593</v>
      </c>
      <c r="K1290" s="195">
        <v>46135.625486111108</v>
      </c>
      <c r="L1290">
        <v>115</v>
      </c>
      <c r="M1290">
        <v>0</v>
      </c>
      <c r="N1290" s="98" t="str">
        <f>IF(record[[#This Row],[Memo]]="Browser:chrome os:android","平板報工",IF(record[[#This Row],[Memo]]=0,"委外",record[[#This Row],[Memo]]))</f>
        <v>平板報工</v>
      </c>
      <c r="O1290" t="s">
        <v>643</v>
      </c>
      <c r="P1290" t="s">
        <v>166</v>
      </c>
      <c r="Q1290" t="s">
        <v>644</v>
      </c>
      <c r="R1290" t="str">
        <f>IFERROR(VLOOKUP(record[[#This Row],[PCUSTID]],廠商[],2,FALSE),"")</f>
        <v/>
      </c>
      <c r="S1290" t="str">
        <f>VLOOKUP(record[[#This Row],[employeeID]],員工[],2,FALSE)</f>
        <v>阮懷香</v>
      </c>
    </row>
    <row r="1291" spans="6:19" hidden="1" x14ac:dyDescent="0.25">
      <c r="F1291" t="s">
        <v>1891</v>
      </c>
      <c r="G1291" t="s">
        <v>422</v>
      </c>
      <c r="H1291" t="str">
        <f>VLOOKUP(record[[#This Row],[ProcessSN]],表格2_7[],2,FALSE)</f>
        <v>30-4118-018-600</v>
      </c>
      <c r="I1291" t="str">
        <f>VLOOKUP(record[[#This Row],[ProcessSN]],表格2_7[],3,FALSE)</f>
        <v>#08</v>
      </c>
      <c r="J1291" t="s">
        <v>597</v>
      </c>
      <c r="K1291" s="195">
        <v>46135.621261574073</v>
      </c>
      <c r="L1291">
        <v>116</v>
      </c>
      <c r="M1291">
        <v>0</v>
      </c>
      <c r="N1291" s="98" t="str">
        <f>IF(record[[#This Row],[Memo]]="Browser:chrome os:android","平板報工",IF(record[[#This Row],[Memo]]=0,"委外",record[[#This Row],[Memo]]))</f>
        <v>委外</v>
      </c>
      <c r="P1291" t="s">
        <v>186</v>
      </c>
      <c r="Q1291" t="s">
        <v>287</v>
      </c>
      <c r="R1291" t="str">
        <f>IFERROR(VLOOKUP(record[[#This Row],[PCUSTID]],廠商[],2,FALSE),"")</f>
        <v>泉盛</v>
      </c>
      <c r="S1291" t="str">
        <f>VLOOKUP(record[[#This Row],[employeeID]],員工[],2,FALSE)</f>
        <v>許文姍</v>
      </c>
    </row>
    <row r="1292" spans="6:19" hidden="1" x14ac:dyDescent="0.25">
      <c r="F1292" t="s">
        <v>1890</v>
      </c>
      <c r="G1292" t="s">
        <v>381</v>
      </c>
      <c r="H1292" t="str">
        <f>VLOOKUP(record[[#This Row],[ProcessSN]],表格2_7[],2,FALSE)</f>
        <v>30-4118-018-500</v>
      </c>
      <c r="I1292" t="str">
        <f>VLOOKUP(record[[#This Row],[ProcessSN]],表格2_7[],3,FALSE)</f>
        <v>#08</v>
      </c>
      <c r="J1292" t="s">
        <v>597</v>
      </c>
      <c r="K1292" s="195">
        <v>46135.621168981481</v>
      </c>
      <c r="L1292">
        <v>130</v>
      </c>
      <c r="M1292">
        <v>0</v>
      </c>
      <c r="N1292" s="98" t="str">
        <f>IF(record[[#This Row],[Memo]]="Browser:chrome os:android","平板報工",IF(record[[#This Row],[Memo]]=0,"委外",record[[#This Row],[Memo]]))</f>
        <v>委外</v>
      </c>
      <c r="P1292" t="s">
        <v>186</v>
      </c>
      <c r="Q1292" t="s">
        <v>287</v>
      </c>
      <c r="R1292" t="str">
        <f>IFERROR(VLOOKUP(record[[#This Row],[PCUSTID]],廠商[],2,FALSE),"")</f>
        <v>泉盛</v>
      </c>
      <c r="S1292" t="str">
        <f>VLOOKUP(record[[#This Row],[employeeID]],員工[],2,FALSE)</f>
        <v>許文姍</v>
      </c>
    </row>
    <row r="1293" spans="6:19" hidden="1" x14ac:dyDescent="0.25">
      <c r="F1293" t="s">
        <v>1888</v>
      </c>
      <c r="G1293" t="s">
        <v>356</v>
      </c>
      <c r="H1293" t="str">
        <f>VLOOKUP(record[[#This Row],[ProcessSN]],表格2_7[],2,FALSE)</f>
        <v>30-4118-018-450</v>
      </c>
      <c r="I1293" t="str">
        <f>VLOOKUP(record[[#This Row],[ProcessSN]],表格2_7[],3,FALSE)</f>
        <v>#08</v>
      </c>
      <c r="J1293" t="s">
        <v>597</v>
      </c>
      <c r="K1293" s="195">
        <v>46135.621053240742</v>
      </c>
      <c r="L1293">
        <v>85</v>
      </c>
      <c r="M1293">
        <v>0</v>
      </c>
      <c r="N1293" s="98" t="str">
        <f>IF(record[[#This Row],[Memo]]="Browser:chrome os:android","平板報工",IF(record[[#This Row],[Memo]]=0,"委外",record[[#This Row],[Memo]]))</f>
        <v>委外</v>
      </c>
      <c r="P1293" t="s">
        <v>186</v>
      </c>
      <c r="Q1293" t="s">
        <v>287</v>
      </c>
      <c r="R1293" t="str">
        <f>IFERROR(VLOOKUP(record[[#This Row],[PCUSTID]],廠商[],2,FALSE),"")</f>
        <v>泉盛</v>
      </c>
      <c r="S1293" t="str">
        <f>VLOOKUP(record[[#This Row],[employeeID]],員工[],2,FALSE)</f>
        <v>許文姍</v>
      </c>
    </row>
    <row r="1294" spans="6:19" hidden="1" x14ac:dyDescent="0.25">
      <c r="F1294" t="s">
        <v>1884</v>
      </c>
      <c r="G1294" t="s">
        <v>348</v>
      </c>
      <c r="H1294" t="str">
        <f>VLOOKUP(record[[#This Row],[ProcessSN]],表格2_7[],2,FALSE)</f>
        <v>30-4118-018-420</v>
      </c>
      <c r="I1294" t="str">
        <f>VLOOKUP(record[[#This Row],[ProcessSN]],表格2_7[],3,FALSE)</f>
        <v>#08</v>
      </c>
      <c r="J1294" t="s">
        <v>597</v>
      </c>
      <c r="K1294" s="195">
        <v>46135.620925925927</v>
      </c>
      <c r="L1294">
        <v>30</v>
      </c>
      <c r="M1294">
        <v>0</v>
      </c>
      <c r="N1294" s="98" t="str">
        <f>IF(record[[#This Row],[Memo]]="Browser:chrome os:android","平板報工",IF(record[[#This Row],[Memo]]=0,"委外",record[[#This Row],[Memo]]))</f>
        <v>委外</v>
      </c>
      <c r="P1294" t="s">
        <v>186</v>
      </c>
      <c r="Q1294" t="s">
        <v>287</v>
      </c>
      <c r="R1294" t="str">
        <f>IFERROR(VLOOKUP(record[[#This Row],[PCUSTID]],廠商[],2,FALSE),"")</f>
        <v>泉盛</v>
      </c>
      <c r="S1294" t="str">
        <f>VLOOKUP(record[[#This Row],[employeeID]],員工[],2,FALSE)</f>
        <v>許文姍</v>
      </c>
    </row>
    <row r="1295" spans="6:19" hidden="1" x14ac:dyDescent="0.25">
      <c r="F1295" t="s">
        <v>1891</v>
      </c>
      <c r="G1295" t="s">
        <v>421</v>
      </c>
      <c r="H1295" t="str">
        <f>VLOOKUP(record[[#This Row],[ProcessSN]],表格2_7[],2,FALSE)</f>
        <v>30-4118-018-600</v>
      </c>
      <c r="I1295" t="str">
        <f>VLOOKUP(record[[#This Row],[ProcessSN]],表格2_7[],3,FALSE)</f>
        <v>#08PICK</v>
      </c>
      <c r="J1295" t="s">
        <v>582</v>
      </c>
      <c r="K1295" s="195">
        <v>46135.620682870373</v>
      </c>
      <c r="L1295">
        <v>116</v>
      </c>
      <c r="M1295">
        <v>0</v>
      </c>
      <c r="N1295" s="98" t="str">
        <f>IF(record[[#This Row],[Memo]]="Browser:chrome os:android","平板報工",IF(record[[#This Row],[Memo]]=0,"委外",record[[#This Row],[Memo]]))</f>
        <v/>
      </c>
      <c r="O1295" t="s">
        <v>58</v>
      </c>
      <c r="P1295" t="s">
        <v>186</v>
      </c>
      <c r="Q1295" t="s">
        <v>58</v>
      </c>
      <c r="R1295" t="str">
        <f>IFERROR(VLOOKUP(record[[#This Row],[PCUSTID]],廠商[],2,FALSE),"")</f>
        <v/>
      </c>
      <c r="S1295" t="str">
        <f>VLOOKUP(record[[#This Row],[employeeID]],員工[],2,FALSE)</f>
        <v>許文姍</v>
      </c>
    </row>
    <row r="1296" spans="6:19" hidden="1" x14ac:dyDescent="0.25">
      <c r="F1296" t="s">
        <v>1890</v>
      </c>
      <c r="G1296" t="s">
        <v>380</v>
      </c>
      <c r="H1296" t="str">
        <f>VLOOKUP(record[[#This Row],[ProcessSN]],表格2_7[],2,FALSE)</f>
        <v>30-4118-018-500</v>
      </c>
      <c r="I1296" t="str">
        <f>VLOOKUP(record[[#This Row],[ProcessSN]],表格2_7[],3,FALSE)</f>
        <v>#08PICK</v>
      </c>
      <c r="J1296" t="s">
        <v>582</v>
      </c>
      <c r="K1296" s="195">
        <v>46135.620578703703</v>
      </c>
      <c r="L1296">
        <v>130</v>
      </c>
      <c r="M1296">
        <v>0</v>
      </c>
      <c r="N1296" s="98" t="str">
        <f>IF(record[[#This Row],[Memo]]="Browser:chrome os:android","平板報工",IF(record[[#This Row],[Memo]]=0,"委外",record[[#This Row],[Memo]]))</f>
        <v/>
      </c>
      <c r="O1296" t="s">
        <v>58</v>
      </c>
      <c r="P1296" t="s">
        <v>186</v>
      </c>
      <c r="Q1296" t="s">
        <v>58</v>
      </c>
      <c r="R1296" t="str">
        <f>IFERROR(VLOOKUP(record[[#This Row],[PCUSTID]],廠商[],2,FALSE),"")</f>
        <v/>
      </c>
      <c r="S1296" t="str">
        <f>VLOOKUP(record[[#This Row],[employeeID]],員工[],2,FALSE)</f>
        <v>許文姍</v>
      </c>
    </row>
    <row r="1297" spans="6:19" hidden="1" x14ac:dyDescent="0.25">
      <c r="F1297" t="s">
        <v>1888</v>
      </c>
      <c r="G1297" t="s">
        <v>355</v>
      </c>
      <c r="H1297" t="str">
        <f>VLOOKUP(record[[#This Row],[ProcessSN]],表格2_7[],2,FALSE)</f>
        <v>30-4118-018-450</v>
      </c>
      <c r="I1297" t="str">
        <f>VLOOKUP(record[[#This Row],[ProcessSN]],表格2_7[],3,FALSE)</f>
        <v>#08PICK</v>
      </c>
      <c r="J1297" t="s">
        <v>582</v>
      </c>
      <c r="K1297" s="195">
        <v>46135.620497685188</v>
      </c>
      <c r="L1297">
        <v>85</v>
      </c>
      <c r="M1297">
        <v>0</v>
      </c>
      <c r="N1297" s="98" t="str">
        <f>IF(record[[#This Row],[Memo]]="Browser:chrome os:android","平板報工",IF(record[[#This Row],[Memo]]=0,"委外",record[[#This Row],[Memo]]))</f>
        <v>55</v>
      </c>
      <c r="O1297" t="s">
        <v>1889</v>
      </c>
      <c r="P1297" t="s">
        <v>186</v>
      </c>
      <c r="Q1297" t="s">
        <v>58</v>
      </c>
      <c r="R1297" t="str">
        <f>IFERROR(VLOOKUP(record[[#This Row],[PCUSTID]],廠商[],2,FALSE),"")</f>
        <v/>
      </c>
      <c r="S1297" t="str">
        <f>VLOOKUP(record[[#This Row],[employeeID]],員工[],2,FALSE)</f>
        <v>許文姍</v>
      </c>
    </row>
    <row r="1298" spans="6:19" hidden="1" x14ac:dyDescent="0.25">
      <c r="F1298" t="s">
        <v>1884</v>
      </c>
      <c r="G1298" t="s">
        <v>347</v>
      </c>
      <c r="H1298" t="str">
        <f>VLOOKUP(record[[#This Row],[ProcessSN]],表格2_7[],2,FALSE)</f>
        <v>30-4118-018-420</v>
      </c>
      <c r="I1298" t="str">
        <f>VLOOKUP(record[[#This Row],[ProcessSN]],表格2_7[],3,FALSE)</f>
        <v>#08PICK</v>
      </c>
      <c r="J1298" t="s">
        <v>582</v>
      </c>
      <c r="K1298" s="195">
        <v>46135.620393518519</v>
      </c>
      <c r="L1298">
        <v>30</v>
      </c>
      <c r="M1298">
        <v>0</v>
      </c>
      <c r="N1298" s="98" t="str">
        <f>IF(record[[#This Row],[Memo]]="Browser:chrome os:android","平板報工",IF(record[[#This Row],[Memo]]=0,"委外",record[[#This Row],[Memo]]))</f>
        <v/>
      </c>
      <c r="O1298" t="s">
        <v>58</v>
      </c>
      <c r="P1298" t="s">
        <v>186</v>
      </c>
      <c r="Q1298" t="s">
        <v>58</v>
      </c>
      <c r="R1298" t="str">
        <f>IFERROR(VLOOKUP(record[[#This Row],[PCUSTID]],廠商[],2,FALSE),"")</f>
        <v/>
      </c>
      <c r="S1298" t="str">
        <f>VLOOKUP(record[[#This Row],[employeeID]],員工[],2,FALSE)</f>
        <v>許文姍</v>
      </c>
    </row>
    <row r="1299" spans="6:19" hidden="1" x14ac:dyDescent="0.25">
      <c r="F1299" t="s">
        <v>1850</v>
      </c>
      <c r="G1299" t="s">
        <v>419</v>
      </c>
      <c r="H1299" t="str">
        <f>VLOOKUP(record[[#This Row],[ProcessSN]],表格2_7[],2,FALSE)</f>
        <v>30-4118-018-5XX</v>
      </c>
      <c r="I1299" t="str">
        <f>VLOOKUP(record[[#This Row],[ProcessSN]],表格2_7[],3,FALSE)</f>
        <v>#07QC</v>
      </c>
      <c r="J1299" t="s">
        <v>589</v>
      </c>
      <c r="K1299" s="195">
        <v>46135.604351851849</v>
      </c>
      <c r="L1299">
        <v>130</v>
      </c>
      <c r="M1299">
        <v>0</v>
      </c>
      <c r="N1299" s="98" t="str">
        <f>IF(record[[#This Row],[Memo]]="Browser:chrome os:android","平板報工",IF(record[[#This Row],[Memo]]=0,"委外",record[[#This Row],[Memo]]))</f>
        <v/>
      </c>
      <c r="O1299" t="s">
        <v>58</v>
      </c>
      <c r="P1299" t="s">
        <v>99</v>
      </c>
      <c r="Q1299" t="s">
        <v>58</v>
      </c>
      <c r="R1299" t="str">
        <f>IFERROR(VLOOKUP(record[[#This Row],[PCUSTID]],廠商[],2,FALSE),"")</f>
        <v/>
      </c>
      <c r="S1299" t="str">
        <f>VLOOKUP(record[[#This Row],[employeeID]],員工[],2,FALSE)</f>
        <v>阮氏河</v>
      </c>
    </row>
    <row r="1300" spans="6:19" hidden="1" x14ac:dyDescent="0.25">
      <c r="F1300" t="s">
        <v>1850</v>
      </c>
      <c r="G1300" t="s">
        <v>419</v>
      </c>
      <c r="H1300" t="str">
        <f>VLOOKUP(record[[#This Row],[ProcessSN]],表格2_7[],2,FALSE)</f>
        <v>30-4118-018-5XX</v>
      </c>
      <c r="I1300" t="str">
        <f>VLOOKUP(record[[#This Row],[ProcessSN]],表格2_7[],3,FALSE)</f>
        <v>#07QC</v>
      </c>
      <c r="J1300" t="s">
        <v>589</v>
      </c>
      <c r="K1300" s="195">
        <v>46135.602905092594</v>
      </c>
      <c r="L1300">
        <v>0</v>
      </c>
      <c r="M1300">
        <v>5</v>
      </c>
      <c r="N1300" s="98" t="str">
        <f>IF(record[[#This Row],[Memo]]="Browser:chrome os:android","平板報工",IF(record[[#This Row],[Memo]]=0,"委外",record[[#This Row],[Memo]]))</f>
        <v/>
      </c>
      <c r="O1300" t="s">
        <v>58</v>
      </c>
      <c r="P1300" t="s">
        <v>99</v>
      </c>
      <c r="Q1300" t="s">
        <v>58</v>
      </c>
      <c r="R1300" t="str">
        <f>IFERROR(VLOOKUP(record[[#This Row],[PCUSTID]],廠商[],2,FALSE),"")</f>
        <v/>
      </c>
      <c r="S1300" t="str">
        <f>VLOOKUP(record[[#This Row],[employeeID]],員工[],2,FALSE)</f>
        <v>阮氏河</v>
      </c>
    </row>
    <row r="1301" spans="6:19" hidden="1" x14ac:dyDescent="0.25">
      <c r="F1301" t="s">
        <v>1790</v>
      </c>
      <c r="G1301" t="s">
        <v>374</v>
      </c>
      <c r="H1301" t="str">
        <f>VLOOKUP(record[[#This Row],[ProcessSN]],表格2_7[],2,FALSE)</f>
        <v>30-4118-018-4XX</v>
      </c>
      <c r="I1301" t="str">
        <f>VLOOKUP(record[[#This Row],[ProcessSN]],表格2_7[],3,FALSE)</f>
        <v>#04</v>
      </c>
      <c r="J1301" t="s">
        <v>588</v>
      </c>
      <c r="K1301" s="195">
        <v>46135.583472222221</v>
      </c>
      <c r="L1301">
        <v>2</v>
      </c>
      <c r="M1301">
        <v>0</v>
      </c>
      <c r="N1301" s="98" t="str">
        <f>IF(record[[#This Row],[Memo]]="Browser:chrome os:android","平板報工",IF(record[[#This Row],[Memo]]=0,"委外",record[[#This Row],[Memo]]))</f>
        <v/>
      </c>
      <c r="O1301" t="s">
        <v>58</v>
      </c>
      <c r="P1301" t="s">
        <v>101</v>
      </c>
      <c r="Q1301" t="s">
        <v>58</v>
      </c>
      <c r="R1301" t="str">
        <f>IFERROR(VLOOKUP(record[[#This Row],[PCUSTID]],廠商[],2,FALSE),"")</f>
        <v/>
      </c>
      <c r="S1301" t="str">
        <f>VLOOKUP(record[[#This Row],[employeeID]],員工[],2,FALSE)</f>
        <v>陳氏絨</v>
      </c>
    </row>
    <row r="1302" spans="6:19" hidden="1" x14ac:dyDescent="0.25">
      <c r="F1302" t="s">
        <v>1815</v>
      </c>
      <c r="G1302" t="s">
        <v>447</v>
      </c>
      <c r="H1302" t="str">
        <f>VLOOKUP(record[[#This Row],[ProcessSN]],表格2_7[],2,FALSE)</f>
        <v>30-4118-018-6XX</v>
      </c>
      <c r="I1302" t="str">
        <f>VLOOKUP(record[[#This Row],[ProcessSN]],表格2_7[],3,FALSE)</f>
        <v>#03</v>
      </c>
      <c r="J1302" t="s">
        <v>588</v>
      </c>
      <c r="K1302" s="195">
        <v>46135.562650462962</v>
      </c>
      <c r="L1302">
        <v>0</v>
      </c>
      <c r="M1302">
        <v>28</v>
      </c>
      <c r="N1302" s="98" t="str">
        <f>IF(record[[#This Row],[Memo]]="Browser:chrome os:android","平板報工",IF(record[[#This Row],[Memo]]=0,"委外",record[[#This Row],[Memo]]))</f>
        <v>領1150104</v>
      </c>
      <c r="O1302" t="s">
        <v>1883</v>
      </c>
      <c r="P1302" t="s">
        <v>113</v>
      </c>
      <c r="Q1302" t="s">
        <v>58</v>
      </c>
      <c r="R1302" t="str">
        <f>IFERROR(VLOOKUP(record[[#This Row],[PCUSTID]],廠商[],2,FALSE),"")</f>
        <v/>
      </c>
      <c r="S1302" t="str">
        <f>VLOOKUP(record[[#This Row],[employeeID]],員工[],2,FALSE)</f>
        <v>王奕蓁</v>
      </c>
    </row>
    <row r="1303" spans="6:19" hidden="1" x14ac:dyDescent="0.25">
      <c r="F1303" t="s">
        <v>1850</v>
      </c>
      <c r="G1303" t="s">
        <v>418</v>
      </c>
      <c r="H1303" t="str">
        <f>VLOOKUP(record[[#This Row],[ProcessSN]],表格2_7[],2,FALSE)</f>
        <v>30-4118-018-5XX</v>
      </c>
      <c r="I1303" t="str">
        <f>VLOOKUP(record[[#This Row],[ProcessSN]],表格2_7[],3,FALSE)</f>
        <v>#07</v>
      </c>
      <c r="J1303" t="s">
        <v>588</v>
      </c>
      <c r="K1303" s="195">
        <v>46135.544652777775</v>
      </c>
      <c r="L1303">
        <v>135</v>
      </c>
      <c r="M1303">
        <v>0</v>
      </c>
      <c r="N1303" s="98" t="str">
        <f>IF(record[[#This Row],[Memo]]="Browser:chrome os:android","平板報工",IF(record[[#This Row],[Memo]]=0,"委外",record[[#This Row],[Memo]]))</f>
        <v>平板報工</v>
      </c>
      <c r="O1303" t="s">
        <v>643</v>
      </c>
      <c r="P1303" t="s">
        <v>785</v>
      </c>
      <c r="Q1303" t="s">
        <v>644</v>
      </c>
      <c r="R1303" t="str">
        <f>IFERROR(VLOOKUP(record[[#This Row],[PCUSTID]],廠商[],2,FALSE),"")</f>
        <v/>
      </c>
      <c r="S1303" t="str">
        <f>VLOOKUP(record[[#This Row],[employeeID]],員工[],2,FALSE)</f>
        <v>謝刻光</v>
      </c>
    </row>
    <row r="1304" spans="6:19" hidden="1" x14ac:dyDescent="0.25">
      <c r="F1304" t="s">
        <v>1637</v>
      </c>
      <c r="G1304" t="s">
        <v>451</v>
      </c>
      <c r="H1304" t="str">
        <f>VLOOKUP(record[[#This Row],[ProcessSN]],表格2_7[],2,FALSE)</f>
        <v>30-4118-018-6XX</v>
      </c>
      <c r="I1304" t="str">
        <f>VLOOKUP(record[[#This Row],[ProcessSN]],表格2_7[],3,FALSE)</f>
        <v>#07</v>
      </c>
      <c r="J1304" t="s">
        <v>588</v>
      </c>
      <c r="K1304" s="195">
        <v>46135.509016203701</v>
      </c>
      <c r="L1304">
        <v>0</v>
      </c>
      <c r="M1304">
        <v>32</v>
      </c>
      <c r="N1304" s="98" t="str">
        <f>IF(record[[#This Row],[Memo]]="Browser:chrome os:android","平板報工",IF(record[[#This Row],[Memo]]=0,"委外",record[[#This Row],[Memo]]))</f>
        <v>領1150102</v>
      </c>
      <c r="O1304" t="s">
        <v>1882</v>
      </c>
      <c r="P1304" t="s">
        <v>113</v>
      </c>
      <c r="Q1304" t="s">
        <v>58</v>
      </c>
      <c r="R1304" t="str">
        <f>IFERROR(VLOOKUP(record[[#This Row],[PCUSTID]],廠商[],2,FALSE),"")</f>
        <v/>
      </c>
      <c r="S1304" t="str">
        <f>VLOOKUP(record[[#This Row],[employeeID]],員工[],2,FALSE)</f>
        <v>王奕蓁</v>
      </c>
    </row>
    <row r="1305" spans="6:19" hidden="1" x14ac:dyDescent="0.25">
      <c r="F1305" t="s">
        <v>1587</v>
      </c>
      <c r="G1305" t="s">
        <v>376</v>
      </c>
      <c r="H1305" t="str">
        <f>VLOOKUP(record[[#This Row],[ProcessSN]],表格2_7[],2,FALSE)</f>
        <v>30-4118-018-4XX</v>
      </c>
      <c r="I1305" t="str">
        <f>VLOOKUP(record[[#This Row],[ProcessSN]],表格2_7[],3,FALSE)</f>
        <v>#06</v>
      </c>
      <c r="J1305" t="s">
        <v>593</v>
      </c>
      <c r="K1305" s="195">
        <v>46135.505277777775</v>
      </c>
      <c r="L1305">
        <v>0</v>
      </c>
      <c r="M1305">
        <v>1</v>
      </c>
      <c r="N1305" s="98" t="str">
        <f>IF(record[[#This Row],[Memo]]="Browser:chrome os:android","平板報工",IF(record[[#This Row],[Memo]]=0,"委外",record[[#This Row],[Memo]]))</f>
        <v>領1150101</v>
      </c>
      <c r="O1305" t="s">
        <v>1881</v>
      </c>
      <c r="P1305" t="s">
        <v>113</v>
      </c>
      <c r="Q1305" t="s">
        <v>58</v>
      </c>
      <c r="R1305" t="str">
        <f>IFERROR(VLOOKUP(record[[#This Row],[PCUSTID]],廠商[],2,FALSE),"")</f>
        <v/>
      </c>
      <c r="S1305" t="str">
        <f>VLOOKUP(record[[#This Row],[employeeID]],員工[],2,FALSE)</f>
        <v>王奕蓁</v>
      </c>
    </row>
    <row r="1306" spans="6:19" hidden="1" x14ac:dyDescent="0.25">
      <c r="F1306" t="s">
        <v>1790</v>
      </c>
      <c r="G1306" t="s">
        <v>374</v>
      </c>
      <c r="H1306" t="str">
        <f>VLOOKUP(record[[#This Row],[ProcessSN]],表格2_7[],2,FALSE)</f>
        <v>30-4118-018-4XX</v>
      </c>
      <c r="I1306" t="str">
        <f>VLOOKUP(record[[#This Row],[ProcessSN]],表格2_7[],3,FALSE)</f>
        <v>#04</v>
      </c>
      <c r="J1306" t="s">
        <v>588</v>
      </c>
      <c r="K1306" s="195">
        <v>46135.502557870372</v>
      </c>
      <c r="L1306">
        <v>-156</v>
      </c>
      <c r="M1306">
        <v>0</v>
      </c>
      <c r="N1306" s="98" t="str">
        <f>IF(record[[#This Row],[Memo]]="Browser:chrome os:android","平板報工",IF(record[[#This Row],[Memo]]=0,"委外",record[[#This Row],[Memo]]))</f>
        <v>調整料帳</v>
      </c>
      <c r="O1306" t="s">
        <v>1880</v>
      </c>
      <c r="P1306" t="s">
        <v>113</v>
      </c>
      <c r="Q1306" t="s">
        <v>644</v>
      </c>
      <c r="R1306" t="str">
        <f>IFERROR(VLOOKUP(record[[#This Row],[PCUSTID]],廠商[],2,FALSE),"")</f>
        <v/>
      </c>
      <c r="S1306" t="str">
        <f>VLOOKUP(record[[#This Row],[employeeID]],員工[],2,FALSE)</f>
        <v>王奕蓁</v>
      </c>
    </row>
    <row r="1307" spans="6:19" hidden="1" x14ac:dyDescent="0.25">
      <c r="F1307" t="s">
        <v>1790</v>
      </c>
      <c r="G1307" t="s">
        <v>376</v>
      </c>
      <c r="H1307" t="str">
        <f>VLOOKUP(record[[#This Row],[ProcessSN]],表格2_7[],2,FALSE)</f>
        <v>30-4118-018-4XX</v>
      </c>
      <c r="I1307" t="str">
        <f>VLOOKUP(record[[#This Row],[ProcessSN]],表格2_7[],3,FALSE)</f>
        <v>#06</v>
      </c>
      <c r="J1307" t="s">
        <v>593</v>
      </c>
      <c r="K1307" s="195">
        <v>46135.50136574074</v>
      </c>
      <c r="L1307">
        <v>-170</v>
      </c>
      <c r="M1307">
        <v>0</v>
      </c>
      <c r="N1307" s="98" t="str">
        <f>IF(record[[#This Row],[Memo]]="Browser:chrome os:android","平板報工",IF(record[[#This Row],[Memo]]=0,"委外",record[[#This Row],[Memo]]))</f>
        <v>調整料帳</v>
      </c>
      <c r="O1307" t="s">
        <v>1880</v>
      </c>
      <c r="P1307" t="s">
        <v>113</v>
      </c>
      <c r="R1307" t="str">
        <f>IFERROR(VLOOKUP(record[[#This Row],[PCUSTID]],廠商[],2,FALSE),"")</f>
        <v/>
      </c>
      <c r="S1307" t="str">
        <f>VLOOKUP(record[[#This Row],[employeeID]],員工[],2,FALSE)</f>
        <v>王奕蓁</v>
      </c>
    </row>
    <row r="1308" spans="6:19" hidden="1" x14ac:dyDescent="0.25">
      <c r="F1308" t="s">
        <v>1790</v>
      </c>
      <c r="G1308" t="s">
        <v>375</v>
      </c>
      <c r="H1308" t="str">
        <f>VLOOKUP(record[[#This Row],[ProcessSN]],表格2_7[],2,FALSE)</f>
        <v>30-4118-018-4XX</v>
      </c>
      <c r="I1308" t="str">
        <f>VLOOKUP(record[[#This Row],[ProcessSN]],表格2_7[],3,FALSE)</f>
        <v>#05</v>
      </c>
      <c r="J1308" t="s">
        <v>588</v>
      </c>
      <c r="K1308" s="195">
        <v>46135.501006944447</v>
      </c>
      <c r="L1308">
        <v>-170</v>
      </c>
      <c r="M1308">
        <v>0</v>
      </c>
      <c r="N1308" s="98" t="str">
        <f>IF(record[[#This Row],[Memo]]="Browser:chrome os:android","平板報工",IF(record[[#This Row],[Memo]]=0,"委外",record[[#This Row],[Memo]]))</f>
        <v>調整料帳</v>
      </c>
      <c r="O1308" t="s">
        <v>1880</v>
      </c>
      <c r="P1308" t="s">
        <v>113</v>
      </c>
      <c r="Q1308" t="s">
        <v>58</v>
      </c>
      <c r="R1308" t="str">
        <f>IFERROR(VLOOKUP(record[[#This Row],[PCUSTID]],廠商[],2,FALSE),"")</f>
        <v/>
      </c>
      <c r="S1308" t="str">
        <f>VLOOKUP(record[[#This Row],[employeeID]],員工[],2,FALSE)</f>
        <v>王奕蓁</v>
      </c>
    </row>
    <row r="1309" spans="6:19" hidden="1" x14ac:dyDescent="0.25">
      <c r="F1309" t="s">
        <v>1840</v>
      </c>
      <c r="G1309" t="s">
        <v>359</v>
      </c>
      <c r="H1309" t="str">
        <f>VLOOKUP(record[[#This Row],[ProcessSN]],表格2_7[],2,FALSE)</f>
        <v>30-4118-018-450</v>
      </c>
      <c r="I1309" t="str">
        <f>VLOOKUP(record[[#This Row],[ProcessSN]],表格2_7[],3,FALSE)</f>
        <v>#100</v>
      </c>
      <c r="J1309" t="s">
        <v>598</v>
      </c>
      <c r="K1309" s="195">
        <v>46135.490057870367</v>
      </c>
      <c r="L1309">
        <v>0</v>
      </c>
      <c r="M1309">
        <v>25</v>
      </c>
      <c r="N1309" s="98" t="str">
        <f>IF(record[[#This Row],[Memo]]="Browser:chrome os:android","平板報工",IF(record[[#This Row],[Memo]]=0,"委外",record[[#This Row],[Memo]]))</f>
        <v/>
      </c>
      <c r="O1309" t="s">
        <v>58</v>
      </c>
      <c r="P1309" t="s">
        <v>141</v>
      </c>
      <c r="Q1309" t="s">
        <v>58</v>
      </c>
      <c r="R1309" t="str">
        <f>IFERROR(VLOOKUP(record[[#This Row],[PCUSTID]],廠商[],2,FALSE),"")</f>
        <v/>
      </c>
      <c r="S1309" t="str">
        <f>VLOOKUP(record[[#This Row],[employeeID]],員工[],2,FALSE)</f>
        <v>蔣梅</v>
      </c>
    </row>
    <row r="1310" spans="6:19" hidden="1" x14ac:dyDescent="0.25">
      <c r="F1310" t="s">
        <v>1840</v>
      </c>
      <c r="G1310" t="s">
        <v>359</v>
      </c>
      <c r="H1310" t="str">
        <f>VLOOKUP(record[[#This Row],[ProcessSN]],表格2_7[],2,FALSE)</f>
        <v>30-4118-018-450</v>
      </c>
      <c r="I1310" t="str">
        <f>VLOOKUP(record[[#This Row],[ProcessSN]],表格2_7[],3,FALSE)</f>
        <v>#100</v>
      </c>
      <c r="J1310" t="s">
        <v>598</v>
      </c>
      <c r="K1310" s="195">
        <v>46135.489930555559</v>
      </c>
      <c r="L1310">
        <v>242</v>
      </c>
      <c r="M1310">
        <v>0</v>
      </c>
      <c r="N1310" s="98" t="str">
        <f>IF(record[[#This Row],[Memo]]="Browser:chrome os:android","平板報工",IF(record[[#This Row],[Memo]]=0,"委外",record[[#This Row],[Memo]]))</f>
        <v/>
      </c>
      <c r="O1310" t="s">
        <v>58</v>
      </c>
      <c r="P1310" t="s">
        <v>141</v>
      </c>
      <c r="Q1310" t="s">
        <v>58</v>
      </c>
      <c r="R1310" t="str">
        <f>IFERROR(VLOOKUP(record[[#This Row],[PCUSTID]],廠商[],2,FALSE),"")</f>
        <v/>
      </c>
      <c r="S1310" t="str">
        <f>VLOOKUP(record[[#This Row],[employeeID]],員工[],2,FALSE)</f>
        <v>蔣梅</v>
      </c>
    </row>
    <row r="1311" spans="6:19" hidden="1" x14ac:dyDescent="0.25">
      <c r="F1311" t="s">
        <v>1862</v>
      </c>
      <c r="G1311" t="s">
        <v>411</v>
      </c>
      <c r="H1311" t="str">
        <f>VLOOKUP(record[[#This Row],[ProcessSN]],表格2_7[],2,FALSE)</f>
        <v>30-4118-018-570</v>
      </c>
      <c r="I1311" t="str">
        <f>VLOOKUP(record[[#This Row],[ProcessSN]],表格2_7[],3,FALSE)</f>
        <v>#100SHIP</v>
      </c>
      <c r="J1311" t="s">
        <v>600</v>
      </c>
      <c r="K1311" s="195">
        <v>46135.446921296294</v>
      </c>
      <c r="L1311">
        <v>150</v>
      </c>
      <c r="M1311">
        <v>0</v>
      </c>
      <c r="N1311" s="98" t="str">
        <f>IF(record[[#This Row],[Memo]]="Browser:chrome os:android","平板報工",IF(record[[#This Row],[Memo]]=0,"委外",record[[#This Row],[Memo]]))</f>
        <v>補4/22出貨</v>
      </c>
      <c r="O1311" t="s">
        <v>1879</v>
      </c>
      <c r="P1311" t="s">
        <v>886</v>
      </c>
      <c r="Q1311" t="s">
        <v>58</v>
      </c>
      <c r="R1311" t="str">
        <f>IFERROR(VLOOKUP(record[[#This Row],[PCUSTID]],廠商[],2,FALSE),"")</f>
        <v/>
      </c>
      <c r="S1311" t="str">
        <f>VLOOKUP(record[[#This Row],[employeeID]],員工[],2,FALSE)</f>
        <v>謝蓁薰</v>
      </c>
    </row>
    <row r="1312" spans="6:19" hidden="1" x14ac:dyDescent="0.25">
      <c r="F1312" t="s">
        <v>1862</v>
      </c>
      <c r="G1312" t="s">
        <v>410</v>
      </c>
      <c r="H1312" t="str">
        <f>VLOOKUP(record[[#This Row],[ProcessSN]],表格2_7[],2,FALSE)</f>
        <v>30-4118-018-570</v>
      </c>
      <c r="I1312" t="str">
        <f>VLOOKUP(record[[#This Row],[ProcessSN]],表格2_7[],3,FALSE)</f>
        <v>#100STOCK</v>
      </c>
      <c r="J1312" t="s">
        <v>592</v>
      </c>
      <c r="K1312" s="195">
        <v>46135.446805555555</v>
      </c>
      <c r="L1312">
        <v>150</v>
      </c>
      <c r="M1312">
        <v>0</v>
      </c>
      <c r="N1312" s="98" t="str">
        <f>IF(record[[#This Row],[Memo]]="Browser:chrome os:android","平板報工",IF(record[[#This Row],[Memo]]=0,"委外",record[[#This Row],[Memo]]))</f>
        <v/>
      </c>
      <c r="O1312" t="s">
        <v>58</v>
      </c>
      <c r="P1312" t="s">
        <v>886</v>
      </c>
      <c r="Q1312" t="s">
        <v>58</v>
      </c>
      <c r="R1312" t="str">
        <f>IFERROR(VLOOKUP(record[[#This Row],[PCUSTID]],廠商[],2,FALSE),"")</f>
        <v/>
      </c>
      <c r="S1312" t="str">
        <f>VLOOKUP(record[[#This Row],[employeeID]],員工[],2,FALSE)</f>
        <v>謝蓁薰</v>
      </c>
    </row>
    <row r="1313" spans="6:19" hidden="1" x14ac:dyDescent="0.25">
      <c r="F1313" t="s">
        <v>1865</v>
      </c>
      <c r="G1313" t="s">
        <v>387</v>
      </c>
      <c r="H1313" t="str">
        <f>VLOOKUP(record[[#This Row],[ProcessSN]],表格2_7[],2,FALSE)</f>
        <v>30-4118-018-500</v>
      </c>
      <c r="I1313" t="str">
        <f>VLOOKUP(record[[#This Row],[ProcessSN]],表格2_7[],3,FALSE)</f>
        <v>#100SHIP</v>
      </c>
      <c r="J1313" t="s">
        <v>600</v>
      </c>
      <c r="K1313" s="195">
        <v>46135.446608796294</v>
      </c>
      <c r="L1313">
        <v>423</v>
      </c>
      <c r="M1313">
        <v>0</v>
      </c>
      <c r="N1313" s="98" t="str">
        <f>IF(record[[#This Row],[Memo]]="Browser:chrome os:android","平板報工",IF(record[[#This Row],[Memo]]=0,"委外",record[[#This Row],[Memo]]))</f>
        <v>補4/22出貨</v>
      </c>
      <c r="O1313" t="s">
        <v>1879</v>
      </c>
      <c r="P1313" t="s">
        <v>886</v>
      </c>
      <c r="Q1313" t="s">
        <v>58</v>
      </c>
      <c r="R1313" t="str">
        <f>IFERROR(VLOOKUP(record[[#This Row],[PCUSTID]],廠商[],2,FALSE),"")</f>
        <v/>
      </c>
      <c r="S1313" t="str">
        <f>VLOOKUP(record[[#This Row],[employeeID]],員工[],2,FALSE)</f>
        <v>謝蓁薰</v>
      </c>
    </row>
    <row r="1314" spans="6:19" hidden="1" x14ac:dyDescent="0.25">
      <c r="F1314" t="s">
        <v>1865</v>
      </c>
      <c r="G1314" t="s">
        <v>386</v>
      </c>
      <c r="H1314" t="str">
        <f>VLOOKUP(record[[#This Row],[ProcessSN]],表格2_7[],2,FALSE)</f>
        <v>30-4118-018-500</v>
      </c>
      <c r="I1314" t="str">
        <f>VLOOKUP(record[[#This Row],[ProcessSN]],表格2_7[],3,FALSE)</f>
        <v>#100STOCK</v>
      </c>
      <c r="J1314" t="s">
        <v>592</v>
      </c>
      <c r="K1314" s="195">
        <v>46135.446388888886</v>
      </c>
      <c r="L1314">
        <v>423</v>
      </c>
      <c r="M1314">
        <v>0</v>
      </c>
      <c r="N1314" s="98" t="str">
        <f>IF(record[[#This Row],[Memo]]="Browser:chrome os:android","平板報工",IF(record[[#This Row],[Memo]]=0,"委外",record[[#This Row],[Memo]]))</f>
        <v/>
      </c>
      <c r="O1314" t="s">
        <v>58</v>
      </c>
      <c r="P1314" t="s">
        <v>886</v>
      </c>
      <c r="Q1314" t="s">
        <v>58</v>
      </c>
      <c r="R1314" t="str">
        <f>IFERROR(VLOOKUP(record[[#This Row],[PCUSTID]],廠商[],2,FALSE),"")</f>
        <v/>
      </c>
      <c r="S1314" t="str">
        <f>VLOOKUP(record[[#This Row],[employeeID]],員工[],2,FALSE)</f>
        <v>謝蓁薰</v>
      </c>
    </row>
    <row r="1315" spans="6:19" hidden="1" x14ac:dyDescent="0.25">
      <c r="F1315" t="s">
        <v>1862</v>
      </c>
      <c r="G1315" t="s">
        <v>409</v>
      </c>
      <c r="H1315" t="str">
        <f>VLOOKUP(record[[#This Row],[ProcessSN]],表格2_7[],2,FALSE)</f>
        <v>30-4118-018-570</v>
      </c>
      <c r="I1315" t="str">
        <f>VLOOKUP(record[[#This Row],[ProcessSN]],表格2_7[],3,FALSE)</f>
        <v>#10OQC</v>
      </c>
      <c r="J1315" t="s">
        <v>599</v>
      </c>
      <c r="K1315" s="195">
        <v>46135.429409722223</v>
      </c>
      <c r="L1315">
        <v>175</v>
      </c>
      <c r="M1315">
        <v>0</v>
      </c>
      <c r="N1315" s="98" t="str">
        <f>IF(record[[#This Row],[Memo]]="Browser:chrome os:android","平板報工",IF(record[[#This Row],[Memo]]=0,"委外",record[[#This Row],[Memo]]))</f>
        <v/>
      </c>
      <c r="O1315" t="s">
        <v>58</v>
      </c>
      <c r="P1315" t="s">
        <v>121</v>
      </c>
      <c r="Q1315" t="s">
        <v>58</v>
      </c>
      <c r="R1315" t="str">
        <f>IFERROR(VLOOKUP(record[[#This Row],[PCUSTID]],廠商[],2,FALSE),"")</f>
        <v/>
      </c>
      <c r="S1315" t="str">
        <f>VLOOKUP(record[[#This Row],[employeeID]],員工[],2,FALSE)</f>
        <v>謝素卿</v>
      </c>
    </row>
    <row r="1316" spans="6:19" hidden="1" x14ac:dyDescent="0.25">
      <c r="F1316" t="s">
        <v>1865</v>
      </c>
      <c r="G1316" t="s">
        <v>385</v>
      </c>
      <c r="H1316" t="str">
        <f>VLOOKUP(record[[#This Row],[ProcessSN]],表格2_7[],2,FALSE)</f>
        <v>30-4118-018-500</v>
      </c>
      <c r="I1316" t="str">
        <f>VLOOKUP(record[[#This Row],[ProcessSN]],表格2_7[],3,FALSE)</f>
        <v>#100OQC</v>
      </c>
      <c r="J1316" t="s">
        <v>599</v>
      </c>
      <c r="K1316" s="195">
        <v>46135.427743055552</v>
      </c>
      <c r="L1316">
        <v>428</v>
      </c>
      <c r="M1316">
        <v>0</v>
      </c>
      <c r="N1316" s="98" t="str">
        <f>IF(record[[#This Row],[Memo]]="Browser:chrome os:android","平板報工",IF(record[[#This Row],[Memo]]=0,"委外",record[[#This Row],[Memo]]))</f>
        <v/>
      </c>
      <c r="O1316" t="s">
        <v>58</v>
      </c>
      <c r="P1316" t="s">
        <v>121</v>
      </c>
      <c r="Q1316" t="s">
        <v>58</v>
      </c>
      <c r="R1316" t="str">
        <f>IFERROR(VLOOKUP(record[[#This Row],[PCUSTID]],廠商[],2,FALSE),"")</f>
        <v/>
      </c>
      <c r="S1316" t="str">
        <f>VLOOKUP(record[[#This Row],[employeeID]],員工[],2,FALSE)</f>
        <v>謝素卿</v>
      </c>
    </row>
    <row r="1317" spans="6:19" hidden="1" x14ac:dyDescent="0.25">
      <c r="F1317" t="s">
        <v>1815</v>
      </c>
      <c r="G1317" t="s">
        <v>452</v>
      </c>
      <c r="H1317" t="str">
        <f>VLOOKUP(record[[#This Row],[ProcessSN]],表格2_7[],2,FALSE)</f>
        <v>30-4118-018-6XX</v>
      </c>
      <c r="I1317" t="str">
        <f>VLOOKUP(record[[#This Row],[ProcessSN]],表格2_7[],3,FALSE)</f>
        <v>#07QC</v>
      </c>
      <c r="J1317" t="s">
        <v>589</v>
      </c>
      <c r="K1317" s="195">
        <v>46135.424525462964</v>
      </c>
      <c r="L1317">
        <v>0</v>
      </c>
      <c r="M1317">
        <v>2</v>
      </c>
      <c r="N1317" s="98" t="str">
        <f>IF(record[[#This Row],[Memo]]="Browser:chrome os:android","平板報工",IF(record[[#This Row],[Memo]]=0,"委外",record[[#This Row],[Memo]]))</f>
        <v/>
      </c>
      <c r="O1317" t="s">
        <v>58</v>
      </c>
      <c r="P1317" t="s">
        <v>141</v>
      </c>
      <c r="Q1317" t="s">
        <v>58</v>
      </c>
      <c r="R1317" t="str">
        <f>IFERROR(VLOOKUP(record[[#This Row],[PCUSTID]],廠商[],2,FALSE),"")</f>
        <v/>
      </c>
      <c r="S1317" t="str">
        <f>VLOOKUP(record[[#This Row],[employeeID]],員工[],2,FALSE)</f>
        <v>蔣梅</v>
      </c>
    </row>
    <row r="1318" spans="6:19" hidden="1" x14ac:dyDescent="0.25">
      <c r="F1318" t="s">
        <v>1652</v>
      </c>
      <c r="G1318" t="s">
        <v>452</v>
      </c>
      <c r="H1318" t="str">
        <f>VLOOKUP(record[[#This Row],[ProcessSN]],表格2_7[],2,FALSE)</f>
        <v>30-4118-018-6XX</v>
      </c>
      <c r="I1318" t="str">
        <f>VLOOKUP(record[[#This Row],[ProcessSN]],表格2_7[],3,FALSE)</f>
        <v>#07QC</v>
      </c>
      <c r="J1318" t="s">
        <v>589</v>
      </c>
      <c r="K1318" s="195">
        <v>46135.424375000002</v>
      </c>
      <c r="L1318">
        <v>0</v>
      </c>
      <c r="M1318">
        <v>5</v>
      </c>
      <c r="N1318" s="98" t="str">
        <f>IF(record[[#This Row],[Memo]]="Browser:chrome os:android","平板報工",IF(record[[#This Row],[Memo]]=0,"委外",record[[#This Row],[Memo]]))</f>
        <v/>
      </c>
      <c r="O1318" t="s">
        <v>58</v>
      </c>
      <c r="P1318" t="s">
        <v>141</v>
      </c>
      <c r="Q1318" t="s">
        <v>58</v>
      </c>
      <c r="R1318" t="str">
        <f>IFERROR(VLOOKUP(record[[#This Row],[PCUSTID]],廠商[],2,FALSE),"")</f>
        <v/>
      </c>
      <c r="S1318" t="str">
        <f>VLOOKUP(record[[#This Row],[employeeID]],員工[],2,FALSE)</f>
        <v>蔣梅</v>
      </c>
    </row>
    <row r="1319" spans="6:19" hidden="1" x14ac:dyDescent="0.25">
      <c r="F1319" t="s">
        <v>1790</v>
      </c>
      <c r="G1319" t="s">
        <v>378</v>
      </c>
      <c r="H1319" t="str">
        <f>VLOOKUP(record[[#This Row],[ProcessSN]],表格2_7[],2,FALSE)</f>
        <v>30-4118-018-4XX</v>
      </c>
      <c r="I1319" t="str">
        <f>VLOOKUP(record[[#This Row],[ProcessSN]],表格2_7[],3,FALSE)</f>
        <v>#07QC</v>
      </c>
      <c r="J1319" t="s">
        <v>589</v>
      </c>
      <c r="K1319" s="195">
        <v>46135.410914351851</v>
      </c>
      <c r="L1319">
        <v>0</v>
      </c>
      <c r="M1319">
        <v>16</v>
      </c>
      <c r="N1319" s="98" t="str">
        <f>IF(record[[#This Row],[Memo]]="Browser:chrome os:android","平板報工",IF(record[[#This Row],[Memo]]=0,"委外",record[[#This Row],[Memo]]))</f>
        <v/>
      </c>
      <c r="O1319" t="s">
        <v>58</v>
      </c>
      <c r="P1319" t="s">
        <v>99</v>
      </c>
      <c r="Q1319" t="s">
        <v>58</v>
      </c>
      <c r="R1319" t="str">
        <f>IFERROR(VLOOKUP(record[[#This Row],[PCUSTID]],廠商[],2,FALSE),"")</f>
        <v/>
      </c>
      <c r="S1319" t="str">
        <f>VLOOKUP(record[[#This Row],[employeeID]],員工[],2,FALSE)</f>
        <v>阮氏河</v>
      </c>
    </row>
    <row r="1320" spans="6:19" hidden="1" x14ac:dyDescent="0.25">
      <c r="F1320" t="s">
        <v>1790</v>
      </c>
      <c r="G1320" t="s">
        <v>378</v>
      </c>
      <c r="H1320" t="str">
        <f>VLOOKUP(record[[#This Row],[ProcessSN]],表格2_7[],2,FALSE)</f>
        <v>30-4118-018-4XX</v>
      </c>
      <c r="I1320" t="str">
        <f>VLOOKUP(record[[#This Row],[ProcessSN]],表格2_7[],3,FALSE)</f>
        <v>#07QC</v>
      </c>
      <c r="J1320" t="s">
        <v>589</v>
      </c>
      <c r="K1320" s="195">
        <v>46135.410763888889</v>
      </c>
      <c r="L1320">
        <v>6</v>
      </c>
      <c r="M1320">
        <v>0</v>
      </c>
      <c r="N1320" s="98" t="str">
        <f>IF(record[[#This Row],[Memo]]="Browser:chrome os:android","平板報工",IF(record[[#This Row],[Memo]]=0,"委外",record[[#This Row],[Memo]]))</f>
        <v/>
      </c>
      <c r="O1320" t="s">
        <v>58</v>
      </c>
      <c r="P1320" t="s">
        <v>99</v>
      </c>
      <c r="Q1320" t="s">
        <v>58</v>
      </c>
      <c r="R1320" t="str">
        <f>IFERROR(VLOOKUP(record[[#This Row],[PCUSTID]],廠商[],2,FALSE),"")</f>
        <v/>
      </c>
      <c r="S1320" t="str">
        <f>VLOOKUP(record[[#This Row],[employeeID]],員工[],2,FALSE)</f>
        <v>阮氏河</v>
      </c>
    </row>
    <row r="1321" spans="6:19" hidden="1" x14ac:dyDescent="0.25">
      <c r="F1321" t="s">
        <v>1865</v>
      </c>
      <c r="G1321" t="s">
        <v>384</v>
      </c>
      <c r="H1321" t="str">
        <f>VLOOKUP(record[[#This Row],[ProcessSN]],表格2_7[],2,FALSE)</f>
        <v>30-4118-018-500</v>
      </c>
      <c r="I1321" t="str">
        <f>VLOOKUP(record[[#This Row],[ProcessSN]],表格2_7[],3,FALSE)</f>
        <v>#100</v>
      </c>
      <c r="J1321" t="s">
        <v>598</v>
      </c>
      <c r="K1321" s="195">
        <v>46135.410578703704</v>
      </c>
      <c r="L1321">
        <v>428</v>
      </c>
      <c r="M1321">
        <v>0</v>
      </c>
      <c r="N1321" s="98" t="str">
        <f>IF(record[[#This Row],[Memo]]="Browser:chrome os:android","平板報工",IF(record[[#This Row],[Memo]]=0,"委外",record[[#This Row],[Memo]]))</f>
        <v/>
      </c>
      <c r="O1321" t="s">
        <v>58</v>
      </c>
      <c r="P1321" t="s">
        <v>99</v>
      </c>
      <c r="Q1321" t="s">
        <v>58</v>
      </c>
      <c r="R1321" t="str">
        <f>IFERROR(VLOOKUP(record[[#This Row],[PCUSTID]],廠商[],2,FALSE),"")</f>
        <v/>
      </c>
      <c r="S1321" t="str">
        <f>VLOOKUP(record[[#This Row],[employeeID]],員工[],2,FALSE)</f>
        <v>阮氏河</v>
      </c>
    </row>
    <row r="1322" spans="6:19" hidden="1" x14ac:dyDescent="0.25">
      <c r="F1322" t="s">
        <v>1865</v>
      </c>
      <c r="G1322" t="s">
        <v>384</v>
      </c>
      <c r="H1322" t="str">
        <f>VLOOKUP(record[[#This Row],[ProcessSN]],表格2_7[],2,FALSE)</f>
        <v>30-4118-018-500</v>
      </c>
      <c r="I1322" t="str">
        <f>VLOOKUP(record[[#This Row],[ProcessSN]],表格2_7[],3,FALSE)</f>
        <v>#100</v>
      </c>
      <c r="J1322" t="s">
        <v>598</v>
      </c>
      <c r="K1322" s="195">
        <v>46135.410439814812</v>
      </c>
      <c r="L1322">
        <v>0</v>
      </c>
      <c r="M1322">
        <v>22</v>
      </c>
      <c r="N1322" s="98" t="str">
        <f>IF(record[[#This Row],[Memo]]="Browser:chrome os:android","平板報工",IF(record[[#This Row],[Memo]]=0,"委外",record[[#This Row],[Memo]]))</f>
        <v/>
      </c>
      <c r="O1322" t="s">
        <v>58</v>
      </c>
      <c r="P1322" t="s">
        <v>99</v>
      </c>
      <c r="Q1322" t="s">
        <v>58</v>
      </c>
      <c r="R1322" t="str">
        <f>IFERROR(VLOOKUP(record[[#This Row],[PCUSTID]],廠商[],2,FALSE),"")</f>
        <v/>
      </c>
      <c r="S1322" t="str">
        <f>VLOOKUP(record[[#This Row],[employeeID]],員工[],2,FALSE)</f>
        <v>阮氏河</v>
      </c>
    </row>
    <row r="1323" spans="6:19" hidden="1" x14ac:dyDescent="0.25">
      <c r="F1323" t="s">
        <v>1790</v>
      </c>
      <c r="G1323" t="s">
        <v>378</v>
      </c>
      <c r="H1323" t="str">
        <f>VLOOKUP(record[[#This Row],[ProcessSN]],表格2_7[],2,FALSE)</f>
        <v>30-4118-018-4XX</v>
      </c>
      <c r="I1323" t="str">
        <f>VLOOKUP(record[[#This Row],[ProcessSN]],表格2_7[],3,FALSE)</f>
        <v>#07QC</v>
      </c>
      <c r="J1323" t="s">
        <v>589</v>
      </c>
      <c r="K1323" s="195">
        <v>46135.408032407409</v>
      </c>
      <c r="L1323">
        <v>89</v>
      </c>
      <c r="M1323">
        <v>0</v>
      </c>
      <c r="N1323" s="98" t="str">
        <f>IF(record[[#This Row],[Memo]]="Browser:chrome os:android","平板報工",IF(record[[#This Row],[Memo]]=0,"委外",record[[#This Row],[Memo]]))</f>
        <v/>
      </c>
      <c r="O1323" t="s">
        <v>58</v>
      </c>
      <c r="P1323" t="s">
        <v>99</v>
      </c>
      <c r="Q1323" t="s">
        <v>58</v>
      </c>
      <c r="R1323" t="str">
        <f>IFERROR(VLOOKUP(record[[#This Row],[PCUSTID]],廠商[],2,FALSE),"")</f>
        <v/>
      </c>
      <c r="S1323" t="str">
        <f>VLOOKUP(record[[#This Row],[employeeID]],員工[],2,FALSE)</f>
        <v>阮氏河</v>
      </c>
    </row>
    <row r="1324" spans="6:19" hidden="1" x14ac:dyDescent="0.25">
      <c r="F1324" t="s">
        <v>1790</v>
      </c>
      <c r="G1324" t="s">
        <v>378</v>
      </c>
      <c r="H1324" t="str">
        <f>VLOOKUP(record[[#This Row],[ProcessSN]],表格2_7[],2,FALSE)</f>
        <v>30-4118-018-4XX</v>
      </c>
      <c r="I1324" t="str">
        <f>VLOOKUP(record[[#This Row],[ProcessSN]],表格2_7[],3,FALSE)</f>
        <v>#07QC</v>
      </c>
      <c r="J1324" t="s">
        <v>589</v>
      </c>
      <c r="K1324" s="195">
        <v>46135.407824074071</v>
      </c>
      <c r="L1324">
        <v>0</v>
      </c>
      <c r="M1324">
        <v>3</v>
      </c>
      <c r="N1324" s="98" t="str">
        <f>IF(record[[#This Row],[Memo]]="Browser:chrome os:android","平板報工",IF(record[[#This Row],[Memo]]=0,"委外",record[[#This Row],[Memo]]))</f>
        <v/>
      </c>
      <c r="O1324" t="s">
        <v>58</v>
      </c>
      <c r="P1324" t="s">
        <v>99</v>
      </c>
      <c r="Q1324" t="s">
        <v>58</v>
      </c>
      <c r="R1324" t="str">
        <f>IFERROR(VLOOKUP(record[[#This Row],[PCUSTID]],廠商[],2,FALSE),"")</f>
        <v/>
      </c>
      <c r="S1324" t="str">
        <f>VLOOKUP(record[[#This Row],[employeeID]],員工[],2,FALSE)</f>
        <v>阮氏河</v>
      </c>
    </row>
    <row r="1325" spans="6:19" hidden="1" x14ac:dyDescent="0.25">
      <c r="F1325" t="s">
        <v>1878</v>
      </c>
      <c r="G1325" t="s">
        <v>433</v>
      </c>
      <c r="H1325" t="str">
        <f>VLOOKUP(record[[#This Row],[ProcessSN]],表格2_7[],2,FALSE)</f>
        <v>30-4118-018-620</v>
      </c>
      <c r="I1325" t="str">
        <f>VLOOKUP(record[[#This Row],[ProcessSN]],表格2_7[],3,FALSE)</f>
        <v>#100</v>
      </c>
      <c r="J1325" t="s">
        <v>598</v>
      </c>
      <c r="K1325" s="195">
        <v>46135.403229166666</v>
      </c>
      <c r="L1325">
        <v>0</v>
      </c>
      <c r="M1325">
        <v>6</v>
      </c>
      <c r="N1325" s="98" t="str">
        <f>IF(record[[#This Row],[Memo]]="Browser:chrome os:android","平板報工",IF(record[[#This Row],[Memo]]=0,"委外",record[[#This Row],[Memo]]))</f>
        <v/>
      </c>
      <c r="O1325" t="s">
        <v>58</v>
      </c>
      <c r="P1325" t="s">
        <v>103</v>
      </c>
      <c r="Q1325" t="s">
        <v>58</v>
      </c>
      <c r="R1325" t="str">
        <f>IFERROR(VLOOKUP(record[[#This Row],[PCUSTID]],廠商[],2,FALSE),"")</f>
        <v/>
      </c>
      <c r="S1325" t="str">
        <f>VLOOKUP(record[[#This Row],[employeeID]],員工[],2,FALSE)</f>
        <v>黎秋水</v>
      </c>
    </row>
    <row r="1326" spans="6:19" hidden="1" x14ac:dyDescent="0.25">
      <c r="F1326" t="s">
        <v>1878</v>
      </c>
      <c r="G1326" t="s">
        <v>433</v>
      </c>
      <c r="H1326" t="str">
        <f>VLOOKUP(record[[#This Row],[ProcessSN]],表格2_7[],2,FALSE)</f>
        <v>30-4118-018-620</v>
      </c>
      <c r="I1326" t="str">
        <f>VLOOKUP(record[[#This Row],[ProcessSN]],表格2_7[],3,FALSE)</f>
        <v>#100</v>
      </c>
      <c r="J1326" t="s">
        <v>598</v>
      </c>
      <c r="K1326" s="195">
        <v>46135.402939814812</v>
      </c>
      <c r="L1326">
        <v>244</v>
      </c>
      <c r="M1326">
        <v>0</v>
      </c>
      <c r="N1326" s="98" t="str">
        <f>IF(record[[#This Row],[Memo]]="Browser:chrome os:android","平板報工",IF(record[[#This Row],[Memo]]=0,"委外",record[[#This Row],[Memo]]))</f>
        <v/>
      </c>
      <c r="O1326" t="s">
        <v>58</v>
      </c>
      <c r="P1326" t="s">
        <v>103</v>
      </c>
      <c r="Q1326" t="s">
        <v>58</v>
      </c>
      <c r="R1326" t="str">
        <f>IFERROR(VLOOKUP(record[[#This Row],[PCUSTID]],廠商[],2,FALSE),"")</f>
        <v/>
      </c>
      <c r="S1326" t="str">
        <f>VLOOKUP(record[[#This Row],[employeeID]],員工[],2,FALSE)</f>
        <v>黎秋水</v>
      </c>
    </row>
    <row r="1327" spans="6:19" hidden="1" x14ac:dyDescent="0.25">
      <c r="F1327" t="s">
        <v>1652</v>
      </c>
      <c r="G1327" t="s">
        <v>451</v>
      </c>
      <c r="H1327" t="str">
        <f>VLOOKUP(record[[#This Row],[ProcessSN]],表格2_7[],2,FALSE)</f>
        <v>30-4118-018-6XX</v>
      </c>
      <c r="I1327" t="str">
        <f>VLOOKUP(record[[#This Row],[ProcessSN]],表格2_7[],3,FALSE)</f>
        <v>#07</v>
      </c>
      <c r="J1327" t="s">
        <v>588</v>
      </c>
      <c r="K1327" s="195">
        <v>46135.398912037039</v>
      </c>
      <c r="L1327">
        <v>5</v>
      </c>
      <c r="M1327">
        <v>0</v>
      </c>
      <c r="N1327" s="98" t="str">
        <f>IF(record[[#This Row],[Memo]]="Browser:chrome os:android","平板報工",IF(record[[#This Row],[Memo]]=0,"委外",record[[#This Row],[Memo]]))</f>
        <v/>
      </c>
      <c r="O1327" t="s">
        <v>58</v>
      </c>
      <c r="P1327" t="s">
        <v>101</v>
      </c>
      <c r="Q1327" t="s">
        <v>58</v>
      </c>
      <c r="R1327" t="str">
        <f>IFERROR(VLOOKUP(record[[#This Row],[PCUSTID]],廠商[],2,FALSE),"")</f>
        <v/>
      </c>
      <c r="S1327" t="str">
        <f>VLOOKUP(record[[#This Row],[employeeID]],員工[],2,FALSE)</f>
        <v>陳氏絨</v>
      </c>
    </row>
    <row r="1328" spans="6:19" hidden="1" x14ac:dyDescent="0.25">
      <c r="F1328" t="s">
        <v>1772</v>
      </c>
      <c r="G1328" t="s">
        <v>469</v>
      </c>
      <c r="H1328" t="str">
        <f>VLOOKUP(record[[#This Row],[ProcessSN]],表格2_7[],2,FALSE)</f>
        <v>30-4118-018-XXX</v>
      </c>
      <c r="I1328" t="str">
        <f>VLOOKUP(record[[#This Row],[ProcessSN]],表格2_7[],3,FALSE)</f>
        <v>#02RCV</v>
      </c>
      <c r="J1328" t="s">
        <v>591</v>
      </c>
      <c r="K1328" s="195">
        <v>46135.394687499997</v>
      </c>
      <c r="L1328">
        <v>1343</v>
      </c>
      <c r="M1328">
        <v>0</v>
      </c>
      <c r="N1328" s="98" t="str">
        <f>IF(record[[#This Row],[Memo]]="Browser:chrome os:android","平板報工",IF(record[[#This Row],[Memo]]=0,"委外",record[[#This Row],[Memo]]))</f>
        <v/>
      </c>
      <c r="O1328" t="s">
        <v>58</v>
      </c>
      <c r="P1328" t="s">
        <v>186</v>
      </c>
      <c r="Q1328" t="s">
        <v>58</v>
      </c>
      <c r="R1328" t="str">
        <f>IFERROR(VLOOKUP(record[[#This Row],[PCUSTID]],廠商[],2,FALSE),"")</f>
        <v/>
      </c>
      <c r="S1328" t="str">
        <f>VLOOKUP(record[[#This Row],[employeeID]],員工[],2,FALSE)</f>
        <v>許文姍</v>
      </c>
    </row>
    <row r="1329" spans="6:19" hidden="1" x14ac:dyDescent="0.25">
      <c r="F1329" t="s">
        <v>1815</v>
      </c>
      <c r="G1329" t="s">
        <v>452</v>
      </c>
      <c r="H1329" t="str">
        <f>VLOOKUP(record[[#This Row],[ProcessSN]],表格2_7[],2,FALSE)</f>
        <v>30-4118-018-6XX</v>
      </c>
      <c r="I1329" t="str">
        <f>VLOOKUP(record[[#This Row],[ProcessSN]],表格2_7[],3,FALSE)</f>
        <v>#07QC</v>
      </c>
      <c r="J1329" t="s">
        <v>589</v>
      </c>
      <c r="K1329" s="195">
        <v>46135.393993055557</v>
      </c>
      <c r="L1329">
        <v>116</v>
      </c>
      <c r="M1329">
        <v>0</v>
      </c>
      <c r="N1329" s="98" t="str">
        <f>IF(record[[#This Row],[Memo]]="Browser:chrome os:android","平板報工",IF(record[[#This Row],[Memo]]=0,"委外",record[[#This Row],[Memo]]))</f>
        <v/>
      </c>
      <c r="O1329" t="s">
        <v>58</v>
      </c>
      <c r="P1329" t="s">
        <v>141</v>
      </c>
      <c r="Q1329" t="s">
        <v>58</v>
      </c>
      <c r="R1329" t="str">
        <f>IFERROR(VLOOKUP(record[[#This Row],[PCUSTID]],廠商[],2,FALSE),"")</f>
        <v/>
      </c>
      <c r="S1329" t="str">
        <f>VLOOKUP(record[[#This Row],[employeeID]],員工[],2,FALSE)</f>
        <v>蔣梅</v>
      </c>
    </row>
    <row r="1330" spans="6:19" hidden="1" x14ac:dyDescent="0.25">
      <c r="F1330" t="s">
        <v>1818</v>
      </c>
      <c r="G1330" t="s">
        <v>468</v>
      </c>
      <c r="H1330" t="str">
        <f>VLOOKUP(record[[#This Row],[ProcessSN]],表格2_7[],2,FALSE)</f>
        <v>30-4118-018-XXX</v>
      </c>
      <c r="I1330" t="str">
        <f>VLOOKUP(record[[#This Row],[ProcessSN]],表格2_7[],3,FALSE)</f>
        <v>#02</v>
      </c>
      <c r="J1330" t="s">
        <v>590</v>
      </c>
      <c r="K1330" s="195">
        <v>46135.376620370371</v>
      </c>
      <c r="L1330">
        <v>3961</v>
      </c>
      <c r="M1330">
        <v>0</v>
      </c>
      <c r="N1330" s="98" t="str">
        <f>IF(record[[#This Row],[Memo]]="Browser:chrome os:android","平板報工",IF(record[[#This Row],[Memo]]=0,"委外",record[[#This Row],[Memo]]))</f>
        <v>委外</v>
      </c>
      <c r="P1330" t="s">
        <v>186</v>
      </c>
      <c r="Q1330" t="s">
        <v>216</v>
      </c>
      <c r="R1330" t="str">
        <f>IFERROR(VLOOKUP(record[[#This Row],[PCUSTID]],廠商[],2,FALSE),"")</f>
        <v>俊杰</v>
      </c>
      <c r="S1330" t="str">
        <f>VLOOKUP(record[[#This Row],[employeeID]],員工[],2,FALSE)</f>
        <v>許文姍</v>
      </c>
    </row>
    <row r="1331" spans="6:19" hidden="1" x14ac:dyDescent="0.25">
      <c r="F1331" t="s">
        <v>1818</v>
      </c>
      <c r="G1331" t="s">
        <v>467</v>
      </c>
      <c r="H1331" t="str">
        <f>VLOOKUP(record[[#This Row],[ProcessSN]],表格2_7[],2,FALSE)</f>
        <v>30-4118-018-XXX</v>
      </c>
      <c r="I1331" t="str">
        <f>VLOOKUP(record[[#This Row],[ProcessSN]],表格2_7[],3,FALSE)</f>
        <v>#01QC</v>
      </c>
      <c r="J1331" t="s">
        <v>589</v>
      </c>
      <c r="K1331" s="195">
        <v>46135.376504629632</v>
      </c>
      <c r="L1331">
        <v>2520</v>
      </c>
      <c r="M1331">
        <v>0</v>
      </c>
      <c r="N1331" s="98" t="str">
        <f>IF(record[[#This Row],[Memo]]="Browser:chrome os:android","平板報工",IF(record[[#This Row],[Memo]]=0,"委外",record[[#This Row],[Memo]]))</f>
        <v/>
      </c>
      <c r="O1331" t="s">
        <v>58</v>
      </c>
      <c r="P1331" t="s">
        <v>182</v>
      </c>
      <c r="Q1331" t="s">
        <v>58</v>
      </c>
      <c r="R1331" t="str">
        <f>IFERROR(VLOOKUP(record[[#This Row],[PCUSTID]],廠商[],2,FALSE),"")</f>
        <v/>
      </c>
      <c r="S1331" t="str">
        <f>VLOOKUP(record[[#This Row],[employeeID]],員工[],2,FALSE)</f>
        <v>梅氏和</v>
      </c>
    </row>
    <row r="1332" spans="6:19" hidden="1" x14ac:dyDescent="0.25">
      <c r="F1332" t="s">
        <v>1787</v>
      </c>
      <c r="G1332" t="s">
        <v>468</v>
      </c>
      <c r="H1332" t="str">
        <f>VLOOKUP(record[[#This Row],[ProcessSN]],表格2_7[],2,FALSE)</f>
        <v>30-4118-018-XXX</v>
      </c>
      <c r="I1332" t="str">
        <f>VLOOKUP(record[[#This Row],[ProcessSN]],表格2_7[],3,FALSE)</f>
        <v>#02</v>
      </c>
      <c r="J1332" t="s">
        <v>590</v>
      </c>
      <c r="K1332" s="195">
        <v>46135.374583333331</v>
      </c>
      <c r="L1332">
        <v>66</v>
      </c>
      <c r="M1332">
        <v>0</v>
      </c>
      <c r="N1332" s="98" t="str">
        <f>IF(record[[#This Row],[Memo]]="Browser:chrome os:android","平板報工",IF(record[[#This Row],[Memo]]=0,"委外",record[[#This Row],[Memo]]))</f>
        <v>委外</v>
      </c>
      <c r="P1332" t="s">
        <v>186</v>
      </c>
      <c r="Q1332" t="s">
        <v>216</v>
      </c>
      <c r="R1332" t="str">
        <f>IFERROR(VLOOKUP(record[[#This Row],[PCUSTID]],廠商[],2,FALSE),"")</f>
        <v>俊杰</v>
      </c>
      <c r="S1332" t="str">
        <f>VLOOKUP(record[[#This Row],[employeeID]],員工[],2,FALSE)</f>
        <v>許文姍</v>
      </c>
    </row>
    <row r="1333" spans="6:19" hidden="1" x14ac:dyDescent="0.25">
      <c r="F1333" t="s">
        <v>1772</v>
      </c>
      <c r="G1333" t="s">
        <v>468</v>
      </c>
      <c r="H1333" t="str">
        <f>VLOOKUP(record[[#This Row],[ProcessSN]],表格2_7[],2,FALSE)</f>
        <v>30-4118-018-XXX</v>
      </c>
      <c r="I1333" t="str">
        <f>VLOOKUP(record[[#This Row],[ProcessSN]],表格2_7[],3,FALSE)</f>
        <v>#02</v>
      </c>
      <c r="J1333" t="s">
        <v>590</v>
      </c>
      <c r="K1333" s="195">
        <v>46135.374374999999</v>
      </c>
      <c r="L1333">
        <v>71</v>
      </c>
      <c r="M1333">
        <v>0</v>
      </c>
      <c r="N1333" s="98" t="str">
        <f>IF(record[[#This Row],[Memo]]="Browser:chrome os:android","平板報工",IF(record[[#This Row],[Memo]]=0,"委外",record[[#This Row],[Memo]]))</f>
        <v>委外</v>
      </c>
      <c r="P1333" t="s">
        <v>186</v>
      </c>
      <c r="Q1333" t="s">
        <v>216</v>
      </c>
      <c r="R1333" t="str">
        <f>IFERROR(VLOOKUP(record[[#This Row],[PCUSTID]],廠商[],2,FALSE),"")</f>
        <v>俊杰</v>
      </c>
      <c r="S1333" t="str">
        <f>VLOOKUP(record[[#This Row],[employeeID]],員工[],2,FALSE)</f>
        <v>許文姍</v>
      </c>
    </row>
    <row r="1334" spans="6:19" hidden="1" x14ac:dyDescent="0.25">
      <c r="F1334" t="s">
        <v>1862</v>
      </c>
      <c r="G1334" t="s">
        <v>408</v>
      </c>
      <c r="H1334" t="str">
        <f>VLOOKUP(record[[#This Row],[ProcessSN]],表格2_7[],2,FALSE)</f>
        <v>30-4118-018-570</v>
      </c>
      <c r="I1334" t="str">
        <f>VLOOKUP(record[[#This Row],[ProcessSN]],表格2_7[],3,FALSE)</f>
        <v>#100</v>
      </c>
      <c r="J1334" t="s">
        <v>598</v>
      </c>
      <c r="K1334" s="195">
        <v>46135.373310185183</v>
      </c>
      <c r="L1334">
        <v>175</v>
      </c>
      <c r="M1334">
        <v>0</v>
      </c>
      <c r="N1334" s="98" t="str">
        <f>IF(record[[#This Row],[Memo]]="Browser:chrome os:android","平板報工",IF(record[[#This Row],[Memo]]=0,"委外",record[[#This Row],[Memo]]))</f>
        <v/>
      </c>
      <c r="O1334" t="s">
        <v>58</v>
      </c>
      <c r="P1334" t="s">
        <v>99</v>
      </c>
      <c r="Q1334" t="s">
        <v>58</v>
      </c>
      <c r="R1334" t="str">
        <f>IFERROR(VLOOKUP(record[[#This Row],[PCUSTID]],廠商[],2,FALSE),"")</f>
        <v/>
      </c>
      <c r="S1334" t="str">
        <f>VLOOKUP(record[[#This Row],[employeeID]],員工[],2,FALSE)</f>
        <v>阮氏河</v>
      </c>
    </row>
    <row r="1335" spans="6:19" hidden="1" x14ac:dyDescent="0.25">
      <c r="F1335" t="s">
        <v>1862</v>
      </c>
      <c r="G1335" t="s">
        <v>408</v>
      </c>
      <c r="H1335" t="str">
        <f>VLOOKUP(record[[#This Row],[ProcessSN]],表格2_7[],2,FALSE)</f>
        <v>30-4118-018-570</v>
      </c>
      <c r="I1335" t="str">
        <f>VLOOKUP(record[[#This Row],[ProcessSN]],表格2_7[],3,FALSE)</f>
        <v>#100</v>
      </c>
      <c r="J1335" t="s">
        <v>598</v>
      </c>
      <c r="K1335" s="195">
        <v>46135.37296296296</v>
      </c>
      <c r="L1335">
        <v>0</v>
      </c>
      <c r="M1335">
        <v>18</v>
      </c>
      <c r="N1335" s="98" t="str">
        <f>IF(record[[#This Row],[Memo]]="Browser:chrome os:android","平板報工",IF(record[[#This Row],[Memo]]=0,"委外",record[[#This Row],[Memo]]))</f>
        <v/>
      </c>
      <c r="O1335" t="s">
        <v>58</v>
      </c>
      <c r="P1335" t="s">
        <v>99</v>
      </c>
      <c r="Q1335" t="s">
        <v>58</v>
      </c>
      <c r="R1335" t="str">
        <f>IFERROR(VLOOKUP(record[[#This Row],[PCUSTID]],廠商[],2,FALSE),"")</f>
        <v/>
      </c>
      <c r="S1335" t="str">
        <f>VLOOKUP(record[[#This Row],[employeeID]],員工[],2,FALSE)</f>
        <v>阮氏河</v>
      </c>
    </row>
    <row r="1336" spans="6:19" hidden="1" x14ac:dyDescent="0.25">
      <c r="F1336" t="s">
        <v>1818</v>
      </c>
      <c r="G1336" t="s">
        <v>466</v>
      </c>
      <c r="H1336" t="str">
        <f>VLOOKUP(record[[#This Row],[ProcessSN]],表格2_7[],2,FALSE)</f>
        <v>30-4118-018-XXX</v>
      </c>
      <c r="I1336" t="str">
        <f>VLOOKUP(record[[#This Row],[ProcessSN]],表格2_7[],3,FALSE)</f>
        <v>#01-2</v>
      </c>
      <c r="J1336" t="s">
        <v>588</v>
      </c>
      <c r="K1336" s="195">
        <v>46135.368680555555</v>
      </c>
      <c r="L1336">
        <v>70</v>
      </c>
      <c r="M1336">
        <v>0</v>
      </c>
      <c r="N1336" s="98" t="str">
        <f>IF(record[[#This Row],[Memo]]="Browser:chrome os:android","平板報工",IF(record[[#This Row],[Memo]]=0,"委外",record[[#This Row],[Memo]]))</f>
        <v>平板報工</v>
      </c>
      <c r="O1336" t="s">
        <v>643</v>
      </c>
      <c r="P1336" t="s">
        <v>101</v>
      </c>
      <c r="Q1336" t="s">
        <v>644</v>
      </c>
      <c r="R1336" t="str">
        <f>IFERROR(VLOOKUP(record[[#This Row],[PCUSTID]],廠商[],2,FALSE),"")</f>
        <v/>
      </c>
      <c r="S1336" t="str">
        <f>VLOOKUP(record[[#This Row],[employeeID]],員工[],2,FALSE)</f>
        <v>陳氏絨</v>
      </c>
    </row>
    <row r="1337" spans="6:19" hidden="1" x14ac:dyDescent="0.25">
      <c r="F1337" t="s">
        <v>1866</v>
      </c>
      <c r="G1337" t="s">
        <v>403</v>
      </c>
      <c r="H1337" t="str">
        <f>VLOOKUP(record[[#This Row],[ProcessSN]],表格2_7[],2,FALSE)</f>
        <v>30-4118-018-550</v>
      </c>
      <c r="I1337" t="str">
        <f>VLOOKUP(record[[#This Row],[ProcessSN]],表格2_7[],3,FALSE)</f>
        <v>#100SHIP</v>
      </c>
      <c r="J1337" t="s">
        <v>600</v>
      </c>
      <c r="K1337" s="195">
        <v>46135.362071759257</v>
      </c>
      <c r="L1337">
        <v>267</v>
      </c>
      <c r="M1337">
        <v>0</v>
      </c>
      <c r="N1337" s="98" t="str">
        <f>IF(record[[#This Row],[Memo]]="Browser:chrome os:android","平板報工",IF(record[[#This Row],[Memo]]=0,"委外",record[[#This Row],[Memo]]))</f>
        <v/>
      </c>
      <c r="O1337" t="s">
        <v>58</v>
      </c>
      <c r="P1337" t="s">
        <v>886</v>
      </c>
      <c r="Q1337" t="s">
        <v>58</v>
      </c>
      <c r="R1337" t="str">
        <f>IFERROR(VLOOKUP(record[[#This Row],[PCUSTID]],廠商[],2,FALSE),"")</f>
        <v/>
      </c>
      <c r="S1337" t="str">
        <f>VLOOKUP(record[[#This Row],[employeeID]],員工[],2,FALSE)</f>
        <v>謝蓁薰</v>
      </c>
    </row>
    <row r="1338" spans="6:19" hidden="1" x14ac:dyDescent="0.25">
      <c r="F1338" t="s">
        <v>1838</v>
      </c>
      <c r="G1338" t="s">
        <v>403</v>
      </c>
      <c r="H1338" t="str">
        <f>VLOOKUP(record[[#This Row],[ProcessSN]],表格2_7[],2,FALSE)</f>
        <v>30-4118-018-550</v>
      </c>
      <c r="I1338" t="str">
        <f>VLOOKUP(record[[#This Row],[ProcessSN]],表格2_7[],3,FALSE)</f>
        <v>#100SHIP</v>
      </c>
      <c r="J1338" t="s">
        <v>600</v>
      </c>
      <c r="K1338" s="195">
        <v>46135.361909722225</v>
      </c>
      <c r="L1338">
        <v>390</v>
      </c>
      <c r="M1338">
        <v>0</v>
      </c>
      <c r="N1338" s="98" t="str">
        <f>IF(record[[#This Row],[Memo]]="Browser:chrome os:android","平板報工",IF(record[[#This Row],[Memo]]=0,"委外",record[[#This Row],[Memo]]))</f>
        <v>補4/22出貨</v>
      </c>
      <c r="O1338" t="s">
        <v>1879</v>
      </c>
      <c r="P1338" t="s">
        <v>886</v>
      </c>
      <c r="Q1338" t="s">
        <v>58</v>
      </c>
      <c r="R1338" t="str">
        <f>IFERROR(VLOOKUP(record[[#This Row],[PCUSTID]],廠商[],2,FALSE),"")</f>
        <v/>
      </c>
      <c r="S1338" t="str">
        <f>VLOOKUP(record[[#This Row],[employeeID]],員工[],2,FALSE)</f>
        <v>謝蓁薰</v>
      </c>
    </row>
    <row r="1339" spans="6:19" hidden="1" x14ac:dyDescent="0.25">
      <c r="F1339" t="s">
        <v>1866</v>
      </c>
      <c r="G1339" t="s">
        <v>399</v>
      </c>
      <c r="H1339" t="str">
        <f>VLOOKUP(record[[#This Row],[ProcessSN]],表格2_7[],2,FALSE)</f>
        <v>30-4118-018-550</v>
      </c>
      <c r="I1339" t="str">
        <f>VLOOKUP(record[[#This Row],[ProcessSN]],表格2_7[],3,FALSE)</f>
        <v>#08IQC</v>
      </c>
      <c r="J1339" t="s">
        <v>583</v>
      </c>
      <c r="K1339" s="195">
        <v>46135.361805555556</v>
      </c>
      <c r="L1339">
        <v>312</v>
      </c>
      <c r="M1339">
        <v>0</v>
      </c>
      <c r="N1339" s="98" t="str">
        <f>IF(record[[#This Row],[Memo]]="Browser:chrome os:android","平板報工",IF(record[[#This Row],[Memo]]=0,"委外",record[[#This Row],[Memo]]))</f>
        <v>補4/22回</v>
      </c>
      <c r="O1339" t="s">
        <v>1877</v>
      </c>
      <c r="P1339" t="s">
        <v>186</v>
      </c>
      <c r="Q1339" t="s">
        <v>58</v>
      </c>
      <c r="R1339" t="str">
        <f>IFERROR(VLOOKUP(record[[#This Row],[PCUSTID]],廠商[],2,FALSE),"")</f>
        <v/>
      </c>
      <c r="S1339" t="str">
        <f>VLOOKUP(record[[#This Row],[employeeID]],員工[],2,FALSE)</f>
        <v>許文姍</v>
      </c>
    </row>
    <row r="1340" spans="6:19" hidden="1" x14ac:dyDescent="0.25">
      <c r="F1340" t="s">
        <v>1830</v>
      </c>
      <c r="G1340" t="s">
        <v>403</v>
      </c>
      <c r="H1340" t="str">
        <f>VLOOKUP(record[[#This Row],[ProcessSN]],表格2_7[],2,FALSE)</f>
        <v>30-4118-018-550</v>
      </c>
      <c r="I1340" t="str">
        <f>VLOOKUP(record[[#This Row],[ProcessSN]],表格2_7[],3,FALSE)</f>
        <v>#100SHIP</v>
      </c>
      <c r="J1340" t="s">
        <v>600</v>
      </c>
      <c r="K1340" s="195">
        <v>46135.361701388887</v>
      </c>
      <c r="L1340">
        <v>69</v>
      </c>
      <c r="M1340">
        <v>0</v>
      </c>
      <c r="N1340" s="98" t="str">
        <f>IF(record[[#This Row],[Memo]]="Browser:chrome os:android","平板報工",IF(record[[#This Row],[Memo]]=0,"委外",record[[#This Row],[Memo]]))</f>
        <v>補4/22出貨</v>
      </c>
      <c r="O1340" t="s">
        <v>1879</v>
      </c>
      <c r="P1340" t="s">
        <v>886</v>
      </c>
      <c r="Q1340" t="s">
        <v>58</v>
      </c>
      <c r="R1340" t="str">
        <f>IFERROR(VLOOKUP(record[[#This Row],[PCUSTID]],廠商[],2,FALSE),"")</f>
        <v/>
      </c>
      <c r="S1340" t="str">
        <f>VLOOKUP(record[[#This Row],[employeeID]],員工[],2,FALSE)</f>
        <v>謝蓁薰</v>
      </c>
    </row>
    <row r="1341" spans="6:19" hidden="1" x14ac:dyDescent="0.25">
      <c r="F1341" t="s">
        <v>1866</v>
      </c>
      <c r="G1341" t="s">
        <v>398</v>
      </c>
      <c r="H1341" t="str">
        <f>VLOOKUP(record[[#This Row],[ProcessSN]],表格2_7[],2,FALSE)</f>
        <v>30-4118-018-550</v>
      </c>
      <c r="I1341" t="str">
        <f>VLOOKUP(record[[#This Row],[ProcessSN]],表格2_7[],3,FALSE)</f>
        <v>#08RCV</v>
      </c>
      <c r="J1341" t="s">
        <v>591</v>
      </c>
      <c r="K1341" s="195">
        <v>46135.361504629633</v>
      </c>
      <c r="L1341">
        <v>312</v>
      </c>
      <c r="M1341">
        <v>0</v>
      </c>
      <c r="N1341" s="98" t="str">
        <f>IF(record[[#This Row],[Memo]]="Browser:chrome os:android","平板報工",IF(record[[#This Row],[Memo]]=0,"委外",record[[#This Row],[Memo]]))</f>
        <v/>
      </c>
      <c r="O1341" t="s">
        <v>58</v>
      </c>
      <c r="P1341" t="s">
        <v>186</v>
      </c>
      <c r="Q1341" t="s">
        <v>58</v>
      </c>
      <c r="R1341" t="str">
        <f>IFERROR(VLOOKUP(record[[#This Row],[PCUSTID]],廠商[],2,FALSE),"")</f>
        <v/>
      </c>
      <c r="S1341" t="str">
        <f>VLOOKUP(record[[#This Row],[employeeID]],員工[],2,FALSE)</f>
        <v>許文姍</v>
      </c>
    </row>
    <row r="1342" spans="6:19" hidden="1" x14ac:dyDescent="0.25">
      <c r="F1342" t="s">
        <v>1866</v>
      </c>
      <c r="G1342" t="s">
        <v>402</v>
      </c>
      <c r="H1342" t="str">
        <f>VLOOKUP(record[[#This Row],[ProcessSN]],表格2_7[],2,FALSE)</f>
        <v>30-4118-018-550</v>
      </c>
      <c r="I1342" t="str">
        <f>VLOOKUP(record[[#This Row],[ProcessSN]],表格2_7[],3,FALSE)</f>
        <v>#100STOCK</v>
      </c>
      <c r="J1342" t="s">
        <v>592</v>
      </c>
      <c r="K1342" s="195">
        <v>46135.361458333333</v>
      </c>
      <c r="L1342">
        <v>267</v>
      </c>
      <c r="M1342">
        <v>0</v>
      </c>
      <c r="N1342" s="98" t="str">
        <f>IF(record[[#This Row],[Memo]]="Browser:chrome os:android","平板報工",IF(record[[#This Row],[Memo]]=0,"委外",record[[#This Row],[Memo]]))</f>
        <v/>
      </c>
      <c r="O1342" t="s">
        <v>58</v>
      </c>
      <c r="P1342" t="s">
        <v>886</v>
      </c>
      <c r="Q1342" t="s">
        <v>58</v>
      </c>
      <c r="R1342" t="str">
        <f>IFERROR(VLOOKUP(record[[#This Row],[PCUSTID]],廠商[],2,FALSE),"")</f>
        <v/>
      </c>
      <c r="S1342" t="str">
        <f>VLOOKUP(record[[#This Row],[employeeID]],員工[],2,FALSE)</f>
        <v>謝蓁薰</v>
      </c>
    </row>
    <row r="1343" spans="6:19" hidden="1" x14ac:dyDescent="0.25">
      <c r="F1343" t="s">
        <v>1838</v>
      </c>
      <c r="G1343" t="s">
        <v>402</v>
      </c>
      <c r="H1343" t="str">
        <f>VLOOKUP(record[[#This Row],[ProcessSN]],表格2_7[],2,FALSE)</f>
        <v>30-4118-018-550</v>
      </c>
      <c r="I1343" t="str">
        <f>VLOOKUP(record[[#This Row],[ProcessSN]],表格2_7[],3,FALSE)</f>
        <v>#100STOCK</v>
      </c>
      <c r="J1343" t="s">
        <v>592</v>
      </c>
      <c r="K1343" s="195">
        <v>46135.361319444448</v>
      </c>
      <c r="L1343">
        <v>390</v>
      </c>
      <c r="M1343">
        <v>0</v>
      </c>
      <c r="N1343" s="98" t="str">
        <f>IF(record[[#This Row],[Memo]]="Browser:chrome os:android","平板報工",IF(record[[#This Row],[Memo]]=0,"委外",record[[#This Row],[Memo]]))</f>
        <v/>
      </c>
      <c r="O1343" t="s">
        <v>58</v>
      </c>
      <c r="P1343" t="s">
        <v>886</v>
      </c>
      <c r="Q1343" t="s">
        <v>58</v>
      </c>
      <c r="R1343" t="str">
        <f>IFERROR(VLOOKUP(record[[#This Row],[PCUSTID]],廠商[],2,FALSE),"")</f>
        <v/>
      </c>
      <c r="S1343" t="str">
        <f>VLOOKUP(record[[#This Row],[employeeID]],員工[],2,FALSE)</f>
        <v>謝蓁薰</v>
      </c>
    </row>
    <row r="1344" spans="6:19" hidden="1" x14ac:dyDescent="0.25">
      <c r="F1344" t="s">
        <v>1830</v>
      </c>
      <c r="G1344" t="s">
        <v>402</v>
      </c>
      <c r="H1344" t="str">
        <f>VLOOKUP(record[[#This Row],[ProcessSN]],表格2_7[],2,FALSE)</f>
        <v>30-4118-018-550</v>
      </c>
      <c r="I1344" t="str">
        <f>VLOOKUP(record[[#This Row],[ProcessSN]],表格2_7[],3,FALSE)</f>
        <v>#100STOCK</v>
      </c>
      <c r="J1344" t="s">
        <v>592</v>
      </c>
      <c r="K1344" s="195">
        <v>46135.360486111109</v>
      </c>
      <c r="L1344">
        <v>69</v>
      </c>
      <c r="M1344">
        <v>0</v>
      </c>
      <c r="N1344" s="98" t="str">
        <f>IF(record[[#This Row],[Memo]]="Browser:chrome os:android","平板報工",IF(record[[#This Row],[Memo]]=0,"委外",record[[#This Row],[Memo]]))</f>
        <v/>
      </c>
      <c r="O1344" t="s">
        <v>58</v>
      </c>
      <c r="P1344" t="s">
        <v>886</v>
      </c>
      <c r="Q1344" t="s">
        <v>58</v>
      </c>
      <c r="R1344" t="str">
        <f>IFERROR(VLOOKUP(record[[#This Row],[PCUSTID]],廠商[],2,FALSE),"")</f>
        <v/>
      </c>
      <c r="S1344" t="str">
        <f>VLOOKUP(record[[#This Row],[employeeID]],員工[],2,FALSE)</f>
        <v>謝蓁薰</v>
      </c>
    </row>
    <row r="1345" spans="6:19" hidden="1" x14ac:dyDescent="0.25">
      <c r="F1345" t="s">
        <v>1865</v>
      </c>
      <c r="G1345" t="s">
        <v>383</v>
      </c>
      <c r="H1345" t="str">
        <f>VLOOKUP(record[[#This Row],[ProcessSN]],表格2_7[],2,FALSE)</f>
        <v>30-4118-018-500</v>
      </c>
      <c r="I1345" t="str">
        <f>VLOOKUP(record[[#This Row],[ProcessSN]],表格2_7[],3,FALSE)</f>
        <v>#08IQC</v>
      </c>
      <c r="J1345" t="s">
        <v>583</v>
      </c>
      <c r="K1345" s="195">
        <v>46135.356180555558</v>
      </c>
      <c r="L1345">
        <v>450</v>
      </c>
      <c r="M1345">
        <v>0</v>
      </c>
      <c r="N1345" s="98" t="str">
        <f>IF(record[[#This Row],[Memo]]="Browser:chrome os:android","平板報工",IF(record[[#This Row],[Memo]]=0,"委外",record[[#This Row],[Memo]]))</f>
        <v/>
      </c>
      <c r="O1345" t="s">
        <v>58</v>
      </c>
      <c r="P1345" t="s">
        <v>121</v>
      </c>
      <c r="Q1345" t="s">
        <v>58</v>
      </c>
      <c r="R1345" t="str">
        <f>IFERROR(VLOOKUP(record[[#This Row],[PCUSTID]],廠商[],2,FALSE),"")</f>
        <v/>
      </c>
      <c r="S1345" t="str">
        <f>VLOOKUP(record[[#This Row],[employeeID]],員工[],2,FALSE)</f>
        <v>謝素卿</v>
      </c>
    </row>
    <row r="1346" spans="6:19" hidden="1" x14ac:dyDescent="0.25">
      <c r="F1346" t="s">
        <v>1862</v>
      </c>
      <c r="G1346" t="s">
        <v>407</v>
      </c>
      <c r="H1346" t="str">
        <f>VLOOKUP(record[[#This Row],[ProcessSN]],表格2_7[],2,FALSE)</f>
        <v>30-4118-018-570</v>
      </c>
      <c r="I1346" t="str">
        <f>VLOOKUP(record[[#This Row],[ProcessSN]],表格2_7[],3,FALSE)</f>
        <v>#08IQC</v>
      </c>
      <c r="J1346" t="s">
        <v>583</v>
      </c>
      <c r="K1346" s="195">
        <v>46135.35596064815</v>
      </c>
      <c r="L1346">
        <v>193</v>
      </c>
      <c r="M1346">
        <v>0</v>
      </c>
      <c r="N1346" s="98" t="str">
        <f>IF(record[[#This Row],[Memo]]="Browser:chrome os:android","平板報工",IF(record[[#This Row],[Memo]]=0,"委外",record[[#This Row],[Memo]]))</f>
        <v/>
      </c>
      <c r="O1346" t="s">
        <v>58</v>
      </c>
      <c r="P1346" t="s">
        <v>121</v>
      </c>
      <c r="Q1346" t="s">
        <v>58</v>
      </c>
      <c r="R1346" t="str">
        <f>IFERROR(VLOOKUP(record[[#This Row],[PCUSTID]],廠商[],2,FALSE),"")</f>
        <v/>
      </c>
      <c r="S1346" t="str">
        <f>VLOOKUP(record[[#This Row],[employeeID]],員工[],2,FALSE)</f>
        <v>謝素卿</v>
      </c>
    </row>
    <row r="1347" spans="6:19" hidden="1" x14ac:dyDescent="0.25">
      <c r="F1347" t="s">
        <v>1861</v>
      </c>
      <c r="G1347" t="s">
        <v>432</v>
      </c>
      <c r="H1347" t="str">
        <f>VLOOKUP(record[[#This Row],[ProcessSN]],表格2_7[],2,FALSE)</f>
        <v>30-4118-018-620</v>
      </c>
      <c r="I1347" t="str">
        <f>VLOOKUP(record[[#This Row],[ProcessSN]],表格2_7[],3,FALSE)</f>
        <v>#08IQC</v>
      </c>
      <c r="J1347" t="s">
        <v>583</v>
      </c>
      <c r="K1347" s="195">
        <v>46135.355752314812</v>
      </c>
      <c r="L1347">
        <v>250</v>
      </c>
      <c r="M1347">
        <v>0</v>
      </c>
      <c r="N1347" s="98" t="str">
        <f>IF(record[[#This Row],[Memo]]="Browser:chrome os:android","平板報工",IF(record[[#This Row],[Memo]]=0,"委外",record[[#This Row],[Memo]]))</f>
        <v/>
      </c>
      <c r="O1347" t="s">
        <v>58</v>
      </c>
      <c r="P1347" t="s">
        <v>121</v>
      </c>
      <c r="Q1347" t="s">
        <v>58</v>
      </c>
      <c r="R1347" t="str">
        <f>IFERROR(VLOOKUP(record[[#This Row],[PCUSTID]],廠商[],2,FALSE),"")</f>
        <v/>
      </c>
      <c r="S1347" t="str">
        <f>VLOOKUP(record[[#This Row],[employeeID]],員工[],2,FALSE)</f>
        <v>謝素卿</v>
      </c>
    </row>
    <row r="1348" spans="6:19" hidden="1" x14ac:dyDescent="0.25">
      <c r="F1348" t="s">
        <v>1861</v>
      </c>
      <c r="G1348" t="s">
        <v>431</v>
      </c>
      <c r="H1348" t="str">
        <f>VLOOKUP(record[[#This Row],[ProcessSN]],表格2_7[],2,FALSE)</f>
        <v>30-4118-018-620</v>
      </c>
      <c r="I1348" t="str">
        <f>VLOOKUP(record[[#This Row],[ProcessSN]],表格2_7[],3,FALSE)</f>
        <v>#08RCV</v>
      </c>
      <c r="J1348" t="s">
        <v>591</v>
      </c>
      <c r="K1348" s="195">
        <v>46135.344710648147</v>
      </c>
      <c r="L1348">
        <v>1</v>
      </c>
      <c r="M1348">
        <v>0</v>
      </c>
      <c r="N1348" s="98" t="str">
        <f>IF(record[[#This Row],[Memo]]="Browser:chrome os:android","平板報工",IF(record[[#This Row],[Memo]]=0,"委外",record[[#This Row],[Memo]]))</f>
        <v/>
      </c>
      <c r="O1348" t="s">
        <v>58</v>
      </c>
      <c r="P1348" t="s">
        <v>186</v>
      </c>
      <c r="Q1348" t="s">
        <v>58</v>
      </c>
      <c r="R1348" t="str">
        <f>IFERROR(VLOOKUP(record[[#This Row],[PCUSTID]],廠商[],2,FALSE),"")</f>
        <v/>
      </c>
      <c r="S1348" t="str">
        <f>VLOOKUP(record[[#This Row],[employeeID]],員工[],2,FALSE)</f>
        <v>許文姍</v>
      </c>
    </row>
    <row r="1349" spans="6:19" hidden="1" x14ac:dyDescent="0.25">
      <c r="F1349" t="s">
        <v>1862</v>
      </c>
      <c r="G1349" t="s">
        <v>406</v>
      </c>
      <c r="H1349" t="str">
        <f>VLOOKUP(record[[#This Row],[ProcessSN]],表格2_7[],2,FALSE)</f>
        <v>30-4118-018-570</v>
      </c>
      <c r="I1349" t="str">
        <f>VLOOKUP(record[[#This Row],[ProcessSN]],表格2_7[],3,FALSE)</f>
        <v>#08RCV</v>
      </c>
      <c r="J1349" t="s">
        <v>591</v>
      </c>
      <c r="K1349" s="195">
        <v>46135.344594907408</v>
      </c>
      <c r="L1349">
        <v>3</v>
      </c>
      <c r="M1349">
        <v>0</v>
      </c>
      <c r="N1349" s="98" t="str">
        <f>IF(record[[#This Row],[Memo]]="Browser:chrome os:android","平板報工",IF(record[[#This Row],[Memo]]=0,"委外",record[[#This Row],[Memo]]))</f>
        <v/>
      </c>
      <c r="O1349" t="s">
        <v>58</v>
      </c>
      <c r="P1349" t="s">
        <v>186</v>
      </c>
      <c r="Q1349" t="s">
        <v>58</v>
      </c>
      <c r="R1349" t="str">
        <f>IFERROR(VLOOKUP(record[[#This Row],[PCUSTID]],廠商[],2,FALSE),"")</f>
        <v/>
      </c>
      <c r="S1349" t="str">
        <f>VLOOKUP(record[[#This Row],[employeeID]],員工[],2,FALSE)</f>
        <v>許文姍</v>
      </c>
    </row>
    <row r="1350" spans="6:19" hidden="1" x14ac:dyDescent="0.25">
      <c r="F1350" t="s">
        <v>1865</v>
      </c>
      <c r="G1350" t="s">
        <v>382</v>
      </c>
      <c r="H1350" t="str">
        <f>VLOOKUP(record[[#This Row],[ProcessSN]],表格2_7[],2,FALSE)</f>
        <v>30-4118-018-500</v>
      </c>
      <c r="I1350" t="str">
        <f>VLOOKUP(record[[#This Row],[ProcessSN]],表格2_7[],3,FALSE)</f>
        <v>#08RCV</v>
      </c>
      <c r="J1350" t="s">
        <v>591</v>
      </c>
      <c r="K1350" s="195">
        <v>46135.344490740739</v>
      </c>
      <c r="L1350">
        <v>3</v>
      </c>
      <c r="M1350">
        <v>0</v>
      </c>
      <c r="N1350" s="98" t="str">
        <f>IF(record[[#This Row],[Memo]]="Browser:chrome os:android","平板報工",IF(record[[#This Row],[Memo]]=0,"委外",record[[#This Row],[Memo]]))</f>
        <v/>
      </c>
      <c r="O1350" t="s">
        <v>58</v>
      </c>
      <c r="P1350" t="s">
        <v>186</v>
      </c>
      <c r="Q1350" t="s">
        <v>58</v>
      </c>
      <c r="R1350" t="str">
        <f>IFERROR(VLOOKUP(record[[#This Row],[PCUSTID]],廠商[],2,FALSE),"")</f>
        <v/>
      </c>
      <c r="S1350" t="str">
        <f>VLOOKUP(record[[#This Row],[employeeID]],員工[],2,FALSE)</f>
        <v>許文姍</v>
      </c>
    </row>
    <row r="1351" spans="6:19" hidden="1" x14ac:dyDescent="0.25">
      <c r="F1351" t="s">
        <v>1865</v>
      </c>
      <c r="G1351" t="s">
        <v>382</v>
      </c>
      <c r="H1351" t="str">
        <f>VLOOKUP(record[[#This Row],[ProcessSN]],表格2_7[],2,FALSE)</f>
        <v>30-4118-018-500</v>
      </c>
      <c r="I1351" t="str">
        <f>VLOOKUP(record[[#This Row],[ProcessSN]],表格2_7[],3,FALSE)</f>
        <v>#08RCV</v>
      </c>
      <c r="J1351" t="s">
        <v>591</v>
      </c>
      <c r="K1351" s="195">
        <v>46135.337141203701</v>
      </c>
      <c r="L1351">
        <v>447</v>
      </c>
      <c r="M1351">
        <v>0</v>
      </c>
      <c r="N1351" s="98" t="str">
        <f>IF(record[[#This Row],[Memo]]="Browser:chrome os:android","平板報工",IF(record[[#This Row],[Memo]]=0,"委外",record[[#This Row],[Memo]]))</f>
        <v/>
      </c>
      <c r="O1351" t="s">
        <v>58</v>
      </c>
      <c r="P1351" t="s">
        <v>186</v>
      </c>
      <c r="Q1351" t="s">
        <v>58</v>
      </c>
      <c r="R1351" t="str">
        <f>IFERROR(VLOOKUP(record[[#This Row],[PCUSTID]],廠商[],2,FALSE),"")</f>
        <v/>
      </c>
      <c r="S1351" t="str">
        <f>VLOOKUP(record[[#This Row],[employeeID]],員工[],2,FALSE)</f>
        <v>許文姍</v>
      </c>
    </row>
    <row r="1352" spans="6:19" hidden="1" x14ac:dyDescent="0.25">
      <c r="F1352" t="s">
        <v>1862</v>
      </c>
      <c r="G1352" t="s">
        <v>406</v>
      </c>
      <c r="H1352" t="str">
        <f>VLOOKUP(record[[#This Row],[ProcessSN]],表格2_7[],2,FALSE)</f>
        <v>30-4118-018-570</v>
      </c>
      <c r="I1352" t="str">
        <f>VLOOKUP(record[[#This Row],[ProcessSN]],表格2_7[],3,FALSE)</f>
        <v>#08RCV</v>
      </c>
      <c r="J1352" t="s">
        <v>591</v>
      </c>
      <c r="K1352" s="195">
        <v>46135.337037037039</v>
      </c>
      <c r="L1352">
        <v>190</v>
      </c>
      <c r="M1352">
        <v>0</v>
      </c>
      <c r="N1352" s="98" t="str">
        <f>IF(record[[#This Row],[Memo]]="Browser:chrome os:android","平板報工",IF(record[[#This Row],[Memo]]=0,"委外",record[[#This Row],[Memo]]))</f>
        <v/>
      </c>
      <c r="O1352" t="s">
        <v>58</v>
      </c>
      <c r="P1352" t="s">
        <v>186</v>
      </c>
      <c r="Q1352" t="s">
        <v>58</v>
      </c>
      <c r="R1352" t="str">
        <f>IFERROR(VLOOKUP(record[[#This Row],[PCUSTID]],廠商[],2,FALSE),"")</f>
        <v/>
      </c>
      <c r="S1352" t="str">
        <f>VLOOKUP(record[[#This Row],[employeeID]],員工[],2,FALSE)</f>
        <v>許文姍</v>
      </c>
    </row>
    <row r="1353" spans="6:19" hidden="1" x14ac:dyDescent="0.25">
      <c r="F1353" t="s">
        <v>1861</v>
      </c>
      <c r="G1353" t="s">
        <v>431</v>
      </c>
      <c r="H1353" t="str">
        <f>VLOOKUP(record[[#This Row],[ProcessSN]],表格2_7[],2,FALSE)</f>
        <v>30-4118-018-620</v>
      </c>
      <c r="I1353" t="str">
        <f>VLOOKUP(record[[#This Row],[ProcessSN]],表格2_7[],3,FALSE)</f>
        <v>#08RCV</v>
      </c>
      <c r="J1353" t="s">
        <v>591</v>
      </c>
      <c r="K1353" s="195">
        <v>46135.33693287037</v>
      </c>
      <c r="L1353">
        <v>249</v>
      </c>
      <c r="M1353">
        <v>0</v>
      </c>
      <c r="N1353" s="98" t="str">
        <f>IF(record[[#This Row],[Memo]]="Browser:chrome os:android","平板報工",IF(record[[#This Row],[Memo]]=0,"委外",record[[#This Row],[Memo]]))</f>
        <v/>
      </c>
      <c r="O1353" t="s">
        <v>58</v>
      </c>
      <c r="P1353" t="s">
        <v>186</v>
      </c>
      <c r="Q1353" t="s">
        <v>58</v>
      </c>
      <c r="R1353" t="str">
        <f>IFERROR(VLOOKUP(record[[#This Row],[PCUSTID]],廠商[],2,FALSE),"")</f>
        <v/>
      </c>
      <c r="S1353" t="str">
        <f>VLOOKUP(record[[#This Row],[employeeID]],員工[],2,FALSE)</f>
        <v>許文姍</v>
      </c>
    </row>
    <row r="1354" spans="6:19" hidden="1" x14ac:dyDescent="0.25">
      <c r="F1354" t="s">
        <v>1866</v>
      </c>
      <c r="G1354" t="s">
        <v>401</v>
      </c>
      <c r="H1354" t="str">
        <f>VLOOKUP(record[[#This Row],[ProcessSN]],表格2_7[],2,FALSE)</f>
        <v>30-4118-018-550</v>
      </c>
      <c r="I1354" t="str">
        <f>VLOOKUP(record[[#This Row],[ProcessSN]],表格2_7[],3,FALSE)</f>
        <v>#100OQC</v>
      </c>
      <c r="J1354" t="s">
        <v>599</v>
      </c>
      <c r="K1354" s="195">
        <v>46135.3359375</v>
      </c>
      <c r="L1354">
        <v>298</v>
      </c>
      <c r="M1354">
        <v>0</v>
      </c>
      <c r="N1354" s="98" t="str">
        <f>IF(record[[#This Row],[Memo]]="Browser:chrome os:android","平板報工",IF(record[[#This Row],[Memo]]=0,"委外",record[[#This Row],[Memo]]))</f>
        <v/>
      </c>
      <c r="O1354" t="s">
        <v>58</v>
      </c>
      <c r="P1354" t="s">
        <v>121</v>
      </c>
      <c r="Q1354" t="s">
        <v>58</v>
      </c>
      <c r="R1354" t="str">
        <f>IFERROR(VLOOKUP(record[[#This Row],[PCUSTID]],廠商[],2,FALSE),"")</f>
        <v/>
      </c>
      <c r="S1354" t="str">
        <f>VLOOKUP(record[[#This Row],[employeeID]],員工[],2,FALSE)</f>
        <v>謝素卿</v>
      </c>
    </row>
    <row r="1355" spans="6:19" hidden="1" x14ac:dyDescent="0.25">
      <c r="F1355" t="s">
        <v>1830</v>
      </c>
      <c r="G1355" t="s">
        <v>401</v>
      </c>
      <c r="H1355" t="str">
        <f>VLOOKUP(record[[#This Row],[ProcessSN]],表格2_7[],2,FALSE)</f>
        <v>30-4118-018-550</v>
      </c>
      <c r="I1355" t="str">
        <f>VLOOKUP(record[[#This Row],[ProcessSN]],表格2_7[],3,FALSE)</f>
        <v>#100OQC</v>
      </c>
      <c r="J1355" t="s">
        <v>599</v>
      </c>
      <c r="K1355" s="195">
        <v>46135.335798611108</v>
      </c>
      <c r="L1355">
        <v>69</v>
      </c>
      <c r="M1355">
        <v>0</v>
      </c>
      <c r="N1355" s="98" t="str">
        <f>IF(record[[#This Row],[Memo]]="Browser:chrome os:android","平板報工",IF(record[[#This Row],[Memo]]=0,"委外",record[[#This Row],[Memo]]))</f>
        <v/>
      </c>
      <c r="O1355" t="s">
        <v>58</v>
      </c>
      <c r="P1355" t="s">
        <v>121</v>
      </c>
      <c r="Q1355" t="s">
        <v>58</v>
      </c>
      <c r="R1355" t="str">
        <f>IFERROR(VLOOKUP(record[[#This Row],[PCUSTID]],廠商[],2,FALSE),"")</f>
        <v/>
      </c>
      <c r="S1355" t="str">
        <f>VLOOKUP(record[[#This Row],[employeeID]],員工[],2,FALSE)</f>
        <v>謝素卿</v>
      </c>
    </row>
    <row r="1356" spans="6:19" hidden="1" x14ac:dyDescent="0.25">
      <c r="F1356" t="s">
        <v>1838</v>
      </c>
      <c r="G1356" t="s">
        <v>401</v>
      </c>
      <c r="H1356" t="str">
        <f>VLOOKUP(record[[#This Row],[ProcessSN]],表格2_7[],2,FALSE)</f>
        <v>30-4118-018-550</v>
      </c>
      <c r="I1356" t="str">
        <f>VLOOKUP(record[[#This Row],[ProcessSN]],表格2_7[],3,FALSE)</f>
        <v>#100OQC</v>
      </c>
      <c r="J1356" t="s">
        <v>599</v>
      </c>
      <c r="K1356" s="195">
        <v>46135.335416666669</v>
      </c>
      <c r="L1356">
        <v>390</v>
      </c>
      <c r="M1356">
        <v>0</v>
      </c>
      <c r="N1356" s="98" t="str">
        <f>IF(record[[#This Row],[Memo]]="Browser:chrome os:android","平板報工",IF(record[[#This Row],[Memo]]=0,"委外",record[[#This Row],[Memo]]))</f>
        <v/>
      </c>
      <c r="O1356" t="s">
        <v>58</v>
      </c>
      <c r="P1356" t="s">
        <v>121</v>
      </c>
      <c r="Q1356" t="s">
        <v>58</v>
      </c>
      <c r="R1356" t="str">
        <f>IFERROR(VLOOKUP(record[[#This Row],[PCUSTID]],廠商[],2,FALSE),"")</f>
        <v/>
      </c>
      <c r="S1356" t="str">
        <f>VLOOKUP(record[[#This Row],[employeeID]],員工[],2,FALSE)</f>
        <v>謝素卿</v>
      </c>
    </row>
    <row r="1357" spans="6:19" hidden="1" x14ac:dyDescent="0.25">
      <c r="F1357" t="s">
        <v>1850</v>
      </c>
      <c r="G1357" t="s">
        <v>416</v>
      </c>
      <c r="H1357" t="str">
        <f>VLOOKUP(record[[#This Row],[ProcessSN]],表格2_7[],2,FALSE)</f>
        <v>30-4118-018-5XX</v>
      </c>
      <c r="I1357" t="str">
        <f>VLOOKUP(record[[#This Row],[ProcessSN]],表格2_7[],3,FALSE)</f>
        <v>#05</v>
      </c>
      <c r="J1357" t="s">
        <v>588</v>
      </c>
      <c r="K1357" s="195">
        <v>46135.314270833333</v>
      </c>
      <c r="L1357">
        <v>223</v>
      </c>
      <c r="M1357">
        <v>1</v>
      </c>
      <c r="N1357" s="98" t="str">
        <f>IF(record[[#This Row],[Memo]]="Browser:chrome os:android","平板報工",IF(record[[#This Row],[Memo]]=0,"委外",record[[#This Row],[Memo]]))</f>
        <v/>
      </c>
      <c r="O1357" t="s">
        <v>58</v>
      </c>
      <c r="P1357" t="s">
        <v>135</v>
      </c>
      <c r="Q1357" t="s">
        <v>58</v>
      </c>
      <c r="R1357" t="str">
        <f>IFERROR(VLOOKUP(record[[#This Row],[PCUSTID]],廠商[],2,FALSE),"")</f>
        <v/>
      </c>
      <c r="S1357" t="str">
        <f>VLOOKUP(record[[#This Row],[employeeID]],員工[],2,FALSE)</f>
        <v>阮士文</v>
      </c>
    </row>
    <row r="1358" spans="6:19" hidden="1" x14ac:dyDescent="0.25">
      <c r="F1358" t="s">
        <v>1850</v>
      </c>
      <c r="G1358" t="s">
        <v>415</v>
      </c>
      <c r="H1358" t="str">
        <f>VLOOKUP(record[[#This Row],[ProcessSN]],表格2_7[],2,FALSE)</f>
        <v>30-4118-018-5XX</v>
      </c>
      <c r="I1358" t="str">
        <f>VLOOKUP(record[[#This Row],[ProcessSN]],表格2_7[],3,FALSE)</f>
        <v>#04</v>
      </c>
      <c r="J1358" t="s">
        <v>588</v>
      </c>
      <c r="K1358" s="195">
        <v>46135.310370370367</v>
      </c>
      <c r="L1358">
        <v>282</v>
      </c>
      <c r="M1358">
        <v>0</v>
      </c>
      <c r="N1358" s="98" t="str">
        <f>IF(record[[#This Row],[Memo]]="Browser:chrome os:android","平板報工",IF(record[[#This Row],[Memo]]=0,"委外",record[[#This Row],[Memo]]))</f>
        <v/>
      </c>
      <c r="O1358" t="s">
        <v>58</v>
      </c>
      <c r="P1358" t="s">
        <v>135</v>
      </c>
      <c r="Q1358" t="s">
        <v>58</v>
      </c>
      <c r="R1358" t="str">
        <f>IFERROR(VLOOKUP(record[[#This Row],[PCUSTID]],廠商[],2,FALSE),"")</f>
        <v/>
      </c>
      <c r="S1358" t="str">
        <f>VLOOKUP(record[[#This Row],[employeeID]],員工[],2,FALSE)</f>
        <v>阮士文</v>
      </c>
    </row>
    <row r="1359" spans="6:19" hidden="1" x14ac:dyDescent="0.25">
      <c r="F1359" t="s">
        <v>1850</v>
      </c>
      <c r="G1359" t="s">
        <v>417</v>
      </c>
      <c r="H1359" t="str">
        <f>VLOOKUP(record[[#This Row],[ProcessSN]],表格2_7[],2,FALSE)</f>
        <v>30-4118-018-5XX</v>
      </c>
      <c r="I1359" t="str">
        <f>VLOOKUP(record[[#This Row],[ProcessSN]],表格2_7[],3,FALSE)</f>
        <v>#06</v>
      </c>
      <c r="J1359" t="s">
        <v>593</v>
      </c>
      <c r="K1359" s="195">
        <v>46135.290219907409</v>
      </c>
      <c r="L1359">
        <v>133</v>
      </c>
      <c r="M1359">
        <v>0</v>
      </c>
      <c r="N1359" s="98" t="str">
        <f>IF(record[[#This Row],[Memo]]="Browser:chrome os:android","平板報工",IF(record[[#This Row],[Memo]]=0,"委外",record[[#This Row],[Memo]]))</f>
        <v>平板報工</v>
      </c>
      <c r="O1359" t="s">
        <v>643</v>
      </c>
      <c r="P1359" t="s">
        <v>841</v>
      </c>
      <c r="Q1359" t="s">
        <v>644</v>
      </c>
      <c r="R1359" t="str">
        <f>IFERROR(VLOOKUP(record[[#This Row],[PCUSTID]],廠商[],2,FALSE),"")</f>
        <v/>
      </c>
      <c r="S1359" t="str">
        <f>VLOOKUP(record[[#This Row],[employeeID]],員工[],2,FALSE)</f>
        <v>范氏香</v>
      </c>
    </row>
    <row r="1360" spans="6:19" hidden="1" x14ac:dyDescent="0.25">
      <c r="F1360" t="s">
        <v>1818</v>
      </c>
      <c r="G1360" t="s">
        <v>466</v>
      </c>
      <c r="H1360" t="str">
        <f>VLOOKUP(record[[#This Row],[ProcessSN]],表格2_7[],2,FALSE)</f>
        <v>30-4118-018-XXX</v>
      </c>
      <c r="I1360" t="str">
        <f>VLOOKUP(record[[#This Row],[ProcessSN]],表格2_7[],3,FALSE)</f>
        <v>#01-2</v>
      </c>
      <c r="J1360" t="s">
        <v>588</v>
      </c>
      <c r="K1360" s="195">
        <v>46135.281064814815</v>
      </c>
      <c r="L1360">
        <v>1246</v>
      </c>
      <c r="M1360">
        <v>0</v>
      </c>
      <c r="N1360" s="98" t="str">
        <f>IF(record[[#This Row],[Memo]]="Browser:chrome os:android","平板報工",IF(record[[#This Row],[Memo]]=0,"委外",record[[#This Row],[Memo]]))</f>
        <v>平板報工</v>
      </c>
      <c r="O1360" t="s">
        <v>643</v>
      </c>
      <c r="P1360" t="s">
        <v>806</v>
      </c>
      <c r="Q1360" t="s">
        <v>644</v>
      </c>
      <c r="R1360" t="str">
        <f>IFERROR(VLOOKUP(record[[#This Row],[PCUSTID]],廠商[],2,FALSE),"")</f>
        <v/>
      </c>
      <c r="S1360" t="str">
        <f>VLOOKUP(record[[#This Row],[employeeID]],員工[],2,FALSE)</f>
        <v>方思緯</v>
      </c>
    </row>
    <row r="1361" spans="6:19" hidden="1" x14ac:dyDescent="0.25">
      <c r="F1361" t="s">
        <v>1850</v>
      </c>
      <c r="G1361" t="s">
        <v>417</v>
      </c>
      <c r="H1361" t="str">
        <f>VLOOKUP(record[[#This Row],[ProcessSN]],表格2_7[],2,FALSE)</f>
        <v>30-4118-018-5XX</v>
      </c>
      <c r="I1361" t="str">
        <f>VLOOKUP(record[[#This Row],[ProcessSN]],表格2_7[],3,FALSE)</f>
        <v>#06</v>
      </c>
      <c r="J1361" t="s">
        <v>593</v>
      </c>
      <c r="K1361" s="195">
        <v>46134.983935185184</v>
      </c>
      <c r="L1361">
        <v>67</v>
      </c>
      <c r="M1361">
        <v>0</v>
      </c>
      <c r="N1361" s="98" t="str">
        <f>IF(record[[#This Row],[Memo]]="Browser:chrome os:android","平板報工",IF(record[[#This Row],[Memo]]=0,"委外",record[[#This Row],[Memo]]))</f>
        <v>平板報工</v>
      </c>
      <c r="O1361" t="s">
        <v>643</v>
      </c>
      <c r="P1361" t="s">
        <v>841</v>
      </c>
      <c r="Q1361" t="s">
        <v>644</v>
      </c>
      <c r="R1361" t="str">
        <f>IFERROR(VLOOKUP(record[[#This Row],[PCUSTID]],廠商[],2,FALSE),"")</f>
        <v/>
      </c>
      <c r="S1361" t="str">
        <f>VLOOKUP(record[[#This Row],[employeeID]],員工[],2,FALSE)</f>
        <v>范氏香</v>
      </c>
    </row>
    <row r="1362" spans="6:19" hidden="1" x14ac:dyDescent="0.25">
      <c r="F1362" t="s">
        <v>1815</v>
      </c>
      <c r="G1362" t="s">
        <v>451</v>
      </c>
      <c r="H1362" t="str">
        <f>VLOOKUP(record[[#This Row],[ProcessSN]],表格2_7[],2,FALSE)</f>
        <v>30-4118-018-6XX</v>
      </c>
      <c r="I1362" t="str">
        <f>VLOOKUP(record[[#This Row],[ProcessSN]],表格2_7[],3,FALSE)</f>
        <v>#07</v>
      </c>
      <c r="J1362" t="s">
        <v>588</v>
      </c>
      <c r="K1362" s="195">
        <v>46134.98165509259</v>
      </c>
      <c r="L1362">
        <v>73</v>
      </c>
      <c r="M1362">
        <v>1</v>
      </c>
      <c r="N1362" s="98" t="str">
        <f>IF(record[[#This Row],[Memo]]="Browser:chrome os:android","平板報工",IF(record[[#This Row],[Memo]]=0,"委外",record[[#This Row],[Memo]]))</f>
        <v>平板報工</v>
      </c>
      <c r="O1362" t="s">
        <v>643</v>
      </c>
      <c r="P1362" t="s">
        <v>1098</v>
      </c>
      <c r="Q1362" t="s">
        <v>644</v>
      </c>
      <c r="R1362" t="str">
        <f>IFERROR(VLOOKUP(record[[#This Row],[PCUSTID]],廠商[],2,FALSE),"")</f>
        <v/>
      </c>
      <c r="S1362" t="str">
        <f>VLOOKUP(record[[#This Row],[employeeID]],員工[],2,FALSE)</f>
        <v>阮氏芳英(英)</v>
      </c>
    </row>
    <row r="1363" spans="6:19" hidden="1" x14ac:dyDescent="0.25">
      <c r="F1363" t="s">
        <v>1850</v>
      </c>
      <c r="G1363" t="s">
        <v>416</v>
      </c>
      <c r="H1363" t="str">
        <f>VLOOKUP(record[[#This Row],[ProcessSN]],表格2_7[],2,FALSE)</f>
        <v>30-4118-018-5XX</v>
      </c>
      <c r="I1363" t="str">
        <f>VLOOKUP(record[[#This Row],[ProcessSN]],表格2_7[],3,FALSE)</f>
        <v>#05</v>
      </c>
      <c r="J1363" t="s">
        <v>588</v>
      </c>
      <c r="K1363" s="195">
        <v>46134.976168981484</v>
      </c>
      <c r="L1363">
        <v>130</v>
      </c>
      <c r="M1363">
        <v>0</v>
      </c>
      <c r="N1363" s="98" t="str">
        <f>IF(record[[#This Row],[Memo]]="Browser:chrome os:android","平板報工",IF(record[[#This Row],[Memo]]=0,"委外",record[[#This Row],[Memo]]))</f>
        <v>平板報工</v>
      </c>
      <c r="O1363" t="s">
        <v>643</v>
      </c>
      <c r="P1363" t="s">
        <v>691</v>
      </c>
      <c r="Q1363" t="s">
        <v>644</v>
      </c>
      <c r="R1363" t="str">
        <f>IFERROR(VLOOKUP(record[[#This Row],[PCUSTID]],廠商[],2,FALSE),"")</f>
        <v/>
      </c>
      <c r="S1363" t="str">
        <f>VLOOKUP(record[[#This Row],[employeeID]],員工[],2,FALSE)</f>
        <v>武氏賢</v>
      </c>
    </row>
    <row r="1364" spans="6:19" hidden="1" x14ac:dyDescent="0.25">
      <c r="F1364" t="s">
        <v>1850</v>
      </c>
      <c r="G1364" t="s">
        <v>415</v>
      </c>
      <c r="H1364" t="str">
        <f>VLOOKUP(record[[#This Row],[ProcessSN]],表格2_7[],2,FALSE)</f>
        <v>30-4118-018-5XX</v>
      </c>
      <c r="I1364" t="str">
        <f>VLOOKUP(record[[#This Row],[ProcessSN]],表格2_7[],3,FALSE)</f>
        <v>#04</v>
      </c>
      <c r="J1364" t="s">
        <v>588</v>
      </c>
      <c r="K1364" s="195">
        <v>46134.975474537037</v>
      </c>
      <c r="L1364">
        <v>130</v>
      </c>
      <c r="M1364">
        <v>0</v>
      </c>
      <c r="N1364" s="98" t="str">
        <f>IF(record[[#This Row],[Memo]]="Browser:chrome os:android","平板報工",IF(record[[#This Row],[Memo]]=0,"委外",record[[#This Row],[Memo]]))</f>
        <v>平板報工</v>
      </c>
      <c r="O1364" t="s">
        <v>643</v>
      </c>
      <c r="P1364" t="s">
        <v>180</v>
      </c>
      <c r="Q1364" t="s">
        <v>644</v>
      </c>
      <c r="R1364" t="str">
        <f>IFERROR(VLOOKUP(record[[#This Row],[PCUSTID]],廠商[],2,FALSE),"")</f>
        <v/>
      </c>
      <c r="S1364" t="str">
        <f>VLOOKUP(record[[#This Row],[employeeID]],員工[],2,FALSE)</f>
        <v>黎功江</v>
      </c>
    </row>
    <row r="1365" spans="6:19" hidden="1" x14ac:dyDescent="0.25">
      <c r="F1365" t="s">
        <v>1818</v>
      </c>
      <c r="G1365" t="s">
        <v>466</v>
      </c>
      <c r="H1365" t="str">
        <f>VLOOKUP(record[[#This Row],[ProcessSN]],表格2_7[],2,FALSE)</f>
        <v>30-4118-018-XXX</v>
      </c>
      <c r="I1365" t="str">
        <f>VLOOKUP(record[[#This Row],[ProcessSN]],表格2_7[],3,FALSE)</f>
        <v>#01-2</v>
      </c>
      <c r="J1365" t="s">
        <v>588</v>
      </c>
      <c r="K1365" s="195">
        <v>46134.970011574071</v>
      </c>
      <c r="L1365">
        <v>1204</v>
      </c>
      <c r="M1365">
        <v>0</v>
      </c>
      <c r="N1365" s="98" t="str">
        <f>IF(record[[#This Row],[Memo]]="Browser:chrome os:android","平板報工",IF(record[[#This Row],[Memo]]=0,"委外",record[[#This Row],[Memo]]))</f>
        <v>平板報工</v>
      </c>
      <c r="O1365" t="s">
        <v>643</v>
      </c>
      <c r="P1365" t="s">
        <v>89</v>
      </c>
      <c r="Q1365" t="s">
        <v>644</v>
      </c>
      <c r="R1365" t="str">
        <f>IFERROR(VLOOKUP(record[[#This Row],[PCUSTID]],廠商[],2,FALSE),"")</f>
        <v/>
      </c>
      <c r="S1365" t="str">
        <f>VLOOKUP(record[[#This Row],[employeeID]],員工[],2,FALSE)</f>
        <v>李美蓮</v>
      </c>
    </row>
    <row r="1366" spans="6:19" hidden="1" x14ac:dyDescent="0.25">
      <c r="F1366" t="s">
        <v>1790</v>
      </c>
      <c r="G1366" t="s">
        <v>377</v>
      </c>
      <c r="H1366" t="str">
        <f>VLOOKUP(record[[#This Row],[ProcessSN]],表格2_7[],2,FALSE)</f>
        <v>30-4118-018-4XX</v>
      </c>
      <c r="I1366" t="str">
        <f>VLOOKUP(record[[#This Row],[ProcessSN]],表格2_7[],3,FALSE)</f>
        <v>#07</v>
      </c>
      <c r="J1366" t="s">
        <v>588</v>
      </c>
      <c r="K1366" s="195">
        <v>46134.968032407407</v>
      </c>
      <c r="L1366">
        <v>92</v>
      </c>
      <c r="M1366">
        <v>4</v>
      </c>
      <c r="N1366" s="98" t="str">
        <f>IF(record[[#This Row],[Memo]]="Browser:chrome os:android","平板報工",IF(record[[#This Row],[Memo]]=0,"委外",record[[#This Row],[Memo]]))</f>
        <v>平板報工</v>
      </c>
      <c r="O1366" t="s">
        <v>643</v>
      </c>
      <c r="P1366" t="s">
        <v>1098</v>
      </c>
      <c r="Q1366" t="s">
        <v>644</v>
      </c>
      <c r="R1366" t="str">
        <f>IFERROR(VLOOKUP(record[[#This Row],[PCUSTID]],廠商[],2,FALSE),"")</f>
        <v/>
      </c>
      <c r="S1366" t="str">
        <f>VLOOKUP(record[[#This Row],[employeeID]],員工[],2,FALSE)</f>
        <v>阮氏芳英(英)</v>
      </c>
    </row>
    <row r="1367" spans="6:19" hidden="1" x14ac:dyDescent="0.25">
      <c r="F1367" t="s">
        <v>1830</v>
      </c>
      <c r="G1367" t="s">
        <v>403</v>
      </c>
      <c r="H1367" t="str">
        <f>VLOOKUP(record[[#This Row],[ProcessSN]],表格2_7[],2,FALSE)</f>
        <v>30-4118-018-550</v>
      </c>
      <c r="I1367" t="str">
        <f>VLOOKUP(record[[#This Row],[ProcessSN]],表格2_7[],3,FALSE)</f>
        <v>#100SHIP</v>
      </c>
      <c r="J1367" t="s">
        <v>600</v>
      </c>
      <c r="K1367" s="195">
        <v>46134.899756944447</v>
      </c>
      <c r="L1367">
        <v>274</v>
      </c>
      <c r="M1367">
        <v>0</v>
      </c>
      <c r="N1367" s="98" t="str">
        <f>IF(record[[#This Row],[Memo]]="Browser:chrome os:android","平板報工",IF(record[[#This Row],[Memo]]=0,"委外",record[[#This Row],[Memo]]))</f>
        <v/>
      </c>
      <c r="O1367" t="s">
        <v>58</v>
      </c>
      <c r="P1367" t="s">
        <v>886</v>
      </c>
      <c r="Q1367" t="s">
        <v>58</v>
      </c>
      <c r="R1367" t="str">
        <f>IFERROR(VLOOKUP(record[[#This Row],[PCUSTID]],廠商[],2,FALSE),"")</f>
        <v/>
      </c>
      <c r="S1367" t="str">
        <f>VLOOKUP(record[[#This Row],[employeeID]],員工[],2,FALSE)</f>
        <v>謝蓁薰</v>
      </c>
    </row>
    <row r="1368" spans="6:19" hidden="1" x14ac:dyDescent="0.25">
      <c r="F1368" t="s">
        <v>1830</v>
      </c>
      <c r="G1368" t="s">
        <v>402</v>
      </c>
      <c r="H1368" t="str">
        <f>VLOOKUP(record[[#This Row],[ProcessSN]],表格2_7[],2,FALSE)</f>
        <v>30-4118-018-550</v>
      </c>
      <c r="I1368" t="str">
        <f>VLOOKUP(record[[#This Row],[ProcessSN]],表格2_7[],3,FALSE)</f>
        <v>#100STOCK</v>
      </c>
      <c r="J1368" t="s">
        <v>592</v>
      </c>
      <c r="K1368" s="195">
        <v>46134.899641203701</v>
      </c>
      <c r="L1368">
        <v>274</v>
      </c>
      <c r="M1368">
        <v>0</v>
      </c>
      <c r="N1368" s="98" t="str">
        <f>IF(record[[#This Row],[Memo]]="Browser:chrome os:android","平板報工",IF(record[[#This Row],[Memo]]=0,"委外",record[[#This Row],[Memo]]))</f>
        <v/>
      </c>
      <c r="O1368" t="s">
        <v>58</v>
      </c>
      <c r="P1368" t="s">
        <v>886</v>
      </c>
      <c r="Q1368" t="s">
        <v>58</v>
      </c>
      <c r="R1368" t="str">
        <f>IFERROR(VLOOKUP(record[[#This Row],[PCUSTID]],廠商[],2,FALSE),"")</f>
        <v/>
      </c>
      <c r="S1368" t="str">
        <f>VLOOKUP(record[[#This Row],[employeeID]],員工[],2,FALSE)</f>
        <v>謝蓁薰</v>
      </c>
    </row>
    <row r="1369" spans="6:19" hidden="1" x14ac:dyDescent="0.25">
      <c r="F1369" t="s">
        <v>1839</v>
      </c>
      <c r="G1369" t="s">
        <v>387</v>
      </c>
      <c r="H1369" t="str">
        <f>VLOOKUP(record[[#This Row],[ProcessSN]],表格2_7[],2,FALSE)</f>
        <v>30-4118-018-500</v>
      </c>
      <c r="I1369" t="str">
        <f>VLOOKUP(record[[#This Row],[ProcessSN]],表格2_7[],3,FALSE)</f>
        <v>#100SHIP</v>
      </c>
      <c r="J1369" t="s">
        <v>600</v>
      </c>
      <c r="K1369" s="195">
        <v>46134.894409722219</v>
      </c>
      <c r="L1369">
        <v>77</v>
      </c>
      <c r="M1369">
        <v>0</v>
      </c>
      <c r="N1369" s="98" t="str">
        <f>IF(record[[#This Row],[Memo]]="Browser:chrome os:android","平板報工",IF(record[[#This Row],[Memo]]=0,"委外",record[[#This Row],[Memo]]))</f>
        <v/>
      </c>
      <c r="O1369" t="s">
        <v>58</v>
      </c>
      <c r="P1369" t="s">
        <v>886</v>
      </c>
      <c r="Q1369" t="s">
        <v>58</v>
      </c>
      <c r="R1369" t="str">
        <f>IFERROR(VLOOKUP(record[[#This Row],[PCUSTID]],廠商[],2,FALSE),"")</f>
        <v/>
      </c>
      <c r="S1369" t="str">
        <f>VLOOKUP(record[[#This Row],[employeeID]],員工[],2,FALSE)</f>
        <v>謝蓁薰</v>
      </c>
    </row>
    <row r="1370" spans="6:19" hidden="1" x14ac:dyDescent="0.25">
      <c r="F1370" t="s">
        <v>1839</v>
      </c>
      <c r="G1370" t="s">
        <v>386</v>
      </c>
      <c r="H1370" t="str">
        <f>VLOOKUP(record[[#This Row],[ProcessSN]],表格2_7[],2,FALSE)</f>
        <v>30-4118-018-500</v>
      </c>
      <c r="I1370" t="str">
        <f>VLOOKUP(record[[#This Row],[ProcessSN]],表格2_7[],3,FALSE)</f>
        <v>#100STOCK</v>
      </c>
      <c r="J1370" t="s">
        <v>592</v>
      </c>
      <c r="K1370" s="195">
        <v>46134.894016203703</v>
      </c>
      <c r="L1370">
        <v>77</v>
      </c>
      <c r="M1370">
        <v>0</v>
      </c>
      <c r="N1370" s="98" t="str">
        <f>IF(record[[#This Row],[Memo]]="Browser:chrome os:android","平板報工",IF(record[[#This Row],[Memo]]=0,"委外",record[[#This Row],[Memo]]))</f>
        <v/>
      </c>
      <c r="O1370" t="s">
        <v>58</v>
      </c>
      <c r="P1370" t="s">
        <v>886</v>
      </c>
      <c r="Q1370" t="s">
        <v>58</v>
      </c>
      <c r="R1370" t="str">
        <f>IFERROR(VLOOKUP(record[[#This Row],[PCUSTID]],廠商[],2,FALSE),"")</f>
        <v/>
      </c>
      <c r="S1370" t="str">
        <f>VLOOKUP(record[[#This Row],[employeeID]],員工[],2,FALSE)</f>
        <v>謝蓁薰</v>
      </c>
    </row>
    <row r="1371" spans="6:19" hidden="1" x14ac:dyDescent="0.25">
      <c r="F1371" t="s">
        <v>1850</v>
      </c>
      <c r="G1371" t="s">
        <v>417</v>
      </c>
      <c r="H1371" t="str">
        <f>VLOOKUP(record[[#This Row],[ProcessSN]],表格2_7[],2,FALSE)</f>
        <v>30-4118-018-5XX</v>
      </c>
      <c r="I1371" t="str">
        <f>VLOOKUP(record[[#This Row],[ProcessSN]],表格2_7[],3,FALSE)</f>
        <v>#06</v>
      </c>
      <c r="J1371" t="s">
        <v>593</v>
      </c>
      <c r="K1371" s="195">
        <v>46134.829317129632</v>
      </c>
      <c r="L1371">
        <v>22</v>
      </c>
      <c r="M1371">
        <v>0</v>
      </c>
      <c r="N1371" s="98" t="str">
        <f>IF(record[[#This Row],[Memo]]="Browser:chrome os:android","平板報工",IF(record[[#This Row],[Memo]]=0,"委外",record[[#This Row],[Memo]]))</f>
        <v>平板報工</v>
      </c>
      <c r="O1371" t="s">
        <v>643</v>
      </c>
      <c r="P1371" t="s">
        <v>1413</v>
      </c>
      <c r="Q1371" t="s">
        <v>644</v>
      </c>
      <c r="R1371" t="str">
        <f>IFERROR(VLOOKUP(record[[#This Row],[PCUSTID]],廠商[],2,FALSE),"")</f>
        <v/>
      </c>
      <c r="S1371" t="str">
        <f>VLOOKUP(record[[#This Row],[employeeID]],員工[],2,FALSE)</f>
        <v>阮氏芳英(芳)</v>
      </c>
    </row>
    <row r="1372" spans="6:19" hidden="1" x14ac:dyDescent="0.25">
      <c r="F1372" t="s">
        <v>1822</v>
      </c>
      <c r="G1372" t="s">
        <v>450</v>
      </c>
      <c r="H1372" t="str">
        <f>VLOOKUP(record[[#This Row],[ProcessSN]],表格2_7[],2,FALSE)</f>
        <v>30-4118-018-6XX</v>
      </c>
      <c r="I1372" t="str">
        <f>VLOOKUP(record[[#This Row],[ProcessSN]],表格2_7[],3,FALSE)</f>
        <v>#06</v>
      </c>
      <c r="J1372" t="s">
        <v>593</v>
      </c>
      <c r="K1372" s="195">
        <v>46134.829108796293</v>
      </c>
      <c r="L1372">
        <v>48</v>
      </c>
      <c r="M1372">
        <v>0</v>
      </c>
      <c r="N1372" s="98" t="str">
        <f>IF(record[[#This Row],[Memo]]="Browser:chrome os:android","平板報工",IF(record[[#This Row],[Memo]]=0,"委外",record[[#This Row],[Memo]]))</f>
        <v>平板報工</v>
      </c>
      <c r="O1372" t="s">
        <v>643</v>
      </c>
      <c r="P1372" t="s">
        <v>1413</v>
      </c>
      <c r="Q1372" t="s">
        <v>644</v>
      </c>
      <c r="R1372" t="str">
        <f>IFERROR(VLOOKUP(record[[#This Row],[PCUSTID]],廠商[],2,FALSE),"")</f>
        <v/>
      </c>
      <c r="S1372" t="str">
        <f>VLOOKUP(record[[#This Row],[employeeID]],員工[],2,FALSE)</f>
        <v>阮氏芳英(芳)</v>
      </c>
    </row>
    <row r="1373" spans="6:19" hidden="1" x14ac:dyDescent="0.25">
      <c r="F1373" t="s">
        <v>1822</v>
      </c>
      <c r="G1373" t="s">
        <v>449</v>
      </c>
      <c r="H1373" t="str">
        <f>VLOOKUP(record[[#This Row],[ProcessSN]],表格2_7[],2,FALSE)</f>
        <v>30-4118-018-6XX</v>
      </c>
      <c r="I1373" t="str">
        <f>VLOOKUP(record[[#This Row],[ProcessSN]],表格2_7[],3,FALSE)</f>
        <v>#05</v>
      </c>
      <c r="J1373" t="s">
        <v>588</v>
      </c>
      <c r="K1373" s="195">
        <v>46134.825115740743</v>
      </c>
      <c r="L1373">
        <v>48</v>
      </c>
      <c r="M1373">
        <v>0</v>
      </c>
      <c r="N1373" s="98" t="str">
        <f>IF(record[[#This Row],[Memo]]="Browser:chrome os:android","平板報工",IF(record[[#This Row],[Memo]]=0,"委外",record[[#This Row],[Memo]]))</f>
        <v>平板報工</v>
      </c>
      <c r="O1373" t="s">
        <v>643</v>
      </c>
      <c r="P1373" t="s">
        <v>785</v>
      </c>
      <c r="Q1373" t="s">
        <v>644</v>
      </c>
      <c r="R1373" t="str">
        <f>IFERROR(VLOOKUP(record[[#This Row],[PCUSTID]],廠商[],2,FALSE),"")</f>
        <v/>
      </c>
      <c r="S1373" t="str">
        <f>VLOOKUP(record[[#This Row],[employeeID]],員工[],2,FALSE)</f>
        <v>謝刻光</v>
      </c>
    </row>
    <row r="1374" spans="6:19" hidden="1" x14ac:dyDescent="0.25">
      <c r="F1374" t="s">
        <v>1850</v>
      </c>
      <c r="G1374" t="s">
        <v>416</v>
      </c>
      <c r="H1374" t="str">
        <f>VLOOKUP(record[[#This Row],[ProcessSN]],表格2_7[],2,FALSE)</f>
        <v>30-4118-018-5XX</v>
      </c>
      <c r="I1374" t="str">
        <f>VLOOKUP(record[[#This Row],[ProcessSN]],表格2_7[],3,FALSE)</f>
        <v>#05</v>
      </c>
      <c r="J1374" t="s">
        <v>588</v>
      </c>
      <c r="K1374" s="195">
        <v>46134.824814814812</v>
      </c>
      <c r="L1374">
        <v>70</v>
      </c>
      <c r="M1374">
        <v>0</v>
      </c>
      <c r="N1374" s="98" t="str">
        <f>IF(record[[#This Row],[Memo]]="Browser:chrome os:android","平板報工",IF(record[[#This Row],[Memo]]=0,"委外",record[[#This Row],[Memo]]))</f>
        <v>平板報工</v>
      </c>
      <c r="O1374" t="s">
        <v>643</v>
      </c>
      <c r="P1374" t="s">
        <v>785</v>
      </c>
      <c r="Q1374" t="s">
        <v>644</v>
      </c>
      <c r="R1374" t="str">
        <f>IFERROR(VLOOKUP(record[[#This Row],[PCUSTID]],廠商[],2,FALSE),"")</f>
        <v/>
      </c>
      <c r="S1374" t="str">
        <f>VLOOKUP(record[[#This Row],[employeeID]],員工[],2,FALSE)</f>
        <v>謝刻光</v>
      </c>
    </row>
    <row r="1375" spans="6:19" hidden="1" x14ac:dyDescent="0.25">
      <c r="F1375" t="s">
        <v>1850</v>
      </c>
      <c r="G1375" t="s">
        <v>415</v>
      </c>
      <c r="H1375" t="str">
        <f>VLOOKUP(record[[#This Row],[ProcessSN]],表格2_7[],2,FALSE)</f>
        <v>30-4118-018-5XX</v>
      </c>
      <c r="I1375" t="str">
        <f>VLOOKUP(record[[#This Row],[ProcessSN]],表格2_7[],3,FALSE)</f>
        <v>#04</v>
      </c>
      <c r="J1375" t="s">
        <v>588</v>
      </c>
      <c r="K1375" s="195">
        <v>46134.821053240739</v>
      </c>
      <c r="L1375">
        <v>118</v>
      </c>
      <c r="M1375">
        <v>0</v>
      </c>
      <c r="N1375" s="98" t="str">
        <f>IF(record[[#This Row],[Memo]]="Browser:chrome os:android","平板報工",IF(record[[#This Row],[Memo]]=0,"委外",record[[#This Row],[Memo]]))</f>
        <v/>
      </c>
      <c r="O1375" t="s">
        <v>58</v>
      </c>
      <c r="P1375" t="s">
        <v>188</v>
      </c>
      <c r="Q1375" t="s">
        <v>58</v>
      </c>
      <c r="R1375" t="str">
        <f>IFERROR(VLOOKUP(record[[#This Row],[PCUSTID]],廠商[],2,FALSE),"")</f>
        <v/>
      </c>
      <c r="S1375" t="str">
        <f>VLOOKUP(record[[#This Row],[employeeID]],員工[],2,FALSE)</f>
        <v>阮氏璧紅</v>
      </c>
    </row>
    <row r="1376" spans="6:19" hidden="1" x14ac:dyDescent="0.25">
      <c r="F1376" t="s">
        <v>1830</v>
      </c>
      <c r="G1376" t="s">
        <v>400</v>
      </c>
      <c r="H1376" t="str">
        <f>VLOOKUP(record[[#This Row],[ProcessSN]],表格2_7[],2,FALSE)</f>
        <v>30-4118-018-550</v>
      </c>
      <c r="I1376" t="str">
        <f>VLOOKUP(record[[#This Row],[ProcessSN]],表格2_7[],3,FALSE)</f>
        <v>#100</v>
      </c>
      <c r="J1376" t="s">
        <v>598</v>
      </c>
      <c r="K1376" s="195">
        <v>46134.804513888892</v>
      </c>
      <c r="L1376">
        <v>1</v>
      </c>
      <c r="M1376">
        <v>0</v>
      </c>
      <c r="N1376" s="98" t="str">
        <f>IF(record[[#This Row],[Memo]]="Browser:chrome os:android","平板報工",IF(record[[#This Row],[Memo]]=0,"委外",record[[#This Row],[Memo]]))</f>
        <v/>
      </c>
      <c r="O1376" t="s">
        <v>58</v>
      </c>
      <c r="P1376" t="s">
        <v>99</v>
      </c>
      <c r="Q1376" t="s">
        <v>58</v>
      </c>
      <c r="R1376" t="str">
        <f>IFERROR(VLOOKUP(record[[#This Row],[PCUSTID]],廠商[],2,FALSE),"")</f>
        <v/>
      </c>
      <c r="S1376" t="str">
        <f>VLOOKUP(record[[#This Row],[employeeID]],員工[],2,FALSE)</f>
        <v>阮氏河</v>
      </c>
    </row>
    <row r="1377" spans="6:19" hidden="1" x14ac:dyDescent="0.25">
      <c r="F1377" t="s">
        <v>1866</v>
      </c>
      <c r="G1377" t="s">
        <v>400</v>
      </c>
      <c r="H1377" t="str">
        <f>VLOOKUP(record[[#This Row],[ProcessSN]],表格2_7[],2,FALSE)</f>
        <v>30-4118-018-550</v>
      </c>
      <c r="I1377" t="str">
        <f>VLOOKUP(record[[#This Row],[ProcessSN]],表格2_7[],3,FALSE)</f>
        <v>#100</v>
      </c>
      <c r="J1377" t="s">
        <v>598</v>
      </c>
      <c r="K1377" s="195">
        <v>46134.804270833331</v>
      </c>
      <c r="L1377">
        <v>160</v>
      </c>
      <c r="M1377">
        <v>0</v>
      </c>
      <c r="N1377" s="98" t="str">
        <f>IF(record[[#This Row],[Memo]]="Browser:chrome os:android","平板報工",IF(record[[#This Row],[Memo]]=0,"委外",record[[#This Row],[Memo]]))</f>
        <v/>
      </c>
      <c r="O1377" t="s">
        <v>58</v>
      </c>
      <c r="P1377" t="s">
        <v>99</v>
      </c>
      <c r="Q1377" t="s">
        <v>58</v>
      </c>
      <c r="R1377" t="str">
        <f>IFERROR(VLOOKUP(record[[#This Row],[PCUSTID]],廠商[],2,FALSE),"")</f>
        <v/>
      </c>
      <c r="S1377" t="str">
        <f>VLOOKUP(record[[#This Row],[employeeID]],員工[],2,FALSE)</f>
        <v>阮氏河</v>
      </c>
    </row>
    <row r="1378" spans="6:19" hidden="1" x14ac:dyDescent="0.25">
      <c r="F1378" t="s">
        <v>1866</v>
      </c>
      <c r="G1378" t="s">
        <v>400</v>
      </c>
      <c r="H1378" t="str">
        <f>VLOOKUP(record[[#This Row],[ProcessSN]],表格2_7[],2,FALSE)</f>
        <v>30-4118-018-550</v>
      </c>
      <c r="I1378" t="str">
        <f>VLOOKUP(record[[#This Row],[ProcessSN]],表格2_7[],3,FALSE)</f>
        <v>#100</v>
      </c>
      <c r="J1378" t="s">
        <v>598</v>
      </c>
      <c r="K1378" s="195">
        <v>46134.788252314815</v>
      </c>
      <c r="L1378">
        <v>0</v>
      </c>
      <c r="M1378">
        <v>7</v>
      </c>
      <c r="N1378" s="98" t="str">
        <f>IF(record[[#This Row],[Memo]]="Browser:chrome os:android","平板報工",IF(record[[#This Row],[Memo]]=0,"委外",record[[#This Row],[Memo]]))</f>
        <v/>
      </c>
      <c r="O1378" t="s">
        <v>58</v>
      </c>
      <c r="P1378" t="s">
        <v>103</v>
      </c>
      <c r="Q1378" t="s">
        <v>58</v>
      </c>
      <c r="R1378" t="str">
        <f>IFERROR(VLOOKUP(record[[#This Row],[PCUSTID]],廠商[],2,FALSE),"")</f>
        <v/>
      </c>
      <c r="S1378" t="str">
        <f>VLOOKUP(record[[#This Row],[employeeID]],員工[],2,FALSE)</f>
        <v>黎秋水</v>
      </c>
    </row>
    <row r="1379" spans="6:19" hidden="1" x14ac:dyDescent="0.25">
      <c r="F1379" t="s">
        <v>1866</v>
      </c>
      <c r="G1379" t="s">
        <v>400</v>
      </c>
      <c r="H1379" t="str">
        <f>VLOOKUP(record[[#This Row],[ProcessSN]],表格2_7[],2,FALSE)</f>
        <v>30-4118-018-550</v>
      </c>
      <c r="I1379" t="str">
        <f>VLOOKUP(record[[#This Row],[ProcessSN]],表格2_7[],3,FALSE)</f>
        <v>#100</v>
      </c>
      <c r="J1379" t="s">
        <v>598</v>
      </c>
      <c r="K1379" s="195">
        <v>46134.787847222222</v>
      </c>
      <c r="L1379">
        <v>138</v>
      </c>
      <c r="M1379">
        <v>0</v>
      </c>
      <c r="N1379" s="98" t="str">
        <f>IF(record[[#This Row],[Memo]]="Browser:chrome os:android","平板報工",IF(record[[#This Row],[Memo]]=0,"委外",record[[#This Row],[Memo]]))</f>
        <v/>
      </c>
      <c r="O1379" t="s">
        <v>58</v>
      </c>
      <c r="P1379" t="s">
        <v>103</v>
      </c>
      <c r="Q1379" t="s">
        <v>58</v>
      </c>
      <c r="R1379" t="str">
        <f>IFERROR(VLOOKUP(record[[#This Row],[PCUSTID]],廠商[],2,FALSE),"")</f>
        <v/>
      </c>
      <c r="S1379" t="str">
        <f>VLOOKUP(record[[#This Row],[employeeID]],員工[],2,FALSE)</f>
        <v>黎秋水</v>
      </c>
    </row>
    <row r="1380" spans="6:19" hidden="1" x14ac:dyDescent="0.25">
      <c r="F1380" t="s">
        <v>1830</v>
      </c>
      <c r="G1380" t="s">
        <v>400</v>
      </c>
      <c r="H1380" t="str">
        <f>VLOOKUP(record[[#This Row],[ProcessSN]],表格2_7[],2,FALSE)</f>
        <v>30-4118-018-550</v>
      </c>
      <c r="I1380" t="str">
        <f>VLOOKUP(record[[#This Row],[ProcessSN]],表格2_7[],3,FALSE)</f>
        <v>#100</v>
      </c>
      <c r="J1380" t="s">
        <v>598</v>
      </c>
      <c r="K1380" s="195">
        <v>46134.778900462959</v>
      </c>
      <c r="L1380">
        <v>68</v>
      </c>
      <c r="M1380">
        <v>0</v>
      </c>
      <c r="N1380" s="98" t="str">
        <f>IF(record[[#This Row],[Memo]]="Browser:chrome os:android","平板報工",IF(record[[#This Row],[Memo]]=0,"委外",record[[#This Row],[Memo]]))</f>
        <v/>
      </c>
      <c r="O1380" t="s">
        <v>58</v>
      </c>
      <c r="P1380" t="s">
        <v>103</v>
      </c>
      <c r="Q1380" t="s">
        <v>58</v>
      </c>
      <c r="R1380" t="str">
        <f>IFERROR(VLOOKUP(record[[#This Row],[PCUSTID]],廠商[],2,FALSE),"")</f>
        <v/>
      </c>
      <c r="S1380" t="str">
        <f>VLOOKUP(record[[#This Row],[employeeID]],員工[],2,FALSE)</f>
        <v>黎秋水</v>
      </c>
    </row>
    <row r="1381" spans="6:19" hidden="1" x14ac:dyDescent="0.25">
      <c r="F1381" t="s">
        <v>1838</v>
      </c>
      <c r="G1381" t="s">
        <v>400</v>
      </c>
      <c r="H1381" t="str">
        <f>VLOOKUP(record[[#This Row],[ProcessSN]],表格2_7[],2,FALSE)</f>
        <v>30-4118-018-550</v>
      </c>
      <c r="I1381" t="str">
        <f>VLOOKUP(record[[#This Row],[ProcessSN]],表格2_7[],3,FALSE)</f>
        <v>#100</v>
      </c>
      <c r="J1381" t="s">
        <v>598</v>
      </c>
      <c r="K1381" s="195">
        <v>46134.778645833336</v>
      </c>
      <c r="L1381">
        <v>94</v>
      </c>
      <c r="M1381">
        <v>0</v>
      </c>
      <c r="N1381" s="98" t="str">
        <f>IF(record[[#This Row],[Memo]]="Browser:chrome os:android","平板報工",IF(record[[#This Row],[Memo]]=0,"委外",record[[#This Row],[Memo]]))</f>
        <v/>
      </c>
      <c r="O1381" t="s">
        <v>58</v>
      </c>
      <c r="P1381" t="s">
        <v>103</v>
      </c>
      <c r="Q1381" t="s">
        <v>58</v>
      </c>
      <c r="R1381" t="str">
        <f>IFERROR(VLOOKUP(record[[#This Row],[PCUSTID]],廠商[],2,FALSE),"")</f>
        <v/>
      </c>
      <c r="S1381" t="str">
        <f>VLOOKUP(record[[#This Row],[employeeID]],員工[],2,FALSE)</f>
        <v>黎秋水</v>
      </c>
    </row>
    <row r="1382" spans="6:19" hidden="1" x14ac:dyDescent="0.25">
      <c r="F1382" t="s">
        <v>1838</v>
      </c>
      <c r="G1382" t="s">
        <v>400</v>
      </c>
      <c r="H1382" t="str">
        <f>VLOOKUP(record[[#This Row],[ProcessSN]],表格2_7[],2,FALSE)</f>
        <v>30-4118-018-550</v>
      </c>
      <c r="I1382" t="str">
        <f>VLOOKUP(record[[#This Row],[ProcessSN]],表格2_7[],3,FALSE)</f>
        <v>#100</v>
      </c>
      <c r="J1382" t="s">
        <v>598</v>
      </c>
      <c r="K1382" s="195">
        <v>46134.77815972222</v>
      </c>
      <c r="L1382">
        <v>296</v>
      </c>
      <c r="M1382">
        <v>0</v>
      </c>
      <c r="N1382" s="98" t="str">
        <f>IF(record[[#This Row],[Memo]]="Browser:chrome os:android","平板報工",IF(record[[#This Row],[Memo]]=0,"委外",record[[#This Row],[Memo]]))</f>
        <v/>
      </c>
      <c r="O1382" t="s">
        <v>58</v>
      </c>
      <c r="P1382" t="s">
        <v>141</v>
      </c>
      <c r="Q1382" t="s">
        <v>58</v>
      </c>
      <c r="R1382" t="str">
        <f>IFERROR(VLOOKUP(record[[#This Row],[PCUSTID]],廠商[],2,FALSE),"")</f>
        <v/>
      </c>
      <c r="S1382" t="str">
        <f>VLOOKUP(record[[#This Row],[employeeID]],員工[],2,FALSE)</f>
        <v>蔣梅</v>
      </c>
    </row>
    <row r="1383" spans="6:19" hidden="1" x14ac:dyDescent="0.25">
      <c r="F1383" t="s">
        <v>1838</v>
      </c>
      <c r="G1383" t="s">
        <v>400</v>
      </c>
      <c r="H1383" t="str">
        <f>VLOOKUP(record[[#This Row],[ProcessSN]],表格2_7[],2,FALSE)</f>
        <v>30-4118-018-550</v>
      </c>
      <c r="I1383" t="str">
        <f>VLOOKUP(record[[#This Row],[ProcessSN]],表格2_7[],3,FALSE)</f>
        <v>#100</v>
      </c>
      <c r="J1383" t="s">
        <v>598</v>
      </c>
      <c r="K1383" s="195">
        <v>46134.777581018519</v>
      </c>
      <c r="L1383">
        <v>0</v>
      </c>
      <c r="M1383">
        <v>13</v>
      </c>
      <c r="N1383" s="98" t="str">
        <f>IF(record[[#This Row],[Memo]]="Browser:chrome os:android","平板報工",IF(record[[#This Row],[Memo]]=0,"委外",record[[#This Row],[Memo]]))</f>
        <v/>
      </c>
      <c r="O1383" t="s">
        <v>58</v>
      </c>
      <c r="P1383" t="s">
        <v>141</v>
      </c>
      <c r="Q1383" t="s">
        <v>58</v>
      </c>
      <c r="R1383" t="str">
        <f>IFERROR(VLOOKUP(record[[#This Row],[PCUSTID]],廠商[],2,FALSE),"")</f>
        <v/>
      </c>
      <c r="S1383" t="str">
        <f>VLOOKUP(record[[#This Row],[employeeID]],員工[],2,FALSE)</f>
        <v>蔣梅</v>
      </c>
    </row>
    <row r="1384" spans="6:19" hidden="1" x14ac:dyDescent="0.25">
      <c r="F1384" t="s">
        <v>1772</v>
      </c>
      <c r="G1384" t="s">
        <v>470</v>
      </c>
      <c r="H1384" t="str">
        <f>VLOOKUP(record[[#This Row],[ProcessSN]],表格2_7[],2,FALSE)</f>
        <v>30-4118-018-XXX</v>
      </c>
      <c r="I1384" t="str">
        <f>VLOOKUP(record[[#This Row],[ProcessSN]],表格2_7[],3,FALSE)</f>
        <v>#02IQC</v>
      </c>
      <c r="J1384" t="s">
        <v>583</v>
      </c>
      <c r="K1384" s="195">
        <v>46134.760474537034</v>
      </c>
      <c r="L1384">
        <v>672</v>
      </c>
      <c r="M1384">
        <v>0</v>
      </c>
      <c r="N1384" s="98" t="str">
        <f>IF(record[[#This Row],[Memo]]="Browser:chrome os:android","平板報工",IF(record[[#This Row],[Memo]]=0,"委外",record[[#This Row],[Memo]]))</f>
        <v/>
      </c>
      <c r="O1384" t="s">
        <v>58</v>
      </c>
      <c r="P1384" t="s">
        <v>109</v>
      </c>
      <c r="Q1384" t="s">
        <v>58</v>
      </c>
      <c r="R1384" t="str">
        <f>IFERROR(VLOOKUP(record[[#This Row],[PCUSTID]],廠商[],2,FALSE),"")</f>
        <v/>
      </c>
      <c r="S1384" t="str">
        <f>VLOOKUP(record[[#This Row],[employeeID]],員工[],2,FALSE)</f>
        <v>裴氏璧鳳</v>
      </c>
    </row>
    <row r="1385" spans="6:19" hidden="1" x14ac:dyDescent="0.25">
      <c r="F1385" t="s">
        <v>1787</v>
      </c>
      <c r="G1385" t="s">
        <v>470</v>
      </c>
      <c r="H1385" t="str">
        <f>VLOOKUP(record[[#This Row],[ProcessSN]],表格2_7[],2,FALSE)</f>
        <v>30-4118-018-XXX</v>
      </c>
      <c r="I1385" t="str">
        <f>VLOOKUP(record[[#This Row],[ProcessSN]],表格2_7[],3,FALSE)</f>
        <v>#02IQC</v>
      </c>
      <c r="J1385" t="s">
        <v>583</v>
      </c>
      <c r="K1385" s="195">
        <v>46134.760300925926</v>
      </c>
      <c r="L1385">
        <v>462</v>
      </c>
      <c r="M1385">
        <v>0</v>
      </c>
      <c r="N1385" s="98" t="str">
        <f>IF(record[[#This Row],[Memo]]="Browser:chrome os:android","平板報工",IF(record[[#This Row],[Memo]]=0,"委外",record[[#This Row],[Memo]]))</f>
        <v/>
      </c>
      <c r="O1385" t="s">
        <v>58</v>
      </c>
      <c r="P1385" t="s">
        <v>109</v>
      </c>
      <c r="Q1385" t="s">
        <v>58</v>
      </c>
      <c r="R1385" t="str">
        <f>IFERROR(VLOOKUP(record[[#This Row],[PCUSTID]],廠商[],2,FALSE),"")</f>
        <v/>
      </c>
      <c r="S1385" t="str">
        <f>VLOOKUP(record[[#This Row],[employeeID]],員工[],2,FALSE)</f>
        <v>裴氏璧鳳</v>
      </c>
    </row>
    <row r="1386" spans="6:19" hidden="1" x14ac:dyDescent="0.25">
      <c r="F1386" t="s">
        <v>1840</v>
      </c>
      <c r="G1386" t="s">
        <v>358</v>
      </c>
      <c r="H1386" t="str">
        <f>VLOOKUP(record[[#This Row],[ProcessSN]],表格2_7[],2,FALSE)</f>
        <v>30-4118-018-450</v>
      </c>
      <c r="I1386" t="str">
        <f>VLOOKUP(record[[#This Row],[ProcessSN]],表格2_7[],3,FALSE)</f>
        <v>#08IQC</v>
      </c>
      <c r="J1386" t="s">
        <v>583</v>
      </c>
      <c r="K1386" s="195">
        <v>46134.750231481485</v>
      </c>
      <c r="L1386">
        <v>267</v>
      </c>
      <c r="M1386">
        <v>0</v>
      </c>
      <c r="N1386" s="98" t="str">
        <f>IF(record[[#This Row],[Memo]]="Browser:chrome os:android","平板報工",IF(record[[#This Row],[Memo]]=0,"委外",record[[#This Row],[Memo]]))</f>
        <v/>
      </c>
      <c r="O1386" t="s">
        <v>58</v>
      </c>
      <c r="P1386" t="s">
        <v>109</v>
      </c>
      <c r="Q1386" t="s">
        <v>58</v>
      </c>
      <c r="R1386" t="str">
        <f>IFERROR(VLOOKUP(record[[#This Row],[PCUSTID]],廠商[],2,FALSE),"")</f>
        <v/>
      </c>
      <c r="S1386" t="str">
        <f>VLOOKUP(record[[#This Row],[employeeID]],員工[],2,FALSE)</f>
        <v>裴氏璧鳳</v>
      </c>
    </row>
    <row r="1387" spans="6:19" hidden="1" x14ac:dyDescent="0.25">
      <c r="F1387" t="s">
        <v>1838</v>
      </c>
      <c r="G1387" t="s">
        <v>399</v>
      </c>
      <c r="H1387" t="str">
        <f>VLOOKUP(record[[#This Row],[ProcessSN]],表格2_7[],2,FALSE)</f>
        <v>30-4118-018-550</v>
      </c>
      <c r="I1387" t="str">
        <f>VLOOKUP(record[[#This Row],[ProcessSN]],表格2_7[],3,FALSE)</f>
        <v>#08IQC</v>
      </c>
      <c r="J1387" t="s">
        <v>583</v>
      </c>
      <c r="K1387" s="195">
        <v>46134.749918981484</v>
      </c>
      <c r="L1387">
        <v>403</v>
      </c>
      <c r="M1387">
        <v>0</v>
      </c>
      <c r="N1387" s="98" t="str">
        <f>IF(record[[#This Row],[Memo]]="Browser:chrome os:android","平板報工",IF(record[[#This Row],[Memo]]=0,"委外",record[[#This Row],[Memo]]))</f>
        <v/>
      </c>
      <c r="O1387" t="s">
        <v>58</v>
      </c>
      <c r="P1387" t="s">
        <v>109</v>
      </c>
      <c r="Q1387" t="s">
        <v>58</v>
      </c>
      <c r="R1387" t="str">
        <f>IFERROR(VLOOKUP(record[[#This Row],[PCUSTID]],廠商[],2,FALSE),"")</f>
        <v/>
      </c>
      <c r="S1387" t="str">
        <f>VLOOKUP(record[[#This Row],[employeeID]],員工[],2,FALSE)</f>
        <v>裴氏璧鳳</v>
      </c>
    </row>
    <row r="1388" spans="6:19" hidden="1" x14ac:dyDescent="0.25">
      <c r="F1388" t="s">
        <v>1830</v>
      </c>
      <c r="G1388" t="s">
        <v>399</v>
      </c>
      <c r="H1388" t="str">
        <f>VLOOKUP(record[[#This Row],[ProcessSN]],表格2_7[],2,FALSE)</f>
        <v>30-4118-018-550</v>
      </c>
      <c r="I1388" t="str">
        <f>VLOOKUP(record[[#This Row],[ProcessSN]],表格2_7[],3,FALSE)</f>
        <v>#08IQC</v>
      </c>
      <c r="J1388" t="s">
        <v>583</v>
      </c>
      <c r="K1388" s="195">
        <v>46134.749803240738</v>
      </c>
      <c r="L1388">
        <v>70</v>
      </c>
      <c r="M1388">
        <v>0</v>
      </c>
      <c r="N1388" s="98" t="str">
        <f>IF(record[[#This Row],[Memo]]="Browser:chrome os:android","平板報工",IF(record[[#This Row],[Memo]]=0,"委外",record[[#This Row],[Memo]]))</f>
        <v/>
      </c>
      <c r="O1388" t="s">
        <v>58</v>
      </c>
      <c r="P1388" t="s">
        <v>109</v>
      </c>
      <c r="Q1388" t="s">
        <v>58</v>
      </c>
      <c r="R1388" t="str">
        <f>IFERROR(VLOOKUP(record[[#This Row],[PCUSTID]],廠商[],2,FALSE),"")</f>
        <v/>
      </c>
      <c r="S1388" t="str">
        <f>VLOOKUP(record[[#This Row],[employeeID]],員工[],2,FALSE)</f>
        <v>裴氏璧鳳</v>
      </c>
    </row>
    <row r="1389" spans="6:19" hidden="1" x14ac:dyDescent="0.25">
      <c r="F1389" t="s">
        <v>1850</v>
      </c>
      <c r="G1389" t="s">
        <v>417</v>
      </c>
      <c r="H1389" t="str">
        <f>VLOOKUP(record[[#This Row],[ProcessSN]],表格2_7[],2,FALSE)</f>
        <v>30-4118-018-5XX</v>
      </c>
      <c r="I1389" t="str">
        <f>VLOOKUP(record[[#This Row],[ProcessSN]],表格2_7[],3,FALSE)</f>
        <v>#06</v>
      </c>
      <c r="J1389" t="s">
        <v>593</v>
      </c>
      <c r="K1389" s="195">
        <v>46134.746863425928</v>
      </c>
      <c r="L1389">
        <v>4</v>
      </c>
      <c r="M1389">
        <v>0</v>
      </c>
      <c r="N1389" s="98" t="str">
        <f>IF(record[[#This Row],[Memo]]="Browser:chrome os:android","平板報工",IF(record[[#This Row],[Memo]]=0,"委外",record[[#This Row],[Memo]]))</f>
        <v/>
      </c>
      <c r="O1389" t="s">
        <v>58</v>
      </c>
      <c r="P1389" t="s">
        <v>101</v>
      </c>
      <c r="Q1389" t="s">
        <v>58</v>
      </c>
      <c r="R1389" t="str">
        <f>IFERROR(VLOOKUP(record[[#This Row],[PCUSTID]],廠商[],2,FALSE),"")</f>
        <v/>
      </c>
      <c r="S1389" t="str">
        <f>VLOOKUP(record[[#This Row],[employeeID]],員工[],2,FALSE)</f>
        <v>陳氏絨</v>
      </c>
    </row>
    <row r="1390" spans="6:19" hidden="1" x14ac:dyDescent="0.25">
      <c r="F1390" t="s">
        <v>1850</v>
      </c>
      <c r="G1390" t="s">
        <v>416</v>
      </c>
      <c r="H1390" t="str">
        <f>VLOOKUP(record[[#This Row],[ProcessSN]],表格2_7[],2,FALSE)</f>
        <v>30-4118-018-5XX</v>
      </c>
      <c r="I1390" t="str">
        <f>VLOOKUP(record[[#This Row],[ProcessSN]],表格2_7[],3,FALSE)</f>
        <v>#05</v>
      </c>
      <c r="J1390" t="s">
        <v>588</v>
      </c>
      <c r="K1390" s="195">
        <v>46134.745682870373</v>
      </c>
      <c r="L1390">
        <v>4</v>
      </c>
      <c r="M1390">
        <v>0</v>
      </c>
      <c r="N1390" s="98" t="str">
        <f>IF(record[[#This Row],[Memo]]="Browser:chrome os:android","平板報工",IF(record[[#This Row],[Memo]]=0,"委外",record[[#This Row],[Memo]]))</f>
        <v/>
      </c>
      <c r="O1390" t="s">
        <v>58</v>
      </c>
      <c r="P1390" t="s">
        <v>101</v>
      </c>
      <c r="Q1390" t="s">
        <v>58</v>
      </c>
      <c r="R1390" t="str">
        <f>IFERROR(VLOOKUP(record[[#This Row],[PCUSTID]],廠商[],2,FALSE),"")</f>
        <v/>
      </c>
      <c r="S1390" t="str">
        <f>VLOOKUP(record[[#This Row],[employeeID]],員工[],2,FALSE)</f>
        <v>陳氏絨</v>
      </c>
    </row>
    <row r="1391" spans="6:19" hidden="1" x14ac:dyDescent="0.25">
      <c r="F1391" t="s">
        <v>1841</v>
      </c>
      <c r="G1391" t="s">
        <v>426</v>
      </c>
      <c r="H1391" t="str">
        <f>VLOOKUP(record[[#This Row],[ProcessSN]],表格2_7[],2,FALSE)</f>
        <v>30-4118-018-600</v>
      </c>
      <c r="I1391" t="str">
        <f>VLOOKUP(record[[#This Row],[ProcessSN]],表格2_7[],3,FALSE)</f>
        <v>#100OQC</v>
      </c>
      <c r="J1391" t="s">
        <v>599</v>
      </c>
      <c r="K1391" s="195">
        <v>46134.739560185182</v>
      </c>
      <c r="L1391">
        <v>69</v>
      </c>
      <c r="M1391">
        <v>0</v>
      </c>
      <c r="N1391" s="98" t="str">
        <f>IF(record[[#This Row],[Memo]]="Browser:chrome os:android","平板報工",IF(record[[#This Row],[Memo]]=0,"委外",record[[#This Row],[Memo]]))</f>
        <v/>
      </c>
      <c r="O1391" t="s">
        <v>58</v>
      </c>
      <c r="P1391" t="s">
        <v>121</v>
      </c>
      <c r="Q1391" t="s">
        <v>58</v>
      </c>
      <c r="R1391" t="str">
        <f>IFERROR(VLOOKUP(record[[#This Row],[PCUSTID]],廠商[],2,FALSE),"")</f>
        <v/>
      </c>
      <c r="S1391" t="str">
        <f>VLOOKUP(record[[#This Row],[employeeID]],員工[],2,FALSE)</f>
        <v>謝素卿</v>
      </c>
    </row>
    <row r="1392" spans="6:19" hidden="1" x14ac:dyDescent="0.25">
      <c r="F1392" t="s">
        <v>1839</v>
      </c>
      <c r="G1392" t="s">
        <v>385</v>
      </c>
      <c r="H1392" t="str">
        <f>VLOOKUP(record[[#This Row],[ProcessSN]],表格2_7[],2,FALSE)</f>
        <v>30-4118-018-500</v>
      </c>
      <c r="I1392" t="str">
        <f>VLOOKUP(record[[#This Row],[ProcessSN]],表格2_7[],3,FALSE)</f>
        <v>#100OQC</v>
      </c>
      <c r="J1392" t="s">
        <v>599</v>
      </c>
      <c r="K1392" s="195">
        <v>46134.73914351852</v>
      </c>
      <c r="L1392">
        <v>77</v>
      </c>
      <c r="M1392">
        <v>0</v>
      </c>
      <c r="N1392" s="98" t="str">
        <f>IF(record[[#This Row],[Memo]]="Browser:chrome os:android","平板報工",IF(record[[#This Row],[Memo]]=0,"委外",record[[#This Row],[Memo]]))</f>
        <v/>
      </c>
      <c r="O1392" t="s">
        <v>58</v>
      </c>
      <c r="P1392" t="s">
        <v>121</v>
      </c>
      <c r="Q1392" t="s">
        <v>58</v>
      </c>
      <c r="R1392" t="str">
        <f>IFERROR(VLOOKUP(record[[#This Row],[PCUSTID]],廠商[],2,FALSE),"")</f>
        <v/>
      </c>
      <c r="S1392" t="str">
        <f>VLOOKUP(record[[#This Row],[employeeID]],員工[],2,FALSE)</f>
        <v>謝素卿</v>
      </c>
    </row>
    <row r="1393" spans="6:19" hidden="1" x14ac:dyDescent="0.25">
      <c r="F1393" t="s">
        <v>1838</v>
      </c>
      <c r="G1393" t="s">
        <v>398</v>
      </c>
      <c r="H1393" t="str">
        <f>VLOOKUP(record[[#This Row],[ProcessSN]],表格2_7[],2,FALSE)</f>
        <v>30-4118-018-550</v>
      </c>
      <c r="I1393" t="str">
        <f>VLOOKUP(record[[#This Row],[ProcessSN]],表格2_7[],3,FALSE)</f>
        <v>#08RCV</v>
      </c>
      <c r="J1393" t="s">
        <v>591</v>
      </c>
      <c r="K1393" s="195">
        <v>46134.738333333335</v>
      </c>
      <c r="L1393">
        <v>2</v>
      </c>
      <c r="M1393">
        <v>0</v>
      </c>
      <c r="N1393" s="98" t="str">
        <f>IF(record[[#This Row],[Memo]]="Browser:chrome os:android","平板報工",IF(record[[#This Row],[Memo]]=0,"委外",record[[#This Row],[Memo]]))</f>
        <v/>
      </c>
      <c r="O1393" t="s">
        <v>58</v>
      </c>
      <c r="P1393" t="s">
        <v>886</v>
      </c>
      <c r="Q1393" t="s">
        <v>58</v>
      </c>
      <c r="R1393" t="str">
        <f>IFERROR(VLOOKUP(record[[#This Row],[PCUSTID]],廠商[],2,FALSE),"")</f>
        <v/>
      </c>
      <c r="S1393" t="str">
        <f>VLOOKUP(record[[#This Row],[employeeID]],員工[],2,FALSE)</f>
        <v>謝蓁薰</v>
      </c>
    </row>
    <row r="1394" spans="6:19" hidden="1" x14ac:dyDescent="0.25">
      <c r="F1394" t="s">
        <v>1840</v>
      </c>
      <c r="G1394" t="s">
        <v>357</v>
      </c>
      <c r="H1394" t="str">
        <f>VLOOKUP(record[[#This Row],[ProcessSN]],表格2_7[],2,FALSE)</f>
        <v>30-4118-018-450</v>
      </c>
      <c r="I1394" t="str">
        <f>VLOOKUP(record[[#This Row],[ProcessSN]],表格2_7[],3,FALSE)</f>
        <v>#08RCV</v>
      </c>
      <c r="J1394" t="s">
        <v>591</v>
      </c>
      <c r="K1394" s="195">
        <v>46134.738125000003</v>
      </c>
      <c r="L1394">
        <v>267</v>
      </c>
      <c r="M1394">
        <v>0</v>
      </c>
      <c r="N1394" s="98" t="str">
        <f>IF(record[[#This Row],[Memo]]="Browser:chrome os:android","平板報工",IF(record[[#This Row],[Memo]]=0,"委外",record[[#This Row],[Memo]]))</f>
        <v/>
      </c>
      <c r="O1394" t="s">
        <v>58</v>
      </c>
      <c r="P1394" t="s">
        <v>886</v>
      </c>
      <c r="Q1394" t="s">
        <v>58</v>
      </c>
      <c r="R1394" t="str">
        <f>IFERROR(VLOOKUP(record[[#This Row],[PCUSTID]],廠商[],2,FALSE),"")</f>
        <v/>
      </c>
      <c r="S1394" t="str">
        <f>VLOOKUP(record[[#This Row],[employeeID]],員工[],2,FALSE)</f>
        <v>謝蓁薰</v>
      </c>
    </row>
    <row r="1395" spans="6:19" hidden="1" x14ac:dyDescent="0.25">
      <c r="F1395" t="s">
        <v>1818</v>
      </c>
      <c r="G1395" t="s">
        <v>467</v>
      </c>
      <c r="H1395" t="str">
        <f>VLOOKUP(record[[#This Row],[ProcessSN]],表格2_7[],2,FALSE)</f>
        <v>30-4118-018-XXX</v>
      </c>
      <c r="I1395" t="str">
        <f>VLOOKUP(record[[#This Row],[ProcessSN]],表格2_7[],3,FALSE)</f>
        <v>#01QC</v>
      </c>
      <c r="J1395" t="s">
        <v>589</v>
      </c>
      <c r="K1395" s="195">
        <v>46134.718819444446</v>
      </c>
      <c r="L1395">
        <v>1344</v>
      </c>
      <c r="M1395">
        <v>0</v>
      </c>
      <c r="N1395" s="98" t="str">
        <f>IF(record[[#This Row],[Memo]]="Browser:chrome os:android","平板報工",IF(record[[#This Row],[Memo]]=0,"委外",record[[#This Row],[Memo]]))</f>
        <v>平板報工</v>
      </c>
      <c r="O1395" t="s">
        <v>643</v>
      </c>
      <c r="P1395" t="s">
        <v>182</v>
      </c>
      <c r="Q1395" t="s">
        <v>644</v>
      </c>
      <c r="R1395" t="str">
        <f>IFERROR(VLOOKUP(record[[#This Row],[PCUSTID]],廠商[],2,FALSE),"")</f>
        <v/>
      </c>
      <c r="S1395" t="str">
        <f>VLOOKUP(record[[#This Row],[employeeID]],員工[],2,FALSE)</f>
        <v>梅氏和</v>
      </c>
    </row>
    <row r="1396" spans="6:19" hidden="1" x14ac:dyDescent="0.25">
      <c r="F1396" t="s">
        <v>1818</v>
      </c>
      <c r="G1396" t="s">
        <v>466</v>
      </c>
      <c r="H1396" t="str">
        <f>VLOOKUP(record[[#This Row],[ProcessSN]],表格2_7[],2,FALSE)</f>
        <v>30-4118-018-XXX</v>
      </c>
      <c r="I1396" t="str">
        <f>VLOOKUP(record[[#This Row],[ProcessSN]],表格2_7[],3,FALSE)</f>
        <v>#01-2</v>
      </c>
      <c r="J1396" t="s">
        <v>588</v>
      </c>
      <c r="K1396" s="195">
        <v>46134.711076388892</v>
      </c>
      <c r="L1396">
        <v>27</v>
      </c>
      <c r="M1396">
        <v>0</v>
      </c>
      <c r="N1396" s="98" t="str">
        <f>IF(record[[#This Row],[Memo]]="Browser:chrome os:android","平板報工",IF(record[[#This Row],[Memo]]=0,"委外",record[[#This Row],[Memo]]))</f>
        <v>補報</v>
      </c>
      <c r="O1396" t="s">
        <v>868</v>
      </c>
      <c r="P1396" t="s">
        <v>101</v>
      </c>
      <c r="Q1396" t="s">
        <v>58</v>
      </c>
      <c r="R1396" t="str">
        <f>IFERROR(VLOOKUP(record[[#This Row],[PCUSTID]],廠商[],2,FALSE),"")</f>
        <v/>
      </c>
      <c r="S1396" t="str">
        <f>VLOOKUP(record[[#This Row],[employeeID]],員工[],2,FALSE)</f>
        <v>陳氏絨</v>
      </c>
    </row>
    <row r="1397" spans="6:19" hidden="1" x14ac:dyDescent="0.25">
      <c r="F1397" t="s">
        <v>1850</v>
      </c>
      <c r="G1397" t="s">
        <v>420</v>
      </c>
      <c r="H1397" t="str">
        <f>VLOOKUP(record[[#This Row],[ProcessSN]],表格2_7[],2,FALSE)</f>
        <v>30-4118-018-5XX</v>
      </c>
      <c r="I1397" t="str">
        <f>VLOOKUP(record[[#This Row],[ProcessSN]],表格2_7[],3,FALSE)</f>
        <v>#07STOCK</v>
      </c>
      <c r="J1397" t="s">
        <v>592</v>
      </c>
      <c r="K1397" s="195">
        <v>46134.706932870373</v>
      </c>
      <c r="L1397">
        <v>32</v>
      </c>
      <c r="M1397">
        <v>0</v>
      </c>
      <c r="N1397" s="98" t="str">
        <f>IF(record[[#This Row],[Memo]]="Browser:chrome os:android","平板報工",IF(record[[#This Row],[Memo]]=0,"委外",record[[#This Row],[Memo]]))</f>
        <v/>
      </c>
      <c r="O1397" t="s">
        <v>58</v>
      </c>
      <c r="P1397" t="s">
        <v>186</v>
      </c>
      <c r="Q1397" t="s">
        <v>58</v>
      </c>
      <c r="R1397" t="str">
        <f>IFERROR(VLOOKUP(record[[#This Row],[PCUSTID]],廠商[],2,FALSE),"")</f>
        <v/>
      </c>
      <c r="S1397" t="str">
        <f>VLOOKUP(record[[#This Row],[employeeID]],員工[],2,FALSE)</f>
        <v>許文姍</v>
      </c>
    </row>
    <row r="1398" spans="6:19" hidden="1" x14ac:dyDescent="0.25">
      <c r="F1398" t="s">
        <v>1794</v>
      </c>
      <c r="G1398" t="s">
        <v>420</v>
      </c>
      <c r="H1398" t="str">
        <f>VLOOKUP(record[[#This Row],[ProcessSN]],表格2_7[],2,FALSE)</f>
        <v>30-4118-018-5XX</v>
      </c>
      <c r="I1398" t="str">
        <f>VLOOKUP(record[[#This Row],[ProcessSN]],表格2_7[],3,FALSE)</f>
        <v>#07STOCK</v>
      </c>
      <c r="J1398" t="s">
        <v>592</v>
      </c>
      <c r="K1398" s="195">
        <v>46134.706724537034</v>
      </c>
      <c r="L1398">
        <v>17</v>
      </c>
      <c r="M1398">
        <v>0</v>
      </c>
      <c r="N1398" s="98" t="str">
        <f>IF(record[[#This Row],[Memo]]="Browser:chrome os:android","平板報工",IF(record[[#This Row],[Memo]]=0,"委外",record[[#This Row],[Memo]]))</f>
        <v/>
      </c>
      <c r="O1398" t="s">
        <v>58</v>
      </c>
      <c r="P1398" t="s">
        <v>186</v>
      </c>
      <c r="Q1398" t="s">
        <v>58</v>
      </c>
      <c r="R1398" t="str">
        <f>IFERROR(VLOOKUP(record[[#This Row],[PCUSTID]],廠商[],2,FALSE),"")</f>
        <v/>
      </c>
      <c r="S1398" t="str">
        <f>VLOOKUP(record[[#This Row],[employeeID]],員工[],2,FALSE)</f>
        <v>許文姍</v>
      </c>
    </row>
    <row r="1399" spans="6:19" hidden="1" x14ac:dyDescent="0.25">
      <c r="F1399" t="s">
        <v>1850</v>
      </c>
      <c r="G1399" t="s">
        <v>419</v>
      </c>
      <c r="H1399" t="str">
        <f>VLOOKUP(record[[#This Row],[ProcessSN]],表格2_7[],2,FALSE)</f>
        <v>30-4118-018-5XX</v>
      </c>
      <c r="I1399" t="str">
        <f>VLOOKUP(record[[#This Row],[ProcessSN]],表格2_7[],3,FALSE)</f>
        <v>#07QC</v>
      </c>
      <c r="J1399" t="s">
        <v>589</v>
      </c>
      <c r="K1399" s="195">
        <v>46134.702430555553</v>
      </c>
      <c r="L1399">
        <v>32</v>
      </c>
      <c r="M1399">
        <v>0</v>
      </c>
      <c r="N1399" s="98" t="str">
        <f>IF(record[[#This Row],[Memo]]="Browser:chrome os:android","平板報工",IF(record[[#This Row],[Memo]]=0,"委外",record[[#This Row],[Memo]]))</f>
        <v/>
      </c>
      <c r="O1399" t="s">
        <v>58</v>
      </c>
      <c r="P1399" t="s">
        <v>99</v>
      </c>
      <c r="Q1399" t="s">
        <v>58</v>
      </c>
      <c r="R1399" t="str">
        <f>IFERROR(VLOOKUP(record[[#This Row],[PCUSTID]],廠商[],2,FALSE),"")</f>
        <v/>
      </c>
      <c r="S1399" t="str">
        <f>VLOOKUP(record[[#This Row],[employeeID]],員工[],2,FALSE)</f>
        <v>阮氏河</v>
      </c>
    </row>
    <row r="1400" spans="6:19" hidden="1" x14ac:dyDescent="0.25">
      <c r="F1400" t="s">
        <v>1794</v>
      </c>
      <c r="G1400" t="s">
        <v>419</v>
      </c>
      <c r="H1400" t="str">
        <f>VLOOKUP(record[[#This Row],[ProcessSN]],表格2_7[],2,FALSE)</f>
        <v>30-4118-018-5XX</v>
      </c>
      <c r="I1400" t="str">
        <f>VLOOKUP(record[[#This Row],[ProcessSN]],表格2_7[],3,FALSE)</f>
        <v>#07QC</v>
      </c>
      <c r="J1400" t="s">
        <v>589</v>
      </c>
      <c r="K1400" s="195">
        <v>46134.698587962965</v>
      </c>
      <c r="L1400">
        <v>17</v>
      </c>
      <c r="M1400">
        <v>0</v>
      </c>
      <c r="N1400" s="98" t="str">
        <f>IF(record[[#This Row],[Memo]]="Browser:chrome os:android","平板報工",IF(record[[#This Row],[Memo]]=0,"委外",record[[#This Row],[Memo]]))</f>
        <v/>
      </c>
      <c r="O1400" t="s">
        <v>58</v>
      </c>
      <c r="P1400" t="s">
        <v>99</v>
      </c>
      <c r="Q1400" t="s">
        <v>58</v>
      </c>
      <c r="R1400" t="str">
        <f>IFERROR(VLOOKUP(record[[#This Row],[PCUSTID]],廠商[],2,FALSE),"")</f>
        <v/>
      </c>
      <c r="S1400" t="str">
        <f>VLOOKUP(record[[#This Row],[employeeID]],員工[],2,FALSE)</f>
        <v>阮氏河</v>
      </c>
    </row>
    <row r="1401" spans="6:19" hidden="1" x14ac:dyDescent="0.25">
      <c r="F1401" t="s">
        <v>1794</v>
      </c>
      <c r="G1401" t="s">
        <v>419</v>
      </c>
      <c r="H1401" t="str">
        <f>VLOOKUP(record[[#This Row],[ProcessSN]],表格2_7[],2,FALSE)</f>
        <v>30-4118-018-5XX</v>
      </c>
      <c r="I1401" t="str">
        <f>VLOOKUP(record[[#This Row],[ProcessSN]],表格2_7[],3,FALSE)</f>
        <v>#07QC</v>
      </c>
      <c r="J1401" t="s">
        <v>589</v>
      </c>
      <c r="K1401" s="195">
        <v>46134.698182870372</v>
      </c>
      <c r="L1401">
        <v>0</v>
      </c>
      <c r="M1401">
        <v>24</v>
      </c>
      <c r="N1401" s="98" t="str">
        <f>IF(record[[#This Row],[Memo]]="Browser:chrome os:android","平板報工",IF(record[[#This Row],[Memo]]=0,"委外",record[[#This Row],[Memo]]))</f>
        <v/>
      </c>
      <c r="O1401" t="s">
        <v>58</v>
      </c>
      <c r="P1401" t="s">
        <v>99</v>
      </c>
      <c r="Q1401" t="s">
        <v>58</v>
      </c>
      <c r="R1401" t="str">
        <f>IFERROR(VLOOKUP(record[[#This Row],[PCUSTID]],廠商[],2,FALSE),"")</f>
        <v/>
      </c>
      <c r="S1401" t="str">
        <f>VLOOKUP(record[[#This Row],[employeeID]],員工[],2,FALSE)</f>
        <v>阮氏河</v>
      </c>
    </row>
    <row r="1402" spans="6:19" hidden="1" x14ac:dyDescent="0.25">
      <c r="F1402" t="s">
        <v>1794</v>
      </c>
      <c r="G1402" t="s">
        <v>420</v>
      </c>
      <c r="H1402" t="str">
        <f>VLOOKUP(record[[#This Row],[ProcessSN]],表格2_7[],2,FALSE)</f>
        <v>30-4118-018-5XX</v>
      </c>
      <c r="I1402" t="str">
        <f>VLOOKUP(record[[#This Row],[ProcessSN]],表格2_7[],3,FALSE)</f>
        <v>#07STOCK</v>
      </c>
      <c r="J1402" t="s">
        <v>592</v>
      </c>
      <c r="K1402" s="195">
        <v>46134.687557870369</v>
      </c>
      <c r="L1402">
        <v>770</v>
      </c>
      <c r="M1402">
        <v>0</v>
      </c>
      <c r="N1402" s="98" t="str">
        <f>IF(record[[#This Row],[Memo]]="Browser:chrome os:android","平板報工",IF(record[[#This Row],[Memo]]=0,"委外",record[[#This Row],[Memo]]))</f>
        <v/>
      </c>
      <c r="O1402" t="s">
        <v>58</v>
      </c>
      <c r="P1402" t="s">
        <v>186</v>
      </c>
      <c r="Q1402" t="s">
        <v>58</v>
      </c>
      <c r="R1402" t="str">
        <f>IFERROR(VLOOKUP(record[[#This Row],[PCUSTID]],廠商[],2,FALSE),"")</f>
        <v/>
      </c>
      <c r="S1402" t="str">
        <f>VLOOKUP(record[[#This Row],[employeeID]],員工[],2,FALSE)</f>
        <v>許文姍</v>
      </c>
    </row>
    <row r="1403" spans="6:19" hidden="1" x14ac:dyDescent="0.25">
      <c r="F1403" t="s">
        <v>1794</v>
      </c>
      <c r="G1403" t="s">
        <v>419</v>
      </c>
      <c r="H1403" t="str">
        <f>VLOOKUP(record[[#This Row],[ProcessSN]],表格2_7[],2,FALSE)</f>
        <v>30-4118-018-5XX</v>
      </c>
      <c r="I1403" t="str">
        <f>VLOOKUP(record[[#This Row],[ProcessSN]],表格2_7[],3,FALSE)</f>
        <v>#07QC</v>
      </c>
      <c r="J1403" t="s">
        <v>589</v>
      </c>
      <c r="K1403" s="195">
        <v>46134.685254629629</v>
      </c>
      <c r="L1403">
        <v>770</v>
      </c>
      <c r="M1403">
        <v>0</v>
      </c>
      <c r="N1403" s="98" t="str">
        <f>IF(record[[#This Row],[Memo]]="Browser:chrome os:android","平板報工",IF(record[[#This Row],[Memo]]=0,"委外",record[[#This Row],[Memo]]))</f>
        <v/>
      </c>
      <c r="O1403" t="s">
        <v>58</v>
      </c>
      <c r="P1403" t="s">
        <v>99</v>
      </c>
      <c r="Q1403" t="s">
        <v>58</v>
      </c>
      <c r="R1403" t="str">
        <f>IFERROR(VLOOKUP(record[[#This Row],[PCUSTID]],廠商[],2,FALSE),"")</f>
        <v/>
      </c>
      <c r="S1403" t="str">
        <f>VLOOKUP(record[[#This Row],[employeeID]],員工[],2,FALSE)</f>
        <v>阮氏河</v>
      </c>
    </row>
    <row r="1404" spans="6:19" hidden="1" x14ac:dyDescent="0.25">
      <c r="F1404" t="s">
        <v>1850</v>
      </c>
      <c r="G1404" t="s">
        <v>418</v>
      </c>
      <c r="H1404" t="str">
        <f>VLOOKUP(record[[#This Row],[ProcessSN]],表格2_7[],2,FALSE)</f>
        <v>30-4118-018-5XX</v>
      </c>
      <c r="I1404" t="str">
        <f>VLOOKUP(record[[#This Row],[ProcessSN]],表格2_7[],3,FALSE)</f>
        <v>#07</v>
      </c>
      <c r="J1404" t="s">
        <v>588</v>
      </c>
      <c r="K1404" s="195">
        <v>46134.684791666667</v>
      </c>
      <c r="L1404">
        <v>32</v>
      </c>
      <c r="M1404">
        <v>0</v>
      </c>
      <c r="N1404" s="98" t="str">
        <f>IF(record[[#This Row],[Memo]]="Browser:chrome os:android","平板報工",IF(record[[#This Row],[Memo]]=0,"委外",record[[#This Row],[Memo]]))</f>
        <v/>
      </c>
      <c r="O1404" t="s">
        <v>58</v>
      </c>
      <c r="P1404" t="s">
        <v>101</v>
      </c>
      <c r="Q1404" t="s">
        <v>58</v>
      </c>
      <c r="R1404" t="str">
        <f>IFERROR(VLOOKUP(record[[#This Row],[PCUSTID]],廠商[],2,FALSE),"")</f>
        <v/>
      </c>
      <c r="S1404" t="str">
        <f>VLOOKUP(record[[#This Row],[employeeID]],員工[],2,FALSE)</f>
        <v>陳氏絨</v>
      </c>
    </row>
    <row r="1405" spans="6:19" hidden="1" x14ac:dyDescent="0.25">
      <c r="F1405" t="s">
        <v>1838</v>
      </c>
      <c r="G1405" t="s">
        <v>398</v>
      </c>
      <c r="H1405" t="str">
        <f>VLOOKUP(record[[#This Row],[ProcessSN]],表格2_7[],2,FALSE)</f>
        <v>30-4118-018-550</v>
      </c>
      <c r="I1405" t="str">
        <f>VLOOKUP(record[[#This Row],[ProcessSN]],表格2_7[],3,FALSE)</f>
        <v>#08RCV</v>
      </c>
      <c r="J1405" t="s">
        <v>591</v>
      </c>
      <c r="K1405" s="195">
        <v>46134.672766203701</v>
      </c>
      <c r="L1405">
        <v>0</v>
      </c>
      <c r="M1405">
        <v>3</v>
      </c>
      <c r="N1405" s="98" t="str">
        <f>IF(record[[#This Row],[Memo]]="Browser:chrome os:android","平板報工",IF(record[[#This Row],[Memo]]=0,"委外",record[[#This Row],[Memo]]))</f>
        <v/>
      </c>
      <c r="O1405" t="s">
        <v>58</v>
      </c>
      <c r="P1405" t="s">
        <v>186</v>
      </c>
      <c r="Q1405" t="s">
        <v>58</v>
      </c>
      <c r="R1405" t="str">
        <f>IFERROR(VLOOKUP(record[[#This Row],[PCUSTID]],廠商[],2,FALSE),"")</f>
        <v/>
      </c>
      <c r="S1405" t="str">
        <f>VLOOKUP(record[[#This Row],[employeeID]],員工[],2,FALSE)</f>
        <v>許文姍</v>
      </c>
    </row>
    <row r="1406" spans="6:19" hidden="1" x14ac:dyDescent="0.25">
      <c r="F1406" t="s">
        <v>1838</v>
      </c>
      <c r="G1406" t="s">
        <v>398</v>
      </c>
      <c r="H1406" t="str">
        <f>VLOOKUP(record[[#This Row],[ProcessSN]],表格2_7[],2,FALSE)</f>
        <v>30-4118-018-550</v>
      </c>
      <c r="I1406" t="str">
        <f>VLOOKUP(record[[#This Row],[ProcessSN]],表格2_7[],3,FALSE)</f>
        <v>#08RCV</v>
      </c>
      <c r="J1406" t="s">
        <v>591</v>
      </c>
      <c r="K1406" s="195">
        <v>46134.672615740739</v>
      </c>
      <c r="L1406">
        <v>401</v>
      </c>
      <c r="M1406">
        <v>0</v>
      </c>
      <c r="N1406" s="98" t="str">
        <f>IF(record[[#This Row],[Memo]]="Browser:chrome os:android","平板報工",IF(record[[#This Row],[Memo]]=0,"委外",record[[#This Row],[Memo]]))</f>
        <v/>
      </c>
      <c r="O1406" t="s">
        <v>58</v>
      </c>
      <c r="P1406" t="s">
        <v>186</v>
      </c>
      <c r="Q1406" t="s">
        <v>58</v>
      </c>
      <c r="R1406" t="str">
        <f>IFERROR(VLOOKUP(record[[#This Row],[PCUSTID]],廠商[],2,FALSE),"")</f>
        <v/>
      </c>
      <c r="S1406" t="str">
        <f>VLOOKUP(record[[#This Row],[employeeID]],員工[],2,FALSE)</f>
        <v>許文姍</v>
      </c>
    </row>
    <row r="1407" spans="6:19" hidden="1" x14ac:dyDescent="0.25">
      <c r="F1407" t="s">
        <v>1830</v>
      </c>
      <c r="G1407" t="s">
        <v>398</v>
      </c>
      <c r="H1407" t="str">
        <f>VLOOKUP(record[[#This Row],[ProcessSN]],表格2_7[],2,FALSE)</f>
        <v>30-4118-018-550</v>
      </c>
      <c r="I1407" t="str">
        <f>VLOOKUP(record[[#This Row],[ProcessSN]],表格2_7[],3,FALSE)</f>
        <v>#08RCV</v>
      </c>
      <c r="J1407" t="s">
        <v>591</v>
      </c>
      <c r="K1407" s="195">
        <v>46134.672372685185</v>
      </c>
      <c r="L1407">
        <v>70</v>
      </c>
      <c r="M1407">
        <v>0</v>
      </c>
      <c r="N1407" s="98" t="str">
        <f>IF(record[[#This Row],[Memo]]="Browser:chrome os:android","平板報工",IF(record[[#This Row],[Memo]]=0,"委外",record[[#This Row],[Memo]]))</f>
        <v/>
      </c>
      <c r="O1407" t="s">
        <v>58</v>
      </c>
      <c r="P1407" t="s">
        <v>186</v>
      </c>
      <c r="Q1407" t="s">
        <v>58</v>
      </c>
      <c r="R1407" t="str">
        <f>IFERROR(VLOOKUP(record[[#This Row],[PCUSTID]],廠商[],2,FALSE),"")</f>
        <v/>
      </c>
      <c r="S1407" t="str">
        <f>VLOOKUP(record[[#This Row],[employeeID]],員工[],2,FALSE)</f>
        <v>許文姍</v>
      </c>
    </row>
    <row r="1408" spans="6:19" hidden="1" x14ac:dyDescent="0.25">
      <c r="F1408" t="s">
        <v>1850</v>
      </c>
      <c r="G1408" t="s">
        <v>417</v>
      </c>
      <c r="H1408" t="str">
        <f>VLOOKUP(record[[#This Row],[ProcessSN]],表格2_7[],2,FALSE)</f>
        <v>30-4118-018-5XX</v>
      </c>
      <c r="I1408" t="str">
        <f>VLOOKUP(record[[#This Row],[ProcessSN]],表格2_7[],3,FALSE)</f>
        <v>#06</v>
      </c>
      <c r="J1408" t="s">
        <v>593</v>
      </c>
      <c r="K1408" s="195">
        <v>46134.666967592595</v>
      </c>
      <c r="L1408">
        <v>44</v>
      </c>
      <c r="M1408">
        <v>0</v>
      </c>
      <c r="N1408" s="98" t="str">
        <f>IF(record[[#This Row],[Memo]]="Browser:chrome os:android","平板報工",IF(record[[#This Row],[Memo]]=0,"委外",record[[#This Row],[Memo]]))</f>
        <v>平板報工</v>
      </c>
      <c r="O1408" t="s">
        <v>643</v>
      </c>
      <c r="P1408" t="s">
        <v>1413</v>
      </c>
      <c r="Q1408" t="s">
        <v>644</v>
      </c>
      <c r="R1408" t="str">
        <f>IFERROR(VLOOKUP(record[[#This Row],[PCUSTID]],廠商[],2,FALSE),"")</f>
        <v/>
      </c>
      <c r="S1408" t="str">
        <f>VLOOKUP(record[[#This Row],[employeeID]],員工[],2,FALSE)</f>
        <v>阮氏芳英(芳)</v>
      </c>
    </row>
    <row r="1409" spans="6:19" hidden="1" x14ac:dyDescent="0.25">
      <c r="F1409" t="s">
        <v>1815</v>
      </c>
      <c r="G1409" t="s">
        <v>451</v>
      </c>
      <c r="H1409" t="str">
        <f>VLOOKUP(record[[#This Row],[ProcessSN]],表格2_7[],2,FALSE)</f>
        <v>30-4118-018-6XX</v>
      </c>
      <c r="I1409" t="str">
        <f>VLOOKUP(record[[#This Row],[ProcessSN]],表格2_7[],3,FALSE)</f>
        <v>#07</v>
      </c>
      <c r="J1409" t="s">
        <v>588</v>
      </c>
      <c r="K1409" s="195">
        <v>46134.663263888891</v>
      </c>
      <c r="L1409">
        <v>44</v>
      </c>
      <c r="M1409">
        <v>0</v>
      </c>
      <c r="N1409" s="98" t="str">
        <f>IF(record[[#This Row],[Memo]]="Browser:chrome os:android","平板報工",IF(record[[#This Row],[Memo]]=0,"委外",record[[#This Row],[Memo]]))</f>
        <v>平板報工</v>
      </c>
      <c r="O1409" t="s">
        <v>643</v>
      </c>
      <c r="P1409" t="s">
        <v>785</v>
      </c>
      <c r="Q1409" t="s">
        <v>644</v>
      </c>
      <c r="R1409" t="str">
        <f>IFERROR(VLOOKUP(record[[#This Row],[PCUSTID]],廠商[],2,FALSE),"")</f>
        <v/>
      </c>
      <c r="S1409" t="str">
        <f>VLOOKUP(record[[#This Row],[employeeID]],員工[],2,FALSE)</f>
        <v>謝刻光</v>
      </c>
    </row>
    <row r="1410" spans="6:19" hidden="1" x14ac:dyDescent="0.25">
      <c r="F1410" t="s">
        <v>1874</v>
      </c>
      <c r="G1410" t="s">
        <v>364</v>
      </c>
      <c r="H1410" t="str">
        <f>VLOOKUP(record[[#This Row],[ProcessSN]],表格2_7[],2,FALSE)</f>
        <v>30-4118-018-470</v>
      </c>
      <c r="I1410" t="str">
        <f>VLOOKUP(record[[#This Row],[ProcessSN]],表格2_7[],3,FALSE)</f>
        <v>#08</v>
      </c>
      <c r="J1410" t="s">
        <v>597</v>
      </c>
      <c r="K1410" s="195">
        <v>46134.660578703704</v>
      </c>
      <c r="L1410">
        <v>230</v>
      </c>
      <c r="M1410">
        <v>0</v>
      </c>
      <c r="N1410" s="98" t="str">
        <f>IF(record[[#This Row],[Memo]]="Browser:chrome os:android","平板報工",IF(record[[#This Row],[Memo]]=0,"委外",record[[#This Row],[Memo]]))</f>
        <v>委外</v>
      </c>
      <c r="P1410" t="s">
        <v>186</v>
      </c>
      <c r="Q1410" t="s">
        <v>287</v>
      </c>
      <c r="R1410" t="str">
        <f>IFERROR(VLOOKUP(record[[#This Row],[PCUSTID]],廠商[],2,FALSE),"")</f>
        <v>泉盛</v>
      </c>
      <c r="S1410" t="str">
        <f>VLOOKUP(record[[#This Row],[employeeID]],員工[],2,FALSE)</f>
        <v>許文姍</v>
      </c>
    </row>
    <row r="1411" spans="6:19" hidden="1" x14ac:dyDescent="0.25">
      <c r="F1411" t="s">
        <v>1874</v>
      </c>
      <c r="G1411" t="s">
        <v>363</v>
      </c>
      <c r="H1411" t="str">
        <f>VLOOKUP(record[[#This Row],[ProcessSN]],表格2_7[],2,FALSE)</f>
        <v>30-4118-018-470</v>
      </c>
      <c r="I1411" t="str">
        <f>VLOOKUP(record[[#This Row],[ProcessSN]],表格2_7[],3,FALSE)</f>
        <v>#08PICK</v>
      </c>
      <c r="J1411" t="s">
        <v>582</v>
      </c>
      <c r="K1411" s="195">
        <v>46134.660497685189</v>
      </c>
      <c r="L1411">
        <v>230</v>
      </c>
      <c r="M1411">
        <v>0</v>
      </c>
      <c r="N1411" s="98" t="str">
        <f>IF(record[[#This Row],[Memo]]="Browser:chrome os:android","平板報工",IF(record[[#This Row],[Memo]]=0,"委外",record[[#This Row],[Memo]]))</f>
        <v/>
      </c>
      <c r="O1411" t="s">
        <v>58</v>
      </c>
      <c r="P1411" t="s">
        <v>186</v>
      </c>
      <c r="Q1411" t="s">
        <v>58</v>
      </c>
      <c r="R1411" t="str">
        <f>IFERROR(VLOOKUP(record[[#This Row],[PCUSTID]],廠商[],2,FALSE),"")</f>
        <v/>
      </c>
      <c r="S1411" t="str">
        <f>VLOOKUP(record[[#This Row],[employeeID]],員工[],2,FALSE)</f>
        <v>許文姍</v>
      </c>
    </row>
    <row r="1412" spans="6:19" hidden="1" x14ac:dyDescent="0.25">
      <c r="F1412" t="s">
        <v>1600</v>
      </c>
      <c r="G1412" t="s">
        <v>423</v>
      </c>
      <c r="H1412" t="str">
        <f>VLOOKUP(record[[#This Row],[ProcessSN]],表格2_7[],2,FALSE)</f>
        <v>30-4118-018-600</v>
      </c>
      <c r="I1412" t="str">
        <f>VLOOKUP(record[[#This Row],[ProcessSN]],表格2_7[],3,FALSE)</f>
        <v>#08RCV</v>
      </c>
      <c r="J1412" t="s">
        <v>591</v>
      </c>
      <c r="K1412" s="195">
        <v>46134.659618055557</v>
      </c>
      <c r="L1412">
        <v>3</v>
      </c>
      <c r="M1412">
        <v>-3</v>
      </c>
      <c r="N1412" s="98" t="str">
        <f>IF(record[[#This Row],[Memo]]="Browser:chrome os:android","平板報工",IF(record[[#This Row],[Memo]]=0,"委外",record[[#This Row],[Memo]]))</f>
        <v>1.5露白</v>
      </c>
      <c r="O1412" t="s">
        <v>1827</v>
      </c>
      <c r="P1412" t="s">
        <v>65</v>
      </c>
      <c r="R1412" t="str">
        <f>IFERROR(VLOOKUP(record[[#This Row],[PCUSTID]],廠商[],2,FALSE),"")</f>
        <v/>
      </c>
      <c r="S1412" t="str">
        <f>VLOOKUP(record[[#This Row],[employeeID]],員工[],2,FALSE)</f>
        <v>蘇進昌</v>
      </c>
    </row>
    <row r="1413" spans="6:19" hidden="1" x14ac:dyDescent="0.25">
      <c r="F1413" t="s">
        <v>1600</v>
      </c>
      <c r="G1413" t="s">
        <v>424</v>
      </c>
      <c r="H1413" t="str">
        <f>VLOOKUP(record[[#This Row],[ProcessSN]],表格2_7[],2,FALSE)</f>
        <v>30-4118-018-600</v>
      </c>
      <c r="I1413" t="str">
        <f>VLOOKUP(record[[#This Row],[ProcessSN]],表格2_7[],3,FALSE)</f>
        <v>#08IQC</v>
      </c>
      <c r="J1413" t="s">
        <v>583</v>
      </c>
      <c r="K1413" s="195">
        <v>46134.659618055557</v>
      </c>
      <c r="L1413">
        <v>3</v>
      </c>
      <c r="M1413">
        <v>0</v>
      </c>
      <c r="N1413" s="98" t="str">
        <f>IF(record[[#This Row],[Memo]]="Browser:chrome os:android","平板報工",IF(record[[#This Row],[Memo]]=0,"委外",record[[#This Row],[Memo]]))</f>
        <v>1.5露白</v>
      </c>
      <c r="O1413" t="s">
        <v>1827</v>
      </c>
      <c r="P1413" t="s">
        <v>65</v>
      </c>
      <c r="R1413" t="str">
        <f>IFERROR(VLOOKUP(record[[#This Row],[PCUSTID]],廠商[],2,FALSE),"")</f>
        <v/>
      </c>
      <c r="S1413" t="str">
        <f>VLOOKUP(record[[#This Row],[employeeID]],員工[],2,FALSE)</f>
        <v>蘇進昌</v>
      </c>
    </row>
    <row r="1414" spans="6:19" hidden="1" x14ac:dyDescent="0.25">
      <c r="F1414" t="s">
        <v>1600</v>
      </c>
      <c r="G1414" t="s">
        <v>425</v>
      </c>
      <c r="H1414" t="str">
        <f>VLOOKUP(record[[#This Row],[ProcessSN]],表格2_7[],2,FALSE)</f>
        <v>30-4118-018-600</v>
      </c>
      <c r="I1414" t="str">
        <f>VLOOKUP(record[[#This Row],[ProcessSN]],表格2_7[],3,FALSE)</f>
        <v>#100</v>
      </c>
      <c r="J1414" t="s">
        <v>598</v>
      </c>
      <c r="K1414" s="195">
        <v>46134.659618055557</v>
      </c>
      <c r="L1414">
        <v>3</v>
      </c>
      <c r="M1414">
        <v>0</v>
      </c>
      <c r="N1414" s="98" t="str">
        <f>IF(record[[#This Row],[Memo]]="Browser:chrome os:android","平板報工",IF(record[[#This Row],[Memo]]=0,"委外",record[[#This Row],[Memo]]))</f>
        <v>1.5露白</v>
      </c>
      <c r="O1414" t="s">
        <v>1827</v>
      </c>
      <c r="P1414" t="s">
        <v>65</v>
      </c>
      <c r="R1414" t="str">
        <f>IFERROR(VLOOKUP(record[[#This Row],[PCUSTID]],廠商[],2,FALSE),"")</f>
        <v/>
      </c>
      <c r="S1414" t="str">
        <f>VLOOKUP(record[[#This Row],[employeeID]],員工[],2,FALSE)</f>
        <v>蘇進昌</v>
      </c>
    </row>
    <row r="1415" spans="6:19" hidden="1" x14ac:dyDescent="0.25">
      <c r="F1415" t="s">
        <v>1600</v>
      </c>
      <c r="G1415" t="s">
        <v>426</v>
      </c>
      <c r="H1415" t="str">
        <f>VLOOKUP(record[[#This Row],[ProcessSN]],表格2_7[],2,FALSE)</f>
        <v>30-4118-018-600</v>
      </c>
      <c r="I1415" t="str">
        <f>VLOOKUP(record[[#This Row],[ProcessSN]],表格2_7[],3,FALSE)</f>
        <v>#100OQC</v>
      </c>
      <c r="J1415" t="s">
        <v>599</v>
      </c>
      <c r="K1415" s="195">
        <v>46134.659618055557</v>
      </c>
      <c r="L1415">
        <v>3</v>
      </c>
      <c r="M1415">
        <v>0</v>
      </c>
      <c r="N1415" s="98" t="str">
        <f>IF(record[[#This Row],[Memo]]="Browser:chrome os:android","平板報工",IF(record[[#This Row],[Memo]]=0,"委外",record[[#This Row],[Memo]]))</f>
        <v>1.5露白</v>
      </c>
      <c r="O1415" t="s">
        <v>1827</v>
      </c>
      <c r="P1415" t="s">
        <v>65</v>
      </c>
      <c r="R1415" t="str">
        <f>IFERROR(VLOOKUP(record[[#This Row],[PCUSTID]],廠商[],2,FALSE),"")</f>
        <v/>
      </c>
      <c r="S1415" t="str">
        <f>VLOOKUP(record[[#This Row],[employeeID]],員工[],2,FALSE)</f>
        <v>蘇進昌</v>
      </c>
    </row>
    <row r="1416" spans="6:19" hidden="1" x14ac:dyDescent="0.25">
      <c r="F1416" t="s">
        <v>1596</v>
      </c>
      <c r="G1416" t="s">
        <v>423</v>
      </c>
      <c r="H1416" t="str">
        <f>VLOOKUP(record[[#This Row],[ProcessSN]],表格2_7[],2,FALSE)</f>
        <v>30-4118-018-600</v>
      </c>
      <c r="I1416" t="str">
        <f>VLOOKUP(record[[#This Row],[ProcessSN]],表格2_7[],3,FALSE)</f>
        <v>#08RCV</v>
      </c>
      <c r="J1416" t="s">
        <v>591</v>
      </c>
      <c r="K1416" s="195">
        <v>46134.659618055557</v>
      </c>
      <c r="L1416">
        <v>15</v>
      </c>
      <c r="M1416">
        <v>-15</v>
      </c>
      <c r="N1416" s="98" t="str">
        <f>IF(record[[#This Row],[Memo]]="Browser:chrome os:android","平板報工",IF(record[[#This Row],[Memo]]=0,"委外",record[[#This Row],[Memo]]))</f>
        <v>1.5露白</v>
      </c>
      <c r="O1416" t="s">
        <v>1827</v>
      </c>
      <c r="P1416" t="s">
        <v>65</v>
      </c>
      <c r="R1416" t="str">
        <f>IFERROR(VLOOKUP(record[[#This Row],[PCUSTID]],廠商[],2,FALSE),"")</f>
        <v/>
      </c>
      <c r="S1416" t="str">
        <f>VLOOKUP(record[[#This Row],[employeeID]],員工[],2,FALSE)</f>
        <v>蘇進昌</v>
      </c>
    </row>
    <row r="1417" spans="6:19" hidden="1" x14ac:dyDescent="0.25">
      <c r="F1417" t="s">
        <v>1596</v>
      </c>
      <c r="G1417" t="s">
        <v>424</v>
      </c>
      <c r="H1417" t="str">
        <f>VLOOKUP(record[[#This Row],[ProcessSN]],表格2_7[],2,FALSE)</f>
        <v>30-4118-018-600</v>
      </c>
      <c r="I1417" t="str">
        <f>VLOOKUP(record[[#This Row],[ProcessSN]],表格2_7[],3,FALSE)</f>
        <v>#08IQC</v>
      </c>
      <c r="J1417" t="s">
        <v>583</v>
      </c>
      <c r="K1417" s="195">
        <v>46134.659618055557</v>
      </c>
      <c r="L1417">
        <v>15</v>
      </c>
      <c r="M1417">
        <v>0</v>
      </c>
      <c r="N1417" s="98" t="str">
        <f>IF(record[[#This Row],[Memo]]="Browser:chrome os:android","平板報工",IF(record[[#This Row],[Memo]]=0,"委外",record[[#This Row],[Memo]]))</f>
        <v>1.5露白</v>
      </c>
      <c r="O1417" t="s">
        <v>1827</v>
      </c>
      <c r="P1417" t="s">
        <v>65</v>
      </c>
      <c r="R1417" t="str">
        <f>IFERROR(VLOOKUP(record[[#This Row],[PCUSTID]],廠商[],2,FALSE),"")</f>
        <v/>
      </c>
      <c r="S1417" t="str">
        <f>VLOOKUP(record[[#This Row],[employeeID]],員工[],2,FALSE)</f>
        <v>蘇進昌</v>
      </c>
    </row>
    <row r="1418" spans="6:19" hidden="1" x14ac:dyDescent="0.25">
      <c r="F1418" t="s">
        <v>1596</v>
      </c>
      <c r="G1418" t="s">
        <v>425</v>
      </c>
      <c r="H1418" t="str">
        <f>VLOOKUP(record[[#This Row],[ProcessSN]],表格2_7[],2,FALSE)</f>
        <v>30-4118-018-600</v>
      </c>
      <c r="I1418" t="str">
        <f>VLOOKUP(record[[#This Row],[ProcessSN]],表格2_7[],3,FALSE)</f>
        <v>#100</v>
      </c>
      <c r="J1418" t="s">
        <v>598</v>
      </c>
      <c r="K1418" s="195">
        <v>46134.659618055557</v>
      </c>
      <c r="L1418">
        <v>15</v>
      </c>
      <c r="M1418">
        <v>0</v>
      </c>
      <c r="N1418" s="98" t="str">
        <f>IF(record[[#This Row],[Memo]]="Browser:chrome os:android","平板報工",IF(record[[#This Row],[Memo]]=0,"委外",record[[#This Row],[Memo]]))</f>
        <v>1.5露白</v>
      </c>
      <c r="O1418" t="s">
        <v>1827</v>
      </c>
      <c r="P1418" t="s">
        <v>65</v>
      </c>
      <c r="R1418" t="str">
        <f>IFERROR(VLOOKUP(record[[#This Row],[PCUSTID]],廠商[],2,FALSE),"")</f>
        <v/>
      </c>
      <c r="S1418" t="str">
        <f>VLOOKUP(record[[#This Row],[employeeID]],員工[],2,FALSE)</f>
        <v>蘇進昌</v>
      </c>
    </row>
    <row r="1419" spans="6:19" hidden="1" x14ac:dyDescent="0.25">
      <c r="F1419" t="s">
        <v>1596</v>
      </c>
      <c r="G1419" t="s">
        <v>426</v>
      </c>
      <c r="H1419" t="str">
        <f>VLOOKUP(record[[#This Row],[ProcessSN]],表格2_7[],2,FALSE)</f>
        <v>30-4118-018-600</v>
      </c>
      <c r="I1419" t="str">
        <f>VLOOKUP(record[[#This Row],[ProcessSN]],表格2_7[],3,FALSE)</f>
        <v>#100OQC</v>
      </c>
      <c r="J1419" t="s">
        <v>599</v>
      </c>
      <c r="K1419" s="195">
        <v>46134.659618055557</v>
      </c>
      <c r="L1419">
        <v>15</v>
      </c>
      <c r="M1419">
        <v>0</v>
      </c>
      <c r="N1419" s="98" t="str">
        <f>IF(record[[#This Row],[Memo]]="Browser:chrome os:android","平板報工",IF(record[[#This Row],[Memo]]=0,"委外",record[[#This Row],[Memo]]))</f>
        <v>1.5露白</v>
      </c>
      <c r="O1419" t="s">
        <v>1827</v>
      </c>
      <c r="P1419" t="s">
        <v>65</v>
      </c>
      <c r="R1419" t="str">
        <f>IFERROR(VLOOKUP(record[[#This Row],[PCUSTID]],廠商[],2,FALSE),"")</f>
        <v/>
      </c>
      <c r="S1419" t="str">
        <f>VLOOKUP(record[[#This Row],[employeeID]],員工[],2,FALSE)</f>
        <v>蘇進昌</v>
      </c>
    </row>
    <row r="1420" spans="6:19" hidden="1" x14ac:dyDescent="0.25">
      <c r="F1420" t="s">
        <v>1686</v>
      </c>
      <c r="G1420" t="s">
        <v>425</v>
      </c>
      <c r="H1420" t="str">
        <f>VLOOKUP(record[[#This Row],[ProcessSN]],表格2_7[],2,FALSE)</f>
        <v>30-4118-018-600</v>
      </c>
      <c r="I1420" t="str">
        <f>VLOOKUP(record[[#This Row],[ProcessSN]],表格2_7[],3,FALSE)</f>
        <v>#100</v>
      </c>
      <c r="J1420" t="s">
        <v>598</v>
      </c>
      <c r="K1420" s="195">
        <v>46134.659618055557</v>
      </c>
      <c r="L1420">
        <v>20</v>
      </c>
      <c r="M1420">
        <v>-20</v>
      </c>
      <c r="N1420" s="98" t="str">
        <f>IF(record[[#This Row],[Memo]]="Browser:chrome os:android","平板報工",IF(record[[#This Row],[Memo]]=0,"委外",record[[#This Row],[Memo]]))</f>
        <v>1.5露白</v>
      </c>
      <c r="O1420" t="s">
        <v>1827</v>
      </c>
      <c r="P1420" t="s">
        <v>65</v>
      </c>
      <c r="R1420" t="str">
        <f>IFERROR(VLOOKUP(record[[#This Row],[PCUSTID]],廠商[],2,FALSE),"")</f>
        <v/>
      </c>
      <c r="S1420" t="str">
        <f>VLOOKUP(record[[#This Row],[employeeID]],員工[],2,FALSE)</f>
        <v>蘇進昌</v>
      </c>
    </row>
    <row r="1421" spans="6:19" hidden="1" x14ac:dyDescent="0.25">
      <c r="F1421" t="s">
        <v>1686</v>
      </c>
      <c r="G1421" t="s">
        <v>426</v>
      </c>
      <c r="H1421" t="str">
        <f>VLOOKUP(record[[#This Row],[ProcessSN]],表格2_7[],2,FALSE)</f>
        <v>30-4118-018-600</v>
      </c>
      <c r="I1421" t="str">
        <f>VLOOKUP(record[[#This Row],[ProcessSN]],表格2_7[],3,FALSE)</f>
        <v>#100OQC</v>
      </c>
      <c r="J1421" t="s">
        <v>599</v>
      </c>
      <c r="K1421" s="195">
        <v>46134.659618055557</v>
      </c>
      <c r="L1421">
        <v>20</v>
      </c>
      <c r="M1421">
        <v>0</v>
      </c>
      <c r="N1421" s="98" t="str">
        <f>IF(record[[#This Row],[Memo]]="Browser:chrome os:android","平板報工",IF(record[[#This Row],[Memo]]=0,"委外",record[[#This Row],[Memo]]))</f>
        <v>1.5露白</v>
      </c>
      <c r="O1421" t="s">
        <v>1827</v>
      </c>
      <c r="P1421" t="s">
        <v>65</v>
      </c>
      <c r="R1421" t="str">
        <f>IFERROR(VLOOKUP(record[[#This Row],[PCUSTID]],廠商[],2,FALSE),"")</f>
        <v/>
      </c>
      <c r="S1421" t="str">
        <f>VLOOKUP(record[[#This Row],[employeeID]],員工[],2,FALSE)</f>
        <v>蘇進昌</v>
      </c>
    </row>
    <row r="1422" spans="6:19" hidden="1" x14ac:dyDescent="0.25">
      <c r="F1422" t="s">
        <v>1850</v>
      </c>
      <c r="G1422" t="s">
        <v>416</v>
      </c>
      <c r="H1422" t="str">
        <f>VLOOKUP(record[[#This Row],[ProcessSN]],表格2_7[],2,FALSE)</f>
        <v>30-4118-018-5XX</v>
      </c>
      <c r="I1422" t="str">
        <f>VLOOKUP(record[[#This Row],[ProcessSN]],表格2_7[],3,FALSE)</f>
        <v>#05</v>
      </c>
      <c r="J1422" t="s">
        <v>588</v>
      </c>
      <c r="K1422" s="195">
        <v>46134.655162037037</v>
      </c>
      <c r="L1422">
        <v>98</v>
      </c>
      <c r="M1422">
        <v>0</v>
      </c>
      <c r="N1422" s="98" t="str">
        <f>IF(record[[#This Row],[Memo]]="Browser:chrome os:android","平板報工",IF(record[[#This Row],[Memo]]=0,"委外",record[[#This Row],[Memo]]))</f>
        <v>平板報工</v>
      </c>
      <c r="O1422" t="s">
        <v>643</v>
      </c>
      <c r="P1422" t="s">
        <v>145</v>
      </c>
      <c r="Q1422" t="s">
        <v>644</v>
      </c>
      <c r="R1422" t="str">
        <f>IFERROR(VLOOKUP(record[[#This Row],[PCUSTID]],廠商[],2,FALSE),"")</f>
        <v/>
      </c>
      <c r="S1422" t="str">
        <f>VLOOKUP(record[[#This Row],[employeeID]],員工[],2,FALSE)</f>
        <v>阮秋霞</v>
      </c>
    </row>
    <row r="1423" spans="6:19" hidden="1" x14ac:dyDescent="0.25">
      <c r="F1423" t="s">
        <v>1815</v>
      </c>
      <c r="G1423" t="s">
        <v>450</v>
      </c>
      <c r="H1423" t="str">
        <f>VLOOKUP(record[[#This Row],[ProcessSN]],表格2_7[],2,FALSE)</f>
        <v>30-4118-018-6XX</v>
      </c>
      <c r="I1423" t="str">
        <f>VLOOKUP(record[[#This Row],[ProcessSN]],表格2_7[],3,FALSE)</f>
        <v>#06</v>
      </c>
      <c r="J1423" t="s">
        <v>593</v>
      </c>
      <c r="K1423" s="195">
        <v>46134.650555555556</v>
      </c>
      <c r="L1423">
        <v>55</v>
      </c>
      <c r="M1423">
        <v>0</v>
      </c>
      <c r="N1423" s="98" t="str">
        <f>IF(record[[#This Row],[Memo]]="Browser:chrome os:android","平板報工",IF(record[[#This Row],[Memo]]=0,"委外",record[[#This Row],[Memo]]))</f>
        <v>平板報工</v>
      </c>
      <c r="O1423" t="s">
        <v>643</v>
      </c>
      <c r="P1423" t="s">
        <v>166</v>
      </c>
      <c r="Q1423" t="s">
        <v>644</v>
      </c>
      <c r="R1423" t="str">
        <f>IFERROR(VLOOKUP(record[[#This Row],[PCUSTID]],廠商[],2,FALSE),"")</f>
        <v/>
      </c>
      <c r="S1423" t="str">
        <f>VLOOKUP(record[[#This Row],[employeeID]],員工[],2,FALSE)</f>
        <v>阮懷香</v>
      </c>
    </row>
    <row r="1424" spans="6:19" hidden="1" x14ac:dyDescent="0.25">
      <c r="F1424" t="s">
        <v>1818</v>
      </c>
      <c r="G1424" t="s">
        <v>466</v>
      </c>
      <c r="H1424" t="str">
        <f>VLOOKUP(record[[#This Row],[ProcessSN]],表格2_7[],2,FALSE)</f>
        <v>30-4118-018-XXX</v>
      </c>
      <c r="I1424" t="str">
        <f>VLOOKUP(record[[#This Row],[ProcessSN]],表格2_7[],3,FALSE)</f>
        <v>#01-2</v>
      </c>
      <c r="J1424" t="s">
        <v>588</v>
      </c>
      <c r="K1424" s="195">
        <v>46134.647789351853</v>
      </c>
      <c r="L1424">
        <v>587</v>
      </c>
      <c r="M1424">
        <v>0</v>
      </c>
      <c r="N1424" s="98" t="str">
        <f>IF(record[[#This Row],[Memo]]="Browser:chrome os:android","平板報工",IF(record[[#This Row],[Memo]]=0,"委外",record[[#This Row],[Memo]]))</f>
        <v>平板報工</v>
      </c>
      <c r="O1424" t="s">
        <v>643</v>
      </c>
      <c r="P1424" t="s">
        <v>107</v>
      </c>
      <c r="Q1424" t="s">
        <v>644</v>
      </c>
      <c r="R1424" t="str">
        <f>IFERROR(VLOOKUP(record[[#This Row],[PCUSTID]],廠商[],2,FALSE),"")</f>
        <v/>
      </c>
      <c r="S1424" t="str">
        <f>VLOOKUP(record[[#This Row],[employeeID]],員工[],2,FALSE)</f>
        <v>黎氏順</v>
      </c>
    </row>
    <row r="1425" spans="6:19" hidden="1" x14ac:dyDescent="0.25">
      <c r="F1425" t="s">
        <v>1818</v>
      </c>
      <c r="G1425" t="s">
        <v>466</v>
      </c>
      <c r="H1425" t="str">
        <f>VLOOKUP(record[[#This Row],[ProcessSN]],表格2_7[],2,FALSE)</f>
        <v>30-4118-018-XXX</v>
      </c>
      <c r="I1425" t="str">
        <f>VLOOKUP(record[[#This Row],[ProcessSN]],表格2_7[],3,FALSE)</f>
        <v>#01-2</v>
      </c>
      <c r="J1425" t="s">
        <v>588</v>
      </c>
      <c r="K1425" s="195">
        <v>46134.647210648145</v>
      </c>
      <c r="L1425">
        <v>587</v>
      </c>
      <c r="M1425">
        <v>0</v>
      </c>
      <c r="N1425" s="98" t="str">
        <f>IF(record[[#This Row],[Memo]]="Browser:chrome os:android","平板報工",IF(record[[#This Row],[Memo]]=0,"委外",record[[#This Row],[Memo]]))</f>
        <v>平板報工</v>
      </c>
      <c r="O1425" t="s">
        <v>643</v>
      </c>
      <c r="P1425" t="s">
        <v>107</v>
      </c>
      <c r="Q1425" t="s">
        <v>644</v>
      </c>
      <c r="R1425" t="str">
        <f>IFERROR(VLOOKUP(record[[#This Row],[PCUSTID]],廠商[],2,FALSE),"")</f>
        <v/>
      </c>
      <c r="S1425" t="str">
        <f>VLOOKUP(record[[#This Row],[employeeID]],員工[],2,FALSE)</f>
        <v>黎氏順</v>
      </c>
    </row>
    <row r="1426" spans="6:19" hidden="1" x14ac:dyDescent="0.25">
      <c r="F1426" t="s">
        <v>1815</v>
      </c>
      <c r="G1426" t="s">
        <v>449</v>
      </c>
      <c r="H1426" t="str">
        <f>VLOOKUP(record[[#This Row],[ProcessSN]],表格2_7[],2,FALSE)</f>
        <v>30-4118-018-6XX</v>
      </c>
      <c r="I1426" t="str">
        <f>VLOOKUP(record[[#This Row],[ProcessSN]],表格2_7[],3,FALSE)</f>
        <v>#05</v>
      </c>
      <c r="J1426" t="s">
        <v>588</v>
      </c>
      <c r="K1426" s="195">
        <v>46134.640972222223</v>
      </c>
      <c r="L1426">
        <v>55</v>
      </c>
      <c r="M1426">
        <v>0</v>
      </c>
      <c r="N1426" s="98" t="str">
        <f>IF(record[[#This Row],[Memo]]="Browser:chrome os:android","平板報工",IF(record[[#This Row],[Memo]]=0,"委外",record[[#This Row],[Memo]]))</f>
        <v>平板報工</v>
      </c>
      <c r="O1426" t="s">
        <v>643</v>
      </c>
      <c r="P1426" t="s">
        <v>145</v>
      </c>
      <c r="Q1426" t="s">
        <v>644</v>
      </c>
      <c r="R1426" t="str">
        <f>IFERROR(VLOOKUP(record[[#This Row],[PCUSTID]],廠商[],2,FALSE),"")</f>
        <v/>
      </c>
      <c r="S1426" t="str">
        <f>VLOOKUP(record[[#This Row],[employeeID]],員工[],2,FALSE)</f>
        <v>阮秋霞</v>
      </c>
    </row>
    <row r="1427" spans="6:19" hidden="1" x14ac:dyDescent="0.25">
      <c r="F1427" t="s">
        <v>1850</v>
      </c>
      <c r="G1427" t="s">
        <v>415</v>
      </c>
      <c r="H1427" t="str">
        <f>VLOOKUP(record[[#This Row],[ProcessSN]],表格2_7[],2,FALSE)</f>
        <v>30-4118-018-5XX</v>
      </c>
      <c r="I1427" t="str">
        <f>VLOOKUP(record[[#This Row],[ProcessSN]],表格2_7[],3,FALSE)</f>
        <v>#04</v>
      </c>
      <c r="J1427" t="s">
        <v>588</v>
      </c>
      <c r="K1427" s="195">
        <v>46134.63385416667</v>
      </c>
      <c r="L1427">
        <v>0</v>
      </c>
      <c r="M1427">
        <v>1</v>
      </c>
      <c r="N1427" s="98" t="str">
        <f>IF(record[[#This Row],[Memo]]="Browser:chrome os:android","平板報工",IF(record[[#This Row],[Memo]]=0,"委外",record[[#This Row],[Memo]]))</f>
        <v/>
      </c>
      <c r="O1427" t="s">
        <v>58</v>
      </c>
      <c r="P1427" t="s">
        <v>188</v>
      </c>
      <c r="Q1427" t="s">
        <v>58</v>
      </c>
      <c r="R1427" t="str">
        <f>IFERROR(VLOOKUP(record[[#This Row],[PCUSTID]],廠商[],2,FALSE),"")</f>
        <v/>
      </c>
      <c r="S1427" t="str">
        <f>VLOOKUP(record[[#This Row],[employeeID]],員工[],2,FALSE)</f>
        <v>阮氏璧紅</v>
      </c>
    </row>
    <row r="1428" spans="6:19" hidden="1" x14ac:dyDescent="0.25">
      <c r="F1428" t="s">
        <v>1850</v>
      </c>
      <c r="G1428" t="s">
        <v>414</v>
      </c>
      <c r="H1428" t="str">
        <f>VLOOKUP(record[[#This Row],[ProcessSN]],表格2_7[],2,FALSE)</f>
        <v>30-4118-018-5XX</v>
      </c>
      <c r="I1428" t="str">
        <f>VLOOKUP(record[[#This Row],[ProcessSN]],表格2_7[],3,FALSE)</f>
        <v>#03</v>
      </c>
      <c r="J1428" t="s">
        <v>588</v>
      </c>
      <c r="K1428" s="195">
        <v>46134.633217592593</v>
      </c>
      <c r="L1428">
        <v>828</v>
      </c>
      <c r="M1428">
        <v>0</v>
      </c>
      <c r="N1428" s="98" t="str">
        <f>IF(record[[#This Row],[Memo]]="Browser:chrome os:android","平板報工",IF(record[[#This Row],[Memo]]=0,"委外",record[[#This Row],[Memo]]))</f>
        <v/>
      </c>
      <c r="O1428" t="s">
        <v>58</v>
      </c>
      <c r="P1428" t="s">
        <v>188</v>
      </c>
      <c r="Q1428" t="s">
        <v>58</v>
      </c>
      <c r="R1428" t="str">
        <f>IFERROR(VLOOKUP(record[[#This Row],[PCUSTID]],廠商[],2,FALSE),"")</f>
        <v/>
      </c>
      <c r="S1428" t="str">
        <f>VLOOKUP(record[[#This Row],[employeeID]],員工[],2,FALSE)</f>
        <v>阮氏璧紅</v>
      </c>
    </row>
    <row r="1429" spans="6:19" hidden="1" x14ac:dyDescent="0.25">
      <c r="F1429" t="s">
        <v>1822</v>
      </c>
      <c r="G1429" t="s">
        <v>448</v>
      </c>
      <c r="H1429" t="str">
        <f>VLOOKUP(record[[#This Row],[ProcessSN]],表格2_7[],2,FALSE)</f>
        <v>30-4118-018-6XX</v>
      </c>
      <c r="I1429" t="str">
        <f>VLOOKUP(record[[#This Row],[ProcessSN]],表格2_7[],3,FALSE)</f>
        <v>#04</v>
      </c>
      <c r="J1429" t="s">
        <v>588</v>
      </c>
      <c r="K1429" s="195">
        <v>46134.632870370369</v>
      </c>
      <c r="L1429">
        <v>48</v>
      </c>
      <c r="M1429">
        <v>0</v>
      </c>
      <c r="N1429" s="98" t="str">
        <f>IF(record[[#This Row],[Memo]]="Browser:chrome os:android","平板報工",IF(record[[#This Row],[Memo]]=0,"委外",record[[#This Row],[Memo]]))</f>
        <v/>
      </c>
      <c r="O1429" t="s">
        <v>58</v>
      </c>
      <c r="P1429" t="s">
        <v>188</v>
      </c>
      <c r="Q1429" t="s">
        <v>58</v>
      </c>
      <c r="R1429" t="str">
        <f>IFERROR(VLOOKUP(record[[#This Row],[PCUSTID]],廠商[],2,FALSE),"")</f>
        <v/>
      </c>
      <c r="S1429" t="str">
        <f>VLOOKUP(record[[#This Row],[employeeID]],員工[],2,FALSE)</f>
        <v>阮氏璧紅</v>
      </c>
    </row>
    <row r="1430" spans="6:19" hidden="1" x14ac:dyDescent="0.25">
      <c r="F1430" t="s">
        <v>1815</v>
      </c>
      <c r="G1430" t="s">
        <v>448</v>
      </c>
      <c r="H1430" t="str">
        <f>VLOOKUP(record[[#This Row],[ProcessSN]],表格2_7[],2,FALSE)</f>
        <v>30-4118-018-6XX</v>
      </c>
      <c r="I1430" t="str">
        <f>VLOOKUP(record[[#This Row],[ProcessSN]],表格2_7[],3,FALSE)</f>
        <v>#04</v>
      </c>
      <c r="J1430" t="s">
        <v>588</v>
      </c>
      <c r="K1430" s="195">
        <v>46134.632638888892</v>
      </c>
      <c r="L1430">
        <v>55</v>
      </c>
      <c r="M1430">
        <v>0</v>
      </c>
      <c r="N1430" s="98" t="str">
        <f>IF(record[[#This Row],[Memo]]="Browser:chrome os:android","平板報工",IF(record[[#This Row],[Memo]]=0,"委外",record[[#This Row],[Memo]]))</f>
        <v/>
      </c>
      <c r="O1430" t="s">
        <v>58</v>
      </c>
      <c r="P1430" t="s">
        <v>188</v>
      </c>
      <c r="Q1430" t="s">
        <v>58</v>
      </c>
      <c r="R1430" t="str">
        <f>IFERROR(VLOOKUP(record[[#This Row],[PCUSTID]],廠商[],2,FALSE),"")</f>
        <v/>
      </c>
      <c r="S1430" t="str">
        <f>VLOOKUP(record[[#This Row],[employeeID]],員工[],2,FALSE)</f>
        <v>阮氏璧紅</v>
      </c>
    </row>
    <row r="1431" spans="6:19" hidden="1" x14ac:dyDescent="0.25">
      <c r="F1431" t="s">
        <v>1850</v>
      </c>
      <c r="G1431" t="s">
        <v>415</v>
      </c>
      <c r="H1431" t="str">
        <f>VLOOKUP(record[[#This Row],[ProcessSN]],表格2_7[],2,FALSE)</f>
        <v>30-4118-018-5XX</v>
      </c>
      <c r="I1431" t="str">
        <f>VLOOKUP(record[[#This Row],[ProcessSN]],表格2_7[],3,FALSE)</f>
        <v>#04</v>
      </c>
      <c r="J1431" t="s">
        <v>588</v>
      </c>
      <c r="K1431" s="195">
        <v>46134.632256944446</v>
      </c>
      <c r="L1431">
        <v>144</v>
      </c>
      <c r="M1431">
        <v>0</v>
      </c>
      <c r="N1431" s="98" t="str">
        <f>IF(record[[#This Row],[Memo]]="Browser:chrome os:android","平板報工",IF(record[[#This Row],[Memo]]=0,"委外",record[[#This Row],[Memo]]))</f>
        <v/>
      </c>
      <c r="O1431" t="s">
        <v>58</v>
      </c>
      <c r="P1431" t="s">
        <v>188</v>
      </c>
      <c r="Q1431" t="s">
        <v>58</v>
      </c>
      <c r="R1431" t="str">
        <f>IFERROR(VLOOKUP(record[[#This Row],[PCUSTID]],廠商[],2,FALSE),"")</f>
        <v/>
      </c>
      <c r="S1431" t="str">
        <f>VLOOKUP(record[[#This Row],[employeeID]],員工[],2,FALSE)</f>
        <v>阮氏璧紅</v>
      </c>
    </row>
    <row r="1432" spans="6:19" hidden="1" x14ac:dyDescent="0.25">
      <c r="F1432" t="s">
        <v>1794</v>
      </c>
      <c r="G1432" t="s">
        <v>418</v>
      </c>
      <c r="H1432" t="str">
        <f>VLOOKUP(record[[#This Row],[ProcessSN]],表格2_7[],2,FALSE)</f>
        <v>30-4118-018-5XX</v>
      </c>
      <c r="I1432" t="str">
        <f>VLOOKUP(record[[#This Row],[ProcessSN]],表格2_7[],3,FALSE)</f>
        <v>#07</v>
      </c>
      <c r="J1432" t="s">
        <v>588</v>
      </c>
      <c r="K1432" s="195">
        <v>46134.629907407405</v>
      </c>
      <c r="L1432">
        <v>110</v>
      </c>
      <c r="M1432">
        <v>0</v>
      </c>
      <c r="N1432" s="98" t="str">
        <f>IF(record[[#This Row],[Memo]]="Browser:chrome os:android","平板報工",IF(record[[#This Row],[Memo]]=0,"委外",record[[#This Row],[Memo]]))</f>
        <v>平板報工</v>
      </c>
      <c r="O1432" t="s">
        <v>643</v>
      </c>
      <c r="P1432" t="s">
        <v>785</v>
      </c>
      <c r="Q1432" t="s">
        <v>644</v>
      </c>
      <c r="R1432" t="str">
        <f>IFERROR(VLOOKUP(record[[#This Row],[PCUSTID]],廠商[],2,FALSE),"")</f>
        <v/>
      </c>
      <c r="S1432" t="str">
        <f>VLOOKUP(record[[#This Row],[employeeID]],員工[],2,FALSE)</f>
        <v>謝刻光</v>
      </c>
    </row>
    <row r="1433" spans="6:19" hidden="1" x14ac:dyDescent="0.25">
      <c r="F1433" t="s">
        <v>1794</v>
      </c>
      <c r="G1433" t="s">
        <v>417</v>
      </c>
      <c r="H1433" t="str">
        <f>VLOOKUP(record[[#This Row],[ProcessSN]],表格2_7[],2,FALSE)</f>
        <v>30-4118-018-5XX</v>
      </c>
      <c r="I1433" t="str">
        <f>VLOOKUP(record[[#This Row],[ProcessSN]],表格2_7[],3,FALSE)</f>
        <v>#06</v>
      </c>
      <c r="J1433" t="s">
        <v>593</v>
      </c>
      <c r="K1433" s="195">
        <v>46134.629386574074</v>
      </c>
      <c r="L1433">
        <v>62</v>
      </c>
      <c r="M1433">
        <v>0</v>
      </c>
      <c r="N1433" s="98" t="str">
        <f>IF(record[[#This Row],[Memo]]="Browser:chrome os:android","平板報工",IF(record[[#This Row],[Memo]]=0,"委外",record[[#This Row],[Memo]]))</f>
        <v>平板報工</v>
      </c>
      <c r="O1433" t="s">
        <v>643</v>
      </c>
      <c r="P1433" t="s">
        <v>1413</v>
      </c>
      <c r="Q1433" t="s">
        <v>644</v>
      </c>
      <c r="R1433" t="str">
        <f>IFERROR(VLOOKUP(record[[#This Row],[PCUSTID]],廠商[],2,FALSE),"")</f>
        <v/>
      </c>
      <c r="S1433" t="str">
        <f>VLOOKUP(record[[#This Row],[employeeID]],員工[],2,FALSE)</f>
        <v>阮氏芳英(芳)</v>
      </c>
    </row>
    <row r="1434" spans="6:19" hidden="1" x14ac:dyDescent="0.25">
      <c r="F1434" t="s">
        <v>1794</v>
      </c>
      <c r="G1434" t="s">
        <v>417</v>
      </c>
      <c r="H1434" t="str">
        <f>VLOOKUP(record[[#This Row],[ProcessSN]],表格2_7[],2,FALSE)</f>
        <v>30-4118-018-5XX</v>
      </c>
      <c r="I1434" t="str">
        <f>VLOOKUP(record[[#This Row],[ProcessSN]],表格2_7[],3,FALSE)</f>
        <v>#06</v>
      </c>
      <c r="J1434" t="s">
        <v>593</v>
      </c>
      <c r="K1434" s="195">
        <v>46134.629027777781</v>
      </c>
      <c r="L1434">
        <v>31</v>
      </c>
      <c r="M1434">
        <v>0</v>
      </c>
      <c r="N1434" s="98" t="str">
        <f>IF(record[[#This Row],[Memo]]="Browser:chrome os:android","平板報工",IF(record[[#This Row],[Memo]]=0,"委外",record[[#This Row],[Memo]]))</f>
        <v>平板報工</v>
      </c>
      <c r="O1434" t="s">
        <v>643</v>
      </c>
      <c r="P1434" t="s">
        <v>166</v>
      </c>
      <c r="Q1434" t="s">
        <v>644</v>
      </c>
      <c r="R1434" t="str">
        <f>IFERROR(VLOOKUP(record[[#This Row],[PCUSTID]],廠商[],2,FALSE),"")</f>
        <v/>
      </c>
      <c r="S1434" t="str">
        <f>VLOOKUP(record[[#This Row],[employeeID]],員工[],2,FALSE)</f>
        <v>阮懷香</v>
      </c>
    </row>
    <row r="1435" spans="6:19" hidden="1" x14ac:dyDescent="0.25">
      <c r="F1435" t="s">
        <v>1794</v>
      </c>
      <c r="G1435" t="s">
        <v>416</v>
      </c>
      <c r="H1435" t="str">
        <f>VLOOKUP(record[[#This Row],[ProcessSN]],表格2_7[],2,FALSE)</f>
        <v>30-4118-018-5XX</v>
      </c>
      <c r="I1435" t="str">
        <f>VLOOKUP(record[[#This Row],[ProcessSN]],表格2_7[],3,FALSE)</f>
        <v>#05</v>
      </c>
      <c r="J1435" t="s">
        <v>588</v>
      </c>
      <c r="K1435" s="195">
        <v>46134.62771990741</v>
      </c>
      <c r="L1435">
        <v>54</v>
      </c>
      <c r="M1435">
        <v>0</v>
      </c>
      <c r="N1435" s="98" t="str">
        <f>IF(record[[#This Row],[Memo]]="Browser:chrome os:android","平板報工",IF(record[[#This Row],[Memo]]=0,"委外",record[[#This Row],[Memo]]))</f>
        <v>平板報工</v>
      </c>
      <c r="O1435" t="s">
        <v>643</v>
      </c>
      <c r="P1435" t="s">
        <v>145</v>
      </c>
      <c r="Q1435" t="s">
        <v>644</v>
      </c>
      <c r="R1435" t="str">
        <f>IFERROR(VLOOKUP(record[[#This Row],[PCUSTID]],廠商[],2,FALSE),"")</f>
        <v/>
      </c>
      <c r="S1435" t="str">
        <f>VLOOKUP(record[[#This Row],[employeeID]],員工[],2,FALSE)</f>
        <v>阮秋霞</v>
      </c>
    </row>
    <row r="1436" spans="6:19" hidden="1" x14ac:dyDescent="0.25">
      <c r="F1436" t="s">
        <v>1872</v>
      </c>
      <c r="G1436" t="s">
        <v>397</v>
      </c>
      <c r="H1436" t="str">
        <f>VLOOKUP(record[[#This Row],[ProcessSN]],表格2_7[],2,FALSE)</f>
        <v>30-4118-018-550</v>
      </c>
      <c r="I1436" t="str">
        <f>VLOOKUP(record[[#This Row],[ProcessSN]],表格2_7[],3,FALSE)</f>
        <v>#08</v>
      </c>
      <c r="J1436" t="s">
        <v>597</v>
      </c>
      <c r="K1436" s="195">
        <v>46134.623981481483</v>
      </c>
      <c r="L1436">
        <v>589</v>
      </c>
      <c r="M1436">
        <v>0</v>
      </c>
      <c r="N1436" s="98" t="str">
        <f>IF(record[[#This Row],[Memo]]="Browser:chrome os:android","平板報工",IF(record[[#This Row],[Memo]]=0,"委外",record[[#This Row],[Memo]]))</f>
        <v>委外</v>
      </c>
      <c r="P1436" t="s">
        <v>186</v>
      </c>
      <c r="Q1436" t="s">
        <v>287</v>
      </c>
      <c r="R1436" t="str">
        <f>IFERROR(VLOOKUP(record[[#This Row],[PCUSTID]],廠商[],2,FALSE),"")</f>
        <v>泉盛</v>
      </c>
      <c r="S1436" t="str">
        <f>VLOOKUP(record[[#This Row],[employeeID]],員工[],2,FALSE)</f>
        <v>許文姍</v>
      </c>
    </row>
    <row r="1437" spans="6:19" hidden="1" x14ac:dyDescent="0.25">
      <c r="F1437" t="s">
        <v>1872</v>
      </c>
      <c r="G1437" t="s">
        <v>396</v>
      </c>
      <c r="H1437" t="str">
        <f>VLOOKUP(record[[#This Row],[ProcessSN]],表格2_7[],2,FALSE)</f>
        <v>30-4118-018-550</v>
      </c>
      <c r="I1437" t="str">
        <f>VLOOKUP(record[[#This Row],[ProcessSN]],表格2_7[],3,FALSE)</f>
        <v>#08PICK</v>
      </c>
      <c r="J1437" t="s">
        <v>582</v>
      </c>
      <c r="K1437" s="195">
        <v>46134.623819444445</v>
      </c>
      <c r="L1437">
        <v>589</v>
      </c>
      <c r="M1437">
        <v>0</v>
      </c>
      <c r="N1437" s="98" t="str">
        <f>IF(record[[#This Row],[Memo]]="Browser:chrome os:android","平板報工",IF(record[[#This Row],[Memo]]=0,"委外",record[[#This Row],[Memo]]))</f>
        <v/>
      </c>
      <c r="O1437" t="s">
        <v>58</v>
      </c>
      <c r="P1437" t="s">
        <v>186</v>
      </c>
      <c r="Q1437" t="s">
        <v>58</v>
      </c>
      <c r="R1437" t="str">
        <f>IFERROR(VLOOKUP(record[[#This Row],[PCUSTID]],廠商[],2,FALSE),"")</f>
        <v/>
      </c>
      <c r="S1437" t="str">
        <f>VLOOKUP(record[[#This Row],[employeeID]],員工[],2,FALSE)</f>
        <v>許文姍</v>
      </c>
    </row>
    <row r="1438" spans="6:19" hidden="1" x14ac:dyDescent="0.25">
      <c r="F1438" t="s">
        <v>1686</v>
      </c>
      <c r="G1438" t="s">
        <v>428</v>
      </c>
      <c r="H1438" t="str">
        <f>VLOOKUP(record[[#This Row],[ProcessSN]],表格2_7[],2,FALSE)</f>
        <v>30-4118-018-600</v>
      </c>
      <c r="I1438" t="str">
        <f>VLOOKUP(record[[#This Row],[ProcessSN]],表格2_7[],3,FALSE)</f>
        <v>#100SHIP</v>
      </c>
      <c r="J1438" t="s">
        <v>600</v>
      </c>
      <c r="K1438" s="195">
        <v>46134.594664351855</v>
      </c>
      <c r="L1438">
        <v>20</v>
      </c>
      <c r="M1438">
        <v>0</v>
      </c>
      <c r="N1438" s="98" t="str">
        <f>IF(record[[#This Row],[Memo]]="Browser:chrome os:android","平板報工",IF(record[[#This Row],[Memo]]=0,"委外",record[[#This Row],[Memo]]))</f>
        <v>補4/21出貨-1.5露白 出組裝</v>
      </c>
      <c r="O1438" t="s">
        <v>1871</v>
      </c>
      <c r="P1438" t="s">
        <v>886</v>
      </c>
      <c r="Q1438" t="s">
        <v>58</v>
      </c>
      <c r="R1438" t="str">
        <f>IFERROR(VLOOKUP(record[[#This Row],[PCUSTID]],廠商[],2,FALSE),"")</f>
        <v/>
      </c>
      <c r="S1438" t="str">
        <f>VLOOKUP(record[[#This Row],[employeeID]],員工[],2,FALSE)</f>
        <v>謝蓁薰</v>
      </c>
    </row>
    <row r="1439" spans="6:19" hidden="1" x14ac:dyDescent="0.25">
      <c r="F1439" t="s">
        <v>1600</v>
      </c>
      <c r="G1439" t="s">
        <v>428</v>
      </c>
      <c r="H1439" t="str">
        <f>VLOOKUP(record[[#This Row],[ProcessSN]],表格2_7[],2,FALSE)</f>
        <v>30-4118-018-600</v>
      </c>
      <c r="I1439" t="str">
        <f>VLOOKUP(record[[#This Row],[ProcessSN]],表格2_7[],3,FALSE)</f>
        <v>#100SHIP</v>
      </c>
      <c r="J1439" t="s">
        <v>600</v>
      </c>
      <c r="K1439" s="195">
        <v>46134.594444444447</v>
      </c>
      <c r="L1439">
        <v>3</v>
      </c>
      <c r="M1439">
        <v>0</v>
      </c>
      <c r="N1439" s="98" t="str">
        <f>IF(record[[#This Row],[Memo]]="Browser:chrome os:android","平板報工",IF(record[[#This Row],[Memo]]=0,"委外",record[[#This Row],[Memo]]))</f>
        <v>補4/21出貨-1.5露白 出組裝</v>
      </c>
      <c r="O1439" t="s">
        <v>1871</v>
      </c>
      <c r="P1439" t="s">
        <v>886</v>
      </c>
      <c r="Q1439" t="s">
        <v>58</v>
      </c>
      <c r="R1439" t="str">
        <f>IFERROR(VLOOKUP(record[[#This Row],[PCUSTID]],廠商[],2,FALSE),"")</f>
        <v/>
      </c>
      <c r="S1439" t="str">
        <f>VLOOKUP(record[[#This Row],[employeeID]],員工[],2,FALSE)</f>
        <v>謝蓁薰</v>
      </c>
    </row>
    <row r="1440" spans="6:19" hidden="1" x14ac:dyDescent="0.25">
      <c r="F1440" t="s">
        <v>1596</v>
      </c>
      <c r="G1440" t="s">
        <v>428</v>
      </c>
      <c r="H1440" t="str">
        <f>VLOOKUP(record[[#This Row],[ProcessSN]],表格2_7[],2,FALSE)</f>
        <v>30-4118-018-600</v>
      </c>
      <c r="I1440" t="str">
        <f>VLOOKUP(record[[#This Row],[ProcessSN]],表格2_7[],3,FALSE)</f>
        <v>#100SHIP</v>
      </c>
      <c r="J1440" t="s">
        <v>600</v>
      </c>
      <c r="K1440" s="195">
        <v>46134.594247685185</v>
      </c>
      <c r="L1440">
        <v>15</v>
      </c>
      <c r="M1440">
        <v>0</v>
      </c>
      <c r="N1440" s="98" t="str">
        <f>IF(record[[#This Row],[Memo]]="Browser:chrome os:android","平板報工",IF(record[[#This Row],[Memo]]=0,"委外",record[[#This Row],[Memo]]))</f>
        <v>補4/21出貨-1.5露白 出組裝</v>
      </c>
      <c r="O1440" t="s">
        <v>1871</v>
      </c>
      <c r="P1440" t="s">
        <v>886</v>
      </c>
      <c r="Q1440" t="s">
        <v>58</v>
      </c>
      <c r="R1440" t="str">
        <f>IFERROR(VLOOKUP(record[[#This Row],[PCUSTID]],廠商[],2,FALSE),"")</f>
        <v/>
      </c>
      <c r="S1440" t="str">
        <f>VLOOKUP(record[[#This Row],[employeeID]],員工[],2,FALSE)</f>
        <v>謝蓁薰</v>
      </c>
    </row>
    <row r="1441" spans="6:19" hidden="1" x14ac:dyDescent="0.25">
      <c r="F1441" t="s">
        <v>1686</v>
      </c>
      <c r="G1441" t="s">
        <v>427</v>
      </c>
      <c r="H1441" t="str">
        <f>VLOOKUP(record[[#This Row],[ProcessSN]],表格2_7[],2,FALSE)</f>
        <v>30-4118-018-600</v>
      </c>
      <c r="I1441" t="str">
        <f>VLOOKUP(record[[#This Row],[ProcessSN]],表格2_7[],3,FALSE)</f>
        <v>#100STOCK</v>
      </c>
      <c r="J1441" t="s">
        <v>592</v>
      </c>
      <c r="K1441" s="195">
        <v>46134.593912037039</v>
      </c>
      <c r="L1441">
        <v>20</v>
      </c>
      <c r="M1441">
        <v>0</v>
      </c>
      <c r="N1441" s="98" t="str">
        <f>IF(record[[#This Row],[Memo]]="Browser:chrome os:android","平板報工",IF(record[[#This Row],[Memo]]=0,"委外",record[[#This Row],[Memo]]))</f>
        <v/>
      </c>
      <c r="O1441" t="s">
        <v>58</v>
      </c>
      <c r="P1441" t="s">
        <v>886</v>
      </c>
      <c r="Q1441" t="s">
        <v>58</v>
      </c>
      <c r="R1441" t="str">
        <f>IFERROR(VLOOKUP(record[[#This Row],[PCUSTID]],廠商[],2,FALSE),"")</f>
        <v/>
      </c>
      <c r="S1441" t="str">
        <f>VLOOKUP(record[[#This Row],[employeeID]],員工[],2,FALSE)</f>
        <v>謝蓁薰</v>
      </c>
    </row>
    <row r="1442" spans="6:19" hidden="1" x14ac:dyDescent="0.25">
      <c r="F1442" t="s">
        <v>1600</v>
      </c>
      <c r="G1442" t="s">
        <v>427</v>
      </c>
      <c r="H1442" t="str">
        <f>VLOOKUP(record[[#This Row],[ProcessSN]],表格2_7[],2,FALSE)</f>
        <v>30-4118-018-600</v>
      </c>
      <c r="I1442" t="str">
        <f>VLOOKUP(record[[#This Row],[ProcessSN]],表格2_7[],3,FALSE)</f>
        <v>#100STOCK</v>
      </c>
      <c r="J1442" t="s">
        <v>592</v>
      </c>
      <c r="K1442" s="195">
        <v>46134.5937962963</v>
      </c>
      <c r="L1442">
        <v>3</v>
      </c>
      <c r="M1442">
        <v>0</v>
      </c>
      <c r="N1442" s="98" t="str">
        <f>IF(record[[#This Row],[Memo]]="Browser:chrome os:android","平板報工",IF(record[[#This Row],[Memo]]=0,"委外",record[[#This Row],[Memo]]))</f>
        <v/>
      </c>
      <c r="O1442" t="s">
        <v>58</v>
      </c>
      <c r="P1442" t="s">
        <v>886</v>
      </c>
      <c r="Q1442" t="s">
        <v>58</v>
      </c>
      <c r="R1442" t="str">
        <f>IFERROR(VLOOKUP(record[[#This Row],[PCUSTID]],廠商[],2,FALSE),"")</f>
        <v/>
      </c>
      <c r="S1442" t="str">
        <f>VLOOKUP(record[[#This Row],[employeeID]],員工[],2,FALSE)</f>
        <v>謝蓁薰</v>
      </c>
    </row>
    <row r="1443" spans="6:19" hidden="1" x14ac:dyDescent="0.25">
      <c r="F1443" t="s">
        <v>1596</v>
      </c>
      <c r="G1443" t="s">
        <v>427</v>
      </c>
      <c r="H1443" t="str">
        <f>VLOOKUP(record[[#This Row],[ProcessSN]],表格2_7[],2,FALSE)</f>
        <v>30-4118-018-600</v>
      </c>
      <c r="I1443" t="str">
        <f>VLOOKUP(record[[#This Row],[ProcessSN]],表格2_7[],3,FALSE)</f>
        <v>#100STOCK</v>
      </c>
      <c r="J1443" t="s">
        <v>592</v>
      </c>
      <c r="K1443" s="195">
        <v>46134.593692129631</v>
      </c>
      <c r="L1443">
        <v>15</v>
      </c>
      <c r="M1443">
        <v>0</v>
      </c>
      <c r="N1443" s="98" t="str">
        <f>IF(record[[#This Row],[Memo]]="Browser:chrome os:android","平板報工",IF(record[[#This Row],[Memo]]=0,"委外",record[[#This Row],[Memo]]))</f>
        <v/>
      </c>
      <c r="O1443" t="s">
        <v>58</v>
      </c>
      <c r="P1443" t="s">
        <v>886</v>
      </c>
      <c r="Q1443" t="s">
        <v>58</v>
      </c>
      <c r="R1443" t="str">
        <f>IFERROR(VLOOKUP(record[[#This Row],[PCUSTID]],廠商[],2,FALSE),"")</f>
        <v/>
      </c>
      <c r="S1443" t="str">
        <f>VLOOKUP(record[[#This Row],[employeeID]],員工[],2,FALSE)</f>
        <v>謝蓁薰</v>
      </c>
    </row>
    <row r="1444" spans="6:19" hidden="1" x14ac:dyDescent="0.25">
      <c r="F1444" t="s">
        <v>1868</v>
      </c>
      <c r="G1444" t="s">
        <v>422</v>
      </c>
      <c r="H1444" t="str">
        <f>VLOOKUP(record[[#This Row],[ProcessSN]],表格2_7[],2,FALSE)</f>
        <v>30-4118-018-600</v>
      </c>
      <c r="I1444" t="str">
        <f>VLOOKUP(record[[#This Row],[ProcessSN]],表格2_7[],3,FALSE)</f>
        <v>#08</v>
      </c>
      <c r="J1444" t="s">
        <v>597</v>
      </c>
      <c r="K1444" s="195">
        <v>46134.569155092591</v>
      </c>
      <c r="L1444">
        <v>360</v>
      </c>
      <c r="M1444">
        <v>0</v>
      </c>
      <c r="N1444" s="98" t="str">
        <f>IF(record[[#This Row],[Memo]]="Browser:chrome os:android","平板報工",IF(record[[#This Row],[Memo]]=0,"委外",record[[#This Row],[Memo]]))</f>
        <v>委外</v>
      </c>
      <c r="P1444" t="s">
        <v>186</v>
      </c>
      <c r="Q1444" t="s">
        <v>287</v>
      </c>
      <c r="R1444" t="str">
        <f>IFERROR(VLOOKUP(record[[#This Row],[PCUSTID]],廠商[],2,FALSE),"")</f>
        <v>泉盛</v>
      </c>
      <c r="S1444" t="str">
        <f>VLOOKUP(record[[#This Row],[employeeID]],員工[],2,FALSE)</f>
        <v>許文姍</v>
      </c>
    </row>
    <row r="1445" spans="6:19" hidden="1" x14ac:dyDescent="0.25">
      <c r="F1445" t="s">
        <v>1868</v>
      </c>
      <c r="G1445" t="s">
        <v>421</v>
      </c>
      <c r="H1445" t="str">
        <f>VLOOKUP(record[[#This Row],[ProcessSN]],表格2_7[],2,FALSE)</f>
        <v>30-4118-018-600</v>
      </c>
      <c r="I1445" t="str">
        <f>VLOOKUP(record[[#This Row],[ProcessSN]],表格2_7[],3,FALSE)</f>
        <v>#08PICK</v>
      </c>
      <c r="J1445" t="s">
        <v>582</v>
      </c>
      <c r="K1445" s="195">
        <v>46134.568923611114</v>
      </c>
      <c r="L1445">
        <v>360</v>
      </c>
      <c r="M1445">
        <v>0</v>
      </c>
      <c r="N1445" s="98" t="str">
        <f>IF(record[[#This Row],[Memo]]="Browser:chrome os:android","平板報工",IF(record[[#This Row],[Memo]]=0,"委外",record[[#This Row],[Memo]]))</f>
        <v/>
      </c>
      <c r="O1445" t="s">
        <v>58</v>
      </c>
      <c r="P1445" t="s">
        <v>186</v>
      </c>
      <c r="Q1445" t="s">
        <v>58</v>
      </c>
      <c r="R1445" t="str">
        <f>IFERROR(VLOOKUP(record[[#This Row],[PCUSTID]],廠商[],2,FALSE),"")</f>
        <v/>
      </c>
      <c r="S1445" t="str">
        <f>VLOOKUP(record[[#This Row],[employeeID]],員工[],2,FALSE)</f>
        <v>許文姍</v>
      </c>
    </row>
    <row r="1446" spans="6:19" hidden="1" x14ac:dyDescent="0.25">
      <c r="F1446" t="s">
        <v>1815</v>
      </c>
      <c r="G1446" t="s">
        <v>453</v>
      </c>
      <c r="H1446" t="str">
        <f>VLOOKUP(record[[#This Row],[ProcessSN]],表格2_7[],2,FALSE)</f>
        <v>30-4118-018-6XX</v>
      </c>
      <c r="I1446" t="str">
        <f>VLOOKUP(record[[#This Row],[ProcessSN]],表格2_7[],3,FALSE)</f>
        <v>#07STOCK</v>
      </c>
      <c r="J1446" t="s">
        <v>592</v>
      </c>
      <c r="K1446" s="195">
        <v>46134.567962962959</v>
      </c>
      <c r="L1446">
        <v>317</v>
      </c>
      <c r="M1446">
        <v>0</v>
      </c>
      <c r="N1446" s="98" t="str">
        <f>IF(record[[#This Row],[Memo]]="Browser:chrome os:android","平板報工",IF(record[[#This Row],[Memo]]=0,"委外",record[[#This Row],[Memo]]))</f>
        <v/>
      </c>
      <c r="O1446" t="s">
        <v>58</v>
      </c>
      <c r="P1446" t="s">
        <v>186</v>
      </c>
      <c r="Q1446" t="s">
        <v>58</v>
      </c>
      <c r="R1446" t="str">
        <f>IFERROR(VLOOKUP(record[[#This Row],[PCUSTID]],廠商[],2,FALSE),"")</f>
        <v/>
      </c>
      <c r="S1446" t="str">
        <f>VLOOKUP(record[[#This Row],[employeeID]],員工[],2,FALSE)</f>
        <v>許文姍</v>
      </c>
    </row>
    <row r="1447" spans="6:19" hidden="1" x14ac:dyDescent="0.25">
      <c r="F1447" t="s">
        <v>1637</v>
      </c>
      <c r="G1447" t="s">
        <v>453</v>
      </c>
      <c r="H1447" t="str">
        <f>VLOOKUP(record[[#This Row],[ProcessSN]],表格2_7[],2,FALSE)</f>
        <v>30-4118-018-6XX</v>
      </c>
      <c r="I1447" t="str">
        <f>VLOOKUP(record[[#This Row],[ProcessSN]],表格2_7[],3,FALSE)</f>
        <v>#07STOCK</v>
      </c>
      <c r="J1447" t="s">
        <v>592</v>
      </c>
      <c r="K1447" s="195">
        <v>46134.567754629628</v>
      </c>
      <c r="L1447">
        <v>43</v>
      </c>
      <c r="M1447">
        <v>0</v>
      </c>
      <c r="N1447" s="98" t="str">
        <f>IF(record[[#This Row],[Memo]]="Browser:chrome os:android","平板報工",IF(record[[#This Row],[Memo]]=0,"委外",record[[#This Row],[Memo]]))</f>
        <v/>
      </c>
      <c r="O1447" t="s">
        <v>58</v>
      </c>
      <c r="P1447" t="s">
        <v>186</v>
      </c>
      <c r="Q1447" t="s">
        <v>58</v>
      </c>
      <c r="R1447" t="str">
        <f>IFERROR(VLOOKUP(record[[#This Row],[PCUSTID]],廠商[],2,FALSE),"")</f>
        <v/>
      </c>
      <c r="S1447" t="str">
        <f>VLOOKUP(record[[#This Row],[employeeID]],員工[],2,FALSE)</f>
        <v>許文姍</v>
      </c>
    </row>
    <row r="1448" spans="6:19" hidden="1" x14ac:dyDescent="0.25">
      <c r="F1448" t="s">
        <v>1815</v>
      </c>
      <c r="G1448" t="s">
        <v>452</v>
      </c>
      <c r="H1448" t="str">
        <f>VLOOKUP(record[[#This Row],[ProcessSN]],表格2_7[],2,FALSE)</f>
        <v>30-4118-018-6XX</v>
      </c>
      <c r="I1448" t="str">
        <f>VLOOKUP(record[[#This Row],[ProcessSN]],表格2_7[],3,FALSE)</f>
        <v>#07QC</v>
      </c>
      <c r="J1448" t="s">
        <v>589</v>
      </c>
      <c r="K1448" s="195">
        <v>46134.563206018516</v>
      </c>
      <c r="L1448">
        <v>40</v>
      </c>
      <c r="M1448">
        <v>0</v>
      </c>
      <c r="N1448" s="98" t="str">
        <f>IF(record[[#This Row],[Memo]]="Browser:chrome os:android","平板報工",IF(record[[#This Row],[Memo]]=0,"委外",record[[#This Row],[Memo]]))</f>
        <v/>
      </c>
      <c r="O1448" t="s">
        <v>58</v>
      </c>
      <c r="P1448" t="s">
        <v>141</v>
      </c>
      <c r="Q1448" t="s">
        <v>58</v>
      </c>
      <c r="R1448" t="str">
        <f>IFERROR(VLOOKUP(record[[#This Row],[PCUSTID]],廠商[],2,FALSE),"")</f>
        <v/>
      </c>
      <c r="S1448" t="str">
        <f>VLOOKUP(record[[#This Row],[employeeID]],員工[],2,FALSE)</f>
        <v>蔣梅</v>
      </c>
    </row>
    <row r="1449" spans="6:19" hidden="1" x14ac:dyDescent="0.25">
      <c r="F1449" t="s">
        <v>1841</v>
      </c>
      <c r="G1449" t="s">
        <v>425</v>
      </c>
      <c r="H1449" t="str">
        <f>VLOOKUP(record[[#This Row],[ProcessSN]],表格2_7[],2,FALSE)</f>
        <v>30-4118-018-600</v>
      </c>
      <c r="I1449" t="str">
        <f>VLOOKUP(record[[#This Row],[ProcessSN]],表格2_7[],3,FALSE)</f>
        <v>#100</v>
      </c>
      <c r="J1449" t="s">
        <v>598</v>
      </c>
      <c r="K1449" s="195">
        <v>46134.489548611113</v>
      </c>
      <c r="L1449">
        <v>69</v>
      </c>
      <c r="M1449">
        <v>0</v>
      </c>
      <c r="N1449" s="98" t="str">
        <f>IF(record[[#This Row],[Memo]]="Browser:chrome os:android","平板報工",IF(record[[#This Row],[Memo]]=0,"委外",record[[#This Row],[Memo]]))</f>
        <v/>
      </c>
      <c r="O1449" t="s">
        <v>58</v>
      </c>
      <c r="P1449" t="s">
        <v>103</v>
      </c>
      <c r="Q1449" t="s">
        <v>58</v>
      </c>
      <c r="R1449" t="str">
        <f>IFERROR(VLOOKUP(record[[#This Row],[PCUSTID]],廠商[],2,FALSE),"")</f>
        <v/>
      </c>
      <c r="S1449" t="str">
        <f>VLOOKUP(record[[#This Row],[employeeID]],員工[],2,FALSE)</f>
        <v>黎秋水</v>
      </c>
    </row>
    <row r="1450" spans="6:19" hidden="1" x14ac:dyDescent="0.25">
      <c r="F1450" t="s">
        <v>1815</v>
      </c>
      <c r="G1450" t="s">
        <v>452</v>
      </c>
      <c r="H1450" t="str">
        <f>VLOOKUP(record[[#This Row],[ProcessSN]],表格2_7[],2,FALSE)</f>
        <v>30-4118-018-6XX</v>
      </c>
      <c r="I1450" t="str">
        <f>VLOOKUP(record[[#This Row],[ProcessSN]],表格2_7[],3,FALSE)</f>
        <v>#07QC</v>
      </c>
      <c r="J1450" t="s">
        <v>589</v>
      </c>
      <c r="K1450" s="195">
        <v>46134.484918981485</v>
      </c>
      <c r="L1450">
        <v>0</v>
      </c>
      <c r="M1450">
        <v>142</v>
      </c>
      <c r="N1450" s="98" t="str">
        <f>IF(record[[#This Row],[Memo]]="Browser:chrome os:android","平板報工",IF(record[[#This Row],[Memo]]=0,"委外",record[[#This Row],[Memo]]))</f>
        <v/>
      </c>
      <c r="O1450" t="s">
        <v>58</v>
      </c>
      <c r="P1450" t="s">
        <v>141</v>
      </c>
      <c r="Q1450" t="s">
        <v>58</v>
      </c>
      <c r="R1450" t="str">
        <f>IFERROR(VLOOKUP(record[[#This Row],[PCUSTID]],廠商[],2,FALSE),"")</f>
        <v/>
      </c>
      <c r="S1450" t="str">
        <f>VLOOKUP(record[[#This Row],[employeeID]],員工[],2,FALSE)</f>
        <v>蔣梅</v>
      </c>
    </row>
    <row r="1451" spans="6:19" hidden="1" x14ac:dyDescent="0.25">
      <c r="F1451" t="s">
        <v>1815</v>
      </c>
      <c r="G1451" t="s">
        <v>452</v>
      </c>
      <c r="H1451" t="str">
        <f>VLOOKUP(record[[#This Row],[ProcessSN]],表格2_7[],2,FALSE)</f>
        <v>30-4118-018-6XX</v>
      </c>
      <c r="I1451" t="str">
        <f>VLOOKUP(record[[#This Row],[ProcessSN]],表格2_7[],3,FALSE)</f>
        <v>#07QC</v>
      </c>
      <c r="J1451" t="s">
        <v>589</v>
      </c>
      <c r="K1451" s="195">
        <v>46134.484143518515</v>
      </c>
      <c r="L1451">
        <v>277</v>
      </c>
      <c r="M1451">
        <v>0</v>
      </c>
      <c r="N1451" s="98" t="str">
        <f>IF(record[[#This Row],[Memo]]="Browser:chrome os:android","平板報工",IF(record[[#This Row],[Memo]]=0,"委外",record[[#This Row],[Memo]]))</f>
        <v/>
      </c>
      <c r="O1451" t="s">
        <v>58</v>
      </c>
      <c r="P1451" t="s">
        <v>141</v>
      </c>
      <c r="Q1451" t="s">
        <v>58</v>
      </c>
      <c r="R1451" t="str">
        <f>IFERROR(VLOOKUP(record[[#This Row],[PCUSTID]],廠商[],2,FALSE),"")</f>
        <v/>
      </c>
      <c r="S1451" t="str">
        <f>VLOOKUP(record[[#This Row],[employeeID]],員工[],2,FALSE)</f>
        <v>蔣梅</v>
      </c>
    </row>
    <row r="1452" spans="6:19" hidden="1" x14ac:dyDescent="0.25">
      <c r="F1452" t="s">
        <v>1772</v>
      </c>
      <c r="G1452" t="s">
        <v>469</v>
      </c>
      <c r="H1452" t="str">
        <f>VLOOKUP(record[[#This Row],[ProcessSN]],表格2_7[],2,FALSE)</f>
        <v>30-4118-018-XXX</v>
      </c>
      <c r="I1452" t="str">
        <f>VLOOKUP(record[[#This Row],[ProcessSN]],表格2_7[],3,FALSE)</f>
        <v>#02RCV</v>
      </c>
      <c r="J1452" t="s">
        <v>591</v>
      </c>
      <c r="K1452" s="195">
        <v>46134.462106481478</v>
      </c>
      <c r="L1452">
        <v>672</v>
      </c>
      <c r="M1452">
        <v>0</v>
      </c>
      <c r="N1452" s="98" t="str">
        <f>IF(record[[#This Row],[Memo]]="Browser:chrome os:android","平板報工",IF(record[[#This Row],[Memo]]=0,"委外",record[[#This Row],[Memo]]))</f>
        <v/>
      </c>
      <c r="O1452" t="s">
        <v>58</v>
      </c>
      <c r="P1452" t="s">
        <v>186</v>
      </c>
      <c r="Q1452" t="s">
        <v>58</v>
      </c>
      <c r="R1452" t="str">
        <f>IFERROR(VLOOKUP(record[[#This Row],[PCUSTID]],廠商[],2,FALSE),"")</f>
        <v/>
      </c>
      <c r="S1452" t="str">
        <f>VLOOKUP(record[[#This Row],[employeeID]],員工[],2,FALSE)</f>
        <v>許文姍</v>
      </c>
    </row>
    <row r="1453" spans="6:19" hidden="1" x14ac:dyDescent="0.25">
      <c r="F1453" t="s">
        <v>1787</v>
      </c>
      <c r="G1453" t="s">
        <v>469</v>
      </c>
      <c r="H1453" t="str">
        <f>VLOOKUP(record[[#This Row],[ProcessSN]],表格2_7[],2,FALSE)</f>
        <v>30-4118-018-XXX</v>
      </c>
      <c r="I1453" t="str">
        <f>VLOOKUP(record[[#This Row],[ProcessSN]],表格2_7[],3,FALSE)</f>
        <v>#02RCV</v>
      </c>
      <c r="J1453" t="s">
        <v>591</v>
      </c>
      <c r="K1453" s="195">
        <v>46134.46193287037</v>
      </c>
      <c r="L1453">
        <v>462</v>
      </c>
      <c r="M1453">
        <v>0</v>
      </c>
      <c r="N1453" s="98" t="str">
        <f>IF(record[[#This Row],[Memo]]="Browser:chrome os:android","平板報工",IF(record[[#This Row],[Memo]]=0,"委外",record[[#This Row],[Memo]]))</f>
        <v/>
      </c>
      <c r="O1453" t="s">
        <v>58</v>
      </c>
      <c r="P1453" t="s">
        <v>186</v>
      </c>
      <c r="Q1453" t="s">
        <v>58</v>
      </c>
      <c r="R1453" t="str">
        <f>IFERROR(VLOOKUP(record[[#This Row],[PCUSTID]],廠商[],2,FALSE),"")</f>
        <v/>
      </c>
      <c r="S1453" t="str">
        <f>VLOOKUP(record[[#This Row],[employeeID]],員工[],2,FALSE)</f>
        <v>許文姍</v>
      </c>
    </row>
    <row r="1454" spans="6:19" hidden="1" x14ac:dyDescent="0.25">
      <c r="F1454" t="s">
        <v>1787</v>
      </c>
      <c r="G1454" t="s">
        <v>469</v>
      </c>
      <c r="H1454" t="str">
        <f>VLOOKUP(record[[#This Row],[ProcessSN]],表格2_7[],2,FALSE)</f>
        <v>30-4118-018-XXX</v>
      </c>
      <c r="I1454" t="str">
        <f>VLOOKUP(record[[#This Row],[ProcessSN]],表格2_7[],3,FALSE)</f>
        <v>#02RCV</v>
      </c>
      <c r="J1454" t="s">
        <v>591</v>
      </c>
      <c r="K1454" s="195">
        <v>46134.458425925928</v>
      </c>
      <c r="L1454">
        <v>0</v>
      </c>
      <c r="M1454">
        <v>2</v>
      </c>
      <c r="N1454" s="98" t="str">
        <f>IF(record[[#This Row],[Memo]]="Browser:chrome os:android","平板報工",IF(record[[#This Row],[Memo]]=0,"委外",record[[#This Row],[Memo]]))</f>
        <v/>
      </c>
      <c r="O1454" t="s">
        <v>58</v>
      </c>
      <c r="P1454" t="s">
        <v>186</v>
      </c>
      <c r="Q1454" t="s">
        <v>58</v>
      </c>
      <c r="R1454" t="str">
        <f>IFERROR(VLOOKUP(record[[#This Row],[PCUSTID]],廠商[],2,FALSE),"")</f>
        <v/>
      </c>
      <c r="S1454" t="str">
        <f>VLOOKUP(record[[#This Row],[employeeID]],員工[],2,FALSE)</f>
        <v>許文姍</v>
      </c>
    </row>
    <row r="1455" spans="6:19" hidden="1" x14ac:dyDescent="0.25">
      <c r="F1455" t="s">
        <v>1772</v>
      </c>
      <c r="G1455" t="s">
        <v>469</v>
      </c>
      <c r="H1455" t="str">
        <f>VLOOKUP(record[[#This Row],[ProcessSN]],表格2_7[],2,FALSE)</f>
        <v>30-4118-018-XXX</v>
      </c>
      <c r="I1455" t="str">
        <f>VLOOKUP(record[[#This Row],[ProcessSN]],表格2_7[],3,FALSE)</f>
        <v>#02RCV</v>
      </c>
      <c r="J1455" t="s">
        <v>591</v>
      </c>
      <c r="K1455" s="195">
        <v>46134.458275462966</v>
      </c>
      <c r="L1455">
        <v>0</v>
      </c>
      <c r="M1455">
        <v>18</v>
      </c>
      <c r="N1455" s="98" t="str">
        <f>IF(record[[#This Row],[Memo]]="Browser:chrome os:android","平板報工",IF(record[[#This Row],[Memo]]=0,"委外",record[[#This Row],[Memo]]))</f>
        <v/>
      </c>
      <c r="O1455" t="s">
        <v>58</v>
      </c>
      <c r="P1455" t="s">
        <v>186</v>
      </c>
      <c r="Q1455" t="s">
        <v>58</v>
      </c>
      <c r="R1455" t="str">
        <f>IFERROR(VLOOKUP(record[[#This Row],[PCUSTID]],廠商[],2,FALSE),"")</f>
        <v/>
      </c>
      <c r="S1455" t="str">
        <f>VLOOKUP(record[[#This Row],[employeeID]],員工[],2,FALSE)</f>
        <v>許文姍</v>
      </c>
    </row>
    <row r="1456" spans="6:19" hidden="1" x14ac:dyDescent="0.25">
      <c r="F1456" t="s">
        <v>1839</v>
      </c>
      <c r="G1456" t="s">
        <v>384</v>
      </c>
      <c r="H1456" t="str">
        <f>VLOOKUP(record[[#This Row],[ProcessSN]],表格2_7[],2,FALSE)</f>
        <v>30-4118-018-500</v>
      </c>
      <c r="I1456" t="str">
        <f>VLOOKUP(record[[#This Row],[ProcessSN]],表格2_7[],3,FALSE)</f>
        <v>#100</v>
      </c>
      <c r="J1456" t="s">
        <v>598</v>
      </c>
      <c r="K1456" s="195">
        <v>46134.44431712963</v>
      </c>
      <c r="L1456">
        <v>0</v>
      </c>
      <c r="M1456">
        <v>22</v>
      </c>
      <c r="N1456" s="98" t="str">
        <f>IF(record[[#This Row],[Memo]]="Browser:chrome os:android","平板報工",IF(record[[#This Row],[Memo]]=0,"委外",record[[#This Row],[Memo]]))</f>
        <v/>
      </c>
      <c r="O1456" t="s">
        <v>58</v>
      </c>
      <c r="P1456" t="s">
        <v>103</v>
      </c>
      <c r="Q1456" t="s">
        <v>58</v>
      </c>
      <c r="R1456" t="str">
        <f>IFERROR(VLOOKUP(record[[#This Row],[PCUSTID]],廠商[],2,FALSE),"")</f>
        <v/>
      </c>
      <c r="S1456" t="str">
        <f>VLOOKUP(record[[#This Row],[employeeID]],員工[],2,FALSE)</f>
        <v>黎秋水</v>
      </c>
    </row>
    <row r="1457" spans="6:19" hidden="1" x14ac:dyDescent="0.25">
      <c r="F1457" t="s">
        <v>1839</v>
      </c>
      <c r="G1457" t="s">
        <v>384</v>
      </c>
      <c r="H1457" t="str">
        <f>VLOOKUP(record[[#This Row],[ProcessSN]],表格2_7[],2,FALSE)</f>
        <v>30-4118-018-500</v>
      </c>
      <c r="I1457" t="str">
        <f>VLOOKUP(record[[#This Row],[ProcessSN]],表格2_7[],3,FALSE)</f>
        <v>#100</v>
      </c>
      <c r="J1457" t="s">
        <v>598</v>
      </c>
      <c r="K1457" s="195">
        <v>46134.443645833337</v>
      </c>
      <c r="L1457">
        <v>77</v>
      </c>
      <c r="M1457">
        <v>0</v>
      </c>
      <c r="N1457" s="98" t="str">
        <f>IF(record[[#This Row],[Memo]]="Browser:chrome os:android","平板報工",IF(record[[#This Row],[Memo]]=0,"委外",record[[#This Row],[Memo]]))</f>
        <v/>
      </c>
      <c r="O1457" t="s">
        <v>58</v>
      </c>
      <c r="P1457" t="s">
        <v>103</v>
      </c>
      <c r="Q1457" t="s">
        <v>58</v>
      </c>
      <c r="R1457" t="str">
        <f>IFERROR(VLOOKUP(record[[#This Row],[PCUSTID]],廠商[],2,FALSE),"")</f>
        <v/>
      </c>
      <c r="S1457" t="str">
        <f>VLOOKUP(record[[#This Row],[employeeID]],員工[],2,FALSE)</f>
        <v>黎秋水</v>
      </c>
    </row>
    <row r="1458" spans="6:19" hidden="1" x14ac:dyDescent="0.25">
      <c r="F1458" t="s">
        <v>1772</v>
      </c>
      <c r="G1458" t="s">
        <v>467</v>
      </c>
      <c r="H1458" t="str">
        <f>VLOOKUP(record[[#This Row],[ProcessSN]],表格2_7[],2,FALSE)</f>
        <v>30-4118-018-XXX</v>
      </c>
      <c r="I1458" t="str">
        <f>VLOOKUP(record[[#This Row],[ProcessSN]],表格2_7[],3,FALSE)</f>
        <v>#01QC</v>
      </c>
      <c r="J1458" t="s">
        <v>589</v>
      </c>
      <c r="K1458" s="195">
        <v>46134.407418981478</v>
      </c>
      <c r="L1458">
        <v>71</v>
      </c>
      <c r="M1458">
        <v>0</v>
      </c>
      <c r="N1458" s="98" t="str">
        <f>IF(record[[#This Row],[Memo]]="Browser:chrome os:android","平板報工",IF(record[[#This Row],[Memo]]=0,"委外",record[[#This Row],[Memo]]))</f>
        <v>平板報工</v>
      </c>
      <c r="O1458" t="s">
        <v>643</v>
      </c>
      <c r="P1458" t="s">
        <v>182</v>
      </c>
      <c r="Q1458" t="s">
        <v>644</v>
      </c>
      <c r="R1458" t="str">
        <f>IFERROR(VLOOKUP(record[[#This Row],[PCUSTID]],廠商[],2,FALSE),"")</f>
        <v/>
      </c>
      <c r="S1458" t="str">
        <f>VLOOKUP(record[[#This Row],[employeeID]],員工[],2,FALSE)</f>
        <v>梅氏和</v>
      </c>
    </row>
    <row r="1459" spans="6:19" hidden="1" x14ac:dyDescent="0.25">
      <c r="F1459" t="s">
        <v>1818</v>
      </c>
      <c r="G1459" t="s">
        <v>467</v>
      </c>
      <c r="H1459" t="str">
        <f>VLOOKUP(record[[#This Row],[ProcessSN]],表格2_7[],2,FALSE)</f>
        <v>30-4118-018-XXX</v>
      </c>
      <c r="I1459" t="str">
        <f>VLOOKUP(record[[#This Row],[ProcessSN]],表格2_7[],3,FALSE)</f>
        <v>#01QC</v>
      </c>
      <c r="J1459" t="s">
        <v>589</v>
      </c>
      <c r="K1459" s="195">
        <v>46134.40729166667</v>
      </c>
      <c r="L1459">
        <v>97</v>
      </c>
      <c r="M1459">
        <v>0</v>
      </c>
      <c r="N1459" s="98" t="str">
        <f>IF(record[[#This Row],[Memo]]="Browser:chrome os:android","平板報工",IF(record[[#This Row],[Memo]]=0,"委外",record[[#This Row],[Memo]]))</f>
        <v>平板報工</v>
      </c>
      <c r="O1459" t="s">
        <v>643</v>
      </c>
      <c r="P1459" t="s">
        <v>182</v>
      </c>
      <c r="Q1459" t="s">
        <v>644</v>
      </c>
      <c r="R1459" t="str">
        <f>IFERROR(VLOOKUP(record[[#This Row],[PCUSTID]],廠商[],2,FALSE),"")</f>
        <v/>
      </c>
      <c r="S1459" t="str">
        <f>VLOOKUP(record[[#This Row],[employeeID]],員工[],2,FALSE)</f>
        <v>梅氏和</v>
      </c>
    </row>
    <row r="1460" spans="6:19" hidden="1" x14ac:dyDescent="0.25">
      <c r="F1460" t="s">
        <v>1787</v>
      </c>
      <c r="G1460" t="s">
        <v>467</v>
      </c>
      <c r="H1460" t="str">
        <f>VLOOKUP(record[[#This Row],[ProcessSN]],表格2_7[],2,FALSE)</f>
        <v>30-4118-018-XXX</v>
      </c>
      <c r="I1460" t="str">
        <f>VLOOKUP(record[[#This Row],[ProcessSN]],表格2_7[],3,FALSE)</f>
        <v>#01QC</v>
      </c>
      <c r="J1460" t="s">
        <v>589</v>
      </c>
      <c r="K1460" s="195">
        <v>46134.406666666669</v>
      </c>
      <c r="L1460">
        <v>66</v>
      </c>
      <c r="M1460">
        <v>0</v>
      </c>
      <c r="N1460" s="98" t="str">
        <f>IF(record[[#This Row],[Memo]]="Browser:chrome os:android","平板報工",IF(record[[#This Row],[Memo]]=0,"委外",record[[#This Row],[Memo]]))</f>
        <v>平板報工</v>
      </c>
      <c r="O1460" t="s">
        <v>643</v>
      </c>
      <c r="P1460" t="s">
        <v>182</v>
      </c>
      <c r="Q1460" t="s">
        <v>644</v>
      </c>
      <c r="R1460" t="str">
        <f>IFERROR(VLOOKUP(record[[#This Row],[PCUSTID]],廠商[],2,FALSE),"")</f>
        <v/>
      </c>
      <c r="S1460" t="str">
        <f>VLOOKUP(record[[#This Row],[employeeID]],員工[],2,FALSE)</f>
        <v>梅氏和</v>
      </c>
    </row>
    <row r="1461" spans="6:19" hidden="1" x14ac:dyDescent="0.25">
      <c r="F1461" t="s">
        <v>1787</v>
      </c>
      <c r="G1461" t="s">
        <v>468</v>
      </c>
      <c r="H1461" t="str">
        <f>VLOOKUP(record[[#This Row],[ProcessSN]],表格2_7[],2,FALSE)</f>
        <v>30-4118-018-XXX</v>
      </c>
      <c r="I1461" t="str">
        <f>VLOOKUP(record[[#This Row],[ProcessSN]],表格2_7[],3,FALSE)</f>
        <v>#02</v>
      </c>
      <c r="J1461" t="s">
        <v>590</v>
      </c>
      <c r="K1461" s="195">
        <v>46134.38354166667</v>
      </c>
      <c r="L1461">
        <v>270</v>
      </c>
      <c r="M1461">
        <v>0</v>
      </c>
      <c r="N1461" s="98" t="str">
        <f>IF(record[[#This Row],[Memo]]="Browser:chrome os:android","平板報工",IF(record[[#This Row],[Memo]]=0,"委外",record[[#This Row],[Memo]]))</f>
        <v>委外</v>
      </c>
      <c r="P1461" t="s">
        <v>186</v>
      </c>
      <c r="Q1461" t="s">
        <v>216</v>
      </c>
      <c r="R1461" t="str">
        <f>IFERROR(VLOOKUP(record[[#This Row],[PCUSTID]],廠商[],2,FALSE),"")</f>
        <v>俊杰</v>
      </c>
      <c r="S1461" t="str">
        <f>VLOOKUP(record[[#This Row],[employeeID]],員工[],2,FALSE)</f>
        <v>許文姍</v>
      </c>
    </row>
    <row r="1462" spans="6:19" hidden="1" x14ac:dyDescent="0.25">
      <c r="F1462" t="s">
        <v>1818</v>
      </c>
      <c r="G1462" t="s">
        <v>468</v>
      </c>
      <c r="H1462" t="str">
        <f>VLOOKUP(record[[#This Row],[ProcessSN]],表格2_7[],2,FALSE)</f>
        <v>30-4118-018-XXX</v>
      </c>
      <c r="I1462" t="str">
        <f>VLOOKUP(record[[#This Row],[ProcessSN]],表格2_7[],3,FALSE)</f>
        <v>#02</v>
      </c>
      <c r="J1462" t="s">
        <v>590</v>
      </c>
      <c r="K1462" s="195">
        <v>46134.383344907408</v>
      </c>
      <c r="L1462">
        <v>168</v>
      </c>
      <c r="M1462">
        <v>0</v>
      </c>
      <c r="N1462" s="98" t="str">
        <f>IF(record[[#This Row],[Memo]]="Browser:chrome os:android","平板報工",IF(record[[#This Row],[Memo]]=0,"委外",record[[#This Row],[Memo]]))</f>
        <v>委外</v>
      </c>
      <c r="P1462" t="s">
        <v>186</v>
      </c>
      <c r="Q1462" t="s">
        <v>216</v>
      </c>
      <c r="R1462" t="str">
        <f>IFERROR(VLOOKUP(record[[#This Row],[PCUSTID]],廠商[],2,FALSE),"")</f>
        <v>俊杰</v>
      </c>
      <c r="S1462" t="str">
        <f>VLOOKUP(record[[#This Row],[employeeID]],員工[],2,FALSE)</f>
        <v>許文姍</v>
      </c>
    </row>
    <row r="1463" spans="6:19" hidden="1" x14ac:dyDescent="0.25">
      <c r="F1463" t="s">
        <v>1772</v>
      </c>
      <c r="G1463" t="s">
        <v>468</v>
      </c>
      <c r="H1463" t="str">
        <f>VLOOKUP(record[[#This Row],[ProcessSN]],表格2_7[],2,FALSE)</f>
        <v>30-4118-018-XXX</v>
      </c>
      <c r="I1463" t="str">
        <f>VLOOKUP(record[[#This Row],[ProcessSN]],表格2_7[],3,FALSE)</f>
        <v>#02</v>
      </c>
      <c r="J1463" t="s">
        <v>590</v>
      </c>
      <c r="K1463" s="195">
        <v>46134.383229166669</v>
      </c>
      <c r="L1463">
        <v>1688</v>
      </c>
      <c r="M1463">
        <v>0</v>
      </c>
      <c r="N1463" s="98" t="str">
        <f>IF(record[[#This Row],[Memo]]="Browser:chrome os:android","平板報工",IF(record[[#This Row],[Memo]]=0,"委外",record[[#This Row],[Memo]]))</f>
        <v>委外</v>
      </c>
      <c r="P1463" t="s">
        <v>186</v>
      </c>
      <c r="Q1463" t="s">
        <v>216</v>
      </c>
      <c r="R1463" t="str">
        <f>IFERROR(VLOOKUP(record[[#This Row],[PCUSTID]],廠商[],2,FALSE),"")</f>
        <v>俊杰</v>
      </c>
      <c r="S1463" t="str">
        <f>VLOOKUP(record[[#This Row],[employeeID]],員工[],2,FALSE)</f>
        <v>許文姍</v>
      </c>
    </row>
    <row r="1464" spans="6:19" hidden="1" x14ac:dyDescent="0.25">
      <c r="F1464" t="s">
        <v>1787</v>
      </c>
      <c r="G1464" t="s">
        <v>467</v>
      </c>
      <c r="H1464" t="str">
        <f>VLOOKUP(record[[#This Row],[ProcessSN]],表格2_7[],2,FALSE)</f>
        <v>30-4118-018-XXX</v>
      </c>
      <c r="I1464" t="str">
        <f>VLOOKUP(record[[#This Row],[ProcessSN]],表格2_7[],3,FALSE)</f>
        <v>#01QC</v>
      </c>
      <c r="J1464" t="s">
        <v>589</v>
      </c>
      <c r="K1464" s="195">
        <v>46134.380173611113</v>
      </c>
      <c r="L1464">
        <v>65</v>
      </c>
      <c r="M1464">
        <v>0</v>
      </c>
      <c r="N1464" s="98" t="str">
        <f>IF(record[[#This Row],[Memo]]="Browser:chrome os:android","平板報工",IF(record[[#This Row],[Memo]]=0,"委外",record[[#This Row],[Memo]]))</f>
        <v>平板報工</v>
      </c>
      <c r="O1464" t="s">
        <v>643</v>
      </c>
      <c r="P1464" t="s">
        <v>182</v>
      </c>
      <c r="Q1464" t="s">
        <v>644</v>
      </c>
      <c r="R1464" t="str">
        <f>IFERROR(VLOOKUP(record[[#This Row],[PCUSTID]],廠商[],2,FALSE),"")</f>
        <v/>
      </c>
      <c r="S1464" t="str">
        <f>VLOOKUP(record[[#This Row],[employeeID]],員工[],2,FALSE)</f>
        <v>梅氏和</v>
      </c>
    </row>
    <row r="1465" spans="6:19" hidden="1" x14ac:dyDescent="0.25">
      <c r="F1465" t="s">
        <v>1787</v>
      </c>
      <c r="G1465" t="s">
        <v>467</v>
      </c>
      <c r="H1465" t="str">
        <f>VLOOKUP(record[[#This Row],[ProcessSN]],表格2_7[],2,FALSE)</f>
        <v>30-4118-018-XXX</v>
      </c>
      <c r="I1465" t="str">
        <f>VLOOKUP(record[[#This Row],[ProcessSN]],表格2_7[],3,FALSE)</f>
        <v>#01QC</v>
      </c>
      <c r="J1465" t="s">
        <v>589</v>
      </c>
      <c r="K1465" s="195">
        <v>46134.377349537041</v>
      </c>
      <c r="L1465">
        <v>205</v>
      </c>
      <c r="M1465">
        <v>0</v>
      </c>
      <c r="N1465" s="98" t="str">
        <f>IF(record[[#This Row],[Memo]]="Browser:chrome os:android","平板報工",IF(record[[#This Row],[Memo]]=0,"委外",record[[#This Row],[Memo]]))</f>
        <v>平板報工</v>
      </c>
      <c r="O1465" t="s">
        <v>643</v>
      </c>
      <c r="P1465" t="s">
        <v>182</v>
      </c>
      <c r="Q1465" t="s">
        <v>644</v>
      </c>
      <c r="R1465" t="str">
        <f>IFERROR(VLOOKUP(record[[#This Row],[PCUSTID]],廠商[],2,FALSE),"")</f>
        <v/>
      </c>
      <c r="S1465" t="str">
        <f>VLOOKUP(record[[#This Row],[employeeID]],員工[],2,FALSE)</f>
        <v>梅氏和</v>
      </c>
    </row>
    <row r="1466" spans="6:19" hidden="1" x14ac:dyDescent="0.25">
      <c r="F1466" t="s">
        <v>1772</v>
      </c>
      <c r="G1466" t="s">
        <v>467</v>
      </c>
      <c r="H1466" t="str">
        <f>VLOOKUP(record[[#This Row],[ProcessSN]],表格2_7[],2,FALSE)</f>
        <v>30-4118-018-XXX</v>
      </c>
      <c r="I1466" t="str">
        <f>VLOOKUP(record[[#This Row],[ProcessSN]],表格2_7[],3,FALSE)</f>
        <v>#01QC</v>
      </c>
      <c r="J1466" t="s">
        <v>589</v>
      </c>
      <c r="K1466" s="195">
        <v>46134.37667824074</v>
      </c>
      <c r="L1466">
        <v>336</v>
      </c>
      <c r="M1466">
        <v>0</v>
      </c>
      <c r="N1466" s="98" t="str">
        <f>IF(record[[#This Row],[Memo]]="Browser:chrome os:android","平板報工",IF(record[[#This Row],[Memo]]=0,"委外",record[[#This Row],[Memo]]))</f>
        <v>平板報工</v>
      </c>
      <c r="O1466" t="s">
        <v>643</v>
      </c>
      <c r="P1466" t="s">
        <v>182</v>
      </c>
      <c r="Q1466" t="s">
        <v>644</v>
      </c>
      <c r="R1466" t="str">
        <f>IFERROR(VLOOKUP(record[[#This Row],[PCUSTID]],廠商[],2,FALSE),"")</f>
        <v/>
      </c>
      <c r="S1466" t="str">
        <f>VLOOKUP(record[[#This Row],[employeeID]],員工[],2,FALSE)</f>
        <v>梅氏和</v>
      </c>
    </row>
    <row r="1467" spans="6:19" hidden="1" x14ac:dyDescent="0.25">
      <c r="F1467" t="s">
        <v>1772</v>
      </c>
      <c r="G1467" t="s">
        <v>467</v>
      </c>
      <c r="H1467" t="str">
        <f>VLOOKUP(record[[#This Row],[ProcessSN]],表格2_7[],2,FALSE)</f>
        <v>30-4118-018-XXX</v>
      </c>
      <c r="I1467" t="str">
        <f>VLOOKUP(record[[#This Row],[ProcessSN]],表格2_7[],3,FALSE)</f>
        <v>#01QC</v>
      </c>
      <c r="J1467" t="s">
        <v>589</v>
      </c>
      <c r="K1467" s="195">
        <v>46134.370300925926</v>
      </c>
      <c r="L1467">
        <v>1352</v>
      </c>
      <c r="M1467">
        <v>0</v>
      </c>
      <c r="N1467" s="98" t="str">
        <f>IF(record[[#This Row],[Memo]]="Browser:chrome os:android","平板報工",IF(record[[#This Row],[Memo]]=0,"委外",record[[#This Row],[Memo]]))</f>
        <v>平板報工</v>
      </c>
      <c r="O1467" t="s">
        <v>643</v>
      </c>
      <c r="P1467" t="s">
        <v>182</v>
      </c>
      <c r="Q1467" t="s">
        <v>644</v>
      </c>
      <c r="R1467" t="str">
        <f>IFERROR(VLOOKUP(record[[#This Row],[PCUSTID]],廠商[],2,FALSE),"")</f>
        <v/>
      </c>
      <c r="S1467" t="str">
        <f>VLOOKUP(record[[#This Row],[employeeID]],員工[],2,FALSE)</f>
        <v>梅氏和</v>
      </c>
    </row>
    <row r="1468" spans="6:19" hidden="1" x14ac:dyDescent="0.25">
      <c r="F1468" t="s">
        <v>1818</v>
      </c>
      <c r="G1468" t="s">
        <v>467</v>
      </c>
      <c r="H1468" t="str">
        <f>VLOOKUP(record[[#This Row],[ProcessSN]],表格2_7[],2,FALSE)</f>
        <v>30-4118-018-XXX</v>
      </c>
      <c r="I1468" t="str">
        <f>VLOOKUP(record[[#This Row],[ProcessSN]],表格2_7[],3,FALSE)</f>
        <v>#01QC</v>
      </c>
      <c r="J1468" t="s">
        <v>589</v>
      </c>
      <c r="K1468" s="195">
        <v>46134.369895833333</v>
      </c>
      <c r="L1468">
        <v>168</v>
      </c>
      <c r="M1468">
        <v>0</v>
      </c>
      <c r="N1468" s="98" t="str">
        <f>IF(record[[#This Row],[Memo]]="Browser:chrome os:android","平板報工",IF(record[[#This Row],[Memo]]=0,"委外",record[[#This Row],[Memo]]))</f>
        <v>平板報工</v>
      </c>
      <c r="O1468" t="s">
        <v>643</v>
      </c>
      <c r="P1468" t="s">
        <v>182</v>
      </c>
      <c r="Q1468" t="s">
        <v>644</v>
      </c>
      <c r="R1468" t="str">
        <f>IFERROR(VLOOKUP(record[[#This Row],[PCUSTID]],廠商[],2,FALSE),"")</f>
        <v/>
      </c>
      <c r="S1468" t="str">
        <f>VLOOKUP(record[[#This Row],[employeeID]],員工[],2,FALSE)</f>
        <v>梅氏和</v>
      </c>
    </row>
    <row r="1469" spans="6:19" hidden="1" x14ac:dyDescent="0.25">
      <c r="F1469" t="s">
        <v>1829</v>
      </c>
      <c r="G1469" t="s">
        <v>434</v>
      </c>
      <c r="H1469" t="str">
        <f>VLOOKUP(record[[#This Row],[ProcessSN]],表格2_7[],2,FALSE)</f>
        <v>30-4118-018-620</v>
      </c>
      <c r="I1469" t="str">
        <f>VLOOKUP(record[[#This Row],[ProcessSN]],表格2_7[],3,FALSE)</f>
        <v>#100OQC</v>
      </c>
      <c r="J1469" t="s">
        <v>599</v>
      </c>
      <c r="K1469" s="195">
        <v>46134.339525462965</v>
      </c>
      <c r="L1469">
        <v>34</v>
      </c>
      <c r="M1469">
        <v>0</v>
      </c>
      <c r="N1469" s="98" t="str">
        <f>IF(record[[#This Row],[Memo]]="Browser:chrome os:android","平板報工",IF(record[[#This Row],[Memo]]=0,"委外",record[[#This Row],[Memo]]))</f>
        <v/>
      </c>
      <c r="O1469" t="s">
        <v>58</v>
      </c>
      <c r="P1469" t="s">
        <v>121</v>
      </c>
      <c r="Q1469" t="s">
        <v>58</v>
      </c>
      <c r="R1469" t="str">
        <f>IFERROR(VLOOKUP(record[[#This Row],[PCUSTID]],廠商[],2,FALSE),"")</f>
        <v/>
      </c>
      <c r="S1469" t="str">
        <f>VLOOKUP(record[[#This Row],[employeeID]],員工[],2,FALSE)</f>
        <v>謝素卿</v>
      </c>
    </row>
    <row r="1470" spans="6:19" hidden="1" x14ac:dyDescent="0.25">
      <c r="F1470" t="s">
        <v>1828</v>
      </c>
      <c r="G1470" t="s">
        <v>442</v>
      </c>
      <c r="H1470" t="str">
        <f>VLOOKUP(record[[#This Row],[ProcessSN]],表格2_7[],2,FALSE)</f>
        <v>30-4118-018-650</v>
      </c>
      <c r="I1470" t="str">
        <f>VLOOKUP(record[[#This Row],[ProcessSN]],表格2_7[],3,FALSE)</f>
        <v>#100OQC</v>
      </c>
      <c r="J1470" t="s">
        <v>599</v>
      </c>
      <c r="K1470" s="195">
        <v>46134.339247685188</v>
      </c>
      <c r="L1470">
        <v>83</v>
      </c>
      <c r="M1470">
        <v>0</v>
      </c>
      <c r="N1470" s="98" t="str">
        <f>IF(record[[#This Row],[Memo]]="Browser:chrome os:android","平板報工",IF(record[[#This Row],[Memo]]=0,"委外",record[[#This Row],[Memo]]))</f>
        <v/>
      </c>
      <c r="O1470" t="s">
        <v>58</v>
      </c>
      <c r="P1470" t="s">
        <v>121</v>
      </c>
      <c r="Q1470" t="s">
        <v>58</v>
      </c>
      <c r="R1470" t="str">
        <f>IFERROR(VLOOKUP(record[[#This Row],[PCUSTID]],廠商[],2,FALSE),"")</f>
        <v/>
      </c>
      <c r="S1470" t="str">
        <f>VLOOKUP(record[[#This Row],[employeeID]],員工[],2,FALSE)</f>
        <v>謝素卿</v>
      </c>
    </row>
    <row r="1471" spans="6:19" hidden="1" x14ac:dyDescent="0.25">
      <c r="F1471" t="s">
        <v>1830</v>
      </c>
      <c r="G1471" t="s">
        <v>401</v>
      </c>
      <c r="H1471" t="str">
        <f>VLOOKUP(record[[#This Row],[ProcessSN]],表格2_7[],2,FALSE)</f>
        <v>30-4118-018-550</v>
      </c>
      <c r="I1471" t="str">
        <f>VLOOKUP(record[[#This Row],[ProcessSN]],表格2_7[],3,FALSE)</f>
        <v>#100OQC</v>
      </c>
      <c r="J1471" t="s">
        <v>599</v>
      </c>
      <c r="K1471" s="195">
        <v>46134.335821759261</v>
      </c>
      <c r="L1471">
        <v>274</v>
      </c>
      <c r="M1471">
        <v>0</v>
      </c>
      <c r="N1471" s="98" t="str">
        <f>IF(record[[#This Row],[Memo]]="Browser:chrome os:android","平板報工",IF(record[[#This Row],[Memo]]=0,"委外",record[[#This Row],[Memo]]))</f>
        <v/>
      </c>
      <c r="O1471" t="s">
        <v>58</v>
      </c>
      <c r="P1471" t="s">
        <v>121</v>
      </c>
      <c r="Q1471" t="s">
        <v>58</v>
      </c>
      <c r="R1471" t="str">
        <f>IFERROR(VLOOKUP(record[[#This Row],[PCUSTID]],廠商[],2,FALSE),"")</f>
        <v/>
      </c>
      <c r="S1471" t="str">
        <f>VLOOKUP(record[[#This Row],[employeeID]],員工[],2,FALSE)</f>
        <v>謝素卿</v>
      </c>
    </row>
    <row r="1472" spans="6:19" hidden="1" x14ac:dyDescent="0.25">
      <c r="F1472" t="s">
        <v>1815</v>
      </c>
      <c r="G1472" t="s">
        <v>451</v>
      </c>
      <c r="H1472" t="str">
        <f>VLOOKUP(record[[#This Row],[ProcessSN]],表格2_7[],2,FALSE)</f>
        <v>30-4118-018-6XX</v>
      </c>
      <c r="I1472" t="str">
        <f>VLOOKUP(record[[#This Row],[ProcessSN]],表格2_7[],3,FALSE)</f>
        <v>#07</v>
      </c>
      <c r="J1472" t="s">
        <v>588</v>
      </c>
      <c r="K1472" s="195">
        <v>46134.330439814818</v>
      </c>
      <c r="L1472">
        <v>230</v>
      </c>
      <c r="M1472">
        <v>5</v>
      </c>
      <c r="N1472" s="98" t="str">
        <f>IF(record[[#This Row],[Memo]]="Browser:chrome os:android","平板報工",IF(record[[#This Row],[Memo]]=0,"委外",record[[#This Row],[Memo]]))</f>
        <v/>
      </c>
      <c r="O1472" t="s">
        <v>58</v>
      </c>
      <c r="P1472" t="s">
        <v>843</v>
      </c>
      <c r="Q1472" t="s">
        <v>58</v>
      </c>
      <c r="R1472" t="str">
        <f>IFERROR(VLOOKUP(record[[#This Row],[PCUSTID]],廠商[],2,FALSE),"")</f>
        <v/>
      </c>
      <c r="S1472" t="str">
        <f>VLOOKUP(record[[#This Row],[employeeID]],員工[],2,FALSE)</f>
        <v>張楚承</v>
      </c>
    </row>
    <row r="1473" spans="6:19" hidden="1" x14ac:dyDescent="0.25">
      <c r="F1473" t="s">
        <v>1794</v>
      </c>
      <c r="G1473" t="s">
        <v>418</v>
      </c>
      <c r="H1473" t="str">
        <f>VLOOKUP(record[[#This Row],[ProcessSN]],表格2_7[],2,FALSE)</f>
        <v>30-4118-018-5XX</v>
      </c>
      <c r="I1473" t="str">
        <f>VLOOKUP(record[[#This Row],[ProcessSN]],表格2_7[],3,FALSE)</f>
        <v>#07</v>
      </c>
      <c r="J1473" t="s">
        <v>588</v>
      </c>
      <c r="K1473" s="195">
        <v>46134.330289351848</v>
      </c>
      <c r="L1473">
        <v>0</v>
      </c>
      <c r="M1473">
        <v>2</v>
      </c>
      <c r="N1473" s="98" t="str">
        <f>IF(record[[#This Row],[Memo]]="Browser:chrome os:android","平板報工",IF(record[[#This Row],[Memo]]=0,"委外",record[[#This Row],[Memo]]))</f>
        <v/>
      </c>
      <c r="O1473" t="s">
        <v>58</v>
      </c>
      <c r="P1473" t="s">
        <v>843</v>
      </c>
      <c r="Q1473" t="s">
        <v>58</v>
      </c>
      <c r="R1473" t="str">
        <f>IFERROR(VLOOKUP(record[[#This Row],[PCUSTID]],廠商[],2,FALSE),"")</f>
        <v/>
      </c>
      <c r="S1473" t="str">
        <f>VLOOKUP(record[[#This Row],[employeeID]],員工[],2,FALSE)</f>
        <v>張楚承</v>
      </c>
    </row>
    <row r="1474" spans="6:19" hidden="1" x14ac:dyDescent="0.25">
      <c r="F1474" t="s">
        <v>1794</v>
      </c>
      <c r="G1474" t="s">
        <v>418</v>
      </c>
      <c r="H1474" t="str">
        <f>VLOOKUP(record[[#This Row],[ProcessSN]],表格2_7[],2,FALSE)</f>
        <v>30-4118-018-5XX</v>
      </c>
      <c r="I1474" t="str">
        <f>VLOOKUP(record[[#This Row],[ProcessSN]],表格2_7[],3,FALSE)</f>
        <v>#07</v>
      </c>
      <c r="J1474" t="s">
        <v>588</v>
      </c>
      <c r="K1474" s="195">
        <v>46134.330104166664</v>
      </c>
      <c r="L1474">
        <v>230</v>
      </c>
      <c r="M1474">
        <v>0</v>
      </c>
      <c r="N1474" s="98" t="str">
        <f>IF(record[[#This Row],[Memo]]="Browser:chrome os:android","平板報工",IF(record[[#This Row],[Memo]]=0,"委外",record[[#This Row],[Memo]]))</f>
        <v/>
      </c>
      <c r="O1474" t="s">
        <v>58</v>
      </c>
      <c r="P1474" t="s">
        <v>843</v>
      </c>
      <c r="Q1474" t="s">
        <v>58</v>
      </c>
      <c r="R1474" t="str">
        <f>IFERROR(VLOOKUP(record[[#This Row],[PCUSTID]],廠商[],2,FALSE),"")</f>
        <v/>
      </c>
      <c r="S1474" t="str">
        <f>VLOOKUP(record[[#This Row],[employeeID]],員工[],2,FALSE)</f>
        <v>張楚承</v>
      </c>
    </row>
    <row r="1475" spans="6:19" hidden="1" x14ac:dyDescent="0.25">
      <c r="F1475" t="s">
        <v>1815</v>
      </c>
      <c r="G1475" t="s">
        <v>450</v>
      </c>
      <c r="H1475" t="str">
        <f>VLOOKUP(record[[#This Row],[ProcessSN]],表格2_7[],2,FALSE)</f>
        <v>30-4118-018-6XX</v>
      </c>
      <c r="I1475" t="str">
        <f>VLOOKUP(record[[#This Row],[ProcessSN]],表格2_7[],3,FALSE)</f>
        <v>#06</v>
      </c>
      <c r="J1475" t="s">
        <v>593</v>
      </c>
      <c r="K1475" s="195">
        <v>46134.32880787037</v>
      </c>
      <c r="L1475">
        <v>106</v>
      </c>
      <c r="M1475">
        <v>0</v>
      </c>
      <c r="N1475" s="98" t="str">
        <f>IF(record[[#This Row],[Memo]]="Browser:chrome os:android","平板報工",IF(record[[#This Row],[Memo]]=0,"委外",record[[#This Row],[Memo]]))</f>
        <v/>
      </c>
      <c r="O1475" t="s">
        <v>58</v>
      </c>
      <c r="P1475" t="s">
        <v>180</v>
      </c>
      <c r="Q1475" t="s">
        <v>58</v>
      </c>
      <c r="R1475" t="str">
        <f>IFERROR(VLOOKUP(record[[#This Row],[PCUSTID]],廠商[],2,FALSE),"")</f>
        <v/>
      </c>
      <c r="S1475" t="str">
        <f>VLOOKUP(record[[#This Row],[employeeID]],員工[],2,FALSE)</f>
        <v>黎功江</v>
      </c>
    </row>
    <row r="1476" spans="6:19" hidden="1" x14ac:dyDescent="0.25">
      <c r="F1476" t="s">
        <v>1772</v>
      </c>
      <c r="G1476" t="s">
        <v>466</v>
      </c>
      <c r="H1476" t="str">
        <f>VLOOKUP(record[[#This Row],[ProcessSN]],表格2_7[],2,FALSE)</f>
        <v>30-4118-018-XXX</v>
      </c>
      <c r="I1476" t="str">
        <f>VLOOKUP(record[[#This Row],[ProcessSN]],表格2_7[],3,FALSE)</f>
        <v>#01-2</v>
      </c>
      <c r="J1476" t="s">
        <v>588</v>
      </c>
      <c r="K1476" s="195">
        <v>46134.327743055554</v>
      </c>
      <c r="L1476">
        <v>257</v>
      </c>
      <c r="M1476">
        <v>0</v>
      </c>
      <c r="N1476" s="98" t="str">
        <f>IF(record[[#This Row],[Memo]]="Browser:chrome os:android","平板報工",IF(record[[#This Row],[Memo]]=0,"委外",record[[#This Row],[Memo]]))</f>
        <v/>
      </c>
      <c r="O1476" t="s">
        <v>58</v>
      </c>
      <c r="P1476" t="s">
        <v>806</v>
      </c>
      <c r="Q1476" t="s">
        <v>58</v>
      </c>
      <c r="R1476" t="str">
        <f>IFERROR(VLOOKUP(record[[#This Row],[PCUSTID]],廠商[],2,FALSE),"")</f>
        <v/>
      </c>
      <c r="S1476" t="str">
        <f>VLOOKUP(record[[#This Row],[employeeID]],員工[],2,FALSE)</f>
        <v>方思緯</v>
      </c>
    </row>
    <row r="1477" spans="6:19" hidden="1" x14ac:dyDescent="0.25">
      <c r="F1477" t="s">
        <v>1794</v>
      </c>
      <c r="G1477" t="s">
        <v>417</v>
      </c>
      <c r="H1477" t="str">
        <f>VLOOKUP(record[[#This Row],[ProcessSN]],表格2_7[],2,FALSE)</f>
        <v>30-4118-018-5XX</v>
      </c>
      <c r="I1477" t="str">
        <f>VLOOKUP(record[[#This Row],[ProcessSN]],表格2_7[],3,FALSE)</f>
        <v>#06</v>
      </c>
      <c r="J1477" t="s">
        <v>593</v>
      </c>
      <c r="K1477" s="195">
        <v>46134.327523148146</v>
      </c>
      <c r="L1477">
        <v>133</v>
      </c>
      <c r="M1477">
        <v>0</v>
      </c>
      <c r="N1477" s="98" t="str">
        <f>IF(record[[#This Row],[Memo]]="Browser:chrome os:android","平板報工",IF(record[[#This Row],[Memo]]=0,"委外",record[[#This Row],[Memo]]))</f>
        <v>平板報工</v>
      </c>
      <c r="O1477" t="s">
        <v>643</v>
      </c>
      <c r="P1477" t="s">
        <v>691</v>
      </c>
      <c r="Q1477" t="s">
        <v>644</v>
      </c>
      <c r="R1477" t="str">
        <f>IFERROR(VLOOKUP(record[[#This Row],[PCUSTID]],廠商[],2,FALSE),"")</f>
        <v/>
      </c>
      <c r="S1477" t="str">
        <f>VLOOKUP(record[[#This Row],[employeeID]],員工[],2,FALSE)</f>
        <v>武氏賢</v>
      </c>
    </row>
    <row r="1478" spans="6:19" hidden="1" x14ac:dyDescent="0.25">
      <c r="F1478" t="s">
        <v>1815</v>
      </c>
      <c r="G1478" t="s">
        <v>449</v>
      </c>
      <c r="H1478" t="str">
        <f>VLOOKUP(record[[#This Row],[ProcessSN]],表格2_7[],2,FALSE)</f>
        <v>30-4118-018-6XX</v>
      </c>
      <c r="I1478" t="str">
        <f>VLOOKUP(record[[#This Row],[ProcessSN]],表格2_7[],3,FALSE)</f>
        <v>#05</v>
      </c>
      <c r="J1478" t="s">
        <v>588</v>
      </c>
      <c r="K1478" s="195">
        <v>46134.327106481483</v>
      </c>
      <c r="L1478">
        <v>100</v>
      </c>
      <c r="M1478">
        <v>0</v>
      </c>
      <c r="N1478" s="98" t="str">
        <f>IF(record[[#This Row],[Memo]]="Browser:chrome os:android","平板報工",IF(record[[#This Row],[Memo]]=0,"委外",record[[#This Row],[Memo]]))</f>
        <v/>
      </c>
      <c r="O1478" t="s">
        <v>58</v>
      </c>
      <c r="P1478" t="s">
        <v>806</v>
      </c>
      <c r="Q1478" t="s">
        <v>58</v>
      </c>
      <c r="R1478" t="str">
        <f>IFERROR(VLOOKUP(record[[#This Row],[PCUSTID]],廠商[],2,FALSE),"")</f>
        <v/>
      </c>
      <c r="S1478" t="str">
        <f>VLOOKUP(record[[#This Row],[employeeID]],員工[],2,FALSE)</f>
        <v>方思緯</v>
      </c>
    </row>
    <row r="1479" spans="6:19" hidden="1" x14ac:dyDescent="0.25">
      <c r="F1479" t="s">
        <v>1794</v>
      </c>
      <c r="G1479" t="s">
        <v>416</v>
      </c>
      <c r="H1479" t="str">
        <f>VLOOKUP(record[[#This Row],[ProcessSN]],表格2_7[],2,FALSE)</f>
        <v>30-4118-018-5XX</v>
      </c>
      <c r="I1479" t="str">
        <f>VLOOKUP(record[[#This Row],[ProcessSN]],表格2_7[],3,FALSE)</f>
        <v>#05</v>
      </c>
      <c r="J1479" t="s">
        <v>588</v>
      </c>
      <c r="K1479" s="195">
        <v>46134.326643518521</v>
      </c>
      <c r="L1479">
        <v>136</v>
      </c>
      <c r="M1479">
        <v>0</v>
      </c>
      <c r="N1479" s="98" t="str">
        <f>IF(record[[#This Row],[Memo]]="Browser:chrome os:android","平板報工",IF(record[[#This Row],[Memo]]=0,"委外",record[[#This Row],[Memo]]))</f>
        <v/>
      </c>
      <c r="O1479" t="s">
        <v>58</v>
      </c>
      <c r="P1479" t="s">
        <v>843</v>
      </c>
      <c r="Q1479" t="s">
        <v>58</v>
      </c>
      <c r="R1479" t="str">
        <f>IFERROR(VLOOKUP(record[[#This Row],[PCUSTID]],廠商[],2,FALSE),"")</f>
        <v/>
      </c>
      <c r="S1479" t="str">
        <f>VLOOKUP(record[[#This Row],[employeeID]],員工[],2,FALSE)</f>
        <v>張楚承</v>
      </c>
    </row>
    <row r="1480" spans="6:19" hidden="1" x14ac:dyDescent="0.25">
      <c r="F1480" t="s">
        <v>1859</v>
      </c>
      <c r="G1480" t="s">
        <v>447</v>
      </c>
      <c r="H1480" t="str">
        <f>VLOOKUP(record[[#This Row],[ProcessSN]],表格2_7[],2,FALSE)</f>
        <v>30-4118-018-6XX</v>
      </c>
      <c r="I1480" t="str">
        <f>VLOOKUP(record[[#This Row],[ProcessSN]],表格2_7[],3,FALSE)</f>
        <v>#03</v>
      </c>
      <c r="J1480" t="s">
        <v>588</v>
      </c>
      <c r="K1480" s="195">
        <v>46134.326168981483</v>
      </c>
      <c r="L1480">
        <v>504</v>
      </c>
      <c r="M1480">
        <v>0</v>
      </c>
      <c r="N1480" s="98" t="str">
        <f>IF(record[[#This Row],[Memo]]="Browser:chrome os:android","平板報工",IF(record[[#This Row],[Memo]]=0,"委外",record[[#This Row],[Memo]]))</f>
        <v/>
      </c>
      <c r="O1480" t="s">
        <v>58</v>
      </c>
      <c r="P1480" t="s">
        <v>135</v>
      </c>
      <c r="Q1480" t="s">
        <v>58</v>
      </c>
      <c r="R1480" t="str">
        <f>IFERROR(VLOOKUP(record[[#This Row],[PCUSTID]],廠商[],2,FALSE),"")</f>
        <v/>
      </c>
      <c r="S1480" t="str">
        <f>VLOOKUP(record[[#This Row],[employeeID]],員工[],2,FALSE)</f>
        <v>阮士文</v>
      </c>
    </row>
    <row r="1481" spans="6:19" hidden="1" x14ac:dyDescent="0.25">
      <c r="F1481" t="s">
        <v>1859</v>
      </c>
      <c r="G1481" t="s">
        <v>447</v>
      </c>
      <c r="H1481" t="str">
        <f>VLOOKUP(record[[#This Row],[ProcessSN]],表格2_7[],2,FALSE)</f>
        <v>30-4118-018-6XX</v>
      </c>
      <c r="I1481" t="str">
        <f>VLOOKUP(record[[#This Row],[ProcessSN]],表格2_7[],3,FALSE)</f>
        <v>#03</v>
      </c>
      <c r="J1481" t="s">
        <v>588</v>
      </c>
      <c r="K1481" s="195">
        <v>46134.326018518521</v>
      </c>
      <c r="L1481">
        <v>327</v>
      </c>
      <c r="M1481">
        <v>0</v>
      </c>
      <c r="N1481" s="98" t="str">
        <f>IF(record[[#This Row],[Memo]]="Browser:chrome os:android","平板報工",IF(record[[#This Row],[Memo]]=0,"委外",record[[#This Row],[Memo]]))</f>
        <v/>
      </c>
      <c r="O1481" t="s">
        <v>58</v>
      </c>
      <c r="P1481" t="s">
        <v>135</v>
      </c>
      <c r="Q1481" t="s">
        <v>58</v>
      </c>
      <c r="R1481" t="str">
        <f>IFERROR(VLOOKUP(record[[#This Row],[PCUSTID]],廠商[],2,FALSE),"")</f>
        <v/>
      </c>
      <c r="S1481" t="str">
        <f>VLOOKUP(record[[#This Row],[employeeID]],員工[],2,FALSE)</f>
        <v>阮士文</v>
      </c>
    </row>
    <row r="1482" spans="6:19" hidden="1" x14ac:dyDescent="0.25">
      <c r="F1482" t="s">
        <v>1850</v>
      </c>
      <c r="G1482" t="s">
        <v>414</v>
      </c>
      <c r="H1482" t="str">
        <f>VLOOKUP(record[[#This Row],[ProcessSN]],表格2_7[],2,FALSE)</f>
        <v>30-4118-018-5XX</v>
      </c>
      <c r="I1482" t="str">
        <f>VLOOKUP(record[[#This Row],[ProcessSN]],表格2_7[],3,FALSE)</f>
        <v>#03</v>
      </c>
      <c r="J1482" t="s">
        <v>588</v>
      </c>
      <c r="K1482" s="195">
        <v>46134.325798611113</v>
      </c>
      <c r="L1482">
        <v>672</v>
      </c>
      <c r="M1482">
        <v>0</v>
      </c>
      <c r="N1482" s="98" t="str">
        <f>IF(record[[#This Row],[Memo]]="Browser:chrome os:android","平板報工",IF(record[[#This Row],[Memo]]=0,"委外",record[[#This Row],[Memo]]))</f>
        <v/>
      </c>
      <c r="O1482" t="s">
        <v>58</v>
      </c>
      <c r="P1482" t="s">
        <v>135</v>
      </c>
      <c r="Q1482" t="s">
        <v>58</v>
      </c>
      <c r="R1482" t="str">
        <f>IFERROR(VLOOKUP(record[[#This Row],[PCUSTID]],廠商[],2,FALSE),"")</f>
        <v/>
      </c>
      <c r="S1482" t="str">
        <f>VLOOKUP(record[[#This Row],[employeeID]],員工[],2,FALSE)</f>
        <v>阮士文</v>
      </c>
    </row>
    <row r="1483" spans="6:19" hidden="1" x14ac:dyDescent="0.25">
      <c r="F1483" t="s">
        <v>1815</v>
      </c>
      <c r="G1483" t="s">
        <v>448</v>
      </c>
      <c r="H1483" t="str">
        <f>VLOOKUP(record[[#This Row],[ProcessSN]],表格2_7[],2,FALSE)</f>
        <v>30-4118-018-6XX</v>
      </c>
      <c r="I1483" t="str">
        <f>VLOOKUP(record[[#This Row],[ProcessSN]],表格2_7[],3,FALSE)</f>
        <v>#04</v>
      </c>
      <c r="J1483" t="s">
        <v>588</v>
      </c>
      <c r="K1483" s="195">
        <v>46134.325520833336</v>
      </c>
      <c r="L1483">
        <v>100</v>
      </c>
      <c r="M1483">
        <v>0</v>
      </c>
      <c r="N1483" s="98" t="str">
        <f>IF(record[[#This Row],[Memo]]="Browser:chrome os:android","平板報工",IF(record[[#This Row],[Memo]]=0,"委外",record[[#This Row],[Memo]]))</f>
        <v/>
      </c>
      <c r="O1483" t="s">
        <v>58</v>
      </c>
      <c r="P1483" t="s">
        <v>135</v>
      </c>
      <c r="Q1483" t="s">
        <v>58</v>
      </c>
      <c r="R1483" t="str">
        <f>IFERROR(VLOOKUP(record[[#This Row],[PCUSTID]],廠商[],2,FALSE),"")</f>
        <v/>
      </c>
      <c r="S1483" t="str">
        <f>VLOOKUP(record[[#This Row],[employeeID]],員工[],2,FALSE)</f>
        <v>阮士文</v>
      </c>
    </row>
    <row r="1484" spans="6:19" hidden="1" x14ac:dyDescent="0.25">
      <c r="F1484" t="s">
        <v>1794</v>
      </c>
      <c r="G1484" t="s">
        <v>415</v>
      </c>
      <c r="H1484" t="str">
        <f>VLOOKUP(record[[#This Row],[ProcessSN]],表格2_7[],2,FALSE)</f>
        <v>30-4118-018-5XX</v>
      </c>
      <c r="I1484" t="str">
        <f>VLOOKUP(record[[#This Row],[ProcessSN]],表格2_7[],3,FALSE)</f>
        <v>#04</v>
      </c>
      <c r="J1484" t="s">
        <v>588</v>
      </c>
      <c r="K1484" s="195">
        <v>46134.325277777774</v>
      </c>
      <c r="L1484">
        <v>131</v>
      </c>
      <c r="M1484">
        <v>0</v>
      </c>
      <c r="N1484" s="98" t="str">
        <f>IF(record[[#This Row],[Memo]]="Browser:chrome os:android","平板報工",IF(record[[#This Row],[Memo]]=0,"委外",record[[#This Row],[Memo]]))</f>
        <v/>
      </c>
      <c r="O1484" t="s">
        <v>58</v>
      </c>
      <c r="P1484" t="s">
        <v>135</v>
      </c>
      <c r="Q1484" t="s">
        <v>58</v>
      </c>
      <c r="R1484" t="str">
        <f>IFERROR(VLOOKUP(record[[#This Row],[PCUSTID]],廠商[],2,FALSE),"")</f>
        <v/>
      </c>
      <c r="S1484" t="str">
        <f>VLOOKUP(record[[#This Row],[employeeID]],員工[],2,FALSE)</f>
        <v>阮士文</v>
      </c>
    </row>
    <row r="1485" spans="6:19" hidden="1" x14ac:dyDescent="0.25">
      <c r="F1485" t="s">
        <v>1818</v>
      </c>
      <c r="G1485" t="s">
        <v>466</v>
      </c>
      <c r="H1485" t="str">
        <f>VLOOKUP(record[[#This Row],[ProcessSN]],表格2_7[],2,FALSE)</f>
        <v>30-4118-018-XXX</v>
      </c>
      <c r="I1485" t="str">
        <f>VLOOKUP(record[[#This Row],[ProcessSN]],表格2_7[],3,FALSE)</f>
        <v>#01-2</v>
      </c>
      <c r="J1485" t="s">
        <v>588</v>
      </c>
      <c r="K1485" s="195">
        <v>46134.284849537034</v>
      </c>
      <c r="L1485">
        <v>408</v>
      </c>
      <c r="M1485">
        <v>0</v>
      </c>
      <c r="N1485" s="98" t="str">
        <f>IF(record[[#This Row],[Memo]]="Browser:chrome os:android","平板報工",IF(record[[#This Row],[Memo]]=0,"委外",record[[#This Row],[Memo]]))</f>
        <v>平板報工</v>
      </c>
      <c r="O1485" t="s">
        <v>643</v>
      </c>
      <c r="P1485" t="s">
        <v>806</v>
      </c>
      <c r="Q1485" t="s">
        <v>644</v>
      </c>
      <c r="R1485" t="str">
        <f>IFERROR(VLOOKUP(record[[#This Row],[PCUSTID]],廠商[],2,FALSE),"")</f>
        <v/>
      </c>
      <c r="S1485" t="str">
        <f>VLOOKUP(record[[#This Row],[employeeID]],員工[],2,FALSE)</f>
        <v>方思緯</v>
      </c>
    </row>
    <row r="1486" spans="6:19" hidden="1" x14ac:dyDescent="0.25">
      <c r="F1486" t="s">
        <v>1787</v>
      </c>
      <c r="G1486" t="s">
        <v>466</v>
      </c>
      <c r="H1486" t="str">
        <f>VLOOKUP(record[[#This Row],[ProcessSN]],表格2_7[],2,FALSE)</f>
        <v>30-4118-018-XXX</v>
      </c>
      <c r="I1486" t="str">
        <f>VLOOKUP(record[[#This Row],[ProcessSN]],表格2_7[],3,FALSE)</f>
        <v>#01-2</v>
      </c>
      <c r="J1486" t="s">
        <v>588</v>
      </c>
      <c r="K1486" s="195">
        <v>46134.283750000002</v>
      </c>
      <c r="L1486">
        <v>205</v>
      </c>
      <c r="M1486">
        <v>0</v>
      </c>
      <c r="N1486" s="98" t="str">
        <f>IF(record[[#This Row],[Memo]]="Browser:chrome os:android","平板報工",IF(record[[#This Row],[Memo]]=0,"委外",record[[#This Row],[Memo]]))</f>
        <v>平板報工</v>
      </c>
      <c r="O1486" t="s">
        <v>643</v>
      </c>
      <c r="P1486" t="s">
        <v>806</v>
      </c>
      <c r="Q1486" t="s">
        <v>644</v>
      </c>
      <c r="R1486" t="str">
        <f>IFERROR(VLOOKUP(record[[#This Row],[PCUSTID]],廠商[],2,FALSE),"")</f>
        <v/>
      </c>
      <c r="S1486" t="str">
        <f>VLOOKUP(record[[#This Row],[employeeID]],員工[],2,FALSE)</f>
        <v>方思緯</v>
      </c>
    </row>
    <row r="1487" spans="6:19" hidden="1" x14ac:dyDescent="0.25">
      <c r="F1487" t="s">
        <v>1815</v>
      </c>
      <c r="G1487" t="s">
        <v>450</v>
      </c>
      <c r="H1487" t="str">
        <f>VLOOKUP(record[[#This Row],[ProcessSN]],表格2_7[],2,FALSE)</f>
        <v>30-4118-018-6XX</v>
      </c>
      <c r="I1487" t="str">
        <f>VLOOKUP(record[[#This Row],[ProcessSN]],表格2_7[],3,FALSE)</f>
        <v>#06</v>
      </c>
      <c r="J1487" t="s">
        <v>593</v>
      </c>
      <c r="K1487" s="195">
        <v>46133.997337962966</v>
      </c>
      <c r="L1487">
        <v>133</v>
      </c>
      <c r="M1487">
        <v>0</v>
      </c>
      <c r="N1487" s="98" t="str">
        <f>IF(record[[#This Row],[Memo]]="Browser:chrome os:android","平板報工",IF(record[[#This Row],[Memo]]=0,"委外",record[[#This Row],[Memo]]))</f>
        <v/>
      </c>
      <c r="O1487" t="s">
        <v>58</v>
      </c>
      <c r="P1487" t="s">
        <v>1669</v>
      </c>
      <c r="Q1487" t="s">
        <v>58</v>
      </c>
      <c r="R1487" t="str">
        <f>IFERROR(VLOOKUP(record[[#This Row],[PCUSTID]],廠商[],2,FALSE),"")</f>
        <v/>
      </c>
      <c r="S1487" t="str">
        <f>VLOOKUP(record[[#This Row],[employeeID]],員工[],2,FALSE)</f>
        <v>武氏麗娟</v>
      </c>
    </row>
    <row r="1488" spans="6:19" hidden="1" x14ac:dyDescent="0.25">
      <c r="F1488" t="s">
        <v>1815</v>
      </c>
      <c r="G1488" t="s">
        <v>449</v>
      </c>
      <c r="H1488" t="str">
        <f>VLOOKUP(record[[#This Row],[ProcessSN]],表格2_7[],2,FALSE)</f>
        <v>30-4118-018-6XX</v>
      </c>
      <c r="I1488" t="str">
        <f>VLOOKUP(record[[#This Row],[ProcessSN]],表格2_7[],3,FALSE)</f>
        <v>#05</v>
      </c>
      <c r="J1488" t="s">
        <v>588</v>
      </c>
      <c r="K1488" s="195">
        <v>46133.997060185182</v>
      </c>
      <c r="L1488">
        <v>62</v>
      </c>
      <c r="M1488">
        <v>0</v>
      </c>
      <c r="N1488" s="98" t="str">
        <f>IF(record[[#This Row],[Memo]]="Browser:chrome os:android","平板報工",IF(record[[#This Row],[Memo]]=0,"委外",record[[#This Row],[Memo]]))</f>
        <v/>
      </c>
      <c r="O1488" t="s">
        <v>58</v>
      </c>
      <c r="P1488" t="s">
        <v>127</v>
      </c>
      <c r="Q1488" t="s">
        <v>58</v>
      </c>
      <c r="R1488" t="str">
        <f>IFERROR(VLOOKUP(record[[#This Row],[PCUSTID]],廠商[],2,FALSE),"")</f>
        <v/>
      </c>
      <c r="S1488" t="str">
        <f>VLOOKUP(record[[#This Row],[employeeID]],員工[],2,FALSE)</f>
        <v>潘雪梅</v>
      </c>
    </row>
    <row r="1489" spans="6:19" hidden="1" x14ac:dyDescent="0.25">
      <c r="F1489" t="s">
        <v>1815</v>
      </c>
      <c r="G1489" t="s">
        <v>448</v>
      </c>
      <c r="H1489" t="str">
        <f>VLOOKUP(record[[#This Row],[ProcessSN]],表格2_7[],2,FALSE)</f>
        <v>30-4118-018-6XX</v>
      </c>
      <c r="I1489" t="str">
        <f>VLOOKUP(record[[#This Row],[ProcessSN]],表格2_7[],3,FALSE)</f>
        <v>#04</v>
      </c>
      <c r="J1489" t="s">
        <v>588</v>
      </c>
      <c r="K1489" s="195">
        <v>46133.989293981482</v>
      </c>
      <c r="L1489">
        <v>60</v>
      </c>
      <c r="M1489">
        <v>0</v>
      </c>
      <c r="N1489" s="98" t="str">
        <f>IF(record[[#This Row],[Memo]]="Browser:chrome os:android","平板報工",IF(record[[#This Row],[Memo]]=0,"委外",record[[#This Row],[Memo]]))</f>
        <v/>
      </c>
      <c r="O1489" t="s">
        <v>58</v>
      </c>
      <c r="P1489" t="s">
        <v>127</v>
      </c>
      <c r="Q1489" t="s">
        <v>58</v>
      </c>
      <c r="R1489" t="str">
        <f>IFERROR(VLOOKUP(record[[#This Row],[PCUSTID]],廠商[],2,FALSE),"")</f>
        <v/>
      </c>
      <c r="S1489" t="str">
        <f>VLOOKUP(record[[#This Row],[employeeID]],員工[],2,FALSE)</f>
        <v>潘雪梅</v>
      </c>
    </row>
    <row r="1490" spans="6:19" hidden="1" x14ac:dyDescent="0.25">
      <c r="F1490" t="s">
        <v>1794</v>
      </c>
      <c r="G1490" t="s">
        <v>415</v>
      </c>
      <c r="H1490" t="str">
        <f>VLOOKUP(record[[#This Row],[ProcessSN]],表格2_7[],2,FALSE)</f>
        <v>30-4118-018-5XX</v>
      </c>
      <c r="I1490" t="str">
        <f>VLOOKUP(record[[#This Row],[ProcessSN]],表格2_7[],3,FALSE)</f>
        <v>#04</v>
      </c>
      <c r="J1490" t="s">
        <v>588</v>
      </c>
      <c r="K1490" s="195">
        <v>46133.988252314812</v>
      </c>
      <c r="L1490">
        <v>60</v>
      </c>
      <c r="M1490">
        <v>0</v>
      </c>
      <c r="N1490" s="98" t="str">
        <f>IF(record[[#This Row],[Memo]]="Browser:chrome os:android","平板報工",IF(record[[#This Row],[Memo]]=0,"委外",record[[#This Row],[Memo]]))</f>
        <v/>
      </c>
      <c r="O1490" t="s">
        <v>58</v>
      </c>
      <c r="P1490" t="s">
        <v>127</v>
      </c>
      <c r="Q1490" t="s">
        <v>58</v>
      </c>
      <c r="R1490" t="str">
        <f>IFERROR(VLOOKUP(record[[#This Row],[PCUSTID]],廠商[],2,FALSE),"")</f>
        <v/>
      </c>
      <c r="S1490" t="str">
        <f>VLOOKUP(record[[#This Row],[employeeID]],員工[],2,FALSE)</f>
        <v>潘雪梅</v>
      </c>
    </row>
    <row r="1491" spans="6:19" hidden="1" x14ac:dyDescent="0.25">
      <c r="F1491" t="s">
        <v>1794</v>
      </c>
      <c r="G1491" t="s">
        <v>417</v>
      </c>
      <c r="H1491" t="str">
        <f>VLOOKUP(record[[#This Row],[ProcessSN]],表格2_7[],2,FALSE)</f>
        <v>30-4118-018-5XX</v>
      </c>
      <c r="I1491" t="str">
        <f>VLOOKUP(record[[#This Row],[ProcessSN]],表格2_7[],3,FALSE)</f>
        <v>#06</v>
      </c>
      <c r="J1491" t="s">
        <v>593</v>
      </c>
      <c r="K1491" s="195">
        <v>46133.986840277779</v>
      </c>
      <c r="L1491">
        <v>57</v>
      </c>
      <c r="M1491">
        <v>0</v>
      </c>
      <c r="N1491" s="98" t="str">
        <f>IF(record[[#This Row],[Memo]]="Browser:chrome os:android","平板報工",IF(record[[#This Row],[Memo]]=0,"委外",record[[#This Row],[Memo]]))</f>
        <v>平板報工</v>
      </c>
      <c r="O1491" t="s">
        <v>643</v>
      </c>
      <c r="P1491" t="s">
        <v>841</v>
      </c>
      <c r="Q1491" t="s">
        <v>644</v>
      </c>
      <c r="R1491" t="str">
        <f>IFERROR(VLOOKUP(record[[#This Row],[PCUSTID]],廠商[],2,FALSE),"")</f>
        <v/>
      </c>
      <c r="S1491" t="str">
        <f>VLOOKUP(record[[#This Row],[employeeID]],員工[],2,FALSE)</f>
        <v>范氏香</v>
      </c>
    </row>
    <row r="1492" spans="6:19" hidden="1" x14ac:dyDescent="0.25">
      <c r="F1492" t="s">
        <v>1815</v>
      </c>
      <c r="G1492" t="s">
        <v>451</v>
      </c>
      <c r="H1492" t="str">
        <f>VLOOKUP(record[[#This Row],[ProcessSN]],表格2_7[],2,FALSE)</f>
        <v>30-4118-018-6XX</v>
      </c>
      <c r="I1492" t="str">
        <f>VLOOKUP(record[[#This Row],[ProcessSN]],表格2_7[],3,FALSE)</f>
        <v>#07</v>
      </c>
      <c r="J1492" t="s">
        <v>588</v>
      </c>
      <c r="K1492" s="195">
        <v>46133.98642361111</v>
      </c>
      <c r="L1492">
        <v>230</v>
      </c>
      <c r="M1492">
        <v>5</v>
      </c>
      <c r="N1492" s="98" t="str">
        <f>IF(record[[#This Row],[Memo]]="Browser:chrome os:android","平板報工",IF(record[[#This Row],[Memo]]=0,"委外",record[[#This Row],[Memo]]))</f>
        <v>平板報工</v>
      </c>
      <c r="O1492" t="s">
        <v>643</v>
      </c>
      <c r="P1492" t="s">
        <v>1098</v>
      </c>
      <c r="Q1492" t="s">
        <v>644</v>
      </c>
      <c r="R1492" t="str">
        <f>IFERROR(VLOOKUP(record[[#This Row],[PCUSTID]],廠商[],2,FALSE),"")</f>
        <v/>
      </c>
      <c r="S1492" t="str">
        <f>VLOOKUP(record[[#This Row],[employeeID]],員工[],2,FALSE)</f>
        <v>阮氏芳英(英)</v>
      </c>
    </row>
    <row r="1493" spans="6:19" hidden="1" x14ac:dyDescent="0.25">
      <c r="F1493" t="s">
        <v>1815</v>
      </c>
      <c r="G1493" t="s">
        <v>450</v>
      </c>
      <c r="H1493" t="str">
        <f>VLOOKUP(record[[#This Row],[ProcessSN]],表格2_7[],2,FALSE)</f>
        <v>30-4118-018-6XX</v>
      </c>
      <c r="I1493" t="str">
        <f>VLOOKUP(record[[#This Row],[ProcessSN]],表格2_7[],3,FALSE)</f>
        <v>#06</v>
      </c>
      <c r="J1493" t="s">
        <v>593</v>
      </c>
      <c r="K1493" s="195">
        <v>46133.986203703702</v>
      </c>
      <c r="L1493">
        <v>53</v>
      </c>
      <c r="M1493">
        <v>0</v>
      </c>
      <c r="N1493" s="98" t="str">
        <f>IF(record[[#This Row],[Memo]]="Browser:chrome os:android","平板報工",IF(record[[#This Row],[Memo]]=0,"委外",record[[#This Row],[Memo]]))</f>
        <v>平板報工</v>
      </c>
      <c r="O1493" t="s">
        <v>643</v>
      </c>
      <c r="P1493" t="s">
        <v>691</v>
      </c>
      <c r="Q1493" t="s">
        <v>644</v>
      </c>
      <c r="R1493" t="str">
        <f>IFERROR(VLOOKUP(record[[#This Row],[PCUSTID]],廠商[],2,FALSE),"")</f>
        <v/>
      </c>
      <c r="S1493" t="str">
        <f>VLOOKUP(record[[#This Row],[employeeID]],員工[],2,FALSE)</f>
        <v>武氏賢</v>
      </c>
    </row>
    <row r="1494" spans="6:19" hidden="1" x14ac:dyDescent="0.25">
      <c r="F1494" t="s">
        <v>1794</v>
      </c>
      <c r="G1494" t="s">
        <v>416</v>
      </c>
      <c r="H1494" t="str">
        <f>VLOOKUP(record[[#This Row],[ProcessSN]],表格2_7[],2,FALSE)</f>
        <v>30-4118-018-5XX</v>
      </c>
      <c r="I1494" t="str">
        <f>VLOOKUP(record[[#This Row],[ProcessSN]],表格2_7[],3,FALSE)</f>
        <v>#05</v>
      </c>
      <c r="J1494" t="s">
        <v>588</v>
      </c>
      <c r="K1494" s="195">
        <v>46133.985844907409</v>
      </c>
      <c r="L1494">
        <v>77</v>
      </c>
      <c r="M1494">
        <v>0</v>
      </c>
      <c r="N1494" s="98" t="str">
        <f>IF(record[[#This Row],[Memo]]="Browser:chrome os:android","平板報工",IF(record[[#This Row],[Memo]]=0,"委外",record[[#This Row],[Memo]]))</f>
        <v>平板報工</v>
      </c>
      <c r="O1494" t="s">
        <v>643</v>
      </c>
      <c r="P1494" t="s">
        <v>691</v>
      </c>
      <c r="Q1494" t="s">
        <v>644</v>
      </c>
      <c r="R1494" t="str">
        <f>IFERROR(VLOOKUP(record[[#This Row],[PCUSTID]],廠商[],2,FALSE),"")</f>
        <v/>
      </c>
      <c r="S1494" t="str">
        <f>VLOOKUP(record[[#This Row],[employeeID]],員工[],2,FALSE)</f>
        <v>武氏賢</v>
      </c>
    </row>
    <row r="1495" spans="6:19" hidden="1" x14ac:dyDescent="0.25">
      <c r="F1495" t="s">
        <v>1772</v>
      </c>
      <c r="G1495" t="s">
        <v>466</v>
      </c>
      <c r="H1495" t="str">
        <f>VLOOKUP(record[[#This Row],[ProcessSN]],表格2_7[],2,FALSE)</f>
        <v>30-4118-018-XXX</v>
      </c>
      <c r="I1495" t="str">
        <f>VLOOKUP(record[[#This Row],[ProcessSN]],表格2_7[],3,FALSE)</f>
        <v>#01-2</v>
      </c>
      <c r="J1495" t="s">
        <v>588</v>
      </c>
      <c r="K1495" s="195">
        <v>46133.969606481478</v>
      </c>
      <c r="L1495">
        <v>590</v>
      </c>
      <c r="M1495">
        <v>0</v>
      </c>
      <c r="N1495" s="98" t="str">
        <f>IF(record[[#This Row],[Memo]]="Browser:chrome os:android","平板報工",IF(record[[#This Row],[Memo]]=0,"委外",record[[#This Row],[Memo]]))</f>
        <v>平板報工</v>
      </c>
      <c r="O1495" t="s">
        <v>643</v>
      </c>
      <c r="P1495" t="s">
        <v>89</v>
      </c>
      <c r="Q1495" t="s">
        <v>644</v>
      </c>
      <c r="R1495" t="str">
        <f>IFERROR(VLOOKUP(record[[#This Row],[PCUSTID]],廠商[],2,FALSE),"")</f>
        <v/>
      </c>
      <c r="S1495" t="str">
        <f>VLOOKUP(record[[#This Row],[employeeID]],員工[],2,FALSE)</f>
        <v>李美蓮</v>
      </c>
    </row>
    <row r="1496" spans="6:19" hidden="1" x14ac:dyDescent="0.25">
      <c r="F1496" t="s">
        <v>1772</v>
      </c>
      <c r="G1496" t="s">
        <v>466</v>
      </c>
      <c r="H1496" t="str">
        <f>VLOOKUP(record[[#This Row],[ProcessSN]],表格2_7[],2,FALSE)</f>
        <v>30-4118-018-XXX</v>
      </c>
      <c r="I1496" t="str">
        <f>VLOOKUP(record[[#This Row],[ProcessSN]],表格2_7[],3,FALSE)</f>
        <v>#01-2</v>
      </c>
      <c r="J1496" t="s">
        <v>588</v>
      </c>
      <c r="K1496" s="195">
        <v>46133.968842592592</v>
      </c>
      <c r="L1496">
        <v>590</v>
      </c>
      <c r="M1496">
        <v>0</v>
      </c>
      <c r="N1496" s="98" t="str">
        <f>IF(record[[#This Row],[Memo]]="Browser:chrome os:android","平板報工",IF(record[[#This Row],[Memo]]=0,"委外",record[[#This Row],[Memo]]))</f>
        <v>平板報工</v>
      </c>
      <c r="O1496" t="s">
        <v>643</v>
      </c>
      <c r="P1496" t="s">
        <v>89</v>
      </c>
      <c r="Q1496" t="s">
        <v>644</v>
      </c>
      <c r="R1496" t="str">
        <f>IFERROR(VLOOKUP(record[[#This Row],[PCUSTID]],廠商[],2,FALSE),"")</f>
        <v/>
      </c>
      <c r="S1496" t="str">
        <f>VLOOKUP(record[[#This Row],[employeeID]],員工[],2,FALSE)</f>
        <v>李美蓮</v>
      </c>
    </row>
    <row r="1497" spans="6:19" hidden="1" x14ac:dyDescent="0.25">
      <c r="F1497" t="s">
        <v>1794</v>
      </c>
      <c r="G1497" t="s">
        <v>418</v>
      </c>
      <c r="H1497" t="str">
        <f>VLOOKUP(record[[#This Row],[ProcessSN]],表格2_7[],2,FALSE)</f>
        <v>30-4118-018-5XX</v>
      </c>
      <c r="I1497" t="str">
        <f>VLOOKUP(record[[#This Row],[ProcessSN]],表格2_7[],3,FALSE)</f>
        <v>#07</v>
      </c>
      <c r="J1497" t="s">
        <v>588</v>
      </c>
      <c r="K1497" s="195">
        <v>46133.967928240738</v>
      </c>
      <c r="L1497">
        <v>250</v>
      </c>
      <c r="M1497">
        <v>1</v>
      </c>
      <c r="N1497" s="98" t="str">
        <f>IF(record[[#This Row],[Memo]]="Browser:chrome os:android","平板報工",IF(record[[#This Row],[Memo]]=0,"委外",record[[#This Row],[Memo]]))</f>
        <v>平板報工</v>
      </c>
      <c r="O1497" t="s">
        <v>643</v>
      </c>
      <c r="P1497" t="s">
        <v>1098</v>
      </c>
      <c r="Q1497" t="s">
        <v>644</v>
      </c>
      <c r="R1497" t="str">
        <f>IFERROR(VLOOKUP(record[[#This Row],[PCUSTID]],廠商[],2,FALSE),"")</f>
        <v/>
      </c>
      <c r="S1497" t="str">
        <f>VLOOKUP(record[[#This Row],[employeeID]],員工[],2,FALSE)</f>
        <v>阮氏芳英(英)</v>
      </c>
    </row>
    <row r="1498" spans="6:19" hidden="1" x14ac:dyDescent="0.25">
      <c r="F1498" t="s">
        <v>1839</v>
      </c>
      <c r="G1498" t="s">
        <v>387</v>
      </c>
      <c r="H1498" t="str">
        <f>VLOOKUP(record[[#This Row],[ProcessSN]],表格2_7[],2,FALSE)</f>
        <v>30-4118-018-500</v>
      </c>
      <c r="I1498" t="str">
        <f>VLOOKUP(record[[#This Row],[ProcessSN]],表格2_7[],3,FALSE)</f>
        <v>#100SHIP</v>
      </c>
      <c r="J1498" t="s">
        <v>600</v>
      </c>
      <c r="K1498" s="195">
        <v>46133.871736111112</v>
      </c>
      <c r="L1498">
        <v>500</v>
      </c>
      <c r="M1498">
        <v>0</v>
      </c>
      <c r="N1498" s="98" t="str">
        <f>IF(record[[#This Row],[Memo]]="Browser:chrome os:android","平板報工",IF(record[[#This Row],[Memo]]=0,"委外",record[[#This Row],[Memo]]))</f>
        <v/>
      </c>
      <c r="O1498" t="s">
        <v>58</v>
      </c>
      <c r="P1498" t="s">
        <v>886</v>
      </c>
      <c r="Q1498" t="s">
        <v>58</v>
      </c>
      <c r="R1498" t="str">
        <f>IFERROR(VLOOKUP(record[[#This Row],[PCUSTID]],廠商[],2,FALSE),"")</f>
        <v/>
      </c>
      <c r="S1498" t="str">
        <f>VLOOKUP(record[[#This Row],[employeeID]],員工[],2,FALSE)</f>
        <v>謝蓁薰</v>
      </c>
    </row>
    <row r="1499" spans="6:19" hidden="1" x14ac:dyDescent="0.25">
      <c r="F1499" t="s">
        <v>1839</v>
      </c>
      <c r="G1499" t="s">
        <v>386</v>
      </c>
      <c r="H1499" t="str">
        <f>VLOOKUP(record[[#This Row],[ProcessSN]],表格2_7[],2,FALSE)</f>
        <v>30-4118-018-500</v>
      </c>
      <c r="I1499" t="str">
        <f>VLOOKUP(record[[#This Row],[ProcessSN]],表格2_7[],3,FALSE)</f>
        <v>#100STOCK</v>
      </c>
      <c r="J1499" t="s">
        <v>592</v>
      </c>
      <c r="K1499" s="195">
        <v>46133.871631944443</v>
      </c>
      <c r="L1499">
        <v>500</v>
      </c>
      <c r="M1499">
        <v>0</v>
      </c>
      <c r="N1499" s="98" t="str">
        <f>IF(record[[#This Row],[Memo]]="Browser:chrome os:android","平板報工",IF(record[[#This Row],[Memo]]=0,"委外",record[[#This Row],[Memo]]))</f>
        <v/>
      </c>
      <c r="O1499" t="s">
        <v>58</v>
      </c>
      <c r="P1499" t="s">
        <v>886</v>
      </c>
      <c r="Q1499" t="s">
        <v>58</v>
      </c>
      <c r="R1499" t="str">
        <f>IFERROR(VLOOKUP(record[[#This Row],[PCUSTID]],廠商[],2,FALSE),"")</f>
        <v/>
      </c>
      <c r="S1499" t="str">
        <f>VLOOKUP(record[[#This Row],[employeeID]],員工[],2,FALSE)</f>
        <v>謝蓁薰</v>
      </c>
    </row>
    <row r="1500" spans="6:19" hidden="1" x14ac:dyDescent="0.25">
      <c r="F1500" t="s">
        <v>1839</v>
      </c>
      <c r="G1500" t="s">
        <v>385</v>
      </c>
      <c r="H1500" t="str">
        <f>VLOOKUP(record[[#This Row],[ProcessSN]],表格2_7[],2,FALSE)</f>
        <v>30-4118-018-500</v>
      </c>
      <c r="I1500" t="str">
        <f>VLOOKUP(record[[#This Row],[ProcessSN]],表格2_7[],3,FALSE)</f>
        <v>#100OQC</v>
      </c>
      <c r="J1500" t="s">
        <v>599</v>
      </c>
      <c r="K1500" s="195">
        <v>46133.871516203704</v>
      </c>
      <c r="L1500">
        <v>500</v>
      </c>
      <c r="M1500">
        <v>0</v>
      </c>
      <c r="N1500" s="98" t="str">
        <f>IF(record[[#This Row],[Memo]]="Browser:chrome os:android","平板報工",IF(record[[#This Row],[Memo]]=0,"委外",record[[#This Row],[Memo]]))</f>
        <v/>
      </c>
      <c r="O1500" t="s">
        <v>58</v>
      </c>
      <c r="P1500" t="s">
        <v>886</v>
      </c>
      <c r="Q1500" t="s">
        <v>58</v>
      </c>
      <c r="R1500" t="str">
        <f>IFERROR(VLOOKUP(record[[#This Row],[PCUSTID]],廠商[],2,FALSE),"")</f>
        <v/>
      </c>
      <c r="S1500" t="str">
        <f>VLOOKUP(record[[#This Row],[employeeID]],員工[],2,FALSE)</f>
        <v>謝蓁薰</v>
      </c>
    </row>
    <row r="1501" spans="6:19" hidden="1" x14ac:dyDescent="0.25">
      <c r="F1501" t="s">
        <v>1839</v>
      </c>
      <c r="G1501" t="s">
        <v>384</v>
      </c>
      <c r="H1501" t="str">
        <f>VLOOKUP(record[[#This Row],[ProcessSN]],表格2_7[],2,FALSE)</f>
        <v>30-4118-018-500</v>
      </c>
      <c r="I1501" t="str">
        <f>VLOOKUP(record[[#This Row],[ProcessSN]],表格2_7[],3,FALSE)</f>
        <v>#100</v>
      </c>
      <c r="J1501" t="s">
        <v>598</v>
      </c>
      <c r="K1501" s="195">
        <v>46133.866157407407</v>
      </c>
      <c r="L1501">
        <v>500</v>
      </c>
      <c r="M1501">
        <v>0</v>
      </c>
      <c r="N1501" s="98" t="str">
        <f>IF(record[[#This Row],[Memo]]="Browser:chrome os:android","平板報工",IF(record[[#This Row],[Memo]]=0,"委外",record[[#This Row],[Memo]]))</f>
        <v/>
      </c>
      <c r="O1501" t="s">
        <v>58</v>
      </c>
      <c r="P1501" t="s">
        <v>99</v>
      </c>
      <c r="Q1501" t="s">
        <v>58</v>
      </c>
      <c r="R1501" t="str">
        <f>IFERROR(VLOOKUP(record[[#This Row],[PCUSTID]],廠商[],2,FALSE),"")</f>
        <v/>
      </c>
      <c r="S1501" t="str">
        <f>VLOOKUP(record[[#This Row],[employeeID]],員工[],2,FALSE)</f>
        <v>阮氏河</v>
      </c>
    </row>
    <row r="1502" spans="6:19" hidden="1" x14ac:dyDescent="0.25">
      <c r="F1502" t="s">
        <v>1787</v>
      </c>
      <c r="G1502" t="s">
        <v>471</v>
      </c>
      <c r="H1502" t="str">
        <f>VLOOKUP(record[[#This Row],[ProcessSN]],表格2_7[],2,FALSE)</f>
        <v>30-4118-018-XXX</v>
      </c>
      <c r="I1502" t="str">
        <f>VLOOKUP(record[[#This Row],[ProcessSN]],表格2_7[],3,FALSE)</f>
        <v>#02STOCK</v>
      </c>
      <c r="J1502" t="s">
        <v>592</v>
      </c>
      <c r="K1502" s="195">
        <v>46133.857858796298</v>
      </c>
      <c r="L1502">
        <v>672</v>
      </c>
      <c r="M1502">
        <v>0</v>
      </c>
      <c r="N1502" s="98" t="str">
        <f>IF(record[[#This Row],[Memo]]="Browser:chrome os:android","平板報工",IF(record[[#This Row],[Memo]]=0,"委外",record[[#This Row],[Memo]]))</f>
        <v/>
      </c>
      <c r="O1502" t="s">
        <v>58</v>
      </c>
      <c r="P1502" t="s">
        <v>1070</v>
      </c>
      <c r="Q1502" t="s">
        <v>58</v>
      </c>
      <c r="R1502" t="str">
        <f>IFERROR(VLOOKUP(record[[#This Row],[PCUSTID]],廠商[],2,FALSE),"")</f>
        <v/>
      </c>
      <c r="S1502" t="str">
        <f>VLOOKUP(record[[#This Row],[employeeID]],員工[],2,FALSE)</f>
        <v>陳昱佑</v>
      </c>
    </row>
    <row r="1503" spans="6:19" hidden="1" x14ac:dyDescent="0.25">
      <c r="F1503" t="s">
        <v>1772</v>
      </c>
      <c r="G1503" t="s">
        <v>471</v>
      </c>
      <c r="H1503" t="str">
        <f>VLOOKUP(record[[#This Row],[ProcessSN]],表格2_7[],2,FALSE)</f>
        <v>30-4118-018-XXX</v>
      </c>
      <c r="I1503" t="str">
        <f>VLOOKUP(record[[#This Row],[ProcessSN]],表格2_7[],3,FALSE)</f>
        <v>#02STOCK</v>
      </c>
      <c r="J1503" t="s">
        <v>592</v>
      </c>
      <c r="K1503" s="195">
        <v>46133.857662037037</v>
      </c>
      <c r="L1503">
        <v>168</v>
      </c>
      <c r="M1503">
        <v>0</v>
      </c>
      <c r="N1503" s="98" t="str">
        <f>IF(record[[#This Row],[Memo]]="Browser:chrome os:android","平板報工",IF(record[[#This Row],[Memo]]=0,"委外",record[[#This Row],[Memo]]))</f>
        <v/>
      </c>
      <c r="O1503" t="s">
        <v>58</v>
      </c>
      <c r="P1503" t="s">
        <v>1070</v>
      </c>
      <c r="Q1503" t="s">
        <v>58</v>
      </c>
      <c r="R1503" t="str">
        <f>IFERROR(VLOOKUP(record[[#This Row],[PCUSTID]],廠商[],2,FALSE),"")</f>
        <v/>
      </c>
      <c r="S1503" t="str">
        <f>VLOOKUP(record[[#This Row],[employeeID]],員工[],2,FALSE)</f>
        <v>陳昱佑</v>
      </c>
    </row>
    <row r="1504" spans="6:19" hidden="1" x14ac:dyDescent="0.25">
      <c r="F1504" t="s">
        <v>1794</v>
      </c>
      <c r="G1504" t="s">
        <v>417</v>
      </c>
      <c r="H1504" t="str">
        <f>VLOOKUP(record[[#This Row],[ProcessSN]],表格2_7[],2,FALSE)</f>
        <v>30-4118-018-5XX</v>
      </c>
      <c r="I1504" t="str">
        <f>VLOOKUP(record[[#This Row],[ProcessSN]],表格2_7[],3,FALSE)</f>
        <v>#06</v>
      </c>
      <c r="J1504" t="s">
        <v>593</v>
      </c>
      <c r="K1504" s="195">
        <v>46133.831886574073</v>
      </c>
      <c r="L1504">
        <v>37</v>
      </c>
      <c r="M1504">
        <v>0</v>
      </c>
      <c r="N1504" s="98" t="str">
        <f>IF(record[[#This Row],[Memo]]="Browser:chrome os:android","平板報工",IF(record[[#This Row],[Memo]]=0,"委外",record[[#This Row],[Memo]]))</f>
        <v>平板報工</v>
      </c>
      <c r="O1504" t="s">
        <v>643</v>
      </c>
      <c r="P1504" t="s">
        <v>1413</v>
      </c>
      <c r="Q1504" t="s">
        <v>644</v>
      </c>
      <c r="R1504" t="str">
        <f>IFERROR(VLOOKUP(record[[#This Row],[PCUSTID]],廠商[],2,FALSE),"")</f>
        <v/>
      </c>
      <c r="S1504" t="str">
        <f>VLOOKUP(record[[#This Row],[employeeID]],員工[],2,FALSE)</f>
        <v>阮氏芳英(芳)</v>
      </c>
    </row>
    <row r="1505" spans="6:19" hidden="1" x14ac:dyDescent="0.25">
      <c r="F1505" t="s">
        <v>1794</v>
      </c>
      <c r="G1505" t="s">
        <v>416</v>
      </c>
      <c r="H1505" t="str">
        <f>VLOOKUP(record[[#This Row],[ProcessSN]],表格2_7[],2,FALSE)</f>
        <v>30-4118-018-5XX</v>
      </c>
      <c r="I1505" t="str">
        <f>VLOOKUP(record[[#This Row],[ProcessSN]],表格2_7[],3,FALSE)</f>
        <v>#05</v>
      </c>
      <c r="J1505" t="s">
        <v>588</v>
      </c>
      <c r="K1505" s="195">
        <v>46133.830740740741</v>
      </c>
      <c r="L1505">
        <v>19</v>
      </c>
      <c r="M1505">
        <v>0</v>
      </c>
      <c r="N1505" s="98" t="str">
        <f>IF(record[[#This Row],[Memo]]="Browser:chrome os:android","平板報工",IF(record[[#This Row],[Memo]]=0,"委外",record[[#This Row],[Memo]]))</f>
        <v>平板報工</v>
      </c>
      <c r="O1505" t="s">
        <v>643</v>
      </c>
      <c r="P1505" t="s">
        <v>785</v>
      </c>
      <c r="Q1505" t="s">
        <v>644</v>
      </c>
      <c r="R1505" t="str">
        <f>IFERROR(VLOOKUP(record[[#This Row],[PCUSTID]],廠商[],2,FALSE),"")</f>
        <v/>
      </c>
      <c r="S1505" t="str">
        <f>VLOOKUP(record[[#This Row],[employeeID]],員工[],2,FALSE)</f>
        <v>謝刻光</v>
      </c>
    </row>
    <row r="1506" spans="6:19" hidden="1" x14ac:dyDescent="0.25">
      <c r="F1506" t="s">
        <v>1815</v>
      </c>
      <c r="G1506" t="s">
        <v>449</v>
      </c>
      <c r="H1506" t="str">
        <f>VLOOKUP(record[[#This Row],[ProcessSN]],表格2_7[],2,FALSE)</f>
        <v>30-4118-018-6XX</v>
      </c>
      <c r="I1506" t="str">
        <f>VLOOKUP(record[[#This Row],[ProcessSN]],表格2_7[],3,FALSE)</f>
        <v>#05</v>
      </c>
      <c r="J1506" t="s">
        <v>588</v>
      </c>
      <c r="K1506" s="195">
        <v>46133.830462962964</v>
      </c>
      <c r="L1506">
        <v>110</v>
      </c>
      <c r="M1506">
        <v>0</v>
      </c>
      <c r="N1506" s="98" t="str">
        <f>IF(record[[#This Row],[Memo]]="Browser:chrome os:android","平板報工",IF(record[[#This Row],[Memo]]=0,"委外",record[[#This Row],[Memo]]))</f>
        <v>平板報工</v>
      </c>
      <c r="O1506" t="s">
        <v>643</v>
      </c>
      <c r="P1506" t="s">
        <v>785</v>
      </c>
      <c r="Q1506" t="s">
        <v>644</v>
      </c>
      <c r="R1506" t="str">
        <f>IFERROR(VLOOKUP(record[[#This Row],[PCUSTID]],廠商[],2,FALSE),"")</f>
        <v/>
      </c>
      <c r="S1506" t="str">
        <f>VLOOKUP(record[[#This Row],[employeeID]],員工[],2,FALSE)</f>
        <v>謝刻光</v>
      </c>
    </row>
    <row r="1507" spans="6:19" hidden="1" x14ac:dyDescent="0.25">
      <c r="F1507" t="s">
        <v>1815</v>
      </c>
      <c r="G1507" t="s">
        <v>450</v>
      </c>
      <c r="H1507" t="str">
        <f>VLOOKUP(record[[#This Row],[ProcessSN]],表格2_7[],2,FALSE)</f>
        <v>30-4118-018-6XX</v>
      </c>
      <c r="I1507" t="str">
        <f>VLOOKUP(record[[#This Row],[ProcessSN]],表格2_7[],3,FALSE)</f>
        <v>#06</v>
      </c>
      <c r="J1507" t="s">
        <v>593</v>
      </c>
      <c r="K1507" s="195">
        <v>46133.826689814814</v>
      </c>
      <c r="L1507">
        <v>30</v>
      </c>
      <c r="M1507">
        <v>0</v>
      </c>
      <c r="N1507" s="98" t="str">
        <f>IF(record[[#This Row],[Memo]]="Browser:chrome os:android","平板報工",IF(record[[#This Row],[Memo]]=0,"委外",record[[#This Row],[Memo]]))</f>
        <v>平板報工</v>
      </c>
      <c r="O1507" t="s">
        <v>643</v>
      </c>
      <c r="P1507" t="s">
        <v>1413</v>
      </c>
      <c r="Q1507" t="s">
        <v>644</v>
      </c>
      <c r="R1507" t="str">
        <f>IFERROR(VLOOKUP(record[[#This Row],[PCUSTID]],廠商[],2,FALSE),"")</f>
        <v/>
      </c>
      <c r="S1507" t="str">
        <f>VLOOKUP(record[[#This Row],[employeeID]],員工[],2,FALSE)</f>
        <v>阮氏芳英(芳)</v>
      </c>
    </row>
    <row r="1508" spans="6:19" hidden="1" x14ac:dyDescent="0.25">
      <c r="F1508" t="s">
        <v>1794</v>
      </c>
      <c r="G1508" t="s">
        <v>415</v>
      </c>
      <c r="H1508" t="str">
        <f>VLOOKUP(record[[#This Row],[ProcessSN]],表格2_7[],2,FALSE)</f>
        <v>30-4118-018-5XX</v>
      </c>
      <c r="I1508" t="str">
        <f>VLOOKUP(record[[#This Row],[ProcessSN]],表格2_7[],3,FALSE)</f>
        <v>#04</v>
      </c>
      <c r="J1508" t="s">
        <v>588</v>
      </c>
      <c r="K1508" s="195">
        <v>46133.824826388889</v>
      </c>
      <c r="L1508">
        <v>75</v>
      </c>
      <c r="M1508">
        <v>0</v>
      </c>
      <c r="N1508" s="98" t="str">
        <f>IF(record[[#This Row],[Memo]]="Browser:chrome os:android","平板報工",IF(record[[#This Row],[Memo]]=0,"委外",record[[#This Row],[Memo]]))</f>
        <v/>
      </c>
      <c r="O1508" t="s">
        <v>58</v>
      </c>
      <c r="P1508" t="s">
        <v>188</v>
      </c>
      <c r="Q1508" t="s">
        <v>58</v>
      </c>
      <c r="R1508" t="str">
        <f>IFERROR(VLOOKUP(record[[#This Row],[PCUSTID]],廠商[],2,FALSE),"")</f>
        <v/>
      </c>
      <c r="S1508" t="str">
        <f>VLOOKUP(record[[#This Row],[employeeID]],員工[],2,FALSE)</f>
        <v>阮氏璧紅</v>
      </c>
    </row>
    <row r="1509" spans="6:19" hidden="1" x14ac:dyDescent="0.25">
      <c r="F1509" t="s">
        <v>1815</v>
      </c>
      <c r="G1509" t="s">
        <v>448</v>
      </c>
      <c r="H1509" t="str">
        <f>VLOOKUP(record[[#This Row],[ProcessSN]],表格2_7[],2,FALSE)</f>
        <v>30-4118-018-6XX</v>
      </c>
      <c r="I1509" t="str">
        <f>VLOOKUP(record[[#This Row],[ProcessSN]],表格2_7[],3,FALSE)</f>
        <v>#04</v>
      </c>
      <c r="J1509" t="s">
        <v>588</v>
      </c>
      <c r="K1509" s="195">
        <v>46133.824525462966</v>
      </c>
      <c r="L1509">
        <v>60</v>
      </c>
      <c r="M1509">
        <v>0</v>
      </c>
      <c r="N1509" s="98" t="str">
        <f>IF(record[[#This Row],[Memo]]="Browser:chrome os:android","平板報工",IF(record[[#This Row],[Memo]]=0,"委外",record[[#This Row],[Memo]]))</f>
        <v/>
      </c>
      <c r="O1509" t="s">
        <v>58</v>
      </c>
      <c r="P1509" t="s">
        <v>188</v>
      </c>
      <c r="Q1509" t="s">
        <v>58</v>
      </c>
      <c r="R1509" t="str">
        <f>IFERROR(VLOOKUP(record[[#This Row],[PCUSTID]],廠商[],2,FALSE),"")</f>
        <v/>
      </c>
      <c r="S1509" t="str">
        <f>VLOOKUP(record[[#This Row],[employeeID]],員工[],2,FALSE)</f>
        <v>阮氏璧紅</v>
      </c>
    </row>
    <row r="1510" spans="6:19" hidden="1" x14ac:dyDescent="0.25">
      <c r="F1510" t="s">
        <v>1859</v>
      </c>
      <c r="G1510" t="s">
        <v>447</v>
      </c>
      <c r="H1510" t="str">
        <f>VLOOKUP(record[[#This Row],[ProcessSN]],表格2_7[],2,FALSE)</f>
        <v>30-4118-018-6XX</v>
      </c>
      <c r="I1510" t="str">
        <f>VLOOKUP(record[[#This Row],[ProcessSN]],表格2_7[],3,FALSE)</f>
        <v>#03</v>
      </c>
      <c r="J1510" t="s">
        <v>588</v>
      </c>
      <c r="K1510" s="195">
        <v>46133.824189814812</v>
      </c>
      <c r="L1510">
        <v>168</v>
      </c>
      <c r="M1510">
        <v>0</v>
      </c>
      <c r="N1510" s="98" t="str">
        <f>IF(record[[#This Row],[Memo]]="Browser:chrome os:android","平板報工",IF(record[[#This Row],[Memo]]=0,"委外",record[[#This Row],[Memo]]))</f>
        <v/>
      </c>
      <c r="O1510" t="s">
        <v>58</v>
      </c>
      <c r="P1510" t="s">
        <v>188</v>
      </c>
      <c r="Q1510" t="s">
        <v>58</v>
      </c>
      <c r="R1510" t="str">
        <f>IFERROR(VLOOKUP(record[[#This Row],[PCUSTID]],廠商[],2,FALSE),"")</f>
        <v/>
      </c>
      <c r="S1510" t="str">
        <f>VLOOKUP(record[[#This Row],[employeeID]],員工[],2,FALSE)</f>
        <v>阮氏璧紅</v>
      </c>
    </row>
    <row r="1511" spans="6:19" hidden="1" x14ac:dyDescent="0.25">
      <c r="F1511" t="s">
        <v>1822</v>
      </c>
      <c r="G1511" t="s">
        <v>447</v>
      </c>
      <c r="H1511" t="str">
        <f>VLOOKUP(record[[#This Row],[ProcessSN]],表格2_7[],2,FALSE)</f>
        <v>30-4118-018-6XX</v>
      </c>
      <c r="I1511" t="str">
        <f>VLOOKUP(record[[#This Row],[ProcessSN]],表格2_7[],3,FALSE)</f>
        <v>#03</v>
      </c>
      <c r="J1511" t="s">
        <v>588</v>
      </c>
      <c r="K1511" s="195">
        <v>46133.823912037034</v>
      </c>
      <c r="L1511">
        <v>250</v>
      </c>
      <c r="M1511">
        <v>0</v>
      </c>
      <c r="N1511" s="98" t="str">
        <f>IF(record[[#This Row],[Memo]]="Browser:chrome os:android","平板報工",IF(record[[#This Row],[Memo]]=0,"委外",record[[#This Row],[Memo]]))</f>
        <v/>
      </c>
      <c r="O1511" t="s">
        <v>58</v>
      </c>
      <c r="P1511" t="s">
        <v>188</v>
      </c>
      <c r="Q1511" t="s">
        <v>58</v>
      </c>
      <c r="R1511" t="str">
        <f>IFERROR(VLOOKUP(record[[#This Row],[PCUSTID]],廠商[],2,FALSE),"")</f>
        <v/>
      </c>
      <c r="S1511" t="str">
        <f>VLOOKUP(record[[#This Row],[employeeID]],員工[],2,FALSE)</f>
        <v>阮氏璧紅</v>
      </c>
    </row>
    <row r="1512" spans="6:19" hidden="1" x14ac:dyDescent="0.25">
      <c r="F1512" t="s">
        <v>1841</v>
      </c>
      <c r="G1512" t="s">
        <v>424</v>
      </c>
      <c r="H1512" t="str">
        <f>VLOOKUP(record[[#This Row],[ProcessSN]],表格2_7[],2,FALSE)</f>
        <v>30-4118-018-600</v>
      </c>
      <c r="I1512" t="str">
        <f>VLOOKUP(record[[#This Row],[ProcessSN]],表格2_7[],3,FALSE)</f>
        <v>#08IQC</v>
      </c>
      <c r="J1512" t="s">
        <v>583</v>
      </c>
      <c r="K1512" s="195">
        <v>46133.815416666665</v>
      </c>
      <c r="L1512">
        <v>75</v>
      </c>
      <c r="M1512">
        <v>0</v>
      </c>
      <c r="N1512" s="98" t="str">
        <f>IF(record[[#This Row],[Memo]]="Browser:chrome os:android","平板報工",IF(record[[#This Row],[Memo]]=0,"委外",record[[#This Row],[Memo]]))</f>
        <v/>
      </c>
      <c r="O1512" t="s">
        <v>58</v>
      </c>
      <c r="P1512" t="s">
        <v>109</v>
      </c>
      <c r="Q1512" t="s">
        <v>58</v>
      </c>
      <c r="R1512" t="str">
        <f>IFERROR(VLOOKUP(record[[#This Row],[PCUSTID]],廠商[],2,FALSE),"")</f>
        <v/>
      </c>
      <c r="S1512" t="str">
        <f>VLOOKUP(record[[#This Row],[employeeID]],員工[],2,FALSE)</f>
        <v>裴氏璧鳳</v>
      </c>
    </row>
    <row r="1513" spans="6:19" hidden="1" x14ac:dyDescent="0.25">
      <c r="F1513" t="s">
        <v>1839</v>
      </c>
      <c r="G1513" t="s">
        <v>383</v>
      </c>
      <c r="H1513" t="str">
        <f>VLOOKUP(record[[#This Row],[ProcessSN]],表格2_7[],2,FALSE)</f>
        <v>30-4118-018-500</v>
      </c>
      <c r="I1513" t="str">
        <f>VLOOKUP(record[[#This Row],[ProcessSN]],表格2_7[],3,FALSE)</f>
        <v>#08IQC</v>
      </c>
      <c r="J1513" t="s">
        <v>583</v>
      </c>
      <c r="K1513" s="195">
        <v>46133.806481481479</v>
      </c>
      <c r="L1513">
        <v>600</v>
      </c>
      <c r="M1513">
        <v>0</v>
      </c>
      <c r="N1513" s="98" t="str">
        <f>IF(record[[#This Row],[Memo]]="Browser:chrome os:android","平板報工",IF(record[[#This Row],[Memo]]=0,"委外",record[[#This Row],[Memo]]))</f>
        <v/>
      </c>
      <c r="O1513" t="s">
        <v>58</v>
      </c>
      <c r="P1513" t="s">
        <v>109</v>
      </c>
      <c r="Q1513" t="s">
        <v>58</v>
      </c>
      <c r="R1513" t="str">
        <f>IFERROR(VLOOKUP(record[[#This Row],[PCUSTID]],廠商[],2,FALSE),"")</f>
        <v/>
      </c>
      <c r="S1513" t="str">
        <f>VLOOKUP(record[[#This Row],[employeeID]],員工[],2,FALSE)</f>
        <v>裴氏璧鳳</v>
      </c>
    </row>
    <row r="1514" spans="6:19" hidden="1" x14ac:dyDescent="0.25">
      <c r="F1514" t="s">
        <v>1841</v>
      </c>
      <c r="G1514" t="s">
        <v>423</v>
      </c>
      <c r="H1514" t="str">
        <f>VLOOKUP(record[[#This Row],[ProcessSN]],表格2_7[],2,FALSE)</f>
        <v>30-4118-018-600</v>
      </c>
      <c r="I1514" t="str">
        <f>VLOOKUP(record[[#This Row],[ProcessSN]],表格2_7[],3,FALSE)</f>
        <v>#08RCV</v>
      </c>
      <c r="J1514" t="s">
        <v>591</v>
      </c>
      <c r="K1514" s="195">
        <v>46133.801134259258</v>
      </c>
      <c r="L1514">
        <v>75</v>
      </c>
      <c r="M1514">
        <v>0</v>
      </c>
      <c r="N1514" s="98" t="str">
        <f>IF(record[[#This Row],[Memo]]="Browser:chrome os:android","平板報工",IF(record[[#This Row],[Memo]]=0,"委外",record[[#This Row],[Memo]]))</f>
        <v/>
      </c>
      <c r="O1514" t="s">
        <v>58</v>
      </c>
      <c r="P1514" t="s">
        <v>886</v>
      </c>
      <c r="Q1514" t="s">
        <v>58</v>
      </c>
      <c r="R1514" t="str">
        <f>IFERROR(VLOOKUP(record[[#This Row],[PCUSTID]],廠商[],2,FALSE),"")</f>
        <v/>
      </c>
      <c r="S1514" t="str">
        <f>VLOOKUP(record[[#This Row],[employeeID]],員工[],2,FALSE)</f>
        <v>謝蓁薰</v>
      </c>
    </row>
    <row r="1515" spans="6:19" hidden="1" x14ac:dyDescent="0.25">
      <c r="F1515" t="s">
        <v>1839</v>
      </c>
      <c r="G1515" t="s">
        <v>382</v>
      </c>
      <c r="H1515" t="str">
        <f>VLOOKUP(record[[#This Row],[ProcessSN]],表格2_7[],2,FALSE)</f>
        <v>30-4118-018-500</v>
      </c>
      <c r="I1515" t="str">
        <f>VLOOKUP(record[[#This Row],[ProcessSN]],表格2_7[],3,FALSE)</f>
        <v>#08RCV</v>
      </c>
      <c r="J1515" t="s">
        <v>591</v>
      </c>
      <c r="K1515" s="195">
        <v>46133.800949074073</v>
      </c>
      <c r="L1515">
        <v>600</v>
      </c>
      <c r="M1515">
        <v>0</v>
      </c>
      <c r="N1515" s="98" t="str">
        <f>IF(record[[#This Row],[Memo]]="Browser:chrome os:android","平板報工",IF(record[[#This Row],[Memo]]=0,"委外",record[[#This Row],[Memo]]))</f>
        <v/>
      </c>
      <c r="O1515" t="s">
        <v>58</v>
      </c>
      <c r="P1515" t="s">
        <v>886</v>
      </c>
      <c r="Q1515" t="s">
        <v>58</v>
      </c>
      <c r="R1515" t="str">
        <f>IFERROR(VLOOKUP(record[[#This Row],[PCUSTID]],廠商[],2,FALSE),"")</f>
        <v/>
      </c>
      <c r="S1515" t="str">
        <f>VLOOKUP(record[[#This Row],[employeeID]],員工[],2,FALSE)</f>
        <v>謝蓁薰</v>
      </c>
    </row>
    <row r="1516" spans="6:19" hidden="1" x14ac:dyDescent="0.25">
      <c r="F1516" t="s">
        <v>1794</v>
      </c>
      <c r="G1516" t="s">
        <v>417</v>
      </c>
      <c r="H1516" t="str">
        <f>VLOOKUP(record[[#This Row],[ProcessSN]],表格2_7[],2,FALSE)</f>
        <v>30-4118-018-5XX</v>
      </c>
      <c r="I1516" t="str">
        <f>VLOOKUP(record[[#This Row],[ProcessSN]],表格2_7[],3,FALSE)</f>
        <v>#06</v>
      </c>
      <c r="J1516" t="s">
        <v>593</v>
      </c>
      <c r="K1516" s="195">
        <v>46133.721354166664</v>
      </c>
      <c r="L1516">
        <v>72</v>
      </c>
      <c r="M1516">
        <v>0</v>
      </c>
      <c r="N1516" s="98" t="str">
        <f>IF(record[[#This Row],[Memo]]="Browser:chrome os:android","平板報工",IF(record[[#This Row],[Memo]]=0,"委外",record[[#This Row],[Memo]]))</f>
        <v/>
      </c>
      <c r="O1516" t="s">
        <v>58</v>
      </c>
      <c r="P1516" t="s">
        <v>188</v>
      </c>
      <c r="Q1516" t="s">
        <v>58</v>
      </c>
      <c r="R1516" t="str">
        <f>IFERROR(VLOOKUP(record[[#This Row],[PCUSTID]],廠商[],2,FALSE),"")</f>
        <v/>
      </c>
      <c r="S1516" t="str">
        <f>VLOOKUP(record[[#This Row],[employeeID]],員工[],2,FALSE)</f>
        <v>阮氏璧紅</v>
      </c>
    </row>
    <row r="1517" spans="6:19" hidden="1" x14ac:dyDescent="0.25">
      <c r="F1517" t="s">
        <v>1794</v>
      </c>
      <c r="G1517" t="s">
        <v>417</v>
      </c>
      <c r="H1517" t="str">
        <f>VLOOKUP(record[[#This Row],[ProcessSN]],表格2_7[],2,FALSE)</f>
        <v>30-4118-018-5XX</v>
      </c>
      <c r="I1517" t="str">
        <f>VLOOKUP(record[[#This Row],[ProcessSN]],表格2_7[],3,FALSE)</f>
        <v>#06</v>
      </c>
      <c r="J1517" t="s">
        <v>593</v>
      </c>
      <c r="K1517" s="195">
        <v>46133.720034722224</v>
      </c>
      <c r="L1517">
        <v>24</v>
      </c>
      <c r="M1517">
        <v>0</v>
      </c>
      <c r="N1517" s="98" t="str">
        <f>IF(record[[#This Row],[Memo]]="Browser:chrome os:android","平板報工",IF(record[[#This Row],[Memo]]=0,"委外",record[[#This Row],[Memo]]))</f>
        <v/>
      </c>
      <c r="O1517" t="s">
        <v>58</v>
      </c>
      <c r="P1517" t="s">
        <v>1413</v>
      </c>
      <c r="Q1517" t="s">
        <v>58</v>
      </c>
      <c r="R1517" t="str">
        <f>IFERROR(VLOOKUP(record[[#This Row],[PCUSTID]],廠商[],2,FALSE),"")</f>
        <v/>
      </c>
      <c r="S1517" t="str">
        <f>VLOOKUP(record[[#This Row],[employeeID]],員工[],2,FALSE)</f>
        <v>阮氏芳英(芳)</v>
      </c>
    </row>
    <row r="1518" spans="6:19" hidden="1" x14ac:dyDescent="0.25">
      <c r="F1518" t="s">
        <v>1815</v>
      </c>
      <c r="G1518" t="s">
        <v>450</v>
      </c>
      <c r="H1518" t="str">
        <f>VLOOKUP(record[[#This Row],[ProcessSN]],表格2_7[],2,FALSE)</f>
        <v>30-4118-018-6XX</v>
      </c>
      <c r="I1518" t="str">
        <f>VLOOKUP(record[[#This Row],[ProcessSN]],表格2_7[],3,FALSE)</f>
        <v>#06</v>
      </c>
      <c r="J1518" t="s">
        <v>593</v>
      </c>
      <c r="K1518" s="195">
        <v>46133.719641203701</v>
      </c>
      <c r="L1518">
        <v>65</v>
      </c>
      <c r="M1518">
        <v>0</v>
      </c>
      <c r="N1518" s="98" t="str">
        <f>IF(record[[#This Row],[Memo]]="Browser:chrome os:android","平板報工",IF(record[[#This Row],[Memo]]=0,"委外",record[[#This Row],[Memo]]))</f>
        <v/>
      </c>
      <c r="O1518" t="s">
        <v>58</v>
      </c>
      <c r="P1518" t="s">
        <v>1413</v>
      </c>
      <c r="Q1518" t="s">
        <v>58</v>
      </c>
      <c r="R1518" t="str">
        <f>IFERROR(VLOOKUP(record[[#This Row],[PCUSTID]],廠商[],2,FALSE),"")</f>
        <v/>
      </c>
      <c r="S1518" t="str">
        <f>VLOOKUP(record[[#This Row],[employeeID]],員工[],2,FALSE)</f>
        <v>阮氏芳英(芳)</v>
      </c>
    </row>
    <row r="1519" spans="6:19" hidden="1" x14ac:dyDescent="0.25">
      <c r="F1519" t="s">
        <v>1815</v>
      </c>
      <c r="G1519" t="s">
        <v>450</v>
      </c>
      <c r="H1519" t="str">
        <f>VLOOKUP(record[[#This Row],[ProcessSN]],表格2_7[],2,FALSE)</f>
        <v>30-4118-018-6XX</v>
      </c>
      <c r="I1519" t="str">
        <f>VLOOKUP(record[[#This Row],[ProcessSN]],表格2_7[],3,FALSE)</f>
        <v>#06</v>
      </c>
      <c r="J1519" t="s">
        <v>593</v>
      </c>
      <c r="K1519" s="195">
        <v>46133.718773148146</v>
      </c>
      <c r="L1519">
        <v>61</v>
      </c>
      <c r="M1519">
        <v>0</v>
      </c>
      <c r="N1519" s="98" t="str">
        <f>IF(record[[#This Row],[Memo]]="Browser:chrome os:android","平板報工",IF(record[[#This Row],[Memo]]=0,"委外",record[[#This Row],[Memo]]))</f>
        <v/>
      </c>
      <c r="O1519" t="s">
        <v>58</v>
      </c>
      <c r="P1519" t="s">
        <v>188</v>
      </c>
      <c r="Q1519" t="s">
        <v>58</v>
      </c>
      <c r="R1519" t="str">
        <f>IFERROR(VLOOKUP(record[[#This Row],[PCUSTID]],廠商[],2,FALSE),"")</f>
        <v/>
      </c>
      <c r="S1519" t="str">
        <f>VLOOKUP(record[[#This Row],[employeeID]],員工[],2,FALSE)</f>
        <v>阮氏璧紅</v>
      </c>
    </row>
    <row r="1520" spans="6:19" hidden="1" x14ac:dyDescent="0.25">
      <c r="F1520" t="s">
        <v>1815</v>
      </c>
      <c r="G1520" t="s">
        <v>449</v>
      </c>
      <c r="H1520" t="str">
        <f>VLOOKUP(record[[#This Row],[ProcessSN]],表格2_7[],2,FALSE)</f>
        <v>30-4118-018-6XX</v>
      </c>
      <c r="I1520" t="str">
        <f>VLOOKUP(record[[#This Row],[ProcessSN]],表格2_7[],3,FALSE)</f>
        <v>#05</v>
      </c>
      <c r="J1520" t="s">
        <v>588</v>
      </c>
      <c r="K1520" s="195">
        <v>46133.718263888892</v>
      </c>
      <c r="L1520">
        <v>131</v>
      </c>
      <c r="M1520">
        <v>0</v>
      </c>
      <c r="N1520" s="98" t="str">
        <f>IF(record[[#This Row],[Memo]]="Browser:chrome os:android","平板報工",IF(record[[#This Row],[Memo]]=0,"委外",record[[#This Row],[Memo]]))</f>
        <v/>
      </c>
      <c r="O1520" t="s">
        <v>58</v>
      </c>
      <c r="P1520" t="s">
        <v>107</v>
      </c>
      <c r="Q1520" t="s">
        <v>58</v>
      </c>
      <c r="R1520" t="str">
        <f>IFERROR(VLOOKUP(record[[#This Row],[PCUSTID]],廠商[],2,FALSE),"")</f>
        <v/>
      </c>
      <c r="S1520" t="str">
        <f>VLOOKUP(record[[#This Row],[employeeID]],員工[],2,FALSE)</f>
        <v>黎氏順</v>
      </c>
    </row>
    <row r="1521" spans="6:19" hidden="1" x14ac:dyDescent="0.25">
      <c r="F1521" t="s">
        <v>1794</v>
      </c>
      <c r="G1521" t="s">
        <v>416</v>
      </c>
      <c r="H1521" t="str">
        <f>VLOOKUP(record[[#This Row],[ProcessSN]],表格2_7[],2,FALSE)</f>
        <v>30-4118-018-5XX</v>
      </c>
      <c r="I1521" t="str">
        <f>VLOOKUP(record[[#This Row],[ProcessSN]],表格2_7[],3,FALSE)</f>
        <v>#05</v>
      </c>
      <c r="J1521" t="s">
        <v>588</v>
      </c>
      <c r="K1521" s="195">
        <v>46133.716851851852</v>
      </c>
      <c r="L1521">
        <v>126</v>
      </c>
      <c r="M1521">
        <v>0</v>
      </c>
      <c r="N1521" s="98" t="str">
        <f>IF(record[[#This Row],[Memo]]="Browser:chrome os:android","平板報工",IF(record[[#This Row],[Memo]]=0,"委外",record[[#This Row],[Memo]]))</f>
        <v/>
      </c>
      <c r="O1521" t="s">
        <v>58</v>
      </c>
      <c r="P1521" t="s">
        <v>107</v>
      </c>
      <c r="Q1521" t="s">
        <v>58</v>
      </c>
      <c r="R1521" t="str">
        <f>IFERROR(VLOOKUP(record[[#This Row],[PCUSTID]],廠商[],2,FALSE),"")</f>
        <v/>
      </c>
      <c r="S1521" t="str">
        <f>VLOOKUP(record[[#This Row],[employeeID]],員工[],2,FALSE)</f>
        <v>黎氏順</v>
      </c>
    </row>
    <row r="1522" spans="6:19" hidden="1" x14ac:dyDescent="0.25">
      <c r="F1522" t="s">
        <v>1815</v>
      </c>
      <c r="G1522" t="s">
        <v>448</v>
      </c>
      <c r="H1522" t="str">
        <f>VLOOKUP(record[[#This Row],[ProcessSN]],表格2_7[],2,FALSE)</f>
        <v>30-4118-018-6XX</v>
      </c>
      <c r="I1522" t="str">
        <f>VLOOKUP(record[[#This Row],[ProcessSN]],表格2_7[],3,FALSE)</f>
        <v>#04</v>
      </c>
      <c r="J1522" t="s">
        <v>588</v>
      </c>
      <c r="K1522" s="195">
        <v>46133.712951388887</v>
      </c>
      <c r="L1522">
        <v>99</v>
      </c>
      <c r="M1522">
        <v>0</v>
      </c>
      <c r="N1522" s="98" t="str">
        <f>IF(record[[#This Row],[Memo]]="Browser:chrome os:android","平板報工",IF(record[[#This Row],[Memo]]=0,"委外",record[[#This Row],[Memo]]))</f>
        <v/>
      </c>
      <c r="O1522" t="s">
        <v>58</v>
      </c>
      <c r="P1522" t="s">
        <v>111</v>
      </c>
      <c r="Q1522" t="s">
        <v>58</v>
      </c>
      <c r="R1522" t="str">
        <f>IFERROR(VLOOKUP(record[[#This Row],[PCUSTID]],廠商[],2,FALSE),"")</f>
        <v/>
      </c>
      <c r="S1522" t="str">
        <f>VLOOKUP(record[[#This Row],[employeeID]],員工[],2,FALSE)</f>
        <v>江栩妘</v>
      </c>
    </row>
    <row r="1523" spans="6:19" hidden="1" x14ac:dyDescent="0.25">
      <c r="F1523" t="s">
        <v>1794</v>
      </c>
      <c r="G1523" t="s">
        <v>415</v>
      </c>
      <c r="H1523" t="str">
        <f>VLOOKUP(record[[#This Row],[ProcessSN]],表格2_7[],2,FALSE)</f>
        <v>30-4118-018-5XX</v>
      </c>
      <c r="I1523" t="str">
        <f>VLOOKUP(record[[#This Row],[ProcessSN]],表格2_7[],3,FALSE)</f>
        <v>#04</v>
      </c>
      <c r="J1523" t="s">
        <v>588</v>
      </c>
      <c r="K1523" s="195">
        <v>46133.712430555555</v>
      </c>
      <c r="L1523">
        <v>103</v>
      </c>
      <c r="M1523">
        <v>14</v>
      </c>
      <c r="N1523" s="98" t="str">
        <f>IF(record[[#This Row],[Memo]]="Browser:chrome os:android","平板報工",IF(record[[#This Row],[Memo]]=0,"委外",record[[#This Row],[Memo]]))</f>
        <v/>
      </c>
      <c r="O1523" t="s">
        <v>58</v>
      </c>
      <c r="P1523" t="s">
        <v>111</v>
      </c>
      <c r="Q1523" t="s">
        <v>58</v>
      </c>
      <c r="R1523" t="str">
        <f>IFERROR(VLOOKUP(record[[#This Row],[PCUSTID]],廠商[],2,FALSE),"")</f>
        <v/>
      </c>
      <c r="S1523" t="str">
        <f>VLOOKUP(record[[#This Row],[employeeID]],員工[],2,FALSE)</f>
        <v>江栩妘</v>
      </c>
    </row>
    <row r="1524" spans="6:19" hidden="1" x14ac:dyDescent="0.25">
      <c r="F1524" t="s">
        <v>1857</v>
      </c>
      <c r="G1524" t="s">
        <v>464</v>
      </c>
      <c r="H1524" t="str">
        <f>VLOOKUP(record[[#This Row],[ProcessSN]],表格2_7[],2,FALSE)</f>
        <v>30-4118-018-XXX</v>
      </c>
      <c r="I1524" t="str">
        <f>VLOOKUP(record[[#This Row],[ProcessSN]],表格2_7[],3,FALSE)</f>
        <v>#01GIVE</v>
      </c>
      <c r="J1524" t="s">
        <v>587</v>
      </c>
      <c r="K1524" s="195">
        <v>46133.705196759256</v>
      </c>
      <c r="L1524">
        <v>5040</v>
      </c>
      <c r="M1524">
        <v>0</v>
      </c>
      <c r="N1524" s="98" t="str">
        <f>IF(record[[#This Row],[Memo]]="Browser:chrome os:android","平板報工",IF(record[[#This Row],[Memo]]=0,"委外",record[[#This Row],[Memo]]))</f>
        <v/>
      </c>
      <c r="O1524" t="s">
        <v>58</v>
      </c>
      <c r="P1524" t="s">
        <v>1698</v>
      </c>
      <c r="Q1524" t="s">
        <v>58</v>
      </c>
      <c r="R1524" t="str">
        <f>IFERROR(VLOOKUP(record[[#This Row],[PCUSTID]],廠商[],2,FALSE),"")</f>
        <v/>
      </c>
      <c r="S1524" t="str">
        <f>VLOOKUP(record[[#This Row],[employeeID]],員工[],2,FALSE)</f>
        <v>羅思潔</v>
      </c>
    </row>
    <row r="1525" spans="6:19" hidden="1" x14ac:dyDescent="0.25">
      <c r="F1525" t="s">
        <v>1857</v>
      </c>
      <c r="G1525" t="s">
        <v>463</v>
      </c>
      <c r="H1525" t="str">
        <f>VLOOKUP(record[[#This Row],[ProcessSN]],表格2_7[],2,FALSE)</f>
        <v>30-4118-018-XXX</v>
      </c>
      <c r="I1525" t="str">
        <f>VLOOKUP(record[[#This Row],[ProcessSN]],表格2_7[],3,FALSE)</f>
        <v>#00IQC</v>
      </c>
      <c r="J1525" t="s">
        <v>583</v>
      </c>
      <c r="K1525" s="195">
        <v>46133.704212962963</v>
      </c>
      <c r="L1525">
        <v>5040</v>
      </c>
      <c r="M1525">
        <v>0</v>
      </c>
      <c r="N1525" s="98" t="str">
        <f>IF(record[[#This Row],[Memo]]="Browser:chrome os:android","平板報工",IF(record[[#This Row],[Memo]]=0,"委外",record[[#This Row],[Memo]]))</f>
        <v/>
      </c>
      <c r="O1525" t="s">
        <v>58</v>
      </c>
      <c r="P1525" t="s">
        <v>109</v>
      </c>
      <c r="Q1525" t="s">
        <v>58</v>
      </c>
      <c r="R1525" t="str">
        <f>IFERROR(VLOOKUP(record[[#This Row],[PCUSTID]],廠商[],2,FALSE),"")</f>
        <v/>
      </c>
      <c r="S1525" t="str">
        <f>VLOOKUP(record[[#This Row],[employeeID]],員工[],2,FALSE)</f>
        <v>裴氏璧鳳</v>
      </c>
    </row>
    <row r="1526" spans="6:19" hidden="1" x14ac:dyDescent="0.25">
      <c r="F1526" t="s">
        <v>1787</v>
      </c>
      <c r="G1526" t="s">
        <v>470</v>
      </c>
      <c r="H1526" t="str">
        <f>VLOOKUP(record[[#This Row],[ProcessSN]],表格2_7[],2,FALSE)</f>
        <v>30-4118-018-XXX</v>
      </c>
      <c r="I1526" t="str">
        <f>VLOOKUP(record[[#This Row],[ProcessSN]],表格2_7[],3,FALSE)</f>
        <v>#02IQC</v>
      </c>
      <c r="J1526" t="s">
        <v>583</v>
      </c>
      <c r="K1526" s="195">
        <v>46133.699120370373</v>
      </c>
      <c r="L1526">
        <v>672</v>
      </c>
      <c r="M1526">
        <v>0</v>
      </c>
      <c r="N1526" s="98" t="str">
        <f>IF(record[[#This Row],[Memo]]="Browser:chrome os:android","平板報工",IF(record[[#This Row],[Memo]]=0,"委外",record[[#This Row],[Memo]]))</f>
        <v/>
      </c>
      <c r="O1526" t="s">
        <v>58</v>
      </c>
      <c r="P1526" t="s">
        <v>109</v>
      </c>
      <c r="Q1526" t="s">
        <v>58</v>
      </c>
      <c r="R1526" t="str">
        <f>IFERROR(VLOOKUP(record[[#This Row],[PCUSTID]],廠商[],2,FALSE),"")</f>
        <v/>
      </c>
      <c r="S1526" t="str">
        <f>VLOOKUP(record[[#This Row],[employeeID]],員工[],2,FALSE)</f>
        <v>裴氏璧鳳</v>
      </c>
    </row>
    <row r="1527" spans="6:19" hidden="1" x14ac:dyDescent="0.25">
      <c r="F1527" t="s">
        <v>1772</v>
      </c>
      <c r="G1527" t="s">
        <v>470</v>
      </c>
      <c r="H1527" t="str">
        <f>VLOOKUP(record[[#This Row],[ProcessSN]],表格2_7[],2,FALSE)</f>
        <v>30-4118-018-XXX</v>
      </c>
      <c r="I1527" t="str">
        <f>VLOOKUP(record[[#This Row],[ProcessSN]],表格2_7[],3,FALSE)</f>
        <v>#02IQC</v>
      </c>
      <c r="J1527" t="s">
        <v>583</v>
      </c>
      <c r="K1527" s="195">
        <v>46133.698969907404</v>
      </c>
      <c r="L1527">
        <v>168</v>
      </c>
      <c r="M1527">
        <v>0</v>
      </c>
      <c r="N1527" s="98" t="str">
        <f>IF(record[[#This Row],[Memo]]="Browser:chrome os:android","平板報工",IF(record[[#This Row],[Memo]]=0,"委外",record[[#This Row],[Memo]]))</f>
        <v/>
      </c>
      <c r="O1527" t="s">
        <v>58</v>
      </c>
      <c r="P1527" t="s">
        <v>109</v>
      </c>
      <c r="Q1527" t="s">
        <v>58</v>
      </c>
      <c r="R1527" t="str">
        <f>IFERROR(VLOOKUP(record[[#This Row],[PCUSTID]],廠商[],2,FALSE),"")</f>
        <v/>
      </c>
      <c r="S1527" t="str">
        <f>VLOOKUP(record[[#This Row],[employeeID]],員工[],2,FALSE)</f>
        <v>裴氏璧鳳</v>
      </c>
    </row>
    <row r="1528" spans="6:19" hidden="1" x14ac:dyDescent="0.25">
      <c r="F1528" t="s">
        <v>1829</v>
      </c>
      <c r="G1528" t="s">
        <v>433</v>
      </c>
      <c r="H1528" t="str">
        <f>VLOOKUP(record[[#This Row],[ProcessSN]],表格2_7[],2,FALSE)</f>
        <v>30-4118-018-620</v>
      </c>
      <c r="I1528" t="str">
        <f>VLOOKUP(record[[#This Row],[ProcessSN]],表格2_7[],3,FALSE)</f>
        <v>#100</v>
      </c>
      <c r="J1528" t="s">
        <v>598</v>
      </c>
      <c r="K1528" s="195">
        <v>46133.686238425929</v>
      </c>
      <c r="L1528">
        <v>0</v>
      </c>
      <c r="M1528">
        <v>15</v>
      </c>
      <c r="N1528" s="98" t="str">
        <f>IF(record[[#This Row],[Memo]]="Browser:chrome os:android","平板報工",IF(record[[#This Row],[Memo]]=0,"委外",record[[#This Row],[Memo]]))</f>
        <v/>
      </c>
      <c r="O1528" t="s">
        <v>58</v>
      </c>
      <c r="P1528" t="s">
        <v>103</v>
      </c>
      <c r="Q1528" t="s">
        <v>58</v>
      </c>
      <c r="R1528" t="str">
        <f>IFERROR(VLOOKUP(record[[#This Row],[PCUSTID]],廠商[],2,FALSE),"")</f>
        <v/>
      </c>
      <c r="S1528" t="str">
        <f>VLOOKUP(record[[#This Row],[employeeID]],員工[],2,FALSE)</f>
        <v>黎秋水</v>
      </c>
    </row>
    <row r="1529" spans="6:19" hidden="1" x14ac:dyDescent="0.25">
      <c r="F1529" t="s">
        <v>1829</v>
      </c>
      <c r="G1529" t="s">
        <v>433</v>
      </c>
      <c r="H1529" t="str">
        <f>VLOOKUP(record[[#This Row],[ProcessSN]],表格2_7[],2,FALSE)</f>
        <v>30-4118-018-620</v>
      </c>
      <c r="I1529" t="str">
        <f>VLOOKUP(record[[#This Row],[ProcessSN]],表格2_7[],3,FALSE)</f>
        <v>#100</v>
      </c>
      <c r="J1529" t="s">
        <v>598</v>
      </c>
      <c r="K1529" s="195">
        <v>46133.685925925929</v>
      </c>
      <c r="L1529">
        <v>34</v>
      </c>
      <c r="M1529">
        <v>0</v>
      </c>
      <c r="N1529" s="98" t="str">
        <f>IF(record[[#This Row],[Memo]]="Browser:chrome os:android","平板報工",IF(record[[#This Row],[Memo]]=0,"委外",record[[#This Row],[Memo]]))</f>
        <v/>
      </c>
      <c r="O1529" t="s">
        <v>58</v>
      </c>
      <c r="P1529" t="s">
        <v>103</v>
      </c>
      <c r="Q1529" t="s">
        <v>58</v>
      </c>
      <c r="R1529" t="str">
        <f>IFERROR(VLOOKUP(record[[#This Row],[PCUSTID]],廠商[],2,FALSE),"")</f>
        <v/>
      </c>
      <c r="S1529" t="str">
        <f>VLOOKUP(record[[#This Row],[employeeID]],員工[],2,FALSE)</f>
        <v>黎秋水</v>
      </c>
    </row>
    <row r="1530" spans="6:19" hidden="1" x14ac:dyDescent="0.25">
      <c r="F1530" t="s">
        <v>1828</v>
      </c>
      <c r="G1530" t="s">
        <v>441</v>
      </c>
      <c r="H1530" t="str">
        <f>VLOOKUP(record[[#This Row],[ProcessSN]],表格2_7[],2,FALSE)</f>
        <v>30-4118-018-650</v>
      </c>
      <c r="I1530" t="str">
        <f>VLOOKUP(record[[#This Row],[ProcessSN]],表格2_7[],3,FALSE)</f>
        <v>#100</v>
      </c>
      <c r="J1530" t="s">
        <v>598</v>
      </c>
      <c r="K1530" s="195">
        <v>46133.68546296296</v>
      </c>
      <c r="L1530">
        <v>2</v>
      </c>
      <c r="M1530">
        <v>0</v>
      </c>
      <c r="N1530" s="98" t="str">
        <f>IF(record[[#This Row],[Memo]]="Browser:chrome os:android","平板報工",IF(record[[#This Row],[Memo]]=0,"委外",record[[#This Row],[Memo]]))</f>
        <v/>
      </c>
      <c r="O1530" t="s">
        <v>58</v>
      </c>
      <c r="P1530" t="s">
        <v>103</v>
      </c>
      <c r="Q1530" t="s">
        <v>58</v>
      </c>
      <c r="R1530" t="str">
        <f>IFERROR(VLOOKUP(record[[#This Row],[PCUSTID]],廠商[],2,FALSE),"")</f>
        <v/>
      </c>
      <c r="S1530" t="str">
        <f>VLOOKUP(record[[#This Row],[employeeID]],員工[],2,FALSE)</f>
        <v>黎秋水</v>
      </c>
    </row>
    <row r="1531" spans="6:19" hidden="1" x14ac:dyDescent="0.25">
      <c r="F1531" t="s">
        <v>1803</v>
      </c>
      <c r="G1531" t="s">
        <v>420</v>
      </c>
      <c r="H1531" t="str">
        <f>VLOOKUP(record[[#This Row],[ProcessSN]],表格2_7[],2,FALSE)</f>
        <v>30-4118-018-5XX</v>
      </c>
      <c r="I1531" t="str">
        <f>VLOOKUP(record[[#This Row],[ProcessSN]],表格2_7[],3,FALSE)</f>
        <v>#07STOCK</v>
      </c>
      <c r="J1531" t="s">
        <v>592</v>
      </c>
      <c r="K1531" s="195">
        <v>46133.682650462964</v>
      </c>
      <c r="L1531">
        <v>763</v>
      </c>
      <c r="M1531">
        <v>0</v>
      </c>
      <c r="N1531" s="98" t="str">
        <f>IF(record[[#This Row],[Memo]]="Browser:chrome os:android","平板報工",IF(record[[#This Row],[Memo]]=0,"委外",record[[#This Row],[Memo]]))</f>
        <v/>
      </c>
      <c r="O1531" t="s">
        <v>58</v>
      </c>
      <c r="P1531" t="s">
        <v>186</v>
      </c>
      <c r="Q1531" t="s">
        <v>58</v>
      </c>
      <c r="R1531" t="str">
        <f>IFERROR(VLOOKUP(record[[#This Row],[PCUSTID]],廠商[],2,FALSE),"")</f>
        <v/>
      </c>
      <c r="S1531" t="str">
        <f>VLOOKUP(record[[#This Row],[employeeID]],員工[],2,FALSE)</f>
        <v>許文姍</v>
      </c>
    </row>
    <row r="1532" spans="6:19" hidden="1" x14ac:dyDescent="0.25">
      <c r="F1532" t="s">
        <v>1589</v>
      </c>
      <c r="G1532" t="s">
        <v>420</v>
      </c>
      <c r="H1532" t="str">
        <f>VLOOKUP(record[[#This Row],[ProcessSN]],表格2_7[],2,FALSE)</f>
        <v>30-4118-018-5XX</v>
      </c>
      <c r="I1532" t="str">
        <f>VLOOKUP(record[[#This Row],[ProcessSN]],表格2_7[],3,FALSE)</f>
        <v>#07STOCK</v>
      </c>
      <c r="J1532" t="s">
        <v>592</v>
      </c>
      <c r="K1532" s="195">
        <v>46133.682476851849</v>
      </c>
      <c r="L1532">
        <v>1</v>
      </c>
      <c r="M1532">
        <v>0</v>
      </c>
      <c r="N1532" s="98" t="str">
        <f>IF(record[[#This Row],[Memo]]="Browser:chrome os:android","平板報工",IF(record[[#This Row],[Memo]]=0,"委外",record[[#This Row],[Memo]]))</f>
        <v/>
      </c>
      <c r="O1532" t="s">
        <v>58</v>
      </c>
      <c r="P1532" t="s">
        <v>186</v>
      </c>
      <c r="Q1532" t="s">
        <v>58</v>
      </c>
      <c r="R1532" t="str">
        <f>IFERROR(VLOOKUP(record[[#This Row],[PCUSTID]],廠商[],2,FALSE),"")</f>
        <v/>
      </c>
      <c r="S1532" t="str">
        <f>VLOOKUP(record[[#This Row],[employeeID]],員工[],2,FALSE)</f>
        <v>許文姍</v>
      </c>
    </row>
    <row r="1533" spans="6:19" hidden="1" x14ac:dyDescent="0.25">
      <c r="F1533" t="s">
        <v>1828</v>
      </c>
      <c r="G1533" t="s">
        <v>440</v>
      </c>
      <c r="H1533" t="str">
        <f>VLOOKUP(record[[#This Row],[ProcessSN]],表格2_7[],2,FALSE)</f>
        <v>30-4118-018-650</v>
      </c>
      <c r="I1533" t="str">
        <f>VLOOKUP(record[[#This Row],[ProcessSN]],表格2_7[],3,FALSE)</f>
        <v>#08IQC</v>
      </c>
      <c r="J1533" t="s">
        <v>583</v>
      </c>
      <c r="K1533" s="195">
        <v>46133.6796412037</v>
      </c>
      <c r="L1533">
        <v>1</v>
      </c>
      <c r="M1533">
        <v>0</v>
      </c>
      <c r="N1533" s="98" t="str">
        <f>IF(record[[#This Row],[Memo]]="Browser:chrome os:android","平板報工",IF(record[[#This Row],[Memo]]=0,"委外",record[[#This Row],[Memo]]))</f>
        <v>補4/20回</v>
      </c>
      <c r="O1533" t="s">
        <v>1867</v>
      </c>
      <c r="P1533" t="s">
        <v>186</v>
      </c>
      <c r="Q1533" t="s">
        <v>58</v>
      </c>
      <c r="R1533" t="str">
        <f>IFERROR(VLOOKUP(record[[#This Row],[PCUSTID]],廠商[],2,FALSE),"")</f>
        <v/>
      </c>
      <c r="S1533" t="str">
        <f>VLOOKUP(record[[#This Row],[employeeID]],員工[],2,FALSE)</f>
        <v>許文姍</v>
      </c>
    </row>
    <row r="1534" spans="6:19" hidden="1" x14ac:dyDescent="0.25">
      <c r="F1534" t="s">
        <v>1828</v>
      </c>
      <c r="G1534" t="s">
        <v>439</v>
      </c>
      <c r="H1534" t="str">
        <f>VLOOKUP(record[[#This Row],[ProcessSN]],表格2_7[],2,FALSE)</f>
        <v>30-4118-018-650</v>
      </c>
      <c r="I1534" t="str">
        <f>VLOOKUP(record[[#This Row],[ProcessSN]],表格2_7[],3,FALSE)</f>
        <v>#08RCV</v>
      </c>
      <c r="J1534" t="s">
        <v>591</v>
      </c>
      <c r="K1534" s="195">
        <v>46133.679467592592</v>
      </c>
      <c r="L1534">
        <v>1</v>
      </c>
      <c r="M1534">
        <v>0</v>
      </c>
      <c r="N1534" s="98" t="str">
        <f>IF(record[[#This Row],[Memo]]="Browser:chrome os:android","平板報工",IF(record[[#This Row],[Memo]]=0,"委外",record[[#This Row],[Memo]]))</f>
        <v>補4/20回</v>
      </c>
      <c r="O1534" t="s">
        <v>1867</v>
      </c>
      <c r="P1534" t="s">
        <v>186</v>
      </c>
      <c r="Q1534" t="s">
        <v>58</v>
      </c>
      <c r="R1534" t="str">
        <f>IFERROR(VLOOKUP(record[[#This Row],[PCUSTID]],廠商[],2,FALSE),"")</f>
        <v/>
      </c>
      <c r="S1534" t="str">
        <f>VLOOKUP(record[[#This Row],[employeeID]],員工[],2,FALSE)</f>
        <v>許文姍</v>
      </c>
    </row>
    <row r="1535" spans="6:19" hidden="1" x14ac:dyDescent="0.25">
      <c r="F1535" t="s">
        <v>1828</v>
      </c>
      <c r="G1535" t="s">
        <v>440</v>
      </c>
      <c r="H1535" t="str">
        <f>VLOOKUP(record[[#This Row],[ProcessSN]],表格2_7[],2,FALSE)</f>
        <v>30-4118-018-650</v>
      </c>
      <c r="I1535" t="str">
        <f>VLOOKUP(record[[#This Row],[ProcessSN]],表格2_7[],3,FALSE)</f>
        <v>#08IQC</v>
      </c>
      <c r="J1535" t="s">
        <v>583</v>
      </c>
      <c r="K1535" s="195">
        <v>46133.676701388889</v>
      </c>
      <c r="L1535">
        <v>199</v>
      </c>
      <c r="M1535">
        <v>0</v>
      </c>
      <c r="N1535" s="98" t="str">
        <f>IF(record[[#This Row],[Memo]]="Browser:chrome os:android","平板報工",IF(record[[#This Row],[Memo]]=0,"委外",record[[#This Row],[Memo]]))</f>
        <v>補4/20回</v>
      </c>
      <c r="O1535" t="s">
        <v>1867</v>
      </c>
      <c r="P1535" t="s">
        <v>186</v>
      </c>
      <c r="Q1535" t="s">
        <v>58</v>
      </c>
      <c r="R1535" t="str">
        <f>IFERROR(VLOOKUP(record[[#This Row],[PCUSTID]],廠商[],2,FALSE),"")</f>
        <v/>
      </c>
      <c r="S1535" t="str">
        <f>VLOOKUP(record[[#This Row],[employeeID]],員工[],2,FALSE)</f>
        <v>許文姍</v>
      </c>
    </row>
    <row r="1536" spans="6:19" hidden="1" x14ac:dyDescent="0.25">
      <c r="F1536" t="s">
        <v>1828</v>
      </c>
      <c r="G1536" t="s">
        <v>439</v>
      </c>
      <c r="H1536" t="str">
        <f>VLOOKUP(record[[#This Row],[ProcessSN]],表格2_7[],2,FALSE)</f>
        <v>30-4118-018-650</v>
      </c>
      <c r="I1536" t="str">
        <f>VLOOKUP(record[[#This Row],[ProcessSN]],表格2_7[],3,FALSE)</f>
        <v>#08RCV</v>
      </c>
      <c r="J1536" t="s">
        <v>591</v>
      </c>
      <c r="K1536" s="195">
        <v>46133.676423611112</v>
      </c>
      <c r="L1536">
        <v>199</v>
      </c>
      <c r="M1536">
        <v>0</v>
      </c>
      <c r="N1536" s="98" t="str">
        <f>IF(record[[#This Row],[Memo]]="Browser:chrome os:android","平板報工",IF(record[[#This Row],[Memo]]=0,"委外",record[[#This Row],[Memo]]))</f>
        <v>補4/20回</v>
      </c>
      <c r="O1536" t="s">
        <v>1867</v>
      </c>
      <c r="P1536" t="s">
        <v>186</v>
      </c>
      <c r="Q1536" t="s">
        <v>58</v>
      </c>
      <c r="R1536" t="str">
        <f>IFERROR(VLOOKUP(record[[#This Row],[PCUSTID]],廠商[],2,FALSE),"")</f>
        <v/>
      </c>
      <c r="S1536" t="str">
        <f>VLOOKUP(record[[#This Row],[employeeID]],員工[],2,FALSE)</f>
        <v>許文姍</v>
      </c>
    </row>
    <row r="1537" spans="6:19" hidden="1" x14ac:dyDescent="0.25">
      <c r="F1537" t="s">
        <v>1866</v>
      </c>
      <c r="G1537" t="s">
        <v>397</v>
      </c>
      <c r="H1537" t="str">
        <f>VLOOKUP(record[[#This Row],[ProcessSN]],表格2_7[],2,FALSE)</f>
        <v>30-4118-018-550</v>
      </c>
      <c r="I1537" t="str">
        <f>VLOOKUP(record[[#This Row],[ProcessSN]],表格2_7[],3,FALSE)</f>
        <v>#08</v>
      </c>
      <c r="J1537" t="s">
        <v>597</v>
      </c>
      <c r="K1537" s="195">
        <v>46133.662118055552</v>
      </c>
      <c r="L1537">
        <v>314</v>
      </c>
      <c r="M1537">
        <v>0</v>
      </c>
      <c r="N1537" s="98" t="str">
        <f>IF(record[[#This Row],[Memo]]="Browser:chrome os:android","平板報工",IF(record[[#This Row],[Memo]]=0,"委外",record[[#This Row],[Memo]]))</f>
        <v>委外</v>
      </c>
      <c r="P1537" t="s">
        <v>186</v>
      </c>
      <c r="Q1537" t="s">
        <v>287</v>
      </c>
      <c r="R1537" t="str">
        <f>IFERROR(VLOOKUP(record[[#This Row],[PCUSTID]],廠商[],2,FALSE),"")</f>
        <v>泉盛</v>
      </c>
      <c r="S1537" t="str">
        <f>VLOOKUP(record[[#This Row],[employeeID]],員工[],2,FALSE)</f>
        <v>許文姍</v>
      </c>
    </row>
    <row r="1538" spans="6:19" hidden="1" x14ac:dyDescent="0.25">
      <c r="F1538" t="s">
        <v>1865</v>
      </c>
      <c r="G1538" t="s">
        <v>381</v>
      </c>
      <c r="H1538" t="str">
        <f>VLOOKUP(record[[#This Row],[ProcessSN]],表格2_7[],2,FALSE)</f>
        <v>30-4118-018-500</v>
      </c>
      <c r="I1538" t="str">
        <f>VLOOKUP(record[[#This Row],[ProcessSN]],表格2_7[],3,FALSE)</f>
        <v>#08</v>
      </c>
      <c r="J1538" t="s">
        <v>597</v>
      </c>
      <c r="K1538" s="195">
        <v>46133.662002314813</v>
      </c>
      <c r="L1538">
        <v>450</v>
      </c>
      <c r="M1538">
        <v>0</v>
      </c>
      <c r="N1538" s="98" t="str">
        <f>IF(record[[#This Row],[Memo]]="Browser:chrome os:android","平板報工",IF(record[[#This Row],[Memo]]=0,"委外",record[[#This Row],[Memo]]))</f>
        <v>委外</v>
      </c>
      <c r="P1538" t="s">
        <v>186</v>
      </c>
      <c r="Q1538" t="s">
        <v>287</v>
      </c>
      <c r="R1538" t="str">
        <f>IFERROR(VLOOKUP(record[[#This Row],[PCUSTID]],廠商[],2,FALSE),"")</f>
        <v>泉盛</v>
      </c>
      <c r="S1538" t="str">
        <f>VLOOKUP(record[[#This Row],[employeeID]],員工[],2,FALSE)</f>
        <v>許文姍</v>
      </c>
    </row>
    <row r="1539" spans="6:19" hidden="1" x14ac:dyDescent="0.25">
      <c r="F1539" t="s">
        <v>1866</v>
      </c>
      <c r="G1539" t="s">
        <v>396</v>
      </c>
      <c r="H1539" t="str">
        <f>VLOOKUP(record[[#This Row],[ProcessSN]],表格2_7[],2,FALSE)</f>
        <v>30-4118-018-550</v>
      </c>
      <c r="I1539" t="str">
        <f>VLOOKUP(record[[#This Row],[ProcessSN]],表格2_7[],3,FALSE)</f>
        <v>#08PICK</v>
      </c>
      <c r="J1539" t="s">
        <v>582</v>
      </c>
      <c r="K1539" s="195">
        <v>46133.661817129629</v>
      </c>
      <c r="L1539">
        <v>314</v>
      </c>
      <c r="M1539">
        <v>0</v>
      </c>
      <c r="N1539" s="98" t="str">
        <f>IF(record[[#This Row],[Memo]]="Browser:chrome os:android","平板報工",IF(record[[#This Row],[Memo]]=0,"委外",record[[#This Row],[Memo]]))</f>
        <v/>
      </c>
      <c r="O1539" t="s">
        <v>58</v>
      </c>
      <c r="P1539" t="s">
        <v>186</v>
      </c>
      <c r="Q1539" t="s">
        <v>58</v>
      </c>
      <c r="R1539" t="str">
        <f>IFERROR(VLOOKUP(record[[#This Row],[PCUSTID]],廠商[],2,FALSE),"")</f>
        <v/>
      </c>
      <c r="S1539" t="str">
        <f>VLOOKUP(record[[#This Row],[employeeID]],員工[],2,FALSE)</f>
        <v>許文姍</v>
      </c>
    </row>
    <row r="1540" spans="6:19" hidden="1" x14ac:dyDescent="0.25">
      <c r="F1540" t="s">
        <v>1865</v>
      </c>
      <c r="G1540" t="s">
        <v>380</v>
      </c>
      <c r="H1540" t="str">
        <f>VLOOKUP(record[[#This Row],[ProcessSN]],表格2_7[],2,FALSE)</f>
        <v>30-4118-018-500</v>
      </c>
      <c r="I1540" t="str">
        <f>VLOOKUP(record[[#This Row],[ProcessSN]],表格2_7[],3,FALSE)</f>
        <v>#08PICK</v>
      </c>
      <c r="J1540" t="s">
        <v>582</v>
      </c>
      <c r="K1540" s="195">
        <v>46133.661712962959</v>
      </c>
      <c r="L1540">
        <v>450</v>
      </c>
      <c r="M1540">
        <v>0</v>
      </c>
      <c r="N1540" s="98" t="str">
        <f>IF(record[[#This Row],[Memo]]="Browser:chrome os:android","平板報工",IF(record[[#This Row],[Memo]]=0,"委外",record[[#This Row],[Memo]]))</f>
        <v/>
      </c>
      <c r="O1540" t="s">
        <v>58</v>
      </c>
      <c r="P1540" t="s">
        <v>186</v>
      </c>
      <c r="Q1540" t="s">
        <v>58</v>
      </c>
      <c r="R1540" t="str">
        <f>IFERROR(VLOOKUP(record[[#This Row],[PCUSTID]],廠商[],2,FALSE),"")</f>
        <v/>
      </c>
      <c r="S1540" t="str">
        <f>VLOOKUP(record[[#This Row],[employeeID]],員工[],2,FALSE)</f>
        <v>許文姍</v>
      </c>
    </row>
    <row r="1541" spans="6:19" hidden="1" x14ac:dyDescent="0.25">
      <c r="F1541" t="s">
        <v>1830</v>
      </c>
      <c r="G1541" t="s">
        <v>400</v>
      </c>
      <c r="H1541" t="str">
        <f>VLOOKUP(record[[#This Row],[ProcessSN]],表格2_7[],2,FALSE)</f>
        <v>30-4118-018-550</v>
      </c>
      <c r="I1541" t="str">
        <f>VLOOKUP(record[[#This Row],[ProcessSN]],表格2_7[],3,FALSE)</f>
        <v>#100</v>
      </c>
      <c r="J1541" t="s">
        <v>598</v>
      </c>
      <c r="K1541" s="195">
        <v>46133.656956018516</v>
      </c>
      <c r="L1541">
        <v>0</v>
      </c>
      <c r="M1541">
        <v>20</v>
      </c>
      <c r="N1541" s="98" t="str">
        <f>IF(record[[#This Row],[Memo]]="Browser:chrome os:android","平板報工",IF(record[[#This Row],[Memo]]=0,"委外",record[[#This Row],[Memo]]))</f>
        <v/>
      </c>
      <c r="O1541" t="s">
        <v>58</v>
      </c>
      <c r="P1541" t="s">
        <v>103</v>
      </c>
      <c r="Q1541" t="s">
        <v>58</v>
      </c>
      <c r="R1541" t="str">
        <f>IFERROR(VLOOKUP(record[[#This Row],[PCUSTID]],廠商[],2,FALSE),"")</f>
        <v/>
      </c>
      <c r="S1541" t="str">
        <f>VLOOKUP(record[[#This Row],[employeeID]],員工[],2,FALSE)</f>
        <v>黎秋水</v>
      </c>
    </row>
    <row r="1542" spans="6:19" hidden="1" x14ac:dyDescent="0.25">
      <c r="F1542" t="s">
        <v>1830</v>
      </c>
      <c r="G1542" t="s">
        <v>400</v>
      </c>
      <c r="H1542" t="str">
        <f>VLOOKUP(record[[#This Row],[ProcessSN]],表格2_7[],2,FALSE)</f>
        <v>30-4118-018-550</v>
      </c>
      <c r="I1542" t="str">
        <f>VLOOKUP(record[[#This Row],[ProcessSN]],表格2_7[],3,FALSE)</f>
        <v>#100</v>
      </c>
      <c r="J1542" t="s">
        <v>598</v>
      </c>
      <c r="K1542" s="195">
        <v>46133.656712962962</v>
      </c>
      <c r="L1542">
        <v>274</v>
      </c>
      <c r="M1542">
        <v>0</v>
      </c>
      <c r="N1542" s="98" t="str">
        <f>IF(record[[#This Row],[Memo]]="Browser:chrome os:android","平板報工",IF(record[[#This Row],[Memo]]=0,"委外",record[[#This Row],[Memo]]))</f>
        <v/>
      </c>
      <c r="O1542" t="s">
        <v>58</v>
      </c>
      <c r="P1542" t="s">
        <v>103</v>
      </c>
      <c r="Q1542" t="s">
        <v>58</v>
      </c>
      <c r="R1542" t="str">
        <f>IFERROR(VLOOKUP(record[[#This Row],[PCUSTID]],廠商[],2,FALSE),"")</f>
        <v/>
      </c>
      <c r="S1542" t="str">
        <f>VLOOKUP(record[[#This Row],[employeeID]],員工[],2,FALSE)</f>
        <v>黎秋水</v>
      </c>
    </row>
    <row r="1543" spans="6:19" hidden="1" x14ac:dyDescent="0.25">
      <c r="F1543" t="s">
        <v>1822</v>
      </c>
      <c r="G1543" t="s">
        <v>447</v>
      </c>
      <c r="H1543" t="str">
        <f>VLOOKUP(record[[#This Row],[ProcessSN]],表格2_7[],2,FALSE)</f>
        <v>30-4118-018-6XX</v>
      </c>
      <c r="I1543" t="str">
        <f>VLOOKUP(record[[#This Row],[ProcessSN]],表格2_7[],3,FALSE)</f>
        <v>#03</v>
      </c>
      <c r="J1543" t="s">
        <v>588</v>
      </c>
      <c r="K1543" s="195">
        <v>46133.650891203702</v>
      </c>
      <c r="L1543">
        <v>408</v>
      </c>
      <c r="M1543">
        <v>0</v>
      </c>
      <c r="N1543" s="98" t="str">
        <f>IF(record[[#This Row],[Memo]]="Browser:chrome os:android","平板報工",IF(record[[#This Row],[Memo]]=0,"委外",record[[#This Row],[Memo]]))</f>
        <v>平板報工</v>
      </c>
      <c r="O1543" t="s">
        <v>643</v>
      </c>
      <c r="P1543" t="s">
        <v>111</v>
      </c>
      <c r="Q1543" t="s">
        <v>644</v>
      </c>
      <c r="R1543" t="str">
        <f>IFERROR(VLOOKUP(record[[#This Row],[PCUSTID]],廠商[],2,FALSE),"")</f>
        <v/>
      </c>
      <c r="S1543" t="str">
        <f>VLOOKUP(record[[#This Row],[employeeID]],員工[],2,FALSE)</f>
        <v>江栩妘</v>
      </c>
    </row>
    <row r="1544" spans="6:19" hidden="1" x14ac:dyDescent="0.25">
      <c r="F1544" t="s">
        <v>1818</v>
      </c>
      <c r="G1544" t="s">
        <v>465</v>
      </c>
      <c r="H1544" t="str">
        <f>VLOOKUP(record[[#This Row],[ProcessSN]],表格2_7[],2,FALSE)</f>
        <v>30-4118-018-XXX</v>
      </c>
      <c r="I1544" t="str">
        <f>VLOOKUP(record[[#This Row],[ProcessSN]],表格2_7[],3,FALSE)</f>
        <v>#01-1</v>
      </c>
      <c r="J1544" t="s">
        <v>588</v>
      </c>
      <c r="K1544" s="195">
        <v>46133.649918981479</v>
      </c>
      <c r="L1544">
        <v>224</v>
      </c>
      <c r="M1544">
        <v>0</v>
      </c>
      <c r="N1544" s="98" t="str">
        <f>IF(record[[#This Row],[Memo]]="Browser:chrome os:android","平板報工",IF(record[[#This Row],[Memo]]=0,"委外",record[[#This Row],[Memo]]))</f>
        <v>平板報工</v>
      </c>
      <c r="O1544" t="s">
        <v>643</v>
      </c>
      <c r="P1544" t="s">
        <v>111</v>
      </c>
      <c r="Q1544" t="s">
        <v>644</v>
      </c>
      <c r="R1544" t="str">
        <f>IFERROR(VLOOKUP(record[[#This Row],[PCUSTID]],廠商[],2,FALSE),"")</f>
        <v/>
      </c>
      <c r="S1544" t="str">
        <f>VLOOKUP(record[[#This Row],[employeeID]],員工[],2,FALSE)</f>
        <v>江栩妘</v>
      </c>
    </row>
    <row r="1545" spans="6:19" hidden="1" x14ac:dyDescent="0.25">
      <c r="F1545" t="s">
        <v>1772</v>
      </c>
      <c r="G1545" t="s">
        <v>466</v>
      </c>
      <c r="H1545" t="str">
        <f>VLOOKUP(record[[#This Row],[ProcessSN]],表格2_7[],2,FALSE)</f>
        <v>30-4118-018-XXX</v>
      </c>
      <c r="I1545" t="str">
        <f>VLOOKUP(record[[#This Row],[ProcessSN]],表格2_7[],3,FALSE)</f>
        <v>#01-2</v>
      </c>
      <c r="J1545" t="s">
        <v>588</v>
      </c>
      <c r="K1545" s="195">
        <v>46133.640497685185</v>
      </c>
      <c r="L1545">
        <v>250</v>
      </c>
      <c r="M1545">
        <v>0</v>
      </c>
      <c r="N1545" s="98" t="str">
        <f>IF(record[[#This Row],[Memo]]="Browser:chrome os:android","平板報工",IF(record[[#This Row],[Memo]]=0,"委外",record[[#This Row],[Memo]]))</f>
        <v>平板報工</v>
      </c>
      <c r="O1545" t="s">
        <v>643</v>
      </c>
      <c r="P1545" t="s">
        <v>107</v>
      </c>
      <c r="Q1545" t="s">
        <v>644</v>
      </c>
      <c r="R1545" t="str">
        <f>IFERROR(VLOOKUP(record[[#This Row],[PCUSTID]],廠商[],2,FALSE),"")</f>
        <v/>
      </c>
      <c r="S1545" t="str">
        <f>VLOOKUP(record[[#This Row],[employeeID]],員工[],2,FALSE)</f>
        <v>黎氏順</v>
      </c>
    </row>
    <row r="1546" spans="6:19" hidden="1" x14ac:dyDescent="0.25">
      <c r="F1546" t="s">
        <v>1794</v>
      </c>
      <c r="G1546" t="s">
        <v>418</v>
      </c>
      <c r="H1546" t="str">
        <f>VLOOKUP(record[[#This Row],[ProcessSN]],表格2_7[],2,FALSE)</f>
        <v>30-4118-018-5XX</v>
      </c>
      <c r="I1546" t="str">
        <f>VLOOKUP(record[[#This Row],[ProcessSN]],表格2_7[],3,FALSE)</f>
        <v>#07</v>
      </c>
      <c r="J1546" t="s">
        <v>588</v>
      </c>
      <c r="K1546" s="195">
        <v>46133.638067129628</v>
      </c>
      <c r="L1546">
        <v>221</v>
      </c>
      <c r="M1546">
        <v>0</v>
      </c>
      <c r="N1546" s="98" t="str">
        <f>IF(record[[#This Row],[Memo]]="Browser:chrome os:android","平板報工",IF(record[[#This Row],[Memo]]=0,"委外",record[[#This Row],[Memo]]))</f>
        <v>平板報工</v>
      </c>
      <c r="O1546" t="s">
        <v>643</v>
      </c>
      <c r="P1546" t="s">
        <v>785</v>
      </c>
      <c r="Q1546" t="s">
        <v>644</v>
      </c>
      <c r="R1546" t="str">
        <f>IFERROR(VLOOKUP(record[[#This Row],[PCUSTID]],廠商[],2,FALSE),"")</f>
        <v/>
      </c>
      <c r="S1546" t="str">
        <f>VLOOKUP(record[[#This Row],[employeeID]],員工[],2,FALSE)</f>
        <v>謝刻光</v>
      </c>
    </row>
    <row r="1547" spans="6:19" hidden="1" x14ac:dyDescent="0.25">
      <c r="F1547" t="s">
        <v>1803</v>
      </c>
      <c r="G1547" t="s">
        <v>419</v>
      </c>
      <c r="H1547" t="str">
        <f>VLOOKUP(record[[#This Row],[ProcessSN]],表格2_7[],2,FALSE)</f>
        <v>30-4118-018-5XX</v>
      </c>
      <c r="I1547" t="str">
        <f>VLOOKUP(record[[#This Row],[ProcessSN]],表格2_7[],3,FALSE)</f>
        <v>#07QC</v>
      </c>
      <c r="J1547" t="s">
        <v>589</v>
      </c>
      <c r="K1547" s="195">
        <v>46133.62605324074</v>
      </c>
      <c r="L1547">
        <v>619</v>
      </c>
      <c r="M1547">
        <v>0</v>
      </c>
      <c r="N1547" s="98" t="str">
        <f>IF(record[[#This Row],[Memo]]="Browser:chrome os:android","平板報工",IF(record[[#This Row],[Memo]]=0,"委外",record[[#This Row],[Memo]]))</f>
        <v/>
      </c>
      <c r="O1547" t="s">
        <v>58</v>
      </c>
      <c r="P1547" t="s">
        <v>99</v>
      </c>
      <c r="Q1547" t="s">
        <v>58</v>
      </c>
      <c r="R1547" t="str">
        <f>IFERROR(VLOOKUP(record[[#This Row],[PCUSTID]],廠商[],2,FALSE),"")</f>
        <v/>
      </c>
      <c r="S1547" t="str">
        <f>VLOOKUP(record[[#This Row],[employeeID]],員工[],2,FALSE)</f>
        <v>阮氏河</v>
      </c>
    </row>
    <row r="1548" spans="6:19" hidden="1" x14ac:dyDescent="0.25">
      <c r="F1548" t="s">
        <v>1803</v>
      </c>
      <c r="G1548" t="s">
        <v>418</v>
      </c>
      <c r="H1548" t="str">
        <f>VLOOKUP(record[[#This Row],[ProcessSN]],表格2_7[],2,FALSE)</f>
        <v>30-4118-018-5XX</v>
      </c>
      <c r="I1548" t="str">
        <f>VLOOKUP(record[[#This Row],[ProcessSN]],表格2_7[],3,FALSE)</f>
        <v>#07</v>
      </c>
      <c r="J1548" t="s">
        <v>588</v>
      </c>
      <c r="K1548" s="195">
        <v>46133.624247685184</v>
      </c>
      <c r="L1548">
        <v>259</v>
      </c>
      <c r="M1548">
        <v>0</v>
      </c>
      <c r="N1548" s="98" t="str">
        <f>IF(record[[#This Row],[Memo]]="Browser:chrome os:android","平板報工",IF(record[[#This Row],[Memo]]=0,"委外",record[[#This Row],[Memo]]))</f>
        <v/>
      </c>
      <c r="O1548" t="s">
        <v>58</v>
      </c>
      <c r="P1548" t="s">
        <v>785</v>
      </c>
      <c r="Q1548" t="s">
        <v>58</v>
      </c>
      <c r="R1548" t="str">
        <f>IFERROR(VLOOKUP(record[[#This Row],[PCUSTID]],廠商[],2,FALSE),"")</f>
        <v/>
      </c>
      <c r="S1548" t="str">
        <f>VLOOKUP(record[[#This Row],[employeeID]],員工[],2,FALSE)</f>
        <v>謝刻光</v>
      </c>
    </row>
    <row r="1549" spans="6:19" hidden="1" x14ac:dyDescent="0.25">
      <c r="F1549" t="s">
        <v>1803</v>
      </c>
      <c r="G1549" t="s">
        <v>417</v>
      </c>
      <c r="H1549" t="str">
        <f>VLOOKUP(record[[#This Row],[ProcessSN]],表格2_7[],2,FALSE)</f>
        <v>30-4118-018-5XX</v>
      </c>
      <c r="I1549" t="str">
        <f>VLOOKUP(record[[#This Row],[ProcessSN]],表格2_7[],3,FALSE)</f>
        <v>#06</v>
      </c>
      <c r="J1549" t="s">
        <v>593</v>
      </c>
      <c r="K1549" s="195">
        <v>46133.62400462963</v>
      </c>
      <c r="L1549">
        <v>125</v>
      </c>
      <c r="M1549">
        <v>0</v>
      </c>
      <c r="N1549" s="98" t="str">
        <f>IF(record[[#This Row],[Memo]]="Browser:chrome os:android","平板報工",IF(record[[#This Row],[Memo]]=0,"委外",record[[#This Row],[Memo]]))</f>
        <v>補報</v>
      </c>
      <c r="O1549" t="s">
        <v>868</v>
      </c>
      <c r="P1549" t="s">
        <v>101</v>
      </c>
      <c r="Q1549" t="s">
        <v>58</v>
      </c>
      <c r="R1549" t="str">
        <f>IFERROR(VLOOKUP(record[[#This Row],[PCUSTID]],廠商[],2,FALSE),"")</f>
        <v/>
      </c>
      <c r="S1549" t="str">
        <f>VLOOKUP(record[[#This Row],[employeeID]],員工[],2,FALSE)</f>
        <v>陳氏絨</v>
      </c>
    </row>
    <row r="1550" spans="6:19" hidden="1" x14ac:dyDescent="0.25">
      <c r="F1550" t="s">
        <v>1803</v>
      </c>
      <c r="G1550" t="s">
        <v>416</v>
      </c>
      <c r="H1550" t="str">
        <f>VLOOKUP(record[[#This Row],[ProcessSN]],表格2_7[],2,FALSE)</f>
        <v>30-4118-018-5XX</v>
      </c>
      <c r="I1550" t="str">
        <f>VLOOKUP(record[[#This Row],[ProcessSN]],表格2_7[],3,FALSE)</f>
        <v>#05</v>
      </c>
      <c r="J1550" t="s">
        <v>588</v>
      </c>
      <c r="K1550" s="195">
        <v>46133.622893518521</v>
      </c>
      <c r="L1550">
        <v>106</v>
      </c>
      <c r="M1550">
        <v>0</v>
      </c>
      <c r="N1550" s="98" t="str">
        <f>IF(record[[#This Row],[Memo]]="Browser:chrome os:android","平板報工",IF(record[[#This Row],[Memo]]=0,"委外",record[[#This Row],[Memo]]))</f>
        <v>補報</v>
      </c>
      <c r="O1550" t="s">
        <v>868</v>
      </c>
      <c r="P1550" t="s">
        <v>101</v>
      </c>
      <c r="Q1550" t="s">
        <v>58</v>
      </c>
      <c r="R1550" t="str">
        <f>IFERROR(VLOOKUP(record[[#This Row],[PCUSTID]],廠商[],2,FALSE),"")</f>
        <v/>
      </c>
      <c r="S1550" t="str">
        <f>VLOOKUP(record[[#This Row],[employeeID]],員工[],2,FALSE)</f>
        <v>陳氏絨</v>
      </c>
    </row>
    <row r="1551" spans="6:19" hidden="1" x14ac:dyDescent="0.25">
      <c r="F1551" t="s">
        <v>1803</v>
      </c>
      <c r="G1551" t="s">
        <v>419</v>
      </c>
      <c r="H1551" t="str">
        <f>VLOOKUP(record[[#This Row],[ProcessSN]],表格2_7[],2,FALSE)</f>
        <v>30-4118-018-5XX</v>
      </c>
      <c r="I1551" t="str">
        <f>VLOOKUP(record[[#This Row],[ProcessSN]],表格2_7[],3,FALSE)</f>
        <v>#07QC</v>
      </c>
      <c r="J1551" t="s">
        <v>589</v>
      </c>
      <c r="K1551" s="195">
        <v>46133.618067129632</v>
      </c>
      <c r="L1551">
        <v>0</v>
      </c>
      <c r="M1551">
        <v>35</v>
      </c>
      <c r="N1551" s="98" t="str">
        <f>IF(record[[#This Row],[Memo]]="Browser:chrome os:android","平板報工",IF(record[[#This Row],[Memo]]=0,"委外",record[[#This Row],[Memo]]))</f>
        <v/>
      </c>
      <c r="O1551" t="s">
        <v>58</v>
      </c>
      <c r="P1551" t="s">
        <v>99</v>
      </c>
      <c r="Q1551" t="s">
        <v>58</v>
      </c>
      <c r="R1551" t="str">
        <f>IFERROR(VLOOKUP(record[[#This Row],[PCUSTID]],廠商[],2,FALSE),"")</f>
        <v/>
      </c>
      <c r="S1551" t="str">
        <f>VLOOKUP(record[[#This Row],[employeeID]],員工[],2,FALSE)</f>
        <v>阮氏河</v>
      </c>
    </row>
    <row r="1552" spans="6:19" hidden="1" x14ac:dyDescent="0.25">
      <c r="F1552" t="s">
        <v>1857</v>
      </c>
      <c r="G1552" t="s">
        <v>462</v>
      </c>
      <c r="H1552" t="str">
        <f>VLOOKUP(record[[#This Row],[ProcessSN]],表格2_7[],2,FALSE)</f>
        <v>30-4118-018-XXX</v>
      </c>
      <c r="I1552" t="str">
        <f>VLOOKUP(record[[#This Row],[ProcessSN]],表格2_7[],3,FALSE)</f>
        <v>#00PICK</v>
      </c>
      <c r="J1552" t="s">
        <v>582</v>
      </c>
      <c r="K1552" s="195">
        <v>46133.615856481483</v>
      </c>
      <c r="L1552">
        <v>5040</v>
      </c>
      <c r="M1552">
        <v>0</v>
      </c>
      <c r="N1552" s="98" t="str">
        <f>IF(record[[#This Row],[Memo]]="Browser:chrome os:android","平板報工",IF(record[[#This Row],[Memo]]=0,"委外",record[[#This Row],[Memo]]))</f>
        <v/>
      </c>
      <c r="O1552" t="s">
        <v>58</v>
      </c>
      <c r="P1552" t="s">
        <v>186</v>
      </c>
      <c r="Q1552" t="s">
        <v>58</v>
      </c>
      <c r="R1552" t="str">
        <f>IFERROR(VLOOKUP(record[[#This Row],[PCUSTID]],廠商[],2,FALSE),"")</f>
        <v/>
      </c>
      <c r="S1552" t="str">
        <f>VLOOKUP(record[[#This Row],[employeeID]],員工[],2,FALSE)</f>
        <v>許文姍</v>
      </c>
    </row>
    <row r="1553" spans="6:19" hidden="1" x14ac:dyDescent="0.25">
      <c r="F1553" t="s">
        <v>1637</v>
      </c>
      <c r="G1553" t="s">
        <v>452</v>
      </c>
      <c r="H1553" t="str">
        <f>VLOOKUP(record[[#This Row],[ProcessSN]],表格2_7[],2,FALSE)</f>
        <v>30-4118-018-6XX</v>
      </c>
      <c r="I1553" t="str">
        <f>VLOOKUP(record[[#This Row],[ProcessSN]],表格2_7[],3,FALSE)</f>
        <v>#07QC</v>
      </c>
      <c r="J1553" t="s">
        <v>589</v>
      </c>
      <c r="K1553" s="195">
        <v>46133.614652777775</v>
      </c>
      <c r="L1553">
        <v>0</v>
      </c>
      <c r="M1553">
        <v>51</v>
      </c>
      <c r="N1553" s="98" t="str">
        <f>IF(record[[#This Row],[Memo]]="Browser:chrome os:android","平板報工",IF(record[[#This Row],[Memo]]=0,"委外",record[[#This Row],[Memo]]))</f>
        <v/>
      </c>
      <c r="O1553" t="s">
        <v>58</v>
      </c>
      <c r="P1553" t="s">
        <v>141</v>
      </c>
      <c r="Q1553" t="s">
        <v>58</v>
      </c>
      <c r="R1553" t="str">
        <f>IFERROR(VLOOKUP(record[[#This Row],[PCUSTID]],廠商[],2,FALSE),"")</f>
        <v/>
      </c>
      <c r="S1553" t="str">
        <f>VLOOKUP(record[[#This Row],[employeeID]],員工[],2,FALSE)</f>
        <v>蔣梅</v>
      </c>
    </row>
    <row r="1554" spans="6:19" hidden="1" x14ac:dyDescent="0.25">
      <c r="F1554" t="s">
        <v>1637</v>
      </c>
      <c r="G1554" t="s">
        <v>452</v>
      </c>
      <c r="H1554" t="str">
        <f>VLOOKUP(record[[#This Row],[ProcessSN]],表格2_7[],2,FALSE)</f>
        <v>30-4118-018-6XX</v>
      </c>
      <c r="I1554" t="str">
        <f>VLOOKUP(record[[#This Row],[ProcessSN]],表格2_7[],3,FALSE)</f>
        <v>#07QC</v>
      </c>
      <c r="J1554" t="s">
        <v>589</v>
      </c>
      <c r="K1554" s="195">
        <v>46133.61451388889</v>
      </c>
      <c r="L1554">
        <v>43</v>
      </c>
      <c r="M1554">
        <v>0</v>
      </c>
      <c r="N1554" s="98" t="str">
        <f>IF(record[[#This Row],[Memo]]="Browser:chrome os:android","平板報工",IF(record[[#This Row],[Memo]]=0,"委外",record[[#This Row],[Memo]]))</f>
        <v>覆回</v>
      </c>
      <c r="O1554" t="s">
        <v>682</v>
      </c>
      <c r="P1554" t="s">
        <v>141</v>
      </c>
      <c r="Q1554" t="s">
        <v>58</v>
      </c>
      <c r="R1554" t="str">
        <f>IFERROR(VLOOKUP(record[[#This Row],[PCUSTID]],廠商[],2,FALSE),"")</f>
        <v/>
      </c>
      <c r="S1554" t="str">
        <f>VLOOKUP(record[[#This Row],[employeeID]],員工[],2,FALSE)</f>
        <v>蔣梅</v>
      </c>
    </row>
    <row r="1555" spans="6:19" hidden="1" x14ac:dyDescent="0.25">
      <c r="F1555" t="s">
        <v>1803</v>
      </c>
      <c r="G1555" t="s">
        <v>419</v>
      </c>
      <c r="H1555" t="str">
        <f>VLOOKUP(record[[#This Row],[ProcessSN]],表格2_7[],2,FALSE)</f>
        <v>30-4118-018-5XX</v>
      </c>
      <c r="I1555" t="str">
        <f>VLOOKUP(record[[#This Row],[ProcessSN]],表格2_7[],3,FALSE)</f>
        <v>#07QC</v>
      </c>
      <c r="J1555" t="s">
        <v>589</v>
      </c>
      <c r="K1555" s="195">
        <v>46133.613217592596</v>
      </c>
      <c r="L1555">
        <v>28</v>
      </c>
      <c r="M1555">
        <v>0</v>
      </c>
      <c r="N1555" s="98" t="str">
        <f>IF(record[[#This Row],[Memo]]="Browser:chrome os:android","平板報工",IF(record[[#This Row],[Memo]]=0,"委外",record[[#This Row],[Memo]]))</f>
        <v/>
      </c>
      <c r="O1555" t="s">
        <v>58</v>
      </c>
      <c r="P1555" t="s">
        <v>99</v>
      </c>
      <c r="Q1555" t="s">
        <v>58</v>
      </c>
      <c r="R1555" t="str">
        <f>IFERROR(VLOOKUP(record[[#This Row],[PCUSTID]],廠商[],2,FALSE),"")</f>
        <v/>
      </c>
      <c r="S1555" t="str">
        <f>VLOOKUP(record[[#This Row],[employeeID]],員工[],2,FALSE)</f>
        <v>阮氏河</v>
      </c>
    </row>
    <row r="1556" spans="6:19" hidden="1" x14ac:dyDescent="0.25">
      <c r="F1556" t="s">
        <v>1803</v>
      </c>
      <c r="G1556" t="s">
        <v>419</v>
      </c>
      <c r="H1556" t="str">
        <f>VLOOKUP(record[[#This Row],[ProcessSN]],表格2_7[],2,FALSE)</f>
        <v>30-4118-018-5XX</v>
      </c>
      <c r="I1556" t="str">
        <f>VLOOKUP(record[[#This Row],[ProcessSN]],表格2_7[],3,FALSE)</f>
        <v>#07QC</v>
      </c>
      <c r="J1556" t="s">
        <v>589</v>
      </c>
      <c r="K1556" s="195">
        <v>46133.609270833331</v>
      </c>
      <c r="L1556">
        <v>0</v>
      </c>
      <c r="M1556">
        <v>-28</v>
      </c>
      <c r="N1556" s="98" t="str">
        <f>IF(record[[#This Row],[Memo]]="Browser:chrome os:android","平板報工",IF(record[[#This Row],[Memo]]=0,"委外",record[[#This Row],[Memo]]))</f>
        <v>覆回</v>
      </c>
      <c r="O1556" t="s">
        <v>682</v>
      </c>
      <c r="P1556" t="s">
        <v>113</v>
      </c>
      <c r="Q1556" t="s">
        <v>58</v>
      </c>
      <c r="R1556" t="str">
        <f>IFERROR(VLOOKUP(record[[#This Row],[PCUSTID]],廠商[],2,FALSE),"")</f>
        <v/>
      </c>
      <c r="S1556" t="str">
        <f>VLOOKUP(record[[#This Row],[employeeID]],員工[],2,FALSE)</f>
        <v>王奕蓁</v>
      </c>
    </row>
    <row r="1557" spans="6:19" hidden="1" x14ac:dyDescent="0.25">
      <c r="F1557" t="s">
        <v>1862</v>
      </c>
      <c r="G1557" t="s">
        <v>405</v>
      </c>
      <c r="H1557" t="str">
        <f>VLOOKUP(record[[#This Row],[ProcessSN]],表格2_7[],2,FALSE)</f>
        <v>30-4118-018-570</v>
      </c>
      <c r="I1557" t="str">
        <f>VLOOKUP(record[[#This Row],[ProcessSN]],表格2_7[],3,FALSE)</f>
        <v>#08</v>
      </c>
      <c r="J1557" t="s">
        <v>597</v>
      </c>
      <c r="K1557" s="195">
        <v>46133.59516203704</v>
      </c>
      <c r="L1557">
        <v>193</v>
      </c>
      <c r="M1557">
        <v>0</v>
      </c>
      <c r="N1557" s="98" t="str">
        <f>IF(record[[#This Row],[Memo]]="Browser:chrome os:android","平板報工",IF(record[[#This Row],[Memo]]=0,"委外",record[[#This Row],[Memo]]))</f>
        <v>委外</v>
      </c>
      <c r="P1557" t="s">
        <v>186</v>
      </c>
      <c r="Q1557" t="s">
        <v>287</v>
      </c>
      <c r="R1557" t="str">
        <f>IFERROR(VLOOKUP(record[[#This Row],[PCUSTID]],廠商[],2,FALSE),"")</f>
        <v>泉盛</v>
      </c>
      <c r="S1557" t="str">
        <f>VLOOKUP(record[[#This Row],[employeeID]],員工[],2,FALSE)</f>
        <v>許文姍</v>
      </c>
    </row>
    <row r="1558" spans="6:19" hidden="1" x14ac:dyDescent="0.25">
      <c r="F1558" t="s">
        <v>1861</v>
      </c>
      <c r="G1558" t="s">
        <v>430</v>
      </c>
      <c r="H1558" t="str">
        <f>VLOOKUP(record[[#This Row],[ProcessSN]],表格2_7[],2,FALSE)</f>
        <v>30-4118-018-620</v>
      </c>
      <c r="I1558" t="str">
        <f>VLOOKUP(record[[#This Row],[ProcessSN]],表格2_7[],3,FALSE)</f>
        <v>#08</v>
      </c>
      <c r="J1558" t="s">
        <v>597</v>
      </c>
      <c r="K1558" s="195">
        <v>46133.594988425924</v>
      </c>
      <c r="L1558">
        <v>250</v>
      </c>
      <c r="M1558">
        <v>0</v>
      </c>
      <c r="N1558" s="98" t="str">
        <f>IF(record[[#This Row],[Memo]]="Browser:chrome os:android","平板報工",IF(record[[#This Row],[Memo]]=0,"委外",record[[#This Row],[Memo]]))</f>
        <v>委外</v>
      </c>
      <c r="P1558" t="s">
        <v>186</v>
      </c>
      <c r="Q1558" t="s">
        <v>287</v>
      </c>
      <c r="R1558" t="str">
        <f>IFERROR(VLOOKUP(record[[#This Row],[PCUSTID]],廠商[],2,FALSE),"")</f>
        <v>泉盛</v>
      </c>
      <c r="S1558" t="str">
        <f>VLOOKUP(record[[#This Row],[employeeID]],員工[],2,FALSE)</f>
        <v>許文姍</v>
      </c>
    </row>
    <row r="1559" spans="6:19" hidden="1" x14ac:dyDescent="0.25">
      <c r="F1559" t="s">
        <v>1862</v>
      </c>
      <c r="G1559" t="s">
        <v>404</v>
      </c>
      <c r="H1559" t="str">
        <f>VLOOKUP(record[[#This Row],[ProcessSN]],表格2_7[],2,FALSE)</f>
        <v>30-4118-018-570</v>
      </c>
      <c r="I1559" t="str">
        <f>VLOOKUP(record[[#This Row],[ProcessSN]],表格2_7[],3,FALSE)</f>
        <v>#08PICK</v>
      </c>
      <c r="J1559" t="s">
        <v>582</v>
      </c>
      <c r="K1559" s="195">
        <v>46133.594004629631</v>
      </c>
      <c r="L1559">
        <v>193</v>
      </c>
      <c r="M1559">
        <v>0</v>
      </c>
      <c r="N1559" s="98" t="str">
        <f>IF(record[[#This Row],[Memo]]="Browser:chrome os:android","平板報工",IF(record[[#This Row],[Memo]]=0,"委外",record[[#This Row],[Memo]]))</f>
        <v/>
      </c>
      <c r="O1559" t="s">
        <v>58</v>
      </c>
      <c r="P1559" t="s">
        <v>186</v>
      </c>
      <c r="Q1559" t="s">
        <v>58</v>
      </c>
      <c r="R1559" t="str">
        <f>IFERROR(VLOOKUP(record[[#This Row],[PCUSTID]],廠商[],2,FALSE),"")</f>
        <v/>
      </c>
      <c r="S1559" t="str">
        <f>VLOOKUP(record[[#This Row],[employeeID]],員工[],2,FALSE)</f>
        <v>許文姍</v>
      </c>
    </row>
    <row r="1560" spans="6:19" hidden="1" x14ac:dyDescent="0.25">
      <c r="F1560" t="s">
        <v>1861</v>
      </c>
      <c r="G1560" t="s">
        <v>429</v>
      </c>
      <c r="H1560" t="str">
        <f>VLOOKUP(record[[#This Row],[ProcessSN]],表格2_7[],2,FALSE)</f>
        <v>30-4118-018-620</v>
      </c>
      <c r="I1560" t="str">
        <f>VLOOKUP(record[[#This Row],[ProcessSN]],表格2_7[],3,FALSE)</f>
        <v>#08PICK</v>
      </c>
      <c r="J1560" t="s">
        <v>582</v>
      </c>
      <c r="K1560" s="195">
        <v>46133.593865740739</v>
      </c>
      <c r="L1560">
        <v>250</v>
      </c>
      <c r="M1560">
        <v>0</v>
      </c>
      <c r="N1560" s="98" t="str">
        <f>IF(record[[#This Row],[Memo]]="Browser:chrome os:android","平板報工",IF(record[[#This Row],[Memo]]=0,"委外",record[[#This Row],[Memo]]))</f>
        <v/>
      </c>
      <c r="O1560" t="s">
        <v>58</v>
      </c>
      <c r="P1560" t="s">
        <v>186</v>
      </c>
      <c r="Q1560" t="s">
        <v>58</v>
      </c>
      <c r="R1560" t="str">
        <f>IFERROR(VLOOKUP(record[[#This Row],[PCUSTID]],廠商[],2,FALSE),"")</f>
        <v/>
      </c>
      <c r="S1560" t="str">
        <f>VLOOKUP(record[[#This Row],[employeeID]],員工[],2,FALSE)</f>
        <v>許文姍</v>
      </c>
    </row>
    <row r="1561" spans="6:19" hidden="1" x14ac:dyDescent="0.25">
      <c r="F1561" t="s">
        <v>1815</v>
      </c>
      <c r="G1561" t="s">
        <v>453</v>
      </c>
      <c r="H1561" t="str">
        <f>VLOOKUP(record[[#This Row],[ProcessSN]],表格2_7[],2,FALSE)</f>
        <v>30-4118-018-6XX</v>
      </c>
      <c r="I1561" t="str">
        <f>VLOOKUP(record[[#This Row],[ProcessSN]],表格2_7[],3,FALSE)</f>
        <v>#07STOCK</v>
      </c>
      <c r="J1561" t="s">
        <v>592</v>
      </c>
      <c r="K1561" s="195">
        <v>46133.587083333332</v>
      </c>
      <c r="L1561">
        <v>147</v>
      </c>
      <c r="M1561">
        <v>0</v>
      </c>
      <c r="N1561" s="98" t="str">
        <f>IF(record[[#This Row],[Memo]]="Browser:chrome os:android","平板報工",IF(record[[#This Row],[Memo]]=0,"委外",record[[#This Row],[Memo]]))</f>
        <v/>
      </c>
      <c r="O1561" t="s">
        <v>58</v>
      </c>
      <c r="P1561" t="s">
        <v>186</v>
      </c>
      <c r="Q1561" t="s">
        <v>58</v>
      </c>
      <c r="R1561" t="str">
        <f>IFERROR(VLOOKUP(record[[#This Row],[PCUSTID]],廠商[],2,FALSE),"")</f>
        <v/>
      </c>
      <c r="S1561" t="str">
        <f>VLOOKUP(record[[#This Row],[employeeID]],員工[],2,FALSE)</f>
        <v>許文姍</v>
      </c>
    </row>
    <row r="1562" spans="6:19" hidden="1" x14ac:dyDescent="0.25">
      <c r="F1562" t="s">
        <v>1652</v>
      </c>
      <c r="G1562" t="s">
        <v>453</v>
      </c>
      <c r="H1562" t="str">
        <f>VLOOKUP(record[[#This Row],[ProcessSN]],表格2_7[],2,FALSE)</f>
        <v>30-4118-018-6XX</v>
      </c>
      <c r="I1562" t="str">
        <f>VLOOKUP(record[[#This Row],[ProcessSN]],表格2_7[],3,FALSE)</f>
        <v>#07STOCK</v>
      </c>
      <c r="J1562" t="s">
        <v>592</v>
      </c>
      <c r="K1562" s="195">
        <v>46133.586817129632</v>
      </c>
      <c r="L1562">
        <v>149</v>
      </c>
      <c r="M1562">
        <v>0</v>
      </c>
      <c r="N1562" s="98" t="str">
        <f>IF(record[[#This Row],[Memo]]="Browser:chrome os:android","平板報工",IF(record[[#This Row],[Memo]]=0,"委外",record[[#This Row],[Memo]]))</f>
        <v/>
      </c>
      <c r="O1562" t="s">
        <v>58</v>
      </c>
      <c r="P1562" t="s">
        <v>186</v>
      </c>
      <c r="Q1562" t="s">
        <v>58</v>
      </c>
      <c r="R1562" t="str">
        <f>IFERROR(VLOOKUP(record[[#This Row],[PCUSTID]],廠商[],2,FALSE),"")</f>
        <v/>
      </c>
      <c r="S1562" t="str">
        <f>VLOOKUP(record[[#This Row],[employeeID]],員工[],2,FALSE)</f>
        <v>許文姍</v>
      </c>
    </row>
    <row r="1563" spans="6:19" hidden="1" x14ac:dyDescent="0.25">
      <c r="F1563" t="s">
        <v>1637</v>
      </c>
      <c r="G1563" t="s">
        <v>453</v>
      </c>
      <c r="H1563" t="str">
        <f>VLOOKUP(record[[#This Row],[ProcessSN]],表格2_7[],2,FALSE)</f>
        <v>30-4118-018-6XX</v>
      </c>
      <c r="I1563" t="str">
        <f>VLOOKUP(record[[#This Row],[ProcessSN]],表格2_7[],3,FALSE)</f>
        <v>#07STOCK</v>
      </c>
      <c r="J1563" t="s">
        <v>592</v>
      </c>
      <c r="K1563" s="195">
        <v>46133.586631944447</v>
      </c>
      <c r="L1563">
        <v>147</v>
      </c>
      <c r="M1563">
        <v>0</v>
      </c>
      <c r="N1563" s="98" t="str">
        <f>IF(record[[#This Row],[Memo]]="Browser:chrome os:android","平板報工",IF(record[[#This Row],[Memo]]=0,"委外",record[[#This Row],[Memo]]))</f>
        <v/>
      </c>
      <c r="O1563" t="s">
        <v>58</v>
      </c>
      <c r="P1563" t="s">
        <v>186</v>
      </c>
      <c r="Q1563" t="s">
        <v>58</v>
      </c>
      <c r="R1563" t="str">
        <f>IFERROR(VLOOKUP(record[[#This Row],[PCUSTID]],廠商[],2,FALSE),"")</f>
        <v/>
      </c>
      <c r="S1563" t="str">
        <f>VLOOKUP(record[[#This Row],[employeeID]],員工[],2,FALSE)</f>
        <v>許文姍</v>
      </c>
    </row>
    <row r="1564" spans="6:19" hidden="1" x14ac:dyDescent="0.25">
      <c r="F1564" t="s">
        <v>1815</v>
      </c>
      <c r="G1564" t="s">
        <v>452</v>
      </c>
      <c r="H1564" t="str">
        <f>VLOOKUP(record[[#This Row],[ProcessSN]],表格2_7[],2,FALSE)</f>
        <v>30-4118-018-6XX</v>
      </c>
      <c r="I1564" t="str">
        <f>VLOOKUP(record[[#This Row],[ProcessSN]],表格2_7[],3,FALSE)</f>
        <v>#07QC</v>
      </c>
      <c r="J1564" t="s">
        <v>589</v>
      </c>
      <c r="K1564" s="195">
        <v>46133.570717592593</v>
      </c>
      <c r="L1564">
        <v>147</v>
      </c>
      <c r="M1564">
        <v>0</v>
      </c>
      <c r="N1564" s="98" t="str">
        <f>IF(record[[#This Row],[Memo]]="Browser:chrome os:android","平板報工",IF(record[[#This Row],[Memo]]=0,"委外",record[[#This Row],[Memo]]))</f>
        <v/>
      </c>
      <c r="O1564" t="s">
        <v>58</v>
      </c>
      <c r="P1564" t="s">
        <v>141</v>
      </c>
      <c r="Q1564" t="s">
        <v>58</v>
      </c>
      <c r="R1564" t="str">
        <f>IFERROR(VLOOKUP(record[[#This Row],[PCUSTID]],廠商[],2,FALSE),"")</f>
        <v/>
      </c>
      <c r="S1564" t="str">
        <f>VLOOKUP(record[[#This Row],[employeeID]],員工[],2,FALSE)</f>
        <v>蔣梅</v>
      </c>
    </row>
    <row r="1565" spans="6:19" hidden="1" x14ac:dyDescent="0.25">
      <c r="F1565" t="s">
        <v>1815</v>
      </c>
      <c r="G1565" t="s">
        <v>452</v>
      </c>
      <c r="H1565" t="str">
        <f>VLOOKUP(record[[#This Row],[ProcessSN]],表格2_7[],2,FALSE)</f>
        <v>30-4118-018-6XX</v>
      </c>
      <c r="I1565" t="str">
        <f>VLOOKUP(record[[#This Row],[ProcessSN]],表格2_7[],3,FALSE)</f>
        <v>#07QC</v>
      </c>
      <c r="J1565" t="s">
        <v>589</v>
      </c>
      <c r="K1565" s="195">
        <v>46133.570590277777</v>
      </c>
      <c r="L1565">
        <v>0</v>
      </c>
      <c r="M1565">
        <v>55</v>
      </c>
      <c r="N1565" s="98" t="str">
        <f>IF(record[[#This Row],[Memo]]="Browser:chrome os:android","平板報工",IF(record[[#This Row],[Memo]]=0,"委外",record[[#This Row],[Memo]]))</f>
        <v/>
      </c>
      <c r="O1565" t="s">
        <v>58</v>
      </c>
      <c r="P1565" t="s">
        <v>141</v>
      </c>
      <c r="Q1565" t="s">
        <v>58</v>
      </c>
      <c r="R1565" t="str">
        <f>IFERROR(VLOOKUP(record[[#This Row],[PCUSTID]],廠商[],2,FALSE),"")</f>
        <v/>
      </c>
      <c r="S1565" t="str">
        <f>VLOOKUP(record[[#This Row],[employeeID]],員工[],2,FALSE)</f>
        <v>蔣梅</v>
      </c>
    </row>
    <row r="1566" spans="6:19" hidden="1" x14ac:dyDescent="0.25">
      <c r="F1566" t="s">
        <v>1815</v>
      </c>
      <c r="G1566" t="s">
        <v>451</v>
      </c>
      <c r="H1566" t="str">
        <f>VLOOKUP(record[[#This Row],[ProcessSN]],表格2_7[],2,FALSE)</f>
        <v>30-4118-018-6XX</v>
      </c>
      <c r="I1566" t="str">
        <f>VLOOKUP(record[[#This Row],[ProcessSN]],表格2_7[],3,FALSE)</f>
        <v>#07</v>
      </c>
      <c r="J1566" t="s">
        <v>588</v>
      </c>
      <c r="K1566" s="195">
        <v>46133.569930555554</v>
      </c>
      <c r="L1566">
        <v>143</v>
      </c>
      <c r="M1566">
        <v>0</v>
      </c>
      <c r="N1566" s="98" t="str">
        <f>IF(record[[#This Row],[Memo]]="Browser:chrome os:android","平板報工",IF(record[[#This Row],[Memo]]=0,"委外",record[[#This Row],[Memo]]))</f>
        <v>補報</v>
      </c>
      <c r="O1566" t="s">
        <v>868</v>
      </c>
      <c r="P1566" t="s">
        <v>101</v>
      </c>
      <c r="Q1566" t="s">
        <v>58</v>
      </c>
      <c r="R1566" t="str">
        <f>IFERROR(VLOOKUP(record[[#This Row],[PCUSTID]],廠商[],2,FALSE),"")</f>
        <v/>
      </c>
      <c r="S1566" t="str">
        <f>VLOOKUP(record[[#This Row],[employeeID]],員工[],2,FALSE)</f>
        <v>陳氏絨</v>
      </c>
    </row>
    <row r="1567" spans="6:19" hidden="1" x14ac:dyDescent="0.25">
      <c r="F1567" t="s">
        <v>1719</v>
      </c>
      <c r="G1567" t="s">
        <v>359</v>
      </c>
      <c r="H1567" t="str">
        <f>VLOOKUP(record[[#This Row],[ProcessSN]],表格2_7[],2,FALSE)</f>
        <v>30-4118-018-450</v>
      </c>
      <c r="I1567" t="str">
        <f>VLOOKUP(record[[#This Row],[ProcessSN]],表格2_7[],3,FALSE)</f>
        <v>#100</v>
      </c>
      <c r="J1567" t="s">
        <v>598</v>
      </c>
      <c r="K1567" s="195">
        <v>46133.569664351853</v>
      </c>
      <c r="L1567">
        <v>0</v>
      </c>
      <c r="M1567">
        <v>1</v>
      </c>
      <c r="N1567" s="98" t="str">
        <f>IF(record[[#This Row],[Memo]]="Browser:chrome os:android","平板報工",IF(record[[#This Row],[Memo]]=0,"委外",record[[#This Row],[Memo]]))</f>
        <v/>
      </c>
      <c r="O1567" t="s">
        <v>58</v>
      </c>
      <c r="P1567" t="s">
        <v>113</v>
      </c>
      <c r="Q1567" t="s">
        <v>58</v>
      </c>
      <c r="R1567" t="str">
        <f>IFERROR(VLOOKUP(record[[#This Row],[PCUSTID]],廠商[],2,FALSE),"")</f>
        <v/>
      </c>
      <c r="S1567" t="str">
        <f>VLOOKUP(record[[#This Row],[employeeID]],員工[],2,FALSE)</f>
        <v>王奕蓁</v>
      </c>
    </row>
    <row r="1568" spans="6:19" hidden="1" x14ac:dyDescent="0.25">
      <c r="F1568" t="s">
        <v>1637</v>
      </c>
      <c r="G1568" t="s">
        <v>452</v>
      </c>
      <c r="H1568" t="str">
        <f>VLOOKUP(record[[#This Row],[ProcessSN]],表格2_7[],2,FALSE)</f>
        <v>30-4118-018-6XX</v>
      </c>
      <c r="I1568" t="str">
        <f>VLOOKUP(record[[#This Row],[ProcessSN]],表格2_7[],3,FALSE)</f>
        <v>#07QC</v>
      </c>
      <c r="J1568" t="s">
        <v>589</v>
      </c>
      <c r="K1568" s="195">
        <v>46133.562118055554</v>
      </c>
      <c r="L1568">
        <v>147</v>
      </c>
      <c r="M1568">
        <v>0</v>
      </c>
      <c r="N1568" s="98" t="str">
        <f>IF(record[[#This Row],[Memo]]="Browser:chrome os:android","平板報工",IF(record[[#This Row],[Memo]]=0,"委外",record[[#This Row],[Memo]]))</f>
        <v/>
      </c>
      <c r="O1568" t="s">
        <v>58</v>
      </c>
      <c r="P1568" t="s">
        <v>141</v>
      </c>
      <c r="Q1568" t="s">
        <v>58</v>
      </c>
      <c r="R1568" t="str">
        <f>IFERROR(VLOOKUP(record[[#This Row],[PCUSTID]],廠商[],2,FALSE),"")</f>
        <v/>
      </c>
      <c r="S1568" t="str">
        <f>VLOOKUP(record[[#This Row],[employeeID]],員工[],2,FALSE)</f>
        <v>蔣梅</v>
      </c>
    </row>
    <row r="1569" spans="6:19" hidden="1" x14ac:dyDescent="0.25">
      <c r="F1569" t="s">
        <v>1828</v>
      </c>
      <c r="G1569" t="s">
        <v>441</v>
      </c>
      <c r="H1569" t="str">
        <f>VLOOKUP(record[[#This Row],[ProcessSN]],表格2_7[],2,FALSE)</f>
        <v>30-4118-018-650</v>
      </c>
      <c r="I1569" t="str">
        <f>VLOOKUP(record[[#This Row],[ProcessSN]],表格2_7[],3,FALSE)</f>
        <v>#100</v>
      </c>
      <c r="J1569" t="s">
        <v>598</v>
      </c>
      <c r="K1569" s="195">
        <v>46133.55636574074</v>
      </c>
      <c r="L1569">
        <v>0</v>
      </c>
      <c r="M1569">
        <v>3</v>
      </c>
      <c r="N1569" s="98" t="str">
        <f>IF(record[[#This Row],[Memo]]="Browser:chrome os:android","平板報工",IF(record[[#This Row],[Memo]]=0,"委外",record[[#This Row],[Memo]]))</f>
        <v/>
      </c>
      <c r="O1569" t="s">
        <v>58</v>
      </c>
      <c r="P1569" t="s">
        <v>103</v>
      </c>
      <c r="Q1569" t="s">
        <v>58</v>
      </c>
      <c r="R1569" t="str">
        <f>IFERROR(VLOOKUP(record[[#This Row],[PCUSTID]],廠商[],2,FALSE),"")</f>
        <v/>
      </c>
      <c r="S1569" t="str">
        <f>VLOOKUP(record[[#This Row],[employeeID]],員工[],2,FALSE)</f>
        <v>黎秋水</v>
      </c>
    </row>
    <row r="1570" spans="6:19" hidden="1" x14ac:dyDescent="0.25">
      <c r="F1570" t="s">
        <v>1828</v>
      </c>
      <c r="G1570" t="s">
        <v>441</v>
      </c>
      <c r="H1570" t="str">
        <f>VLOOKUP(record[[#This Row],[ProcessSN]],表格2_7[],2,FALSE)</f>
        <v>30-4118-018-650</v>
      </c>
      <c r="I1570" t="str">
        <f>VLOOKUP(record[[#This Row],[ProcessSN]],表格2_7[],3,FALSE)</f>
        <v>#100</v>
      </c>
      <c r="J1570" t="s">
        <v>598</v>
      </c>
      <c r="K1570" s="195">
        <v>46133.556076388886</v>
      </c>
      <c r="L1570">
        <v>81</v>
      </c>
      <c r="M1570">
        <v>0</v>
      </c>
      <c r="N1570" s="98" t="str">
        <f>IF(record[[#This Row],[Memo]]="Browser:chrome os:android","平板報工",IF(record[[#This Row],[Memo]]=0,"委外",record[[#This Row],[Memo]]))</f>
        <v/>
      </c>
      <c r="O1570" t="s">
        <v>58</v>
      </c>
      <c r="P1570" t="s">
        <v>103</v>
      </c>
      <c r="Q1570" t="s">
        <v>58</v>
      </c>
      <c r="R1570" t="str">
        <f>IFERROR(VLOOKUP(record[[#This Row],[PCUSTID]],廠商[],2,FALSE),"")</f>
        <v/>
      </c>
      <c r="S1570" t="str">
        <f>VLOOKUP(record[[#This Row],[employeeID]],員工[],2,FALSE)</f>
        <v>黎秋水</v>
      </c>
    </row>
    <row r="1571" spans="6:19" hidden="1" x14ac:dyDescent="0.25">
      <c r="F1571" t="s">
        <v>1803</v>
      </c>
      <c r="G1571" t="s">
        <v>418</v>
      </c>
      <c r="H1571" t="str">
        <f>VLOOKUP(record[[#This Row],[ProcessSN]],表格2_7[],2,FALSE)</f>
        <v>30-4118-018-5XX</v>
      </c>
      <c r="I1571" t="str">
        <f>VLOOKUP(record[[#This Row],[ProcessSN]],表格2_7[],3,FALSE)</f>
        <v>#07</v>
      </c>
      <c r="J1571" t="s">
        <v>588</v>
      </c>
      <c r="K1571" s="195">
        <v>46133.545763888891</v>
      </c>
      <c r="L1571">
        <v>84</v>
      </c>
      <c r="M1571">
        <v>0</v>
      </c>
      <c r="N1571" s="98" t="str">
        <f>IF(record[[#This Row],[Memo]]="Browser:chrome os:android","平板報工",IF(record[[#This Row],[Memo]]=0,"委外",record[[#This Row],[Memo]]))</f>
        <v>補報</v>
      </c>
      <c r="O1571" t="s">
        <v>868</v>
      </c>
      <c r="P1571" t="s">
        <v>101</v>
      </c>
      <c r="Q1571" t="s">
        <v>58</v>
      </c>
      <c r="R1571" t="str">
        <f>IFERROR(VLOOKUP(record[[#This Row],[PCUSTID]],廠商[],2,FALSE),"")</f>
        <v/>
      </c>
      <c r="S1571" t="str">
        <f>VLOOKUP(record[[#This Row],[employeeID]],員工[],2,FALSE)</f>
        <v>陳氏絨</v>
      </c>
    </row>
    <row r="1572" spans="6:19" hidden="1" x14ac:dyDescent="0.25">
      <c r="F1572" t="s">
        <v>1589</v>
      </c>
      <c r="G1572" t="s">
        <v>419</v>
      </c>
      <c r="H1572" t="str">
        <f>VLOOKUP(record[[#This Row],[ProcessSN]],表格2_7[],2,FALSE)</f>
        <v>30-4118-018-5XX</v>
      </c>
      <c r="I1572" t="str">
        <f>VLOOKUP(record[[#This Row],[ProcessSN]],表格2_7[],3,FALSE)</f>
        <v>#07QC</v>
      </c>
      <c r="J1572" t="s">
        <v>589</v>
      </c>
      <c r="K1572" s="195">
        <v>46133.491550925923</v>
      </c>
      <c r="L1572">
        <v>1</v>
      </c>
      <c r="M1572">
        <v>0</v>
      </c>
      <c r="N1572" s="98" t="str">
        <f>IF(record[[#This Row],[Memo]]="Browser:chrome os:android","平板報工",IF(record[[#This Row],[Memo]]=0,"委外",record[[#This Row],[Memo]]))</f>
        <v/>
      </c>
      <c r="O1572" t="s">
        <v>58</v>
      </c>
      <c r="P1572" t="s">
        <v>99</v>
      </c>
      <c r="Q1572" t="s">
        <v>58</v>
      </c>
      <c r="R1572" t="str">
        <f>IFERROR(VLOOKUP(record[[#This Row],[PCUSTID]],廠商[],2,FALSE),"")</f>
        <v/>
      </c>
      <c r="S1572" t="str">
        <f>VLOOKUP(record[[#This Row],[employeeID]],員工[],2,FALSE)</f>
        <v>阮氏河</v>
      </c>
    </row>
    <row r="1573" spans="6:19" hidden="1" x14ac:dyDescent="0.25">
      <c r="F1573" t="s">
        <v>1589</v>
      </c>
      <c r="G1573" t="s">
        <v>419</v>
      </c>
      <c r="H1573" t="str">
        <f>VLOOKUP(record[[#This Row],[ProcessSN]],表格2_7[],2,FALSE)</f>
        <v>30-4118-018-5XX</v>
      </c>
      <c r="I1573" t="str">
        <f>VLOOKUP(record[[#This Row],[ProcessSN]],表格2_7[],3,FALSE)</f>
        <v>#07QC</v>
      </c>
      <c r="J1573" t="s">
        <v>589</v>
      </c>
      <c r="K1573" s="195">
        <v>46133.491215277776</v>
      </c>
      <c r="L1573">
        <v>0</v>
      </c>
      <c r="M1573">
        <v>3</v>
      </c>
      <c r="N1573" s="98" t="str">
        <f>IF(record[[#This Row],[Memo]]="Browser:chrome os:android","平板報工",IF(record[[#This Row],[Memo]]=0,"委外",record[[#This Row],[Memo]]))</f>
        <v/>
      </c>
      <c r="O1573" t="s">
        <v>58</v>
      </c>
      <c r="P1573" t="s">
        <v>99</v>
      </c>
      <c r="Q1573" t="s">
        <v>58</v>
      </c>
      <c r="R1573" t="str">
        <f>IFERROR(VLOOKUP(record[[#This Row],[PCUSTID]],廠商[],2,FALSE),"")</f>
        <v/>
      </c>
      <c r="S1573" t="str">
        <f>VLOOKUP(record[[#This Row],[employeeID]],員工[],2,FALSE)</f>
        <v>阮氏河</v>
      </c>
    </row>
    <row r="1574" spans="6:19" hidden="1" x14ac:dyDescent="0.25">
      <c r="F1574" t="s">
        <v>1787</v>
      </c>
      <c r="G1574" t="s">
        <v>471</v>
      </c>
      <c r="H1574" t="str">
        <f>VLOOKUP(record[[#This Row],[ProcessSN]],表格2_7[],2,FALSE)</f>
        <v>30-4118-018-XXX</v>
      </c>
      <c r="I1574" t="str">
        <f>VLOOKUP(record[[#This Row],[ProcessSN]],表格2_7[],3,FALSE)</f>
        <v>#02STOCK</v>
      </c>
      <c r="J1574" t="s">
        <v>592</v>
      </c>
      <c r="K1574" s="195">
        <v>46133.415972222225</v>
      </c>
      <c r="L1574">
        <v>1659</v>
      </c>
      <c r="M1574">
        <v>0</v>
      </c>
      <c r="N1574" s="98" t="str">
        <f>IF(record[[#This Row],[Memo]]="Browser:chrome os:android","平板報工",IF(record[[#This Row],[Memo]]=0,"委外",record[[#This Row],[Memo]]))</f>
        <v/>
      </c>
      <c r="O1574" t="s">
        <v>58</v>
      </c>
      <c r="P1574" t="s">
        <v>1070</v>
      </c>
      <c r="Q1574" t="s">
        <v>58</v>
      </c>
      <c r="R1574" t="str">
        <f>IFERROR(VLOOKUP(record[[#This Row],[PCUSTID]],廠商[],2,FALSE),"")</f>
        <v/>
      </c>
      <c r="S1574" t="str">
        <f>VLOOKUP(record[[#This Row],[employeeID]],員工[],2,FALSE)</f>
        <v>陳昱佑</v>
      </c>
    </row>
    <row r="1575" spans="6:19" hidden="1" x14ac:dyDescent="0.25">
      <c r="F1575" t="s">
        <v>1859</v>
      </c>
      <c r="G1575" t="s">
        <v>446</v>
      </c>
      <c r="H1575" t="str">
        <f>VLOOKUP(record[[#This Row],[ProcessSN]],表格2_7[],2,FALSE)</f>
        <v>30-4118-018-6XX</v>
      </c>
      <c r="I1575" t="str">
        <f>VLOOKUP(record[[#This Row],[ProcessSN]],表格2_7[],3,FALSE)</f>
        <v>#03GIVE</v>
      </c>
      <c r="J1575" t="s">
        <v>587</v>
      </c>
      <c r="K1575" s="195">
        <v>46133.415694444448</v>
      </c>
      <c r="L1575">
        <v>999</v>
      </c>
      <c r="M1575">
        <v>0</v>
      </c>
      <c r="N1575" s="98" t="str">
        <f>IF(record[[#This Row],[Memo]]="Browser:chrome os:android","平板報工",IF(record[[#This Row],[Memo]]=0,"委外",record[[#This Row],[Memo]]))</f>
        <v/>
      </c>
      <c r="O1575" t="s">
        <v>58</v>
      </c>
      <c r="P1575" t="s">
        <v>1070</v>
      </c>
      <c r="Q1575" t="s">
        <v>58</v>
      </c>
      <c r="R1575" t="str">
        <f>IFERROR(VLOOKUP(record[[#This Row],[PCUSTID]],廠商[],2,FALSE),"")</f>
        <v/>
      </c>
      <c r="S1575" t="str">
        <f>VLOOKUP(record[[#This Row],[employeeID]],員工[],2,FALSE)</f>
        <v>陳昱佑</v>
      </c>
    </row>
    <row r="1576" spans="6:19" hidden="1" x14ac:dyDescent="0.25">
      <c r="F1576" t="s">
        <v>1859</v>
      </c>
      <c r="G1576" t="s">
        <v>445</v>
      </c>
      <c r="H1576" t="str">
        <f>VLOOKUP(record[[#This Row],[ProcessSN]],表格2_7[],2,FALSE)</f>
        <v>30-4118-018-6XX</v>
      </c>
      <c r="I1576" t="str">
        <f>VLOOKUP(record[[#This Row],[ProcessSN]],表格2_7[],3,FALSE)</f>
        <v>#03PICK</v>
      </c>
      <c r="J1576" t="s">
        <v>582</v>
      </c>
      <c r="K1576" s="195">
        <v>46133.415497685186</v>
      </c>
      <c r="L1576">
        <v>999</v>
      </c>
      <c r="M1576">
        <v>0</v>
      </c>
      <c r="N1576" s="98" t="str">
        <f>IF(record[[#This Row],[Memo]]="Browser:chrome os:android","平板報工",IF(record[[#This Row],[Memo]]=0,"委外",record[[#This Row],[Memo]]))</f>
        <v>999</v>
      </c>
      <c r="O1576" t="s">
        <v>1860</v>
      </c>
      <c r="P1576" t="s">
        <v>1070</v>
      </c>
      <c r="Q1576" t="s">
        <v>58</v>
      </c>
      <c r="R1576" t="str">
        <f>IFERROR(VLOOKUP(record[[#This Row],[PCUSTID]],廠商[],2,FALSE),"")</f>
        <v/>
      </c>
      <c r="S1576" t="str">
        <f>VLOOKUP(record[[#This Row],[employeeID]],員工[],2,FALSE)</f>
        <v>陳昱佑</v>
      </c>
    </row>
    <row r="1577" spans="6:19" hidden="1" x14ac:dyDescent="0.25">
      <c r="F1577" t="s">
        <v>1850</v>
      </c>
      <c r="G1577" t="s">
        <v>413</v>
      </c>
      <c r="H1577" t="str">
        <f>VLOOKUP(record[[#This Row],[ProcessSN]],表格2_7[],2,FALSE)</f>
        <v>30-4118-018-5XX</v>
      </c>
      <c r="I1577" t="str">
        <f>VLOOKUP(record[[#This Row],[ProcessSN]],表格2_7[],3,FALSE)</f>
        <v>#03GIVE</v>
      </c>
      <c r="J1577" t="s">
        <v>587</v>
      </c>
      <c r="K1577" s="195">
        <v>46133.415370370371</v>
      </c>
      <c r="L1577">
        <v>1500</v>
      </c>
      <c r="M1577">
        <v>0</v>
      </c>
      <c r="N1577" s="98" t="str">
        <f>IF(record[[#This Row],[Memo]]="Browser:chrome os:android","平板報工",IF(record[[#This Row],[Memo]]=0,"委外",record[[#This Row],[Memo]]))</f>
        <v/>
      </c>
      <c r="O1577" t="s">
        <v>58</v>
      </c>
      <c r="P1577" t="s">
        <v>1070</v>
      </c>
      <c r="Q1577" t="s">
        <v>58</v>
      </c>
      <c r="R1577" t="str">
        <f>IFERROR(VLOOKUP(record[[#This Row],[PCUSTID]],廠商[],2,FALSE),"")</f>
        <v/>
      </c>
      <c r="S1577" t="str">
        <f>VLOOKUP(record[[#This Row],[employeeID]],員工[],2,FALSE)</f>
        <v>陳昱佑</v>
      </c>
    </row>
    <row r="1578" spans="6:19" hidden="1" x14ac:dyDescent="0.25">
      <c r="F1578" t="s">
        <v>1850</v>
      </c>
      <c r="G1578" t="s">
        <v>412</v>
      </c>
      <c r="H1578" t="str">
        <f>VLOOKUP(record[[#This Row],[ProcessSN]],表格2_7[],2,FALSE)</f>
        <v>30-4118-018-5XX</v>
      </c>
      <c r="I1578" t="str">
        <f>VLOOKUP(record[[#This Row],[ProcessSN]],表格2_7[],3,FALSE)</f>
        <v>#03PICK</v>
      </c>
      <c r="J1578" t="s">
        <v>582</v>
      </c>
      <c r="K1578" s="195">
        <v>46133.415173611109</v>
      </c>
      <c r="L1578">
        <v>1500</v>
      </c>
      <c r="M1578">
        <v>0</v>
      </c>
      <c r="N1578" s="98" t="str">
        <f>IF(record[[#This Row],[Memo]]="Browser:chrome os:android","平板報工",IF(record[[#This Row],[Memo]]=0,"委外",record[[#This Row],[Memo]]))</f>
        <v>1500</v>
      </c>
      <c r="O1578" t="s">
        <v>1858</v>
      </c>
      <c r="P1578" t="s">
        <v>1070</v>
      </c>
      <c r="Q1578" t="s">
        <v>58</v>
      </c>
      <c r="R1578" t="str">
        <f>IFERROR(VLOOKUP(record[[#This Row],[PCUSTID]],廠商[],2,FALSE),"")</f>
        <v/>
      </c>
      <c r="S1578" t="str">
        <f>VLOOKUP(record[[#This Row],[employeeID]],員工[],2,FALSE)</f>
        <v>陳昱佑</v>
      </c>
    </row>
    <row r="1579" spans="6:19" hidden="1" x14ac:dyDescent="0.25">
      <c r="F1579" t="s">
        <v>1637</v>
      </c>
      <c r="G1579" t="s">
        <v>452</v>
      </c>
      <c r="H1579" t="str">
        <f>VLOOKUP(record[[#This Row],[ProcessSN]],表格2_7[],2,FALSE)</f>
        <v>30-4118-018-6XX</v>
      </c>
      <c r="I1579" t="str">
        <f>VLOOKUP(record[[#This Row],[ProcessSN]],表格2_7[],3,FALSE)</f>
        <v>#07QC</v>
      </c>
      <c r="J1579" t="s">
        <v>589</v>
      </c>
      <c r="K1579" s="195">
        <v>46133.387835648151</v>
      </c>
      <c r="L1579">
        <v>0</v>
      </c>
      <c r="M1579">
        <v>12</v>
      </c>
      <c r="N1579" s="98" t="str">
        <f>IF(record[[#This Row],[Memo]]="Browser:chrome os:android","平板報工",IF(record[[#This Row],[Memo]]=0,"委外",record[[#This Row],[Memo]]))</f>
        <v/>
      </c>
      <c r="O1579" t="s">
        <v>58</v>
      </c>
      <c r="P1579" t="s">
        <v>99</v>
      </c>
      <c r="Q1579" t="s">
        <v>58</v>
      </c>
      <c r="R1579" t="str">
        <f>IFERROR(VLOOKUP(record[[#This Row],[PCUSTID]],廠商[],2,FALSE),"")</f>
        <v/>
      </c>
      <c r="S1579" t="str">
        <f>VLOOKUP(record[[#This Row],[employeeID]],員工[],2,FALSE)</f>
        <v>阮氏河</v>
      </c>
    </row>
    <row r="1580" spans="6:19" hidden="1" x14ac:dyDescent="0.25">
      <c r="F1580" t="s">
        <v>1787</v>
      </c>
      <c r="G1580" t="s">
        <v>469</v>
      </c>
      <c r="H1580" t="str">
        <f>VLOOKUP(record[[#This Row],[ProcessSN]],表格2_7[],2,FALSE)</f>
        <v>30-4118-018-XXX</v>
      </c>
      <c r="I1580" t="str">
        <f>VLOOKUP(record[[#This Row],[ProcessSN]],表格2_7[],3,FALSE)</f>
        <v>#02RCV</v>
      </c>
      <c r="J1580" t="s">
        <v>591</v>
      </c>
      <c r="K1580" s="195">
        <v>46133.378958333335</v>
      </c>
      <c r="L1580">
        <v>672</v>
      </c>
      <c r="M1580">
        <v>0</v>
      </c>
      <c r="N1580" s="98" t="str">
        <f>IF(record[[#This Row],[Memo]]="Browser:chrome os:android","平板報工",IF(record[[#This Row],[Memo]]=0,"委外",record[[#This Row],[Memo]]))</f>
        <v/>
      </c>
      <c r="O1580" t="s">
        <v>58</v>
      </c>
      <c r="P1580" t="s">
        <v>186</v>
      </c>
      <c r="Q1580" t="s">
        <v>58</v>
      </c>
      <c r="R1580" t="str">
        <f>IFERROR(VLOOKUP(record[[#This Row],[PCUSTID]],廠商[],2,FALSE),"")</f>
        <v/>
      </c>
      <c r="S1580" t="str">
        <f>VLOOKUP(record[[#This Row],[employeeID]],員工[],2,FALSE)</f>
        <v>許文姍</v>
      </c>
    </row>
    <row r="1581" spans="6:19" hidden="1" x14ac:dyDescent="0.25">
      <c r="F1581" t="s">
        <v>1772</v>
      </c>
      <c r="G1581" t="s">
        <v>469</v>
      </c>
      <c r="H1581" t="str">
        <f>VLOOKUP(record[[#This Row],[ProcessSN]],表格2_7[],2,FALSE)</f>
        <v>30-4118-018-XXX</v>
      </c>
      <c r="I1581" t="str">
        <f>VLOOKUP(record[[#This Row],[ProcessSN]],表格2_7[],3,FALSE)</f>
        <v>#02RCV</v>
      </c>
      <c r="J1581" t="s">
        <v>591</v>
      </c>
      <c r="K1581" s="195">
        <v>46133.37841435185</v>
      </c>
      <c r="L1581">
        <v>168</v>
      </c>
      <c r="M1581">
        <v>0</v>
      </c>
      <c r="N1581" s="98" t="str">
        <f>IF(record[[#This Row],[Memo]]="Browser:chrome os:android","平板報工",IF(record[[#This Row],[Memo]]=0,"委外",record[[#This Row],[Memo]]))</f>
        <v/>
      </c>
      <c r="O1581" t="s">
        <v>58</v>
      </c>
      <c r="P1581" t="s">
        <v>186</v>
      </c>
      <c r="Q1581" t="s">
        <v>58</v>
      </c>
      <c r="R1581" t="str">
        <f>IFERROR(VLOOKUP(record[[#This Row],[PCUSTID]],廠商[],2,FALSE),"")</f>
        <v/>
      </c>
      <c r="S1581" t="str">
        <f>VLOOKUP(record[[#This Row],[employeeID]],員工[],2,FALSE)</f>
        <v>許文姍</v>
      </c>
    </row>
    <row r="1582" spans="6:19" hidden="1" x14ac:dyDescent="0.25">
      <c r="F1582" t="s">
        <v>1772</v>
      </c>
      <c r="G1582" t="s">
        <v>468</v>
      </c>
      <c r="H1582" t="str">
        <f>VLOOKUP(record[[#This Row],[ProcessSN]],表格2_7[],2,FALSE)</f>
        <v>30-4118-018-XXX</v>
      </c>
      <c r="I1582" t="str">
        <f>VLOOKUP(record[[#This Row],[ProcessSN]],表格2_7[],3,FALSE)</f>
        <v>#02</v>
      </c>
      <c r="J1582" t="s">
        <v>590</v>
      </c>
      <c r="K1582" s="195">
        <v>46133.370046296295</v>
      </c>
      <c r="L1582">
        <v>1176</v>
      </c>
      <c r="M1582">
        <v>0</v>
      </c>
      <c r="N1582" s="98" t="str">
        <f>IF(record[[#This Row],[Memo]]="Browser:chrome os:android","平板報工",IF(record[[#This Row],[Memo]]=0,"委外",record[[#This Row],[Memo]]))</f>
        <v>委外</v>
      </c>
      <c r="P1582" t="s">
        <v>186</v>
      </c>
      <c r="Q1582" t="s">
        <v>216</v>
      </c>
      <c r="R1582" t="str">
        <f>IFERROR(VLOOKUP(record[[#This Row],[PCUSTID]],廠商[],2,FALSE),"")</f>
        <v>俊杰</v>
      </c>
      <c r="S1582" t="str">
        <f>VLOOKUP(record[[#This Row],[employeeID]],員工[],2,FALSE)</f>
        <v>許文姍</v>
      </c>
    </row>
    <row r="1583" spans="6:19" hidden="1" x14ac:dyDescent="0.25">
      <c r="F1583" t="s">
        <v>1686</v>
      </c>
      <c r="G1583" t="s">
        <v>428</v>
      </c>
      <c r="H1583" t="str">
        <f>VLOOKUP(record[[#This Row],[ProcessSN]],表格2_7[],2,FALSE)</f>
        <v>30-4118-018-600</v>
      </c>
      <c r="I1583" t="str">
        <f>VLOOKUP(record[[#This Row],[ProcessSN]],表格2_7[],3,FALSE)</f>
        <v>#100SHIP</v>
      </c>
      <c r="J1583" t="s">
        <v>600</v>
      </c>
      <c r="K1583" s="195">
        <v>46133.368726851855</v>
      </c>
      <c r="L1583">
        <v>20</v>
      </c>
      <c r="M1583">
        <v>0</v>
      </c>
      <c r="N1583" s="98" t="str">
        <f>IF(record[[#This Row],[Memo]]="Browser:chrome os:android","平板報工",IF(record[[#This Row],[Memo]]=0,"委外",record[[#This Row],[Memo]]))</f>
        <v>1.5露白 出組裝</v>
      </c>
      <c r="O1583" t="s">
        <v>1282</v>
      </c>
      <c r="P1583" t="s">
        <v>886</v>
      </c>
      <c r="Q1583" t="s">
        <v>58</v>
      </c>
      <c r="R1583" t="str">
        <f>IFERROR(VLOOKUP(record[[#This Row],[PCUSTID]],廠商[],2,FALSE),"")</f>
        <v/>
      </c>
      <c r="S1583" t="str">
        <f>VLOOKUP(record[[#This Row],[employeeID]],員工[],2,FALSE)</f>
        <v>謝蓁薰</v>
      </c>
    </row>
    <row r="1584" spans="6:19" hidden="1" x14ac:dyDescent="0.25">
      <c r="F1584" t="s">
        <v>1686</v>
      </c>
      <c r="G1584" t="s">
        <v>427</v>
      </c>
      <c r="H1584" t="str">
        <f>VLOOKUP(record[[#This Row],[ProcessSN]],表格2_7[],2,FALSE)</f>
        <v>30-4118-018-600</v>
      </c>
      <c r="I1584" t="str">
        <f>VLOOKUP(record[[#This Row],[ProcessSN]],表格2_7[],3,FALSE)</f>
        <v>#100STOCK</v>
      </c>
      <c r="J1584" t="s">
        <v>592</v>
      </c>
      <c r="K1584" s="195">
        <v>46133.368530092594</v>
      </c>
      <c r="L1584">
        <v>20</v>
      </c>
      <c r="M1584">
        <v>0</v>
      </c>
      <c r="N1584" s="98" t="str">
        <f>IF(record[[#This Row],[Memo]]="Browser:chrome os:android","平板報工",IF(record[[#This Row],[Memo]]=0,"委外",record[[#This Row],[Memo]]))</f>
        <v/>
      </c>
      <c r="O1584" t="s">
        <v>58</v>
      </c>
      <c r="P1584" t="s">
        <v>886</v>
      </c>
      <c r="Q1584" t="s">
        <v>58</v>
      </c>
      <c r="R1584" t="str">
        <f>IFERROR(VLOOKUP(record[[#This Row],[PCUSTID]],廠商[],2,FALSE),"")</f>
        <v/>
      </c>
      <c r="S1584" t="str">
        <f>VLOOKUP(record[[#This Row],[employeeID]],員工[],2,FALSE)</f>
        <v>謝蓁薰</v>
      </c>
    </row>
    <row r="1585" spans="6:19" hidden="1" x14ac:dyDescent="0.25">
      <c r="F1585" t="s">
        <v>1686</v>
      </c>
      <c r="G1585" t="s">
        <v>426</v>
      </c>
      <c r="H1585" t="str">
        <f>VLOOKUP(record[[#This Row],[ProcessSN]],表格2_7[],2,FALSE)</f>
        <v>30-4118-018-600</v>
      </c>
      <c r="I1585" t="str">
        <f>VLOOKUP(record[[#This Row],[ProcessSN]],表格2_7[],3,FALSE)</f>
        <v>#100OQC</v>
      </c>
      <c r="J1585" t="s">
        <v>599</v>
      </c>
      <c r="K1585" s="195">
        <v>46133.368425925924</v>
      </c>
      <c r="L1585">
        <v>20</v>
      </c>
      <c r="M1585">
        <v>0</v>
      </c>
      <c r="N1585" s="98" t="str">
        <f>IF(record[[#This Row],[Memo]]="Browser:chrome os:android","平板報工",IF(record[[#This Row],[Memo]]=0,"委外",record[[#This Row],[Memo]]))</f>
        <v>1.5露白</v>
      </c>
      <c r="O1585" t="s">
        <v>1827</v>
      </c>
      <c r="P1585" t="s">
        <v>886</v>
      </c>
      <c r="Q1585" t="s">
        <v>58</v>
      </c>
      <c r="R1585" t="str">
        <f>IFERROR(VLOOKUP(record[[#This Row],[PCUSTID]],廠商[],2,FALSE),"")</f>
        <v/>
      </c>
      <c r="S1585" t="str">
        <f>VLOOKUP(record[[#This Row],[employeeID]],員工[],2,FALSE)</f>
        <v>謝蓁薰</v>
      </c>
    </row>
    <row r="1586" spans="6:19" hidden="1" x14ac:dyDescent="0.25">
      <c r="F1586" t="s">
        <v>1686</v>
      </c>
      <c r="G1586" t="s">
        <v>425</v>
      </c>
      <c r="H1586" t="str">
        <f>VLOOKUP(record[[#This Row],[ProcessSN]],表格2_7[],2,FALSE)</f>
        <v>30-4118-018-600</v>
      </c>
      <c r="I1586" t="str">
        <f>VLOOKUP(record[[#This Row],[ProcessSN]],表格2_7[],3,FALSE)</f>
        <v>#100</v>
      </c>
      <c r="J1586" t="s">
        <v>598</v>
      </c>
      <c r="K1586" s="195">
        <v>46133.368298611109</v>
      </c>
      <c r="L1586">
        <v>20</v>
      </c>
      <c r="M1586">
        <v>0</v>
      </c>
      <c r="N1586" s="98" t="str">
        <f>IF(record[[#This Row],[Memo]]="Browser:chrome os:android","平板報工",IF(record[[#This Row],[Memo]]=0,"委外",record[[#This Row],[Memo]]))</f>
        <v>1.5露白</v>
      </c>
      <c r="O1586" t="s">
        <v>1827</v>
      </c>
      <c r="P1586" t="s">
        <v>886</v>
      </c>
      <c r="Q1586" t="s">
        <v>58</v>
      </c>
      <c r="R1586" t="str">
        <f>IFERROR(VLOOKUP(record[[#This Row],[PCUSTID]],廠商[],2,FALSE),"")</f>
        <v/>
      </c>
      <c r="S1586" t="str">
        <f>VLOOKUP(record[[#This Row],[employeeID]],員工[],2,FALSE)</f>
        <v>謝蓁薰</v>
      </c>
    </row>
    <row r="1587" spans="6:19" hidden="1" x14ac:dyDescent="0.25">
      <c r="F1587" t="s">
        <v>1686</v>
      </c>
      <c r="G1587" t="s">
        <v>425</v>
      </c>
      <c r="H1587" t="str">
        <f>VLOOKUP(record[[#This Row],[ProcessSN]],表格2_7[],2,FALSE)</f>
        <v>30-4118-018-600</v>
      </c>
      <c r="I1587" t="str">
        <f>VLOOKUP(record[[#This Row],[ProcessSN]],表格2_7[],3,FALSE)</f>
        <v>#100</v>
      </c>
      <c r="J1587" t="s">
        <v>598</v>
      </c>
      <c r="K1587" s="195">
        <v>46133.368125000001</v>
      </c>
      <c r="L1587">
        <v>0</v>
      </c>
      <c r="M1587">
        <v>-20</v>
      </c>
      <c r="N1587" s="98" t="str">
        <f>IF(record[[#This Row],[Memo]]="Browser:chrome os:android","平板報工",IF(record[[#This Row],[Memo]]=0,"委外",record[[#This Row],[Memo]]))</f>
        <v>1.5露白</v>
      </c>
      <c r="O1587" t="s">
        <v>1827</v>
      </c>
      <c r="P1587" t="s">
        <v>886</v>
      </c>
      <c r="Q1587" t="s">
        <v>58</v>
      </c>
      <c r="R1587" t="str">
        <f>IFERROR(VLOOKUP(record[[#This Row],[PCUSTID]],廠商[],2,FALSE),"")</f>
        <v/>
      </c>
      <c r="S1587" t="str">
        <f>VLOOKUP(record[[#This Row],[employeeID]],員工[],2,FALSE)</f>
        <v>謝蓁薰</v>
      </c>
    </row>
    <row r="1588" spans="6:19" hidden="1" x14ac:dyDescent="0.25">
      <c r="F1588" t="s">
        <v>1705</v>
      </c>
      <c r="G1588" t="s">
        <v>428</v>
      </c>
      <c r="H1588" t="str">
        <f>VLOOKUP(record[[#This Row],[ProcessSN]],表格2_7[],2,FALSE)</f>
        <v>30-4118-018-600</v>
      </c>
      <c r="I1588" t="str">
        <f>VLOOKUP(record[[#This Row],[ProcessSN]],表格2_7[],3,FALSE)</f>
        <v>#100SHIP</v>
      </c>
      <c r="J1588" t="s">
        <v>600</v>
      </c>
      <c r="K1588" s="195">
        <v>46133.367129629631</v>
      </c>
      <c r="L1588">
        <v>7</v>
      </c>
      <c r="M1588">
        <v>0</v>
      </c>
      <c r="N1588" s="98" t="str">
        <f>IF(record[[#This Row],[Memo]]="Browser:chrome os:android","平板報工",IF(record[[#This Row],[Memo]]=0,"委外",record[[#This Row],[Memo]]))</f>
        <v>1.5露白 出組裝</v>
      </c>
      <c r="O1588" t="s">
        <v>1282</v>
      </c>
      <c r="P1588" t="s">
        <v>886</v>
      </c>
      <c r="Q1588" t="s">
        <v>58</v>
      </c>
      <c r="R1588" t="str">
        <f>IFERROR(VLOOKUP(record[[#This Row],[PCUSTID]],廠商[],2,FALSE),"")</f>
        <v/>
      </c>
      <c r="S1588" t="str">
        <f>VLOOKUP(record[[#This Row],[employeeID]],員工[],2,FALSE)</f>
        <v>謝蓁薰</v>
      </c>
    </row>
    <row r="1589" spans="6:19" hidden="1" x14ac:dyDescent="0.25">
      <c r="F1589" t="s">
        <v>1705</v>
      </c>
      <c r="G1589" t="s">
        <v>427</v>
      </c>
      <c r="H1589" t="str">
        <f>VLOOKUP(record[[#This Row],[ProcessSN]],表格2_7[],2,FALSE)</f>
        <v>30-4118-018-600</v>
      </c>
      <c r="I1589" t="str">
        <f>VLOOKUP(record[[#This Row],[ProcessSN]],表格2_7[],3,FALSE)</f>
        <v>#100STOCK</v>
      </c>
      <c r="J1589" t="s">
        <v>592</v>
      </c>
      <c r="K1589" s="195">
        <v>46133.366851851853</v>
      </c>
      <c r="L1589">
        <v>7</v>
      </c>
      <c r="M1589">
        <v>0</v>
      </c>
      <c r="N1589" s="98" t="str">
        <f>IF(record[[#This Row],[Memo]]="Browser:chrome os:android","平板報工",IF(record[[#This Row],[Memo]]=0,"委外",record[[#This Row],[Memo]]))</f>
        <v/>
      </c>
      <c r="O1589" t="s">
        <v>58</v>
      </c>
      <c r="P1589" t="s">
        <v>886</v>
      </c>
      <c r="Q1589" t="s">
        <v>58</v>
      </c>
      <c r="R1589" t="str">
        <f>IFERROR(VLOOKUP(record[[#This Row],[PCUSTID]],廠商[],2,FALSE),"")</f>
        <v/>
      </c>
      <c r="S1589" t="str">
        <f>VLOOKUP(record[[#This Row],[employeeID]],員工[],2,FALSE)</f>
        <v>謝蓁薰</v>
      </c>
    </row>
    <row r="1590" spans="6:19" hidden="1" x14ac:dyDescent="0.25">
      <c r="F1590" t="s">
        <v>1705</v>
      </c>
      <c r="G1590" t="s">
        <v>426</v>
      </c>
      <c r="H1590" t="str">
        <f>VLOOKUP(record[[#This Row],[ProcessSN]],表格2_7[],2,FALSE)</f>
        <v>30-4118-018-600</v>
      </c>
      <c r="I1590" t="str">
        <f>VLOOKUP(record[[#This Row],[ProcessSN]],表格2_7[],3,FALSE)</f>
        <v>#100OQC</v>
      </c>
      <c r="J1590" t="s">
        <v>599</v>
      </c>
      <c r="K1590" s="195">
        <v>46133.366736111115</v>
      </c>
      <c r="L1590">
        <v>7</v>
      </c>
      <c r="M1590">
        <v>0</v>
      </c>
      <c r="N1590" s="98" t="str">
        <f>IF(record[[#This Row],[Memo]]="Browser:chrome os:android","平板報工",IF(record[[#This Row],[Memo]]=0,"委外",record[[#This Row],[Memo]]))</f>
        <v>1.5露白</v>
      </c>
      <c r="O1590" t="s">
        <v>1827</v>
      </c>
      <c r="P1590" t="s">
        <v>886</v>
      </c>
      <c r="Q1590" t="s">
        <v>58</v>
      </c>
      <c r="R1590" t="str">
        <f>IFERROR(VLOOKUP(record[[#This Row],[PCUSTID]],廠商[],2,FALSE),"")</f>
        <v/>
      </c>
      <c r="S1590" t="str">
        <f>VLOOKUP(record[[#This Row],[employeeID]],員工[],2,FALSE)</f>
        <v>謝蓁薰</v>
      </c>
    </row>
    <row r="1591" spans="6:19" hidden="1" x14ac:dyDescent="0.25">
      <c r="F1591" t="s">
        <v>1705</v>
      </c>
      <c r="G1591" t="s">
        <v>425</v>
      </c>
      <c r="H1591" t="str">
        <f>VLOOKUP(record[[#This Row],[ProcessSN]],表格2_7[],2,FALSE)</f>
        <v>30-4118-018-600</v>
      </c>
      <c r="I1591" t="str">
        <f>VLOOKUP(record[[#This Row],[ProcessSN]],表格2_7[],3,FALSE)</f>
        <v>#100</v>
      </c>
      <c r="J1591" t="s">
        <v>598</v>
      </c>
      <c r="K1591" s="195">
        <v>46133.366608796299</v>
      </c>
      <c r="L1591">
        <v>7</v>
      </c>
      <c r="M1591">
        <v>0</v>
      </c>
      <c r="N1591" s="98" t="str">
        <f>IF(record[[#This Row],[Memo]]="Browser:chrome os:android","平板報工",IF(record[[#This Row],[Memo]]=0,"委外",record[[#This Row],[Memo]]))</f>
        <v>1.5露白</v>
      </c>
      <c r="O1591" t="s">
        <v>1827</v>
      </c>
      <c r="P1591" t="s">
        <v>886</v>
      </c>
      <c r="Q1591" t="s">
        <v>58</v>
      </c>
      <c r="R1591" t="str">
        <f>IFERROR(VLOOKUP(record[[#This Row],[PCUSTID]],廠商[],2,FALSE),"")</f>
        <v/>
      </c>
      <c r="S1591" t="str">
        <f>VLOOKUP(record[[#This Row],[employeeID]],員工[],2,FALSE)</f>
        <v>謝蓁薰</v>
      </c>
    </row>
    <row r="1592" spans="6:19" hidden="1" x14ac:dyDescent="0.25">
      <c r="F1592" t="s">
        <v>1705</v>
      </c>
      <c r="G1592" t="s">
        <v>425</v>
      </c>
      <c r="H1592" t="str">
        <f>VLOOKUP(record[[#This Row],[ProcessSN]],表格2_7[],2,FALSE)</f>
        <v>30-4118-018-600</v>
      </c>
      <c r="I1592" t="str">
        <f>VLOOKUP(record[[#This Row],[ProcessSN]],表格2_7[],3,FALSE)</f>
        <v>#100</v>
      </c>
      <c r="J1592" t="s">
        <v>598</v>
      </c>
      <c r="K1592" s="195">
        <v>46133.366469907407</v>
      </c>
      <c r="L1592">
        <v>0</v>
      </c>
      <c r="M1592">
        <v>-7</v>
      </c>
      <c r="N1592" s="98" t="str">
        <f>IF(record[[#This Row],[Memo]]="Browser:chrome os:android","平板報工",IF(record[[#This Row],[Memo]]=0,"委外",record[[#This Row],[Memo]]))</f>
        <v>1.5露白</v>
      </c>
      <c r="O1592" t="s">
        <v>1827</v>
      </c>
      <c r="P1592" t="s">
        <v>886</v>
      </c>
      <c r="Q1592" t="s">
        <v>58</v>
      </c>
      <c r="R1592" t="str">
        <f>IFERROR(VLOOKUP(record[[#This Row],[PCUSTID]],廠商[],2,FALSE),"")</f>
        <v/>
      </c>
      <c r="S1592" t="str">
        <f>VLOOKUP(record[[#This Row],[employeeID]],員工[],2,FALSE)</f>
        <v>謝蓁薰</v>
      </c>
    </row>
    <row r="1593" spans="6:19" hidden="1" x14ac:dyDescent="0.25">
      <c r="F1593" t="s">
        <v>1639</v>
      </c>
      <c r="G1593" t="s">
        <v>428</v>
      </c>
      <c r="H1593" t="str">
        <f>VLOOKUP(record[[#This Row],[ProcessSN]],表格2_7[],2,FALSE)</f>
        <v>30-4118-018-600</v>
      </c>
      <c r="I1593" t="str">
        <f>VLOOKUP(record[[#This Row],[ProcessSN]],表格2_7[],3,FALSE)</f>
        <v>#100SHIP</v>
      </c>
      <c r="J1593" t="s">
        <v>600</v>
      </c>
      <c r="K1593" s="195">
        <v>46133.365254629629</v>
      </c>
      <c r="L1593">
        <v>2</v>
      </c>
      <c r="M1593">
        <v>0</v>
      </c>
      <c r="N1593" s="98" t="str">
        <f>IF(record[[#This Row],[Memo]]="Browser:chrome os:android","平板報工",IF(record[[#This Row],[Memo]]=0,"委外",record[[#This Row],[Memo]]))</f>
        <v>1.5露白 出組裝</v>
      </c>
      <c r="O1593" t="s">
        <v>1282</v>
      </c>
      <c r="P1593" t="s">
        <v>886</v>
      </c>
      <c r="Q1593" t="s">
        <v>58</v>
      </c>
      <c r="R1593" t="str">
        <f>IFERROR(VLOOKUP(record[[#This Row],[PCUSTID]],廠商[],2,FALSE),"")</f>
        <v/>
      </c>
      <c r="S1593" t="str">
        <f>VLOOKUP(record[[#This Row],[employeeID]],員工[],2,FALSE)</f>
        <v>謝蓁薰</v>
      </c>
    </row>
    <row r="1594" spans="6:19" hidden="1" x14ac:dyDescent="0.25">
      <c r="F1594" t="s">
        <v>1639</v>
      </c>
      <c r="G1594" t="s">
        <v>427</v>
      </c>
      <c r="H1594" t="str">
        <f>VLOOKUP(record[[#This Row],[ProcessSN]],表格2_7[],2,FALSE)</f>
        <v>30-4118-018-600</v>
      </c>
      <c r="I1594" t="str">
        <f>VLOOKUP(record[[#This Row],[ProcessSN]],表格2_7[],3,FALSE)</f>
        <v>#100STOCK</v>
      </c>
      <c r="J1594" t="s">
        <v>592</v>
      </c>
      <c r="K1594" s="195">
        <v>46133.365057870367</v>
      </c>
      <c r="L1594">
        <v>2</v>
      </c>
      <c r="M1594">
        <v>0</v>
      </c>
      <c r="N1594" s="98" t="str">
        <f>IF(record[[#This Row],[Memo]]="Browser:chrome os:android","平板報工",IF(record[[#This Row],[Memo]]=0,"委外",record[[#This Row],[Memo]]))</f>
        <v/>
      </c>
      <c r="O1594" t="s">
        <v>58</v>
      </c>
      <c r="P1594" t="s">
        <v>886</v>
      </c>
      <c r="Q1594" t="s">
        <v>58</v>
      </c>
      <c r="R1594" t="str">
        <f>IFERROR(VLOOKUP(record[[#This Row],[PCUSTID]],廠商[],2,FALSE),"")</f>
        <v/>
      </c>
      <c r="S1594" t="str">
        <f>VLOOKUP(record[[#This Row],[employeeID]],員工[],2,FALSE)</f>
        <v>謝蓁薰</v>
      </c>
    </row>
    <row r="1595" spans="6:19" hidden="1" x14ac:dyDescent="0.25">
      <c r="F1595" t="s">
        <v>1639</v>
      </c>
      <c r="G1595" t="s">
        <v>426</v>
      </c>
      <c r="H1595" t="str">
        <f>VLOOKUP(record[[#This Row],[ProcessSN]],表格2_7[],2,FALSE)</f>
        <v>30-4118-018-600</v>
      </c>
      <c r="I1595" t="str">
        <f>VLOOKUP(record[[#This Row],[ProcessSN]],表格2_7[],3,FALSE)</f>
        <v>#100OQC</v>
      </c>
      <c r="J1595" t="s">
        <v>599</v>
      </c>
      <c r="K1595" s="195">
        <v>46133.364942129629</v>
      </c>
      <c r="L1595">
        <v>2</v>
      </c>
      <c r="M1595">
        <v>0</v>
      </c>
      <c r="N1595" s="98" t="str">
        <f>IF(record[[#This Row],[Memo]]="Browser:chrome os:android","平板報工",IF(record[[#This Row],[Memo]]=0,"委外",record[[#This Row],[Memo]]))</f>
        <v>1.5露白</v>
      </c>
      <c r="O1595" t="s">
        <v>1827</v>
      </c>
      <c r="P1595" t="s">
        <v>886</v>
      </c>
      <c r="Q1595" t="s">
        <v>58</v>
      </c>
      <c r="R1595" t="str">
        <f>IFERROR(VLOOKUP(record[[#This Row],[PCUSTID]],廠商[],2,FALSE),"")</f>
        <v/>
      </c>
      <c r="S1595" t="str">
        <f>VLOOKUP(record[[#This Row],[employeeID]],員工[],2,FALSE)</f>
        <v>謝蓁薰</v>
      </c>
    </row>
    <row r="1596" spans="6:19" hidden="1" x14ac:dyDescent="0.25">
      <c r="F1596" t="s">
        <v>1639</v>
      </c>
      <c r="G1596" t="s">
        <v>425</v>
      </c>
      <c r="H1596" t="str">
        <f>VLOOKUP(record[[#This Row],[ProcessSN]],表格2_7[],2,FALSE)</f>
        <v>30-4118-018-600</v>
      </c>
      <c r="I1596" t="str">
        <f>VLOOKUP(record[[#This Row],[ProcessSN]],表格2_7[],3,FALSE)</f>
        <v>#100</v>
      </c>
      <c r="J1596" t="s">
        <v>598</v>
      </c>
      <c r="K1596" s="195">
        <v>46133.364791666667</v>
      </c>
      <c r="L1596">
        <v>2</v>
      </c>
      <c r="M1596">
        <v>0</v>
      </c>
      <c r="N1596" s="98" t="str">
        <f>IF(record[[#This Row],[Memo]]="Browser:chrome os:android","平板報工",IF(record[[#This Row],[Memo]]=0,"委外",record[[#This Row],[Memo]]))</f>
        <v>1.5露白</v>
      </c>
      <c r="O1596" t="s">
        <v>1827</v>
      </c>
      <c r="P1596" t="s">
        <v>886</v>
      </c>
      <c r="Q1596" t="s">
        <v>58</v>
      </c>
      <c r="R1596" t="str">
        <f>IFERROR(VLOOKUP(record[[#This Row],[PCUSTID]],廠商[],2,FALSE),"")</f>
        <v/>
      </c>
      <c r="S1596" t="str">
        <f>VLOOKUP(record[[#This Row],[employeeID]],員工[],2,FALSE)</f>
        <v>謝蓁薰</v>
      </c>
    </row>
    <row r="1597" spans="6:19" hidden="1" x14ac:dyDescent="0.25">
      <c r="F1597" t="s">
        <v>1639</v>
      </c>
      <c r="G1597" t="s">
        <v>425</v>
      </c>
      <c r="H1597" t="str">
        <f>VLOOKUP(record[[#This Row],[ProcessSN]],表格2_7[],2,FALSE)</f>
        <v>30-4118-018-600</v>
      </c>
      <c r="I1597" t="str">
        <f>VLOOKUP(record[[#This Row],[ProcessSN]],表格2_7[],3,FALSE)</f>
        <v>#100</v>
      </c>
      <c r="J1597" t="s">
        <v>598</v>
      </c>
      <c r="K1597" s="195">
        <v>46133.364606481482</v>
      </c>
      <c r="L1597">
        <v>0</v>
      </c>
      <c r="M1597">
        <v>3</v>
      </c>
      <c r="N1597" s="98" t="str">
        <f>IF(record[[#This Row],[Memo]]="Browser:chrome os:android","平板報工",IF(record[[#This Row],[Memo]]=0,"委外",record[[#This Row],[Memo]]))</f>
        <v>1.5露白</v>
      </c>
      <c r="O1597" t="s">
        <v>1827</v>
      </c>
      <c r="P1597" t="s">
        <v>886</v>
      </c>
      <c r="Q1597" t="s">
        <v>58</v>
      </c>
      <c r="R1597" t="str">
        <f>IFERROR(VLOOKUP(record[[#This Row],[PCUSTID]],廠商[],2,FALSE),"")</f>
        <v/>
      </c>
      <c r="S1597" t="str">
        <f>VLOOKUP(record[[#This Row],[employeeID]],員工[],2,FALSE)</f>
        <v>謝蓁薰</v>
      </c>
    </row>
    <row r="1598" spans="6:19" hidden="1" x14ac:dyDescent="0.25">
      <c r="F1598" t="s">
        <v>1639</v>
      </c>
      <c r="G1598" t="s">
        <v>424</v>
      </c>
      <c r="H1598" t="str">
        <f>VLOOKUP(record[[#This Row],[ProcessSN]],表格2_7[],2,FALSE)</f>
        <v>30-4118-018-600</v>
      </c>
      <c r="I1598" t="str">
        <f>VLOOKUP(record[[#This Row],[ProcessSN]],表格2_7[],3,FALSE)</f>
        <v>#08IQC</v>
      </c>
      <c r="J1598" t="s">
        <v>583</v>
      </c>
      <c r="K1598" s="195">
        <v>46133.363530092596</v>
      </c>
      <c r="L1598">
        <v>5</v>
      </c>
      <c r="M1598">
        <v>0</v>
      </c>
      <c r="N1598" s="98" t="str">
        <f>IF(record[[#This Row],[Memo]]="Browser:chrome os:android","平板報工",IF(record[[#This Row],[Memo]]=0,"委外",record[[#This Row],[Memo]]))</f>
        <v>1.5露白</v>
      </c>
      <c r="O1598" t="s">
        <v>1827</v>
      </c>
      <c r="P1598" t="s">
        <v>886</v>
      </c>
      <c r="Q1598" t="s">
        <v>58</v>
      </c>
      <c r="R1598" t="str">
        <f>IFERROR(VLOOKUP(record[[#This Row],[PCUSTID]],廠商[],2,FALSE),"")</f>
        <v/>
      </c>
      <c r="S1598" t="str">
        <f>VLOOKUP(record[[#This Row],[employeeID]],員工[],2,FALSE)</f>
        <v>謝蓁薰</v>
      </c>
    </row>
    <row r="1599" spans="6:19" hidden="1" x14ac:dyDescent="0.25">
      <c r="F1599" t="s">
        <v>1639</v>
      </c>
      <c r="G1599" t="s">
        <v>423</v>
      </c>
      <c r="H1599" t="str">
        <f>VLOOKUP(record[[#This Row],[ProcessSN]],表格2_7[],2,FALSE)</f>
        <v>30-4118-018-600</v>
      </c>
      <c r="I1599" t="str">
        <f>VLOOKUP(record[[#This Row],[ProcessSN]],表格2_7[],3,FALSE)</f>
        <v>#08RCV</v>
      </c>
      <c r="J1599" t="s">
        <v>591</v>
      </c>
      <c r="K1599" s="195">
        <v>46133.363333333335</v>
      </c>
      <c r="L1599">
        <v>5</v>
      </c>
      <c r="M1599">
        <v>0</v>
      </c>
      <c r="N1599" s="98" t="str">
        <f>IF(record[[#This Row],[Memo]]="Browser:chrome os:android","平板報工",IF(record[[#This Row],[Memo]]=0,"委外",record[[#This Row],[Memo]]))</f>
        <v>1.5露白</v>
      </c>
      <c r="O1599" t="s">
        <v>1827</v>
      </c>
      <c r="P1599" t="s">
        <v>886</v>
      </c>
      <c r="Q1599" t="s">
        <v>58</v>
      </c>
      <c r="R1599" t="str">
        <f>IFERROR(VLOOKUP(record[[#This Row],[PCUSTID]],廠商[],2,FALSE),"")</f>
        <v/>
      </c>
      <c r="S1599" t="str">
        <f>VLOOKUP(record[[#This Row],[employeeID]],員工[],2,FALSE)</f>
        <v>謝蓁薰</v>
      </c>
    </row>
    <row r="1600" spans="6:19" hidden="1" x14ac:dyDescent="0.25">
      <c r="F1600" t="s">
        <v>1639</v>
      </c>
      <c r="G1600" t="s">
        <v>423</v>
      </c>
      <c r="H1600" t="str">
        <f>VLOOKUP(record[[#This Row],[ProcessSN]],表格2_7[],2,FALSE)</f>
        <v>30-4118-018-600</v>
      </c>
      <c r="I1600" t="str">
        <f>VLOOKUP(record[[#This Row],[ProcessSN]],表格2_7[],3,FALSE)</f>
        <v>#08RCV</v>
      </c>
      <c r="J1600" t="s">
        <v>591</v>
      </c>
      <c r="K1600" s="195">
        <v>46133.363206018519</v>
      </c>
      <c r="L1600">
        <v>0</v>
      </c>
      <c r="M1600">
        <v>-5</v>
      </c>
      <c r="N1600" s="98" t="str">
        <f>IF(record[[#This Row],[Memo]]="Browser:chrome os:android","平板報工",IF(record[[#This Row],[Memo]]=0,"委外",record[[#This Row],[Memo]]))</f>
        <v>1.5露白</v>
      </c>
      <c r="O1600" t="s">
        <v>1827</v>
      </c>
      <c r="P1600" t="s">
        <v>886</v>
      </c>
      <c r="Q1600" t="s">
        <v>58</v>
      </c>
      <c r="R1600" t="str">
        <f>IFERROR(VLOOKUP(record[[#This Row],[PCUSTID]],廠商[],2,FALSE),"")</f>
        <v/>
      </c>
      <c r="S1600" t="str">
        <f>VLOOKUP(record[[#This Row],[employeeID]],員工[],2,FALSE)</f>
        <v>謝蓁薰</v>
      </c>
    </row>
    <row r="1601" spans="6:19" hidden="1" x14ac:dyDescent="0.25">
      <c r="F1601" t="s">
        <v>1772</v>
      </c>
      <c r="G1601" t="s">
        <v>467</v>
      </c>
      <c r="H1601" t="str">
        <f>VLOOKUP(record[[#This Row],[ProcessSN]],表格2_7[],2,FALSE)</f>
        <v>30-4118-018-XXX</v>
      </c>
      <c r="I1601" t="str">
        <f>VLOOKUP(record[[#This Row],[ProcessSN]],表格2_7[],3,FALSE)</f>
        <v>#01QC</v>
      </c>
      <c r="J1601" t="s">
        <v>589</v>
      </c>
      <c r="K1601" s="195">
        <v>46133.347997685189</v>
      </c>
      <c r="L1601">
        <v>1176</v>
      </c>
      <c r="M1601">
        <v>0</v>
      </c>
      <c r="N1601" s="98" t="str">
        <f>IF(record[[#This Row],[Memo]]="Browser:chrome os:android","平板報工",IF(record[[#This Row],[Memo]]=0,"委外",record[[#This Row],[Memo]]))</f>
        <v>平板報工</v>
      </c>
      <c r="O1601" t="s">
        <v>643</v>
      </c>
      <c r="P1601" t="s">
        <v>182</v>
      </c>
      <c r="Q1601" t="s">
        <v>644</v>
      </c>
      <c r="R1601" t="str">
        <f>IFERROR(VLOOKUP(record[[#This Row],[PCUSTID]],廠商[],2,FALSE),"")</f>
        <v/>
      </c>
      <c r="S1601" t="str">
        <f>VLOOKUP(record[[#This Row],[employeeID]],員工[],2,FALSE)</f>
        <v>梅氏和</v>
      </c>
    </row>
    <row r="1602" spans="6:19" hidden="1" x14ac:dyDescent="0.25">
      <c r="F1602" t="s">
        <v>1714</v>
      </c>
      <c r="G1602" t="s">
        <v>428</v>
      </c>
      <c r="H1602" t="str">
        <f>VLOOKUP(record[[#This Row],[ProcessSN]],表格2_7[],2,FALSE)</f>
        <v>30-4118-018-600</v>
      </c>
      <c r="I1602" t="str">
        <f>VLOOKUP(record[[#This Row],[ProcessSN]],表格2_7[],3,FALSE)</f>
        <v>#100SHIP</v>
      </c>
      <c r="J1602" t="s">
        <v>600</v>
      </c>
      <c r="K1602" s="195">
        <v>46133.345659722225</v>
      </c>
      <c r="L1602">
        <v>66</v>
      </c>
      <c r="M1602">
        <v>0</v>
      </c>
      <c r="N1602" s="98" t="str">
        <f>IF(record[[#This Row],[Memo]]="Browser:chrome os:android","平板報工",IF(record[[#This Row],[Memo]]=0,"委外",record[[#This Row],[Memo]]))</f>
        <v/>
      </c>
      <c r="O1602" t="s">
        <v>58</v>
      </c>
      <c r="P1602" t="s">
        <v>886</v>
      </c>
      <c r="Q1602" t="s">
        <v>58</v>
      </c>
      <c r="R1602" t="str">
        <f>IFERROR(VLOOKUP(record[[#This Row],[PCUSTID]],廠商[],2,FALSE),"")</f>
        <v/>
      </c>
      <c r="S1602" t="str">
        <f>VLOOKUP(record[[#This Row],[employeeID]],員工[],2,FALSE)</f>
        <v>謝蓁薰</v>
      </c>
    </row>
    <row r="1603" spans="6:19" hidden="1" x14ac:dyDescent="0.25">
      <c r="F1603" t="s">
        <v>1686</v>
      </c>
      <c r="G1603" t="s">
        <v>428</v>
      </c>
      <c r="H1603" t="str">
        <f>VLOOKUP(record[[#This Row],[ProcessSN]],表格2_7[],2,FALSE)</f>
        <v>30-4118-018-600</v>
      </c>
      <c r="I1603" t="str">
        <f>VLOOKUP(record[[#This Row],[ProcessSN]],表格2_7[],3,FALSE)</f>
        <v>#100SHIP</v>
      </c>
      <c r="J1603" t="s">
        <v>600</v>
      </c>
      <c r="K1603" s="195">
        <v>46133.345497685186</v>
      </c>
      <c r="L1603">
        <v>15</v>
      </c>
      <c r="M1603">
        <v>0</v>
      </c>
      <c r="N1603" s="98" t="str">
        <f>IF(record[[#This Row],[Memo]]="Browser:chrome os:android","平板報工",IF(record[[#This Row],[Memo]]=0,"委外",record[[#This Row],[Memo]]))</f>
        <v/>
      </c>
      <c r="O1603" t="s">
        <v>58</v>
      </c>
      <c r="P1603" t="s">
        <v>886</v>
      </c>
      <c r="Q1603" t="s">
        <v>58</v>
      </c>
      <c r="R1603" t="str">
        <f>IFERROR(VLOOKUP(record[[#This Row],[PCUSTID]],廠商[],2,FALSE),"")</f>
        <v/>
      </c>
      <c r="S1603" t="str">
        <f>VLOOKUP(record[[#This Row],[employeeID]],員工[],2,FALSE)</f>
        <v>謝蓁薰</v>
      </c>
    </row>
    <row r="1604" spans="6:19" hidden="1" x14ac:dyDescent="0.25">
      <c r="F1604" t="s">
        <v>1705</v>
      </c>
      <c r="G1604" t="s">
        <v>428</v>
      </c>
      <c r="H1604" t="str">
        <f>VLOOKUP(record[[#This Row],[ProcessSN]],表格2_7[],2,FALSE)</f>
        <v>30-4118-018-600</v>
      </c>
      <c r="I1604" t="str">
        <f>VLOOKUP(record[[#This Row],[ProcessSN]],表格2_7[],3,FALSE)</f>
        <v>#100SHIP</v>
      </c>
      <c r="J1604" t="s">
        <v>600</v>
      </c>
      <c r="K1604" s="195">
        <v>46133.345335648148</v>
      </c>
      <c r="L1604">
        <v>6</v>
      </c>
      <c r="M1604">
        <v>0</v>
      </c>
      <c r="N1604" s="98" t="str">
        <f>IF(record[[#This Row],[Memo]]="Browser:chrome os:android","平板報工",IF(record[[#This Row],[Memo]]=0,"委外",record[[#This Row],[Memo]]))</f>
        <v/>
      </c>
      <c r="O1604" t="s">
        <v>58</v>
      </c>
      <c r="P1604" t="s">
        <v>886</v>
      </c>
      <c r="Q1604" t="s">
        <v>58</v>
      </c>
      <c r="R1604" t="str">
        <f>IFERROR(VLOOKUP(record[[#This Row],[PCUSTID]],廠商[],2,FALSE),"")</f>
        <v/>
      </c>
      <c r="S1604" t="str">
        <f>VLOOKUP(record[[#This Row],[employeeID]],員工[],2,FALSE)</f>
        <v>謝蓁薰</v>
      </c>
    </row>
    <row r="1605" spans="6:19" hidden="1" x14ac:dyDescent="0.25">
      <c r="F1605" t="s">
        <v>1639</v>
      </c>
      <c r="G1605" t="s">
        <v>428</v>
      </c>
      <c r="H1605" t="str">
        <f>VLOOKUP(record[[#This Row],[ProcessSN]],表格2_7[],2,FALSE)</f>
        <v>30-4118-018-600</v>
      </c>
      <c r="I1605" t="str">
        <f>VLOOKUP(record[[#This Row],[ProcessSN]],表格2_7[],3,FALSE)</f>
        <v>#100SHIP</v>
      </c>
      <c r="J1605" t="s">
        <v>600</v>
      </c>
      <c r="K1605" s="195">
        <v>46133.34516203704</v>
      </c>
      <c r="L1605">
        <v>8</v>
      </c>
      <c r="M1605">
        <v>0</v>
      </c>
      <c r="N1605" s="98" t="str">
        <f>IF(record[[#This Row],[Memo]]="Browser:chrome os:android","平板報工",IF(record[[#This Row],[Memo]]=0,"委外",record[[#This Row],[Memo]]))</f>
        <v/>
      </c>
      <c r="O1605" t="s">
        <v>58</v>
      </c>
      <c r="P1605" t="s">
        <v>886</v>
      </c>
      <c r="Q1605" t="s">
        <v>58</v>
      </c>
      <c r="R1605" t="str">
        <f>IFERROR(VLOOKUP(record[[#This Row],[PCUSTID]],廠商[],2,FALSE),"")</f>
        <v/>
      </c>
      <c r="S1605" t="str">
        <f>VLOOKUP(record[[#This Row],[employeeID]],員工[],2,FALSE)</f>
        <v>謝蓁薰</v>
      </c>
    </row>
    <row r="1606" spans="6:19" hidden="1" x14ac:dyDescent="0.25">
      <c r="F1606" t="s">
        <v>1510</v>
      </c>
      <c r="G1606" t="s">
        <v>428</v>
      </c>
      <c r="H1606" t="str">
        <f>VLOOKUP(record[[#This Row],[ProcessSN]],表格2_7[],2,FALSE)</f>
        <v>30-4118-018-600</v>
      </c>
      <c r="I1606" t="str">
        <f>VLOOKUP(record[[#This Row],[ProcessSN]],表格2_7[],3,FALSE)</f>
        <v>#100SHIP</v>
      </c>
      <c r="J1606" t="s">
        <v>600</v>
      </c>
      <c r="K1606" s="195">
        <v>46133.345000000001</v>
      </c>
      <c r="L1606">
        <v>9</v>
      </c>
      <c r="M1606">
        <v>0</v>
      </c>
      <c r="N1606" s="98" t="str">
        <f>IF(record[[#This Row],[Memo]]="Browser:chrome os:android","平板報工",IF(record[[#This Row],[Memo]]=0,"委外",record[[#This Row],[Memo]]))</f>
        <v/>
      </c>
      <c r="O1606" t="s">
        <v>58</v>
      </c>
      <c r="P1606" t="s">
        <v>886</v>
      </c>
      <c r="Q1606" t="s">
        <v>58</v>
      </c>
      <c r="R1606" t="str">
        <f>IFERROR(VLOOKUP(record[[#This Row],[PCUSTID]],廠商[],2,FALSE),"")</f>
        <v/>
      </c>
      <c r="S1606" t="str">
        <f>VLOOKUP(record[[#This Row],[employeeID]],員工[],2,FALSE)</f>
        <v>謝蓁薰</v>
      </c>
    </row>
    <row r="1607" spans="6:19" hidden="1" x14ac:dyDescent="0.25">
      <c r="F1607" t="s">
        <v>1686</v>
      </c>
      <c r="G1607" t="s">
        <v>427</v>
      </c>
      <c r="H1607" t="str">
        <f>VLOOKUP(record[[#This Row],[ProcessSN]],表格2_7[],2,FALSE)</f>
        <v>30-4118-018-600</v>
      </c>
      <c r="I1607" t="str">
        <f>VLOOKUP(record[[#This Row],[ProcessSN]],表格2_7[],3,FALSE)</f>
        <v>#100STOCK</v>
      </c>
      <c r="J1607" t="s">
        <v>592</v>
      </c>
      <c r="K1607" s="195">
        <v>46133.344675925924</v>
      </c>
      <c r="L1607">
        <v>15</v>
      </c>
      <c r="M1607">
        <v>0</v>
      </c>
      <c r="N1607" s="98" t="str">
        <f>IF(record[[#This Row],[Memo]]="Browser:chrome os:android","平板報工",IF(record[[#This Row],[Memo]]=0,"委外",record[[#This Row],[Memo]]))</f>
        <v/>
      </c>
      <c r="O1607" t="s">
        <v>58</v>
      </c>
      <c r="P1607" t="s">
        <v>886</v>
      </c>
      <c r="Q1607" t="s">
        <v>58</v>
      </c>
      <c r="R1607" t="str">
        <f>IFERROR(VLOOKUP(record[[#This Row],[PCUSTID]],廠商[],2,FALSE),"")</f>
        <v/>
      </c>
      <c r="S1607" t="str">
        <f>VLOOKUP(record[[#This Row],[employeeID]],員工[],2,FALSE)</f>
        <v>謝蓁薰</v>
      </c>
    </row>
    <row r="1608" spans="6:19" hidden="1" x14ac:dyDescent="0.25">
      <c r="F1608" t="s">
        <v>1705</v>
      </c>
      <c r="G1608" t="s">
        <v>427</v>
      </c>
      <c r="H1608" t="str">
        <f>VLOOKUP(record[[#This Row],[ProcessSN]],表格2_7[],2,FALSE)</f>
        <v>30-4118-018-600</v>
      </c>
      <c r="I1608" t="str">
        <f>VLOOKUP(record[[#This Row],[ProcessSN]],表格2_7[],3,FALSE)</f>
        <v>#100STOCK</v>
      </c>
      <c r="J1608" t="s">
        <v>592</v>
      </c>
      <c r="K1608" s="195">
        <v>46133.344560185185</v>
      </c>
      <c r="L1608">
        <v>6</v>
      </c>
      <c r="M1608">
        <v>0</v>
      </c>
      <c r="N1608" s="98" t="str">
        <f>IF(record[[#This Row],[Memo]]="Browser:chrome os:android","平板報工",IF(record[[#This Row],[Memo]]=0,"委外",record[[#This Row],[Memo]]))</f>
        <v/>
      </c>
      <c r="O1608" t="s">
        <v>58</v>
      </c>
      <c r="P1608" t="s">
        <v>886</v>
      </c>
      <c r="Q1608" t="s">
        <v>58</v>
      </c>
      <c r="R1608" t="str">
        <f>IFERROR(VLOOKUP(record[[#This Row],[PCUSTID]],廠商[],2,FALSE),"")</f>
        <v/>
      </c>
      <c r="S1608" t="str">
        <f>VLOOKUP(record[[#This Row],[employeeID]],員工[],2,FALSE)</f>
        <v>謝蓁薰</v>
      </c>
    </row>
    <row r="1609" spans="6:19" hidden="1" x14ac:dyDescent="0.25">
      <c r="F1609" t="s">
        <v>1639</v>
      </c>
      <c r="G1609" t="s">
        <v>427</v>
      </c>
      <c r="H1609" t="str">
        <f>VLOOKUP(record[[#This Row],[ProcessSN]],表格2_7[],2,FALSE)</f>
        <v>30-4118-018-600</v>
      </c>
      <c r="I1609" t="str">
        <f>VLOOKUP(record[[#This Row],[ProcessSN]],表格2_7[],3,FALSE)</f>
        <v>#100STOCK</v>
      </c>
      <c r="J1609" t="s">
        <v>592</v>
      </c>
      <c r="K1609" s="195">
        <v>46133.344444444447</v>
      </c>
      <c r="L1609">
        <v>8</v>
      </c>
      <c r="M1609">
        <v>0</v>
      </c>
      <c r="N1609" s="98" t="str">
        <f>IF(record[[#This Row],[Memo]]="Browser:chrome os:android","平板報工",IF(record[[#This Row],[Memo]]=0,"委外",record[[#This Row],[Memo]]))</f>
        <v/>
      </c>
      <c r="O1609" t="s">
        <v>58</v>
      </c>
      <c r="P1609" t="s">
        <v>886</v>
      </c>
      <c r="Q1609" t="s">
        <v>58</v>
      </c>
      <c r="R1609" t="str">
        <f>IFERROR(VLOOKUP(record[[#This Row],[PCUSTID]],廠商[],2,FALSE),"")</f>
        <v/>
      </c>
      <c r="S1609" t="str">
        <f>VLOOKUP(record[[#This Row],[employeeID]],員工[],2,FALSE)</f>
        <v>謝蓁薰</v>
      </c>
    </row>
    <row r="1610" spans="6:19" hidden="1" x14ac:dyDescent="0.25">
      <c r="F1610" t="s">
        <v>1510</v>
      </c>
      <c r="G1610" t="s">
        <v>427</v>
      </c>
      <c r="H1610" t="str">
        <f>VLOOKUP(record[[#This Row],[ProcessSN]],表格2_7[],2,FALSE)</f>
        <v>30-4118-018-600</v>
      </c>
      <c r="I1610" t="str">
        <f>VLOOKUP(record[[#This Row],[ProcessSN]],表格2_7[],3,FALSE)</f>
        <v>#100STOCK</v>
      </c>
      <c r="J1610" t="s">
        <v>592</v>
      </c>
      <c r="K1610" s="195">
        <v>46133.344340277778</v>
      </c>
      <c r="L1610">
        <v>9</v>
      </c>
      <c r="M1610">
        <v>0</v>
      </c>
      <c r="N1610" s="98" t="str">
        <f>IF(record[[#This Row],[Memo]]="Browser:chrome os:android","平板報工",IF(record[[#This Row],[Memo]]=0,"委外",record[[#This Row],[Memo]]))</f>
        <v/>
      </c>
      <c r="O1610" t="s">
        <v>58</v>
      </c>
      <c r="P1610" t="s">
        <v>886</v>
      </c>
      <c r="Q1610" t="s">
        <v>58</v>
      </c>
      <c r="R1610" t="str">
        <f>IFERROR(VLOOKUP(record[[#This Row],[PCUSTID]],廠商[],2,FALSE),"")</f>
        <v/>
      </c>
      <c r="S1610" t="str">
        <f>VLOOKUP(record[[#This Row],[employeeID]],員工[],2,FALSE)</f>
        <v>謝蓁薰</v>
      </c>
    </row>
    <row r="1611" spans="6:19" hidden="1" x14ac:dyDescent="0.25">
      <c r="F1611" t="s">
        <v>1702</v>
      </c>
      <c r="G1611" t="s">
        <v>378</v>
      </c>
      <c r="H1611" t="str">
        <f>VLOOKUP(record[[#This Row],[ProcessSN]],表格2_7[],2,FALSE)</f>
        <v>30-4118-018-4XX</v>
      </c>
      <c r="I1611" t="str">
        <f>VLOOKUP(record[[#This Row],[ProcessSN]],表格2_7[],3,FALSE)</f>
        <v>#07QC</v>
      </c>
      <c r="J1611" t="s">
        <v>589</v>
      </c>
      <c r="K1611" s="195">
        <v>46133.341874999998</v>
      </c>
      <c r="L1611">
        <v>4</v>
      </c>
      <c r="M1611">
        <v>-2</v>
      </c>
      <c r="N1611" s="98" t="str">
        <f>IF(record[[#This Row],[Memo]]="Browser:chrome os:android","平板報工",IF(record[[#This Row],[Memo]]=0,"委外",record[[#This Row],[Memo]]))</f>
        <v>覆回</v>
      </c>
      <c r="O1611" t="s">
        <v>682</v>
      </c>
      <c r="P1611" t="s">
        <v>113</v>
      </c>
      <c r="Q1611" t="s">
        <v>58</v>
      </c>
      <c r="R1611" t="str">
        <f>IFERROR(VLOOKUP(record[[#This Row],[PCUSTID]],廠商[],2,FALSE),"")</f>
        <v/>
      </c>
      <c r="S1611" t="str">
        <f>VLOOKUP(record[[#This Row],[employeeID]],員工[],2,FALSE)</f>
        <v>王奕蓁</v>
      </c>
    </row>
    <row r="1612" spans="6:19" hidden="1" x14ac:dyDescent="0.25">
      <c r="F1612" t="s">
        <v>1702</v>
      </c>
      <c r="G1612" t="s">
        <v>377</v>
      </c>
      <c r="H1612" t="str">
        <f>VLOOKUP(record[[#This Row],[ProcessSN]],表格2_7[],2,FALSE)</f>
        <v>30-4118-018-4XX</v>
      </c>
      <c r="I1612" t="str">
        <f>VLOOKUP(record[[#This Row],[ProcessSN]],表格2_7[],3,FALSE)</f>
        <v>#07</v>
      </c>
      <c r="J1612" t="s">
        <v>588</v>
      </c>
      <c r="K1612" s="195">
        <v>46133.341828703706</v>
      </c>
      <c r="L1612">
        <v>2</v>
      </c>
      <c r="M1612">
        <v>-2</v>
      </c>
      <c r="N1612" s="98" t="str">
        <f>IF(record[[#This Row],[Memo]]="Browser:chrome os:android","平板報工",IF(record[[#This Row],[Memo]]=0,"委外",record[[#This Row],[Memo]]))</f>
        <v>覆回</v>
      </c>
      <c r="O1612" t="s">
        <v>682</v>
      </c>
      <c r="P1612" t="s">
        <v>113</v>
      </c>
      <c r="Q1612" t="s">
        <v>58</v>
      </c>
      <c r="R1612" t="str">
        <f>IFERROR(VLOOKUP(record[[#This Row],[PCUSTID]],廠商[],2,FALSE),"")</f>
        <v/>
      </c>
      <c r="S1612" t="str">
        <f>VLOOKUP(record[[#This Row],[employeeID]],員工[],2,FALSE)</f>
        <v>王奕蓁</v>
      </c>
    </row>
    <row r="1613" spans="6:19" hidden="1" x14ac:dyDescent="0.25">
      <c r="F1613" t="s">
        <v>1829</v>
      </c>
      <c r="G1613" t="s">
        <v>431</v>
      </c>
      <c r="H1613" t="str">
        <f>VLOOKUP(record[[#This Row],[ProcessSN]],表格2_7[],2,FALSE)</f>
        <v>30-4118-018-620</v>
      </c>
      <c r="I1613" t="str">
        <f>VLOOKUP(record[[#This Row],[ProcessSN]],表格2_7[],3,FALSE)</f>
        <v>#08RCV</v>
      </c>
      <c r="J1613" t="s">
        <v>591</v>
      </c>
      <c r="K1613" s="195">
        <v>46133.34</v>
      </c>
      <c r="L1613">
        <v>0</v>
      </c>
      <c r="M1613">
        <v>1</v>
      </c>
      <c r="N1613" s="98" t="str">
        <f>IF(record[[#This Row],[Memo]]="Browser:chrome os:android","平板報工",IF(record[[#This Row],[Memo]]=0,"委外",record[[#This Row],[Memo]]))</f>
        <v/>
      </c>
      <c r="O1613" t="s">
        <v>58</v>
      </c>
      <c r="P1613" t="s">
        <v>186</v>
      </c>
      <c r="Q1613" t="s">
        <v>58</v>
      </c>
      <c r="R1613" t="str">
        <f>IFERROR(VLOOKUP(record[[#This Row],[PCUSTID]],廠商[],2,FALSE),"")</f>
        <v/>
      </c>
      <c r="S1613" t="str">
        <f>VLOOKUP(record[[#This Row],[employeeID]],員工[],2,FALSE)</f>
        <v>許文姍</v>
      </c>
    </row>
    <row r="1614" spans="6:19" hidden="1" x14ac:dyDescent="0.25">
      <c r="F1614" t="s">
        <v>1828</v>
      </c>
      <c r="G1614" t="s">
        <v>444</v>
      </c>
      <c r="H1614" t="str">
        <f>VLOOKUP(record[[#This Row],[ProcessSN]],表格2_7[],2,FALSE)</f>
        <v>30-4118-018-650</v>
      </c>
      <c r="I1614" t="str">
        <f>VLOOKUP(record[[#This Row],[ProcessSN]],表格2_7[],3,FALSE)</f>
        <v>#100SHIP</v>
      </c>
      <c r="J1614" t="s">
        <v>600</v>
      </c>
      <c r="K1614" s="195">
        <v>46133.333518518521</v>
      </c>
      <c r="L1614">
        <v>114</v>
      </c>
      <c r="M1614">
        <v>0</v>
      </c>
      <c r="N1614" s="98" t="str">
        <f>IF(record[[#This Row],[Memo]]="Browser:chrome os:android","平板報工",IF(record[[#This Row],[Memo]]=0,"委外",record[[#This Row],[Memo]]))</f>
        <v>補4/20出貨</v>
      </c>
      <c r="O1614" t="s">
        <v>1854</v>
      </c>
      <c r="P1614" t="s">
        <v>886</v>
      </c>
      <c r="Q1614" t="s">
        <v>58</v>
      </c>
      <c r="R1614" t="str">
        <f>IFERROR(VLOOKUP(record[[#This Row],[PCUSTID]],廠商[],2,FALSE),"")</f>
        <v/>
      </c>
      <c r="S1614" t="str">
        <f>VLOOKUP(record[[#This Row],[employeeID]],員工[],2,FALSE)</f>
        <v>謝蓁薰</v>
      </c>
    </row>
    <row r="1615" spans="6:19" hidden="1" x14ac:dyDescent="0.25">
      <c r="F1615" t="s">
        <v>1828</v>
      </c>
      <c r="G1615" t="s">
        <v>443</v>
      </c>
      <c r="H1615" t="str">
        <f>VLOOKUP(record[[#This Row],[ProcessSN]],表格2_7[],2,FALSE)</f>
        <v>30-4118-018-650</v>
      </c>
      <c r="I1615" t="str">
        <f>VLOOKUP(record[[#This Row],[ProcessSN]],表格2_7[],3,FALSE)</f>
        <v>#100STOCK</v>
      </c>
      <c r="J1615" t="s">
        <v>592</v>
      </c>
      <c r="K1615" s="195">
        <v>46133.333379629628</v>
      </c>
      <c r="L1615">
        <v>114</v>
      </c>
      <c r="M1615">
        <v>0</v>
      </c>
      <c r="N1615" s="98" t="str">
        <f>IF(record[[#This Row],[Memo]]="Browser:chrome os:android","平板報工",IF(record[[#This Row],[Memo]]=0,"委外",record[[#This Row],[Memo]]))</f>
        <v/>
      </c>
      <c r="O1615" t="s">
        <v>58</v>
      </c>
      <c r="P1615" t="s">
        <v>886</v>
      </c>
      <c r="Q1615" t="s">
        <v>58</v>
      </c>
      <c r="R1615" t="str">
        <f>IFERROR(VLOOKUP(record[[#This Row],[PCUSTID]],廠商[],2,FALSE),"")</f>
        <v/>
      </c>
      <c r="S1615" t="str">
        <f>VLOOKUP(record[[#This Row],[employeeID]],員工[],2,FALSE)</f>
        <v>謝蓁薰</v>
      </c>
    </row>
    <row r="1616" spans="6:19" hidden="1" x14ac:dyDescent="0.25">
      <c r="F1616" t="s">
        <v>1829</v>
      </c>
      <c r="G1616" t="s">
        <v>436</v>
      </c>
      <c r="H1616" t="str">
        <f>VLOOKUP(record[[#This Row],[ProcessSN]],表格2_7[],2,FALSE)</f>
        <v>30-4118-018-620</v>
      </c>
      <c r="I1616" t="str">
        <f>VLOOKUP(record[[#This Row],[ProcessSN]],表格2_7[],3,FALSE)</f>
        <v>#100SHIP</v>
      </c>
      <c r="J1616" t="s">
        <v>600</v>
      </c>
      <c r="K1616" s="195">
        <v>46133.333275462966</v>
      </c>
      <c r="L1616">
        <v>300</v>
      </c>
      <c r="M1616">
        <v>0</v>
      </c>
      <c r="N1616" s="98" t="str">
        <f>IF(record[[#This Row],[Memo]]="Browser:chrome os:android","平板報工",IF(record[[#This Row],[Memo]]=0,"委外",record[[#This Row],[Memo]]))</f>
        <v>補4/20出貨</v>
      </c>
      <c r="O1616" t="s">
        <v>1854</v>
      </c>
      <c r="P1616" t="s">
        <v>886</v>
      </c>
      <c r="Q1616" t="s">
        <v>58</v>
      </c>
      <c r="R1616" t="str">
        <f>IFERROR(VLOOKUP(record[[#This Row],[PCUSTID]],廠商[],2,FALSE),"")</f>
        <v/>
      </c>
      <c r="S1616" t="str">
        <f>VLOOKUP(record[[#This Row],[employeeID]],員工[],2,FALSE)</f>
        <v>謝蓁薰</v>
      </c>
    </row>
    <row r="1617" spans="6:19" hidden="1" x14ac:dyDescent="0.25">
      <c r="F1617" t="s">
        <v>1828</v>
      </c>
      <c r="G1617" t="s">
        <v>442</v>
      </c>
      <c r="H1617" t="str">
        <f>VLOOKUP(record[[#This Row],[ProcessSN]],表格2_7[],2,FALSE)</f>
        <v>30-4118-018-650</v>
      </c>
      <c r="I1617" t="str">
        <f>VLOOKUP(record[[#This Row],[ProcessSN]],表格2_7[],3,FALSE)</f>
        <v>#100OQC</v>
      </c>
      <c r="J1617" t="s">
        <v>599</v>
      </c>
      <c r="K1617" s="195">
        <v>46133.333194444444</v>
      </c>
      <c r="L1617">
        <v>114</v>
      </c>
      <c r="M1617">
        <v>0</v>
      </c>
      <c r="N1617" s="98" t="str">
        <f>IF(record[[#This Row],[Memo]]="Browser:chrome os:android","平板報工",IF(record[[#This Row],[Memo]]=0,"委外",record[[#This Row],[Memo]]))</f>
        <v/>
      </c>
      <c r="O1617" t="s">
        <v>58</v>
      </c>
      <c r="P1617" t="s">
        <v>121</v>
      </c>
      <c r="Q1617" t="s">
        <v>58</v>
      </c>
      <c r="R1617" t="str">
        <f>IFERROR(VLOOKUP(record[[#This Row],[PCUSTID]],廠商[],2,FALSE),"")</f>
        <v/>
      </c>
      <c r="S1617" t="str">
        <f>VLOOKUP(record[[#This Row],[employeeID]],員工[],2,FALSE)</f>
        <v>謝素卿</v>
      </c>
    </row>
    <row r="1618" spans="6:19" hidden="1" x14ac:dyDescent="0.25">
      <c r="F1618" t="s">
        <v>1829</v>
      </c>
      <c r="G1618" t="s">
        <v>435</v>
      </c>
      <c r="H1618" t="str">
        <f>VLOOKUP(record[[#This Row],[ProcessSN]],表格2_7[],2,FALSE)</f>
        <v>30-4118-018-620</v>
      </c>
      <c r="I1618" t="str">
        <f>VLOOKUP(record[[#This Row],[ProcessSN]],表格2_7[],3,FALSE)</f>
        <v>#100STOCK</v>
      </c>
      <c r="J1618" t="s">
        <v>592</v>
      </c>
      <c r="K1618" s="195">
        <v>46133.33315972222</v>
      </c>
      <c r="L1618">
        <v>300</v>
      </c>
      <c r="M1618">
        <v>0</v>
      </c>
      <c r="N1618" s="98" t="str">
        <f>IF(record[[#This Row],[Memo]]="Browser:chrome os:android","平板報工",IF(record[[#This Row],[Memo]]=0,"委外",record[[#This Row],[Memo]]))</f>
        <v/>
      </c>
      <c r="O1618" t="s">
        <v>58</v>
      </c>
      <c r="P1618" t="s">
        <v>886</v>
      </c>
      <c r="Q1618" t="s">
        <v>58</v>
      </c>
      <c r="R1618" t="str">
        <f>IFERROR(VLOOKUP(record[[#This Row],[PCUSTID]],廠商[],2,FALSE),"")</f>
        <v/>
      </c>
      <c r="S1618" t="str">
        <f>VLOOKUP(record[[#This Row],[employeeID]],員工[],2,FALSE)</f>
        <v>謝蓁薰</v>
      </c>
    </row>
    <row r="1619" spans="6:19" hidden="1" x14ac:dyDescent="0.25">
      <c r="F1619" t="s">
        <v>1829</v>
      </c>
      <c r="G1619" t="s">
        <v>434</v>
      </c>
      <c r="H1619" t="str">
        <f>VLOOKUP(record[[#This Row],[ProcessSN]],表格2_7[],2,FALSE)</f>
        <v>30-4118-018-620</v>
      </c>
      <c r="I1619" t="str">
        <f>VLOOKUP(record[[#This Row],[ProcessSN]],表格2_7[],3,FALSE)</f>
        <v>#100OQC</v>
      </c>
      <c r="J1619" t="s">
        <v>599</v>
      </c>
      <c r="K1619" s="195">
        <v>46133.333055555559</v>
      </c>
      <c r="L1619">
        <v>300</v>
      </c>
      <c r="M1619">
        <v>0</v>
      </c>
      <c r="N1619" s="98" t="str">
        <f>IF(record[[#This Row],[Memo]]="Browser:chrome os:android","平板報工",IF(record[[#This Row],[Memo]]=0,"委外",record[[#This Row],[Memo]]))</f>
        <v/>
      </c>
      <c r="O1619" t="s">
        <v>58</v>
      </c>
      <c r="P1619" t="s">
        <v>121</v>
      </c>
      <c r="Q1619" t="s">
        <v>58</v>
      </c>
      <c r="R1619" t="str">
        <f>IFERROR(VLOOKUP(record[[#This Row],[PCUSTID]],廠商[],2,FALSE),"")</f>
        <v/>
      </c>
      <c r="S1619" t="str">
        <f>VLOOKUP(record[[#This Row],[employeeID]],員工[],2,FALSE)</f>
        <v>謝素卿</v>
      </c>
    </row>
    <row r="1620" spans="6:19" hidden="1" x14ac:dyDescent="0.25">
      <c r="F1620" t="s">
        <v>1510</v>
      </c>
      <c r="G1620" t="s">
        <v>426</v>
      </c>
      <c r="H1620" t="str">
        <f>VLOOKUP(record[[#This Row],[ProcessSN]],表格2_7[],2,FALSE)</f>
        <v>30-4118-018-600</v>
      </c>
      <c r="I1620" t="str">
        <f>VLOOKUP(record[[#This Row],[ProcessSN]],表格2_7[],3,FALSE)</f>
        <v>#100OQC</v>
      </c>
      <c r="J1620" t="s">
        <v>599</v>
      </c>
      <c r="K1620" s="195">
        <v>46133.332719907405</v>
      </c>
      <c r="L1620">
        <v>9</v>
      </c>
      <c r="M1620">
        <v>0</v>
      </c>
      <c r="N1620" s="98" t="str">
        <f>IF(record[[#This Row],[Memo]]="Browser:chrome os:android","平板報工",IF(record[[#This Row],[Memo]]=0,"委外",record[[#This Row],[Memo]]))</f>
        <v/>
      </c>
      <c r="O1620" t="s">
        <v>58</v>
      </c>
      <c r="P1620" t="s">
        <v>121</v>
      </c>
      <c r="Q1620" t="s">
        <v>58</v>
      </c>
      <c r="R1620" t="str">
        <f>IFERROR(VLOOKUP(record[[#This Row],[PCUSTID]],廠商[],2,FALSE),"")</f>
        <v/>
      </c>
      <c r="S1620" t="str">
        <f>VLOOKUP(record[[#This Row],[employeeID]],員工[],2,FALSE)</f>
        <v>謝素卿</v>
      </c>
    </row>
    <row r="1621" spans="6:19" hidden="1" x14ac:dyDescent="0.25">
      <c r="F1621" t="s">
        <v>1639</v>
      </c>
      <c r="G1621" t="s">
        <v>426</v>
      </c>
      <c r="H1621" t="str">
        <f>VLOOKUP(record[[#This Row],[ProcessSN]],表格2_7[],2,FALSE)</f>
        <v>30-4118-018-600</v>
      </c>
      <c r="I1621" t="str">
        <f>VLOOKUP(record[[#This Row],[ProcessSN]],表格2_7[],3,FALSE)</f>
        <v>#100OQC</v>
      </c>
      <c r="J1621" t="s">
        <v>599</v>
      </c>
      <c r="K1621" s="195">
        <v>46133.332557870373</v>
      </c>
      <c r="L1621">
        <v>8</v>
      </c>
      <c r="M1621">
        <v>0</v>
      </c>
      <c r="N1621" s="98" t="str">
        <f>IF(record[[#This Row],[Memo]]="Browser:chrome os:android","平板報工",IF(record[[#This Row],[Memo]]=0,"委外",record[[#This Row],[Memo]]))</f>
        <v/>
      </c>
      <c r="O1621" t="s">
        <v>58</v>
      </c>
      <c r="P1621" t="s">
        <v>121</v>
      </c>
      <c r="Q1621" t="s">
        <v>58</v>
      </c>
      <c r="R1621" t="str">
        <f>IFERROR(VLOOKUP(record[[#This Row],[PCUSTID]],廠商[],2,FALSE),"")</f>
        <v/>
      </c>
      <c r="S1621" t="str">
        <f>VLOOKUP(record[[#This Row],[employeeID]],員工[],2,FALSE)</f>
        <v>謝素卿</v>
      </c>
    </row>
    <row r="1622" spans="6:19" hidden="1" x14ac:dyDescent="0.25">
      <c r="F1622" t="s">
        <v>1830</v>
      </c>
      <c r="G1622" t="s">
        <v>403</v>
      </c>
      <c r="H1622" t="str">
        <f>VLOOKUP(record[[#This Row],[ProcessSN]],表格2_7[],2,FALSE)</f>
        <v>30-4118-018-550</v>
      </c>
      <c r="I1622" t="str">
        <f>VLOOKUP(record[[#This Row],[ProcessSN]],表格2_7[],3,FALSE)</f>
        <v>#100SHIP</v>
      </c>
      <c r="J1622" t="s">
        <v>600</v>
      </c>
      <c r="K1622" s="195">
        <v>46133.332511574074</v>
      </c>
      <c r="L1622">
        <v>343</v>
      </c>
      <c r="M1622">
        <v>0</v>
      </c>
      <c r="N1622" s="98" t="str">
        <f>IF(record[[#This Row],[Memo]]="Browser:chrome os:android","平板報工",IF(record[[#This Row],[Memo]]=0,"委外",record[[#This Row],[Memo]]))</f>
        <v>補4/20出貨</v>
      </c>
      <c r="O1622" t="s">
        <v>1854</v>
      </c>
      <c r="P1622" t="s">
        <v>886</v>
      </c>
      <c r="Q1622" t="s">
        <v>58</v>
      </c>
      <c r="R1622" t="str">
        <f>IFERROR(VLOOKUP(record[[#This Row],[PCUSTID]],廠商[],2,FALSE),"")</f>
        <v/>
      </c>
      <c r="S1622" t="str">
        <f>VLOOKUP(record[[#This Row],[employeeID]],員工[],2,FALSE)</f>
        <v>謝蓁薰</v>
      </c>
    </row>
    <row r="1623" spans="6:19" hidden="1" x14ac:dyDescent="0.25">
      <c r="F1623" t="s">
        <v>1830</v>
      </c>
      <c r="G1623" t="s">
        <v>402</v>
      </c>
      <c r="H1623" t="str">
        <f>VLOOKUP(record[[#This Row],[ProcessSN]],表格2_7[],2,FALSE)</f>
        <v>30-4118-018-550</v>
      </c>
      <c r="I1623" t="str">
        <f>VLOOKUP(record[[#This Row],[ProcessSN]],表格2_7[],3,FALSE)</f>
        <v>#100STOCK</v>
      </c>
      <c r="J1623" t="s">
        <v>592</v>
      </c>
      <c r="K1623" s="195">
        <v>46133.332395833335</v>
      </c>
      <c r="L1623">
        <v>343</v>
      </c>
      <c r="M1623">
        <v>0</v>
      </c>
      <c r="N1623" s="98" t="str">
        <f>IF(record[[#This Row],[Memo]]="Browser:chrome os:android","平板報工",IF(record[[#This Row],[Memo]]=0,"委外",record[[#This Row],[Memo]]))</f>
        <v/>
      </c>
      <c r="O1623" t="s">
        <v>58</v>
      </c>
      <c r="P1623" t="s">
        <v>886</v>
      </c>
      <c r="Q1623" t="s">
        <v>58</v>
      </c>
      <c r="R1623" t="str">
        <f>IFERROR(VLOOKUP(record[[#This Row],[PCUSTID]],廠商[],2,FALSE),"")</f>
        <v/>
      </c>
      <c r="S1623" t="str">
        <f>VLOOKUP(record[[#This Row],[employeeID]],員工[],2,FALSE)</f>
        <v>謝蓁薰</v>
      </c>
    </row>
    <row r="1624" spans="6:19" hidden="1" x14ac:dyDescent="0.25">
      <c r="F1624" t="s">
        <v>1705</v>
      </c>
      <c r="G1624" t="s">
        <v>426</v>
      </c>
      <c r="H1624" t="str">
        <f>VLOOKUP(record[[#This Row],[ProcessSN]],表格2_7[],2,FALSE)</f>
        <v>30-4118-018-600</v>
      </c>
      <c r="I1624" t="str">
        <f>VLOOKUP(record[[#This Row],[ProcessSN]],表格2_7[],3,FALSE)</f>
        <v>#100OQC</v>
      </c>
      <c r="J1624" t="s">
        <v>599</v>
      </c>
      <c r="K1624" s="195">
        <v>46133.332384259258</v>
      </c>
      <c r="L1624">
        <v>6</v>
      </c>
      <c r="M1624">
        <v>0</v>
      </c>
      <c r="N1624" s="98" t="str">
        <f>IF(record[[#This Row],[Memo]]="Browser:chrome os:android","平板報工",IF(record[[#This Row],[Memo]]=0,"委外",record[[#This Row],[Memo]]))</f>
        <v/>
      </c>
      <c r="O1624" t="s">
        <v>58</v>
      </c>
      <c r="P1624" t="s">
        <v>121</v>
      </c>
      <c r="Q1624" t="s">
        <v>58</v>
      </c>
      <c r="R1624" t="str">
        <f>IFERROR(VLOOKUP(record[[#This Row],[PCUSTID]],廠商[],2,FALSE),"")</f>
        <v/>
      </c>
      <c r="S1624" t="str">
        <f>VLOOKUP(record[[#This Row],[employeeID]],員工[],2,FALSE)</f>
        <v>謝素卿</v>
      </c>
    </row>
    <row r="1625" spans="6:19" hidden="1" x14ac:dyDescent="0.25">
      <c r="F1625" t="s">
        <v>1830</v>
      </c>
      <c r="G1625" t="s">
        <v>401</v>
      </c>
      <c r="H1625" t="str">
        <f>VLOOKUP(record[[#This Row],[ProcessSN]],表格2_7[],2,FALSE)</f>
        <v>30-4118-018-550</v>
      </c>
      <c r="I1625" t="str">
        <f>VLOOKUP(record[[#This Row],[ProcessSN]],表格2_7[],3,FALSE)</f>
        <v>#100OQC</v>
      </c>
      <c r="J1625" t="s">
        <v>599</v>
      </c>
      <c r="K1625" s="195">
        <v>46133.33184027778</v>
      </c>
      <c r="L1625">
        <v>343</v>
      </c>
      <c r="M1625">
        <v>0</v>
      </c>
      <c r="N1625" s="98" t="str">
        <f>IF(record[[#This Row],[Memo]]="Browser:chrome os:android","平板報工",IF(record[[#This Row],[Memo]]=0,"委外",record[[#This Row],[Memo]]))</f>
        <v/>
      </c>
      <c r="O1625" t="s">
        <v>58</v>
      </c>
      <c r="P1625" t="s">
        <v>121</v>
      </c>
      <c r="Q1625" t="s">
        <v>58</v>
      </c>
      <c r="R1625" t="str">
        <f>IFERROR(VLOOKUP(record[[#This Row],[PCUSTID]],廠商[],2,FALSE),"")</f>
        <v/>
      </c>
      <c r="S1625" t="str">
        <f>VLOOKUP(record[[#This Row],[employeeID]],員工[],2,FALSE)</f>
        <v>謝素卿</v>
      </c>
    </row>
    <row r="1626" spans="6:19" hidden="1" x14ac:dyDescent="0.25">
      <c r="F1626" t="s">
        <v>1407</v>
      </c>
      <c r="G1626" t="s">
        <v>360</v>
      </c>
      <c r="H1626" t="str">
        <f>VLOOKUP(record[[#This Row],[ProcessSN]],表格2_7[],2,FALSE)</f>
        <v>30-4118-018-450</v>
      </c>
      <c r="I1626" t="str">
        <f>VLOOKUP(record[[#This Row],[ProcessSN]],表格2_7[],3,FALSE)</f>
        <v>#100OQC</v>
      </c>
      <c r="J1626" t="s">
        <v>599</v>
      </c>
      <c r="K1626" s="195">
        <v>46133.330810185187</v>
      </c>
      <c r="L1626">
        <v>1</v>
      </c>
      <c r="M1626">
        <v>0</v>
      </c>
      <c r="N1626" s="98" t="str">
        <f>IF(record[[#This Row],[Memo]]="Browser:chrome os:android","平板報工",IF(record[[#This Row],[Memo]]=0,"委外",record[[#This Row],[Memo]]))</f>
        <v/>
      </c>
      <c r="O1626" t="s">
        <v>58</v>
      </c>
      <c r="P1626" t="s">
        <v>121</v>
      </c>
      <c r="Q1626" t="s">
        <v>58</v>
      </c>
      <c r="R1626" t="str">
        <f>IFERROR(VLOOKUP(record[[#This Row],[PCUSTID]],廠商[],2,FALSE),"")</f>
        <v/>
      </c>
      <c r="S1626" t="str">
        <f>VLOOKUP(record[[#This Row],[employeeID]],員工[],2,FALSE)</f>
        <v>謝素卿</v>
      </c>
    </row>
    <row r="1627" spans="6:19" hidden="1" x14ac:dyDescent="0.25">
      <c r="F1627" t="s">
        <v>1646</v>
      </c>
      <c r="G1627" t="s">
        <v>360</v>
      </c>
      <c r="H1627" t="str">
        <f>VLOOKUP(record[[#This Row],[ProcessSN]],表格2_7[],2,FALSE)</f>
        <v>30-4118-018-450</v>
      </c>
      <c r="I1627" t="str">
        <f>VLOOKUP(record[[#This Row],[ProcessSN]],表格2_7[],3,FALSE)</f>
        <v>#100OQC</v>
      </c>
      <c r="J1627" t="s">
        <v>599</v>
      </c>
      <c r="K1627" s="195">
        <v>46133.330659722225</v>
      </c>
      <c r="L1627">
        <v>3</v>
      </c>
      <c r="M1627">
        <v>0</v>
      </c>
      <c r="N1627" s="98" t="str">
        <f>IF(record[[#This Row],[Memo]]="Browser:chrome os:android","平板報工",IF(record[[#This Row],[Memo]]=0,"委外",record[[#This Row],[Memo]]))</f>
        <v/>
      </c>
      <c r="O1627" t="s">
        <v>58</v>
      </c>
      <c r="P1627" t="s">
        <v>121</v>
      </c>
      <c r="Q1627" t="s">
        <v>58</v>
      </c>
      <c r="R1627" t="str">
        <f>IFERROR(VLOOKUP(record[[#This Row],[PCUSTID]],廠商[],2,FALSE),"")</f>
        <v/>
      </c>
      <c r="S1627" t="str">
        <f>VLOOKUP(record[[#This Row],[employeeID]],員工[],2,FALSE)</f>
        <v>謝素卿</v>
      </c>
    </row>
    <row r="1628" spans="6:19" hidden="1" x14ac:dyDescent="0.25">
      <c r="F1628" t="s">
        <v>1815</v>
      </c>
      <c r="G1628" t="s">
        <v>450</v>
      </c>
      <c r="H1628" t="str">
        <f>VLOOKUP(record[[#This Row],[ProcessSN]],表格2_7[],2,FALSE)</f>
        <v>30-4118-018-6XX</v>
      </c>
      <c r="I1628" t="str">
        <f>VLOOKUP(record[[#This Row],[ProcessSN]],表格2_7[],3,FALSE)</f>
        <v>#06</v>
      </c>
      <c r="J1628" t="s">
        <v>593</v>
      </c>
      <c r="K1628" s="195">
        <v>46133.314837962964</v>
      </c>
      <c r="L1628">
        <v>133</v>
      </c>
      <c r="M1628">
        <v>0</v>
      </c>
      <c r="N1628" s="98" t="str">
        <f>IF(record[[#This Row],[Memo]]="Browser:chrome os:android","平板報工",IF(record[[#This Row],[Memo]]=0,"委外",record[[#This Row],[Memo]]))</f>
        <v/>
      </c>
      <c r="O1628" t="s">
        <v>58</v>
      </c>
      <c r="P1628" t="s">
        <v>180</v>
      </c>
      <c r="Q1628" t="s">
        <v>58</v>
      </c>
      <c r="R1628" t="str">
        <f>IFERROR(VLOOKUP(record[[#This Row],[PCUSTID]],廠商[],2,FALSE),"")</f>
        <v/>
      </c>
      <c r="S1628" t="str">
        <f>VLOOKUP(record[[#This Row],[employeeID]],員工[],2,FALSE)</f>
        <v>黎功江</v>
      </c>
    </row>
    <row r="1629" spans="6:19" hidden="1" x14ac:dyDescent="0.25">
      <c r="F1629" t="s">
        <v>1815</v>
      </c>
      <c r="G1629" t="s">
        <v>450</v>
      </c>
      <c r="H1629" t="str">
        <f>VLOOKUP(record[[#This Row],[ProcessSN]],表格2_7[],2,FALSE)</f>
        <v>30-4118-018-6XX</v>
      </c>
      <c r="I1629" t="str">
        <f>VLOOKUP(record[[#This Row],[ProcessSN]],表格2_7[],3,FALSE)</f>
        <v>#06</v>
      </c>
      <c r="J1629" t="s">
        <v>593</v>
      </c>
      <c r="K1629" s="195">
        <v>46133.314363425925</v>
      </c>
      <c r="L1629">
        <v>95</v>
      </c>
      <c r="M1629">
        <v>1</v>
      </c>
      <c r="N1629" s="98" t="str">
        <f>IF(record[[#This Row],[Memo]]="Browser:chrome os:android","平板報工",IF(record[[#This Row],[Memo]]=0,"委外",record[[#This Row],[Memo]]))</f>
        <v/>
      </c>
      <c r="O1629" t="s">
        <v>58</v>
      </c>
      <c r="P1629" t="s">
        <v>691</v>
      </c>
      <c r="Q1629" t="s">
        <v>58</v>
      </c>
      <c r="R1629" t="str">
        <f>IFERROR(VLOOKUP(record[[#This Row],[PCUSTID]],廠商[],2,FALSE),"")</f>
        <v/>
      </c>
      <c r="S1629" t="str">
        <f>VLOOKUP(record[[#This Row],[employeeID]],員工[],2,FALSE)</f>
        <v>武氏賢</v>
      </c>
    </row>
    <row r="1630" spans="6:19" hidden="1" x14ac:dyDescent="0.25">
      <c r="F1630" t="s">
        <v>1794</v>
      </c>
      <c r="G1630" t="s">
        <v>417</v>
      </c>
      <c r="H1630" t="str">
        <f>VLOOKUP(record[[#This Row],[ProcessSN]],表格2_7[],2,FALSE)</f>
        <v>30-4118-018-5XX</v>
      </c>
      <c r="I1630" t="str">
        <f>VLOOKUP(record[[#This Row],[ProcessSN]],表格2_7[],3,FALSE)</f>
        <v>#06</v>
      </c>
      <c r="J1630" t="s">
        <v>593</v>
      </c>
      <c r="K1630" s="195">
        <v>46133.314189814817</v>
      </c>
      <c r="L1630">
        <v>38</v>
      </c>
      <c r="M1630">
        <v>0</v>
      </c>
      <c r="N1630" s="98" t="str">
        <f>IF(record[[#This Row],[Memo]]="Browser:chrome os:android","平板報工",IF(record[[#This Row],[Memo]]=0,"委外",record[[#This Row],[Memo]]))</f>
        <v/>
      </c>
      <c r="O1630" t="s">
        <v>58</v>
      </c>
      <c r="P1630" t="s">
        <v>691</v>
      </c>
      <c r="Q1630" t="s">
        <v>58</v>
      </c>
      <c r="R1630" t="str">
        <f>IFERROR(VLOOKUP(record[[#This Row],[PCUSTID]],廠商[],2,FALSE),"")</f>
        <v/>
      </c>
      <c r="S1630" t="str">
        <f>VLOOKUP(record[[#This Row],[employeeID]],員工[],2,FALSE)</f>
        <v>武氏賢</v>
      </c>
    </row>
    <row r="1631" spans="6:19" hidden="1" x14ac:dyDescent="0.25">
      <c r="F1631" t="s">
        <v>1815</v>
      </c>
      <c r="G1631" t="s">
        <v>449</v>
      </c>
      <c r="H1631" t="str">
        <f>VLOOKUP(record[[#This Row],[ProcessSN]],表格2_7[],2,FALSE)</f>
        <v>30-4118-018-6XX</v>
      </c>
      <c r="I1631" t="str">
        <f>VLOOKUP(record[[#This Row],[ProcessSN]],表格2_7[],3,FALSE)</f>
        <v>#05</v>
      </c>
      <c r="J1631" t="s">
        <v>588</v>
      </c>
      <c r="K1631" s="195">
        <v>46133.312372685185</v>
      </c>
      <c r="L1631">
        <v>180</v>
      </c>
      <c r="M1631">
        <v>0</v>
      </c>
      <c r="N1631" s="98" t="str">
        <f>IF(record[[#This Row],[Memo]]="Browser:chrome os:android","平板報工",IF(record[[#This Row],[Memo]]=0,"委外",record[[#This Row],[Memo]]))</f>
        <v/>
      </c>
      <c r="O1631" t="s">
        <v>58</v>
      </c>
      <c r="P1631" t="s">
        <v>843</v>
      </c>
      <c r="Q1631" t="s">
        <v>58</v>
      </c>
      <c r="R1631" t="str">
        <f>IFERROR(VLOOKUP(record[[#This Row],[PCUSTID]],廠商[],2,FALSE),"")</f>
        <v/>
      </c>
      <c r="S1631" t="str">
        <f>VLOOKUP(record[[#This Row],[employeeID]],員工[],2,FALSE)</f>
        <v>張楚承</v>
      </c>
    </row>
    <row r="1632" spans="6:19" hidden="1" x14ac:dyDescent="0.25">
      <c r="F1632" t="s">
        <v>1818</v>
      </c>
      <c r="G1632" t="s">
        <v>465</v>
      </c>
      <c r="H1632" t="str">
        <f>VLOOKUP(record[[#This Row],[ProcessSN]],表格2_7[],2,FALSE)</f>
        <v>30-4118-018-XXX</v>
      </c>
      <c r="I1632" t="str">
        <f>VLOOKUP(record[[#This Row],[ProcessSN]],表格2_7[],3,FALSE)</f>
        <v>#01-1</v>
      </c>
      <c r="J1632" t="s">
        <v>588</v>
      </c>
      <c r="K1632" s="195">
        <v>46133.311747685184</v>
      </c>
      <c r="L1632">
        <v>967</v>
      </c>
      <c r="M1632">
        <v>0</v>
      </c>
      <c r="N1632" s="98" t="str">
        <f>IF(record[[#This Row],[Memo]]="Browser:chrome os:android","平板報工",IF(record[[#This Row],[Memo]]=0,"委外",record[[#This Row],[Memo]]))</f>
        <v>中4/18</v>
      </c>
      <c r="O1632" t="s">
        <v>1852</v>
      </c>
      <c r="P1632" t="s">
        <v>135</v>
      </c>
      <c r="Q1632" t="s">
        <v>58</v>
      </c>
      <c r="R1632" t="str">
        <f>IFERROR(VLOOKUP(record[[#This Row],[PCUSTID]],廠商[],2,FALSE),"")</f>
        <v/>
      </c>
      <c r="S1632" t="str">
        <f>VLOOKUP(record[[#This Row],[employeeID]],員工[],2,FALSE)</f>
        <v>阮士文</v>
      </c>
    </row>
    <row r="1633" spans="6:19" hidden="1" x14ac:dyDescent="0.25">
      <c r="F1633" t="s">
        <v>1818</v>
      </c>
      <c r="G1633" t="s">
        <v>465</v>
      </c>
      <c r="H1633" t="str">
        <f>VLOOKUP(record[[#This Row],[ProcessSN]],表格2_7[],2,FALSE)</f>
        <v>30-4118-018-XXX</v>
      </c>
      <c r="I1633" t="str">
        <f>VLOOKUP(record[[#This Row],[ProcessSN]],表格2_7[],3,FALSE)</f>
        <v>#01-1</v>
      </c>
      <c r="J1633" t="s">
        <v>588</v>
      </c>
      <c r="K1633" s="195">
        <v>46133.310995370368</v>
      </c>
      <c r="L1633">
        <v>912</v>
      </c>
      <c r="M1633">
        <v>0</v>
      </c>
      <c r="N1633" s="98" t="str">
        <f>IF(record[[#This Row],[Memo]]="Browser:chrome os:android","平板報工",IF(record[[#This Row],[Memo]]=0,"委外",record[[#This Row],[Memo]]))</f>
        <v/>
      </c>
      <c r="O1633" t="s">
        <v>58</v>
      </c>
      <c r="P1633" t="s">
        <v>135</v>
      </c>
      <c r="Q1633" t="s">
        <v>58</v>
      </c>
      <c r="R1633" t="str">
        <f>IFERROR(VLOOKUP(record[[#This Row],[PCUSTID]],廠商[],2,FALSE),"")</f>
        <v/>
      </c>
      <c r="S1633" t="str">
        <f>VLOOKUP(record[[#This Row],[employeeID]],員工[],2,FALSE)</f>
        <v>阮士文</v>
      </c>
    </row>
    <row r="1634" spans="6:19" hidden="1" x14ac:dyDescent="0.25">
      <c r="F1634" t="s">
        <v>1815</v>
      </c>
      <c r="G1634" t="s">
        <v>448</v>
      </c>
      <c r="H1634" t="str">
        <f>VLOOKUP(record[[#This Row],[ProcessSN]],表格2_7[],2,FALSE)</f>
        <v>30-4118-018-6XX</v>
      </c>
      <c r="I1634" t="str">
        <f>VLOOKUP(record[[#This Row],[ProcessSN]],表格2_7[],3,FALSE)</f>
        <v>#04</v>
      </c>
      <c r="J1634" t="s">
        <v>588</v>
      </c>
      <c r="K1634" s="195">
        <v>46133.310729166667</v>
      </c>
      <c r="L1634">
        <v>264</v>
      </c>
      <c r="M1634">
        <v>11</v>
      </c>
      <c r="N1634" s="98" t="str">
        <f>IF(record[[#This Row],[Memo]]="Browser:chrome os:android","平板報工",IF(record[[#This Row],[Memo]]=0,"委外",record[[#This Row],[Memo]]))</f>
        <v/>
      </c>
      <c r="O1634" t="s">
        <v>58</v>
      </c>
      <c r="P1634" t="s">
        <v>135</v>
      </c>
      <c r="Q1634" t="s">
        <v>58</v>
      </c>
      <c r="R1634" t="str">
        <f>IFERROR(VLOOKUP(record[[#This Row],[PCUSTID]],廠商[],2,FALSE),"")</f>
        <v/>
      </c>
      <c r="S1634" t="str">
        <f>VLOOKUP(record[[#This Row],[employeeID]],員工[],2,FALSE)</f>
        <v>阮士文</v>
      </c>
    </row>
    <row r="1635" spans="6:19" hidden="1" x14ac:dyDescent="0.25">
      <c r="F1635" t="s">
        <v>1772</v>
      </c>
      <c r="G1635" t="s">
        <v>466</v>
      </c>
      <c r="H1635" t="str">
        <f>VLOOKUP(record[[#This Row],[ProcessSN]],表格2_7[],2,FALSE)</f>
        <v>30-4118-018-XXX</v>
      </c>
      <c r="I1635" t="str">
        <f>VLOOKUP(record[[#This Row],[ProcessSN]],表格2_7[],3,FALSE)</f>
        <v>#01-2</v>
      </c>
      <c r="J1635" t="s">
        <v>588</v>
      </c>
      <c r="K1635" s="195">
        <v>46133.264155092591</v>
      </c>
      <c r="L1635">
        <v>456</v>
      </c>
      <c r="M1635">
        <v>0</v>
      </c>
      <c r="N1635" s="98" t="str">
        <f>IF(record[[#This Row],[Memo]]="Browser:chrome os:android","平板報工",IF(record[[#This Row],[Memo]]=0,"委外",record[[#This Row],[Memo]]))</f>
        <v>平板報工</v>
      </c>
      <c r="O1635" t="s">
        <v>643</v>
      </c>
      <c r="P1635" t="s">
        <v>806</v>
      </c>
      <c r="Q1635" t="s">
        <v>644</v>
      </c>
      <c r="R1635" t="str">
        <f>IFERROR(VLOOKUP(record[[#This Row],[PCUSTID]],廠商[],2,FALSE),"")</f>
        <v/>
      </c>
      <c r="S1635" t="str">
        <f>VLOOKUP(record[[#This Row],[employeeID]],員工[],2,FALSE)</f>
        <v>方思緯</v>
      </c>
    </row>
    <row r="1636" spans="6:19" hidden="1" x14ac:dyDescent="0.25">
      <c r="F1636" t="s">
        <v>1818</v>
      </c>
      <c r="G1636" t="s">
        <v>465</v>
      </c>
      <c r="H1636" t="str">
        <f>VLOOKUP(record[[#This Row],[ProcessSN]],表格2_7[],2,FALSE)</f>
        <v>30-4118-018-XXX</v>
      </c>
      <c r="I1636" t="str">
        <f>VLOOKUP(record[[#This Row],[ProcessSN]],表格2_7[],3,FALSE)</f>
        <v>#01-1</v>
      </c>
      <c r="J1636" t="s">
        <v>588</v>
      </c>
      <c r="K1636" s="195">
        <v>46132.98978009259</v>
      </c>
      <c r="L1636">
        <v>414</v>
      </c>
      <c r="M1636">
        <v>0</v>
      </c>
      <c r="N1636" s="98" t="str">
        <f>IF(record[[#This Row],[Memo]]="Browser:chrome os:android","平板報工",IF(record[[#This Row],[Memo]]=0,"委外",record[[#This Row],[Memo]]))</f>
        <v>平板報工</v>
      </c>
      <c r="O1636" t="s">
        <v>643</v>
      </c>
      <c r="P1636" t="s">
        <v>180</v>
      </c>
      <c r="Q1636" t="s">
        <v>644</v>
      </c>
      <c r="R1636" t="str">
        <f>IFERROR(VLOOKUP(record[[#This Row],[PCUSTID]],廠商[],2,FALSE),"")</f>
        <v/>
      </c>
      <c r="S1636" t="str">
        <f>VLOOKUP(record[[#This Row],[employeeID]],員工[],2,FALSE)</f>
        <v>黎功江</v>
      </c>
    </row>
    <row r="1637" spans="6:19" hidden="1" x14ac:dyDescent="0.25">
      <c r="F1637" t="s">
        <v>1794</v>
      </c>
      <c r="G1637" t="s">
        <v>417</v>
      </c>
      <c r="H1637" t="str">
        <f>VLOOKUP(record[[#This Row],[ProcessSN]],表格2_7[],2,FALSE)</f>
        <v>30-4118-018-5XX</v>
      </c>
      <c r="I1637" t="str">
        <f>VLOOKUP(record[[#This Row],[ProcessSN]],表格2_7[],3,FALSE)</f>
        <v>#06</v>
      </c>
      <c r="J1637" t="s">
        <v>593</v>
      </c>
      <c r="K1637" s="195">
        <v>46132.989560185182</v>
      </c>
      <c r="L1637">
        <v>64</v>
      </c>
      <c r="M1637">
        <v>0</v>
      </c>
      <c r="N1637" s="98" t="str">
        <f>IF(record[[#This Row],[Memo]]="Browser:chrome os:android","平板報工",IF(record[[#This Row],[Memo]]=0,"委外",record[[#This Row],[Memo]]))</f>
        <v>平板報工</v>
      </c>
      <c r="O1637" t="s">
        <v>643</v>
      </c>
      <c r="P1637" t="s">
        <v>841</v>
      </c>
      <c r="Q1637" t="s">
        <v>644</v>
      </c>
      <c r="R1637" t="str">
        <f>IFERROR(VLOOKUP(record[[#This Row],[PCUSTID]],廠商[],2,FALSE),"")</f>
        <v/>
      </c>
      <c r="S1637" t="str">
        <f>VLOOKUP(record[[#This Row],[employeeID]],員工[],2,FALSE)</f>
        <v>范氏香</v>
      </c>
    </row>
    <row r="1638" spans="6:19" hidden="1" x14ac:dyDescent="0.25">
      <c r="F1638" t="s">
        <v>1794</v>
      </c>
      <c r="G1638" t="s">
        <v>417</v>
      </c>
      <c r="H1638" t="str">
        <f>VLOOKUP(record[[#This Row],[ProcessSN]],表格2_7[],2,FALSE)</f>
        <v>30-4118-018-5XX</v>
      </c>
      <c r="I1638" t="str">
        <f>VLOOKUP(record[[#This Row],[ProcessSN]],表格2_7[],3,FALSE)</f>
        <v>#06</v>
      </c>
      <c r="J1638" t="s">
        <v>593</v>
      </c>
      <c r="K1638" s="195">
        <v>46132.988495370373</v>
      </c>
      <c r="L1638">
        <v>69</v>
      </c>
      <c r="M1638">
        <v>0</v>
      </c>
      <c r="N1638" s="98" t="str">
        <f>IF(record[[#This Row],[Memo]]="Browser:chrome os:android","平板報工",IF(record[[#This Row],[Memo]]=0,"委外",record[[#This Row],[Memo]]))</f>
        <v/>
      </c>
      <c r="O1638" t="s">
        <v>58</v>
      </c>
      <c r="P1638" t="s">
        <v>1669</v>
      </c>
      <c r="Q1638" t="s">
        <v>58</v>
      </c>
      <c r="R1638" t="str">
        <f>IFERROR(VLOOKUP(record[[#This Row],[PCUSTID]],廠商[],2,FALSE),"")</f>
        <v/>
      </c>
      <c r="S1638" t="str">
        <f>VLOOKUP(record[[#This Row],[employeeID]],員工[],2,FALSE)</f>
        <v>武氏麗娟</v>
      </c>
    </row>
    <row r="1639" spans="6:19" hidden="1" x14ac:dyDescent="0.25">
      <c r="F1639" t="s">
        <v>1815</v>
      </c>
      <c r="G1639" t="s">
        <v>450</v>
      </c>
      <c r="H1639" t="str">
        <f>VLOOKUP(record[[#This Row],[ProcessSN]],表格2_7[],2,FALSE)</f>
        <v>30-4118-018-6XX</v>
      </c>
      <c r="I1639" t="str">
        <f>VLOOKUP(record[[#This Row],[ProcessSN]],表格2_7[],3,FALSE)</f>
        <v>#06</v>
      </c>
      <c r="J1639" t="s">
        <v>593</v>
      </c>
      <c r="K1639" s="195">
        <v>46132.987395833334</v>
      </c>
      <c r="L1639">
        <v>64</v>
      </c>
      <c r="M1639">
        <v>0</v>
      </c>
      <c r="N1639" s="98" t="str">
        <f>IF(record[[#This Row],[Memo]]="Browser:chrome os:android","平板報工",IF(record[[#This Row],[Memo]]=0,"委外",record[[#This Row],[Memo]]))</f>
        <v>平板報工</v>
      </c>
      <c r="O1639" t="s">
        <v>643</v>
      </c>
      <c r="P1639" t="s">
        <v>1669</v>
      </c>
      <c r="Q1639" t="s">
        <v>644</v>
      </c>
      <c r="R1639" t="str">
        <f>IFERROR(VLOOKUP(record[[#This Row],[PCUSTID]],廠商[],2,FALSE),"")</f>
        <v/>
      </c>
      <c r="S1639" t="str">
        <f>VLOOKUP(record[[#This Row],[employeeID]],員工[],2,FALSE)</f>
        <v>武氏麗娟</v>
      </c>
    </row>
    <row r="1640" spans="6:19" hidden="1" x14ac:dyDescent="0.25">
      <c r="F1640" t="s">
        <v>1637</v>
      </c>
      <c r="G1640" t="s">
        <v>451</v>
      </c>
      <c r="H1640" t="str">
        <f>VLOOKUP(record[[#This Row],[ProcessSN]],表格2_7[],2,FALSE)</f>
        <v>30-4118-018-6XX</v>
      </c>
      <c r="I1640" t="str">
        <f>VLOOKUP(record[[#This Row],[ProcessSN]],表格2_7[],3,FALSE)</f>
        <v>#07</v>
      </c>
      <c r="J1640" t="s">
        <v>588</v>
      </c>
      <c r="K1640" s="195">
        <v>46132.987372685187</v>
      </c>
      <c r="L1640">
        <v>135</v>
      </c>
      <c r="M1640">
        <v>0</v>
      </c>
      <c r="N1640" s="98" t="str">
        <f>IF(record[[#This Row],[Memo]]="Browser:chrome os:android","平板報工",IF(record[[#This Row],[Memo]]=0,"委外",record[[#This Row],[Memo]]))</f>
        <v/>
      </c>
      <c r="O1640" t="s">
        <v>58</v>
      </c>
      <c r="P1640" t="s">
        <v>1098</v>
      </c>
      <c r="Q1640" t="s">
        <v>58</v>
      </c>
      <c r="R1640" t="str">
        <f>IFERROR(VLOOKUP(record[[#This Row],[PCUSTID]],廠商[],2,FALSE),"")</f>
        <v/>
      </c>
      <c r="S1640" t="str">
        <f>VLOOKUP(record[[#This Row],[employeeID]],員工[],2,FALSE)</f>
        <v>阮氏芳英(英)</v>
      </c>
    </row>
    <row r="1641" spans="6:19" hidden="1" x14ac:dyDescent="0.25">
      <c r="F1641" t="s">
        <v>1815</v>
      </c>
      <c r="G1641" t="s">
        <v>449</v>
      </c>
      <c r="H1641" t="str">
        <f>VLOOKUP(record[[#This Row],[ProcessSN]],表格2_7[],2,FALSE)</f>
        <v>30-4118-018-6XX</v>
      </c>
      <c r="I1641" t="str">
        <f>VLOOKUP(record[[#This Row],[ProcessSN]],表格2_7[],3,FALSE)</f>
        <v>#05</v>
      </c>
      <c r="J1641" t="s">
        <v>588</v>
      </c>
      <c r="K1641" s="195">
        <v>46132.984479166669</v>
      </c>
      <c r="L1641">
        <v>158</v>
      </c>
      <c r="M1641">
        <v>0</v>
      </c>
      <c r="N1641" s="98" t="str">
        <f>IF(record[[#This Row],[Memo]]="Browser:chrome os:android","平板報工",IF(record[[#This Row],[Memo]]=0,"委外",record[[#This Row],[Memo]]))</f>
        <v/>
      </c>
      <c r="O1641" t="s">
        <v>58</v>
      </c>
      <c r="P1641" t="s">
        <v>89</v>
      </c>
      <c r="Q1641" t="s">
        <v>58</v>
      </c>
      <c r="R1641" t="str">
        <f>IFERROR(VLOOKUP(record[[#This Row],[PCUSTID]],廠商[],2,FALSE),"")</f>
        <v/>
      </c>
      <c r="S1641" t="str">
        <f>VLOOKUP(record[[#This Row],[employeeID]],員工[],2,FALSE)</f>
        <v>李美蓮</v>
      </c>
    </row>
    <row r="1642" spans="6:19" hidden="1" x14ac:dyDescent="0.25">
      <c r="F1642" t="s">
        <v>1815</v>
      </c>
      <c r="G1642" t="s">
        <v>448</v>
      </c>
      <c r="H1642" t="str">
        <f>VLOOKUP(record[[#This Row],[ProcessSN]],表格2_7[],2,FALSE)</f>
        <v>30-4118-018-6XX</v>
      </c>
      <c r="I1642" t="str">
        <f>VLOOKUP(record[[#This Row],[ProcessSN]],表格2_7[],3,FALSE)</f>
        <v>#04</v>
      </c>
      <c r="J1642" t="s">
        <v>588</v>
      </c>
      <c r="K1642" s="195">
        <v>46132.983194444445</v>
      </c>
      <c r="L1642">
        <v>98</v>
      </c>
      <c r="M1642">
        <v>0</v>
      </c>
      <c r="N1642" s="98" t="str">
        <f>IF(record[[#This Row],[Memo]]="Browser:chrome os:android","平板報工",IF(record[[#This Row],[Memo]]=0,"委外",record[[#This Row],[Memo]]))</f>
        <v>平板報工</v>
      </c>
      <c r="O1642" t="s">
        <v>643</v>
      </c>
      <c r="P1642" t="s">
        <v>180</v>
      </c>
      <c r="Q1642" t="s">
        <v>644</v>
      </c>
      <c r="R1642" t="str">
        <f>IFERROR(VLOOKUP(record[[#This Row],[PCUSTID]],廠商[],2,FALSE),"")</f>
        <v/>
      </c>
      <c r="S1642" t="str">
        <f>VLOOKUP(record[[#This Row],[employeeID]],員工[],2,FALSE)</f>
        <v>黎功江</v>
      </c>
    </row>
    <row r="1643" spans="6:19" hidden="1" x14ac:dyDescent="0.25">
      <c r="F1643" t="s">
        <v>1803</v>
      </c>
      <c r="G1643" t="s">
        <v>418</v>
      </c>
      <c r="H1643" t="str">
        <f>VLOOKUP(record[[#This Row],[ProcessSN]],表格2_7[],2,FALSE)</f>
        <v>30-4118-018-5XX</v>
      </c>
      <c r="I1643" t="str">
        <f>VLOOKUP(record[[#This Row],[ProcessSN]],表格2_7[],3,FALSE)</f>
        <v>#07</v>
      </c>
      <c r="J1643" t="s">
        <v>588</v>
      </c>
      <c r="K1643" s="195">
        <v>46132.977731481478</v>
      </c>
      <c r="L1643">
        <v>212</v>
      </c>
      <c r="M1643">
        <v>5</v>
      </c>
      <c r="N1643" s="98" t="str">
        <f>IF(record[[#This Row],[Memo]]="Browser:chrome os:android","平板報工",IF(record[[#This Row],[Memo]]=0,"委外",record[[#This Row],[Memo]]))</f>
        <v>平板報工</v>
      </c>
      <c r="O1643" t="s">
        <v>643</v>
      </c>
      <c r="P1643" t="s">
        <v>1098</v>
      </c>
      <c r="Q1643" t="s">
        <v>644</v>
      </c>
      <c r="R1643" t="str">
        <f>IFERROR(VLOOKUP(record[[#This Row],[PCUSTID]],廠商[],2,FALSE),"")</f>
        <v/>
      </c>
      <c r="S1643" t="str">
        <f>VLOOKUP(record[[#This Row],[employeeID]],員工[],2,FALSE)</f>
        <v>阮氏芳英(英)</v>
      </c>
    </row>
    <row r="1644" spans="6:19" hidden="1" x14ac:dyDescent="0.25">
      <c r="F1644" t="s">
        <v>1772</v>
      </c>
      <c r="G1644" t="s">
        <v>466</v>
      </c>
      <c r="H1644" t="str">
        <f>VLOOKUP(record[[#This Row],[ProcessSN]],表格2_7[],2,FALSE)</f>
        <v>30-4118-018-XXX</v>
      </c>
      <c r="I1644" t="str">
        <f>VLOOKUP(record[[#This Row],[ProcessSN]],表格2_7[],3,FALSE)</f>
        <v>#01-2</v>
      </c>
      <c r="J1644" t="s">
        <v>588</v>
      </c>
      <c r="K1644" s="195">
        <v>46132.97451388889</v>
      </c>
      <c r="L1644">
        <v>496</v>
      </c>
      <c r="M1644">
        <v>0</v>
      </c>
      <c r="N1644" s="98" t="str">
        <f>IF(record[[#This Row],[Memo]]="Browser:chrome os:android","平板報工",IF(record[[#This Row],[Memo]]=0,"委外",record[[#This Row],[Memo]]))</f>
        <v>平板報工</v>
      </c>
      <c r="O1644" t="s">
        <v>643</v>
      </c>
      <c r="P1644" t="s">
        <v>89</v>
      </c>
      <c r="Q1644" t="s">
        <v>644</v>
      </c>
      <c r="R1644" t="str">
        <f>IFERROR(VLOOKUP(record[[#This Row],[PCUSTID]],廠商[],2,FALSE),"")</f>
        <v/>
      </c>
      <c r="S1644" t="str">
        <f>VLOOKUP(record[[#This Row],[employeeID]],員工[],2,FALSE)</f>
        <v>李美蓮</v>
      </c>
    </row>
    <row r="1645" spans="6:19" hidden="1" x14ac:dyDescent="0.25">
      <c r="F1645" t="s">
        <v>1794</v>
      </c>
      <c r="G1645" t="s">
        <v>416</v>
      </c>
      <c r="H1645" t="str">
        <f>VLOOKUP(record[[#This Row],[ProcessSN]],表格2_7[],2,FALSE)</f>
        <v>30-4118-018-5XX</v>
      </c>
      <c r="I1645" t="str">
        <f>VLOOKUP(record[[#This Row],[ProcessSN]],表格2_7[],3,FALSE)</f>
        <v>#05</v>
      </c>
      <c r="J1645" t="s">
        <v>588</v>
      </c>
      <c r="K1645" s="195">
        <v>46132.974143518521</v>
      </c>
      <c r="L1645">
        <v>162</v>
      </c>
      <c r="M1645">
        <v>0</v>
      </c>
      <c r="N1645" s="98" t="str">
        <f>IF(record[[#This Row],[Memo]]="Browser:chrome os:android","平板報工",IF(record[[#This Row],[Memo]]=0,"委外",record[[#This Row],[Memo]]))</f>
        <v>平板報工</v>
      </c>
      <c r="O1645" t="s">
        <v>643</v>
      </c>
      <c r="P1645" t="s">
        <v>89</v>
      </c>
      <c r="Q1645" t="s">
        <v>644</v>
      </c>
      <c r="R1645" t="str">
        <f>IFERROR(VLOOKUP(record[[#This Row],[PCUSTID]],廠商[],2,FALSE),"")</f>
        <v/>
      </c>
      <c r="S1645" t="str">
        <f>VLOOKUP(record[[#This Row],[employeeID]],員工[],2,FALSE)</f>
        <v>李美蓮</v>
      </c>
    </row>
    <row r="1646" spans="6:19" hidden="1" x14ac:dyDescent="0.25">
      <c r="F1646" t="s">
        <v>1807</v>
      </c>
      <c r="G1646" t="s">
        <v>444</v>
      </c>
      <c r="H1646" t="str">
        <f>VLOOKUP(record[[#This Row],[ProcessSN]],表格2_7[],2,FALSE)</f>
        <v>30-4118-018-650</v>
      </c>
      <c r="I1646" t="str">
        <f>VLOOKUP(record[[#This Row],[ProcessSN]],表格2_7[],3,FALSE)</f>
        <v>#100SHIP</v>
      </c>
      <c r="J1646" t="s">
        <v>600</v>
      </c>
      <c r="K1646" s="195">
        <v>46132.909490740742</v>
      </c>
      <c r="L1646">
        <v>286</v>
      </c>
      <c r="M1646">
        <v>0</v>
      </c>
      <c r="N1646" s="98" t="str">
        <f>IF(record[[#This Row],[Memo]]="Browser:chrome os:android","平板報工",IF(record[[#This Row],[Memo]]=0,"委外",record[[#This Row],[Memo]]))</f>
        <v/>
      </c>
      <c r="O1646" t="s">
        <v>58</v>
      </c>
      <c r="P1646" t="s">
        <v>886</v>
      </c>
      <c r="Q1646" t="s">
        <v>58</v>
      </c>
      <c r="R1646" t="str">
        <f>IFERROR(VLOOKUP(record[[#This Row],[PCUSTID]],廠商[],2,FALSE),"")</f>
        <v/>
      </c>
      <c r="S1646" t="str">
        <f>VLOOKUP(record[[#This Row],[employeeID]],員工[],2,FALSE)</f>
        <v>謝蓁薰</v>
      </c>
    </row>
    <row r="1647" spans="6:19" hidden="1" x14ac:dyDescent="0.25">
      <c r="F1647" t="s">
        <v>1807</v>
      </c>
      <c r="G1647" t="s">
        <v>443</v>
      </c>
      <c r="H1647" t="str">
        <f>VLOOKUP(record[[#This Row],[ProcessSN]],表格2_7[],2,FALSE)</f>
        <v>30-4118-018-650</v>
      </c>
      <c r="I1647" t="str">
        <f>VLOOKUP(record[[#This Row],[ProcessSN]],表格2_7[],3,FALSE)</f>
        <v>#100STOCK</v>
      </c>
      <c r="J1647" t="s">
        <v>592</v>
      </c>
      <c r="K1647" s="195">
        <v>46132.909363425926</v>
      </c>
      <c r="L1647">
        <v>286</v>
      </c>
      <c r="M1647">
        <v>0</v>
      </c>
      <c r="N1647" s="98" t="str">
        <f>IF(record[[#This Row],[Memo]]="Browser:chrome os:android","平板報工",IF(record[[#This Row],[Memo]]=0,"委外",record[[#This Row],[Memo]]))</f>
        <v/>
      </c>
      <c r="O1647" t="s">
        <v>58</v>
      </c>
      <c r="P1647" t="s">
        <v>886</v>
      </c>
      <c r="Q1647" t="s">
        <v>58</v>
      </c>
      <c r="R1647" t="str">
        <f>IFERROR(VLOOKUP(record[[#This Row],[PCUSTID]],廠商[],2,FALSE),"")</f>
        <v/>
      </c>
      <c r="S1647" t="str">
        <f>VLOOKUP(record[[#This Row],[employeeID]],員工[],2,FALSE)</f>
        <v>謝蓁薰</v>
      </c>
    </row>
    <row r="1648" spans="6:19" hidden="1" x14ac:dyDescent="0.25">
      <c r="F1648" t="s">
        <v>1451</v>
      </c>
      <c r="G1648" t="s">
        <v>403</v>
      </c>
      <c r="H1648" t="str">
        <f>VLOOKUP(record[[#This Row],[ProcessSN]],表格2_7[],2,FALSE)</f>
        <v>30-4118-018-550</v>
      </c>
      <c r="I1648" t="str">
        <f>VLOOKUP(record[[#This Row],[ProcessSN]],表格2_7[],3,FALSE)</f>
        <v>#100SHIP</v>
      </c>
      <c r="J1648" t="s">
        <v>600</v>
      </c>
      <c r="K1648" s="195">
        <v>46132.909166666665</v>
      </c>
      <c r="L1648">
        <v>1</v>
      </c>
      <c r="M1648">
        <v>0</v>
      </c>
      <c r="N1648" s="98" t="str">
        <f>IF(record[[#This Row],[Memo]]="Browser:chrome os:android","平板報工",IF(record[[#This Row],[Memo]]=0,"委外",record[[#This Row],[Memo]]))</f>
        <v/>
      </c>
      <c r="O1648" t="s">
        <v>58</v>
      </c>
      <c r="P1648" t="s">
        <v>886</v>
      </c>
      <c r="Q1648" t="s">
        <v>58</v>
      </c>
      <c r="R1648" t="str">
        <f>IFERROR(VLOOKUP(record[[#This Row],[PCUSTID]],廠商[],2,FALSE),"")</f>
        <v/>
      </c>
      <c r="S1648" t="str">
        <f>VLOOKUP(record[[#This Row],[employeeID]],員工[],2,FALSE)</f>
        <v>謝蓁薰</v>
      </c>
    </row>
    <row r="1649" spans="6:19" hidden="1" x14ac:dyDescent="0.25">
      <c r="F1649" t="s">
        <v>1497</v>
      </c>
      <c r="G1649" t="s">
        <v>403</v>
      </c>
      <c r="H1649" t="str">
        <f>VLOOKUP(record[[#This Row],[ProcessSN]],表格2_7[],2,FALSE)</f>
        <v>30-4118-018-550</v>
      </c>
      <c r="I1649" t="str">
        <f>VLOOKUP(record[[#This Row],[ProcessSN]],表格2_7[],3,FALSE)</f>
        <v>#100SHIP</v>
      </c>
      <c r="J1649" t="s">
        <v>600</v>
      </c>
      <c r="K1649" s="195">
        <v>46132.909039351849</v>
      </c>
      <c r="L1649">
        <v>1</v>
      </c>
      <c r="M1649">
        <v>0</v>
      </c>
      <c r="N1649" s="98" t="str">
        <f>IF(record[[#This Row],[Memo]]="Browser:chrome os:android","平板報工",IF(record[[#This Row],[Memo]]=0,"委外",record[[#This Row],[Memo]]))</f>
        <v/>
      </c>
      <c r="O1649" t="s">
        <v>58</v>
      </c>
      <c r="P1649" t="s">
        <v>886</v>
      </c>
      <c r="Q1649" t="s">
        <v>58</v>
      </c>
      <c r="R1649" t="str">
        <f>IFERROR(VLOOKUP(record[[#This Row],[PCUSTID]],廠商[],2,FALSE),"")</f>
        <v/>
      </c>
      <c r="S1649" t="str">
        <f>VLOOKUP(record[[#This Row],[employeeID]],員工[],2,FALSE)</f>
        <v>謝蓁薰</v>
      </c>
    </row>
    <row r="1650" spans="6:19" hidden="1" x14ac:dyDescent="0.25">
      <c r="F1650" t="s">
        <v>1816</v>
      </c>
      <c r="G1650" t="s">
        <v>403</v>
      </c>
      <c r="H1650" t="str">
        <f>VLOOKUP(record[[#This Row],[ProcessSN]],表格2_7[],2,FALSE)</f>
        <v>30-4118-018-550</v>
      </c>
      <c r="I1650" t="str">
        <f>VLOOKUP(record[[#This Row],[ProcessSN]],表格2_7[],3,FALSE)</f>
        <v>#100SHIP</v>
      </c>
      <c r="J1650" t="s">
        <v>600</v>
      </c>
      <c r="K1650" s="195">
        <v>46132.908888888887</v>
      </c>
      <c r="L1650">
        <v>5</v>
      </c>
      <c r="M1650">
        <v>0</v>
      </c>
      <c r="N1650" s="98" t="str">
        <f>IF(record[[#This Row],[Memo]]="Browser:chrome os:android","平板報工",IF(record[[#This Row],[Memo]]=0,"委外",record[[#This Row],[Memo]]))</f>
        <v/>
      </c>
      <c r="O1650" t="s">
        <v>58</v>
      </c>
      <c r="P1650" t="s">
        <v>886</v>
      </c>
      <c r="Q1650" t="s">
        <v>58</v>
      </c>
      <c r="R1650" t="str">
        <f>IFERROR(VLOOKUP(record[[#This Row],[PCUSTID]],廠商[],2,FALSE),"")</f>
        <v/>
      </c>
      <c r="S1650" t="str">
        <f>VLOOKUP(record[[#This Row],[employeeID]],員工[],2,FALSE)</f>
        <v>謝蓁薰</v>
      </c>
    </row>
    <row r="1651" spans="6:19" hidden="1" x14ac:dyDescent="0.25">
      <c r="F1651" t="s">
        <v>1451</v>
      </c>
      <c r="G1651" t="s">
        <v>402</v>
      </c>
      <c r="H1651" t="str">
        <f>VLOOKUP(record[[#This Row],[ProcessSN]],表格2_7[],2,FALSE)</f>
        <v>30-4118-018-550</v>
      </c>
      <c r="I1651" t="str">
        <f>VLOOKUP(record[[#This Row],[ProcessSN]],表格2_7[],3,FALSE)</f>
        <v>#100STOCK</v>
      </c>
      <c r="J1651" t="s">
        <v>592</v>
      </c>
      <c r="K1651" s="195">
        <v>46132.907581018517</v>
      </c>
      <c r="L1651">
        <v>1</v>
      </c>
      <c r="M1651">
        <v>0</v>
      </c>
      <c r="N1651" s="98" t="str">
        <f>IF(record[[#This Row],[Memo]]="Browser:chrome os:android","平板報工",IF(record[[#This Row],[Memo]]=0,"委外",record[[#This Row],[Memo]]))</f>
        <v/>
      </c>
      <c r="O1651" t="s">
        <v>58</v>
      </c>
      <c r="P1651" t="s">
        <v>886</v>
      </c>
      <c r="Q1651" t="s">
        <v>58</v>
      </c>
      <c r="R1651" t="str">
        <f>IFERROR(VLOOKUP(record[[#This Row],[PCUSTID]],廠商[],2,FALSE),"")</f>
        <v/>
      </c>
      <c r="S1651" t="str">
        <f>VLOOKUP(record[[#This Row],[employeeID]],員工[],2,FALSE)</f>
        <v>謝蓁薰</v>
      </c>
    </row>
    <row r="1652" spans="6:19" hidden="1" x14ac:dyDescent="0.25">
      <c r="F1652" t="s">
        <v>1497</v>
      </c>
      <c r="G1652" t="s">
        <v>402</v>
      </c>
      <c r="H1652" t="str">
        <f>VLOOKUP(record[[#This Row],[ProcessSN]],表格2_7[],2,FALSE)</f>
        <v>30-4118-018-550</v>
      </c>
      <c r="I1652" t="str">
        <f>VLOOKUP(record[[#This Row],[ProcessSN]],表格2_7[],3,FALSE)</f>
        <v>#100STOCK</v>
      </c>
      <c r="J1652" t="s">
        <v>592</v>
      </c>
      <c r="K1652" s="195">
        <v>46132.907476851855</v>
      </c>
      <c r="L1652">
        <v>1</v>
      </c>
      <c r="M1652">
        <v>0</v>
      </c>
      <c r="N1652" s="98" t="str">
        <f>IF(record[[#This Row],[Memo]]="Browser:chrome os:android","平板報工",IF(record[[#This Row],[Memo]]=0,"委外",record[[#This Row],[Memo]]))</f>
        <v/>
      </c>
      <c r="O1652" t="s">
        <v>58</v>
      </c>
      <c r="P1652" t="s">
        <v>886</v>
      </c>
      <c r="Q1652" t="s">
        <v>58</v>
      </c>
      <c r="R1652" t="str">
        <f>IFERROR(VLOOKUP(record[[#This Row],[PCUSTID]],廠商[],2,FALSE),"")</f>
        <v/>
      </c>
      <c r="S1652" t="str">
        <f>VLOOKUP(record[[#This Row],[employeeID]],員工[],2,FALSE)</f>
        <v>謝蓁薰</v>
      </c>
    </row>
    <row r="1653" spans="6:19" hidden="1" x14ac:dyDescent="0.25">
      <c r="F1653" t="s">
        <v>1816</v>
      </c>
      <c r="G1653" t="s">
        <v>402</v>
      </c>
      <c r="H1653" t="str">
        <f>VLOOKUP(record[[#This Row],[ProcessSN]],表格2_7[],2,FALSE)</f>
        <v>30-4118-018-550</v>
      </c>
      <c r="I1653" t="str">
        <f>VLOOKUP(record[[#This Row],[ProcessSN]],表格2_7[],3,FALSE)</f>
        <v>#100STOCK</v>
      </c>
      <c r="J1653" t="s">
        <v>592</v>
      </c>
      <c r="K1653" s="195">
        <v>46132.907349537039</v>
      </c>
      <c r="L1653">
        <v>5</v>
      </c>
      <c r="M1653">
        <v>0</v>
      </c>
      <c r="N1653" s="98" t="str">
        <f>IF(record[[#This Row],[Memo]]="Browser:chrome os:android","平板報工",IF(record[[#This Row],[Memo]]=0,"委外",record[[#This Row],[Memo]]))</f>
        <v/>
      </c>
      <c r="O1653" t="s">
        <v>58</v>
      </c>
      <c r="P1653" t="s">
        <v>886</v>
      </c>
      <c r="Q1653" t="s">
        <v>58</v>
      </c>
      <c r="R1653" t="str">
        <f>IFERROR(VLOOKUP(record[[#This Row],[PCUSTID]],廠商[],2,FALSE),"")</f>
        <v/>
      </c>
      <c r="S1653" t="str">
        <f>VLOOKUP(record[[#This Row],[employeeID]],員工[],2,FALSE)</f>
        <v>謝蓁薰</v>
      </c>
    </row>
    <row r="1654" spans="6:19" hidden="1" x14ac:dyDescent="0.25">
      <c r="F1654" t="s">
        <v>1803</v>
      </c>
      <c r="G1654" t="s">
        <v>417</v>
      </c>
      <c r="H1654" t="str">
        <f>VLOOKUP(record[[#This Row],[ProcessSN]],表格2_7[],2,FALSE)</f>
        <v>30-4118-018-5XX</v>
      </c>
      <c r="I1654" t="str">
        <f>VLOOKUP(record[[#This Row],[ProcessSN]],表格2_7[],3,FALSE)</f>
        <v>#06</v>
      </c>
      <c r="J1654" t="s">
        <v>593</v>
      </c>
      <c r="K1654" s="195">
        <v>46132.888877314814</v>
      </c>
      <c r="L1654">
        <v>117</v>
      </c>
      <c r="M1654">
        <v>13</v>
      </c>
      <c r="N1654" s="98" t="str">
        <f>IF(record[[#This Row],[Memo]]="Browser:chrome os:android","平板報工",IF(record[[#This Row],[Memo]]=0,"委外",record[[#This Row],[Memo]]))</f>
        <v>晚4/17</v>
      </c>
      <c r="O1654" t="s">
        <v>1853</v>
      </c>
      <c r="P1654" t="s">
        <v>135</v>
      </c>
      <c r="Q1654" t="s">
        <v>58</v>
      </c>
      <c r="R1654" t="str">
        <f>IFERROR(VLOOKUP(record[[#This Row],[PCUSTID]],廠商[],2,FALSE),"")</f>
        <v/>
      </c>
      <c r="S1654" t="str">
        <f>VLOOKUP(record[[#This Row],[employeeID]],員工[],2,FALSE)</f>
        <v>阮士文</v>
      </c>
    </row>
    <row r="1655" spans="6:19" hidden="1" x14ac:dyDescent="0.25">
      <c r="F1655" t="s">
        <v>1828</v>
      </c>
      <c r="G1655" t="s">
        <v>441</v>
      </c>
      <c r="H1655" t="str">
        <f>VLOOKUP(record[[#This Row],[ProcessSN]],表格2_7[],2,FALSE)</f>
        <v>30-4118-018-650</v>
      </c>
      <c r="I1655" t="str">
        <f>VLOOKUP(record[[#This Row],[ProcessSN]],表格2_7[],3,FALSE)</f>
        <v>#100</v>
      </c>
      <c r="J1655" t="s">
        <v>598</v>
      </c>
      <c r="K1655" s="195">
        <v>46132.88863425926</v>
      </c>
      <c r="L1655">
        <v>114</v>
      </c>
      <c r="M1655">
        <v>0</v>
      </c>
      <c r="N1655" s="98" t="str">
        <f>IF(record[[#This Row],[Memo]]="Browser:chrome os:android","平板報工",IF(record[[#This Row],[Memo]]=0,"委外",record[[#This Row],[Memo]]))</f>
        <v/>
      </c>
      <c r="O1655" t="s">
        <v>58</v>
      </c>
      <c r="P1655" t="s">
        <v>99</v>
      </c>
      <c r="Q1655" t="s">
        <v>58</v>
      </c>
      <c r="R1655" t="str">
        <f>IFERROR(VLOOKUP(record[[#This Row],[PCUSTID]],廠商[],2,FALSE),"")</f>
        <v/>
      </c>
      <c r="S1655" t="str">
        <f>VLOOKUP(record[[#This Row],[employeeID]],員工[],2,FALSE)</f>
        <v>阮氏河</v>
      </c>
    </row>
    <row r="1656" spans="6:19" hidden="1" x14ac:dyDescent="0.25">
      <c r="F1656" t="s">
        <v>1829</v>
      </c>
      <c r="G1656" t="s">
        <v>433</v>
      </c>
      <c r="H1656" t="str">
        <f>VLOOKUP(record[[#This Row],[ProcessSN]],表格2_7[],2,FALSE)</f>
        <v>30-4118-018-620</v>
      </c>
      <c r="I1656" t="str">
        <f>VLOOKUP(record[[#This Row],[ProcessSN]],表格2_7[],3,FALSE)</f>
        <v>#100</v>
      </c>
      <c r="J1656" t="s">
        <v>598</v>
      </c>
      <c r="K1656" s="195">
        <v>46132.888379629629</v>
      </c>
      <c r="L1656">
        <v>300</v>
      </c>
      <c r="M1656">
        <v>0</v>
      </c>
      <c r="N1656" s="98" t="str">
        <f>IF(record[[#This Row],[Memo]]="Browser:chrome os:android","平板報工",IF(record[[#This Row],[Memo]]=0,"委外",record[[#This Row],[Memo]]))</f>
        <v/>
      </c>
      <c r="O1656" t="s">
        <v>58</v>
      </c>
      <c r="P1656" t="s">
        <v>99</v>
      </c>
      <c r="Q1656" t="s">
        <v>58</v>
      </c>
      <c r="R1656" t="str">
        <f>IFERROR(VLOOKUP(record[[#This Row],[PCUSTID]],廠商[],2,FALSE),"")</f>
        <v/>
      </c>
      <c r="S1656" t="str">
        <f>VLOOKUP(record[[#This Row],[employeeID]],員工[],2,FALSE)</f>
        <v>阮氏河</v>
      </c>
    </row>
    <row r="1657" spans="6:19" hidden="1" x14ac:dyDescent="0.25">
      <c r="F1657" t="s">
        <v>1830</v>
      </c>
      <c r="G1657" t="s">
        <v>400</v>
      </c>
      <c r="H1657" t="str">
        <f>VLOOKUP(record[[#This Row],[ProcessSN]],表格2_7[],2,FALSE)</f>
        <v>30-4118-018-550</v>
      </c>
      <c r="I1657" t="str">
        <f>VLOOKUP(record[[#This Row],[ProcessSN]],表格2_7[],3,FALSE)</f>
        <v>#100</v>
      </c>
      <c r="J1657" t="s">
        <v>598</v>
      </c>
      <c r="K1657" s="195">
        <v>46132.88789351852</v>
      </c>
      <c r="L1657">
        <v>343</v>
      </c>
      <c r="M1657">
        <v>0</v>
      </c>
      <c r="N1657" s="98" t="str">
        <f>IF(record[[#This Row],[Memo]]="Browser:chrome os:android","平板報工",IF(record[[#This Row],[Memo]]=0,"委外",record[[#This Row],[Memo]]))</f>
        <v/>
      </c>
      <c r="O1657" t="s">
        <v>58</v>
      </c>
      <c r="P1657" t="s">
        <v>99</v>
      </c>
      <c r="Q1657" t="s">
        <v>58</v>
      </c>
      <c r="R1657" t="str">
        <f>IFERROR(VLOOKUP(record[[#This Row],[PCUSTID]],廠商[],2,FALSE),"")</f>
        <v/>
      </c>
      <c r="S1657" t="str">
        <f>VLOOKUP(record[[#This Row],[employeeID]],員工[],2,FALSE)</f>
        <v>阮氏河</v>
      </c>
    </row>
    <row r="1658" spans="6:19" hidden="1" x14ac:dyDescent="0.25">
      <c r="F1658" t="s">
        <v>1830</v>
      </c>
      <c r="G1658" t="s">
        <v>399</v>
      </c>
      <c r="H1658" t="str">
        <f>VLOOKUP(record[[#This Row],[ProcessSN]],表格2_7[],2,FALSE)</f>
        <v>30-4118-018-550</v>
      </c>
      <c r="I1658" t="str">
        <f>VLOOKUP(record[[#This Row],[ProcessSN]],表格2_7[],3,FALSE)</f>
        <v>#08IQC</v>
      </c>
      <c r="J1658" t="s">
        <v>583</v>
      </c>
      <c r="K1658" s="195">
        <v>46132.856122685182</v>
      </c>
      <c r="L1658">
        <v>637</v>
      </c>
      <c r="M1658">
        <v>0</v>
      </c>
      <c r="N1658" s="98" t="str">
        <f>IF(record[[#This Row],[Memo]]="Browser:chrome os:android","平板報工",IF(record[[#This Row],[Memo]]=0,"委外",record[[#This Row],[Memo]]))</f>
        <v/>
      </c>
      <c r="O1658" t="s">
        <v>58</v>
      </c>
      <c r="P1658" t="s">
        <v>109</v>
      </c>
      <c r="Q1658" t="s">
        <v>58</v>
      </c>
      <c r="R1658" t="str">
        <f>IFERROR(VLOOKUP(record[[#This Row],[PCUSTID]],廠商[],2,FALSE),"")</f>
        <v/>
      </c>
      <c r="S1658" t="str">
        <f>VLOOKUP(record[[#This Row],[employeeID]],員工[],2,FALSE)</f>
        <v>裴氏璧鳳</v>
      </c>
    </row>
    <row r="1659" spans="6:19" hidden="1" x14ac:dyDescent="0.25">
      <c r="F1659" t="s">
        <v>1829</v>
      </c>
      <c r="G1659" t="s">
        <v>432</v>
      </c>
      <c r="H1659" t="str">
        <f>VLOOKUP(record[[#This Row],[ProcessSN]],表格2_7[],2,FALSE)</f>
        <v>30-4118-018-620</v>
      </c>
      <c r="I1659" t="str">
        <f>VLOOKUP(record[[#This Row],[ProcessSN]],表格2_7[],3,FALSE)</f>
        <v>#08IQC</v>
      </c>
      <c r="J1659" t="s">
        <v>583</v>
      </c>
      <c r="K1659" s="195">
        <v>46132.855821759258</v>
      </c>
      <c r="L1659">
        <v>349</v>
      </c>
      <c r="M1659">
        <v>0</v>
      </c>
      <c r="N1659" s="98" t="str">
        <f>IF(record[[#This Row],[Memo]]="Browser:chrome os:android","平板報工",IF(record[[#This Row],[Memo]]=0,"委外",record[[#This Row],[Memo]]))</f>
        <v/>
      </c>
      <c r="O1659" t="s">
        <v>58</v>
      </c>
      <c r="P1659" t="s">
        <v>109</v>
      </c>
      <c r="Q1659" t="s">
        <v>58</v>
      </c>
      <c r="R1659" t="str">
        <f>IFERROR(VLOOKUP(record[[#This Row],[PCUSTID]],廠商[],2,FALSE),"")</f>
        <v/>
      </c>
      <c r="S1659" t="str">
        <f>VLOOKUP(record[[#This Row],[employeeID]],員工[],2,FALSE)</f>
        <v>裴氏璧鳳</v>
      </c>
    </row>
    <row r="1660" spans="6:19" hidden="1" x14ac:dyDescent="0.25">
      <c r="F1660" t="s">
        <v>1830</v>
      </c>
      <c r="G1660" t="s">
        <v>398</v>
      </c>
      <c r="H1660" t="str">
        <f>VLOOKUP(record[[#This Row],[ProcessSN]],表格2_7[],2,FALSE)</f>
        <v>30-4118-018-550</v>
      </c>
      <c r="I1660" t="str">
        <f>VLOOKUP(record[[#This Row],[ProcessSN]],表格2_7[],3,FALSE)</f>
        <v>#08RCV</v>
      </c>
      <c r="J1660" t="s">
        <v>591</v>
      </c>
      <c r="K1660" s="195">
        <v>46132.836828703701</v>
      </c>
      <c r="L1660">
        <v>637</v>
      </c>
      <c r="M1660">
        <v>0</v>
      </c>
      <c r="N1660" s="98" t="str">
        <f>IF(record[[#This Row],[Memo]]="Browser:chrome os:android","平板報工",IF(record[[#This Row],[Memo]]=0,"委外",record[[#This Row],[Memo]]))</f>
        <v/>
      </c>
      <c r="O1660" t="s">
        <v>58</v>
      </c>
      <c r="P1660" t="s">
        <v>886</v>
      </c>
      <c r="Q1660" t="s">
        <v>58</v>
      </c>
      <c r="R1660" t="str">
        <f>IFERROR(VLOOKUP(record[[#This Row],[PCUSTID]],廠商[],2,FALSE),"")</f>
        <v/>
      </c>
      <c r="S1660" t="str">
        <f>VLOOKUP(record[[#This Row],[employeeID]],員工[],2,FALSE)</f>
        <v>謝蓁薰</v>
      </c>
    </row>
    <row r="1661" spans="6:19" hidden="1" x14ac:dyDescent="0.25">
      <c r="F1661" t="s">
        <v>1829</v>
      </c>
      <c r="G1661" t="s">
        <v>431</v>
      </c>
      <c r="H1661" t="str">
        <f>VLOOKUP(record[[#This Row],[ProcessSN]],表格2_7[],2,FALSE)</f>
        <v>30-4118-018-620</v>
      </c>
      <c r="I1661" t="str">
        <f>VLOOKUP(record[[#This Row],[ProcessSN]],表格2_7[],3,FALSE)</f>
        <v>#08RCV</v>
      </c>
      <c r="J1661" t="s">
        <v>591</v>
      </c>
      <c r="K1661" s="195">
        <v>46132.836562500001</v>
      </c>
      <c r="L1661">
        <v>349</v>
      </c>
      <c r="M1661">
        <v>0</v>
      </c>
      <c r="N1661" s="98" t="str">
        <f>IF(record[[#This Row],[Memo]]="Browser:chrome os:android","平板報工",IF(record[[#This Row],[Memo]]=0,"委外",record[[#This Row],[Memo]]))</f>
        <v/>
      </c>
      <c r="O1661" t="s">
        <v>58</v>
      </c>
      <c r="P1661" t="s">
        <v>886</v>
      </c>
      <c r="Q1661" t="s">
        <v>58</v>
      </c>
      <c r="R1661" t="str">
        <f>IFERROR(VLOOKUP(record[[#This Row],[PCUSTID]],廠商[],2,FALSE),"")</f>
        <v/>
      </c>
      <c r="S1661" t="str">
        <f>VLOOKUP(record[[#This Row],[employeeID]],員工[],2,FALSE)</f>
        <v>謝蓁薰</v>
      </c>
    </row>
    <row r="1662" spans="6:19" hidden="1" x14ac:dyDescent="0.25">
      <c r="F1662" t="s">
        <v>1794</v>
      </c>
      <c r="G1662" t="s">
        <v>415</v>
      </c>
      <c r="H1662" t="str">
        <f>VLOOKUP(record[[#This Row],[ProcessSN]],表格2_7[],2,FALSE)</f>
        <v>30-4118-018-5XX</v>
      </c>
      <c r="I1662" t="str">
        <f>VLOOKUP(record[[#This Row],[ProcessSN]],表格2_7[],3,FALSE)</f>
        <v>#04</v>
      </c>
      <c r="J1662" t="s">
        <v>588</v>
      </c>
      <c r="K1662" s="195">
        <v>46132.826342592591</v>
      </c>
      <c r="L1662">
        <v>49</v>
      </c>
      <c r="M1662">
        <v>0</v>
      </c>
      <c r="N1662" s="98" t="str">
        <f>IF(record[[#This Row],[Memo]]="Browser:chrome os:android","平板報工",IF(record[[#This Row],[Memo]]=0,"委外",record[[#This Row],[Memo]]))</f>
        <v>平板報工</v>
      </c>
      <c r="O1662" t="s">
        <v>643</v>
      </c>
      <c r="P1662" t="s">
        <v>785</v>
      </c>
      <c r="Q1662" t="s">
        <v>644</v>
      </c>
      <c r="R1662" t="str">
        <f>IFERROR(VLOOKUP(record[[#This Row],[PCUSTID]],廠商[],2,FALSE),"")</f>
        <v/>
      </c>
      <c r="S1662" t="str">
        <f>VLOOKUP(record[[#This Row],[employeeID]],員工[],2,FALSE)</f>
        <v>謝刻光</v>
      </c>
    </row>
    <row r="1663" spans="6:19" hidden="1" x14ac:dyDescent="0.25">
      <c r="F1663" t="s">
        <v>1818</v>
      </c>
      <c r="G1663" t="s">
        <v>465</v>
      </c>
      <c r="H1663" t="str">
        <f>VLOOKUP(record[[#This Row],[ProcessSN]],表格2_7[],2,FALSE)</f>
        <v>30-4118-018-XXX</v>
      </c>
      <c r="I1663" t="str">
        <f>VLOOKUP(record[[#This Row],[ProcessSN]],表格2_7[],3,FALSE)</f>
        <v>#01-1</v>
      </c>
      <c r="J1663" t="s">
        <v>588</v>
      </c>
      <c r="K1663" s="195">
        <v>46132.825370370374</v>
      </c>
      <c r="L1663">
        <v>504</v>
      </c>
      <c r="M1663">
        <v>0</v>
      </c>
      <c r="N1663" s="98" t="str">
        <f>IF(record[[#This Row],[Memo]]="Browser:chrome os:android","平板報工",IF(record[[#This Row],[Memo]]=0,"委外",record[[#This Row],[Memo]]))</f>
        <v>平板報工</v>
      </c>
      <c r="O1663" t="s">
        <v>643</v>
      </c>
      <c r="P1663" t="s">
        <v>785</v>
      </c>
      <c r="Q1663" t="s">
        <v>644</v>
      </c>
      <c r="R1663" t="str">
        <f>IFERROR(VLOOKUP(record[[#This Row],[PCUSTID]],廠商[],2,FALSE),"")</f>
        <v/>
      </c>
      <c r="S1663" t="str">
        <f>VLOOKUP(record[[#This Row],[employeeID]],員工[],2,FALSE)</f>
        <v>謝刻光</v>
      </c>
    </row>
    <row r="1664" spans="6:19" hidden="1" x14ac:dyDescent="0.25">
      <c r="F1664" t="s">
        <v>1815</v>
      </c>
      <c r="G1664" t="s">
        <v>448</v>
      </c>
      <c r="H1664" t="str">
        <f>VLOOKUP(record[[#This Row],[ProcessSN]],表格2_7[],2,FALSE)</f>
        <v>30-4118-018-6XX</v>
      </c>
      <c r="I1664" t="str">
        <f>VLOOKUP(record[[#This Row],[ProcessSN]],表格2_7[],3,FALSE)</f>
        <v>#04</v>
      </c>
      <c r="J1664" t="s">
        <v>588</v>
      </c>
      <c r="K1664" s="195">
        <v>46132.824942129628</v>
      </c>
      <c r="L1664">
        <v>60</v>
      </c>
      <c r="M1664">
        <v>1</v>
      </c>
      <c r="N1664" s="98" t="str">
        <f>IF(record[[#This Row],[Memo]]="Browser:chrome os:android","平板報工",IF(record[[#This Row],[Memo]]=0,"委外",record[[#This Row],[Memo]]))</f>
        <v>平板報工</v>
      </c>
      <c r="O1664" t="s">
        <v>643</v>
      </c>
      <c r="P1664" t="s">
        <v>785</v>
      </c>
      <c r="Q1664" t="s">
        <v>644</v>
      </c>
      <c r="R1664" t="str">
        <f>IFERROR(VLOOKUP(record[[#This Row],[PCUSTID]],廠商[],2,FALSE),"")</f>
        <v/>
      </c>
      <c r="S1664" t="str">
        <f>VLOOKUP(record[[#This Row],[employeeID]],員工[],2,FALSE)</f>
        <v>謝刻光</v>
      </c>
    </row>
    <row r="1665" spans="6:19" hidden="1" x14ac:dyDescent="0.25">
      <c r="F1665" t="s">
        <v>1803</v>
      </c>
      <c r="G1665" t="s">
        <v>417</v>
      </c>
      <c r="H1665" t="str">
        <f>VLOOKUP(record[[#This Row],[ProcessSN]],表格2_7[],2,FALSE)</f>
        <v>30-4118-018-5XX</v>
      </c>
      <c r="I1665" t="str">
        <f>VLOOKUP(record[[#This Row],[ProcessSN]],表格2_7[],3,FALSE)</f>
        <v>#06</v>
      </c>
      <c r="J1665" t="s">
        <v>593</v>
      </c>
      <c r="K1665" s="195">
        <v>46132.822268518517</v>
      </c>
      <c r="L1665">
        <v>35</v>
      </c>
      <c r="M1665">
        <v>0</v>
      </c>
      <c r="N1665" s="98" t="str">
        <f>IF(record[[#This Row],[Memo]]="Browser:chrome os:android","平板報工",IF(record[[#This Row],[Memo]]=0,"委外",record[[#This Row],[Memo]]))</f>
        <v>平板報工</v>
      </c>
      <c r="O1665" t="s">
        <v>643</v>
      </c>
      <c r="P1665" t="s">
        <v>1413</v>
      </c>
      <c r="Q1665" t="s">
        <v>644</v>
      </c>
      <c r="R1665" t="str">
        <f>IFERROR(VLOOKUP(record[[#This Row],[PCUSTID]],廠商[],2,FALSE),"")</f>
        <v/>
      </c>
      <c r="S1665" t="str">
        <f>VLOOKUP(record[[#This Row],[employeeID]],員工[],2,FALSE)</f>
        <v>阮氏芳英(芳)</v>
      </c>
    </row>
    <row r="1666" spans="6:19" hidden="1" x14ac:dyDescent="0.25">
      <c r="F1666" t="s">
        <v>1794</v>
      </c>
      <c r="G1666" t="s">
        <v>417</v>
      </c>
      <c r="H1666" t="str">
        <f>VLOOKUP(record[[#This Row],[ProcessSN]],表格2_7[],2,FALSE)</f>
        <v>30-4118-018-5XX</v>
      </c>
      <c r="I1666" t="str">
        <f>VLOOKUP(record[[#This Row],[ProcessSN]],表格2_7[],3,FALSE)</f>
        <v>#06</v>
      </c>
      <c r="J1666" t="s">
        <v>593</v>
      </c>
      <c r="K1666" s="195">
        <v>46132.82199074074</v>
      </c>
      <c r="L1666">
        <v>32</v>
      </c>
      <c r="M1666">
        <v>0</v>
      </c>
      <c r="N1666" s="98" t="str">
        <f>IF(record[[#This Row],[Memo]]="Browser:chrome os:android","平板報工",IF(record[[#This Row],[Memo]]=0,"委外",record[[#This Row],[Memo]]))</f>
        <v>平板報工</v>
      </c>
      <c r="O1666" t="s">
        <v>643</v>
      </c>
      <c r="P1666" t="s">
        <v>1413</v>
      </c>
      <c r="Q1666" t="s">
        <v>644</v>
      </c>
      <c r="R1666" t="str">
        <f>IFERROR(VLOOKUP(record[[#This Row],[PCUSTID]],廠商[],2,FALSE),"")</f>
        <v/>
      </c>
      <c r="S1666" t="str">
        <f>VLOOKUP(record[[#This Row],[employeeID]],員工[],2,FALSE)</f>
        <v>阮氏芳英(芳)</v>
      </c>
    </row>
    <row r="1667" spans="6:19" hidden="1" x14ac:dyDescent="0.25">
      <c r="F1667" t="s">
        <v>1652</v>
      </c>
      <c r="G1667" t="s">
        <v>452</v>
      </c>
      <c r="H1667" t="str">
        <f>VLOOKUP(record[[#This Row],[ProcessSN]],表格2_7[],2,FALSE)</f>
        <v>30-4118-018-6XX</v>
      </c>
      <c r="I1667" t="str">
        <f>VLOOKUP(record[[#This Row],[ProcessSN]],表格2_7[],3,FALSE)</f>
        <v>#07QC</v>
      </c>
      <c r="J1667" t="s">
        <v>589</v>
      </c>
      <c r="K1667" s="195">
        <v>46132.81523148148</v>
      </c>
      <c r="L1667">
        <v>0</v>
      </c>
      <c r="M1667">
        <v>8</v>
      </c>
      <c r="N1667" s="98" t="str">
        <f>IF(record[[#This Row],[Memo]]="Browser:chrome os:android","平板報工",IF(record[[#This Row],[Memo]]=0,"委外",record[[#This Row],[Memo]]))</f>
        <v/>
      </c>
      <c r="O1667" t="s">
        <v>58</v>
      </c>
      <c r="P1667" t="s">
        <v>141</v>
      </c>
      <c r="Q1667" t="s">
        <v>58</v>
      </c>
      <c r="R1667" t="str">
        <f>IFERROR(VLOOKUP(record[[#This Row],[PCUSTID]],廠商[],2,FALSE),"")</f>
        <v/>
      </c>
      <c r="S1667" t="str">
        <f>VLOOKUP(record[[#This Row],[employeeID]],員工[],2,FALSE)</f>
        <v>蔣梅</v>
      </c>
    </row>
    <row r="1668" spans="6:19" hidden="1" x14ac:dyDescent="0.25">
      <c r="F1668" t="s">
        <v>1652</v>
      </c>
      <c r="G1668" t="s">
        <v>452</v>
      </c>
      <c r="H1668" t="str">
        <f>VLOOKUP(record[[#This Row],[ProcessSN]],表格2_7[],2,FALSE)</f>
        <v>30-4118-018-6XX</v>
      </c>
      <c r="I1668" t="str">
        <f>VLOOKUP(record[[#This Row],[ProcessSN]],表格2_7[],3,FALSE)</f>
        <v>#07QC</v>
      </c>
      <c r="J1668" t="s">
        <v>589</v>
      </c>
      <c r="K1668" s="195">
        <v>46132.815092592595</v>
      </c>
      <c r="L1668">
        <v>149</v>
      </c>
      <c r="M1668">
        <v>0</v>
      </c>
      <c r="N1668" s="98" t="str">
        <f>IF(record[[#This Row],[Memo]]="Browser:chrome os:android","平板報工",IF(record[[#This Row],[Memo]]=0,"委外",record[[#This Row],[Memo]]))</f>
        <v/>
      </c>
      <c r="O1668" t="s">
        <v>58</v>
      </c>
      <c r="P1668" t="s">
        <v>141</v>
      </c>
      <c r="Q1668" t="s">
        <v>58</v>
      </c>
      <c r="R1668" t="str">
        <f>IFERROR(VLOOKUP(record[[#This Row],[PCUSTID]],廠商[],2,FALSE),"")</f>
        <v/>
      </c>
      <c r="S1668" t="str">
        <f>VLOOKUP(record[[#This Row],[employeeID]],員工[],2,FALSE)</f>
        <v>蔣梅</v>
      </c>
    </row>
    <row r="1669" spans="6:19" hidden="1" x14ac:dyDescent="0.25">
      <c r="F1669" t="s">
        <v>1816</v>
      </c>
      <c r="G1669" t="s">
        <v>403</v>
      </c>
      <c r="H1669" t="str">
        <f>VLOOKUP(record[[#This Row],[ProcessSN]],表格2_7[],2,FALSE)</f>
        <v>30-4118-018-550</v>
      </c>
      <c r="I1669" t="str">
        <f>VLOOKUP(record[[#This Row],[ProcessSN]],表格2_7[],3,FALSE)</f>
        <v>#100SHIP</v>
      </c>
      <c r="J1669" t="s">
        <v>600</v>
      </c>
      <c r="K1669" s="195">
        <v>46132.775312500002</v>
      </c>
      <c r="L1669">
        <v>146</v>
      </c>
      <c r="M1669">
        <v>0</v>
      </c>
      <c r="N1669" s="98" t="str">
        <f>IF(record[[#This Row],[Memo]]="Browser:chrome os:android","平板報工",IF(record[[#This Row],[Memo]]=0,"委外",record[[#This Row],[Memo]]))</f>
        <v/>
      </c>
      <c r="O1669" t="s">
        <v>58</v>
      </c>
      <c r="P1669" t="s">
        <v>886</v>
      </c>
      <c r="Q1669" t="s">
        <v>58</v>
      </c>
      <c r="R1669" t="str">
        <f>IFERROR(VLOOKUP(record[[#This Row],[PCUSTID]],廠商[],2,FALSE),"")</f>
        <v/>
      </c>
      <c r="S1669" t="str">
        <f>VLOOKUP(record[[#This Row],[employeeID]],員工[],2,FALSE)</f>
        <v>謝蓁薰</v>
      </c>
    </row>
    <row r="1670" spans="6:19" hidden="1" x14ac:dyDescent="0.25">
      <c r="F1670" t="s">
        <v>1656</v>
      </c>
      <c r="G1670" t="s">
        <v>403</v>
      </c>
      <c r="H1670" t="str">
        <f>VLOOKUP(record[[#This Row],[ProcessSN]],表格2_7[],2,FALSE)</f>
        <v>30-4118-018-550</v>
      </c>
      <c r="I1670" t="str">
        <f>VLOOKUP(record[[#This Row],[ProcessSN]],表格2_7[],3,FALSE)</f>
        <v>#100SHIP</v>
      </c>
      <c r="J1670" t="s">
        <v>600</v>
      </c>
      <c r="K1670" s="195">
        <v>46132.775104166663</v>
      </c>
      <c r="L1670">
        <v>3</v>
      </c>
      <c r="M1670">
        <v>0</v>
      </c>
      <c r="N1670" s="98" t="str">
        <f>IF(record[[#This Row],[Memo]]="Browser:chrome os:android","平板報工",IF(record[[#This Row],[Memo]]=0,"委外",record[[#This Row],[Memo]]))</f>
        <v/>
      </c>
      <c r="O1670" t="s">
        <v>58</v>
      </c>
      <c r="P1670" t="s">
        <v>886</v>
      </c>
      <c r="Q1670" t="s">
        <v>58</v>
      </c>
      <c r="R1670" t="str">
        <f>IFERROR(VLOOKUP(record[[#This Row],[PCUSTID]],廠商[],2,FALSE),"")</f>
        <v/>
      </c>
      <c r="S1670" t="str">
        <f>VLOOKUP(record[[#This Row],[employeeID]],員工[],2,FALSE)</f>
        <v>謝蓁薰</v>
      </c>
    </row>
    <row r="1671" spans="6:19" hidden="1" x14ac:dyDescent="0.25">
      <c r="F1671" t="s">
        <v>1694</v>
      </c>
      <c r="G1671" t="s">
        <v>403</v>
      </c>
      <c r="H1671" t="str">
        <f>VLOOKUP(record[[#This Row],[ProcessSN]],表格2_7[],2,FALSE)</f>
        <v>30-4118-018-550</v>
      </c>
      <c r="I1671" t="str">
        <f>VLOOKUP(record[[#This Row],[ProcessSN]],表格2_7[],3,FALSE)</f>
        <v>#100SHIP</v>
      </c>
      <c r="J1671" t="s">
        <v>600</v>
      </c>
      <c r="K1671" s="195">
        <v>46132.774965277778</v>
      </c>
      <c r="L1671">
        <v>1</v>
      </c>
      <c r="M1671">
        <v>0</v>
      </c>
      <c r="N1671" s="98" t="str">
        <f>IF(record[[#This Row],[Memo]]="Browser:chrome os:android","平板報工",IF(record[[#This Row],[Memo]]=0,"委外",record[[#This Row],[Memo]]))</f>
        <v/>
      </c>
      <c r="O1671" t="s">
        <v>58</v>
      </c>
      <c r="P1671" t="s">
        <v>886</v>
      </c>
      <c r="Q1671" t="s">
        <v>58</v>
      </c>
      <c r="R1671" t="str">
        <f>IFERROR(VLOOKUP(record[[#This Row],[PCUSTID]],廠商[],2,FALSE),"")</f>
        <v/>
      </c>
      <c r="S1671" t="str">
        <f>VLOOKUP(record[[#This Row],[employeeID]],員工[],2,FALSE)</f>
        <v>謝蓁薰</v>
      </c>
    </row>
    <row r="1672" spans="6:19" hidden="1" x14ac:dyDescent="0.25">
      <c r="F1672" t="s">
        <v>1816</v>
      </c>
      <c r="G1672" t="s">
        <v>402</v>
      </c>
      <c r="H1672" t="str">
        <f>VLOOKUP(record[[#This Row],[ProcessSN]],表格2_7[],2,FALSE)</f>
        <v>30-4118-018-550</v>
      </c>
      <c r="I1672" t="str">
        <f>VLOOKUP(record[[#This Row],[ProcessSN]],表格2_7[],3,FALSE)</f>
        <v>#100STOCK</v>
      </c>
      <c r="J1672" t="s">
        <v>592</v>
      </c>
      <c r="K1672" s="195">
        <v>46132.774687500001</v>
      </c>
      <c r="L1672">
        <v>146</v>
      </c>
      <c r="M1672">
        <v>0</v>
      </c>
      <c r="N1672" s="98" t="str">
        <f>IF(record[[#This Row],[Memo]]="Browser:chrome os:android","平板報工",IF(record[[#This Row],[Memo]]=0,"委外",record[[#This Row],[Memo]]))</f>
        <v/>
      </c>
      <c r="O1672" t="s">
        <v>58</v>
      </c>
      <c r="P1672" t="s">
        <v>886</v>
      </c>
      <c r="Q1672" t="s">
        <v>58</v>
      </c>
      <c r="R1672" t="str">
        <f>IFERROR(VLOOKUP(record[[#This Row],[PCUSTID]],廠商[],2,FALSE),"")</f>
        <v/>
      </c>
      <c r="S1672" t="str">
        <f>VLOOKUP(record[[#This Row],[employeeID]],員工[],2,FALSE)</f>
        <v>謝蓁薰</v>
      </c>
    </row>
    <row r="1673" spans="6:19" hidden="1" x14ac:dyDescent="0.25">
      <c r="F1673" t="s">
        <v>1656</v>
      </c>
      <c r="G1673" t="s">
        <v>402</v>
      </c>
      <c r="H1673" t="str">
        <f>VLOOKUP(record[[#This Row],[ProcessSN]],表格2_7[],2,FALSE)</f>
        <v>30-4118-018-550</v>
      </c>
      <c r="I1673" t="str">
        <f>VLOOKUP(record[[#This Row],[ProcessSN]],表格2_7[],3,FALSE)</f>
        <v>#100STOCK</v>
      </c>
      <c r="J1673" t="s">
        <v>592</v>
      </c>
      <c r="K1673" s="195">
        <v>46132.774560185186</v>
      </c>
      <c r="L1673">
        <v>3</v>
      </c>
      <c r="M1673">
        <v>0</v>
      </c>
      <c r="N1673" s="98" t="str">
        <f>IF(record[[#This Row],[Memo]]="Browser:chrome os:android","平板報工",IF(record[[#This Row],[Memo]]=0,"委外",record[[#This Row],[Memo]]))</f>
        <v/>
      </c>
      <c r="O1673" t="s">
        <v>58</v>
      </c>
      <c r="P1673" t="s">
        <v>886</v>
      </c>
      <c r="Q1673" t="s">
        <v>58</v>
      </c>
      <c r="R1673" t="str">
        <f>IFERROR(VLOOKUP(record[[#This Row],[PCUSTID]],廠商[],2,FALSE),"")</f>
        <v/>
      </c>
      <c r="S1673" t="str">
        <f>VLOOKUP(record[[#This Row],[employeeID]],員工[],2,FALSE)</f>
        <v>謝蓁薰</v>
      </c>
    </row>
    <row r="1674" spans="6:19" hidden="1" x14ac:dyDescent="0.25">
      <c r="F1674" t="s">
        <v>1694</v>
      </c>
      <c r="G1674" t="s">
        <v>402</v>
      </c>
      <c r="H1674" t="str">
        <f>VLOOKUP(record[[#This Row],[ProcessSN]],表格2_7[],2,FALSE)</f>
        <v>30-4118-018-550</v>
      </c>
      <c r="I1674" t="str">
        <f>VLOOKUP(record[[#This Row],[ProcessSN]],表格2_7[],3,FALSE)</f>
        <v>#100STOCK</v>
      </c>
      <c r="J1674" t="s">
        <v>592</v>
      </c>
      <c r="K1674" s="195">
        <v>46132.774456018517</v>
      </c>
      <c r="L1674">
        <v>1</v>
      </c>
      <c r="M1674">
        <v>0</v>
      </c>
      <c r="N1674" s="98" t="str">
        <f>IF(record[[#This Row],[Memo]]="Browser:chrome os:android","平板報工",IF(record[[#This Row],[Memo]]=0,"委外",record[[#This Row],[Memo]]))</f>
        <v/>
      </c>
      <c r="O1674" t="s">
        <v>58</v>
      </c>
      <c r="P1674" t="s">
        <v>886</v>
      </c>
      <c r="Q1674" t="s">
        <v>58</v>
      </c>
      <c r="R1674" t="str">
        <f>IFERROR(VLOOKUP(record[[#This Row],[PCUSTID]],廠商[],2,FALSE),"")</f>
        <v/>
      </c>
      <c r="S1674" t="str">
        <f>VLOOKUP(record[[#This Row],[employeeID]],員工[],2,FALSE)</f>
        <v>謝蓁薰</v>
      </c>
    </row>
    <row r="1675" spans="6:19" hidden="1" x14ac:dyDescent="0.25">
      <c r="F1675" t="s">
        <v>1451</v>
      </c>
      <c r="G1675" t="s">
        <v>401</v>
      </c>
      <c r="H1675" t="str">
        <f>VLOOKUP(record[[#This Row],[ProcessSN]],表格2_7[],2,FALSE)</f>
        <v>30-4118-018-550</v>
      </c>
      <c r="I1675" t="str">
        <f>VLOOKUP(record[[#This Row],[ProcessSN]],表格2_7[],3,FALSE)</f>
        <v>#100OQC</v>
      </c>
      <c r="J1675" t="s">
        <v>599</v>
      </c>
      <c r="K1675" s="195">
        <v>46132.762604166666</v>
      </c>
      <c r="L1675">
        <v>1</v>
      </c>
      <c r="M1675">
        <v>0</v>
      </c>
      <c r="N1675" s="98" t="str">
        <f>IF(record[[#This Row],[Memo]]="Browser:chrome os:android","平板報工",IF(record[[#This Row],[Memo]]=0,"委外",record[[#This Row],[Memo]]))</f>
        <v/>
      </c>
      <c r="O1675" t="s">
        <v>58</v>
      </c>
      <c r="P1675" t="s">
        <v>121</v>
      </c>
      <c r="Q1675" t="s">
        <v>58</v>
      </c>
      <c r="R1675" t="str">
        <f>IFERROR(VLOOKUP(record[[#This Row],[PCUSTID]],廠商[],2,FALSE),"")</f>
        <v/>
      </c>
      <c r="S1675" t="str">
        <f>VLOOKUP(record[[#This Row],[employeeID]],員工[],2,FALSE)</f>
        <v>謝素卿</v>
      </c>
    </row>
    <row r="1676" spans="6:19" hidden="1" x14ac:dyDescent="0.25">
      <c r="F1676" t="s">
        <v>1497</v>
      </c>
      <c r="G1676" t="s">
        <v>401</v>
      </c>
      <c r="H1676" t="str">
        <f>VLOOKUP(record[[#This Row],[ProcessSN]],表格2_7[],2,FALSE)</f>
        <v>30-4118-018-550</v>
      </c>
      <c r="I1676" t="str">
        <f>VLOOKUP(record[[#This Row],[ProcessSN]],表格2_7[],3,FALSE)</f>
        <v>#100OQC</v>
      </c>
      <c r="J1676" t="s">
        <v>599</v>
      </c>
      <c r="K1676" s="195">
        <v>46132.762476851851</v>
      </c>
      <c r="L1676">
        <v>1</v>
      </c>
      <c r="M1676">
        <v>0</v>
      </c>
      <c r="N1676" s="98" t="str">
        <f>IF(record[[#This Row],[Memo]]="Browser:chrome os:android","平板報工",IF(record[[#This Row],[Memo]]=0,"委外",record[[#This Row],[Memo]]))</f>
        <v/>
      </c>
      <c r="O1676" t="s">
        <v>58</v>
      </c>
      <c r="P1676" t="s">
        <v>121</v>
      </c>
      <c r="Q1676" t="s">
        <v>58</v>
      </c>
      <c r="R1676" t="str">
        <f>IFERROR(VLOOKUP(record[[#This Row],[PCUSTID]],廠商[],2,FALSE),"")</f>
        <v/>
      </c>
      <c r="S1676" t="str">
        <f>VLOOKUP(record[[#This Row],[employeeID]],員工[],2,FALSE)</f>
        <v>謝素卿</v>
      </c>
    </row>
    <row r="1677" spans="6:19" hidden="1" x14ac:dyDescent="0.25">
      <c r="F1677" t="s">
        <v>1656</v>
      </c>
      <c r="G1677" t="s">
        <v>401</v>
      </c>
      <c r="H1677" t="str">
        <f>VLOOKUP(record[[#This Row],[ProcessSN]],表格2_7[],2,FALSE)</f>
        <v>30-4118-018-550</v>
      </c>
      <c r="I1677" t="str">
        <f>VLOOKUP(record[[#This Row],[ProcessSN]],表格2_7[],3,FALSE)</f>
        <v>#100OQC</v>
      </c>
      <c r="J1677" t="s">
        <v>599</v>
      </c>
      <c r="K1677" s="195">
        <v>46132.762349537035</v>
      </c>
      <c r="L1677">
        <v>3</v>
      </c>
      <c r="M1677">
        <v>0</v>
      </c>
      <c r="N1677" s="98" t="str">
        <f>IF(record[[#This Row],[Memo]]="Browser:chrome os:android","平板報工",IF(record[[#This Row],[Memo]]=0,"委外",record[[#This Row],[Memo]]))</f>
        <v/>
      </c>
      <c r="O1677" t="s">
        <v>58</v>
      </c>
      <c r="P1677" t="s">
        <v>121</v>
      </c>
      <c r="Q1677" t="s">
        <v>58</v>
      </c>
      <c r="R1677" t="str">
        <f>IFERROR(VLOOKUP(record[[#This Row],[PCUSTID]],廠商[],2,FALSE),"")</f>
        <v/>
      </c>
      <c r="S1677" t="str">
        <f>VLOOKUP(record[[#This Row],[employeeID]],員工[],2,FALSE)</f>
        <v>謝素卿</v>
      </c>
    </row>
    <row r="1678" spans="6:19" hidden="1" x14ac:dyDescent="0.25">
      <c r="F1678" t="s">
        <v>1694</v>
      </c>
      <c r="G1678" t="s">
        <v>401</v>
      </c>
      <c r="H1678" t="str">
        <f>VLOOKUP(record[[#This Row],[ProcessSN]],表格2_7[],2,FALSE)</f>
        <v>30-4118-018-550</v>
      </c>
      <c r="I1678" t="str">
        <f>VLOOKUP(record[[#This Row],[ProcessSN]],表格2_7[],3,FALSE)</f>
        <v>#100OQC</v>
      </c>
      <c r="J1678" t="s">
        <v>599</v>
      </c>
      <c r="K1678" s="195">
        <v>46132.762175925927</v>
      </c>
      <c r="L1678">
        <v>1</v>
      </c>
      <c r="M1678">
        <v>0</v>
      </c>
      <c r="N1678" s="98" t="str">
        <f>IF(record[[#This Row],[Memo]]="Browser:chrome os:android","平板報工",IF(record[[#This Row],[Memo]]=0,"委外",record[[#This Row],[Memo]]))</f>
        <v/>
      </c>
      <c r="O1678" t="s">
        <v>58</v>
      </c>
      <c r="P1678" t="s">
        <v>121</v>
      </c>
      <c r="Q1678" t="s">
        <v>58</v>
      </c>
      <c r="R1678" t="str">
        <f>IFERROR(VLOOKUP(record[[#This Row],[PCUSTID]],廠商[],2,FALSE),"")</f>
        <v/>
      </c>
      <c r="S1678" t="str">
        <f>VLOOKUP(record[[#This Row],[employeeID]],員工[],2,FALSE)</f>
        <v>謝素卿</v>
      </c>
    </row>
    <row r="1679" spans="6:19" hidden="1" x14ac:dyDescent="0.25">
      <c r="F1679" t="s">
        <v>1816</v>
      </c>
      <c r="G1679" t="s">
        <v>401</v>
      </c>
      <c r="H1679" t="str">
        <f>VLOOKUP(record[[#This Row],[ProcessSN]],表格2_7[],2,FALSE)</f>
        <v>30-4118-018-550</v>
      </c>
      <c r="I1679" t="str">
        <f>VLOOKUP(record[[#This Row],[ProcessSN]],表格2_7[],3,FALSE)</f>
        <v>#100OQC</v>
      </c>
      <c r="J1679" t="s">
        <v>599</v>
      </c>
      <c r="K1679" s="195">
        <v>46132.762037037035</v>
      </c>
      <c r="L1679">
        <v>151</v>
      </c>
      <c r="M1679">
        <v>0</v>
      </c>
      <c r="N1679" s="98" t="str">
        <f>IF(record[[#This Row],[Memo]]="Browser:chrome os:android","平板報工",IF(record[[#This Row],[Memo]]=0,"委外",record[[#This Row],[Memo]]))</f>
        <v/>
      </c>
      <c r="O1679" t="s">
        <v>58</v>
      </c>
      <c r="P1679" t="s">
        <v>121</v>
      </c>
      <c r="Q1679" t="s">
        <v>58</v>
      </c>
      <c r="R1679" t="str">
        <f>IFERROR(VLOOKUP(record[[#This Row],[PCUSTID]],廠商[],2,FALSE),"")</f>
        <v/>
      </c>
      <c r="S1679" t="str">
        <f>VLOOKUP(record[[#This Row],[employeeID]],員工[],2,FALSE)</f>
        <v>謝素卿</v>
      </c>
    </row>
    <row r="1680" spans="6:19" hidden="1" x14ac:dyDescent="0.25">
      <c r="F1680" t="s">
        <v>1803</v>
      </c>
      <c r="G1680" t="s">
        <v>419</v>
      </c>
      <c r="H1680" t="str">
        <f>VLOOKUP(record[[#This Row],[ProcessSN]],表格2_7[],2,FALSE)</f>
        <v>30-4118-018-5XX</v>
      </c>
      <c r="I1680" t="str">
        <f>VLOOKUP(record[[#This Row],[ProcessSN]],表格2_7[],3,FALSE)</f>
        <v>#07QC</v>
      </c>
      <c r="J1680" t="s">
        <v>589</v>
      </c>
      <c r="K1680" s="195">
        <v>46132.748530092591</v>
      </c>
      <c r="L1680">
        <v>56</v>
      </c>
      <c r="M1680">
        <v>0</v>
      </c>
      <c r="N1680" s="98" t="str">
        <f>IF(record[[#This Row],[Memo]]="Browser:chrome os:android","平板報工",IF(record[[#This Row],[Memo]]=0,"委外",record[[#This Row],[Memo]]))</f>
        <v/>
      </c>
      <c r="O1680" t="s">
        <v>58</v>
      </c>
      <c r="P1680" t="s">
        <v>141</v>
      </c>
      <c r="Q1680" t="s">
        <v>58</v>
      </c>
      <c r="R1680" t="str">
        <f>IFERROR(VLOOKUP(record[[#This Row],[PCUSTID]],廠商[],2,FALSE),"")</f>
        <v/>
      </c>
      <c r="S1680" t="str">
        <f>VLOOKUP(record[[#This Row],[employeeID]],員工[],2,FALSE)</f>
        <v>蔣梅</v>
      </c>
    </row>
    <row r="1681" spans="6:19" hidden="1" x14ac:dyDescent="0.25">
      <c r="F1681" t="s">
        <v>1787</v>
      </c>
      <c r="G1681" t="s">
        <v>470</v>
      </c>
      <c r="H1681" t="str">
        <f>VLOOKUP(record[[#This Row],[ProcessSN]],表格2_7[],2,FALSE)</f>
        <v>30-4118-018-XXX</v>
      </c>
      <c r="I1681" t="str">
        <f>VLOOKUP(record[[#This Row],[ProcessSN]],表格2_7[],3,FALSE)</f>
        <v>#02IQC</v>
      </c>
      <c r="J1681" t="s">
        <v>583</v>
      </c>
      <c r="K1681" s="195">
        <v>46132.721203703702</v>
      </c>
      <c r="L1681">
        <v>1659</v>
      </c>
      <c r="M1681">
        <v>0</v>
      </c>
      <c r="N1681" s="98" t="str">
        <f>IF(record[[#This Row],[Memo]]="Browser:chrome os:android","平板報工",IF(record[[#This Row],[Memo]]=0,"委外",record[[#This Row],[Memo]]))</f>
        <v/>
      </c>
      <c r="O1681" t="s">
        <v>58</v>
      </c>
      <c r="P1681" t="s">
        <v>109</v>
      </c>
      <c r="Q1681" t="s">
        <v>58</v>
      </c>
      <c r="R1681" t="str">
        <f>IFERROR(VLOOKUP(record[[#This Row],[PCUSTID]],廠商[],2,FALSE),"")</f>
        <v/>
      </c>
      <c r="S1681" t="str">
        <f>VLOOKUP(record[[#This Row],[employeeID]],員工[],2,FALSE)</f>
        <v>裴氏璧鳳</v>
      </c>
    </row>
    <row r="1682" spans="6:19" hidden="1" x14ac:dyDescent="0.25">
      <c r="F1682" t="s">
        <v>1451</v>
      </c>
      <c r="G1682" t="s">
        <v>400</v>
      </c>
      <c r="H1682" t="str">
        <f>VLOOKUP(record[[#This Row],[ProcessSN]],表格2_7[],2,FALSE)</f>
        <v>30-4118-018-550</v>
      </c>
      <c r="I1682" t="str">
        <f>VLOOKUP(record[[#This Row],[ProcessSN]],表格2_7[],3,FALSE)</f>
        <v>#100</v>
      </c>
      <c r="J1682" t="s">
        <v>598</v>
      </c>
      <c r="K1682" s="195">
        <v>46132.696828703702</v>
      </c>
      <c r="L1682">
        <v>1</v>
      </c>
      <c r="M1682">
        <v>0</v>
      </c>
      <c r="N1682" s="98" t="str">
        <f>IF(record[[#This Row],[Memo]]="Browser:chrome os:android","平板報工",IF(record[[#This Row],[Memo]]=0,"委外",record[[#This Row],[Memo]]))</f>
        <v>補漆回</v>
      </c>
      <c r="O1682" t="s">
        <v>1846</v>
      </c>
      <c r="P1682" t="s">
        <v>141</v>
      </c>
      <c r="Q1682" t="s">
        <v>58</v>
      </c>
      <c r="R1682" t="str">
        <f>IFERROR(VLOOKUP(record[[#This Row],[PCUSTID]],廠商[],2,FALSE),"")</f>
        <v/>
      </c>
      <c r="S1682" t="str">
        <f>VLOOKUP(record[[#This Row],[employeeID]],員工[],2,FALSE)</f>
        <v>蔣梅</v>
      </c>
    </row>
    <row r="1683" spans="6:19" hidden="1" x14ac:dyDescent="0.25">
      <c r="F1683" t="s">
        <v>1497</v>
      </c>
      <c r="G1683" t="s">
        <v>400</v>
      </c>
      <c r="H1683" t="str">
        <f>VLOOKUP(record[[#This Row],[ProcessSN]],表格2_7[],2,FALSE)</f>
        <v>30-4118-018-550</v>
      </c>
      <c r="I1683" t="str">
        <f>VLOOKUP(record[[#This Row],[ProcessSN]],表格2_7[],3,FALSE)</f>
        <v>#100</v>
      </c>
      <c r="J1683" t="s">
        <v>598</v>
      </c>
      <c r="K1683" s="195">
        <v>46132.696620370371</v>
      </c>
      <c r="L1683">
        <v>1</v>
      </c>
      <c r="M1683">
        <v>0</v>
      </c>
      <c r="N1683" s="98" t="str">
        <f>IF(record[[#This Row],[Memo]]="Browser:chrome os:android","平板報工",IF(record[[#This Row],[Memo]]=0,"委外",record[[#This Row],[Memo]]))</f>
        <v>補漆回</v>
      </c>
      <c r="O1683" t="s">
        <v>1846</v>
      </c>
      <c r="P1683" t="s">
        <v>141</v>
      </c>
      <c r="Q1683" t="s">
        <v>58</v>
      </c>
      <c r="R1683" t="str">
        <f>IFERROR(VLOOKUP(record[[#This Row],[PCUSTID]],廠商[],2,FALSE),"")</f>
        <v/>
      </c>
      <c r="S1683" t="str">
        <f>VLOOKUP(record[[#This Row],[employeeID]],員工[],2,FALSE)</f>
        <v>蔣梅</v>
      </c>
    </row>
    <row r="1684" spans="6:19" hidden="1" x14ac:dyDescent="0.25">
      <c r="F1684" t="s">
        <v>1407</v>
      </c>
      <c r="G1684" t="s">
        <v>359</v>
      </c>
      <c r="H1684" t="str">
        <f>VLOOKUP(record[[#This Row],[ProcessSN]],表格2_7[],2,FALSE)</f>
        <v>30-4118-018-450</v>
      </c>
      <c r="I1684" t="str">
        <f>VLOOKUP(record[[#This Row],[ProcessSN]],表格2_7[],3,FALSE)</f>
        <v>#100</v>
      </c>
      <c r="J1684" t="s">
        <v>598</v>
      </c>
      <c r="K1684" s="195">
        <v>46132.696273148147</v>
      </c>
      <c r="L1684">
        <v>1</v>
      </c>
      <c r="M1684">
        <v>0</v>
      </c>
      <c r="N1684" s="98" t="str">
        <f>IF(record[[#This Row],[Memo]]="Browser:chrome os:android","平板報工",IF(record[[#This Row],[Memo]]=0,"委外",record[[#This Row],[Memo]]))</f>
        <v>補漆回</v>
      </c>
      <c r="O1684" t="s">
        <v>1846</v>
      </c>
      <c r="P1684" t="s">
        <v>141</v>
      </c>
      <c r="Q1684" t="s">
        <v>58</v>
      </c>
      <c r="R1684" t="str">
        <f>IFERROR(VLOOKUP(record[[#This Row],[PCUSTID]],廠商[],2,FALSE),"")</f>
        <v/>
      </c>
      <c r="S1684" t="str">
        <f>VLOOKUP(record[[#This Row],[employeeID]],員工[],2,FALSE)</f>
        <v>蔣梅</v>
      </c>
    </row>
    <row r="1685" spans="6:19" hidden="1" x14ac:dyDescent="0.25">
      <c r="F1685" t="s">
        <v>1510</v>
      </c>
      <c r="G1685" t="s">
        <v>425</v>
      </c>
      <c r="H1685" t="str">
        <f>VLOOKUP(record[[#This Row],[ProcessSN]],表格2_7[],2,FALSE)</f>
        <v>30-4118-018-600</v>
      </c>
      <c r="I1685" t="str">
        <f>VLOOKUP(record[[#This Row],[ProcessSN]],表格2_7[],3,FALSE)</f>
        <v>#100</v>
      </c>
      <c r="J1685" t="s">
        <v>598</v>
      </c>
      <c r="K1685" s="195">
        <v>46132.695891203701</v>
      </c>
      <c r="L1685">
        <v>9</v>
      </c>
      <c r="M1685">
        <v>0</v>
      </c>
      <c r="N1685" s="98" t="str">
        <f>IF(record[[#This Row],[Memo]]="Browser:chrome os:android","平板報工",IF(record[[#This Row],[Memo]]=0,"委外",record[[#This Row],[Memo]]))</f>
        <v>補漆回</v>
      </c>
      <c r="O1685" t="s">
        <v>1846</v>
      </c>
      <c r="P1685" t="s">
        <v>141</v>
      </c>
      <c r="Q1685" t="s">
        <v>58</v>
      </c>
      <c r="R1685" t="str">
        <f>IFERROR(VLOOKUP(record[[#This Row],[PCUSTID]],廠商[],2,FALSE),"")</f>
        <v/>
      </c>
      <c r="S1685" t="str">
        <f>VLOOKUP(record[[#This Row],[employeeID]],員工[],2,FALSE)</f>
        <v>蔣梅</v>
      </c>
    </row>
    <row r="1686" spans="6:19" hidden="1" x14ac:dyDescent="0.25">
      <c r="F1686" t="s">
        <v>1451</v>
      </c>
      <c r="G1686" t="s">
        <v>399</v>
      </c>
      <c r="H1686" t="str">
        <f>VLOOKUP(record[[#This Row],[ProcessSN]],表格2_7[],2,FALSE)</f>
        <v>30-4118-018-550</v>
      </c>
      <c r="I1686" t="str">
        <f>VLOOKUP(record[[#This Row],[ProcessSN]],表格2_7[],3,FALSE)</f>
        <v>#08IQC</v>
      </c>
      <c r="J1686" t="s">
        <v>583</v>
      </c>
      <c r="K1686" s="195">
        <v>46132.683321759258</v>
      </c>
      <c r="L1686">
        <v>1</v>
      </c>
      <c r="M1686">
        <v>0</v>
      </c>
      <c r="N1686" s="98" t="str">
        <f>IF(record[[#This Row],[Memo]]="Browser:chrome os:android","平板報工",IF(record[[#This Row],[Memo]]=0,"委外",record[[#This Row],[Memo]]))</f>
        <v>覆回</v>
      </c>
      <c r="O1686" t="s">
        <v>682</v>
      </c>
      <c r="P1686" t="s">
        <v>186</v>
      </c>
      <c r="Q1686" t="s">
        <v>58</v>
      </c>
      <c r="R1686" t="str">
        <f>IFERROR(VLOOKUP(record[[#This Row],[PCUSTID]],廠商[],2,FALSE),"")</f>
        <v/>
      </c>
      <c r="S1686" t="str">
        <f>VLOOKUP(record[[#This Row],[employeeID]],員工[],2,FALSE)</f>
        <v>許文姍</v>
      </c>
    </row>
    <row r="1687" spans="6:19" hidden="1" x14ac:dyDescent="0.25">
      <c r="F1687" t="s">
        <v>1451</v>
      </c>
      <c r="G1687" t="s">
        <v>398</v>
      </c>
      <c r="H1687" t="str">
        <f>VLOOKUP(record[[#This Row],[ProcessSN]],表格2_7[],2,FALSE)</f>
        <v>30-4118-018-550</v>
      </c>
      <c r="I1687" t="str">
        <f>VLOOKUP(record[[#This Row],[ProcessSN]],表格2_7[],3,FALSE)</f>
        <v>#08RCV</v>
      </c>
      <c r="J1687" t="s">
        <v>591</v>
      </c>
      <c r="K1687" s="195">
        <v>46132.68277777778</v>
      </c>
      <c r="L1687">
        <v>1</v>
      </c>
      <c r="M1687">
        <v>0</v>
      </c>
      <c r="N1687" s="98" t="str">
        <f>IF(record[[#This Row],[Memo]]="Browser:chrome os:android","平板報工",IF(record[[#This Row],[Memo]]=0,"委外",record[[#This Row],[Memo]]))</f>
        <v>覆回</v>
      </c>
      <c r="O1687" t="s">
        <v>682</v>
      </c>
      <c r="P1687" t="s">
        <v>186</v>
      </c>
      <c r="Q1687" t="s">
        <v>58</v>
      </c>
      <c r="R1687" t="str">
        <f>IFERROR(VLOOKUP(record[[#This Row],[PCUSTID]],廠商[],2,FALSE),"")</f>
        <v/>
      </c>
      <c r="S1687" t="str">
        <f>VLOOKUP(record[[#This Row],[employeeID]],員工[],2,FALSE)</f>
        <v>許文姍</v>
      </c>
    </row>
    <row r="1688" spans="6:19" hidden="1" x14ac:dyDescent="0.25">
      <c r="F1688" t="s">
        <v>1451</v>
      </c>
      <c r="G1688" t="s">
        <v>398</v>
      </c>
      <c r="H1688" t="str">
        <f>VLOOKUP(record[[#This Row],[ProcessSN]],表格2_7[],2,FALSE)</f>
        <v>30-4118-018-550</v>
      </c>
      <c r="I1688" t="str">
        <f>VLOOKUP(record[[#This Row],[ProcessSN]],表格2_7[],3,FALSE)</f>
        <v>#08RCV</v>
      </c>
      <c r="J1688" t="s">
        <v>591</v>
      </c>
      <c r="K1688" s="195">
        <v>46132.682569444441</v>
      </c>
      <c r="L1688">
        <v>0</v>
      </c>
      <c r="M1688">
        <v>39</v>
      </c>
      <c r="N1688" s="98" t="str">
        <f>IF(record[[#This Row],[Memo]]="Browser:chrome os:android","平板報工",IF(record[[#This Row],[Memo]]=0,"委外",record[[#This Row],[Memo]]))</f>
        <v>覆回</v>
      </c>
      <c r="O1688" t="s">
        <v>682</v>
      </c>
      <c r="P1688" t="s">
        <v>186</v>
      </c>
      <c r="Q1688" t="s">
        <v>58</v>
      </c>
      <c r="R1688" t="str">
        <f>IFERROR(VLOOKUP(record[[#This Row],[PCUSTID]],廠商[],2,FALSE),"")</f>
        <v/>
      </c>
      <c r="S1688" t="str">
        <f>VLOOKUP(record[[#This Row],[employeeID]],員工[],2,FALSE)</f>
        <v>許文姍</v>
      </c>
    </row>
    <row r="1689" spans="6:19" hidden="1" x14ac:dyDescent="0.25">
      <c r="F1689" t="s">
        <v>1639</v>
      </c>
      <c r="G1689" t="s">
        <v>425</v>
      </c>
      <c r="H1689" t="str">
        <f>VLOOKUP(record[[#This Row],[ProcessSN]],表格2_7[],2,FALSE)</f>
        <v>30-4118-018-600</v>
      </c>
      <c r="I1689" t="str">
        <f>VLOOKUP(record[[#This Row],[ProcessSN]],表格2_7[],3,FALSE)</f>
        <v>#100</v>
      </c>
      <c r="J1689" t="s">
        <v>598</v>
      </c>
      <c r="K1689" s="195">
        <v>46132.68240740741</v>
      </c>
      <c r="L1689">
        <v>8</v>
      </c>
      <c r="M1689">
        <v>0</v>
      </c>
      <c r="N1689" s="98" t="str">
        <f>IF(record[[#This Row],[Memo]]="Browser:chrome os:android","平板報工",IF(record[[#This Row],[Memo]]=0,"委外",record[[#This Row],[Memo]]))</f>
        <v>補漆回</v>
      </c>
      <c r="O1689" t="s">
        <v>1846</v>
      </c>
      <c r="P1689" t="s">
        <v>141</v>
      </c>
      <c r="Q1689" t="s">
        <v>58</v>
      </c>
      <c r="R1689" t="str">
        <f>IFERROR(VLOOKUP(record[[#This Row],[PCUSTID]],廠商[],2,FALSE),"")</f>
        <v/>
      </c>
      <c r="S1689" t="str">
        <f>VLOOKUP(record[[#This Row],[employeeID]],員工[],2,FALSE)</f>
        <v>蔣梅</v>
      </c>
    </row>
    <row r="1690" spans="6:19" hidden="1" x14ac:dyDescent="0.25">
      <c r="F1690" t="s">
        <v>1497</v>
      </c>
      <c r="G1690" t="s">
        <v>399</v>
      </c>
      <c r="H1690" t="str">
        <f>VLOOKUP(record[[#This Row],[ProcessSN]],表格2_7[],2,FALSE)</f>
        <v>30-4118-018-550</v>
      </c>
      <c r="I1690" t="str">
        <f>VLOOKUP(record[[#This Row],[ProcessSN]],表格2_7[],3,FALSE)</f>
        <v>#08IQC</v>
      </c>
      <c r="J1690" t="s">
        <v>583</v>
      </c>
      <c r="K1690" s="195">
        <v>46132.679444444446</v>
      </c>
      <c r="L1690">
        <v>1</v>
      </c>
      <c r="M1690">
        <v>0</v>
      </c>
      <c r="N1690" s="98" t="str">
        <f>IF(record[[#This Row],[Memo]]="Browser:chrome os:android","平板報工",IF(record[[#This Row],[Memo]]=0,"委外",record[[#This Row],[Memo]]))</f>
        <v>覆回</v>
      </c>
      <c r="O1690" t="s">
        <v>682</v>
      </c>
      <c r="P1690" t="s">
        <v>186</v>
      </c>
      <c r="Q1690" t="s">
        <v>58</v>
      </c>
      <c r="R1690" t="str">
        <f>IFERROR(VLOOKUP(record[[#This Row],[PCUSTID]],廠商[],2,FALSE),"")</f>
        <v/>
      </c>
      <c r="S1690" t="str">
        <f>VLOOKUP(record[[#This Row],[employeeID]],員工[],2,FALSE)</f>
        <v>許文姍</v>
      </c>
    </row>
    <row r="1691" spans="6:19" hidden="1" x14ac:dyDescent="0.25">
      <c r="F1691" t="s">
        <v>1497</v>
      </c>
      <c r="G1691" t="s">
        <v>398</v>
      </c>
      <c r="H1691" t="str">
        <f>VLOOKUP(record[[#This Row],[ProcessSN]],表格2_7[],2,FALSE)</f>
        <v>30-4118-018-550</v>
      </c>
      <c r="I1691" t="str">
        <f>VLOOKUP(record[[#This Row],[ProcessSN]],表格2_7[],3,FALSE)</f>
        <v>#08RCV</v>
      </c>
      <c r="J1691" t="s">
        <v>591</v>
      </c>
      <c r="K1691" s="195">
        <v>46132.679143518515</v>
      </c>
      <c r="L1691">
        <v>1</v>
      </c>
      <c r="M1691">
        <v>0</v>
      </c>
      <c r="N1691" s="98" t="str">
        <f>IF(record[[#This Row],[Memo]]="Browser:chrome os:android","平板報工",IF(record[[#This Row],[Memo]]=0,"委外",record[[#This Row],[Memo]]))</f>
        <v>覆回</v>
      </c>
      <c r="O1691" t="s">
        <v>682</v>
      </c>
      <c r="P1691" t="s">
        <v>186</v>
      </c>
      <c r="Q1691" t="s">
        <v>58</v>
      </c>
      <c r="R1691" t="str">
        <f>IFERROR(VLOOKUP(record[[#This Row],[PCUSTID]],廠商[],2,FALSE),"")</f>
        <v/>
      </c>
      <c r="S1691" t="str">
        <f>VLOOKUP(record[[#This Row],[employeeID]],員工[],2,FALSE)</f>
        <v>許文姍</v>
      </c>
    </row>
    <row r="1692" spans="6:19" hidden="1" x14ac:dyDescent="0.25">
      <c r="F1692" t="s">
        <v>1705</v>
      </c>
      <c r="G1692" t="s">
        <v>425</v>
      </c>
      <c r="H1692" t="str">
        <f>VLOOKUP(record[[#This Row],[ProcessSN]],表格2_7[],2,FALSE)</f>
        <v>30-4118-018-600</v>
      </c>
      <c r="I1692" t="str">
        <f>VLOOKUP(record[[#This Row],[ProcessSN]],表格2_7[],3,FALSE)</f>
        <v>#100</v>
      </c>
      <c r="J1692" t="s">
        <v>598</v>
      </c>
      <c r="K1692" s="195">
        <v>46132.678865740738</v>
      </c>
      <c r="L1692">
        <v>0</v>
      </c>
      <c r="M1692">
        <v>9</v>
      </c>
      <c r="N1692" s="98" t="str">
        <f>IF(record[[#This Row],[Memo]]="Browser:chrome os:android","平板報工",IF(record[[#This Row],[Memo]]=0,"委外",record[[#This Row],[Memo]]))</f>
        <v/>
      </c>
      <c r="O1692" t="s">
        <v>58</v>
      </c>
      <c r="P1692" t="s">
        <v>141</v>
      </c>
      <c r="Q1692" t="s">
        <v>58</v>
      </c>
      <c r="R1692" t="str">
        <f>IFERROR(VLOOKUP(record[[#This Row],[PCUSTID]],廠商[],2,FALSE),"")</f>
        <v/>
      </c>
      <c r="S1692" t="str">
        <f>VLOOKUP(record[[#This Row],[employeeID]],員工[],2,FALSE)</f>
        <v>蔣梅</v>
      </c>
    </row>
    <row r="1693" spans="6:19" hidden="1" x14ac:dyDescent="0.25">
      <c r="F1693" t="s">
        <v>1497</v>
      </c>
      <c r="G1693" t="s">
        <v>398</v>
      </c>
      <c r="H1693" t="str">
        <f>VLOOKUP(record[[#This Row],[ProcessSN]],表格2_7[],2,FALSE)</f>
        <v>30-4118-018-550</v>
      </c>
      <c r="I1693" t="str">
        <f>VLOOKUP(record[[#This Row],[ProcessSN]],表格2_7[],3,FALSE)</f>
        <v>#08RCV</v>
      </c>
      <c r="J1693" t="s">
        <v>591</v>
      </c>
      <c r="K1693" s="195">
        <v>46132.678865740738</v>
      </c>
      <c r="L1693">
        <v>0</v>
      </c>
      <c r="M1693">
        <v>18</v>
      </c>
      <c r="N1693" s="98" t="str">
        <f>IF(record[[#This Row],[Memo]]="Browser:chrome os:android","平板報工",IF(record[[#This Row],[Memo]]=0,"委外",record[[#This Row],[Memo]]))</f>
        <v>覆回</v>
      </c>
      <c r="O1693" t="s">
        <v>682</v>
      </c>
      <c r="P1693" t="s">
        <v>186</v>
      </c>
      <c r="Q1693" t="s">
        <v>58</v>
      </c>
      <c r="R1693" t="str">
        <f>IFERROR(VLOOKUP(record[[#This Row],[PCUSTID]],廠商[],2,FALSE),"")</f>
        <v/>
      </c>
      <c r="S1693" t="str">
        <f>VLOOKUP(record[[#This Row],[employeeID]],員工[],2,FALSE)</f>
        <v>許文姍</v>
      </c>
    </row>
    <row r="1694" spans="6:19" hidden="1" x14ac:dyDescent="0.25">
      <c r="F1694" t="s">
        <v>1705</v>
      </c>
      <c r="G1694" t="s">
        <v>425</v>
      </c>
      <c r="H1694" t="str">
        <f>VLOOKUP(record[[#This Row],[ProcessSN]],表格2_7[],2,FALSE)</f>
        <v>30-4118-018-600</v>
      </c>
      <c r="I1694" t="str">
        <f>VLOOKUP(record[[#This Row],[ProcessSN]],表格2_7[],3,FALSE)</f>
        <v>#100</v>
      </c>
      <c r="J1694" t="s">
        <v>598</v>
      </c>
      <c r="K1694" s="195">
        <v>46132.678715277776</v>
      </c>
      <c r="L1694">
        <v>6</v>
      </c>
      <c r="M1694">
        <v>0</v>
      </c>
      <c r="N1694" s="98" t="str">
        <f>IF(record[[#This Row],[Memo]]="Browser:chrome os:android","平板報工",IF(record[[#This Row],[Memo]]=0,"委外",record[[#This Row],[Memo]]))</f>
        <v>補漆回</v>
      </c>
      <c r="O1694" t="s">
        <v>1846</v>
      </c>
      <c r="P1694" t="s">
        <v>141</v>
      </c>
      <c r="Q1694" t="s">
        <v>58</v>
      </c>
      <c r="R1694" t="str">
        <f>IFERROR(VLOOKUP(record[[#This Row],[PCUSTID]],廠商[],2,FALSE),"")</f>
        <v/>
      </c>
      <c r="S1694" t="str">
        <f>VLOOKUP(record[[#This Row],[employeeID]],員工[],2,FALSE)</f>
        <v>蔣梅</v>
      </c>
    </row>
    <row r="1695" spans="6:19" hidden="1" x14ac:dyDescent="0.25">
      <c r="F1695" t="s">
        <v>1407</v>
      </c>
      <c r="G1695" t="s">
        <v>358</v>
      </c>
      <c r="H1695" t="str">
        <f>VLOOKUP(record[[#This Row],[ProcessSN]],表格2_7[],2,FALSE)</f>
        <v>30-4118-018-450</v>
      </c>
      <c r="I1695" t="str">
        <f>VLOOKUP(record[[#This Row],[ProcessSN]],表格2_7[],3,FALSE)</f>
        <v>#08IQC</v>
      </c>
      <c r="J1695" t="s">
        <v>583</v>
      </c>
      <c r="K1695" s="195">
        <v>46132.676921296297</v>
      </c>
      <c r="L1695">
        <v>1</v>
      </c>
      <c r="M1695">
        <v>0</v>
      </c>
      <c r="N1695" s="98" t="str">
        <f>IF(record[[#This Row],[Memo]]="Browser:chrome os:android","平板報工",IF(record[[#This Row],[Memo]]=0,"委外",record[[#This Row],[Memo]]))</f>
        <v>覆回</v>
      </c>
      <c r="O1695" t="s">
        <v>682</v>
      </c>
      <c r="P1695" t="s">
        <v>186</v>
      </c>
      <c r="Q1695" t="s">
        <v>58</v>
      </c>
      <c r="R1695" t="str">
        <f>IFERROR(VLOOKUP(record[[#This Row],[PCUSTID]],廠商[],2,FALSE),"")</f>
        <v/>
      </c>
      <c r="S1695" t="str">
        <f>VLOOKUP(record[[#This Row],[employeeID]],員工[],2,FALSE)</f>
        <v>許文姍</v>
      </c>
    </row>
    <row r="1696" spans="6:19" hidden="1" x14ac:dyDescent="0.25">
      <c r="F1696" t="s">
        <v>1407</v>
      </c>
      <c r="G1696" t="s">
        <v>357</v>
      </c>
      <c r="H1696" t="str">
        <f>VLOOKUP(record[[#This Row],[ProcessSN]],表格2_7[],2,FALSE)</f>
        <v>30-4118-018-450</v>
      </c>
      <c r="I1696" t="str">
        <f>VLOOKUP(record[[#This Row],[ProcessSN]],表格2_7[],3,FALSE)</f>
        <v>#08RCV</v>
      </c>
      <c r="J1696" t="s">
        <v>591</v>
      </c>
      <c r="K1696" s="195">
        <v>46132.676562499997</v>
      </c>
      <c r="L1696">
        <v>1</v>
      </c>
      <c r="M1696">
        <v>0</v>
      </c>
      <c r="N1696" s="98" t="str">
        <f>IF(record[[#This Row],[Memo]]="Browser:chrome os:android","平板報工",IF(record[[#This Row],[Memo]]=0,"委外",record[[#This Row],[Memo]]))</f>
        <v>覆回</v>
      </c>
      <c r="O1696" t="s">
        <v>682</v>
      </c>
      <c r="P1696" t="s">
        <v>186</v>
      </c>
      <c r="Q1696" t="s">
        <v>58</v>
      </c>
      <c r="R1696" t="str">
        <f>IFERROR(VLOOKUP(record[[#This Row],[PCUSTID]],廠商[],2,FALSE),"")</f>
        <v/>
      </c>
      <c r="S1696" t="str">
        <f>VLOOKUP(record[[#This Row],[employeeID]],員工[],2,FALSE)</f>
        <v>許文姍</v>
      </c>
    </row>
    <row r="1697" spans="6:19" hidden="1" x14ac:dyDescent="0.25">
      <c r="F1697" t="s">
        <v>1407</v>
      </c>
      <c r="G1697" t="s">
        <v>357</v>
      </c>
      <c r="H1697" t="str">
        <f>VLOOKUP(record[[#This Row],[ProcessSN]],表格2_7[],2,FALSE)</f>
        <v>30-4118-018-450</v>
      </c>
      <c r="I1697" t="str">
        <f>VLOOKUP(record[[#This Row],[ProcessSN]],表格2_7[],3,FALSE)</f>
        <v>#08RCV</v>
      </c>
      <c r="J1697" t="s">
        <v>591</v>
      </c>
      <c r="K1697" s="195">
        <v>46132.676319444443</v>
      </c>
      <c r="L1697">
        <v>0</v>
      </c>
      <c r="M1697">
        <v>46</v>
      </c>
      <c r="N1697" s="98" t="str">
        <f>IF(record[[#This Row],[Memo]]="Browser:chrome os:android","平板報工",IF(record[[#This Row],[Memo]]=0,"委外",record[[#This Row],[Memo]]))</f>
        <v>覆回</v>
      </c>
      <c r="O1697" t="s">
        <v>682</v>
      </c>
      <c r="P1697" t="s">
        <v>186</v>
      </c>
      <c r="Q1697" t="s">
        <v>58</v>
      </c>
      <c r="R1697" t="str">
        <f>IFERROR(VLOOKUP(record[[#This Row],[PCUSTID]],廠商[],2,FALSE),"")</f>
        <v/>
      </c>
      <c r="S1697" t="str">
        <f>VLOOKUP(record[[#This Row],[employeeID]],員工[],2,FALSE)</f>
        <v>許文姍</v>
      </c>
    </row>
    <row r="1698" spans="6:19" hidden="1" x14ac:dyDescent="0.25">
      <c r="F1698" t="s">
        <v>1646</v>
      </c>
      <c r="G1698" t="s">
        <v>359</v>
      </c>
      <c r="H1698" t="str">
        <f>VLOOKUP(record[[#This Row],[ProcessSN]],表格2_7[],2,FALSE)</f>
        <v>30-4118-018-450</v>
      </c>
      <c r="I1698" t="str">
        <f>VLOOKUP(record[[#This Row],[ProcessSN]],表格2_7[],3,FALSE)</f>
        <v>#100</v>
      </c>
      <c r="J1698" t="s">
        <v>598</v>
      </c>
      <c r="K1698" s="195">
        <v>46132.674108796295</v>
      </c>
      <c r="L1698">
        <v>3</v>
      </c>
      <c r="M1698">
        <v>0</v>
      </c>
      <c r="N1698" s="98" t="str">
        <f>IF(record[[#This Row],[Memo]]="Browser:chrome os:android","平板報工",IF(record[[#This Row],[Memo]]=0,"委外",record[[#This Row],[Memo]]))</f>
        <v>補漆回</v>
      </c>
      <c r="O1698" t="s">
        <v>1846</v>
      </c>
      <c r="P1698" t="s">
        <v>141</v>
      </c>
      <c r="Q1698" t="s">
        <v>58</v>
      </c>
      <c r="R1698" t="str">
        <f>IFERROR(VLOOKUP(record[[#This Row],[PCUSTID]],廠商[],2,FALSE),"")</f>
        <v/>
      </c>
      <c r="S1698" t="str">
        <f>VLOOKUP(record[[#This Row],[employeeID]],員工[],2,FALSE)</f>
        <v>蔣梅</v>
      </c>
    </row>
    <row r="1699" spans="6:19" hidden="1" x14ac:dyDescent="0.25">
      <c r="F1699" t="s">
        <v>1646</v>
      </c>
      <c r="G1699" t="s">
        <v>358</v>
      </c>
      <c r="H1699" t="str">
        <f>VLOOKUP(record[[#This Row],[ProcessSN]],表格2_7[],2,FALSE)</f>
        <v>30-4118-018-450</v>
      </c>
      <c r="I1699" t="str">
        <f>VLOOKUP(record[[#This Row],[ProcessSN]],表格2_7[],3,FALSE)</f>
        <v>#08IQC</v>
      </c>
      <c r="J1699" t="s">
        <v>583</v>
      </c>
      <c r="K1699" s="195">
        <v>46132.67396990741</v>
      </c>
      <c r="L1699">
        <v>3</v>
      </c>
      <c r="M1699">
        <v>0</v>
      </c>
      <c r="N1699" s="98" t="str">
        <f>IF(record[[#This Row],[Memo]]="Browser:chrome os:android","平板報工",IF(record[[#This Row],[Memo]]=0,"委外",record[[#This Row],[Memo]]))</f>
        <v>補漆回</v>
      </c>
      <c r="O1699" t="s">
        <v>1846</v>
      </c>
      <c r="P1699" t="s">
        <v>141</v>
      </c>
      <c r="Q1699" t="s">
        <v>58</v>
      </c>
      <c r="R1699" t="str">
        <f>IFERROR(VLOOKUP(record[[#This Row],[PCUSTID]],廠商[],2,FALSE),"")</f>
        <v/>
      </c>
      <c r="S1699" t="str">
        <f>VLOOKUP(record[[#This Row],[employeeID]],員工[],2,FALSE)</f>
        <v>蔣梅</v>
      </c>
    </row>
    <row r="1700" spans="6:19" hidden="1" x14ac:dyDescent="0.25">
      <c r="F1700" t="s">
        <v>1510</v>
      </c>
      <c r="G1700" t="s">
        <v>424</v>
      </c>
      <c r="H1700" t="str">
        <f>VLOOKUP(record[[#This Row],[ProcessSN]],表格2_7[],2,FALSE)</f>
        <v>30-4118-018-600</v>
      </c>
      <c r="I1700" t="str">
        <f>VLOOKUP(record[[#This Row],[ProcessSN]],表格2_7[],3,FALSE)</f>
        <v>#08IQC</v>
      </c>
      <c r="J1700" t="s">
        <v>583</v>
      </c>
      <c r="K1700" s="195">
        <v>46132.673958333333</v>
      </c>
      <c r="L1700">
        <v>9</v>
      </c>
      <c r="M1700">
        <v>0</v>
      </c>
      <c r="N1700" s="98" t="str">
        <f>IF(record[[#This Row],[Memo]]="Browser:chrome os:android","平板報工",IF(record[[#This Row],[Memo]]=0,"委外",record[[#This Row],[Memo]]))</f>
        <v>覆回</v>
      </c>
      <c r="O1700" t="s">
        <v>682</v>
      </c>
      <c r="P1700" t="s">
        <v>186</v>
      </c>
      <c r="Q1700" t="s">
        <v>58</v>
      </c>
      <c r="R1700" t="str">
        <f>IFERROR(VLOOKUP(record[[#This Row],[PCUSTID]],廠商[],2,FALSE),"")</f>
        <v/>
      </c>
      <c r="S1700" t="str">
        <f>VLOOKUP(record[[#This Row],[employeeID]],員工[],2,FALSE)</f>
        <v>許文姍</v>
      </c>
    </row>
    <row r="1701" spans="6:19" hidden="1" x14ac:dyDescent="0.25">
      <c r="F1701" t="s">
        <v>1646</v>
      </c>
      <c r="G1701" t="s">
        <v>357</v>
      </c>
      <c r="H1701" t="str">
        <f>VLOOKUP(record[[#This Row],[ProcessSN]],表格2_7[],2,FALSE)</f>
        <v>30-4118-018-450</v>
      </c>
      <c r="I1701" t="str">
        <f>VLOOKUP(record[[#This Row],[ProcessSN]],表格2_7[],3,FALSE)</f>
        <v>#08RCV</v>
      </c>
      <c r="J1701" t="s">
        <v>591</v>
      </c>
      <c r="K1701" s="195">
        <v>46132.673831018517</v>
      </c>
      <c r="L1701">
        <v>0</v>
      </c>
      <c r="M1701">
        <v>12</v>
      </c>
      <c r="N1701" s="98" t="str">
        <f>IF(record[[#This Row],[Memo]]="Browser:chrome os:android","平板報工",IF(record[[#This Row],[Memo]]=0,"委外",record[[#This Row],[Memo]]))</f>
        <v/>
      </c>
      <c r="O1701" t="s">
        <v>58</v>
      </c>
      <c r="P1701" t="s">
        <v>141</v>
      </c>
      <c r="Q1701" t="s">
        <v>58</v>
      </c>
      <c r="R1701" t="str">
        <f>IFERROR(VLOOKUP(record[[#This Row],[PCUSTID]],廠商[],2,FALSE),"")</f>
        <v/>
      </c>
      <c r="S1701" t="str">
        <f>VLOOKUP(record[[#This Row],[employeeID]],員工[],2,FALSE)</f>
        <v>蔣梅</v>
      </c>
    </row>
    <row r="1702" spans="6:19" hidden="1" x14ac:dyDescent="0.25">
      <c r="F1702" t="s">
        <v>1510</v>
      </c>
      <c r="G1702" t="s">
        <v>423</v>
      </c>
      <c r="H1702" t="str">
        <f>VLOOKUP(record[[#This Row],[ProcessSN]],表格2_7[],2,FALSE)</f>
        <v>30-4118-018-600</v>
      </c>
      <c r="I1702" t="str">
        <f>VLOOKUP(record[[#This Row],[ProcessSN]],表格2_7[],3,FALSE)</f>
        <v>#08RCV</v>
      </c>
      <c r="J1702" t="s">
        <v>591</v>
      </c>
      <c r="K1702" s="195">
        <v>46132.673761574071</v>
      </c>
      <c r="L1702">
        <v>9</v>
      </c>
      <c r="M1702">
        <v>0</v>
      </c>
      <c r="N1702" s="98" t="str">
        <f>IF(record[[#This Row],[Memo]]="Browser:chrome os:android","平板報工",IF(record[[#This Row],[Memo]]=0,"委外",record[[#This Row],[Memo]]))</f>
        <v>覆回</v>
      </c>
      <c r="O1702" t="s">
        <v>682</v>
      </c>
      <c r="P1702" t="s">
        <v>186</v>
      </c>
      <c r="Q1702" t="s">
        <v>58</v>
      </c>
      <c r="R1702" t="str">
        <f>IFERROR(VLOOKUP(record[[#This Row],[PCUSTID]],廠商[],2,FALSE),"")</f>
        <v/>
      </c>
      <c r="S1702" t="str">
        <f>VLOOKUP(record[[#This Row],[employeeID]],員工[],2,FALSE)</f>
        <v>許文姍</v>
      </c>
    </row>
    <row r="1703" spans="6:19" hidden="1" x14ac:dyDescent="0.25">
      <c r="F1703" t="s">
        <v>1646</v>
      </c>
      <c r="G1703" t="s">
        <v>357</v>
      </c>
      <c r="H1703" t="str">
        <f>VLOOKUP(record[[#This Row],[ProcessSN]],表格2_7[],2,FALSE)</f>
        <v>30-4118-018-450</v>
      </c>
      <c r="I1703" t="str">
        <f>VLOOKUP(record[[#This Row],[ProcessSN]],表格2_7[],3,FALSE)</f>
        <v>#08RCV</v>
      </c>
      <c r="J1703" t="s">
        <v>591</v>
      </c>
      <c r="K1703" s="195">
        <v>46132.673657407409</v>
      </c>
      <c r="L1703">
        <v>3</v>
      </c>
      <c r="M1703">
        <v>0</v>
      </c>
      <c r="N1703" s="98" t="str">
        <f>IF(record[[#This Row],[Memo]]="Browser:chrome os:android","平板報工",IF(record[[#This Row],[Memo]]=0,"委外",record[[#This Row],[Memo]]))</f>
        <v>補漆回</v>
      </c>
      <c r="O1703" t="s">
        <v>1846</v>
      </c>
      <c r="P1703" t="s">
        <v>141</v>
      </c>
      <c r="Q1703" t="s">
        <v>58</v>
      </c>
      <c r="R1703" t="str">
        <f>IFERROR(VLOOKUP(record[[#This Row],[PCUSTID]],廠商[],2,FALSE),"")</f>
        <v/>
      </c>
      <c r="S1703" t="str">
        <f>VLOOKUP(record[[#This Row],[employeeID]],員工[],2,FALSE)</f>
        <v>蔣梅</v>
      </c>
    </row>
    <row r="1704" spans="6:19" hidden="1" x14ac:dyDescent="0.25">
      <c r="F1704" t="s">
        <v>1803</v>
      </c>
      <c r="G1704" t="s">
        <v>417</v>
      </c>
      <c r="H1704" t="str">
        <f>VLOOKUP(record[[#This Row],[ProcessSN]],表格2_7[],2,FALSE)</f>
        <v>30-4118-018-5XX</v>
      </c>
      <c r="I1704" t="str">
        <f>VLOOKUP(record[[#This Row],[ProcessSN]],表格2_7[],3,FALSE)</f>
        <v>#06</v>
      </c>
      <c r="J1704" t="s">
        <v>593</v>
      </c>
      <c r="K1704" s="195">
        <v>46132.671377314815</v>
      </c>
      <c r="L1704">
        <v>133</v>
      </c>
      <c r="M1704">
        <v>0</v>
      </c>
      <c r="N1704" s="98" t="str">
        <f>IF(record[[#This Row],[Memo]]="Browser:chrome os:android","平板報工",IF(record[[#This Row],[Memo]]=0,"委外",record[[#This Row],[Memo]]))</f>
        <v/>
      </c>
      <c r="O1704" t="s">
        <v>58</v>
      </c>
      <c r="P1704" t="s">
        <v>188</v>
      </c>
      <c r="Q1704" t="s">
        <v>58</v>
      </c>
      <c r="R1704" t="str">
        <f>IFERROR(VLOOKUP(record[[#This Row],[PCUSTID]],廠商[],2,FALSE),"")</f>
        <v/>
      </c>
      <c r="S1704" t="str">
        <f>VLOOKUP(record[[#This Row],[employeeID]],員工[],2,FALSE)</f>
        <v>阮氏璧紅</v>
      </c>
    </row>
    <row r="1705" spans="6:19" hidden="1" x14ac:dyDescent="0.25">
      <c r="F1705" t="s">
        <v>1803</v>
      </c>
      <c r="G1705" t="s">
        <v>416</v>
      </c>
      <c r="H1705" t="str">
        <f>VLOOKUP(record[[#This Row],[ProcessSN]],表格2_7[],2,FALSE)</f>
        <v>30-4118-018-5XX</v>
      </c>
      <c r="I1705" t="str">
        <f>VLOOKUP(record[[#This Row],[ProcessSN]],表格2_7[],3,FALSE)</f>
        <v>#05</v>
      </c>
      <c r="J1705" t="s">
        <v>588</v>
      </c>
      <c r="K1705" s="195">
        <v>46132.671064814815</v>
      </c>
      <c r="L1705">
        <v>138</v>
      </c>
      <c r="M1705">
        <v>0</v>
      </c>
      <c r="N1705" s="98" t="str">
        <f>IF(record[[#This Row],[Memo]]="Browser:chrome os:android","平板報工",IF(record[[#This Row],[Memo]]=0,"委外",record[[#This Row],[Memo]]))</f>
        <v/>
      </c>
      <c r="O1705" t="s">
        <v>58</v>
      </c>
      <c r="P1705" t="s">
        <v>145</v>
      </c>
      <c r="Q1705" t="s">
        <v>58</v>
      </c>
      <c r="R1705" t="str">
        <f>IFERROR(VLOOKUP(record[[#This Row],[PCUSTID]],廠商[],2,FALSE),"")</f>
        <v/>
      </c>
      <c r="S1705" t="str">
        <f>VLOOKUP(record[[#This Row],[employeeID]],員工[],2,FALSE)</f>
        <v>阮秋霞</v>
      </c>
    </row>
    <row r="1706" spans="6:19" hidden="1" x14ac:dyDescent="0.25">
      <c r="F1706" t="s">
        <v>1803</v>
      </c>
      <c r="G1706" t="s">
        <v>415</v>
      </c>
      <c r="H1706" t="str">
        <f>VLOOKUP(record[[#This Row],[ProcessSN]],表格2_7[],2,FALSE)</f>
        <v>30-4118-018-5XX</v>
      </c>
      <c r="I1706" t="str">
        <f>VLOOKUP(record[[#This Row],[ProcessSN]],表格2_7[],3,FALSE)</f>
        <v>#04</v>
      </c>
      <c r="J1706" t="s">
        <v>588</v>
      </c>
      <c r="K1706" s="195">
        <v>46132.66982638889</v>
      </c>
      <c r="L1706">
        <v>61</v>
      </c>
      <c r="M1706">
        <v>0</v>
      </c>
      <c r="N1706" s="98" t="str">
        <f>IF(record[[#This Row],[Memo]]="Browser:chrome os:android","平板報工",IF(record[[#This Row],[Memo]]=0,"委外",record[[#This Row],[Memo]]))</f>
        <v/>
      </c>
      <c r="O1706" t="s">
        <v>58</v>
      </c>
      <c r="P1706" t="s">
        <v>101</v>
      </c>
      <c r="Q1706" t="s">
        <v>58</v>
      </c>
      <c r="R1706" t="str">
        <f>IFERROR(VLOOKUP(record[[#This Row],[PCUSTID]],廠商[],2,FALSE),"")</f>
        <v/>
      </c>
      <c r="S1706" t="str">
        <f>VLOOKUP(record[[#This Row],[employeeID]],員工[],2,FALSE)</f>
        <v>陳氏絨</v>
      </c>
    </row>
    <row r="1707" spans="6:19" hidden="1" x14ac:dyDescent="0.25">
      <c r="F1707" t="s">
        <v>1794</v>
      </c>
      <c r="G1707" t="s">
        <v>417</v>
      </c>
      <c r="H1707" t="str">
        <f>VLOOKUP(record[[#This Row],[ProcessSN]],表格2_7[],2,FALSE)</f>
        <v>30-4118-018-5XX</v>
      </c>
      <c r="I1707" t="str">
        <f>VLOOKUP(record[[#This Row],[ProcessSN]],表格2_7[],3,FALSE)</f>
        <v>#06</v>
      </c>
      <c r="J1707" t="s">
        <v>593</v>
      </c>
      <c r="K1707" s="195">
        <v>46132.652824074074</v>
      </c>
      <c r="L1707">
        <v>115</v>
      </c>
      <c r="M1707">
        <v>0</v>
      </c>
      <c r="N1707" s="98" t="str">
        <f>IF(record[[#This Row],[Memo]]="Browser:chrome os:android","平板報工",IF(record[[#This Row],[Memo]]=0,"委外",record[[#This Row],[Memo]]))</f>
        <v>平板報工</v>
      </c>
      <c r="O1707" t="s">
        <v>643</v>
      </c>
      <c r="P1707" t="s">
        <v>166</v>
      </c>
      <c r="Q1707" t="s">
        <v>644</v>
      </c>
      <c r="R1707" t="str">
        <f>IFERROR(VLOOKUP(record[[#This Row],[PCUSTID]],廠商[],2,FALSE),"")</f>
        <v/>
      </c>
      <c r="S1707" t="str">
        <f>VLOOKUP(record[[#This Row],[employeeID]],員工[],2,FALSE)</f>
        <v>阮懷香</v>
      </c>
    </row>
    <row r="1708" spans="6:19" hidden="1" x14ac:dyDescent="0.25">
      <c r="F1708" t="s">
        <v>1794</v>
      </c>
      <c r="G1708" t="s">
        <v>416</v>
      </c>
      <c r="H1708" t="str">
        <f>VLOOKUP(record[[#This Row],[ProcessSN]],表格2_7[],2,FALSE)</f>
        <v>30-4118-018-5XX</v>
      </c>
      <c r="I1708" t="str">
        <f>VLOOKUP(record[[#This Row],[ProcessSN]],表格2_7[],3,FALSE)</f>
        <v>#05</v>
      </c>
      <c r="J1708" t="s">
        <v>588</v>
      </c>
      <c r="K1708" s="195">
        <v>46132.652499999997</v>
      </c>
      <c r="L1708">
        <v>122</v>
      </c>
      <c r="M1708">
        <v>0</v>
      </c>
      <c r="N1708" s="98" t="str">
        <f>IF(record[[#This Row],[Memo]]="Browser:chrome os:android","平板報工",IF(record[[#This Row],[Memo]]=0,"委外",record[[#This Row],[Memo]]))</f>
        <v>平板報工</v>
      </c>
      <c r="O1708" t="s">
        <v>643</v>
      </c>
      <c r="P1708" t="s">
        <v>145</v>
      </c>
      <c r="Q1708" t="s">
        <v>644</v>
      </c>
      <c r="R1708" t="str">
        <f>IFERROR(VLOOKUP(record[[#This Row],[PCUSTID]],廠商[],2,FALSE),"")</f>
        <v/>
      </c>
      <c r="S1708" t="str">
        <f>VLOOKUP(record[[#This Row],[employeeID]],員工[],2,FALSE)</f>
        <v>阮秋霞</v>
      </c>
    </row>
    <row r="1709" spans="6:19" hidden="1" x14ac:dyDescent="0.25">
      <c r="F1709" t="s">
        <v>1772</v>
      </c>
      <c r="G1709" t="s">
        <v>466</v>
      </c>
      <c r="H1709" t="str">
        <f>VLOOKUP(record[[#This Row],[ProcessSN]],表格2_7[],2,FALSE)</f>
        <v>30-4118-018-XXX</v>
      </c>
      <c r="I1709" t="str">
        <f>VLOOKUP(record[[#This Row],[ProcessSN]],表格2_7[],3,FALSE)</f>
        <v>#01-2</v>
      </c>
      <c r="J1709" t="s">
        <v>588</v>
      </c>
      <c r="K1709" s="195">
        <v>46132.651909722219</v>
      </c>
      <c r="L1709">
        <v>200</v>
      </c>
      <c r="M1709">
        <v>0</v>
      </c>
      <c r="N1709" s="98" t="str">
        <f>IF(record[[#This Row],[Memo]]="Browser:chrome os:android","平板報工",IF(record[[#This Row],[Memo]]=0,"委外",record[[#This Row],[Memo]]))</f>
        <v>平板報工</v>
      </c>
      <c r="O1709" t="s">
        <v>643</v>
      </c>
      <c r="P1709" t="s">
        <v>107</v>
      </c>
      <c r="Q1709" t="s">
        <v>644</v>
      </c>
      <c r="R1709" t="str">
        <f>IFERROR(VLOOKUP(record[[#This Row],[PCUSTID]],廠商[],2,FALSE),"")</f>
        <v/>
      </c>
      <c r="S1709" t="str">
        <f>VLOOKUP(record[[#This Row],[employeeID]],員工[],2,FALSE)</f>
        <v>黎氏順</v>
      </c>
    </row>
    <row r="1710" spans="6:19" hidden="1" x14ac:dyDescent="0.25">
      <c r="F1710" t="s">
        <v>1818</v>
      </c>
      <c r="G1710" t="s">
        <v>465</v>
      </c>
      <c r="H1710" t="str">
        <f>VLOOKUP(record[[#This Row],[ProcessSN]],表格2_7[],2,FALSE)</f>
        <v>30-4118-018-XXX</v>
      </c>
      <c r="I1710" t="str">
        <f>VLOOKUP(record[[#This Row],[ProcessSN]],表格2_7[],3,FALSE)</f>
        <v>#01-1</v>
      </c>
      <c r="J1710" t="s">
        <v>588</v>
      </c>
      <c r="K1710" s="195">
        <v>46132.651319444441</v>
      </c>
      <c r="L1710">
        <v>870</v>
      </c>
      <c r="M1710">
        <v>0</v>
      </c>
      <c r="N1710" s="98" t="str">
        <f>IF(record[[#This Row],[Memo]]="Browser:chrome os:android","平板報工",IF(record[[#This Row],[Memo]]=0,"委外",record[[#This Row],[Memo]]))</f>
        <v>平板報工</v>
      </c>
      <c r="O1710" t="s">
        <v>643</v>
      </c>
      <c r="P1710" t="s">
        <v>107</v>
      </c>
      <c r="Q1710" t="s">
        <v>644</v>
      </c>
      <c r="R1710" t="str">
        <f>IFERROR(VLOOKUP(record[[#This Row],[PCUSTID]],廠商[],2,FALSE),"")</f>
        <v/>
      </c>
      <c r="S1710" t="str">
        <f>VLOOKUP(record[[#This Row],[employeeID]],員工[],2,FALSE)</f>
        <v>黎氏順</v>
      </c>
    </row>
    <row r="1711" spans="6:19" hidden="1" x14ac:dyDescent="0.25">
      <c r="F1711" t="s">
        <v>1794</v>
      </c>
      <c r="G1711" t="s">
        <v>415</v>
      </c>
      <c r="H1711" t="str">
        <f>VLOOKUP(record[[#This Row],[ProcessSN]],表格2_7[],2,FALSE)</f>
        <v>30-4118-018-5XX</v>
      </c>
      <c r="I1711" t="str">
        <f>VLOOKUP(record[[#This Row],[ProcessSN]],表格2_7[],3,FALSE)</f>
        <v>#04</v>
      </c>
      <c r="J1711" t="s">
        <v>588</v>
      </c>
      <c r="K1711" s="195">
        <v>46132.648425925923</v>
      </c>
      <c r="L1711">
        <v>278</v>
      </c>
      <c r="M1711">
        <v>0</v>
      </c>
      <c r="N1711" s="98" t="str">
        <f>IF(record[[#This Row],[Memo]]="Browser:chrome os:android","平板報工",IF(record[[#This Row],[Memo]]=0,"委外",record[[#This Row],[Memo]]))</f>
        <v>平板報工</v>
      </c>
      <c r="O1711" t="s">
        <v>643</v>
      </c>
      <c r="P1711" t="s">
        <v>107</v>
      </c>
      <c r="Q1711" t="s">
        <v>644</v>
      </c>
      <c r="R1711" t="str">
        <f>IFERROR(VLOOKUP(record[[#This Row],[PCUSTID]],廠商[],2,FALSE),"")</f>
        <v/>
      </c>
      <c r="S1711" t="str">
        <f>VLOOKUP(record[[#This Row],[employeeID]],員工[],2,FALSE)</f>
        <v>黎氏順</v>
      </c>
    </row>
    <row r="1712" spans="6:19" hidden="1" x14ac:dyDescent="0.25">
      <c r="F1712" t="s">
        <v>1803</v>
      </c>
      <c r="G1712" t="s">
        <v>419</v>
      </c>
      <c r="H1712" t="str">
        <f>VLOOKUP(record[[#This Row],[ProcessSN]],表格2_7[],2,FALSE)</f>
        <v>30-4118-018-5XX</v>
      </c>
      <c r="I1712" t="str">
        <f>VLOOKUP(record[[#This Row],[ProcessSN]],表格2_7[],3,FALSE)</f>
        <v>#07QC</v>
      </c>
      <c r="J1712" t="s">
        <v>589</v>
      </c>
      <c r="K1712" s="195">
        <v>46132.643993055557</v>
      </c>
      <c r="L1712">
        <v>0</v>
      </c>
      <c r="M1712">
        <v>33</v>
      </c>
      <c r="N1712" s="98" t="str">
        <f>IF(record[[#This Row],[Memo]]="Browser:chrome os:android","平板報工",IF(record[[#This Row],[Memo]]=0,"委外",record[[#This Row],[Memo]]))</f>
        <v/>
      </c>
      <c r="O1712" t="s">
        <v>58</v>
      </c>
      <c r="P1712" t="s">
        <v>141</v>
      </c>
      <c r="Q1712" t="s">
        <v>58</v>
      </c>
      <c r="R1712" t="str">
        <f>IFERROR(VLOOKUP(record[[#This Row],[PCUSTID]],廠商[],2,FALSE),"")</f>
        <v/>
      </c>
      <c r="S1712" t="str">
        <f>VLOOKUP(record[[#This Row],[employeeID]],員工[],2,FALSE)</f>
        <v>蔣梅</v>
      </c>
    </row>
    <row r="1713" spans="6:19" hidden="1" x14ac:dyDescent="0.25">
      <c r="F1713" t="s">
        <v>1803</v>
      </c>
      <c r="G1713" t="s">
        <v>419</v>
      </c>
      <c r="H1713" t="str">
        <f>VLOOKUP(record[[#This Row],[ProcessSN]],表格2_7[],2,FALSE)</f>
        <v>30-4118-018-5XX</v>
      </c>
      <c r="I1713" t="str">
        <f>VLOOKUP(record[[#This Row],[ProcessSN]],表格2_7[],3,FALSE)</f>
        <v>#07QC</v>
      </c>
      <c r="J1713" t="s">
        <v>589</v>
      </c>
      <c r="K1713" s="195">
        <v>46132.643807870372</v>
      </c>
      <c r="L1713">
        <v>60</v>
      </c>
      <c r="M1713">
        <v>0</v>
      </c>
      <c r="N1713" s="98" t="str">
        <f>IF(record[[#This Row],[Memo]]="Browser:chrome os:android","平板報工",IF(record[[#This Row],[Memo]]=0,"委外",record[[#This Row],[Memo]]))</f>
        <v/>
      </c>
      <c r="O1713" t="s">
        <v>58</v>
      </c>
      <c r="P1713" t="s">
        <v>141</v>
      </c>
      <c r="Q1713" t="s">
        <v>58</v>
      </c>
      <c r="R1713" t="str">
        <f>IFERROR(VLOOKUP(record[[#This Row],[PCUSTID]],廠商[],2,FALSE),"")</f>
        <v/>
      </c>
      <c r="S1713" t="str">
        <f>VLOOKUP(record[[#This Row],[employeeID]],員工[],2,FALSE)</f>
        <v>蔣梅</v>
      </c>
    </row>
    <row r="1714" spans="6:19" hidden="1" x14ac:dyDescent="0.25">
      <c r="F1714" t="s">
        <v>1790</v>
      </c>
      <c r="G1714" t="s">
        <v>378</v>
      </c>
      <c r="H1714" t="str">
        <f>VLOOKUP(record[[#This Row],[ProcessSN]],表格2_7[],2,FALSE)</f>
        <v>30-4118-018-4XX</v>
      </c>
      <c r="I1714" t="str">
        <f>VLOOKUP(record[[#This Row],[ProcessSN]],表格2_7[],3,FALSE)</f>
        <v>#07QC</v>
      </c>
      <c r="J1714" t="s">
        <v>589</v>
      </c>
      <c r="K1714" s="195">
        <v>46132.642708333333</v>
      </c>
      <c r="L1714">
        <v>0</v>
      </c>
      <c r="M1714">
        <v>-1</v>
      </c>
      <c r="N1714" s="98" t="str">
        <f>IF(record[[#This Row],[Memo]]="Browser:chrome os:android","平板報工",IF(record[[#This Row],[Memo]]=0,"委外",record[[#This Row],[Memo]]))</f>
        <v/>
      </c>
      <c r="O1714" t="s">
        <v>58</v>
      </c>
      <c r="P1714" t="s">
        <v>113</v>
      </c>
      <c r="Q1714" t="s">
        <v>58</v>
      </c>
      <c r="R1714" t="str">
        <f>IFERROR(VLOOKUP(record[[#This Row],[PCUSTID]],廠商[],2,FALSE),"")</f>
        <v/>
      </c>
      <c r="S1714" t="str">
        <f>VLOOKUP(record[[#This Row],[employeeID]],員工[],2,FALSE)</f>
        <v>王奕蓁</v>
      </c>
    </row>
    <row r="1715" spans="6:19" hidden="1" x14ac:dyDescent="0.25">
      <c r="F1715" t="s">
        <v>1790</v>
      </c>
      <c r="G1715" t="s">
        <v>378</v>
      </c>
      <c r="H1715" t="str">
        <f>VLOOKUP(record[[#This Row],[ProcessSN]],表格2_7[],2,FALSE)</f>
        <v>30-4118-018-4XX</v>
      </c>
      <c r="I1715" t="str">
        <f>VLOOKUP(record[[#This Row],[ProcessSN]],表格2_7[],3,FALSE)</f>
        <v>#07QC</v>
      </c>
      <c r="J1715" t="s">
        <v>589</v>
      </c>
      <c r="K1715" s="195">
        <v>46132.642685185187</v>
      </c>
      <c r="L1715">
        <v>14</v>
      </c>
      <c r="M1715">
        <v>0</v>
      </c>
      <c r="N1715" s="98" t="str">
        <f>IF(record[[#This Row],[Memo]]="Browser:chrome os:android","平板報工",IF(record[[#This Row],[Memo]]=0,"委外",record[[#This Row],[Memo]]))</f>
        <v/>
      </c>
      <c r="O1715" t="s">
        <v>58</v>
      </c>
      <c r="P1715" t="s">
        <v>99</v>
      </c>
      <c r="Q1715" t="s">
        <v>58</v>
      </c>
      <c r="R1715" t="str">
        <f>IFERROR(VLOOKUP(record[[#This Row],[PCUSTID]],廠商[],2,FALSE),"")</f>
        <v/>
      </c>
      <c r="S1715" t="str">
        <f>VLOOKUP(record[[#This Row],[employeeID]],員工[],2,FALSE)</f>
        <v>阮氏河</v>
      </c>
    </row>
    <row r="1716" spans="6:19" hidden="1" x14ac:dyDescent="0.25">
      <c r="F1716" t="s">
        <v>1637</v>
      </c>
      <c r="G1716" t="s">
        <v>451</v>
      </c>
      <c r="H1716" t="str">
        <f>VLOOKUP(record[[#This Row],[ProcessSN]],表格2_7[],2,FALSE)</f>
        <v>30-4118-018-6XX</v>
      </c>
      <c r="I1716" t="str">
        <f>VLOOKUP(record[[#This Row],[ProcessSN]],表格2_7[],3,FALSE)</f>
        <v>#07</v>
      </c>
      <c r="J1716" t="s">
        <v>588</v>
      </c>
      <c r="K1716" s="195">
        <v>46132.638483796298</v>
      </c>
      <c r="L1716">
        <v>24</v>
      </c>
      <c r="M1716">
        <v>0</v>
      </c>
      <c r="N1716" s="98" t="str">
        <f>IF(record[[#This Row],[Memo]]="Browser:chrome os:android","平板報工",IF(record[[#This Row],[Memo]]=0,"委外",record[[#This Row],[Memo]]))</f>
        <v>平板報工</v>
      </c>
      <c r="O1716" t="s">
        <v>643</v>
      </c>
      <c r="P1716" t="s">
        <v>785</v>
      </c>
      <c r="Q1716" t="s">
        <v>644</v>
      </c>
      <c r="R1716" t="str">
        <f>IFERROR(VLOOKUP(record[[#This Row],[PCUSTID]],廠商[],2,FALSE),"")</f>
        <v/>
      </c>
      <c r="S1716" t="str">
        <f>VLOOKUP(record[[#This Row],[employeeID]],員工[],2,FALSE)</f>
        <v>謝刻光</v>
      </c>
    </row>
    <row r="1717" spans="6:19" hidden="1" x14ac:dyDescent="0.25">
      <c r="F1717" t="s">
        <v>1652</v>
      </c>
      <c r="G1717" t="s">
        <v>451</v>
      </c>
      <c r="H1717" t="str">
        <f>VLOOKUP(record[[#This Row],[ProcessSN]],表格2_7[],2,FALSE)</f>
        <v>30-4118-018-6XX</v>
      </c>
      <c r="I1717" t="str">
        <f>VLOOKUP(record[[#This Row],[ProcessSN]],表格2_7[],3,FALSE)</f>
        <v>#07</v>
      </c>
      <c r="J1717" t="s">
        <v>588</v>
      </c>
      <c r="K1717" s="195">
        <v>46132.638067129628</v>
      </c>
      <c r="L1717">
        <v>157</v>
      </c>
      <c r="M1717">
        <v>0</v>
      </c>
      <c r="N1717" s="98" t="str">
        <f>IF(record[[#This Row],[Memo]]="Browser:chrome os:android","平板報工",IF(record[[#This Row],[Memo]]=0,"委外",record[[#This Row],[Memo]]))</f>
        <v>平板報工</v>
      </c>
      <c r="O1717" t="s">
        <v>643</v>
      </c>
      <c r="P1717" t="s">
        <v>785</v>
      </c>
      <c r="Q1717" t="s">
        <v>644</v>
      </c>
      <c r="R1717" t="str">
        <f>IFERROR(VLOOKUP(record[[#This Row],[PCUSTID]],廠商[],2,FALSE),"")</f>
        <v/>
      </c>
      <c r="S1717" t="str">
        <f>VLOOKUP(record[[#This Row],[employeeID]],員工[],2,FALSE)</f>
        <v>謝刻光</v>
      </c>
    </row>
    <row r="1718" spans="6:19" hidden="1" x14ac:dyDescent="0.25">
      <c r="F1718" t="s">
        <v>1637</v>
      </c>
      <c r="G1718" t="s">
        <v>453</v>
      </c>
      <c r="H1718" t="str">
        <f>VLOOKUP(record[[#This Row],[ProcessSN]],表格2_7[],2,FALSE)</f>
        <v>30-4118-018-6XX</v>
      </c>
      <c r="I1718" t="str">
        <f>VLOOKUP(record[[#This Row],[ProcessSN]],表格2_7[],3,FALSE)</f>
        <v>#07STOCK</v>
      </c>
      <c r="J1718" t="s">
        <v>592</v>
      </c>
      <c r="K1718" s="195">
        <v>46132.635694444441</v>
      </c>
      <c r="L1718">
        <v>75</v>
      </c>
      <c r="M1718">
        <v>0</v>
      </c>
      <c r="N1718" s="98" t="str">
        <f>IF(record[[#This Row],[Memo]]="Browser:chrome os:android","平板報工",IF(record[[#This Row],[Memo]]=0,"委外",record[[#This Row],[Memo]]))</f>
        <v/>
      </c>
      <c r="O1718" t="s">
        <v>58</v>
      </c>
      <c r="P1718" t="s">
        <v>186</v>
      </c>
      <c r="Q1718" t="s">
        <v>58</v>
      </c>
      <c r="R1718" t="str">
        <f>IFERROR(VLOOKUP(record[[#This Row],[PCUSTID]],廠商[],2,FALSE),"")</f>
        <v/>
      </c>
      <c r="S1718" t="str">
        <f>VLOOKUP(record[[#This Row],[employeeID]],員工[],2,FALSE)</f>
        <v>許文姍</v>
      </c>
    </row>
    <row r="1719" spans="6:19" hidden="1" x14ac:dyDescent="0.25">
      <c r="F1719" t="s">
        <v>1587</v>
      </c>
      <c r="G1719" t="s">
        <v>378</v>
      </c>
      <c r="H1719" t="str">
        <f>VLOOKUP(record[[#This Row],[ProcessSN]],表格2_7[],2,FALSE)</f>
        <v>30-4118-018-4XX</v>
      </c>
      <c r="I1719" t="str">
        <f>VLOOKUP(record[[#This Row],[ProcessSN]],表格2_7[],3,FALSE)</f>
        <v>#07QC</v>
      </c>
      <c r="J1719" t="s">
        <v>589</v>
      </c>
      <c r="K1719" s="195">
        <v>46132.635196759256</v>
      </c>
      <c r="L1719">
        <v>2</v>
      </c>
      <c r="M1719">
        <v>0</v>
      </c>
      <c r="N1719" s="98" t="str">
        <f>IF(record[[#This Row],[Memo]]="Browser:chrome os:android","平板報工",IF(record[[#This Row],[Memo]]=0,"委外",record[[#This Row],[Memo]]))</f>
        <v/>
      </c>
      <c r="O1719" t="s">
        <v>58</v>
      </c>
      <c r="P1719" t="s">
        <v>99</v>
      </c>
      <c r="Q1719" t="s">
        <v>58</v>
      </c>
      <c r="R1719" t="str">
        <f>IFERROR(VLOOKUP(record[[#This Row],[PCUSTID]],廠商[],2,FALSE),"")</f>
        <v/>
      </c>
      <c r="S1719" t="str">
        <f>VLOOKUP(record[[#This Row],[employeeID]],員工[],2,FALSE)</f>
        <v>阮氏河</v>
      </c>
    </row>
    <row r="1720" spans="6:19" hidden="1" x14ac:dyDescent="0.25">
      <c r="F1720" t="s">
        <v>1803</v>
      </c>
      <c r="G1720" t="s">
        <v>420</v>
      </c>
      <c r="H1720" t="str">
        <f>VLOOKUP(record[[#This Row],[ProcessSN]],表格2_7[],2,FALSE)</f>
        <v>30-4118-018-5XX</v>
      </c>
      <c r="I1720" t="str">
        <f>VLOOKUP(record[[#This Row],[ProcessSN]],表格2_7[],3,FALSE)</f>
        <v>#07STOCK</v>
      </c>
      <c r="J1720" t="s">
        <v>592</v>
      </c>
      <c r="K1720" s="195">
        <v>46132.63071759259</v>
      </c>
      <c r="L1720">
        <v>948</v>
      </c>
      <c r="M1720">
        <v>0</v>
      </c>
      <c r="N1720" s="98" t="str">
        <f>IF(record[[#This Row],[Memo]]="Browser:chrome os:android","平板報工",IF(record[[#This Row],[Memo]]=0,"委外",record[[#This Row],[Memo]]))</f>
        <v/>
      </c>
      <c r="O1720" t="s">
        <v>58</v>
      </c>
      <c r="P1720" t="s">
        <v>186</v>
      </c>
      <c r="Q1720" t="s">
        <v>58</v>
      </c>
      <c r="R1720" t="str">
        <f>IFERROR(VLOOKUP(record[[#This Row],[PCUSTID]],廠商[],2,FALSE),"")</f>
        <v/>
      </c>
      <c r="S1720" t="str">
        <f>VLOOKUP(record[[#This Row],[employeeID]],員工[],2,FALSE)</f>
        <v>許文姍</v>
      </c>
    </row>
    <row r="1721" spans="6:19" hidden="1" x14ac:dyDescent="0.25">
      <c r="F1721" t="s">
        <v>1782</v>
      </c>
      <c r="G1721" t="s">
        <v>420</v>
      </c>
      <c r="H1721" t="str">
        <f>VLOOKUP(record[[#This Row],[ProcessSN]],表格2_7[],2,FALSE)</f>
        <v>30-4118-018-5XX</v>
      </c>
      <c r="I1721" t="str">
        <f>VLOOKUP(record[[#This Row],[ProcessSN]],表格2_7[],3,FALSE)</f>
        <v>#07STOCK</v>
      </c>
      <c r="J1721" t="s">
        <v>592</v>
      </c>
      <c r="K1721" s="195">
        <v>46132.630532407406</v>
      </c>
      <c r="L1721">
        <v>34</v>
      </c>
      <c r="M1721">
        <v>0</v>
      </c>
      <c r="N1721" s="98" t="str">
        <f>IF(record[[#This Row],[Memo]]="Browser:chrome os:android","平板報工",IF(record[[#This Row],[Memo]]=0,"委外",record[[#This Row],[Memo]]))</f>
        <v/>
      </c>
      <c r="O1721" t="s">
        <v>58</v>
      </c>
      <c r="P1721" t="s">
        <v>186</v>
      </c>
      <c r="Q1721" t="s">
        <v>58</v>
      </c>
      <c r="R1721" t="str">
        <f>IFERROR(VLOOKUP(record[[#This Row],[PCUSTID]],廠商[],2,FALSE),"")</f>
        <v/>
      </c>
      <c r="S1721" t="str">
        <f>VLOOKUP(record[[#This Row],[employeeID]],員工[],2,FALSE)</f>
        <v>許文姍</v>
      </c>
    </row>
    <row r="1722" spans="6:19" hidden="1" x14ac:dyDescent="0.25">
      <c r="F1722" t="s">
        <v>1653</v>
      </c>
      <c r="G1722" t="s">
        <v>420</v>
      </c>
      <c r="H1722" t="str">
        <f>VLOOKUP(record[[#This Row],[ProcessSN]],表格2_7[],2,FALSE)</f>
        <v>30-4118-018-5XX</v>
      </c>
      <c r="I1722" t="str">
        <f>VLOOKUP(record[[#This Row],[ProcessSN]],表格2_7[],3,FALSE)</f>
        <v>#07STOCK</v>
      </c>
      <c r="J1722" t="s">
        <v>592</v>
      </c>
      <c r="K1722" s="195">
        <v>46132.630358796298</v>
      </c>
      <c r="L1722">
        <v>24</v>
      </c>
      <c r="M1722">
        <v>0</v>
      </c>
      <c r="N1722" s="98" t="str">
        <f>IF(record[[#This Row],[Memo]]="Browser:chrome os:android","平板報工",IF(record[[#This Row],[Memo]]=0,"委外",record[[#This Row],[Memo]]))</f>
        <v/>
      </c>
      <c r="O1722" t="s">
        <v>58</v>
      </c>
      <c r="P1722" t="s">
        <v>186</v>
      </c>
      <c r="Q1722" t="s">
        <v>58</v>
      </c>
      <c r="R1722" t="str">
        <f>IFERROR(VLOOKUP(record[[#This Row],[PCUSTID]],廠商[],2,FALSE),"")</f>
        <v/>
      </c>
      <c r="S1722" t="str">
        <f>VLOOKUP(record[[#This Row],[employeeID]],員工[],2,FALSE)</f>
        <v>許文姍</v>
      </c>
    </row>
    <row r="1723" spans="6:19" hidden="1" x14ac:dyDescent="0.25">
      <c r="F1723" t="s">
        <v>1790</v>
      </c>
      <c r="G1723" t="s">
        <v>379</v>
      </c>
      <c r="H1723" t="str">
        <f>VLOOKUP(record[[#This Row],[ProcessSN]],表格2_7[],2,FALSE)</f>
        <v>30-4118-018-4XX</v>
      </c>
      <c r="I1723" t="str">
        <f>VLOOKUP(record[[#This Row],[ProcessSN]],表格2_7[],3,FALSE)</f>
        <v>#07STOCK</v>
      </c>
      <c r="J1723" t="s">
        <v>592</v>
      </c>
      <c r="K1723" s="195">
        <v>46132.625439814816</v>
      </c>
      <c r="L1723">
        <v>121</v>
      </c>
      <c r="M1723">
        <v>0</v>
      </c>
      <c r="N1723" s="98" t="str">
        <f>IF(record[[#This Row],[Memo]]="Browser:chrome os:android","平板報工",IF(record[[#This Row],[Memo]]=0,"委外",record[[#This Row],[Memo]]))</f>
        <v/>
      </c>
      <c r="O1723" t="s">
        <v>58</v>
      </c>
      <c r="P1723" t="s">
        <v>186</v>
      </c>
      <c r="Q1723" t="s">
        <v>58</v>
      </c>
      <c r="R1723" t="str">
        <f>IFERROR(VLOOKUP(record[[#This Row],[PCUSTID]],廠商[],2,FALSE),"")</f>
        <v/>
      </c>
      <c r="S1723" t="str">
        <f>VLOOKUP(record[[#This Row],[employeeID]],員工[],2,FALSE)</f>
        <v>許文姍</v>
      </c>
    </row>
    <row r="1724" spans="6:19" hidden="1" x14ac:dyDescent="0.25">
      <c r="F1724" t="s">
        <v>1702</v>
      </c>
      <c r="G1724" t="s">
        <v>379</v>
      </c>
      <c r="H1724" t="str">
        <f>VLOOKUP(record[[#This Row],[ProcessSN]],表格2_7[],2,FALSE)</f>
        <v>30-4118-018-4XX</v>
      </c>
      <c r="I1724" t="str">
        <f>VLOOKUP(record[[#This Row],[ProcessSN]],表格2_7[],3,FALSE)</f>
        <v>#07STOCK</v>
      </c>
      <c r="J1724" t="s">
        <v>592</v>
      </c>
      <c r="K1724" s="195">
        <v>46132.625277777777</v>
      </c>
      <c r="L1724">
        <v>146</v>
      </c>
      <c r="M1724">
        <v>0</v>
      </c>
      <c r="N1724" s="98" t="str">
        <f>IF(record[[#This Row],[Memo]]="Browser:chrome os:android","平板報工",IF(record[[#This Row],[Memo]]=0,"委外",record[[#This Row],[Memo]]))</f>
        <v/>
      </c>
      <c r="O1724" t="s">
        <v>58</v>
      </c>
      <c r="P1724" t="s">
        <v>186</v>
      </c>
      <c r="Q1724" t="s">
        <v>58</v>
      </c>
      <c r="R1724" t="str">
        <f>IFERROR(VLOOKUP(record[[#This Row],[PCUSTID]],廠商[],2,FALSE),"")</f>
        <v/>
      </c>
      <c r="S1724" t="str">
        <f>VLOOKUP(record[[#This Row],[employeeID]],員工[],2,FALSE)</f>
        <v>許文姍</v>
      </c>
    </row>
    <row r="1725" spans="6:19" hidden="1" x14ac:dyDescent="0.25">
      <c r="F1725" t="s">
        <v>1841</v>
      </c>
      <c r="G1725" t="s">
        <v>422</v>
      </c>
      <c r="H1725" t="str">
        <f>VLOOKUP(record[[#This Row],[ProcessSN]],表格2_7[],2,FALSE)</f>
        <v>30-4118-018-600</v>
      </c>
      <c r="I1725" t="str">
        <f>VLOOKUP(record[[#This Row],[ProcessSN]],表格2_7[],3,FALSE)</f>
        <v>#08</v>
      </c>
      <c r="J1725" t="s">
        <v>597</v>
      </c>
      <c r="K1725" s="195">
        <v>46132.60664351852</v>
      </c>
      <c r="L1725">
        <v>75</v>
      </c>
      <c r="M1725">
        <v>0</v>
      </c>
      <c r="N1725" s="98" t="str">
        <f>IF(record[[#This Row],[Memo]]="Browser:chrome os:android","平板報工",IF(record[[#This Row],[Memo]]=0,"委外",record[[#This Row],[Memo]]))</f>
        <v>委外</v>
      </c>
      <c r="P1725" t="s">
        <v>186</v>
      </c>
      <c r="Q1725" t="s">
        <v>287</v>
      </c>
      <c r="R1725" t="str">
        <f>IFERROR(VLOOKUP(record[[#This Row],[PCUSTID]],廠商[],2,FALSE),"")</f>
        <v>泉盛</v>
      </c>
      <c r="S1725" t="str">
        <f>VLOOKUP(record[[#This Row],[employeeID]],員工[],2,FALSE)</f>
        <v>許文姍</v>
      </c>
    </row>
    <row r="1726" spans="6:19" hidden="1" x14ac:dyDescent="0.25">
      <c r="F1726" t="s">
        <v>1841</v>
      </c>
      <c r="G1726" t="s">
        <v>421</v>
      </c>
      <c r="H1726" t="str">
        <f>VLOOKUP(record[[#This Row],[ProcessSN]],表格2_7[],2,FALSE)</f>
        <v>30-4118-018-600</v>
      </c>
      <c r="I1726" t="str">
        <f>VLOOKUP(record[[#This Row],[ProcessSN]],表格2_7[],3,FALSE)</f>
        <v>#08PICK</v>
      </c>
      <c r="J1726" t="s">
        <v>582</v>
      </c>
      <c r="K1726" s="195">
        <v>46132.606469907405</v>
      </c>
      <c r="L1726">
        <v>75</v>
      </c>
      <c r="M1726">
        <v>0</v>
      </c>
      <c r="N1726" s="98" t="str">
        <f>IF(record[[#This Row],[Memo]]="Browser:chrome os:android","平板報工",IF(record[[#This Row],[Memo]]=0,"委外",record[[#This Row],[Memo]]))</f>
        <v/>
      </c>
      <c r="O1726" t="s">
        <v>58</v>
      </c>
      <c r="P1726" t="s">
        <v>186</v>
      </c>
      <c r="Q1726" t="s">
        <v>58</v>
      </c>
      <c r="R1726" t="str">
        <f>IFERROR(VLOOKUP(record[[#This Row],[PCUSTID]],廠商[],2,FALSE),"")</f>
        <v/>
      </c>
      <c r="S1726" t="str">
        <f>VLOOKUP(record[[#This Row],[employeeID]],員工[],2,FALSE)</f>
        <v>許文姍</v>
      </c>
    </row>
    <row r="1727" spans="6:19" hidden="1" x14ac:dyDescent="0.25">
      <c r="F1727" t="s">
        <v>1637</v>
      </c>
      <c r="G1727" t="s">
        <v>452</v>
      </c>
      <c r="H1727" t="str">
        <f>VLOOKUP(record[[#This Row],[ProcessSN]],表格2_7[],2,FALSE)</f>
        <v>30-4118-018-6XX</v>
      </c>
      <c r="I1727" t="str">
        <f>VLOOKUP(record[[#This Row],[ProcessSN]],表格2_7[],3,FALSE)</f>
        <v>#07QC</v>
      </c>
      <c r="J1727" t="s">
        <v>589</v>
      </c>
      <c r="K1727" s="195">
        <v>46132.604618055557</v>
      </c>
      <c r="L1727">
        <v>75</v>
      </c>
      <c r="M1727">
        <v>0</v>
      </c>
      <c r="N1727" s="98" t="str">
        <f>IF(record[[#This Row],[Memo]]="Browser:chrome os:android","平板報工",IF(record[[#This Row],[Memo]]=0,"委外",record[[#This Row],[Memo]]))</f>
        <v/>
      </c>
      <c r="O1727" t="s">
        <v>58</v>
      </c>
      <c r="P1727" t="s">
        <v>99</v>
      </c>
      <c r="Q1727" t="s">
        <v>58</v>
      </c>
      <c r="R1727" t="str">
        <f>IFERROR(VLOOKUP(record[[#This Row],[PCUSTID]],廠商[],2,FALSE),"")</f>
        <v/>
      </c>
      <c r="S1727" t="str">
        <f>VLOOKUP(record[[#This Row],[employeeID]],員工[],2,FALSE)</f>
        <v>阮氏河</v>
      </c>
    </row>
    <row r="1728" spans="6:19" hidden="1" x14ac:dyDescent="0.25">
      <c r="F1728" t="s">
        <v>1840</v>
      </c>
      <c r="G1728" t="s">
        <v>356</v>
      </c>
      <c r="H1728" t="str">
        <f>VLOOKUP(record[[#This Row],[ProcessSN]],表格2_7[],2,FALSE)</f>
        <v>30-4118-018-450</v>
      </c>
      <c r="I1728" t="str">
        <f>VLOOKUP(record[[#This Row],[ProcessSN]],表格2_7[],3,FALSE)</f>
        <v>#08</v>
      </c>
      <c r="J1728" t="s">
        <v>597</v>
      </c>
      <c r="K1728" s="195">
        <v>46132.598854166667</v>
      </c>
      <c r="L1728">
        <v>267</v>
      </c>
      <c r="M1728">
        <v>0</v>
      </c>
      <c r="N1728" s="98" t="str">
        <f>IF(record[[#This Row],[Memo]]="Browser:chrome os:android","平板報工",IF(record[[#This Row],[Memo]]=0,"委外",record[[#This Row],[Memo]]))</f>
        <v>委外</v>
      </c>
      <c r="P1728" t="s">
        <v>186</v>
      </c>
      <c r="Q1728" t="s">
        <v>287</v>
      </c>
      <c r="R1728" t="str">
        <f>IFERROR(VLOOKUP(record[[#This Row],[PCUSTID]],廠商[],2,FALSE),"")</f>
        <v>泉盛</v>
      </c>
      <c r="S1728" t="str">
        <f>VLOOKUP(record[[#This Row],[employeeID]],員工[],2,FALSE)</f>
        <v>許文姍</v>
      </c>
    </row>
    <row r="1729" spans="6:19" hidden="1" x14ac:dyDescent="0.25">
      <c r="F1729" t="s">
        <v>1840</v>
      </c>
      <c r="G1729" t="s">
        <v>355</v>
      </c>
      <c r="H1729" t="str">
        <f>VLOOKUP(record[[#This Row],[ProcessSN]],表格2_7[],2,FALSE)</f>
        <v>30-4118-018-450</v>
      </c>
      <c r="I1729" t="str">
        <f>VLOOKUP(record[[#This Row],[ProcessSN]],表格2_7[],3,FALSE)</f>
        <v>#08PICK</v>
      </c>
      <c r="J1729" t="s">
        <v>582</v>
      </c>
      <c r="K1729" s="195">
        <v>46132.598587962966</v>
      </c>
      <c r="L1729">
        <v>267</v>
      </c>
      <c r="M1729">
        <v>0</v>
      </c>
      <c r="N1729" s="98" t="str">
        <f>IF(record[[#This Row],[Memo]]="Browser:chrome os:android","平板報工",IF(record[[#This Row],[Memo]]=0,"委外",record[[#This Row],[Memo]]))</f>
        <v/>
      </c>
      <c r="O1729" t="s">
        <v>58</v>
      </c>
      <c r="P1729" t="s">
        <v>186</v>
      </c>
      <c r="Q1729" t="s">
        <v>58</v>
      </c>
      <c r="R1729" t="str">
        <f>IFERROR(VLOOKUP(record[[#This Row],[PCUSTID]],廠商[],2,FALSE),"")</f>
        <v/>
      </c>
      <c r="S1729" t="str">
        <f>VLOOKUP(record[[#This Row],[employeeID]],員工[],2,FALSE)</f>
        <v>許文姍</v>
      </c>
    </row>
    <row r="1730" spans="6:19" hidden="1" x14ac:dyDescent="0.25">
      <c r="F1730" t="s">
        <v>1803</v>
      </c>
      <c r="G1730" t="s">
        <v>419</v>
      </c>
      <c r="H1730" t="str">
        <f>VLOOKUP(record[[#This Row],[ProcessSN]],表格2_7[],2,FALSE)</f>
        <v>30-4118-018-5XX</v>
      </c>
      <c r="I1730" t="str">
        <f>VLOOKUP(record[[#This Row],[ProcessSN]],表格2_7[],3,FALSE)</f>
        <v>#07QC</v>
      </c>
      <c r="J1730" t="s">
        <v>589</v>
      </c>
      <c r="K1730" s="195">
        <v>46132.597013888888</v>
      </c>
      <c r="L1730">
        <v>600</v>
      </c>
      <c r="M1730">
        <v>0</v>
      </c>
      <c r="N1730" s="98" t="str">
        <f>IF(record[[#This Row],[Memo]]="Browser:chrome os:android","平板報工",IF(record[[#This Row],[Memo]]=0,"委外",record[[#This Row],[Memo]]))</f>
        <v/>
      </c>
      <c r="O1730" t="s">
        <v>58</v>
      </c>
      <c r="P1730" t="s">
        <v>141</v>
      </c>
      <c r="Q1730" t="s">
        <v>58</v>
      </c>
      <c r="R1730" t="str">
        <f>IFERROR(VLOOKUP(record[[#This Row],[PCUSTID]],廠商[],2,FALSE),"")</f>
        <v/>
      </c>
      <c r="S1730" t="str">
        <f>VLOOKUP(record[[#This Row],[employeeID]],員工[],2,FALSE)</f>
        <v>蔣梅</v>
      </c>
    </row>
    <row r="1731" spans="6:19" hidden="1" x14ac:dyDescent="0.25">
      <c r="F1731" t="s">
        <v>1839</v>
      </c>
      <c r="G1731" t="s">
        <v>381</v>
      </c>
      <c r="H1731" t="str">
        <f>VLOOKUP(record[[#This Row],[ProcessSN]],表格2_7[],2,FALSE)</f>
        <v>30-4118-018-500</v>
      </c>
      <c r="I1731" t="str">
        <f>VLOOKUP(record[[#This Row],[ProcessSN]],表格2_7[],3,FALSE)</f>
        <v>#08</v>
      </c>
      <c r="J1731" t="s">
        <v>597</v>
      </c>
      <c r="K1731" s="195">
        <v>46132.595312500001</v>
      </c>
      <c r="L1731">
        <v>600</v>
      </c>
      <c r="M1731">
        <v>0</v>
      </c>
      <c r="N1731" s="98" t="str">
        <f>IF(record[[#This Row],[Memo]]="Browser:chrome os:android","平板報工",IF(record[[#This Row],[Memo]]=0,"委外",record[[#This Row],[Memo]]))</f>
        <v>委外</v>
      </c>
      <c r="P1731" t="s">
        <v>186</v>
      </c>
      <c r="Q1731" t="s">
        <v>287</v>
      </c>
      <c r="R1731" t="str">
        <f>IFERROR(VLOOKUP(record[[#This Row],[PCUSTID]],廠商[],2,FALSE),"")</f>
        <v>泉盛</v>
      </c>
      <c r="S1731" t="str">
        <f>VLOOKUP(record[[#This Row],[employeeID]],員工[],2,FALSE)</f>
        <v>許文姍</v>
      </c>
    </row>
    <row r="1732" spans="6:19" hidden="1" x14ac:dyDescent="0.25">
      <c r="F1732" t="s">
        <v>1838</v>
      </c>
      <c r="G1732" t="s">
        <v>397</v>
      </c>
      <c r="H1732" t="str">
        <f>VLOOKUP(record[[#This Row],[ProcessSN]],表格2_7[],2,FALSE)</f>
        <v>30-4118-018-550</v>
      </c>
      <c r="I1732" t="str">
        <f>VLOOKUP(record[[#This Row],[ProcessSN]],表格2_7[],3,FALSE)</f>
        <v>#08</v>
      </c>
      <c r="J1732" t="s">
        <v>597</v>
      </c>
      <c r="K1732" s="195">
        <v>46132.595069444447</v>
      </c>
      <c r="L1732">
        <v>406</v>
      </c>
      <c r="M1732">
        <v>0</v>
      </c>
      <c r="N1732" s="98" t="str">
        <f>IF(record[[#This Row],[Memo]]="Browser:chrome os:android","平板報工",IF(record[[#This Row],[Memo]]=0,"委外",record[[#This Row],[Memo]]))</f>
        <v>委外</v>
      </c>
      <c r="P1732" t="s">
        <v>186</v>
      </c>
      <c r="Q1732" t="s">
        <v>287</v>
      </c>
      <c r="R1732" t="str">
        <f>IFERROR(VLOOKUP(record[[#This Row],[PCUSTID]],廠商[],2,FALSE),"")</f>
        <v>泉盛</v>
      </c>
      <c r="S1732" t="str">
        <f>VLOOKUP(record[[#This Row],[employeeID]],員工[],2,FALSE)</f>
        <v>許文姍</v>
      </c>
    </row>
    <row r="1733" spans="6:19" hidden="1" x14ac:dyDescent="0.25">
      <c r="F1733" t="s">
        <v>1790</v>
      </c>
      <c r="G1733" t="s">
        <v>378</v>
      </c>
      <c r="H1733" t="str">
        <f>VLOOKUP(record[[#This Row],[ProcessSN]],表格2_7[],2,FALSE)</f>
        <v>30-4118-018-4XX</v>
      </c>
      <c r="I1733" t="str">
        <f>VLOOKUP(record[[#This Row],[ProcessSN]],表格2_7[],3,FALSE)</f>
        <v>#07QC</v>
      </c>
      <c r="J1733" t="s">
        <v>589</v>
      </c>
      <c r="K1733" s="195">
        <v>46132.595034722224</v>
      </c>
      <c r="L1733">
        <v>121</v>
      </c>
      <c r="M1733">
        <v>0</v>
      </c>
      <c r="N1733" s="98" t="str">
        <f>IF(record[[#This Row],[Memo]]="Browser:chrome os:android","平板報工",IF(record[[#This Row],[Memo]]=0,"委外",record[[#This Row],[Memo]]))</f>
        <v/>
      </c>
      <c r="O1733" t="s">
        <v>58</v>
      </c>
      <c r="P1733" t="s">
        <v>99</v>
      </c>
      <c r="Q1733" t="s">
        <v>58</v>
      </c>
      <c r="R1733" t="str">
        <f>IFERROR(VLOOKUP(record[[#This Row],[PCUSTID]],廠商[],2,FALSE),"")</f>
        <v/>
      </c>
      <c r="S1733" t="str">
        <f>VLOOKUP(record[[#This Row],[employeeID]],員工[],2,FALSE)</f>
        <v>阮氏河</v>
      </c>
    </row>
    <row r="1734" spans="6:19" hidden="1" x14ac:dyDescent="0.25">
      <c r="F1734" t="s">
        <v>1839</v>
      </c>
      <c r="G1734" t="s">
        <v>380</v>
      </c>
      <c r="H1734" t="str">
        <f>VLOOKUP(record[[#This Row],[ProcessSN]],表格2_7[],2,FALSE)</f>
        <v>30-4118-018-500</v>
      </c>
      <c r="I1734" t="str">
        <f>VLOOKUP(record[[#This Row],[ProcessSN]],表格2_7[],3,FALSE)</f>
        <v>#08PICK</v>
      </c>
      <c r="J1734" t="s">
        <v>582</v>
      </c>
      <c r="K1734" s="195">
        <v>46132.594699074078</v>
      </c>
      <c r="L1734">
        <v>600</v>
      </c>
      <c r="M1734">
        <v>0</v>
      </c>
      <c r="N1734" s="98" t="str">
        <f>IF(record[[#This Row],[Memo]]="Browser:chrome os:android","平板報工",IF(record[[#This Row],[Memo]]=0,"委外",record[[#This Row],[Memo]]))</f>
        <v/>
      </c>
      <c r="O1734" t="s">
        <v>58</v>
      </c>
      <c r="P1734" t="s">
        <v>186</v>
      </c>
      <c r="Q1734" t="s">
        <v>58</v>
      </c>
      <c r="R1734" t="str">
        <f>IFERROR(VLOOKUP(record[[#This Row],[PCUSTID]],廠商[],2,FALSE),"")</f>
        <v/>
      </c>
      <c r="S1734" t="str">
        <f>VLOOKUP(record[[#This Row],[employeeID]],員工[],2,FALSE)</f>
        <v>許文姍</v>
      </c>
    </row>
    <row r="1735" spans="6:19" hidden="1" x14ac:dyDescent="0.25">
      <c r="F1735" t="s">
        <v>1702</v>
      </c>
      <c r="G1735" t="s">
        <v>378</v>
      </c>
      <c r="H1735" t="str">
        <f>VLOOKUP(record[[#This Row],[ProcessSN]],表格2_7[],2,FALSE)</f>
        <v>30-4118-018-4XX</v>
      </c>
      <c r="I1735" t="str">
        <f>VLOOKUP(record[[#This Row],[ProcessSN]],表格2_7[],3,FALSE)</f>
        <v>#07QC</v>
      </c>
      <c r="J1735" t="s">
        <v>589</v>
      </c>
      <c r="K1735" s="195">
        <v>46132.594537037039</v>
      </c>
      <c r="L1735">
        <v>146</v>
      </c>
      <c r="M1735">
        <v>0</v>
      </c>
      <c r="N1735" s="98" t="str">
        <f>IF(record[[#This Row],[Memo]]="Browser:chrome os:android","平板報工",IF(record[[#This Row],[Memo]]=0,"委外",record[[#This Row],[Memo]]))</f>
        <v/>
      </c>
      <c r="O1735" t="s">
        <v>58</v>
      </c>
      <c r="P1735" t="s">
        <v>99</v>
      </c>
      <c r="Q1735" t="s">
        <v>58</v>
      </c>
      <c r="R1735" t="str">
        <f>IFERROR(VLOOKUP(record[[#This Row],[PCUSTID]],廠商[],2,FALSE),"")</f>
        <v/>
      </c>
      <c r="S1735" t="str">
        <f>VLOOKUP(record[[#This Row],[employeeID]],員工[],2,FALSE)</f>
        <v>阮氏河</v>
      </c>
    </row>
    <row r="1736" spans="6:19" hidden="1" x14ac:dyDescent="0.25">
      <c r="F1736" t="s">
        <v>1838</v>
      </c>
      <c r="G1736" t="s">
        <v>396</v>
      </c>
      <c r="H1736" t="str">
        <f>VLOOKUP(record[[#This Row],[ProcessSN]],表格2_7[],2,FALSE)</f>
        <v>30-4118-018-550</v>
      </c>
      <c r="I1736" t="str">
        <f>VLOOKUP(record[[#This Row],[ProcessSN]],表格2_7[],3,FALSE)</f>
        <v>#08PICK</v>
      </c>
      <c r="J1736" t="s">
        <v>582</v>
      </c>
      <c r="K1736" s="195">
        <v>46132.568240740744</v>
      </c>
      <c r="L1736">
        <v>406</v>
      </c>
      <c r="M1736">
        <v>0</v>
      </c>
      <c r="N1736" s="98" t="str">
        <f>IF(record[[#This Row],[Memo]]="Browser:chrome os:android","平板報工",IF(record[[#This Row],[Memo]]=0,"委外",record[[#This Row],[Memo]]))</f>
        <v/>
      </c>
      <c r="O1736" t="s">
        <v>58</v>
      </c>
      <c r="P1736" t="s">
        <v>186</v>
      </c>
      <c r="Q1736" t="s">
        <v>58</v>
      </c>
      <c r="R1736" t="str">
        <f>IFERROR(VLOOKUP(record[[#This Row],[PCUSTID]],廠商[],2,FALSE),"")</f>
        <v/>
      </c>
      <c r="S1736" t="str">
        <f>VLOOKUP(record[[#This Row],[employeeID]],員工[],2,FALSE)</f>
        <v>許文姍</v>
      </c>
    </row>
    <row r="1737" spans="6:19" hidden="1" x14ac:dyDescent="0.25">
      <c r="F1737" t="s">
        <v>1787</v>
      </c>
      <c r="G1737" t="s">
        <v>471</v>
      </c>
      <c r="H1737" t="str">
        <f>VLOOKUP(record[[#This Row],[ProcessSN]],表格2_7[],2,FALSE)</f>
        <v>30-4118-018-XXX</v>
      </c>
      <c r="I1737" t="str">
        <f>VLOOKUP(record[[#This Row],[ProcessSN]],表格2_7[],3,FALSE)</f>
        <v>#02STOCK</v>
      </c>
      <c r="J1737" t="s">
        <v>592</v>
      </c>
      <c r="K1737" s="195">
        <v>46132.54478009259</v>
      </c>
      <c r="L1737">
        <v>658</v>
      </c>
      <c r="M1737">
        <v>0</v>
      </c>
      <c r="N1737" s="98" t="str">
        <f>IF(record[[#This Row],[Memo]]="Browser:chrome os:android","平板報工",IF(record[[#This Row],[Memo]]=0,"委外",record[[#This Row],[Memo]]))</f>
        <v/>
      </c>
      <c r="O1737" t="s">
        <v>58</v>
      </c>
      <c r="P1737" t="s">
        <v>186</v>
      </c>
      <c r="Q1737" t="s">
        <v>58</v>
      </c>
      <c r="R1737" t="str">
        <f>IFERROR(VLOOKUP(record[[#This Row],[PCUSTID]],廠商[],2,FALSE),"")</f>
        <v/>
      </c>
      <c r="S1737" t="str">
        <f>VLOOKUP(record[[#This Row],[employeeID]],員工[],2,FALSE)</f>
        <v>許文姍</v>
      </c>
    </row>
    <row r="1738" spans="6:19" hidden="1" x14ac:dyDescent="0.25">
      <c r="F1738" t="s">
        <v>1639</v>
      </c>
      <c r="G1738" t="s">
        <v>428</v>
      </c>
      <c r="H1738" t="str">
        <f>VLOOKUP(record[[#This Row],[ProcessSN]],表格2_7[],2,FALSE)</f>
        <v>30-4118-018-600</v>
      </c>
      <c r="I1738" t="str">
        <f>VLOOKUP(record[[#This Row],[ProcessSN]],表格2_7[],3,FALSE)</f>
        <v>#100SHIP</v>
      </c>
      <c r="J1738" t="s">
        <v>600</v>
      </c>
      <c r="K1738" s="195">
        <v>46132.470555555556</v>
      </c>
      <c r="L1738">
        <v>3</v>
      </c>
      <c r="M1738">
        <v>0</v>
      </c>
      <c r="N1738" s="98" t="str">
        <f>IF(record[[#This Row],[Memo]]="Browser:chrome os:android","平板報工",IF(record[[#This Row],[Memo]]=0,"委外",record[[#This Row],[Memo]]))</f>
        <v>1.5露白出組裝</v>
      </c>
      <c r="O1738" t="s">
        <v>1836</v>
      </c>
      <c r="P1738" t="s">
        <v>886</v>
      </c>
      <c r="Q1738" t="s">
        <v>58</v>
      </c>
      <c r="R1738" t="str">
        <f>IFERROR(VLOOKUP(record[[#This Row],[PCUSTID]],廠商[],2,FALSE),"")</f>
        <v/>
      </c>
      <c r="S1738" t="str">
        <f>VLOOKUP(record[[#This Row],[employeeID]],員工[],2,FALSE)</f>
        <v>謝蓁薰</v>
      </c>
    </row>
    <row r="1739" spans="6:19" hidden="1" x14ac:dyDescent="0.25">
      <c r="F1739" t="s">
        <v>1639</v>
      </c>
      <c r="G1739" t="s">
        <v>427</v>
      </c>
      <c r="H1739" t="str">
        <f>VLOOKUP(record[[#This Row],[ProcessSN]],表格2_7[],2,FALSE)</f>
        <v>30-4118-018-600</v>
      </c>
      <c r="I1739" t="str">
        <f>VLOOKUP(record[[#This Row],[ProcessSN]],表格2_7[],3,FALSE)</f>
        <v>#100STOCK</v>
      </c>
      <c r="J1739" t="s">
        <v>592</v>
      </c>
      <c r="K1739" s="195">
        <v>46132.470324074071</v>
      </c>
      <c r="L1739">
        <v>3</v>
      </c>
      <c r="M1739">
        <v>0</v>
      </c>
      <c r="N1739" s="98" t="str">
        <f>IF(record[[#This Row],[Memo]]="Browser:chrome os:android","平板報工",IF(record[[#This Row],[Memo]]=0,"委外",record[[#This Row],[Memo]]))</f>
        <v/>
      </c>
      <c r="O1739" t="s">
        <v>58</v>
      </c>
      <c r="P1739" t="s">
        <v>886</v>
      </c>
      <c r="Q1739" t="s">
        <v>58</v>
      </c>
      <c r="R1739" t="str">
        <f>IFERROR(VLOOKUP(record[[#This Row],[PCUSTID]],廠商[],2,FALSE),"")</f>
        <v/>
      </c>
      <c r="S1739" t="str">
        <f>VLOOKUP(record[[#This Row],[employeeID]],員工[],2,FALSE)</f>
        <v>謝蓁薰</v>
      </c>
    </row>
    <row r="1740" spans="6:19" hidden="1" x14ac:dyDescent="0.25">
      <c r="F1740" t="s">
        <v>1639</v>
      </c>
      <c r="G1740" t="s">
        <v>426</v>
      </c>
      <c r="H1740" t="str">
        <f>VLOOKUP(record[[#This Row],[ProcessSN]],表格2_7[],2,FALSE)</f>
        <v>30-4118-018-600</v>
      </c>
      <c r="I1740" t="str">
        <f>VLOOKUP(record[[#This Row],[ProcessSN]],表格2_7[],3,FALSE)</f>
        <v>#100OQC</v>
      </c>
      <c r="J1740" t="s">
        <v>599</v>
      </c>
      <c r="K1740" s="195">
        <v>46132.470219907409</v>
      </c>
      <c r="L1740">
        <v>3</v>
      </c>
      <c r="M1740">
        <v>0</v>
      </c>
      <c r="N1740" s="98" t="str">
        <f>IF(record[[#This Row],[Memo]]="Browser:chrome os:android","平板報工",IF(record[[#This Row],[Memo]]=0,"委外",record[[#This Row],[Memo]]))</f>
        <v>1.5露白</v>
      </c>
      <c r="O1740" t="s">
        <v>1827</v>
      </c>
      <c r="P1740" t="s">
        <v>886</v>
      </c>
      <c r="Q1740" t="s">
        <v>58</v>
      </c>
      <c r="R1740" t="str">
        <f>IFERROR(VLOOKUP(record[[#This Row],[PCUSTID]],廠商[],2,FALSE),"")</f>
        <v/>
      </c>
      <c r="S1740" t="str">
        <f>VLOOKUP(record[[#This Row],[employeeID]],員工[],2,FALSE)</f>
        <v>謝蓁薰</v>
      </c>
    </row>
    <row r="1741" spans="6:19" hidden="1" x14ac:dyDescent="0.25">
      <c r="F1741" t="s">
        <v>1639</v>
      </c>
      <c r="G1741" t="s">
        <v>425</v>
      </c>
      <c r="H1741" t="str">
        <f>VLOOKUP(record[[#This Row],[ProcessSN]],表格2_7[],2,FALSE)</f>
        <v>30-4118-018-600</v>
      </c>
      <c r="I1741" t="str">
        <f>VLOOKUP(record[[#This Row],[ProcessSN]],表格2_7[],3,FALSE)</f>
        <v>#100</v>
      </c>
      <c r="J1741" t="s">
        <v>598</v>
      </c>
      <c r="K1741" s="195">
        <v>46132.470069444447</v>
      </c>
      <c r="L1741">
        <v>3</v>
      </c>
      <c r="M1741">
        <v>0</v>
      </c>
      <c r="N1741" s="98" t="str">
        <f>IF(record[[#This Row],[Memo]]="Browser:chrome os:android","平板報工",IF(record[[#This Row],[Memo]]=0,"委外",record[[#This Row],[Memo]]))</f>
        <v>1.5露白</v>
      </c>
      <c r="O1741" t="s">
        <v>1827</v>
      </c>
      <c r="P1741" t="s">
        <v>886</v>
      </c>
      <c r="Q1741" t="s">
        <v>58</v>
      </c>
      <c r="R1741" t="str">
        <f>IFERROR(VLOOKUP(record[[#This Row],[PCUSTID]],廠商[],2,FALSE),"")</f>
        <v/>
      </c>
      <c r="S1741" t="str">
        <f>VLOOKUP(record[[#This Row],[employeeID]],員工[],2,FALSE)</f>
        <v>謝蓁薰</v>
      </c>
    </row>
    <row r="1742" spans="6:19" hidden="1" x14ac:dyDescent="0.25">
      <c r="F1742" t="s">
        <v>1639</v>
      </c>
      <c r="G1742" t="s">
        <v>425</v>
      </c>
      <c r="H1742" t="str">
        <f>VLOOKUP(record[[#This Row],[ProcessSN]],表格2_7[],2,FALSE)</f>
        <v>30-4118-018-600</v>
      </c>
      <c r="I1742" t="str">
        <f>VLOOKUP(record[[#This Row],[ProcessSN]],表格2_7[],3,FALSE)</f>
        <v>#100</v>
      </c>
      <c r="J1742" t="s">
        <v>598</v>
      </c>
      <c r="K1742" s="195">
        <v>46132.469930555555</v>
      </c>
      <c r="L1742">
        <v>0</v>
      </c>
      <c r="M1742">
        <v>-3</v>
      </c>
      <c r="N1742" s="98" t="str">
        <f>IF(record[[#This Row],[Memo]]="Browser:chrome os:android","平板報工",IF(record[[#This Row],[Memo]]=0,"委外",record[[#This Row],[Memo]]))</f>
        <v>1.5露白</v>
      </c>
      <c r="O1742" t="s">
        <v>1827</v>
      </c>
      <c r="P1742" t="s">
        <v>886</v>
      </c>
      <c r="Q1742" t="s">
        <v>58</v>
      </c>
      <c r="R1742" t="str">
        <f>IFERROR(VLOOKUP(record[[#This Row],[PCUSTID]],廠商[],2,FALSE),"")</f>
        <v/>
      </c>
      <c r="S1742" t="str">
        <f>VLOOKUP(record[[#This Row],[employeeID]],員工[],2,FALSE)</f>
        <v>謝蓁薰</v>
      </c>
    </row>
    <row r="1743" spans="6:19" hidden="1" x14ac:dyDescent="0.25">
      <c r="F1743" t="s">
        <v>1794</v>
      </c>
      <c r="G1743" t="s">
        <v>417</v>
      </c>
      <c r="H1743" t="str">
        <f>VLOOKUP(record[[#This Row],[ProcessSN]],表格2_7[],2,FALSE)</f>
        <v>30-4118-018-5XX</v>
      </c>
      <c r="I1743" t="str">
        <f>VLOOKUP(record[[#This Row],[ProcessSN]],表格2_7[],3,FALSE)</f>
        <v>#06</v>
      </c>
      <c r="J1743" t="s">
        <v>593</v>
      </c>
      <c r="K1743" s="195">
        <v>46132.428437499999</v>
      </c>
      <c r="L1743">
        <v>80</v>
      </c>
      <c r="M1743">
        <v>0</v>
      </c>
      <c r="N1743" s="98" t="str">
        <f>IF(record[[#This Row],[Memo]]="Browser:chrome os:android","平板報工",IF(record[[#This Row],[Memo]]=0,"委外",record[[#This Row],[Memo]]))</f>
        <v>4/18</v>
      </c>
      <c r="O1743" t="s">
        <v>1837</v>
      </c>
      <c r="P1743" t="s">
        <v>101</v>
      </c>
      <c r="Q1743" t="s">
        <v>58</v>
      </c>
      <c r="R1743" t="str">
        <f>IFERROR(VLOOKUP(record[[#This Row],[PCUSTID]],廠商[],2,FALSE),"")</f>
        <v/>
      </c>
      <c r="S1743" t="str">
        <f>VLOOKUP(record[[#This Row],[employeeID]],員工[],2,FALSE)</f>
        <v>陳氏絨</v>
      </c>
    </row>
    <row r="1744" spans="6:19" hidden="1" x14ac:dyDescent="0.25">
      <c r="F1744" t="s">
        <v>1794</v>
      </c>
      <c r="G1744" t="s">
        <v>416</v>
      </c>
      <c r="H1744" t="str">
        <f>VLOOKUP(record[[#This Row],[ProcessSN]],表格2_7[],2,FALSE)</f>
        <v>30-4118-018-5XX</v>
      </c>
      <c r="I1744" t="str">
        <f>VLOOKUP(record[[#This Row],[ProcessSN]],表格2_7[],3,FALSE)</f>
        <v>#05</v>
      </c>
      <c r="J1744" t="s">
        <v>588</v>
      </c>
      <c r="K1744" s="195">
        <v>46132.428090277775</v>
      </c>
      <c r="L1744">
        <v>118</v>
      </c>
      <c r="M1744">
        <v>0</v>
      </c>
      <c r="N1744" s="98" t="str">
        <f>IF(record[[#This Row],[Memo]]="Browser:chrome os:android","平板報工",IF(record[[#This Row],[Memo]]=0,"委外",record[[#This Row],[Memo]]))</f>
        <v>4/18</v>
      </c>
      <c r="O1744" t="s">
        <v>1837</v>
      </c>
      <c r="P1744" t="s">
        <v>101</v>
      </c>
      <c r="Q1744" t="s">
        <v>58</v>
      </c>
      <c r="R1744" t="str">
        <f>IFERROR(VLOOKUP(record[[#This Row],[PCUSTID]],廠商[],2,FALSE),"")</f>
        <v/>
      </c>
      <c r="S1744" t="str">
        <f>VLOOKUP(record[[#This Row],[employeeID]],員工[],2,FALSE)</f>
        <v>陳氏絨</v>
      </c>
    </row>
    <row r="1745" spans="6:19" hidden="1" x14ac:dyDescent="0.25">
      <c r="F1745" t="s">
        <v>1794</v>
      </c>
      <c r="G1745" t="s">
        <v>415</v>
      </c>
      <c r="H1745" t="str">
        <f>VLOOKUP(record[[#This Row],[ProcessSN]],表格2_7[],2,FALSE)</f>
        <v>30-4118-018-5XX</v>
      </c>
      <c r="I1745" t="str">
        <f>VLOOKUP(record[[#This Row],[ProcessSN]],表格2_7[],3,FALSE)</f>
        <v>#04</v>
      </c>
      <c r="J1745" t="s">
        <v>588</v>
      </c>
      <c r="K1745" s="195">
        <v>46132.427465277775</v>
      </c>
      <c r="L1745">
        <v>118</v>
      </c>
      <c r="M1745">
        <v>0</v>
      </c>
      <c r="N1745" s="98" t="str">
        <f>IF(record[[#This Row],[Memo]]="Browser:chrome os:android","平板報工",IF(record[[#This Row],[Memo]]=0,"委外",record[[#This Row],[Memo]]))</f>
        <v>4/18</v>
      </c>
      <c r="O1745" t="s">
        <v>1837</v>
      </c>
      <c r="P1745" t="s">
        <v>101</v>
      </c>
      <c r="Q1745" t="s">
        <v>58</v>
      </c>
      <c r="R1745" t="str">
        <f>IFERROR(VLOOKUP(record[[#This Row],[PCUSTID]],廠商[],2,FALSE),"")</f>
        <v/>
      </c>
      <c r="S1745" t="str">
        <f>VLOOKUP(record[[#This Row],[employeeID]],員工[],2,FALSE)</f>
        <v>陳氏絨</v>
      </c>
    </row>
    <row r="1746" spans="6:19" hidden="1" x14ac:dyDescent="0.25">
      <c r="F1746" t="s">
        <v>1787</v>
      </c>
      <c r="G1746" t="s">
        <v>469</v>
      </c>
      <c r="H1746" t="str">
        <f>VLOOKUP(record[[#This Row],[ProcessSN]],表格2_7[],2,FALSE)</f>
        <v>30-4118-018-XXX</v>
      </c>
      <c r="I1746" t="str">
        <f>VLOOKUP(record[[#This Row],[ProcessSN]],表格2_7[],3,FALSE)</f>
        <v>#02RCV</v>
      </c>
      <c r="J1746" t="s">
        <v>591</v>
      </c>
      <c r="K1746" s="195">
        <v>46132.38386574074</v>
      </c>
      <c r="L1746">
        <v>0</v>
      </c>
      <c r="M1746">
        <v>5</v>
      </c>
      <c r="N1746" s="98" t="str">
        <f>IF(record[[#This Row],[Memo]]="Browser:chrome os:android","平板報工",IF(record[[#This Row],[Memo]]=0,"委外",record[[#This Row],[Memo]]))</f>
        <v/>
      </c>
      <c r="O1746" t="s">
        <v>58</v>
      </c>
      <c r="P1746" t="s">
        <v>186</v>
      </c>
      <c r="Q1746" t="s">
        <v>58</v>
      </c>
      <c r="R1746" t="str">
        <f>IFERROR(VLOOKUP(record[[#This Row],[PCUSTID]],廠商[],2,FALSE),"")</f>
        <v/>
      </c>
      <c r="S1746" t="str">
        <f>VLOOKUP(record[[#This Row],[employeeID]],員工[],2,FALSE)</f>
        <v>許文姍</v>
      </c>
    </row>
    <row r="1747" spans="6:19" hidden="1" x14ac:dyDescent="0.25">
      <c r="F1747" t="s">
        <v>1787</v>
      </c>
      <c r="G1747" t="s">
        <v>469</v>
      </c>
      <c r="H1747" t="str">
        <f>VLOOKUP(record[[#This Row],[ProcessSN]],表格2_7[],2,FALSE)</f>
        <v>30-4118-018-XXX</v>
      </c>
      <c r="I1747" t="str">
        <f>VLOOKUP(record[[#This Row],[ProcessSN]],表格2_7[],3,FALSE)</f>
        <v>#02RCV</v>
      </c>
      <c r="J1747" t="s">
        <v>591</v>
      </c>
      <c r="K1747" s="195">
        <v>46132.383715277778</v>
      </c>
      <c r="L1747">
        <v>1659</v>
      </c>
      <c r="M1747">
        <v>0</v>
      </c>
      <c r="N1747" s="98" t="str">
        <f>IF(record[[#This Row],[Memo]]="Browser:chrome os:android","平板報工",IF(record[[#This Row],[Memo]]=0,"委外",record[[#This Row],[Memo]]))</f>
        <v/>
      </c>
      <c r="O1747" t="s">
        <v>58</v>
      </c>
      <c r="P1747" t="s">
        <v>186</v>
      </c>
      <c r="Q1747" t="s">
        <v>58</v>
      </c>
      <c r="R1747" t="str">
        <f>IFERROR(VLOOKUP(record[[#This Row],[PCUSTID]],廠商[],2,FALSE),"")</f>
        <v/>
      </c>
      <c r="S1747" t="str">
        <f>VLOOKUP(record[[#This Row],[employeeID]],員工[],2,FALSE)</f>
        <v>許文姍</v>
      </c>
    </row>
    <row r="1748" spans="6:19" hidden="1" x14ac:dyDescent="0.25">
      <c r="F1748" t="s">
        <v>1772</v>
      </c>
      <c r="G1748" t="s">
        <v>468</v>
      </c>
      <c r="H1748" t="str">
        <f>VLOOKUP(record[[#This Row],[ProcessSN]],表格2_7[],2,FALSE)</f>
        <v>30-4118-018-XXX</v>
      </c>
      <c r="I1748" t="str">
        <f>VLOOKUP(record[[#This Row],[ProcessSN]],表格2_7[],3,FALSE)</f>
        <v>#02</v>
      </c>
      <c r="J1748" t="s">
        <v>590</v>
      </c>
      <c r="K1748" s="195">
        <v>46132.37296296296</v>
      </c>
      <c r="L1748">
        <v>168</v>
      </c>
      <c r="M1748">
        <v>0</v>
      </c>
      <c r="N1748" s="98" t="str">
        <f>IF(record[[#This Row],[Memo]]="Browser:chrome os:android","平板報工",IF(record[[#This Row],[Memo]]=0,"委外",record[[#This Row],[Memo]]))</f>
        <v>委外</v>
      </c>
      <c r="P1748" t="s">
        <v>186</v>
      </c>
      <c r="Q1748" t="s">
        <v>216</v>
      </c>
      <c r="R1748" t="str">
        <f>IFERROR(VLOOKUP(record[[#This Row],[PCUSTID]],廠商[],2,FALSE),"")</f>
        <v>俊杰</v>
      </c>
      <c r="S1748" t="str">
        <f>VLOOKUP(record[[#This Row],[employeeID]],員工[],2,FALSE)</f>
        <v>許文姍</v>
      </c>
    </row>
    <row r="1749" spans="6:19" hidden="1" x14ac:dyDescent="0.25">
      <c r="F1749" t="s">
        <v>1787</v>
      </c>
      <c r="G1749" t="s">
        <v>468</v>
      </c>
      <c r="H1749" t="str">
        <f>VLOOKUP(record[[#This Row],[ProcessSN]],表格2_7[],2,FALSE)</f>
        <v>30-4118-018-XXX</v>
      </c>
      <c r="I1749" t="str">
        <f>VLOOKUP(record[[#This Row],[ProcessSN]],表格2_7[],3,FALSE)</f>
        <v>#02</v>
      </c>
      <c r="J1749" t="s">
        <v>590</v>
      </c>
      <c r="K1749" s="195">
        <v>46132.372800925928</v>
      </c>
      <c r="L1749">
        <v>968</v>
      </c>
      <c r="M1749">
        <v>0</v>
      </c>
      <c r="N1749" s="98" t="str">
        <f>IF(record[[#This Row],[Memo]]="Browser:chrome os:android","平板報工",IF(record[[#This Row],[Memo]]=0,"委外",record[[#This Row],[Memo]]))</f>
        <v>委外</v>
      </c>
      <c r="P1749" t="s">
        <v>186</v>
      </c>
      <c r="Q1749" t="s">
        <v>216</v>
      </c>
      <c r="R1749" t="str">
        <f>IFERROR(VLOOKUP(record[[#This Row],[PCUSTID]],廠商[],2,FALSE),"")</f>
        <v>俊杰</v>
      </c>
      <c r="S1749" t="str">
        <f>VLOOKUP(record[[#This Row],[employeeID]],員工[],2,FALSE)</f>
        <v>許文姍</v>
      </c>
    </row>
    <row r="1750" spans="6:19" hidden="1" x14ac:dyDescent="0.25">
      <c r="F1750" t="s">
        <v>1656</v>
      </c>
      <c r="G1750" t="s">
        <v>400</v>
      </c>
      <c r="H1750" t="str">
        <f>VLOOKUP(record[[#This Row],[ProcessSN]],表格2_7[],2,FALSE)</f>
        <v>30-4118-018-550</v>
      </c>
      <c r="I1750" t="str">
        <f>VLOOKUP(record[[#This Row],[ProcessSN]],表格2_7[],3,FALSE)</f>
        <v>#100</v>
      </c>
      <c r="J1750" t="s">
        <v>598</v>
      </c>
      <c r="K1750" s="195">
        <v>46132.348796296297</v>
      </c>
      <c r="L1750">
        <v>0</v>
      </c>
      <c r="M1750">
        <v>9</v>
      </c>
      <c r="N1750" s="98" t="str">
        <f>IF(record[[#This Row],[Memo]]="Browser:chrome os:android","平板報工",IF(record[[#This Row],[Memo]]=0,"委外",record[[#This Row],[Memo]]))</f>
        <v/>
      </c>
      <c r="O1750" t="s">
        <v>58</v>
      </c>
      <c r="P1750" t="s">
        <v>141</v>
      </c>
      <c r="Q1750" t="s">
        <v>58</v>
      </c>
      <c r="R1750" t="str">
        <f>IFERROR(VLOOKUP(record[[#This Row],[PCUSTID]],廠商[],2,FALSE),"")</f>
        <v/>
      </c>
      <c r="S1750" t="str">
        <f>VLOOKUP(record[[#This Row],[employeeID]],員工[],2,FALSE)</f>
        <v>蔣梅</v>
      </c>
    </row>
    <row r="1751" spans="6:19" hidden="1" x14ac:dyDescent="0.25">
      <c r="F1751" t="s">
        <v>1656</v>
      </c>
      <c r="G1751" t="s">
        <v>400</v>
      </c>
      <c r="H1751" t="str">
        <f>VLOOKUP(record[[#This Row],[ProcessSN]],表格2_7[],2,FALSE)</f>
        <v>30-4118-018-550</v>
      </c>
      <c r="I1751" t="str">
        <f>VLOOKUP(record[[#This Row],[ProcessSN]],表格2_7[],3,FALSE)</f>
        <v>#100</v>
      </c>
      <c r="J1751" t="s">
        <v>598</v>
      </c>
      <c r="K1751" s="195">
        <v>46132.348553240743</v>
      </c>
      <c r="L1751">
        <v>3</v>
      </c>
      <c r="M1751">
        <v>0</v>
      </c>
      <c r="N1751" s="98" t="str">
        <f>IF(record[[#This Row],[Memo]]="Browser:chrome os:android","平板報工",IF(record[[#This Row],[Memo]]=0,"委外",record[[#This Row],[Memo]]))</f>
        <v>覆回</v>
      </c>
      <c r="O1751" t="s">
        <v>682</v>
      </c>
      <c r="P1751" t="s">
        <v>141</v>
      </c>
      <c r="Q1751" t="s">
        <v>58</v>
      </c>
      <c r="R1751" t="str">
        <f>IFERROR(VLOOKUP(record[[#This Row],[PCUSTID]],廠商[],2,FALSE),"")</f>
        <v/>
      </c>
      <c r="S1751" t="str">
        <f>VLOOKUP(record[[#This Row],[employeeID]],員工[],2,FALSE)</f>
        <v>蔣梅</v>
      </c>
    </row>
    <row r="1752" spans="6:19" hidden="1" x14ac:dyDescent="0.25">
      <c r="F1752" t="s">
        <v>1694</v>
      </c>
      <c r="G1752" t="s">
        <v>400</v>
      </c>
      <c r="H1752" t="str">
        <f>VLOOKUP(record[[#This Row],[ProcessSN]],表格2_7[],2,FALSE)</f>
        <v>30-4118-018-550</v>
      </c>
      <c r="I1752" t="str">
        <f>VLOOKUP(record[[#This Row],[ProcessSN]],表格2_7[],3,FALSE)</f>
        <v>#100</v>
      </c>
      <c r="J1752" t="s">
        <v>598</v>
      </c>
      <c r="K1752" s="195">
        <v>46132.346516203703</v>
      </c>
      <c r="L1752">
        <v>0</v>
      </c>
      <c r="M1752">
        <v>8</v>
      </c>
      <c r="N1752" s="98" t="str">
        <f>IF(record[[#This Row],[Memo]]="Browser:chrome os:android","平板報工",IF(record[[#This Row],[Memo]]=0,"委外",record[[#This Row],[Memo]]))</f>
        <v/>
      </c>
      <c r="O1752" t="s">
        <v>58</v>
      </c>
      <c r="P1752" t="s">
        <v>141</v>
      </c>
      <c r="Q1752" t="s">
        <v>58</v>
      </c>
      <c r="R1752" t="str">
        <f>IFERROR(VLOOKUP(record[[#This Row],[PCUSTID]],廠商[],2,FALSE),"")</f>
        <v/>
      </c>
      <c r="S1752" t="str">
        <f>VLOOKUP(record[[#This Row],[employeeID]],員工[],2,FALSE)</f>
        <v>蔣梅</v>
      </c>
    </row>
    <row r="1753" spans="6:19" hidden="1" x14ac:dyDescent="0.25">
      <c r="F1753" t="s">
        <v>1694</v>
      </c>
      <c r="G1753" t="s">
        <v>400</v>
      </c>
      <c r="H1753" t="str">
        <f>VLOOKUP(record[[#This Row],[ProcessSN]],表格2_7[],2,FALSE)</f>
        <v>30-4118-018-550</v>
      </c>
      <c r="I1753" t="str">
        <f>VLOOKUP(record[[#This Row],[ProcessSN]],表格2_7[],3,FALSE)</f>
        <v>#100</v>
      </c>
      <c r="J1753" t="s">
        <v>598</v>
      </c>
      <c r="K1753" s="195">
        <v>46132.346250000002</v>
      </c>
      <c r="L1753">
        <v>1</v>
      </c>
      <c r="M1753">
        <v>0</v>
      </c>
      <c r="N1753" s="98" t="str">
        <f>IF(record[[#This Row],[Memo]]="Browser:chrome os:android","平板報工",IF(record[[#This Row],[Memo]]=0,"委外",record[[#This Row],[Memo]]))</f>
        <v>覆回</v>
      </c>
      <c r="O1753" t="s">
        <v>682</v>
      </c>
      <c r="P1753" t="s">
        <v>141</v>
      </c>
      <c r="Q1753" t="s">
        <v>58</v>
      </c>
      <c r="R1753" t="str">
        <f>IFERROR(VLOOKUP(record[[#This Row],[PCUSTID]],廠商[],2,FALSE),"")</f>
        <v/>
      </c>
      <c r="S1753" t="str">
        <f>VLOOKUP(record[[#This Row],[employeeID]],員工[],2,FALSE)</f>
        <v>蔣梅</v>
      </c>
    </row>
    <row r="1754" spans="6:19" hidden="1" x14ac:dyDescent="0.25">
      <c r="F1754" t="s">
        <v>1816</v>
      </c>
      <c r="G1754" t="s">
        <v>400</v>
      </c>
      <c r="H1754" t="str">
        <f>VLOOKUP(record[[#This Row],[ProcessSN]],表格2_7[],2,FALSE)</f>
        <v>30-4118-018-550</v>
      </c>
      <c r="I1754" t="str">
        <f>VLOOKUP(record[[#This Row],[ProcessSN]],表格2_7[],3,FALSE)</f>
        <v>#100</v>
      </c>
      <c r="J1754" t="s">
        <v>598</v>
      </c>
      <c r="K1754" s="195">
        <v>46132.345405092594</v>
      </c>
      <c r="L1754">
        <v>151</v>
      </c>
      <c r="M1754">
        <v>0</v>
      </c>
      <c r="N1754" s="98" t="str">
        <f>IF(record[[#This Row],[Memo]]="Browser:chrome os:android","平板報工",IF(record[[#This Row],[Memo]]=0,"委外",record[[#This Row],[Memo]]))</f>
        <v/>
      </c>
      <c r="O1754" t="s">
        <v>58</v>
      </c>
      <c r="P1754" t="s">
        <v>141</v>
      </c>
      <c r="Q1754" t="s">
        <v>58</v>
      </c>
      <c r="R1754" t="str">
        <f>IFERROR(VLOOKUP(record[[#This Row],[PCUSTID]],廠商[],2,FALSE),"")</f>
        <v/>
      </c>
      <c r="S1754" t="str">
        <f>VLOOKUP(record[[#This Row],[employeeID]],員工[],2,FALSE)</f>
        <v>蔣梅</v>
      </c>
    </row>
    <row r="1755" spans="6:19" hidden="1" x14ac:dyDescent="0.25">
      <c r="F1755" t="s">
        <v>1816</v>
      </c>
      <c r="G1755" t="s">
        <v>400</v>
      </c>
      <c r="H1755" t="str">
        <f>VLOOKUP(record[[#This Row],[ProcessSN]],表格2_7[],2,FALSE)</f>
        <v>30-4118-018-550</v>
      </c>
      <c r="I1755" t="str">
        <f>VLOOKUP(record[[#This Row],[ProcessSN]],表格2_7[],3,FALSE)</f>
        <v>#100</v>
      </c>
      <c r="J1755" t="s">
        <v>598</v>
      </c>
      <c r="K1755" s="195">
        <v>46132.345266203702</v>
      </c>
      <c r="L1755">
        <v>0</v>
      </c>
      <c r="M1755">
        <v>10</v>
      </c>
      <c r="N1755" s="98" t="str">
        <f>IF(record[[#This Row],[Memo]]="Browser:chrome os:android","平板報工",IF(record[[#This Row],[Memo]]=0,"委外",record[[#This Row],[Memo]]))</f>
        <v/>
      </c>
      <c r="O1755" t="s">
        <v>58</v>
      </c>
      <c r="P1755" t="s">
        <v>141</v>
      </c>
      <c r="Q1755" t="s">
        <v>58</v>
      </c>
      <c r="R1755" t="str">
        <f>IFERROR(VLOOKUP(record[[#This Row],[PCUSTID]],廠商[],2,FALSE),"")</f>
        <v/>
      </c>
      <c r="S1755" t="str">
        <f>VLOOKUP(record[[#This Row],[employeeID]],員工[],2,FALSE)</f>
        <v>蔣梅</v>
      </c>
    </row>
    <row r="1756" spans="6:19" hidden="1" x14ac:dyDescent="0.25">
      <c r="F1756" t="s">
        <v>1772</v>
      </c>
      <c r="G1756" t="s">
        <v>467</v>
      </c>
      <c r="H1756" t="str">
        <f>VLOOKUP(record[[#This Row],[ProcessSN]],表格2_7[],2,FALSE)</f>
        <v>30-4118-018-XXX</v>
      </c>
      <c r="I1756" t="str">
        <f>VLOOKUP(record[[#This Row],[ProcessSN]],表格2_7[],3,FALSE)</f>
        <v>#01QC</v>
      </c>
      <c r="J1756" t="s">
        <v>589</v>
      </c>
      <c r="K1756" s="195">
        <v>46132.343055555553</v>
      </c>
      <c r="L1756">
        <v>168</v>
      </c>
      <c r="M1756">
        <v>0</v>
      </c>
      <c r="N1756" s="98" t="str">
        <f>IF(record[[#This Row],[Memo]]="Browser:chrome os:android","平板報工",IF(record[[#This Row],[Memo]]=0,"委外",record[[#This Row],[Memo]]))</f>
        <v>平板報工</v>
      </c>
      <c r="O1756" t="s">
        <v>643</v>
      </c>
      <c r="P1756" t="s">
        <v>182</v>
      </c>
      <c r="Q1756" t="s">
        <v>644</v>
      </c>
      <c r="R1756" t="str">
        <f>IFERROR(VLOOKUP(record[[#This Row],[PCUSTID]],廠商[],2,FALSE),"")</f>
        <v/>
      </c>
      <c r="S1756" t="str">
        <f>VLOOKUP(record[[#This Row],[employeeID]],員工[],2,FALSE)</f>
        <v>梅氏和</v>
      </c>
    </row>
    <row r="1757" spans="6:19" hidden="1" x14ac:dyDescent="0.25">
      <c r="F1757" t="s">
        <v>1787</v>
      </c>
      <c r="G1757" t="s">
        <v>467</v>
      </c>
      <c r="H1757" t="str">
        <f>VLOOKUP(record[[#This Row],[ProcessSN]],表格2_7[],2,FALSE)</f>
        <v>30-4118-018-XXX</v>
      </c>
      <c r="I1757" t="str">
        <f>VLOOKUP(record[[#This Row],[ProcessSN]],表格2_7[],3,FALSE)</f>
        <v>#01QC</v>
      </c>
      <c r="J1757" t="s">
        <v>589</v>
      </c>
      <c r="K1757" s="195">
        <v>46132.342858796299</v>
      </c>
      <c r="L1757">
        <v>968</v>
      </c>
      <c r="M1757">
        <v>0</v>
      </c>
      <c r="N1757" s="98" t="str">
        <f>IF(record[[#This Row],[Memo]]="Browser:chrome os:android","平板報工",IF(record[[#This Row],[Memo]]=0,"委外",record[[#This Row],[Memo]]))</f>
        <v>平板報工</v>
      </c>
      <c r="O1757" t="s">
        <v>643</v>
      </c>
      <c r="P1757" t="s">
        <v>182</v>
      </c>
      <c r="Q1757" t="s">
        <v>644</v>
      </c>
      <c r="R1757" t="str">
        <f>IFERROR(VLOOKUP(record[[#This Row],[PCUSTID]],廠商[],2,FALSE),"")</f>
        <v/>
      </c>
      <c r="S1757" t="str">
        <f>VLOOKUP(record[[#This Row],[employeeID]],員工[],2,FALSE)</f>
        <v>梅氏和</v>
      </c>
    </row>
    <row r="1758" spans="6:19" hidden="1" x14ac:dyDescent="0.25">
      <c r="F1758" t="s">
        <v>1816</v>
      </c>
      <c r="G1758" t="s">
        <v>403</v>
      </c>
      <c r="H1758" t="str">
        <f>VLOOKUP(record[[#This Row],[ProcessSN]],表格2_7[],2,FALSE)</f>
        <v>30-4118-018-550</v>
      </c>
      <c r="I1758" t="str">
        <f>VLOOKUP(record[[#This Row],[ProcessSN]],表格2_7[],3,FALSE)</f>
        <v>#100SHIP</v>
      </c>
      <c r="J1758" t="s">
        <v>600</v>
      </c>
      <c r="K1758" s="195">
        <v>46132.339016203703</v>
      </c>
      <c r="L1758">
        <v>342</v>
      </c>
      <c r="M1758">
        <v>0</v>
      </c>
      <c r="N1758" s="98" t="str">
        <f>IF(record[[#This Row],[Memo]]="Browser:chrome os:android","平板報工",IF(record[[#This Row],[Memo]]=0,"委外",record[[#This Row],[Memo]]))</f>
        <v>補4/17出貨</v>
      </c>
      <c r="O1758" t="s">
        <v>1835</v>
      </c>
      <c r="P1758" t="s">
        <v>886</v>
      </c>
      <c r="Q1758" t="s">
        <v>58</v>
      </c>
      <c r="R1758" t="str">
        <f>IFERROR(VLOOKUP(record[[#This Row],[PCUSTID]],廠商[],2,FALSE),"")</f>
        <v/>
      </c>
      <c r="S1758" t="str">
        <f>VLOOKUP(record[[#This Row],[employeeID]],員工[],2,FALSE)</f>
        <v>謝蓁薰</v>
      </c>
    </row>
    <row r="1759" spans="6:19" hidden="1" x14ac:dyDescent="0.25">
      <c r="F1759" t="s">
        <v>1816</v>
      </c>
      <c r="G1759" t="s">
        <v>402</v>
      </c>
      <c r="H1759" t="str">
        <f>VLOOKUP(record[[#This Row],[ProcessSN]],表格2_7[],2,FALSE)</f>
        <v>30-4118-018-550</v>
      </c>
      <c r="I1759" t="str">
        <f>VLOOKUP(record[[#This Row],[ProcessSN]],表格2_7[],3,FALSE)</f>
        <v>#100STOCK</v>
      </c>
      <c r="J1759" t="s">
        <v>592</v>
      </c>
      <c r="K1759" s="195">
        <v>46132.338819444441</v>
      </c>
      <c r="L1759">
        <v>342</v>
      </c>
      <c r="M1759">
        <v>0</v>
      </c>
      <c r="N1759" s="98" t="str">
        <f>IF(record[[#This Row],[Memo]]="Browser:chrome os:android","平板報工",IF(record[[#This Row],[Memo]]=0,"委外",record[[#This Row],[Memo]]))</f>
        <v/>
      </c>
      <c r="O1759" t="s">
        <v>58</v>
      </c>
      <c r="P1759" t="s">
        <v>886</v>
      </c>
      <c r="Q1759" t="s">
        <v>58</v>
      </c>
      <c r="R1759" t="str">
        <f>IFERROR(VLOOKUP(record[[#This Row],[PCUSTID]],廠商[],2,FALSE),"")</f>
        <v/>
      </c>
      <c r="S1759" t="str">
        <f>VLOOKUP(record[[#This Row],[employeeID]],員工[],2,FALSE)</f>
        <v>謝蓁薰</v>
      </c>
    </row>
    <row r="1760" spans="6:19" hidden="1" x14ac:dyDescent="0.25">
      <c r="F1760" t="s">
        <v>1702</v>
      </c>
      <c r="G1760" t="s">
        <v>377</v>
      </c>
      <c r="H1760" t="str">
        <f>VLOOKUP(record[[#This Row],[ProcessSN]],表格2_7[],2,FALSE)</f>
        <v>30-4118-018-4XX</v>
      </c>
      <c r="I1760" t="str">
        <f>VLOOKUP(record[[#This Row],[ProcessSN]],表格2_7[],3,FALSE)</f>
        <v>#07</v>
      </c>
      <c r="J1760" t="s">
        <v>588</v>
      </c>
      <c r="K1760" s="195">
        <v>46132.338067129633</v>
      </c>
      <c r="L1760">
        <v>124</v>
      </c>
      <c r="M1760">
        <v>1</v>
      </c>
      <c r="N1760" s="98" t="str">
        <f>IF(record[[#This Row],[Memo]]="Browser:chrome os:android","平板報工",IF(record[[#This Row],[Memo]]=0,"委外",record[[#This Row],[Memo]]))</f>
        <v>4/20覆回*1pcs</v>
      </c>
      <c r="O1760" t="s">
        <v>1834</v>
      </c>
      <c r="P1760" t="s">
        <v>1075</v>
      </c>
      <c r="Q1760" t="s">
        <v>58</v>
      </c>
      <c r="R1760" t="str">
        <f>IFERROR(VLOOKUP(record[[#This Row],[PCUSTID]],廠商[],2,FALSE),"")</f>
        <v/>
      </c>
      <c r="S1760" t="str">
        <f>VLOOKUP(record[[#This Row],[employeeID]],員工[],2,FALSE)</f>
        <v>吳宥叡</v>
      </c>
    </row>
    <row r="1761" spans="6:19" hidden="1" x14ac:dyDescent="0.25">
      <c r="F1761" t="s">
        <v>1803</v>
      </c>
      <c r="G1761" t="s">
        <v>417</v>
      </c>
      <c r="H1761" t="str">
        <f>VLOOKUP(record[[#This Row],[ProcessSN]],表格2_7[],2,FALSE)</f>
        <v>30-4118-018-5XX</v>
      </c>
      <c r="I1761" t="str">
        <f>VLOOKUP(record[[#This Row],[ProcessSN]],表格2_7[],3,FALSE)</f>
        <v>#06</v>
      </c>
      <c r="J1761" t="s">
        <v>593</v>
      </c>
      <c r="K1761" s="195">
        <v>46131.32236111111</v>
      </c>
      <c r="L1761">
        <v>35</v>
      </c>
      <c r="M1761">
        <v>0</v>
      </c>
      <c r="N1761" s="98" t="str">
        <f>IF(record[[#This Row],[Memo]]="Browser:chrome os:android","平板報工",IF(record[[#This Row],[Memo]]=0,"委外",record[[#This Row],[Memo]]))</f>
        <v/>
      </c>
      <c r="O1761" t="s">
        <v>58</v>
      </c>
      <c r="P1761" t="s">
        <v>170</v>
      </c>
      <c r="Q1761" t="s">
        <v>58</v>
      </c>
      <c r="R1761" t="str">
        <f>IFERROR(VLOOKUP(record[[#This Row],[PCUSTID]],廠商[],2,FALSE),"")</f>
        <v/>
      </c>
      <c r="S1761" t="str">
        <f>VLOOKUP(record[[#This Row],[employeeID]],員工[],2,FALSE)</f>
        <v>黃清宇</v>
      </c>
    </row>
    <row r="1762" spans="6:19" hidden="1" x14ac:dyDescent="0.25">
      <c r="F1762" t="s">
        <v>1803</v>
      </c>
      <c r="G1762" t="s">
        <v>418</v>
      </c>
      <c r="H1762" t="str">
        <f>VLOOKUP(record[[#This Row],[ProcessSN]],表格2_7[],2,FALSE)</f>
        <v>30-4118-018-5XX</v>
      </c>
      <c r="I1762" t="str">
        <f>VLOOKUP(record[[#This Row],[ProcessSN]],表格2_7[],3,FALSE)</f>
        <v>#07</v>
      </c>
      <c r="J1762" t="s">
        <v>588</v>
      </c>
      <c r="K1762" s="195">
        <v>46131.314895833333</v>
      </c>
      <c r="L1762">
        <v>230</v>
      </c>
      <c r="M1762">
        <v>21</v>
      </c>
      <c r="N1762" s="98" t="str">
        <f>IF(record[[#This Row],[Memo]]="Browser:chrome os:android","平板報工",IF(record[[#This Row],[Memo]]=0,"委外",record[[#This Row],[Memo]]))</f>
        <v/>
      </c>
      <c r="O1762" t="s">
        <v>58</v>
      </c>
      <c r="P1762" t="s">
        <v>806</v>
      </c>
      <c r="Q1762" t="s">
        <v>58</v>
      </c>
      <c r="R1762" t="str">
        <f>IFERROR(VLOOKUP(record[[#This Row],[PCUSTID]],廠商[],2,FALSE),"")</f>
        <v/>
      </c>
      <c r="S1762" t="str">
        <f>VLOOKUP(record[[#This Row],[employeeID]],員工[],2,FALSE)</f>
        <v>方思緯</v>
      </c>
    </row>
    <row r="1763" spans="6:19" hidden="1" x14ac:dyDescent="0.25">
      <c r="F1763" t="s">
        <v>1772</v>
      </c>
      <c r="G1763" t="s">
        <v>466</v>
      </c>
      <c r="H1763" t="str">
        <f>VLOOKUP(record[[#This Row],[ProcessSN]],表格2_7[],2,FALSE)</f>
        <v>30-4118-018-XXX</v>
      </c>
      <c r="I1763" t="str">
        <f>VLOOKUP(record[[#This Row],[ProcessSN]],表格2_7[],3,FALSE)</f>
        <v>#01-2</v>
      </c>
      <c r="J1763" t="s">
        <v>588</v>
      </c>
      <c r="K1763" s="195">
        <v>46131.314618055556</v>
      </c>
      <c r="L1763">
        <v>264</v>
      </c>
      <c r="M1763">
        <v>0</v>
      </c>
      <c r="N1763" s="98" t="str">
        <f>IF(record[[#This Row],[Memo]]="Browser:chrome os:android","平板報工",IF(record[[#This Row],[Memo]]=0,"委外",record[[#This Row],[Memo]]))</f>
        <v/>
      </c>
      <c r="O1763" t="s">
        <v>58</v>
      </c>
      <c r="P1763" t="s">
        <v>806</v>
      </c>
      <c r="Q1763" t="s">
        <v>58</v>
      </c>
      <c r="R1763" t="str">
        <f>IFERROR(VLOOKUP(record[[#This Row],[PCUSTID]],廠商[],2,FALSE),"")</f>
        <v/>
      </c>
      <c r="S1763" t="str">
        <f>VLOOKUP(record[[#This Row],[employeeID]],員工[],2,FALSE)</f>
        <v>方思緯</v>
      </c>
    </row>
    <row r="1764" spans="6:19" hidden="1" x14ac:dyDescent="0.25">
      <c r="F1764" t="s">
        <v>1787</v>
      </c>
      <c r="G1764" t="s">
        <v>466</v>
      </c>
      <c r="H1764" t="str">
        <f>VLOOKUP(record[[#This Row],[ProcessSN]],表格2_7[],2,FALSE)</f>
        <v>30-4118-018-XXX</v>
      </c>
      <c r="I1764" t="str">
        <f>VLOOKUP(record[[#This Row],[ProcessSN]],表格2_7[],3,FALSE)</f>
        <v>#01-2</v>
      </c>
      <c r="J1764" t="s">
        <v>588</v>
      </c>
      <c r="K1764" s="195">
        <v>46131.314467592594</v>
      </c>
      <c r="L1764">
        <v>240</v>
      </c>
      <c r="M1764">
        <v>0</v>
      </c>
      <c r="N1764" s="98" t="str">
        <f>IF(record[[#This Row],[Memo]]="Browser:chrome os:android","平板報工",IF(record[[#This Row],[Memo]]=0,"委外",record[[#This Row],[Memo]]))</f>
        <v/>
      </c>
      <c r="O1764" t="s">
        <v>58</v>
      </c>
      <c r="P1764" t="s">
        <v>806</v>
      </c>
      <c r="Q1764" t="s">
        <v>58</v>
      </c>
      <c r="R1764" t="str">
        <f>IFERROR(VLOOKUP(record[[#This Row],[PCUSTID]],廠商[],2,FALSE),"")</f>
        <v/>
      </c>
      <c r="S1764" t="str">
        <f>VLOOKUP(record[[#This Row],[employeeID]],員工[],2,FALSE)</f>
        <v>方思緯</v>
      </c>
    </row>
    <row r="1765" spans="6:19" hidden="1" x14ac:dyDescent="0.25">
      <c r="F1765" t="s">
        <v>1818</v>
      </c>
      <c r="G1765" t="s">
        <v>465</v>
      </c>
      <c r="H1765" t="str">
        <f>VLOOKUP(record[[#This Row],[ProcessSN]],表格2_7[],2,FALSE)</f>
        <v>30-4118-018-XXX</v>
      </c>
      <c r="I1765" t="str">
        <f>VLOOKUP(record[[#This Row],[ProcessSN]],表格2_7[],3,FALSE)</f>
        <v>#01-1</v>
      </c>
      <c r="J1765" t="s">
        <v>588</v>
      </c>
      <c r="K1765" s="195">
        <v>46131.297789351855</v>
      </c>
      <c r="L1765">
        <v>900</v>
      </c>
      <c r="M1765">
        <v>0</v>
      </c>
      <c r="N1765" s="98" t="str">
        <f>IF(record[[#This Row],[Memo]]="Browser:chrome os:android","平板報工",IF(record[[#This Row],[Memo]]=0,"委外",record[[#This Row],[Memo]]))</f>
        <v>平板報工</v>
      </c>
      <c r="O1765" t="s">
        <v>643</v>
      </c>
      <c r="P1765" t="s">
        <v>180</v>
      </c>
      <c r="Q1765" t="s">
        <v>644</v>
      </c>
      <c r="R1765" t="str">
        <f>IFERROR(VLOOKUP(record[[#This Row],[PCUSTID]],廠商[],2,FALSE),"")</f>
        <v/>
      </c>
      <c r="S1765" t="str">
        <f>VLOOKUP(record[[#This Row],[employeeID]],員工[],2,FALSE)</f>
        <v>黎功江</v>
      </c>
    </row>
    <row r="1766" spans="6:19" hidden="1" x14ac:dyDescent="0.25">
      <c r="F1766" t="s">
        <v>1787</v>
      </c>
      <c r="G1766" t="s">
        <v>466</v>
      </c>
      <c r="H1766" t="str">
        <f>VLOOKUP(record[[#This Row],[ProcessSN]],表格2_7[],2,FALSE)</f>
        <v>30-4118-018-XXX</v>
      </c>
      <c r="I1766" t="str">
        <f>VLOOKUP(record[[#This Row],[ProcessSN]],表格2_7[],3,FALSE)</f>
        <v>#01-2</v>
      </c>
      <c r="J1766" t="s">
        <v>588</v>
      </c>
      <c r="K1766" s="195">
        <v>46131.005127314813</v>
      </c>
      <c r="L1766">
        <v>528</v>
      </c>
      <c r="M1766">
        <v>0</v>
      </c>
      <c r="N1766" s="98" t="str">
        <f>IF(record[[#This Row],[Memo]]="Browser:chrome os:android","平板報工",IF(record[[#This Row],[Memo]]=0,"委外",record[[#This Row],[Memo]]))</f>
        <v/>
      </c>
      <c r="O1766" t="s">
        <v>58</v>
      </c>
      <c r="P1766" t="s">
        <v>135</v>
      </c>
      <c r="Q1766" t="s">
        <v>58</v>
      </c>
      <c r="R1766" t="str">
        <f>IFERROR(VLOOKUP(record[[#This Row],[PCUSTID]],廠商[],2,FALSE),"")</f>
        <v/>
      </c>
      <c r="S1766" t="str">
        <f>VLOOKUP(record[[#This Row],[employeeID]],員工[],2,FALSE)</f>
        <v>阮士文</v>
      </c>
    </row>
    <row r="1767" spans="6:19" hidden="1" x14ac:dyDescent="0.25">
      <c r="F1767" t="s">
        <v>1803</v>
      </c>
      <c r="G1767" t="s">
        <v>417</v>
      </c>
      <c r="H1767" t="str">
        <f>VLOOKUP(record[[#This Row],[ProcessSN]],表格2_7[],2,FALSE)</f>
        <v>30-4118-018-5XX</v>
      </c>
      <c r="I1767" t="str">
        <f>VLOOKUP(record[[#This Row],[ProcessSN]],表格2_7[],3,FALSE)</f>
        <v>#06</v>
      </c>
      <c r="J1767" t="s">
        <v>593</v>
      </c>
      <c r="K1767" s="195">
        <v>46131.001712962963</v>
      </c>
      <c r="L1767">
        <v>133</v>
      </c>
      <c r="M1767">
        <v>0</v>
      </c>
      <c r="N1767" s="98" t="str">
        <f>IF(record[[#This Row],[Memo]]="Browser:chrome os:android","平板報工",IF(record[[#This Row],[Memo]]=0,"委外",record[[#This Row],[Memo]]))</f>
        <v/>
      </c>
      <c r="O1767" t="s">
        <v>58</v>
      </c>
      <c r="P1767" t="s">
        <v>1669</v>
      </c>
      <c r="Q1767" t="s">
        <v>58</v>
      </c>
      <c r="R1767" t="str">
        <f>IFERROR(VLOOKUP(record[[#This Row],[PCUSTID]],廠商[],2,FALSE),"")</f>
        <v/>
      </c>
      <c r="S1767" t="str">
        <f>VLOOKUP(record[[#This Row],[employeeID]],員工[],2,FALSE)</f>
        <v>武氏麗娟</v>
      </c>
    </row>
    <row r="1768" spans="6:19" hidden="1" x14ac:dyDescent="0.25">
      <c r="F1768" t="s">
        <v>1803</v>
      </c>
      <c r="G1768" t="s">
        <v>416</v>
      </c>
      <c r="H1768" t="str">
        <f>VLOOKUP(record[[#This Row],[ProcessSN]],表格2_7[],2,FALSE)</f>
        <v>30-4118-018-5XX</v>
      </c>
      <c r="I1768" t="str">
        <f>VLOOKUP(record[[#This Row],[ProcessSN]],表格2_7[],3,FALSE)</f>
        <v>#05</v>
      </c>
      <c r="J1768" t="s">
        <v>588</v>
      </c>
      <c r="K1768" s="195">
        <v>46131.000543981485</v>
      </c>
      <c r="L1768">
        <v>36</v>
      </c>
      <c r="M1768">
        <v>0</v>
      </c>
      <c r="N1768" s="98" t="str">
        <f>IF(record[[#This Row],[Memo]]="Browser:chrome os:android","平板報工",IF(record[[#This Row],[Memo]]=0,"委外",record[[#This Row],[Memo]]))</f>
        <v/>
      </c>
      <c r="O1768" t="s">
        <v>58</v>
      </c>
      <c r="P1768" t="s">
        <v>1098</v>
      </c>
      <c r="Q1768" t="s">
        <v>58</v>
      </c>
      <c r="R1768" t="str">
        <f>IFERROR(VLOOKUP(record[[#This Row],[PCUSTID]],廠商[],2,FALSE),"")</f>
        <v/>
      </c>
      <c r="S1768" t="str">
        <f>VLOOKUP(record[[#This Row],[employeeID]],員工[],2,FALSE)</f>
        <v>阮氏芳英(英)</v>
      </c>
    </row>
    <row r="1769" spans="6:19" hidden="1" x14ac:dyDescent="0.25">
      <c r="F1769" t="s">
        <v>1803</v>
      </c>
      <c r="G1769" t="s">
        <v>417</v>
      </c>
      <c r="H1769" t="str">
        <f>VLOOKUP(record[[#This Row],[ProcessSN]],表格2_7[],2,FALSE)</f>
        <v>30-4118-018-5XX</v>
      </c>
      <c r="I1769" t="str">
        <f>VLOOKUP(record[[#This Row],[ProcessSN]],表格2_7[],3,FALSE)</f>
        <v>#06</v>
      </c>
      <c r="J1769" t="s">
        <v>593</v>
      </c>
      <c r="K1769" s="195">
        <v>46131.000231481485</v>
      </c>
      <c r="L1769">
        <v>120</v>
      </c>
      <c r="M1769">
        <v>0</v>
      </c>
      <c r="N1769" s="98" t="str">
        <f>IF(record[[#This Row],[Memo]]="Browser:chrome os:android","平板報工",IF(record[[#This Row],[Memo]]=0,"委外",record[[#This Row],[Memo]]))</f>
        <v/>
      </c>
      <c r="O1769" t="s">
        <v>58</v>
      </c>
      <c r="P1769" t="s">
        <v>176</v>
      </c>
      <c r="Q1769" t="s">
        <v>58</v>
      </c>
      <c r="R1769" t="str">
        <f>IFERROR(VLOOKUP(record[[#This Row],[PCUSTID]],廠商[],2,FALSE),"")</f>
        <v/>
      </c>
      <c r="S1769" t="str">
        <f>VLOOKUP(record[[#This Row],[employeeID]],員工[],2,FALSE)</f>
        <v>郭政雄</v>
      </c>
    </row>
    <row r="1770" spans="6:19" hidden="1" x14ac:dyDescent="0.25">
      <c r="F1770" t="s">
        <v>1803</v>
      </c>
      <c r="G1770" t="s">
        <v>416</v>
      </c>
      <c r="H1770" t="str">
        <f>VLOOKUP(record[[#This Row],[ProcessSN]],表格2_7[],2,FALSE)</f>
        <v>30-4118-018-5XX</v>
      </c>
      <c r="I1770" t="str">
        <f>VLOOKUP(record[[#This Row],[ProcessSN]],表格2_7[],3,FALSE)</f>
        <v>#05</v>
      </c>
      <c r="J1770" t="s">
        <v>588</v>
      </c>
      <c r="K1770" s="195">
        <v>46131.000138888892</v>
      </c>
      <c r="L1770">
        <v>56</v>
      </c>
      <c r="M1770">
        <v>0</v>
      </c>
      <c r="N1770" s="98" t="str">
        <f>IF(record[[#This Row],[Memo]]="Browser:chrome os:android","平板報工",IF(record[[#This Row],[Memo]]=0,"委外",record[[#This Row],[Memo]]))</f>
        <v/>
      </c>
      <c r="O1770" t="s">
        <v>58</v>
      </c>
      <c r="P1770" t="s">
        <v>1098</v>
      </c>
      <c r="Q1770" t="s">
        <v>58</v>
      </c>
      <c r="R1770" t="str">
        <f>IFERROR(VLOOKUP(record[[#This Row],[PCUSTID]],廠商[],2,FALSE),"")</f>
        <v/>
      </c>
      <c r="S1770" t="str">
        <f>VLOOKUP(record[[#This Row],[employeeID]],員工[],2,FALSE)</f>
        <v>阮氏芳英(英)</v>
      </c>
    </row>
    <row r="1771" spans="6:19" hidden="1" x14ac:dyDescent="0.25">
      <c r="F1771" t="s">
        <v>1803</v>
      </c>
      <c r="G1771" t="s">
        <v>416</v>
      </c>
      <c r="H1771" t="str">
        <f>VLOOKUP(record[[#This Row],[ProcessSN]],表格2_7[],2,FALSE)</f>
        <v>30-4118-018-5XX</v>
      </c>
      <c r="I1771" t="str">
        <f>VLOOKUP(record[[#This Row],[ProcessSN]],表格2_7[],3,FALSE)</f>
        <v>#05</v>
      </c>
      <c r="J1771" t="s">
        <v>588</v>
      </c>
      <c r="K1771" s="195">
        <v>46130.99962962963</v>
      </c>
      <c r="L1771">
        <v>168</v>
      </c>
      <c r="M1771">
        <v>0</v>
      </c>
      <c r="N1771" s="98" t="str">
        <f>IF(record[[#This Row],[Memo]]="Browser:chrome os:android","平板報工",IF(record[[#This Row],[Memo]]=0,"委外",record[[#This Row],[Memo]]))</f>
        <v/>
      </c>
      <c r="O1771" t="s">
        <v>58</v>
      </c>
      <c r="P1771" t="s">
        <v>1098</v>
      </c>
      <c r="Q1771" t="s">
        <v>58</v>
      </c>
      <c r="R1771" t="str">
        <f>IFERROR(VLOOKUP(record[[#This Row],[PCUSTID]],廠商[],2,FALSE),"")</f>
        <v/>
      </c>
      <c r="S1771" t="str">
        <f>VLOOKUP(record[[#This Row],[employeeID]],員工[],2,FALSE)</f>
        <v>阮氏芳英(英)</v>
      </c>
    </row>
    <row r="1772" spans="6:19" hidden="1" x14ac:dyDescent="0.25">
      <c r="F1772" t="s">
        <v>1803</v>
      </c>
      <c r="G1772" t="s">
        <v>415</v>
      </c>
      <c r="H1772" t="str">
        <f>VLOOKUP(record[[#This Row],[ProcessSN]],表格2_7[],2,FALSE)</f>
        <v>30-4118-018-5XX</v>
      </c>
      <c r="I1772" t="str">
        <f>VLOOKUP(record[[#This Row],[ProcessSN]],表格2_7[],3,FALSE)</f>
        <v>#04</v>
      </c>
      <c r="J1772" t="s">
        <v>588</v>
      </c>
      <c r="K1772" s="195">
        <v>46130.987627314818</v>
      </c>
      <c r="L1772">
        <v>260</v>
      </c>
      <c r="M1772">
        <v>0</v>
      </c>
      <c r="N1772" s="98" t="str">
        <f>IF(record[[#This Row],[Memo]]="Browser:chrome os:android","平板報工",IF(record[[#This Row],[Memo]]=0,"委外",record[[#This Row],[Memo]]))</f>
        <v/>
      </c>
      <c r="O1772" t="s">
        <v>58</v>
      </c>
      <c r="P1772" t="s">
        <v>127</v>
      </c>
      <c r="Q1772" t="s">
        <v>58</v>
      </c>
      <c r="R1772" t="str">
        <f>IFERROR(VLOOKUP(record[[#This Row],[PCUSTID]],廠商[],2,FALSE),"")</f>
        <v/>
      </c>
      <c r="S1772" t="str">
        <f>VLOOKUP(record[[#This Row],[employeeID]],員工[],2,FALSE)</f>
        <v>潘雪梅</v>
      </c>
    </row>
    <row r="1773" spans="6:19" hidden="1" x14ac:dyDescent="0.25">
      <c r="F1773" t="s">
        <v>1803</v>
      </c>
      <c r="G1773" t="s">
        <v>418</v>
      </c>
      <c r="H1773" t="str">
        <f>VLOOKUP(record[[#This Row],[ProcessSN]],表格2_7[],2,FALSE)</f>
        <v>30-4118-018-5XX</v>
      </c>
      <c r="I1773" t="str">
        <f>VLOOKUP(record[[#This Row],[ProcessSN]],表格2_7[],3,FALSE)</f>
        <v>#07</v>
      </c>
      <c r="J1773" t="s">
        <v>588</v>
      </c>
      <c r="K1773" s="195">
        <v>46130.983958333331</v>
      </c>
      <c r="L1773">
        <v>230</v>
      </c>
      <c r="M1773">
        <v>0</v>
      </c>
      <c r="N1773" s="98" t="str">
        <f>IF(record[[#This Row],[Memo]]="Browser:chrome os:android","平板報工",IF(record[[#This Row],[Memo]]=0,"委外",record[[#This Row],[Memo]]))</f>
        <v/>
      </c>
      <c r="O1773" t="s">
        <v>58</v>
      </c>
      <c r="P1773" t="s">
        <v>1098</v>
      </c>
      <c r="Q1773" t="s">
        <v>58</v>
      </c>
      <c r="R1773" t="str">
        <f>IFERROR(VLOOKUP(record[[#This Row],[PCUSTID]],廠商[],2,FALSE),"")</f>
        <v/>
      </c>
      <c r="S1773" t="str">
        <f>VLOOKUP(record[[#This Row],[employeeID]],員工[],2,FALSE)</f>
        <v>阮氏芳英(英)</v>
      </c>
    </row>
    <row r="1774" spans="6:19" hidden="1" x14ac:dyDescent="0.25">
      <c r="F1774" t="s">
        <v>1787</v>
      </c>
      <c r="G1774" t="s">
        <v>466</v>
      </c>
      <c r="H1774" t="str">
        <f>VLOOKUP(record[[#This Row],[ProcessSN]],表格2_7[],2,FALSE)</f>
        <v>30-4118-018-XXX</v>
      </c>
      <c r="I1774" t="str">
        <f>VLOOKUP(record[[#This Row],[ProcessSN]],表格2_7[],3,FALSE)</f>
        <v>#01-2</v>
      </c>
      <c r="J1774" t="s">
        <v>588</v>
      </c>
      <c r="K1774" s="195">
        <v>46130.664050925923</v>
      </c>
      <c r="L1774">
        <v>200</v>
      </c>
      <c r="M1774">
        <v>0</v>
      </c>
      <c r="N1774" s="98" t="str">
        <f>IF(record[[#This Row],[Memo]]="Browser:chrome os:android","平板報工",IF(record[[#This Row],[Memo]]=0,"委外",record[[#This Row],[Memo]]))</f>
        <v>平板報工</v>
      </c>
      <c r="O1774" t="s">
        <v>643</v>
      </c>
      <c r="P1774" t="s">
        <v>107</v>
      </c>
      <c r="Q1774" t="s">
        <v>644</v>
      </c>
      <c r="R1774" t="str">
        <f>IFERROR(VLOOKUP(record[[#This Row],[PCUSTID]],廠商[],2,FALSE),"")</f>
        <v/>
      </c>
      <c r="S1774" t="str">
        <f>VLOOKUP(record[[#This Row],[employeeID]],員工[],2,FALSE)</f>
        <v>黎氏順</v>
      </c>
    </row>
    <row r="1775" spans="6:19" hidden="1" x14ac:dyDescent="0.25">
      <c r="F1775" t="s">
        <v>1803</v>
      </c>
      <c r="G1775" t="s">
        <v>417</v>
      </c>
      <c r="H1775" t="str">
        <f>VLOOKUP(record[[#This Row],[ProcessSN]],表格2_7[],2,FALSE)</f>
        <v>30-4118-018-5XX</v>
      </c>
      <c r="I1775" t="str">
        <f>VLOOKUP(record[[#This Row],[ProcessSN]],表格2_7[],3,FALSE)</f>
        <v>#06</v>
      </c>
      <c r="J1775" t="s">
        <v>593</v>
      </c>
      <c r="K1775" s="195">
        <v>46130.661886574075</v>
      </c>
      <c r="L1775">
        <v>133</v>
      </c>
      <c r="M1775">
        <v>0</v>
      </c>
      <c r="N1775" s="98" t="str">
        <f>IF(record[[#This Row],[Memo]]="Browser:chrome os:android","平板報工",IF(record[[#This Row],[Memo]]=0,"委外",record[[#This Row],[Memo]]))</f>
        <v/>
      </c>
      <c r="O1775" t="s">
        <v>58</v>
      </c>
      <c r="P1775" t="s">
        <v>188</v>
      </c>
      <c r="Q1775" t="s">
        <v>58</v>
      </c>
      <c r="R1775" t="str">
        <f>IFERROR(VLOOKUP(record[[#This Row],[PCUSTID]],廠商[],2,FALSE),"")</f>
        <v/>
      </c>
      <c r="S1775" t="str">
        <f>VLOOKUP(record[[#This Row],[employeeID]],員工[],2,FALSE)</f>
        <v>阮氏璧紅</v>
      </c>
    </row>
    <row r="1776" spans="6:19" hidden="1" x14ac:dyDescent="0.25">
      <c r="F1776" t="s">
        <v>1803</v>
      </c>
      <c r="G1776" t="s">
        <v>417</v>
      </c>
      <c r="H1776" t="str">
        <f>VLOOKUP(record[[#This Row],[ProcessSN]],表格2_7[],2,FALSE)</f>
        <v>30-4118-018-5XX</v>
      </c>
      <c r="I1776" t="str">
        <f>VLOOKUP(record[[#This Row],[ProcessSN]],表格2_7[],3,FALSE)</f>
        <v>#06</v>
      </c>
      <c r="J1776" t="s">
        <v>593</v>
      </c>
      <c r="K1776" s="195">
        <v>46130.661469907405</v>
      </c>
      <c r="L1776">
        <v>15</v>
      </c>
      <c r="M1776">
        <v>0</v>
      </c>
      <c r="N1776" s="98" t="str">
        <f>IF(record[[#This Row],[Memo]]="Browser:chrome os:android","平板報工",IF(record[[#This Row],[Memo]]=0,"委外",record[[#This Row],[Memo]]))</f>
        <v>平板報工</v>
      </c>
      <c r="O1776" t="s">
        <v>643</v>
      </c>
      <c r="P1776" t="s">
        <v>1413</v>
      </c>
      <c r="Q1776" t="s">
        <v>644</v>
      </c>
      <c r="R1776" t="str">
        <f>IFERROR(VLOOKUP(record[[#This Row],[PCUSTID]],廠商[],2,FALSE),"")</f>
        <v/>
      </c>
      <c r="S1776" t="str">
        <f>VLOOKUP(record[[#This Row],[employeeID]],員工[],2,FALSE)</f>
        <v>阮氏芳英(芳)</v>
      </c>
    </row>
    <row r="1777" spans="6:19" hidden="1" x14ac:dyDescent="0.25">
      <c r="F1777" t="s">
        <v>1818</v>
      </c>
      <c r="G1777" t="s">
        <v>465</v>
      </c>
      <c r="H1777" t="str">
        <f>VLOOKUP(record[[#This Row],[ProcessSN]],表格2_7[],2,FALSE)</f>
        <v>30-4118-018-XXX</v>
      </c>
      <c r="I1777" t="str">
        <f>VLOOKUP(record[[#This Row],[ProcessSN]],表格2_7[],3,FALSE)</f>
        <v>#01-1</v>
      </c>
      <c r="J1777" t="s">
        <v>588</v>
      </c>
      <c r="K1777" s="195">
        <v>46130.660416666666</v>
      </c>
      <c r="L1777">
        <v>209</v>
      </c>
      <c r="M1777">
        <v>0</v>
      </c>
      <c r="N1777" s="98" t="str">
        <f>IF(record[[#This Row],[Memo]]="Browser:chrome os:android","平板報工",IF(record[[#This Row],[Memo]]=0,"委外",record[[#This Row],[Memo]]))</f>
        <v>平板報工</v>
      </c>
      <c r="O1777" t="s">
        <v>643</v>
      </c>
      <c r="P1777" t="s">
        <v>107</v>
      </c>
      <c r="Q1777" t="s">
        <v>644</v>
      </c>
      <c r="R1777" t="str">
        <f>IFERROR(VLOOKUP(record[[#This Row],[PCUSTID]],廠商[],2,FALSE),"")</f>
        <v/>
      </c>
      <c r="S1777" t="str">
        <f>VLOOKUP(record[[#This Row],[employeeID]],員工[],2,FALSE)</f>
        <v>黎氏順</v>
      </c>
    </row>
    <row r="1778" spans="6:19" hidden="1" x14ac:dyDescent="0.25">
      <c r="F1778" t="s">
        <v>1772</v>
      </c>
      <c r="G1778" t="s">
        <v>465</v>
      </c>
      <c r="H1778" t="str">
        <f>VLOOKUP(record[[#This Row],[ProcessSN]],表格2_7[],2,FALSE)</f>
        <v>30-4118-018-XXX</v>
      </c>
      <c r="I1778" t="str">
        <f>VLOOKUP(record[[#This Row],[ProcessSN]],表格2_7[],3,FALSE)</f>
        <v>#01-1</v>
      </c>
      <c r="J1778" t="s">
        <v>588</v>
      </c>
      <c r="K1778" s="195">
        <v>46130.659699074073</v>
      </c>
      <c r="L1778">
        <v>679</v>
      </c>
      <c r="M1778">
        <v>0</v>
      </c>
      <c r="N1778" s="98" t="str">
        <f>IF(record[[#This Row],[Memo]]="Browser:chrome os:android","平板報工",IF(record[[#This Row],[Memo]]=0,"委外",record[[#This Row],[Memo]]))</f>
        <v>平板報工</v>
      </c>
      <c r="O1778" t="s">
        <v>643</v>
      </c>
      <c r="P1778" t="s">
        <v>107</v>
      </c>
      <c r="Q1778" t="s">
        <v>644</v>
      </c>
      <c r="R1778" t="str">
        <f>IFERROR(VLOOKUP(record[[#This Row],[PCUSTID]],廠商[],2,FALSE),"")</f>
        <v/>
      </c>
      <c r="S1778" t="str">
        <f>VLOOKUP(record[[#This Row],[employeeID]],員工[],2,FALSE)</f>
        <v>黎氏順</v>
      </c>
    </row>
    <row r="1779" spans="6:19" hidden="1" x14ac:dyDescent="0.25">
      <c r="F1779" t="s">
        <v>1803</v>
      </c>
      <c r="G1779" t="s">
        <v>418</v>
      </c>
      <c r="H1779" t="str">
        <f>VLOOKUP(record[[#This Row],[ProcessSN]],表格2_7[],2,FALSE)</f>
        <v>30-4118-018-5XX</v>
      </c>
      <c r="I1779" t="str">
        <f>VLOOKUP(record[[#This Row],[ProcessSN]],表格2_7[],3,FALSE)</f>
        <v>#07</v>
      </c>
      <c r="J1779" t="s">
        <v>588</v>
      </c>
      <c r="K1779" s="195">
        <v>46130.65960648148</v>
      </c>
      <c r="L1779">
        <v>239</v>
      </c>
      <c r="M1779">
        <v>0</v>
      </c>
      <c r="N1779" s="98" t="str">
        <f>IF(record[[#This Row],[Memo]]="Browser:chrome os:android","平板報工",IF(record[[#This Row],[Memo]]=0,"委外",record[[#This Row],[Memo]]))</f>
        <v>平板報工</v>
      </c>
      <c r="O1779" t="s">
        <v>643</v>
      </c>
      <c r="P1779" t="s">
        <v>785</v>
      </c>
      <c r="Q1779" t="s">
        <v>644</v>
      </c>
      <c r="R1779" t="str">
        <f>IFERROR(VLOOKUP(record[[#This Row],[PCUSTID]],廠商[],2,FALSE),"")</f>
        <v/>
      </c>
      <c r="S1779" t="str">
        <f>VLOOKUP(record[[#This Row],[employeeID]],員工[],2,FALSE)</f>
        <v>謝刻光</v>
      </c>
    </row>
    <row r="1780" spans="6:19" hidden="1" x14ac:dyDescent="0.25">
      <c r="F1780" t="s">
        <v>1803</v>
      </c>
      <c r="G1780" t="s">
        <v>416</v>
      </c>
      <c r="H1780" t="str">
        <f>VLOOKUP(record[[#This Row],[ProcessSN]],表格2_7[],2,FALSE)</f>
        <v>30-4118-018-5XX</v>
      </c>
      <c r="I1780" t="str">
        <f>VLOOKUP(record[[#This Row],[ProcessSN]],表格2_7[],3,FALSE)</f>
        <v>#05</v>
      </c>
      <c r="J1780" t="s">
        <v>588</v>
      </c>
      <c r="K1780" s="195">
        <v>46130.658854166664</v>
      </c>
      <c r="L1780">
        <v>208</v>
      </c>
      <c r="M1780">
        <v>2</v>
      </c>
      <c r="N1780" s="98" t="str">
        <f>IF(record[[#This Row],[Memo]]="Browser:chrome os:android","平板報工",IF(record[[#This Row],[Memo]]=0,"委外",record[[#This Row],[Memo]]))</f>
        <v>平板報工</v>
      </c>
      <c r="O1780" t="s">
        <v>643</v>
      </c>
      <c r="P1780" t="s">
        <v>139</v>
      </c>
      <c r="Q1780" t="s">
        <v>644</v>
      </c>
      <c r="R1780" t="str">
        <f>IFERROR(VLOOKUP(record[[#This Row],[PCUSTID]],廠商[],2,FALSE),"")</f>
        <v/>
      </c>
      <c r="S1780" t="str">
        <f>VLOOKUP(record[[#This Row],[employeeID]],員工[],2,FALSE)</f>
        <v>高氏顏</v>
      </c>
    </row>
    <row r="1781" spans="6:19" hidden="1" x14ac:dyDescent="0.25">
      <c r="F1781" t="s">
        <v>1803</v>
      </c>
      <c r="G1781" t="s">
        <v>419</v>
      </c>
      <c r="H1781" t="str">
        <f>VLOOKUP(record[[#This Row],[ProcessSN]],表格2_7[],2,FALSE)</f>
        <v>30-4118-018-5XX</v>
      </c>
      <c r="I1781" t="str">
        <f>VLOOKUP(record[[#This Row],[ProcessSN]],表格2_7[],3,FALSE)</f>
        <v>#07QC</v>
      </c>
      <c r="J1781" t="s">
        <v>589</v>
      </c>
      <c r="K1781" s="195">
        <v>46130.65730324074</v>
      </c>
      <c r="L1781">
        <v>348</v>
      </c>
      <c r="M1781">
        <v>0</v>
      </c>
      <c r="N1781" s="98" t="str">
        <f>IF(record[[#This Row],[Memo]]="Browser:chrome os:android","平板報工",IF(record[[#This Row],[Memo]]=0,"委外",record[[#This Row],[Memo]]))</f>
        <v/>
      </c>
      <c r="O1781" t="s">
        <v>58</v>
      </c>
      <c r="P1781" t="s">
        <v>141</v>
      </c>
      <c r="Q1781" t="s">
        <v>58</v>
      </c>
      <c r="R1781" t="str">
        <f>IFERROR(VLOOKUP(record[[#This Row],[PCUSTID]],廠商[],2,FALSE),"")</f>
        <v/>
      </c>
      <c r="S1781" t="str">
        <f>VLOOKUP(record[[#This Row],[employeeID]],員工[],2,FALSE)</f>
        <v>蔣梅</v>
      </c>
    </row>
    <row r="1782" spans="6:19" hidden="1" x14ac:dyDescent="0.25">
      <c r="F1782" t="s">
        <v>1803</v>
      </c>
      <c r="G1782" t="s">
        <v>419</v>
      </c>
      <c r="H1782" t="str">
        <f>VLOOKUP(record[[#This Row],[ProcessSN]],表格2_7[],2,FALSE)</f>
        <v>30-4118-018-5XX</v>
      </c>
      <c r="I1782" t="str">
        <f>VLOOKUP(record[[#This Row],[ProcessSN]],表格2_7[],3,FALSE)</f>
        <v>#07QC</v>
      </c>
      <c r="J1782" t="s">
        <v>589</v>
      </c>
      <c r="K1782" s="195">
        <v>46130.656412037039</v>
      </c>
      <c r="L1782">
        <v>0</v>
      </c>
      <c r="M1782">
        <v>68</v>
      </c>
      <c r="N1782" s="98" t="str">
        <f>IF(record[[#This Row],[Memo]]="Browser:chrome os:android","平板報工",IF(record[[#This Row],[Memo]]=0,"委外",record[[#This Row],[Memo]]))</f>
        <v/>
      </c>
      <c r="O1782" t="s">
        <v>58</v>
      </c>
      <c r="P1782" t="s">
        <v>141</v>
      </c>
      <c r="Q1782" t="s">
        <v>58</v>
      </c>
      <c r="R1782" t="str">
        <f>IFERROR(VLOOKUP(record[[#This Row],[PCUSTID]],廠商[],2,FALSE),"")</f>
        <v/>
      </c>
      <c r="S1782" t="str">
        <f>VLOOKUP(record[[#This Row],[employeeID]],員工[],2,FALSE)</f>
        <v>蔣梅</v>
      </c>
    </row>
    <row r="1783" spans="6:19" hidden="1" x14ac:dyDescent="0.25">
      <c r="F1783" t="s">
        <v>1803</v>
      </c>
      <c r="G1783" t="s">
        <v>419</v>
      </c>
      <c r="H1783" t="str">
        <f>VLOOKUP(record[[#This Row],[ProcessSN]],表格2_7[],2,FALSE)</f>
        <v>30-4118-018-5XX</v>
      </c>
      <c r="I1783" t="str">
        <f>VLOOKUP(record[[#This Row],[ProcessSN]],表格2_7[],3,FALSE)</f>
        <v>#07QC</v>
      </c>
      <c r="J1783" t="s">
        <v>589</v>
      </c>
      <c r="K1783" s="195">
        <v>46130.65625</v>
      </c>
      <c r="L1783">
        <v>0</v>
      </c>
      <c r="M1783">
        <v>19</v>
      </c>
      <c r="N1783" s="98" t="str">
        <f>IF(record[[#This Row],[Memo]]="Browser:chrome os:android","平板報工",IF(record[[#This Row],[Memo]]=0,"委外",record[[#This Row],[Memo]]))</f>
        <v/>
      </c>
      <c r="O1783" t="s">
        <v>58</v>
      </c>
      <c r="P1783" t="s">
        <v>141</v>
      </c>
      <c r="Q1783" t="s">
        <v>58</v>
      </c>
      <c r="R1783" t="str">
        <f>IFERROR(VLOOKUP(record[[#This Row],[PCUSTID]],廠商[],2,FALSE),"")</f>
        <v/>
      </c>
      <c r="S1783" t="str">
        <f>VLOOKUP(record[[#This Row],[employeeID]],員工[],2,FALSE)</f>
        <v>蔣梅</v>
      </c>
    </row>
    <row r="1784" spans="6:19" hidden="1" x14ac:dyDescent="0.25">
      <c r="F1784" t="s">
        <v>1803</v>
      </c>
      <c r="G1784" t="s">
        <v>415</v>
      </c>
      <c r="H1784" t="str">
        <f>VLOOKUP(record[[#This Row],[ProcessSN]],表格2_7[],2,FALSE)</f>
        <v>30-4118-018-5XX</v>
      </c>
      <c r="I1784" t="str">
        <f>VLOOKUP(record[[#This Row],[ProcessSN]],表格2_7[],3,FALSE)</f>
        <v>#04</v>
      </c>
      <c r="J1784" t="s">
        <v>588</v>
      </c>
      <c r="K1784" s="195">
        <v>46130.656018518515</v>
      </c>
      <c r="L1784">
        <v>135</v>
      </c>
      <c r="M1784">
        <v>0</v>
      </c>
      <c r="N1784" s="98" t="str">
        <f>IF(record[[#This Row],[Memo]]="Browser:chrome os:android","平板報工",IF(record[[#This Row],[Memo]]=0,"委外",record[[#This Row],[Memo]]))</f>
        <v>平板報工</v>
      </c>
      <c r="O1784" t="s">
        <v>643</v>
      </c>
      <c r="P1784" t="s">
        <v>107</v>
      </c>
      <c r="Q1784" t="s">
        <v>644</v>
      </c>
      <c r="R1784" t="str">
        <f>IFERROR(VLOOKUP(record[[#This Row],[PCUSTID]],廠商[],2,FALSE),"")</f>
        <v/>
      </c>
      <c r="S1784" t="str">
        <f>VLOOKUP(record[[#This Row],[employeeID]],員工[],2,FALSE)</f>
        <v>黎氏順</v>
      </c>
    </row>
    <row r="1785" spans="6:19" hidden="1" x14ac:dyDescent="0.25">
      <c r="F1785" t="s">
        <v>1803</v>
      </c>
      <c r="G1785" t="s">
        <v>415</v>
      </c>
      <c r="H1785" t="str">
        <f>VLOOKUP(record[[#This Row],[ProcessSN]],表格2_7[],2,FALSE)</f>
        <v>30-4118-018-5XX</v>
      </c>
      <c r="I1785" t="str">
        <f>VLOOKUP(record[[#This Row],[ProcessSN]],表格2_7[],3,FALSE)</f>
        <v>#04</v>
      </c>
      <c r="J1785" t="s">
        <v>588</v>
      </c>
      <c r="K1785" s="195">
        <v>46130.655451388891</v>
      </c>
      <c r="L1785">
        <v>135</v>
      </c>
      <c r="M1785">
        <v>0</v>
      </c>
      <c r="N1785" s="98" t="str">
        <f>IF(record[[#This Row],[Memo]]="Browser:chrome os:android","平板報工",IF(record[[#This Row],[Memo]]=0,"委外",record[[#This Row],[Memo]]))</f>
        <v>平板報工</v>
      </c>
      <c r="O1785" t="s">
        <v>643</v>
      </c>
      <c r="P1785" t="s">
        <v>107</v>
      </c>
      <c r="Q1785" t="s">
        <v>644</v>
      </c>
      <c r="R1785" t="str">
        <f>IFERROR(VLOOKUP(record[[#This Row],[PCUSTID]],廠商[],2,FALSE),"")</f>
        <v/>
      </c>
      <c r="S1785" t="str">
        <f>VLOOKUP(record[[#This Row],[employeeID]],員工[],2,FALSE)</f>
        <v>黎氏順</v>
      </c>
    </row>
    <row r="1786" spans="6:19" hidden="1" x14ac:dyDescent="0.25">
      <c r="F1786" t="s">
        <v>1653</v>
      </c>
      <c r="G1786" t="s">
        <v>419</v>
      </c>
      <c r="H1786" t="str">
        <f>VLOOKUP(record[[#This Row],[ProcessSN]],表格2_7[],2,FALSE)</f>
        <v>30-4118-018-5XX</v>
      </c>
      <c r="I1786" t="str">
        <f>VLOOKUP(record[[#This Row],[ProcessSN]],表格2_7[],3,FALSE)</f>
        <v>#07QC</v>
      </c>
      <c r="J1786" t="s">
        <v>589</v>
      </c>
      <c r="K1786" s="195">
        <v>46130.654537037037</v>
      </c>
      <c r="L1786">
        <v>0</v>
      </c>
      <c r="M1786">
        <v>12</v>
      </c>
      <c r="N1786" s="98" t="str">
        <f>IF(record[[#This Row],[Memo]]="Browser:chrome os:android","平板報工",IF(record[[#This Row],[Memo]]=0,"委外",record[[#This Row],[Memo]]))</f>
        <v/>
      </c>
      <c r="O1786" t="s">
        <v>58</v>
      </c>
      <c r="P1786" t="s">
        <v>141</v>
      </c>
      <c r="Q1786" t="s">
        <v>58</v>
      </c>
      <c r="R1786" t="str">
        <f>IFERROR(VLOOKUP(record[[#This Row],[PCUSTID]],廠商[],2,FALSE),"")</f>
        <v/>
      </c>
      <c r="S1786" t="str">
        <f>VLOOKUP(record[[#This Row],[employeeID]],員工[],2,FALSE)</f>
        <v>蔣梅</v>
      </c>
    </row>
    <row r="1787" spans="6:19" hidden="1" x14ac:dyDescent="0.25">
      <c r="F1787" t="s">
        <v>1653</v>
      </c>
      <c r="G1787" t="s">
        <v>419</v>
      </c>
      <c r="H1787" t="str">
        <f>VLOOKUP(record[[#This Row],[ProcessSN]],表格2_7[],2,FALSE)</f>
        <v>30-4118-018-5XX</v>
      </c>
      <c r="I1787" t="str">
        <f>VLOOKUP(record[[#This Row],[ProcessSN]],表格2_7[],3,FALSE)</f>
        <v>#07QC</v>
      </c>
      <c r="J1787" t="s">
        <v>589</v>
      </c>
      <c r="K1787" s="195">
        <v>46130.654409722221</v>
      </c>
      <c r="L1787">
        <v>24</v>
      </c>
      <c r="M1787">
        <v>0</v>
      </c>
      <c r="N1787" s="98" t="str">
        <f>IF(record[[#This Row],[Memo]]="Browser:chrome os:android","平板報工",IF(record[[#This Row],[Memo]]=0,"委外",record[[#This Row],[Memo]]))</f>
        <v>覆回</v>
      </c>
      <c r="O1787" t="s">
        <v>682</v>
      </c>
      <c r="P1787" t="s">
        <v>141</v>
      </c>
      <c r="Q1787" t="s">
        <v>58</v>
      </c>
      <c r="R1787" t="str">
        <f>IFERROR(VLOOKUP(record[[#This Row],[PCUSTID]],廠商[],2,FALSE),"")</f>
        <v/>
      </c>
      <c r="S1787" t="str">
        <f>VLOOKUP(record[[#This Row],[employeeID]],員工[],2,FALSE)</f>
        <v>蔣梅</v>
      </c>
    </row>
    <row r="1788" spans="6:19" hidden="1" x14ac:dyDescent="0.25">
      <c r="F1788" t="s">
        <v>1782</v>
      </c>
      <c r="G1788" t="s">
        <v>419</v>
      </c>
      <c r="H1788" t="str">
        <f>VLOOKUP(record[[#This Row],[ProcessSN]],表格2_7[],2,FALSE)</f>
        <v>30-4118-018-5XX</v>
      </c>
      <c r="I1788" t="str">
        <f>VLOOKUP(record[[#This Row],[ProcessSN]],表格2_7[],3,FALSE)</f>
        <v>#07QC</v>
      </c>
      <c r="J1788" t="s">
        <v>589</v>
      </c>
      <c r="K1788" s="195">
        <v>46130.652581018519</v>
      </c>
      <c r="L1788">
        <v>0</v>
      </c>
      <c r="M1788">
        <v>34</v>
      </c>
      <c r="N1788" s="98" t="str">
        <f>IF(record[[#This Row],[Memo]]="Browser:chrome os:android","平板報工",IF(record[[#This Row],[Memo]]=0,"委外",record[[#This Row],[Memo]]))</f>
        <v/>
      </c>
      <c r="O1788" t="s">
        <v>58</v>
      </c>
      <c r="P1788" t="s">
        <v>141</v>
      </c>
      <c r="Q1788" t="s">
        <v>58</v>
      </c>
      <c r="R1788" t="str">
        <f>IFERROR(VLOOKUP(record[[#This Row],[PCUSTID]],廠商[],2,FALSE),"")</f>
        <v/>
      </c>
      <c r="S1788" t="str">
        <f>VLOOKUP(record[[#This Row],[employeeID]],員工[],2,FALSE)</f>
        <v>蔣梅</v>
      </c>
    </row>
    <row r="1789" spans="6:19" hidden="1" x14ac:dyDescent="0.25">
      <c r="F1789" t="s">
        <v>1782</v>
      </c>
      <c r="G1789" t="s">
        <v>419</v>
      </c>
      <c r="H1789" t="str">
        <f>VLOOKUP(record[[#This Row],[ProcessSN]],表格2_7[],2,FALSE)</f>
        <v>30-4118-018-5XX</v>
      </c>
      <c r="I1789" t="str">
        <f>VLOOKUP(record[[#This Row],[ProcessSN]],表格2_7[],3,FALSE)</f>
        <v>#07QC</v>
      </c>
      <c r="J1789" t="s">
        <v>589</v>
      </c>
      <c r="K1789" s="195">
        <v>46130.652418981481</v>
      </c>
      <c r="L1789">
        <v>34</v>
      </c>
      <c r="M1789">
        <v>0</v>
      </c>
      <c r="N1789" s="98" t="str">
        <f>IF(record[[#This Row],[Memo]]="Browser:chrome os:android","平板報工",IF(record[[#This Row],[Memo]]=0,"委外",record[[#This Row],[Memo]]))</f>
        <v>覆回</v>
      </c>
      <c r="O1789" t="s">
        <v>682</v>
      </c>
      <c r="P1789" t="s">
        <v>141</v>
      </c>
      <c r="Q1789" t="s">
        <v>58</v>
      </c>
      <c r="R1789" t="str">
        <f>IFERROR(VLOOKUP(record[[#This Row],[PCUSTID]],廠商[],2,FALSE),"")</f>
        <v/>
      </c>
      <c r="S1789" t="str">
        <f>VLOOKUP(record[[#This Row],[employeeID]],員工[],2,FALSE)</f>
        <v>蔣梅</v>
      </c>
    </row>
    <row r="1790" spans="6:19" hidden="1" x14ac:dyDescent="0.25">
      <c r="F1790" t="s">
        <v>1816</v>
      </c>
      <c r="G1790" t="s">
        <v>401</v>
      </c>
      <c r="H1790" t="str">
        <f>VLOOKUP(record[[#This Row],[ProcessSN]],表格2_7[],2,FALSE)</f>
        <v>30-4118-018-550</v>
      </c>
      <c r="I1790" t="str">
        <f>VLOOKUP(record[[#This Row],[ProcessSN]],表格2_7[],3,FALSE)</f>
        <v>#100OQC</v>
      </c>
      <c r="J1790" t="s">
        <v>599</v>
      </c>
      <c r="K1790" s="195">
        <v>46130.553993055553</v>
      </c>
      <c r="L1790">
        <v>342</v>
      </c>
      <c r="M1790">
        <v>0</v>
      </c>
      <c r="N1790" s="98" t="str">
        <f>IF(record[[#This Row],[Memo]]="Browser:chrome os:android","平板報工",IF(record[[#This Row],[Memo]]=0,"委外",record[[#This Row],[Memo]]))</f>
        <v/>
      </c>
      <c r="O1790" t="s">
        <v>58</v>
      </c>
      <c r="P1790" t="s">
        <v>121</v>
      </c>
      <c r="Q1790" t="s">
        <v>58</v>
      </c>
      <c r="R1790" t="str">
        <f>IFERROR(VLOOKUP(record[[#This Row],[PCUSTID]],廠商[],2,FALSE),"")</f>
        <v/>
      </c>
      <c r="S1790" t="str">
        <f>VLOOKUP(record[[#This Row],[employeeID]],員工[],2,FALSE)</f>
        <v>謝素卿</v>
      </c>
    </row>
    <row r="1791" spans="6:19" hidden="1" x14ac:dyDescent="0.25">
      <c r="F1791" t="s">
        <v>1787</v>
      </c>
      <c r="G1791" t="s">
        <v>468</v>
      </c>
      <c r="H1791" t="str">
        <f>VLOOKUP(record[[#This Row],[ProcessSN]],表格2_7[],2,FALSE)</f>
        <v>30-4118-018-XXX</v>
      </c>
      <c r="I1791" t="str">
        <f>VLOOKUP(record[[#This Row],[ProcessSN]],表格2_7[],3,FALSE)</f>
        <v>#02</v>
      </c>
      <c r="J1791" t="s">
        <v>590</v>
      </c>
      <c r="K1791" s="195">
        <v>46130.443935185183</v>
      </c>
      <c r="L1791">
        <v>992</v>
      </c>
      <c r="M1791">
        <v>0</v>
      </c>
      <c r="N1791" s="98" t="str">
        <f>IF(record[[#This Row],[Memo]]="Browser:chrome os:android","平板報工",IF(record[[#This Row],[Memo]]=0,"委外",record[[#This Row],[Memo]]))</f>
        <v/>
      </c>
      <c r="O1791" t="s">
        <v>58</v>
      </c>
      <c r="P1791" t="s">
        <v>99</v>
      </c>
      <c r="Q1791" t="s">
        <v>58</v>
      </c>
      <c r="R1791" t="str">
        <f>IFERROR(VLOOKUP(record[[#This Row],[PCUSTID]],廠商[],2,FALSE),"")</f>
        <v/>
      </c>
      <c r="S1791" t="str">
        <f>VLOOKUP(record[[#This Row],[employeeID]],員工[],2,FALSE)</f>
        <v>阮氏河</v>
      </c>
    </row>
    <row r="1792" spans="6:19" hidden="1" x14ac:dyDescent="0.25">
      <c r="F1792" t="s">
        <v>1787</v>
      </c>
      <c r="G1792" t="s">
        <v>467</v>
      </c>
      <c r="H1792" t="str">
        <f>VLOOKUP(record[[#This Row],[ProcessSN]],表格2_7[],2,FALSE)</f>
        <v>30-4118-018-XXX</v>
      </c>
      <c r="I1792" t="str">
        <f>VLOOKUP(record[[#This Row],[ProcessSN]],表格2_7[],3,FALSE)</f>
        <v>#01QC</v>
      </c>
      <c r="J1792" t="s">
        <v>589</v>
      </c>
      <c r="K1792" s="195">
        <v>46130.441886574074</v>
      </c>
      <c r="L1792">
        <v>672</v>
      </c>
      <c r="M1792">
        <v>0</v>
      </c>
      <c r="N1792" s="98" t="str">
        <f>IF(record[[#This Row],[Memo]]="Browser:chrome os:android","平板報工",IF(record[[#This Row],[Memo]]=0,"委外",record[[#This Row],[Memo]]))</f>
        <v/>
      </c>
      <c r="O1792" t="s">
        <v>58</v>
      </c>
      <c r="P1792" t="s">
        <v>99</v>
      </c>
      <c r="Q1792" t="s">
        <v>58</v>
      </c>
      <c r="R1792" t="str">
        <f>IFERROR(VLOOKUP(record[[#This Row],[PCUSTID]],廠商[],2,FALSE),"")</f>
        <v/>
      </c>
      <c r="S1792" t="str">
        <f>VLOOKUP(record[[#This Row],[employeeID]],員工[],2,FALSE)</f>
        <v>阮氏河</v>
      </c>
    </row>
    <row r="1793" spans="6:19" hidden="1" x14ac:dyDescent="0.25">
      <c r="F1793" t="s">
        <v>1818</v>
      </c>
      <c r="G1793" t="s">
        <v>464</v>
      </c>
      <c r="H1793" t="str">
        <f>VLOOKUP(record[[#This Row],[ProcessSN]],表格2_7[],2,FALSE)</f>
        <v>30-4118-018-XXX</v>
      </c>
      <c r="I1793" t="str">
        <f>VLOOKUP(record[[#This Row],[ProcessSN]],表格2_7[],3,FALSE)</f>
        <v>#01GIVE</v>
      </c>
      <c r="J1793" t="s">
        <v>587</v>
      </c>
      <c r="K1793" s="195">
        <v>46130.424270833333</v>
      </c>
      <c r="L1793">
        <v>5000</v>
      </c>
      <c r="M1793">
        <v>0</v>
      </c>
      <c r="N1793" s="98" t="str">
        <f>IF(record[[#This Row],[Memo]]="Browser:chrome os:android","平板報工",IF(record[[#This Row],[Memo]]=0,"委外",record[[#This Row],[Memo]]))</f>
        <v/>
      </c>
      <c r="O1793" t="s">
        <v>58</v>
      </c>
      <c r="P1793" t="s">
        <v>99</v>
      </c>
      <c r="Q1793" t="s">
        <v>58</v>
      </c>
      <c r="R1793" t="str">
        <f>IFERROR(VLOOKUP(record[[#This Row],[PCUSTID]],廠商[],2,FALSE),"")</f>
        <v/>
      </c>
      <c r="S1793" t="str">
        <f>VLOOKUP(record[[#This Row],[employeeID]],員工[],2,FALSE)</f>
        <v>阮氏河</v>
      </c>
    </row>
    <row r="1794" spans="6:19" hidden="1" x14ac:dyDescent="0.25">
      <c r="F1794" t="s">
        <v>1803</v>
      </c>
      <c r="G1794" t="s">
        <v>417</v>
      </c>
      <c r="H1794" t="str">
        <f>VLOOKUP(record[[#This Row],[ProcessSN]],表格2_7[],2,FALSE)</f>
        <v>30-4118-018-5XX</v>
      </c>
      <c r="I1794" t="str">
        <f>VLOOKUP(record[[#This Row],[ProcessSN]],表格2_7[],3,FALSE)</f>
        <v>#06</v>
      </c>
      <c r="J1794" t="s">
        <v>593</v>
      </c>
      <c r="K1794" s="195">
        <v>46130.318784722222</v>
      </c>
      <c r="L1794">
        <v>133</v>
      </c>
      <c r="M1794">
        <v>0</v>
      </c>
      <c r="N1794" s="98" t="str">
        <f>IF(record[[#This Row],[Memo]]="Browser:chrome os:android","平板報工",IF(record[[#This Row],[Memo]]=0,"委外",record[[#This Row],[Memo]]))</f>
        <v/>
      </c>
      <c r="O1794" t="s">
        <v>58</v>
      </c>
      <c r="P1794" t="s">
        <v>691</v>
      </c>
      <c r="Q1794" t="s">
        <v>58</v>
      </c>
      <c r="R1794" t="str">
        <f>IFERROR(VLOOKUP(record[[#This Row],[PCUSTID]],廠商[],2,FALSE),"")</f>
        <v/>
      </c>
      <c r="S1794" t="str">
        <f>VLOOKUP(record[[#This Row],[employeeID]],員工[],2,FALSE)</f>
        <v>武氏賢</v>
      </c>
    </row>
    <row r="1795" spans="6:19" hidden="1" x14ac:dyDescent="0.25">
      <c r="F1795" t="s">
        <v>1803</v>
      </c>
      <c r="G1795" t="s">
        <v>417</v>
      </c>
      <c r="H1795" t="str">
        <f>VLOOKUP(record[[#This Row],[ProcessSN]],表格2_7[],2,FALSE)</f>
        <v>30-4118-018-5XX</v>
      </c>
      <c r="I1795" t="str">
        <f>VLOOKUP(record[[#This Row],[ProcessSN]],表格2_7[],3,FALSE)</f>
        <v>#06</v>
      </c>
      <c r="J1795" t="s">
        <v>593</v>
      </c>
      <c r="K1795" s="195">
        <v>46130.317326388889</v>
      </c>
      <c r="L1795">
        <v>136</v>
      </c>
      <c r="M1795">
        <v>1</v>
      </c>
      <c r="N1795" s="98" t="str">
        <f>IF(record[[#This Row],[Memo]]="Browser:chrome os:android","平板報工",IF(record[[#This Row],[Memo]]=0,"委外",record[[#This Row],[Memo]]))</f>
        <v/>
      </c>
      <c r="O1795" t="s">
        <v>58</v>
      </c>
      <c r="P1795" t="s">
        <v>180</v>
      </c>
      <c r="Q1795" t="s">
        <v>58</v>
      </c>
      <c r="R1795" t="str">
        <f>IFERROR(VLOOKUP(record[[#This Row],[PCUSTID]],廠商[],2,FALSE),"")</f>
        <v/>
      </c>
      <c r="S1795" t="str">
        <f>VLOOKUP(record[[#This Row],[employeeID]],員工[],2,FALSE)</f>
        <v>黎功江</v>
      </c>
    </row>
    <row r="1796" spans="6:19" hidden="1" x14ac:dyDescent="0.25">
      <c r="F1796" t="s">
        <v>1790</v>
      </c>
      <c r="G1796" t="s">
        <v>377</v>
      </c>
      <c r="H1796" t="str">
        <f>VLOOKUP(record[[#This Row],[ProcessSN]],表格2_7[],2,FALSE)</f>
        <v>30-4118-018-4XX</v>
      </c>
      <c r="I1796" t="str">
        <f>VLOOKUP(record[[#This Row],[ProcessSN]],表格2_7[],3,FALSE)</f>
        <v>#07</v>
      </c>
      <c r="J1796" t="s">
        <v>588</v>
      </c>
      <c r="K1796" s="195">
        <v>46130.316342592596</v>
      </c>
      <c r="L1796">
        <v>132</v>
      </c>
      <c r="M1796">
        <v>0</v>
      </c>
      <c r="N1796" s="98" t="str">
        <f>IF(record[[#This Row],[Memo]]="Browser:chrome os:android","平板報工",IF(record[[#This Row],[Memo]]=0,"委外",record[[#This Row],[Memo]]))</f>
        <v/>
      </c>
      <c r="O1796" t="s">
        <v>58</v>
      </c>
      <c r="P1796" t="s">
        <v>843</v>
      </c>
      <c r="Q1796" t="s">
        <v>58</v>
      </c>
      <c r="R1796" t="str">
        <f>IFERROR(VLOOKUP(record[[#This Row],[PCUSTID]],廠商[],2,FALSE),"")</f>
        <v/>
      </c>
      <c r="S1796" t="str">
        <f>VLOOKUP(record[[#This Row],[employeeID]],員工[],2,FALSE)</f>
        <v>張楚承</v>
      </c>
    </row>
    <row r="1797" spans="6:19" hidden="1" x14ac:dyDescent="0.25">
      <c r="F1797" t="s">
        <v>1790</v>
      </c>
      <c r="G1797" t="s">
        <v>376</v>
      </c>
      <c r="H1797" t="str">
        <f>VLOOKUP(record[[#This Row],[ProcessSN]],表格2_7[],2,FALSE)</f>
        <v>30-4118-018-4XX</v>
      </c>
      <c r="I1797" t="str">
        <f>VLOOKUP(record[[#This Row],[ProcessSN]],表格2_7[],3,FALSE)</f>
        <v>#06</v>
      </c>
      <c r="J1797" t="s">
        <v>593</v>
      </c>
      <c r="K1797" s="195">
        <v>46130.31590277778</v>
      </c>
      <c r="L1797">
        <v>178</v>
      </c>
      <c r="M1797">
        <v>0</v>
      </c>
      <c r="N1797" s="98" t="str">
        <f>IF(record[[#This Row],[Memo]]="Browser:chrome os:android","平板報工",IF(record[[#This Row],[Memo]]=0,"委外",record[[#This Row],[Memo]]))</f>
        <v/>
      </c>
      <c r="O1797" t="s">
        <v>58</v>
      </c>
      <c r="P1797" t="s">
        <v>135</v>
      </c>
      <c r="Q1797" t="s">
        <v>58</v>
      </c>
      <c r="R1797" t="str">
        <f>IFERROR(VLOOKUP(record[[#This Row],[PCUSTID]],廠商[],2,FALSE),"")</f>
        <v/>
      </c>
      <c r="S1797" t="str">
        <f>VLOOKUP(record[[#This Row],[employeeID]],員工[],2,FALSE)</f>
        <v>阮士文</v>
      </c>
    </row>
    <row r="1798" spans="6:19" hidden="1" x14ac:dyDescent="0.25">
      <c r="F1798" t="s">
        <v>1790</v>
      </c>
      <c r="G1798" t="s">
        <v>375</v>
      </c>
      <c r="H1798" t="str">
        <f>VLOOKUP(record[[#This Row],[ProcessSN]],表格2_7[],2,FALSE)</f>
        <v>30-4118-018-4XX</v>
      </c>
      <c r="I1798" t="str">
        <f>VLOOKUP(record[[#This Row],[ProcessSN]],表格2_7[],3,FALSE)</f>
        <v>#05</v>
      </c>
      <c r="J1798" t="s">
        <v>588</v>
      </c>
      <c r="K1798" s="195">
        <v>46130.31559027778</v>
      </c>
      <c r="L1798">
        <v>178</v>
      </c>
      <c r="M1798">
        <v>0</v>
      </c>
      <c r="N1798" s="98" t="str">
        <f>IF(record[[#This Row],[Memo]]="Browser:chrome os:android","平板報工",IF(record[[#This Row],[Memo]]=0,"委外",record[[#This Row],[Memo]]))</f>
        <v/>
      </c>
      <c r="O1798" t="s">
        <v>58</v>
      </c>
      <c r="P1798" t="s">
        <v>843</v>
      </c>
      <c r="Q1798" t="s">
        <v>58</v>
      </c>
      <c r="R1798" t="str">
        <f>IFERROR(VLOOKUP(record[[#This Row],[PCUSTID]],廠商[],2,FALSE),"")</f>
        <v/>
      </c>
      <c r="S1798" t="str">
        <f>VLOOKUP(record[[#This Row],[employeeID]],員工[],2,FALSE)</f>
        <v>張楚承</v>
      </c>
    </row>
    <row r="1799" spans="6:19" hidden="1" x14ac:dyDescent="0.25">
      <c r="F1799" t="s">
        <v>1803</v>
      </c>
      <c r="G1799" t="s">
        <v>416</v>
      </c>
      <c r="H1799" t="str">
        <f>VLOOKUP(record[[#This Row],[ProcessSN]],表格2_7[],2,FALSE)</f>
        <v>30-4118-018-5XX</v>
      </c>
      <c r="I1799" t="str">
        <f>VLOOKUP(record[[#This Row],[ProcessSN]],表格2_7[],3,FALSE)</f>
        <v>#05</v>
      </c>
      <c r="J1799" t="s">
        <v>588</v>
      </c>
      <c r="K1799" s="195">
        <v>46130.315069444441</v>
      </c>
      <c r="L1799">
        <v>241</v>
      </c>
      <c r="M1799">
        <v>0</v>
      </c>
      <c r="N1799" s="98" t="str">
        <f>IF(record[[#This Row],[Memo]]="Browser:chrome os:android","平板報工",IF(record[[#This Row],[Memo]]=0,"委外",record[[#This Row],[Memo]]))</f>
        <v/>
      </c>
      <c r="O1799" t="s">
        <v>58</v>
      </c>
      <c r="P1799" t="s">
        <v>843</v>
      </c>
      <c r="Q1799" t="s">
        <v>58</v>
      </c>
      <c r="R1799" t="str">
        <f>IFERROR(VLOOKUP(record[[#This Row],[PCUSTID]],廠商[],2,FALSE),"")</f>
        <v/>
      </c>
      <c r="S1799" t="str">
        <f>VLOOKUP(record[[#This Row],[employeeID]],員工[],2,FALSE)</f>
        <v>張楚承</v>
      </c>
    </row>
    <row r="1800" spans="6:19" hidden="1" x14ac:dyDescent="0.25">
      <c r="F1800" t="s">
        <v>1787</v>
      </c>
      <c r="G1800" t="s">
        <v>466</v>
      </c>
      <c r="H1800" t="str">
        <f>VLOOKUP(record[[#This Row],[ProcessSN]],表格2_7[],2,FALSE)</f>
        <v>30-4118-018-XXX</v>
      </c>
      <c r="I1800" t="str">
        <f>VLOOKUP(record[[#This Row],[ProcessSN]],表格2_7[],3,FALSE)</f>
        <v>#01-2</v>
      </c>
      <c r="J1800" t="s">
        <v>588</v>
      </c>
      <c r="K1800" s="195">
        <v>46130.314722222225</v>
      </c>
      <c r="L1800">
        <v>192</v>
      </c>
      <c r="M1800">
        <v>0</v>
      </c>
      <c r="N1800" s="98" t="str">
        <f>IF(record[[#This Row],[Memo]]="Browser:chrome os:android","平板報工",IF(record[[#This Row],[Memo]]=0,"委外",record[[#This Row],[Memo]]))</f>
        <v/>
      </c>
      <c r="O1800" t="s">
        <v>58</v>
      </c>
      <c r="P1800" t="s">
        <v>135</v>
      </c>
      <c r="Q1800" t="s">
        <v>58</v>
      </c>
      <c r="R1800" t="str">
        <f>IFERROR(VLOOKUP(record[[#This Row],[PCUSTID]],廠商[],2,FALSE),"")</f>
        <v/>
      </c>
      <c r="S1800" t="str">
        <f>VLOOKUP(record[[#This Row],[employeeID]],員工[],2,FALSE)</f>
        <v>阮士文</v>
      </c>
    </row>
    <row r="1801" spans="6:19" hidden="1" x14ac:dyDescent="0.25">
      <c r="F1801" t="s">
        <v>1772</v>
      </c>
      <c r="G1801" t="s">
        <v>465</v>
      </c>
      <c r="H1801" t="str">
        <f>VLOOKUP(record[[#This Row],[ProcessSN]],表格2_7[],2,FALSE)</f>
        <v>30-4118-018-XXX</v>
      </c>
      <c r="I1801" t="str">
        <f>VLOOKUP(record[[#This Row],[ProcessSN]],表格2_7[],3,FALSE)</f>
        <v>#01-1</v>
      </c>
      <c r="J1801" t="s">
        <v>588</v>
      </c>
      <c r="K1801" s="195">
        <v>46130.314398148148</v>
      </c>
      <c r="L1801">
        <v>912</v>
      </c>
      <c r="M1801">
        <v>0</v>
      </c>
      <c r="N1801" s="98" t="str">
        <f>IF(record[[#This Row],[Memo]]="Browser:chrome os:android","平板報工",IF(record[[#This Row],[Memo]]=0,"委外",record[[#This Row],[Memo]]))</f>
        <v/>
      </c>
      <c r="O1801" t="s">
        <v>58</v>
      </c>
      <c r="P1801" t="s">
        <v>135</v>
      </c>
      <c r="Q1801" t="s">
        <v>58</v>
      </c>
      <c r="R1801" t="str">
        <f>IFERROR(VLOOKUP(record[[#This Row],[PCUSTID]],廠商[],2,FALSE),"")</f>
        <v/>
      </c>
      <c r="S1801" t="str">
        <f>VLOOKUP(record[[#This Row],[employeeID]],員工[],2,FALSE)</f>
        <v>阮士文</v>
      </c>
    </row>
    <row r="1802" spans="6:19" hidden="1" x14ac:dyDescent="0.25">
      <c r="F1802" t="s">
        <v>1803</v>
      </c>
      <c r="G1802" t="s">
        <v>415</v>
      </c>
      <c r="H1802" t="str">
        <f>VLOOKUP(record[[#This Row],[ProcessSN]],表格2_7[],2,FALSE)</f>
        <v>30-4118-018-5XX</v>
      </c>
      <c r="I1802" t="str">
        <f>VLOOKUP(record[[#This Row],[ProcessSN]],表格2_7[],3,FALSE)</f>
        <v>#04</v>
      </c>
      <c r="J1802" t="s">
        <v>588</v>
      </c>
      <c r="K1802" s="195">
        <v>46130.314108796294</v>
      </c>
      <c r="L1802">
        <v>291</v>
      </c>
      <c r="M1802">
        <v>1</v>
      </c>
      <c r="N1802" s="98" t="str">
        <f>IF(record[[#This Row],[Memo]]="Browser:chrome os:android","平板報工",IF(record[[#This Row],[Memo]]=0,"委外",record[[#This Row],[Memo]]))</f>
        <v/>
      </c>
      <c r="O1802" t="s">
        <v>58</v>
      </c>
      <c r="P1802" t="s">
        <v>135</v>
      </c>
      <c r="Q1802" t="s">
        <v>58</v>
      </c>
      <c r="R1802" t="str">
        <f>IFERROR(VLOOKUP(record[[#This Row],[PCUSTID]],廠商[],2,FALSE),"")</f>
        <v/>
      </c>
      <c r="S1802" t="str">
        <f>VLOOKUP(record[[#This Row],[employeeID]],員工[],2,FALSE)</f>
        <v>阮士文</v>
      </c>
    </row>
    <row r="1803" spans="6:19" hidden="1" x14ac:dyDescent="0.25">
      <c r="F1803" t="s">
        <v>1803</v>
      </c>
      <c r="G1803" t="s">
        <v>418</v>
      </c>
      <c r="H1803" t="str">
        <f>VLOOKUP(record[[#This Row],[ProcessSN]],表格2_7[],2,FALSE)</f>
        <v>30-4118-018-5XX</v>
      </c>
      <c r="I1803" t="str">
        <f>VLOOKUP(record[[#This Row],[ProcessSN]],表格2_7[],3,FALSE)</f>
        <v>#07</v>
      </c>
      <c r="J1803" t="s">
        <v>588</v>
      </c>
      <c r="K1803" s="195">
        <v>46130.276041666664</v>
      </c>
      <c r="L1803">
        <v>217</v>
      </c>
      <c r="M1803">
        <v>0</v>
      </c>
      <c r="N1803" s="98" t="str">
        <f>IF(record[[#This Row],[Memo]]="Browser:chrome os:android","平板報工",IF(record[[#This Row],[Memo]]=0,"委外",record[[#This Row],[Memo]]))</f>
        <v>平板報工</v>
      </c>
      <c r="O1803" t="s">
        <v>643</v>
      </c>
      <c r="P1803" t="s">
        <v>843</v>
      </c>
      <c r="Q1803" t="s">
        <v>644</v>
      </c>
      <c r="R1803" t="str">
        <f>IFERROR(VLOOKUP(record[[#This Row],[PCUSTID]],廠商[],2,FALSE),"")</f>
        <v/>
      </c>
      <c r="S1803" t="str">
        <f>VLOOKUP(record[[#This Row],[employeeID]],員工[],2,FALSE)</f>
        <v>張楚承</v>
      </c>
    </row>
    <row r="1804" spans="6:19" hidden="1" x14ac:dyDescent="0.25">
      <c r="F1804" t="s">
        <v>1790</v>
      </c>
      <c r="G1804" t="s">
        <v>377</v>
      </c>
      <c r="H1804" t="str">
        <f>VLOOKUP(record[[#This Row],[ProcessSN]],表格2_7[],2,FALSE)</f>
        <v>30-4118-018-4XX</v>
      </c>
      <c r="I1804" t="str">
        <f>VLOOKUP(record[[#This Row],[ProcessSN]],表格2_7[],3,FALSE)</f>
        <v>#07</v>
      </c>
      <c r="J1804" t="s">
        <v>588</v>
      </c>
      <c r="K1804" s="195">
        <v>46129.993715277778</v>
      </c>
      <c r="L1804">
        <v>24</v>
      </c>
      <c r="M1804">
        <v>0</v>
      </c>
      <c r="N1804" s="98" t="str">
        <f>IF(record[[#This Row],[Memo]]="Browser:chrome os:android","平板報工",IF(record[[#This Row],[Memo]]=0,"委外",record[[#This Row],[Memo]]))</f>
        <v/>
      </c>
      <c r="O1804" t="s">
        <v>58</v>
      </c>
      <c r="P1804" t="s">
        <v>1098</v>
      </c>
      <c r="Q1804" t="s">
        <v>58</v>
      </c>
      <c r="R1804" t="str">
        <f>IFERROR(VLOOKUP(record[[#This Row],[PCUSTID]],廠商[],2,FALSE),"")</f>
        <v/>
      </c>
      <c r="S1804" t="str">
        <f>VLOOKUP(record[[#This Row],[employeeID]],員工[],2,FALSE)</f>
        <v>阮氏芳英(英)</v>
      </c>
    </row>
    <row r="1805" spans="6:19" hidden="1" x14ac:dyDescent="0.25">
      <c r="F1805" t="s">
        <v>1790</v>
      </c>
      <c r="G1805" t="s">
        <v>376</v>
      </c>
      <c r="H1805" t="str">
        <f>VLOOKUP(record[[#This Row],[ProcessSN]],表格2_7[],2,FALSE)</f>
        <v>30-4118-018-4XX</v>
      </c>
      <c r="I1805" t="str">
        <f>VLOOKUP(record[[#This Row],[ProcessSN]],表格2_7[],3,FALSE)</f>
        <v>#06</v>
      </c>
      <c r="J1805" t="s">
        <v>593</v>
      </c>
      <c r="K1805" s="195">
        <v>46129.992164351854</v>
      </c>
      <c r="L1805">
        <v>33</v>
      </c>
      <c r="M1805">
        <v>0</v>
      </c>
      <c r="N1805" s="98" t="str">
        <f>IF(record[[#This Row],[Memo]]="Browser:chrome os:android","平板報工",IF(record[[#This Row],[Memo]]=0,"委外",record[[#This Row],[Memo]]))</f>
        <v>補報</v>
      </c>
      <c r="O1805" t="s">
        <v>868</v>
      </c>
      <c r="P1805" t="s">
        <v>127</v>
      </c>
      <c r="Q1805" t="s">
        <v>58</v>
      </c>
      <c r="R1805" t="str">
        <f>IFERROR(VLOOKUP(record[[#This Row],[PCUSTID]],廠商[],2,FALSE),"")</f>
        <v/>
      </c>
      <c r="S1805" t="str">
        <f>VLOOKUP(record[[#This Row],[employeeID]],員工[],2,FALSE)</f>
        <v>潘雪梅</v>
      </c>
    </row>
    <row r="1806" spans="6:19" hidden="1" x14ac:dyDescent="0.25">
      <c r="F1806" t="s">
        <v>1803</v>
      </c>
      <c r="G1806" t="s">
        <v>417</v>
      </c>
      <c r="H1806" t="str">
        <f>VLOOKUP(record[[#This Row],[ProcessSN]],表格2_7[],2,FALSE)</f>
        <v>30-4118-018-5XX</v>
      </c>
      <c r="I1806" t="str">
        <f>VLOOKUP(record[[#This Row],[ProcessSN]],表格2_7[],3,FALSE)</f>
        <v>#06</v>
      </c>
      <c r="J1806" t="s">
        <v>593</v>
      </c>
      <c r="K1806" s="195">
        <v>46129.980462962965</v>
      </c>
      <c r="L1806">
        <v>67</v>
      </c>
      <c r="M1806">
        <v>0</v>
      </c>
      <c r="N1806" s="98" t="str">
        <f>IF(record[[#This Row],[Memo]]="Browser:chrome os:android","平板報工",IF(record[[#This Row],[Memo]]=0,"委外",record[[#This Row],[Memo]]))</f>
        <v/>
      </c>
      <c r="O1806" t="s">
        <v>58</v>
      </c>
      <c r="P1806" t="s">
        <v>127</v>
      </c>
      <c r="Q1806" t="s">
        <v>58</v>
      </c>
      <c r="R1806" t="str">
        <f>IFERROR(VLOOKUP(record[[#This Row],[PCUSTID]],廠商[],2,FALSE),"")</f>
        <v/>
      </c>
      <c r="S1806" t="str">
        <f>VLOOKUP(record[[#This Row],[employeeID]],員工[],2,FALSE)</f>
        <v>潘雪梅</v>
      </c>
    </row>
    <row r="1807" spans="6:19" hidden="1" x14ac:dyDescent="0.25">
      <c r="F1807" t="s">
        <v>1803</v>
      </c>
      <c r="G1807" t="s">
        <v>417</v>
      </c>
      <c r="H1807" t="str">
        <f>VLOOKUP(record[[#This Row],[ProcessSN]],表格2_7[],2,FALSE)</f>
        <v>30-4118-018-5XX</v>
      </c>
      <c r="I1807" t="str">
        <f>VLOOKUP(record[[#This Row],[ProcessSN]],表格2_7[],3,FALSE)</f>
        <v>#06</v>
      </c>
      <c r="J1807" t="s">
        <v>593</v>
      </c>
      <c r="K1807" s="195">
        <v>46129.978831018518</v>
      </c>
      <c r="L1807">
        <v>133</v>
      </c>
      <c r="M1807">
        <v>0</v>
      </c>
      <c r="N1807" s="98" t="str">
        <f>IF(record[[#This Row],[Memo]]="Browser:chrome os:android","平板報工",IF(record[[#This Row],[Memo]]=0,"委外",record[[#This Row],[Memo]]))</f>
        <v>平板報工</v>
      </c>
      <c r="O1807" t="s">
        <v>643</v>
      </c>
      <c r="P1807" t="s">
        <v>1669</v>
      </c>
      <c r="Q1807" t="s">
        <v>644</v>
      </c>
      <c r="R1807" t="str">
        <f>IFERROR(VLOOKUP(record[[#This Row],[PCUSTID]],廠商[],2,FALSE),"")</f>
        <v/>
      </c>
      <c r="S1807" t="str">
        <f>VLOOKUP(record[[#This Row],[employeeID]],員工[],2,FALSE)</f>
        <v>武氏麗娟</v>
      </c>
    </row>
    <row r="1808" spans="6:19" hidden="1" x14ac:dyDescent="0.25">
      <c r="F1808" t="s">
        <v>1803</v>
      </c>
      <c r="G1808" t="s">
        <v>417</v>
      </c>
      <c r="H1808" t="str">
        <f>VLOOKUP(record[[#This Row],[ProcessSN]],表格2_7[],2,FALSE)</f>
        <v>30-4118-018-5XX</v>
      </c>
      <c r="I1808" t="str">
        <f>VLOOKUP(record[[#This Row],[ProcessSN]],表格2_7[],3,FALSE)</f>
        <v>#06</v>
      </c>
      <c r="J1808" t="s">
        <v>593</v>
      </c>
      <c r="K1808" s="195">
        <v>46129.978090277778</v>
      </c>
      <c r="L1808">
        <v>67</v>
      </c>
      <c r="M1808">
        <v>0</v>
      </c>
      <c r="N1808" s="98" t="str">
        <f>IF(record[[#This Row],[Memo]]="Browser:chrome os:android","平板報工",IF(record[[#This Row],[Memo]]=0,"委外",record[[#This Row],[Memo]]))</f>
        <v>平板報工</v>
      </c>
      <c r="O1808" t="s">
        <v>643</v>
      </c>
      <c r="P1808" t="s">
        <v>841</v>
      </c>
      <c r="Q1808" t="s">
        <v>644</v>
      </c>
      <c r="R1808" t="str">
        <f>IFERROR(VLOOKUP(record[[#This Row],[PCUSTID]],廠商[],2,FALSE),"")</f>
        <v/>
      </c>
      <c r="S1808" t="str">
        <f>VLOOKUP(record[[#This Row],[employeeID]],員工[],2,FALSE)</f>
        <v>范氏香</v>
      </c>
    </row>
    <row r="1809" spans="6:19" hidden="1" x14ac:dyDescent="0.25">
      <c r="F1809" t="s">
        <v>1803</v>
      </c>
      <c r="G1809" t="s">
        <v>416</v>
      </c>
      <c r="H1809" t="str">
        <f>VLOOKUP(record[[#This Row],[ProcessSN]],表格2_7[],2,FALSE)</f>
        <v>30-4118-018-5XX</v>
      </c>
      <c r="I1809" t="str">
        <f>VLOOKUP(record[[#This Row],[ProcessSN]],表格2_7[],3,FALSE)</f>
        <v>#05</v>
      </c>
      <c r="J1809" t="s">
        <v>588</v>
      </c>
      <c r="K1809" s="195">
        <v>46129.97452546296</v>
      </c>
      <c r="L1809">
        <v>260</v>
      </c>
      <c r="M1809">
        <v>0</v>
      </c>
      <c r="N1809" s="98" t="str">
        <f>IF(record[[#This Row],[Memo]]="Browser:chrome os:android","平板報工",IF(record[[#This Row],[Memo]]=0,"委外",record[[#This Row],[Memo]]))</f>
        <v>平板報工</v>
      </c>
      <c r="O1809" t="s">
        <v>643</v>
      </c>
      <c r="P1809" t="s">
        <v>1098</v>
      </c>
      <c r="Q1809" t="s">
        <v>644</v>
      </c>
      <c r="R1809" t="str">
        <f>IFERROR(VLOOKUP(record[[#This Row],[PCUSTID]],廠商[],2,FALSE),"")</f>
        <v/>
      </c>
      <c r="S1809" t="str">
        <f>VLOOKUP(record[[#This Row],[employeeID]],員工[],2,FALSE)</f>
        <v>阮氏芳英(英)</v>
      </c>
    </row>
    <row r="1810" spans="6:19" hidden="1" x14ac:dyDescent="0.25">
      <c r="F1810" t="s">
        <v>1772</v>
      </c>
      <c r="G1810" t="s">
        <v>465</v>
      </c>
      <c r="H1810" t="str">
        <f>VLOOKUP(record[[#This Row],[ProcessSN]],表格2_7[],2,FALSE)</f>
        <v>30-4118-018-XXX</v>
      </c>
      <c r="I1810" t="str">
        <f>VLOOKUP(record[[#This Row],[ProcessSN]],表格2_7[],3,FALSE)</f>
        <v>#01-1</v>
      </c>
      <c r="J1810" t="s">
        <v>588</v>
      </c>
      <c r="K1810" s="195">
        <v>46129.973368055558</v>
      </c>
      <c r="L1810">
        <v>504</v>
      </c>
      <c r="M1810">
        <v>0</v>
      </c>
      <c r="N1810" s="98" t="str">
        <f>IF(record[[#This Row],[Memo]]="Browser:chrome os:android","平板報工",IF(record[[#This Row],[Memo]]=0,"委外",record[[#This Row],[Memo]]))</f>
        <v/>
      </c>
      <c r="O1810" t="s">
        <v>58</v>
      </c>
      <c r="P1810" t="s">
        <v>127</v>
      </c>
      <c r="Q1810" t="s">
        <v>58</v>
      </c>
      <c r="R1810" t="str">
        <f>IFERROR(VLOOKUP(record[[#This Row],[PCUSTID]],廠商[],2,FALSE),"")</f>
        <v/>
      </c>
      <c r="S1810" t="str">
        <f>VLOOKUP(record[[#This Row],[employeeID]],員工[],2,FALSE)</f>
        <v>潘雪梅</v>
      </c>
    </row>
    <row r="1811" spans="6:19" hidden="1" x14ac:dyDescent="0.25">
      <c r="F1811" t="s">
        <v>1803</v>
      </c>
      <c r="G1811" t="s">
        <v>415</v>
      </c>
      <c r="H1811" t="str">
        <f>VLOOKUP(record[[#This Row],[ProcessSN]],表格2_7[],2,FALSE)</f>
        <v>30-4118-018-5XX</v>
      </c>
      <c r="I1811" t="str">
        <f>VLOOKUP(record[[#This Row],[ProcessSN]],表格2_7[],3,FALSE)</f>
        <v>#04</v>
      </c>
      <c r="J1811" t="s">
        <v>588</v>
      </c>
      <c r="K1811" s="195">
        <v>46129.972696759258</v>
      </c>
      <c r="L1811">
        <v>120</v>
      </c>
      <c r="M1811">
        <v>0</v>
      </c>
      <c r="N1811" s="98" t="str">
        <f>IF(record[[#This Row],[Memo]]="Browser:chrome os:android","平板報工",IF(record[[#This Row],[Memo]]=0,"委外",record[[#This Row],[Memo]]))</f>
        <v/>
      </c>
      <c r="O1811" t="s">
        <v>58</v>
      </c>
      <c r="P1811" t="s">
        <v>127</v>
      </c>
      <c r="Q1811" t="s">
        <v>58</v>
      </c>
      <c r="R1811" t="str">
        <f>IFERROR(VLOOKUP(record[[#This Row],[PCUSTID]],廠商[],2,FALSE),"")</f>
        <v/>
      </c>
      <c r="S1811" t="str">
        <f>VLOOKUP(record[[#This Row],[employeeID]],員工[],2,FALSE)</f>
        <v>潘雪梅</v>
      </c>
    </row>
    <row r="1812" spans="6:19" hidden="1" x14ac:dyDescent="0.25">
      <c r="F1812" t="s">
        <v>1803</v>
      </c>
      <c r="G1812" t="s">
        <v>418</v>
      </c>
      <c r="H1812" t="str">
        <f>VLOOKUP(record[[#This Row],[ProcessSN]],表格2_7[],2,FALSE)</f>
        <v>30-4118-018-5XX</v>
      </c>
      <c r="I1812" t="str">
        <f>VLOOKUP(record[[#This Row],[ProcessSN]],表格2_7[],3,FALSE)</f>
        <v>#07</v>
      </c>
      <c r="J1812" t="s">
        <v>588</v>
      </c>
      <c r="K1812" s="195">
        <v>46129.972187500003</v>
      </c>
      <c r="L1812">
        <v>184</v>
      </c>
      <c r="M1812">
        <v>0</v>
      </c>
      <c r="N1812" s="98" t="str">
        <f>IF(record[[#This Row],[Memo]]="Browser:chrome os:android","平板報工",IF(record[[#This Row],[Memo]]=0,"委外",record[[#This Row],[Memo]]))</f>
        <v>平板報工</v>
      </c>
      <c r="O1812" t="s">
        <v>643</v>
      </c>
      <c r="P1812" t="s">
        <v>89</v>
      </c>
      <c r="Q1812" t="s">
        <v>644</v>
      </c>
      <c r="R1812" t="str">
        <f>IFERROR(VLOOKUP(record[[#This Row],[PCUSTID]],廠商[],2,FALSE),"")</f>
        <v/>
      </c>
      <c r="S1812" t="str">
        <f>VLOOKUP(record[[#This Row],[employeeID]],員工[],2,FALSE)</f>
        <v>李美蓮</v>
      </c>
    </row>
    <row r="1813" spans="6:19" hidden="1" x14ac:dyDescent="0.25">
      <c r="F1813" t="s">
        <v>1787</v>
      </c>
      <c r="G1813" t="s">
        <v>466</v>
      </c>
      <c r="H1813" t="str">
        <f>VLOOKUP(record[[#This Row],[ProcessSN]],表格2_7[],2,FALSE)</f>
        <v>30-4118-018-XXX</v>
      </c>
      <c r="I1813" t="str">
        <f>VLOOKUP(record[[#This Row],[ProcessSN]],表格2_7[],3,FALSE)</f>
        <v>#01-2</v>
      </c>
      <c r="J1813" t="s">
        <v>588</v>
      </c>
      <c r="K1813" s="195">
        <v>46129.971620370372</v>
      </c>
      <c r="L1813">
        <v>373</v>
      </c>
      <c r="M1813">
        <v>0</v>
      </c>
      <c r="N1813" s="98" t="str">
        <f>IF(record[[#This Row],[Memo]]="Browser:chrome os:android","平板報工",IF(record[[#This Row],[Memo]]=0,"委外",record[[#This Row],[Memo]]))</f>
        <v>平板報工</v>
      </c>
      <c r="O1813" t="s">
        <v>643</v>
      </c>
      <c r="P1813" t="s">
        <v>89</v>
      </c>
      <c r="Q1813" t="s">
        <v>644</v>
      </c>
      <c r="R1813" t="str">
        <f>IFERROR(VLOOKUP(record[[#This Row],[PCUSTID]],廠商[],2,FALSE),"")</f>
        <v/>
      </c>
      <c r="S1813" t="str">
        <f>VLOOKUP(record[[#This Row],[employeeID]],員工[],2,FALSE)</f>
        <v>李美蓮</v>
      </c>
    </row>
    <row r="1814" spans="6:19" hidden="1" x14ac:dyDescent="0.25">
      <c r="F1814" t="s">
        <v>1772</v>
      </c>
      <c r="G1814" t="s">
        <v>465</v>
      </c>
      <c r="H1814" t="str">
        <f>VLOOKUP(record[[#This Row],[ProcessSN]],表格2_7[],2,FALSE)</f>
        <v>30-4118-018-XXX</v>
      </c>
      <c r="I1814" t="str">
        <f>VLOOKUP(record[[#This Row],[ProcessSN]],表格2_7[],3,FALSE)</f>
        <v>#01-1</v>
      </c>
      <c r="J1814" t="s">
        <v>588</v>
      </c>
      <c r="K1814" s="195">
        <v>46129.810937499999</v>
      </c>
      <c r="L1814">
        <v>504</v>
      </c>
      <c r="M1814">
        <v>0</v>
      </c>
      <c r="N1814" s="98" t="str">
        <f>IF(record[[#This Row],[Memo]]="Browser:chrome os:android","平板報工",IF(record[[#This Row],[Memo]]=0,"委外",record[[#This Row],[Memo]]))</f>
        <v>平板報工</v>
      </c>
      <c r="O1814" t="s">
        <v>643</v>
      </c>
      <c r="P1814" t="s">
        <v>785</v>
      </c>
      <c r="Q1814" t="s">
        <v>644</v>
      </c>
      <c r="R1814" t="str">
        <f>IFERROR(VLOOKUP(record[[#This Row],[PCUSTID]],廠商[],2,FALSE),"")</f>
        <v/>
      </c>
      <c r="S1814" t="str">
        <f>VLOOKUP(record[[#This Row],[employeeID]],員工[],2,FALSE)</f>
        <v>謝刻光</v>
      </c>
    </row>
    <row r="1815" spans="6:19" hidden="1" x14ac:dyDescent="0.25">
      <c r="F1815" t="s">
        <v>1803</v>
      </c>
      <c r="G1815" t="s">
        <v>415</v>
      </c>
      <c r="H1815" t="str">
        <f>VLOOKUP(record[[#This Row],[ProcessSN]],表格2_7[],2,FALSE)</f>
        <v>30-4118-018-5XX</v>
      </c>
      <c r="I1815" t="str">
        <f>VLOOKUP(record[[#This Row],[ProcessSN]],表格2_7[],3,FALSE)</f>
        <v>#04</v>
      </c>
      <c r="J1815" t="s">
        <v>588</v>
      </c>
      <c r="K1815" s="195">
        <v>46129.810671296298</v>
      </c>
      <c r="L1815">
        <v>120</v>
      </c>
      <c r="M1815">
        <v>0</v>
      </c>
      <c r="N1815" s="98" t="str">
        <f>IF(record[[#This Row],[Memo]]="Browser:chrome os:android","平板報工",IF(record[[#This Row],[Memo]]=0,"委外",record[[#This Row],[Memo]]))</f>
        <v>平板報工</v>
      </c>
      <c r="O1815" t="s">
        <v>643</v>
      </c>
      <c r="P1815" t="s">
        <v>785</v>
      </c>
      <c r="Q1815" t="s">
        <v>644</v>
      </c>
      <c r="R1815" t="str">
        <f>IFERROR(VLOOKUP(record[[#This Row],[PCUSTID]],廠商[],2,FALSE),"")</f>
        <v/>
      </c>
      <c r="S1815" t="str">
        <f>VLOOKUP(record[[#This Row],[employeeID]],員工[],2,FALSE)</f>
        <v>謝刻光</v>
      </c>
    </row>
    <row r="1816" spans="6:19" hidden="1" x14ac:dyDescent="0.25">
      <c r="F1816" t="s">
        <v>1812</v>
      </c>
      <c r="G1816" t="s">
        <v>403</v>
      </c>
      <c r="H1816" t="str">
        <f>VLOOKUP(record[[#This Row],[ProcessSN]],表格2_7[],2,FALSE)</f>
        <v>30-4118-018-550</v>
      </c>
      <c r="I1816" t="str">
        <f>VLOOKUP(record[[#This Row],[ProcessSN]],表格2_7[],3,FALSE)</f>
        <v>#100SHIP</v>
      </c>
      <c r="J1816" t="s">
        <v>600</v>
      </c>
      <c r="K1816" s="195">
        <v>46129.782094907408</v>
      </c>
      <c r="L1816">
        <v>107</v>
      </c>
      <c r="M1816">
        <v>0</v>
      </c>
      <c r="N1816" s="98" t="str">
        <f>IF(record[[#This Row],[Memo]]="Browser:chrome os:android","平板報工",IF(record[[#This Row],[Memo]]=0,"委外",record[[#This Row],[Memo]]))</f>
        <v/>
      </c>
      <c r="O1816" t="s">
        <v>58</v>
      </c>
      <c r="P1816" t="s">
        <v>886</v>
      </c>
      <c r="Q1816" t="s">
        <v>58</v>
      </c>
      <c r="R1816" t="str">
        <f>IFERROR(VLOOKUP(record[[#This Row],[PCUSTID]],廠商[],2,FALSE),"")</f>
        <v/>
      </c>
      <c r="S1816" t="str">
        <f>VLOOKUP(record[[#This Row],[employeeID]],員工[],2,FALSE)</f>
        <v>謝蓁薰</v>
      </c>
    </row>
    <row r="1817" spans="6:19" hidden="1" x14ac:dyDescent="0.25">
      <c r="F1817" t="s">
        <v>1812</v>
      </c>
      <c r="G1817" t="s">
        <v>402</v>
      </c>
      <c r="H1817" t="str">
        <f>VLOOKUP(record[[#This Row],[ProcessSN]],表格2_7[],2,FALSE)</f>
        <v>30-4118-018-550</v>
      </c>
      <c r="I1817" t="str">
        <f>VLOOKUP(record[[#This Row],[ProcessSN]],表格2_7[],3,FALSE)</f>
        <v>#100STOCK</v>
      </c>
      <c r="J1817" t="s">
        <v>592</v>
      </c>
      <c r="K1817" s="195">
        <v>46129.78197916667</v>
      </c>
      <c r="L1817">
        <v>107</v>
      </c>
      <c r="M1817">
        <v>0</v>
      </c>
      <c r="N1817" s="98" t="str">
        <f>IF(record[[#This Row],[Memo]]="Browser:chrome os:android","平板報工",IF(record[[#This Row],[Memo]]=0,"委外",record[[#This Row],[Memo]]))</f>
        <v/>
      </c>
      <c r="O1817" t="s">
        <v>58</v>
      </c>
      <c r="P1817" t="s">
        <v>886</v>
      </c>
      <c r="Q1817" t="s">
        <v>58</v>
      </c>
      <c r="R1817" t="str">
        <f>IFERROR(VLOOKUP(record[[#This Row],[PCUSTID]],廠商[],2,FALSE),"")</f>
        <v/>
      </c>
      <c r="S1817" t="str">
        <f>VLOOKUP(record[[#This Row],[employeeID]],員工[],2,FALSE)</f>
        <v>謝蓁薰</v>
      </c>
    </row>
    <row r="1818" spans="6:19" hidden="1" x14ac:dyDescent="0.25">
      <c r="F1818" t="s">
        <v>1715</v>
      </c>
      <c r="G1818" t="s">
        <v>403</v>
      </c>
      <c r="H1818" t="str">
        <f>VLOOKUP(record[[#This Row],[ProcessSN]],表格2_7[],2,FALSE)</f>
        <v>30-4118-018-550</v>
      </c>
      <c r="I1818" t="str">
        <f>VLOOKUP(record[[#This Row],[ProcessSN]],表格2_7[],3,FALSE)</f>
        <v>#100SHIP</v>
      </c>
      <c r="J1818" t="s">
        <v>600</v>
      </c>
      <c r="K1818" s="195">
        <v>46129.780949074076</v>
      </c>
      <c r="L1818">
        <v>4</v>
      </c>
      <c r="M1818">
        <v>0</v>
      </c>
      <c r="N1818" s="98" t="str">
        <f>IF(record[[#This Row],[Memo]]="Browser:chrome os:android","平板報工",IF(record[[#This Row],[Memo]]=0,"委外",record[[#This Row],[Memo]]))</f>
        <v/>
      </c>
      <c r="O1818" t="s">
        <v>58</v>
      </c>
      <c r="P1818" t="s">
        <v>886</v>
      </c>
      <c r="Q1818" t="s">
        <v>58</v>
      </c>
      <c r="R1818" t="str">
        <f>IFERROR(VLOOKUP(record[[#This Row],[PCUSTID]],廠商[],2,FALSE),"")</f>
        <v/>
      </c>
      <c r="S1818" t="str">
        <f>VLOOKUP(record[[#This Row],[employeeID]],員工[],2,FALSE)</f>
        <v>謝蓁薰</v>
      </c>
    </row>
    <row r="1819" spans="6:19" hidden="1" x14ac:dyDescent="0.25">
      <c r="F1819" t="s">
        <v>1694</v>
      </c>
      <c r="G1819" t="s">
        <v>403</v>
      </c>
      <c r="H1819" t="str">
        <f>VLOOKUP(record[[#This Row],[ProcessSN]],表格2_7[],2,FALSE)</f>
        <v>30-4118-018-550</v>
      </c>
      <c r="I1819" t="str">
        <f>VLOOKUP(record[[#This Row],[ProcessSN]],表格2_7[],3,FALSE)</f>
        <v>#100SHIP</v>
      </c>
      <c r="J1819" t="s">
        <v>600</v>
      </c>
      <c r="K1819" s="195">
        <v>46129.780763888892</v>
      </c>
      <c r="L1819">
        <v>2</v>
      </c>
      <c r="M1819">
        <v>0</v>
      </c>
      <c r="N1819" s="98" t="str">
        <f>IF(record[[#This Row],[Memo]]="Browser:chrome os:android","平板報工",IF(record[[#This Row],[Memo]]=0,"委外",record[[#This Row],[Memo]]))</f>
        <v/>
      </c>
      <c r="O1819" t="s">
        <v>58</v>
      </c>
      <c r="P1819" t="s">
        <v>886</v>
      </c>
      <c r="Q1819" t="s">
        <v>58</v>
      </c>
      <c r="R1819" t="str">
        <f>IFERROR(VLOOKUP(record[[#This Row],[PCUSTID]],廠商[],2,FALSE),"")</f>
        <v/>
      </c>
      <c r="S1819" t="str">
        <f>VLOOKUP(record[[#This Row],[employeeID]],員工[],2,FALSE)</f>
        <v>謝蓁薰</v>
      </c>
    </row>
    <row r="1820" spans="6:19" hidden="1" x14ac:dyDescent="0.25">
      <c r="F1820" t="s">
        <v>1660</v>
      </c>
      <c r="G1820" t="s">
        <v>403</v>
      </c>
      <c r="H1820" t="str">
        <f>VLOOKUP(record[[#This Row],[ProcessSN]],表格2_7[],2,FALSE)</f>
        <v>30-4118-018-550</v>
      </c>
      <c r="I1820" t="str">
        <f>VLOOKUP(record[[#This Row],[ProcessSN]],表格2_7[],3,FALSE)</f>
        <v>#100SHIP</v>
      </c>
      <c r="J1820" t="s">
        <v>600</v>
      </c>
      <c r="K1820" s="195">
        <v>46129.780659722222</v>
      </c>
      <c r="L1820">
        <v>9</v>
      </c>
      <c r="M1820">
        <v>0</v>
      </c>
      <c r="N1820" s="98" t="str">
        <f>IF(record[[#This Row],[Memo]]="Browser:chrome os:android","平板報工",IF(record[[#This Row],[Memo]]=0,"委外",record[[#This Row],[Memo]]))</f>
        <v/>
      </c>
      <c r="O1820" t="s">
        <v>58</v>
      </c>
      <c r="P1820" t="s">
        <v>886</v>
      </c>
      <c r="Q1820" t="s">
        <v>58</v>
      </c>
      <c r="R1820" t="str">
        <f>IFERROR(VLOOKUP(record[[#This Row],[PCUSTID]],廠商[],2,FALSE),"")</f>
        <v/>
      </c>
      <c r="S1820" t="str">
        <f>VLOOKUP(record[[#This Row],[employeeID]],員工[],2,FALSE)</f>
        <v>謝蓁薰</v>
      </c>
    </row>
    <row r="1821" spans="6:19" hidden="1" x14ac:dyDescent="0.25">
      <c r="F1821" t="s">
        <v>1656</v>
      </c>
      <c r="G1821" t="s">
        <v>403</v>
      </c>
      <c r="H1821" t="str">
        <f>VLOOKUP(record[[#This Row],[ProcessSN]],表格2_7[],2,FALSE)</f>
        <v>30-4118-018-550</v>
      </c>
      <c r="I1821" t="str">
        <f>VLOOKUP(record[[#This Row],[ProcessSN]],表格2_7[],3,FALSE)</f>
        <v>#100SHIP</v>
      </c>
      <c r="J1821" t="s">
        <v>600</v>
      </c>
      <c r="K1821" s="195">
        <v>46129.78056712963</v>
      </c>
      <c r="L1821">
        <v>10</v>
      </c>
      <c r="M1821">
        <v>0</v>
      </c>
      <c r="N1821" s="98" t="str">
        <f>IF(record[[#This Row],[Memo]]="Browser:chrome os:android","平板報工",IF(record[[#This Row],[Memo]]=0,"委外",record[[#This Row],[Memo]]))</f>
        <v/>
      </c>
      <c r="O1821" t="s">
        <v>58</v>
      </c>
      <c r="P1821" t="s">
        <v>886</v>
      </c>
      <c r="Q1821" t="s">
        <v>58</v>
      </c>
      <c r="R1821" t="str">
        <f>IFERROR(VLOOKUP(record[[#This Row],[PCUSTID]],廠商[],2,FALSE),"")</f>
        <v/>
      </c>
      <c r="S1821" t="str">
        <f>VLOOKUP(record[[#This Row],[employeeID]],員工[],2,FALSE)</f>
        <v>謝蓁薰</v>
      </c>
    </row>
    <row r="1822" spans="6:19" hidden="1" x14ac:dyDescent="0.25">
      <c r="F1822" t="s">
        <v>1640</v>
      </c>
      <c r="G1822" t="s">
        <v>403</v>
      </c>
      <c r="H1822" t="str">
        <f>VLOOKUP(record[[#This Row],[ProcessSN]],表格2_7[],2,FALSE)</f>
        <v>30-4118-018-550</v>
      </c>
      <c r="I1822" t="str">
        <f>VLOOKUP(record[[#This Row],[ProcessSN]],表格2_7[],3,FALSE)</f>
        <v>#100SHIP</v>
      </c>
      <c r="J1822" t="s">
        <v>600</v>
      </c>
      <c r="K1822" s="195">
        <v>46129.780439814815</v>
      </c>
      <c r="L1822">
        <v>16</v>
      </c>
      <c r="M1822">
        <v>0</v>
      </c>
      <c r="N1822" s="98" t="str">
        <f>IF(record[[#This Row],[Memo]]="Browser:chrome os:android","平板報工",IF(record[[#This Row],[Memo]]=0,"委外",record[[#This Row],[Memo]]))</f>
        <v/>
      </c>
      <c r="O1822" t="s">
        <v>58</v>
      </c>
      <c r="P1822" t="s">
        <v>886</v>
      </c>
      <c r="Q1822" t="s">
        <v>58</v>
      </c>
      <c r="R1822" t="str">
        <f>IFERROR(VLOOKUP(record[[#This Row],[PCUSTID]],廠商[],2,FALSE),"")</f>
        <v/>
      </c>
      <c r="S1822" t="str">
        <f>VLOOKUP(record[[#This Row],[employeeID]],員工[],2,FALSE)</f>
        <v>謝蓁薰</v>
      </c>
    </row>
    <row r="1823" spans="6:19" hidden="1" x14ac:dyDescent="0.25">
      <c r="F1823" t="s">
        <v>1622</v>
      </c>
      <c r="G1823" t="s">
        <v>403</v>
      </c>
      <c r="H1823" t="str">
        <f>VLOOKUP(record[[#This Row],[ProcessSN]],表格2_7[],2,FALSE)</f>
        <v>30-4118-018-550</v>
      </c>
      <c r="I1823" t="str">
        <f>VLOOKUP(record[[#This Row],[ProcessSN]],表格2_7[],3,FALSE)</f>
        <v>#100SHIP</v>
      </c>
      <c r="J1823" t="s">
        <v>600</v>
      </c>
      <c r="K1823" s="195">
        <v>46129.780300925922</v>
      </c>
      <c r="L1823">
        <v>10</v>
      </c>
      <c r="M1823">
        <v>0</v>
      </c>
      <c r="N1823" s="98" t="str">
        <f>IF(record[[#This Row],[Memo]]="Browser:chrome os:android","平板報工",IF(record[[#This Row],[Memo]]=0,"委外",record[[#This Row],[Memo]]))</f>
        <v/>
      </c>
      <c r="O1823" t="s">
        <v>58</v>
      </c>
      <c r="P1823" t="s">
        <v>886</v>
      </c>
      <c r="Q1823" t="s">
        <v>58</v>
      </c>
      <c r="R1823" t="str">
        <f>IFERROR(VLOOKUP(record[[#This Row],[PCUSTID]],廠商[],2,FALSE),"")</f>
        <v/>
      </c>
      <c r="S1823" t="str">
        <f>VLOOKUP(record[[#This Row],[employeeID]],員工[],2,FALSE)</f>
        <v>謝蓁薰</v>
      </c>
    </row>
    <row r="1824" spans="6:19" hidden="1" x14ac:dyDescent="0.25">
      <c r="F1824" t="s">
        <v>1715</v>
      </c>
      <c r="G1824" t="s">
        <v>402</v>
      </c>
      <c r="H1824" t="str">
        <f>VLOOKUP(record[[#This Row],[ProcessSN]],表格2_7[],2,FALSE)</f>
        <v>30-4118-018-550</v>
      </c>
      <c r="I1824" t="str">
        <f>VLOOKUP(record[[#This Row],[ProcessSN]],表格2_7[],3,FALSE)</f>
        <v>#100STOCK</v>
      </c>
      <c r="J1824" t="s">
        <v>592</v>
      </c>
      <c r="K1824" s="195">
        <v>46129.777453703704</v>
      </c>
      <c r="L1824">
        <v>4</v>
      </c>
      <c r="M1824">
        <v>0</v>
      </c>
      <c r="N1824" s="98" t="str">
        <f>IF(record[[#This Row],[Memo]]="Browser:chrome os:android","平板報工",IF(record[[#This Row],[Memo]]=0,"委外",record[[#This Row],[Memo]]))</f>
        <v/>
      </c>
      <c r="O1824" t="s">
        <v>58</v>
      </c>
      <c r="P1824" t="s">
        <v>886</v>
      </c>
      <c r="Q1824" t="s">
        <v>58</v>
      </c>
      <c r="R1824" t="str">
        <f>IFERROR(VLOOKUP(record[[#This Row],[PCUSTID]],廠商[],2,FALSE),"")</f>
        <v/>
      </c>
      <c r="S1824" t="str">
        <f>VLOOKUP(record[[#This Row],[employeeID]],員工[],2,FALSE)</f>
        <v>謝蓁薰</v>
      </c>
    </row>
    <row r="1825" spans="6:19" hidden="1" x14ac:dyDescent="0.25">
      <c r="F1825" t="s">
        <v>1694</v>
      </c>
      <c r="G1825" t="s">
        <v>402</v>
      </c>
      <c r="H1825" t="str">
        <f>VLOOKUP(record[[#This Row],[ProcessSN]],表格2_7[],2,FALSE)</f>
        <v>30-4118-018-550</v>
      </c>
      <c r="I1825" t="str">
        <f>VLOOKUP(record[[#This Row],[ProcessSN]],表格2_7[],3,FALSE)</f>
        <v>#100STOCK</v>
      </c>
      <c r="J1825" t="s">
        <v>592</v>
      </c>
      <c r="K1825" s="195">
        <v>46129.777314814812</v>
      </c>
      <c r="L1825">
        <v>2</v>
      </c>
      <c r="M1825">
        <v>0</v>
      </c>
      <c r="N1825" s="98" t="str">
        <f>IF(record[[#This Row],[Memo]]="Browser:chrome os:android","平板報工",IF(record[[#This Row],[Memo]]=0,"委外",record[[#This Row],[Memo]]))</f>
        <v/>
      </c>
      <c r="O1825" t="s">
        <v>58</v>
      </c>
      <c r="P1825" t="s">
        <v>886</v>
      </c>
      <c r="Q1825" t="s">
        <v>58</v>
      </c>
      <c r="R1825" t="str">
        <f>IFERROR(VLOOKUP(record[[#This Row],[PCUSTID]],廠商[],2,FALSE),"")</f>
        <v/>
      </c>
      <c r="S1825" t="str">
        <f>VLOOKUP(record[[#This Row],[employeeID]],員工[],2,FALSE)</f>
        <v>謝蓁薰</v>
      </c>
    </row>
    <row r="1826" spans="6:19" hidden="1" x14ac:dyDescent="0.25">
      <c r="F1826" t="s">
        <v>1660</v>
      </c>
      <c r="G1826" t="s">
        <v>402</v>
      </c>
      <c r="H1826" t="str">
        <f>VLOOKUP(record[[#This Row],[ProcessSN]],表格2_7[],2,FALSE)</f>
        <v>30-4118-018-550</v>
      </c>
      <c r="I1826" t="str">
        <f>VLOOKUP(record[[#This Row],[ProcessSN]],表格2_7[],3,FALSE)</f>
        <v>#100STOCK</v>
      </c>
      <c r="J1826" t="s">
        <v>592</v>
      </c>
      <c r="K1826" s="195">
        <v>46129.777222222219</v>
      </c>
      <c r="L1826">
        <v>9</v>
      </c>
      <c r="M1826">
        <v>0</v>
      </c>
      <c r="N1826" s="98" t="str">
        <f>IF(record[[#This Row],[Memo]]="Browser:chrome os:android","平板報工",IF(record[[#This Row],[Memo]]=0,"委外",record[[#This Row],[Memo]]))</f>
        <v/>
      </c>
      <c r="O1826" t="s">
        <v>58</v>
      </c>
      <c r="P1826" t="s">
        <v>886</v>
      </c>
      <c r="Q1826" t="s">
        <v>58</v>
      </c>
      <c r="R1826" t="str">
        <f>IFERROR(VLOOKUP(record[[#This Row],[PCUSTID]],廠商[],2,FALSE),"")</f>
        <v/>
      </c>
      <c r="S1826" t="str">
        <f>VLOOKUP(record[[#This Row],[employeeID]],員工[],2,FALSE)</f>
        <v>謝蓁薰</v>
      </c>
    </row>
    <row r="1827" spans="6:19" hidden="1" x14ac:dyDescent="0.25">
      <c r="F1827" t="s">
        <v>1656</v>
      </c>
      <c r="G1827" t="s">
        <v>402</v>
      </c>
      <c r="H1827" t="str">
        <f>VLOOKUP(record[[#This Row],[ProcessSN]],表格2_7[],2,FALSE)</f>
        <v>30-4118-018-550</v>
      </c>
      <c r="I1827" t="str">
        <f>VLOOKUP(record[[#This Row],[ProcessSN]],表格2_7[],3,FALSE)</f>
        <v>#100STOCK</v>
      </c>
      <c r="J1827" t="s">
        <v>592</v>
      </c>
      <c r="K1827" s="195">
        <v>46129.777106481481</v>
      </c>
      <c r="L1827">
        <v>10</v>
      </c>
      <c r="M1827">
        <v>0</v>
      </c>
      <c r="N1827" s="98" t="str">
        <f>IF(record[[#This Row],[Memo]]="Browser:chrome os:android","平板報工",IF(record[[#This Row],[Memo]]=0,"委外",record[[#This Row],[Memo]]))</f>
        <v/>
      </c>
      <c r="O1827" t="s">
        <v>58</v>
      </c>
      <c r="P1827" t="s">
        <v>886</v>
      </c>
      <c r="Q1827" t="s">
        <v>58</v>
      </c>
      <c r="R1827" t="str">
        <f>IFERROR(VLOOKUP(record[[#This Row],[PCUSTID]],廠商[],2,FALSE),"")</f>
        <v/>
      </c>
      <c r="S1827" t="str">
        <f>VLOOKUP(record[[#This Row],[employeeID]],員工[],2,FALSE)</f>
        <v>謝蓁薰</v>
      </c>
    </row>
    <row r="1828" spans="6:19" hidden="1" x14ac:dyDescent="0.25">
      <c r="F1828" t="s">
        <v>1640</v>
      </c>
      <c r="G1828" t="s">
        <v>402</v>
      </c>
      <c r="H1828" t="str">
        <f>VLOOKUP(record[[#This Row],[ProcessSN]],表格2_7[],2,FALSE)</f>
        <v>30-4118-018-550</v>
      </c>
      <c r="I1828" t="str">
        <f>VLOOKUP(record[[#This Row],[ProcessSN]],表格2_7[],3,FALSE)</f>
        <v>#100STOCK</v>
      </c>
      <c r="J1828" t="s">
        <v>592</v>
      </c>
      <c r="K1828" s="195">
        <v>46129.776979166665</v>
      </c>
      <c r="L1828">
        <v>16</v>
      </c>
      <c r="M1828">
        <v>0</v>
      </c>
      <c r="N1828" s="98" t="str">
        <f>IF(record[[#This Row],[Memo]]="Browser:chrome os:android","平板報工",IF(record[[#This Row],[Memo]]=0,"委外",record[[#This Row],[Memo]]))</f>
        <v/>
      </c>
      <c r="O1828" t="s">
        <v>58</v>
      </c>
      <c r="P1828" t="s">
        <v>886</v>
      </c>
      <c r="Q1828" t="s">
        <v>58</v>
      </c>
      <c r="R1828" t="str">
        <f>IFERROR(VLOOKUP(record[[#This Row],[PCUSTID]],廠商[],2,FALSE),"")</f>
        <v/>
      </c>
      <c r="S1828" t="str">
        <f>VLOOKUP(record[[#This Row],[employeeID]],員工[],2,FALSE)</f>
        <v>謝蓁薰</v>
      </c>
    </row>
    <row r="1829" spans="6:19" hidden="1" x14ac:dyDescent="0.25">
      <c r="F1829" t="s">
        <v>1622</v>
      </c>
      <c r="G1829" t="s">
        <v>402</v>
      </c>
      <c r="H1829" t="str">
        <f>VLOOKUP(record[[#This Row],[ProcessSN]],表格2_7[],2,FALSE)</f>
        <v>30-4118-018-550</v>
      </c>
      <c r="I1829" t="str">
        <f>VLOOKUP(record[[#This Row],[ProcessSN]],表格2_7[],3,FALSE)</f>
        <v>#100STOCK</v>
      </c>
      <c r="J1829" t="s">
        <v>592</v>
      </c>
      <c r="K1829" s="195">
        <v>46129.776863425926</v>
      </c>
      <c r="L1829">
        <v>10</v>
      </c>
      <c r="M1829">
        <v>0</v>
      </c>
      <c r="N1829" s="98" t="str">
        <f>IF(record[[#This Row],[Memo]]="Browser:chrome os:android","平板報工",IF(record[[#This Row],[Memo]]=0,"委外",record[[#This Row],[Memo]]))</f>
        <v/>
      </c>
      <c r="O1829" t="s">
        <v>58</v>
      </c>
      <c r="P1829" t="s">
        <v>886</v>
      </c>
      <c r="Q1829" t="s">
        <v>58</v>
      </c>
      <c r="R1829" t="str">
        <f>IFERROR(VLOOKUP(record[[#This Row],[PCUSTID]],廠商[],2,FALSE),"")</f>
        <v/>
      </c>
      <c r="S1829" t="str">
        <f>VLOOKUP(record[[#This Row],[employeeID]],員工[],2,FALSE)</f>
        <v>謝蓁薰</v>
      </c>
    </row>
    <row r="1830" spans="6:19" hidden="1" x14ac:dyDescent="0.25">
      <c r="F1830" t="s">
        <v>1816</v>
      </c>
      <c r="G1830" t="s">
        <v>400</v>
      </c>
      <c r="H1830" t="str">
        <f>VLOOKUP(record[[#This Row],[ProcessSN]],表格2_7[],2,FALSE)</f>
        <v>30-4118-018-550</v>
      </c>
      <c r="I1830" t="str">
        <f>VLOOKUP(record[[#This Row],[ProcessSN]],表格2_7[],3,FALSE)</f>
        <v>#100</v>
      </c>
      <c r="J1830" t="s">
        <v>598</v>
      </c>
      <c r="K1830" s="195">
        <v>46129.773356481484</v>
      </c>
      <c r="L1830">
        <v>342</v>
      </c>
      <c r="M1830">
        <v>0</v>
      </c>
      <c r="N1830" s="98" t="str">
        <f>IF(record[[#This Row],[Memo]]="Browser:chrome os:android","平板報工",IF(record[[#This Row],[Memo]]=0,"委外",record[[#This Row],[Memo]]))</f>
        <v/>
      </c>
      <c r="O1830" t="s">
        <v>58</v>
      </c>
      <c r="P1830" t="s">
        <v>141</v>
      </c>
      <c r="Q1830" t="s">
        <v>58</v>
      </c>
      <c r="R1830" t="str">
        <f>IFERROR(VLOOKUP(record[[#This Row],[PCUSTID]],廠商[],2,FALSE),"")</f>
        <v/>
      </c>
      <c r="S1830" t="str">
        <f>VLOOKUP(record[[#This Row],[employeeID]],員工[],2,FALSE)</f>
        <v>蔣梅</v>
      </c>
    </row>
    <row r="1831" spans="6:19" hidden="1" x14ac:dyDescent="0.25">
      <c r="F1831" t="s">
        <v>1816</v>
      </c>
      <c r="G1831" t="s">
        <v>399</v>
      </c>
      <c r="H1831" t="str">
        <f>VLOOKUP(record[[#This Row],[ProcessSN]],表格2_7[],2,FALSE)</f>
        <v>30-4118-018-550</v>
      </c>
      <c r="I1831" t="str">
        <f>VLOOKUP(record[[#This Row],[ProcessSN]],表格2_7[],3,FALSE)</f>
        <v>#08IQC</v>
      </c>
      <c r="J1831" t="s">
        <v>583</v>
      </c>
      <c r="K1831" s="195">
        <v>46129.736840277779</v>
      </c>
      <c r="L1831">
        <v>503</v>
      </c>
      <c r="M1831">
        <v>0</v>
      </c>
      <c r="N1831" s="98" t="str">
        <f>IF(record[[#This Row],[Memo]]="Browser:chrome os:android","平板報工",IF(record[[#This Row],[Memo]]=0,"委外",record[[#This Row],[Memo]]))</f>
        <v/>
      </c>
      <c r="O1831" t="s">
        <v>58</v>
      </c>
      <c r="P1831" t="s">
        <v>109</v>
      </c>
      <c r="Q1831" t="s">
        <v>58</v>
      </c>
      <c r="R1831" t="str">
        <f>IFERROR(VLOOKUP(record[[#This Row],[PCUSTID]],廠商[],2,FALSE),"")</f>
        <v/>
      </c>
      <c r="S1831" t="str">
        <f>VLOOKUP(record[[#This Row],[employeeID]],員工[],2,FALSE)</f>
        <v>裴氏璧鳳</v>
      </c>
    </row>
    <row r="1832" spans="6:19" hidden="1" x14ac:dyDescent="0.25">
      <c r="F1832" t="s">
        <v>1816</v>
      </c>
      <c r="G1832" t="s">
        <v>398</v>
      </c>
      <c r="H1832" t="str">
        <f>VLOOKUP(record[[#This Row],[ProcessSN]],表格2_7[],2,FALSE)</f>
        <v>30-4118-018-550</v>
      </c>
      <c r="I1832" t="str">
        <f>VLOOKUP(record[[#This Row],[ProcessSN]],表格2_7[],3,FALSE)</f>
        <v>#08RCV</v>
      </c>
      <c r="J1832" t="s">
        <v>591</v>
      </c>
      <c r="K1832" s="195">
        <v>46129.730613425927</v>
      </c>
      <c r="L1832">
        <v>0</v>
      </c>
      <c r="M1832">
        <v>1</v>
      </c>
      <c r="N1832" s="98" t="str">
        <f>IF(record[[#This Row],[Memo]]="Browser:chrome os:android","平板報工",IF(record[[#This Row],[Memo]]=0,"委外",record[[#This Row],[Memo]]))</f>
        <v/>
      </c>
      <c r="O1832" t="s">
        <v>58</v>
      </c>
      <c r="P1832" t="s">
        <v>186</v>
      </c>
      <c r="Q1832" t="s">
        <v>58</v>
      </c>
      <c r="R1832" t="str">
        <f>IFERROR(VLOOKUP(record[[#This Row],[PCUSTID]],廠商[],2,FALSE),"")</f>
        <v/>
      </c>
      <c r="S1832" t="str">
        <f>VLOOKUP(record[[#This Row],[employeeID]],員工[],2,FALSE)</f>
        <v>許文姍</v>
      </c>
    </row>
    <row r="1833" spans="6:19" hidden="1" x14ac:dyDescent="0.25">
      <c r="F1833" t="s">
        <v>1816</v>
      </c>
      <c r="G1833" t="s">
        <v>398</v>
      </c>
      <c r="H1833" t="str">
        <f>VLOOKUP(record[[#This Row],[ProcessSN]],表格2_7[],2,FALSE)</f>
        <v>30-4118-018-550</v>
      </c>
      <c r="I1833" t="str">
        <f>VLOOKUP(record[[#This Row],[ProcessSN]],表格2_7[],3,FALSE)</f>
        <v>#08RCV</v>
      </c>
      <c r="J1833" t="s">
        <v>591</v>
      </c>
      <c r="K1833" s="195">
        <v>46129.730439814812</v>
      </c>
      <c r="L1833">
        <v>503</v>
      </c>
      <c r="M1833">
        <v>0</v>
      </c>
      <c r="N1833" s="98" t="str">
        <f>IF(record[[#This Row],[Memo]]="Browser:chrome os:android","平板報工",IF(record[[#This Row],[Memo]]=0,"委外",record[[#This Row],[Memo]]))</f>
        <v/>
      </c>
      <c r="O1833" t="s">
        <v>58</v>
      </c>
      <c r="P1833" t="s">
        <v>186</v>
      </c>
      <c r="Q1833" t="s">
        <v>58</v>
      </c>
      <c r="R1833" t="str">
        <f>IFERROR(VLOOKUP(record[[#This Row],[PCUSTID]],廠商[],2,FALSE),"")</f>
        <v/>
      </c>
      <c r="S1833" t="str">
        <f>VLOOKUP(record[[#This Row],[employeeID]],員工[],2,FALSE)</f>
        <v>許文姍</v>
      </c>
    </row>
    <row r="1834" spans="6:19" hidden="1" x14ac:dyDescent="0.25">
      <c r="F1834" t="s">
        <v>1637</v>
      </c>
      <c r="G1834" t="s">
        <v>453</v>
      </c>
      <c r="H1834" t="str">
        <f>VLOOKUP(record[[#This Row],[ProcessSN]],表格2_7[],2,FALSE)</f>
        <v>30-4118-018-6XX</v>
      </c>
      <c r="I1834" t="str">
        <f>VLOOKUP(record[[#This Row],[ProcessSN]],表格2_7[],3,FALSE)</f>
        <v>#07STOCK</v>
      </c>
      <c r="J1834" t="s">
        <v>592</v>
      </c>
      <c r="K1834" s="195">
        <v>46129.72828703704</v>
      </c>
      <c r="L1834">
        <v>251</v>
      </c>
      <c r="M1834">
        <v>0</v>
      </c>
      <c r="N1834" s="98" t="str">
        <f>IF(record[[#This Row],[Memo]]="Browser:chrome os:android","平板報工",IF(record[[#This Row],[Memo]]=0,"委外",record[[#This Row],[Memo]]))</f>
        <v/>
      </c>
      <c r="O1834" t="s">
        <v>58</v>
      </c>
      <c r="P1834" t="s">
        <v>186</v>
      </c>
      <c r="Q1834" t="s">
        <v>58</v>
      </c>
      <c r="R1834" t="str">
        <f>IFERROR(VLOOKUP(record[[#This Row],[PCUSTID]],廠商[],2,FALSE),"")</f>
        <v/>
      </c>
      <c r="S1834" t="str">
        <f>VLOOKUP(record[[#This Row],[employeeID]],員工[],2,FALSE)</f>
        <v>許文姍</v>
      </c>
    </row>
    <row r="1835" spans="6:19" hidden="1" x14ac:dyDescent="0.25">
      <c r="F1835" t="s">
        <v>1569</v>
      </c>
      <c r="G1835" t="s">
        <v>453</v>
      </c>
      <c r="H1835" t="str">
        <f>VLOOKUP(record[[#This Row],[ProcessSN]],表格2_7[],2,FALSE)</f>
        <v>30-4118-018-6XX</v>
      </c>
      <c r="I1835" t="str">
        <f>VLOOKUP(record[[#This Row],[ProcessSN]],表格2_7[],3,FALSE)</f>
        <v>#07STOCK</v>
      </c>
      <c r="J1835" t="s">
        <v>592</v>
      </c>
      <c r="K1835" s="195">
        <v>46129.728136574071</v>
      </c>
      <c r="L1835">
        <v>96</v>
      </c>
      <c r="M1835">
        <v>0</v>
      </c>
      <c r="N1835" s="98" t="str">
        <f>IF(record[[#This Row],[Memo]]="Browser:chrome os:android","平板報工",IF(record[[#This Row],[Memo]]=0,"委外",record[[#This Row],[Memo]]))</f>
        <v/>
      </c>
      <c r="O1835" t="s">
        <v>58</v>
      </c>
      <c r="P1835" t="s">
        <v>186</v>
      </c>
      <c r="Q1835" t="s">
        <v>58</v>
      </c>
      <c r="R1835" t="str">
        <f>IFERROR(VLOOKUP(record[[#This Row],[PCUSTID]],廠商[],2,FALSE),"")</f>
        <v/>
      </c>
      <c r="S1835" t="str">
        <f>VLOOKUP(record[[#This Row],[employeeID]],員工[],2,FALSE)</f>
        <v>許文姍</v>
      </c>
    </row>
    <row r="1836" spans="6:19" hidden="1" x14ac:dyDescent="0.25">
      <c r="F1836" t="s">
        <v>1417</v>
      </c>
      <c r="G1836" t="s">
        <v>453</v>
      </c>
      <c r="H1836" t="str">
        <f>VLOOKUP(record[[#This Row],[ProcessSN]],表格2_7[],2,FALSE)</f>
        <v>30-4118-018-6XX</v>
      </c>
      <c r="I1836" t="str">
        <f>VLOOKUP(record[[#This Row],[ProcessSN]],表格2_7[],3,FALSE)</f>
        <v>#07STOCK</v>
      </c>
      <c r="J1836" t="s">
        <v>592</v>
      </c>
      <c r="K1836" s="195">
        <v>46129.727962962963</v>
      </c>
      <c r="L1836">
        <v>3</v>
      </c>
      <c r="M1836">
        <v>0</v>
      </c>
      <c r="N1836" s="98" t="str">
        <f>IF(record[[#This Row],[Memo]]="Browser:chrome os:android","平板報工",IF(record[[#This Row],[Memo]]=0,"委外",record[[#This Row],[Memo]]))</f>
        <v/>
      </c>
      <c r="O1836" t="s">
        <v>58</v>
      </c>
      <c r="P1836" t="s">
        <v>186</v>
      </c>
      <c r="Q1836" t="s">
        <v>58</v>
      </c>
      <c r="R1836" t="str">
        <f>IFERROR(VLOOKUP(record[[#This Row],[PCUSTID]],廠商[],2,FALSE),"")</f>
        <v/>
      </c>
      <c r="S1836" t="str">
        <f>VLOOKUP(record[[#This Row],[employeeID]],員工[],2,FALSE)</f>
        <v>許文姍</v>
      </c>
    </row>
    <row r="1837" spans="6:19" hidden="1" x14ac:dyDescent="0.25">
      <c r="F1837" t="s">
        <v>1803</v>
      </c>
      <c r="G1837" t="s">
        <v>420</v>
      </c>
      <c r="H1837" t="str">
        <f>VLOOKUP(record[[#This Row],[ProcessSN]],表格2_7[],2,FALSE)</f>
        <v>30-4118-018-5XX</v>
      </c>
      <c r="I1837" t="str">
        <f>VLOOKUP(record[[#This Row],[ProcessSN]],表格2_7[],3,FALSE)</f>
        <v>#07STOCK</v>
      </c>
      <c r="J1837" t="s">
        <v>592</v>
      </c>
      <c r="K1837" s="195">
        <v>46129.725370370368</v>
      </c>
      <c r="L1837">
        <v>680</v>
      </c>
      <c r="M1837">
        <v>0</v>
      </c>
      <c r="N1837" s="98" t="str">
        <f>IF(record[[#This Row],[Memo]]="Browser:chrome os:android","平板報工",IF(record[[#This Row],[Memo]]=0,"委外",record[[#This Row],[Memo]]))</f>
        <v/>
      </c>
      <c r="O1837" t="s">
        <v>58</v>
      </c>
      <c r="P1837" t="s">
        <v>186</v>
      </c>
      <c r="Q1837" t="s">
        <v>58</v>
      </c>
      <c r="R1837" t="str">
        <f>IFERROR(VLOOKUP(record[[#This Row],[PCUSTID]],廠商[],2,FALSE),"")</f>
        <v/>
      </c>
      <c r="S1837" t="str">
        <f>VLOOKUP(record[[#This Row],[employeeID]],員工[],2,FALSE)</f>
        <v>許文姍</v>
      </c>
    </row>
    <row r="1838" spans="6:19" hidden="1" x14ac:dyDescent="0.25">
      <c r="F1838" t="s">
        <v>1782</v>
      </c>
      <c r="G1838" t="s">
        <v>420</v>
      </c>
      <c r="H1838" t="str">
        <f>VLOOKUP(record[[#This Row],[ProcessSN]],表格2_7[],2,FALSE)</f>
        <v>30-4118-018-5XX</v>
      </c>
      <c r="I1838" t="str">
        <f>VLOOKUP(record[[#This Row],[ProcessSN]],表格2_7[],3,FALSE)</f>
        <v>#07STOCK</v>
      </c>
      <c r="J1838" t="s">
        <v>592</v>
      </c>
      <c r="K1838" s="195">
        <v>46129.725173611114</v>
      </c>
      <c r="L1838">
        <v>27</v>
      </c>
      <c r="M1838">
        <v>0</v>
      </c>
      <c r="N1838" s="98" t="str">
        <f>IF(record[[#This Row],[Memo]]="Browser:chrome os:android","平板報工",IF(record[[#This Row],[Memo]]=0,"委外",record[[#This Row],[Memo]]))</f>
        <v/>
      </c>
      <c r="O1838" t="s">
        <v>58</v>
      </c>
      <c r="P1838" t="s">
        <v>186</v>
      </c>
      <c r="Q1838" t="s">
        <v>58</v>
      </c>
      <c r="R1838" t="str">
        <f>IFERROR(VLOOKUP(record[[#This Row],[PCUSTID]],廠商[],2,FALSE),"")</f>
        <v/>
      </c>
      <c r="S1838" t="str">
        <f>VLOOKUP(record[[#This Row],[employeeID]],員工[],2,FALSE)</f>
        <v>許文姍</v>
      </c>
    </row>
    <row r="1839" spans="6:19" hidden="1" x14ac:dyDescent="0.25">
      <c r="F1839" t="s">
        <v>1782</v>
      </c>
      <c r="G1839" t="s">
        <v>419</v>
      </c>
      <c r="H1839" t="str">
        <f>VLOOKUP(record[[#This Row],[ProcessSN]],表格2_7[],2,FALSE)</f>
        <v>30-4118-018-5XX</v>
      </c>
      <c r="I1839" t="str">
        <f>VLOOKUP(record[[#This Row],[ProcessSN]],表格2_7[],3,FALSE)</f>
        <v>#07QC</v>
      </c>
      <c r="J1839" t="s">
        <v>589</v>
      </c>
      <c r="K1839" s="195">
        <v>46129.723171296297</v>
      </c>
      <c r="L1839">
        <v>27</v>
      </c>
      <c r="M1839">
        <v>0</v>
      </c>
      <c r="N1839" s="98" t="str">
        <f>IF(record[[#This Row],[Memo]]="Browser:chrome os:android","平板報工",IF(record[[#This Row],[Memo]]=0,"委外",record[[#This Row],[Memo]]))</f>
        <v/>
      </c>
      <c r="O1839" t="s">
        <v>58</v>
      </c>
      <c r="P1839" t="s">
        <v>141</v>
      </c>
      <c r="Q1839" t="s">
        <v>58</v>
      </c>
      <c r="R1839" t="str">
        <f>IFERROR(VLOOKUP(record[[#This Row],[PCUSTID]],廠商[],2,FALSE),"")</f>
        <v/>
      </c>
      <c r="S1839" t="str">
        <f>VLOOKUP(record[[#This Row],[employeeID]],員工[],2,FALSE)</f>
        <v>蔣梅</v>
      </c>
    </row>
    <row r="1840" spans="6:19" hidden="1" x14ac:dyDescent="0.25">
      <c r="F1840" t="s">
        <v>1803</v>
      </c>
      <c r="G1840" t="s">
        <v>419</v>
      </c>
      <c r="H1840" t="str">
        <f>VLOOKUP(record[[#This Row],[ProcessSN]],表格2_7[],2,FALSE)</f>
        <v>30-4118-018-5XX</v>
      </c>
      <c r="I1840" t="str">
        <f>VLOOKUP(record[[#This Row],[ProcessSN]],表格2_7[],3,FALSE)</f>
        <v>#07QC</v>
      </c>
      <c r="J1840" t="s">
        <v>589</v>
      </c>
      <c r="K1840" s="195">
        <v>46129.721701388888</v>
      </c>
      <c r="L1840">
        <v>76</v>
      </c>
      <c r="M1840">
        <v>0</v>
      </c>
      <c r="N1840" s="98" t="str">
        <f>IF(record[[#This Row],[Memo]]="Browser:chrome os:android","平板報工",IF(record[[#This Row],[Memo]]=0,"委外",record[[#This Row],[Memo]]))</f>
        <v/>
      </c>
      <c r="O1840" t="s">
        <v>58</v>
      </c>
      <c r="P1840" t="s">
        <v>141</v>
      </c>
      <c r="Q1840" t="s">
        <v>58</v>
      </c>
      <c r="R1840" t="str">
        <f>IFERROR(VLOOKUP(record[[#This Row],[PCUSTID]],廠商[],2,FALSE),"")</f>
        <v/>
      </c>
      <c r="S1840" t="str">
        <f>VLOOKUP(record[[#This Row],[employeeID]],員工[],2,FALSE)</f>
        <v>蔣梅</v>
      </c>
    </row>
    <row r="1841" spans="6:19" hidden="1" x14ac:dyDescent="0.25">
      <c r="F1841" t="s">
        <v>1637</v>
      </c>
      <c r="G1841" t="s">
        <v>452</v>
      </c>
      <c r="H1841" t="str">
        <f>VLOOKUP(record[[#This Row],[ProcessSN]],表格2_7[],2,FALSE)</f>
        <v>30-4118-018-6XX</v>
      </c>
      <c r="I1841" t="str">
        <f>VLOOKUP(record[[#This Row],[ProcessSN]],表格2_7[],3,FALSE)</f>
        <v>#07QC</v>
      </c>
      <c r="J1841" t="s">
        <v>589</v>
      </c>
      <c r="K1841" s="195">
        <v>46129.721006944441</v>
      </c>
      <c r="L1841">
        <v>167</v>
      </c>
      <c r="M1841">
        <v>0</v>
      </c>
      <c r="N1841" s="98" t="str">
        <f>IF(record[[#This Row],[Memo]]="Browser:chrome os:android","平板報工",IF(record[[#This Row],[Memo]]=0,"委外",record[[#This Row],[Memo]]))</f>
        <v/>
      </c>
      <c r="O1841" t="s">
        <v>58</v>
      </c>
      <c r="P1841" t="s">
        <v>99</v>
      </c>
      <c r="Q1841" t="s">
        <v>58</v>
      </c>
      <c r="R1841" t="str">
        <f>IFERROR(VLOOKUP(record[[#This Row],[PCUSTID]],廠商[],2,FALSE),"")</f>
        <v/>
      </c>
      <c r="S1841" t="str">
        <f>VLOOKUP(record[[#This Row],[employeeID]],員工[],2,FALSE)</f>
        <v>阮氏河</v>
      </c>
    </row>
    <row r="1842" spans="6:19" hidden="1" x14ac:dyDescent="0.25">
      <c r="F1842" t="s">
        <v>1637</v>
      </c>
      <c r="G1842" t="s">
        <v>452</v>
      </c>
      <c r="H1842" t="str">
        <f>VLOOKUP(record[[#This Row],[ProcessSN]],表格2_7[],2,FALSE)</f>
        <v>30-4118-018-6XX</v>
      </c>
      <c r="I1842" t="str">
        <f>VLOOKUP(record[[#This Row],[ProcessSN]],表格2_7[],3,FALSE)</f>
        <v>#07QC</v>
      </c>
      <c r="J1842" t="s">
        <v>589</v>
      </c>
      <c r="K1842" s="195">
        <v>46129.720659722225</v>
      </c>
      <c r="L1842">
        <v>84</v>
      </c>
      <c r="M1842">
        <v>0</v>
      </c>
      <c r="N1842" s="98" t="str">
        <f>IF(record[[#This Row],[Memo]]="Browser:chrome os:android","平板報工",IF(record[[#This Row],[Memo]]=0,"委外",record[[#This Row],[Memo]]))</f>
        <v/>
      </c>
      <c r="O1842" t="s">
        <v>58</v>
      </c>
      <c r="P1842" t="s">
        <v>99</v>
      </c>
      <c r="Q1842" t="s">
        <v>58</v>
      </c>
      <c r="R1842" t="str">
        <f>IFERROR(VLOOKUP(record[[#This Row],[PCUSTID]],廠商[],2,FALSE),"")</f>
        <v/>
      </c>
      <c r="S1842" t="str">
        <f>VLOOKUP(record[[#This Row],[employeeID]],員工[],2,FALSE)</f>
        <v>阮氏河</v>
      </c>
    </row>
    <row r="1843" spans="6:19" hidden="1" x14ac:dyDescent="0.25">
      <c r="F1843" t="s">
        <v>1569</v>
      </c>
      <c r="G1843" t="s">
        <v>452</v>
      </c>
      <c r="H1843" t="str">
        <f>VLOOKUP(record[[#This Row],[ProcessSN]],表格2_7[],2,FALSE)</f>
        <v>30-4118-018-6XX</v>
      </c>
      <c r="I1843" t="str">
        <f>VLOOKUP(record[[#This Row],[ProcessSN]],表格2_7[],3,FALSE)</f>
        <v>#07QC</v>
      </c>
      <c r="J1843" t="s">
        <v>589</v>
      </c>
      <c r="K1843" s="195">
        <v>46129.720509259256</v>
      </c>
      <c r="L1843">
        <v>2</v>
      </c>
      <c r="M1843">
        <v>0</v>
      </c>
      <c r="N1843" s="98" t="str">
        <f>IF(record[[#This Row],[Memo]]="Browser:chrome os:android","平板報工",IF(record[[#This Row],[Memo]]=0,"委外",record[[#This Row],[Memo]]))</f>
        <v/>
      </c>
      <c r="O1843" t="s">
        <v>58</v>
      </c>
      <c r="P1843" t="s">
        <v>99</v>
      </c>
      <c r="Q1843" t="s">
        <v>58</v>
      </c>
      <c r="R1843" t="str">
        <f>IFERROR(VLOOKUP(record[[#This Row],[PCUSTID]],廠商[],2,FALSE),"")</f>
        <v/>
      </c>
      <c r="S1843" t="str">
        <f>VLOOKUP(record[[#This Row],[employeeID]],員工[],2,FALSE)</f>
        <v>阮氏河</v>
      </c>
    </row>
    <row r="1844" spans="6:19" hidden="1" x14ac:dyDescent="0.25">
      <c r="F1844" t="s">
        <v>1569</v>
      </c>
      <c r="G1844" t="s">
        <v>452</v>
      </c>
      <c r="H1844" t="str">
        <f>VLOOKUP(record[[#This Row],[ProcessSN]],表格2_7[],2,FALSE)</f>
        <v>30-4118-018-6XX</v>
      </c>
      <c r="I1844" t="str">
        <f>VLOOKUP(record[[#This Row],[ProcessSN]],表格2_7[],3,FALSE)</f>
        <v>#07QC</v>
      </c>
      <c r="J1844" t="s">
        <v>589</v>
      </c>
      <c r="K1844" s="195">
        <v>46129.719849537039</v>
      </c>
      <c r="L1844">
        <v>0</v>
      </c>
      <c r="M1844">
        <v>-2</v>
      </c>
      <c r="N1844" s="98" t="str">
        <f>IF(record[[#This Row],[Memo]]="Browser:chrome os:android","平板報工",IF(record[[#This Row],[Memo]]=0,"委外",record[[#This Row],[Memo]]))</f>
        <v>覆回</v>
      </c>
      <c r="O1844" t="s">
        <v>682</v>
      </c>
      <c r="P1844" t="s">
        <v>1073</v>
      </c>
      <c r="Q1844" t="s">
        <v>58</v>
      </c>
      <c r="R1844" t="str">
        <f>IFERROR(VLOOKUP(record[[#This Row],[PCUSTID]],廠商[],2,FALSE),"")</f>
        <v/>
      </c>
      <c r="S1844" t="str">
        <f>VLOOKUP(record[[#This Row],[employeeID]],員工[],2,FALSE)</f>
        <v>武如瓊</v>
      </c>
    </row>
    <row r="1845" spans="6:19" hidden="1" x14ac:dyDescent="0.25">
      <c r="F1845" t="s">
        <v>1787</v>
      </c>
      <c r="G1845" t="s">
        <v>470</v>
      </c>
      <c r="H1845" t="str">
        <f>VLOOKUP(record[[#This Row],[ProcessSN]],表格2_7[],2,FALSE)</f>
        <v>30-4118-018-XXX</v>
      </c>
      <c r="I1845" t="str">
        <f>VLOOKUP(record[[#This Row],[ProcessSN]],表格2_7[],3,FALSE)</f>
        <v>#02IQC</v>
      </c>
      <c r="J1845" t="s">
        <v>583</v>
      </c>
      <c r="K1845" s="195">
        <v>46129.719201388885</v>
      </c>
      <c r="L1845">
        <v>658</v>
      </c>
      <c r="M1845">
        <v>0</v>
      </c>
      <c r="N1845" s="98" t="str">
        <f>IF(record[[#This Row],[Memo]]="Browser:chrome os:android","平板報工",IF(record[[#This Row],[Memo]]=0,"委外",record[[#This Row],[Memo]]))</f>
        <v/>
      </c>
      <c r="O1845" t="s">
        <v>58</v>
      </c>
      <c r="P1845" t="s">
        <v>109</v>
      </c>
      <c r="Q1845" t="s">
        <v>58</v>
      </c>
      <c r="R1845" t="str">
        <f>IFERROR(VLOOKUP(record[[#This Row],[PCUSTID]],廠商[],2,FALSE),"")</f>
        <v/>
      </c>
      <c r="S1845" t="str">
        <f>VLOOKUP(record[[#This Row],[employeeID]],員工[],2,FALSE)</f>
        <v>裴氏璧鳳</v>
      </c>
    </row>
    <row r="1846" spans="6:19" hidden="1" x14ac:dyDescent="0.25">
      <c r="F1846" t="s">
        <v>1637</v>
      </c>
      <c r="G1846" t="s">
        <v>452</v>
      </c>
      <c r="H1846" t="str">
        <f>VLOOKUP(record[[#This Row],[ProcessSN]],表格2_7[],2,FALSE)</f>
        <v>30-4118-018-6XX</v>
      </c>
      <c r="I1846" t="str">
        <f>VLOOKUP(record[[#This Row],[ProcessSN]],表格2_7[],3,FALSE)</f>
        <v>#07QC</v>
      </c>
      <c r="J1846" t="s">
        <v>589</v>
      </c>
      <c r="K1846" s="195">
        <v>46129.718946759262</v>
      </c>
      <c r="L1846">
        <v>0</v>
      </c>
      <c r="M1846">
        <v>-84</v>
      </c>
      <c r="N1846" s="98" t="str">
        <f>IF(record[[#This Row],[Memo]]="Browser:chrome os:android","平板報工",IF(record[[#This Row],[Memo]]=0,"委外",record[[#This Row],[Memo]]))</f>
        <v>覆回</v>
      </c>
      <c r="O1846" t="s">
        <v>682</v>
      </c>
      <c r="P1846" t="s">
        <v>1073</v>
      </c>
      <c r="Q1846" t="s">
        <v>58</v>
      </c>
      <c r="R1846" t="str">
        <f>IFERROR(VLOOKUP(record[[#This Row],[PCUSTID]],廠商[],2,FALSE),"")</f>
        <v/>
      </c>
      <c r="S1846" t="str">
        <f>VLOOKUP(record[[#This Row],[employeeID]],員工[],2,FALSE)</f>
        <v>武如瓊</v>
      </c>
    </row>
    <row r="1847" spans="6:19" hidden="1" x14ac:dyDescent="0.25">
      <c r="F1847" t="s">
        <v>1830</v>
      </c>
      <c r="G1847" t="s">
        <v>397</v>
      </c>
      <c r="H1847" t="str">
        <f>VLOOKUP(record[[#This Row],[ProcessSN]],表格2_7[],2,FALSE)</f>
        <v>30-4118-018-550</v>
      </c>
      <c r="I1847" t="str">
        <f>VLOOKUP(record[[#This Row],[ProcessSN]],表格2_7[],3,FALSE)</f>
        <v>#08</v>
      </c>
      <c r="J1847" t="s">
        <v>597</v>
      </c>
      <c r="K1847" s="195">
        <v>46129.718657407408</v>
      </c>
      <c r="L1847">
        <v>707</v>
      </c>
      <c r="M1847">
        <v>0</v>
      </c>
      <c r="N1847" s="98" t="str">
        <f>IF(record[[#This Row],[Memo]]="Browser:chrome os:android","平板報工",IF(record[[#This Row],[Memo]]=0,"委外",record[[#This Row],[Memo]]))</f>
        <v>委外</v>
      </c>
      <c r="P1847" t="s">
        <v>186</v>
      </c>
      <c r="Q1847" t="s">
        <v>287</v>
      </c>
      <c r="R1847" t="str">
        <f>IFERROR(VLOOKUP(record[[#This Row],[PCUSTID]],廠商[],2,FALSE),"")</f>
        <v>泉盛</v>
      </c>
      <c r="S1847" t="str">
        <f>VLOOKUP(record[[#This Row],[employeeID]],員工[],2,FALSE)</f>
        <v>許文姍</v>
      </c>
    </row>
    <row r="1848" spans="6:19" hidden="1" x14ac:dyDescent="0.25">
      <c r="F1848" t="s">
        <v>1830</v>
      </c>
      <c r="G1848" t="s">
        <v>396</v>
      </c>
      <c r="H1848" t="str">
        <f>VLOOKUP(record[[#This Row],[ProcessSN]],表格2_7[],2,FALSE)</f>
        <v>30-4118-018-550</v>
      </c>
      <c r="I1848" t="str">
        <f>VLOOKUP(record[[#This Row],[ProcessSN]],表格2_7[],3,FALSE)</f>
        <v>#08PICK</v>
      </c>
      <c r="J1848" t="s">
        <v>582</v>
      </c>
      <c r="K1848" s="195">
        <v>46129.718460648146</v>
      </c>
      <c r="L1848">
        <v>707</v>
      </c>
      <c r="M1848">
        <v>0</v>
      </c>
      <c r="N1848" s="98" t="str">
        <f>IF(record[[#This Row],[Memo]]="Browser:chrome os:android","平板報工",IF(record[[#This Row],[Memo]]=0,"委外",record[[#This Row],[Memo]]))</f>
        <v/>
      </c>
      <c r="O1848" t="s">
        <v>58</v>
      </c>
      <c r="P1848" t="s">
        <v>186</v>
      </c>
      <c r="Q1848" t="s">
        <v>58</v>
      </c>
      <c r="R1848" t="str">
        <f>IFERROR(VLOOKUP(record[[#This Row],[PCUSTID]],廠商[],2,FALSE),"")</f>
        <v/>
      </c>
      <c r="S1848" t="str">
        <f>VLOOKUP(record[[#This Row],[employeeID]],員工[],2,FALSE)</f>
        <v>許文姍</v>
      </c>
    </row>
    <row r="1849" spans="6:19" hidden="1" x14ac:dyDescent="0.25">
      <c r="F1849" t="s">
        <v>1569</v>
      </c>
      <c r="G1849" t="s">
        <v>452</v>
      </c>
      <c r="H1849" t="str">
        <f>VLOOKUP(record[[#This Row],[ProcessSN]],表格2_7[],2,FALSE)</f>
        <v>30-4118-018-6XX</v>
      </c>
      <c r="I1849" t="str">
        <f>VLOOKUP(record[[#This Row],[ProcessSN]],表格2_7[],3,FALSE)</f>
        <v>#07QC</v>
      </c>
      <c r="J1849" t="s">
        <v>589</v>
      </c>
      <c r="K1849" s="195">
        <v>46129.716874999998</v>
      </c>
      <c r="L1849">
        <v>94</v>
      </c>
      <c r="M1849">
        <v>0</v>
      </c>
      <c r="N1849" s="98" t="str">
        <f>IF(record[[#This Row],[Memo]]="Browser:chrome os:android","平板報工",IF(record[[#This Row],[Memo]]=0,"委外",record[[#This Row],[Memo]]))</f>
        <v/>
      </c>
      <c r="O1849" t="s">
        <v>58</v>
      </c>
      <c r="P1849" t="s">
        <v>99</v>
      </c>
      <c r="Q1849" t="s">
        <v>58</v>
      </c>
      <c r="R1849" t="str">
        <f>IFERROR(VLOOKUP(record[[#This Row],[PCUSTID]],廠商[],2,FALSE),"")</f>
        <v/>
      </c>
      <c r="S1849" t="str">
        <f>VLOOKUP(record[[#This Row],[employeeID]],員工[],2,FALSE)</f>
        <v>阮氏河</v>
      </c>
    </row>
    <row r="1850" spans="6:19" hidden="1" x14ac:dyDescent="0.25">
      <c r="F1850" t="s">
        <v>1417</v>
      </c>
      <c r="G1850" t="s">
        <v>452</v>
      </c>
      <c r="H1850" t="str">
        <f>VLOOKUP(record[[#This Row],[ProcessSN]],表格2_7[],2,FALSE)</f>
        <v>30-4118-018-6XX</v>
      </c>
      <c r="I1850" t="str">
        <f>VLOOKUP(record[[#This Row],[ProcessSN]],表格2_7[],3,FALSE)</f>
        <v>#07QC</v>
      </c>
      <c r="J1850" t="s">
        <v>589</v>
      </c>
      <c r="K1850" s="195">
        <v>46129.716620370367</v>
      </c>
      <c r="L1850">
        <v>3</v>
      </c>
      <c r="M1850">
        <v>0</v>
      </c>
      <c r="N1850" s="98" t="str">
        <f>IF(record[[#This Row],[Memo]]="Browser:chrome os:android","平板報工",IF(record[[#This Row],[Memo]]=0,"委外",record[[#This Row],[Memo]]))</f>
        <v/>
      </c>
      <c r="O1850" t="s">
        <v>58</v>
      </c>
      <c r="P1850" t="s">
        <v>99</v>
      </c>
      <c r="Q1850" t="s">
        <v>58</v>
      </c>
      <c r="R1850" t="str">
        <f>IFERROR(VLOOKUP(record[[#This Row],[PCUSTID]],廠商[],2,FALSE),"")</f>
        <v/>
      </c>
      <c r="S1850" t="str">
        <f>VLOOKUP(record[[#This Row],[employeeID]],員工[],2,FALSE)</f>
        <v>阮氏河</v>
      </c>
    </row>
    <row r="1851" spans="6:19" hidden="1" x14ac:dyDescent="0.25">
      <c r="F1851" t="s">
        <v>1829</v>
      </c>
      <c r="G1851" t="s">
        <v>430</v>
      </c>
      <c r="H1851" t="str">
        <f>VLOOKUP(record[[#This Row],[ProcessSN]],表格2_7[],2,FALSE)</f>
        <v>30-4118-018-620</v>
      </c>
      <c r="I1851" t="str">
        <f>VLOOKUP(record[[#This Row],[ProcessSN]],表格2_7[],3,FALSE)</f>
        <v>#08</v>
      </c>
      <c r="J1851" t="s">
        <v>597</v>
      </c>
      <c r="K1851" s="195">
        <v>46129.710462962961</v>
      </c>
      <c r="L1851">
        <v>350</v>
      </c>
      <c r="M1851">
        <v>0</v>
      </c>
      <c r="N1851" s="98" t="str">
        <f>IF(record[[#This Row],[Memo]]="Browser:chrome os:android","平板報工",IF(record[[#This Row],[Memo]]=0,"委外",record[[#This Row],[Memo]]))</f>
        <v>委外</v>
      </c>
      <c r="P1851" t="s">
        <v>186</v>
      </c>
      <c r="Q1851" t="s">
        <v>287</v>
      </c>
      <c r="R1851" t="str">
        <f>IFERROR(VLOOKUP(record[[#This Row],[PCUSTID]],廠商[],2,FALSE),"")</f>
        <v>泉盛</v>
      </c>
      <c r="S1851" t="str">
        <f>VLOOKUP(record[[#This Row],[employeeID]],員工[],2,FALSE)</f>
        <v>許文姍</v>
      </c>
    </row>
    <row r="1852" spans="6:19" hidden="1" x14ac:dyDescent="0.25">
      <c r="F1852" t="s">
        <v>1829</v>
      </c>
      <c r="G1852" t="s">
        <v>429</v>
      </c>
      <c r="H1852" t="str">
        <f>VLOOKUP(record[[#This Row],[ProcessSN]],表格2_7[],2,FALSE)</f>
        <v>30-4118-018-620</v>
      </c>
      <c r="I1852" t="str">
        <f>VLOOKUP(record[[#This Row],[ProcessSN]],表格2_7[],3,FALSE)</f>
        <v>#08PICK</v>
      </c>
      <c r="J1852" t="s">
        <v>582</v>
      </c>
      <c r="K1852" s="195">
        <v>46129.710219907407</v>
      </c>
      <c r="L1852">
        <v>350</v>
      </c>
      <c r="M1852">
        <v>0</v>
      </c>
      <c r="N1852" s="98" t="str">
        <f>IF(record[[#This Row],[Memo]]="Browser:chrome os:android","平板報工",IF(record[[#This Row],[Memo]]=0,"委外",record[[#This Row],[Memo]]))</f>
        <v/>
      </c>
      <c r="O1852" t="s">
        <v>58</v>
      </c>
      <c r="P1852" t="s">
        <v>186</v>
      </c>
      <c r="Q1852" t="s">
        <v>58</v>
      </c>
      <c r="R1852" t="str">
        <f>IFERROR(VLOOKUP(record[[#This Row],[PCUSTID]],廠商[],2,FALSE),"")</f>
        <v/>
      </c>
      <c r="S1852" t="str">
        <f>VLOOKUP(record[[#This Row],[employeeID]],員工[],2,FALSE)</f>
        <v>許文姍</v>
      </c>
    </row>
    <row r="1853" spans="6:19" hidden="1" x14ac:dyDescent="0.25">
      <c r="F1853" t="s">
        <v>1803</v>
      </c>
      <c r="G1853" t="s">
        <v>417</v>
      </c>
      <c r="H1853" t="str">
        <f>VLOOKUP(record[[#This Row],[ProcessSN]],表格2_7[],2,FALSE)</f>
        <v>30-4118-018-5XX</v>
      </c>
      <c r="I1853" t="str">
        <f>VLOOKUP(record[[#This Row],[ProcessSN]],表格2_7[],3,FALSE)</f>
        <v>#06</v>
      </c>
      <c r="J1853" t="s">
        <v>593</v>
      </c>
      <c r="K1853" s="195">
        <v>46129.696608796294</v>
      </c>
      <c r="L1853">
        <v>90</v>
      </c>
      <c r="M1853">
        <v>0</v>
      </c>
      <c r="N1853" s="98" t="str">
        <f>IF(record[[#This Row],[Memo]]="Browser:chrome os:android","平板報工",IF(record[[#This Row],[Memo]]=0,"委外",record[[#This Row],[Memo]]))</f>
        <v/>
      </c>
      <c r="O1853" t="s">
        <v>58</v>
      </c>
      <c r="P1853" t="s">
        <v>188</v>
      </c>
      <c r="Q1853" t="s">
        <v>58</v>
      </c>
      <c r="R1853" t="str">
        <f>IFERROR(VLOOKUP(record[[#This Row],[PCUSTID]],廠商[],2,FALSE),"")</f>
        <v/>
      </c>
      <c r="S1853" t="str">
        <f>VLOOKUP(record[[#This Row],[employeeID]],員工[],2,FALSE)</f>
        <v>阮氏璧紅</v>
      </c>
    </row>
    <row r="1854" spans="6:19" hidden="1" x14ac:dyDescent="0.25">
      <c r="F1854" t="s">
        <v>1803</v>
      </c>
      <c r="G1854" t="s">
        <v>416</v>
      </c>
      <c r="H1854" t="str">
        <f>VLOOKUP(record[[#This Row],[ProcessSN]],表格2_7[],2,FALSE)</f>
        <v>30-4118-018-5XX</v>
      </c>
      <c r="I1854" t="str">
        <f>VLOOKUP(record[[#This Row],[ProcessSN]],表格2_7[],3,FALSE)</f>
        <v>#05</v>
      </c>
      <c r="J1854" t="s">
        <v>588</v>
      </c>
      <c r="K1854" s="195">
        <v>46129.696203703701</v>
      </c>
      <c r="L1854">
        <v>220</v>
      </c>
      <c r="M1854">
        <v>0</v>
      </c>
      <c r="N1854" s="98" t="str">
        <f>IF(record[[#This Row],[Memo]]="Browser:chrome os:android","平板報工",IF(record[[#This Row],[Memo]]=0,"委外",record[[#This Row],[Memo]]))</f>
        <v/>
      </c>
      <c r="O1854" t="s">
        <v>58</v>
      </c>
      <c r="P1854" t="s">
        <v>107</v>
      </c>
      <c r="Q1854" t="s">
        <v>58</v>
      </c>
      <c r="R1854" t="str">
        <f>IFERROR(VLOOKUP(record[[#This Row],[PCUSTID]],廠商[],2,FALSE),"")</f>
        <v/>
      </c>
      <c r="S1854" t="str">
        <f>VLOOKUP(record[[#This Row],[employeeID]],員工[],2,FALSE)</f>
        <v>黎氏順</v>
      </c>
    </row>
    <row r="1855" spans="6:19" hidden="1" x14ac:dyDescent="0.25">
      <c r="F1855" t="s">
        <v>1803</v>
      </c>
      <c r="G1855" t="s">
        <v>415</v>
      </c>
      <c r="H1855" t="str">
        <f>VLOOKUP(record[[#This Row],[ProcessSN]],表格2_7[],2,FALSE)</f>
        <v>30-4118-018-5XX</v>
      </c>
      <c r="I1855" t="str">
        <f>VLOOKUP(record[[#This Row],[ProcessSN]],表格2_7[],3,FALSE)</f>
        <v>#04</v>
      </c>
      <c r="J1855" t="s">
        <v>588</v>
      </c>
      <c r="K1855" s="195">
        <v>46129.695821759262</v>
      </c>
      <c r="L1855">
        <v>255</v>
      </c>
      <c r="M1855">
        <v>0</v>
      </c>
      <c r="N1855" s="98" t="str">
        <f>IF(record[[#This Row],[Memo]]="Browser:chrome os:android","平板報工",IF(record[[#This Row],[Memo]]=0,"委外",record[[#This Row],[Memo]]))</f>
        <v/>
      </c>
      <c r="O1855" t="s">
        <v>58</v>
      </c>
      <c r="P1855" t="s">
        <v>111</v>
      </c>
      <c r="Q1855" t="s">
        <v>58</v>
      </c>
      <c r="R1855" t="str">
        <f>IFERROR(VLOOKUP(record[[#This Row],[PCUSTID]],廠商[],2,FALSE),"")</f>
        <v/>
      </c>
      <c r="S1855" t="str">
        <f>VLOOKUP(record[[#This Row],[employeeID]],員工[],2,FALSE)</f>
        <v>江栩妘</v>
      </c>
    </row>
    <row r="1856" spans="6:19" hidden="1" x14ac:dyDescent="0.25">
      <c r="F1856" t="s">
        <v>1787</v>
      </c>
      <c r="G1856" t="s">
        <v>467</v>
      </c>
      <c r="H1856" t="str">
        <f>VLOOKUP(record[[#This Row],[ProcessSN]],表格2_7[],2,FALSE)</f>
        <v>30-4118-018-XXX</v>
      </c>
      <c r="I1856" t="str">
        <f>VLOOKUP(record[[#This Row],[ProcessSN]],表格2_7[],3,FALSE)</f>
        <v>#01QC</v>
      </c>
      <c r="J1856" t="s">
        <v>589</v>
      </c>
      <c r="K1856" s="195">
        <v>46129.68922453704</v>
      </c>
      <c r="L1856">
        <v>320</v>
      </c>
      <c r="M1856">
        <v>0</v>
      </c>
      <c r="N1856" s="98" t="str">
        <f>IF(record[[#This Row],[Memo]]="Browser:chrome os:android","平板報工",IF(record[[#This Row],[Memo]]=0,"委外",record[[#This Row],[Memo]]))</f>
        <v>平板報工</v>
      </c>
      <c r="O1856" t="s">
        <v>643</v>
      </c>
      <c r="P1856" t="s">
        <v>182</v>
      </c>
      <c r="Q1856" t="s">
        <v>644</v>
      </c>
      <c r="R1856" t="str">
        <f>IFERROR(VLOOKUP(record[[#This Row],[PCUSTID]],廠商[],2,FALSE),"")</f>
        <v/>
      </c>
      <c r="S1856" t="str">
        <f>VLOOKUP(record[[#This Row],[employeeID]],員工[],2,FALSE)</f>
        <v>梅氏和</v>
      </c>
    </row>
    <row r="1857" spans="6:19" hidden="1" x14ac:dyDescent="0.25">
      <c r="F1857" t="s">
        <v>1787</v>
      </c>
      <c r="G1857" t="s">
        <v>466</v>
      </c>
      <c r="H1857" t="str">
        <f>VLOOKUP(record[[#This Row],[ProcessSN]],表格2_7[],2,FALSE)</f>
        <v>30-4118-018-XXX</v>
      </c>
      <c r="I1857" t="str">
        <f>VLOOKUP(record[[#This Row],[ProcessSN]],表格2_7[],3,FALSE)</f>
        <v>#01-2</v>
      </c>
      <c r="J1857" t="s">
        <v>588</v>
      </c>
      <c r="K1857" s="195">
        <v>46129.662037037036</v>
      </c>
      <c r="L1857">
        <v>259</v>
      </c>
      <c r="M1857">
        <v>0</v>
      </c>
      <c r="N1857" s="98" t="str">
        <f>IF(record[[#This Row],[Memo]]="Browser:chrome os:android","平板報工",IF(record[[#This Row],[Memo]]=0,"委外",record[[#This Row],[Memo]]))</f>
        <v>平板報工</v>
      </c>
      <c r="O1857" t="s">
        <v>643</v>
      </c>
      <c r="P1857" t="s">
        <v>111</v>
      </c>
      <c r="Q1857" t="s">
        <v>644</v>
      </c>
      <c r="R1857" t="str">
        <f>IFERROR(VLOOKUP(record[[#This Row],[PCUSTID]],廠商[],2,FALSE),"")</f>
        <v/>
      </c>
      <c r="S1857" t="str">
        <f>VLOOKUP(record[[#This Row],[employeeID]],員工[],2,FALSE)</f>
        <v>江栩妘</v>
      </c>
    </row>
    <row r="1858" spans="6:19" hidden="1" x14ac:dyDescent="0.25">
      <c r="F1858" t="s">
        <v>1803</v>
      </c>
      <c r="G1858" t="s">
        <v>417</v>
      </c>
      <c r="H1858" t="str">
        <f>VLOOKUP(record[[#This Row],[ProcessSN]],表格2_7[],2,FALSE)</f>
        <v>30-4118-018-5XX</v>
      </c>
      <c r="I1858" t="str">
        <f>VLOOKUP(record[[#This Row],[ProcessSN]],表格2_7[],3,FALSE)</f>
        <v>#06</v>
      </c>
      <c r="J1858" t="s">
        <v>593</v>
      </c>
      <c r="K1858" s="195">
        <v>46129.661759259259</v>
      </c>
      <c r="L1858">
        <v>120</v>
      </c>
      <c r="M1858">
        <v>0</v>
      </c>
      <c r="N1858" s="98" t="str">
        <f>IF(record[[#This Row],[Memo]]="Browser:chrome os:android","平板報工",IF(record[[#This Row],[Memo]]=0,"委外",record[[#This Row],[Memo]]))</f>
        <v>平板報工</v>
      </c>
      <c r="O1858" t="s">
        <v>643</v>
      </c>
      <c r="P1858" t="s">
        <v>166</v>
      </c>
      <c r="Q1858" t="s">
        <v>644</v>
      </c>
      <c r="R1858" t="str">
        <f>IFERROR(VLOOKUP(record[[#This Row],[PCUSTID]],廠商[],2,FALSE),"")</f>
        <v/>
      </c>
      <c r="S1858" t="str">
        <f>VLOOKUP(record[[#This Row],[employeeID]],員工[],2,FALSE)</f>
        <v>阮懷香</v>
      </c>
    </row>
    <row r="1859" spans="6:19" hidden="1" x14ac:dyDescent="0.25">
      <c r="F1859" t="s">
        <v>1828</v>
      </c>
      <c r="G1859" t="s">
        <v>438</v>
      </c>
      <c r="H1859" t="str">
        <f>VLOOKUP(record[[#This Row],[ProcessSN]],表格2_7[],2,FALSE)</f>
        <v>30-4118-018-650</v>
      </c>
      <c r="I1859" t="str">
        <f>VLOOKUP(record[[#This Row],[ProcessSN]],表格2_7[],3,FALSE)</f>
        <v>#08</v>
      </c>
      <c r="J1859" t="s">
        <v>597</v>
      </c>
      <c r="K1859" s="195">
        <v>46129.66097222222</v>
      </c>
      <c r="L1859">
        <v>200</v>
      </c>
      <c r="M1859">
        <v>0</v>
      </c>
      <c r="N1859" s="98" t="str">
        <f>IF(record[[#This Row],[Memo]]="Browser:chrome os:android","平板報工",IF(record[[#This Row],[Memo]]=0,"委外",record[[#This Row],[Memo]]))</f>
        <v>委外</v>
      </c>
      <c r="P1859" t="s">
        <v>186</v>
      </c>
      <c r="Q1859" t="s">
        <v>287</v>
      </c>
      <c r="R1859" t="str">
        <f>IFERROR(VLOOKUP(record[[#This Row],[PCUSTID]],廠商[],2,FALSE),"")</f>
        <v>泉盛</v>
      </c>
      <c r="S1859" t="str">
        <f>VLOOKUP(record[[#This Row],[employeeID]],員工[],2,FALSE)</f>
        <v>許文姍</v>
      </c>
    </row>
    <row r="1860" spans="6:19" hidden="1" x14ac:dyDescent="0.25">
      <c r="F1860" t="s">
        <v>1637</v>
      </c>
      <c r="G1860" t="s">
        <v>453</v>
      </c>
      <c r="H1860" t="str">
        <f>VLOOKUP(record[[#This Row],[ProcessSN]],表格2_7[],2,FALSE)</f>
        <v>30-4118-018-6XX</v>
      </c>
      <c r="I1860" t="str">
        <f>VLOOKUP(record[[#This Row],[ProcessSN]],表格2_7[],3,FALSE)</f>
        <v>#07STOCK</v>
      </c>
      <c r="J1860" t="s">
        <v>592</v>
      </c>
      <c r="K1860" s="195">
        <v>46129.660775462966</v>
      </c>
      <c r="L1860">
        <v>200</v>
      </c>
      <c r="M1860">
        <v>0</v>
      </c>
      <c r="N1860" s="98" t="str">
        <f>IF(record[[#This Row],[Memo]]="Browser:chrome os:android","平板報工",IF(record[[#This Row],[Memo]]=0,"委外",record[[#This Row],[Memo]]))</f>
        <v/>
      </c>
      <c r="O1860" t="s">
        <v>58</v>
      </c>
      <c r="P1860" t="s">
        <v>186</v>
      </c>
      <c r="Q1860" t="s">
        <v>58</v>
      </c>
      <c r="R1860" t="str">
        <f>IFERROR(VLOOKUP(record[[#This Row],[PCUSTID]],廠商[],2,FALSE),"")</f>
        <v/>
      </c>
      <c r="S1860" t="str">
        <f>VLOOKUP(record[[#This Row],[employeeID]],員工[],2,FALSE)</f>
        <v>許文姍</v>
      </c>
    </row>
    <row r="1861" spans="6:19" hidden="1" x14ac:dyDescent="0.25">
      <c r="F1861" t="s">
        <v>1828</v>
      </c>
      <c r="G1861" t="s">
        <v>437</v>
      </c>
      <c r="H1861" t="str">
        <f>VLOOKUP(record[[#This Row],[ProcessSN]],表格2_7[],2,FALSE)</f>
        <v>30-4118-018-650</v>
      </c>
      <c r="I1861" t="str">
        <f>VLOOKUP(record[[#This Row],[ProcessSN]],表格2_7[],3,FALSE)</f>
        <v>#08PICK</v>
      </c>
      <c r="J1861" t="s">
        <v>582</v>
      </c>
      <c r="K1861" s="195">
        <v>46129.660567129627</v>
      </c>
      <c r="L1861">
        <v>200</v>
      </c>
      <c r="M1861">
        <v>0</v>
      </c>
      <c r="N1861" s="98" t="str">
        <f>IF(record[[#This Row],[Memo]]="Browser:chrome os:android","平板報工",IF(record[[#This Row],[Memo]]=0,"委外",record[[#This Row],[Memo]]))</f>
        <v/>
      </c>
      <c r="O1861" t="s">
        <v>58</v>
      </c>
      <c r="P1861" t="s">
        <v>186</v>
      </c>
      <c r="Q1861" t="s">
        <v>58</v>
      </c>
      <c r="R1861" t="str">
        <f>IFERROR(VLOOKUP(record[[#This Row],[PCUSTID]],廠商[],2,FALSE),"")</f>
        <v/>
      </c>
      <c r="S1861" t="str">
        <f>VLOOKUP(record[[#This Row],[employeeID]],員工[],2,FALSE)</f>
        <v>許文姍</v>
      </c>
    </row>
    <row r="1862" spans="6:19" hidden="1" x14ac:dyDescent="0.25">
      <c r="F1862" t="s">
        <v>1622</v>
      </c>
      <c r="G1862" t="s">
        <v>398</v>
      </c>
      <c r="H1862" t="str">
        <f>VLOOKUP(record[[#This Row],[ProcessSN]],表格2_7[],2,FALSE)</f>
        <v>30-4118-018-550</v>
      </c>
      <c r="I1862" t="str">
        <f>VLOOKUP(record[[#This Row],[ProcessSN]],表格2_7[],3,FALSE)</f>
        <v>#08RCV</v>
      </c>
      <c r="J1862" t="s">
        <v>591</v>
      </c>
      <c r="K1862" s="195">
        <v>46129.659618055557</v>
      </c>
      <c r="L1862">
        <v>10</v>
      </c>
      <c r="M1862">
        <v>-10</v>
      </c>
      <c r="N1862" s="98" t="str">
        <f>IF(record[[#This Row],[Memo]]="Browser:chrome os:android","平板報工",IF(record[[#This Row],[Memo]]=0,"委外",record[[#This Row],[Memo]]))</f>
        <v>1.5露白</v>
      </c>
      <c r="O1862" t="s">
        <v>1827</v>
      </c>
      <c r="P1862" t="s">
        <v>65</v>
      </c>
      <c r="R1862" t="str">
        <f>IFERROR(VLOOKUP(record[[#This Row],[PCUSTID]],廠商[],2,FALSE),"")</f>
        <v/>
      </c>
      <c r="S1862" t="str">
        <f>VLOOKUP(record[[#This Row],[employeeID]],員工[],2,FALSE)</f>
        <v>蘇進昌</v>
      </c>
    </row>
    <row r="1863" spans="6:19" hidden="1" x14ac:dyDescent="0.25">
      <c r="F1863" t="s">
        <v>1640</v>
      </c>
      <c r="G1863" t="s">
        <v>398</v>
      </c>
      <c r="H1863" t="str">
        <f>VLOOKUP(record[[#This Row],[ProcessSN]],表格2_7[],2,FALSE)</f>
        <v>30-4118-018-550</v>
      </c>
      <c r="I1863" t="str">
        <f>VLOOKUP(record[[#This Row],[ProcessSN]],表格2_7[],3,FALSE)</f>
        <v>#08RCV</v>
      </c>
      <c r="J1863" t="s">
        <v>591</v>
      </c>
      <c r="K1863" s="195">
        <v>46129.659618055557</v>
      </c>
      <c r="L1863">
        <v>16</v>
      </c>
      <c r="M1863">
        <v>-16</v>
      </c>
      <c r="N1863" s="98" t="str">
        <f>IF(record[[#This Row],[Memo]]="Browser:chrome os:android","平板報工",IF(record[[#This Row],[Memo]]=0,"委外",record[[#This Row],[Memo]]))</f>
        <v>1.5露白</v>
      </c>
      <c r="O1863" t="s">
        <v>1827</v>
      </c>
      <c r="P1863" t="s">
        <v>65</v>
      </c>
      <c r="R1863" t="str">
        <f>IFERROR(VLOOKUP(record[[#This Row],[PCUSTID]],廠商[],2,FALSE),"")</f>
        <v/>
      </c>
      <c r="S1863" t="str">
        <f>VLOOKUP(record[[#This Row],[employeeID]],員工[],2,FALSE)</f>
        <v>蘇進昌</v>
      </c>
    </row>
    <row r="1864" spans="6:19" hidden="1" x14ac:dyDescent="0.25">
      <c r="F1864" t="s">
        <v>1640</v>
      </c>
      <c r="G1864" t="s">
        <v>400</v>
      </c>
      <c r="H1864" t="str">
        <f>VLOOKUP(record[[#This Row],[ProcessSN]],表格2_7[],2,FALSE)</f>
        <v>30-4118-018-550</v>
      </c>
      <c r="I1864" t="str">
        <f>VLOOKUP(record[[#This Row],[ProcessSN]],表格2_7[],3,FALSE)</f>
        <v>#100</v>
      </c>
      <c r="J1864" t="s">
        <v>598</v>
      </c>
      <c r="K1864" s="195">
        <v>46129.659618055557</v>
      </c>
      <c r="L1864">
        <v>16</v>
      </c>
      <c r="M1864">
        <v>0</v>
      </c>
      <c r="N1864" s="98" t="str">
        <f>IF(record[[#This Row],[Memo]]="Browser:chrome os:android","平板報工",IF(record[[#This Row],[Memo]]=0,"委外",record[[#This Row],[Memo]]))</f>
        <v>1.5露白</v>
      </c>
      <c r="O1864" t="s">
        <v>1827</v>
      </c>
      <c r="P1864" t="s">
        <v>65</v>
      </c>
      <c r="R1864" t="str">
        <f>IFERROR(VLOOKUP(record[[#This Row],[PCUSTID]],廠商[],2,FALSE),"")</f>
        <v/>
      </c>
      <c r="S1864" t="str">
        <f>VLOOKUP(record[[#This Row],[employeeID]],員工[],2,FALSE)</f>
        <v>蘇進昌</v>
      </c>
    </row>
    <row r="1865" spans="6:19" hidden="1" x14ac:dyDescent="0.25">
      <c r="F1865" t="s">
        <v>1640</v>
      </c>
      <c r="G1865" t="s">
        <v>399</v>
      </c>
      <c r="H1865" t="str">
        <f>VLOOKUP(record[[#This Row],[ProcessSN]],表格2_7[],2,FALSE)</f>
        <v>30-4118-018-550</v>
      </c>
      <c r="I1865" t="str">
        <f>VLOOKUP(record[[#This Row],[ProcessSN]],表格2_7[],3,FALSE)</f>
        <v>#08IQC</v>
      </c>
      <c r="J1865" t="s">
        <v>583</v>
      </c>
      <c r="K1865" s="195">
        <v>46129.659618055557</v>
      </c>
      <c r="L1865">
        <v>16</v>
      </c>
      <c r="M1865">
        <v>0</v>
      </c>
      <c r="N1865" s="98" t="str">
        <f>IF(record[[#This Row],[Memo]]="Browser:chrome os:android","平板報工",IF(record[[#This Row],[Memo]]=0,"委外",record[[#This Row],[Memo]]))</f>
        <v>1.5露白</v>
      </c>
      <c r="O1865" t="s">
        <v>1827</v>
      </c>
      <c r="P1865" t="s">
        <v>65</v>
      </c>
      <c r="R1865" t="str">
        <f>IFERROR(VLOOKUP(record[[#This Row],[PCUSTID]],廠商[],2,FALSE),"")</f>
        <v/>
      </c>
      <c r="S1865" t="str">
        <f>VLOOKUP(record[[#This Row],[employeeID]],員工[],2,FALSE)</f>
        <v>蘇進昌</v>
      </c>
    </row>
    <row r="1866" spans="6:19" hidden="1" x14ac:dyDescent="0.25">
      <c r="F1866" t="s">
        <v>1640</v>
      </c>
      <c r="G1866" t="s">
        <v>401</v>
      </c>
      <c r="H1866" t="str">
        <f>VLOOKUP(record[[#This Row],[ProcessSN]],表格2_7[],2,FALSE)</f>
        <v>30-4118-018-550</v>
      </c>
      <c r="I1866" t="str">
        <f>VLOOKUP(record[[#This Row],[ProcessSN]],表格2_7[],3,FALSE)</f>
        <v>#100OQC</v>
      </c>
      <c r="J1866" t="s">
        <v>599</v>
      </c>
      <c r="K1866" s="195">
        <v>46129.659618055557</v>
      </c>
      <c r="L1866">
        <v>16</v>
      </c>
      <c r="M1866">
        <v>0</v>
      </c>
      <c r="N1866" s="98" t="str">
        <f>IF(record[[#This Row],[Memo]]="Browser:chrome os:android","平板報工",IF(record[[#This Row],[Memo]]=0,"委外",record[[#This Row],[Memo]]))</f>
        <v>1.5露白</v>
      </c>
      <c r="O1866" t="s">
        <v>1827</v>
      </c>
      <c r="P1866" t="s">
        <v>65</v>
      </c>
      <c r="R1866" t="str">
        <f>IFERROR(VLOOKUP(record[[#This Row],[PCUSTID]],廠商[],2,FALSE),"")</f>
        <v/>
      </c>
      <c r="S1866" t="str">
        <f>VLOOKUP(record[[#This Row],[employeeID]],員工[],2,FALSE)</f>
        <v>蘇進昌</v>
      </c>
    </row>
    <row r="1867" spans="6:19" hidden="1" x14ac:dyDescent="0.25">
      <c r="F1867" t="s">
        <v>1622</v>
      </c>
      <c r="G1867" t="s">
        <v>399</v>
      </c>
      <c r="H1867" t="str">
        <f>VLOOKUP(record[[#This Row],[ProcessSN]],表格2_7[],2,FALSE)</f>
        <v>30-4118-018-550</v>
      </c>
      <c r="I1867" t="str">
        <f>VLOOKUP(record[[#This Row],[ProcessSN]],表格2_7[],3,FALSE)</f>
        <v>#08IQC</v>
      </c>
      <c r="J1867" t="s">
        <v>583</v>
      </c>
      <c r="K1867" s="195">
        <v>46129.659618055557</v>
      </c>
      <c r="L1867">
        <v>10</v>
      </c>
      <c r="M1867">
        <v>0</v>
      </c>
      <c r="N1867" s="98" t="str">
        <f>IF(record[[#This Row],[Memo]]="Browser:chrome os:android","平板報工",IF(record[[#This Row],[Memo]]=0,"委外",record[[#This Row],[Memo]]))</f>
        <v>1.5露白</v>
      </c>
      <c r="O1867" t="s">
        <v>1827</v>
      </c>
      <c r="P1867" t="s">
        <v>65</v>
      </c>
      <c r="R1867" t="str">
        <f>IFERROR(VLOOKUP(record[[#This Row],[PCUSTID]],廠商[],2,FALSE),"")</f>
        <v/>
      </c>
      <c r="S1867" t="str">
        <f>VLOOKUP(record[[#This Row],[employeeID]],員工[],2,FALSE)</f>
        <v>蘇進昌</v>
      </c>
    </row>
    <row r="1868" spans="6:19" hidden="1" x14ac:dyDescent="0.25">
      <c r="F1868" t="s">
        <v>1622</v>
      </c>
      <c r="G1868" t="s">
        <v>400</v>
      </c>
      <c r="H1868" t="str">
        <f>VLOOKUP(record[[#This Row],[ProcessSN]],表格2_7[],2,FALSE)</f>
        <v>30-4118-018-550</v>
      </c>
      <c r="I1868" t="str">
        <f>VLOOKUP(record[[#This Row],[ProcessSN]],表格2_7[],3,FALSE)</f>
        <v>#100</v>
      </c>
      <c r="J1868" t="s">
        <v>598</v>
      </c>
      <c r="K1868" s="195">
        <v>46129.659618055557</v>
      </c>
      <c r="L1868">
        <v>10</v>
      </c>
      <c r="M1868">
        <v>0</v>
      </c>
      <c r="N1868" s="98" t="str">
        <f>IF(record[[#This Row],[Memo]]="Browser:chrome os:android","平板報工",IF(record[[#This Row],[Memo]]=0,"委外",record[[#This Row],[Memo]]))</f>
        <v>1.5露白</v>
      </c>
      <c r="O1868" t="s">
        <v>1827</v>
      </c>
      <c r="P1868" t="s">
        <v>65</v>
      </c>
      <c r="R1868" t="str">
        <f>IFERROR(VLOOKUP(record[[#This Row],[PCUSTID]],廠商[],2,FALSE),"")</f>
        <v/>
      </c>
      <c r="S1868" t="str">
        <f>VLOOKUP(record[[#This Row],[employeeID]],員工[],2,FALSE)</f>
        <v>蘇進昌</v>
      </c>
    </row>
    <row r="1869" spans="6:19" hidden="1" x14ac:dyDescent="0.25">
      <c r="F1869" t="s">
        <v>1622</v>
      </c>
      <c r="G1869" t="s">
        <v>401</v>
      </c>
      <c r="H1869" t="str">
        <f>VLOOKUP(record[[#This Row],[ProcessSN]],表格2_7[],2,FALSE)</f>
        <v>30-4118-018-550</v>
      </c>
      <c r="I1869" t="str">
        <f>VLOOKUP(record[[#This Row],[ProcessSN]],表格2_7[],3,FALSE)</f>
        <v>#100OQC</v>
      </c>
      <c r="J1869" t="s">
        <v>599</v>
      </c>
      <c r="K1869" s="195">
        <v>46129.659618055557</v>
      </c>
      <c r="L1869">
        <v>10</v>
      </c>
      <c r="M1869">
        <v>0</v>
      </c>
      <c r="N1869" s="98" t="str">
        <f>IF(record[[#This Row],[Memo]]="Browser:chrome os:android","平板報工",IF(record[[#This Row],[Memo]]=0,"委外",record[[#This Row],[Memo]]))</f>
        <v>1.5露白</v>
      </c>
      <c r="O1869" t="s">
        <v>1827</v>
      </c>
      <c r="P1869" t="s">
        <v>65</v>
      </c>
      <c r="R1869" t="str">
        <f>IFERROR(VLOOKUP(record[[#This Row],[PCUSTID]],廠商[],2,FALSE),"")</f>
        <v/>
      </c>
      <c r="S1869" t="str">
        <f>VLOOKUP(record[[#This Row],[employeeID]],員工[],2,FALSE)</f>
        <v>蘇進昌</v>
      </c>
    </row>
    <row r="1870" spans="6:19" hidden="1" x14ac:dyDescent="0.25">
      <c r="F1870" t="s">
        <v>1803</v>
      </c>
      <c r="G1870" t="s">
        <v>419</v>
      </c>
      <c r="H1870" t="str">
        <f>VLOOKUP(record[[#This Row],[ProcessSN]],表格2_7[],2,FALSE)</f>
        <v>30-4118-018-5XX</v>
      </c>
      <c r="I1870" t="str">
        <f>VLOOKUP(record[[#This Row],[ProcessSN]],表格2_7[],3,FALSE)</f>
        <v>#07QC</v>
      </c>
      <c r="J1870" t="s">
        <v>589</v>
      </c>
      <c r="K1870" s="195">
        <v>46129.658854166664</v>
      </c>
      <c r="L1870">
        <v>604</v>
      </c>
      <c r="M1870">
        <v>0</v>
      </c>
      <c r="N1870" s="98" t="str">
        <f>IF(record[[#This Row],[Memo]]="Browser:chrome os:android","平板報工",IF(record[[#This Row],[Memo]]=0,"委外",record[[#This Row],[Memo]]))</f>
        <v/>
      </c>
      <c r="O1870" t="s">
        <v>58</v>
      </c>
      <c r="P1870" t="s">
        <v>141</v>
      </c>
      <c r="Q1870" t="s">
        <v>58</v>
      </c>
      <c r="R1870" t="str">
        <f>IFERROR(VLOOKUP(record[[#This Row],[PCUSTID]],廠商[],2,FALSE),"")</f>
        <v/>
      </c>
      <c r="S1870" t="str">
        <f>VLOOKUP(record[[#This Row],[employeeID]],員工[],2,FALSE)</f>
        <v>蔣梅</v>
      </c>
    </row>
    <row r="1871" spans="6:19" hidden="1" x14ac:dyDescent="0.25">
      <c r="F1871" t="s">
        <v>1715</v>
      </c>
      <c r="G1871" t="s">
        <v>401</v>
      </c>
      <c r="H1871" t="str">
        <f>VLOOKUP(record[[#This Row],[ProcessSN]],表格2_7[],2,FALSE)</f>
        <v>30-4118-018-550</v>
      </c>
      <c r="I1871" t="str">
        <f>VLOOKUP(record[[#This Row],[ProcessSN]],表格2_7[],3,FALSE)</f>
        <v>#100OQC</v>
      </c>
      <c r="J1871" t="s">
        <v>599</v>
      </c>
      <c r="K1871" s="195">
        <v>46129.65865740741</v>
      </c>
      <c r="L1871">
        <v>4</v>
      </c>
      <c r="M1871">
        <v>0</v>
      </c>
      <c r="N1871" s="98" t="str">
        <f>IF(record[[#This Row],[Memo]]="Browser:chrome os:android","平板報工",IF(record[[#This Row],[Memo]]=0,"委外",record[[#This Row],[Memo]]))</f>
        <v>1.5露白</v>
      </c>
      <c r="O1871" t="s">
        <v>1827</v>
      </c>
      <c r="P1871" t="s">
        <v>886</v>
      </c>
      <c r="Q1871" t="s">
        <v>58</v>
      </c>
      <c r="R1871" t="str">
        <f>IFERROR(VLOOKUP(record[[#This Row],[PCUSTID]],廠商[],2,FALSE),"")</f>
        <v/>
      </c>
      <c r="S1871" t="str">
        <f>VLOOKUP(record[[#This Row],[employeeID]],員工[],2,FALSE)</f>
        <v>謝蓁薰</v>
      </c>
    </row>
    <row r="1872" spans="6:19" hidden="1" x14ac:dyDescent="0.25">
      <c r="F1872" t="s">
        <v>1715</v>
      </c>
      <c r="G1872" t="s">
        <v>400</v>
      </c>
      <c r="H1872" t="str">
        <f>VLOOKUP(record[[#This Row],[ProcessSN]],表格2_7[],2,FALSE)</f>
        <v>30-4118-018-550</v>
      </c>
      <c r="I1872" t="str">
        <f>VLOOKUP(record[[#This Row],[ProcessSN]],表格2_7[],3,FALSE)</f>
        <v>#100</v>
      </c>
      <c r="J1872" t="s">
        <v>598</v>
      </c>
      <c r="K1872" s="195">
        <v>46129.658518518518</v>
      </c>
      <c r="L1872">
        <v>4</v>
      </c>
      <c r="M1872">
        <v>0</v>
      </c>
      <c r="N1872" s="98" t="str">
        <f>IF(record[[#This Row],[Memo]]="Browser:chrome os:android","平板報工",IF(record[[#This Row],[Memo]]=0,"委外",record[[#This Row],[Memo]]))</f>
        <v>1.5露白</v>
      </c>
      <c r="O1872" t="s">
        <v>1827</v>
      </c>
      <c r="P1872" t="s">
        <v>886</v>
      </c>
      <c r="Q1872" t="s">
        <v>58</v>
      </c>
      <c r="R1872" t="str">
        <f>IFERROR(VLOOKUP(record[[#This Row],[PCUSTID]],廠商[],2,FALSE),"")</f>
        <v/>
      </c>
      <c r="S1872" t="str">
        <f>VLOOKUP(record[[#This Row],[employeeID]],員工[],2,FALSE)</f>
        <v>謝蓁薰</v>
      </c>
    </row>
    <row r="1873" spans="6:19" hidden="1" x14ac:dyDescent="0.25">
      <c r="F1873" t="s">
        <v>1715</v>
      </c>
      <c r="G1873" t="s">
        <v>400</v>
      </c>
      <c r="H1873" t="str">
        <f>VLOOKUP(record[[#This Row],[ProcessSN]],表格2_7[],2,FALSE)</f>
        <v>30-4118-018-550</v>
      </c>
      <c r="I1873" t="str">
        <f>VLOOKUP(record[[#This Row],[ProcessSN]],表格2_7[],3,FALSE)</f>
        <v>#100</v>
      </c>
      <c r="J1873" t="s">
        <v>598</v>
      </c>
      <c r="K1873" s="195">
        <v>46129.658356481479</v>
      </c>
      <c r="L1873">
        <v>0</v>
      </c>
      <c r="M1873">
        <v>-4</v>
      </c>
      <c r="N1873" s="98" t="str">
        <f>IF(record[[#This Row],[Memo]]="Browser:chrome os:android","平板報工",IF(record[[#This Row],[Memo]]=0,"委外",record[[#This Row],[Memo]]))</f>
        <v>1.5露白</v>
      </c>
      <c r="O1873" t="s">
        <v>1827</v>
      </c>
      <c r="P1873" t="s">
        <v>886</v>
      </c>
      <c r="Q1873" t="s">
        <v>58</v>
      </c>
      <c r="R1873" t="str">
        <f>IFERROR(VLOOKUP(record[[#This Row],[PCUSTID]],廠商[],2,FALSE),"")</f>
        <v/>
      </c>
      <c r="S1873" t="str">
        <f>VLOOKUP(record[[#This Row],[employeeID]],員工[],2,FALSE)</f>
        <v>謝蓁薰</v>
      </c>
    </row>
    <row r="1874" spans="6:19" hidden="1" x14ac:dyDescent="0.25">
      <c r="F1874" t="s">
        <v>1694</v>
      </c>
      <c r="G1874" t="s">
        <v>401</v>
      </c>
      <c r="H1874" t="str">
        <f>VLOOKUP(record[[#This Row],[ProcessSN]],表格2_7[],2,FALSE)</f>
        <v>30-4118-018-550</v>
      </c>
      <c r="I1874" t="str">
        <f>VLOOKUP(record[[#This Row],[ProcessSN]],表格2_7[],3,FALSE)</f>
        <v>#100OQC</v>
      </c>
      <c r="J1874" t="s">
        <v>599</v>
      </c>
      <c r="K1874" s="195">
        <v>46129.65792824074</v>
      </c>
      <c r="L1874">
        <v>2</v>
      </c>
      <c r="M1874">
        <v>0</v>
      </c>
      <c r="N1874" s="98" t="str">
        <f>IF(record[[#This Row],[Memo]]="Browser:chrome os:android","平板報工",IF(record[[#This Row],[Memo]]=0,"委外",record[[#This Row],[Memo]]))</f>
        <v>1.5露白</v>
      </c>
      <c r="O1874" t="s">
        <v>1827</v>
      </c>
      <c r="P1874" t="s">
        <v>886</v>
      </c>
      <c r="Q1874" t="s">
        <v>58</v>
      </c>
      <c r="R1874" t="str">
        <f>IFERROR(VLOOKUP(record[[#This Row],[PCUSTID]],廠商[],2,FALSE),"")</f>
        <v/>
      </c>
      <c r="S1874" t="str">
        <f>VLOOKUP(record[[#This Row],[employeeID]],員工[],2,FALSE)</f>
        <v>謝蓁薰</v>
      </c>
    </row>
    <row r="1875" spans="6:19" hidden="1" x14ac:dyDescent="0.25">
      <c r="F1875" t="s">
        <v>1772</v>
      </c>
      <c r="G1875" t="s">
        <v>465</v>
      </c>
      <c r="H1875" t="str">
        <f>VLOOKUP(record[[#This Row],[ProcessSN]],表格2_7[],2,FALSE)</f>
        <v>30-4118-018-XXX</v>
      </c>
      <c r="I1875" t="str">
        <f>VLOOKUP(record[[#This Row],[ProcessSN]],表格2_7[],3,FALSE)</f>
        <v>#01-1</v>
      </c>
      <c r="J1875" t="s">
        <v>588</v>
      </c>
      <c r="K1875" s="195">
        <v>46129.657777777778</v>
      </c>
      <c r="L1875">
        <v>504</v>
      </c>
      <c r="M1875">
        <v>0</v>
      </c>
      <c r="N1875" s="98" t="str">
        <f>IF(record[[#This Row],[Memo]]="Browser:chrome os:android","平板報工",IF(record[[#This Row],[Memo]]=0,"委外",record[[#This Row],[Memo]]))</f>
        <v>平板報工</v>
      </c>
      <c r="O1875" t="s">
        <v>643</v>
      </c>
      <c r="P1875" t="s">
        <v>111</v>
      </c>
      <c r="Q1875" t="s">
        <v>644</v>
      </c>
      <c r="R1875" t="str">
        <f>IFERROR(VLOOKUP(record[[#This Row],[PCUSTID]],廠商[],2,FALSE),"")</f>
        <v/>
      </c>
      <c r="S1875" t="str">
        <f>VLOOKUP(record[[#This Row],[employeeID]],員工[],2,FALSE)</f>
        <v>江栩妘</v>
      </c>
    </row>
    <row r="1876" spans="6:19" hidden="1" x14ac:dyDescent="0.25">
      <c r="F1876" t="s">
        <v>1694</v>
      </c>
      <c r="G1876" t="s">
        <v>400</v>
      </c>
      <c r="H1876" t="str">
        <f>VLOOKUP(record[[#This Row],[ProcessSN]],表格2_7[],2,FALSE)</f>
        <v>30-4118-018-550</v>
      </c>
      <c r="I1876" t="str">
        <f>VLOOKUP(record[[#This Row],[ProcessSN]],表格2_7[],3,FALSE)</f>
        <v>#100</v>
      </c>
      <c r="J1876" t="s">
        <v>598</v>
      </c>
      <c r="K1876" s="195">
        <v>46129.657754629632</v>
      </c>
      <c r="L1876">
        <v>2</v>
      </c>
      <c r="M1876">
        <v>0</v>
      </c>
      <c r="N1876" s="98" t="str">
        <f>IF(record[[#This Row],[Memo]]="Browser:chrome os:android","平板報工",IF(record[[#This Row],[Memo]]=0,"委外",record[[#This Row],[Memo]]))</f>
        <v>1.5露白</v>
      </c>
      <c r="O1876" t="s">
        <v>1827</v>
      </c>
      <c r="P1876" t="s">
        <v>886</v>
      </c>
      <c r="Q1876" t="s">
        <v>58</v>
      </c>
      <c r="R1876" t="str">
        <f>IFERROR(VLOOKUP(record[[#This Row],[PCUSTID]],廠商[],2,FALSE),"")</f>
        <v/>
      </c>
      <c r="S1876" t="str">
        <f>VLOOKUP(record[[#This Row],[employeeID]],員工[],2,FALSE)</f>
        <v>謝蓁薰</v>
      </c>
    </row>
    <row r="1877" spans="6:19" hidden="1" x14ac:dyDescent="0.25">
      <c r="F1877" t="s">
        <v>1694</v>
      </c>
      <c r="G1877" t="s">
        <v>400</v>
      </c>
      <c r="H1877" t="str">
        <f>VLOOKUP(record[[#This Row],[ProcessSN]],表格2_7[],2,FALSE)</f>
        <v>30-4118-018-550</v>
      </c>
      <c r="I1877" t="str">
        <f>VLOOKUP(record[[#This Row],[ProcessSN]],表格2_7[],3,FALSE)</f>
        <v>#100</v>
      </c>
      <c r="J1877" t="s">
        <v>598</v>
      </c>
      <c r="K1877" s="195">
        <v>46129.657592592594</v>
      </c>
      <c r="L1877">
        <v>0</v>
      </c>
      <c r="M1877">
        <v>-2</v>
      </c>
      <c r="N1877" s="98" t="str">
        <f>IF(record[[#This Row],[Memo]]="Browser:chrome os:android","平板報工",IF(record[[#This Row],[Memo]]=0,"委外",record[[#This Row],[Memo]]))</f>
        <v>1.5露白</v>
      </c>
      <c r="O1877" t="s">
        <v>1827</v>
      </c>
      <c r="P1877" t="s">
        <v>886</v>
      </c>
      <c r="Q1877" t="s">
        <v>58</v>
      </c>
      <c r="R1877" t="str">
        <f>IFERROR(VLOOKUP(record[[#This Row],[PCUSTID]],廠商[],2,FALSE),"")</f>
        <v/>
      </c>
      <c r="S1877" t="str">
        <f>VLOOKUP(record[[#This Row],[employeeID]],員工[],2,FALSE)</f>
        <v>謝蓁薰</v>
      </c>
    </row>
    <row r="1878" spans="6:19" hidden="1" x14ac:dyDescent="0.25">
      <c r="F1878" t="s">
        <v>1660</v>
      </c>
      <c r="G1878" t="s">
        <v>401</v>
      </c>
      <c r="H1878" t="str">
        <f>VLOOKUP(record[[#This Row],[ProcessSN]],表格2_7[],2,FALSE)</f>
        <v>30-4118-018-550</v>
      </c>
      <c r="I1878" t="str">
        <f>VLOOKUP(record[[#This Row],[ProcessSN]],表格2_7[],3,FALSE)</f>
        <v>#100OQC</v>
      </c>
      <c r="J1878" t="s">
        <v>599</v>
      </c>
      <c r="K1878" s="195">
        <v>46129.657060185185</v>
      </c>
      <c r="L1878">
        <v>9</v>
      </c>
      <c r="M1878">
        <v>0</v>
      </c>
      <c r="N1878" s="98" t="str">
        <f>IF(record[[#This Row],[Memo]]="Browser:chrome os:android","平板報工",IF(record[[#This Row],[Memo]]=0,"委外",record[[#This Row],[Memo]]))</f>
        <v>1.5露白</v>
      </c>
      <c r="O1878" t="s">
        <v>1827</v>
      </c>
      <c r="P1878" t="s">
        <v>886</v>
      </c>
      <c r="Q1878" t="s">
        <v>58</v>
      </c>
      <c r="R1878" t="str">
        <f>IFERROR(VLOOKUP(record[[#This Row],[PCUSTID]],廠商[],2,FALSE),"")</f>
        <v/>
      </c>
      <c r="S1878" t="str">
        <f>VLOOKUP(record[[#This Row],[employeeID]],員工[],2,FALSE)</f>
        <v>謝蓁薰</v>
      </c>
    </row>
    <row r="1879" spans="6:19" hidden="1" x14ac:dyDescent="0.25">
      <c r="F1879" t="s">
        <v>1660</v>
      </c>
      <c r="G1879" t="s">
        <v>400</v>
      </c>
      <c r="H1879" t="str">
        <f>VLOOKUP(record[[#This Row],[ProcessSN]],表格2_7[],2,FALSE)</f>
        <v>30-4118-018-550</v>
      </c>
      <c r="I1879" t="str">
        <f>VLOOKUP(record[[#This Row],[ProcessSN]],表格2_7[],3,FALSE)</f>
        <v>#100</v>
      </c>
      <c r="J1879" t="s">
        <v>598</v>
      </c>
      <c r="K1879" s="195">
        <v>46129.656875000001</v>
      </c>
      <c r="L1879">
        <v>9</v>
      </c>
      <c r="M1879">
        <v>0</v>
      </c>
      <c r="N1879" s="98" t="str">
        <f>IF(record[[#This Row],[Memo]]="Browser:chrome os:android","平板報工",IF(record[[#This Row],[Memo]]=0,"委外",record[[#This Row],[Memo]]))</f>
        <v>1.5露白</v>
      </c>
      <c r="O1879" t="s">
        <v>1827</v>
      </c>
      <c r="P1879" t="s">
        <v>886</v>
      </c>
      <c r="Q1879" t="s">
        <v>58</v>
      </c>
      <c r="R1879" t="str">
        <f>IFERROR(VLOOKUP(record[[#This Row],[PCUSTID]],廠商[],2,FALSE),"")</f>
        <v/>
      </c>
      <c r="S1879" t="str">
        <f>VLOOKUP(record[[#This Row],[employeeID]],員工[],2,FALSE)</f>
        <v>謝蓁薰</v>
      </c>
    </row>
    <row r="1880" spans="6:19" hidden="1" x14ac:dyDescent="0.25">
      <c r="F1880" t="s">
        <v>1660</v>
      </c>
      <c r="G1880" t="s">
        <v>400</v>
      </c>
      <c r="H1880" t="str">
        <f>VLOOKUP(record[[#This Row],[ProcessSN]],表格2_7[],2,FALSE)</f>
        <v>30-4118-018-550</v>
      </c>
      <c r="I1880" t="str">
        <f>VLOOKUP(record[[#This Row],[ProcessSN]],表格2_7[],3,FALSE)</f>
        <v>#100</v>
      </c>
      <c r="J1880" t="s">
        <v>598</v>
      </c>
      <c r="K1880" s="195">
        <v>46129.656643518516</v>
      </c>
      <c r="L1880">
        <v>0</v>
      </c>
      <c r="M1880">
        <v>-9</v>
      </c>
      <c r="N1880" s="98" t="str">
        <f>IF(record[[#This Row],[Memo]]="Browser:chrome os:android","平板報工",IF(record[[#This Row],[Memo]]=0,"委外",record[[#This Row],[Memo]]))</f>
        <v>1.5露白</v>
      </c>
      <c r="O1880" t="s">
        <v>1827</v>
      </c>
      <c r="P1880" t="s">
        <v>886</v>
      </c>
      <c r="Q1880" t="s">
        <v>58</v>
      </c>
      <c r="R1880" t="str">
        <f>IFERROR(VLOOKUP(record[[#This Row],[PCUSTID]],廠商[],2,FALSE),"")</f>
        <v/>
      </c>
      <c r="S1880" t="str">
        <f>VLOOKUP(record[[#This Row],[employeeID]],員工[],2,FALSE)</f>
        <v>謝蓁薰</v>
      </c>
    </row>
    <row r="1881" spans="6:19" hidden="1" x14ac:dyDescent="0.25">
      <c r="F1881" t="s">
        <v>1656</v>
      </c>
      <c r="G1881" t="s">
        <v>400</v>
      </c>
      <c r="H1881" t="str">
        <f>VLOOKUP(record[[#This Row],[ProcessSN]],表格2_7[],2,FALSE)</f>
        <v>30-4118-018-550</v>
      </c>
      <c r="I1881" t="str">
        <f>VLOOKUP(record[[#This Row],[ProcessSN]],表格2_7[],3,FALSE)</f>
        <v>#100</v>
      </c>
      <c r="J1881" t="s">
        <v>598</v>
      </c>
      <c r="K1881" s="195">
        <v>46129.655266203707</v>
      </c>
      <c r="L1881">
        <v>0</v>
      </c>
      <c r="M1881">
        <v>-10</v>
      </c>
      <c r="N1881" s="98" t="str">
        <f>IF(record[[#This Row],[Memo]]="Browser:chrome os:android","平板報工",IF(record[[#This Row],[Memo]]=0,"委外",record[[#This Row],[Memo]]))</f>
        <v/>
      </c>
      <c r="O1881" t="s">
        <v>58</v>
      </c>
      <c r="P1881" t="s">
        <v>886</v>
      </c>
      <c r="Q1881" t="s">
        <v>58</v>
      </c>
      <c r="R1881" t="str">
        <f>IFERROR(VLOOKUP(record[[#This Row],[PCUSTID]],廠商[],2,FALSE),"")</f>
        <v/>
      </c>
      <c r="S1881" t="str">
        <f>VLOOKUP(record[[#This Row],[employeeID]],員工[],2,FALSE)</f>
        <v>謝蓁薰</v>
      </c>
    </row>
    <row r="1882" spans="6:19" hidden="1" x14ac:dyDescent="0.25">
      <c r="F1882" t="s">
        <v>1637</v>
      </c>
      <c r="G1882" t="s">
        <v>452</v>
      </c>
      <c r="H1882" t="str">
        <f>VLOOKUP(record[[#This Row],[ProcessSN]],表格2_7[],2,FALSE)</f>
        <v>30-4118-018-6XX</v>
      </c>
      <c r="I1882" t="str">
        <f>VLOOKUP(record[[#This Row],[ProcessSN]],表格2_7[],3,FALSE)</f>
        <v>#07QC</v>
      </c>
      <c r="J1882" t="s">
        <v>589</v>
      </c>
      <c r="K1882" s="195">
        <v>46129.654143518521</v>
      </c>
      <c r="L1882">
        <v>200</v>
      </c>
      <c r="M1882">
        <v>0</v>
      </c>
      <c r="N1882" s="98" t="str">
        <f>IF(record[[#This Row],[Memo]]="Browser:chrome os:android","平板報工",IF(record[[#This Row],[Memo]]=0,"委外",record[[#This Row],[Memo]]))</f>
        <v/>
      </c>
      <c r="O1882" t="s">
        <v>58</v>
      </c>
      <c r="P1882" t="s">
        <v>99</v>
      </c>
      <c r="Q1882" t="s">
        <v>58</v>
      </c>
      <c r="R1882" t="str">
        <f>IFERROR(VLOOKUP(record[[#This Row],[PCUSTID]],廠商[],2,FALSE),"")</f>
        <v/>
      </c>
      <c r="S1882" t="str">
        <f>VLOOKUP(record[[#This Row],[employeeID]],員工[],2,FALSE)</f>
        <v>阮氏河</v>
      </c>
    </row>
    <row r="1883" spans="6:19" hidden="1" x14ac:dyDescent="0.25">
      <c r="F1883" t="s">
        <v>1790</v>
      </c>
      <c r="G1883" t="s">
        <v>375</v>
      </c>
      <c r="H1883" t="str">
        <f>VLOOKUP(record[[#This Row],[ProcessSN]],表格2_7[],2,FALSE)</f>
        <v>30-4118-018-4XX</v>
      </c>
      <c r="I1883" t="str">
        <f>VLOOKUP(record[[#This Row],[ProcessSN]],表格2_7[],3,FALSE)</f>
        <v>#05</v>
      </c>
      <c r="J1883" t="s">
        <v>588</v>
      </c>
      <c r="K1883" s="195">
        <v>46129.648634259262</v>
      </c>
      <c r="L1883">
        <v>14</v>
      </c>
      <c r="M1883">
        <v>0</v>
      </c>
      <c r="N1883" s="98" t="str">
        <f>IF(record[[#This Row],[Memo]]="Browser:chrome os:android","平板報工",IF(record[[#This Row],[Memo]]=0,"委外",record[[#This Row],[Memo]]))</f>
        <v>平板報工</v>
      </c>
      <c r="O1883" t="s">
        <v>643</v>
      </c>
      <c r="P1883" t="s">
        <v>107</v>
      </c>
      <c r="Q1883" t="s">
        <v>644</v>
      </c>
      <c r="R1883" t="str">
        <f>IFERROR(VLOOKUP(record[[#This Row],[PCUSTID]],廠商[],2,FALSE),"")</f>
        <v/>
      </c>
      <c r="S1883" t="str">
        <f>VLOOKUP(record[[#This Row],[employeeID]],員工[],2,FALSE)</f>
        <v>黎氏順</v>
      </c>
    </row>
    <row r="1884" spans="6:19" hidden="1" x14ac:dyDescent="0.25">
      <c r="F1884" t="s">
        <v>1637</v>
      </c>
      <c r="G1884" t="s">
        <v>451</v>
      </c>
      <c r="H1884" t="str">
        <f>VLOOKUP(record[[#This Row],[ProcessSN]],表格2_7[],2,FALSE)</f>
        <v>30-4118-018-6XX</v>
      </c>
      <c r="I1884" t="str">
        <f>VLOOKUP(record[[#This Row],[ProcessSN]],表格2_7[],3,FALSE)</f>
        <v>#07</v>
      </c>
      <c r="J1884" t="s">
        <v>588</v>
      </c>
      <c r="K1884" s="195">
        <v>46129.644375000003</v>
      </c>
      <c r="L1884">
        <v>213</v>
      </c>
      <c r="M1884">
        <v>1</v>
      </c>
      <c r="N1884" s="98" t="str">
        <f>IF(record[[#This Row],[Memo]]="Browser:chrome os:android","平板報工",IF(record[[#This Row],[Memo]]=0,"委外",record[[#This Row],[Memo]]))</f>
        <v>平板報工</v>
      </c>
      <c r="O1884" t="s">
        <v>643</v>
      </c>
      <c r="P1884" t="s">
        <v>785</v>
      </c>
      <c r="Q1884" t="s">
        <v>644</v>
      </c>
      <c r="R1884" t="str">
        <f>IFERROR(VLOOKUP(record[[#This Row],[PCUSTID]],廠商[],2,FALSE),"")</f>
        <v/>
      </c>
      <c r="S1884" t="str">
        <f>VLOOKUP(record[[#This Row],[employeeID]],員工[],2,FALSE)</f>
        <v>謝刻光</v>
      </c>
    </row>
    <row r="1885" spans="6:19" hidden="1" x14ac:dyDescent="0.25">
      <c r="F1885" t="s">
        <v>1656</v>
      </c>
      <c r="G1885" t="s">
        <v>401</v>
      </c>
      <c r="H1885" t="str">
        <f>VLOOKUP(record[[#This Row],[ProcessSN]],表格2_7[],2,FALSE)</f>
        <v>30-4118-018-550</v>
      </c>
      <c r="I1885" t="str">
        <f>VLOOKUP(record[[#This Row],[ProcessSN]],表格2_7[],3,FALSE)</f>
        <v>#100OQC</v>
      </c>
      <c r="J1885" t="s">
        <v>599</v>
      </c>
      <c r="K1885" s="195">
        <v>46129.64435185185</v>
      </c>
      <c r="L1885">
        <v>10</v>
      </c>
      <c r="M1885">
        <v>0</v>
      </c>
      <c r="N1885" s="98" t="str">
        <f>IF(record[[#This Row],[Memo]]="Browser:chrome os:android","平板報工",IF(record[[#This Row],[Memo]]=0,"委外",record[[#This Row],[Memo]]))</f>
        <v>1.5露白</v>
      </c>
      <c r="O1885" t="s">
        <v>1827</v>
      </c>
      <c r="P1885" t="s">
        <v>886</v>
      </c>
      <c r="Q1885" t="s">
        <v>58</v>
      </c>
      <c r="R1885" t="str">
        <f>IFERROR(VLOOKUP(record[[#This Row],[PCUSTID]],廠商[],2,FALSE),"")</f>
        <v/>
      </c>
      <c r="S1885" t="str">
        <f>VLOOKUP(record[[#This Row],[employeeID]],員工[],2,FALSE)</f>
        <v>謝蓁薰</v>
      </c>
    </row>
    <row r="1886" spans="6:19" hidden="1" x14ac:dyDescent="0.25">
      <c r="F1886" t="s">
        <v>1656</v>
      </c>
      <c r="G1886" t="s">
        <v>400</v>
      </c>
      <c r="H1886" t="str">
        <f>VLOOKUP(record[[#This Row],[ProcessSN]],表格2_7[],2,FALSE)</f>
        <v>30-4118-018-550</v>
      </c>
      <c r="I1886" t="str">
        <f>VLOOKUP(record[[#This Row],[ProcessSN]],表格2_7[],3,FALSE)</f>
        <v>#100</v>
      </c>
      <c r="J1886" t="s">
        <v>598</v>
      </c>
      <c r="K1886" s="195">
        <v>46129.644224537034</v>
      </c>
      <c r="L1886">
        <v>10</v>
      </c>
      <c r="M1886">
        <v>0</v>
      </c>
      <c r="N1886" s="98" t="str">
        <f>IF(record[[#This Row],[Memo]]="Browser:chrome os:android","平板報工",IF(record[[#This Row],[Memo]]=0,"委外",record[[#This Row],[Memo]]))</f>
        <v>1.5露白</v>
      </c>
      <c r="O1886" t="s">
        <v>1827</v>
      </c>
      <c r="P1886" t="s">
        <v>886</v>
      </c>
      <c r="Q1886" t="s">
        <v>58</v>
      </c>
      <c r="R1886" t="str">
        <f>IFERROR(VLOOKUP(record[[#This Row],[PCUSTID]],廠商[],2,FALSE),"")</f>
        <v/>
      </c>
      <c r="S1886" t="str">
        <f>VLOOKUP(record[[#This Row],[employeeID]],員工[],2,FALSE)</f>
        <v>謝蓁薰</v>
      </c>
    </row>
    <row r="1887" spans="6:19" hidden="1" x14ac:dyDescent="0.25">
      <c r="F1887" t="s">
        <v>1803</v>
      </c>
      <c r="G1887" t="s">
        <v>418</v>
      </c>
      <c r="H1887" t="str">
        <f>VLOOKUP(record[[#This Row],[ProcessSN]],表格2_7[],2,FALSE)</f>
        <v>30-4118-018-5XX</v>
      </c>
      <c r="I1887" t="str">
        <f>VLOOKUP(record[[#This Row],[ProcessSN]],表格2_7[],3,FALSE)</f>
        <v>#07</v>
      </c>
      <c r="J1887" t="s">
        <v>588</v>
      </c>
      <c r="K1887" s="195">
        <v>46129.643599537034</v>
      </c>
      <c r="L1887">
        <v>198</v>
      </c>
      <c r="M1887">
        <v>0</v>
      </c>
      <c r="N1887" s="98" t="str">
        <f>IF(record[[#This Row],[Memo]]="Browser:chrome os:android","平板報工",IF(record[[#This Row],[Memo]]=0,"委外",record[[#This Row],[Memo]]))</f>
        <v>平板報工</v>
      </c>
      <c r="O1887" t="s">
        <v>643</v>
      </c>
      <c r="P1887" t="s">
        <v>785</v>
      </c>
      <c r="Q1887" t="s">
        <v>644</v>
      </c>
      <c r="R1887" t="str">
        <f>IFERROR(VLOOKUP(record[[#This Row],[PCUSTID]],廠商[],2,FALSE),"")</f>
        <v/>
      </c>
      <c r="S1887" t="str">
        <f>VLOOKUP(record[[#This Row],[employeeID]],員工[],2,FALSE)</f>
        <v>謝刻光</v>
      </c>
    </row>
    <row r="1888" spans="6:19" hidden="1" x14ac:dyDescent="0.25">
      <c r="F1888" t="s">
        <v>1637</v>
      </c>
      <c r="G1888" t="s">
        <v>451</v>
      </c>
      <c r="H1888" t="str">
        <f>VLOOKUP(record[[#This Row],[ProcessSN]],表格2_7[],2,FALSE)</f>
        <v>30-4118-018-6XX</v>
      </c>
      <c r="I1888" t="str">
        <f>VLOOKUP(record[[#This Row],[ProcessSN]],表格2_7[],3,FALSE)</f>
        <v>#07</v>
      </c>
      <c r="J1888" t="s">
        <v>588</v>
      </c>
      <c r="K1888" s="195">
        <v>46129.50849537037</v>
      </c>
      <c r="L1888">
        <v>136</v>
      </c>
      <c r="M1888">
        <v>2</v>
      </c>
      <c r="N1888" s="98" t="str">
        <f>IF(record[[#This Row],[Memo]]="Browser:chrome os:android","平板報工",IF(record[[#This Row],[Memo]]=0,"委外",record[[#This Row],[Memo]]))</f>
        <v>4/17覆回*1pcs</v>
      </c>
      <c r="O1888" t="s">
        <v>1826</v>
      </c>
      <c r="P1888" t="s">
        <v>1075</v>
      </c>
      <c r="Q1888" t="s">
        <v>58</v>
      </c>
      <c r="R1888" t="str">
        <f>IFERROR(VLOOKUP(record[[#This Row],[PCUSTID]],廠商[],2,FALSE),"")</f>
        <v/>
      </c>
      <c r="S1888" t="str">
        <f>VLOOKUP(record[[#This Row],[employeeID]],員工[],2,FALSE)</f>
        <v>吳宥叡</v>
      </c>
    </row>
    <row r="1889" spans="6:19" hidden="1" x14ac:dyDescent="0.25">
      <c r="F1889" t="s">
        <v>1822</v>
      </c>
      <c r="G1889" t="s">
        <v>446</v>
      </c>
      <c r="H1889" t="str">
        <f>VLOOKUP(record[[#This Row],[ProcessSN]],表格2_7[],2,FALSE)</f>
        <v>30-4118-018-6XX</v>
      </c>
      <c r="I1889" t="str">
        <f>VLOOKUP(record[[#This Row],[ProcessSN]],表格2_7[],3,FALSE)</f>
        <v>#03GIVE</v>
      </c>
      <c r="J1889" t="s">
        <v>587</v>
      </c>
      <c r="K1889" s="195">
        <v>46129.394872685189</v>
      </c>
      <c r="L1889">
        <v>658</v>
      </c>
      <c r="M1889">
        <v>0</v>
      </c>
      <c r="N1889" s="98" t="str">
        <f>IF(record[[#This Row],[Memo]]="Browser:chrome os:android","平板報工",IF(record[[#This Row],[Memo]]=0,"委外",record[[#This Row],[Memo]]))</f>
        <v/>
      </c>
      <c r="O1889" t="s">
        <v>58</v>
      </c>
      <c r="P1889" t="s">
        <v>1698</v>
      </c>
      <c r="Q1889" t="s">
        <v>58</v>
      </c>
      <c r="R1889" t="str">
        <f>IFERROR(VLOOKUP(record[[#This Row],[PCUSTID]],廠商[],2,FALSE),"")</f>
        <v/>
      </c>
      <c r="S1889" t="str">
        <f>VLOOKUP(record[[#This Row],[employeeID]],員工[],2,FALSE)</f>
        <v>羅思潔</v>
      </c>
    </row>
    <row r="1890" spans="6:19" hidden="1" x14ac:dyDescent="0.25">
      <c r="F1890" t="s">
        <v>1812</v>
      </c>
      <c r="G1890" t="s">
        <v>403</v>
      </c>
      <c r="H1890" t="str">
        <f>VLOOKUP(record[[#This Row],[ProcessSN]],表格2_7[],2,FALSE)</f>
        <v>30-4118-018-550</v>
      </c>
      <c r="I1890" t="str">
        <f>VLOOKUP(record[[#This Row],[ProcessSN]],表格2_7[],3,FALSE)</f>
        <v>#100SHIP</v>
      </c>
      <c r="J1890" t="s">
        <v>600</v>
      </c>
      <c r="K1890" s="195">
        <v>46129.390960648147</v>
      </c>
      <c r="L1890">
        <v>397</v>
      </c>
      <c r="M1890">
        <v>0</v>
      </c>
      <c r="N1890" s="98" t="str">
        <f>IF(record[[#This Row],[Memo]]="Browser:chrome os:android","平板報工",IF(record[[#This Row],[Memo]]=0,"委外",record[[#This Row],[Memo]]))</f>
        <v>補4/16出貨</v>
      </c>
      <c r="O1890" t="s">
        <v>1821</v>
      </c>
      <c r="P1890" t="s">
        <v>886</v>
      </c>
      <c r="Q1890" t="s">
        <v>58</v>
      </c>
      <c r="R1890" t="str">
        <f>IFERROR(VLOOKUP(record[[#This Row],[PCUSTID]],廠商[],2,FALSE),"")</f>
        <v/>
      </c>
      <c r="S1890" t="str">
        <f>VLOOKUP(record[[#This Row],[employeeID]],員工[],2,FALSE)</f>
        <v>謝蓁薰</v>
      </c>
    </row>
    <row r="1891" spans="6:19" hidden="1" x14ac:dyDescent="0.25">
      <c r="F1891" t="s">
        <v>1812</v>
      </c>
      <c r="G1891" t="s">
        <v>402</v>
      </c>
      <c r="H1891" t="str">
        <f>VLOOKUP(record[[#This Row],[ProcessSN]],表格2_7[],2,FALSE)</f>
        <v>30-4118-018-550</v>
      </c>
      <c r="I1891" t="str">
        <f>VLOOKUP(record[[#This Row],[ProcessSN]],表格2_7[],3,FALSE)</f>
        <v>#100STOCK</v>
      </c>
      <c r="J1891" t="s">
        <v>592</v>
      </c>
      <c r="K1891" s="195">
        <v>46129.390752314815</v>
      </c>
      <c r="L1891">
        <v>397</v>
      </c>
      <c r="M1891">
        <v>0</v>
      </c>
      <c r="N1891" s="98" t="str">
        <f>IF(record[[#This Row],[Memo]]="Browser:chrome os:android","平板報工",IF(record[[#This Row],[Memo]]=0,"委外",record[[#This Row],[Memo]]))</f>
        <v/>
      </c>
      <c r="O1891" t="s">
        <v>58</v>
      </c>
      <c r="P1891" t="s">
        <v>886</v>
      </c>
      <c r="Q1891" t="s">
        <v>58</v>
      </c>
      <c r="R1891" t="str">
        <f>IFERROR(VLOOKUP(record[[#This Row],[PCUSTID]],廠商[],2,FALSE),"")</f>
        <v/>
      </c>
      <c r="S1891" t="str">
        <f>VLOOKUP(record[[#This Row],[employeeID]],員工[],2,FALSE)</f>
        <v>謝蓁薰</v>
      </c>
    </row>
    <row r="1892" spans="6:19" hidden="1" x14ac:dyDescent="0.25">
      <c r="F1892" t="s">
        <v>1825</v>
      </c>
      <c r="G1892" t="s">
        <v>401</v>
      </c>
      <c r="H1892" t="str">
        <f>VLOOKUP(record[[#This Row],[ProcessSN]],表格2_7[],2,FALSE)</f>
        <v>30-4118-018-550</v>
      </c>
      <c r="I1892" t="str">
        <f>VLOOKUP(record[[#This Row],[ProcessSN]],表格2_7[],3,FALSE)</f>
        <v>#100OQC</v>
      </c>
      <c r="J1892" t="s">
        <v>599</v>
      </c>
      <c r="K1892" s="195">
        <v>46129.390613425923</v>
      </c>
      <c r="L1892">
        <v>504</v>
      </c>
      <c r="M1892">
        <v>0</v>
      </c>
      <c r="N1892" s="98" t="str">
        <f>IF(record[[#This Row],[Memo]]="Browser:chrome os:android","平板報工",IF(record[[#This Row],[Memo]]=0,"委外",record[[#This Row],[Memo]]))</f>
        <v/>
      </c>
      <c r="O1892" t="s">
        <v>58</v>
      </c>
      <c r="P1892" t="s">
        <v>121</v>
      </c>
      <c r="Q1892" t="s">
        <v>58</v>
      </c>
      <c r="R1892" t="str">
        <f>IFERROR(VLOOKUP(record[[#This Row],[PCUSTID]],廠商[],2,FALSE),"")</f>
        <v/>
      </c>
      <c r="S1892" t="str">
        <f>VLOOKUP(record[[#This Row],[employeeID]],員工[],2,FALSE)</f>
        <v>謝素卿</v>
      </c>
    </row>
    <row r="1893" spans="6:19" hidden="1" x14ac:dyDescent="0.25">
      <c r="F1893" t="s">
        <v>1822</v>
      </c>
      <c r="G1893" t="s">
        <v>445</v>
      </c>
      <c r="H1893" t="str">
        <f>VLOOKUP(record[[#This Row],[ProcessSN]],表格2_7[],2,FALSE)</f>
        <v>30-4118-018-6XX</v>
      </c>
      <c r="I1893" t="str">
        <f>VLOOKUP(record[[#This Row],[ProcessSN]],表格2_7[],3,FALSE)</f>
        <v>#03PICK</v>
      </c>
      <c r="J1893" t="s">
        <v>582</v>
      </c>
      <c r="K1893" s="195">
        <v>46129.389513888891</v>
      </c>
      <c r="L1893">
        <v>658</v>
      </c>
      <c r="M1893">
        <v>0</v>
      </c>
      <c r="N1893" s="98" t="str">
        <f>IF(record[[#This Row],[Memo]]="Browser:chrome os:android","平板報工",IF(record[[#This Row],[Memo]]=0,"委外",record[[#This Row],[Memo]]))</f>
        <v/>
      </c>
      <c r="O1893" t="s">
        <v>58</v>
      </c>
      <c r="P1893" t="s">
        <v>186</v>
      </c>
      <c r="Q1893" t="s">
        <v>58</v>
      </c>
      <c r="R1893" t="str">
        <f>IFERROR(VLOOKUP(record[[#This Row],[PCUSTID]],廠商[],2,FALSE),"")</f>
        <v/>
      </c>
      <c r="S1893" t="str">
        <f>VLOOKUP(record[[#This Row],[employeeID]],員工[],2,FALSE)</f>
        <v>許文姍</v>
      </c>
    </row>
    <row r="1894" spans="6:19" hidden="1" x14ac:dyDescent="0.25">
      <c r="F1894" t="s">
        <v>1787</v>
      </c>
      <c r="G1894" t="s">
        <v>469</v>
      </c>
      <c r="H1894" t="str">
        <f>VLOOKUP(record[[#This Row],[ProcessSN]],表格2_7[],2,FALSE)</f>
        <v>30-4118-018-XXX</v>
      </c>
      <c r="I1894" t="str">
        <f>VLOOKUP(record[[#This Row],[ProcessSN]],表格2_7[],3,FALSE)</f>
        <v>#02RCV</v>
      </c>
      <c r="J1894" t="s">
        <v>591</v>
      </c>
      <c r="K1894" s="195">
        <v>46129.388865740744</v>
      </c>
      <c r="L1894">
        <v>658</v>
      </c>
      <c r="M1894">
        <v>0</v>
      </c>
      <c r="N1894" s="98" t="str">
        <f>IF(record[[#This Row],[Memo]]="Browser:chrome os:android","平板報工",IF(record[[#This Row],[Memo]]=0,"委外",record[[#This Row],[Memo]]))</f>
        <v/>
      </c>
      <c r="O1894" t="s">
        <v>58</v>
      </c>
      <c r="P1894" t="s">
        <v>1698</v>
      </c>
      <c r="Q1894" t="s">
        <v>58</v>
      </c>
      <c r="R1894" t="str">
        <f>IFERROR(VLOOKUP(record[[#This Row],[PCUSTID]],廠商[],2,FALSE),"")</f>
        <v/>
      </c>
      <c r="S1894" t="str">
        <f>VLOOKUP(record[[#This Row],[employeeID]],員工[],2,FALSE)</f>
        <v>羅思潔</v>
      </c>
    </row>
    <row r="1895" spans="6:19" hidden="1" x14ac:dyDescent="0.25">
      <c r="F1895" t="s">
        <v>1787</v>
      </c>
      <c r="G1895" t="s">
        <v>468</v>
      </c>
      <c r="H1895" t="str">
        <f>VLOOKUP(record[[#This Row],[ProcessSN]],表格2_7[],2,FALSE)</f>
        <v>30-4118-018-XXX</v>
      </c>
      <c r="I1895" t="str">
        <f>VLOOKUP(record[[#This Row],[ProcessSN]],表格2_7[],3,FALSE)</f>
        <v>#02</v>
      </c>
      <c r="J1895" t="s">
        <v>590</v>
      </c>
      <c r="K1895" s="195">
        <v>46129.37641203704</v>
      </c>
      <c r="L1895">
        <v>504</v>
      </c>
      <c r="M1895">
        <v>0</v>
      </c>
      <c r="N1895" s="98" t="str">
        <f>IF(record[[#This Row],[Memo]]="Browser:chrome os:android","平板報工",IF(record[[#This Row],[Memo]]=0,"委外",record[[#This Row],[Memo]]))</f>
        <v>委外</v>
      </c>
      <c r="P1895" t="s">
        <v>186</v>
      </c>
      <c r="Q1895" t="s">
        <v>216</v>
      </c>
      <c r="R1895" t="str">
        <f>IFERROR(VLOOKUP(record[[#This Row],[PCUSTID]],廠商[],2,FALSE),"")</f>
        <v>俊杰</v>
      </c>
      <c r="S1895" t="str">
        <f>VLOOKUP(record[[#This Row],[employeeID]],員工[],2,FALSE)</f>
        <v>許文姍</v>
      </c>
    </row>
    <row r="1896" spans="6:19" hidden="1" x14ac:dyDescent="0.25">
      <c r="F1896" t="s">
        <v>1787</v>
      </c>
      <c r="G1896" t="s">
        <v>471</v>
      </c>
      <c r="H1896" t="str">
        <f>VLOOKUP(record[[#This Row],[ProcessSN]],表格2_7[],2,FALSE)</f>
        <v>30-4118-018-XXX</v>
      </c>
      <c r="I1896" t="str">
        <f>VLOOKUP(record[[#This Row],[ProcessSN]],表格2_7[],3,FALSE)</f>
        <v>#02STOCK</v>
      </c>
      <c r="J1896" t="s">
        <v>592</v>
      </c>
      <c r="K1896" s="195">
        <v>46129.374861111108</v>
      </c>
      <c r="L1896">
        <v>836</v>
      </c>
      <c r="M1896">
        <v>0</v>
      </c>
      <c r="N1896" s="98" t="str">
        <f>IF(record[[#This Row],[Memo]]="Browser:chrome os:android","平板報工",IF(record[[#This Row],[Memo]]=0,"委外",record[[#This Row],[Memo]]))</f>
        <v/>
      </c>
      <c r="O1896" t="s">
        <v>58</v>
      </c>
      <c r="P1896" t="s">
        <v>186</v>
      </c>
      <c r="Q1896" t="s">
        <v>58</v>
      </c>
      <c r="R1896" t="str">
        <f>IFERROR(VLOOKUP(record[[#This Row],[PCUSTID]],廠商[],2,FALSE),"")</f>
        <v/>
      </c>
      <c r="S1896" t="str">
        <f>VLOOKUP(record[[#This Row],[employeeID]],員工[],2,FALSE)</f>
        <v>許文姍</v>
      </c>
    </row>
    <row r="1897" spans="6:19" hidden="1" x14ac:dyDescent="0.25">
      <c r="F1897" t="s">
        <v>1803</v>
      </c>
      <c r="G1897" t="s">
        <v>418</v>
      </c>
      <c r="H1897" t="str">
        <f>VLOOKUP(record[[#This Row],[ProcessSN]],表格2_7[],2,FALSE)</f>
        <v>30-4118-018-5XX</v>
      </c>
      <c r="I1897" t="str">
        <f>VLOOKUP(record[[#This Row],[ProcessSN]],表格2_7[],3,FALSE)</f>
        <v>#07</v>
      </c>
      <c r="J1897" t="s">
        <v>588</v>
      </c>
      <c r="K1897" s="195">
        <v>46129.367962962962</v>
      </c>
      <c r="L1897">
        <v>32</v>
      </c>
      <c r="M1897">
        <v>0</v>
      </c>
      <c r="N1897" s="98" t="str">
        <f>IF(record[[#This Row],[Memo]]="Browser:chrome os:android","平板報工",IF(record[[#This Row],[Memo]]=0,"委外",record[[#This Row],[Memo]]))</f>
        <v>平板報工</v>
      </c>
      <c r="O1897" t="s">
        <v>643</v>
      </c>
      <c r="P1897" t="s">
        <v>785</v>
      </c>
      <c r="Q1897" t="s">
        <v>644</v>
      </c>
      <c r="R1897" t="str">
        <f>IFERROR(VLOOKUP(record[[#This Row],[PCUSTID]],廠商[],2,FALSE),"")</f>
        <v/>
      </c>
      <c r="S1897" t="str">
        <f>VLOOKUP(record[[#This Row],[employeeID]],員工[],2,FALSE)</f>
        <v>謝刻光</v>
      </c>
    </row>
    <row r="1898" spans="6:19" hidden="1" x14ac:dyDescent="0.25">
      <c r="F1898" t="s">
        <v>1787</v>
      </c>
      <c r="G1898" t="s">
        <v>467</v>
      </c>
      <c r="H1898" t="str">
        <f>VLOOKUP(record[[#This Row],[ProcessSN]],表格2_7[],2,FALSE)</f>
        <v>30-4118-018-XXX</v>
      </c>
      <c r="I1898" t="str">
        <f>VLOOKUP(record[[#This Row],[ProcessSN]],表格2_7[],3,FALSE)</f>
        <v>#01QC</v>
      </c>
      <c r="J1898" t="s">
        <v>589</v>
      </c>
      <c r="K1898" s="195">
        <v>46129.355706018519</v>
      </c>
      <c r="L1898">
        <v>504</v>
      </c>
      <c r="M1898">
        <v>0</v>
      </c>
      <c r="N1898" s="98" t="str">
        <f>IF(record[[#This Row],[Memo]]="Browser:chrome os:android","平板報工",IF(record[[#This Row],[Memo]]=0,"委外",record[[#This Row],[Memo]]))</f>
        <v>平板報工</v>
      </c>
      <c r="O1898" t="s">
        <v>643</v>
      </c>
      <c r="P1898" t="s">
        <v>182</v>
      </c>
      <c r="Q1898" t="s">
        <v>644</v>
      </c>
      <c r="R1898" t="str">
        <f>IFERROR(VLOOKUP(record[[#This Row],[PCUSTID]],廠商[],2,FALSE),"")</f>
        <v/>
      </c>
      <c r="S1898" t="str">
        <f>VLOOKUP(record[[#This Row],[employeeID]],員工[],2,FALSE)</f>
        <v>梅氏和</v>
      </c>
    </row>
    <row r="1899" spans="6:19" hidden="1" x14ac:dyDescent="0.25">
      <c r="F1899" t="s">
        <v>1812</v>
      </c>
      <c r="G1899" t="s">
        <v>400</v>
      </c>
      <c r="H1899" t="str">
        <f>VLOOKUP(record[[#This Row],[ProcessSN]],表格2_7[],2,FALSE)</f>
        <v>30-4118-018-550</v>
      </c>
      <c r="I1899" t="str">
        <f>VLOOKUP(record[[#This Row],[ProcessSN]],表格2_7[],3,FALSE)</f>
        <v>#100</v>
      </c>
      <c r="J1899" t="s">
        <v>598</v>
      </c>
      <c r="K1899" s="195">
        <v>46129.338483796295</v>
      </c>
      <c r="L1899">
        <v>0</v>
      </c>
      <c r="M1899">
        <v>16</v>
      </c>
      <c r="N1899" s="98" t="str">
        <f>IF(record[[#This Row],[Memo]]="Browser:chrome os:android","平板報工",IF(record[[#This Row],[Memo]]=0,"委外",record[[#This Row],[Memo]]))</f>
        <v/>
      </c>
      <c r="O1899" t="s">
        <v>58</v>
      </c>
      <c r="P1899" t="s">
        <v>141</v>
      </c>
      <c r="Q1899" t="s">
        <v>58</v>
      </c>
      <c r="R1899" t="str">
        <f>IFERROR(VLOOKUP(record[[#This Row],[PCUSTID]],廠商[],2,FALSE),"")</f>
        <v/>
      </c>
      <c r="S1899" t="str">
        <f>VLOOKUP(record[[#This Row],[employeeID]],員工[],2,FALSE)</f>
        <v>蔣梅</v>
      </c>
    </row>
    <row r="1900" spans="6:19" hidden="1" x14ac:dyDescent="0.25">
      <c r="F1900" t="s">
        <v>1812</v>
      </c>
      <c r="G1900" t="s">
        <v>400</v>
      </c>
      <c r="H1900" t="str">
        <f>VLOOKUP(record[[#This Row],[ProcessSN]],表格2_7[],2,FALSE)</f>
        <v>30-4118-018-550</v>
      </c>
      <c r="I1900" t="str">
        <f>VLOOKUP(record[[#This Row],[ProcessSN]],表格2_7[],3,FALSE)</f>
        <v>#100</v>
      </c>
      <c r="J1900" t="s">
        <v>598</v>
      </c>
      <c r="K1900" s="195">
        <v>46129.338310185187</v>
      </c>
      <c r="L1900">
        <v>252</v>
      </c>
      <c r="M1900">
        <v>0</v>
      </c>
      <c r="N1900" s="98" t="str">
        <f>IF(record[[#This Row],[Memo]]="Browser:chrome os:android","平板報工",IF(record[[#This Row],[Memo]]=0,"委外",record[[#This Row],[Memo]]))</f>
        <v/>
      </c>
      <c r="O1900" t="s">
        <v>58</v>
      </c>
      <c r="P1900" t="s">
        <v>99</v>
      </c>
      <c r="Q1900" t="s">
        <v>58</v>
      </c>
      <c r="R1900" t="str">
        <f>IFERROR(VLOOKUP(record[[#This Row],[PCUSTID]],廠商[],2,FALSE),"")</f>
        <v/>
      </c>
      <c r="S1900" t="str">
        <f>VLOOKUP(record[[#This Row],[employeeID]],員工[],2,FALSE)</f>
        <v>阮氏河</v>
      </c>
    </row>
    <row r="1901" spans="6:19" hidden="1" x14ac:dyDescent="0.25">
      <c r="F1901" t="s">
        <v>1812</v>
      </c>
      <c r="G1901" t="s">
        <v>400</v>
      </c>
      <c r="H1901" t="str">
        <f>VLOOKUP(record[[#This Row],[ProcessSN]],表格2_7[],2,FALSE)</f>
        <v>30-4118-018-550</v>
      </c>
      <c r="I1901" t="str">
        <f>VLOOKUP(record[[#This Row],[ProcessSN]],表格2_7[],3,FALSE)</f>
        <v>#100</v>
      </c>
      <c r="J1901" t="s">
        <v>598</v>
      </c>
      <c r="K1901" s="195">
        <v>46129.338009259256</v>
      </c>
      <c r="L1901">
        <v>252</v>
      </c>
      <c r="M1901">
        <v>0</v>
      </c>
      <c r="N1901" s="98" t="str">
        <f>IF(record[[#This Row],[Memo]]="Browser:chrome os:android","平板報工",IF(record[[#This Row],[Memo]]=0,"委外",record[[#This Row],[Memo]]))</f>
        <v/>
      </c>
      <c r="O1901" t="s">
        <v>58</v>
      </c>
      <c r="P1901" t="s">
        <v>141</v>
      </c>
      <c r="Q1901" t="s">
        <v>58</v>
      </c>
      <c r="R1901" t="str">
        <f>IFERROR(VLOOKUP(record[[#This Row],[PCUSTID]],廠商[],2,FALSE),"")</f>
        <v/>
      </c>
      <c r="S1901" t="str">
        <f>VLOOKUP(record[[#This Row],[employeeID]],員工[],2,FALSE)</f>
        <v>蔣梅</v>
      </c>
    </row>
    <row r="1902" spans="6:19" hidden="1" x14ac:dyDescent="0.25">
      <c r="F1902" t="s">
        <v>1774</v>
      </c>
      <c r="G1902" t="s">
        <v>362</v>
      </c>
      <c r="H1902" t="str">
        <f>VLOOKUP(record[[#This Row],[ProcessSN]],表格2_7[],2,FALSE)</f>
        <v>30-4118-018-450</v>
      </c>
      <c r="I1902" t="str">
        <f>VLOOKUP(record[[#This Row],[ProcessSN]],表格2_7[],3,FALSE)</f>
        <v>#100SHIP</v>
      </c>
      <c r="J1902" t="s">
        <v>600</v>
      </c>
      <c r="K1902" s="195">
        <v>46129.336377314816</v>
      </c>
      <c r="L1902">
        <v>380</v>
      </c>
      <c r="M1902">
        <v>0</v>
      </c>
      <c r="N1902" s="98" t="str">
        <f>IF(record[[#This Row],[Memo]]="Browser:chrome os:android","平板報工",IF(record[[#This Row],[Memo]]=0,"委外",record[[#This Row],[Memo]]))</f>
        <v>補4/16出貨</v>
      </c>
      <c r="O1902" t="s">
        <v>1821</v>
      </c>
      <c r="P1902" t="s">
        <v>886</v>
      </c>
      <c r="Q1902" t="s">
        <v>58</v>
      </c>
      <c r="R1902" t="str">
        <f>IFERROR(VLOOKUP(record[[#This Row],[PCUSTID]],廠商[],2,FALSE),"")</f>
        <v/>
      </c>
      <c r="S1902" t="str">
        <f>VLOOKUP(record[[#This Row],[employeeID]],員工[],2,FALSE)</f>
        <v>謝蓁薰</v>
      </c>
    </row>
    <row r="1903" spans="6:19" hidden="1" x14ac:dyDescent="0.25">
      <c r="F1903" t="s">
        <v>1774</v>
      </c>
      <c r="G1903" t="s">
        <v>361</v>
      </c>
      <c r="H1903" t="str">
        <f>VLOOKUP(record[[#This Row],[ProcessSN]],表格2_7[],2,FALSE)</f>
        <v>30-4118-018-450</v>
      </c>
      <c r="I1903" t="str">
        <f>VLOOKUP(record[[#This Row],[ProcessSN]],表格2_7[],3,FALSE)</f>
        <v>#100STOCK</v>
      </c>
      <c r="J1903" t="s">
        <v>592</v>
      </c>
      <c r="K1903" s="195">
        <v>46129.336087962962</v>
      </c>
      <c r="L1903">
        <v>380</v>
      </c>
      <c r="M1903">
        <v>0</v>
      </c>
      <c r="N1903" s="98" t="str">
        <f>IF(record[[#This Row],[Memo]]="Browser:chrome os:android","平板報工",IF(record[[#This Row],[Memo]]=0,"委外",record[[#This Row],[Memo]]))</f>
        <v/>
      </c>
      <c r="O1903" t="s">
        <v>58</v>
      </c>
      <c r="P1903" t="s">
        <v>886</v>
      </c>
      <c r="Q1903" t="s">
        <v>58</v>
      </c>
      <c r="R1903" t="str">
        <f>IFERROR(VLOOKUP(record[[#This Row],[PCUSTID]],廠商[],2,FALSE),"")</f>
        <v/>
      </c>
      <c r="S1903" t="str">
        <f>VLOOKUP(record[[#This Row],[employeeID]],員工[],2,FALSE)</f>
        <v>謝蓁薰</v>
      </c>
    </row>
    <row r="1904" spans="6:19" hidden="1" x14ac:dyDescent="0.25">
      <c r="F1904" t="s">
        <v>1803</v>
      </c>
      <c r="G1904" t="s">
        <v>417</v>
      </c>
      <c r="H1904" t="str">
        <f>VLOOKUP(record[[#This Row],[ProcessSN]],表格2_7[],2,FALSE)</f>
        <v>30-4118-018-5XX</v>
      </c>
      <c r="I1904" t="str">
        <f>VLOOKUP(record[[#This Row],[ProcessSN]],表格2_7[],3,FALSE)</f>
        <v>#06</v>
      </c>
      <c r="J1904" t="s">
        <v>593</v>
      </c>
      <c r="K1904" s="195">
        <v>46129.315717592595</v>
      </c>
      <c r="L1904">
        <v>125</v>
      </c>
      <c r="M1904">
        <v>0</v>
      </c>
      <c r="N1904" s="98" t="str">
        <f>IF(record[[#This Row],[Memo]]="Browser:chrome os:android","平板報工",IF(record[[#This Row],[Memo]]=0,"委外",record[[#This Row],[Memo]]))</f>
        <v>平板報工</v>
      </c>
      <c r="O1904" t="s">
        <v>643</v>
      </c>
      <c r="P1904" t="s">
        <v>180</v>
      </c>
      <c r="Q1904" t="s">
        <v>644</v>
      </c>
      <c r="R1904" t="str">
        <f>IFERROR(VLOOKUP(record[[#This Row],[PCUSTID]],廠商[],2,FALSE),"")</f>
        <v/>
      </c>
      <c r="S1904" t="str">
        <f>VLOOKUP(record[[#This Row],[employeeID]],員工[],2,FALSE)</f>
        <v>黎功江</v>
      </c>
    </row>
    <row r="1905" spans="6:19" hidden="1" x14ac:dyDescent="0.25">
      <c r="F1905" t="s">
        <v>1803</v>
      </c>
      <c r="G1905" t="s">
        <v>416</v>
      </c>
      <c r="H1905" t="str">
        <f>VLOOKUP(record[[#This Row],[ProcessSN]],表格2_7[],2,FALSE)</f>
        <v>30-4118-018-5XX</v>
      </c>
      <c r="I1905" t="str">
        <f>VLOOKUP(record[[#This Row],[ProcessSN]],表格2_7[],3,FALSE)</f>
        <v>#05</v>
      </c>
      <c r="J1905" t="s">
        <v>588</v>
      </c>
      <c r="K1905" s="195">
        <v>46129.314618055556</v>
      </c>
      <c r="L1905">
        <v>229</v>
      </c>
      <c r="M1905">
        <v>0</v>
      </c>
      <c r="N1905" s="98" t="str">
        <f>IF(record[[#This Row],[Memo]]="Browser:chrome os:android","平板報工",IF(record[[#This Row],[Memo]]=0,"委外",record[[#This Row],[Memo]]))</f>
        <v/>
      </c>
      <c r="O1905" t="s">
        <v>58</v>
      </c>
      <c r="P1905" t="s">
        <v>843</v>
      </c>
      <c r="Q1905" t="s">
        <v>58</v>
      </c>
      <c r="R1905" t="str">
        <f>IFERROR(VLOOKUP(record[[#This Row],[PCUSTID]],廠商[],2,FALSE),"")</f>
        <v/>
      </c>
      <c r="S1905" t="str">
        <f>VLOOKUP(record[[#This Row],[employeeID]],員工[],2,FALSE)</f>
        <v>張楚承</v>
      </c>
    </row>
    <row r="1906" spans="6:19" hidden="1" x14ac:dyDescent="0.25">
      <c r="F1906" t="s">
        <v>1815</v>
      </c>
      <c r="G1906" t="s">
        <v>447</v>
      </c>
      <c r="H1906" t="str">
        <f>VLOOKUP(record[[#This Row],[ProcessSN]],表格2_7[],2,FALSE)</f>
        <v>30-4118-018-6XX</v>
      </c>
      <c r="I1906" t="str">
        <f>VLOOKUP(record[[#This Row],[ProcessSN]],表格2_7[],3,FALSE)</f>
        <v>#03</v>
      </c>
      <c r="J1906" t="s">
        <v>588</v>
      </c>
      <c r="K1906" s="195">
        <v>46129.312962962962</v>
      </c>
      <c r="L1906">
        <v>304</v>
      </c>
      <c r="M1906">
        <v>0</v>
      </c>
      <c r="N1906" s="98" t="str">
        <f>IF(record[[#This Row],[Memo]]="Browser:chrome os:android","平板報工",IF(record[[#This Row],[Memo]]=0,"委外",record[[#This Row],[Memo]]))</f>
        <v/>
      </c>
      <c r="O1906" t="s">
        <v>58</v>
      </c>
      <c r="P1906" t="s">
        <v>135</v>
      </c>
      <c r="Q1906" t="s">
        <v>58</v>
      </c>
      <c r="R1906" t="str">
        <f>IFERROR(VLOOKUP(record[[#This Row],[PCUSTID]],廠商[],2,FALSE),"")</f>
        <v/>
      </c>
      <c r="S1906" t="str">
        <f>VLOOKUP(record[[#This Row],[employeeID]],員工[],2,FALSE)</f>
        <v>阮士文</v>
      </c>
    </row>
    <row r="1907" spans="6:19" hidden="1" x14ac:dyDescent="0.25">
      <c r="F1907" t="s">
        <v>1803</v>
      </c>
      <c r="G1907" t="s">
        <v>415</v>
      </c>
      <c r="H1907" t="str">
        <f>VLOOKUP(record[[#This Row],[ProcessSN]],表格2_7[],2,FALSE)</f>
        <v>30-4118-018-5XX</v>
      </c>
      <c r="I1907" t="str">
        <f>VLOOKUP(record[[#This Row],[ProcessSN]],表格2_7[],3,FALSE)</f>
        <v>#04</v>
      </c>
      <c r="J1907" t="s">
        <v>588</v>
      </c>
      <c r="K1907" s="195">
        <v>46129.312638888892</v>
      </c>
      <c r="L1907">
        <v>280</v>
      </c>
      <c r="M1907">
        <v>0</v>
      </c>
      <c r="N1907" s="98" t="str">
        <f>IF(record[[#This Row],[Memo]]="Browser:chrome os:android","平板報工",IF(record[[#This Row],[Memo]]=0,"委外",record[[#This Row],[Memo]]))</f>
        <v/>
      </c>
      <c r="O1907" t="s">
        <v>58</v>
      </c>
      <c r="P1907" t="s">
        <v>135</v>
      </c>
      <c r="Q1907" t="s">
        <v>58</v>
      </c>
      <c r="R1907" t="str">
        <f>IFERROR(VLOOKUP(record[[#This Row],[PCUSTID]],廠商[],2,FALSE),"")</f>
        <v/>
      </c>
      <c r="S1907" t="str">
        <f>VLOOKUP(record[[#This Row],[employeeID]],員工[],2,FALSE)</f>
        <v>阮士文</v>
      </c>
    </row>
    <row r="1908" spans="6:19" hidden="1" x14ac:dyDescent="0.25">
      <c r="F1908" t="s">
        <v>1787</v>
      </c>
      <c r="G1908" t="s">
        <v>466</v>
      </c>
      <c r="H1908" t="str">
        <f>VLOOKUP(record[[#This Row],[ProcessSN]],表格2_7[],2,FALSE)</f>
        <v>30-4118-018-XXX</v>
      </c>
      <c r="I1908" t="str">
        <f>VLOOKUP(record[[#This Row],[ProcessSN]],表格2_7[],3,FALSE)</f>
        <v>#01-2</v>
      </c>
      <c r="J1908" t="s">
        <v>588</v>
      </c>
      <c r="K1908" s="195">
        <v>46129.276122685187</v>
      </c>
      <c r="L1908">
        <v>410</v>
      </c>
      <c r="M1908">
        <v>0</v>
      </c>
      <c r="N1908" s="98" t="str">
        <f>IF(record[[#This Row],[Memo]]="Browser:chrome os:android","平板報工",IF(record[[#This Row],[Memo]]=0,"委外",record[[#This Row],[Memo]]))</f>
        <v>平板報工</v>
      </c>
      <c r="O1908" t="s">
        <v>643</v>
      </c>
      <c r="P1908" t="s">
        <v>806</v>
      </c>
      <c r="Q1908" t="s">
        <v>644</v>
      </c>
      <c r="R1908" t="str">
        <f>IFERROR(VLOOKUP(record[[#This Row],[PCUSTID]],廠商[],2,FALSE),"")</f>
        <v/>
      </c>
      <c r="S1908" t="str">
        <f>VLOOKUP(record[[#This Row],[employeeID]],員工[],2,FALSE)</f>
        <v>方思緯</v>
      </c>
    </row>
    <row r="1909" spans="6:19" hidden="1" x14ac:dyDescent="0.25">
      <c r="F1909" t="s">
        <v>1803</v>
      </c>
      <c r="G1909" t="s">
        <v>418</v>
      </c>
      <c r="H1909" t="str">
        <f>VLOOKUP(record[[#This Row],[ProcessSN]],表格2_7[],2,FALSE)</f>
        <v>30-4118-018-5XX</v>
      </c>
      <c r="I1909" t="str">
        <f>VLOOKUP(record[[#This Row],[ProcessSN]],表格2_7[],3,FALSE)</f>
        <v>#07</v>
      </c>
      <c r="J1909" t="s">
        <v>588</v>
      </c>
      <c r="K1909" s="195">
        <v>46129.268692129626</v>
      </c>
      <c r="L1909">
        <v>230</v>
      </c>
      <c r="M1909">
        <v>2</v>
      </c>
      <c r="N1909" s="98" t="str">
        <f>IF(record[[#This Row],[Memo]]="Browser:chrome os:android","平板報工",IF(record[[#This Row],[Memo]]=0,"委外",record[[#This Row],[Memo]]))</f>
        <v>平板報工</v>
      </c>
      <c r="O1909" t="s">
        <v>643</v>
      </c>
      <c r="P1909" t="s">
        <v>806</v>
      </c>
      <c r="Q1909" t="s">
        <v>644</v>
      </c>
      <c r="R1909" t="str">
        <f>IFERROR(VLOOKUP(record[[#This Row],[PCUSTID]],廠商[],2,FALSE),"")</f>
        <v/>
      </c>
      <c r="S1909" t="str">
        <f>VLOOKUP(record[[#This Row],[employeeID]],員工[],2,FALSE)</f>
        <v>方思緯</v>
      </c>
    </row>
    <row r="1910" spans="6:19" hidden="1" x14ac:dyDescent="0.25">
      <c r="F1910" t="s">
        <v>1803</v>
      </c>
      <c r="G1910" t="s">
        <v>417</v>
      </c>
      <c r="H1910" t="str">
        <f>VLOOKUP(record[[#This Row],[ProcessSN]],表格2_7[],2,FALSE)</f>
        <v>30-4118-018-5XX</v>
      </c>
      <c r="I1910" t="str">
        <f>VLOOKUP(record[[#This Row],[ProcessSN]],表格2_7[],3,FALSE)</f>
        <v>#06</v>
      </c>
      <c r="J1910" t="s">
        <v>593</v>
      </c>
      <c r="K1910" s="195">
        <v>46128.983796296299</v>
      </c>
      <c r="L1910">
        <v>133</v>
      </c>
      <c r="M1910">
        <v>0</v>
      </c>
      <c r="N1910" s="98" t="str">
        <f>IF(record[[#This Row],[Memo]]="Browser:chrome os:android","平板報工",IF(record[[#This Row],[Memo]]=0,"委外",record[[#This Row],[Memo]]))</f>
        <v>平板報工</v>
      </c>
      <c r="O1910" t="s">
        <v>643</v>
      </c>
      <c r="P1910" t="s">
        <v>1669</v>
      </c>
      <c r="Q1910" t="s">
        <v>644</v>
      </c>
      <c r="R1910" t="str">
        <f>IFERROR(VLOOKUP(record[[#This Row],[PCUSTID]],廠商[],2,FALSE),"")</f>
        <v/>
      </c>
      <c r="S1910" t="str">
        <f>VLOOKUP(record[[#This Row],[employeeID]],員工[],2,FALSE)</f>
        <v>武氏麗娟</v>
      </c>
    </row>
    <row r="1911" spans="6:19" hidden="1" x14ac:dyDescent="0.25">
      <c r="F1911" t="s">
        <v>1803</v>
      </c>
      <c r="G1911" t="s">
        <v>416</v>
      </c>
      <c r="H1911" t="str">
        <f>VLOOKUP(record[[#This Row],[ProcessSN]],表格2_7[],2,FALSE)</f>
        <v>30-4118-018-5XX</v>
      </c>
      <c r="I1911" t="str">
        <f>VLOOKUP(record[[#This Row],[ProcessSN]],表格2_7[],3,FALSE)</f>
        <v>#05</v>
      </c>
      <c r="J1911" t="s">
        <v>588</v>
      </c>
      <c r="K1911" s="195">
        <v>46128.983275462961</v>
      </c>
      <c r="L1911">
        <v>100</v>
      </c>
      <c r="M1911">
        <v>0</v>
      </c>
      <c r="N1911" s="98" t="str">
        <f>IF(record[[#This Row],[Memo]]="Browser:chrome os:android","平板報工",IF(record[[#This Row],[Memo]]=0,"委外",record[[#This Row],[Memo]]))</f>
        <v>平板報工</v>
      </c>
      <c r="O1911" t="s">
        <v>643</v>
      </c>
      <c r="P1911" t="s">
        <v>1098</v>
      </c>
      <c r="Q1911" t="s">
        <v>644</v>
      </c>
      <c r="R1911" t="str">
        <f>IFERROR(VLOOKUP(record[[#This Row],[PCUSTID]],廠商[],2,FALSE),"")</f>
        <v/>
      </c>
      <c r="S1911" t="str">
        <f>VLOOKUP(record[[#This Row],[employeeID]],員工[],2,FALSE)</f>
        <v>阮氏芳英(英)</v>
      </c>
    </row>
    <row r="1912" spans="6:19" hidden="1" x14ac:dyDescent="0.25">
      <c r="F1912" t="s">
        <v>1803</v>
      </c>
      <c r="G1912" t="s">
        <v>417</v>
      </c>
      <c r="H1912" t="str">
        <f>VLOOKUP(record[[#This Row],[ProcessSN]],表格2_7[],2,FALSE)</f>
        <v>30-4118-018-5XX</v>
      </c>
      <c r="I1912" t="str">
        <f>VLOOKUP(record[[#This Row],[ProcessSN]],表格2_7[],3,FALSE)</f>
        <v>#06</v>
      </c>
      <c r="J1912" t="s">
        <v>593</v>
      </c>
      <c r="K1912" s="195">
        <v>46128.979317129626</v>
      </c>
      <c r="L1912">
        <v>67</v>
      </c>
      <c r="M1912">
        <v>0</v>
      </c>
      <c r="N1912" s="98" t="str">
        <f>IF(record[[#This Row],[Memo]]="Browser:chrome os:android","平板報工",IF(record[[#This Row],[Memo]]=0,"委外",record[[#This Row],[Memo]]))</f>
        <v>平板報工</v>
      </c>
      <c r="O1912" t="s">
        <v>643</v>
      </c>
      <c r="P1912" t="s">
        <v>841</v>
      </c>
      <c r="Q1912" t="s">
        <v>644</v>
      </c>
      <c r="R1912" t="str">
        <f>IFERROR(VLOOKUP(record[[#This Row],[PCUSTID]],廠商[],2,FALSE),"")</f>
        <v/>
      </c>
      <c r="S1912" t="str">
        <f>VLOOKUP(record[[#This Row],[employeeID]],員工[],2,FALSE)</f>
        <v>范氏香</v>
      </c>
    </row>
    <row r="1913" spans="6:19" hidden="1" x14ac:dyDescent="0.25">
      <c r="F1913" t="s">
        <v>1803</v>
      </c>
      <c r="G1913" t="s">
        <v>416</v>
      </c>
      <c r="H1913" t="str">
        <f>VLOOKUP(record[[#This Row],[ProcessSN]],表格2_7[],2,FALSE)</f>
        <v>30-4118-018-5XX</v>
      </c>
      <c r="I1913" t="str">
        <f>VLOOKUP(record[[#This Row],[ProcessSN]],表格2_7[],3,FALSE)</f>
        <v>#05</v>
      </c>
      <c r="J1913" t="s">
        <v>588</v>
      </c>
      <c r="K1913" s="195">
        <v>46128.978229166663</v>
      </c>
      <c r="L1913">
        <v>149</v>
      </c>
      <c r="M1913">
        <v>0</v>
      </c>
      <c r="N1913" s="98" t="str">
        <f>IF(record[[#This Row],[Memo]]="Browser:chrome os:android","平板報工",IF(record[[#This Row],[Memo]]=0,"委外",record[[#This Row],[Memo]]))</f>
        <v>平板報工</v>
      </c>
      <c r="O1913" t="s">
        <v>643</v>
      </c>
      <c r="P1913" t="s">
        <v>1098</v>
      </c>
      <c r="Q1913" t="s">
        <v>644</v>
      </c>
      <c r="R1913" t="str">
        <f>IFERROR(VLOOKUP(record[[#This Row],[PCUSTID]],廠商[],2,FALSE),"")</f>
        <v/>
      </c>
      <c r="S1913" t="str">
        <f>VLOOKUP(record[[#This Row],[employeeID]],員工[],2,FALSE)</f>
        <v>阮氏芳英(英)</v>
      </c>
    </row>
    <row r="1914" spans="6:19" hidden="1" x14ac:dyDescent="0.25">
      <c r="F1914" t="s">
        <v>1803</v>
      </c>
      <c r="G1914" t="s">
        <v>415</v>
      </c>
      <c r="H1914" t="str">
        <f>VLOOKUP(record[[#This Row],[ProcessSN]],表格2_7[],2,FALSE)</f>
        <v>30-4118-018-5XX</v>
      </c>
      <c r="I1914" t="str">
        <f>VLOOKUP(record[[#This Row],[ProcessSN]],表格2_7[],3,FALSE)</f>
        <v>#04</v>
      </c>
      <c r="J1914" t="s">
        <v>588</v>
      </c>
      <c r="K1914" s="195">
        <v>46128.974965277775</v>
      </c>
      <c r="L1914">
        <v>120</v>
      </c>
      <c r="M1914">
        <v>0</v>
      </c>
      <c r="N1914" s="98" t="str">
        <f>IF(record[[#This Row],[Memo]]="Browser:chrome os:android","平板報工",IF(record[[#This Row],[Memo]]=0,"委外",record[[#This Row],[Memo]]))</f>
        <v>平板報工</v>
      </c>
      <c r="O1914" t="s">
        <v>643</v>
      </c>
      <c r="P1914" t="s">
        <v>180</v>
      </c>
      <c r="Q1914" t="s">
        <v>644</v>
      </c>
      <c r="R1914" t="str">
        <f>IFERROR(VLOOKUP(record[[#This Row],[PCUSTID]],廠商[],2,FALSE),"")</f>
        <v/>
      </c>
      <c r="S1914" t="str">
        <f>VLOOKUP(record[[#This Row],[employeeID]],員工[],2,FALSE)</f>
        <v>黎功江</v>
      </c>
    </row>
    <row r="1915" spans="6:19" hidden="1" x14ac:dyDescent="0.25">
      <c r="F1915" t="s">
        <v>1815</v>
      </c>
      <c r="G1915" t="s">
        <v>447</v>
      </c>
      <c r="H1915" t="str">
        <f>VLOOKUP(record[[#This Row],[ProcessSN]],表格2_7[],2,FALSE)</f>
        <v>30-4118-018-6XX</v>
      </c>
      <c r="I1915" t="str">
        <f>VLOOKUP(record[[#This Row],[ProcessSN]],表格2_7[],3,FALSE)</f>
        <v>#03</v>
      </c>
      <c r="J1915" t="s">
        <v>588</v>
      </c>
      <c r="K1915" s="195">
        <v>46128.973553240743</v>
      </c>
      <c r="L1915">
        <v>504</v>
      </c>
      <c r="M1915">
        <v>0</v>
      </c>
      <c r="N1915" s="98" t="str">
        <f>IF(record[[#This Row],[Memo]]="Browser:chrome os:android","平板報工",IF(record[[#This Row],[Memo]]=0,"委外",record[[#This Row],[Memo]]))</f>
        <v>平板報工</v>
      </c>
      <c r="O1915" t="s">
        <v>643</v>
      </c>
      <c r="P1915" t="s">
        <v>180</v>
      </c>
      <c r="Q1915" t="s">
        <v>644</v>
      </c>
      <c r="R1915" t="str">
        <f>IFERROR(VLOOKUP(record[[#This Row],[PCUSTID]],廠商[],2,FALSE),"")</f>
        <v/>
      </c>
      <c r="S1915" t="str">
        <f>VLOOKUP(record[[#This Row],[employeeID]],員工[],2,FALSE)</f>
        <v>黎功江</v>
      </c>
    </row>
    <row r="1916" spans="6:19" hidden="1" x14ac:dyDescent="0.25">
      <c r="F1916" t="s">
        <v>1803</v>
      </c>
      <c r="G1916" t="s">
        <v>418</v>
      </c>
      <c r="H1916" t="str">
        <f>VLOOKUP(record[[#This Row],[ProcessSN]],表格2_7[],2,FALSE)</f>
        <v>30-4118-018-5XX</v>
      </c>
      <c r="I1916" t="str">
        <f>VLOOKUP(record[[#This Row],[ProcessSN]],表格2_7[],3,FALSE)</f>
        <v>#07</v>
      </c>
      <c r="J1916" t="s">
        <v>588</v>
      </c>
      <c r="K1916" s="195">
        <v>46128.967418981483</v>
      </c>
      <c r="L1916">
        <v>184</v>
      </c>
      <c r="M1916">
        <v>0</v>
      </c>
      <c r="N1916" s="98" t="str">
        <f>IF(record[[#This Row],[Memo]]="Browser:chrome os:android","平板報工",IF(record[[#This Row],[Memo]]=0,"委外",record[[#This Row],[Memo]]))</f>
        <v>平板報工</v>
      </c>
      <c r="O1916" t="s">
        <v>643</v>
      </c>
      <c r="P1916" t="s">
        <v>89</v>
      </c>
      <c r="Q1916" t="s">
        <v>644</v>
      </c>
      <c r="R1916" t="str">
        <f>IFERROR(VLOOKUP(record[[#This Row],[PCUSTID]],廠商[],2,FALSE),"")</f>
        <v/>
      </c>
      <c r="S1916" t="str">
        <f>VLOOKUP(record[[#This Row],[employeeID]],員工[],2,FALSE)</f>
        <v>李美蓮</v>
      </c>
    </row>
    <row r="1917" spans="6:19" hidden="1" x14ac:dyDescent="0.25">
      <c r="F1917" t="s">
        <v>1637</v>
      </c>
      <c r="G1917" t="s">
        <v>451</v>
      </c>
      <c r="H1917" t="str">
        <f>VLOOKUP(record[[#This Row],[ProcessSN]],表格2_7[],2,FALSE)</f>
        <v>30-4118-018-6XX</v>
      </c>
      <c r="I1917" t="str">
        <f>VLOOKUP(record[[#This Row],[ProcessSN]],表格2_7[],3,FALSE)</f>
        <v>#07</v>
      </c>
      <c r="J1917" t="s">
        <v>588</v>
      </c>
      <c r="K1917" s="195">
        <v>46128.96634259259</v>
      </c>
      <c r="L1917">
        <v>187</v>
      </c>
      <c r="M1917">
        <v>3</v>
      </c>
      <c r="N1917" s="98" t="str">
        <f>IF(record[[#This Row],[Memo]]="Browser:chrome os:android","平板報工",IF(record[[#This Row],[Memo]]=0,"委外",record[[#This Row],[Memo]]))</f>
        <v>平板報工</v>
      </c>
      <c r="O1917" t="s">
        <v>643</v>
      </c>
      <c r="P1917" t="s">
        <v>1098</v>
      </c>
      <c r="Q1917" t="s">
        <v>644</v>
      </c>
      <c r="R1917" t="str">
        <f>IFERROR(VLOOKUP(record[[#This Row],[PCUSTID]],廠商[],2,FALSE),"")</f>
        <v/>
      </c>
      <c r="S1917" t="str">
        <f>VLOOKUP(record[[#This Row],[employeeID]],員工[],2,FALSE)</f>
        <v>阮氏芳英(英)</v>
      </c>
    </row>
    <row r="1918" spans="6:19" hidden="1" x14ac:dyDescent="0.25">
      <c r="F1918" t="s">
        <v>1803</v>
      </c>
      <c r="G1918" t="s">
        <v>414</v>
      </c>
      <c r="H1918" t="str">
        <f>VLOOKUP(record[[#This Row],[ProcessSN]],表格2_7[],2,FALSE)</f>
        <v>30-4118-018-5XX</v>
      </c>
      <c r="I1918" t="str">
        <f>VLOOKUP(record[[#This Row],[ProcessSN]],表格2_7[],3,FALSE)</f>
        <v>#03</v>
      </c>
      <c r="J1918" t="s">
        <v>588</v>
      </c>
      <c r="K1918" s="195">
        <v>46128.833009259259</v>
      </c>
      <c r="L1918">
        <v>384</v>
      </c>
      <c r="M1918">
        <v>0</v>
      </c>
      <c r="N1918" s="98" t="str">
        <f>IF(record[[#This Row],[Memo]]="Browser:chrome os:android","平板報工",IF(record[[#This Row],[Memo]]=0,"委外",record[[#This Row],[Memo]]))</f>
        <v>平板報工</v>
      </c>
      <c r="O1918" t="s">
        <v>643</v>
      </c>
      <c r="P1918" t="s">
        <v>785</v>
      </c>
      <c r="Q1918" t="s">
        <v>644</v>
      </c>
      <c r="R1918" t="str">
        <f>IFERROR(VLOOKUP(record[[#This Row],[PCUSTID]],廠商[],2,FALSE),"")</f>
        <v/>
      </c>
      <c r="S1918" t="str">
        <f>VLOOKUP(record[[#This Row],[employeeID]],員工[],2,FALSE)</f>
        <v>謝刻光</v>
      </c>
    </row>
    <row r="1919" spans="6:19" hidden="1" x14ac:dyDescent="0.25">
      <c r="F1919" t="s">
        <v>1803</v>
      </c>
      <c r="G1919" t="s">
        <v>415</v>
      </c>
      <c r="H1919" t="str">
        <f>VLOOKUP(record[[#This Row],[ProcessSN]],表格2_7[],2,FALSE)</f>
        <v>30-4118-018-5XX</v>
      </c>
      <c r="I1919" t="str">
        <f>VLOOKUP(record[[#This Row],[ProcessSN]],表格2_7[],3,FALSE)</f>
        <v>#04</v>
      </c>
      <c r="J1919" t="s">
        <v>588</v>
      </c>
      <c r="K1919" s="195">
        <v>46128.832557870373</v>
      </c>
      <c r="L1919">
        <v>120</v>
      </c>
      <c r="M1919">
        <v>0</v>
      </c>
      <c r="N1919" s="98" t="str">
        <f>IF(record[[#This Row],[Memo]]="Browser:chrome os:android","平板報工",IF(record[[#This Row],[Memo]]=0,"委外",record[[#This Row],[Memo]]))</f>
        <v>平板報工</v>
      </c>
      <c r="O1919" t="s">
        <v>643</v>
      </c>
      <c r="P1919" t="s">
        <v>785</v>
      </c>
      <c r="Q1919" t="s">
        <v>644</v>
      </c>
      <c r="R1919" t="str">
        <f>IFERROR(VLOOKUP(record[[#This Row],[PCUSTID]],廠商[],2,FALSE),"")</f>
        <v/>
      </c>
      <c r="S1919" t="str">
        <f>VLOOKUP(record[[#This Row],[employeeID]],員工[],2,FALSE)</f>
        <v>謝刻光</v>
      </c>
    </row>
    <row r="1920" spans="6:19" hidden="1" x14ac:dyDescent="0.25">
      <c r="F1920" t="s">
        <v>1803</v>
      </c>
      <c r="G1920" t="s">
        <v>417</v>
      </c>
      <c r="H1920" t="str">
        <f>VLOOKUP(record[[#This Row],[ProcessSN]],表格2_7[],2,FALSE)</f>
        <v>30-4118-018-5XX</v>
      </c>
      <c r="I1920" t="str">
        <f>VLOOKUP(record[[#This Row],[ProcessSN]],表格2_7[],3,FALSE)</f>
        <v>#06</v>
      </c>
      <c r="J1920" t="s">
        <v>593</v>
      </c>
      <c r="K1920" s="195">
        <v>46128.828784722224</v>
      </c>
      <c r="L1920">
        <v>67</v>
      </c>
      <c r="M1920">
        <v>0</v>
      </c>
      <c r="N1920" s="98" t="str">
        <f>IF(record[[#This Row],[Memo]]="Browser:chrome os:android","平板報工",IF(record[[#This Row],[Memo]]=0,"委外",record[[#This Row],[Memo]]))</f>
        <v>平板報工</v>
      </c>
      <c r="O1920" t="s">
        <v>643</v>
      </c>
      <c r="P1920" t="s">
        <v>1413</v>
      </c>
      <c r="Q1920" t="s">
        <v>644</v>
      </c>
      <c r="R1920" t="str">
        <f>IFERROR(VLOOKUP(record[[#This Row],[PCUSTID]],廠商[],2,FALSE),"")</f>
        <v/>
      </c>
      <c r="S1920" t="str">
        <f>VLOOKUP(record[[#This Row],[employeeID]],員工[],2,FALSE)</f>
        <v>阮氏芳英(芳)</v>
      </c>
    </row>
    <row r="1921" spans="6:19" hidden="1" x14ac:dyDescent="0.25">
      <c r="F1921" t="s">
        <v>1818</v>
      </c>
      <c r="G1921" t="s">
        <v>463</v>
      </c>
      <c r="H1921" t="str">
        <f>VLOOKUP(record[[#This Row],[ProcessSN]],表格2_7[],2,FALSE)</f>
        <v>30-4118-018-XXX</v>
      </c>
      <c r="I1921" t="str">
        <f>VLOOKUP(record[[#This Row],[ProcessSN]],表格2_7[],3,FALSE)</f>
        <v>#00IQC</v>
      </c>
      <c r="J1921" t="s">
        <v>583</v>
      </c>
      <c r="K1921" s="195">
        <v>46128.816886574074</v>
      </c>
      <c r="L1921">
        <v>5000</v>
      </c>
      <c r="M1921">
        <v>0</v>
      </c>
      <c r="N1921" s="98" t="str">
        <f>IF(record[[#This Row],[Memo]]="Browser:chrome os:android","平板報工",IF(record[[#This Row],[Memo]]=0,"委外",record[[#This Row],[Memo]]))</f>
        <v/>
      </c>
      <c r="O1921" t="s">
        <v>58</v>
      </c>
      <c r="P1921" t="s">
        <v>109</v>
      </c>
      <c r="Q1921" t="s">
        <v>58</v>
      </c>
      <c r="R1921" t="str">
        <f>IFERROR(VLOOKUP(record[[#This Row],[PCUSTID]],廠商[],2,FALSE),"")</f>
        <v/>
      </c>
      <c r="S1921" t="str">
        <f>VLOOKUP(record[[#This Row],[employeeID]],員工[],2,FALSE)</f>
        <v>裴氏璧鳳</v>
      </c>
    </row>
    <row r="1922" spans="6:19" hidden="1" x14ac:dyDescent="0.25">
      <c r="F1922" t="s">
        <v>1812</v>
      </c>
      <c r="G1922" t="s">
        <v>399</v>
      </c>
      <c r="H1922" t="str">
        <f>VLOOKUP(record[[#This Row],[ProcessSN]],表格2_7[],2,FALSE)</f>
        <v>30-4118-018-550</v>
      </c>
      <c r="I1922" t="str">
        <f>VLOOKUP(record[[#This Row],[ProcessSN]],表格2_7[],3,FALSE)</f>
        <v>#08IQC</v>
      </c>
      <c r="J1922" t="s">
        <v>583</v>
      </c>
      <c r="K1922" s="195">
        <v>46128.802395833336</v>
      </c>
      <c r="L1922">
        <v>520</v>
      </c>
      <c r="M1922">
        <v>0</v>
      </c>
      <c r="N1922" s="98" t="str">
        <f>IF(record[[#This Row],[Memo]]="Browser:chrome os:android","平板報工",IF(record[[#This Row],[Memo]]=0,"委外",record[[#This Row],[Memo]]))</f>
        <v/>
      </c>
      <c r="O1922" t="s">
        <v>58</v>
      </c>
      <c r="P1922" t="s">
        <v>109</v>
      </c>
      <c r="Q1922" t="s">
        <v>58</v>
      </c>
      <c r="R1922" t="str">
        <f>IFERROR(VLOOKUP(record[[#This Row],[PCUSTID]],廠商[],2,FALSE),"")</f>
        <v/>
      </c>
      <c r="S1922" t="str">
        <f>VLOOKUP(record[[#This Row],[employeeID]],員工[],2,FALSE)</f>
        <v>裴氏璧鳳</v>
      </c>
    </row>
    <row r="1923" spans="6:19" hidden="1" x14ac:dyDescent="0.25">
      <c r="F1923" t="s">
        <v>1774</v>
      </c>
      <c r="G1923" t="s">
        <v>360</v>
      </c>
      <c r="H1923" t="str">
        <f>VLOOKUP(record[[#This Row],[ProcessSN]],表格2_7[],2,FALSE)</f>
        <v>30-4118-018-450</v>
      </c>
      <c r="I1923" t="str">
        <f>VLOOKUP(record[[#This Row],[ProcessSN]],表格2_7[],3,FALSE)</f>
        <v>#100OQC</v>
      </c>
      <c r="J1923" t="s">
        <v>599</v>
      </c>
      <c r="K1923" s="195">
        <v>46128.799710648149</v>
      </c>
      <c r="L1923">
        <v>579</v>
      </c>
      <c r="M1923">
        <v>0</v>
      </c>
      <c r="N1923" s="98" t="str">
        <f>IF(record[[#This Row],[Memo]]="Browser:chrome os:android","平板報工",IF(record[[#This Row],[Memo]]=0,"委外",record[[#This Row],[Memo]]))</f>
        <v/>
      </c>
      <c r="O1923" t="s">
        <v>58</v>
      </c>
      <c r="P1923" t="s">
        <v>121</v>
      </c>
      <c r="Q1923" t="s">
        <v>58</v>
      </c>
      <c r="R1923" t="str">
        <f>IFERROR(VLOOKUP(record[[#This Row],[PCUSTID]],廠商[],2,FALSE),"")</f>
        <v/>
      </c>
      <c r="S1923" t="str">
        <f>VLOOKUP(record[[#This Row],[employeeID]],員工[],2,FALSE)</f>
        <v>謝素卿</v>
      </c>
    </row>
    <row r="1924" spans="6:19" hidden="1" x14ac:dyDescent="0.25">
      <c r="F1924" t="s">
        <v>1787</v>
      </c>
      <c r="G1924" t="s">
        <v>470</v>
      </c>
      <c r="H1924" t="str">
        <f>VLOOKUP(record[[#This Row],[ProcessSN]],表格2_7[],2,FALSE)</f>
        <v>30-4118-018-XXX</v>
      </c>
      <c r="I1924" t="str">
        <f>VLOOKUP(record[[#This Row],[ProcessSN]],表格2_7[],3,FALSE)</f>
        <v>#02IQC</v>
      </c>
      <c r="J1924" t="s">
        <v>583</v>
      </c>
      <c r="K1924" s="195">
        <v>46128.78837962963</v>
      </c>
      <c r="L1924">
        <v>836</v>
      </c>
      <c r="M1924">
        <v>0</v>
      </c>
      <c r="N1924" s="98" t="str">
        <f>IF(record[[#This Row],[Memo]]="Browser:chrome os:android","平板報工",IF(record[[#This Row],[Memo]]=0,"委外",record[[#This Row],[Memo]]))</f>
        <v/>
      </c>
      <c r="O1924" t="s">
        <v>58</v>
      </c>
      <c r="P1924" t="s">
        <v>109</v>
      </c>
      <c r="Q1924" t="s">
        <v>58</v>
      </c>
      <c r="R1924" t="str">
        <f>IFERROR(VLOOKUP(record[[#This Row],[PCUSTID]],廠商[],2,FALSE),"")</f>
        <v/>
      </c>
      <c r="S1924" t="str">
        <f>VLOOKUP(record[[#This Row],[employeeID]],員工[],2,FALSE)</f>
        <v>裴氏璧鳳</v>
      </c>
    </row>
    <row r="1925" spans="6:19" hidden="1" x14ac:dyDescent="0.25">
      <c r="F1925" t="s">
        <v>1799</v>
      </c>
      <c r="G1925" t="s">
        <v>403</v>
      </c>
      <c r="H1925" t="str">
        <f>VLOOKUP(record[[#This Row],[ProcessSN]],表格2_7[],2,FALSE)</f>
        <v>30-4118-018-550</v>
      </c>
      <c r="I1925" t="str">
        <f>VLOOKUP(record[[#This Row],[ProcessSN]],表格2_7[],3,FALSE)</f>
        <v>#100SHIP</v>
      </c>
      <c r="J1925" t="s">
        <v>600</v>
      </c>
      <c r="K1925" s="195">
        <v>46128.776770833334</v>
      </c>
      <c r="L1925">
        <v>101</v>
      </c>
      <c r="M1925">
        <v>0</v>
      </c>
      <c r="N1925" s="98" t="str">
        <f>IF(record[[#This Row],[Memo]]="Browser:chrome os:android","平板報工",IF(record[[#This Row],[Memo]]=0,"委外",record[[#This Row],[Memo]]))</f>
        <v/>
      </c>
      <c r="O1925" t="s">
        <v>58</v>
      </c>
      <c r="P1925" t="s">
        <v>1073</v>
      </c>
      <c r="Q1925" t="s">
        <v>58</v>
      </c>
      <c r="R1925" t="str">
        <f>IFERROR(VLOOKUP(record[[#This Row],[PCUSTID]],廠商[],2,FALSE),"")</f>
        <v/>
      </c>
      <c r="S1925" t="str">
        <f>VLOOKUP(record[[#This Row],[employeeID]],員工[],2,FALSE)</f>
        <v>武如瓊</v>
      </c>
    </row>
    <row r="1926" spans="6:19" hidden="1" x14ac:dyDescent="0.25">
      <c r="F1926" t="s">
        <v>1694</v>
      </c>
      <c r="G1926" t="s">
        <v>403</v>
      </c>
      <c r="H1926" t="str">
        <f>VLOOKUP(record[[#This Row],[ProcessSN]],表格2_7[],2,FALSE)</f>
        <v>30-4118-018-550</v>
      </c>
      <c r="I1926" t="str">
        <f>VLOOKUP(record[[#This Row],[ProcessSN]],表格2_7[],3,FALSE)</f>
        <v>#100SHIP</v>
      </c>
      <c r="J1926" t="s">
        <v>600</v>
      </c>
      <c r="K1926" s="195">
        <v>46128.776585648149</v>
      </c>
      <c r="L1926">
        <v>2</v>
      </c>
      <c r="M1926">
        <v>0</v>
      </c>
      <c r="N1926" s="98" t="str">
        <f>IF(record[[#This Row],[Memo]]="Browser:chrome os:android","平板報工",IF(record[[#This Row],[Memo]]=0,"委外",record[[#This Row],[Memo]]))</f>
        <v/>
      </c>
      <c r="O1926" t="s">
        <v>58</v>
      </c>
      <c r="P1926" t="s">
        <v>1073</v>
      </c>
      <c r="Q1926" t="s">
        <v>58</v>
      </c>
      <c r="R1926" t="str">
        <f>IFERROR(VLOOKUP(record[[#This Row],[PCUSTID]],廠商[],2,FALSE),"")</f>
        <v/>
      </c>
      <c r="S1926" t="str">
        <f>VLOOKUP(record[[#This Row],[employeeID]],員工[],2,FALSE)</f>
        <v>武如瓊</v>
      </c>
    </row>
    <row r="1927" spans="6:19" hidden="1" x14ac:dyDescent="0.25">
      <c r="F1927" t="s">
        <v>1799</v>
      </c>
      <c r="G1927" t="s">
        <v>402</v>
      </c>
      <c r="H1927" t="str">
        <f>VLOOKUP(record[[#This Row],[ProcessSN]],表格2_7[],2,FALSE)</f>
        <v>30-4118-018-550</v>
      </c>
      <c r="I1927" t="str">
        <f>VLOOKUP(record[[#This Row],[ProcessSN]],表格2_7[],3,FALSE)</f>
        <v>#100STOCK</v>
      </c>
      <c r="J1927" t="s">
        <v>592</v>
      </c>
      <c r="K1927" s="195">
        <v>46128.775682870371</v>
      </c>
      <c r="L1927">
        <v>101</v>
      </c>
      <c r="M1927">
        <v>0</v>
      </c>
      <c r="N1927" s="98" t="str">
        <f>IF(record[[#This Row],[Memo]]="Browser:chrome os:android","平板報工",IF(record[[#This Row],[Memo]]=0,"委外",record[[#This Row],[Memo]]))</f>
        <v/>
      </c>
      <c r="O1927" t="s">
        <v>58</v>
      </c>
      <c r="P1927" t="s">
        <v>1073</v>
      </c>
      <c r="Q1927" t="s">
        <v>58</v>
      </c>
      <c r="R1927" t="str">
        <f>IFERROR(VLOOKUP(record[[#This Row],[PCUSTID]],廠商[],2,FALSE),"")</f>
        <v/>
      </c>
      <c r="S1927" t="str">
        <f>VLOOKUP(record[[#This Row],[employeeID]],員工[],2,FALSE)</f>
        <v>武如瓊</v>
      </c>
    </row>
    <row r="1928" spans="6:19" hidden="1" x14ac:dyDescent="0.25">
      <c r="F1928" t="s">
        <v>1694</v>
      </c>
      <c r="G1928" t="s">
        <v>402</v>
      </c>
      <c r="H1928" t="str">
        <f>VLOOKUP(record[[#This Row],[ProcessSN]],表格2_7[],2,FALSE)</f>
        <v>30-4118-018-550</v>
      </c>
      <c r="I1928" t="str">
        <f>VLOOKUP(record[[#This Row],[ProcessSN]],表格2_7[],3,FALSE)</f>
        <v>#100STOCK</v>
      </c>
      <c r="J1928" t="s">
        <v>592</v>
      </c>
      <c r="K1928" s="195">
        <v>46128.775578703702</v>
      </c>
      <c r="L1928">
        <v>2</v>
      </c>
      <c r="M1928">
        <v>0</v>
      </c>
      <c r="N1928" s="98" t="str">
        <f>IF(record[[#This Row],[Memo]]="Browser:chrome os:android","平板報工",IF(record[[#This Row],[Memo]]=0,"委外",record[[#This Row],[Memo]]))</f>
        <v/>
      </c>
      <c r="O1928" t="s">
        <v>58</v>
      </c>
      <c r="P1928" t="s">
        <v>1073</v>
      </c>
      <c r="Q1928" t="s">
        <v>58</v>
      </c>
      <c r="R1928" t="str">
        <f>IFERROR(VLOOKUP(record[[#This Row],[PCUSTID]],廠商[],2,FALSE),"")</f>
        <v/>
      </c>
      <c r="S1928" t="str">
        <f>VLOOKUP(record[[#This Row],[employeeID]],員工[],2,FALSE)</f>
        <v>武如瓊</v>
      </c>
    </row>
    <row r="1929" spans="6:19" hidden="1" x14ac:dyDescent="0.25">
      <c r="F1929" t="s">
        <v>1686</v>
      </c>
      <c r="G1929" t="s">
        <v>426</v>
      </c>
      <c r="H1929" t="str">
        <f>VLOOKUP(record[[#This Row],[ProcessSN]],表格2_7[],2,FALSE)</f>
        <v>30-4118-018-600</v>
      </c>
      <c r="I1929" t="str">
        <f>VLOOKUP(record[[#This Row],[ProcessSN]],表格2_7[],3,FALSE)</f>
        <v>#100OQC</v>
      </c>
      <c r="J1929" t="s">
        <v>599</v>
      </c>
      <c r="K1929" s="195">
        <v>46128.761018518519</v>
      </c>
      <c r="L1929">
        <v>15</v>
      </c>
      <c r="M1929">
        <v>0</v>
      </c>
      <c r="N1929" s="98" t="str">
        <f>IF(record[[#This Row],[Memo]]="Browser:chrome os:android","平板報工",IF(record[[#This Row],[Memo]]=0,"委外",record[[#This Row],[Memo]]))</f>
        <v/>
      </c>
      <c r="O1929" t="s">
        <v>58</v>
      </c>
      <c r="P1929" t="s">
        <v>121</v>
      </c>
      <c r="Q1929" t="s">
        <v>58</v>
      </c>
      <c r="R1929" t="str">
        <f>IFERROR(VLOOKUP(record[[#This Row],[PCUSTID]],廠商[],2,FALSE),"")</f>
        <v/>
      </c>
      <c r="S1929" t="str">
        <f>VLOOKUP(record[[#This Row],[employeeID]],員工[],2,FALSE)</f>
        <v>謝素卿</v>
      </c>
    </row>
    <row r="1930" spans="6:19" hidden="1" x14ac:dyDescent="0.25">
      <c r="F1930" t="s">
        <v>1761</v>
      </c>
      <c r="G1930" t="s">
        <v>362</v>
      </c>
      <c r="H1930" t="str">
        <f>VLOOKUP(record[[#This Row],[ProcessSN]],表格2_7[],2,FALSE)</f>
        <v>30-4118-018-450</v>
      </c>
      <c r="I1930" t="str">
        <f>VLOOKUP(record[[#This Row],[ProcessSN]],表格2_7[],3,FALSE)</f>
        <v>#100SHIP</v>
      </c>
      <c r="J1930" t="s">
        <v>600</v>
      </c>
      <c r="K1930" s="195">
        <v>46128.759641203702</v>
      </c>
      <c r="L1930">
        <v>71</v>
      </c>
      <c r="M1930">
        <v>0</v>
      </c>
      <c r="N1930" s="98" t="str">
        <f>IF(record[[#This Row],[Memo]]="Browser:chrome os:android","平板報工",IF(record[[#This Row],[Memo]]=0,"委外",record[[#This Row],[Memo]]))</f>
        <v/>
      </c>
      <c r="O1930" t="s">
        <v>58</v>
      </c>
      <c r="P1930" t="s">
        <v>1073</v>
      </c>
      <c r="Q1930" t="s">
        <v>58</v>
      </c>
      <c r="R1930" t="str">
        <f>IFERROR(VLOOKUP(record[[#This Row],[PCUSTID]],廠商[],2,FALSE),"")</f>
        <v/>
      </c>
      <c r="S1930" t="str">
        <f>VLOOKUP(record[[#This Row],[employeeID]],員工[],2,FALSE)</f>
        <v>武如瓊</v>
      </c>
    </row>
    <row r="1931" spans="6:19" hidden="1" x14ac:dyDescent="0.25">
      <c r="F1931" t="s">
        <v>1737</v>
      </c>
      <c r="G1931" t="s">
        <v>362</v>
      </c>
      <c r="H1931" t="str">
        <f>VLOOKUP(record[[#This Row],[ProcessSN]],表格2_7[],2,FALSE)</f>
        <v>30-4118-018-450</v>
      </c>
      <c r="I1931" t="str">
        <f>VLOOKUP(record[[#This Row],[ProcessSN]],表格2_7[],3,FALSE)</f>
        <v>#100SHIP</v>
      </c>
      <c r="J1931" t="s">
        <v>600</v>
      </c>
      <c r="K1931" s="195">
        <v>46128.759467592594</v>
      </c>
      <c r="L1931">
        <v>49</v>
      </c>
      <c r="M1931">
        <v>0</v>
      </c>
      <c r="N1931" s="98" t="str">
        <f>IF(record[[#This Row],[Memo]]="Browser:chrome os:android","平板報工",IF(record[[#This Row],[Memo]]=0,"委外",record[[#This Row],[Memo]]))</f>
        <v/>
      </c>
      <c r="O1931" t="s">
        <v>58</v>
      </c>
      <c r="P1931" t="s">
        <v>1073</v>
      </c>
      <c r="Q1931" t="s">
        <v>58</v>
      </c>
      <c r="R1931" t="str">
        <f>IFERROR(VLOOKUP(record[[#This Row],[PCUSTID]],廠商[],2,FALSE),"")</f>
        <v/>
      </c>
      <c r="S1931" t="str">
        <f>VLOOKUP(record[[#This Row],[employeeID]],員工[],2,FALSE)</f>
        <v>武如瓊</v>
      </c>
    </row>
    <row r="1932" spans="6:19" hidden="1" x14ac:dyDescent="0.25">
      <c r="F1932" t="s">
        <v>1799</v>
      </c>
      <c r="G1932" t="s">
        <v>401</v>
      </c>
      <c r="H1932" t="str">
        <f>VLOOKUP(record[[#This Row],[ProcessSN]],表格2_7[],2,FALSE)</f>
        <v>30-4118-018-550</v>
      </c>
      <c r="I1932" t="str">
        <f>VLOOKUP(record[[#This Row],[ProcessSN]],表格2_7[],3,FALSE)</f>
        <v>#100OQC</v>
      </c>
      <c r="J1932" t="s">
        <v>599</v>
      </c>
      <c r="K1932" s="195">
        <v>46128.749178240738</v>
      </c>
      <c r="L1932">
        <v>101</v>
      </c>
      <c r="M1932">
        <v>0</v>
      </c>
      <c r="N1932" s="98" t="str">
        <f>IF(record[[#This Row],[Memo]]="Browser:chrome os:android","平板報工",IF(record[[#This Row],[Memo]]=0,"委外",record[[#This Row],[Memo]]))</f>
        <v/>
      </c>
      <c r="O1932" t="s">
        <v>58</v>
      </c>
      <c r="P1932" t="s">
        <v>121</v>
      </c>
      <c r="Q1932" t="s">
        <v>58</v>
      </c>
      <c r="R1932" t="str">
        <f>IFERROR(VLOOKUP(record[[#This Row],[PCUSTID]],廠商[],2,FALSE),"")</f>
        <v/>
      </c>
      <c r="S1932" t="str">
        <f>VLOOKUP(record[[#This Row],[employeeID]],員工[],2,FALSE)</f>
        <v>謝素卿</v>
      </c>
    </row>
    <row r="1933" spans="6:19" hidden="1" x14ac:dyDescent="0.25">
      <c r="F1933" t="s">
        <v>1694</v>
      </c>
      <c r="G1933" t="s">
        <v>401</v>
      </c>
      <c r="H1933" t="str">
        <f>VLOOKUP(record[[#This Row],[ProcessSN]],表格2_7[],2,FALSE)</f>
        <v>30-4118-018-550</v>
      </c>
      <c r="I1933" t="str">
        <f>VLOOKUP(record[[#This Row],[ProcessSN]],表格2_7[],3,FALSE)</f>
        <v>#100OQC</v>
      </c>
      <c r="J1933" t="s">
        <v>599</v>
      </c>
      <c r="K1933" s="195">
        <v>46128.748206018521</v>
      </c>
      <c r="L1933">
        <v>2</v>
      </c>
      <c r="M1933">
        <v>0</v>
      </c>
      <c r="N1933" s="98" t="str">
        <f>IF(record[[#This Row],[Memo]]="Browser:chrome os:android","平板報工",IF(record[[#This Row],[Memo]]=0,"委外",record[[#This Row],[Memo]]))</f>
        <v/>
      </c>
      <c r="O1933" t="s">
        <v>58</v>
      </c>
      <c r="P1933" t="s">
        <v>121</v>
      </c>
      <c r="Q1933" t="s">
        <v>58</v>
      </c>
      <c r="R1933" t="str">
        <f>IFERROR(VLOOKUP(record[[#This Row],[PCUSTID]],廠商[],2,FALSE),"")</f>
        <v/>
      </c>
      <c r="S1933" t="str">
        <f>VLOOKUP(record[[#This Row],[employeeID]],員工[],2,FALSE)</f>
        <v>謝素卿</v>
      </c>
    </row>
    <row r="1934" spans="6:19" hidden="1" x14ac:dyDescent="0.25">
      <c r="F1934" t="s">
        <v>1799</v>
      </c>
      <c r="G1934" t="s">
        <v>400</v>
      </c>
      <c r="H1934" t="str">
        <f>VLOOKUP(record[[#This Row],[ProcessSN]],表格2_7[],2,FALSE)</f>
        <v>30-4118-018-550</v>
      </c>
      <c r="I1934" t="str">
        <f>VLOOKUP(record[[#This Row],[ProcessSN]],表格2_7[],3,FALSE)</f>
        <v>#100</v>
      </c>
      <c r="J1934" t="s">
        <v>598</v>
      </c>
      <c r="K1934" s="195">
        <v>46128.68072916667</v>
      </c>
      <c r="L1934">
        <v>0</v>
      </c>
      <c r="M1934">
        <v>34</v>
      </c>
      <c r="N1934" s="98" t="str">
        <f>IF(record[[#This Row],[Memo]]="Browser:chrome os:android","平板報工",IF(record[[#This Row],[Memo]]=0,"委外",record[[#This Row],[Memo]]))</f>
        <v/>
      </c>
      <c r="O1934" t="s">
        <v>58</v>
      </c>
      <c r="P1934" t="s">
        <v>141</v>
      </c>
      <c r="Q1934" t="s">
        <v>58</v>
      </c>
      <c r="R1934" t="str">
        <f>IFERROR(VLOOKUP(record[[#This Row],[PCUSTID]],廠商[],2,FALSE),"")</f>
        <v/>
      </c>
      <c r="S1934" t="str">
        <f>VLOOKUP(record[[#This Row],[employeeID]],員工[],2,FALSE)</f>
        <v>蔣梅</v>
      </c>
    </row>
    <row r="1935" spans="6:19" hidden="1" x14ac:dyDescent="0.25">
      <c r="F1935" t="s">
        <v>1799</v>
      </c>
      <c r="G1935" t="s">
        <v>400</v>
      </c>
      <c r="H1935" t="str">
        <f>VLOOKUP(record[[#This Row],[ProcessSN]],表格2_7[],2,FALSE)</f>
        <v>30-4118-018-550</v>
      </c>
      <c r="I1935" t="str">
        <f>VLOOKUP(record[[#This Row],[ProcessSN]],表格2_7[],3,FALSE)</f>
        <v>#100</v>
      </c>
      <c r="J1935" t="s">
        <v>598</v>
      </c>
      <c r="K1935" s="195">
        <v>46128.680590277778</v>
      </c>
      <c r="L1935">
        <v>101</v>
      </c>
      <c r="M1935">
        <v>0</v>
      </c>
      <c r="N1935" s="98" t="str">
        <f>IF(record[[#This Row],[Memo]]="Browser:chrome os:android","平板報工",IF(record[[#This Row],[Memo]]=0,"委外",record[[#This Row],[Memo]]))</f>
        <v/>
      </c>
      <c r="O1935" t="s">
        <v>58</v>
      </c>
      <c r="P1935" t="s">
        <v>141</v>
      </c>
      <c r="Q1935" t="s">
        <v>58</v>
      </c>
      <c r="R1935" t="str">
        <f>IFERROR(VLOOKUP(record[[#This Row],[PCUSTID]],廠商[],2,FALSE),"")</f>
        <v/>
      </c>
      <c r="S1935" t="str">
        <f>VLOOKUP(record[[#This Row],[employeeID]],員工[],2,FALSE)</f>
        <v>蔣梅</v>
      </c>
    </row>
    <row r="1936" spans="6:19" hidden="1" x14ac:dyDescent="0.25">
      <c r="F1936" t="s">
        <v>1694</v>
      </c>
      <c r="G1936" t="s">
        <v>400</v>
      </c>
      <c r="H1936" t="str">
        <f>VLOOKUP(record[[#This Row],[ProcessSN]],表格2_7[],2,FALSE)</f>
        <v>30-4118-018-550</v>
      </c>
      <c r="I1936" t="str">
        <f>VLOOKUP(record[[#This Row],[ProcessSN]],表格2_7[],3,FALSE)</f>
        <v>#100</v>
      </c>
      <c r="J1936" t="s">
        <v>598</v>
      </c>
      <c r="K1936" s="195">
        <v>46128.680219907408</v>
      </c>
      <c r="L1936">
        <v>2</v>
      </c>
      <c r="M1936">
        <v>0</v>
      </c>
      <c r="N1936" s="98" t="str">
        <f>IF(record[[#This Row],[Memo]]="Browser:chrome os:android","平板報工",IF(record[[#This Row],[Memo]]=0,"委外",record[[#This Row],[Memo]]))</f>
        <v>覆回</v>
      </c>
      <c r="O1936" t="s">
        <v>682</v>
      </c>
      <c r="P1936" t="s">
        <v>141</v>
      </c>
      <c r="Q1936" t="s">
        <v>58</v>
      </c>
      <c r="R1936" t="str">
        <f>IFERROR(VLOOKUP(record[[#This Row],[PCUSTID]],廠商[],2,FALSE),"")</f>
        <v/>
      </c>
      <c r="S1936" t="str">
        <f>VLOOKUP(record[[#This Row],[employeeID]],員工[],2,FALSE)</f>
        <v>蔣梅</v>
      </c>
    </row>
    <row r="1937" spans="6:19" hidden="1" x14ac:dyDescent="0.25">
      <c r="F1937" t="s">
        <v>1812</v>
      </c>
      <c r="G1937" t="s">
        <v>398</v>
      </c>
      <c r="H1937" t="str">
        <f>VLOOKUP(record[[#This Row],[ProcessSN]],表格2_7[],2,FALSE)</f>
        <v>30-4118-018-550</v>
      </c>
      <c r="I1937" t="str">
        <f>VLOOKUP(record[[#This Row],[ProcessSN]],表格2_7[],3,FALSE)</f>
        <v>#08RCV</v>
      </c>
      <c r="J1937" t="s">
        <v>591</v>
      </c>
      <c r="K1937" s="195">
        <v>46128.675115740742</v>
      </c>
      <c r="L1937">
        <v>0</v>
      </c>
      <c r="M1937">
        <v>1</v>
      </c>
      <c r="N1937" s="98" t="str">
        <f>IF(record[[#This Row],[Memo]]="Browser:chrome os:android","平板報工",IF(record[[#This Row],[Memo]]=0,"委外",record[[#This Row],[Memo]]))</f>
        <v/>
      </c>
      <c r="O1937" t="s">
        <v>58</v>
      </c>
      <c r="P1937" t="s">
        <v>186</v>
      </c>
      <c r="Q1937" t="s">
        <v>58</v>
      </c>
      <c r="R1937" t="str">
        <f>IFERROR(VLOOKUP(record[[#This Row],[PCUSTID]],廠商[],2,FALSE),"")</f>
        <v/>
      </c>
      <c r="S1937" t="str">
        <f>VLOOKUP(record[[#This Row],[employeeID]],員工[],2,FALSE)</f>
        <v>許文姍</v>
      </c>
    </row>
    <row r="1938" spans="6:19" hidden="1" x14ac:dyDescent="0.25">
      <c r="F1938" t="s">
        <v>1812</v>
      </c>
      <c r="G1938" t="s">
        <v>398</v>
      </c>
      <c r="H1938" t="str">
        <f>VLOOKUP(record[[#This Row],[ProcessSN]],表格2_7[],2,FALSE)</f>
        <v>30-4118-018-550</v>
      </c>
      <c r="I1938" t="str">
        <f>VLOOKUP(record[[#This Row],[ProcessSN]],表格2_7[],3,FALSE)</f>
        <v>#08RCV</v>
      </c>
      <c r="J1938" t="s">
        <v>591</v>
      </c>
      <c r="K1938" s="195">
        <v>46128.674988425926</v>
      </c>
      <c r="L1938">
        <v>520</v>
      </c>
      <c r="M1938">
        <v>0</v>
      </c>
      <c r="N1938" s="98" t="str">
        <f>IF(record[[#This Row],[Memo]]="Browser:chrome os:android","平板報工",IF(record[[#This Row],[Memo]]=0,"委外",record[[#This Row],[Memo]]))</f>
        <v/>
      </c>
      <c r="O1938" t="s">
        <v>58</v>
      </c>
      <c r="P1938" t="s">
        <v>186</v>
      </c>
      <c r="Q1938" t="s">
        <v>58</v>
      </c>
      <c r="R1938" t="str">
        <f>IFERROR(VLOOKUP(record[[#This Row],[PCUSTID]],廠商[],2,FALSE),"")</f>
        <v/>
      </c>
      <c r="S1938" t="str">
        <f>VLOOKUP(record[[#This Row],[employeeID]],員工[],2,FALSE)</f>
        <v>許文姍</v>
      </c>
    </row>
    <row r="1939" spans="6:19" hidden="1" x14ac:dyDescent="0.25">
      <c r="F1939" t="s">
        <v>1782</v>
      </c>
      <c r="G1939" t="s">
        <v>420</v>
      </c>
      <c r="H1939" t="str">
        <f>VLOOKUP(record[[#This Row],[ProcessSN]],表格2_7[],2,FALSE)</f>
        <v>30-4118-018-5XX</v>
      </c>
      <c r="I1939" t="str">
        <f>VLOOKUP(record[[#This Row],[ProcessSN]],表格2_7[],3,FALSE)</f>
        <v>#07STOCK</v>
      </c>
      <c r="J1939" t="s">
        <v>592</v>
      </c>
      <c r="K1939" s="195">
        <v>46128.668252314812</v>
      </c>
      <c r="L1939">
        <v>504</v>
      </c>
      <c r="M1939">
        <v>0</v>
      </c>
      <c r="N1939" s="98" t="str">
        <f>IF(record[[#This Row],[Memo]]="Browser:chrome os:android","平板報工",IF(record[[#This Row],[Memo]]=0,"委外",record[[#This Row],[Memo]]))</f>
        <v/>
      </c>
      <c r="O1939" t="s">
        <v>58</v>
      </c>
      <c r="P1939" t="s">
        <v>186</v>
      </c>
      <c r="Q1939" t="s">
        <v>58</v>
      </c>
      <c r="R1939" t="str">
        <f>IFERROR(VLOOKUP(record[[#This Row],[PCUSTID]],廠商[],2,FALSE),"")</f>
        <v/>
      </c>
      <c r="S1939" t="str">
        <f>VLOOKUP(record[[#This Row],[employeeID]],員工[],2,FALSE)</f>
        <v>許文姍</v>
      </c>
    </row>
    <row r="1940" spans="6:19" hidden="1" x14ac:dyDescent="0.25">
      <c r="F1940" t="s">
        <v>1803</v>
      </c>
      <c r="G1940" t="s">
        <v>417</v>
      </c>
      <c r="H1940" t="str">
        <f>VLOOKUP(record[[#This Row],[ProcessSN]],表格2_7[],2,FALSE)</f>
        <v>30-4118-018-5XX</v>
      </c>
      <c r="I1940" t="str">
        <f>VLOOKUP(record[[#This Row],[ProcessSN]],表格2_7[],3,FALSE)</f>
        <v>#06</v>
      </c>
      <c r="J1940" t="s">
        <v>593</v>
      </c>
      <c r="K1940" s="195">
        <v>46128.668229166666</v>
      </c>
      <c r="L1940">
        <v>60</v>
      </c>
      <c r="M1940">
        <v>0</v>
      </c>
      <c r="N1940" s="98" t="str">
        <f>IF(record[[#This Row],[Memo]]="Browser:chrome os:android","平板報工",IF(record[[#This Row],[Memo]]=0,"委外",record[[#This Row],[Memo]]))</f>
        <v/>
      </c>
      <c r="O1940" t="s">
        <v>58</v>
      </c>
      <c r="P1940" t="s">
        <v>188</v>
      </c>
      <c r="Q1940" t="s">
        <v>58</v>
      </c>
      <c r="R1940" t="str">
        <f>IFERROR(VLOOKUP(record[[#This Row],[PCUSTID]],廠商[],2,FALSE),"")</f>
        <v/>
      </c>
      <c r="S1940" t="str">
        <f>VLOOKUP(record[[#This Row],[employeeID]],員工[],2,FALSE)</f>
        <v>阮氏璧紅</v>
      </c>
    </row>
    <row r="1941" spans="6:19" hidden="1" x14ac:dyDescent="0.25">
      <c r="F1941" t="s">
        <v>1803</v>
      </c>
      <c r="G1941" t="s">
        <v>417</v>
      </c>
      <c r="H1941" t="str">
        <f>VLOOKUP(record[[#This Row],[ProcessSN]],表格2_7[],2,FALSE)</f>
        <v>30-4118-018-5XX</v>
      </c>
      <c r="I1941" t="str">
        <f>VLOOKUP(record[[#This Row],[ProcessSN]],表格2_7[],3,FALSE)</f>
        <v>#06</v>
      </c>
      <c r="J1941" t="s">
        <v>593</v>
      </c>
      <c r="K1941" s="195">
        <v>46128.661319444444</v>
      </c>
      <c r="L1941">
        <v>113</v>
      </c>
      <c r="M1941">
        <v>0</v>
      </c>
      <c r="N1941" s="98" t="str">
        <f>IF(record[[#This Row],[Memo]]="Browser:chrome os:android","平板報工",IF(record[[#This Row],[Memo]]=0,"委外",record[[#This Row],[Memo]]))</f>
        <v>平板報工</v>
      </c>
      <c r="O1941" t="s">
        <v>643</v>
      </c>
      <c r="P1941" t="s">
        <v>137</v>
      </c>
      <c r="Q1941" t="s">
        <v>644</v>
      </c>
      <c r="R1941" t="str">
        <f>IFERROR(VLOOKUP(record[[#This Row],[PCUSTID]],廠商[],2,FALSE),"")</f>
        <v/>
      </c>
      <c r="S1941" t="str">
        <f>VLOOKUP(record[[#This Row],[employeeID]],員工[],2,FALSE)</f>
        <v>鄭美華</v>
      </c>
    </row>
    <row r="1942" spans="6:19" hidden="1" x14ac:dyDescent="0.25">
      <c r="F1942" t="s">
        <v>1803</v>
      </c>
      <c r="G1942" t="s">
        <v>418</v>
      </c>
      <c r="H1942" t="str">
        <f>VLOOKUP(record[[#This Row],[ProcessSN]],表格2_7[],2,FALSE)</f>
        <v>30-4118-018-5XX</v>
      </c>
      <c r="I1942" t="str">
        <f>VLOOKUP(record[[#This Row],[ProcessSN]],表格2_7[],3,FALSE)</f>
        <v>#07</v>
      </c>
      <c r="J1942" t="s">
        <v>588</v>
      </c>
      <c r="K1942" s="195">
        <v>46128.659247685187</v>
      </c>
      <c r="L1942">
        <v>36</v>
      </c>
      <c r="M1942">
        <v>0</v>
      </c>
      <c r="N1942" s="98" t="str">
        <f>IF(record[[#This Row],[Memo]]="Browser:chrome os:android","平板報工",IF(record[[#This Row],[Memo]]=0,"委外",record[[#This Row],[Memo]]))</f>
        <v>平板報工</v>
      </c>
      <c r="O1942" t="s">
        <v>643</v>
      </c>
      <c r="P1942" t="s">
        <v>145</v>
      </c>
      <c r="Q1942" t="s">
        <v>644</v>
      </c>
      <c r="R1942" t="str">
        <f>IFERROR(VLOOKUP(record[[#This Row],[PCUSTID]],廠商[],2,FALSE),"")</f>
        <v/>
      </c>
      <c r="S1942" t="str">
        <f>VLOOKUP(record[[#This Row],[employeeID]],員工[],2,FALSE)</f>
        <v>阮秋霞</v>
      </c>
    </row>
    <row r="1943" spans="6:19" hidden="1" x14ac:dyDescent="0.25">
      <c r="F1943" t="s">
        <v>1686</v>
      </c>
      <c r="G1943" t="s">
        <v>425</v>
      </c>
      <c r="H1943" t="str">
        <f>VLOOKUP(record[[#This Row],[ProcessSN]],表格2_7[],2,FALSE)</f>
        <v>30-4118-018-600</v>
      </c>
      <c r="I1943" t="str">
        <f>VLOOKUP(record[[#This Row],[ProcessSN]],表格2_7[],3,FALSE)</f>
        <v>#100</v>
      </c>
      <c r="J1943" t="s">
        <v>598</v>
      </c>
      <c r="K1943" s="195">
        <v>46128.656261574077</v>
      </c>
      <c r="L1943">
        <v>0</v>
      </c>
      <c r="M1943">
        <v>139</v>
      </c>
      <c r="N1943" s="98" t="str">
        <f>IF(record[[#This Row],[Memo]]="Browser:chrome os:android","平板報工",IF(record[[#This Row],[Memo]]=0,"委外",record[[#This Row],[Memo]]))</f>
        <v/>
      </c>
      <c r="O1943" t="s">
        <v>58</v>
      </c>
      <c r="P1943" t="s">
        <v>99</v>
      </c>
      <c r="Q1943" t="s">
        <v>58</v>
      </c>
      <c r="R1943" t="str">
        <f>IFERROR(VLOOKUP(record[[#This Row],[PCUSTID]],廠商[],2,FALSE),"")</f>
        <v/>
      </c>
      <c r="S1943" t="str">
        <f>VLOOKUP(record[[#This Row],[employeeID]],員工[],2,FALSE)</f>
        <v>阮氏河</v>
      </c>
    </row>
    <row r="1944" spans="6:19" hidden="1" x14ac:dyDescent="0.25">
      <c r="F1944" t="s">
        <v>1686</v>
      </c>
      <c r="G1944" t="s">
        <v>425</v>
      </c>
      <c r="H1944" t="str">
        <f>VLOOKUP(record[[#This Row],[ProcessSN]],表格2_7[],2,FALSE)</f>
        <v>30-4118-018-600</v>
      </c>
      <c r="I1944" t="str">
        <f>VLOOKUP(record[[#This Row],[ProcessSN]],表格2_7[],3,FALSE)</f>
        <v>#100</v>
      </c>
      <c r="J1944" t="s">
        <v>598</v>
      </c>
      <c r="K1944" s="195">
        <v>46128.656122685185</v>
      </c>
      <c r="L1944">
        <v>15</v>
      </c>
      <c r="M1944">
        <v>0</v>
      </c>
      <c r="N1944" s="98" t="str">
        <f>IF(record[[#This Row],[Memo]]="Browser:chrome os:android","平板報工",IF(record[[#This Row],[Memo]]=0,"委外",record[[#This Row],[Memo]]))</f>
        <v/>
      </c>
      <c r="O1944" t="s">
        <v>58</v>
      </c>
      <c r="P1944" t="s">
        <v>99</v>
      </c>
      <c r="Q1944" t="s">
        <v>58</v>
      </c>
      <c r="R1944" t="str">
        <f>IFERROR(VLOOKUP(record[[#This Row],[PCUSTID]],廠商[],2,FALSE),"")</f>
        <v/>
      </c>
      <c r="S1944" t="str">
        <f>VLOOKUP(record[[#This Row],[employeeID]],員工[],2,FALSE)</f>
        <v>阮氏河</v>
      </c>
    </row>
    <row r="1945" spans="6:19" hidden="1" x14ac:dyDescent="0.25">
      <c r="F1945" t="s">
        <v>1787</v>
      </c>
      <c r="G1945" t="s">
        <v>466</v>
      </c>
      <c r="H1945" t="str">
        <f>VLOOKUP(record[[#This Row],[ProcessSN]],表格2_7[],2,FALSE)</f>
        <v>30-4118-018-XXX</v>
      </c>
      <c r="I1945" t="str">
        <f>VLOOKUP(record[[#This Row],[ProcessSN]],表格2_7[],3,FALSE)</f>
        <v>#01-2</v>
      </c>
      <c r="J1945" t="s">
        <v>588</v>
      </c>
      <c r="K1945" s="195">
        <v>46128.654722222222</v>
      </c>
      <c r="L1945">
        <v>72</v>
      </c>
      <c r="M1945">
        <v>0</v>
      </c>
      <c r="N1945" s="98" t="str">
        <f>IF(record[[#This Row],[Memo]]="Browser:chrome os:android","平板報工",IF(record[[#This Row],[Memo]]=0,"委外",record[[#This Row],[Memo]]))</f>
        <v>平板報工</v>
      </c>
      <c r="O1945" t="s">
        <v>643</v>
      </c>
      <c r="P1945" t="s">
        <v>785</v>
      </c>
      <c r="Q1945" t="s">
        <v>644</v>
      </c>
      <c r="R1945" t="str">
        <f>IFERROR(VLOOKUP(record[[#This Row],[PCUSTID]],廠商[],2,FALSE),"")</f>
        <v/>
      </c>
      <c r="S1945" t="str">
        <f>VLOOKUP(record[[#This Row],[employeeID]],員工[],2,FALSE)</f>
        <v>謝刻光</v>
      </c>
    </row>
    <row r="1946" spans="6:19" hidden="1" x14ac:dyDescent="0.25">
      <c r="F1946" t="s">
        <v>1803</v>
      </c>
      <c r="G1946" t="s">
        <v>416</v>
      </c>
      <c r="H1946" t="str">
        <f>VLOOKUP(record[[#This Row],[ProcessSN]],表格2_7[],2,FALSE)</f>
        <v>30-4118-018-5XX</v>
      </c>
      <c r="I1946" t="str">
        <f>VLOOKUP(record[[#This Row],[ProcessSN]],表格2_7[],3,FALSE)</f>
        <v>#05</v>
      </c>
      <c r="J1946" t="s">
        <v>588</v>
      </c>
      <c r="K1946" s="195">
        <v>46128.654398148145</v>
      </c>
      <c r="L1946">
        <v>230</v>
      </c>
      <c r="M1946">
        <v>0</v>
      </c>
      <c r="N1946" s="98" t="str">
        <f>IF(record[[#This Row],[Memo]]="Browser:chrome os:android","平板報工",IF(record[[#This Row],[Memo]]=0,"委外",record[[#This Row],[Memo]]))</f>
        <v>平板報工</v>
      </c>
      <c r="O1946" t="s">
        <v>643</v>
      </c>
      <c r="P1946" t="s">
        <v>785</v>
      </c>
      <c r="Q1946" t="s">
        <v>644</v>
      </c>
      <c r="R1946" t="str">
        <f>IFERROR(VLOOKUP(record[[#This Row],[PCUSTID]],廠商[],2,FALSE),"")</f>
        <v/>
      </c>
      <c r="S1946" t="str">
        <f>VLOOKUP(record[[#This Row],[employeeID]],員工[],2,FALSE)</f>
        <v>謝刻光</v>
      </c>
    </row>
    <row r="1947" spans="6:19" hidden="1" x14ac:dyDescent="0.25">
      <c r="F1947" t="s">
        <v>1787</v>
      </c>
      <c r="G1947" t="s">
        <v>466</v>
      </c>
      <c r="H1947" t="str">
        <f>VLOOKUP(record[[#This Row],[ProcessSN]],表格2_7[],2,FALSE)</f>
        <v>30-4118-018-XXX</v>
      </c>
      <c r="I1947" t="str">
        <f>VLOOKUP(record[[#This Row],[ProcessSN]],表格2_7[],3,FALSE)</f>
        <v>#01-2</v>
      </c>
      <c r="J1947" t="s">
        <v>588</v>
      </c>
      <c r="K1947" s="195">
        <v>46128.651574074072</v>
      </c>
      <c r="L1947">
        <v>100</v>
      </c>
      <c r="M1947">
        <v>0</v>
      </c>
      <c r="N1947" s="98" t="str">
        <f>IF(record[[#This Row],[Memo]]="Browser:chrome os:android","平板報工",IF(record[[#This Row],[Memo]]=0,"委外",record[[#This Row],[Memo]]))</f>
        <v>平板報工</v>
      </c>
      <c r="O1947" t="s">
        <v>643</v>
      </c>
      <c r="P1947" t="s">
        <v>107</v>
      </c>
      <c r="Q1947" t="s">
        <v>644</v>
      </c>
      <c r="R1947" t="str">
        <f>IFERROR(VLOOKUP(record[[#This Row],[PCUSTID]],廠商[],2,FALSE),"")</f>
        <v/>
      </c>
      <c r="S1947" t="str">
        <f>VLOOKUP(record[[#This Row],[employeeID]],員工[],2,FALSE)</f>
        <v>黎氏順</v>
      </c>
    </row>
    <row r="1948" spans="6:19" hidden="1" x14ac:dyDescent="0.25">
      <c r="F1948" t="s">
        <v>1803</v>
      </c>
      <c r="G1948" t="s">
        <v>415</v>
      </c>
      <c r="H1948" t="str">
        <f>VLOOKUP(record[[#This Row],[ProcessSN]],表格2_7[],2,FALSE)</f>
        <v>30-4118-018-5XX</v>
      </c>
      <c r="I1948" t="str">
        <f>VLOOKUP(record[[#This Row],[ProcessSN]],表格2_7[],3,FALSE)</f>
        <v>#04</v>
      </c>
      <c r="J1948" t="s">
        <v>588</v>
      </c>
      <c r="K1948" s="195">
        <v>46128.65084490741</v>
      </c>
      <c r="L1948">
        <v>111</v>
      </c>
      <c r="M1948">
        <v>0</v>
      </c>
      <c r="N1948" s="98" t="str">
        <f>IF(record[[#This Row],[Memo]]="Browser:chrome os:android","平板報工",IF(record[[#This Row],[Memo]]=0,"委外",record[[#This Row],[Memo]]))</f>
        <v>平板報工</v>
      </c>
      <c r="O1948" t="s">
        <v>643</v>
      </c>
      <c r="P1948" t="s">
        <v>107</v>
      </c>
      <c r="Q1948" t="s">
        <v>644</v>
      </c>
      <c r="R1948" t="str">
        <f>IFERROR(VLOOKUP(record[[#This Row],[PCUSTID]],廠商[],2,FALSE),"")</f>
        <v/>
      </c>
      <c r="S1948" t="str">
        <f>VLOOKUP(record[[#This Row],[employeeID]],員工[],2,FALSE)</f>
        <v>黎氏順</v>
      </c>
    </row>
    <row r="1949" spans="6:19" hidden="1" x14ac:dyDescent="0.25">
      <c r="F1949" t="s">
        <v>1803</v>
      </c>
      <c r="G1949" t="s">
        <v>415</v>
      </c>
      <c r="H1949" t="str">
        <f>VLOOKUP(record[[#This Row],[ProcessSN]],表格2_7[],2,FALSE)</f>
        <v>30-4118-018-5XX</v>
      </c>
      <c r="I1949" t="str">
        <f>VLOOKUP(record[[#This Row],[ProcessSN]],表格2_7[],3,FALSE)</f>
        <v>#04</v>
      </c>
      <c r="J1949" t="s">
        <v>588</v>
      </c>
      <c r="K1949" s="195">
        <v>46128.650231481479</v>
      </c>
      <c r="L1949">
        <v>104</v>
      </c>
      <c r="M1949">
        <v>0</v>
      </c>
      <c r="N1949" s="98" t="str">
        <f>IF(record[[#This Row],[Memo]]="Browser:chrome os:android","平板報工",IF(record[[#This Row],[Memo]]=0,"委外",record[[#This Row],[Memo]]))</f>
        <v>平板報工</v>
      </c>
      <c r="O1949" t="s">
        <v>643</v>
      </c>
      <c r="P1949" t="s">
        <v>107</v>
      </c>
      <c r="Q1949" t="s">
        <v>644</v>
      </c>
      <c r="R1949" t="str">
        <f>IFERROR(VLOOKUP(record[[#This Row],[PCUSTID]],廠商[],2,FALSE),"")</f>
        <v/>
      </c>
      <c r="S1949" t="str">
        <f>VLOOKUP(record[[#This Row],[employeeID]],員工[],2,FALSE)</f>
        <v>黎氏順</v>
      </c>
    </row>
    <row r="1950" spans="6:19" hidden="1" x14ac:dyDescent="0.25">
      <c r="F1950" t="s">
        <v>1803</v>
      </c>
      <c r="G1950" t="s">
        <v>414</v>
      </c>
      <c r="H1950" t="str">
        <f>VLOOKUP(record[[#This Row],[ProcessSN]],表格2_7[],2,FALSE)</f>
        <v>30-4118-018-5XX</v>
      </c>
      <c r="I1950" t="str">
        <f>VLOOKUP(record[[#This Row],[ProcessSN]],表格2_7[],3,FALSE)</f>
        <v>#03</v>
      </c>
      <c r="J1950" t="s">
        <v>588</v>
      </c>
      <c r="K1950" s="195">
        <v>46128.648692129631</v>
      </c>
      <c r="L1950">
        <v>719</v>
      </c>
      <c r="M1950">
        <v>1</v>
      </c>
      <c r="N1950" s="98" t="str">
        <f>IF(record[[#This Row],[Memo]]="Browser:chrome os:android","平板報工",IF(record[[#This Row],[Memo]]=0,"委外",record[[#This Row],[Memo]]))</f>
        <v>平板報工</v>
      </c>
      <c r="O1950" t="s">
        <v>643</v>
      </c>
      <c r="P1950" t="s">
        <v>107</v>
      </c>
      <c r="Q1950" t="s">
        <v>644</v>
      </c>
      <c r="R1950" t="str">
        <f>IFERROR(VLOOKUP(record[[#This Row],[PCUSTID]],廠商[],2,FALSE),"")</f>
        <v/>
      </c>
      <c r="S1950" t="str">
        <f>VLOOKUP(record[[#This Row],[employeeID]],員工[],2,FALSE)</f>
        <v>黎氏順</v>
      </c>
    </row>
    <row r="1951" spans="6:19" hidden="1" x14ac:dyDescent="0.25">
      <c r="F1951" t="s">
        <v>1818</v>
      </c>
      <c r="G1951" t="s">
        <v>462</v>
      </c>
      <c r="H1951" t="str">
        <f>VLOOKUP(record[[#This Row],[ProcessSN]],表格2_7[],2,FALSE)</f>
        <v>30-4118-018-XXX</v>
      </c>
      <c r="I1951" t="str">
        <f>VLOOKUP(record[[#This Row],[ProcessSN]],表格2_7[],3,FALSE)</f>
        <v>#00PICK</v>
      </c>
      <c r="J1951" t="s">
        <v>582</v>
      </c>
      <c r="K1951" s="195">
        <v>46128.642962962964</v>
      </c>
      <c r="L1951">
        <v>5000</v>
      </c>
      <c r="M1951">
        <v>0</v>
      </c>
      <c r="N1951" s="98" t="str">
        <f>IF(record[[#This Row],[Memo]]="Browser:chrome os:android","平板報工",IF(record[[#This Row],[Memo]]=0,"委外",record[[#This Row],[Memo]]))</f>
        <v/>
      </c>
      <c r="O1951" t="s">
        <v>58</v>
      </c>
      <c r="P1951" t="s">
        <v>186</v>
      </c>
      <c r="Q1951" t="s">
        <v>58</v>
      </c>
      <c r="R1951" t="str">
        <f>IFERROR(VLOOKUP(record[[#This Row],[PCUSTID]],廠商[],2,FALSE),"")</f>
        <v/>
      </c>
      <c r="S1951" t="str">
        <f>VLOOKUP(record[[#This Row],[employeeID]],員工[],2,FALSE)</f>
        <v>許文姍</v>
      </c>
    </row>
    <row r="1952" spans="6:19" hidden="1" x14ac:dyDescent="0.25">
      <c r="F1952" t="s">
        <v>1569</v>
      </c>
      <c r="G1952" t="s">
        <v>451</v>
      </c>
      <c r="H1952" t="str">
        <f>VLOOKUP(record[[#This Row],[ProcessSN]],表格2_7[],2,FALSE)</f>
        <v>30-4118-018-6XX</v>
      </c>
      <c r="I1952" t="str">
        <f>VLOOKUP(record[[#This Row],[ProcessSN]],表格2_7[],3,FALSE)</f>
        <v>#07</v>
      </c>
      <c r="J1952" t="s">
        <v>588</v>
      </c>
      <c r="K1952" s="195">
        <v>46128.642268518517</v>
      </c>
      <c r="L1952">
        <v>94</v>
      </c>
      <c r="M1952">
        <v>0</v>
      </c>
      <c r="N1952" s="98" t="str">
        <f>IF(record[[#This Row],[Memo]]="Browser:chrome os:android","平板報工",IF(record[[#This Row],[Memo]]=0,"委外",record[[#This Row],[Memo]]))</f>
        <v>4/16覆回*94PCS</v>
      </c>
      <c r="O1952" t="s">
        <v>1819</v>
      </c>
      <c r="P1952" t="s">
        <v>1075</v>
      </c>
      <c r="Q1952" t="s">
        <v>58</v>
      </c>
      <c r="R1952" t="str">
        <f>IFERROR(VLOOKUP(record[[#This Row],[PCUSTID]],廠商[],2,FALSE),"")</f>
        <v/>
      </c>
      <c r="S1952" t="str">
        <f>VLOOKUP(record[[#This Row],[employeeID]],員工[],2,FALSE)</f>
        <v>吳宥叡</v>
      </c>
    </row>
    <row r="1953" spans="6:19" hidden="1" x14ac:dyDescent="0.25">
      <c r="F1953" t="s">
        <v>1569</v>
      </c>
      <c r="G1953" t="s">
        <v>450</v>
      </c>
      <c r="H1953" t="str">
        <f>VLOOKUP(record[[#This Row],[ProcessSN]],表格2_7[],2,FALSE)</f>
        <v>30-4118-018-6XX</v>
      </c>
      <c r="I1953" t="str">
        <f>VLOOKUP(record[[#This Row],[ProcessSN]],表格2_7[],3,FALSE)</f>
        <v>#06</v>
      </c>
      <c r="J1953" t="s">
        <v>593</v>
      </c>
      <c r="K1953" s="195">
        <v>46128.642071759263</v>
      </c>
      <c r="L1953">
        <v>94</v>
      </c>
      <c r="M1953">
        <v>0</v>
      </c>
      <c r="N1953" s="98" t="str">
        <f>IF(record[[#This Row],[Memo]]="Browser:chrome os:android","平板報工",IF(record[[#This Row],[Memo]]=0,"委外",record[[#This Row],[Memo]]))</f>
        <v>4/16覆回*94PCS</v>
      </c>
      <c r="O1953" t="s">
        <v>1819</v>
      </c>
      <c r="P1953" t="s">
        <v>1075</v>
      </c>
      <c r="Q1953" t="s">
        <v>58</v>
      </c>
      <c r="R1953" t="str">
        <f>IFERROR(VLOOKUP(record[[#This Row],[PCUSTID]],廠商[],2,FALSE),"")</f>
        <v/>
      </c>
      <c r="S1953" t="str">
        <f>VLOOKUP(record[[#This Row],[employeeID]],員工[],2,FALSE)</f>
        <v>吳宥叡</v>
      </c>
    </row>
    <row r="1954" spans="6:19" hidden="1" x14ac:dyDescent="0.25">
      <c r="F1954" t="s">
        <v>1569</v>
      </c>
      <c r="G1954" t="s">
        <v>449</v>
      </c>
      <c r="H1954" t="str">
        <f>VLOOKUP(record[[#This Row],[ProcessSN]],表格2_7[],2,FALSE)</f>
        <v>30-4118-018-6XX</v>
      </c>
      <c r="I1954" t="str">
        <f>VLOOKUP(record[[#This Row],[ProcessSN]],表格2_7[],3,FALSE)</f>
        <v>#05</v>
      </c>
      <c r="J1954" t="s">
        <v>588</v>
      </c>
      <c r="K1954" s="195">
        <v>46128.641921296294</v>
      </c>
      <c r="L1954">
        <v>94</v>
      </c>
      <c r="M1954">
        <v>0</v>
      </c>
      <c r="N1954" s="98" t="str">
        <f>IF(record[[#This Row],[Memo]]="Browser:chrome os:android","平板報工",IF(record[[#This Row],[Memo]]=0,"委外",record[[#This Row],[Memo]]))</f>
        <v>4/16覆回*94PCS</v>
      </c>
      <c r="O1954" t="s">
        <v>1819</v>
      </c>
      <c r="P1954" t="s">
        <v>1075</v>
      </c>
      <c r="Q1954" t="s">
        <v>58</v>
      </c>
      <c r="R1954" t="str">
        <f>IFERROR(VLOOKUP(record[[#This Row],[PCUSTID]],廠商[],2,FALSE),"")</f>
        <v/>
      </c>
      <c r="S1954" t="str">
        <f>VLOOKUP(record[[#This Row],[employeeID]],員工[],2,FALSE)</f>
        <v>吳宥叡</v>
      </c>
    </row>
    <row r="1955" spans="6:19" hidden="1" x14ac:dyDescent="0.25">
      <c r="F1955" t="s">
        <v>1569</v>
      </c>
      <c r="G1955" t="s">
        <v>448</v>
      </c>
      <c r="H1955" t="str">
        <f>VLOOKUP(record[[#This Row],[ProcessSN]],表格2_7[],2,FALSE)</f>
        <v>30-4118-018-6XX</v>
      </c>
      <c r="I1955" t="str">
        <f>VLOOKUP(record[[#This Row],[ProcessSN]],表格2_7[],3,FALSE)</f>
        <v>#04</v>
      </c>
      <c r="J1955" t="s">
        <v>588</v>
      </c>
      <c r="K1955" s="195">
        <v>46128.64167824074</v>
      </c>
      <c r="L1955">
        <v>94</v>
      </c>
      <c r="M1955">
        <v>0</v>
      </c>
      <c r="N1955" s="98" t="str">
        <f>IF(record[[#This Row],[Memo]]="Browser:chrome os:android","平板報工",IF(record[[#This Row],[Memo]]=0,"委外",record[[#This Row],[Memo]]))</f>
        <v>4/16覆回*94PCS</v>
      </c>
      <c r="O1955" t="s">
        <v>1819</v>
      </c>
      <c r="P1955" t="s">
        <v>1075</v>
      </c>
      <c r="Q1955" t="s">
        <v>58</v>
      </c>
      <c r="R1955" t="str">
        <f>IFERROR(VLOOKUP(record[[#This Row],[PCUSTID]],廠商[],2,FALSE),"")</f>
        <v/>
      </c>
      <c r="S1955" t="str">
        <f>VLOOKUP(record[[#This Row],[employeeID]],員工[],2,FALSE)</f>
        <v>吳宥叡</v>
      </c>
    </row>
    <row r="1956" spans="6:19" hidden="1" x14ac:dyDescent="0.25">
      <c r="F1956" t="s">
        <v>1569</v>
      </c>
      <c r="G1956" t="s">
        <v>447</v>
      </c>
      <c r="H1956" t="str">
        <f>VLOOKUP(record[[#This Row],[ProcessSN]],表格2_7[],2,FALSE)</f>
        <v>30-4118-018-6XX</v>
      </c>
      <c r="I1956" t="str">
        <f>VLOOKUP(record[[#This Row],[ProcessSN]],表格2_7[],3,FALSE)</f>
        <v>#03</v>
      </c>
      <c r="J1956" t="s">
        <v>588</v>
      </c>
      <c r="K1956" s="195">
        <v>46128.641435185185</v>
      </c>
      <c r="L1956">
        <v>742</v>
      </c>
      <c r="M1956">
        <v>0</v>
      </c>
      <c r="N1956" s="98" t="str">
        <f>IF(record[[#This Row],[Memo]]="Browser:chrome os:android","平板報工",IF(record[[#This Row],[Memo]]=0,"委外",record[[#This Row],[Memo]]))</f>
        <v>4/16覆回*94PCS</v>
      </c>
      <c r="O1956" t="s">
        <v>1819</v>
      </c>
      <c r="P1956" t="s">
        <v>1075</v>
      </c>
      <c r="Q1956" t="s">
        <v>58</v>
      </c>
      <c r="R1956" t="str">
        <f>IFERROR(VLOOKUP(record[[#This Row],[PCUSTID]],廠商[],2,FALSE),"")</f>
        <v/>
      </c>
      <c r="S1956" t="str">
        <f>VLOOKUP(record[[#This Row],[employeeID]],員工[],2,FALSE)</f>
        <v>吳宥叡</v>
      </c>
    </row>
    <row r="1957" spans="6:19" hidden="1" x14ac:dyDescent="0.25">
      <c r="F1957" t="s">
        <v>1782</v>
      </c>
      <c r="G1957" t="s">
        <v>419</v>
      </c>
      <c r="H1957" t="str">
        <f>VLOOKUP(record[[#This Row],[ProcessSN]],表格2_7[],2,FALSE)</f>
        <v>30-4118-018-5XX</v>
      </c>
      <c r="I1957" t="str">
        <f>VLOOKUP(record[[#This Row],[ProcessSN]],表格2_7[],3,FALSE)</f>
        <v>#07QC</v>
      </c>
      <c r="J1957" t="s">
        <v>589</v>
      </c>
      <c r="K1957" s="195">
        <v>46128.617025462961</v>
      </c>
      <c r="L1957">
        <v>504</v>
      </c>
      <c r="M1957">
        <v>0</v>
      </c>
      <c r="N1957" s="98" t="str">
        <f>IF(record[[#This Row],[Memo]]="Browser:chrome os:android","平板報工",IF(record[[#This Row],[Memo]]=0,"委外",record[[#This Row],[Memo]]))</f>
        <v/>
      </c>
      <c r="O1957" t="s">
        <v>58</v>
      </c>
      <c r="P1957" t="s">
        <v>141</v>
      </c>
      <c r="Q1957" t="s">
        <v>58</v>
      </c>
      <c r="R1957" t="str">
        <f>IFERROR(VLOOKUP(record[[#This Row],[PCUSTID]],廠商[],2,FALSE),"")</f>
        <v/>
      </c>
      <c r="S1957" t="str">
        <f>VLOOKUP(record[[#This Row],[employeeID]],員工[],2,FALSE)</f>
        <v>蔣梅</v>
      </c>
    </row>
    <row r="1958" spans="6:19" hidden="1" x14ac:dyDescent="0.25">
      <c r="F1958" t="s">
        <v>1782</v>
      </c>
      <c r="G1958" t="s">
        <v>418</v>
      </c>
      <c r="H1958" t="str">
        <f>VLOOKUP(record[[#This Row],[ProcessSN]],表格2_7[],2,FALSE)</f>
        <v>30-4118-018-5XX</v>
      </c>
      <c r="I1958" t="str">
        <f>VLOOKUP(record[[#This Row],[ProcessSN]],表格2_7[],3,FALSE)</f>
        <v>#07</v>
      </c>
      <c r="J1958" t="s">
        <v>588</v>
      </c>
      <c r="K1958" s="195">
        <v>46128.61513888889</v>
      </c>
      <c r="L1958">
        <v>79</v>
      </c>
      <c r="M1958">
        <v>0</v>
      </c>
      <c r="N1958" s="98" t="str">
        <f>IF(record[[#This Row],[Memo]]="Browser:chrome os:android","平板報工",IF(record[[#This Row],[Memo]]=0,"委外",record[[#This Row],[Memo]]))</f>
        <v/>
      </c>
      <c r="O1958" t="s">
        <v>58</v>
      </c>
      <c r="P1958" t="s">
        <v>1075</v>
      </c>
      <c r="Q1958" t="s">
        <v>58</v>
      </c>
      <c r="R1958" t="str">
        <f>IFERROR(VLOOKUP(record[[#This Row],[PCUSTID]],廠商[],2,FALSE),"")</f>
        <v/>
      </c>
      <c r="S1958" t="str">
        <f>VLOOKUP(record[[#This Row],[employeeID]],員工[],2,FALSE)</f>
        <v>吳宥叡</v>
      </c>
    </row>
    <row r="1959" spans="6:19" hidden="1" x14ac:dyDescent="0.25">
      <c r="F1959" t="s">
        <v>1782</v>
      </c>
      <c r="G1959" t="s">
        <v>417</v>
      </c>
      <c r="H1959" t="str">
        <f>VLOOKUP(record[[#This Row],[ProcessSN]],表格2_7[],2,FALSE)</f>
        <v>30-4118-018-5XX</v>
      </c>
      <c r="I1959" t="str">
        <f>VLOOKUP(record[[#This Row],[ProcessSN]],表格2_7[],3,FALSE)</f>
        <v>#06</v>
      </c>
      <c r="J1959" t="s">
        <v>593</v>
      </c>
      <c r="K1959" s="195">
        <v>46128.614340277774</v>
      </c>
      <c r="L1959">
        <v>21</v>
      </c>
      <c r="M1959">
        <v>0</v>
      </c>
      <c r="N1959" s="98" t="str">
        <f>IF(record[[#This Row],[Memo]]="Browser:chrome os:android","平板報工",IF(record[[#This Row],[Memo]]=0,"委外",record[[#This Row],[Memo]]))</f>
        <v/>
      </c>
      <c r="O1959" t="s">
        <v>58</v>
      </c>
      <c r="P1959" t="s">
        <v>1075</v>
      </c>
      <c r="Q1959" t="s">
        <v>58</v>
      </c>
      <c r="R1959" t="str">
        <f>IFERROR(VLOOKUP(record[[#This Row],[PCUSTID]],廠商[],2,FALSE),"")</f>
        <v/>
      </c>
      <c r="S1959" t="str">
        <f>VLOOKUP(record[[#This Row],[employeeID]],員工[],2,FALSE)</f>
        <v>吳宥叡</v>
      </c>
    </row>
    <row r="1960" spans="6:19" hidden="1" x14ac:dyDescent="0.25">
      <c r="F1960" t="s">
        <v>1782</v>
      </c>
      <c r="G1960" t="s">
        <v>416</v>
      </c>
      <c r="H1960" t="str">
        <f>VLOOKUP(record[[#This Row],[ProcessSN]],表格2_7[],2,FALSE)</f>
        <v>30-4118-018-5XX</v>
      </c>
      <c r="I1960" t="str">
        <f>VLOOKUP(record[[#This Row],[ProcessSN]],表格2_7[],3,FALSE)</f>
        <v>#05</v>
      </c>
      <c r="J1960" t="s">
        <v>588</v>
      </c>
      <c r="K1960" s="195">
        <v>46128.61414351852</v>
      </c>
      <c r="L1960">
        <v>2</v>
      </c>
      <c r="M1960">
        <v>0</v>
      </c>
      <c r="N1960" s="98" t="str">
        <f>IF(record[[#This Row],[Memo]]="Browser:chrome os:android","平板報工",IF(record[[#This Row],[Memo]]=0,"委外",record[[#This Row],[Memo]]))</f>
        <v/>
      </c>
      <c r="O1960" t="s">
        <v>58</v>
      </c>
      <c r="P1960" t="s">
        <v>1075</v>
      </c>
      <c r="Q1960" t="s">
        <v>58</v>
      </c>
      <c r="R1960" t="str">
        <f>IFERROR(VLOOKUP(record[[#This Row],[PCUSTID]],廠商[],2,FALSE),"")</f>
        <v/>
      </c>
      <c r="S1960" t="str">
        <f>VLOOKUP(record[[#This Row],[employeeID]],員工[],2,FALSE)</f>
        <v>吳宥叡</v>
      </c>
    </row>
    <row r="1961" spans="6:19" hidden="1" x14ac:dyDescent="0.25">
      <c r="F1961" t="s">
        <v>1782</v>
      </c>
      <c r="G1961" t="s">
        <v>415</v>
      </c>
      <c r="H1961" t="str">
        <f>VLOOKUP(record[[#This Row],[ProcessSN]],表格2_7[],2,FALSE)</f>
        <v>30-4118-018-5XX</v>
      </c>
      <c r="I1961" t="str">
        <f>VLOOKUP(record[[#This Row],[ProcessSN]],表格2_7[],3,FALSE)</f>
        <v>#04</v>
      </c>
      <c r="J1961" t="s">
        <v>588</v>
      </c>
      <c r="K1961" s="195">
        <v>46128.614050925928</v>
      </c>
      <c r="L1961">
        <v>2</v>
      </c>
      <c r="M1961">
        <v>0</v>
      </c>
      <c r="N1961" s="98" t="str">
        <f>IF(record[[#This Row],[Memo]]="Browser:chrome os:android","平板報工",IF(record[[#This Row],[Memo]]=0,"委外",record[[#This Row],[Memo]]))</f>
        <v/>
      </c>
      <c r="O1961" t="s">
        <v>58</v>
      </c>
      <c r="P1961" t="s">
        <v>1075</v>
      </c>
      <c r="Q1961" t="s">
        <v>58</v>
      </c>
      <c r="R1961" t="str">
        <f>IFERROR(VLOOKUP(record[[#This Row],[PCUSTID]],廠商[],2,FALSE),"")</f>
        <v/>
      </c>
      <c r="S1961" t="str">
        <f>VLOOKUP(record[[#This Row],[employeeID]],員工[],2,FALSE)</f>
        <v>吳宥叡</v>
      </c>
    </row>
    <row r="1962" spans="6:19" hidden="1" x14ac:dyDescent="0.25">
      <c r="F1962" t="s">
        <v>1653</v>
      </c>
      <c r="G1962" t="s">
        <v>418</v>
      </c>
      <c r="H1962" t="str">
        <f>VLOOKUP(record[[#This Row],[ProcessSN]],表格2_7[],2,FALSE)</f>
        <v>30-4118-018-5XX</v>
      </c>
      <c r="I1962" t="str">
        <f>VLOOKUP(record[[#This Row],[ProcessSN]],表格2_7[],3,FALSE)</f>
        <v>#07</v>
      </c>
      <c r="J1962" t="s">
        <v>588</v>
      </c>
      <c r="K1962" s="195">
        <v>46128.613506944443</v>
      </c>
      <c r="L1962">
        <v>5</v>
      </c>
      <c r="M1962">
        <v>0</v>
      </c>
      <c r="N1962" s="98" t="str">
        <f>IF(record[[#This Row],[Memo]]="Browser:chrome os:android","平板報工",IF(record[[#This Row],[Memo]]=0,"委外",record[[#This Row],[Memo]]))</f>
        <v/>
      </c>
      <c r="O1962" t="s">
        <v>58</v>
      </c>
      <c r="P1962" t="s">
        <v>1075</v>
      </c>
      <c r="Q1962" t="s">
        <v>58</v>
      </c>
      <c r="R1962" t="str">
        <f>IFERROR(VLOOKUP(record[[#This Row],[PCUSTID]],廠商[],2,FALSE),"")</f>
        <v/>
      </c>
      <c r="S1962" t="str">
        <f>VLOOKUP(record[[#This Row],[employeeID]],員工[],2,FALSE)</f>
        <v>吳宥叡</v>
      </c>
    </row>
    <row r="1963" spans="6:19" hidden="1" x14ac:dyDescent="0.25">
      <c r="F1963" t="s">
        <v>1653</v>
      </c>
      <c r="G1963" t="s">
        <v>417</v>
      </c>
      <c r="H1963" t="str">
        <f>VLOOKUP(record[[#This Row],[ProcessSN]],表格2_7[],2,FALSE)</f>
        <v>30-4118-018-5XX</v>
      </c>
      <c r="I1963" t="str">
        <f>VLOOKUP(record[[#This Row],[ProcessSN]],表格2_7[],3,FALSE)</f>
        <v>#06</v>
      </c>
      <c r="J1963" t="s">
        <v>593</v>
      </c>
      <c r="K1963" s="195">
        <v>46128.613425925927</v>
      </c>
      <c r="L1963">
        <v>5</v>
      </c>
      <c r="M1963">
        <v>0</v>
      </c>
      <c r="N1963" s="98" t="str">
        <f>IF(record[[#This Row],[Memo]]="Browser:chrome os:android","平板報工",IF(record[[#This Row],[Memo]]=0,"委外",record[[#This Row],[Memo]]))</f>
        <v/>
      </c>
      <c r="O1963" t="s">
        <v>58</v>
      </c>
      <c r="P1963" t="s">
        <v>1075</v>
      </c>
      <c r="Q1963" t="s">
        <v>58</v>
      </c>
      <c r="R1963" t="str">
        <f>IFERROR(VLOOKUP(record[[#This Row],[PCUSTID]],廠商[],2,FALSE),"")</f>
        <v/>
      </c>
      <c r="S1963" t="str">
        <f>VLOOKUP(record[[#This Row],[employeeID]],員工[],2,FALSE)</f>
        <v>吳宥叡</v>
      </c>
    </row>
    <row r="1964" spans="6:19" hidden="1" x14ac:dyDescent="0.25">
      <c r="F1964" t="s">
        <v>1653</v>
      </c>
      <c r="G1964" t="s">
        <v>416</v>
      </c>
      <c r="H1964" t="str">
        <f>VLOOKUP(record[[#This Row],[ProcessSN]],表格2_7[],2,FALSE)</f>
        <v>30-4118-018-5XX</v>
      </c>
      <c r="I1964" t="str">
        <f>VLOOKUP(record[[#This Row],[ProcessSN]],表格2_7[],3,FALSE)</f>
        <v>#05</v>
      </c>
      <c r="J1964" t="s">
        <v>588</v>
      </c>
      <c r="K1964" s="195">
        <v>46128.613333333335</v>
      </c>
      <c r="L1964">
        <v>5</v>
      </c>
      <c r="M1964">
        <v>0</v>
      </c>
      <c r="N1964" s="98" t="str">
        <f>IF(record[[#This Row],[Memo]]="Browser:chrome os:android","平板報工",IF(record[[#This Row],[Memo]]=0,"委外",record[[#This Row],[Memo]]))</f>
        <v/>
      </c>
      <c r="O1964" t="s">
        <v>58</v>
      </c>
      <c r="P1964" t="s">
        <v>1075</v>
      </c>
      <c r="Q1964" t="s">
        <v>58</v>
      </c>
      <c r="R1964" t="str">
        <f>IFERROR(VLOOKUP(record[[#This Row],[PCUSTID]],廠商[],2,FALSE),"")</f>
        <v/>
      </c>
      <c r="S1964" t="str">
        <f>VLOOKUP(record[[#This Row],[employeeID]],員工[],2,FALSE)</f>
        <v>吳宥叡</v>
      </c>
    </row>
    <row r="1965" spans="6:19" hidden="1" x14ac:dyDescent="0.25">
      <c r="F1965" t="s">
        <v>1653</v>
      </c>
      <c r="G1965" t="s">
        <v>415</v>
      </c>
      <c r="H1965" t="str">
        <f>VLOOKUP(record[[#This Row],[ProcessSN]],表格2_7[],2,FALSE)</f>
        <v>30-4118-018-5XX</v>
      </c>
      <c r="I1965" t="str">
        <f>VLOOKUP(record[[#This Row],[ProcessSN]],表格2_7[],3,FALSE)</f>
        <v>#04</v>
      </c>
      <c r="J1965" t="s">
        <v>588</v>
      </c>
      <c r="K1965" s="195">
        <v>46128.613240740742</v>
      </c>
      <c r="L1965">
        <v>5</v>
      </c>
      <c r="M1965">
        <v>0</v>
      </c>
      <c r="N1965" s="98" t="str">
        <f>IF(record[[#This Row],[Memo]]="Browser:chrome os:android","平板報工",IF(record[[#This Row],[Memo]]=0,"委外",record[[#This Row],[Memo]]))</f>
        <v/>
      </c>
      <c r="O1965" t="s">
        <v>58</v>
      </c>
      <c r="P1965" t="s">
        <v>1075</v>
      </c>
      <c r="Q1965" t="s">
        <v>58</v>
      </c>
      <c r="R1965" t="str">
        <f>IFERROR(VLOOKUP(record[[#This Row],[PCUSTID]],廠商[],2,FALSE),"")</f>
        <v/>
      </c>
      <c r="S1965" t="str">
        <f>VLOOKUP(record[[#This Row],[employeeID]],員工[],2,FALSE)</f>
        <v>吳宥叡</v>
      </c>
    </row>
    <row r="1966" spans="6:19" hidden="1" x14ac:dyDescent="0.25">
      <c r="F1966" t="s">
        <v>1653</v>
      </c>
      <c r="G1966" t="s">
        <v>418</v>
      </c>
      <c r="H1966" t="str">
        <f>VLOOKUP(record[[#This Row],[ProcessSN]],表格2_7[],2,FALSE)</f>
        <v>30-4118-018-5XX</v>
      </c>
      <c r="I1966" t="str">
        <f>VLOOKUP(record[[#This Row],[ProcessSN]],表格2_7[],3,FALSE)</f>
        <v>#07</v>
      </c>
      <c r="J1966" t="s">
        <v>588</v>
      </c>
      <c r="K1966" s="195">
        <v>46128.612546296295</v>
      </c>
      <c r="L1966">
        <v>16</v>
      </c>
      <c r="M1966">
        <v>0</v>
      </c>
      <c r="N1966" s="98" t="str">
        <f>IF(record[[#This Row],[Memo]]="Browser:chrome os:android","平板報工",IF(record[[#This Row],[Memo]]=0,"委外",record[[#This Row],[Memo]]))</f>
        <v/>
      </c>
      <c r="O1966" t="s">
        <v>58</v>
      </c>
      <c r="P1966" t="s">
        <v>1075</v>
      </c>
      <c r="Q1966" t="s">
        <v>58</v>
      </c>
      <c r="R1966" t="str">
        <f>IFERROR(VLOOKUP(record[[#This Row],[PCUSTID]],廠商[],2,FALSE),"")</f>
        <v/>
      </c>
      <c r="S1966" t="str">
        <f>VLOOKUP(record[[#This Row],[employeeID]],員工[],2,FALSE)</f>
        <v>吳宥叡</v>
      </c>
    </row>
    <row r="1967" spans="6:19" hidden="1" x14ac:dyDescent="0.25">
      <c r="F1967" t="s">
        <v>1653</v>
      </c>
      <c r="G1967" t="s">
        <v>417</v>
      </c>
      <c r="H1967" t="str">
        <f>VLOOKUP(record[[#This Row],[ProcessSN]],表格2_7[],2,FALSE)</f>
        <v>30-4118-018-5XX</v>
      </c>
      <c r="I1967" t="str">
        <f>VLOOKUP(record[[#This Row],[ProcessSN]],表格2_7[],3,FALSE)</f>
        <v>#06</v>
      </c>
      <c r="J1967" t="s">
        <v>593</v>
      </c>
      <c r="K1967" s="195">
        <v>46128.61246527778</v>
      </c>
      <c r="L1967">
        <v>16</v>
      </c>
      <c r="M1967">
        <v>0</v>
      </c>
      <c r="N1967" s="98" t="str">
        <f>IF(record[[#This Row],[Memo]]="Browser:chrome os:android","平板報工",IF(record[[#This Row],[Memo]]=0,"委外",record[[#This Row],[Memo]]))</f>
        <v/>
      </c>
      <c r="O1967" t="s">
        <v>58</v>
      </c>
      <c r="P1967" t="s">
        <v>1075</v>
      </c>
      <c r="Q1967" t="s">
        <v>58</v>
      </c>
      <c r="R1967" t="str">
        <f>IFERROR(VLOOKUP(record[[#This Row],[PCUSTID]],廠商[],2,FALSE),"")</f>
        <v/>
      </c>
      <c r="S1967" t="str">
        <f>VLOOKUP(record[[#This Row],[employeeID]],員工[],2,FALSE)</f>
        <v>吳宥叡</v>
      </c>
    </row>
    <row r="1968" spans="6:19" hidden="1" x14ac:dyDescent="0.25">
      <c r="F1968" t="s">
        <v>1787</v>
      </c>
      <c r="G1968" t="s">
        <v>471</v>
      </c>
      <c r="H1968" t="str">
        <f>VLOOKUP(record[[#This Row],[ProcessSN]],表格2_7[],2,FALSE)</f>
        <v>30-4118-018-XXX</v>
      </c>
      <c r="I1968" t="str">
        <f>VLOOKUP(record[[#This Row],[ProcessSN]],表格2_7[],3,FALSE)</f>
        <v>#02STOCK</v>
      </c>
      <c r="J1968" t="s">
        <v>592</v>
      </c>
      <c r="K1968" s="195">
        <v>46128.589988425927</v>
      </c>
      <c r="L1968">
        <v>336</v>
      </c>
      <c r="M1968">
        <v>0</v>
      </c>
      <c r="N1968" s="98" t="str">
        <f>IF(record[[#This Row],[Memo]]="Browser:chrome os:android","平板報工",IF(record[[#This Row],[Memo]]=0,"委外",record[[#This Row],[Memo]]))</f>
        <v/>
      </c>
      <c r="O1968" t="s">
        <v>58</v>
      </c>
      <c r="P1968" t="s">
        <v>186</v>
      </c>
      <c r="Q1968" t="s">
        <v>58</v>
      </c>
      <c r="R1968" t="str">
        <f>IFERROR(VLOOKUP(record[[#This Row],[PCUSTID]],廠商[],2,FALSE),"")</f>
        <v/>
      </c>
      <c r="S1968" t="str">
        <f>VLOOKUP(record[[#This Row],[employeeID]],員工[],2,FALSE)</f>
        <v>許文姍</v>
      </c>
    </row>
    <row r="1969" spans="6:19" hidden="1" x14ac:dyDescent="0.25">
      <c r="F1969" t="s">
        <v>1772</v>
      </c>
      <c r="G1969" t="s">
        <v>471</v>
      </c>
      <c r="H1969" t="str">
        <f>VLOOKUP(record[[#This Row],[ProcessSN]],表格2_7[],2,FALSE)</f>
        <v>30-4118-018-XXX</v>
      </c>
      <c r="I1969" t="str">
        <f>VLOOKUP(record[[#This Row],[ProcessSN]],表格2_7[],3,FALSE)</f>
        <v>#02STOCK</v>
      </c>
      <c r="J1969" t="s">
        <v>592</v>
      </c>
      <c r="K1969" s="195">
        <v>46128.589085648149</v>
      </c>
      <c r="L1969">
        <v>97</v>
      </c>
      <c r="M1969">
        <v>0</v>
      </c>
      <c r="N1969" s="98" t="str">
        <f>IF(record[[#This Row],[Memo]]="Browser:chrome os:android","平板報工",IF(record[[#This Row],[Memo]]=0,"委外",record[[#This Row],[Memo]]))</f>
        <v/>
      </c>
      <c r="O1969" t="s">
        <v>58</v>
      </c>
      <c r="P1969" t="s">
        <v>186</v>
      </c>
      <c r="Q1969" t="s">
        <v>58</v>
      </c>
      <c r="R1969" t="str">
        <f>IFERROR(VLOOKUP(record[[#This Row],[PCUSTID]],廠商[],2,FALSE),"")</f>
        <v/>
      </c>
      <c r="S1969" t="str">
        <f>VLOOKUP(record[[#This Row],[employeeID]],員工[],2,FALSE)</f>
        <v>許文姍</v>
      </c>
    </row>
    <row r="1970" spans="6:19" hidden="1" x14ac:dyDescent="0.25">
      <c r="F1970" t="s">
        <v>1655</v>
      </c>
      <c r="G1970" t="s">
        <v>471</v>
      </c>
      <c r="H1970" t="str">
        <f>VLOOKUP(record[[#This Row],[ProcessSN]],表格2_7[],2,FALSE)</f>
        <v>30-4118-018-XXX</v>
      </c>
      <c r="I1970" t="str">
        <f>VLOOKUP(record[[#This Row],[ProcessSN]],表格2_7[],3,FALSE)</f>
        <v>#02STOCK</v>
      </c>
      <c r="J1970" t="s">
        <v>592</v>
      </c>
      <c r="K1970" s="195">
        <v>46128.588819444441</v>
      </c>
      <c r="L1970">
        <v>924</v>
      </c>
      <c r="M1970">
        <v>0</v>
      </c>
      <c r="N1970" s="98" t="str">
        <f>IF(record[[#This Row],[Memo]]="Browser:chrome os:android","平板報工",IF(record[[#This Row],[Memo]]=0,"委外",record[[#This Row],[Memo]]))</f>
        <v/>
      </c>
      <c r="O1970" t="s">
        <v>58</v>
      </c>
      <c r="P1970" t="s">
        <v>186</v>
      </c>
      <c r="Q1970" t="s">
        <v>58</v>
      </c>
      <c r="R1970" t="str">
        <f>IFERROR(VLOOKUP(record[[#This Row],[PCUSTID]],廠商[],2,FALSE),"")</f>
        <v/>
      </c>
      <c r="S1970" t="str">
        <f>VLOOKUP(record[[#This Row],[employeeID]],員工[],2,FALSE)</f>
        <v>許文姍</v>
      </c>
    </row>
    <row r="1971" spans="6:19" hidden="1" x14ac:dyDescent="0.25">
      <c r="F1971" t="s">
        <v>1602</v>
      </c>
      <c r="G1971" t="s">
        <v>471</v>
      </c>
      <c r="H1971" t="str">
        <f>VLOOKUP(record[[#This Row],[ProcessSN]],表格2_7[],2,FALSE)</f>
        <v>30-4118-018-XXX</v>
      </c>
      <c r="I1971" t="str">
        <f>VLOOKUP(record[[#This Row],[ProcessSN]],表格2_7[],3,FALSE)</f>
        <v>#02STOCK</v>
      </c>
      <c r="J1971" t="s">
        <v>592</v>
      </c>
      <c r="K1971" s="195">
        <v>46128.588576388887</v>
      </c>
      <c r="L1971">
        <v>27</v>
      </c>
      <c r="M1971">
        <v>0</v>
      </c>
      <c r="N1971" s="98" t="str">
        <f>IF(record[[#This Row],[Memo]]="Browser:chrome os:android","平板報工",IF(record[[#This Row],[Memo]]=0,"委外",record[[#This Row],[Memo]]))</f>
        <v/>
      </c>
      <c r="O1971" t="s">
        <v>58</v>
      </c>
      <c r="P1971" t="s">
        <v>186</v>
      </c>
      <c r="Q1971" t="s">
        <v>58</v>
      </c>
      <c r="R1971" t="str">
        <f>IFERROR(VLOOKUP(record[[#This Row],[PCUSTID]],廠商[],2,FALSE),"")</f>
        <v/>
      </c>
      <c r="S1971" t="str">
        <f>VLOOKUP(record[[#This Row],[employeeID]],員工[],2,FALSE)</f>
        <v>許文姍</v>
      </c>
    </row>
    <row r="1972" spans="6:19" hidden="1" x14ac:dyDescent="0.25">
      <c r="F1972" t="s">
        <v>1816</v>
      </c>
      <c r="G1972" t="s">
        <v>397</v>
      </c>
      <c r="H1972" t="str">
        <f>VLOOKUP(record[[#This Row],[ProcessSN]],表格2_7[],2,FALSE)</f>
        <v>30-4118-018-550</v>
      </c>
      <c r="I1972" t="str">
        <f>VLOOKUP(record[[#This Row],[ProcessSN]],表格2_7[],3,FALSE)</f>
        <v>#08</v>
      </c>
      <c r="J1972" t="s">
        <v>597</v>
      </c>
      <c r="K1972" s="195">
        <v>46128.578229166669</v>
      </c>
      <c r="L1972">
        <v>504</v>
      </c>
      <c r="M1972">
        <v>0</v>
      </c>
      <c r="N1972" s="98" t="str">
        <f>IF(record[[#This Row],[Memo]]="Browser:chrome os:android","平板報工",IF(record[[#This Row],[Memo]]=0,"委外",record[[#This Row],[Memo]]))</f>
        <v>委外</v>
      </c>
      <c r="P1972" t="s">
        <v>186</v>
      </c>
      <c r="Q1972" t="s">
        <v>287</v>
      </c>
      <c r="R1972" t="str">
        <f>IFERROR(VLOOKUP(record[[#This Row],[PCUSTID]],廠商[],2,FALSE),"")</f>
        <v>泉盛</v>
      </c>
      <c r="S1972" t="str">
        <f>VLOOKUP(record[[#This Row],[employeeID]],員工[],2,FALSE)</f>
        <v>許文姍</v>
      </c>
    </row>
    <row r="1973" spans="6:19" hidden="1" x14ac:dyDescent="0.25">
      <c r="F1973" t="s">
        <v>1816</v>
      </c>
      <c r="G1973" t="s">
        <v>396</v>
      </c>
      <c r="H1973" t="str">
        <f>VLOOKUP(record[[#This Row],[ProcessSN]],表格2_7[],2,FALSE)</f>
        <v>30-4118-018-550</v>
      </c>
      <c r="I1973" t="str">
        <f>VLOOKUP(record[[#This Row],[ProcessSN]],表格2_7[],3,FALSE)</f>
        <v>#08PICK</v>
      </c>
      <c r="J1973" t="s">
        <v>582</v>
      </c>
      <c r="K1973" s="195">
        <v>46128.57712962963</v>
      </c>
      <c r="L1973">
        <v>504</v>
      </c>
      <c r="M1973">
        <v>0</v>
      </c>
      <c r="N1973" s="98" t="str">
        <f>IF(record[[#This Row],[Memo]]="Browser:chrome os:android","平板報工",IF(record[[#This Row],[Memo]]=0,"委外",record[[#This Row],[Memo]]))</f>
        <v/>
      </c>
      <c r="O1973" t="s">
        <v>58</v>
      </c>
      <c r="P1973" t="s">
        <v>186</v>
      </c>
      <c r="Q1973" t="s">
        <v>58</v>
      </c>
      <c r="R1973" t="str">
        <f>IFERROR(VLOOKUP(record[[#This Row],[PCUSTID]],廠商[],2,FALSE),"")</f>
        <v/>
      </c>
      <c r="S1973" t="str">
        <f>VLOOKUP(record[[#This Row],[employeeID]],員工[],2,FALSE)</f>
        <v>許文姍</v>
      </c>
    </row>
    <row r="1974" spans="6:19" hidden="1" x14ac:dyDescent="0.25">
      <c r="F1974" t="s">
        <v>1815</v>
      </c>
      <c r="G1974" t="s">
        <v>446</v>
      </c>
      <c r="H1974" t="str">
        <f>VLOOKUP(record[[#This Row],[ProcessSN]],表格2_7[],2,FALSE)</f>
        <v>30-4118-018-6XX</v>
      </c>
      <c r="I1974" t="str">
        <f>VLOOKUP(record[[#This Row],[ProcessSN]],表格2_7[],3,FALSE)</f>
        <v>#03GIVE</v>
      </c>
      <c r="J1974" t="s">
        <v>587</v>
      </c>
      <c r="K1974" s="195">
        <v>46128.386504629627</v>
      </c>
      <c r="L1974">
        <v>836</v>
      </c>
      <c r="M1974">
        <v>0</v>
      </c>
      <c r="N1974" s="98" t="str">
        <f>IF(record[[#This Row],[Memo]]="Browser:chrome os:android","平板報工",IF(record[[#This Row],[Memo]]=0,"委外",record[[#This Row],[Memo]]))</f>
        <v/>
      </c>
      <c r="O1974" t="s">
        <v>58</v>
      </c>
      <c r="P1974" t="s">
        <v>1070</v>
      </c>
      <c r="Q1974" t="s">
        <v>58</v>
      </c>
      <c r="R1974" t="str">
        <f>IFERROR(VLOOKUP(record[[#This Row],[PCUSTID]],廠商[],2,FALSE),"")</f>
        <v/>
      </c>
      <c r="S1974" t="str">
        <f>VLOOKUP(record[[#This Row],[employeeID]],員工[],2,FALSE)</f>
        <v>陳昱佑</v>
      </c>
    </row>
    <row r="1975" spans="6:19" hidden="1" x14ac:dyDescent="0.25">
      <c r="F1975" t="s">
        <v>1787</v>
      </c>
      <c r="G1975" t="s">
        <v>469</v>
      </c>
      <c r="H1975" t="str">
        <f>VLOOKUP(record[[#This Row],[ProcessSN]],表格2_7[],2,FALSE)</f>
        <v>30-4118-018-XXX</v>
      </c>
      <c r="I1975" t="str">
        <f>VLOOKUP(record[[#This Row],[ProcessSN]],表格2_7[],3,FALSE)</f>
        <v>#02RCV</v>
      </c>
      <c r="J1975" t="s">
        <v>591</v>
      </c>
      <c r="K1975" s="195">
        <v>46128.381458333337</v>
      </c>
      <c r="L1975">
        <v>0</v>
      </c>
      <c r="M1975">
        <v>4</v>
      </c>
      <c r="N1975" s="98" t="str">
        <f>IF(record[[#This Row],[Memo]]="Browser:chrome os:android","平板報工",IF(record[[#This Row],[Memo]]=0,"委外",record[[#This Row],[Memo]]))</f>
        <v/>
      </c>
      <c r="O1975" t="s">
        <v>58</v>
      </c>
      <c r="P1975" t="s">
        <v>186</v>
      </c>
      <c r="Q1975" t="s">
        <v>58</v>
      </c>
      <c r="R1975" t="str">
        <f>IFERROR(VLOOKUP(record[[#This Row],[PCUSTID]],廠商[],2,FALSE),"")</f>
        <v/>
      </c>
      <c r="S1975" t="str">
        <f>VLOOKUP(record[[#This Row],[employeeID]],員工[],2,FALSE)</f>
        <v>許文姍</v>
      </c>
    </row>
    <row r="1976" spans="6:19" hidden="1" x14ac:dyDescent="0.25">
      <c r="F1976" t="s">
        <v>1787</v>
      </c>
      <c r="G1976" t="s">
        <v>469</v>
      </c>
      <c r="H1976" t="str">
        <f>VLOOKUP(record[[#This Row],[ProcessSN]],表格2_7[],2,FALSE)</f>
        <v>30-4118-018-XXX</v>
      </c>
      <c r="I1976" t="str">
        <f>VLOOKUP(record[[#This Row],[ProcessSN]],表格2_7[],3,FALSE)</f>
        <v>#02RCV</v>
      </c>
      <c r="J1976" t="s">
        <v>591</v>
      </c>
      <c r="K1976" s="195">
        <v>46128.381296296298</v>
      </c>
      <c r="L1976">
        <v>836</v>
      </c>
      <c r="M1976">
        <v>0</v>
      </c>
      <c r="N1976" s="98" t="str">
        <f>IF(record[[#This Row],[Memo]]="Browser:chrome os:android","平板報工",IF(record[[#This Row],[Memo]]=0,"委外",record[[#This Row],[Memo]]))</f>
        <v/>
      </c>
      <c r="O1976" t="s">
        <v>58</v>
      </c>
      <c r="P1976" t="s">
        <v>186</v>
      </c>
      <c r="Q1976" t="s">
        <v>58</v>
      </c>
      <c r="R1976" t="str">
        <f>IFERROR(VLOOKUP(record[[#This Row],[PCUSTID]],廠商[],2,FALSE),"")</f>
        <v/>
      </c>
      <c r="S1976" t="str">
        <f>VLOOKUP(record[[#This Row],[employeeID]],員工[],2,FALSE)</f>
        <v>許文姍</v>
      </c>
    </row>
    <row r="1977" spans="6:19" hidden="1" x14ac:dyDescent="0.25">
      <c r="F1977" t="s">
        <v>1815</v>
      </c>
      <c r="G1977" t="s">
        <v>445</v>
      </c>
      <c r="H1977" t="str">
        <f>VLOOKUP(record[[#This Row],[ProcessSN]],表格2_7[],2,FALSE)</f>
        <v>30-4118-018-6XX</v>
      </c>
      <c r="I1977" t="str">
        <f>VLOOKUP(record[[#This Row],[ProcessSN]],表格2_7[],3,FALSE)</f>
        <v>#03PICK</v>
      </c>
      <c r="J1977" t="s">
        <v>582</v>
      </c>
      <c r="K1977" s="195">
        <v>46128.37972222222</v>
      </c>
      <c r="L1977">
        <v>836</v>
      </c>
      <c r="M1977">
        <v>0</v>
      </c>
      <c r="N1977" s="98" t="str">
        <f>IF(record[[#This Row],[Memo]]="Browser:chrome os:android","平板報工",IF(record[[#This Row],[Memo]]=0,"委外",record[[#This Row],[Memo]]))</f>
        <v/>
      </c>
      <c r="O1977" t="s">
        <v>58</v>
      </c>
      <c r="P1977" t="s">
        <v>186</v>
      </c>
      <c r="Q1977" t="s">
        <v>58</v>
      </c>
      <c r="R1977" t="str">
        <f>IFERROR(VLOOKUP(record[[#This Row],[PCUSTID]],廠商[],2,FALSE),"")</f>
        <v/>
      </c>
      <c r="S1977" t="str">
        <f>VLOOKUP(record[[#This Row],[employeeID]],員工[],2,FALSE)</f>
        <v>許文姍</v>
      </c>
    </row>
    <row r="1978" spans="6:19" hidden="1" x14ac:dyDescent="0.25">
      <c r="F1978" t="s">
        <v>1787</v>
      </c>
      <c r="G1978" t="s">
        <v>468</v>
      </c>
      <c r="H1978" t="str">
        <f>VLOOKUP(record[[#This Row],[ProcessSN]],表格2_7[],2,FALSE)</f>
        <v>30-4118-018-XXX</v>
      </c>
      <c r="I1978" t="str">
        <f>VLOOKUP(record[[#This Row],[ProcessSN]],表格2_7[],3,FALSE)</f>
        <v>#02</v>
      </c>
      <c r="J1978" t="s">
        <v>590</v>
      </c>
      <c r="K1978" s="195">
        <v>46128.376319444447</v>
      </c>
      <c r="L1978">
        <v>672</v>
      </c>
      <c r="M1978">
        <v>0</v>
      </c>
      <c r="N1978" s="98" t="str">
        <f>IF(record[[#This Row],[Memo]]="Browser:chrome os:android","平板報工",IF(record[[#This Row],[Memo]]=0,"委外",record[[#This Row],[Memo]]))</f>
        <v>委外</v>
      </c>
      <c r="P1978" t="s">
        <v>186</v>
      </c>
      <c r="Q1978" t="s">
        <v>216</v>
      </c>
      <c r="R1978" t="str">
        <f>IFERROR(VLOOKUP(record[[#This Row],[PCUSTID]],廠商[],2,FALSE),"")</f>
        <v>俊杰</v>
      </c>
      <c r="S1978" t="str">
        <f>VLOOKUP(record[[#This Row],[employeeID]],員工[],2,FALSE)</f>
        <v>許文姍</v>
      </c>
    </row>
    <row r="1979" spans="6:19" hidden="1" x14ac:dyDescent="0.25">
      <c r="F1979" t="s">
        <v>1714</v>
      </c>
      <c r="G1979" t="s">
        <v>428</v>
      </c>
      <c r="H1979" t="str">
        <f>VLOOKUP(record[[#This Row],[ProcessSN]],表格2_7[],2,FALSE)</f>
        <v>30-4118-018-600</v>
      </c>
      <c r="I1979" t="str">
        <f>VLOOKUP(record[[#This Row],[ProcessSN]],表格2_7[],3,FALSE)</f>
        <v>#100SHIP</v>
      </c>
      <c r="J1979" t="s">
        <v>600</v>
      </c>
      <c r="K1979" s="195">
        <v>46128.357291666667</v>
      </c>
      <c r="L1979">
        <v>50</v>
      </c>
      <c r="M1979">
        <v>0</v>
      </c>
      <c r="N1979" s="98" t="str">
        <f>IF(record[[#This Row],[Memo]]="Browser:chrome os:android","平板報工",IF(record[[#This Row],[Memo]]=0,"委外",record[[#This Row],[Memo]]))</f>
        <v/>
      </c>
      <c r="O1979" t="s">
        <v>58</v>
      </c>
      <c r="P1979" t="s">
        <v>886</v>
      </c>
      <c r="Q1979" t="s">
        <v>58</v>
      </c>
      <c r="R1979" t="str">
        <f>IFERROR(VLOOKUP(record[[#This Row],[PCUSTID]],廠商[],2,FALSE),"")</f>
        <v/>
      </c>
      <c r="S1979" t="str">
        <f>VLOOKUP(record[[#This Row],[employeeID]],員工[],2,FALSE)</f>
        <v>謝蓁薰</v>
      </c>
    </row>
    <row r="1980" spans="6:19" hidden="1" x14ac:dyDescent="0.25">
      <c r="F1980" t="s">
        <v>1705</v>
      </c>
      <c r="G1980" t="s">
        <v>428</v>
      </c>
      <c r="H1980" t="str">
        <f>VLOOKUP(record[[#This Row],[ProcessSN]],表格2_7[],2,FALSE)</f>
        <v>30-4118-018-600</v>
      </c>
      <c r="I1980" t="str">
        <f>VLOOKUP(record[[#This Row],[ProcessSN]],表格2_7[],3,FALSE)</f>
        <v>#100SHIP</v>
      </c>
      <c r="J1980" t="s">
        <v>600</v>
      </c>
      <c r="K1980" s="195">
        <v>46128.357048611113</v>
      </c>
      <c r="L1980">
        <v>165</v>
      </c>
      <c r="M1980">
        <v>0</v>
      </c>
      <c r="N1980" s="98" t="str">
        <f>IF(record[[#This Row],[Memo]]="Browser:chrome os:android","平板報工",IF(record[[#This Row],[Memo]]=0,"委外",record[[#This Row],[Memo]]))</f>
        <v/>
      </c>
      <c r="O1980" t="s">
        <v>58</v>
      </c>
      <c r="P1980" t="s">
        <v>886</v>
      </c>
      <c r="Q1980" t="s">
        <v>58</v>
      </c>
      <c r="R1980" t="str">
        <f>IFERROR(VLOOKUP(record[[#This Row],[PCUSTID]],廠商[],2,FALSE),"")</f>
        <v/>
      </c>
      <c r="S1980" t="str">
        <f>VLOOKUP(record[[#This Row],[employeeID]],員工[],2,FALSE)</f>
        <v>謝蓁薰</v>
      </c>
    </row>
    <row r="1981" spans="6:19" hidden="1" x14ac:dyDescent="0.25">
      <c r="F1981" t="s">
        <v>1787</v>
      </c>
      <c r="G1981" t="s">
        <v>467</v>
      </c>
      <c r="H1981" t="str">
        <f>VLOOKUP(record[[#This Row],[ProcessSN]],表格2_7[],2,FALSE)</f>
        <v>30-4118-018-XXX</v>
      </c>
      <c r="I1981" t="str">
        <f>VLOOKUP(record[[#This Row],[ProcessSN]],表格2_7[],3,FALSE)</f>
        <v>#01QC</v>
      </c>
      <c r="J1981" t="s">
        <v>589</v>
      </c>
      <c r="K1981" s="195">
        <v>46128.353414351855</v>
      </c>
      <c r="L1981">
        <v>672</v>
      </c>
      <c r="M1981">
        <v>0</v>
      </c>
      <c r="N1981" s="98" t="str">
        <f>IF(record[[#This Row],[Memo]]="Browser:chrome os:android","平板報工",IF(record[[#This Row],[Memo]]=0,"委外",record[[#This Row],[Memo]]))</f>
        <v>平板報工</v>
      </c>
      <c r="O1981" t="s">
        <v>643</v>
      </c>
      <c r="P1981" t="s">
        <v>182</v>
      </c>
      <c r="Q1981" t="s">
        <v>644</v>
      </c>
      <c r="R1981" t="str">
        <f>IFERROR(VLOOKUP(record[[#This Row],[PCUSTID]],廠商[],2,FALSE),"")</f>
        <v/>
      </c>
      <c r="S1981" t="str">
        <f>VLOOKUP(record[[#This Row],[employeeID]],員工[],2,FALSE)</f>
        <v>梅氏和</v>
      </c>
    </row>
    <row r="1982" spans="6:19" hidden="1" x14ac:dyDescent="0.25">
      <c r="F1982" t="s">
        <v>1799</v>
      </c>
      <c r="G1982" t="s">
        <v>403</v>
      </c>
      <c r="H1982" t="str">
        <f>VLOOKUP(record[[#This Row],[ProcessSN]],表格2_7[],2,FALSE)</f>
        <v>30-4118-018-550</v>
      </c>
      <c r="I1982" t="str">
        <f>VLOOKUP(record[[#This Row],[ProcessSN]],表格2_7[],3,FALSE)</f>
        <v>#100SHIP</v>
      </c>
      <c r="J1982" t="s">
        <v>600</v>
      </c>
      <c r="K1982" s="195">
        <v>46128.33861111111</v>
      </c>
      <c r="L1982">
        <v>489</v>
      </c>
      <c r="M1982">
        <v>0</v>
      </c>
      <c r="N1982" s="98" t="str">
        <f>IF(record[[#This Row],[Memo]]="Browser:chrome os:android","平板報工",IF(record[[#This Row],[Memo]]=0,"委外",record[[#This Row],[Memo]]))</f>
        <v>補4/15出貨</v>
      </c>
      <c r="O1982" t="s">
        <v>1814</v>
      </c>
      <c r="P1982" t="s">
        <v>886</v>
      </c>
      <c r="Q1982" t="s">
        <v>58</v>
      </c>
      <c r="R1982" t="str">
        <f>IFERROR(VLOOKUP(record[[#This Row],[PCUSTID]],廠商[],2,FALSE),"")</f>
        <v/>
      </c>
      <c r="S1982" t="str">
        <f>VLOOKUP(record[[#This Row],[employeeID]],員工[],2,FALSE)</f>
        <v>謝蓁薰</v>
      </c>
    </row>
    <row r="1983" spans="6:19" hidden="1" x14ac:dyDescent="0.25">
      <c r="F1983" t="s">
        <v>1799</v>
      </c>
      <c r="G1983" t="s">
        <v>402</v>
      </c>
      <c r="H1983" t="str">
        <f>VLOOKUP(record[[#This Row],[ProcessSN]],表格2_7[],2,FALSE)</f>
        <v>30-4118-018-550</v>
      </c>
      <c r="I1983" t="str">
        <f>VLOOKUP(record[[#This Row],[ProcessSN]],表格2_7[],3,FALSE)</f>
        <v>#100STOCK</v>
      </c>
      <c r="J1983" t="s">
        <v>592</v>
      </c>
      <c r="K1983" s="195">
        <v>46128.338391203702</v>
      </c>
      <c r="L1983">
        <v>489</v>
      </c>
      <c r="M1983">
        <v>0</v>
      </c>
      <c r="N1983" s="98" t="str">
        <f>IF(record[[#This Row],[Memo]]="Browser:chrome os:android","平板報工",IF(record[[#This Row],[Memo]]=0,"委外",record[[#This Row],[Memo]]))</f>
        <v/>
      </c>
      <c r="O1983" t="s">
        <v>58</v>
      </c>
      <c r="P1983" t="s">
        <v>886</v>
      </c>
      <c r="Q1983" t="s">
        <v>58</v>
      </c>
      <c r="R1983" t="str">
        <f>IFERROR(VLOOKUP(record[[#This Row],[PCUSTID]],廠商[],2,FALSE),"")</f>
        <v/>
      </c>
      <c r="S1983" t="str">
        <f>VLOOKUP(record[[#This Row],[employeeID]],員工[],2,FALSE)</f>
        <v>謝蓁薰</v>
      </c>
    </row>
    <row r="1984" spans="6:19" hidden="1" x14ac:dyDescent="0.25">
      <c r="F1984" t="s">
        <v>1799</v>
      </c>
      <c r="G1984" t="s">
        <v>401</v>
      </c>
      <c r="H1984" t="str">
        <f>VLOOKUP(record[[#This Row],[ProcessSN]],表格2_7[],2,FALSE)</f>
        <v>30-4118-018-550</v>
      </c>
      <c r="I1984" t="str">
        <f>VLOOKUP(record[[#This Row],[ProcessSN]],表格2_7[],3,FALSE)</f>
        <v>#100OQC</v>
      </c>
      <c r="J1984" t="s">
        <v>599</v>
      </c>
      <c r="K1984" s="195">
        <v>46128.32309027778</v>
      </c>
      <c r="L1984">
        <v>489</v>
      </c>
      <c r="M1984">
        <v>0</v>
      </c>
      <c r="N1984" s="98" t="str">
        <f>IF(record[[#This Row],[Memo]]="Browser:chrome os:android","平板報工",IF(record[[#This Row],[Memo]]=0,"委外",record[[#This Row],[Memo]]))</f>
        <v/>
      </c>
      <c r="O1984" t="s">
        <v>58</v>
      </c>
      <c r="P1984" t="s">
        <v>121</v>
      </c>
      <c r="Q1984" t="s">
        <v>58</v>
      </c>
      <c r="R1984" t="str">
        <f>IFERROR(VLOOKUP(record[[#This Row],[PCUSTID]],廠商[],2,FALSE),"")</f>
        <v/>
      </c>
      <c r="S1984" t="str">
        <f>VLOOKUP(record[[#This Row],[employeeID]],員工[],2,FALSE)</f>
        <v>謝素卿</v>
      </c>
    </row>
    <row r="1985" spans="6:19" hidden="1" x14ac:dyDescent="0.25">
      <c r="F1985" t="s">
        <v>1807</v>
      </c>
      <c r="G1985" t="s">
        <v>442</v>
      </c>
      <c r="H1985" t="str">
        <f>VLOOKUP(record[[#This Row],[ProcessSN]],表格2_7[],2,FALSE)</f>
        <v>30-4118-018-650</v>
      </c>
      <c r="I1985" t="str">
        <f>VLOOKUP(record[[#This Row],[ProcessSN]],表格2_7[],3,FALSE)</f>
        <v>#100OQC</v>
      </c>
      <c r="J1985" t="s">
        <v>599</v>
      </c>
      <c r="K1985" s="195">
        <v>46128.32203703704</v>
      </c>
      <c r="L1985">
        <v>286</v>
      </c>
      <c r="M1985">
        <v>0</v>
      </c>
      <c r="N1985" s="98" t="str">
        <f>IF(record[[#This Row],[Memo]]="Browser:chrome os:android","平板報工",IF(record[[#This Row],[Memo]]=0,"委外",record[[#This Row],[Memo]]))</f>
        <v/>
      </c>
      <c r="O1985" t="s">
        <v>58</v>
      </c>
      <c r="P1985" t="s">
        <v>121</v>
      </c>
      <c r="Q1985" t="s">
        <v>58</v>
      </c>
      <c r="R1985" t="str">
        <f>IFERROR(VLOOKUP(record[[#This Row],[PCUSTID]],廠商[],2,FALSE),"")</f>
        <v/>
      </c>
      <c r="S1985" t="str">
        <f>VLOOKUP(record[[#This Row],[employeeID]],員工[],2,FALSE)</f>
        <v>謝素卿</v>
      </c>
    </row>
    <row r="1986" spans="6:19" hidden="1" x14ac:dyDescent="0.25">
      <c r="F1986" t="s">
        <v>1803</v>
      </c>
      <c r="G1986" t="s">
        <v>417</v>
      </c>
      <c r="H1986" t="str">
        <f>VLOOKUP(record[[#This Row],[ProcessSN]],表格2_7[],2,FALSE)</f>
        <v>30-4118-018-5XX</v>
      </c>
      <c r="I1986" t="str">
        <f>VLOOKUP(record[[#This Row],[ProcessSN]],表格2_7[],3,FALSE)</f>
        <v>#06</v>
      </c>
      <c r="J1986" t="s">
        <v>593</v>
      </c>
      <c r="K1986" s="195">
        <v>46128.321516203701</v>
      </c>
      <c r="L1986">
        <v>128</v>
      </c>
      <c r="M1986">
        <v>1</v>
      </c>
      <c r="N1986" s="98" t="str">
        <f>IF(record[[#This Row],[Memo]]="Browser:chrome os:android","平板報工",IF(record[[#This Row],[Memo]]=0,"委外",record[[#This Row],[Memo]]))</f>
        <v>平板報工</v>
      </c>
      <c r="O1986" t="s">
        <v>643</v>
      </c>
      <c r="P1986" t="s">
        <v>691</v>
      </c>
      <c r="Q1986" t="s">
        <v>644</v>
      </c>
      <c r="R1986" t="str">
        <f>IFERROR(VLOOKUP(record[[#This Row],[PCUSTID]],廠商[],2,FALSE),"")</f>
        <v/>
      </c>
      <c r="S1986" t="str">
        <f>VLOOKUP(record[[#This Row],[employeeID]],員工[],2,FALSE)</f>
        <v>武氏賢</v>
      </c>
    </row>
    <row r="1987" spans="6:19" hidden="1" x14ac:dyDescent="0.25">
      <c r="F1987" t="s">
        <v>1803</v>
      </c>
      <c r="G1987" t="s">
        <v>417</v>
      </c>
      <c r="H1987" t="str">
        <f>VLOOKUP(record[[#This Row],[ProcessSN]],表格2_7[],2,FALSE)</f>
        <v>30-4118-018-5XX</v>
      </c>
      <c r="I1987" t="str">
        <f>VLOOKUP(record[[#This Row],[ProcessSN]],表格2_7[],3,FALSE)</f>
        <v>#06</v>
      </c>
      <c r="J1987" t="s">
        <v>593</v>
      </c>
      <c r="K1987" s="195">
        <v>46128.320914351854</v>
      </c>
      <c r="L1987">
        <v>125</v>
      </c>
      <c r="M1987">
        <v>0</v>
      </c>
      <c r="N1987" s="98" t="str">
        <f>IF(record[[#This Row],[Memo]]="Browser:chrome os:android","平板報工",IF(record[[#This Row],[Memo]]=0,"委外",record[[#This Row],[Memo]]))</f>
        <v>平板報工</v>
      </c>
      <c r="O1987" t="s">
        <v>643</v>
      </c>
      <c r="P1987" t="s">
        <v>180</v>
      </c>
      <c r="Q1987" t="s">
        <v>644</v>
      </c>
      <c r="R1987" t="str">
        <f>IFERROR(VLOOKUP(record[[#This Row],[PCUSTID]],廠商[],2,FALSE),"")</f>
        <v/>
      </c>
      <c r="S1987" t="str">
        <f>VLOOKUP(record[[#This Row],[employeeID]],員工[],2,FALSE)</f>
        <v>黎功江</v>
      </c>
    </row>
    <row r="1988" spans="6:19" hidden="1" x14ac:dyDescent="0.25">
      <c r="F1988" t="s">
        <v>1803</v>
      </c>
      <c r="G1988" t="s">
        <v>416</v>
      </c>
      <c r="H1988" t="str">
        <f>VLOOKUP(record[[#This Row],[ProcessSN]],表格2_7[],2,FALSE)</f>
        <v>30-4118-018-5XX</v>
      </c>
      <c r="I1988" t="str">
        <f>VLOOKUP(record[[#This Row],[ProcessSN]],表格2_7[],3,FALSE)</f>
        <v>#05</v>
      </c>
      <c r="J1988" t="s">
        <v>588</v>
      </c>
      <c r="K1988" s="195">
        <v>46128.31890046296</v>
      </c>
      <c r="L1988">
        <v>234</v>
      </c>
      <c r="M1988">
        <v>0</v>
      </c>
      <c r="N1988" s="98" t="str">
        <f>IF(record[[#This Row],[Memo]]="Browser:chrome os:android","平板報工",IF(record[[#This Row],[Memo]]=0,"委外",record[[#This Row],[Memo]]))</f>
        <v/>
      </c>
      <c r="O1988" t="s">
        <v>58</v>
      </c>
      <c r="P1988" t="s">
        <v>135</v>
      </c>
      <c r="Q1988" t="s">
        <v>58</v>
      </c>
      <c r="R1988" t="str">
        <f>IFERROR(VLOOKUP(record[[#This Row],[PCUSTID]],廠商[],2,FALSE),"")</f>
        <v/>
      </c>
      <c r="S1988" t="str">
        <f>VLOOKUP(record[[#This Row],[employeeID]],員工[],2,FALSE)</f>
        <v>阮士文</v>
      </c>
    </row>
    <row r="1989" spans="6:19" hidden="1" x14ac:dyDescent="0.25">
      <c r="F1989" t="s">
        <v>1803</v>
      </c>
      <c r="G1989" t="s">
        <v>414</v>
      </c>
      <c r="H1989" t="str">
        <f>VLOOKUP(record[[#This Row],[ProcessSN]],表格2_7[],2,FALSE)</f>
        <v>30-4118-018-5XX</v>
      </c>
      <c r="I1989" t="str">
        <f>VLOOKUP(record[[#This Row],[ProcessSN]],表格2_7[],3,FALSE)</f>
        <v>#03</v>
      </c>
      <c r="J1989" t="s">
        <v>588</v>
      </c>
      <c r="K1989" s="195">
        <v>46128.31627314815</v>
      </c>
      <c r="L1989">
        <v>0</v>
      </c>
      <c r="M1989">
        <v>24</v>
      </c>
      <c r="N1989" s="98" t="str">
        <f>IF(record[[#This Row],[Memo]]="Browser:chrome os:android","平板報工",IF(record[[#This Row],[Memo]]=0,"委外",record[[#This Row],[Memo]]))</f>
        <v/>
      </c>
      <c r="O1989" t="s">
        <v>58</v>
      </c>
      <c r="P1989" t="s">
        <v>135</v>
      </c>
      <c r="Q1989" t="s">
        <v>58</v>
      </c>
      <c r="R1989" t="str">
        <f>IFERROR(VLOOKUP(record[[#This Row],[PCUSTID]],廠商[],2,FALSE),"")</f>
        <v/>
      </c>
      <c r="S1989" t="str">
        <f>VLOOKUP(record[[#This Row],[employeeID]],員工[],2,FALSE)</f>
        <v>阮士文</v>
      </c>
    </row>
    <row r="1990" spans="6:19" hidden="1" x14ac:dyDescent="0.25">
      <c r="F1990" t="s">
        <v>1803</v>
      </c>
      <c r="G1990" t="s">
        <v>414</v>
      </c>
      <c r="H1990" t="str">
        <f>VLOOKUP(record[[#This Row],[ProcessSN]],表格2_7[],2,FALSE)</f>
        <v>30-4118-018-5XX</v>
      </c>
      <c r="I1990" t="str">
        <f>VLOOKUP(record[[#This Row],[ProcessSN]],表格2_7[],3,FALSE)</f>
        <v>#03</v>
      </c>
      <c r="J1990" t="s">
        <v>588</v>
      </c>
      <c r="K1990" s="195">
        <v>46128.316111111111</v>
      </c>
      <c r="L1990">
        <v>424</v>
      </c>
      <c r="M1990">
        <v>0</v>
      </c>
      <c r="N1990" s="98" t="str">
        <f>IF(record[[#This Row],[Memo]]="Browser:chrome os:android","平板報工",IF(record[[#This Row],[Memo]]=0,"委外",record[[#This Row],[Memo]]))</f>
        <v/>
      </c>
      <c r="O1990" t="s">
        <v>58</v>
      </c>
      <c r="P1990" t="s">
        <v>135</v>
      </c>
      <c r="Q1990" t="s">
        <v>58</v>
      </c>
      <c r="R1990" t="str">
        <f>IFERROR(VLOOKUP(record[[#This Row],[PCUSTID]],廠商[],2,FALSE),"")</f>
        <v/>
      </c>
      <c r="S1990" t="str">
        <f>VLOOKUP(record[[#This Row],[employeeID]],員工[],2,FALSE)</f>
        <v>阮士文</v>
      </c>
    </row>
    <row r="1991" spans="6:19" hidden="1" x14ac:dyDescent="0.25">
      <c r="F1991" t="s">
        <v>1794</v>
      </c>
      <c r="G1991" t="s">
        <v>414</v>
      </c>
      <c r="H1991" t="str">
        <f>VLOOKUP(record[[#This Row],[ProcessSN]],表格2_7[],2,FALSE)</f>
        <v>30-4118-018-5XX</v>
      </c>
      <c r="I1991" t="str">
        <f>VLOOKUP(record[[#This Row],[ProcessSN]],表格2_7[],3,FALSE)</f>
        <v>#03</v>
      </c>
      <c r="J1991" t="s">
        <v>588</v>
      </c>
      <c r="K1991" s="195">
        <v>46128.315451388888</v>
      </c>
      <c r="L1991">
        <v>368</v>
      </c>
      <c r="M1991">
        <v>0</v>
      </c>
      <c r="N1991" s="98" t="str">
        <f>IF(record[[#This Row],[Memo]]="Browser:chrome os:android","平板報工",IF(record[[#This Row],[Memo]]=0,"委外",record[[#This Row],[Memo]]))</f>
        <v/>
      </c>
      <c r="O1991" t="s">
        <v>58</v>
      </c>
      <c r="P1991" t="s">
        <v>135</v>
      </c>
      <c r="Q1991" t="s">
        <v>58</v>
      </c>
      <c r="R1991" t="str">
        <f>IFERROR(VLOOKUP(record[[#This Row],[PCUSTID]],廠商[],2,FALSE),"")</f>
        <v/>
      </c>
      <c r="S1991" t="str">
        <f>VLOOKUP(record[[#This Row],[employeeID]],員工[],2,FALSE)</f>
        <v>阮士文</v>
      </c>
    </row>
    <row r="1992" spans="6:19" hidden="1" x14ac:dyDescent="0.25">
      <c r="F1992" t="s">
        <v>1803</v>
      </c>
      <c r="G1992" t="s">
        <v>415</v>
      </c>
      <c r="H1992" t="str">
        <f>VLOOKUP(record[[#This Row],[ProcessSN]],表格2_7[],2,FALSE)</f>
        <v>30-4118-018-5XX</v>
      </c>
      <c r="I1992" t="str">
        <f>VLOOKUP(record[[#This Row],[ProcessSN]],表格2_7[],3,FALSE)</f>
        <v>#04</v>
      </c>
      <c r="J1992" t="s">
        <v>588</v>
      </c>
      <c r="K1992" s="195">
        <v>46128.315115740741</v>
      </c>
      <c r="L1992">
        <v>246</v>
      </c>
      <c r="M1992">
        <v>9</v>
      </c>
      <c r="N1992" s="98" t="str">
        <f>IF(record[[#This Row],[Memo]]="Browser:chrome os:android","平板報工",IF(record[[#This Row],[Memo]]=0,"委外",record[[#This Row],[Memo]]))</f>
        <v/>
      </c>
      <c r="O1992" t="s">
        <v>58</v>
      </c>
      <c r="P1992" t="s">
        <v>135</v>
      </c>
      <c r="Q1992" t="s">
        <v>58</v>
      </c>
      <c r="R1992" t="str">
        <f>IFERROR(VLOOKUP(record[[#This Row],[PCUSTID]],廠商[],2,FALSE),"")</f>
        <v/>
      </c>
      <c r="S1992" t="str">
        <f>VLOOKUP(record[[#This Row],[employeeID]],員工[],2,FALSE)</f>
        <v>阮士文</v>
      </c>
    </row>
    <row r="1993" spans="6:19" hidden="1" x14ac:dyDescent="0.25">
      <c r="F1993" t="s">
        <v>1787</v>
      </c>
      <c r="G1993" t="s">
        <v>466</v>
      </c>
      <c r="H1993" t="str">
        <f>VLOOKUP(record[[#This Row],[ProcessSN]],表格2_7[],2,FALSE)</f>
        <v>30-4118-018-XXX</v>
      </c>
      <c r="I1993" t="str">
        <f>VLOOKUP(record[[#This Row],[ProcessSN]],表格2_7[],3,FALSE)</f>
        <v>#01-2</v>
      </c>
      <c r="J1993" t="s">
        <v>588</v>
      </c>
      <c r="K1993" s="195">
        <v>46128.278865740744</v>
      </c>
      <c r="L1993">
        <v>540</v>
      </c>
      <c r="M1993">
        <v>0</v>
      </c>
      <c r="N1993" s="98" t="str">
        <f>IF(record[[#This Row],[Memo]]="Browser:chrome os:android","平板報工",IF(record[[#This Row],[Memo]]=0,"委外",record[[#This Row],[Memo]]))</f>
        <v>平板報工</v>
      </c>
      <c r="O1993" t="s">
        <v>643</v>
      </c>
      <c r="P1993" t="s">
        <v>806</v>
      </c>
      <c r="Q1993" t="s">
        <v>644</v>
      </c>
      <c r="R1993" t="str">
        <f>IFERROR(VLOOKUP(record[[#This Row],[PCUSTID]],廠商[],2,FALSE),"")</f>
        <v/>
      </c>
      <c r="S1993" t="str">
        <f>VLOOKUP(record[[#This Row],[employeeID]],員工[],2,FALSE)</f>
        <v>方思緯</v>
      </c>
    </row>
    <row r="1994" spans="6:19" hidden="1" x14ac:dyDescent="0.25">
      <c r="F1994" t="s">
        <v>1782</v>
      </c>
      <c r="G1994" t="s">
        <v>418</v>
      </c>
      <c r="H1994" t="str">
        <f>VLOOKUP(record[[#This Row],[ProcessSN]],表格2_7[],2,FALSE)</f>
        <v>30-4118-018-5XX</v>
      </c>
      <c r="I1994" t="str">
        <f>VLOOKUP(record[[#This Row],[ProcessSN]],表格2_7[],3,FALSE)</f>
        <v>#07</v>
      </c>
      <c r="J1994" t="s">
        <v>588</v>
      </c>
      <c r="K1994" s="195">
        <v>46128.27616898148</v>
      </c>
      <c r="L1994">
        <v>220</v>
      </c>
      <c r="M1994">
        <v>3</v>
      </c>
      <c r="N1994" s="98" t="str">
        <f>IF(record[[#This Row],[Memo]]="Browser:chrome os:android","平板報工",IF(record[[#This Row],[Memo]]=0,"委外",record[[#This Row],[Memo]]))</f>
        <v>平板報工</v>
      </c>
      <c r="O1994" t="s">
        <v>643</v>
      </c>
      <c r="P1994" t="s">
        <v>843</v>
      </c>
      <c r="Q1994" t="s">
        <v>644</v>
      </c>
      <c r="R1994" t="str">
        <f>IFERROR(VLOOKUP(record[[#This Row],[PCUSTID]],廠商[],2,FALSE),"")</f>
        <v/>
      </c>
      <c r="S1994" t="str">
        <f>VLOOKUP(record[[#This Row],[employeeID]],員工[],2,FALSE)</f>
        <v>張楚承</v>
      </c>
    </row>
    <row r="1995" spans="6:19" hidden="1" x14ac:dyDescent="0.25">
      <c r="F1995" t="s">
        <v>1803</v>
      </c>
      <c r="G1995" t="s">
        <v>417</v>
      </c>
      <c r="H1995" t="str">
        <f>VLOOKUP(record[[#This Row],[ProcessSN]],表格2_7[],2,FALSE)</f>
        <v>30-4118-018-5XX</v>
      </c>
      <c r="I1995" t="str">
        <f>VLOOKUP(record[[#This Row],[ProcessSN]],表格2_7[],3,FALSE)</f>
        <v>#06</v>
      </c>
      <c r="J1995" t="s">
        <v>593</v>
      </c>
      <c r="K1995" s="195">
        <v>46127.989907407406</v>
      </c>
      <c r="L1995">
        <v>80</v>
      </c>
      <c r="M1995">
        <v>0</v>
      </c>
      <c r="N1995" s="98" t="str">
        <f>IF(record[[#This Row],[Memo]]="Browser:chrome os:android","平板報工",IF(record[[#This Row],[Memo]]=0,"委外",record[[#This Row],[Memo]]))</f>
        <v>平板報工</v>
      </c>
      <c r="O1995" t="s">
        <v>643</v>
      </c>
      <c r="P1995" t="s">
        <v>1669</v>
      </c>
      <c r="Q1995" t="s">
        <v>644</v>
      </c>
      <c r="R1995" t="str">
        <f>IFERROR(VLOOKUP(record[[#This Row],[PCUSTID]],廠商[],2,FALSE),"")</f>
        <v/>
      </c>
      <c r="S1995" t="str">
        <f>VLOOKUP(record[[#This Row],[employeeID]],員工[],2,FALSE)</f>
        <v>武氏麗娟</v>
      </c>
    </row>
    <row r="1996" spans="6:19" hidden="1" x14ac:dyDescent="0.25">
      <c r="F1996" t="s">
        <v>1803</v>
      </c>
      <c r="G1996" t="s">
        <v>415</v>
      </c>
      <c r="H1996" t="str">
        <f>VLOOKUP(record[[#This Row],[ProcessSN]],表格2_7[],2,FALSE)</f>
        <v>30-4118-018-5XX</v>
      </c>
      <c r="I1996" t="str">
        <f>VLOOKUP(record[[#This Row],[ProcessSN]],表格2_7[],3,FALSE)</f>
        <v>#04</v>
      </c>
      <c r="J1996" t="s">
        <v>588</v>
      </c>
      <c r="K1996" s="195">
        <v>46127.983240740738</v>
      </c>
      <c r="L1996">
        <v>0</v>
      </c>
      <c r="M1996">
        <v>4</v>
      </c>
      <c r="N1996" s="98" t="str">
        <f>IF(record[[#This Row],[Memo]]="Browser:chrome os:android","平板報工",IF(record[[#This Row],[Memo]]=0,"委外",record[[#This Row],[Memo]]))</f>
        <v>平板報工</v>
      </c>
      <c r="O1996" t="s">
        <v>643</v>
      </c>
      <c r="P1996" t="s">
        <v>180</v>
      </c>
      <c r="Q1996" t="s">
        <v>644</v>
      </c>
      <c r="R1996" t="str">
        <f>IFERROR(VLOOKUP(record[[#This Row],[PCUSTID]],廠商[],2,FALSE),"")</f>
        <v/>
      </c>
      <c r="S1996" t="str">
        <f>VLOOKUP(record[[#This Row],[employeeID]],員工[],2,FALSE)</f>
        <v>黎功江</v>
      </c>
    </row>
    <row r="1997" spans="6:19" hidden="1" x14ac:dyDescent="0.25">
      <c r="F1997" t="s">
        <v>1803</v>
      </c>
      <c r="G1997" t="s">
        <v>417</v>
      </c>
      <c r="H1997" t="str">
        <f>VLOOKUP(record[[#This Row],[ProcessSN]],表格2_7[],2,FALSE)</f>
        <v>30-4118-018-5XX</v>
      </c>
      <c r="I1997" t="str">
        <f>VLOOKUP(record[[#This Row],[ProcessSN]],表格2_7[],3,FALSE)</f>
        <v>#06</v>
      </c>
      <c r="J1997" t="s">
        <v>593</v>
      </c>
      <c r="K1997" s="195">
        <v>46127.982754629629</v>
      </c>
      <c r="L1997">
        <v>60</v>
      </c>
      <c r="M1997">
        <v>0</v>
      </c>
      <c r="N1997" s="98" t="str">
        <f>IF(record[[#This Row],[Memo]]="Browser:chrome os:android","平板報工",IF(record[[#This Row],[Memo]]=0,"委外",record[[#This Row],[Memo]]))</f>
        <v>平板報工</v>
      </c>
      <c r="O1997" t="s">
        <v>643</v>
      </c>
      <c r="P1997" t="s">
        <v>180</v>
      </c>
      <c r="Q1997" t="s">
        <v>644</v>
      </c>
      <c r="R1997" t="str">
        <f>IFERROR(VLOOKUP(record[[#This Row],[PCUSTID]],廠商[],2,FALSE),"")</f>
        <v/>
      </c>
      <c r="S1997" t="str">
        <f>VLOOKUP(record[[#This Row],[employeeID]],員工[],2,FALSE)</f>
        <v>黎功江</v>
      </c>
    </row>
    <row r="1998" spans="6:19" hidden="1" x14ac:dyDescent="0.25">
      <c r="F1998" t="s">
        <v>1803</v>
      </c>
      <c r="G1998" t="s">
        <v>416</v>
      </c>
      <c r="H1998" t="str">
        <f>VLOOKUP(record[[#This Row],[ProcessSN]],表格2_7[],2,FALSE)</f>
        <v>30-4118-018-5XX</v>
      </c>
      <c r="I1998" t="str">
        <f>VLOOKUP(record[[#This Row],[ProcessSN]],表格2_7[],3,FALSE)</f>
        <v>#05</v>
      </c>
      <c r="J1998" t="s">
        <v>588</v>
      </c>
      <c r="K1998" s="195">
        <v>46127.982175925928</v>
      </c>
      <c r="L1998">
        <v>190</v>
      </c>
      <c r="M1998">
        <v>0</v>
      </c>
      <c r="N1998" s="98" t="str">
        <f>IF(record[[#This Row],[Memo]]="Browser:chrome os:android","平板報工",IF(record[[#This Row],[Memo]]=0,"委外",record[[#This Row],[Memo]]))</f>
        <v>平板報工</v>
      </c>
      <c r="O1998" t="s">
        <v>643</v>
      </c>
      <c r="P1998" t="s">
        <v>1098</v>
      </c>
      <c r="Q1998" t="s">
        <v>644</v>
      </c>
      <c r="R1998" t="str">
        <f>IFERROR(VLOOKUP(record[[#This Row],[PCUSTID]],廠商[],2,FALSE),"")</f>
        <v/>
      </c>
      <c r="S1998" t="str">
        <f>VLOOKUP(record[[#This Row],[employeeID]],員工[],2,FALSE)</f>
        <v>阮氏芳英(英)</v>
      </c>
    </row>
    <row r="1999" spans="6:19" hidden="1" x14ac:dyDescent="0.25">
      <c r="F1999" t="s">
        <v>1803</v>
      </c>
      <c r="G1999" t="s">
        <v>415</v>
      </c>
      <c r="H1999" t="str">
        <f>VLOOKUP(record[[#This Row],[ProcessSN]],表格2_7[],2,FALSE)</f>
        <v>30-4118-018-5XX</v>
      </c>
      <c r="I1999" t="str">
        <f>VLOOKUP(record[[#This Row],[ProcessSN]],表格2_7[],3,FALSE)</f>
        <v>#04</v>
      </c>
      <c r="J1999" t="s">
        <v>588</v>
      </c>
      <c r="K1999" s="195">
        <v>46127.980682870373</v>
      </c>
      <c r="L1999">
        <v>120</v>
      </c>
      <c r="M1999">
        <v>0</v>
      </c>
      <c r="N1999" s="98" t="str">
        <f>IF(record[[#This Row],[Memo]]="Browser:chrome os:android","平板報工",IF(record[[#This Row],[Memo]]=0,"委外",record[[#This Row],[Memo]]))</f>
        <v>平板報工</v>
      </c>
      <c r="O1999" t="s">
        <v>643</v>
      </c>
      <c r="P1999" t="s">
        <v>180</v>
      </c>
      <c r="Q1999" t="s">
        <v>644</v>
      </c>
      <c r="R1999" t="str">
        <f>IFERROR(VLOOKUP(record[[#This Row],[PCUSTID]],廠商[],2,FALSE),"")</f>
        <v/>
      </c>
      <c r="S1999" t="str">
        <f>VLOOKUP(record[[#This Row],[employeeID]],員工[],2,FALSE)</f>
        <v>黎功江</v>
      </c>
    </row>
    <row r="2000" spans="6:19" hidden="1" x14ac:dyDescent="0.25">
      <c r="F2000" t="s">
        <v>1794</v>
      </c>
      <c r="G2000" t="s">
        <v>414</v>
      </c>
      <c r="H2000" t="str">
        <f>VLOOKUP(record[[#This Row],[ProcessSN]],表格2_7[],2,FALSE)</f>
        <v>30-4118-018-5XX</v>
      </c>
      <c r="I2000" t="str">
        <f>VLOOKUP(record[[#This Row],[ProcessSN]],表格2_7[],3,FALSE)</f>
        <v>#03</v>
      </c>
      <c r="J2000" t="s">
        <v>588</v>
      </c>
      <c r="K2000" s="195">
        <v>46127.979907407411</v>
      </c>
      <c r="L2000">
        <v>460</v>
      </c>
      <c r="M2000">
        <v>0</v>
      </c>
      <c r="N2000" s="98" t="str">
        <f>IF(record[[#This Row],[Memo]]="Browser:chrome os:android","平板報工",IF(record[[#This Row],[Memo]]=0,"委外",record[[#This Row],[Memo]]))</f>
        <v>平板報工</v>
      </c>
      <c r="O2000" t="s">
        <v>643</v>
      </c>
      <c r="P2000" t="s">
        <v>180</v>
      </c>
      <c r="Q2000" t="s">
        <v>644</v>
      </c>
      <c r="R2000" t="str">
        <f>IFERROR(VLOOKUP(record[[#This Row],[PCUSTID]],廠商[],2,FALSE),"")</f>
        <v/>
      </c>
      <c r="S2000" t="str">
        <f>VLOOKUP(record[[#This Row],[employeeID]],員工[],2,FALSE)</f>
        <v>黎功江</v>
      </c>
    </row>
    <row r="2001" spans="6:19" hidden="1" x14ac:dyDescent="0.25">
      <c r="F2001" t="s">
        <v>1782</v>
      </c>
      <c r="G2001" t="s">
        <v>418</v>
      </c>
      <c r="H2001" t="str">
        <f>VLOOKUP(record[[#This Row],[ProcessSN]],表格2_7[],2,FALSE)</f>
        <v>30-4118-018-5XX</v>
      </c>
      <c r="I2001" t="str">
        <f>VLOOKUP(record[[#This Row],[ProcessSN]],表格2_7[],3,FALSE)</f>
        <v>#07</v>
      </c>
      <c r="J2001" t="s">
        <v>588</v>
      </c>
      <c r="K2001" s="195">
        <v>46127.969074074077</v>
      </c>
      <c r="L2001">
        <v>184</v>
      </c>
      <c r="M2001">
        <v>5</v>
      </c>
      <c r="N2001" s="98" t="str">
        <f>IF(record[[#This Row],[Memo]]="Browser:chrome os:android","平板報工",IF(record[[#This Row],[Memo]]=0,"委外",record[[#This Row],[Memo]]))</f>
        <v>平板報工</v>
      </c>
      <c r="O2001" t="s">
        <v>643</v>
      </c>
      <c r="P2001" t="s">
        <v>89</v>
      </c>
      <c r="Q2001" t="s">
        <v>644</v>
      </c>
      <c r="R2001" t="str">
        <f>IFERROR(VLOOKUP(record[[#This Row],[PCUSTID]],廠商[],2,FALSE),"")</f>
        <v/>
      </c>
      <c r="S2001" t="str">
        <f>VLOOKUP(record[[#This Row],[employeeID]],員工[],2,FALSE)</f>
        <v>李美蓮</v>
      </c>
    </row>
    <row r="2002" spans="6:19" hidden="1" x14ac:dyDescent="0.25">
      <c r="F2002" t="s">
        <v>1803</v>
      </c>
      <c r="G2002" t="s">
        <v>415</v>
      </c>
      <c r="H2002" t="str">
        <f>VLOOKUP(record[[#This Row],[ProcessSN]],表格2_7[],2,FALSE)</f>
        <v>30-4118-018-5XX</v>
      </c>
      <c r="I2002" t="str">
        <f>VLOOKUP(record[[#This Row],[ProcessSN]],表格2_7[],3,FALSE)</f>
        <v>#04</v>
      </c>
      <c r="J2002" t="s">
        <v>588</v>
      </c>
      <c r="K2002" s="195">
        <v>46127.829259259262</v>
      </c>
      <c r="L2002">
        <v>90</v>
      </c>
      <c r="M2002">
        <v>0</v>
      </c>
      <c r="N2002" s="98" t="str">
        <f>IF(record[[#This Row],[Memo]]="Browser:chrome os:android","平板報工",IF(record[[#This Row],[Memo]]=0,"委外",record[[#This Row],[Memo]]))</f>
        <v>平板報工</v>
      </c>
      <c r="O2002" t="s">
        <v>643</v>
      </c>
      <c r="P2002" t="s">
        <v>785</v>
      </c>
      <c r="Q2002" t="s">
        <v>644</v>
      </c>
      <c r="R2002" t="str">
        <f>IFERROR(VLOOKUP(record[[#This Row],[PCUSTID]],廠商[],2,FALSE),"")</f>
        <v/>
      </c>
      <c r="S2002" t="str">
        <f>VLOOKUP(record[[#This Row],[employeeID]],員工[],2,FALSE)</f>
        <v>謝刻光</v>
      </c>
    </row>
    <row r="2003" spans="6:19" hidden="1" x14ac:dyDescent="0.25">
      <c r="F2003" t="s">
        <v>1790</v>
      </c>
      <c r="G2003" t="s">
        <v>374</v>
      </c>
      <c r="H2003" t="str">
        <f>VLOOKUP(record[[#This Row],[ProcessSN]],表格2_7[],2,FALSE)</f>
        <v>30-4118-018-4XX</v>
      </c>
      <c r="I2003" t="str">
        <f>VLOOKUP(record[[#This Row],[ProcessSN]],表格2_7[],3,FALSE)</f>
        <v>#04</v>
      </c>
      <c r="J2003" t="s">
        <v>588</v>
      </c>
      <c r="K2003" s="195">
        <v>46127.828946759262</v>
      </c>
      <c r="L2003">
        <v>24</v>
      </c>
      <c r="M2003">
        <v>0</v>
      </c>
      <c r="N2003" s="98" t="str">
        <f>IF(record[[#This Row],[Memo]]="Browser:chrome os:android","平板報工",IF(record[[#This Row],[Memo]]=0,"委外",record[[#This Row],[Memo]]))</f>
        <v>平板報工</v>
      </c>
      <c r="O2003" t="s">
        <v>643</v>
      </c>
      <c r="P2003" t="s">
        <v>785</v>
      </c>
      <c r="Q2003" t="s">
        <v>644</v>
      </c>
      <c r="R2003" t="str">
        <f>IFERROR(VLOOKUP(record[[#This Row],[PCUSTID]],廠商[],2,FALSE),"")</f>
        <v/>
      </c>
      <c r="S2003" t="str">
        <f>VLOOKUP(record[[#This Row],[employeeID]],員工[],2,FALSE)</f>
        <v>謝刻光</v>
      </c>
    </row>
    <row r="2004" spans="6:19" hidden="1" x14ac:dyDescent="0.25">
      <c r="F2004" t="s">
        <v>1803</v>
      </c>
      <c r="G2004" t="s">
        <v>414</v>
      </c>
      <c r="H2004" t="str">
        <f>VLOOKUP(record[[#This Row],[ProcessSN]],表格2_7[],2,FALSE)</f>
        <v>30-4118-018-5XX</v>
      </c>
      <c r="I2004" t="str">
        <f>VLOOKUP(record[[#This Row],[ProcessSN]],表格2_7[],3,FALSE)</f>
        <v>#03</v>
      </c>
      <c r="J2004" t="s">
        <v>588</v>
      </c>
      <c r="K2004" s="195">
        <v>46127.828692129631</v>
      </c>
      <c r="L2004">
        <v>442</v>
      </c>
      <c r="M2004">
        <v>0</v>
      </c>
      <c r="N2004" s="98" t="str">
        <f>IF(record[[#This Row],[Memo]]="Browser:chrome os:android","平板報工",IF(record[[#This Row],[Memo]]=0,"委外",record[[#This Row],[Memo]]))</f>
        <v>平板報工</v>
      </c>
      <c r="O2004" t="s">
        <v>643</v>
      </c>
      <c r="P2004" t="s">
        <v>785</v>
      </c>
      <c r="Q2004" t="s">
        <v>644</v>
      </c>
      <c r="R2004" t="str">
        <f>IFERROR(VLOOKUP(record[[#This Row],[PCUSTID]],廠商[],2,FALSE),"")</f>
        <v/>
      </c>
      <c r="S2004" t="str">
        <f>VLOOKUP(record[[#This Row],[employeeID]],員工[],2,FALSE)</f>
        <v>謝刻光</v>
      </c>
    </row>
    <row r="2005" spans="6:19" hidden="1" x14ac:dyDescent="0.25">
      <c r="F2005" t="s">
        <v>1784</v>
      </c>
      <c r="G2005" t="s">
        <v>403</v>
      </c>
      <c r="H2005" t="str">
        <f>VLOOKUP(record[[#This Row],[ProcessSN]],表格2_7[],2,FALSE)</f>
        <v>30-4118-018-550</v>
      </c>
      <c r="I2005" t="str">
        <f>VLOOKUP(record[[#This Row],[ProcessSN]],表格2_7[],3,FALSE)</f>
        <v>#100SHIP</v>
      </c>
      <c r="J2005" t="s">
        <v>600</v>
      </c>
      <c r="K2005" s="195">
        <v>46127.761180555557</v>
      </c>
      <c r="L2005">
        <v>11</v>
      </c>
      <c r="M2005">
        <v>0</v>
      </c>
      <c r="N2005" s="98" t="str">
        <f>IF(record[[#This Row],[Memo]]="Browser:chrome os:android","平板報工",IF(record[[#This Row],[Memo]]=0,"委外",record[[#This Row],[Memo]]))</f>
        <v/>
      </c>
      <c r="O2005" t="s">
        <v>58</v>
      </c>
      <c r="P2005" t="s">
        <v>886</v>
      </c>
      <c r="Q2005" t="s">
        <v>58</v>
      </c>
      <c r="R2005" t="str">
        <f>IFERROR(VLOOKUP(record[[#This Row],[PCUSTID]],廠商[],2,FALSE),"")</f>
        <v/>
      </c>
      <c r="S2005" t="str">
        <f>VLOOKUP(record[[#This Row],[employeeID]],員工[],2,FALSE)</f>
        <v>謝蓁薰</v>
      </c>
    </row>
    <row r="2006" spans="6:19" hidden="1" x14ac:dyDescent="0.25">
      <c r="F2006" t="s">
        <v>1784</v>
      </c>
      <c r="G2006" t="s">
        <v>402</v>
      </c>
      <c r="H2006" t="str">
        <f>VLOOKUP(record[[#This Row],[ProcessSN]],表格2_7[],2,FALSE)</f>
        <v>30-4118-018-550</v>
      </c>
      <c r="I2006" t="str">
        <f>VLOOKUP(record[[#This Row],[ProcessSN]],表格2_7[],3,FALSE)</f>
        <v>#100STOCK</v>
      </c>
      <c r="J2006" t="s">
        <v>592</v>
      </c>
      <c r="K2006" s="195">
        <v>46127.761076388888</v>
      </c>
      <c r="L2006">
        <v>11</v>
      </c>
      <c r="M2006">
        <v>0</v>
      </c>
      <c r="N2006" s="98" t="str">
        <f>IF(record[[#This Row],[Memo]]="Browser:chrome os:android","平板報工",IF(record[[#This Row],[Memo]]=0,"委外",record[[#This Row],[Memo]]))</f>
        <v/>
      </c>
      <c r="O2006" t="s">
        <v>58</v>
      </c>
      <c r="P2006" t="s">
        <v>886</v>
      </c>
      <c r="Q2006" t="s">
        <v>58</v>
      </c>
      <c r="R2006" t="str">
        <f>IFERROR(VLOOKUP(record[[#This Row],[PCUSTID]],廠商[],2,FALSE),"")</f>
        <v/>
      </c>
      <c r="S2006" t="str">
        <f>VLOOKUP(record[[#This Row],[employeeID]],員工[],2,FALSE)</f>
        <v>謝蓁薰</v>
      </c>
    </row>
    <row r="2007" spans="6:19" hidden="1" x14ac:dyDescent="0.25">
      <c r="F2007" t="s">
        <v>1799</v>
      </c>
      <c r="G2007" t="s">
        <v>400</v>
      </c>
      <c r="H2007" t="str">
        <f>VLOOKUP(record[[#This Row],[ProcessSN]],表格2_7[],2,FALSE)</f>
        <v>30-4118-018-550</v>
      </c>
      <c r="I2007" t="str">
        <f>VLOOKUP(record[[#This Row],[ProcessSN]],表格2_7[],3,FALSE)</f>
        <v>#100</v>
      </c>
      <c r="J2007" t="s">
        <v>598</v>
      </c>
      <c r="K2007" s="195">
        <v>46127.755648148152</v>
      </c>
      <c r="L2007">
        <v>489</v>
      </c>
      <c r="M2007">
        <v>0</v>
      </c>
      <c r="N2007" s="98" t="str">
        <f>IF(record[[#This Row],[Memo]]="Browser:chrome os:android","平板報工",IF(record[[#This Row],[Memo]]=0,"委外",record[[#This Row],[Memo]]))</f>
        <v/>
      </c>
      <c r="O2007" t="s">
        <v>58</v>
      </c>
      <c r="P2007" t="s">
        <v>99</v>
      </c>
      <c r="Q2007" t="s">
        <v>58</v>
      </c>
      <c r="R2007" t="str">
        <f>IFERROR(VLOOKUP(record[[#This Row],[PCUSTID]],廠商[],2,FALSE),"")</f>
        <v/>
      </c>
      <c r="S2007" t="str">
        <f>VLOOKUP(record[[#This Row],[employeeID]],員工[],2,FALSE)</f>
        <v>阮氏河</v>
      </c>
    </row>
    <row r="2008" spans="6:19" hidden="1" x14ac:dyDescent="0.25">
      <c r="F2008" t="s">
        <v>1719</v>
      </c>
      <c r="G2008" t="s">
        <v>358</v>
      </c>
      <c r="H2008" t="str">
        <f>VLOOKUP(record[[#This Row],[ProcessSN]],表格2_7[],2,FALSE)</f>
        <v>30-4118-018-450</v>
      </c>
      <c r="I2008" t="str">
        <f>VLOOKUP(record[[#This Row],[ProcessSN]],表格2_7[],3,FALSE)</f>
        <v>#08IQC</v>
      </c>
      <c r="J2008" t="s">
        <v>583</v>
      </c>
      <c r="K2008" s="195">
        <v>46127.729548611111</v>
      </c>
      <c r="L2008">
        <v>1</v>
      </c>
      <c r="M2008">
        <v>0</v>
      </c>
      <c r="N2008" s="98" t="str">
        <f>IF(record[[#This Row],[Memo]]="Browser:chrome os:android","平板報工",IF(record[[#This Row],[Memo]]=0,"委外",record[[#This Row],[Memo]]))</f>
        <v/>
      </c>
      <c r="O2008" t="s">
        <v>58</v>
      </c>
      <c r="P2008" t="s">
        <v>109</v>
      </c>
      <c r="Q2008" t="s">
        <v>58</v>
      </c>
      <c r="R2008" t="str">
        <f>IFERROR(VLOOKUP(record[[#This Row],[PCUSTID]],廠商[],2,FALSE),"")</f>
        <v/>
      </c>
      <c r="S2008" t="str">
        <f>VLOOKUP(record[[#This Row],[employeeID]],員工[],2,FALSE)</f>
        <v>裴氏璧鳳</v>
      </c>
    </row>
    <row r="2009" spans="6:19" hidden="1" x14ac:dyDescent="0.25">
      <c r="F2009" t="s">
        <v>1787</v>
      </c>
      <c r="G2009" t="s">
        <v>470</v>
      </c>
      <c r="H2009" t="str">
        <f>VLOOKUP(record[[#This Row],[ProcessSN]],表格2_7[],2,FALSE)</f>
        <v>30-4118-018-XXX</v>
      </c>
      <c r="I2009" t="str">
        <f>VLOOKUP(record[[#This Row],[ProcessSN]],表格2_7[],3,FALSE)</f>
        <v>#02IQC</v>
      </c>
      <c r="J2009" t="s">
        <v>583</v>
      </c>
      <c r="K2009" s="195">
        <v>46127.723773148151</v>
      </c>
      <c r="L2009">
        <v>336</v>
      </c>
      <c r="M2009">
        <v>0</v>
      </c>
      <c r="N2009" s="98" t="str">
        <f>IF(record[[#This Row],[Memo]]="Browser:chrome os:android","平板報工",IF(record[[#This Row],[Memo]]=0,"委外",record[[#This Row],[Memo]]))</f>
        <v/>
      </c>
      <c r="O2009" t="s">
        <v>58</v>
      </c>
      <c r="P2009" t="s">
        <v>109</v>
      </c>
      <c r="Q2009" t="s">
        <v>58</v>
      </c>
      <c r="R2009" t="str">
        <f>IFERROR(VLOOKUP(record[[#This Row],[PCUSTID]],廠商[],2,FALSE),"")</f>
        <v/>
      </c>
      <c r="S2009" t="str">
        <f>VLOOKUP(record[[#This Row],[employeeID]],員工[],2,FALSE)</f>
        <v>裴氏璧鳳</v>
      </c>
    </row>
    <row r="2010" spans="6:19" hidden="1" x14ac:dyDescent="0.25">
      <c r="F2010" t="s">
        <v>1655</v>
      </c>
      <c r="G2010" t="s">
        <v>470</v>
      </c>
      <c r="H2010" t="str">
        <f>VLOOKUP(record[[#This Row],[ProcessSN]],表格2_7[],2,FALSE)</f>
        <v>30-4118-018-XXX</v>
      </c>
      <c r="I2010" t="str">
        <f>VLOOKUP(record[[#This Row],[ProcessSN]],表格2_7[],3,FALSE)</f>
        <v>#02IQC</v>
      </c>
      <c r="J2010" t="s">
        <v>583</v>
      </c>
      <c r="K2010" s="195">
        <v>46127.723611111112</v>
      </c>
      <c r="L2010">
        <v>924</v>
      </c>
      <c r="M2010">
        <v>0</v>
      </c>
      <c r="N2010" s="98" t="str">
        <f>IF(record[[#This Row],[Memo]]="Browser:chrome os:android","平板報工",IF(record[[#This Row],[Memo]]=0,"委外",record[[#This Row],[Memo]]))</f>
        <v/>
      </c>
      <c r="O2010" t="s">
        <v>58</v>
      </c>
      <c r="P2010" t="s">
        <v>109</v>
      </c>
      <c r="Q2010" t="s">
        <v>58</v>
      </c>
      <c r="R2010" t="str">
        <f>IFERROR(VLOOKUP(record[[#This Row],[PCUSTID]],廠商[],2,FALSE),"")</f>
        <v/>
      </c>
      <c r="S2010" t="str">
        <f>VLOOKUP(record[[#This Row],[employeeID]],員工[],2,FALSE)</f>
        <v>裴氏璧鳳</v>
      </c>
    </row>
    <row r="2011" spans="6:19" hidden="1" x14ac:dyDescent="0.25">
      <c r="F2011" t="s">
        <v>1602</v>
      </c>
      <c r="G2011" t="s">
        <v>470</v>
      </c>
      <c r="H2011" t="str">
        <f>VLOOKUP(record[[#This Row],[ProcessSN]],表格2_7[],2,FALSE)</f>
        <v>30-4118-018-XXX</v>
      </c>
      <c r="I2011" t="str">
        <f>VLOOKUP(record[[#This Row],[ProcessSN]],表格2_7[],3,FALSE)</f>
        <v>#02IQC</v>
      </c>
      <c r="J2011" t="s">
        <v>583</v>
      </c>
      <c r="K2011" s="195">
        <v>46127.72347222222</v>
      </c>
      <c r="L2011">
        <v>27</v>
      </c>
      <c r="M2011">
        <v>0</v>
      </c>
      <c r="N2011" s="98" t="str">
        <f>IF(record[[#This Row],[Memo]]="Browser:chrome os:android","平板報工",IF(record[[#This Row],[Memo]]=0,"委外",record[[#This Row],[Memo]]))</f>
        <v/>
      </c>
      <c r="O2011" t="s">
        <v>58</v>
      </c>
      <c r="P2011" t="s">
        <v>109</v>
      </c>
      <c r="Q2011" t="s">
        <v>58</v>
      </c>
      <c r="R2011" t="str">
        <f>IFERROR(VLOOKUP(record[[#This Row],[PCUSTID]],廠商[],2,FALSE),"")</f>
        <v/>
      </c>
      <c r="S2011" t="str">
        <f>VLOOKUP(record[[#This Row],[employeeID]],員工[],2,FALSE)</f>
        <v>裴氏璧鳳</v>
      </c>
    </row>
    <row r="2012" spans="6:19" hidden="1" x14ac:dyDescent="0.25">
      <c r="F2012" t="s">
        <v>1772</v>
      </c>
      <c r="G2012" t="s">
        <v>470</v>
      </c>
      <c r="H2012" t="str">
        <f>VLOOKUP(record[[#This Row],[ProcessSN]],表格2_7[],2,FALSE)</f>
        <v>30-4118-018-XXX</v>
      </c>
      <c r="I2012" t="str">
        <f>VLOOKUP(record[[#This Row],[ProcessSN]],表格2_7[],3,FALSE)</f>
        <v>#02IQC</v>
      </c>
      <c r="J2012" t="s">
        <v>583</v>
      </c>
      <c r="K2012" s="195">
        <v>46127.723310185182</v>
      </c>
      <c r="L2012">
        <v>97</v>
      </c>
      <c r="M2012">
        <v>0</v>
      </c>
      <c r="N2012" s="98" t="str">
        <f>IF(record[[#This Row],[Memo]]="Browser:chrome os:android","平板報工",IF(record[[#This Row],[Memo]]=0,"委外",record[[#This Row],[Memo]]))</f>
        <v/>
      </c>
      <c r="O2012" t="s">
        <v>58</v>
      </c>
      <c r="P2012" t="s">
        <v>109</v>
      </c>
      <c r="Q2012" t="s">
        <v>58</v>
      </c>
      <c r="R2012" t="str">
        <f>IFERROR(VLOOKUP(record[[#This Row],[PCUSTID]],廠商[],2,FALSE),"")</f>
        <v/>
      </c>
      <c r="S2012" t="str">
        <f>VLOOKUP(record[[#This Row],[employeeID]],員工[],2,FALSE)</f>
        <v>裴氏璧鳳</v>
      </c>
    </row>
    <row r="2013" spans="6:19" hidden="1" x14ac:dyDescent="0.25">
      <c r="F2013" t="s">
        <v>1799</v>
      </c>
      <c r="G2013" t="s">
        <v>399</v>
      </c>
      <c r="H2013" t="str">
        <f>VLOOKUP(record[[#This Row],[ProcessSN]],表格2_7[],2,FALSE)</f>
        <v>30-4118-018-550</v>
      </c>
      <c r="I2013" t="str">
        <f>VLOOKUP(record[[#This Row],[ProcessSN]],表格2_7[],3,FALSE)</f>
        <v>#08IQC</v>
      </c>
      <c r="J2013" t="s">
        <v>583</v>
      </c>
      <c r="K2013" s="195">
        <v>46127.700636574074</v>
      </c>
      <c r="L2013">
        <v>624</v>
      </c>
      <c r="M2013">
        <v>0</v>
      </c>
      <c r="N2013" s="98" t="str">
        <f>IF(record[[#This Row],[Memo]]="Browser:chrome os:android","平板報工",IF(record[[#This Row],[Memo]]=0,"委外",record[[#This Row],[Memo]]))</f>
        <v/>
      </c>
      <c r="O2013" t="s">
        <v>58</v>
      </c>
      <c r="P2013" t="s">
        <v>109</v>
      </c>
      <c r="Q2013" t="s">
        <v>58</v>
      </c>
      <c r="R2013" t="str">
        <f>IFERROR(VLOOKUP(record[[#This Row],[PCUSTID]],廠商[],2,FALSE),"")</f>
        <v/>
      </c>
      <c r="S2013" t="str">
        <f>VLOOKUP(record[[#This Row],[employeeID]],員工[],2,FALSE)</f>
        <v>裴氏璧鳳</v>
      </c>
    </row>
    <row r="2014" spans="6:19" hidden="1" x14ac:dyDescent="0.25">
      <c r="F2014" t="s">
        <v>1799</v>
      </c>
      <c r="G2014" t="s">
        <v>398</v>
      </c>
      <c r="H2014" t="str">
        <f>VLOOKUP(record[[#This Row],[ProcessSN]],表格2_7[],2,FALSE)</f>
        <v>30-4118-018-550</v>
      </c>
      <c r="I2014" t="str">
        <f>VLOOKUP(record[[#This Row],[ProcessSN]],表格2_7[],3,FALSE)</f>
        <v>#08RCV</v>
      </c>
      <c r="J2014" t="s">
        <v>591</v>
      </c>
      <c r="K2014" s="195">
        <v>46127.699745370373</v>
      </c>
      <c r="L2014">
        <v>624</v>
      </c>
      <c r="M2014">
        <v>0</v>
      </c>
      <c r="N2014" s="98" t="str">
        <f>IF(record[[#This Row],[Memo]]="Browser:chrome os:android","平板報工",IF(record[[#This Row],[Memo]]=0,"委外",record[[#This Row],[Memo]]))</f>
        <v/>
      </c>
      <c r="O2014" t="s">
        <v>58</v>
      </c>
      <c r="P2014" t="s">
        <v>186</v>
      </c>
      <c r="Q2014" t="s">
        <v>58</v>
      </c>
      <c r="R2014" t="str">
        <f>IFERROR(VLOOKUP(record[[#This Row],[PCUSTID]],廠商[],2,FALSE),"")</f>
        <v/>
      </c>
      <c r="S2014" t="str">
        <f>VLOOKUP(record[[#This Row],[employeeID]],員工[],2,FALSE)</f>
        <v>許文姍</v>
      </c>
    </row>
    <row r="2015" spans="6:19" hidden="1" x14ac:dyDescent="0.25">
      <c r="F2015" t="s">
        <v>1782</v>
      </c>
      <c r="G2015" t="s">
        <v>420</v>
      </c>
      <c r="H2015" t="str">
        <f>VLOOKUP(record[[#This Row],[ProcessSN]],表格2_7[],2,FALSE)</f>
        <v>30-4118-018-5XX</v>
      </c>
      <c r="I2015" t="str">
        <f>VLOOKUP(record[[#This Row],[ProcessSN]],表格2_7[],3,FALSE)</f>
        <v>#07STOCK</v>
      </c>
      <c r="J2015" t="s">
        <v>592</v>
      </c>
      <c r="K2015" s="195">
        <v>46127.668032407404</v>
      </c>
      <c r="L2015">
        <v>217</v>
      </c>
      <c r="M2015">
        <v>0</v>
      </c>
      <c r="N2015" s="98" t="str">
        <f>IF(record[[#This Row],[Memo]]="Browser:chrome os:android","平板報工",IF(record[[#This Row],[Memo]]=0,"委外",record[[#This Row],[Memo]]))</f>
        <v/>
      </c>
      <c r="O2015" t="s">
        <v>58</v>
      </c>
      <c r="P2015" t="s">
        <v>186</v>
      </c>
      <c r="Q2015" t="s">
        <v>58</v>
      </c>
      <c r="R2015" t="str">
        <f>IFERROR(VLOOKUP(record[[#This Row],[PCUSTID]],廠商[],2,FALSE),"")</f>
        <v/>
      </c>
      <c r="S2015" t="str">
        <f>VLOOKUP(record[[#This Row],[employeeID]],員工[],2,FALSE)</f>
        <v>許文姍</v>
      </c>
    </row>
    <row r="2016" spans="6:19" hidden="1" x14ac:dyDescent="0.25">
      <c r="F2016" t="s">
        <v>1767</v>
      </c>
      <c r="G2016" t="s">
        <v>420</v>
      </c>
      <c r="H2016" t="str">
        <f>VLOOKUP(record[[#This Row],[ProcessSN]],表格2_7[],2,FALSE)</f>
        <v>30-4118-018-5XX</v>
      </c>
      <c r="I2016" t="str">
        <f>VLOOKUP(record[[#This Row],[ProcessSN]],表格2_7[],3,FALSE)</f>
        <v>#07STOCK</v>
      </c>
      <c r="J2016" t="s">
        <v>592</v>
      </c>
      <c r="K2016" s="195">
        <v>46127.667858796296</v>
      </c>
      <c r="L2016">
        <v>273</v>
      </c>
      <c r="M2016">
        <v>0</v>
      </c>
      <c r="N2016" s="98" t="str">
        <f>IF(record[[#This Row],[Memo]]="Browser:chrome os:android","平板報工",IF(record[[#This Row],[Memo]]=0,"委外",record[[#This Row],[Memo]]))</f>
        <v/>
      </c>
      <c r="O2016" t="s">
        <v>58</v>
      </c>
      <c r="P2016" t="s">
        <v>186</v>
      </c>
      <c r="Q2016" t="s">
        <v>58</v>
      </c>
      <c r="R2016" t="str">
        <f>IFERROR(VLOOKUP(record[[#This Row],[PCUSTID]],廠商[],2,FALSE),"")</f>
        <v/>
      </c>
      <c r="S2016" t="str">
        <f>VLOOKUP(record[[#This Row],[employeeID]],員工[],2,FALSE)</f>
        <v>許文姍</v>
      </c>
    </row>
    <row r="2017" spans="6:19" hidden="1" x14ac:dyDescent="0.25">
      <c r="F2017" t="s">
        <v>1653</v>
      </c>
      <c r="G2017" t="s">
        <v>420</v>
      </c>
      <c r="H2017" t="str">
        <f>VLOOKUP(record[[#This Row],[ProcessSN]],表格2_7[],2,FALSE)</f>
        <v>30-4118-018-5XX</v>
      </c>
      <c r="I2017" t="str">
        <f>VLOOKUP(record[[#This Row],[ProcessSN]],表格2_7[],3,FALSE)</f>
        <v>#07STOCK</v>
      </c>
      <c r="J2017" t="s">
        <v>592</v>
      </c>
      <c r="K2017" s="195">
        <v>46127.667604166665</v>
      </c>
      <c r="L2017">
        <v>31</v>
      </c>
      <c r="M2017">
        <v>0</v>
      </c>
      <c r="N2017" s="98" t="str">
        <f>IF(record[[#This Row],[Memo]]="Browser:chrome os:android","平板報工",IF(record[[#This Row],[Memo]]=0,"委外",record[[#This Row],[Memo]]))</f>
        <v/>
      </c>
      <c r="O2017" t="s">
        <v>58</v>
      </c>
      <c r="P2017" t="s">
        <v>186</v>
      </c>
      <c r="Q2017" t="s">
        <v>58</v>
      </c>
      <c r="R2017" t="str">
        <f>IFERROR(VLOOKUP(record[[#This Row],[PCUSTID]],廠商[],2,FALSE),"")</f>
        <v/>
      </c>
      <c r="S2017" t="str">
        <f>VLOOKUP(record[[#This Row],[employeeID]],員工[],2,FALSE)</f>
        <v>許文姍</v>
      </c>
    </row>
    <row r="2018" spans="6:19" hidden="1" x14ac:dyDescent="0.25">
      <c r="F2018" t="s">
        <v>1812</v>
      </c>
      <c r="G2018" t="s">
        <v>397</v>
      </c>
      <c r="H2018" t="str">
        <f>VLOOKUP(record[[#This Row],[ProcessSN]],表格2_7[],2,FALSE)</f>
        <v>30-4118-018-550</v>
      </c>
      <c r="I2018" t="str">
        <f>VLOOKUP(record[[#This Row],[ProcessSN]],表格2_7[],3,FALSE)</f>
        <v>#08</v>
      </c>
      <c r="J2018" t="s">
        <v>597</v>
      </c>
      <c r="K2018" s="195">
        <v>46127.66611111111</v>
      </c>
      <c r="L2018">
        <v>521</v>
      </c>
      <c r="M2018">
        <v>0</v>
      </c>
      <c r="N2018" s="98" t="str">
        <f>IF(record[[#This Row],[Memo]]="Browser:chrome os:android","平板報工",IF(record[[#This Row],[Memo]]=0,"委外",record[[#This Row],[Memo]]))</f>
        <v>委外</v>
      </c>
      <c r="P2018" t="s">
        <v>186</v>
      </c>
      <c r="Q2018" t="s">
        <v>287</v>
      </c>
      <c r="R2018" t="str">
        <f>IFERROR(VLOOKUP(record[[#This Row],[PCUSTID]],廠商[],2,FALSE),"")</f>
        <v>泉盛</v>
      </c>
      <c r="S2018" t="str">
        <f>VLOOKUP(record[[#This Row],[employeeID]],員工[],2,FALSE)</f>
        <v>許文姍</v>
      </c>
    </row>
    <row r="2019" spans="6:19" hidden="1" x14ac:dyDescent="0.25">
      <c r="F2019" t="s">
        <v>1812</v>
      </c>
      <c r="G2019" t="s">
        <v>396</v>
      </c>
      <c r="H2019" t="str">
        <f>VLOOKUP(record[[#This Row],[ProcessSN]],表格2_7[],2,FALSE)</f>
        <v>30-4118-018-550</v>
      </c>
      <c r="I2019" t="str">
        <f>VLOOKUP(record[[#This Row],[ProcessSN]],表格2_7[],3,FALSE)</f>
        <v>#08PICK</v>
      </c>
      <c r="J2019" t="s">
        <v>582</v>
      </c>
      <c r="K2019" s="195">
        <v>46127.665879629632</v>
      </c>
      <c r="L2019">
        <v>521</v>
      </c>
      <c r="M2019">
        <v>0</v>
      </c>
      <c r="N2019" s="98" t="str">
        <f>IF(record[[#This Row],[Memo]]="Browser:chrome os:android","平板報工",IF(record[[#This Row],[Memo]]=0,"委外",record[[#This Row],[Memo]]))</f>
        <v/>
      </c>
      <c r="O2019" t="s">
        <v>58</v>
      </c>
      <c r="P2019" t="s">
        <v>186</v>
      </c>
      <c r="Q2019" t="s">
        <v>58</v>
      </c>
      <c r="R2019" t="str">
        <f>IFERROR(VLOOKUP(record[[#This Row],[PCUSTID]],廠商[],2,FALSE),"")</f>
        <v/>
      </c>
      <c r="S2019" t="str">
        <f>VLOOKUP(record[[#This Row],[employeeID]],員工[],2,FALSE)</f>
        <v>許文姍</v>
      </c>
    </row>
    <row r="2020" spans="6:19" hidden="1" x14ac:dyDescent="0.25">
      <c r="F2020" t="s">
        <v>1782</v>
      </c>
      <c r="G2020" t="s">
        <v>419</v>
      </c>
      <c r="H2020" t="str">
        <f>VLOOKUP(record[[#This Row],[ProcessSN]],表格2_7[],2,FALSE)</f>
        <v>30-4118-018-5XX</v>
      </c>
      <c r="I2020" t="str">
        <f>VLOOKUP(record[[#This Row],[ProcessSN]],表格2_7[],3,FALSE)</f>
        <v>#07QC</v>
      </c>
      <c r="J2020" t="s">
        <v>589</v>
      </c>
      <c r="K2020" s="195">
        <v>46127.655659722222</v>
      </c>
      <c r="L2020">
        <v>17</v>
      </c>
      <c r="M2020">
        <v>0</v>
      </c>
      <c r="N2020" s="98" t="str">
        <f>IF(record[[#This Row],[Memo]]="Browser:chrome os:android","平板報工",IF(record[[#This Row],[Memo]]=0,"委外",record[[#This Row],[Memo]]))</f>
        <v/>
      </c>
      <c r="O2020" t="s">
        <v>58</v>
      </c>
      <c r="P2020" t="s">
        <v>141</v>
      </c>
      <c r="Q2020" t="s">
        <v>58</v>
      </c>
      <c r="R2020" t="str">
        <f>IFERROR(VLOOKUP(record[[#This Row],[PCUSTID]],廠商[],2,FALSE),"")</f>
        <v/>
      </c>
      <c r="S2020" t="str">
        <f>VLOOKUP(record[[#This Row],[employeeID]],員工[],2,FALSE)</f>
        <v>蔣梅</v>
      </c>
    </row>
    <row r="2021" spans="6:19" hidden="1" x14ac:dyDescent="0.25">
      <c r="F2021" t="s">
        <v>1790</v>
      </c>
      <c r="G2021" t="s">
        <v>374</v>
      </c>
      <c r="H2021" t="str">
        <f>VLOOKUP(record[[#This Row],[ProcessSN]],表格2_7[],2,FALSE)</f>
        <v>30-4118-018-4XX</v>
      </c>
      <c r="I2021" t="str">
        <f>VLOOKUP(record[[#This Row],[ProcessSN]],表格2_7[],3,FALSE)</f>
        <v>#04</v>
      </c>
      <c r="J2021" t="s">
        <v>588</v>
      </c>
      <c r="K2021" s="195">
        <v>46127.6484375</v>
      </c>
      <c r="L2021">
        <v>130</v>
      </c>
      <c r="M2021">
        <v>1</v>
      </c>
      <c r="N2021" s="98" t="str">
        <f>IF(record[[#This Row],[Memo]]="Browser:chrome os:android","平板報工",IF(record[[#This Row],[Memo]]=0,"委外",record[[#This Row],[Memo]]))</f>
        <v>平板報工</v>
      </c>
      <c r="O2021" t="s">
        <v>643</v>
      </c>
      <c r="P2021" t="s">
        <v>107</v>
      </c>
      <c r="Q2021" t="s">
        <v>644</v>
      </c>
      <c r="R2021" t="str">
        <f>IFERROR(VLOOKUP(record[[#This Row],[PCUSTID]],廠商[],2,FALSE),"")</f>
        <v/>
      </c>
      <c r="S2021" t="str">
        <f>VLOOKUP(record[[#This Row],[employeeID]],員工[],2,FALSE)</f>
        <v>黎氏順</v>
      </c>
    </row>
    <row r="2022" spans="6:19" hidden="1" x14ac:dyDescent="0.25">
      <c r="F2022" t="s">
        <v>1803</v>
      </c>
      <c r="G2022" t="s">
        <v>414</v>
      </c>
      <c r="H2022" t="str">
        <f>VLOOKUP(record[[#This Row],[ProcessSN]],表格2_7[],2,FALSE)</f>
        <v>30-4118-018-5XX</v>
      </c>
      <c r="I2022" t="str">
        <f>VLOOKUP(record[[#This Row],[ProcessSN]],表格2_7[],3,FALSE)</f>
        <v>#03</v>
      </c>
      <c r="J2022" t="s">
        <v>588</v>
      </c>
      <c r="K2022" s="195">
        <v>46127.647638888891</v>
      </c>
      <c r="L2022">
        <v>613</v>
      </c>
      <c r="M2022">
        <v>4</v>
      </c>
      <c r="N2022" s="98" t="str">
        <f>IF(record[[#This Row],[Memo]]="Browser:chrome os:android","平板報工",IF(record[[#This Row],[Memo]]=0,"委外",record[[#This Row],[Memo]]))</f>
        <v>平板報工</v>
      </c>
      <c r="O2022" t="s">
        <v>643</v>
      </c>
      <c r="P2022" t="s">
        <v>107</v>
      </c>
      <c r="Q2022" t="s">
        <v>644</v>
      </c>
      <c r="R2022" t="str">
        <f>IFERROR(VLOOKUP(record[[#This Row],[PCUSTID]],廠商[],2,FALSE),"")</f>
        <v/>
      </c>
      <c r="S2022" t="str">
        <f>VLOOKUP(record[[#This Row],[employeeID]],員工[],2,FALSE)</f>
        <v>黎氏順</v>
      </c>
    </row>
    <row r="2023" spans="6:19" hidden="1" x14ac:dyDescent="0.25">
      <c r="F2023" t="s">
        <v>1787</v>
      </c>
      <c r="G2023" t="s">
        <v>466</v>
      </c>
      <c r="H2023" t="str">
        <f>VLOOKUP(record[[#This Row],[ProcessSN]],表格2_7[],2,FALSE)</f>
        <v>30-4118-018-XXX</v>
      </c>
      <c r="I2023" t="str">
        <f>VLOOKUP(record[[#This Row],[ProcessSN]],表格2_7[],3,FALSE)</f>
        <v>#01-2</v>
      </c>
      <c r="J2023" t="s">
        <v>588</v>
      </c>
      <c r="K2023" s="195">
        <v>46127.646122685182</v>
      </c>
      <c r="L2023">
        <v>100</v>
      </c>
      <c r="M2023">
        <v>0</v>
      </c>
      <c r="N2023" s="98" t="str">
        <f>IF(record[[#This Row],[Memo]]="Browser:chrome os:android","平板報工",IF(record[[#This Row],[Memo]]=0,"委外",record[[#This Row],[Memo]]))</f>
        <v>平板報工</v>
      </c>
      <c r="O2023" t="s">
        <v>643</v>
      </c>
      <c r="P2023" t="s">
        <v>107</v>
      </c>
      <c r="Q2023" t="s">
        <v>644</v>
      </c>
      <c r="R2023" t="str">
        <f>IFERROR(VLOOKUP(record[[#This Row],[PCUSTID]],廠商[],2,FALSE),"")</f>
        <v/>
      </c>
      <c r="S2023" t="str">
        <f>VLOOKUP(record[[#This Row],[employeeID]],員工[],2,FALSE)</f>
        <v>黎氏順</v>
      </c>
    </row>
    <row r="2024" spans="6:19" hidden="1" x14ac:dyDescent="0.25">
      <c r="F2024" t="s">
        <v>1790</v>
      </c>
      <c r="G2024" t="s">
        <v>376</v>
      </c>
      <c r="H2024" t="str">
        <f>VLOOKUP(record[[#This Row],[ProcessSN]],表格2_7[],2,FALSE)</f>
        <v>30-4118-018-4XX</v>
      </c>
      <c r="I2024" t="str">
        <f>VLOOKUP(record[[#This Row],[ProcessSN]],表格2_7[],3,FALSE)</f>
        <v>#06</v>
      </c>
      <c r="J2024" t="s">
        <v>593</v>
      </c>
      <c r="K2024" s="195">
        <v>46127.624189814815</v>
      </c>
      <c r="L2024">
        <v>115</v>
      </c>
      <c r="M2024">
        <v>0</v>
      </c>
      <c r="N2024" s="98" t="str">
        <f>IF(record[[#This Row],[Memo]]="Browser:chrome os:android","平板報工",IF(record[[#This Row],[Memo]]=0,"委外",record[[#This Row],[Memo]]))</f>
        <v>平板報工</v>
      </c>
      <c r="O2024" t="s">
        <v>643</v>
      </c>
      <c r="P2024" t="s">
        <v>166</v>
      </c>
      <c r="Q2024" t="s">
        <v>644</v>
      </c>
      <c r="R2024" t="str">
        <f>IFERROR(VLOOKUP(record[[#This Row],[PCUSTID]],廠商[],2,FALSE),"")</f>
        <v/>
      </c>
      <c r="S2024" t="str">
        <f>VLOOKUP(record[[#This Row],[employeeID]],員工[],2,FALSE)</f>
        <v>阮懷香</v>
      </c>
    </row>
    <row r="2025" spans="6:19" hidden="1" x14ac:dyDescent="0.25">
      <c r="F2025" t="s">
        <v>1790</v>
      </c>
      <c r="G2025" t="s">
        <v>376</v>
      </c>
      <c r="H2025" t="str">
        <f>VLOOKUP(record[[#This Row],[ProcessSN]],表格2_7[],2,FALSE)</f>
        <v>30-4118-018-4XX</v>
      </c>
      <c r="I2025" t="str">
        <f>VLOOKUP(record[[#This Row],[ProcessSN]],表格2_7[],3,FALSE)</f>
        <v>#06</v>
      </c>
      <c r="J2025" t="s">
        <v>593</v>
      </c>
      <c r="K2025" s="195">
        <v>46127.624039351853</v>
      </c>
      <c r="L2025">
        <v>96</v>
      </c>
      <c r="M2025">
        <v>0</v>
      </c>
      <c r="N2025" s="98" t="str">
        <f>IF(record[[#This Row],[Memo]]="Browser:chrome os:android","平板報工",IF(record[[#This Row],[Memo]]=0,"委外",record[[#This Row],[Memo]]))</f>
        <v>平板報工</v>
      </c>
      <c r="O2025" t="s">
        <v>643</v>
      </c>
      <c r="P2025" t="s">
        <v>1413</v>
      </c>
      <c r="Q2025" t="s">
        <v>644</v>
      </c>
      <c r="R2025" t="str">
        <f>IFERROR(VLOOKUP(record[[#This Row],[PCUSTID]],廠商[],2,FALSE),"")</f>
        <v/>
      </c>
      <c r="S2025" t="str">
        <f>VLOOKUP(record[[#This Row],[employeeID]],員工[],2,FALSE)</f>
        <v>阮氏芳英(芳)</v>
      </c>
    </row>
    <row r="2026" spans="6:19" hidden="1" x14ac:dyDescent="0.25">
      <c r="F2026" t="s">
        <v>1637</v>
      </c>
      <c r="G2026" t="s">
        <v>450</v>
      </c>
      <c r="H2026" t="str">
        <f>VLOOKUP(record[[#This Row],[ProcessSN]],表格2_7[],2,FALSE)</f>
        <v>30-4118-018-6XX</v>
      </c>
      <c r="I2026" t="str">
        <f>VLOOKUP(record[[#This Row],[ProcessSN]],表格2_7[],3,FALSE)</f>
        <v>#06</v>
      </c>
      <c r="J2026" t="s">
        <v>593</v>
      </c>
      <c r="K2026" s="195">
        <v>46127.622731481482</v>
      </c>
      <c r="L2026">
        <v>27</v>
      </c>
      <c r="M2026">
        <v>0</v>
      </c>
      <c r="N2026" s="98" t="str">
        <f>IF(record[[#This Row],[Memo]]="Browser:chrome os:android","平板報工",IF(record[[#This Row],[Memo]]=0,"委外",record[[#This Row],[Memo]]))</f>
        <v>平板報工</v>
      </c>
      <c r="O2026" t="s">
        <v>643</v>
      </c>
      <c r="P2026" t="s">
        <v>1413</v>
      </c>
      <c r="Q2026" t="s">
        <v>644</v>
      </c>
      <c r="R2026" t="str">
        <f>IFERROR(VLOOKUP(record[[#This Row],[PCUSTID]],廠商[],2,FALSE),"")</f>
        <v/>
      </c>
      <c r="S2026" t="str">
        <f>VLOOKUP(record[[#This Row],[employeeID]],員工[],2,FALSE)</f>
        <v>阮氏芳英(芳)</v>
      </c>
    </row>
    <row r="2027" spans="6:19" hidden="1" x14ac:dyDescent="0.25">
      <c r="F2027" t="s">
        <v>1782</v>
      </c>
      <c r="G2027" t="s">
        <v>419</v>
      </c>
      <c r="H2027" t="str">
        <f>VLOOKUP(record[[#This Row],[ProcessSN]],表格2_7[],2,FALSE)</f>
        <v>30-4118-018-5XX</v>
      </c>
      <c r="I2027" t="str">
        <f>VLOOKUP(record[[#This Row],[ProcessSN]],表格2_7[],3,FALSE)</f>
        <v>#07QC</v>
      </c>
      <c r="J2027" t="s">
        <v>589</v>
      </c>
      <c r="K2027" s="195">
        <v>46127.615856481483</v>
      </c>
      <c r="L2027">
        <v>1</v>
      </c>
      <c r="M2027">
        <v>0</v>
      </c>
      <c r="N2027" s="98" t="str">
        <f>IF(record[[#This Row],[Memo]]="Browser:chrome os:android","平板報工",IF(record[[#This Row],[Memo]]=0,"委外",record[[#This Row],[Memo]]))</f>
        <v/>
      </c>
      <c r="O2027" t="s">
        <v>58</v>
      </c>
      <c r="P2027" t="s">
        <v>141</v>
      </c>
      <c r="Q2027" t="s">
        <v>58</v>
      </c>
      <c r="R2027" t="str">
        <f>IFERROR(VLOOKUP(record[[#This Row],[PCUSTID]],廠商[],2,FALSE),"")</f>
        <v/>
      </c>
      <c r="S2027" t="str">
        <f>VLOOKUP(record[[#This Row],[employeeID]],員工[],2,FALSE)</f>
        <v>蔣梅</v>
      </c>
    </row>
    <row r="2028" spans="6:19" hidden="1" x14ac:dyDescent="0.25">
      <c r="F2028" t="s">
        <v>1782</v>
      </c>
      <c r="G2028" t="s">
        <v>419</v>
      </c>
      <c r="H2028" t="str">
        <f>VLOOKUP(record[[#This Row],[ProcessSN]],表格2_7[],2,FALSE)</f>
        <v>30-4118-018-5XX</v>
      </c>
      <c r="I2028" t="str">
        <f>VLOOKUP(record[[#This Row],[ProcessSN]],表格2_7[],3,FALSE)</f>
        <v>#07QC</v>
      </c>
      <c r="J2028" t="s">
        <v>589</v>
      </c>
      <c r="K2028" s="195">
        <v>46127.614849537036</v>
      </c>
      <c r="L2028">
        <v>34</v>
      </c>
      <c r="M2028">
        <v>0</v>
      </c>
      <c r="N2028" s="98" t="str">
        <f>IF(record[[#This Row],[Memo]]="Browser:chrome os:android","平板報工",IF(record[[#This Row],[Memo]]=0,"委外",record[[#This Row],[Memo]]))</f>
        <v/>
      </c>
      <c r="O2028" t="s">
        <v>58</v>
      </c>
      <c r="P2028" t="s">
        <v>141</v>
      </c>
      <c r="Q2028" t="s">
        <v>58</v>
      </c>
      <c r="R2028" t="str">
        <f>IFERROR(VLOOKUP(record[[#This Row],[PCUSTID]],廠商[],2,FALSE),"")</f>
        <v/>
      </c>
      <c r="S2028" t="str">
        <f>VLOOKUP(record[[#This Row],[employeeID]],員工[],2,FALSE)</f>
        <v>蔣梅</v>
      </c>
    </row>
    <row r="2029" spans="6:19" hidden="1" x14ac:dyDescent="0.25">
      <c r="F2029" t="s">
        <v>1653</v>
      </c>
      <c r="G2029" t="s">
        <v>419</v>
      </c>
      <c r="H2029" t="str">
        <f>VLOOKUP(record[[#This Row],[ProcessSN]],表格2_7[],2,FALSE)</f>
        <v>30-4118-018-5XX</v>
      </c>
      <c r="I2029" t="str">
        <f>VLOOKUP(record[[#This Row],[ProcessSN]],表格2_7[],3,FALSE)</f>
        <v>#07QC</v>
      </c>
      <c r="J2029" t="s">
        <v>589</v>
      </c>
      <c r="K2029" s="195">
        <v>46127.613900462966</v>
      </c>
      <c r="L2029">
        <v>31</v>
      </c>
      <c r="M2029">
        <v>0</v>
      </c>
      <c r="N2029" s="98" t="str">
        <f>IF(record[[#This Row],[Memo]]="Browser:chrome os:android","平板報工",IF(record[[#This Row],[Memo]]=0,"委外",record[[#This Row],[Memo]]))</f>
        <v/>
      </c>
      <c r="O2029" t="s">
        <v>58</v>
      </c>
      <c r="P2029" t="s">
        <v>141</v>
      </c>
      <c r="Q2029" t="s">
        <v>58</v>
      </c>
      <c r="R2029" t="str">
        <f>IFERROR(VLOOKUP(record[[#This Row],[PCUSTID]],廠商[],2,FALSE),"")</f>
        <v/>
      </c>
      <c r="S2029" t="str">
        <f>VLOOKUP(record[[#This Row],[employeeID]],員工[],2,FALSE)</f>
        <v>蔣梅</v>
      </c>
    </row>
    <row r="2030" spans="6:19" hidden="1" x14ac:dyDescent="0.25">
      <c r="F2030" t="s">
        <v>1782</v>
      </c>
      <c r="G2030" t="s">
        <v>418</v>
      </c>
      <c r="H2030" t="str">
        <f>VLOOKUP(record[[#This Row],[ProcessSN]],表格2_7[],2,FALSE)</f>
        <v>30-4118-018-5XX</v>
      </c>
      <c r="I2030" t="str">
        <f>VLOOKUP(record[[#This Row],[ProcessSN]],表格2_7[],3,FALSE)</f>
        <v>#07</v>
      </c>
      <c r="J2030" t="s">
        <v>588</v>
      </c>
      <c r="K2030" s="195">
        <v>46127.612187500003</v>
      </c>
      <c r="L2030">
        <v>168</v>
      </c>
      <c r="M2030">
        <v>0</v>
      </c>
      <c r="N2030" s="98" t="str">
        <f>IF(record[[#This Row],[Memo]]="Browser:chrome os:android","平板報工",IF(record[[#This Row],[Memo]]=0,"委外",record[[#This Row],[Memo]]))</f>
        <v>平板報工</v>
      </c>
      <c r="O2030" t="s">
        <v>643</v>
      </c>
      <c r="P2030" t="s">
        <v>145</v>
      </c>
      <c r="Q2030" t="s">
        <v>644</v>
      </c>
      <c r="R2030" t="str">
        <f>IFERROR(VLOOKUP(record[[#This Row],[PCUSTID]],廠商[],2,FALSE),"")</f>
        <v/>
      </c>
      <c r="S2030" t="str">
        <f>VLOOKUP(record[[#This Row],[employeeID]],員工[],2,FALSE)</f>
        <v>阮秋霞</v>
      </c>
    </row>
    <row r="2031" spans="6:19" hidden="1" x14ac:dyDescent="0.25">
      <c r="F2031" t="s">
        <v>1767</v>
      </c>
      <c r="G2031" t="s">
        <v>419</v>
      </c>
      <c r="H2031" t="str">
        <f>VLOOKUP(record[[#This Row],[ProcessSN]],表格2_7[],2,FALSE)</f>
        <v>30-4118-018-5XX</v>
      </c>
      <c r="I2031" t="str">
        <f>VLOOKUP(record[[#This Row],[ProcessSN]],表格2_7[],3,FALSE)</f>
        <v>#07QC</v>
      </c>
      <c r="J2031" t="s">
        <v>589</v>
      </c>
      <c r="K2031" s="195">
        <v>46127.610567129632</v>
      </c>
      <c r="L2031">
        <v>273</v>
      </c>
      <c r="M2031">
        <v>0</v>
      </c>
      <c r="N2031" s="98" t="str">
        <f>IF(record[[#This Row],[Memo]]="Browser:chrome os:android","平板報工",IF(record[[#This Row],[Memo]]=0,"委外",record[[#This Row],[Memo]]))</f>
        <v/>
      </c>
      <c r="O2031" t="s">
        <v>58</v>
      </c>
      <c r="P2031" t="s">
        <v>141</v>
      </c>
      <c r="Q2031" t="s">
        <v>58</v>
      </c>
      <c r="R2031" t="str">
        <f>IFERROR(VLOOKUP(record[[#This Row],[PCUSTID]],廠商[],2,FALSE),"")</f>
        <v/>
      </c>
      <c r="S2031" t="str">
        <f>VLOOKUP(record[[#This Row],[employeeID]],員工[],2,FALSE)</f>
        <v>蔣梅</v>
      </c>
    </row>
    <row r="2032" spans="6:19" hidden="1" x14ac:dyDescent="0.25">
      <c r="F2032" t="s">
        <v>1782</v>
      </c>
      <c r="G2032" t="s">
        <v>419</v>
      </c>
      <c r="H2032" t="str">
        <f>VLOOKUP(record[[#This Row],[ProcessSN]],表格2_7[],2,FALSE)</f>
        <v>30-4118-018-5XX</v>
      </c>
      <c r="I2032" t="str">
        <f>VLOOKUP(record[[#This Row],[ProcessSN]],表格2_7[],3,FALSE)</f>
        <v>#07QC</v>
      </c>
      <c r="J2032" t="s">
        <v>589</v>
      </c>
      <c r="K2032" s="195">
        <v>46127.609236111108</v>
      </c>
      <c r="L2032">
        <v>165</v>
      </c>
      <c r="M2032">
        <v>0</v>
      </c>
      <c r="N2032" s="98" t="str">
        <f>IF(record[[#This Row],[Memo]]="Browser:chrome os:android","平板報工",IF(record[[#This Row],[Memo]]=0,"委外",record[[#This Row],[Memo]]))</f>
        <v/>
      </c>
      <c r="O2032" t="s">
        <v>58</v>
      </c>
      <c r="P2032" t="s">
        <v>141</v>
      </c>
      <c r="Q2032" t="s">
        <v>58</v>
      </c>
      <c r="R2032" t="str">
        <f>IFERROR(VLOOKUP(record[[#This Row],[PCUSTID]],廠商[],2,FALSE),"")</f>
        <v/>
      </c>
      <c r="S2032" t="str">
        <f>VLOOKUP(record[[#This Row],[employeeID]],員工[],2,FALSE)</f>
        <v>蔣梅</v>
      </c>
    </row>
    <row r="2033" spans="6:19" hidden="1" x14ac:dyDescent="0.25">
      <c r="F2033" t="s">
        <v>1767</v>
      </c>
      <c r="G2033" t="s">
        <v>418</v>
      </c>
      <c r="H2033" t="str">
        <f>VLOOKUP(record[[#This Row],[ProcessSN]],表格2_7[],2,FALSE)</f>
        <v>30-4118-018-5XX</v>
      </c>
      <c r="I2033" t="str">
        <f>VLOOKUP(record[[#This Row],[ProcessSN]],表格2_7[],3,FALSE)</f>
        <v>#07</v>
      </c>
      <c r="J2033" t="s">
        <v>588</v>
      </c>
      <c r="K2033" s="195">
        <v>46127.599409722221</v>
      </c>
      <c r="L2033">
        <v>187</v>
      </c>
      <c r="M2033">
        <v>2</v>
      </c>
      <c r="N2033" s="98" t="str">
        <f>IF(record[[#This Row],[Memo]]="Browser:chrome os:android","平板報工",IF(record[[#This Row],[Memo]]=0,"委外",record[[#This Row],[Memo]]))</f>
        <v>4/15覆回*3PCS</v>
      </c>
      <c r="O2033" t="s">
        <v>1811</v>
      </c>
      <c r="P2033" t="s">
        <v>1075</v>
      </c>
      <c r="Q2033" t="s">
        <v>58</v>
      </c>
      <c r="R2033" t="str">
        <f>IFERROR(VLOOKUP(record[[#This Row],[PCUSTID]],廠商[],2,FALSE),"")</f>
        <v/>
      </c>
      <c r="S2033" t="str">
        <f>VLOOKUP(record[[#This Row],[employeeID]],員工[],2,FALSE)</f>
        <v>吳宥叡</v>
      </c>
    </row>
    <row r="2034" spans="6:19" hidden="1" x14ac:dyDescent="0.25">
      <c r="F2034" t="s">
        <v>1803</v>
      </c>
      <c r="G2034" t="s">
        <v>413</v>
      </c>
      <c r="H2034" t="str">
        <f>VLOOKUP(record[[#This Row],[ProcessSN]],表格2_7[],2,FALSE)</f>
        <v>30-4118-018-5XX</v>
      </c>
      <c r="I2034" t="str">
        <f>VLOOKUP(record[[#This Row],[ProcessSN]],表格2_7[],3,FALSE)</f>
        <v>#03GIVE</v>
      </c>
      <c r="J2034" t="s">
        <v>587</v>
      </c>
      <c r="K2034" s="195">
        <v>46127.597442129627</v>
      </c>
      <c r="L2034">
        <v>1384</v>
      </c>
      <c r="M2034">
        <v>0</v>
      </c>
      <c r="N2034" s="98" t="str">
        <f>IF(record[[#This Row],[Memo]]="Browser:chrome os:android","平板報工",IF(record[[#This Row],[Memo]]=0,"委外",record[[#This Row],[Memo]]))</f>
        <v/>
      </c>
      <c r="O2034" t="s">
        <v>58</v>
      </c>
      <c r="P2034" t="s">
        <v>1698</v>
      </c>
      <c r="Q2034" t="s">
        <v>58</v>
      </c>
      <c r="R2034" t="str">
        <f>IFERROR(VLOOKUP(record[[#This Row],[PCUSTID]],廠商[],2,FALSE),"")</f>
        <v/>
      </c>
      <c r="S2034" t="str">
        <f>VLOOKUP(record[[#This Row],[employeeID]],員工[],2,FALSE)</f>
        <v>羅思潔</v>
      </c>
    </row>
    <row r="2035" spans="6:19" hidden="1" x14ac:dyDescent="0.25">
      <c r="F2035" t="s">
        <v>1782</v>
      </c>
      <c r="G2035" t="s">
        <v>417</v>
      </c>
      <c r="H2035" t="str">
        <f>VLOOKUP(record[[#This Row],[ProcessSN]],表格2_7[],2,FALSE)</f>
        <v>30-4118-018-5XX</v>
      </c>
      <c r="I2035" t="str">
        <f>VLOOKUP(record[[#This Row],[ProcessSN]],表格2_7[],3,FALSE)</f>
        <v>#06</v>
      </c>
      <c r="J2035" t="s">
        <v>593</v>
      </c>
      <c r="K2035" s="195">
        <v>46127.478321759256</v>
      </c>
      <c r="L2035">
        <v>66</v>
      </c>
      <c r="M2035">
        <v>1</v>
      </c>
      <c r="N2035" s="98" t="str">
        <f>IF(record[[#This Row],[Memo]]="Browser:chrome os:android","平板報工",IF(record[[#This Row],[Memo]]=0,"委外",record[[#This Row],[Memo]]))</f>
        <v>中班4/14</v>
      </c>
      <c r="O2035" t="s">
        <v>1810</v>
      </c>
      <c r="P2035" t="s">
        <v>101</v>
      </c>
      <c r="Q2035" t="s">
        <v>58</v>
      </c>
      <c r="R2035" t="str">
        <f>IFERROR(VLOOKUP(record[[#This Row],[PCUSTID]],廠商[],2,FALSE),"")</f>
        <v/>
      </c>
      <c r="S2035" t="str">
        <f>VLOOKUP(record[[#This Row],[employeeID]],員工[],2,FALSE)</f>
        <v>陳氏絨</v>
      </c>
    </row>
    <row r="2036" spans="6:19" hidden="1" x14ac:dyDescent="0.25">
      <c r="F2036" t="s">
        <v>1807</v>
      </c>
      <c r="G2036" t="s">
        <v>441</v>
      </c>
      <c r="H2036" t="str">
        <f>VLOOKUP(record[[#This Row],[ProcessSN]],表格2_7[],2,FALSE)</f>
        <v>30-4118-018-650</v>
      </c>
      <c r="I2036" t="str">
        <f>VLOOKUP(record[[#This Row],[ProcessSN]],表格2_7[],3,FALSE)</f>
        <v>#100</v>
      </c>
      <c r="J2036" t="s">
        <v>598</v>
      </c>
      <c r="K2036" s="195">
        <v>46127.471597222226</v>
      </c>
      <c r="L2036">
        <v>286</v>
      </c>
      <c r="M2036">
        <v>0</v>
      </c>
      <c r="N2036" s="98" t="str">
        <f>IF(record[[#This Row],[Memo]]="Browser:chrome os:android","平板報工",IF(record[[#This Row],[Memo]]=0,"委外",record[[#This Row],[Memo]]))</f>
        <v/>
      </c>
      <c r="O2036" t="s">
        <v>58</v>
      </c>
      <c r="P2036" t="s">
        <v>113</v>
      </c>
      <c r="Q2036" t="s">
        <v>58</v>
      </c>
      <c r="R2036" t="str">
        <f>IFERROR(VLOOKUP(record[[#This Row],[PCUSTID]],廠商[],2,FALSE),"")</f>
        <v/>
      </c>
      <c r="S2036" t="str">
        <f>VLOOKUP(record[[#This Row],[employeeID]],員工[],2,FALSE)</f>
        <v>王奕蓁</v>
      </c>
    </row>
    <row r="2037" spans="6:19" hidden="1" x14ac:dyDescent="0.25">
      <c r="F2037" t="s">
        <v>1807</v>
      </c>
      <c r="G2037" t="s">
        <v>440</v>
      </c>
      <c r="H2037" t="str">
        <f>VLOOKUP(record[[#This Row],[ProcessSN]],表格2_7[],2,FALSE)</f>
        <v>30-4118-018-650</v>
      </c>
      <c r="I2037" t="str">
        <f>VLOOKUP(record[[#This Row],[ProcessSN]],表格2_7[],3,FALSE)</f>
        <v>#08IQC</v>
      </c>
      <c r="J2037" t="s">
        <v>583</v>
      </c>
      <c r="K2037" s="195">
        <v>46127.471493055556</v>
      </c>
      <c r="L2037">
        <v>286</v>
      </c>
      <c r="M2037">
        <v>0</v>
      </c>
      <c r="N2037" s="98" t="str">
        <f>IF(record[[#This Row],[Memo]]="Browser:chrome os:android","平板報工",IF(record[[#This Row],[Memo]]=0,"委外",record[[#This Row],[Memo]]))</f>
        <v/>
      </c>
      <c r="O2037" t="s">
        <v>58</v>
      </c>
      <c r="P2037" t="s">
        <v>113</v>
      </c>
      <c r="Q2037" t="s">
        <v>58</v>
      </c>
      <c r="R2037" t="str">
        <f>IFERROR(VLOOKUP(record[[#This Row],[PCUSTID]],廠商[],2,FALSE),"")</f>
        <v/>
      </c>
      <c r="S2037" t="str">
        <f>VLOOKUP(record[[#This Row],[employeeID]],員工[],2,FALSE)</f>
        <v>王奕蓁</v>
      </c>
    </row>
    <row r="2038" spans="6:19" hidden="1" x14ac:dyDescent="0.25">
      <c r="F2038" t="s">
        <v>1807</v>
      </c>
      <c r="G2038" t="s">
        <v>439</v>
      </c>
      <c r="H2038" t="str">
        <f>VLOOKUP(record[[#This Row],[ProcessSN]],表格2_7[],2,FALSE)</f>
        <v>30-4118-018-650</v>
      </c>
      <c r="I2038" t="str">
        <f>VLOOKUP(record[[#This Row],[ProcessSN]],表格2_7[],3,FALSE)</f>
        <v>#08RCV</v>
      </c>
      <c r="J2038" t="s">
        <v>591</v>
      </c>
      <c r="K2038" s="195">
        <v>46127.471412037034</v>
      </c>
      <c r="L2038">
        <v>286</v>
      </c>
      <c r="M2038">
        <v>0</v>
      </c>
      <c r="N2038" s="98" t="str">
        <f>IF(record[[#This Row],[Memo]]="Browser:chrome os:android","平板報工",IF(record[[#This Row],[Memo]]=0,"委外",record[[#This Row],[Memo]]))</f>
        <v/>
      </c>
      <c r="O2038" t="s">
        <v>58</v>
      </c>
      <c r="P2038" t="s">
        <v>113</v>
      </c>
      <c r="Q2038" t="s">
        <v>58</v>
      </c>
      <c r="R2038" t="str">
        <f>IFERROR(VLOOKUP(record[[#This Row],[PCUSTID]],廠商[],2,FALSE),"")</f>
        <v/>
      </c>
      <c r="S2038" t="str">
        <f>VLOOKUP(record[[#This Row],[employeeID]],員工[],2,FALSE)</f>
        <v>王奕蓁</v>
      </c>
    </row>
    <row r="2039" spans="6:19" hidden="1" x14ac:dyDescent="0.25">
      <c r="F2039" t="s">
        <v>1807</v>
      </c>
      <c r="G2039" t="s">
        <v>438</v>
      </c>
      <c r="H2039" t="str">
        <f>VLOOKUP(record[[#This Row],[ProcessSN]],表格2_7[],2,FALSE)</f>
        <v>30-4118-018-650</v>
      </c>
      <c r="I2039" t="str">
        <f>VLOOKUP(record[[#This Row],[ProcessSN]],表格2_7[],3,FALSE)</f>
        <v>#08</v>
      </c>
      <c r="J2039" t="s">
        <v>597</v>
      </c>
      <c r="K2039" s="195">
        <v>46127.471319444441</v>
      </c>
      <c r="L2039">
        <v>286</v>
      </c>
      <c r="M2039">
        <v>0</v>
      </c>
      <c r="N2039" s="98" t="str">
        <f>IF(record[[#This Row],[Memo]]="Browser:chrome os:android","平板報工",IF(record[[#This Row],[Memo]]=0,"委外",record[[#This Row],[Memo]]))</f>
        <v/>
      </c>
      <c r="O2039" t="s">
        <v>58</v>
      </c>
      <c r="P2039" t="s">
        <v>113</v>
      </c>
      <c r="Q2039" t="s">
        <v>58</v>
      </c>
      <c r="R2039" t="str">
        <f>IFERROR(VLOOKUP(record[[#This Row],[PCUSTID]],廠商[],2,FALSE),"")</f>
        <v/>
      </c>
      <c r="S2039" t="str">
        <f>VLOOKUP(record[[#This Row],[employeeID]],員工[],2,FALSE)</f>
        <v>王奕蓁</v>
      </c>
    </row>
    <row r="2040" spans="6:19" hidden="1" x14ac:dyDescent="0.25">
      <c r="F2040" t="s">
        <v>1807</v>
      </c>
      <c r="G2040" t="s">
        <v>437</v>
      </c>
      <c r="H2040" t="str">
        <f>VLOOKUP(record[[#This Row],[ProcessSN]],表格2_7[],2,FALSE)</f>
        <v>30-4118-018-650</v>
      </c>
      <c r="I2040" t="str">
        <f>VLOOKUP(record[[#This Row],[ProcessSN]],表格2_7[],3,FALSE)</f>
        <v>#08PICK</v>
      </c>
      <c r="J2040" t="s">
        <v>582</v>
      </c>
      <c r="K2040" s="195">
        <v>46127.471099537041</v>
      </c>
      <c r="L2040">
        <v>286</v>
      </c>
      <c r="M2040">
        <v>0</v>
      </c>
      <c r="N2040" s="98" t="str">
        <f>IF(record[[#This Row],[Memo]]="Browser:chrome os:android","平板報工",IF(record[[#This Row],[Memo]]=0,"委外",record[[#This Row],[Memo]]))</f>
        <v/>
      </c>
      <c r="O2040" t="s">
        <v>58</v>
      </c>
      <c r="P2040" t="s">
        <v>113</v>
      </c>
      <c r="Q2040" t="s">
        <v>58</v>
      </c>
      <c r="R2040" t="str">
        <f>IFERROR(VLOOKUP(record[[#This Row],[PCUSTID]],廠商[],2,FALSE),"")</f>
        <v/>
      </c>
      <c r="S2040" t="str">
        <f>VLOOKUP(record[[#This Row],[employeeID]],員工[],2,FALSE)</f>
        <v>王奕蓁</v>
      </c>
    </row>
    <row r="2041" spans="6:19" hidden="1" x14ac:dyDescent="0.25">
      <c r="F2041" t="s">
        <v>1655</v>
      </c>
      <c r="G2041" t="s">
        <v>467</v>
      </c>
      <c r="H2041" t="str">
        <f>VLOOKUP(record[[#This Row],[ProcessSN]],表格2_7[],2,FALSE)</f>
        <v>30-4118-018-XXX</v>
      </c>
      <c r="I2041" t="str">
        <f>VLOOKUP(record[[#This Row],[ProcessSN]],表格2_7[],3,FALSE)</f>
        <v>#01QC</v>
      </c>
      <c r="J2041" t="s">
        <v>589</v>
      </c>
      <c r="K2041" s="195">
        <v>46127.465057870373</v>
      </c>
      <c r="L2041">
        <v>0</v>
      </c>
      <c r="M2041">
        <v>2</v>
      </c>
      <c r="N2041" s="98" t="str">
        <f>IF(record[[#This Row],[Memo]]="Browser:chrome os:android","平板報工",IF(record[[#This Row],[Memo]]=0,"委外",record[[#This Row],[Memo]]))</f>
        <v>領1150091</v>
      </c>
      <c r="O2041" t="s">
        <v>1806</v>
      </c>
      <c r="P2041" t="s">
        <v>113</v>
      </c>
      <c r="Q2041" t="s">
        <v>58</v>
      </c>
      <c r="R2041" t="str">
        <f>IFERROR(VLOOKUP(record[[#This Row],[PCUSTID]],廠商[],2,FALSE),"")</f>
        <v/>
      </c>
      <c r="S2041" t="str">
        <f>VLOOKUP(record[[#This Row],[employeeID]],員工[],2,FALSE)</f>
        <v>王奕蓁</v>
      </c>
    </row>
    <row r="2042" spans="6:19" hidden="1" x14ac:dyDescent="0.25">
      <c r="F2042" t="s">
        <v>1655</v>
      </c>
      <c r="G2042" t="s">
        <v>467</v>
      </c>
      <c r="H2042" t="str">
        <f>VLOOKUP(record[[#This Row],[ProcessSN]],表格2_7[],2,FALSE)</f>
        <v>30-4118-018-XXX</v>
      </c>
      <c r="I2042" t="str">
        <f>VLOOKUP(record[[#This Row],[ProcessSN]],表格2_7[],3,FALSE)</f>
        <v>#01QC</v>
      </c>
      <c r="J2042" t="s">
        <v>589</v>
      </c>
      <c r="K2042" s="195">
        <v>46127.460173611114</v>
      </c>
      <c r="L2042">
        <v>-1</v>
      </c>
      <c r="M2042">
        <v>0</v>
      </c>
      <c r="N2042" s="98" t="str">
        <f>IF(record[[#This Row],[Memo]]="Browser:chrome os:android","平板報工",IF(record[[#This Row],[Memo]]=0,"委外",record[[#This Row],[Memo]]))</f>
        <v>廠商回報料少</v>
      </c>
      <c r="O2042" t="s">
        <v>1805</v>
      </c>
      <c r="P2042" t="s">
        <v>113</v>
      </c>
      <c r="Q2042" t="s">
        <v>58</v>
      </c>
      <c r="R2042" t="str">
        <f>IFERROR(VLOOKUP(record[[#This Row],[PCUSTID]],廠商[],2,FALSE),"")</f>
        <v/>
      </c>
      <c r="S2042" t="str">
        <f>VLOOKUP(record[[#This Row],[employeeID]],員工[],2,FALSE)</f>
        <v>王奕蓁</v>
      </c>
    </row>
    <row r="2043" spans="6:19" hidden="1" x14ac:dyDescent="0.25">
      <c r="F2043" t="s">
        <v>1655</v>
      </c>
      <c r="G2043" t="s">
        <v>468</v>
      </c>
      <c r="H2043" t="str">
        <f>VLOOKUP(record[[#This Row],[ProcessSN]],表格2_7[],2,FALSE)</f>
        <v>30-4118-018-XXX</v>
      </c>
      <c r="I2043" t="str">
        <f>VLOOKUP(record[[#This Row],[ProcessSN]],表格2_7[],3,FALSE)</f>
        <v>#02</v>
      </c>
      <c r="J2043" t="s">
        <v>590</v>
      </c>
      <c r="K2043" s="195">
        <v>46127.459166666667</v>
      </c>
      <c r="L2043">
        <v>-1</v>
      </c>
      <c r="M2043">
        <v>0</v>
      </c>
      <c r="N2043" s="98" t="str">
        <f>IF(record[[#This Row],[Memo]]="Browser:chrome os:android","平板報工",IF(record[[#This Row],[Memo]]=0,"委外",record[[#This Row],[Memo]]))</f>
        <v>廠商回報料少</v>
      </c>
      <c r="O2043" t="s">
        <v>1805</v>
      </c>
      <c r="P2043" t="s">
        <v>113</v>
      </c>
      <c r="Q2043" t="s">
        <v>216</v>
      </c>
      <c r="R2043" t="str">
        <f>IFERROR(VLOOKUP(record[[#This Row],[PCUSTID]],廠商[],2,FALSE),"")</f>
        <v>俊杰</v>
      </c>
      <c r="S2043" t="str">
        <f>VLOOKUP(record[[#This Row],[employeeID]],員工[],2,FALSE)</f>
        <v>王奕蓁</v>
      </c>
    </row>
    <row r="2044" spans="6:19" hidden="1" x14ac:dyDescent="0.25">
      <c r="F2044" t="s">
        <v>1655</v>
      </c>
      <c r="G2044" t="s">
        <v>471</v>
      </c>
      <c r="H2044" t="str">
        <f>VLOOKUP(record[[#This Row],[ProcessSN]],表格2_7[],2,FALSE)</f>
        <v>30-4118-018-XXX</v>
      </c>
      <c r="I2044" t="str">
        <f>VLOOKUP(record[[#This Row],[ProcessSN]],表格2_7[],3,FALSE)</f>
        <v>#02STOCK</v>
      </c>
      <c r="J2044" t="s">
        <v>592</v>
      </c>
      <c r="K2044" s="195">
        <v>46127.437013888892</v>
      </c>
      <c r="L2044">
        <v>545</v>
      </c>
      <c r="M2044">
        <v>0</v>
      </c>
      <c r="N2044" s="98" t="str">
        <f>IF(record[[#This Row],[Memo]]="Browser:chrome os:android","平板報工",IF(record[[#This Row],[Memo]]=0,"委外",record[[#This Row],[Memo]]))</f>
        <v/>
      </c>
      <c r="O2044" t="s">
        <v>58</v>
      </c>
      <c r="P2044" t="s">
        <v>1070</v>
      </c>
      <c r="Q2044" t="s">
        <v>58</v>
      </c>
      <c r="R2044" t="str">
        <f>IFERROR(VLOOKUP(record[[#This Row],[PCUSTID]],廠商[],2,FALSE),"")</f>
        <v/>
      </c>
      <c r="S2044" t="str">
        <f>VLOOKUP(record[[#This Row],[employeeID]],員工[],2,FALSE)</f>
        <v>陳昱佑</v>
      </c>
    </row>
    <row r="2045" spans="6:19" hidden="1" x14ac:dyDescent="0.25">
      <c r="F2045" t="s">
        <v>1803</v>
      </c>
      <c r="G2045" t="s">
        <v>413</v>
      </c>
      <c r="H2045" t="str">
        <f>VLOOKUP(record[[#This Row],[ProcessSN]],表格2_7[],2,FALSE)</f>
        <v>30-4118-018-5XX</v>
      </c>
      <c r="I2045" t="str">
        <f>VLOOKUP(record[[#This Row],[ProcessSN]],表格2_7[],3,FALSE)</f>
        <v>#03GIVE</v>
      </c>
      <c r="J2045" t="s">
        <v>587</v>
      </c>
      <c r="K2045" s="195">
        <v>46127.436331018522</v>
      </c>
      <c r="L2045">
        <v>1227</v>
      </c>
      <c r="M2045">
        <v>0</v>
      </c>
      <c r="N2045" s="98" t="str">
        <f>IF(record[[#This Row],[Memo]]="Browser:chrome os:android","平板報工",IF(record[[#This Row],[Memo]]=0,"委外",record[[#This Row],[Memo]]))</f>
        <v/>
      </c>
      <c r="O2045" t="s">
        <v>58</v>
      </c>
      <c r="P2045" t="s">
        <v>1698</v>
      </c>
      <c r="Q2045" t="s">
        <v>58</v>
      </c>
      <c r="R2045" t="str">
        <f>IFERROR(VLOOKUP(record[[#This Row],[PCUSTID]],廠商[],2,FALSE),"")</f>
        <v/>
      </c>
      <c r="S2045" t="str">
        <f>VLOOKUP(record[[#This Row],[employeeID]],員工[],2,FALSE)</f>
        <v>羅思潔</v>
      </c>
    </row>
    <row r="2046" spans="6:19" hidden="1" x14ac:dyDescent="0.25">
      <c r="F2046" t="s">
        <v>1655</v>
      </c>
      <c r="G2046" t="s">
        <v>469</v>
      </c>
      <c r="H2046" t="str">
        <f>VLOOKUP(record[[#This Row],[ProcessSN]],表格2_7[],2,FALSE)</f>
        <v>30-4118-018-XXX</v>
      </c>
      <c r="I2046" t="str">
        <f>VLOOKUP(record[[#This Row],[ProcessSN]],表格2_7[],3,FALSE)</f>
        <v>#02RCV</v>
      </c>
      <c r="J2046" t="s">
        <v>591</v>
      </c>
      <c r="K2046" s="195">
        <v>46127.415185185186</v>
      </c>
      <c r="L2046">
        <v>0</v>
      </c>
      <c r="M2046">
        <v>1</v>
      </c>
      <c r="N2046" s="98" t="str">
        <f>IF(record[[#This Row],[Memo]]="Browser:chrome os:android","平板報工",IF(record[[#This Row],[Memo]]=0,"委外",record[[#This Row],[Memo]]))</f>
        <v/>
      </c>
      <c r="O2046" t="s">
        <v>58</v>
      </c>
      <c r="P2046" t="s">
        <v>186</v>
      </c>
      <c r="Q2046" t="s">
        <v>58</v>
      </c>
      <c r="R2046" t="str">
        <f>IFERROR(VLOOKUP(record[[#This Row],[PCUSTID]],廠商[],2,FALSE),"")</f>
        <v/>
      </c>
      <c r="S2046" t="str">
        <f>VLOOKUP(record[[#This Row],[employeeID]],員工[],2,FALSE)</f>
        <v>許文姍</v>
      </c>
    </row>
    <row r="2047" spans="6:19" hidden="1" x14ac:dyDescent="0.25">
      <c r="F2047" t="s">
        <v>1787</v>
      </c>
      <c r="G2047" t="s">
        <v>469</v>
      </c>
      <c r="H2047" t="str">
        <f>VLOOKUP(record[[#This Row],[ProcessSN]],表格2_7[],2,FALSE)</f>
        <v>30-4118-018-XXX</v>
      </c>
      <c r="I2047" t="str">
        <f>VLOOKUP(record[[#This Row],[ProcessSN]],表格2_7[],3,FALSE)</f>
        <v>#02RCV</v>
      </c>
      <c r="J2047" t="s">
        <v>591</v>
      </c>
      <c r="K2047" s="195">
        <v>46127.414895833332</v>
      </c>
      <c r="L2047">
        <v>336</v>
      </c>
      <c r="M2047">
        <v>0</v>
      </c>
      <c r="N2047" s="98" t="str">
        <f>IF(record[[#This Row],[Memo]]="Browser:chrome os:android","平板報工",IF(record[[#This Row],[Memo]]=0,"委外",record[[#This Row],[Memo]]))</f>
        <v/>
      </c>
      <c r="O2047" t="s">
        <v>58</v>
      </c>
      <c r="P2047" t="s">
        <v>186</v>
      </c>
      <c r="Q2047" t="s">
        <v>58</v>
      </c>
      <c r="R2047" t="str">
        <f>IFERROR(VLOOKUP(record[[#This Row],[PCUSTID]],廠商[],2,FALSE),"")</f>
        <v/>
      </c>
      <c r="S2047" t="str">
        <f>VLOOKUP(record[[#This Row],[employeeID]],員工[],2,FALSE)</f>
        <v>許文姍</v>
      </c>
    </row>
    <row r="2048" spans="6:19" hidden="1" x14ac:dyDescent="0.25">
      <c r="F2048" t="s">
        <v>1655</v>
      </c>
      <c r="G2048" t="s">
        <v>469</v>
      </c>
      <c r="H2048" t="str">
        <f>VLOOKUP(record[[#This Row],[ProcessSN]],表格2_7[],2,FALSE)</f>
        <v>30-4118-018-XXX</v>
      </c>
      <c r="I2048" t="str">
        <f>VLOOKUP(record[[#This Row],[ProcessSN]],表格2_7[],3,FALSE)</f>
        <v>#02RCV</v>
      </c>
      <c r="J2048" t="s">
        <v>591</v>
      </c>
      <c r="K2048" s="195">
        <v>46127.41474537037</v>
      </c>
      <c r="L2048">
        <v>924</v>
      </c>
      <c r="M2048">
        <v>0</v>
      </c>
      <c r="N2048" s="98" t="str">
        <f>IF(record[[#This Row],[Memo]]="Browser:chrome os:android","平板報工",IF(record[[#This Row],[Memo]]=0,"委外",record[[#This Row],[Memo]]))</f>
        <v/>
      </c>
      <c r="O2048" t="s">
        <v>58</v>
      </c>
      <c r="P2048" t="s">
        <v>186</v>
      </c>
      <c r="Q2048" t="s">
        <v>58</v>
      </c>
      <c r="R2048" t="str">
        <f>IFERROR(VLOOKUP(record[[#This Row],[PCUSTID]],廠商[],2,FALSE),"")</f>
        <v/>
      </c>
      <c r="S2048" t="str">
        <f>VLOOKUP(record[[#This Row],[employeeID]],員工[],2,FALSE)</f>
        <v>許文姍</v>
      </c>
    </row>
    <row r="2049" spans="6:19" hidden="1" x14ac:dyDescent="0.25">
      <c r="F2049" t="s">
        <v>1602</v>
      </c>
      <c r="G2049" t="s">
        <v>469</v>
      </c>
      <c r="H2049" t="str">
        <f>VLOOKUP(record[[#This Row],[ProcessSN]],表格2_7[],2,FALSE)</f>
        <v>30-4118-018-XXX</v>
      </c>
      <c r="I2049" t="str">
        <f>VLOOKUP(record[[#This Row],[ProcessSN]],表格2_7[],3,FALSE)</f>
        <v>#02RCV</v>
      </c>
      <c r="J2049" t="s">
        <v>591</v>
      </c>
      <c r="K2049" s="195">
        <v>46127.414583333331</v>
      </c>
      <c r="L2049">
        <v>27</v>
      </c>
      <c r="M2049">
        <v>0</v>
      </c>
      <c r="N2049" s="98" t="str">
        <f>IF(record[[#This Row],[Memo]]="Browser:chrome os:android","平板報工",IF(record[[#This Row],[Memo]]=0,"委外",record[[#This Row],[Memo]]))</f>
        <v/>
      </c>
      <c r="O2049" t="s">
        <v>58</v>
      </c>
      <c r="P2049" t="s">
        <v>186</v>
      </c>
      <c r="Q2049" t="s">
        <v>58</v>
      </c>
      <c r="R2049" t="str">
        <f>IFERROR(VLOOKUP(record[[#This Row],[PCUSTID]],廠商[],2,FALSE),"")</f>
        <v/>
      </c>
      <c r="S2049" t="str">
        <f>VLOOKUP(record[[#This Row],[employeeID]],員工[],2,FALSE)</f>
        <v>許文姍</v>
      </c>
    </row>
    <row r="2050" spans="6:19" hidden="1" x14ac:dyDescent="0.25">
      <c r="F2050" t="s">
        <v>1772</v>
      </c>
      <c r="G2050" t="s">
        <v>469</v>
      </c>
      <c r="H2050" t="str">
        <f>VLOOKUP(record[[#This Row],[ProcessSN]],表格2_7[],2,FALSE)</f>
        <v>30-4118-018-XXX</v>
      </c>
      <c r="I2050" t="str">
        <f>VLOOKUP(record[[#This Row],[ProcessSN]],表格2_7[],3,FALSE)</f>
        <v>#02RCV</v>
      </c>
      <c r="J2050" t="s">
        <v>591</v>
      </c>
      <c r="K2050" s="195">
        <v>46127.414409722223</v>
      </c>
      <c r="L2050">
        <v>97</v>
      </c>
      <c r="M2050">
        <v>0</v>
      </c>
      <c r="N2050" s="98" t="str">
        <f>IF(record[[#This Row],[Memo]]="Browser:chrome os:android","平板報工",IF(record[[#This Row],[Memo]]=0,"委外",record[[#This Row],[Memo]]))</f>
        <v/>
      </c>
      <c r="O2050" t="s">
        <v>58</v>
      </c>
      <c r="P2050" t="s">
        <v>186</v>
      </c>
      <c r="Q2050" t="s">
        <v>58</v>
      </c>
      <c r="R2050" t="str">
        <f>IFERROR(VLOOKUP(record[[#This Row],[PCUSTID]],廠商[],2,FALSE),"")</f>
        <v/>
      </c>
      <c r="S2050" t="str">
        <f>VLOOKUP(record[[#This Row],[employeeID]],員工[],2,FALSE)</f>
        <v>許文姍</v>
      </c>
    </row>
    <row r="2051" spans="6:19" hidden="1" x14ac:dyDescent="0.25">
      <c r="F2051" t="s">
        <v>1803</v>
      </c>
      <c r="G2051" t="s">
        <v>412</v>
      </c>
      <c r="H2051" t="str">
        <f>VLOOKUP(record[[#This Row],[ProcessSN]],表格2_7[],2,FALSE)</f>
        <v>30-4118-018-5XX</v>
      </c>
      <c r="I2051" t="str">
        <f>VLOOKUP(record[[#This Row],[ProcessSN]],表格2_7[],3,FALSE)</f>
        <v>#03PICK</v>
      </c>
      <c r="J2051" t="s">
        <v>582</v>
      </c>
      <c r="K2051" s="195">
        <v>46127.40525462963</v>
      </c>
      <c r="L2051">
        <v>2611</v>
      </c>
      <c r="M2051">
        <v>0</v>
      </c>
      <c r="N2051" s="98" t="str">
        <f>IF(record[[#This Row],[Memo]]="Browser:chrome os:android","平板報工",IF(record[[#This Row],[Memo]]=0,"委外",record[[#This Row],[Memo]]))</f>
        <v/>
      </c>
      <c r="O2051" t="s">
        <v>58</v>
      </c>
      <c r="P2051" t="s">
        <v>113</v>
      </c>
      <c r="Q2051" t="s">
        <v>58</v>
      </c>
      <c r="R2051" t="str">
        <f>IFERROR(VLOOKUP(record[[#This Row],[PCUSTID]],廠商[],2,FALSE),"")</f>
        <v/>
      </c>
      <c r="S2051" t="str">
        <f>VLOOKUP(record[[#This Row],[employeeID]],員工[],2,FALSE)</f>
        <v>王奕蓁</v>
      </c>
    </row>
    <row r="2052" spans="6:19" hidden="1" x14ac:dyDescent="0.25">
      <c r="F2052" t="s">
        <v>1737</v>
      </c>
      <c r="G2052" t="s">
        <v>361</v>
      </c>
      <c r="H2052" t="str">
        <f>VLOOKUP(record[[#This Row],[ProcessSN]],表格2_7[],2,FALSE)</f>
        <v>30-4118-018-450</v>
      </c>
      <c r="I2052" t="str">
        <f>VLOOKUP(record[[#This Row],[ProcessSN]],表格2_7[],3,FALSE)</f>
        <v>#100STOCK</v>
      </c>
      <c r="J2052" t="s">
        <v>592</v>
      </c>
      <c r="K2052" s="195">
        <v>46127.387523148151</v>
      </c>
      <c r="L2052">
        <v>21</v>
      </c>
      <c r="M2052">
        <v>0</v>
      </c>
      <c r="N2052" s="98" t="str">
        <f>IF(record[[#This Row],[Memo]]="Browser:chrome os:android","平板報工",IF(record[[#This Row],[Memo]]=0,"委外",record[[#This Row],[Memo]]))</f>
        <v>平板報工</v>
      </c>
      <c r="O2052" t="s">
        <v>643</v>
      </c>
      <c r="P2052" t="s">
        <v>886</v>
      </c>
      <c r="Q2052" t="s">
        <v>644</v>
      </c>
      <c r="R2052" t="str">
        <f>IFERROR(VLOOKUP(record[[#This Row],[PCUSTID]],廠商[],2,FALSE),"")</f>
        <v/>
      </c>
      <c r="S2052" t="str">
        <f>VLOOKUP(record[[#This Row],[employeeID]],員工[],2,FALSE)</f>
        <v>謝蓁薰</v>
      </c>
    </row>
    <row r="2053" spans="6:19" hidden="1" x14ac:dyDescent="0.25">
      <c r="F2053" t="s">
        <v>1761</v>
      </c>
      <c r="G2053" t="s">
        <v>361</v>
      </c>
      <c r="H2053" t="str">
        <f>VLOOKUP(record[[#This Row],[ProcessSN]],表格2_7[],2,FALSE)</f>
        <v>30-4118-018-450</v>
      </c>
      <c r="I2053" t="str">
        <f>VLOOKUP(record[[#This Row],[ProcessSN]],表格2_7[],3,FALSE)</f>
        <v>#100STOCK</v>
      </c>
      <c r="J2053" t="s">
        <v>592</v>
      </c>
      <c r="K2053" s="195">
        <v>46127.387245370373</v>
      </c>
      <c r="L2053">
        <v>71</v>
      </c>
      <c r="M2053">
        <v>0</v>
      </c>
      <c r="N2053" s="98" t="str">
        <f>IF(record[[#This Row],[Memo]]="Browser:chrome os:android","平板報工",IF(record[[#This Row],[Memo]]=0,"委外",record[[#This Row],[Memo]]))</f>
        <v>平板報工</v>
      </c>
      <c r="O2053" t="s">
        <v>643</v>
      </c>
      <c r="P2053" t="s">
        <v>886</v>
      </c>
      <c r="Q2053" t="s">
        <v>644</v>
      </c>
      <c r="R2053" t="str">
        <f>IFERROR(VLOOKUP(record[[#This Row],[PCUSTID]],廠商[],2,FALSE),"")</f>
        <v/>
      </c>
      <c r="S2053" t="str">
        <f>VLOOKUP(record[[#This Row],[employeeID]],員工[],2,FALSE)</f>
        <v>謝蓁薰</v>
      </c>
    </row>
    <row r="2054" spans="6:19" hidden="1" x14ac:dyDescent="0.25">
      <c r="F2054" t="s">
        <v>1782</v>
      </c>
      <c r="G2054" t="s">
        <v>418</v>
      </c>
      <c r="H2054" t="str">
        <f>VLOOKUP(record[[#This Row],[ProcessSN]],表格2_7[],2,FALSE)</f>
        <v>30-4118-018-5XX</v>
      </c>
      <c r="I2054" t="str">
        <f>VLOOKUP(record[[#This Row],[ProcessSN]],表格2_7[],3,FALSE)</f>
        <v>#07</v>
      </c>
      <c r="J2054" t="s">
        <v>588</v>
      </c>
      <c r="K2054" s="195">
        <v>46127.384212962963</v>
      </c>
      <c r="L2054">
        <v>30</v>
      </c>
      <c r="M2054">
        <v>0</v>
      </c>
      <c r="N2054" s="98" t="str">
        <f>IF(record[[#This Row],[Memo]]="Browser:chrome os:android","平板報工",IF(record[[#This Row],[Memo]]=0,"委外",record[[#This Row],[Memo]]))</f>
        <v>平板報工</v>
      </c>
      <c r="O2054" t="s">
        <v>643</v>
      </c>
      <c r="P2054" t="s">
        <v>145</v>
      </c>
      <c r="Q2054" t="s">
        <v>644</v>
      </c>
      <c r="R2054" t="str">
        <f>IFERROR(VLOOKUP(record[[#This Row],[PCUSTID]],廠商[],2,FALSE),"")</f>
        <v/>
      </c>
      <c r="S2054" t="str">
        <f>VLOOKUP(record[[#This Row],[employeeID]],員工[],2,FALSE)</f>
        <v>阮秋霞</v>
      </c>
    </row>
    <row r="2055" spans="6:19" hidden="1" x14ac:dyDescent="0.25">
      <c r="F2055" t="s">
        <v>1787</v>
      </c>
      <c r="G2055" t="s">
        <v>468</v>
      </c>
      <c r="H2055" t="str">
        <f>VLOOKUP(record[[#This Row],[ProcessSN]],表格2_7[],2,FALSE)</f>
        <v>30-4118-018-XXX</v>
      </c>
      <c r="I2055" t="str">
        <f>VLOOKUP(record[[#This Row],[ProcessSN]],表格2_7[],3,FALSE)</f>
        <v>#02</v>
      </c>
      <c r="J2055" t="s">
        <v>590</v>
      </c>
      <c r="K2055" s="195">
        <v>46127.37059027778</v>
      </c>
      <c r="L2055">
        <v>994</v>
      </c>
      <c r="M2055">
        <v>0</v>
      </c>
      <c r="N2055" s="98" t="str">
        <f>IF(record[[#This Row],[Memo]]="Browser:chrome os:android","平板報工",IF(record[[#This Row],[Memo]]=0,"委外",record[[#This Row],[Memo]]))</f>
        <v>委外</v>
      </c>
      <c r="P2055" t="s">
        <v>186</v>
      </c>
      <c r="Q2055" t="s">
        <v>216</v>
      </c>
      <c r="R2055" t="str">
        <f>IFERROR(VLOOKUP(record[[#This Row],[PCUSTID]],廠商[],2,FALSE),"")</f>
        <v>俊杰</v>
      </c>
      <c r="S2055" t="str">
        <f>VLOOKUP(record[[#This Row],[employeeID]],員工[],2,FALSE)</f>
        <v>許文姍</v>
      </c>
    </row>
    <row r="2056" spans="6:19" hidden="1" x14ac:dyDescent="0.25">
      <c r="F2056" t="s">
        <v>1787</v>
      </c>
      <c r="G2056" t="s">
        <v>467</v>
      </c>
      <c r="H2056" t="str">
        <f>VLOOKUP(record[[#This Row],[ProcessSN]],表格2_7[],2,FALSE)</f>
        <v>30-4118-018-XXX</v>
      </c>
      <c r="I2056" t="str">
        <f>VLOOKUP(record[[#This Row],[ProcessSN]],表格2_7[],3,FALSE)</f>
        <v>#01QC</v>
      </c>
      <c r="J2056" t="s">
        <v>589</v>
      </c>
      <c r="K2056" s="195">
        <v>46127.370069444441</v>
      </c>
      <c r="L2056">
        <v>994</v>
      </c>
      <c r="M2056">
        <v>0</v>
      </c>
      <c r="N2056" s="98" t="str">
        <f>IF(record[[#This Row],[Memo]]="Browser:chrome os:android","平板報工",IF(record[[#This Row],[Memo]]=0,"委外",record[[#This Row],[Memo]]))</f>
        <v>平板報工</v>
      </c>
      <c r="O2056" t="s">
        <v>643</v>
      </c>
      <c r="P2056" t="s">
        <v>182</v>
      </c>
      <c r="Q2056" t="s">
        <v>644</v>
      </c>
      <c r="R2056" t="str">
        <f>IFERROR(VLOOKUP(record[[#This Row],[PCUSTID]],廠商[],2,FALSE),"")</f>
        <v/>
      </c>
      <c r="S2056" t="str">
        <f>VLOOKUP(record[[#This Row],[employeeID]],員工[],2,FALSE)</f>
        <v>梅氏和</v>
      </c>
    </row>
    <row r="2057" spans="6:19" hidden="1" x14ac:dyDescent="0.25">
      <c r="F2057" t="s">
        <v>1784</v>
      </c>
      <c r="G2057" t="s">
        <v>403</v>
      </c>
      <c r="H2057" t="str">
        <f>VLOOKUP(record[[#This Row],[ProcessSN]],表格2_7[],2,FALSE)</f>
        <v>30-4118-018-550</v>
      </c>
      <c r="I2057" t="str">
        <f>VLOOKUP(record[[#This Row],[ProcessSN]],表格2_7[],3,FALSE)</f>
        <v>#100SHIP</v>
      </c>
      <c r="J2057" t="s">
        <v>600</v>
      </c>
      <c r="K2057" s="195">
        <v>46127.355775462966</v>
      </c>
      <c r="L2057">
        <v>23</v>
      </c>
      <c r="M2057">
        <v>0</v>
      </c>
      <c r="N2057" s="98" t="str">
        <f>IF(record[[#This Row],[Memo]]="Browser:chrome os:android","平板報工",IF(record[[#This Row],[Memo]]=0,"委外",record[[#This Row],[Memo]]))</f>
        <v>補4/14出貨</v>
      </c>
      <c r="O2057" t="s">
        <v>1801</v>
      </c>
      <c r="P2057" t="s">
        <v>886</v>
      </c>
      <c r="Q2057" t="s">
        <v>58</v>
      </c>
      <c r="R2057" t="str">
        <f>IFERROR(VLOOKUP(record[[#This Row],[PCUSTID]],廠商[],2,FALSE),"")</f>
        <v/>
      </c>
      <c r="S2057" t="str">
        <f>VLOOKUP(record[[#This Row],[employeeID]],員工[],2,FALSE)</f>
        <v>謝蓁薰</v>
      </c>
    </row>
    <row r="2058" spans="6:19" hidden="1" x14ac:dyDescent="0.25">
      <c r="F2058" t="s">
        <v>1788</v>
      </c>
      <c r="G2058" t="s">
        <v>403</v>
      </c>
      <c r="H2058" t="str">
        <f>VLOOKUP(record[[#This Row],[ProcessSN]],表格2_7[],2,FALSE)</f>
        <v>30-4118-018-550</v>
      </c>
      <c r="I2058" t="str">
        <f>VLOOKUP(record[[#This Row],[ProcessSN]],表格2_7[],3,FALSE)</f>
        <v>#100SHIP</v>
      </c>
      <c r="J2058" t="s">
        <v>600</v>
      </c>
      <c r="K2058" s="195">
        <v>46127.355532407404</v>
      </c>
      <c r="L2058">
        <v>477</v>
      </c>
      <c r="M2058">
        <v>0</v>
      </c>
      <c r="N2058" s="98" t="str">
        <f>IF(record[[#This Row],[Memo]]="Browser:chrome os:android","平板報工",IF(record[[#This Row],[Memo]]=0,"委外",record[[#This Row],[Memo]]))</f>
        <v>補4/14出貨</v>
      </c>
      <c r="O2058" t="s">
        <v>1801</v>
      </c>
      <c r="P2058" t="s">
        <v>886</v>
      </c>
      <c r="Q2058" t="s">
        <v>58</v>
      </c>
      <c r="R2058" t="str">
        <f>IFERROR(VLOOKUP(record[[#This Row],[PCUSTID]],廠商[],2,FALSE),"")</f>
        <v/>
      </c>
      <c r="S2058" t="str">
        <f>VLOOKUP(record[[#This Row],[employeeID]],員工[],2,FALSE)</f>
        <v>謝蓁薰</v>
      </c>
    </row>
    <row r="2059" spans="6:19" hidden="1" x14ac:dyDescent="0.25">
      <c r="F2059" t="s">
        <v>1784</v>
      </c>
      <c r="G2059" t="s">
        <v>402</v>
      </c>
      <c r="H2059" t="str">
        <f>VLOOKUP(record[[#This Row],[ProcessSN]],表格2_7[],2,FALSE)</f>
        <v>30-4118-018-550</v>
      </c>
      <c r="I2059" t="str">
        <f>VLOOKUP(record[[#This Row],[ProcessSN]],表格2_7[],3,FALSE)</f>
        <v>#100STOCK</v>
      </c>
      <c r="J2059" t="s">
        <v>592</v>
      </c>
      <c r="K2059" s="195">
        <v>46127.355243055557</v>
      </c>
      <c r="L2059">
        <v>23</v>
      </c>
      <c r="M2059">
        <v>0</v>
      </c>
      <c r="N2059" s="98" t="str">
        <f>IF(record[[#This Row],[Memo]]="Browser:chrome os:android","平板報工",IF(record[[#This Row],[Memo]]=0,"委外",record[[#This Row],[Memo]]))</f>
        <v/>
      </c>
      <c r="O2059" t="s">
        <v>58</v>
      </c>
      <c r="P2059" t="s">
        <v>886</v>
      </c>
      <c r="Q2059" t="s">
        <v>58</v>
      </c>
      <c r="R2059" t="str">
        <f>IFERROR(VLOOKUP(record[[#This Row],[PCUSTID]],廠商[],2,FALSE),"")</f>
        <v/>
      </c>
      <c r="S2059" t="str">
        <f>VLOOKUP(record[[#This Row],[employeeID]],員工[],2,FALSE)</f>
        <v>謝蓁薰</v>
      </c>
    </row>
    <row r="2060" spans="6:19" hidden="1" x14ac:dyDescent="0.25">
      <c r="F2060" t="s">
        <v>1788</v>
      </c>
      <c r="G2060" t="s">
        <v>402</v>
      </c>
      <c r="H2060" t="str">
        <f>VLOOKUP(record[[#This Row],[ProcessSN]],表格2_7[],2,FALSE)</f>
        <v>30-4118-018-550</v>
      </c>
      <c r="I2060" t="str">
        <f>VLOOKUP(record[[#This Row],[ProcessSN]],表格2_7[],3,FALSE)</f>
        <v>#100STOCK</v>
      </c>
      <c r="J2060" t="s">
        <v>592</v>
      </c>
      <c r="K2060" s="195">
        <v>46127.355115740742</v>
      </c>
      <c r="L2060">
        <v>477</v>
      </c>
      <c r="M2060">
        <v>0</v>
      </c>
      <c r="N2060" s="98" t="str">
        <f>IF(record[[#This Row],[Memo]]="Browser:chrome os:android","平板報工",IF(record[[#This Row],[Memo]]=0,"委外",record[[#This Row],[Memo]]))</f>
        <v/>
      </c>
      <c r="O2060" t="s">
        <v>58</v>
      </c>
      <c r="P2060" t="s">
        <v>886</v>
      </c>
      <c r="Q2060" t="s">
        <v>58</v>
      </c>
      <c r="R2060" t="str">
        <f>IFERROR(VLOOKUP(record[[#This Row],[PCUSTID]],廠商[],2,FALSE),"")</f>
        <v/>
      </c>
      <c r="S2060" t="str">
        <f>VLOOKUP(record[[#This Row],[employeeID]],員工[],2,FALSE)</f>
        <v>謝蓁薰</v>
      </c>
    </row>
    <row r="2061" spans="6:19" hidden="1" x14ac:dyDescent="0.25">
      <c r="F2061" t="s">
        <v>1784</v>
      </c>
      <c r="G2061" t="s">
        <v>401</v>
      </c>
      <c r="H2061" t="str">
        <f>VLOOKUP(record[[#This Row],[ProcessSN]],表格2_7[],2,FALSE)</f>
        <v>30-4118-018-550</v>
      </c>
      <c r="I2061" t="str">
        <f>VLOOKUP(record[[#This Row],[ProcessSN]],表格2_7[],3,FALSE)</f>
        <v>#100OQC</v>
      </c>
      <c r="J2061" t="s">
        <v>599</v>
      </c>
      <c r="K2061" s="195">
        <v>46127.349756944444</v>
      </c>
      <c r="L2061">
        <v>34</v>
      </c>
      <c r="M2061">
        <v>0</v>
      </c>
      <c r="N2061" s="98" t="str">
        <f>IF(record[[#This Row],[Memo]]="Browser:chrome os:android","平板報工",IF(record[[#This Row],[Memo]]=0,"委外",record[[#This Row],[Memo]]))</f>
        <v/>
      </c>
      <c r="O2061" t="s">
        <v>58</v>
      </c>
      <c r="P2061" t="s">
        <v>121</v>
      </c>
      <c r="Q2061" t="s">
        <v>58</v>
      </c>
      <c r="R2061" t="str">
        <f>IFERROR(VLOOKUP(record[[#This Row],[PCUSTID]],廠商[],2,FALSE),"")</f>
        <v/>
      </c>
      <c r="S2061" t="str">
        <f>VLOOKUP(record[[#This Row],[employeeID]],員工[],2,FALSE)</f>
        <v>謝素卿</v>
      </c>
    </row>
    <row r="2062" spans="6:19" hidden="1" x14ac:dyDescent="0.25">
      <c r="F2062" t="s">
        <v>1788</v>
      </c>
      <c r="G2062" t="s">
        <v>401</v>
      </c>
      <c r="H2062" t="str">
        <f>VLOOKUP(record[[#This Row],[ProcessSN]],表格2_7[],2,FALSE)</f>
        <v>30-4118-018-550</v>
      </c>
      <c r="I2062" t="str">
        <f>VLOOKUP(record[[#This Row],[ProcessSN]],表格2_7[],3,FALSE)</f>
        <v>#100OQC</v>
      </c>
      <c r="J2062" t="s">
        <v>599</v>
      </c>
      <c r="K2062" s="195">
        <v>46127.34946759259</v>
      </c>
      <c r="L2062">
        <v>477</v>
      </c>
      <c r="M2062">
        <v>0</v>
      </c>
      <c r="N2062" s="98" t="str">
        <f>IF(record[[#This Row],[Memo]]="Browser:chrome os:android","平板報工",IF(record[[#This Row],[Memo]]=0,"委外",record[[#This Row],[Memo]]))</f>
        <v/>
      </c>
      <c r="O2062" t="s">
        <v>58</v>
      </c>
      <c r="P2062" t="s">
        <v>121</v>
      </c>
      <c r="Q2062" t="s">
        <v>58</v>
      </c>
      <c r="R2062" t="str">
        <f>IFERROR(VLOOKUP(record[[#This Row],[PCUSTID]],廠商[],2,FALSE),"")</f>
        <v/>
      </c>
      <c r="S2062" t="str">
        <f>VLOOKUP(record[[#This Row],[employeeID]],員工[],2,FALSE)</f>
        <v>謝素卿</v>
      </c>
    </row>
    <row r="2063" spans="6:19" hidden="1" x14ac:dyDescent="0.25">
      <c r="F2063" t="s">
        <v>1784</v>
      </c>
      <c r="G2063" t="s">
        <v>400</v>
      </c>
      <c r="H2063" t="str">
        <f>VLOOKUP(record[[#This Row],[ProcessSN]],表格2_7[],2,FALSE)</f>
        <v>30-4118-018-550</v>
      </c>
      <c r="I2063" t="str">
        <f>VLOOKUP(record[[#This Row],[ProcessSN]],表格2_7[],3,FALSE)</f>
        <v>#100</v>
      </c>
      <c r="J2063" t="s">
        <v>598</v>
      </c>
      <c r="K2063" s="195">
        <v>46127.340856481482</v>
      </c>
      <c r="L2063">
        <v>0</v>
      </c>
      <c r="M2063">
        <v>60</v>
      </c>
      <c r="N2063" s="98" t="str">
        <f>IF(record[[#This Row],[Memo]]="Browser:chrome os:android","平板報工",IF(record[[#This Row],[Memo]]=0,"委外",record[[#This Row],[Memo]]))</f>
        <v/>
      </c>
      <c r="O2063" t="s">
        <v>58</v>
      </c>
      <c r="P2063" t="s">
        <v>141</v>
      </c>
      <c r="Q2063" t="s">
        <v>58</v>
      </c>
      <c r="R2063" t="str">
        <f>IFERROR(VLOOKUP(record[[#This Row],[PCUSTID]],廠商[],2,FALSE),"")</f>
        <v/>
      </c>
      <c r="S2063" t="str">
        <f>VLOOKUP(record[[#This Row],[employeeID]],員工[],2,FALSE)</f>
        <v>蔣梅</v>
      </c>
    </row>
    <row r="2064" spans="6:19" hidden="1" x14ac:dyDescent="0.25">
      <c r="F2064" t="s">
        <v>1784</v>
      </c>
      <c r="G2064" t="s">
        <v>400</v>
      </c>
      <c r="H2064" t="str">
        <f>VLOOKUP(record[[#This Row],[ProcessSN]],表格2_7[],2,FALSE)</f>
        <v>30-4118-018-550</v>
      </c>
      <c r="I2064" t="str">
        <f>VLOOKUP(record[[#This Row],[ProcessSN]],表格2_7[],3,FALSE)</f>
        <v>#100</v>
      </c>
      <c r="J2064" t="s">
        <v>598</v>
      </c>
      <c r="K2064" s="195">
        <v>46127.340717592589</v>
      </c>
      <c r="L2064">
        <v>34</v>
      </c>
      <c r="M2064">
        <v>0</v>
      </c>
      <c r="N2064" s="98" t="str">
        <f>IF(record[[#This Row],[Memo]]="Browser:chrome os:android","平板報工",IF(record[[#This Row],[Memo]]=0,"委外",record[[#This Row],[Memo]]))</f>
        <v>覆回</v>
      </c>
      <c r="O2064" t="s">
        <v>682</v>
      </c>
      <c r="P2064" t="s">
        <v>141</v>
      </c>
      <c r="Q2064" t="s">
        <v>58</v>
      </c>
      <c r="R2064" t="str">
        <f>IFERROR(VLOOKUP(record[[#This Row],[PCUSTID]],廠商[],2,FALSE),"")</f>
        <v/>
      </c>
      <c r="S2064" t="str">
        <f>VLOOKUP(record[[#This Row],[employeeID]],員工[],2,FALSE)</f>
        <v>蔣梅</v>
      </c>
    </row>
    <row r="2065" spans="6:19" hidden="1" x14ac:dyDescent="0.25">
      <c r="F2065" t="s">
        <v>1790</v>
      </c>
      <c r="G2065" t="s">
        <v>375</v>
      </c>
      <c r="H2065" t="str">
        <f>VLOOKUP(record[[#This Row],[ProcessSN]],表格2_7[],2,FALSE)</f>
        <v>30-4118-018-4XX</v>
      </c>
      <c r="I2065" t="str">
        <f>VLOOKUP(record[[#This Row],[ProcessSN]],表格2_7[],3,FALSE)</f>
        <v>#05</v>
      </c>
      <c r="J2065" t="s">
        <v>588</v>
      </c>
      <c r="K2065" s="195">
        <v>46127.300543981481</v>
      </c>
      <c r="L2065">
        <v>105</v>
      </c>
      <c r="M2065">
        <v>0</v>
      </c>
      <c r="N2065" s="98" t="str">
        <f>IF(record[[#This Row],[Memo]]="Browser:chrome os:android","平板報工",IF(record[[#This Row],[Memo]]=0,"委外",record[[#This Row],[Memo]]))</f>
        <v/>
      </c>
      <c r="O2065" t="s">
        <v>58</v>
      </c>
      <c r="P2065" t="s">
        <v>843</v>
      </c>
      <c r="Q2065" t="s">
        <v>58</v>
      </c>
      <c r="R2065" t="str">
        <f>IFERROR(VLOOKUP(record[[#This Row],[PCUSTID]],廠商[],2,FALSE),"")</f>
        <v/>
      </c>
      <c r="S2065" t="str">
        <f>VLOOKUP(record[[#This Row],[employeeID]],員工[],2,FALSE)</f>
        <v>張楚承</v>
      </c>
    </row>
    <row r="2066" spans="6:19" hidden="1" x14ac:dyDescent="0.25">
      <c r="F2066" t="s">
        <v>1787</v>
      </c>
      <c r="G2066" t="s">
        <v>465</v>
      </c>
      <c r="H2066" t="str">
        <f>VLOOKUP(record[[#This Row],[ProcessSN]],表格2_7[],2,FALSE)</f>
        <v>30-4118-018-XXX</v>
      </c>
      <c r="I2066" t="str">
        <f>VLOOKUP(record[[#This Row],[ProcessSN]],表格2_7[],3,FALSE)</f>
        <v>#01-1</v>
      </c>
      <c r="J2066" t="s">
        <v>588</v>
      </c>
      <c r="K2066" s="195">
        <v>46127.299849537034</v>
      </c>
      <c r="L2066">
        <v>296</v>
      </c>
      <c r="M2066">
        <v>0</v>
      </c>
      <c r="N2066" s="98" t="str">
        <f>IF(record[[#This Row],[Memo]]="Browser:chrome os:android","平板報工",IF(record[[#This Row],[Memo]]=0,"委外",record[[#This Row],[Memo]]))</f>
        <v/>
      </c>
      <c r="O2066" t="s">
        <v>58</v>
      </c>
      <c r="P2066" t="s">
        <v>135</v>
      </c>
      <c r="Q2066" t="s">
        <v>58</v>
      </c>
      <c r="R2066" t="str">
        <f>IFERROR(VLOOKUP(record[[#This Row],[PCUSTID]],廠商[],2,FALSE),"")</f>
        <v/>
      </c>
      <c r="S2066" t="str">
        <f>VLOOKUP(record[[#This Row],[employeeID]],員工[],2,FALSE)</f>
        <v>阮士文</v>
      </c>
    </row>
    <row r="2067" spans="6:19" hidden="1" x14ac:dyDescent="0.25">
      <c r="F2067" t="s">
        <v>1637</v>
      </c>
      <c r="G2067" t="s">
        <v>450</v>
      </c>
      <c r="H2067" t="str">
        <f>VLOOKUP(record[[#This Row],[ProcessSN]],表格2_7[],2,FALSE)</f>
        <v>30-4118-018-6XX</v>
      </c>
      <c r="I2067" t="str">
        <f>VLOOKUP(record[[#This Row],[ProcessSN]],表格2_7[],3,FALSE)</f>
        <v>#06</v>
      </c>
      <c r="J2067" t="s">
        <v>593</v>
      </c>
      <c r="K2067" s="195">
        <v>46127.29954861111</v>
      </c>
      <c r="L2067">
        <v>266</v>
      </c>
      <c r="M2067">
        <v>1</v>
      </c>
      <c r="N2067" s="98" t="str">
        <f>IF(record[[#This Row],[Memo]]="Browser:chrome os:android","平板報工",IF(record[[#This Row],[Memo]]=0,"委外",record[[#This Row],[Memo]]))</f>
        <v>平板報工</v>
      </c>
      <c r="O2067" t="s">
        <v>643</v>
      </c>
      <c r="P2067" t="s">
        <v>691</v>
      </c>
      <c r="Q2067" t="s">
        <v>644</v>
      </c>
      <c r="R2067" t="str">
        <f>IFERROR(VLOOKUP(record[[#This Row],[PCUSTID]],廠商[],2,FALSE),"")</f>
        <v/>
      </c>
      <c r="S2067" t="str">
        <f>VLOOKUP(record[[#This Row],[employeeID]],員工[],2,FALSE)</f>
        <v>武氏賢</v>
      </c>
    </row>
    <row r="2068" spans="6:19" hidden="1" x14ac:dyDescent="0.25">
      <c r="F2068" t="s">
        <v>1790</v>
      </c>
      <c r="G2068" t="s">
        <v>374</v>
      </c>
      <c r="H2068" t="str">
        <f>VLOOKUP(record[[#This Row],[ProcessSN]],表格2_7[],2,FALSE)</f>
        <v>30-4118-018-4XX</v>
      </c>
      <c r="I2068" t="str">
        <f>VLOOKUP(record[[#This Row],[ProcessSN]],表格2_7[],3,FALSE)</f>
        <v>#04</v>
      </c>
      <c r="J2068" t="s">
        <v>588</v>
      </c>
      <c r="K2068" s="195">
        <v>46127.299305555556</v>
      </c>
      <c r="L2068">
        <v>133</v>
      </c>
      <c r="M2068">
        <v>0</v>
      </c>
      <c r="N2068" s="98" t="str">
        <f>IF(record[[#This Row],[Memo]]="Browser:chrome os:android","平板報工",IF(record[[#This Row],[Memo]]=0,"委外",record[[#This Row],[Memo]]))</f>
        <v/>
      </c>
      <c r="O2068" t="s">
        <v>58</v>
      </c>
      <c r="P2068" t="s">
        <v>135</v>
      </c>
      <c r="Q2068" t="s">
        <v>58</v>
      </c>
      <c r="R2068" t="str">
        <f>IFERROR(VLOOKUP(record[[#This Row],[PCUSTID]],廠商[],2,FALSE),"")</f>
        <v/>
      </c>
      <c r="S2068" t="str">
        <f>VLOOKUP(record[[#This Row],[employeeID]],員工[],2,FALSE)</f>
        <v>阮士文</v>
      </c>
    </row>
    <row r="2069" spans="6:19" hidden="1" x14ac:dyDescent="0.25">
      <c r="F2069" t="s">
        <v>1787</v>
      </c>
      <c r="G2069" t="s">
        <v>466</v>
      </c>
      <c r="H2069" t="str">
        <f>VLOOKUP(record[[#This Row],[ProcessSN]],表格2_7[],2,FALSE)</f>
        <v>30-4118-018-XXX</v>
      </c>
      <c r="I2069" t="str">
        <f>VLOOKUP(record[[#This Row],[ProcessSN]],表格2_7[],3,FALSE)</f>
        <v>#01-2</v>
      </c>
      <c r="J2069" t="s">
        <v>588</v>
      </c>
      <c r="K2069" s="195">
        <v>46127.275219907409</v>
      </c>
      <c r="L2069">
        <v>325</v>
      </c>
      <c r="M2069">
        <v>0</v>
      </c>
      <c r="N2069" s="98" t="str">
        <f>IF(record[[#This Row],[Memo]]="Browser:chrome os:android","平板報工",IF(record[[#This Row],[Memo]]=0,"委外",record[[#This Row],[Memo]]))</f>
        <v>平板報工</v>
      </c>
      <c r="O2069" t="s">
        <v>643</v>
      </c>
      <c r="P2069" t="s">
        <v>806</v>
      </c>
      <c r="Q2069" t="s">
        <v>644</v>
      </c>
      <c r="R2069" t="str">
        <f>IFERROR(VLOOKUP(record[[#This Row],[PCUSTID]],廠商[],2,FALSE),"")</f>
        <v/>
      </c>
      <c r="S2069" t="str">
        <f>VLOOKUP(record[[#This Row],[employeeID]],員工[],2,FALSE)</f>
        <v>方思緯</v>
      </c>
    </row>
    <row r="2070" spans="6:19" hidden="1" x14ac:dyDescent="0.25">
      <c r="F2070" t="s">
        <v>1782</v>
      </c>
      <c r="G2070" t="s">
        <v>418</v>
      </c>
      <c r="H2070" t="str">
        <f>VLOOKUP(record[[#This Row],[ProcessSN]],表格2_7[],2,FALSE)</f>
        <v>30-4118-018-5XX</v>
      </c>
      <c r="I2070" t="str">
        <f>VLOOKUP(record[[#This Row],[ProcessSN]],表格2_7[],3,FALSE)</f>
        <v>#07</v>
      </c>
      <c r="J2070" t="s">
        <v>588</v>
      </c>
      <c r="K2070" s="195">
        <v>46127.274189814816</v>
      </c>
      <c r="L2070">
        <v>135</v>
      </c>
      <c r="M2070">
        <v>3</v>
      </c>
      <c r="N2070" s="98" t="str">
        <f>IF(record[[#This Row],[Memo]]="Browser:chrome os:android","平板報工",IF(record[[#This Row],[Memo]]=0,"委外",record[[#This Row],[Memo]]))</f>
        <v>平板報工</v>
      </c>
      <c r="O2070" t="s">
        <v>643</v>
      </c>
      <c r="P2070" t="s">
        <v>806</v>
      </c>
      <c r="Q2070" t="s">
        <v>644</v>
      </c>
      <c r="R2070" t="str">
        <f>IFERROR(VLOOKUP(record[[#This Row],[PCUSTID]],廠商[],2,FALSE),"")</f>
        <v/>
      </c>
      <c r="S2070" t="str">
        <f>VLOOKUP(record[[#This Row],[employeeID]],員工[],2,FALSE)</f>
        <v>方思緯</v>
      </c>
    </row>
    <row r="2071" spans="6:19" hidden="1" x14ac:dyDescent="0.25">
      <c r="F2071" t="s">
        <v>1767</v>
      </c>
      <c r="G2071" t="s">
        <v>418</v>
      </c>
      <c r="H2071" t="str">
        <f>VLOOKUP(record[[#This Row],[ProcessSN]],表格2_7[],2,FALSE)</f>
        <v>30-4118-018-5XX</v>
      </c>
      <c r="I2071" t="str">
        <f>VLOOKUP(record[[#This Row],[ProcessSN]],表格2_7[],3,FALSE)</f>
        <v>#07</v>
      </c>
      <c r="J2071" t="s">
        <v>588</v>
      </c>
      <c r="K2071" s="195">
        <v>46127.259027777778</v>
      </c>
      <c r="L2071">
        <v>49</v>
      </c>
      <c r="M2071">
        <v>0</v>
      </c>
      <c r="N2071" s="98" t="str">
        <f>IF(record[[#This Row],[Memo]]="Browser:chrome os:android","平板報工",IF(record[[#This Row],[Memo]]=0,"委外",record[[#This Row],[Memo]]))</f>
        <v>平板報工</v>
      </c>
      <c r="O2071" t="s">
        <v>643</v>
      </c>
      <c r="P2071" t="s">
        <v>806</v>
      </c>
      <c r="Q2071" t="s">
        <v>644</v>
      </c>
      <c r="R2071" t="str">
        <f>IFERROR(VLOOKUP(record[[#This Row],[PCUSTID]],廠商[],2,FALSE),"")</f>
        <v/>
      </c>
      <c r="S2071" t="str">
        <f>VLOOKUP(record[[#This Row],[employeeID]],員工[],2,FALSE)</f>
        <v>方思緯</v>
      </c>
    </row>
    <row r="2072" spans="6:19" hidden="1" x14ac:dyDescent="0.25">
      <c r="F2072" t="s">
        <v>1790</v>
      </c>
      <c r="G2072" t="s">
        <v>375</v>
      </c>
      <c r="H2072" t="str">
        <f>VLOOKUP(record[[#This Row],[ProcessSN]],表格2_7[],2,FALSE)</f>
        <v>30-4118-018-4XX</v>
      </c>
      <c r="I2072" t="str">
        <f>VLOOKUP(record[[#This Row],[ProcessSN]],表格2_7[],3,FALSE)</f>
        <v>#05</v>
      </c>
      <c r="J2072" t="s">
        <v>588</v>
      </c>
      <c r="K2072" s="195">
        <v>46126.998090277775</v>
      </c>
      <c r="L2072">
        <v>125</v>
      </c>
      <c r="M2072">
        <v>0</v>
      </c>
      <c r="N2072" s="98" t="str">
        <f>IF(record[[#This Row],[Memo]]="Browser:chrome os:android","平板報工",IF(record[[#This Row],[Memo]]=0,"委外",record[[#This Row],[Memo]]))</f>
        <v>平板報工</v>
      </c>
      <c r="O2072" t="s">
        <v>643</v>
      </c>
      <c r="P2072" t="s">
        <v>1098</v>
      </c>
      <c r="Q2072" t="s">
        <v>644</v>
      </c>
      <c r="R2072" t="str">
        <f>IFERROR(VLOOKUP(record[[#This Row],[PCUSTID]],廠商[],2,FALSE),"")</f>
        <v/>
      </c>
      <c r="S2072" t="str">
        <f>VLOOKUP(record[[#This Row],[employeeID]],員工[],2,FALSE)</f>
        <v>阮氏芳英(英)</v>
      </c>
    </row>
    <row r="2073" spans="6:19" hidden="1" x14ac:dyDescent="0.25">
      <c r="F2073" t="s">
        <v>1790</v>
      </c>
      <c r="G2073" t="s">
        <v>374</v>
      </c>
      <c r="H2073" t="str">
        <f>VLOOKUP(record[[#This Row],[ProcessSN]],表格2_7[],2,FALSE)</f>
        <v>30-4118-018-4XX</v>
      </c>
      <c r="I2073" t="str">
        <f>VLOOKUP(record[[#This Row],[ProcessSN]],表格2_7[],3,FALSE)</f>
        <v>#04</v>
      </c>
      <c r="J2073" t="s">
        <v>588</v>
      </c>
      <c r="K2073" s="195">
        <v>46126.992476851854</v>
      </c>
      <c r="L2073">
        <v>65</v>
      </c>
      <c r="M2073">
        <v>4</v>
      </c>
      <c r="N2073" s="98" t="str">
        <f>IF(record[[#This Row],[Memo]]="Browser:chrome os:android","平板報工",IF(record[[#This Row],[Memo]]=0,"委外",record[[#This Row],[Memo]]))</f>
        <v>平板報工</v>
      </c>
      <c r="O2073" t="s">
        <v>643</v>
      </c>
      <c r="P2073" t="s">
        <v>180</v>
      </c>
      <c r="Q2073" t="s">
        <v>644</v>
      </c>
      <c r="R2073" t="str">
        <f>IFERROR(VLOOKUP(record[[#This Row],[PCUSTID]],廠商[],2,FALSE),"")</f>
        <v/>
      </c>
      <c r="S2073" t="str">
        <f>VLOOKUP(record[[#This Row],[employeeID]],員工[],2,FALSE)</f>
        <v>黎功江</v>
      </c>
    </row>
    <row r="2074" spans="6:19" hidden="1" x14ac:dyDescent="0.25">
      <c r="F2074" t="s">
        <v>1787</v>
      </c>
      <c r="G2074" t="s">
        <v>465</v>
      </c>
      <c r="H2074" t="str">
        <f>VLOOKUP(record[[#This Row],[ProcessSN]],表格2_7[],2,FALSE)</f>
        <v>30-4118-018-XXX</v>
      </c>
      <c r="I2074" t="str">
        <f>VLOOKUP(record[[#This Row],[ProcessSN]],表格2_7[],3,FALSE)</f>
        <v>#01-1</v>
      </c>
      <c r="J2074" t="s">
        <v>588</v>
      </c>
      <c r="K2074" s="195">
        <v>46126.991400462961</v>
      </c>
      <c r="L2074">
        <v>552</v>
      </c>
      <c r="M2074">
        <v>0</v>
      </c>
      <c r="N2074" s="98" t="str">
        <f>IF(record[[#This Row],[Memo]]="Browser:chrome os:android","平板報工",IF(record[[#This Row],[Memo]]=0,"委外",record[[#This Row],[Memo]]))</f>
        <v>平板報工</v>
      </c>
      <c r="O2074" t="s">
        <v>643</v>
      </c>
      <c r="P2074" t="s">
        <v>180</v>
      </c>
      <c r="Q2074" t="s">
        <v>644</v>
      </c>
      <c r="R2074" t="str">
        <f>IFERROR(VLOOKUP(record[[#This Row],[PCUSTID]],廠商[],2,FALSE),"")</f>
        <v/>
      </c>
      <c r="S2074" t="str">
        <f>VLOOKUP(record[[#This Row],[employeeID]],員工[],2,FALSE)</f>
        <v>黎功江</v>
      </c>
    </row>
    <row r="2075" spans="6:19" hidden="1" x14ac:dyDescent="0.25">
      <c r="F2075" t="s">
        <v>1637</v>
      </c>
      <c r="G2075" t="s">
        <v>450</v>
      </c>
      <c r="H2075" t="str">
        <f>VLOOKUP(record[[#This Row],[ProcessSN]],表格2_7[],2,FALSE)</f>
        <v>30-4118-018-6XX</v>
      </c>
      <c r="I2075" t="str">
        <f>VLOOKUP(record[[#This Row],[ProcessSN]],表格2_7[],3,FALSE)</f>
        <v>#06</v>
      </c>
      <c r="J2075" t="s">
        <v>593</v>
      </c>
      <c r="K2075" s="195">
        <v>46126.989178240743</v>
      </c>
      <c r="L2075">
        <v>40</v>
      </c>
      <c r="M2075">
        <v>0</v>
      </c>
      <c r="N2075" s="98" t="str">
        <f>IF(record[[#This Row],[Memo]]="Browser:chrome os:android","平板報工",IF(record[[#This Row],[Memo]]=0,"委外",record[[#This Row],[Memo]]))</f>
        <v>平板報工</v>
      </c>
      <c r="O2075" t="s">
        <v>643</v>
      </c>
      <c r="P2075" t="s">
        <v>1669</v>
      </c>
      <c r="Q2075" t="s">
        <v>644</v>
      </c>
      <c r="R2075" t="str">
        <f>IFERROR(VLOOKUP(record[[#This Row],[PCUSTID]],廠商[],2,FALSE),"")</f>
        <v/>
      </c>
      <c r="S2075" t="str">
        <f>VLOOKUP(record[[#This Row],[employeeID]],員工[],2,FALSE)</f>
        <v>武氏麗娟</v>
      </c>
    </row>
    <row r="2076" spans="6:19" hidden="1" x14ac:dyDescent="0.25">
      <c r="F2076" t="s">
        <v>1637</v>
      </c>
      <c r="G2076" t="s">
        <v>450</v>
      </c>
      <c r="H2076" t="str">
        <f>VLOOKUP(record[[#This Row],[ProcessSN]],表格2_7[],2,FALSE)</f>
        <v>30-4118-018-6XX</v>
      </c>
      <c r="I2076" t="str">
        <f>VLOOKUP(record[[#This Row],[ProcessSN]],表格2_7[],3,FALSE)</f>
        <v>#06</v>
      </c>
      <c r="J2076" t="s">
        <v>593</v>
      </c>
      <c r="K2076" s="195">
        <v>46126.976307870369</v>
      </c>
      <c r="L2076">
        <v>66</v>
      </c>
      <c r="M2076">
        <v>0</v>
      </c>
      <c r="N2076" s="98" t="str">
        <f>IF(record[[#This Row],[Memo]]="Browser:chrome os:android","平板報工",IF(record[[#This Row],[Memo]]=0,"委外",record[[#This Row],[Memo]]))</f>
        <v>平板報工</v>
      </c>
      <c r="O2076" t="s">
        <v>643</v>
      </c>
      <c r="P2076" t="s">
        <v>176</v>
      </c>
      <c r="Q2076" t="s">
        <v>644</v>
      </c>
      <c r="R2076" t="str">
        <f>IFERROR(VLOOKUP(record[[#This Row],[PCUSTID]],廠商[],2,FALSE),"")</f>
        <v/>
      </c>
      <c r="S2076" t="str">
        <f>VLOOKUP(record[[#This Row],[employeeID]],員工[],2,FALSE)</f>
        <v>郭政雄</v>
      </c>
    </row>
    <row r="2077" spans="6:19" hidden="1" x14ac:dyDescent="0.25">
      <c r="F2077" t="s">
        <v>1787</v>
      </c>
      <c r="G2077" t="s">
        <v>466</v>
      </c>
      <c r="H2077" t="str">
        <f>VLOOKUP(record[[#This Row],[ProcessSN]],表格2_7[],2,FALSE)</f>
        <v>30-4118-018-XXX</v>
      </c>
      <c r="I2077" t="str">
        <f>VLOOKUP(record[[#This Row],[ProcessSN]],表格2_7[],3,FALSE)</f>
        <v>#01-2</v>
      </c>
      <c r="J2077" t="s">
        <v>588</v>
      </c>
      <c r="K2077" s="195">
        <v>46126.968414351853</v>
      </c>
      <c r="L2077">
        <v>359</v>
      </c>
      <c r="M2077">
        <v>0</v>
      </c>
      <c r="N2077" s="98" t="str">
        <f>IF(record[[#This Row],[Memo]]="Browser:chrome os:android","平板報工",IF(record[[#This Row],[Memo]]=0,"委外",record[[#This Row],[Memo]]))</f>
        <v>平板報工</v>
      </c>
      <c r="O2077" t="s">
        <v>643</v>
      </c>
      <c r="P2077" t="s">
        <v>89</v>
      </c>
      <c r="Q2077" t="s">
        <v>644</v>
      </c>
      <c r="R2077" t="str">
        <f>IFERROR(VLOOKUP(record[[#This Row],[PCUSTID]],廠商[],2,FALSE),"")</f>
        <v/>
      </c>
      <c r="S2077" t="str">
        <f>VLOOKUP(record[[#This Row],[employeeID]],員工[],2,FALSE)</f>
        <v>李美蓮</v>
      </c>
    </row>
    <row r="2078" spans="6:19" hidden="1" x14ac:dyDescent="0.25">
      <c r="F2078" t="s">
        <v>1787</v>
      </c>
      <c r="G2078" t="s">
        <v>465</v>
      </c>
      <c r="H2078" t="str">
        <f>VLOOKUP(record[[#This Row],[ProcessSN]],表格2_7[],2,FALSE)</f>
        <v>30-4118-018-XXX</v>
      </c>
      <c r="I2078" t="str">
        <f>VLOOKUP(record[[#This Row],[ProcessSN]],表格2_7[],3,FALSE)</f>
        <v>#01-1</v>
      </c>
      <c r="J2078" t="s">
        <v>588</v>
      </c>
      <c r="K2078" s="195">
        <v>46126.818541666667</v>
      </c>
      <c r="L2078">
        <v>624</v>
      </c>
      <c r="M2078">
        <v>0</v>
      </c>
      <c r="N2078" s="98" t="str">
        <f>IF(record[[#This Row],[Memo]]="Browser:chrome os:android","平板報工",IF(record[[#This Row],[Memo]]=0,"委外",record[[#This Row],[Memo]]))</f>
        <v>平板報工</v>
      </c>
      <c r="O2078" t="s">
        <v>643</v>
      </c>
      <c r="P2078" t="s">
        <v>785</v>
      </c>
      <c r="Q2078" t="s">
        <v>644</v>
      </c>
      <c r="R2078" t="str">
        <f>IFERROR(VLOOKUP(record[[#This Row],[PCUSTID]],廠商[],2,FALSE),"")</f>
        <v/>
      </c>
      <c r="S2078" t="str">
        <f>VLOOKUP(record[[#This Row],[employeeID]],員工[],2,FALSE)</f>
        <v>謝刻光</v>
      </c>
    </row>
    <row r="2079" spans="6:19" hidden="1" x14ac:dyDescent="0.25">
      <c r="F2079" t="s">
        <v>1790</v>
      </c>
      <c r="G2079" t="s">
        <v>374</v>
      </c>
      <c r="H2079" t="str">
        <f>VLOOKUP(record[[#This Row],[ProcessSN]],表格2_7[],2,FALSE)</f>
        <v>30-4118-018-4XX</v>
      </c>
      <c r="I2079" t="str">
        <f>VLOOKUP(record[[#This Row],[ProcessSN]],表格2_7[],3,FALSE)</f>
        <v>#04</v>
      </c>
      <c r="J2079" t="s">
        <v>588</v>
      </c>
      <c r="K2079" s="195">
        <v>46126.817743055559</v>
      </c>
      <c r="L2079">
        <v>60</v>
      </c>
      <c r="M2079">
        <v>3</v>
      </c>
      <c r="N2079" s="98" t="str">
        <f>IF(record[[#This Row],[Memo]]="Browser:chrome os:android","平板報工",IF(record[[#This Row],[Memo]]=0,"委外",record[[#This Row],[Memo]]))</f>
        <v>平板報工</v>
      </c>
      <c r="O2079" t="s">
        <v>643</v>
      </c>
      <c r="P2079" t="s">
        <v>785</v>
      </c>
      <c r="Q2079" t="s">
        <v>644</v>
      </c>
      <c r="R2079" t="str">
        <f>IFERROR(VLOOKUP(record[[#This Row],[PCUSTID]],廠商[],2,FALSE),"")</f>
        <v/>
      </c>
      <c r="S2079" t="str">
        <f>VLOOKUP(record[[#This Row],[employeeID]],員工[],2,FALSE)</f>
        <v>謝刻光</v>
      </c>
    </row>
    <row r="2080" spans="6:19" hidden="1" x14ac:dyDescent="0.25">
      <c r="F2080" t="s">
        <v>1655</v>
      </c>
      <c r="G2080" t="s">
        <v>470</v>
      </c>
      <c r="H2080" t="str">
        <f>VLOOKUP(record[[#This Row],[ProcessSN]],表格2_7[],2,FALSE)</f>
        <v>30-4118-018-XXX</v>
      </c>
      <c r="I2080" t="str">
        <f>VLOOKUP(record[[#This Row],[ProcessSN]],表格2_7[],3,FALSE)</f>
        <v>#02IQC</v>
      </c>
      <c r="J2080" t="s">
        <v>583</v>
      </c>
      <c r="K2080" s="195">
        <v>46126.802534722221</v>
      </c>
      <c r="L2080">
        <v>545</v>
      </c>
      <c r="M2080">
        <v>0</v>
      </c>
      <c r="N2080" s="98" t="str">
        <f>IF(record[[#This Row],[Memo]]="Browser:chrome os:android","平板報工",IF(record[[#This Row],[Memo]]=0,"委外",record[[#This Row],[Memo]]))</f>
        <v/>
      </c>
      <c r="O2080" t="s">
        <v>58</v>
      </c>
      <c r="P2080" t="s">
        <v>109</v>
      </c>
      <c r="Q2080" t="s">
        <v>58</v>
      </c>
      <c r="R2080" t="str">
        <f>IFERROR(VLOOKUP(record[[#This Row],[PCUSTID]],廠商[],2,FALSE),"")</f>
        <v/>
      </c>
      <c r="S2080" t="str">
        <f>VLOOKUP(record[[#This Row],[employeeID]],員工[],2,FALSE)</f>
        <v>裴氏璧鳳</v>
      </c>
    </row>
    <row r="2081" spans="6:19" hidden="1" x14ac:dyDescent="0.25">
      <c r="F2081" t="s">
        <v>1788</v>
      </c>
      <c r="G2081" t="s">
        <v>400</v>
      </c>
      <c r="H2081" t="str">
        <f>VLOOKUP(record[[#This Row],[ProcessSN]],表格2_7[],2,FALSE)</f>
        <v>30-4118-018-550</v>
      </c>
      <c r="I2081" t="str">
        <f>VLOOKUP(record[[#This Row],[ProcessSN]],表格2_7[],3,FALSE)</f>
        <v>#100</v>
      </c>
      <c r="J2081" t="s">
        <v>598</v>
      </c>
      <c r="K2081" s="195">
        <v>46126.730983796297</v>
      </c>
      <c r="L2081">
        <v>477</v>
      </c>
      <c r="M2081">
        <v>0</v>
      </c>
      <c r="N2081" s="98" t="str">
        <f>IF(record[[#This Row],[Memo]]="Browser:chrome os:android","平板報工",IF(record[[#This Row],[Memo]]=0,"委外",record[[#This Row],[Memo]]))</f>
        <v/>
      </c>
      <c r="O2081" t="s">
        <v>58</v>
      </c>
      <c r="P2081" t="s">
        <v>99</v>
      </c>
      <c r="Q2081" t="s">
        <v>58</v>
      </c>
      <c r="R2081" t="str">
        <f>IFERROR(VLOOKUP(record[[#This Row],[PCUSTID]],廠商[],2,FALSE),"")</f>
        <v/>
      </c>
      <c r="S2081" t="str">
        <f>VLOOKUP(record[[#This Row],[employeeID]],員工[],2,FALSE)</f>
        <v>阮氏河</v>
      </c>
    </row>
    <row r="2082" spans="6:19" hidden="1" x14ac:dyDescent="0.25">
      <c r="F2082" t="s">
        <v>1788</v>
      </c>
      <c r="G2082" t="s">
        <v>399</v>
      </c>
      <c r="H2082" t="str">
        <f>VLOOKUP(record[[#This Row],[ProcessSN]],表格2_7[],2,FALSE)</f>
        <v>30-4118-018-550</v>
      </c>
      <c r="I2082" t="str">
        <f>VLOOKUP(record[[#This Row],[ProcessSN]],表格2_7[],3,FALSE)</f>
        <v>#08IQC</v>
      </c>
      <c r="J2082" t="s">
        <v>583</v>
      </c>
      <c r="K2082" s="195">
        <v>46126.703414351854</v>
      </c>
      <c r="L2082">
        <v>477</v>
      </c>
      <c r="M2082">
        <v>0</v>
      </c>
      <c r="N2082" s="98" t="str">
        <f>IF(record[[#This Row],[Memo]]="Browser:chrome os:android","平板報工",IF(record[[#This Row],[Memo]]=0,"委外",record[[#This Row],[Memo]]))</f>
        <v/>
      </c>
      <c r="O2082" t="s">
        <v>58</v>
      </c>
      <c r="P2082" t="s">
        <v>109</v>
      </c>
      <c r="Q2082" t="s">
        <v>58</v>
      </c>
      <c r="R2082" t="str">
        <f>IFERROR(VLOOKUP(record[[#This Row],[PCUSTID]],廠商[],2,FALSE),"")</f>
        <v/>
      </c>
      <c r="S2082" t="str">
        <f>VLOOKUP(record[[#This Row],[employeeID]],員工[],2,FALSE)</f>
        <v>裴氏璧鳳</v>
      </c>
    </row>
    <row r="2083" spans="6:19" hidden="1" x14ac:dyDescent="0.25">
      <c r="F2083" t="s">
        <v>1782</v>
      </c>
      <c r="G2083" t="s">
        <v>417</v>
      </c>
      <c r="H2083" t="str">
        <f>VLOOKUP(record[[#This Row],[ProcessSN]],表格2_7[],2,FALSE)</f>
        <v>30-4118-018-5XX</v>
      </c>
      <c r="I2083" t="str">
        <f>VLOOKUP(record[[#This Row],[ProcessSN]],表格2_7[],3,FALSE)</f>
        <v>#06</v>
      </c>
      <c r="J2083" t="s">
        <v>593</v>
      </c>
      <c r="K2083" s="195">
        <v>46126.668680555558</v>
      </c>
      <c r="L2083">
        <v>5</v>
      </c>
      <c r="M2083">
        <v>0</v>
      </c>
      <c r="N2083" s="98" t="str">
        <f>IF(record[[#This Row],[Memo]]="Browser:chrome os:android","平板報工",IF(record[[#This Row],[Memo]]=0,"委外",record[[#This Row],[Memo]]))</f>
        <v/>
      </c>
      <c r="O2083" t="s">
        <v>58</v>
      </c>
      <c r="P2083" t="s">
        <v>188</v>
      </c>
      <c r="Q2083" t="s">
        <v>58</v>
      </c>
      <c r="R2083" t="str">
        <f>IFERROR(VLOOKUP(record[[#This Row],[PCUSTID]],廠商[],2,FALSE),"")</f>
        <v/>
      </c>
      <c r="S2083" t="str">
        <f>VLOOKUP(record[[#This Row],[employeeID]],員工[],2,FALSE)</f>
        <v>阮氏璧紅</v>
      </c>
    </row>
    <row r="2084" spans="6:19" hidden="1" x14ac:dyDescent="0.25">
      <c r="F2084" t="s">
        <v>1782</v>
      </c>
      <c r="G2084" t="s">
        <v>416</v>
      </c>
      <c r="H2084" t="str">
        <f>VLOOKUP(record[[#This Row],[ProcessSN]],表格2_7[],2,FALSE)</f>
        <v>30-4118-018-5XX</v>
      </c>
      <c r="I2084" t="str">
        <f>VLOOKUP(record[[#This Row],[ProcessSN]],表格2_7[],3,FALSE)</f>
        <v>#05</v>
      </c>
      <c r="J2084" t="s">
        <v>588</v>
      </c>
      <c r="K2084" s="195">
        <v>46126.667650462965</v>
      </c>
      <c r="L2084">
        <v>3</v>
      </c>
      <c r="M2084">
        <v>0</v>
      </c>
      <c r="N2084" s="98" t="str">
        <f>IF(record[[#This Row],[Memo]]="Browser:chrome os:android","平板報工",IF(record[[#This Row],[Memo]]=0,"委外",record[[#This Row],[Memo]]))</f>
        <v/>
      </c>
      <c r="O2084" t="s">
        <v>58</v>
      </c>
      <c r="P2084" t="s">
        <v>785</v>
      </c>
      <c r="Q2084" t="s">
        <v>58</v>
      </c>
      <c r="R2084" t="str">
        <f>IFERROR(VLOOKUP(record[[#This Row],[PCUSTID]],廠商[],2,FALSE),"")</f>
        <v/>
      </c>
      <c r="S2084" t="str">
        <f>VLOOKUP(record[[#This Row],[employeeID]],員工[],2,FALSE)</f>
        <v>謝刻光</v>
      </c>
    </row>
    <row r="2085" spans="6:19" hidden="1" x14ac:dyDescent="0.25">
      <c r="F2085" t="s">
        <v>1788</v>
      </c>
      <c r="G2085" t="s">
        <v>398</v>
      </c>
      <c r="H2085" t="str">
        <f>VLOOKUP(record[[#This Row],[ProcessSN]],表格2_7[],2,FALSE)</f>
        <v>30-4118-018-550</v>
      </c>
      <c r="I2085" t="str">
        <f>VLOOKUP(record[[#This Row],[ProcessSN]],表格2_7[],3,FALSE)</f>
        <v>#08RCV</v>
      </c>
      <c r="J2085" t="s">
        <v>591</v>
      </c>
      <c r="K2085" s="195">
        <v>46126.659618055557</v>
      </c>
      <c r="L2085">
        <v>0</v>
      </c>
      <c r="M2085">
        <v>27</v>
      </c>
      <c r="N2085" s="98" t="str">
        <f>IF(record[[#This Row],[Memo]]="Browser:chrome os:android","平板報工",IF(record[[#This Row],[Memo]]=0,"委外",record[[#This Row],[Memo]]))</f>
        <v/>
      </c>
      <c r="O2085" t="s">
        <v>58</v>
      </c>
      <c r="P2085" t="s">
        <v>186</v>
      </c>
      <c r="Q2085" t="s">
        <v>58</v>
      </c>
      <c r="R2085" t="str">
        <f>IFERROR(VLOOKUP(record[[#This Row],[PCUSTID]],廠商[],2,FALSE),"")</f>
        <v/>
      </c>
      <c r="S2085" t="str">
        <f>VLOOKUP(record[[#This Row],[employeeID]],員工[],2,FALSE)</f>
        <v>許文姍</v>
      </c>
    </row>
    <row r="2086" spans="6:19" hidden="1" x14ac:dyDescent="0.25">
      <c r="F2086" t="s">
        <v>1788</v>
      </c>
      <c r="G2086" t="s">
        <v>398</v>
      </c>
      <c r="H2086" t="str">
        <f>VLOOKUP(record[[#This Row],[ProcessSN]],表格2_7[],2,FALSE)</f>
        <v>30-4118-018-550</v>
      </c>
      <c r="I2086" t="str">
        <f>VLOOKUP(record[[#This Row],[ProcessSN]],表格2_7[],3,FALSE)</f>
        <v>#08RCV</v>
      </c>
      <c r="J2086" t="s">
        <v>591</v>
      </c>
      <c r="K2086" s="195">
        <v>46126.659398148149</v>
      </c>
      <c r="L2086">
        <v>477</v>
      </c>
      <c r="M2086">
        <v>0</v>
      </c>
      <c r="N2086" s="98" t="str">
        <f>IF(record[[#This Row],[Memo]]="Browser:chrome os:android","平板報工",IF(record[[#This Row],[Memo]]=0,"委外",record[[#This Row],[Memo]]))</f>
        <v/>
      </c>
      <c r="O2086" t="s">
        <v>58</v>
      </c>
      <c r="P2086" t="s">
        <v>186</v>
      </c>
      <c r="Q2086" t="s">
        <v>58</v>
      </c>
      <c r="R2086" t="str">
        <f>IFERROR(VLOOKUP(record[[#This Row],[PCUSTID]],廠商[],2,FALSE),"")</f>
        <v/>
      </c>
      <c r="S2086" t="str">
        <f>VLOOKUP(record[[#This Row],[employeeID]],員工[],2,FALSE)</f>
        <v>許文姍</v>
      </c>
    </row>
    <row r="2087" spans="6:19" hidden="1" x14ac:dyDescent="0.25">
      <c r="F2087" t="s">
        <v>1782</v>
      </c>
      <c r="G2087" t="s">
        <v>415</v>
      </c>
      <c r="H2087" t="str">
        <f>VLOOKUP(record[[#This Row],[ProcessSN]],表格2_7[],2,FALSE)</f>
        <v>30-4118-018-5XX</v>
      </c>
      <c r="I2087" t="str">
        <f>VLOOKUP(record[[#This Row],[ProcessSN]],表格2_7[],3,FALSE)</f>
        <v>#04</v>
      </c>
      <c r="J2087" t="s">
        <v>588</v>
      </c>
      <c r="K2087" s="195">
        <v>46126.65829861111</v>
      </c>
      <c r="L2087">
        <v>3</v>
      </c>
      <c r="M2087">
        <v>0</v>
      </c>
      <c r="N2087" s="98" t="str">
        <f>IF(record[[#This Row],[Memo]]="Browser:chrome os:android","平板報工",IF(record[[#This Row],[Memo]]=0,"委外",record[[#This Row],[Memo]]))</f>
        <v>平板報工</v>
      </c>
      <c r="O2087" t="s">
        <v>643</v>
      </c>
      <c r="P2087" t="s">
        <v>107</v>
      </c>
      <c r="Q2087" t="s">
        <v>644</v>
      </c>
      <c r="R2087" t="str">
        <f>IFERROR(VLOOKUP(record[[#This Row],[PCUSTID]],廠商[],2,FALSE),"")</f>
        <v/>
      </c>
      <c r="S2087" t="str">
        <f>VLOOKUP(record[[#This Row],[employeeID]],員工[],2,FALSE)</f>
        <v>黎氏順</v>
      </c>
    </row>
    <row r="2088" spans="6:19" hidden="1" x14ac:dyDescent="0.25">
      <c r="F2088" t="s">
        <v>1782</v>
      </c>
      <c r="G2088" t="s">
        <v>416</v>
      </c>
      <c r="H2088" t="str">
        <f>VLOOKUP(record[[#This Row],[ProcessSN]],表格2_7[],2,FALSE)</f>
        <v>30-4118-018-5XX</v>
      </c>
      <c r="I2088" t="str">
        <f>VLOOKUP(record[[#This Row],[ProcessSN]],表格2_7[],3,FALSE)</f>
        <v>#05</v>
      </c>
      <c r="J2088" t="s">
        <v>588</v>
      </c>
      <c r="K2088" s="195">
        <v>46126.648958333331</v>
      </c>
      <c r="L2088">
        <v>88</v>
      </c>
      <c r="M2088">
        <v>0</v>
      </c>
      <c r="N2088" s="98" t="str">
        <f>IF(record[[#This Row],[Memo]]="Browser:chrome os:android","平板報工",IF(record[[#This Row],[Memo]]=0,"委外",record[[#This Row],[Memo]]))</f>
        <v>平板報工</v>
      </c>
      <c r="O2088" t="s">
        <v>643</v>
      </c>
      <c r="P2088" t="s">
        <v>785</v>
      </c>
      <c r="Q2088" t="s">
        <v>644</v>
      </c>
      <c r="R2088" t="str">
        <f>IFERROR(VLOOKUP(record[[#This Row],[PCUSTID]],廠商[],2,FALSE),"")</f>
        <v/>
      </c>
      <c r="S2088" t="str">
        <f>VLOOKUP(record[[#This Row],[employeeID]],員工[],2,FALSE)</f>
        <v>謝刻光</v>
      </c>
    </row>
    <row r="2089" spans="6:19" hidden="1" x14ac:dyDescent="0.25">
      <c r="F2089" t="s">
        <v>1787</v>
      </c>
      <c r="G2089" t="s">
        <v>466</v>
      </c>
      <c r="H2089" t="str">
        <f>VLOOKUP(record[[#This Row],[ProcessSN]],表格2_7[],2,FALSE)</f>
        <v>30-4118-018-XXX</v>
      </c>
      <c r="I2089" t="str">
        <f>VLOOKUP(record[[#This Row],[ProcessSN]],表格2_7[],3,FALSE)</f>
        <v>#01-2</v>
      </c>
      <c r="J2089" t="s">
        <v>588</v>
      </c>
      <c r="K2089" s="195">
        <v>46126.645462962966</v>
      </c>
      <c r="L2089">
        <v>467</v>
      </c>
      <c r="M2089">
        <v>0</v>
      </c>
      <c r="N2089" s="98" t="str">
        <f>IF(record[[#This Row],[Memo]]="Browser:chrome os:android","平板報工",IF(record[[#This Row],[Memo]]=0,"委外",record[[#This Row],[Memo]]))</f>
        <v>平板報工</v>
      </c>
      <c r="O2089" t="s">
        <v>643</v>
      </c>
      <c r="P2089" t="s">
        <v>145</v>
      </c>
      <c r="Q2089" t="s">
        <v>644</v>
      </c>
      <c r="R2089" t="str">
        <f>IFERROR(VLOOKUP(record[[#This Row],[PCUSTID]],廠商[],2,FALSE),"")</f>
        <v/>
      </c>
      <c r="S2089" t="str">
        <f>VLOOKUP(record[[#This Row],[employeeID]],員工[],2,FALSE)</f>
        <v>阮秋霞</v>
      </c>
    </row>
    <row r="2090" spans="6:19" hidden="1" x14ac:dyDescent="0.25">
      <c r="F2090" t="s">
        <v>1787</v>
      </c>
      <c r="G2090" t="s">
        <v>465</v>
      </c>
      <c r="H2090" t="str">
        <f>VLOOKUP(record[[#This Row],[ProcessSN]],表格2_7[],2,FALSE)</f>
        <v>30-4118-018-XXX</v>
      </c>
      <c r="I2090" t="str">
        <f>VLOOKUP(record[[#This Row],[ProcessSN]],表格2_7[],3,FALSE)</f>
        <v>#01-1</v>
      </c>
      <c r="J2090" t="s">
        <v>588</v>
      </c>
      <c r="K2090" s="195">
        <v>46126.63722222222</v>
      </c>
      <c r="L2090">
        <v>288</v>
      </c>
      <c r="M2090">
        <v>0</v>
      </c>
      <c r="N2090" s="98" t="str">
        <f>IF(record[[#This Row],[Memo]]="Browser:chrome os:android","平板報工",IF(record[[#This Row],[Memo]]=0,"委外",record[[#This Row],[Memo]]))</f>
        <v>平板報工</v>
      </c>
      <c r="O2090" t="s">
        <v>643</v>
      </c>
      <c r="P2090" t="s">
        <v>107</v>
      </c>
      <c r="Q2090" t="s">
        <v>644</v>
      </c>
      <c r="R2090" t="str">
        <f>IFERROR(VLOOKUP(record[[#This Row],[PCUSTID]],廠商[],2,FALSE),"")</f>
        <v/>
      </c>
      <c r="S2090" t="str">
        <f>VLOOKUP(record[[#This Row],[employeeID]],員工[],2,FALSE)</f>
        <v>黎氏順</v>
      </c>
    </row>
    <row r="2091" spans="6:19" hidden="1" x14ac:dyDescent="0.25">
      <c r="F2091" t="s">
        <v>1799</v>
      </c>
      <c r="G2091" t="s">
        <v>397</v>
      </c>
      <c r="H2091" t="str">
        <f>VLOOKUP(record[[#This Row],[ProcessSN]],表格2_7[],2,FALSE)</f>
        <v>30-4118-018-550</v>
      </c>
      <c r="I2091" t="str">
        <f>VLOOKUP(record[[#This Row],[ProcessSN]],表格2_7[],3,FALSE)</f>
        <v>#08</v>
      </c>
      <c r="J2091" t="s">
        <v>597</v>
      </c>
      <c r="K2091" s="195">
        <v>46126.636458333334</v>
      </c>
      <c r="L2091">
        <v>624</v>
      </c>
      <c r="M2091">
        <v>0</v>
      </c>
      <c r="N2091" s="98" t="str">
        <f>IF(record[[#This Row],[Memo]]="Browser:chrome os:android","平板報工",IF(record[[#This Row],[Memo]]=0,"委外",record[[#This Row],[Memo]]))</f>
        <v>委外</v>
      </c>
      <c r="P2091" t="s">
        <v>186</v>
      </c>
      <c r="Q2091" t="s">
        <v>287</v>
      </c>
      <c r="R2091" t="str">
        <f>IFERROR(VLOOKUP(record[[#This Row],[PCUSTID]],廠商[],2,FALSE),"")</f>
        <v>泉盛</v>
      </c>
      <c r="S2091" t="str">
        <f>VLOOKUP(record[[#This Row],[employeeID]],員工[],2,FALSE)</f>
        <v>許文姍</v>
      </c>
    </row>
    <row r="2092" spans="6:19" hidden="1" x14ac:dyDescent="0.25">
      <c r="F2092" t="s">
        <v>1799</v>
      </c>
      <c r="G2092" t="s">
        <v>396</v>
      </c>
      <c r="H2092" t="str">
        <f>VLOOKUP(record[[#This Row],[ProcessSN]],表格2_7[],2,FALSE)</f>
        <v>30-4118-018-550</v>
      </c>
      <c r="I2092" t="str">
        <f>VLOOKUP(record[[#This Row],[ProcessSN]],表格2_7[],3,FALSE)</f>
        <v>#08PICK</v>
      </c>
      <c r="J2092" t="s">
        <v>582</v>
      </c>
      <c r="K2092" s="195">
        <v>46126.636180555557</v>
      </c>
      <c r="L2092">
        <v>624</v>
      </c>
      <c r="M2092">
        <v>0</v>
      </c>
      <c r="N2092" s="98" t="str">
        <f>IF(record[[#This Row],[Memo]]="Browser:chrome os:android","平板報工",IF(record[[#This Row],[Memo]]=0,"委外",record[[#This Row],[Memo]]))</f>
        <v/>
      </c>
      <c r="O2092" t="s">
        <v>58</v>
      </c>
      <c r="P2092" t="s">
        <v>186</v>
      </c>
      <c r="Q2092" t="s">
        <v>58</v>
      </c>
      <c r="R2092" t="str">
        <f>IFERROR(VLOOKUP(record[[#This Row],[PCUSTID]],廠商[],2,FALSE),"")</f>
        <v/>
      </c>
      <c r="S2092" t="str">
        <f>VLOOKUP(record[[#This Row],[employeeID]],員工[],2,FALSE)</f>
        <v>許文姍</v>
      </c>
    </row>
    <row r="2093" spans="6:19" hidden="1" x14ac:dyDescent="0.25">
      <c r="F2093" t="s">
        <v>1782</v>
      </c>
      <c r="G2093" t="s">
        <v>417</v>
      </c>
      <c r="H2093" t="str">
        <f>VLOOKUP(record[[#This Row],[ProcessSN]],表格2_7[],2,FALSE)</f>
        <v>30-4118-018-5XX</v>
      </c>
      <c r="I2093" t="str">
        <f>VLOOKUP(record[[#This Row],[ProcessSN]],表格2_7[],3,FALSE)</f>
        <v>#06</v>
      </c>
      <c r="J2093" t="s">
        <v>593</v>
      </c>
      <c r="K2093" s="195">
        <v>46126.635659722226</v>
      </c>
      <c r="L2093">
        <v>120</v>
      </c>
      <c r="M2093">
        <v>4</v>
      </c>
      <c r="N2093" s="98" t="str">
        <f>IF(record[[#This Row],[Memo]]="Browser:chrome os:android","平板報工",IF(record[[#This Row],[Memo]]=0,"委外",record[[#This Row],[Memo]]))</f>
        <v/>
      </c>
      <c r="O2093" t="s">
        <v>58</v>
      </c>
      <c r="P2093" t="s">
        <v>188</v>
      </c>
      <c r="Q2093" t="s">
        <v>58</v>
      </c>
      <c r="R2093" t="str">
        <f>IFERROR(VLOOKUP(record[[#This Row],[PCUSTID]],廠商[],2,FALSE),"")</f>
        <v/>
      </c>
      <c r="S2093" t="str">
        <f>VLOOKUP(record[[#This Row],[employeeID]],員工[],2,FALSE)</f>
        <v>阮氏璧紅</v>
      </c>
    </row>
    <row r="2094" spans="6:19" hidden="1" x14ac:dyDescent="0.25">
      <c r="F2094" t="s">
        <v>1782</v>
      </c>
      <c r="G2094" t="s">
        <v>415</v>
      </c>
      <c r="H2094" t="str">
        <f>VLOOKUP(record[[#This Row],[ProcessSN]],表格2_7[],2,FALSE)</f>
        <v>30-4118-018-5XX</v>
      </c>
      <c r="I2094" t="str">
        <f>VLOOKUP(record[[#This Row],[ProcessSN]],表格2_7[],3,FALSE)</f>
        <v>#04</v>
      </c>
      <c r="J2094" t="s">
        <v>588</v>
      </c>
      <c r="K2094" s="195">
        <v>46126.634918981479</v>
      </c>
      <c r="L2094">
        <v>88</v>
      </c>
      <c r="M2094">
        <v>4</v>
      </c>
      <c r="N2094" s="98" t="str">
        <f>IF(record[[#This Row],[Memo]]="Browser:chrome os:android","平板報工",IF(record[[#This Row],[Memo]]=0,"委外",record[[#This Row],[Memo]]))</f>
        <v>平板報工</v>
      </c>
      <c r="O2094" t="s">
        <v>643</v>
      </c>
      <c r="P2094" t="s">
        <v>107</v>
      </c>
      <c r="Q2094" t="s">
        <v>644</v>
      </c>
      <c r="R2094" t="str">
        <f>IFERROR(VLOOKUP(record[[#This Row],[PCUSTID]],廠商[],2,FALSE),"")</f>
        <v/>
      </c>
      <c r="S2094" t="str">
        <f>VLOOKUP(record[[#This Row],[employeeID]],員工[],2,FALSE)</f>
        <v>黎氏順</v>
      </c>
    </row>
    <row r="2095" spans="6:19" hidden="1" x14ac:dyDescent="0.25">
      <c r="F2095" t="s">
        <v>1767</v>
      </c>
      <c r="G2095" t="s">
        <v>420</v>
      </c>
      <c r="H2095" t="str">
        <f>VLOOKUP(record[[#This Row],[ProcessSN]],表格2_7[],2,FALSE)</f>
        <v>30-4118-018-5XX</v>
      </c>
      <c r="I2095" t="str">
        <f>VLOOKUP(record[[#This Row],[ProcessSN]],表格2_7[],3,FALSE)</f>
        <v>#07STOCK</v>
      </c>
      <c r="J2095" t="s">
        <v>592</v>
      </c>
      <c r="K2095" s="195">
        <v>46126.634432870371</v>
      </c>
      <c r="L2095">
        <v>203</v>
      </c>
      <c r="M2095">
        <v>0</v>
      </c>
      <c r="N2095" s="98" t="str">
        <f>IF(record[[#This Row],[Memo]]="Browser:chrome os:android","平板報工",IF(record[[#This Row],[Memo]]=0,"委外",record[[#This Row],[Memo]]))</f>
        <v/>
      </c>
      <c r="O2095" t="s">
        <v>58</v>
      </c>
      <c r="P2095" t="s">
        <v>186</v>
      </c>
      <c r="Q2095" t="s">
        <v>58</v>
      </c>
      <c r="R2095" t="str">
        <f>IFERROR(VLOOKUP(record[[#This Row],[PCUSTID]],廠商[],2,FALSE),"")</f>
        <v/>
      </c>
      <c r="S2095" t="str">
        <f>VLOOKUP(record[[#This Row],[employeeID]],員工[],2,FALSE)</f>
        <v>許文姍</v>
      </c>
    </row>
    <row r="2096" spans="6:19" hidden="1" x14ac:dyDescent="0.25">
      <c r="F2096" t="s">
        <v>1787</v>
      </c>
      <c r="G2096" t="s">
        <v>465</v>
      </c>
      <c r="H2096" t="str">
        <f>VLOOKUP(record[[#This Row],[ProcessSN]],表格2_7[],2,FALSE)</f>
        <v>30-4118-018-XXX</v>
      </c>
      <c r="I2096" t="str">
        <f>VLOOKUP(record[[#This Row],[ProcessSN]],表格2_7[],3,FALSE)</f>
        <v>#01-1</v>
      </c>
      <c r="J2096" t="s">
        <v>588</v>
      </c>
      <c r="K2096" s="195">
        <v>46126.634363425925</v>
      </c>
      <c r="L2096">
        <v>552</v>
      </c>
      <c r="M2096">
        <v>0</v>
      </c>
      <c r="N2096" s="98" t="str">
        <f>IF(record[[#This Row],[Memo]]="Browser:chrome os:android","平板報工",IF(record[[#This Row],[Memo]]=0,"委外",record[[#This Row],[Memo]]))</f>
        <v/>
      </c>
      <c r="O2096" t="s">
        <v>58</v>
      </c>
      <c r="P2096" t="s">
        <v>188</v>
      </c>
      <c r="Q2096" t="s">
        <v>58</v>
      </c>
      <c r="R2096" t="str">
        <f>IFERROR(VLOOKUP(record[[#This Row],[PCUSTID]],廠商[],2,FALSE),"")</f>
        <v/>
      </c>
      <c r="S2096" t="str">
        <f>VLOOKUP(record[[#This Row],[employeeID]],員工[],2,FALSE)</f>
        <v>阮氏璧紅</v>
      </c>
    </row>
    <row r="2097" spans="6:19" hidden="1" x14ac:dyDescent="0.25">
      <c r="F2097" t="s">
        <v>1653</v>
      </c>
      <c r="G2097" t="s">
        <v>420</v>
      </c>
      <c r="H2097" t="str">
        <f>VLOOKUP(record[[#This Row],[ProcessSN]],表格2_7[],2,FALSE)</f>
        <v>30-4118-018-5XX</v>
      </c>
      <c r="I2097" t="str">
        <f>VLOOKUP(record[[#This Row],[ProcessSN]],表格2_7[],3,FALSE)</f>
        <v>#07STOCK</v>
      </c>
      <c r="J2097" t="s">
        <v>592</v>
      </c>
      <c r="K2097" s="195">
        <v>46126.634259259263</v>
      </c>
      <c r="L2097">
        <v>421</v>
      </c>
      <c r="M2097">
        <v>0</v>
      </c>
      <c r="N2097" s="98" t="str">
        <f>IF(record[[#This Row],[Memo]]="Browser:chrome os:android","平板報工",IF(record[[#This Row],[Memo]]=0,"委外",record[[#This Row],[Memo]]))</f>
        <v/>
      </c>
      <c r="O2097" t="s">
        <v>58</v>
      </c>
      <c r="P2097" t="s">
        <v>186</v>
      </c>
      <c r="Q2097" t="s">
        <v>58</v>
      </c>
      <c r="R2097" t="str">
        <f>IFERROR(VLOOKUP(record[[#This Row],[PCUSTID]],廠商[],2,FALSE),"")</f>
        <v/>
      </c>
      <c r="S2097" t="str">
        <f>VLOOKUP(record[[#This Row],[employeeID]],員工[],2,FALSE)</f>
        <v>許文姍</v>
      </c>
    </row>
    <row r="2098" spans="6:19" hidden="1" x14ac:dyDescent="0.25">
      <c r="F2098" t="s">
        <v>1790</v>
      </c>
      <c r="G2098" t="s">
        <v>374</v>
      </c>
      <c r="H2098" t="str">
        <f>VLOOKUP(record[[#This Row],[ProcessSN]],表格2_7[],2,FALSE)</f>
        <v>30-4118-018-4XX</v>
      </c>
      <c r="I2098" t="str">
        <f>VLOOKUP(record[[#This Row],[ProcessSN]],表格2_7[],3,FALSE)</f>
        <v>#04</v>
      </c>
      <c r="J2098" t="s">
        <v>588</v>
      </c>
      <c r="K2098" s="195">
        <v>46126.633148148147</v>
      </c>
      <c r="L2098">
        <v>10</v>
      </c>
      <c r="M2098">
        <v>5</v>
      </c>
      <c r="N2098" s="98" t="str">
        <f>IF(record[[#This Row],[Memo]]="Browser:chrome os:android","平板報工",IF(record[[#This Row],[Memo]]=0,"委外",record[[#This Row],[Memo]]))</f>
        <v>平板報工</v>
      </c>
      <c r="O2098" t="s">
        <v>643</v>
      </c>
      <c r="P2098" t="s">
        <v>107</v>
      </c>
      <c r="Q2098" t="s">
        <v>644</v>
      </c>
      <c r="R2098" t="str">
        <f>IFERROR(VLOOKUP(record[[#This Row],[PCUSTID]],廠商[],2,FALSE),"")</f>
        <v/>
      </c>
      <c r="S2098" t="str">
        <f>VLOOKUP(record[[#This Row],[employeeID]],員工[],2,FALSE)</f>
        <v>黎氏順</v>
      </c>
    </row>
    <row r="2099" spans="6:19" hidden="1" x14ac:dyDescent="0.25">
      <c r="F2099" t="s">
        <v>1637</v>
      </c>
      <c r="G2099" t="s">
        <v>450</v>
      </c>
      <c r="H2099" t="str">
        <f>VLOOKUP(record[[#This Row],[ProcessSN]],表格2_7[],2,FALSE)</f>
        <v>30-4118-018-6XX</v>
      </c>
      <c r="I2099" t="str">
        <f>VLOOKUP(record[[#This Row],[ProcessSN]],表格2_7[],3,FALSE)</f>
        <v>#06</v>
      </c>
      <c r="J2099" t="s">
        <v>593</v>
      </c>
      <c r="K2099" s="195">
        <v>46126.629155092596</v>
      </c>
      <c r="L2099">
        <v>119</v>
      </c>
      <c r="M2099">
        <v>0</v>
      </c>
      <c r="N2099" s="98" t="str">
        <f>IF(record[[#This Row],[Memo]]="Browser:chrome os:android","平板報工",IF(record[[#This Row],[Memo]]=0,"委外",record[[#This Row],[Memo]]))</f>
        <v>平板報工</v>
      </c>
      <c r="O2099" t="s">
        <v>643</v>
      </c>
      <c r="P2099" t="s">
        <v>1413</v>
      </c>
      <c r="Q2099" t="s">
        <v>644</v>
      </c>
      <c r="R2099" t="str">
        <f>IFERROR(VLOOKUP(record[[#This Row],[PCUSTID]],廠商[],2,FALSE),"")</f>
        <v/>
      </c>
      <c r="S2099" t="str">
        <f>VLOOKUP(record[[#This Row],[employeeID]],員工[],2,FALSE)</f>
        <v>阮氏芳英(芳)</v>
      </c>
    </row>
    <row r="2100" spans="6:19" hidden="1" x14ac:dyDescent="0.25">
      <c r="F2100" t="s">
        <v>1767</v>
      </c>
      <c r="G2100" t="s">
        <v>419</v>
      </c>
      <c r="H2100" t="str">
        <f>VLOOKUP(record[[#This Row],[ProcessSN]],表格2_7[],2,FALSE)</f>
        <v>30-4118-018-5XX</v>
      </c>
      <c r="I2100" t="str">
        <f>VLOOKUP(record[[#This Row],[ProcessSN]],表格2_7[],3,FALSE)</f>
        <v>#07QC</v>
      </c>
      <c r="J2100" t="s">
        <v>589</v>
      </c>
      <c r="K2100" s="195">
        <v>46126.627546296295</v>
      </c>
      <c r="L2100">
        <v>35</v>
      </c>
      <c r="M2100">
        <v>0</v>
      </c>
      <c r="N2100" s="98" t="str">
        <f>IF(record[[#This Row],[Memo]]="Browser:chrome os:android","平板報工",IF(record[[#This Row],[Memo]]=0,"委外",record[[#This Row],[Memo]]))</f>
        <v/>
      </c>
      <c r="O2100" t="s">
        <v>58</v>
      </c>
      <c r="P2100" t="s">
        <v>141</v>
      </c>
      <c r="Q2100" t="s">
        <v>58</v>
      </c>
      <c r="R2100" t="str">
        <f>IFERROR(VLOOKUP(record[[#This Row],[PCUSTID]],廠商[],2,FALSE),"")</f>
        <v/>
      </c>
      <c r="S2100" t="str">
        <f>VLOOKUP(record[[#This Row],[employeeID]],員工[],2,FALSE)</f>
        <v>蔣梅</v>
      </c>
    </row>
    <row r="2101" spans="6:19" hidden="1" x14ac:dyDescent="0.25">
      <c r="F2101" t="s">
        <v>1767</v>
      </c>
      <c r="G2101" t="s">
        <v>419</v>
      </c>
      <c r="H2101" t="str">
        <f>VLOOKUP(record[[#This Row],[ProcessSN]],表格2_7[],2,FALSE)</f>
        <v>30-4118-018-5XX</v>
      </c>
      <c r="I2101" t="str">
        <f>VLOOKUP(record[[#This Row],[ProcessSN]],表格2_7[],3,FALSE)</f>
        <v>#07QC</v>
      </c>
      <c r="J2101" t="s">
        <v>589</v>
      </c>
      <c r="K2101" s="195">
        <v>46126.604270833333</v>
      </c>
      <c r="L2101">
        <v>168</v>
      </c>
      <c r="M2101">
        <v>0</v>
      </c>
      <c r="N2101" s="98" t="str">
        <f>IF(record[[#This Row],[Memo]]="Browser:chrome os:android","平板報工",IF(record[[#This Row],[Memo]]=0,"委外",record[[#This Row],[Memo]]))</f>
        <v/>
      </c>
      <c r="O2101" t="s">
        <v>58</v>
      </c>
      <c r="P2101" t="s">
        <v>141</v>
      </c>
      <c r="Q2101" t="s">
        <v>58</v>
      </c>
      <c r="R2101" t="str">
        <f>IFERROR(VLOOKUP(record[[#This Row],[PCUSTID]],廠商[],2,FALSE),"")</f>
        <v/>
      </c>
      <c r="S2101" t="str">
        <f>VLOOKUP(record[[#This Row],[employeeID]],員工[],2,FALSE)</f>
        <v>蔣梅</v>
      </c>
    </row>
    <row r="2102" spans="6:19" hidden="1" x14ac:dyDescent="0.25">
      <c r="F2102" t="s">
        <v>1767</v>
      </c>
      <c r="G2102" t="s">
        <v>418</v>
      </c>
      <c r="H2102" t="str">
        <f>VLOOKUP(record[[#This Row],[ProcessSN]],表格2_7[],2,FALSE)</f>
        <v>30-4118-018-5XX</v>
      </c>
      <c r="I2102" t="str">
        <f>VLOOKUP(record[[#This Row],[ProcessSN]],表格2_7[],3,FALSE)</f>
        <v>#07</v>
      </c>
      <c r="J2102" t="s">
        <v>588</v>
      </c>
      <c r="K2102" s="195">
        <v>46126.600069444445</v>
      </c>
      <c r="L2102">
        <v>93</v>
      </c>
      <c r="M2102">
        <v>4</v>
      </c>
      <c r="N2102" s="98" t="str">
        <f>IF(record[[#This Row],[Memo]]="Browser:chrome os:android","平板報工",IF(record[[#This Row],[Memo]]=0,"委外",record[[#This Row],[Memo]]))</f>
        <v>平板報工</v>
      </c>
      <c r="O2102" t="s">
        <v>643</v>
      </c>
      <c r="P2102" t="s">
        <v>785</v>
      </c>
      <c r="Q2102" t="s">
        <v>644</v>
      </c>
      <c r="R2102" t="str">
        <f>IFERROR(VLOOKUP(record[[#This Row],[PCUSTID]],廠商[],2,FALSE),"")</f>
        <v/>
      </c>
      <c r="S2102" t="str">
        <f>VLOOKUP(record[[#This Row],[employeeID]],員工[],2,FALSE)</f>
        <v>謝刻光</v>
      </c>
    </row>
    <row r="2103" spans="6:19" hidden="1" x14ac:dyDescent="0.25">
      <c r="F2103" t="s">
        <v>1767</v>
      </c>
      <c r="G2103" t="s">
        <v>418</v>
      </c>
      <c r="H2103" t="str">
        <f>VLOOKUP(record[[#This Row],[ProcessSN]],表格2_7[],2,FALSE)</f>
        <v>30-4118-018-5XX</v>
      </c>
      <c r="I2103" t="str">
        <f>VLOOKUP(record[[#This Row],[ProcessSN]],表格2_7[],3,FALSE)</f>
        <v>#07</v>
      </c>
      <c r="J2103" t="s">
        <v>588</v>
      </c>
      <c r="K2103" s="195">
        <v>46126.497581018521</v>
      </c>
      <c r="L2103">
        <v>107</v>
      </c>
      <c r="M2103">
        <v>0</v>
      </c>
      <c r="N2103" s="98" t="str">
        <f>IF(record[[#This Row],[Memo]]="Browser:chrome os:android","平板報工",IF(record[[#This Row],[Memo]]=0,"委外",record[[#This Row],[Memo]]))</f>
        <v>平板報工</v>
      </c>
      <c r="O2103" t="s">
        <v>643</v>
      </c>
      <c r="P2103" t="s">
        <v>785</v>
      </c>
      <c r="Q2103" t="s">
        <v>644</v>
      </c>
      <c r="R2103" t="str">
        <f>IFERROR(VLOOKUP(record[[#This Row],[PCUSTID]],廠商[],2,FALSE),"")</f>
        <v/>
      </c>
      <c r="S2103" t="str">
        <f>VLOOKUP(record[[#This Row],[employeeID]],員工[],2,FALSE)</f>
        <v>謝刻光</v>
      </c>
    </row>
    <row r="2104" spans="6:19" hidden="1" x14ac:dyDescent="0.25">
      <c r="F2104" t="s">
        <v>1655</v>
      </c>
      <c r="G2104" t="s">
        <v>469</v>
      </c>
      <c r="H2104" t="str">
        <f>VLOOKUP(record[[#This Row],[ProcessSN]],表格2_7[],2,FALSE)</f>
        <v>30-4118-018-XXX</v>
      </c>
      <c r="I2104" t="str">
        <f>VLOOKUP(record[[#This Row],[ProcessSN]],表格2_7[],3,FALSE)</f>
        <v>#02RCV</v>
      </c>
      <c r="J2104" t="s">
        <v>591</v>
      </c>
      <c r="K2104" s="195">
        <v>46126.494270833333</v>
      </c>
      <c r="L2104">
        <v>0</v>
      </c>
      <c r="M2104">
        <v>2</v>
      </c>
      <c r="N2104" s="98" t="str">
        <f>IF(record[[#This Row],[Memo]]="Browser:chrome os:android","平板報工",IF(record[[#This Row],[Memo]]=0,"委外",record[[#This Row],[Memo]]))</f>
        <v/>
      </c>
      <c r="O2104" t="s">
        <v>58</v>
      </c>
      <c r="P2104" t="s">
        <v>186</v>
      </c>
      <c r="Q2104" t="s">
        <v>58</v>
      </c>
      <c r="R2104" t="str">
        <f>IFERROR(VLOOKUP(record[[#This Row],[PCUSTID]],廠商[],2,FALSE),"")</f>
        <v/>
      </c>
      <c r="S2104" t="str">
        <f>VLOOKUP(record[[#This Row],[employeeID]],員工[],2,FALSE)</f>
        <v>許文姍</v>
      </c>
    </row>
    <row r="2105" spans="6:19" hidden="1" x14ac:dyDescent="0.25">
      <c r="F2105" t="s">
        <v>1655</v>
      </c>
      <c r="G2105" t="s">
        <v>469</v>
      </c>
      <c r="H2105" t="str">
        <f>VLOOKUP(record[[#This Row],[ProcessSN]],表格2_7[],2,FALSE)</f>
        <v>30-4118-018-XXX</v>
      </c>
      <c r="I2105" t="str">
        <f>VLOOKUP(record[[#This Row],[ProcessSN]],表格2_7[],3,FALSE)</f>
        <v>#02RCV</v>
      </c>
      <c r="J2105" t="s">
        <v>591</v>
      </c>
      <c r="K2105" s="195">
        <v>46126.494062500002</v>
      </c>
      <c r="L2105">
        <v>545</v>
      </c>
      <c r="M2105">
        <v>0</v>
      </c>
      <c r="N2105" s="98" t="str">
        <f>IF(record[[#This Row],[Memo]]="Browser:chrome os:android","平板報工",IF(record[[#This Row],[Memo]]=0,"委外",record[[#This Row],[Memo]]))</f>
        <v/>
      </c>
      <c r="O2105" t="s">
        <v>58</v>
      </c>
      <c r="P2105" t="s">
        <v>186</v>
      </c>
      <c r="Q2105" t="s">
        <v>58</v>
      </c>
      <c r="R2105" t="str">
        <f>IFERROR(VLOOKUP(record[[#This Row],[PCUSTID]],廠商[],2,FALSE),"")</f>
        <v/>
      </c>
      <c r="S2105" t="str">
        <f>VLOOKUP(record[[#This Row],[employeeID]],員工[],2,FALSE)</f>
        <v>許文姍</v>
      </c>
    </row>
    <row r="2106" spans="6:19" hidden="1" x14ac:dyDescent="0.25">
      <c r="F2106" t="s">
        <v>1653</v>
      </c>
      <c r="G2106" t="s">
        <v>419</v>
      </c>
      <c r="H2106" t="str">
        <f>VLOOKUP(record[[#This Row],[ProcessSN]],表格2_7[],2,FALSE)</f>
        <v>30-4118-018-5XX</v>
      </c>
      <c r="I2106" t="str">
        <f>VLOOKUP(record[[#This Row],[ProcessSN]],表格2_7[],3,FALSE)</f>
        <v>#07QC</v>
      </c>
      <c r="J2106" t="s">
        <v>589</v>
      </c>
      <c r="K2106" s="195">
        <v>46126.462511574071</v>
      </c>
      <c r="L2106">
        <v>421</v>
      </c>
      <c r="M2106">
        <v>0</v>
      </c>
      <c r="N2106" s="98" t="str">
        <f>IF(record[[#This Row],[Memo]]="Browser:chrome os:android","平板報工",IF(record[[#This Row],[Memo]]=0,"委外",record[[#This Row],[Memo]]))</f>
        <v/>
      </c>
      <c r="O2106" t="s">
        <v>58</v>
      </c>
      <c r="P2106" t="s">
        <v>141</v>
      </c>
      <c r="Q2106" t="s">
        <v>58</v>
      </c>
      <c r="R2106" t="str">
        <f>IFERROR(VLOOKUP(record[[#This Row],[PCUSTID]],廠商[],2,FALSE),"")</f>
        <v/>
      </c>
      <c r="S2106" t="str">
        <f>VLOOKUP(record[[#This Row],[employeeID]],員工[],2,FALSE)</f>
        <v>蔣梅</v>
      </c>
    </row>
    <row r="2107" spans="6:19" hidden="1" x14ac:dyDescent="0.25">
      <c r="F2107" t="s">
        <v>1705</v>
      </c>
      <c r="G2107" t="s">
        <v>428</v>
      </c>
      <c r="H2107" t="str">
        <f>VLOOKUP(record[[#This Row],[ProcessSN]],表格2_7[],2,FALSE)</f>
        <v>30-4118-018-600</v>
      </c>
      <c r="I2107" t="str">
        <f>VLOOKUP(record[[#This Row],[ProcessSN]],表格2_7[],3,FALSE)</f>
        <v>#100SHIP</v>
      </c>
      <c r="J2107" t="s">
        <v>600</v>
      </c>
      <c r="K2107" s="195">
        <v>46126.415648148148</v>
      </c>
      <c r="L2107">
        <v>1</v>
      </c>
      <c r="M2107">
        <v>0</v>
      </c>
      <c r="N2107" s="98" t="str">
        <f>IF(record[[#This Row],[Memo]]="Browser:chrome os:android","平板報工",IF(record[[#This Row],[Memo]]=0,"委外",record[[#This Row],[Memo]]))</f>
        <v/>
      </c>
      <c r="O2107" t="s">
        <v>58</v>
      </c>
      <c r="P2107" t="s">
        <v>886</v>
      </c>
      <c r="Q2107" t="s">
        <v>58</v>
      </c>
      <c r="R2107" t="str">
        <f>IFERROR(VLOOKUP(record[[#This Row],[PCUSTID]],廠商[],2,FALSE),"")</f>
        <v/>
      </c>
      <c r="S2107" t="str">
        <f>VLOOKUP(record[[#This Row],[employeeID]],員工[],2,FALSE)</f>
        <v>謝蓁薰</v>
      </c>
    </row>
    <row r="2108" spans="6:19" hidden="1" x14ac:dyDescent="0.25">
      <c r="F2108" t="s">
        <v>1705</v>
      </c>
      <c r="G2108" t="s">
        <v>428</v>
      </c>
      <c r="H2108" t="str">
        <f>VLOOKUP(record[[#This Row],[ProcessSN]],表格2_7[],2,FALSE)</f>
        <v>30-4118-018-600</v>
      </c>
      <c r="I2108" t="str">
        <f>VLOOKUP(record[[#This Row],[ProcessSN]],表格2_7[],3,FALSE)</f>
        <v>#100SHIP</v>
      </c>
      <c r="J2108" t="s">
        <v>600</v>
      </c>
      <c r="K2108" s="195">
        <v>46126.415486111109</v>
      </c>
      <c r="L2108">
        <v>3</v>
      </c>
      <c r="M2108">
        <v>0</v>
      </c>
      <c r="N2108" s="98" t="str">
        <f>IF(record[[#This Row],[Memo]]="Browser:chrome os:android","平板報工",IF(record[[#This Row],[Memo]]=0,"委外",record[[#This Row],[Memo]]))</f>
        <v/>
      </c>
      <c r="O2108" t="s">
        <v>58</v>
      </c>
      <c r="P2108" t="s">
        <v>886</v>
      </c>
      <c r="Q2108" t="s">
        <v>58</v>
      </c>
      <c r="R2108" t="str">
        <f>IFERROR(VLOOKUP(record[[#This Row],[PCUSTID]],廠商[],2,FALSE),"")</f>
        <v/>
      </c>
      <c r="S2108" t="str">
        <f>VLOOKUP(record[[#This Row],[employeeID]],員工[],2,FALSE)</f>
        <v>謝蓁薰</v>
      </c>
    </row>
    <row r="2109" spans="6:19" hidden="1" x14ac:dyDescent="0.25">
      <c r="F2109" t="s">
        <v>1787</v>
      </c>
      <c r="G2109" t="s">
        <v>468</v>
      </c>
      <c r="H2109" t="str">
        <f>VLOOKUP(record[[#This Row],[ProcessSN]],表格2_7[],2,FALSE)</f>
        <v>30-4118-018-XXX</v>
      </c>
      <c r="I2109" t="str">
        <f>VLOOKUP(record[[#This Row],[ProcessSN]],表格2_7[],3,FALSE)</f>
        <v>#02</v>
      </c>
      <c r="J2109" t="s">
        <v>590</v>
      </c>
      <c r="K2109" s="195">
        <v>46126.370104166665</v>
      </c>
      <c r="L2109">
        <v>504</v>
      </c>
      <c r="M2109">
        <v>0</v>
      </c>
      <c r="N2109" s="98" t="str">
        <f>IF(record[[#This Row],[Memo]]="Browser:chrome os:android","平板報工",IF(record[[#This Row],[Memo]]=0,"委外",record[[#This Row],[Memo]]))</f>
        <v>委外</v>
      </c>
      <c r="P2109" t="s">
        <v>186</v>
      </c>
      <c r="Q2109" t="s">
        <v>216</v>
      </c>
      <c r="R2109" t="str">
        <f>IFERROR(VLOOKUP(record[[#This Row],[PCUSTID]],廠商[],2,FALSE),"")</f>
        <v>俊杰</v>
      </c>
      <c r="S2109" t="str">
        <f>VLOOKUP(record[[#This Row],[employeeID]],員工[],2,FALSE)</f>
        <v>許文姍</v>
      </c>
    </row>
    <row r="2110" spans="6:19" hidden="1" x14ac:dyDescent="0.25">
      <c r="F2110" t="s">
        <v>1787</v>
      </c>
      <c r="G2110" t="s">
        <v>467</v>
      </c>
      <c r="H2110" t="str">
        <f>VLOOKUP(record[[#This Row],[ProcessSN]],表格2_7[],2,FALSE)</f>
        <v>30-4118-018-XXX</v>
      </c>
      <c r="I2110" t="str">
        <f>VLOOKUP(record[[#This Row],[ProcessSN]],表格2_7[],3,FALSE)</f>
        <v>#01QC</v>
      </c>
      <c r="J2110" t="s">
        <v>589</v>
      </c>
      <c r="K2110" s="195">
        <v>46126.356886574074</v>
      </c>
      <c r="L2110">
        <v>504</v>
      </c>
      <c r="M2110">
        <v>0</v>
      </c>
      <c r="N2110" s="98" t="str">
        <f>IF(record[[#This Row],[Memo]]="Browser:chrome os:android","平板報工",IF(record[[#This Row],[Memo]]=0,"委外",record[[#This Row],[Memo]]))</f>
        <v>平板報工</v>
      </c>
      <c r="O2110" t="s">
        <v>643</v>
      </c>
      <c r="P2110" t="s">
        <v>182</v>
      </c>
      <c r="Q2110" t="s">
        <v>644</v>
      </c>
      <c r="R2110" t="str">
        <f>IFERROR(VLOOKUP(record[[#This Row],[PCUSTID]],廠商[],2,FALSE),"")</f>
        <v/>
      </c>
      <c r="S2110" t="str">
        <f>VLOOKUP(record[[#This Row],[employeeID]],員工[],2,FALSE)</f>
        <v>梅氏和</v>
      </c>
    </row>
    <row r="2111" spans="6:19" hidden="1" x14ac:dyDescent="0.25">
      <c r="F2111" t="s">
        <v>1655</v>
      </c>
      <c r="G2111" t="s">
        <v>471</v>
      </c>
      <c r="H2111" t="str">
        <f>VLOOKUP(record[[#This Row],[ProcessSN]],表格2_7[],2,FALSE)</f>
        <v>30-4118-018-XXX</v>
      </c>
      <c r="I2111" t="str">
        <f>VLOOKUP(record[[#This Row],[ProcessSN]],表格2_7[],3,FALSE)</f>
        <v>#02STOCK</v>
      </c>
      <c r="J2111" t="s">
        <v>592</v>
      </c>
      <c r="K2111" s="195">
        <v>46126.336134259262</v>
      </c>
      <c r="L2111">
        <v>1510</v>
      </c>
      <c r="M2111">
        <v>0</v>
      </c>
      <c r="N2111" s="98" t="str">
        <f>IF(record[[#This Row],[Memo]]="Browser:chrome os:android","平板報工",IF(record[[#This Row],[Memo]]=0,"委外",record[[#This Row],[Memo]]))</f>
        <v/>
      </c>
      <c r="O2111" t="s">
        <v>58</v>
      </c>
      <c r="P2111" t="s">
        <v>65</v>
      </c>
      <c r="Q2111" t="s">
        <v>58</v>
      </c>
      <c r="R2111" t="str">
        <f>IFERROR(VLOOKUP(record[[#This Row],[PCUSTID]],廠商[],2,FALSE),"")</f>
        <v/>
      </c>
      <c r="S2111" t="str">
        <f>VLOOKUP(record[[#This Row],[employeeID]],員工[],2,FALSE)</f>
        <v>蘇進昌</v>
      </c>
    </row>
    <row r="2112" spans="6:19" hidden="1" x14ac:dyDescent="0.25">
      <c r="F2112" t="s">
        <v>1767</v>
      </c>
      <c r="G2112" t="s">
        <v>418</v>
      </c>
      <c r="H2112" t="str">
        <f>VLOOKUP(record[[#This Row],[ProcessSN]],表格2_7[],2,FALSE)</f>
        <v>30-4118-018-5XX</v>
      </c>
      <c r="I2112" t="str">
        <f>VLOOKUP(record[[#This Row],[ProcessSN]],表格2_7[],3,FALSE)</f>
        <v>#07</v>
      </c>
      <c r="J2112" t="s">
        <v>588</v>
      </c>
      <c r="K2112" s="195">
        <v>46126.325601851851</v>
      </c>
      <c r="L2112">
        <v>40</v>
      </c>
      <c r="M2112">
        <v>3</v>
      </c>
      <c r="N2112" s="98" t="str">
        <f>IF(record[[#This Row],[Memo]]="Browser:chrome os:android","平板報工",IF(record[[#This Row],[Memo]]=0,"委外",record[[#This Row],[Memo]]))</f>
        <v/>
      </c>
      <c r="O2112" t="s">
        <v>58</v>
      </c>
      <c r="P2112" t="s">
        <v>806</v>
      </c>
      <c r="Q2112" t="s">
        <v>58</v>
      </c>
      <c r="R2112" t="str">
        <f>IFERROR(VLOOKUP(record[[#This Row],[PCUSTID]],廠商[],2,FALSE),"")</f>
        <v/>
      </c>
      <c r="S2112" t="str">
        <f>VLOOKUP(record[[#This Row],[employeeID]],員工[],2,FALSE)</f>
        <v>方思緯</v>
      </c>
    </row>
    <row r="2113" spans="6:19" hidden="1" x14ac:dyDescent="0.25">
      <c r="F2113" t="s">
        <v>1653</v>
      </c>
      <c r="G2113" t="s">
        <v>418</v>
      </c>
      <c r="H2113" t="str">
        <f>VLOOKUP(record[[#This Row],[ProcessSN]],表格2_7[],2,FALSE)</f>
        <v>30-4118-018-5XX</v>
      </c>
      <c r="I2113" t="str">
        <f>VLOOKUP(record[[#This Row],[ProcessSN]],表格2_7[],3,FALSE)</f>
        <v>#07</v>
      </c>
      <c r="J2113" t="s">
        <v>588</v>
      </c>
      <c r="K2113" s="195">
        <v>46126.325324074074</v>
      </c>
      <c r="L2113">
        <v>28</v>
      </c>
      <c r="M2113">
        <v>0</v>
      </c>
      <c r="N2113" s="98" t="str">
        <f>IF(record[[#This Row],[Memo]]="Browser:chrome os:android","平板報工",IF(record[[#This Row],[Memo]]=0,"委外",record[[#This Row],[Memo]]))</f>
        <v/>
      </c>
      <c r="O2113" t="s">
        <v>58</v>
      </c>
      <c r="P2113" t="s">
        <v>806</v>
      </c>
      <c r="Q2113" t="s">
        <v>58</v>
      </c>
      <c r="R2113" t="str">
        <f>IFERROR(VLOOKUP(record[[#This Row],[PCUSTID]],廠商[],2,FALSE),"")</f>
        <v/>
      </c>
      <c r="S2113" t="str">
        <f>VLOOKUP(record[[#This Row],[employeeID]],員工[],2,FALSE)</f>
        <v>方思緯</v>
      </c>
    </row>
    <row r="2114" spans="6:19" hidden="1" x14ac:dyDescent="0.25">
      <c r="F2114" t="s">
        <v>1637</v>
      </c>
      <c r="G2114" t="s">
        <v>450</v>
      </c>
      <c r="H2114" t="str">
        <f>VLOOKUP(record[[#This Row],[ProcessSN]],表格2_7[],2,FALSE)</f>
        <v>30-4118-018-6XX</v>
      </c>
      <c r="I2114" t="str">
        <f>VLOOKUP(record[[#This Row],[ProcessSN]],表格2_7[],3,FALSE)</f>
        <v>#06</v>
      </c>
      <c r="J2114" t="s">
        <v>593</v>
      </c>
      <c r="K2114" s="195">
        <v>46126.322106481479</v>
      </c>
      <c r="L2114">
        <v>104</v>
      </c>
      <c r="M2114">
        <v>0</v>
      </c>
      <c r="N2114" s="98" t="str">
        <f>IF(record[[#This Row],[Memo]]="Browser:chrome os:android","平板報工",IF(record[[#This Row],[Memo]]=0,"委外",record[[#This Row],[Memo]]))</f>
        <v/>
      </c>
      <c r="O2114" t="s">
        <v>58</v>
      </c>
      <c r="P2114" t="s">
        <v>691</v>
      </c>
      <c r="Q2114" t="s">
        <v>58</v>
      </c>
      <c r="R2114" t="str">
        <f>IFERROR(VLOOKUP(record[[#This Row],[PCUSTID]],廠商[],2,FALSE),"")</f>
        <v/>
      </c>
      <c r="S2114" t="str">
        <f>VLOOKUP(record[[#This Row],[employeeID]],員工[],2,FALSE)</f>
        <v>武氏賢</v>
      </c>
    </row>
    <row r="2115" spans="6:19" hidden="1" x14ac:dyDescent="0.25">
      <c r="F2115" t="s">
        <v>1652</v>
      </c>
      <c r="G2115" t="s">
        <v>450</v>
      </c>
      <c r="H2115" t="str">
        <f>VLOOKUP(record[[#This Row],[ProcessSN]],表格2_7[],2,FALSE)</f>
        <v>30-4118-018-6XX</v>
      </c>
      <c r="I2115" t="str">
        <f>VLOOKUP(record[[#This Row],[ProcessSN]],表格2_7[],3,FALSE)</f>
        <v>#06</v>
      </c>
      <c r="J2115" t="s">
        <v>593</v>
      </c>
      <c r="K2115" s="195">
        <v>46126.321944444448</v>
      </c>
      <c r="L2115">
        <v>29</v>
      </c>
      <c r="M2115">
        <v>0</v>
      </c>
      <c r="N2115" s="98" t="str">
        <f>IF(record[[#This Row],[Memo]]="Browser:chrome os:android","平板報工",IF(record[[#This Row],[Memo]]=0,"委外",record[[#This Row],[Memo]]))</f>
        <v/>
      </c>
      <c r="O2115" t="s">
        <v>58</v>
      </c>
      <c r="P2115" t="s">
        <v>691</v>
      </c>
      <c r="Q2115" t="s">
        <v>58</v>
      </c>
      <c r="R2115" t="str">
        <f>IFERROR(VLOOKUP(record[[#This Row],[PCUSTID]],廠商[],2,FALSE),"")</f>
        <v/>
      </c>
      <c r="S2115" t="str">
        <f>VLOOKUP(record[[#This Row],[employeeID]],員工[],2,FALSE)</f>
        <v>武氏賢</v>
      </c>
    </row>
    <row r="2116" spans="6:19" hidden="1" x14ac:dyDescent="0.25">
      <c r="F2116" t="s">
        <v>1652</v>
      </c>
      <c r="G2116" t="s">
        <v>449</v>
      </c>
      <c r="H2116" t="str">
        <f>VLOOKUP(record[[#This Row],[ProcessSN]],表格2_7[],2,FALSE)</f>
        <v>30-4118-018-6XX</v>
      </c>
      <c r="I2116" t="str">
        <f>VLOOKUP(record[[#This Row],[ProcessSN]],表格2_7[],3,FALSE)</f>
        <v>#05</v>
      </c>
      <c r="J2116" t="s">
        <v>588</v>
      </c>
      <c r="K2116" s="195">
        <v>46126.321840277778</v>
      </c>
      <c r="L2116">
        <v>5</v>
      </c>
      <c r="M2116">
        <v>0</v>
      </c>
      <c r="N2116" s="98" t="str">
        <f>IF(record[[#This Row],[Memo]]="Browser:chrome os:android","平板報工",IF(record[[#This Row],[Memo]]=0,"委外",record[[#This Row],[Memo]]))</f>
        <v/>
      </c>
      <c r="O2116" t="s">
        <v>58</v>
      </c>
      <c r="P2116" t="s">
        <v>691</v>
      </c>
      <c r="Q2116" t="s">
        <v>58</v>
      </c>
      <c r="R2116" t="str">
        <f>IFERROR(VLOOKUP(record[[#This Row],[PCUSTID]],廠商[],2,FALSE),"")</f>
        <v/>
      </c>
      <c r="S2116" t="str">
        <f>VLOOKUP(record[[#This Row],[employeeID]],員工[],2,FALSE)</f>
        <v>武氏賢</v>
      </c>
    </row>
    <row r="2117" spans="6:19" hidden="1" x14ac:dyDescent="0.25">
      <c r="F2117" t="s">
        <v>1652</v>
      </c>
      <c r="G2117" t="s">
        <v>448</v>
      </c>
      <c r="H2117" t="str">
        <f>VLOOKUP(record[[#This Row],[ProcessSN]],表格2_7[],2,FALSE)</f>
        <v>30-4118-018-6XX</v>
      </c>
      <c r="I2117" t="str">
        <f>VLOOKUP(record[[#This Row],[ProcessSN]],表格2_7[],3,FALSE)</f>
        <v>#04</v>
      </c>
      <c r="J2117" t="s">
        <v>588</v>
      </c>
      <c r="K2117" s="195">
        <v>46126.321689814817</v>
      </c>
      <c r="L2117">
        <v>5</v>
      </c>
      <c r="M2117">
        <v>0</v>
      </c>
      <c r="N2117" s="98" t="str">
        <f>IF(record[[#This Row],[Memo]]="Browser:chrome os:android","平板報工",IF(record[[#This Row],[Memo]]=0,"委外",record[[#This Row],[Memo]]))</f>
        <v/>
      </c>
      <c r="O2117" t="s">
        <v>58</v>
      </c>
      <c r="P2117" t="s">
        <v>691</v>
      </c>
      <c r="Q2117" t="s">
        <v>58</v>
      </c>
      <c r="R2117" t="str">
        <f>IFERROR(VLOOKUP(record[[#This Row],[PCUSTID]],廠商[],2,FALSE),"")</f>
        <v/>
      </c>
      <c r="S2117" t="str">
        <f>VLOOKUP(record[[#This Row],[employeeID]],員工[],2,FALSE)</f>
        <v>武氏賢</v>
      </c>
    </row>
    <row r="2118" spans="6:19" hidden="1" x14ac:dyDescent="0.25">
      <c r="F2118" t="s">
        <v>1782</v>
      </c>
      <c r="G2118" t="s">
        <v>417</v>
      </c>
      <c r="H2118" t="str">
        <f>VLOOKUP(record[[#This Row],[ProcessSN]],表格2_7[],2,FALSE)</f>
        <v>30-4118-018-5XX</v>
      </c>
      <c r="I2118" t="str">
        <f>VLOOKUP(record[[#This Row],[ProcessSN]],表格2_7[],3,FALSE)</f>
        <v>#06</v>
      </c>
      <c r="J2118" t="s">
        <v>593</v>
      </c>
      <c r="K2118" s="195">
        <v>46126.321192129632</v>
      </c>
      <c r="L2118">
        <v>133</v>
      </c>
      <c r="M2118">
        <v>0</v>
      </c>
      <c r="N2118" s="98" t="str">
        <f>IF(record[[#This Row],[Memo]]="Browser:chrome os:android","平板報工",IF(record[[#This Row],[Memo]]=0,"委外",record[[#This Row],[Memo]]))</f>
        <v/>
      </c>
      <c r="O2118" t="s">
        <v>58</v>
      </c>
      <c r="P2118" t="s">
        <v>691</v>
      </c>
      <c r="Q2118" t="s">
        <v>58</v>
      </c>
      <c r="R2118" t="str">
        <f>IFERROR(VLOOKUP(record[[#This Row],[PCUSTID]],廠商[],2,FALSE),"")</f>
        <v/>
      </c>
      <c r="S2118" t="str">
        <f>VLOOKUP(record[[#This Row],[employeeID]],員工[],2,FALSE)</f>
        <v>武氏賢</v>
      </c>
    </row>
    <row r="2119" spans="6:19" hidden="1" x14ac:dyDescent="0.25">
      <c r="F2119" t="s">
        <v>1787</v>
      </c>
      <c r="G2119" t="s">
        <v>466</v>
      </c>
      <c r="H2119" t="str">
        <f>VLOOKUP(record[[#This Row],[ProcessSN]],表格2_7[],2,FALSE)</f>
        <v>30-4118-018-XXX</v>
      </c>
      <c r="I2119" t="str">
        <f>VLOOKUP(record[[#This Row],[ProcessSN]],表格2_7[],3,FALSE)</f>
        <v>#01-2</v>
      </c>
      <c r="J2119" t="s">
        <v>588</v>
      </c>
      <c r="K2119" s="195">
        <v>46126.31931712963</v>
      </c>
      <c r="L2119">
        <v>332</v>
      </c>
      <c r="M2119">
        <v>0</v>
      </c>
      <c r="N2119" s="98" t="str">
        <f>IF(record[[#This Row],[Memo]]="Browser:chrome os:android","平板報工",IF(record[[#This Row],[Memo]]=0,"委外",record[[#This Row],[Memo]]))</f>
        <v/>
      </c>
      <c r="O2119" t="s">
        <v>58</v>
      </c>
      <c r="P2119" t="s">
        <v>806</v>
      </c>
      <c r="Q2119" t="s">
        <v>58</v>
      </c>
      <c r="R2119" t="str">
        <f>IFERROR(VLOOKUP(record[[#This Row],[PCUSTID]],廠商[],2,FALSE),"")</f>
        <v/>
      </c>
      <c r="S2119" t="str">
        <f>VLOOKUP(record[[#This Row],[employeeID]],員工[],2,FALSE)</f>
        <v>方思緯</v>
      </c>
    </row>
    <row r="2120" spans="6:19" hidden="1" x14ac:dyDescent="0.25">
      <c r="F2120" t="s">
        <v>1782</v>
      </c>
      <c r="G2120" t="s">
        <v>416</v>
      </c>
      <c r="H2120" t="str">
        <f>VLOOKUP(record[[#This Row],[ProcessSN]],表格2_7[],2,FALSE)</f>
        <v>30-4118-018-5XX</v>
      </c>
      <c r="I2120" t="str">
        <f>VLOOKUP(record[[#This Row],[ProcessSN]],表格2_7[],3,FALSE)</f>
        <v>#05</v>
      </c>
      <c r="J2120" t="s">
        <v>588</v>
      </c>
      <c r="K2120" s="195">
        <v>46126.31858796296</v>
      </c>
      <c r="L2120">
        <v>136</v>
      </c>
      <c r="M2120">
        <v>3</v>
      </c>
      <c r="N2120" s="98" t="str">
        <f>IF(record[[#This Row],[Memo]]="Browser:chrome os:android","平板報工",IF(record[[#This Row],[Memo]]=0,"委外",record[[#This Row],[Memo]]))</f>
        <v/>
      </c>
      <c r="O2120" t="s">
        <v>58</v>
      </c>
      <c r="P2120" t="s">
        <v>843</v>
      </c>
      <c r="Q2120" t="s">
        <v>58</v>
      </c>
      <c r="R2120" t="str">
        <f>IFERROR(VLOOKUP(record[[#This Row],[PCUSTID]],廠商[],2,FALSE),"")</f>
        <v/>
      </c>
      <c r="S2120" t="str">
        <f>VLOOKUP(record[[#This Row],[employeeID]],員工[],2,FALSE)</f>
        <v>張楚承</v>
      </c>
    </row>
    <row r="2121" spans="6:19" hidden="1" x14ac:dyDescent="0.25">
      <c r="F2121" t="s">
        <v>1787</v>
      </c>
      <c r="G2121" t="s">
        <v>465</v>
      </c>
      <c r="H2121" t="str">
        <f>VLOOKUP(record[[#This Row],[ProcessSN]],表格2_7[],2,FALSE)</f>
        <v>30-4118-018-XXX</v>
      </c>
      <c r="I2121" t="str">
        <f>VLOOKUP(record[[#This Row],[ProcessSN]],表格2_7[],3,FALSE)</f>
        <v>#01-1</v>
      </c>
      <c r="J2121" t="s">
        <v>588</v>
      </c>
      <c r="K2121" s="195">
        <v>46126.31826388889</v>
      </c>
      <c r="L2121">
        <v>1074</v>
      </c>
      <c r="M2121">
        <v>0</v>
      </c>
      <c r="N2121" s="98" t="str">
        <f>IF(record[[#This Row],[Memo]]="Browser:chrome os:android","平板報工",IF(record[[#This Row],[Memo]]=0,"委外",record[[#This Row],[Memo]]))</f>
        <v/>
      </c>
      <c r="O2121" t="s">
        <v>58</v>
      </c>
      <c r="P2121" t="s">
        <v>135</v>
      </c>
      <c r="Q2121" t="s">
        <v>58</v>
      </c>
      <c r="R2121" t="str">
        <f>IFERROR(VLOOKUP(record[[#This Row],[PCUSTID]],廠商[],2,FALSE),"")</f>
        <v/>
      </c>
      <c r="S2121" t="str">
        <f>VLOOKUP(record[[#This Row],[employeeID]],員工[],2,FALSE)</f>
        <v>阮士文</v>
      </c>
    </row>
    <row r="2122" spans="6:19" hidden="1" x14ac:dyDescent="0.25">
      <c r="F2122" t="s">
        <v>1782</v>
      </c>
      <c r="G2122" t="s">
        <v>415</v>
      </c>
      <c r="H2122" t="str">
        <f>VLOOKUP(record[[#This Row],[ProcessSN]],表格2_7[],2,FALSE)</f>
        <v>30-4118-018-5XX</v>
      </c>
      <c r="I2122" t="str">
        <f>VLOOKUP(record[[#This Row],[ProcessSN]],表格2_7[],3,FALSE)</f>
        <v>#04</v>
      </c>
      <c r="J2122" t="s">
        <v>588</v>
      </c>
      <c r="K2122" s="195">
        <v>46126.318113425928</v>
      </c>
      <c r="L2122">
        <v>134</v>
      </c>
      <c r="M2122">
        <v>0</v>
      </c>
      <c r="N2122" s="98" t="str">
        <f>IF(record[[#This Row],[Memo]]="Browser:chrome os:android","平板報工",IF(record[[#This Row],[Memo]]=0,"委外",record[[#This Row],[Memo]]))</f>
        <v/>
      </c>
      <c r="O2122" t="s">
        <v>58</v>
      </c>
      <c r="P2122" t="s">
        <v>135</v>
      </c>
      <c r="Q2122" t="s">
        <v>58</v>
      </c>
      <c r="R2122" t="str">
        <f>IFERROR(VLOOKUP(record[[#This Row],[PCUSTID]],廠商[],2,FALSE),"")</f>
        <v/>
      </c>
      <c r="S2122" t="str">
        <f>VLOOKUP(record[[#This Row],[employeeID]],員工[],2,FALSE)</f>
        <v>阮士文</v>
      </c>
    </row>
    <row r="2123" spans="6:19" hidden="1" x14ac:dyDescent="0.25">
      <c r="F2123" t="s">
        <v>1653</v>
      </c>
      <c r="G2123" t="s">
        <v>418</v>
      </c>
      <c r="H2123" t="str">
        <f>VLOOKUP(record[[#This Row],[ProcessSN]],表格2_7[],2,FALSE)</f>
        <v>30-4118-018-5XX</v>
      </c>
      <c r="I2123" t="str">
        <f>VLOOKUP(record[[#This Row],[ProcessSN]],表格2_7[],3,FALSE)</f>
        <v>#07</v>
      </c>
      <c r="J2123" t="s">
        <v>588</v>
      </c>
      <c r="K2123" s="195">
        <v>46126.311284722222</v>
      </c>
      <c r="L2123">
        <v>127</v>
      </c>
      <c r="M2123">
        <v>3</v>
      </c>
      <c r="N2123" s="98" t="str">
        <f>IF(record[[#This Row],[Memo]]="Browser:chrome os:android","平板報工",IF(record[[#This Row],[Memo]]=0,"委外",record[[#This Row],[Memo]]))</f>
        <v>4/14覆回*1PCS</v>
      </c>
      <c r="O2123" t="s">
        <v>1796</v>
      </c>
      <c r="P2123" t="s">
        <v>1075</v>
      </c>
      <c r="Q2123" t="s">
        <v>58</v>
      </c>
      <c r="R2123" t="str">
        <f>IFERROR(VLOOKUP(record[[#This Row],[PCUSTID]],廠商[],2,FALSE),"")</f>
        <v/>
      </c>
      <c r="S2123" t="str">
        <f>VLOOKUP(record[[#This Row],[employeeID]],員工[],2,FALSE)</f>
        <v>吳宥叡</v>
      </c>
    </row>
    <row r="2124" spans="6:19" hidden="1" x14ac:dyDescent="0.25">
      <c r="F2124" t="s">
        <v>1787</v>
      </c>
      <c r="G2124" t="s">
        <v>465</v>
      </c>
      <c r="H2124" t="str">
        <f>VLOOKUP(record[[#This Row],[ProcessSN]],表格2_7[],2,FALSE)</f>
        <v>30-4118-018-XXX</v>
      </c>
      <c r="I2124" t="str">
        <f>VLOOKUP(record[[#This Row],[ProcessSN]],表格2_7[],3,FALSE)</f>
        <v>#01-1</v>
      </c>
      <c r="J2124" t="s">
        <v>588</v>
      </c>
      <c r="K2124" s="195">
        <v>46125.99927083333</v>
      </c>
      <c r="L2124">
        <v>0</v>
      </c>
      <c r="M2124">
        <v>15</v>
      </c>
      <c r="N2124" s="98" t="str">
        <f>IF(record[[#This Row],[Memo]]="Browser:chrome os:android","平板報工",IF(record[[#This Row],[Memo]]=0,"委外",record[[#This Row],[Memo]]))</f>
        <v/>
      </c>
      <c r="O2124" t="s">
        <v>58</v>
      </c>
      <c r="P2124" t="s">
        <v>180</v>
      </c>
      <c r="Q2124" t="s">
        <v>58</v>
      </c>
      <c r="R2124" t="str">
        <f>IFERROR(VLOOKUP(record[[#This Row],[PCUSTID]],廠商[],2,FALSE),"")</f>
        <v/>
      </c>
      <c r="S2124" t="str">
        <f>VLOOKUP(record[[#This Row],[employeeID]],員工[],2,FALSE)</f>
        <v>黎功江</v>
      </c>
    </row>
    <row r="2125" spans="6:19" hidden="1" x14ac:dyDescent="0.25">
      <c r="F2125" t="s">
        <v>1652</v>
      </c>
      <c r="G2125" t="s">
        <v>450</v>
      </c>
      <c r="H2125" t="str">
        <f>VLOOKUP(record[[#This Row],[ProcessSN]],表格2_7[],2,FALSE)</f>
        <v>30-4118-018-6XX</v>
      </c>
      <c r="I2125" t="str">
        <f>VLOOKUP(record[[#This Row],[ProcessSN]],表格2_7[],3,FALSE)</f>
        <v>#06</v>
      </c>
      <c r="J2125" t="s">
        <v>593</v>
      </c>
      <c r="K2125" s="195">
        <v>46125.977037037039</v>
      </c>
      <c r="L2125">
        <v>133</v>
      </c>
      <c r="M2125">
        <v>0</v>
      </c>
      <c r="N2125" s="98" t="str">
        <f>IF(record[[#This Row],[Memo]]="Browser:chrome os:android","平板報工",IF(record[[#This Row],[Memo]]=0,"委外",record[[#This Row],[Memo]]))</f>
        <v/>
      </c>
      <c r="O2125" t="s">
        <v>58</v>
      </c>
      <c r="P2125" t="s">
        <v>1669</v>
      </c>
      <c r="Q2125" t="s">
        <v>58</v>
      </c>
      <c r="R2125" t="str">
        <f>IFERROR(VLOOKUP(record[[#This Row],[PCUSTID]],廠商[],2,FALSE),"")</f>
        <v/>
      </c>
      <c r="S2125" t="str">
        <f>VLOOKUP(record[[#This Row],[employeeID]],員工[],2,FALSE)</f>
        <v>武氏麗娟</v>
      </c>
    </row>
    <row r="2126" spans="6:19" hidden="1" x14ac:dyDescent="0.25">
      <c r="F2126" t="s">
        <v>1782</v>
      </c>
      <c r="G2126" t="s">
        <v>417</v>
      </c>
      <c r="H2126" t="str">
        <f>VLOOKUP(record[[#This Row],[ProcessSN]],表格2_7[],2,FALSE)</f>
        <v>30-4118-018-5XX</v>
      </c>
      <c r="I2126" t="str">
        <f>VLOOKUP(record[[#This Row],[ProcessSN]],表格2_7[],3,FALSE)</f>
        <v>#06</v>
      </c>
      <c r="J2126" t="s">
        <v>593</v>
      </c>
      <c r="K2126" s="195">
        <v>46125.974293981482</v>
      </c>
      <c r="L2126">
        <v>116</v>
      </c>
      <c r="M2126">
        <v>0</v>
      </c>
      <c r="N2126" s="98" t="str">
        <f>IF(record[[#This Row],[Memo]]="Browser:chrome os:android","平板報工",IF(record[[#This Row],[Memo]]=0,"委外",record[[#This Row],[Memo]]))</f>
        <v/>
      </c>
      <c r="O2126" t="s">
        <v>58</v>
      </c>
      <c r="P2126" t="s">
        <v>176</v>
      </c>
      <c r="Q2126" t="s">
        <v>58</v>
      </c>
      <c r="R2126" t="str">
        <f>IFERROR(VLOOKUP(record[[#This Row],[PCUSTID]],廠商[],2,FALSE),"")</f>
        <v/>
      </c>
      <c r="S2126" t="str">
        <f>VLOOKUP(record[[#This Row],[employeeID]],員工[],2,FALSE)</f>
        <v>郭政雄</v>
      </c>
    </row>
    <row r="2127" spans="6:19" hidden="1" x14ac:dyDescent="0.25">
      <c r="F2127" t="s">
        <v>1653</v>
      </c>
      <c r="G2127" t="s">
        <v>418</v>
      </c>
      <c r="H2127" t="str">
        <f>VLOOKUP(record[[#This Row],[ProcessSN]],表格2_7[],2,FALSE)</f>
        <v>30-4118-018-5XX</v>
      </c>
      <c r="I2127" t="str">
        <f>VLOOKUP(record[[#This Row],[ProcessSN]],表格2_7[],3,FALSE)</f>
        <v>#07</v>
      </c>
      <c r="J2127" t="s">
        <v>588</v>
      </c>
      <c r="K2127" s="195">
        <v>46125.971134259256</v>
      </c>
      <c r="L2127">
        <v>184</v>
      </c>
      <c r="M2127">
        <v>3</v>
      </c>
      <c r="N2127" s="98" t="str">
        <f>IF(record[[#This Row],[Memo]]="Browser:chrome os:android","平板報工",IF(record[[#This Row],[Memo]]=0,"委外",record[[#This Row],[Memo]]))</f>
        <v/>
      </c>
      <c r="O2127" t="s">
        <v>58</v>
      </c>
      <c r="P2127" t="s">
        <v>89</v>
      </c>
      <c r="Q2127" t="s">
        <v>58</v>
      </c>
      <c r="R2127" t="str">
        <f>IFERROR(VLOOKUP(record[[#This Row],[PCUSTID]],廠商[],2,FALSE),"")</f>
        <v/>
      </c>
      <c r="S2127" t="str">
        <f>VLOOKUP(record[[#This Row],[employeeID]],員工[],2,FALSE)</f>
        <v>李美蓮</v>
      </c>
    </row>
    <row r="2128" spans="6:19" hidden="1" x14ac:dyDescent="0.25">
      <c r="F2128" t="s">
        <v>1787</v>
      </c>
      <c r="G2128" t="s">
        <v>466</v>
      </c>
      <c r="H2128" t="str">
        <f>VLOOKUP(record[[#This Row],[ProcessSN]],表格2_7[],2,FALSE)</f>
        <v>30-4118-018-XXX</v>
      </c>
      <c r="I2128" t="str">
        <f>VLOOKUP(record[[#This Row],[ProcessSN]],表格2_7[],3,FALSE)</f>
        <v>#01-2</v>
      </c>
      <c r="J2128" t="s">
        <v>588</v>
      </c>
      <c r="K2128" s="195">
        <v>46125.970601851855</v>
      </c>
      <c r="L2128">
        <v>268</v>
      </c>
      <c r="M2128">
        <v>0</v>
      </c>
      <c r="N2128" s="98" t="str">
        <f>IF(record[[#This Row],[Memo]]="Browser:chrome os:android","平板報工",IF(record[[#This Row],[Memo]]=0,"委外",record[[#This Row],[Memo]]))</f>
        <v/>
      </c>
      <c r="O2128" t="s">
        <v>58</v>
      </c>
      <c r="P2128" t="s">
        <v>89</v>
      </c>
      <c r="Q2128" t="s">
        <v>58</v>
      </c>
      <c r="R2128" t="str">
        <f>IFERROR(VLOOKUP(record[[#This Row],[PCUSTID]],廠商[],2,FALSE),"")</f>
        <v/>
      </c>
      <c r="S2128" t="str">
        <f>VLOOKUP(record[[#This Row],[employeeID]],員工[],2,FALSE)</f>
        <v>李美蓮</v>
      </c>
    </row>
    <row r="2129" spans="6:19" hidden="1" x14ac:dyDescent="0.25">
      <c r="F2129" t="s">
        <v>1782</v>
      </c>
      <c r="G2129" t="s">
        <v>416</v>
      </c>
      <c r="H2129" t="str">
        <f>VLOOKUP(record[[#This Row],[ProcessSN]],表格2_7[],2,FALSE)</f>
        <v>30-4118-018-5XX</v>
      </c>
      <c r="I2129" t="str">
        <f>VLOOKUP(record[[#This Row],[ProcessSN]],表格2_7[],3,FALSE)</f>
        <v>#05</v>
      </c>
      <c r="J2129" t="s">
        <v>588</v>
      </c>
      <c r="K2129" s="195">
        <v>46125.968912037039</v>
      </c>
      <c r="L2129">
        <v>151</v>
      </c>
      <c r="M2129">
        <v>0</v>
      </c>
      <c r="N2129" s="98" t="str">
        <f>IF(record[[#This Row],[Memo]]="Browser:chrome os:android","平板報工",IF(record[[#This Row],[Memo]]=0,"委外",record[[#This Row],[Memo]]))</f>
        <v/>
      </c>
      <c r="O2129" t="s">
        <v>58</v>
      </c>
      <c r="P2129" t="s">
        <v>1098</v>
      </c>
      <c r="Q2129" t="s">
        <v>58</v>
      </c>
      <c r="R2129" t="str">
        <f>IFERROR(VLOOKUP(record[[#This Row],[PCUSTID]],廠商[],2,FALSE),"")</f>
        <v/>
      </c>
      <c r="S2129" t="str">
        <f>VLOOKUP(record[[#This Row],[employeeID]],員工[],2,FALSE)</f>
        <v>阮氏芳英(英)</v>
      </c>
    </row>
    <row r="2130" spans="6:19" hidden="1" x14ac:dyDescent="0.25">
      <c r="F2130" t="s">
        <v>1787</v>
      </c>
      <c r="G2130" t="s">
        <v>465</v>
      </c>
      <c r="H2130" t="str">
        <f>VLOOKUP(record[[#This Row],[ProcessSN]],表格2_7[],2,FALSE)</f>
        <v>30-4118-018-XXX</v>
      </c>
      <c r="I2130" t="str">
        <f>VLOOKUP(record[[#This Row],[ProcessSN]],表格2_7[],3,FALSE)</f>
        <v>#01-1</v>
      </c>
      <c r="J2130" t="s">
        <v>588</v>
      </c>
      <c r="K2130" s="195">
        <v>46125.967499999999</v>
      </c>
      <c r="L2130">
        <v>375</v>
      </c>
      <c r="M2130">
        <v>1</v>
      </c>
      <c r="N2130" s="98" t="str">
        <f>IF(record[[#This Row],[Memo]]="Browser:chrome os:android","平板報工",IF(record[[#This Row],[Memo]]=0,"委外",record[[#This Row],[Memo]]))</f>
        <v/>
      </c>
      <c r="O2130" t="s">
        <v>58</v>
      </c>
      <c r="P2130" t="s">
        <v>180</v>
      </c>
      <c r="Q2130" t="s">
        <v>58</v>
      </c>
      <c r="R2130" t="str">
        <f>IFERROR(VLOOKUP(record[[#This Row],[PCUSTID]],廠商[],2,FALSE),"")</f>
        <v/>
      </c>
      <c r="S2130" t="str">
        <f>VLOOKUP(record[[#This Row],[employeeID]],員工[],2,FALSE)</f>
        <v>黎功江</v>
      </c>
    </row>
    <row r="2131" spans="6:19" hidden="1" x14ac:dyDescent="0.25">
      <c r="F2131" t="s">
        <v>1782</v>
      </c>
      <c r="G2131" t="s">
        <v>415</v>
      </c>
      <c r="H2131" t="str">
        <f>VLOOKUP(record[[#This Row],[ProcessSN]],表格2_7[],2,FALSE)</f>
        <v>30-4118-018-5XX</v>
      </c>
      <c r="I2131" t="str">
        <f>VLOOKUP(record[[#This Row],[ProcessSN]],表格2_7[],3,FALSE)</f>
        <v>#04</v>
      </c>
      <c r="J2131" t="s">
        <v>588</v>
      </c>
      <c r="K2131" s="195">
        <v>46125.966481481482</v>
      </c>
      <c r="L2131">
        <v>60</v>
      </c>
      <c r="M2131">
        <v>0</v>
      </c>
      <c r="N2131" s="98" t="str">
        <f>IF(record[[#This Row],[Memo]]="Browser:chrome os:android","平板報工",IF(record[[#This Row],[Memo]]=0,"委外",record[[#This Row],[Memo]]))</f>
        <v/>
      </c>
      <c r="O2131" t="s">
        <v>58</v>
      </c>
      <c r="P2131" t="s">
        <v>180</v>
      </c>
      <c r="Q2131" t="s">
        <v>58</v>
      </c>
      <c r="R2131" t="str">
        <f>IFERROR(VLOOKUP(record[[#This Row],[PCUSTID]],廠商[],2,FALSE),"")</f>
        <v/>
      </c>
      <c r="S2131" t="str">
        <f>VLOOKUP(record[[#This Row],[employeeID]],員工[],2,FALSE)</f>
        <v>黎功江</v>
      </c>
    </row>
    <row r="2132" spans="6:19" hidden="1" x14ac:dyDescent="0.25">
      <c r="F2132" t="s">
        <v>1787</v>
      </c>
      <c r="G2132" t="s">
        <v>465</v>
      </c>
      <c r="H2132" t="str">
        <f>VLOOKUP(record[[#This Row],[ProcessSN]],表格2_7[],2,FALSE)</f>
        <v>30-4118-018-XXX</v>
      </c>
      <c r="I2132" t="str">
        <f>VLOOKUP(record[[#This Row],[ProcessSN]],表格2_7[],3,FALSE)</f>
        <v>#01-1</v>
      </c>
      <c r="J2132" t="s">
        <v>588</v>
      </c>
      <c r="K2132" s="195">
        <v>46125.822129629632</v>
      </c>
      <c r="L2132">
        <v>537</v>
      </c>
      <c r="M2132">
        <v>7</v>
      </c>
      <c r="N2132" s="98" t="str">
        <f>IF(record[[#This Row],[Memo]]="Browser:chrome os:android","平板報工",IF(record[[#This Row],[Memo]]=0,"委外",record[[#This Row],[Memo]]))</f>
        <v>平板報工</v>
      </c>
      <c r="O2132" t="s">
        <v>643</v>
      </c>
      <c r="P2132" t="s">
        <v>785</v>
      </c>
      <c r="Q2132" t="s">
        <v>644</v>
      </c>
      <c r="R2132" t="str">
        <f>IFERROR(VLOOKUP(record[[#This Row],[PCUSTID]],廠商[],2,FALSE),"")</f>
        <v/>
      </c>
      <c r="S2132" t="str">
        <f>VLOOKUP(record[[#This Row],[employeeID]],員工[],2,FALSE)</f>
        <v>謝刻光</v>
      </c>
    </row>
    <row r="2133" spans="6:19" hidden="1" x14ac:dyDescent="0.25">
      <c r="F2133" t="s">
        <v>1782</v>
      </c>
      <c r="G2133" t="s">
        <v>415</v>
      </c>
      <c r="H2133" t="str">
        <f>VLOOKUP(record[[#This Row],[ProcessSN]],表格2_7[],2,FALSE)</f>
        <v>30-4118-018-5XX</v>
      </c>
      <c r="I2133" t="str">
        <f>VLOOKUP(record[[#This Row],[ProcessSN]],表格2_7[],3,FALSE)</f>
        <v>#04</v>
      </c>
      <c r="J2133" t="s">
        <v>588</v>
      </c>
      <c r="K2133" s="195">
        <v>46125.821261574078</v>
      </c>
      <c r="L2133">
        <v>65</v>
      </c>
      <c r="M2133">
        <v>0</v>
      </c>
      <c r="N2133" s="98" t="str">
        <f>IF(record[[#This Row],[Memo]]="Browser:chrome os:android","平板報工",IF(record[[#This Row],[Memo]]=0,"委外",record[[#This Row],[Memo]]))</f>
        <v>平板報工</v>
      </c>
      <c r="O2133" t="s">
        <v>643</v>
      </c>
      <c r="P2133" t="s">
        <v>785</v>
      </c>
      <c r="Q2133" t="s">
        <v>644</v>
      </c>
      <c r="R2133" t="str">
        <f>IFERROR(VLOOKUP(record[[#This Row],[PCUSTID]],廠商[],2,FALSE),"")</f>
        <v/>
      </c>
      <c r="S2133" t="str">
        <f>VLOOKUP(record[[#This Row],[employeeID]],員工[],2,FALSE)</f>
        <v>謝刻光</v>
      </c>
    </row>
    <row r="2134" spans="6:19" hidden="1" x14ac:dyDescent="0.25">
      <c r="F2134" t="s">
        <v>1655</v>
      </c>
      <c r="G2134" t="s">
        <v>470</v>
      </c>
      <c r="H2134" t="str">
        <f>VLOOKUP(record[[#This Row],[ProcessSN]],表格2_7[],2,FALSE)</f>
        <v>30-4118-018-XXX</v>
      </c>
      <c r="I2134" t="str">
        <f>VLOOKUP(record[[#This Row],[ProcessSN]],表格2_7[],3,FALSE)</f>
        <v>#02IQC</v>
      </c>
      <c r="J2134" t="s">
        <v>583</v>
      </c>
      <c r="K2134" s="195">
        <v>46125.766400462962</v>
      </c>
      <c r="L2134">
        <v>1510</v>
      </c>
      <c r="M2134">
        <v>0</v>
      </c>
      <c r="N2134" s="98" t="str">
        <f>IF(record[[#This Row],[Memo]]="Browser:chrome os:android","平板報工",IF(record[[#This Row],[Memo]]=0,"委外",record[[#This Row],[Memo]]))</f>
        <v/>
      </c>
      <c r="O2134" t="s">
        <v>58</v>
      </c>
      <c r="P2134" t="s">
        <v>109</v>
      </c>
      <c r="Q2134" t="s">
        <v>58</v>
      </c>
      <c r="R2134" t="str">
        <f>IFERROR(VLOOKUP(record[[#This Row],[PCUSTID]],廠商[],2,FALSE),"")</f>
        <v/>
      </c>
      <c r="S2134" t="str">
        <f>VLOOKUP(record[[#This Row],[employeeID]],員工[],2,FALSE)</f>
        <v>裴氏璧鳳</v>
      </c>
    </row>
    <row r="2135" spans="6:19" hidden="1" x14ac:dyDescent="0.25">
      <c r="F2135" t="s">
        <v>1774</v>
      </c>
      <c r="G2135" t="s">
        <v>359</v>
      </c>
      <c r="H2135" t="str">
        <f>VLOOKUP(record[[#This Row],[ProcessSN]],表格2_7[],2,FALSE)</f>
        <v>30-4118-018-450</v>
      </c>
      <c r="I2135" t="str">
        <f>VLOOKUP(record[[#This Row],[ProcessSN]],表格2_7[],3,FALSE)</f>
        <v>#100</v>
      </c>
      <c r="J2135" t="s">
        <v>598</v>
      </c>
      <c r="K2135" s="195">
        <v>46125.693391203706</v>
      </c>
      <c r="L2135">
        <v>0</v>
      </c>
      <c r="M2135">
        <v>27</v>
      </c>
      <c r="N2135" s="98" t="str">
        <f>IF(record[[#This Row],[Memo]]="Browser:chrome os:android","平板報工",IF(record[[#This Row],[Memo]]=0,"委外",record[[#This Row],[Memo]]))</f>
        <v/>
      </c>
      <c r="O2135" t="s">
        <v>58</v>
      </c>
      <c r="P2135" t="s">
        <v>141</v>
      </c>
      <c r="Q2135" t="s">
        <v>58</v>
      </c>
      <c r="R2135" t="str">
        <f>IFERROR(VLOOKUP(record[[#This Row],[PCUSTID]],廠商[],2,FALSE),"")</f>
        <v/>
      </c>
      <c r="S2135" t="str">
        <f>VLOOKUP(record[[#This Row],[employeeID]],員工[],2,FALSE)</f>
        <v>蔣梅</v>
      </c>
    </row>
    <row r="2136" spans="6:19" hidden="1" x14ac:dyDescent="0.25">
      <c r="F2136" t="s">
        <v>1774</v>
      </c>
      <c r="G2136" t="s">
        <v>359</v>
      </c>
      <c r="H2136" t="str">
        <f>VLOOKUP(record[[#This Row],[ProcessSN]],表格2_7[],2,FALSE)</f>
        <v>30-4118-018-450</v>
      </c>
      <c r="I2136" t="str">
        <f>VLOOKUP(record[[#This Row],[ProcessSN]],表格2_7[],3,FALSE)</f>
        <v>#100</v>
      </c>
      <c r="J2136" t="s">
        <v>598</v>
      </c>
      <c r="K2136" s="195">
        <v>46125.693171296298</v>
      </c>
      <c r="L2136">
        <v>579</v>
      </c>
      <c r="M2136">
        <v>0</v>
      </c>
      <c r="N2136" s="98" t="str">
        <f>IF(record[[#This Row],[Memo]]="Browser:chrome os:android","平板報工",IF(record[[#This Row],[Memo]]=0,"委外",record[[#This Row],[Memo]]))</f>
        <v/>
      </c>
      <c r="O2136" t="s">
        <v>58</v>
      </c>
      <c r="P2136" t="s">
        <v>141</v>
      </c>
      <c r="Q2136" t="s">
        <v>58</v>
      </c>
      <c r="R2136" t="str">
        <f>IFERROR(VLOOKUP(record[[#This Row],[PCUSTID]],廠商[],2,FALSE),"")</f>
        <v/>
      </c>
      <c r="S2136" t="str">
        <f>VLOOKUP(record[[#This Row],[employeeID]],員工[],2,FALSE)</f>
        <v>蔣梅</v>
      </c>
    </row>
    <row r="2137" spans="6:19" hidden="1" x14ac:dyDescent="0.25">
      <c r="F2137" t="s">
        <v>1784</v>
      </c>
      <c r="G2137" t="s">
        <v>403</v>
      </c>
      <c r="H2137" t="str">
        <f>VLOOKUP(record[[#This Row],[ProcessSN]],表格2_7[],2,FALSE)</f>
        <v>30-4118-018-550</v>
      </c>
      <c r="I2137" t="str">
        <f>VLOOKUP(record[[#This Row],[ProcessSN]],表格2_7[],3,FALSE)</f>
        <v>#100SHIP</v>
      </c>
      <c r="J2137" t="s">
        <v>600</v>
      </c>
      <c r="K2137" s="195">
        <v>46125.690196759257</v>
      </c>
      <c r="L2137">
        <v>516</v>
      </c>
      <c r="M2137">
        <v>0</v>
      </c>
      <c r="N2137" s="98" t="str">
        <f>IF(record[[#This Row],[Memo]]="Browser:chrome os:android","平板報工",IF(record[[#This Row],[Memo]]=0,"委外",record[[#This Row],[Memo]]))</f>
        <v/>
      </c>
      <c r="O2137" t="s">
        <v>58</v>
      </c>
      <c r="P2137" t="s">
        <v>886</v>
      </c>
      <c r="Q2137" t="s">
        <v>58</v>
      </c>
      <c r="R2137" t="str">
        <f>IFERROR(VLOOKUP(record[[#This Row],[PCUSTID]],廠商[],2,FALSE),"")</f>
        <v/>
      </c>
      <c r="S2137" t="str">
        <f>VLOOKUP(record[[#This Row],[employeeID]],員工[],2,FALSE)</f>
        <v>謝蓁薰</v>
      </c>
    </row>
    <row r="2138" spans="6:19" hidden="1" x14ac:dyDescent="0.25">
      <c r="F2138" t="s">
        <v>1773</v>
      </c>
      <c r="G2138" t="s">
        <v>403</v>
      </c>
      <c r="H2138" t="str">
        <f>VLOOKUP(record[[#This Row],[ProcessSN]],表格2_7[],2,FALSE)</f>
        <v>30-4118-018-550</v>
      </c>
      <c r="I2138" t="str">
        <f>VLOOKUP(record[[#This Row],[ProcessSN]],表格2_7[],3,FALSE)</f>
        <v>#100SHIP</v>
      </c>
      <c r="J2138" t="s">
        <v>600</v>
      </c>
      <c r="K2138" s="195">
        <v>46125.690011574072</v>
      </c>
      <c r="L2138">
        <v>127</v>
      </c>
      <c r="M2138">
        <v>0</v>
      </c>
      <c r="N2138" s="98" t="str">
        <f>IF(record[[#This Row],[Memo]]="Browser:chrome os:android","平板報工",IF(record[[#This Row],[Memo]]=0,"委外",record[[#This Row],[Memo]]))</f>
        <v/>
      </c>
      <c r="O2138" t="s">
        <v>58</v>
      </c>
      <c r="P2138" t="s">
        <v>886</v>
      </c>
      <c r="Q2138" t="s">
        <v>58</v>
      </c>
      <c r="R2138" t="str">
        <f>IFERROR(VLOOKUP(record[[#This Row],[PCUSTID]],廠商[],2,FALSE),"")</f>
        <v/>
      </c>
      <c r="S2138" t="str">
        <f>VLOOKUP(record[[#This Row],[employeeID]],員工[],2,FALSE)</f>
        <v>謝蓁薰</v>
      </c>
    </row>
    <row r="2139" spans="6:19" hidden="1" x14ac:dyDescent="0.25">
      <c r="F2139" t="s">
        <v>1762</v>
      </c>
      <c r="G2139" t="s">
        <v>403</v>
      </c>
      <c r="H2139" t="str">
        <f>VLOOKUP(record[[#This Row],[ProcessSN]],表格2_7[],2,FALSE)</f>
        <v>30-4118-018-550</v>
      </c>
      <c r="I2139" t="str">
        <f>VLOOKUP(record[[#This Row],[ProcessSN]],表格2_7[],3,FALSE)</f>
        <v>#100SHIP</v>
      </c>
      <c r="J2139" t="s">
        <v>600</v>
      </c>
      <c r="K2139" s="195">
        <v>46125.688321759262</v>
      </c>
      <c r="L2139">
        <v>159</v>
      </c>
      <c r="M2139">
        <v>0</v>
      </c>
      <c r="N2139" s="98" t="str">
        <f>IF(record[[#This Row],[Memo]]="Browser:chrome os:android","平板報工",IF(record[[#This Row],[Memo]]=0,"委外",record[[#This Row],[Memo]]))</f>
        <v/>
      </c>
      <c r="O2139" t="s">
        <v>58</v>
      </c>
      <c r="P2139" t="s">
        <v>886</v>
      </c>
      <c r="Q2139" t="s">
        <v>58</v>
      </c>
      <c r="R2139" t="str">
        <f>IFERROR(VLOOKUP(record[[#This Row],[PCUSTID]],廠商[],2,FALSE),"")</f>
        <v/>
      </c>
      <c r="S2139" t="str">
        <f>VLOOKUP(record[[#This Row],[employeeID]],員工[],2,FALSE)</f>
        <v>謝蓁薰</v>
      </c>
    </row>
    <row r="2140" spans="6:19" hidden="1" x14ac:dyDescent="0.25">
      <c r="F2140" t="s">
        <v>1729</v>
      </c>
      <c r="G2140" t="s">
        <v>403</v>
      </c>
      <c r="H2140" t="str">
        <f>VLOOKUP(record[[#This Row],[ProcessSN]],表格2_7[],2,FALSE)</f>
        <v>30-4118-018-550</v>
      </c>
      <c r="I2140" t="str">
        <f>VLOOKUP(record[[#This Row],[ProcessSN]],表格2_7[],3,FALSE)</f>
        <v>#100SHIP</v>
      </c>
      <c r="J2140" t="s">
        <v>600</v>
      </c>
      <c r="K2140" s="195">
        <v>46125.688171296293</v>
      </c>
      <c r="L2140">
        <v>145</v>
      </c>
      <c r="M2140">
        <v>0</v>
      </c>
      <c r="N2140" s="98" t="str">
        <f>IF(record[[#This Row],[Memo]]="Browser:chrome os:android","平板報工",IF(record[[#This Row],[Memo]]=0,"委外",record[[#This Row],[Memo]]))</f>
        <v/>
      </c>
      <c r="O2140" t="s">
        <v>58</v>
      </c>
      <c r="P2140" t="s">
        <v>886</v>
      </c>
      <c r="Q2140" t="s">
        <v>58</v>
      </c>
      <c r="R2140" t="str">
        <f>IFERROR(VLOOKUP(record[[#This Row],[PCUSTID]],廠商[],2,FALSE),"")</f>
        <v/>
      </c>
      <c r="S2140" t="str">
        <f>VLOOKUP(record[[#This Row],[employeeID]],員工[],2,FALSE)</f>
        <v>謝蓁薰</v>
      </c>
    </row>
    <row r="2141" spans="6:19" hidden="1" x14ac:dyDescent="0.25">
      <c r="F2141" t="s">
        <v>1784</v>
      </c>
      <c r="G2141" t="s">
        <v>402</v>
      </c>
      <c r="H2141" t="str">
        <f>VLOOKUP(record[[#This Row],[ProcessSN]],表格2_7[],2,FALSE)</f>
        <v>30-4118-018-550</v>
      </c>
      <c r="I2141" t="str">
        <f>VLOOKUP(record[[#This Row],[ProcessSN]],表格2_7[],3,FALSE)</f>
        <v>#100STOCK</v>
      </c>
      <c r="J2141" t="s">
        <v>592</v>
      </c>
      <c r="K2141" s="195">
        <v>46125.688055555554</v>
      </c>
      <c r="L2141">
        <v>516</v>
      </c>
      <c r="M2141">
        <v>0</v>
      </c>
      <c r="N2141" s="98" t="str">
        <f>IF(record[[#This Row],[Memo]]="Browser:chrome os:android","平板報工",IF(record[[#This Row],[Memo]]=0,"委外",record[[#This Row],[Memo]]))</f>
        <v/>
      </c>
      <c r="O2141" t="s">
        <v>58</v>
      </c>
      <c r="P2141" t="s">
        <v>886</v>
      </c>
      <c r="Q2141" t="s">
        <v>58</v>
      </c>
      <c r="R2141" t="str">
        <f>IFERROR(VLOOKUP(record[[#This Row],[PCUSTID]],廠商[],2,FALSE),"")</f>
        <v/>
      </c>
      <c r="S2141" t="str">
        <f>VLOOKUP(record[[#This Row],[employeeID]],員工[],2,FALSE)</f>
        <v>謝蓁薰</v>
      </c>
    </row>
    <row r="2142" spans="6:19" hidden="1" x14ac:dyDescent="0.25">
      <c r="F2142" t="s">
        <v>1773</v>
      </c>
      <c r="G2142" t="s">
        <v>402</v>
      </c>
      <c r="H2142" t="str">
        <f>VLOOKUP(record[[#This Row],[ProcessSN]],表格2_7[],2,FALSE)</f>
        <v>30-4118-018-550</v>
      </c>
      <c r="I2142" t="str">
        <f>VLOOKUP(record[[#This Row],[ProcessSN]],表格2_7[],3,FALSE)</f>
        <v>#100STOCK</v>
      </c>
      <c r="J2142" t="s">
        <v>592</v>
      </c>
      <c r="K2142" s="195">
        <v>46125.687893518516</v>
      </c>
      <c r="L2142">
        <v>127</v>
      </c>
      <c r="M2142">
        <v>0</v>
      </c>
      <c r="N2142" s="98" t="str">
        <f>IF(record[[#This Row],[Memo]]="Browser:chrome os:android","平板報工",IF(record[[#This Row],[Memo]]=0,"委外",record[[#This Row],[Memo]]))</f>
        <v/>
      </c>
      <c r="O2142" t="s">
        <v>58</v>
      </c>
      <c r="P2142" t="s">
        <v>886</v>
      </c>
      <c r="Q2142" t="s">
        <v>58</v>
      </c>
      <c r="R2142" t="str">
        <f>IFERROR(VLOOKUP(record[[#This Row],[PCUSTID]],廠商[],2,FALSE),"")</f>
        <v/>
      </c>
      <c r="S2142" t="str">
        <f>VLOOKUP(record[[#This Row],[employeeID]],員工[],2,FALSE)</f>
        <v>謝蓁薰</v>
      </c>
    </row>
    <row r="2143" spans="6:19" hidden="1" x14ac:dyDescent="0.25">
      <c r="F2143" t="s">
        <v>1762</v>
      </c>
      <c r="G2143" t="s">
        <v>402</v>
      </c>
      <c r="H2143" t="str">
        <f>VLOOKUP(record[[#This Row],[ProcessSN]],表格2_7[],2,FALSE)</f>
        <v>30-4118-018-550</v>
      </c>
      <c r="I2143" t="str">
        <f>VLOOKUP(record[[#This Row],[ProcessSN]],表格2_7[],3,FALSE)</f>
        <v>#100STOCK</v>
      </c>
      <c r="J2143" t="s">
        <v>592</v>
      </c>
      <c r="K2143" s="195">
        <v>46125.687777777777</v>
      </c>
      <c r="L2143">
        <v>159</v>
      </c>
      <c r="M2143">
        <v>0</v>
      </c>
      <c r="N2143" s="98" t="str">
        <f>IF(record[[#This Row],[Memo]]="Browser:chrome os:android","平板報工",IF(record[[#This Row],[Memo]]=0,"委外",record[[#This Row],[Memo]]))</f>
        <v/>
      </c>
      <c r="O2143" t="s">
        <v>58</v>
      </c>
      <c r="P2143" t="s">
        <v>886</v>
      </c>
      <c r="Q2143" t="s">
        <v>58</v>
      </c>
      <c r="R2143" t="str">
        <f>IFERROR(VLOOKUP(record[[#This Row],[PCUSTID]],廠商[],2,FALSE),"")</f>
        <v/>
      </c>
      <c r="S2143" t="str">
        <f>VLOOKUP(record[[#This Row],[employeeID]],員工[],2,FALSE)</f>
        <v>謝蓁薰</v>
      </c>
    </row>
    <row r="2144" spans="6:19" hidden="1" x14ac:dyDescent="0.25">
      <c r="F2144" t="s">
        <v>1729</v>
      </c>
      <c r="G2144" t="s">
        <v>402</v>
      </c>
      <c r="H2144" t="str">
        <f>VLOOKUP(record[[#This Row],[ProcessSN]],表格2_7[],2,FALSE)</f>
        <v>30-4118-018-550</v>
      </c>
      <c r="I2144" t="str">
        <f>VLOOKUP(record[[#This Row],[ProcessSN]],表格2_7[],3,FALSE)</f>
        <v>#100STOCK</v>
      </c>
      <c r="J2144" t="s">
        <v>592</v>
      </c>
      <c r="K2144" s="195">
        <v>46125.687650462962</v>
      </c>
      <c r="L2144">
        <v>145</v>
      </c>
      <c r="M2144">
        <v>0</v>
      </c>
      <c r="N2144" s="98" t="str">
        <f>IF(record[[#This Row],[Memo]]="Browser:chrome os:android","平板報工",IF(record[[#This Row],[Memo]]=0,"委外",record[[#This Row],[Memo]]))</f>
        <v/>
      </c>
      <c r="O2144" t="s">
        <v>58</v>
      </c>
      <c r="P2144" t="s">
        <v>886</v>
      </c>
      <c r="Q2144" t="s">
        <v>58</v>
      </c>
      <c r="R2144" t="str">
        <f>IFERROR(VLOOKUP(record[[#This Row],[PCUSTID]],廠商[],2,FALSE),"")</f>
        <v/>
      </c>
      <c r="S2144" t="str">
        <f>VLOOKUP(record[[#This Row],[employeeID]],員工[],2,FALSE)</f>
        <v>謝蓁薰</v>
      </c>
    </row>
    <row r="2145" spans="6:19" hidden="1" x14ac:dyDescent="0.25">
      <c r="F2145" t="s">
        <v>1782</v>
      </c>
      <c r="G2145" t="s">
        <v>417</v>
      </c>
      <c r="H2145" t="str">
        <f>VLOOKUP(record[[#This Row],[ProcessSN]],表格2_7[],2,FALSE)</f>
        <v>30-4118-018-5XX</v>
      </c>
      <c r="I2145" t="str">
        <f>VLOOKUP(record[[#This Row],[ProcessSN]],表格2_7[],3,FALSE)</f>
        <v>#06</v>
      </c>
      <c r="J2145" t="s">
        <v>593</v>
      </c>
      <c r="K2145" s="195">
        <v>46125.683171296296</v>
      </c>
      <c r="L2145">
        <v>100</v>
      </c>
      <c r="M2145">
        <v>0</v>
      </c>
      <c r="N2145" s="98" t="str">
        <f>IF(record[[#This Row],[Memo]]="Browser:chrome os:android","平板報工",IF(record[[#This Row],[Memo]]=0,"委外",record[[#This Row],[Memo]]))</f>
        <v/>
      </c>
      <c r="O2145" t="s">
        <v>58</v>
      </c>
      <c r="P2145" t="s">
        <v>188</v>
      </c>
      <c r="Q2145" t="s">
        <v>58</v>
      </c>
      <c r="R2145" t="str">
        <f>IFERROR(VLOOKUP(record[[#This Row],[PCUSTID]],廠商[],2,FALSE),"")</f>
        <v/>
      </c>
      <c r="S2145" t="str">
        <f>VLOOKUP(record[[#This Row],[employeeID]],員工[],2,FALSE)</f>
        <v>阮氏璧紅</v>
      </c>
    </row>
    <row r="2146" spans="6:19" hidden="1" x14ac:dyDescent="0.25">
      <c r="F2146" t="s">
        <v>1784</v>
      </c>
      <c r="G2146" t="s">
        <v>401</v>
      </c>
      <c r="H2146" t="str">
        <f>VLOOKUP(record[[#This Row],[ProcessSN]],表格2_7[],2,FALSE)</f>
        <v>30-4118-018-550</v>
      </c>
      <c r="I2146" t="str">
        <f>VLOOKUP(record[[#This Row],[ProcessSN]],表格2_7[],3,FALSE)</f>
        <v>#100OQC</v>
      </c>
      <c r="J2146" t="s">
        <v>599</v>
      </c>
      <c r="K2146" s="195">
        <v>46125.676562499997</v>
      </c>
      <c r="L2146">
        <v>516</v>
      </c>
      <c r="M2146">
        <v>0</v>
      </c>
      <c r="N2146" s="98" t="str">
        <f>IF(record[[#This Row],[Memo]]="Browser:chrome os:android","平板報工",IF(record[[#This Row],[Memo]]=0,"委外",record[[#This Row],[Memo]]))</f>
        <v/>
      </c>
      <c r="O2146" t="s">
        <v>58</v>
      </c>
      <c r="P2146" t="s">
        <v>121</v>
      </c>
      <c r="Q2146" t="s">
        <v>58</v>
      </c>
      <c r="R2146" t="str">
        <f>IFERROR(VLOOKUP(record[[#This Row],[PCUSTID]],廠商[],2,FALSE),"")</f>
        <v/>
      </c>
      <c r="S2146" t="str">
        <f>VLOOKUP(record[[#This Row],[employeeID]],員工[],2,FALSE)</f>
        <v>謝素卿</v>
      </c>
    </row>
    <row r="2147" spans="6:19" hidden="1" x14ac:dyDescent="0.25">
      <c r="F2147" t="s">
        <v>1773</v>
      </c>
      <c r="G2147" t="s">
        <v>401</v>
      </c>
      <c r="H2147" t="str">
        <f>VLOOKUP(record[[#This Row],[ProcessSN]],表格2_7[],2,FALSE)</f>
        <v>30-4118-018-550</v>
      </c>
      <c r="I2147" t="str">
        <f>VLOOKUP(record[[#This Row],[ProcessSN]],表格2_7[],3,FALSE)</f>
        <v>#100OQC</v>
      </c>
      <c r="J2147" t="s">
        <v>599</v>
      </c>
      <c r="K2147" s="195">
        <v>46125.676365740743</v>
      </c>
      <c r="L2147">
        <v>127</v>
      </c>
      <c r="M2147">
        <v>0</v>
      </c>
      <c r="N2147" s="98" t="str">
        <f>IF(record[[#This Row],[Memo]]="Browser:chrome os:android","平板報工",IF(record[[#This Row],[Memo]]=0,"委外",record[[#This Row],[Memo]]))</f>
        <v/>
      </c>
      <c r="O2147" t="s">
        <v>58</v>
      </c>
      <c r="P2147" t="s">
        <v>121</v>
      </c>
      <c r="Q2147" t="s">
        <v>58</v>
      </c>
      <c r="R2147" t="str">
        <f>IFERROR(VLOOKUP(record[[#This Row],[PCUSTID]],廠商[],2,FALSE),"")</f>
        <v/>
      </c>
      <c r="S2147" t="str">
        <f>VLOOKUP(record[[#This Row],[employeeID]],員工[],2,FALSE)</f>
        <v>謝素卿</v>
      </c>
    </row>
    <row r="2148" spans="6:19" hidden="1" x14ac:dyDescent="0.25">
      <c r="F2148" t="s">
        <v>1762</v>
      </c>
      <c r="G2148" t="s">
        <v>401</v>
      </c>
      <c r="H2148" t="str">
        <f>VLOOKUP(record[[#This Row],[ProcessSN]],表格2_7[],2,FALSE)</f>
        <v>30-4118-018-550</v>
      </c>
      <c r="I2148" t="str">
        <f>VLOOKUP(record[[#This Row],[ProcessSN]],表格2_7[],3,FALSE)</f>
        <v>#100OQC</v>
      </c>
      <c r="J2148" t="s">
        <v>599</v>
      </c>
      <c r="K2148" s="195">
        <v>46125.676215277781</v>
      </c>
      <c r="L2148">
        <v>159</v>
      </c>
      <c r="M2148">
        <v>0</v>
      </c>
      <c r="N2148" s="98" t="str">
        <f>IF(record[[#This Row],[Memo]]="Browser:chrome os:android","平板報工",IF(record[[#This Row],[Memo]]=0,"委外",record[[#This Row],[Memo]]))</f>
        <v/>
      </c>
      <c r="O2148" t="s">
        <v>58</v>
      </c>
      <c r="P2148" t="s">
        <v>121</v>
      </c>
      <c r="Q2148" t="s">
        <v>58</v>
      </c>
      <c r="R2148" t="str">
        <f>IFERROR(VLOOKUP(record[[#This Row],[PCUSTID]],廠商[],2,FALSE),"")</f>
        <v/>
      </c>
      <c r="S2148" t="str">
        <f>VLOOKUP(record[[#This Row],[employeeID]],員工[],2,FALSE)</f>
        <v>謝素卿</v>
      </c>
    </row>
    <row r="2149" spans="6:19" hidden="1" x14ac:dyDescent="0.25">
      <c r="F2149" t="s">
        <v>1729</v>
      </c>
      <c r="G2149" t="s">
        <v>401</v>
      </c>
      <c r="H2149" t="str">
        <f>VLOOKUP(record[[#This Row],[ProcessSN]],表格2_7[],2,FALSE)</f>
        <v>30-4118-018-550</v>
      </c>
      <c r="I2149" t="str">
        <f>VLOOKUP(record[[#This Row],[ProcessSN]],表格2_7[],3,FALSE)</f>
        <v>#100OQC</v>
      </c>
      <c r="J2149" t="s">
        <v>599</v>
      </c>
      <c r="K2149" s="195">
        <v>46125.676064814812</v>
      </c>
      <c r="L2149">
        <v>145</v>
      </c>
      <c r="M2149">
        <v>0</v>
      </c>
      <c r="N2149" s="98" t="str">
        <f>IF(record[[#This Row],[Memo]]="Browser:chrome os:android","平板報工",IF(record[[#This Row],[Memo]]=0,"委外",record[[#This Row],[Memo]]))</f>
        <v/>
      </c>
      <c r="O2149" t="s">
        <v>58</v>
      </c>
      <c r="P2149" t="s">
        <v>121</v>
      </c>
      <c r="Q2149" t="s">
        <v>58</v>
      </c>
      <c r="R2149" t="str">
        <f>IFERROR(VLOOKUP(record[[#This Row],[PCUSTID]],廠商[],2,FALSE),"")</f>
        <v/>
      </c>
      <c r="S2149" t="str">
        <f>VLOOKUP(record[[#This Row],[employeeID]],員工[],2,FALSE)</f>
        <v>謝素卿</v>
      </c>
    </row>
    <row r="2150" spans="6:19" hidden="1" x14ac:dyDescent="0.25">
      <c r="F2150" t="s">
        <v>1782</v>
      </c>
      <c r="G2150" t="s">
        <v>416</v>
      </c>
      <c r="H2150" t="str">
        <f>VLOOKUP(record[[#This Row],[ProcessSN]],表格2_7[],2,FALSE)</f>
        <v>30-4118-018-5XX</v>
      </c>
      <c r="I2150" t="str">
        <f>VLOOKUP(record[[#This Row],[ProcessSN]],表格2_7[],3,FALSE)</f>
        <v>#05</v>
      </c>
      <c r="J2150" t="s">
        <v>588</v>
      </c>
      <c r="K2150" s="195">
        <v>46125.665891203702</v>
      </c>
      <c r="L2150">
        <v>124</v>
      </c>
      <c r="M2150">
        <v>0</v>
      </c>
      <c r="N2150" s="98" t="str">
        <f>IF(record[[#This Row],[Memo]]="Browser:chrome os:android","平板報工",IF(record[[#This Row],[Memo]]=0,"委外",record[[#This Row],[Memo]]))</f>
        <v/>
      </c>
      <c r="O2150" t="s">
        <v>58</v>
      </c>
      <c r="P2150" t="s">
        <v>785</v>
      </c>
      <c r="Q2150" t="s">
        <v>58</v>
      </c>
      <c r="R2150" t="str">
        <f>IFERROR(VLOOKUP(record[[#This Row],[PCUSTID]],廠商[],2,FALSE),"")</f>
        <v/>
      </c>
      <c r="S2150" t="str">
        <f>VLOOKUP(record[[#This Row],[employeeID]],員工[],2,FALSE)</f>
        <v>謝刻光</v>
      </c>
    </row>
    <row r="2151" spans="6:19" hidden="1" x14ac:dyDescent="0.25">
      <c r="F2151" t="s">
        <v>1782</v>
      </c>
      <c r="G2151" t="s">
        <v>415</v>
      </c>
      <c r="H2151" t="str">
        <f>VLOOKUP(record[[#This Row],[ProcessSN]],表格2_7[],2,FALSE)</f>
        <v>30-4118-018-5XX</v>
      </c>
      <c r="I2151" t="str">
        <f>VLOOKUP(record[[#This Row],[ProcessSN]],表格2_7[],3,FALSE)</f>
        <v>#04</v>
      </c>
      <c r="J2151" t="s">
        <v>588</v>
      </c>
      <c r="K2151" s="195">
        <v>46125.646192129629</v>
      </c>
      <c r="L2151">
        <v>135</v>
      </c>
      <c r="M2151">
        <v>0</v>
      </c>
      <c r="N2151" s="98" t="str">
        <f>IF(record[[#This Row],[Memo]]="Browser:chrome os:android","平板報工",IF(record[[#This Row],[Memo]]=0,"委外",record[[#This Row],[Memo]]))</f>
        <v>平板報工</v>
      </c>
      <c r="O2151" t="s">
        <v>643</v>
      </c>
      <c r="P2151" t="s">
        <v>107</v>
      </c>
      <c r="Q2151" t="s">
        <v>644</v>
      </c>
      <c r="R2151" t="str">
        <f>IFERROR(VLOOKUP(record[[#This Row],[PCUSTID]],廠商[],2,FALSE),"")</f>
        <v/>
      </c>
      <c r="S2151" t="str">
        <f>VLOOKUP(record[[#This Row],[employeeID]],員工[],2,FALSE)</f>
        <v>黎氏順</v>
      </c>
    </row>
    <row r="2152" spans="6:19" hidden="1" x14ac:dyDescent="0.25">
      <c r="F2152" t="s">
        <v>1787</v>
      </c>
      <c r="G2152" t="s">
        <v>465</v>
      </c>
      <c r="H2152" t="str">
        <f>VLOOKUP(record[[#This Row],[ProcessSN]],表格2_7[],2,FALSE)</f>
        <v>30-4118-018-XXX</v>
      </c>
      <c r="I2152" t="str">
        <f>VLOOKUP(record[[#This Row],[ProcessSN]],表格2_7[],3,FALSE)</f>
        <v>#01-1</v>
      </c>
      <c r="J2152" t="s">
        <v>588</v>
      </c>
      <c r="K2152" s="195">
        <v>46125.643506944441</v>
      </c>
      <c r="L2152">
        <v>672</v>
      </c>
      <c r="M2152">
        <v>7</v>
      </c>
      <c r="N2152" s="98" t="str">
        <f>IF(record[[#This Row],[Memo]]="Browser:chrome os:android","平板報工",IF(record[[#This Row],[Memo]]=0,"委外",record[[#This Row],[Memo]]))</f>
        <v>平板報工</v>
      </c>
      <c r="O2152" t="s">
        <v>643</v>
      </c>
      <c r="P2152" t="s">
        <v>785</v>
      </c>
      <c r="Q2152" t="s">
        <v>644</v>
      </c>
      <c r="R2152" t="str">
        <f>IFERROR(VLOOKUP(record[[#This Row],[PCUSTID]],廠商[],2,FALSE),"")</f>
        <v/>
      </c>
      <c r="S2152" t="str">
        <f>VLOOKUP(record[[#This Row],[employeeID]],員工[],2,FALSE)</f>
        <v>謝刻光</v>
      </c>
    </row>
    <row r="2153" spans="6:19" hidden="1" x14ac:dyDescent="0.25">
      <c r="F2153" t="s">
        <v>1722</v>
      </c>
      <c r="G2153" t="s">
        <v>403</v>
      </c>
      <c r="H2153" t="str">
        <f>VLOOKUP(record[[#This Row],[ProcessSN]],表格2_7[],2,FALSE)</f>
        <v>30-4118-018-550</v>
      </c>
      <c r="I2153" t="str">
        <f>VLOOKUP(record[[#This Row],[ProcessSN]],表格2_7[],3,FALSE)</f>
        <v>#100SHIP</v>
      </c>
      <c r="J2153" t="s">
        <v>600</v>
      </c>
      <c r="K2153" s="195">
        <v>46125.63858796296</v>
      </c>
      <c r="L2153">
        <v>29</v>
      </c>
      <c r="M2153">
        <v>0</v>
      </c>
      <c r="N2153" s="98" t="str">
        <f>IF(record[[#This Row],[Memo]]="Browser:chrome os:android","平板報工",IF(record[[#This Row],[Memo]]=0,"委外",record[[#This Row],[Memo]]))</f>
        <v/>
      </c>
      <c r="O2153" t="s">
        <v>58</v>
      </c>
      <c r="P2153" t="s">
        <v>886</v>
      </c>
      <c r="Q2153" t="s">
        <v>58</v>
      </c>
      <c r="R2153" t="str">
        <f>IFERROR(VLOOKUP(record[[#This Row],[PCUSTID]],廠商[],2,FALSE),"")</f>
        <v/>
      </c>
      <c r="S2153" t="str">
        <f>VLOOKUP(record[[#This Row],[employeeID]],員工[],2,FALSE)</f>
        <v>謝蓁薰</v>
      </c>
    </row>
    <row r="2154" spans="6:19" hidden="1" x14ac:dyDescent="0.25">
      <c r="F2154" t="s">
        <v>1656</v>
      </c>
      <c r="G2154" t="s">
        <v>403</v>
      </c>
      <c r="H2154" t="str">
        <f>VLOOKUP(record[[#This Row],[ProcessSN]],表格2_7[],2,FALSE)</f>
        <v>30-4118-018-550</v>
      </c>
      <c r="I2154" t="str">
        <f>VLOOKUP(record[[#This Row],[ProcessSN]],表格2_7[],3,FALSE)</f>
        <v>#100SHIP</v>
      </c>
      <c r="J2154" t="s">
        <v>600</v>
      </c>
      <c r="K2154" s="195">
        <v>46125.638425925928</v>
      </c>
      <c r="L2154">
        <v>24</v>
      </c>
      <c r="M2154">
        <v>0</v>
      </c>
      <c r="N2154" s="98" t="str">
        <f>IF(record[[#This Row],[Memo]]="Browser:chrome os:android","平板報工",IF(record[[#This Row],[Memo]]=0,"委外",record[[#This Row],[Memo]]))</f>
        <v/>
      </c>
      <c r="O2154" t="s">
        <v>58</v>
      </c>
      <c r="P2154" t="s">
        <v>886</v>
      </c>
      <c r="Q2154" t="s">
        <v>58</v>
      </c>
      <c r="R2154" t="str">
        <f>IFERROR(VLOOKUP(record[[#This Row],[PCUSTID]],廠商[],2,FALSE),"")</f>
        <v/>
      </c>
      <c r="S2154" t="str">
        <f>VLOOKUP(record[[#This Row],[employeeID]],員工[],2,FALSE)</f>
        <v>謝蓁薰</v>
      </c>
    </row>
    <row r="2155" spans="6:19" hidden="1" x14ac:dyDescent="0.25">
      <c r="F2155" t="s">
        <v>1795</v>
      </c>
      <c r="G2155" t="s">
        <v>400</v>
      </c>
      <c r="H2155" t="str">
        <f>VLOOKUP(record[[#This Row],[ProcessSN]],表格2_7[],2,FALSE)</f>
        <v>30-4118-018-550</v>
      </c>
      <c r="I2155" t="str">
        <f>VLOOKUP(record[[#This Row],[ProcessSN]],表格2_7[],3,FALSE)</f>
        <v>#100</v>
      </c>
      <c r="J2155" t="s">
        <v>598</v>
      </c>
      <c r="K2155" s="195">
        <v>46125.622407407405</v>
      </c>
      <c r="L2155">
        <v>242</v>
      </c>
      <c r="M2155">
        <v>0</v>
      </c>
      <c r="N2155" s="98" t="str">
        <f>IF(record[[#This Row],[Memo]]="Browser:chrome os:android","平板報工",IF(record[[#This Row],[Memo]]=0,"委外",record[[#This Row],[Memo]]))</f>
        <v/>
      </c>
      <c r="O2155" t="s">
        <v>58</v>
      </c>
      <c r="P2155" t="s">
        <v>103</v>
      </c>
      <c r="Q2155" t="s">
        <v>58</v>
      </c>
      <c r="R2155" t="str">
        <f>IFERROR(VLOOKUP(record[[#This Row],[PCUSTID]],廠商[],2,FALSE),"")</f>
        <v/>
      </c>
      <c r="S2155" t="str">
        <f>VLOOKUP(record[[#This Row],[employeeID]],員工[],2,FALSE)</f>
        <v>黎秋水</v>
      </c>
    </row>
    <row r="2156" spans="6:19" hidden="1" x14ac:dyDescent="0.25">
      <c r="F2156" t="s">
        <v>1784</v>
      </c>
      <c r="G2156" t="s">
        <v>400</v>
      </c>
      <c r="H2156" t="str">
        <f>VLOOKUP(record[[#This Row],[ProcessSN]],表格2_7[],2,FALSE)</f>
        <v>30-4118-018-550</v>
      </c>
      <c r="I2156" t="str">
        <f>VLOOKUP(record[[#This Row],[ProcessSN]],表格2_7[],3,FALSE)</f>
        <v>#100</v>
      </c>
      <c r="J2156" t="s">
        <v>598</v>
      </c>
      <c r="K2156" s="195">
        <v>46125.619166666664</v>
      </c>
      <c r="L2156">
        <v>0</v>
      </c>
      <c r="M2156">
        <v>20</v>
      </c>
      <c r="N2156" s="98" t="str">
        <f>IF(record[[#This Row],[Memo]]="Browser:chrome os:android","平板報工",IF(record[[#This Row],[Memo]]=0,"委外",record[[#This Row],[Memo]]))</f>
        <v/>
      </c>
      <c r="O2156" t="s">
        <v>58</v>
      </c>
      <c r="P2156" t="s">
        <v>141</v>
      </c>
      <c r="Q2156" t="s">
        <v>58</v>
      </c>
      <c r="R2156" t="str">
        <f>IFERROR(VLOOKUP(record[[#This Row],[PCUSTID]],廠商[],2,FALSE),"")</f>
        <v/>
      </c>
      <c r="S2156" t="str">
        <f>VLOOKUP(record[[#This Row],[employeeID]],員工[],2,FALSE)</f>
        <v>蔣梅</v>
      </c>
    </row>
    <row r="2157" spans="6:19" hidden="1" x14ac:dyDescent="0.25">
      <c r="F2157" t="s">
        <v>1784</v>
      </c>
      <c r="G2157" t="s">
        <v>400</v>
      </c>
      <c r="H2157" t="str">
        <f>VLOOKUP(record[[#This Row],[ProcessSN]],表格2_7[],2,FALSE)</f>
        <v>30-4118-018-550</v>
      </c>
      <c r="I2157" t="str">
        <f>VLOOKUP(record[[#This Row],[ProcessSN]],表格2_7[],3,FALSE)</f>
        <v>#100</v>
      </c>
      <c r="J2157" t="s">
        <v>598</v>
      </c>
      <c r="K2157" s="195">
        <v>46125.618958333333</v>
      </c>
      <c r="L2157">
        <v>274</v>
      </c>
      <c r="M2157">
        <v>0</v>
      </c>
      <c r="N2157" s="98" t="str">
        <f>IF(record[[#This Row],[Memo]]="Browser:chrome os:android","平板報工",IF(record[[#This Row],[Memo]]=0,"委外",record[[#This Row],[Memo]]))</f>
        <v/>
      </c>
      <c r="O2157" t="s">
        <v>58</v>
      </c>
      <c r="P2157" t="s">
        <v>141</v>
      </c>
      <c r="Q2157" t="s">
        <v>58</v>
      </c>
      <c r="R2157" t="str">
        <f>IFERROR(VLOOKUP(record[[#This Row],[PCUSTID]],廠商[],2,FALSE),"")</f>
        <v/>
      </c>
      <c r="S2157" t="str">
        <f>VLOOKUP(record[[#This Row],[employeeID]],員工[],2,FALSE)</f>
        <v>蔣梅</v>
      </c>
    </row>
    <row r="2158" spans="6:19" hidden="1" x14ac:dyDescent="0.25">
      <c r="F2158" t="s">
        <v>1784</v>
      </c>
      <c r="G2158" t="s">
        <v>399</v>
      </c>
      <c r="H2158" t="str">
        <f>VLOOKUP(record[[#This Row],[ProcessSN]],表格2_7[],2,FALSE)</f>
        <v>30-4118-018-550</v>
      </c>
      <c r="I2158" t="str">
        <f>VLOOKUP(record[[#This Row],[ProcessSN]],表格2_7[],3,FALSE)</f>
        <v>#08IQC</v>
      </c>
      <c r="J2158" t="s">
        <v>583</v>
      </c>
      <c r="K2158" s="195">
        <v>46125.61515046296</v>
      </c>
      <c r="L2158">
        <v>630</v>
      </c>
      <c r="M2158">
        <v>0</v>
      </c>
      <c r="N2158" s="98" t="str">
        <f>IF(record[[#This Row],[Memo]]="Browser:chrome os:android","平板報工",IF(record[[#This Row],[Memo]]=0,"委外",record[[#This Row],[Memo]]))</f>
        <v/>
      </c>
      <c r="O2158" t="s">
        <v>58</v>
      </c>
      <c r="P2158" t="s">
        <v>109</v>
      </c>
      <c r="Q2158" t="s">
        <v>58</v>
      </c>
      <c r="R2158" t="str">
        <f>IFERROR(VLOOKUP(record[[#This Row],[PCUSTID]],廠商[],2,FALSE),"")</f>
        <v/>
      </c>
      <c r="S2158" t="str">
        <f>VLOOKUP(record[[#This Row],[employeeID]],員工[],2,FALSE)</f>
        <v>裴氏璧鳳</v>
      </c>
    </row>
    <row r="2159" spans="6:19" hidden="1" x14ac:dyDescent="0.25">
      <c r="F2159" t="s">
        <v>1719</v>
      </c>
      <c r="G2159" t="s">
        <v>357</v>
      </c>
      <c r="H2159" t="str">
        <f>VLOOKUP(record[[#This Row],[ProcessSN]],表格2_7[],2,FALSE)</f>
        <v>30-4118-018-450</v>
      </c>
      <c r="I2159" t="str">
        <f>VLOOKUP(record[[#This Row],[ProcessSN]],表格2_7[],3,FALSE)</f>
        <v>#08RCV</v>
      </c>
      <c r="J2159" t="s">
        <v>591</v>
      </c>
      <c r="K2159" s="195">
        <v>46125.614675925928</v>
      </c>
      <c r="L2159">
        <v>0</v>
      </c>
      <c r="M2159">
        <v>2</v>
      </c>
      <c r="N2159" s="98" t="str">
        <f>IF(record[[#This Row],[Memo]]="Browser:chrome os:android","平板報工",IF(record[[#This Row],[Memo]]=0,"委外",record[[#This Row],[Memo]]))</f>
        <v>覆回</v>
      </c>
      <c r="O2159" t="s">
        <v>682</v>
      </c>
      <c r="P2159" t="s">
        <v>186</v>
      </c>
      <c r="Q2159" t="s">
        <v>58</v>
      </c>
      <c r="R2159" t="str">
        <f>IFERROR(VLOOKUP(record[[#This Row],[PCUSTID]],廠商[],2,FALSE),"")</f>
        <v/>
      </c>
      <c r="S2159" t="str">
        <f>VLOOKUP(record[[#This Row],[employeeID]],員工[],2,FALSE)</f>
        <v>許文姍</v>
      </c>
    </row>
    <row r="2160" spans="6:19" hidden="1" x14ac:dyDescent="0.25">
      <c r="F2160" t="s">
        <v>1719</v>
      </c>
      <c r="G2160" t="s">
        <v>357</v>
      </c>
      <c r="H2160" t="str">
        <f>VLOOKUP(record[[#This Row],[ProcessSN]],表格2_7[],2,FALSE)</f>
        <v>30-4118-018-450</v>
      </c>
      <c r="I2160" t="str">
        <f>VLOOKUP(record[[#This Row],[ProcessSN]],表格2_7[],3,FALSE)</f>
        <v>#08RCV</v>
      </c>
      <c r="J2160" t="s">
        <v>591</v>
      </c>
      <c r="K2160" s="195">
        <v>46125.614212962966</v>
      </c>
      <c r="L2160">
        <v>1</v>
      </c>
      <c r="M2160">
        <v>0</v>
      </c>
      <c r="N2160" s="98" t="str">
        <f>IF(record[[#This Row],[Memo]]="Browser:chrome os:android","平板報工",IF(record[[#This Row],[Memo]]=0,"委外",record[[#This Row],[Memo]]))</f>
        <v>覆回</v>
      </c>
      <c r="O2160" t="s">
        <v>682</v>
      </c>
      <c r="P2160" t="s">
        <v>186</v>
      </c>
      <c r="Q2160" t="s">
        <v>58</v>
      </c>
      <c r="R2160" t="str">
        <f>IFERROR(VLOOKUP(record[[#This Row],[PCUSTID]],廠商[],2,FALSE),"")</f>
        <v/>
      </c>
      <c r="S2160" t="str">
        <f>VLOOKUP(record[[#This Row],[employeeID]],員工[],2,FALSE)</f>
        <v>許文姍</v>
      </c>
    </row>
    <row r="2161" spans="6:19" hidden="1" x14ac:dyDescent="0.25">
      <c r="F2161" t="s">
        <v>1773</v>
      </c>
      <c r="G2161" t="s">
        <v>400</v>
      </c>
      <c r="H2161" t="str">
        <f>VLOOKUP(record[[#This Row],[ProcessSN]],表格2_7[],2,FALSE)</f>
        <v>30-4118-018-550</v>
      </c>
      <c r="I2161" t="str">
        <f>VLOOKUP(record[[#This Row],[ProcessSN]],表格2_7[],3,FALSE)</f>
        <v>#100</v>
      </c>
      <c r="J2161" t="s">
        <v>598</v>
      </c>
      <c r="K2161" s="195">
        <v>46125.589699074073</v>
      </c>
      <c r="L2161">
        <v>127</v>
      </c>
      <c r="M2161">
        <v>0</v>
      </c>
      <c r="N2161" s="98" t="str">
        <f>IF(record[[#This Row],[Memo]]="Browser:chrome os:android","平板報工",IF(record[[#This Row],[Memo]]=0,"委外",record[[#This Row],[Memo]]))</f>
        <v/>
      </c>
      <c r="O2161" t="s">
        <v>58</v>
      </c>
      <c r="P2161" t="s">
        <v>103</v>
      </c>
      <c r="Q2161" t="s">
        <v>58</v>
      </c>
      <c r="R2161" t="str">
        <f>IFERROR(VLOOKUP(record[[#This Row],[PCUSTID]],廠商[],2,FALSE),"")</f>
        <v/>
      </c>
      <c r="S2161" t="str">
        <f>VLOOKUP(record[[#This Row],[employeeID]],員工[],2,FALSE)</f>
        <v>黎秋水</v>
      </c>
    </row>
    <row r="2162" spans="6:19" hidden="1" x14ac:dyDescent="0.25">
      <c r="F2162" t="s">
        <v>1762</v>
      </c>
      <c r="G2162" t="s">
        <v>400</v>
      </c>
      <c r="H2162" t="str">
        <f>VLOOKUP(record[[#This Row],[ProcessSN]],表格2_7[],2,FALSE)</f>
        <v>30-4118-018-550</v>
      </c>
      <c r="I2162" t="str">
        <f>VLOOKUP(record[[#This Row],[ProcessSN]],表格2_7[],3,FALSE)</f>
        <v>#100</v>
      </c>
      <c r="J2162" t="s">
        <v>598</v>
      </c>
      <c r="K2162" s="195">
        <v>46125.588761574072</v>
      </c>
      <c r="L2162">
        <v>159</v>
      </c>
      <c r="M2162">
        <v>0</v>
      </c>
      <c r="N2162" s="98" t="str">
        <f>IF(record[[#This Row],[Memo]]="Browser:chrome os:android","平板報工",IF(record[[#This Row],[Memo]]=0,"委外",record[[#This Row],[Memo]]))</f>
        <v/>
      </c>
      <c r="O2162" t="s">
        <v>58</v>
      </c>
      <c r="P2162" t="s">
        <v>103</v>
      </c>
      <c r="Q2162" t="s">
        <v>58</v>
      </c>
      <c r="R2162" t="str">
        <f>IFERROR(VLOOKUP(record[[#This Row],[PCUSTID]],廠商[],2,FALSE),"")</f>
        <v/>
      </c>
      <c r="S2162" t="str">
        <f>VLOOKUP(record[[#This Row],[employeeID]],員工[],2,FALSE)</f>
        <v>黎秋水</v>
      </c>
    </row>
    <row r="2163" spans="6:19" hidden="1" x14ac:dyDescent="0.25">
      <c r="F2163" t="s">
        <v>1729</v>
      </c>
      <c r="G2163" t="s">
        <v>400</v>
      </c>
      <c r="H2163" t="str">
        <f>VLOOKUP(record[[#This Row],[ProcessSN]],表格2_7[],2,FALSE)</f>
        <v>30-4118-018-550</v>
      </c>
      <c r="I2163" t="str">
        <f>VLOOKUP(record[[#This Row],[ProcessSN]],表格2_7[],3,FALSE)</f>
        <v>#100</v>
      </c>
      <c r="J2163" t="s">
        <v>598</v>
      </c>
      <c r="K2163" s="195">
        <v>46125.587847222225</v>
      </c>
      <c r="L2163">
        <v>145</v>
      </c>
      <c r="M2163">
        <v>0</v>
      </c>
      <c r="N2163" s="98" t="str">
        <f>IF(record[[#This Row],[Memo]]="Browser:chrome os:android","平板報工",IF(record[[#This Row],[Memo]]=0,"委外",record[[#This Row],[Memo]]))</f>
        <v/>
      </c>
      <c r="O2163" t="s">
        <v>58</v>
      </c>
      <c r="P2163" t="s">
        <v>103</v>
      </c>
      <c r="Q2163" t="s">
        <v>58</v>
      </c>
      <c r="R2163" t="str">
        <f>IFERROR(VLOOKUP(record[[#This Row],[PCUSTID]],廠商[],2,FALSE),"")</f>
        <v/>
      </c>
      <c r="S2163" t="str">
        <f>VLOOKUP(record[[#This Row],[employeeID]],員工[],2,FALSE)</f>
        <v>黎秋水</v>
      </c>
    </row>
    <row r="2164" spans="6:19" hidden="1" x14ac:dyDescent="0.25">
      <c r="F2164" t="s">
        <v>1655</v>
      </c>
      <c r="G2164" t="s">
        <v>467</v>
      </c>
      <c r="H2164" t="str">
        <f>VLOOKUP(record[[#This Row],[ProcessSN]],表格2_7[],2,FALSE)</f>
        <v>30-4118-018-XXX</v>
      </c>
      <c r="I2164" t="str">
        <f>VLOOKUP(record[[#This Row],[ProcessSN]],表格2_7[],3,FALSE)</f>
        <v>#01QC</v>
      </c>
      <c r="J2164" t="s">
        <v>589</v>
      </c>
      <c r="K2164" s="195">
        <v>46125.564340277779</v>
      </c>
      <c r="L2164">
        <v>1471</v>
      </c>
      <c r="M2164">
        <v>0</v>
      </c>
      <c r="N2164" s="98" t="str">
        <f>IF(record[[#This Row],[Memo]]="Browser:chrome os:android","平板報工",IF(record[[#This Row],[Memo]]=0,"委外",record[[#This Row],[Memo]]))</f>
        <v/>
      </c>
      <c r="O2164" t="s">
        <v>58</v>
      </c>
      <c r="P2164" t="s">
        <v>182</v>
      </c>
      <c r="Q2164" t="s">
        <v>58</v>
      </c>
      <c r="R2164" t="str">
        <f>IFERROR(VLOOKUP(record[[#This Row],[PCUSTID]],廠商[],2,FALSE),"")</f>
        <v/>
      </c>
      <c r="S2164" t="str">
        <f>VLOOKUP(record[[#This Row],[employeeID]],員工[],2,FALSE)</f>
        <v>梅氏和</v>
      </c>
    </row>
    <row r="2165" spans="6:19" hidden="1" x14ac:dyDescent="0.25">
      <c r="F2165" t="s">
        <v>1655</v>
      </c>
      <c r="G2165" t="s">
        <v>468</v>
      </c>
      <c r="H2165" t="str">
        <f>VLOOKUP(record[[#This Row],[ProcessSN]],表格2_7[],2,FALSE)</f>
        <v>30-4118-018-XXX</v>
      </c>
      <c r="I2165" t="str">
        <f>VLOOKUP(record[[#This Row],[ProcessSN]],表格2_7[],3,FALSE)</f>
        <v>#02</v>
      </c>
      <c r="J2165" t="s">
        <v>590</v>
      </c>
      <c r="K2165" s="195">
        <v>46125.563773148147</v>
      </c>
      <c r="L2165">
        <v>1471</v>
      </c>
      <c r="M2165">
        <v>0</v>
      </c>
      <c r="N2165" s="98" t="str">
        <f>IF(record[[#This Row],[Memo]]="Browser:chrome os:android","平板報工",IF(record[[#This Row],[Memo]]=0,"委外",record[[#This Row],[Memo]]))</f>
        <v/>
      </c>
      <c r="O2165" t="s">
        <v>58</v>
      </c>
      <c r="P2165" t="s">
        <v>186</v>
      </c>
      <c r="Q2165" t="s">
        <v>58</v>
      </c>
      <c r="R2165" t="str">
        <f>IFERROR(VLOOKUP(record[[#This Row],[PCUSTID]],廠商[],2,FALSE),"")</f>
        <v/>
      </c>
      <c r="S2165" t="str">
        <f>VLOOKUP(record[[#This Row],[employeeID]],員工[],2,FALSE)</f>
        <v>許文姍</v>
      </c>
    </row>
    <row r="2166" spans="6:19" hidden="1" x14ac:dyDescent="0.25">
      <c r="F2166" t="s">
        <v>1794</v>
      </c>
      <c r="G2166" t="s">
        <v>413</v>
      </c>
      <c r="H2166" t="str">
        <f>VLOOKUP(record[[#This Row],[ProcessSN]],表格2_7[],2,FALSE)</f>
        <v>30-4118-018-5XX</v>
      </c>
      <c r="I2166" t="str">
        <f>VLOOKUP(record[[#This Row],[ProcessSN]],表格2_7[],3,FALSE)</f>
        <v>#03GIVE</v>
      </c>
      <c r="J2166" t="s">
        <v>587</v>
      </c>
      <c r="K2166" s="195">
        <v>46125.481863425928</v>
      </c>
      <c r="L2166">
        <v>828</v>
      </c>
      <c r="M2166">
        <v>0</v>
      </c>
      <c r="N2166" s="98" t="str">
        <f>IF(record[[#This Row],[Memo]]="Browser:chrome os:android","平板報工",IF(record[[#This Row],[Memo]]=0,"委外",record[[#This Row],[Memo]]))</f>
        <v/>
      </c>
      <c r="O2166" t="s">
        <v>58</v>
      </c>
      <c r="P2166" t="s">
        <v>1698</v>
      </c>
      <c r="Q2166" t="s">
        <v>58</v>
      </c>
      <c r="R2166" t="str">
        <f>IFERROR(VLOOKUP(record[[#This Row],[PCUSTID]],廠商[],2,FALSE),"")</f>
        <v/>
      </c>
      <c r="S2166" t="str">
        <f>VLOOKUP(record[[#This Row],[employeeID]],員工[],2,FALSE)</f>
        <v>羅思潔</v>
      </c>
    </row>
    <row r="2167" spans="6:19" hidden="1" x14ac:dyDescent="0.25">
      <c r="F2167" t="s">
        <v>1794</v>
      </c>
      <c r="G2167" t="s">
        <v>412</v>
      </c>
      <c r="H2167" t="str">
        <f>VLOOKUP(record[[#This Row],[ProcessSN]],表格2_7[],2,FALSE)</f>
        <v>30-4118-018-5XX</v>
      </c>
      <c r="I2167" t="str">
        <f>VLOOKUP(record[[#This Row],[ProcessSN]],表格2_7[],3,FALSE)</f>
        <v>#03PICK</v>
      </c>
      <c r="J2167" t="s">
        <v>582</v>
      </c>
      <c r="K2167" s="195">
        <v>46125.461608796293</v>
      </c>
      <c r="L2167">
        <v>828</v>
      </c>
      <c r="M2167">
        <v>0</v>
      </c>
      <c r="N2167" s="98" t="str">
        <f>IF(record[[#This Row],[Memo]]="Browser:chrome os:android","平板報工",IF(record[[#This Row],[Memo]]=0,"委外",record[[#This Row],[Memo]]))</f>
        <v/>
      </c>
      <c r="O2167" t="s">
        <v>58</v>
      </c>
      <c r="P2167" t="s">
        <v>1698</v>
      </c>
      <c r="Q2167" t="s">
        <v>58</v>
      </c>
      <c r="R2167" t="str">
        <f>IFERROR(VLOOKUP(record[[#This Row],[PCUSTID]],廠商[],2,FALSE),"")</f>
        <v/>
      </c>
      <c r="S2167" t="str">
        <f>VLOOKUP(record[[#This Row],[employeeID]],員工[],2,FALSE)</f>
        <v>羅思潔</v>
      </c>
    </row>
    <row r="2168" spans="6:19" hidden="1" x14ac:dyDescent="0.25">
      <c r="F2168" t="s">
        <v>1784</v>
      </c>
      <c r="G2168" t="s">
        <v>398</v>
      </c>
      <c r="H2168" t="str">
        <f>VLOOKUP(record[[#This Row],[ProcessSN]],表格2_7[],2,FALSE)</f>
        <v>30-4118-018-550</v>
      </c>
      <c r="I2168" t="str">
        <f>VLOOKUP(record[[#This Row],[ProcessSN]],表格2_7[],3,FALSE)</f>
        <v>#08RCV</v>
      </c>
      <c r="J2168" t="s">
        <v>591</v>
      </c>
      <c r="K2168" s="195">
        <v>46125.451423611114</v>
      </c>
      <c r="L2168">
        <v>630</v>
      </c>
      <c r="M2168">
        <v>0</v>
      </c>
      <c r="N2168" s="98" t="str">
        <f>IF(record[[#This Row],[Memo]]="Browser:chrome os:android","平板報工",IF(record[[#This Row],[Memo]]=0,"委外",record[[#This Row],[Memo]]))</f>
        <v/>
      </c>
      <c r="O2168" t="s">
        <v>58</v>
      </c>
      <c r="P2168" t="s">
        <v>186</v>
      </c>
      <c r="Q2168" t="s">
        <v>58</v>
      </c>
      <c r="R2168" t="str">
        <f>IFERROR(VLOOKUP(record[[#This Row],[PCUSTID]],廠商[],2,FALSE),"")</f>
        <v/>
      </c>
      <c r="S2168" t="str">
        <f>VLOOKUP(record[[#This Row],[employeeID]],員工[],2,FALSE)</f>
        <v>許文姍</v>
      </c>
    </row>
    <row r="2169" spans="6:19" hidden="1" x14ac:dyDescent="0.25">
      <c r="F2169" t="s">
        <v>1655</v>
      </c>
      <c r="G2169" t="s">
        <v>469</v>
      </c>
      <c r="H2169" t="str">
        <f>VLOOKUP(record[[#This Row],[ProcessSN]],表格2_7[],2,FALSE)</f>
        <v>30-4118-018-XXX</v>
      </c>
      <c r="I2169" t="str">
        <f>VLOOKUP(record[[#This Row],[ProcessSN]],表格2_7[],3,FALSE)</f>
        <v>#02RCV</v>
      </c>
      <c r="J2169" t="s">
        <v>591</v>
      </c>
      <c r="K2169" s="195">
        <v>46125.386354166665</v>
      </c>
      <c r="L2169">
        <v>1510</v>
      </c>
      <c r="M2169">
        <v>0</v>
      </c>
      <c r="N2169" s="98" t="str">
        <f>IF(record[[#This Row],[Memo]]="Browser:chrome os:android","平板報工",IF(record[[#This Row],[Memo]]=0,"委外",record[[#This Row],[Memo]]))</f>
        <v/>
      </c>
      <c r="O2169" t="s">
        <v>58</v>
      </c>
      <c r="P2169" t="s">
        <v>186</v>
      </c>
      <c r="Q2169" t="s">
        <v>58</v>
      </c>
      <c r="R2169" t="str">
        <f>IFERROR(VLOOKUP(record[[#This Row],[PCUSTID]],廠商[],2,FALSE),"")</f>
        <v/>
      </c>
      <c r="S2169" t="str">
        <f>VLOOKUP(record[[#This Row],[employeeID]],員工[],2,FALSE)</f>
        <v>許文姍</v>
      </c>
    </row>
    <row r="2170" spans="6:19" hidden="1" x14ac:dyDescent="0.25">
      <c r="F2170" t="s">
        <v>1655</v>
      </c>
      <c r="G2170" t="s">
        <v>469</v>
      </c>
      <c r="H2170" t="str">
        <f>VLOOKUP(record[[#This Row],[ProcessSN]],表格2_7[],2,FALSE)</f>
        <v>30-4118-018-XXX</v>
      </c>
      <c r="I2170" t="str">
        <f>VLOOKUP(record[[#This Row],[ProcessSN]],表格2_7[],3,FALSE)</f>
        <v>#02RCV</v>
      </c>
      <c r="J2170" t="s">
        <v>591</v>
      </c>
      <c r="K2170" s="195">
        <v>46125.385787037034</v>
      </c>
      <c r="L2170">
        <v>0</v>
      </c>
      <c r="M2170">
        <v>1</v>
      </c>
      <c r="N2170" s="98" t="str">
        <f>IF(record[[#This Row],[Memo]]="Browser:chrome os:android","平板報工",IF(record[[#This Row],[Memo]]=0,"委外",record[[#This Row],[Memo]]))</f>
        <v/>
      </c>
      <c r="O2170" t="s">
        <v>58</v>
      </c>
      <c r="P2170" t="s">
        <v>186</v>
      </c>
      <c r="Q2170" t="s">
        <v>58</v>
      </c>
      <c r="R2170" t="str">
        <f>IFERROR(VLOOKUP(record[[#This Row],[PCUSTID]],廠商[],2,FALSE),"")</f>
        <v/>
      </c>
      <c r="S2170" t="str">
        <f>VLOOKUP(record[[#This Row],[employeeID]],員工[],2,FALSE)</f>
        <v>許文姍</v>
      </c>
    </row>
    <row r="2171" spans="6:19" hidden="1" x14ac:dyDescent="0.25">
      <c r="F2171" t="s">
        <v>1772</v>
      </c>
      <c r="G2171" t="s">
        <v>468</v>
      </c>
      <c r="H2171" t="str">
        <f>VLOOKUP(record[[#This Row],[ProcessSN]],表格2_7[],2,FALSE)</f>
        <v>30-4118-018-XXX</v>
      </c>
      <c r="I2171" t="str">
        <f>VLOOKUP(record[[#This Row],[ProcessSN]],表格2_7[],3,FALSE)</f>
        <v>#02</v>
      </c>
      <c r="J2171" t="s">
        <v>590</v>
      </c>
      <c r="K2171" s="195">
        <v>46125.377384259256</v>
      </c>
      <c r="L2171">
        <v>97</v>
      </c>
      <c r="M2171">
        <v>0</v>
      </c>
      <c r="N2171" s="98" t="str">
        <f>IF(record[[#This Row],[Memo]]="Browser:chrome os:android","平板報工",IF(record[[#This Row],[Memo]]=0,"委外",record[[#This Row],[Memo]]))</f>
        <v>委外</v>
      </c>
      <c r="P2171" t="s">
        <v>186</v>
      </c>
      <c r="Q2171" t="s">
        <v>216</v>
      </c>
      <c r="R2171" t="str">
        <f>IFERROR(VLOOKUP(record[[#This Row],[PCUSTID]],廠商[],2,FALSE),"")</f>
        <v>俊杰</v>
      </c>
      <c r="S2171" t="str">
        <f>VLOOKUP(record[[#This Row],[employeeID]],員工[],2,FALSE)</f>
        <v>許文姍</v>
      </c>
    </row>
    <row r="2172" spans="6:19" hidden="1" x14ac:dyDescent="0.25">
      <c r="F2172" t="s">
        <v>1602</v>
      </c>
      <c r="G2172" t="s">
        <v>468</v>
      </c>
      <c r="H2172" t="str">
        <f>VLOOKUP(record[[#This Row],[ProcessSN]],表格2_7[],2,FALSE)</f>
        <v>30-4118-018-XXX</v>
      </c>
      <c r="I2172" t="str">
        <f>VLOOKUP(record[[#This Row],[ProcessSN]],表格2_7[],3,FALSE)</f>
        <v>#02</v>
      </c>
      <c r="J2172" t="s">
        <v>590</v>
      </c>
      <c r="K2172" s="195">
        <v>46125.377280092594</v>
      </c>
      <c r="L2172">
        <v>27</v>
      </c>
      <c r="M2172">
        <v>0</v>
      </c>
      <c r="N2172" s="98" t="str">
        <f>IF(record[[#This Row],[Memo]]="Browser:chrome os:android","平板報工",IF(record[[#This Row],[Memo]]=0,"委外",record[[#This Row],[Memo]]))</f>
        <v>委外</v>
      </c>
      <c r="P2172" t="s">
        <v>186</v>
      </c>
      <c r="Q2172" t="s">
        <v>216</v>
      </c>
      <c r="R2172" t="str">
        <f>IFERROR(VLOOKUP(record[[#This Row],[PCUSTID]],廠商[],2,FALSE),"")</f>
        <v>俊杰</v>
      </c>
      <c r="S2172" t="str">
        <f>VLOOKUP(record[[#This Row],[employeeID]],員工[],2,FALSE)</f>
        <v>許文姍</v>
      </c>
    </row>
    <row r="2173" spans="6:19" hidden="1" x14ac:dyDescent="0.25">
      <c r="F2173" t="s">
        <v>1772</v>
      </c>
      <c r="G2173" t="s">
        <v>467</v>
      </c>
      <c r="H2173" t="str">
        <f>VLOOKUP(record[[#This Row],[ProcessSN]],表格2_7[],2,FALSE)</f>
        <v>30-4118-018-XXX</v>
      </c>
      <c r="I2173" t="str">
        <f>VLOOKUP(record[[#This Row],[ProcessSN]],表格2_7[],3,FALSE)</f>
        <v>#01QC</v>
      </c>
      <c r="J2173" t="s">
        <v>589</v>
      </c>
      <c r="K2173" s="195">
        <v>46125.376701388886</v>
      </c>
      <c r="L2173">
        <v>97</v>
      </c>
      <c r="M2173">
        <v>0</v>
      </c>
      <c r="N2173" s="98" t="str">
        <f>IF(record[[#This Row],[Memo]]="Browser:chrome os:android","平板報工",IF(record[[#This Row],[Memo]]=0,"委外",record[[#This Row],[Memo]]))</f>
        <v/>
      </c>
      <c r="O2173" t="s">
        <v>58</v>
      </c>
      <c r="P2173" t="s">
        <v>182</v>
      </c>
      <c r="Q2173" t="s">
        <v>58</v>
      </c>
      <c r="R2173" t="str">
        <f>IFERROR(VLOOKUP(record[[#This Row],[PCUSTID]],廠商[],2,FALSE),"")</f>
        <v/>
      </c>
      <c r="S2173" t="str">
        <f>VLOOKUP(record[[#This Row],[employeeID]],員工[],2,FALSE)</f>
        <v>梅氏和</v>
      </c>
    </row>
    <row r="2174" spans="6:19" hidden="1" x14ac:dyDescent="0.25">
      <c r="F2174" t="s">
        <v>1602</v>
      </c>
      <c r="G2174" t="s">
        <v>467</v>
      </c>
      <c r="H2174" t="str">
        <f>VLOOKUP(record[[#This Row],[ProcessSN]],表格2_7[],2,FALSE)</f>
        <v>30-4118-018-XXX</v>
      </c>
      <c r="I2174" t="str">
        <f>VLOOKUP(record[[#This Row],[ProcessSN]],表格2_7[],3,FALSE)</f>
        <v>#01QC</v>
      </c>
      <c r="J2174" t="s">
        <v>589</v>
      </c>
      <c r="K2174" s="195">
        <v>46125.376597222225</v>
      </c>
      <c r="L2174">
        <v>27</v>
      </c>
      <c r="M2174">
        <v>0</v>
      </c>
      <c r="N2174" s="98" t="str">
        <f>IF(record[[#This Row],[Memo]]="Browser:chrome os:android","平板報工",IF(record[[#This Row],[Memo]]=0,"委外",record[[#This Row],[Memo]]))</f>
        <v/>
      </c>
      <c r="O2174" t="s">
        <v>58</v>
      </c>
      <c r="P2174" t="s">
        <v>182</v>
      </c>
      <c r="Q2174" t="s">
        <v>58</v>
      </c>
      <c r="R2174" t="str">
        <f>IFERROR(VLOOKUP(record[[#This Row],[PCUSTID]],廠商[],2,FALSE),"")</f>
        <v/>
      </c>
      <c r="S2174" t="str">
        <f>VLOOKUP(record[[#This Row],[employeeID]],員工[],2,FALSE)</f>
        <v>梅氏和</v>
      </c>
    </row>
    <row r="2175" spans="6:19" hidden="1" x14ac:dyDescent="0.25">
      <c r="F2175" t="s">
        <v>1772</v>
      </c>
      <c r="G2175" t="s">
        <v>466</v>
      </c>
      <c r="H2175" t="str">
        <f>VLOOKUP(record[[#This Row],[ProcessSN]],表格2_7[],2,FALSE)</f>
        <v>30-4118-018-XXX</v>
      </c>
      <c r="I2175" t="str">
        <f>VLOOKUP(record[[#This Row],[ProcessSN]],表格2_7[],3,FALSE)</f>
        <v>#01-2</v>
      </c>
      <c r="J2175" t="s">
        <v>588</v>
      </c>
      <c r="K2175" s="195">
        <v>46125.376446759263</v>
      </c>
      <c r="L2175">
        <v>97</v>
      </c>
      <c r="M2175">
        <v>0</v>
      </c>
      <c r="N2175" s="98" t="str">
        <f>IF(record[[#This Row],[Memo]]="Browser:chrome os:android","平板報工",IF(record[[#This Row],[Memo]]=0,"委外",record[[#This Row],[Memo]]))</f>
        <v/>
      </c>
      <c r="O2175" t="s">
        <v>58</v>
      </c>
      <c r="P2175" t="s">
        <v>101</v>
      </c>
      <c r="Q2175" t="s">
        <v>58</v>
      </c>
      <c r="R2175" t="str">
        <f>IFERROR(VLOOKUP(record[[#This Row],[PCUSTID]],廠商[],2,FALSE),"")</f>
        <v/>
      </c>
      <c r="S2175" t="str">
        <f>VLOOKUP(record[[#This Row],[employeeID]],員工[],2,FALSE)</f>
        <v>陳氏絨</v>
      </c>
    </row>
    <row r="2176" spans="6:19" hidden="1" x14ac:dyDescent="0.25">
      <c r="F2176" t="s">
        <v>1772</v>
      </c>
      <c r="G2176" t="s">
        <v>465</v>
      </c>
      <c r="H2176" t="str">
        <f>VLOOKUP(record[[#This Row],[ProcessSN]],表格2_7[],2,FALSE)</f>
        <v>30-4118-018-XXX</v>
      </c>
      <c r="I2176" t="str">
        <f>VLOOKUP(record[[#This Row],[ProcessSN]],表格2_7[],3,FALSE)</f>
        <v>#01-1</v>
      </c>
      <c r="J2176" t="s">
        <v>588</v>
      </c>
      <c r="K2176" s="195">
        <v>46125.376331018517</v>
      </c>
      <c r="L2176">
        <v>97</v>
      </c>
      <c r="M2176">
        <v>0</v>
      </c>
      <c r="N2176" s="98" t="str">
        <f>IF(record[[#This Row],[Memo]]="Browser:chrome os:android","平板報工",IF(record[[#This Row],[Memo]]=0,"委外",record[[#This Row],[Memo]]))</f>
        <v/>
      </c>
      <c r="O2176" t="s">
        <v>58</v>
      </c>
      <c r="P2176" t="s">
        <v>101</v>
      </c>
      <c r="Q2176" t="s">
        <v>58</v>
      </c>
      <c r="R2176" t="str">
        <f>IFERROR(VLOOKUP(record[[#This Row],[PCUSTID]],廠商[],2,FALSE),"")</f>
        <v/>
      </c>
      <c r="S2176" t="str">
        <f>VLOOKUP(record[[#This Row],[employeeID]],員工[],2,FALSE)</f>
        <v>陳氏絨</v>
      </c>
    </row>
    <row r="2177" spans="6:19" hidden="1" x14ac:dyDescent="0.25">
      <c r="F2177" t="s">
        <v>1602</v>
      </c>
      <c r="G2177" t="s">
        <v>466</v>
      </c>
      <c r="H2177" t="str">
        <f>VLOOKUP(record[[#This Row],[ProcessSN]],表格2_7[],2,FALSE)</f>
        <v>30-4118-018-XXX</v>
      </c>
      <c r="I2177" t="str">
        <f>VLOOKUP(record[[#This Row],[ProcessSN]],表格2_7[],3,FALSE)</f>
        <v>#01-2</v>
      </c>
      <c r="J2177" t="s">
        <v>588</v>
      </c>
      <c r="K2177" s="195">
        <v>46125.376168981478</v>
      </c>
      <c r="L2177">
        <v>27</v>
      </c>
      <c r="M2177">
        <v>0</v>
      </c>
      <c r="N2177" s="98" t="str">
        <f>IF(record[[#This Row],[Memo]]="Browser:chrome os:android","平板報工",IF(record[[#This Row],[Memo]]=0,"委外",record[[#This Row],[Memo]]))</f>
        <v/>
      </c>
      <c r="O2177" t="s">
        <v>58</v>
      </c>
      <c r="P2177" t="s">
        <v>101</v>
      </c>
      <c r="Q2177" t="s">
        <v>58</v>
      </c>
      <c r="R2177" t="str">
        <f>IFERROR(VLOOKUP(record[[#This Row],[PCUSTID]],廠商[],2,FALSE),"")</f>
        <v/>
      </c>
      <c r="S2177" t="str">
        <f>VLOOKUP(record[[#This Row],[employeeID]],員工[],2,FALSE)</f>
        <v>陳氏絨</v>
      </c>
    </row>
    <row r="2178" spans="6:19" hidden="1" x14ac:dyDescent="0.25">
      <c r="F2178" t="s">
        <v>1602</v>
      </c>
      <c r="G2178" t="s">
        <v>465</v>
      </c>
      <c r="H2178" t="str">
        <f>VLOOKUP(record[[#This Row],[ProcessSN]],表格2_7[],2,FALSE)</f>
        <v>30-4118-018-XXX</v>
      </c>
      <c r="I2178" t="str">
        <f>VLOOKUP(record[[#This Row],[ProcessSN]],表格2_7[],3,FALSE)</f>
        <v>#01-1</v>
      </c>
      <c r="J2178" t="s">
        <v>588</v>
      </c>
      <c r="K2178" s="195">
        <v>46125.376030092593</v>
      </c>
      <c r="L2178">
        <v>27</v>
      </c>
      <c r="M2178">
        <v>0</v>
      </c>
      <c r="N2178" s="98" t="str">
        <f>IF(record[[#This Row],[Memo]]="Browser:chrome os:android","平板報工",IF(record[[#This Row],[Memo]]=0,"委外",record[[#This Row],[Memo]]))</f>
        <v/>
      </c>
      <c r="O2178" t="s">
        <v>58</v>
      </c>
      <c r="P2178" t="s">
        <v>101</v>
      </c>
      <c r="Q2178" t="s">
        <v>58</v>
      </c>
      <c r="R2178" t="str">
        <f>IFERROR(VLOOKUP(record[[#This Row],[PCUSTID]],廠商[],2,FALSE),"")</f>
        <v/>
      </c>
      <c r="S2178" t="str">
        <f>VLOOKUP(record[[#This Row],[employeeID]],員工[],2,FALSE)</f>
        <v>陳氏絨</v>
      </c>
    </row>
    <row r="2179" spans="6:19" hidden="1" x14ac:dyDescent="0.25">
      <c r="F2179" t="s">
        <v>1705</v>
      </c>
      <c r="G2179" t="s">
        <v>428</v>
      </c>
      <c r="H2179" t="str">
        <f>VLOOKUP(record[[#This Row],[ProcessSN]],表格2_7[],2,FALSE)</f>
        <v>30-4118-018-600</v>
      </c>
      <c r="I2179" t="str">
        <f>VLOOKUP(record[[#This Row],[ProcessSN]],表格2_7[],3,FALSE)</f>
        <v>#100SHIP</v>
      </c>
      <c r="J2179" t="s">
        <v>600</v>
      </c>
      <c r="K2179" s="195">
        <v>46125.345069444447</v>
      </c>
      <c r="L2179">
        <v>3</v>
      </c>
      <c r="M2179">
        <v>0</v>
      </c>
      <c r="N2179" s="98" t="str">
        <f>IF(record[[#This Row],[Memo]]="Browser:chrome os:android","平板報工",IF(record[[#This Row],[Memo]]=0,"委外",record[[#This Row],[Memo]]))</f>
        <v/>
      </c>
      <c r="O2179" t="s">
        <v>58</v>
      </c>
      <c r="P2179" t="s">
        <v>886</v>
      </c>
      <c r="Q2179" t="s">
        <v>58</v>
      </c>
      <c r="R2179" t="str">
        <f>IFERROR(VLOOKUP(record[[#This Row],[PCUSTID]],廠商[],2,FALSE),"")</f>
        <v/>
      </c>
      <c r="S2179" t="str">
        <f>VLOOKUP(record[[#This Row],[employeeID]],員工[],2,FALSE)</f>
        <v>謝蓁薰</v>
      </c>
    </row>
    <row r="2180" spans="6:19" hidden="1" x14ac:dyDescent="0.25">
      <c r="F2180" t="s">
        <v>1787</v>
      </c>
      <c r="G2180" t="s">
        <v>464</v>
      </c>
      <c r="H2180" t="str">
        <f>VLOOKUP(record[[#This Row],[ProcessSN]],表格2_7[],2,FALSE)</f>
        <v>30-4118-018-XXX</v>
      </c>
      <c r="I2180" t="str">
        <f>VLOOKUP(record[[#This Row],[ProcessSN]],表格2_7[],3,FALSE)</f>
        <v>#01GIVE</v>
      </c>
      <c r="J2180" t="s">
        <v>587</v>
      </c>
      <c r="K2180" s="195">
        <v>46125.339247685188</v>
      </c>
      <c r="L2180">
        <v>5000</v>
      </c>
      <c r="M2180">
        <v>0</v>
      </c>
      <c r="N2180" s="98" t="str">
        <f>IF(record[[#This Row],[Memo]]="Browser:chrome os:android","平板報工",IF(record[[#This Row],[Memo]]=0,"委外",record[[#This Row],[Memo]]))</f>
        <v/>
      </c>
      <c r="O2180" t="s">
        <v>58</v>
      </c>
      <c r="P2180" t="s">
        <v>1070</v>
      </c>
      <c r="Q2180" t="s">
        <v>58</v>
      </c>
      <c r="R2180" t="str">
        <f>IFERROR(VLOOKUP(record[[#This Row],[PCUSTID]],廠商[],2,FALSE),"")</f>
        <v/>
      </c>
      <c r="S2180" t="str">
        <f>VLOOKUP(record[[#This Row],[employeeID]],員工[],2,FALSE)</f>
        <v>陳昱佑</v>
      </c>
    </row>
    <row r="2181" spans="6:19" hidden="1" x14ac:dyDescent="0.25">
      <c r="F2181" t="s">
        <v>1772</v>
      </c>
      <c r="G2181" t="s">
        <v>464</v>
      </c>
      <c r="H2181" t="str">
        <f>VLOOKUP(record[[#This Row],[ProcessSN]],表格2_7[],2,FALSE)</f>
        <v>30-4118-018-XXX</v>
      </c>
      <c r="I2181" t="str">
        <f>VLOOKUP(record[[#This Row],[ProcessSN]],表格2_7[],3,FALSE)</f>
        <v>#01GIVE</v>
      </c>
      <c r="J2181" t="s">
        <v>587</v>
      </c>
      <c r="K2181" s="195">
        <v>46125.338993055557</v>
      </c>
      <c r="L2181">
        <v>3200</v>
      </c>
      <c r="M2181">
        <v>0</v>
      </c>
      <c r="N2181" s="98" t="str">
        <f>IF(record[[#This Row],[Memo]]="Browser:chrome os:android","平板報工",IF(record[[#This Row],[Memo]]=0,"委外",record[[#This Row],[Memo]]))</f>
        <v/>
      </c>
      <c r="O2181" t="s">
        <v>58</v>
      </c>
      <c r="P2181" t="s">
        <v>1070</v>
      </c>
      <c r="Q2181" t="s">
        <v>58</v>
      </c>
      <c r="R2181" t="str">
        <f>IFERROR(VLOOKUP(record[[#This Row],[PCUSTID]],廠商[],2,FALSE),"")</f>
        <v/>
      </c>
      <c r="S2181" t="str">
        <f>VLOOKUP(record[[#This Row],[employeeID]],員工[],2,FALSE)</f>
        <v>陳昱佑</v>
      </c>
    </row>
    <row r="2182" spans="6:19" hidden="1" x14ac:dyDescent="0.25">
      <c r="F2182" t="s">
        <v>1782</v>
      </c>
      <c r="G2182" t="s">
        <v>417</v>
      </c>
      <c r="H2182" t="str">
        <f>VLOOKUP(record[[#This Row],[ProcessSN]],表格2_7[],2,FALSE)</f>
        <v>30-4118-018-5XX</v>
      </c>
      <c r="I2182" t="str">
        <f>VLOOKUP(record[[#This Row],[ProcessSN]],表格2_7[],3,FALSE)</f>
        <v>#06</v>
      </c>
      <c r="J2182" t="s">
        <v>593</v>
      </c>
      <c r="K2182" s="195">
        <v>46123.297303240739</v>
      </c>
      <c r="L2182">
        <v>266</v>
      </c>
      <c r="M2182">
        <v>0</v>
      </c>
      <c r="N2182" s="98" t="str">
        <f>IF(record[[#This Row],[Memo]]="Browser:chrome os:android","平板報工",IF(record[[#This Row],[Memo]]=0,"委外",record[[#This Row],[Memo]]))</f>
        <v/>
      </c>
      <c r="O2182" t="s">
        <v>58</v>
      </c>
      <c r="P2182" t="s">
        <v>691</v>
      </c>
      <c r="Q2182" t="s">
        <v>58</v>
      </c>
      <c r="R2182" t="str">
        <f>IFERROR(VLOOKUP(record[[#This Row],[PCUSTID]],廠商[],2,FALSE),"")</f>
        <v/>
      </c>
      <c r="S2182" t="str">
        <f>VLOOKUP(record[[#This Row],[employeeID]],員工[],2,FALSE)</f>
        <v>武氏賢</v>
      </c>
    </row>
    <row r="2183" spans="6:19" hidden="1" x14ac:dyDescent="0.25">
      <c r="F2183" t="s">
        <v>1782</v>
      </c>
      <c r="G2183" t="s">
        <v>416</v>
      </c>
      <c r="H2183" t="str">
        <f>VLOOKUP(record[[#This Row],[ProcessSN]],表格2_7[],2,FALSE)</f>
        <v>30-4118-018-5XX</v>
      </c>
      <c r="I2183" t="str">
        <f>VLOOKUP(record[[#This Row],[ProcessSN]],表格2_7[],3,FALSE)</f>
        <v>#05</v>
      </c>
      <c r="J2183" t="s">
        <v>588</v>
      </c>
      <c r="K2183" s="195">
        <v>46123.295752314814</v>
      </c>
      <c r="L2183">
        <v>124</v>
      </c>
      <c r="M2183">
        <v>0</v>
      </c>
      <c r="N2183" s="98" t="str">
        <f>IF(record[[#This Row],[Memo]]="Browser:chrome os:android","平板報工",IF(record[[#This Row],[Memo]]=0,"委外",record[[#This Row],[Memo]]))</f>
        <v/>
      </c>
      <c r="O2183" t="s">
        <v>58</v>
      </c>
      <c r="P2183" t="s">
        <v>843</v>
      </c>
      <c r="Q2183" t="s">
        <v>58</v>
      </c>
      <c r="R2183" t="str">
        <f>IFERROR(VLOOKUP(record[[#This Row],[PCUSTID]],廠商[],2,FALSE),"")</f>
        <v/>
      </c>
      <c r="S2183" t="str">
        <f>VLOOKUP(record[[#This Row],[employeeID]],員工[],2,FALSE)</f>
        <v>張楚承</v>
      </c>
    </row>
    <row r="2184" spans="6:19" hidden="1" x14ac:dyDescent="0.25">
      <c r="F2184" t="s">
        <v>1655</v>
      </c>
      <c r="G2184" t="s">
        <v>466</v>
      </c>
      <c r="H2184" t="str">
        <f>VLOOKUP(record[[#This Row],[ProcessSN]],表格2_7[],2,FALSE)</f>
        <v>30-4118-018-XXX</v>
      </c>
      <c r="I2184" t="str">
        <f>VLOOKUP(record[[#This Row],[ProcessSN]],表格2_7[],3,FALSE)</f>
        <v>#01-2</v>
      </c>
      <c r="J2184" t="s">
        <v>588</v>
      </c>
      <c r="K2184" s="195">
        <v>46123.295231481483</v>
      </c>
      <c r="L2184">
        <v>380</v>
      </c>
      <c r="M2184">
        <v>0</v>
      </c>
      <c r="N2184" s="98" t="str">
        <f>IF(record[[#This Row],[Memo]]="Browser:chrome os:android","平板報工",IF(record[[#This Row],[Memo]]=0,"委外",record[[#This Row],[Memo]]))</f>
        <v/>
      </c>
      <c r="O2184" t="s">
        <v>58</v>
      </c>
      <c r="P2184" t="s">
        <v>806</v>
      </c>
      <c r="Q2184" t="s">
        <v>58</v>
      </c>
      <c r="R2184" t="str">
        <f>IFERROR(VLOOKUP(record[[#This Row],[PCUSTID]],廠商[],2,FALSE),"")</f>
        <v/>
      </c>
      <c r="S2184" t="str">
        <f>VLOOKUP(record[[#This Row],[employeeID]],員工[],2,FALSE)</f>
        <v>方思緯</v>
      </c>
    </row>
    <row r="2185" spans="6:19" hidden="1" x14ac:dyDescent="0.25">
      <c r="F2185" t="s">
        <v>1655</v>
      </c>
      <c r="G2185" t="s">
        <v>465</v>
      </c>
      <c r="H2185" t="str">
        <f>VLOOKUP(record[[#This Row],[ProcessSN]],表格2_7[],2,FALSE)</f>
        <v>30-4118-018-XXX</v>
      </c>
      <c r="I2185" t="str">
        <f>VLOOKUP(record[[#This Row],[ProcessSN]],表格2_7[],3,FALSE)</f>
        <v>#01-1</v>
      </c>
      <c r="J2185" t="s">
        <v>588</v>
      </c>
      <c r="K2185" s="195">
        <v>46123.295092592591</v>
      </c>
      <c r="L2185">
        <v>52</v>
      </c>
      <c r="M2185">
        <v>0</v>
      </c>
      <c r="N2185" s="98" t="str">
        <f>IF(record[[#This Row],[Memo]]="Browser:chrome os:android","平板報工",IF(record[[#This Row],[Memo]]=0,"委外",record[[#This Row],[Memo]]))</f>
        <v/>
      </c>
      <c r="O2185" t="s">
        <v>58</v>
      </c>
      <c r="P2185" t="s">
        <v>806</v>
      </c>
      <c r="Q2185" t="s">
        <v>58</v>
      </c>
      <c r="R2185" t="str">
        <f>IFERROR(VLOOKUP(record[[#This Row],[PCUSTID]],廠商[],2,FALSE),"")</f>
        <v/>
      </c>
      <c r="S2185" t="str">
        <f>VLOOKUP(record[[#This Row],[employeeID]],員工[],2,FALSE)</f>
        <v>方思緯</v>
      </c>
    </row>
    <row r="2186" spans="6:19" hidden="1" x14ac:dyDescent="0.25">
      <c r="F2186" t="s">
        <v>1782</v>
      </c>
      <c r="G2186" t="s">
        <v>415</v>
      </c>
      <c r="H2186" t="str">
        <f>VLOOKUP(record[[#This Row],[ProcessSN]],表格2_7[],2,FALSE)</f>
        <v>30-4118-018-5XX</v>
      </c>
      <c r="I2186" t="str">
        <f>VLOOKUP(record[[#This Row],[ProcessSN]],表格2_7[],3,FALSE)</f>
        <v>#04</v>
      </c>
      <c r="J2186" t="s">
        <v>588</v>
      </c>
      <c r="K2186" s="195">
        <v>46123.294687499998</v>
      </c>
      <c r="L2186">
        <v>110</v>
      </c>
      <c r="M2186">
        <v>0</v>
      </c>
      <c r="N2186" s="98" t="str">
        <f>IF(record[[#This Row],[Memo]]="Browser:chrome os:android","平板報工",IF(record[[#This Row],[Memo]]=0,"委外",record[[#This Row],[Memo]]))</f>
        <v/>
      </c>
      <c r="O2186" t="s">
        <v>58</v>
      </c>
      <c r="P2186" t="s">
        <v>806</v>
      </c>
      <c r="Q2186" t="s">
        <v>58</v>
      </c>
      <c r="R2186" t="str">
        <f>IFERROR(VLOOKUP(record[[#This Row],[PCUSTID]],廠商[],2,FALSE),"")</f>
        <v/>
      </c>
      <c r="S2186" t="str">
        <f>VLOOKUP(record[[#This Row],[employeeID]],員工[],2,FALSE)</f>
        <v>方思緯</v>
      </c>
    </row>
    <row r="2187" spans="6:19" hidden="1" x14ac:dyDescent="0.25">
      <c r="F2187" t="s">
        <v>1782</v>
      </c>
      <c r="G2187" t="s">
        <v>416</v>
      </c>
      <c r="H2187" t="str">
        <f>VLOOKUP(record[[#This Row],[ProcessSN]],表格2_7[],2,FALSE)</f>
        <v>30-4118-018-5XX</v>
      </c>
      <c r="I2187" t="str">
        <f>VLOOKUP(record[[#This Row],[ProcessSN]],表格2_7[],3,FALSE)</f>
        <v>#05</v>
      </c>
      <c r="J2187" t="s">
        <v>588</v>
      </c>
      <c r="K2187" s="195">
        <v>46123.175081018519</v>
      </c>
      <c r="L2187">
        <v>152</v>
      </c>
      <c r="M2187">
        <v>0</v>
      </c>
      <c r="N2187" s="98" t="str">
        <f>IF(record[[#This Row],[Memo]]="Browser:chrome os:android","平板報工",IF(record[[#This Row],[Memo]]=0,"委外",record[[#This Row],[Memo]]))</f>
        <v/>
      </c>
      <c r="O2187" t="s">
        <v>58</v>
      </c>
      <c r="P2187" t="s">
        <v>1098</v>
      </c>
      <c r="Q2187" t="s">
        <v>58</v>
      </c>
      <c r="R2187" t="str">
        <f>IFERROR(VLOOKUP(record[[#This Row],[PCUSTID]],廠商[],2,FALSE),"")</f>
        <v/>
      </c>
      <c r="S2187" t="str">
        <f>VLOOKUP(record[[#This Row],[employeeID]],員工[],2,FALSE)</f>
        <v>阮氏芳英(英)</v>
      </c>
    </row>
    <row r="2188" spans="6:19" hidden="1" x14ac:dyDescent="0.25">
      <c r="F2188" t="s">
        <v>1767</v>
      </c>
      <c r="G2188" t="s">
        <v>417</v>
      </c>
      <c r="H2188" t="str">
        <f>VLOOKUP(record[[#This Row],[ProcessSN]],表格2_7[],2,FALSE)</f>
        <v>30-4118-018-5XX</v>
      </c>
      <c r="I2188" t="str">
        <f>VLOOKUP(record[[#This Row],[ProcessSN]],表格2_7[],3,FALSE)</f>
        <v>#06</v>
      </c>
      <c r="J2188" t="s">
        <v>593</v>
      </c>
      <c r="K2188" s="195">
        <v>46123.016932870371</v>
      </c>
      <c r="L2188">
        <v>104</v>
      </c>
      <c r="M2188">
        <v>0</v>
      </c>
      <c r="N2188" s="98" t="str">
        <f>IF(record[[#This Row],[Memo]]="Browser:chrome os:android","平板報工",IF(record[[#This Row],[Memo]]=0,"委外",record[[#This Row],[Memo]]))</f>
        <v/>
      </c>
      <c r="O2188" t="s">
        <v>58</v>
      </c>
      <c r="P2188" t="s">
        <v>1669</v>
      </c>
      <c r="Q2188" t="s">
        <v>58</v>
      </c>
      <c r="R2188" t="str">
        <f>IFERROR(VLOOKUP(record[[#This Row],[PCUSTID]],廠商[],2,FALSE),"")</f>
        <v/>
      </c>
      <c r="S2188" t="str">
        <f>VLOOKUP(record[[#This Row],[employeeID]],員工[],2,FALSE)</f>
        <v>武氏麗娟</v>
      </c>
    </row>
    <row r="2189" spans="6:19" hidden="1" x14ac:dyDescent="0.25">
      <c r="F2189" t="s">
        <v>1790</v>
      </c>
      <c r="G2189" t="s">
        <v>373</v>
      </c>
      <c r="H2189" t="str">
        <f>VLOOKUP(record[[#This Row],[ProcessSN]],表格2_7[],2,FALSE)</f>
        <v>30-4118-018-4XX</v>
      </c>
      <c r="I2189" t="str">
        <f>VLOOKUP(record[[#This Row],[ProcessSN]],表格2_7[],3,FALSE)</f>
        <v>#03</v>
      </c>
      <c r="J2189" t="s">
        <v>588</v>
      </c>
      <c r="K2189" s="195">
        <v>46123.006539351853</v>
      </c>
      <c r="L2189">
        <v>504</v>
      </c>
      <c r="M2189">
        <v>0</v>
      </c>
      <c r="N2189" s="98" t="str">
        <f>IF(record[[#This Row],[Memo]]="Browser:chrome os:android","平板報工",IF(record[[#This Row],[Memo]]=0,"委外",record[[#This Row],[Memo]]))</f>
        <v/>
      </c>
      <c r="O2189" t="s">
        <v>58</v>
      </c>
      <c r="P2189" t="s">
        <v>180</v>
      </c>
      <c r="Q2189" t="s">
        <v>58</v>
      </c>
      <c r="R2189" t="str">
        <f>IFERROR(VLOOKUP(record[[#This Row],[PCUSTID]],廠商[],2,FALSE),"")</f>
        <v/>
      </c>
      <c r="S2189" t="str">
        <f>VLOOKUP(record[[#This Row],[employeeID]],員工[],2,FALSE)</f>
        <v>黎功江</v>
      </c>
    </row>
    <row r="2190" spans="6:19" hidden="1" x14ac:dyDescent="0.25">
      <c r="F2190" t="s">
        <v>1782</v>
      </c>
      <c r="G2190" t="s">
        <v>415</v>
      </c>
      <c r="H2190" t="str">
        <f>VLOOKUP(record[[#This Row],[ProcessSN]],表格2_7[],2,FALSE)</f>
        <v>30-4118-018-5XX</v>
      </c>
      <c r="I2190" t="str">
        <f>VLOOKUP(record[[#This Row],[ProcessSN]],表格2_7[],3,FALSE)</f>
        <v>#04</v>
      </c>
      <c r="J2190" t="s">
        <v>588</v>
      </c>
      <c r="K2190" s="195">
        <v>46123.005196759259</v>
      </c>
      <c r="L2190">
        <v>72</v>
      </c>
      <c r="M2190">
        <v>0</v>
      </c>
      <c r="N2190" s="98" t="str">
        <f>IF(record[[#This Row],[Memo]]="Browser:chrome os:android","平板報工",IF(record[[#This Row],[Memo]]=0,"委外",record[[#This Row],[Memo]]))</f>
        <v/>
      </c>
      <c r="O2190" t="s">
        <v>58</v>
      </c>
      <c r="P2190" t="s">
        <v>180</v>
      </c>
      <c r="Q2190" t="s">
        <v>58</v>
      </c>
      <c r="R2190" t="str">
        <f>IFERROR(VLOOKUP(record[[#This Row],[PCUSTID]],廠商[],2,FALSE),"")</f>
        <v/>
      </c>
      <c r="S2190" t="str">
        <f>VLOOKUP(record[[#This Row],[employeeID]],員工[],2,FALSE)</f>
        <v>黎功江</v>
      </c>
    </row>
    <row r="2191" spans="6:19" hidden="1" x14ac:dyDescent="0.25">
      <c r="F2191" t="s">
        <v>1767</v>
      </c>
      <c r="G2191" t="s">
        <v>417</v>
      </c>
      <c r="H2191" t="str">
        <f>VLOOKUP(record[[#This Row],[ProcessSN]],表格2_7[],2,FALSE)</f>
        <v>30-4118-018-5XX</v>
      </c>
      <c r="I2191" t="str">
        <f>VLOOKUP(record[[#This Row],[ProcessSN]],表格2_7[],3,FALSE)</f>
        <v>#06</v>
      </c>
      <c r="J2191" t="s">
        <v>593</v>
      </c>
      <c r="K2191" s="195">
        <v>46123.001608796294</v>
      </c>
      <c r="L2191">
        <v>125</v>
      </c>
      <c r="M2191">
        <v>0</v>
      </c>
      <c r="N2191" s="98" t="str">
        <f>IF(record[[#This Row],[Memo]]="Browser:chrome os:android","平板報工",IF(record[[#This Row],[Memo]]=0,"委外",record[[#This Row],[Memo]]))</f>
        <v/>
      </c>
      <c r="O2191" t="s">
        <v>58</v>
      </c>
      <c r="P2191" t="s">
        <v>1669</v>
      </c>
      <c r="Q2191" t="s">
        <v>58</v>
      </c>
      <c r="R2191" t="str">
        <f>IFERROR(VLOOKUP(record[[#This Row],[PCUSTID]],廠商[],2,FALSE),"")</f>
        <v/>
      </c>
      <c r="S2191" t="str">
        <f>VLOOKUP(record[[#This Row],[employeeID]],員工[],2,FALSE)</f>
        <v>武氏麗娟</v>
      </c>
    </row>
    <row r="2192" spans="6:19" hidden="1" x14ac:dyDescent="0.25">
      <c r="F2192" t="s">
        <v>1655</v>
      </c>
      <c r="G2192" t="s">
        <v>466</v>
      </c>
      <c r="H2192" t="str">
        <f>VLOOKUP(record[[#This Row],[ProcessSN]],表格2_7[],2,FALSE)</f>
        <v>30-4118-018-XXX</v>
      </c>
      <c r="I2192" t="str">
        <f>VLOOKUP(record[[#This Row],[ProcessSN]],表格2_7[],3,FALSE)</f>
        <v>#01-2</v>
      </c>
      <c r="J2192" t="s">
        <v>588</v>
      </c>
      <c r="K2192" s="195">
        <v>46122.972812499997</v>
      </c>
      <c r="L2192">
        <v>406</v>
      </c>
      <c r="M2192">
        <v>0</v>
      </c>
      <c r="N2192" s="98" t="str">
        <f>IF(record[[#This Row],[Memo]]="Browser:chrome os:android","平板報工",IF(record[[#This Row],[Memo]]=0,"委外",record[[#This Row],[Memo]]))</f>
        <v>平板報工</v>
      </c>
      <c r="O2192" t="s">
        <v>643</v>
      </c>
      <c r="P2192" t="s">
        <v>89</v>
      </c>
      <c r="Q2192" t="s">
        <v>644</v>
      </c>
      <c r="R2192" t="str">
        <f>IFERROR(VLOOKUP(record[[#This Row],[PCUSTID]],廠商[],2,FALSE),"")</f>
        <v/>
      </c>
      <c r="S2192" t="str">
        <f>VLOOKUP(record[[#This Row],[employeeID]],員工[],2,FALSE)</f>
        <v>李美蓮</v>
      </c>
    </row>
    <row r="2193" spans="6:19" hidden="1" x14ac:dyDescent="0.25">
      <c r="F2193" t="s">
        <v>1782</v>
      </c>
      <c r="G2193" t="s">
        <v>414</v>
      </c>
      <c r="H2193" t="str">
        <f>VLOOKUP(record[[#This Row],[ProcessSN]],表格2_7[],2,FALSE)</f>
        <v>30-4118-018-5XX</v>
      </c>
      <c r="I2193" t="str">
        <f>VLOOKUP(record[[#This Row],[ProcessSN]],表格2_7[],3,FALSE)</f>
        <v>#03</v>
      </c>
      <c r="J2193" t="s">
        <v>588</v>
      </c>
      <c r="K2193" s="195">
        <v>46122.942650462966</v>
      </c>
      <c r="L2193">
        <v>114</v>
      </c>
      <c r="M2193">
        <v>0</v>
      </c>
      <c r="N2193" s="98" t="str">
        <f>IF(record[[#This Row],[Memo]]="Browser:chrome os:android","平板報工",IF(record[[#This Row],[Memo]]=0,"委外",record[[#This Row],[Memo]]))</f>
        <v/>
      </c>
      <c r="O2193" t="s">
        <v>58</v>
      </c>
      <c r="P2193" t="s">
        <v>785</v>
      </c>
      <c r="Q2193" t="s">
        <v>58</v>
      </c>
      <c r="R2193" t="str">
        <f>IFERROR(VLOOKUP(record[[#This Row],[PCUSTID]],廠商[],2,FALSE),"")</f>
        <v/>
      </c>
      <c r="S2193" t="str">
        <f>VLOOKUP(record[[#This Row],[employeeID]],員工[],2,FALSE)</f>
        <v>謝刻光</v>
      </c>
    </row>
    <row r="2194" spans="6:19" hidden="1" x14ac:dyDescent="0.25">
      <c r="F2194" t="s">
        <v>1790</v>
      </c>
      <c r="G2194" t="s">
        <v>373</v>
      </c>
      <c r="H2194" t="str">
        <f>VLOOKUP(record[[#This Row],[ProcessSN]],表格2_7[],2,FALSE)</f>
        <v>30-4118-018-4XX</v>
      </c>
      <c r="I2194" t="str">
        <f>VLOOKUP(record[[#This Row],[ProcessSN]],表格2_7[],3,FALSE)</f>
        <v>#03</v>
      </c>
      <c r="J2194" t="s">
        <v>588</v>
      </c>
      <c r="K2194" s="195">
        <v>46122.941504629627</v>
      </c>
      <c r="L2194">
        <v>168</v>
      </c>
      <c r="M2194">
        <v>0</v>
      </c>
      <c r="N2194" s="98" t="str">
        <f>IF(record[[#This Row],[Memo]]="Browser:chrome os:android","平板報工",IF(record[[#This Row],[Memo]]=0,"委外",record[[#This Row],[Memo]]))</f>
        <v/>
      </c>
      <c r="O2194" t="s">
        <v>58</v>
      </c>
      <c r="P2194" t="s">
        <v>785</v>
      </c>
      <c r="Q2194" t="s">
        <v>58</v>
      </c>
      <c r="R2194" t="str">
        <f>IFERROR(VLOOKUP(record[[#This Row],[PCUSTID]],廠商[],2,FALSE),"")</f>
        <v/>
      </c>
      <c r="S2194" t="str">
        <f>VLOOKUP(record[[#This Row],[employeeID]],員工[],2,FALSE)</f>
        <v>謝刻光</v>
      </c>
    </row>
    <row r="2195" spans="6:19" hidden="1" x14ac:dyDescent="0.25">
      <c r="F2195" t="s">
        <v>1782</v>
      </c>
      <c r="G2195" t="s">
        <v>415</v>
      </c>
      <c r="H2195" t="str">
        <f>VLOOKUP(record[[#This Row],[ProcessSN]],表格2_7[],2,FALSE)</f>
        <v>30-4118-018-5XX</v>
      </c>
      <c r="I2195" t="str">
        <f>VLOOKUP(record[[#This Row],[ProcessSN]],表格2_7[],3,FALSE)</f>
        <v>#04</v>
      </c>
      <c r="J2195" t="s">
        <v>588</v>
      </c>
      <c r="K2195" s="195">
        <v>46122.812962962962</v>
      </c>
      <c r="L2195">
        <v>60</v>
      </c>
      <c r="M2195">
        <v>0</v>
      </c>
      <c r="N2195" s="98" t="str">
        <f>IF(record[[#This Row],[Memo]]="Browser:chrome os:android","平板報工",IF(record[[#This Row],[Memo]]=0,"委外",record[[#This Row],[Memo]]))</f>
        <v>平板報工</v>
      </c>
      <c r="O2195" t="s">
        <v>643</v>
      </c>
      <c r="P2195" t="s">
        <v>785</v>
      </c>
      <c r="Q2195" t="s">
        <v>644</v>
      </c>
      <c r="R2195" t="str">
        <f>IFERROR(VLOOKUP(record[[#This Row],[PCUSTID]],廠商[],2,FALSE),"")</f>
        <v/>
      </c>
      <c r="S2195" t="str">
        <f>VLOOKUP(record[[#This Row],[employeeID]],員工[],2,FALSE)</f>
        <v>謝刻光</v>
      </c>
    </row>
    <row r="2196" spans="6:19" hidden="1" x14ac:dyDescent="0.25">
      <c r="F2196" t="s">
        <v>1787</v>
      </c>
      <c r="G2196" t="s">
        <v>463</v>
      </c>
      <c r="H2196" t="str">
        <f>VLOOKUP(record[[#This Row],[ProcessSN]],表格2_7[],2,FALSE)</f>
        <v>30-4118-018-XXX</v>
      </c>
      <c r="I2196" t="str">
        <f>VLOOKUP(record[[#This Row],[ProcessSN]],表格2_7[],3,FALSE)</f>
        <v>#00IQC</v>
      </c>
      <c r="J2196" t="s">
        <v>583</v>
      </c>
      <c r="K2196" s="195">
        <v>46122.753854166665</v>
      </c>
      <c r="L2196">
        <v>5000</v>
      </c>
      <c r="M2196">
        <v>0</v>
      </c>
      <c r="N2196" s="98" t="str">
        <f>IF(record[[#This Row],[Memo]]="Browser:chrome os:android","平板報工",IF(record[[#This Row],[Memo]]=0,"委外",record[[#This Row],[Memo]]))</f>
        <v/>
      </c>
      <c r="O2196" t="s">
        <v>58</v>
      </c>
      <c r="P2196" t="s">
        <v>121</v>
      </c>
      <c r="Q2196" t="s">
        <v>58</v>
      </c>
      <c r="R2196" t="str">
        <f>IFERROR(VLOOKUP(record[[#This Row],[PCUSTID]],廠商[],2,FALSE),"")</f>
        <v/>
      </c>
      <c r="S2196" t="str">
        <f>VLOOKUP(record[[#This Row],[employeeID]],員工[],2,FALSE)</f>
        <v>謝素卿</v>
      </c>
    </row>
    <row r="2197" spans="6:19" hidden="1" x14ac:dyDescent="0.25">
      <c r="F2197" t="s">
        <v>1790</v>
      </c>
      <c r="G2197" t="s">
        <v>372</v>
      </c>
      <c r="H2197" t="str">
        <f>VLOOKUP(record[[#This Row],[ProcessSN]],表格2_7[],2,FALSE)</f>
        <v>30-4118-018-4XX</v>
      </c>
      <c r="I2197" t="str">
        <f>VLOOKUP(record[[#This Row],[ProcessSN]],表格2_7[],3,FALSE)</f>
        <v>#03GIVE</v>
      </c>
      <c r="J2197" t="s">
        <v>587</v>
      </c>
      <c r="K2197" s="195">
        <v>46122.751516203702</v>
      </c>
      <c r="L2197">
        <v>672</v>
      </c>
      <c r="M2197">
        <v>0</v>
      </c>
      <c r="N2197" s="98" t="str">
        <f>IF(record[[#This Row],[Memo]]="Browser:chrome os:android","平板報工",IF(record[[#This Row],[Memo]]=0,"委外",record[[#This Row],[Memo]]))</f>
        <v/>
      </c>
      <c r="O2197" t="s">
        <v>58</v>
      </c>
      <c r="P2197" t="s">
        <v>1070</v>
      </c>
      <c r="Q2197" t="s">
        <v>58</v>
      </c>
      <c r="R2197" t="str">
        <f>IFERROR(VLOOKUP(record[[#This Row],[PCUSTID]],廠商[],2,FALSE),"")</f>
        <v/>
      </c>
      <c r="S2197" t="str">
        <f>VLOOKUP(record[[#This Row],[employeeID]],員工[],2,FALSE)</f>
        <v>陳昱佑</v>
      </c>
    </row>
    <row r="2198" spans="6:19" hidden="1" x14ac:dyDescent="0.25">
      <c r="F2198" t="s">
        <v>1655</v>
      </c>
      <c r="G2198" t="s">
        <v>471</v>
      </c>
      <c r="H2198" t="str">
        <f>VLOOKUP(record[[#This Row],[ProcessSN]],表格2_7[],2,FALSE)</f>
        <v>30-4118-018-XXX</v>
      </c>
      <c r="I2198" t="str">
        <f>VLOOKUP(record[[#This Row],[ProcessSN]],表格2_7[],3,FALSE)</f>
        <v>#02STOCK</v>
      </c>
      <c r="J2198" t="s">
        <v>592</v>
      </c>
      <c r="K2198" s="195">
        <v>46122.742986111109</v>
      </c>
      <c r="L2198">
        <v>672</v>
      </c>
      <c r="M2198">
        <v>0</v>
      </c>
      <c r="N2198" s="98" t="str">
        <f>IF(record[[#This Row],[Memo]]="Browser:chrome os:android","平板報工",IF(record[[#This Row],[Memo]]=0,"委外",record[[#This Row],[Memo]]))</f>
        <v/>
      </c>
      <c r="O2198" t="s">
        <v>58</v>
      </c>
      <c r="P2198" t="s">
        <v>1070</v>
      </c>
      <c r="Q2198" t="s">
        <v>58</v>
      </c>
      <c r="R2198" t="str">
        <f>IFERROR(VLOOKUP(record[[#This Row],[PCUSTID]],廠商[],2,FALSE),"")</f>
        <v/>
      </c>
      <c r="S2198" t="str">
        <f>VLOOKUP(record[[#This Row],[employeeID]],員工[],2,FALSE)</f>
        <v>陳昱佑</v>
      </c>
    </row>
    <row r="2199" spans="6:19" hidden="1" x14ac:dyDescent="0.25">
      <c r="F2199" t="s">
        <v>1655</v>
      </c>
      <c r="G2199" t="s">
        <v>471</v>
      </c>
      <c r="H2199" t="str">
        <f>VLOOKUP(record[[#This Row],[ProcessSN]],表格2_7[],2,FALSE)</f>
        <v>30-4118-018-XXX</v>
      </c>
      <c r="I2199" t="str">
        <f>VLOOKUP(record[[#This Row],[ProcessSN]],表格2_7[],3,FALSE)</f>
        <v>#02STOCK</v>
      </c>
      <c r="J2199" t="s">
        <v>592</v>
      </c>
      <c r="K2199" s="195">
        <v>46122.742777777778</v>
      </c>
      <c r="L2199">
        <v>839</v>
      </c>
      <c r="M2199">
        <v>0</v>
      </c>
      <c r="N2199" s="98" t="str">
        <f>IF(record[[#This Row],[Memo]]="Browser:chrome os:android","平板報工",IF(record[[#This Row],[Memo]]=0,"委外",record[[#This Row],[Memo]]))</f>
        <v>補4/9</v>
      </c>
      <c r="O2199" t="s">
        <v>1792</v>
      </c>
      <c r="P2199" t="s">
        <v>1070</v>
      </c>
      <c r="Q2199" t="s">
        <v>58</v>
      </c>
      <c r="R2199" t="str">
        <f>IFERROR(VLOOKUP(record[[#This Row],[PCUSTID]],廠商[],2,FALSE),"")</f>
        <v/>
      </c>
      <c r="S2199" t="str">
        <f>VLOOKUP(record[[#This Row],[employeeID]],員工[],2,FALSE)</f>
        <v>陳昱佑</v>
      </c>
    </row>
    <row r="2200" spans="6:19" hidden="1" x14ac:dyDescent="0.25">
      <c r="F2200" t="s">
        <v>1790</v>
      </c>
      <c r="G2200" t="s">
        <v>371</v>
      </c>
      <c r="H2200" t="str">
        <f>VLOOKUP(record[[#This Row],[ProcessSN]],表格2_7[],2,FALSE)</f>
        <v>30-4118-018-4XX</v>
      </c>
      <c r="I2200" t="str">
        <f>VLOOKUP(record[[#This Row],[ProcessSN]],表格2_7[],3,FALSE)</f>
        <v>#03PICK</v>
      </c>
      <c r="J2200" t="s">
        <v>582</v>
      </c>
      <c r="K2200" s="195">
        <v>46122.737256944441</v>
      </c>
      <c r="L2200">
        <v>672</v>
      </c>
      <c r="M2200">
        <v>0</v>
      </c>
      <c r="N2200" s="98" t="str">
        <f>IF(record[[#This Row],[Memo]]="Browser:chrome os:android","平板報工",IF(record[[#This Row],[Memo]]=0,"委外",record[[#This Row],[Memo]]))</f>
        <v/>
      </c>
      <c r="O2200" t="s">
        <v>58</v>
      </c>
      <c r="P2200" t="s">
        <v>113</v>
      </c>
      <c r="Q2200" t="s">
        <v>58</v>
      </c>
      <c r="R2200" t="str">
        <f>IFERROR(VLOOKUP(record[[#This Row],[PCUSTID]],廠商[],2,FALSE),"")</f>
        <v/>
      </c>
      <c r="S2200" t="str">
        <f>VLOOKUP(record[[#This Row],[employeeID]],員工[],2,FALSE)</f>
        <v>王奕蓁</v>
      </c>
    </row>
    <row r="2201" spans="6:19" hidden="1" x14ac:dyDescent="0.25">
      <c r="F2201" t="s">
        <v>1655</v>
      </c>
      <c r="G2201" t="s">
        <v>470</v>
      </c>
      <c r="H2201" t="str">
        <f>VLOOKUP(record[[#This Row],[ProcessSN]],表格2_7[],2,FALSE)</f>
        <v>30-4118-018-XXX</v>
      </c>
      <c r="I2201" t="str">
        <f>VLOOKUP(record[[#This Row],[ProcessSN]],表格2_7[],3,FALSE)</f>
        <v>#02IQC</v>
      </c>
      <c r="J2201" t="s">
        <v>583</v>
      </c>
      <c r="K2201" s="195">
        <v>46122.726446759261</v>
      </c>
      <c r="L2201">
        <v>672</v>
      </c>
      <c r="M2201">
        <v>0</v>
      </c>
      <c r="N2201" s="98" t="str">
        <f>IF(record[[#This Row],[Memo]]="Browser:chrome os:android","平板報工",IF(record[[#This Row],[Memo]]=0,"委外",record[[#This Row],[Memo]]))</f>
        <v/>
      </c>
      <c r="O2201" t="s">
        <v>58</v>
      </c>
      <c r="P2201" t="s">
        <v>109</v>
      </c>
      <c r="Q2201" t="s">
        <v>58</v>
      </c>
      <c r="R2201" t="str">
        <f>IFERROR(VLOOKUP(record[[#This Row],[PCUSTID]],廠商[],2,FALSE),"")</f>
        <v/>
      </c>
      <c r="S2201" t="str">
        <f>VLOOKUP(record[[#This Row],[employeeID]],員工[],2,FALSE)</f>
        <v>裴氏璧鳳</v>
      </c>
    </row>
    <row r="2202" spans="6:19" hidden="1" x14ac:dyDescent="0.25">
      <c r="F2202" t="s">
        <v>1761</v>
      </c>
      <c r="G2202" t="s">
        <v>360</v>
      </c>
      <c r="H2202" t="str">
        <f>VLOOKUP(record[[#This Row],[ProcessSN]],表格2_7[],2,FALSE)</f>
        <v>30-4118-018-450</v>
      </c>
      <c r="I2202" t="str">
        <f>VLOOKUP(record[[#This Row],[ProcessSN]],表格2_7[],3,FALSE)</f>
        <v>#100OQC</v>
      </c>
      <c r="J2202" t="s">
        <v>599</v>
      </c>
      <c r="K2202" s="195">
        <v>46122.702141203707</v>
      </c>
      <c r="L2202">
        <v>71</v>
      </c>
      <c r="M2202">
        <v>0</v>
      </c>
      <c r="N2202" s="98" t="str">
        <f>IF(record[[#This Row],[Memo]]="Browser:chrome os:android","平板報工",IF(record[[#This Row],[Memo]]=0,"委外",record[[#This Row],[Memo]]))</f>
        <v/>
      </c>
      <c r="O2202" t="s">
        <v>58</v>
      </c>
      <c r="P2202" t="s">
        <v>121</v>
      </c>
      <c r="Q2202" t="s">
        <v>58</v>
      </c>
      <c r="R2202" t="str">
        <f>IFERROR(VLOOKUP(record[[#This Row],[PCUSTID]],廠商[],2,FALSE),"")</f>
        <v/>
      </c>
      <c r="S2202" t="str">
        <f>VLOOKUP(record[[#This Row],[employeeID]],員工[],2,FALSE)</f>
        <v>謝素卿</v>
      </c>
    </row>
    <row r="2203" spans="6:19" hidden="1" x14ac:dyDescent="0.25">
      <c r="F2203" t="s">
        <v>1737</v>
      </c>
      <c r="G2203" t="s">
        <v>360</v>
      </c>
      <c r="H2203" t="str">
        <f>VLOOKUP(record[[#This Row],[ProcessSN]],表格2_7[],2,FALSE)</f>
        <v>30-4118-018-450</v>
      </c>
      <c r="I2203" t="str">
        <f>VLOOKUP(record[[#This Row],[ProcessSN]],表格2_7[],3,FALSE)</f>
        <v>#100OQC</v>
      </c>
      <c r="J2203" t="s">
        <v>599</v>
      </c>
      <c r="K2203" s="195">
        <v>46122.701979166668</v>
      </c>
      <c r="L2203">
        <v>21</v>
      </c>
      <c r="M2203">
        <v>0</v>
      </c>
      <c r="N2203" s="98" t="str">
        <f>IF(record[[#This Row],[Memo]]="Browser:chrome os:android","平板報工",IF(record[[#This Row],[Memo]]=0,"委外",record[[#This Row],[Memo]]))</f>
        <v/>
      </c>
      <c r="O2203" t="s">
        <v>58</v>
      </c>
      <c r="P2203" t="s">
        <v>121</v>
      </c>
      <c r="Q2203" t="s">
        <v>58</v>
      </c>
      <c r="R2203" t="str">
        <f>IFERROR(VLOOKUP(record[[#This Row],[PCUSTID]],廠商[],2,FALSE),"")</f>
        <v/>
      </c>
      <c r="S2203" t="str">
        <f>VLOOKUP(record[[#This Row],[employeeID]],員工[],2,FALSE)</f>
        <v>謝素卿</v>
      </c>
    </row>
    <row r="2204" spans="6:19" hidden="1" x14ac:dyDescent="0.25">
      <c r="F2204" t="s">
        <v>1655</v>
      </c>
      <c r="G2204" t="s">
        <v>466</v>
      </c>
      <c r="H2204" t="str">
        <f>VLOOKUP(record[[#This Row],[ProcessSN]],表格2_7[],2,FALSE)</f>
        <v>30-4118-018-XXX</v>
      </c>
      <c r="I2204" t="str">
        <f>VLOOKUP(record[[#This Row],[ProcessSN]],表格2_7[],3,FALSE)</f>
        <v>#01-2</v>
      </c>
      <c r="J2204" t="s">
        <v>588</v>
      </c>
      <c r="K2204" s="195">
        <v>46122.687395833331</v>
      </c>
      <c r="L2204">
        <v>365</v>
      </c>
      <c r="M2204">
        <v>0</v>
      </c>
      <c r="N2204" s="98" t="str">
        <f>IF(record[[#This Row],[Memo]]="Browser:chrome os:android","平板報工",IF(record[[#This Row],[Memo]]=0,"委外",record[[#This Row],[Memo]]))</f>
        <v/>
      </c>
      <c r="O2204" t="s">
        <v>58</v>
      </c>
      <c r="P2204" t="s">
        <v>785</v>
      </c>
      <c r="Q2204" t="s">
        <v>58</v>
      </c>
      <c r="R2204" t="str">
        <f>IFERROR(VLOOKUP(record[[#This Row],[PCUSTID]],廠商[],2,FALSE),"")</f>
        <v/>
      </c>
      <c r="S2204" t="str">
        <f>VLOOKUP(record[[#This Row],[employeeID]],員工[],2,FALSE)</f>
        <v>謝刻光</v>
      </c>
    </row>
    <row r="2205" spans="6:19" hidden="1" x14ac:dyDescent="0.25">
      <c r="F2205" t="s">
        <v>1653</v>
      </c>
      <c r="G2205" t="s">
        <v>417</v>
      </c>
      <c r="H2205" t="str">
        <f>VLOOKUP(record[[#This Row],[ProcessSN]],表格2_7[],2,FALSE)</f>
        <v>30-4118-018-5XX</v>
      </c>
      <c r="I2205" t="str">
        <f>VLOOKUP(record[[#This Row],[ProcessSN]],表格2_7[],3,FALSE)</f>
        <v>#06</v>
      </c>
      <c r="J2205" t="s">
        <v>593</v>
      </c>
      <c r="K2205" s="195">
        <v>46122.681493055556</v>
      </c>
      <c r="L2205">
        <v>124</v>
      </c>
      <c r="M2205">
        <v>0</v>
      </c>
      <c r="N2205" s="98" t="str">
        <f>IF(record[[#This Row],[Memo]]="Browser:chrome os:android","平板報工",IF(record[[#This Row],[Memo]]=0,"委外",record[[#This Row],[Memo]]))</f>
        <v/>
      </c>
      <c r="O2205" t="s">
        <v>58</v>
      </c>
      <c r="P2205" t="s">
        <v>1413</v>
      </c>
      <c r="Q2205" t="s">
        <v>58</v>
      </c>
      <c r="R2205" t="str">
        <f>IFERROR(VLOOKUP(record[[#This Row],[PCUSTID]],廠商[],2,FALSE),"")</f>
        <v/>
      </c>
      <c r="S2205" t="str">
        <f>VLOOKUP(record[[#This Row],[employeeID]],員工[],2,FALSE)</f>
        <v>阮氏芳英(芳)</v>
      </c>
    </row>
    <row r="2206" spans="6:19" hidden="1" x14ac:dyDescent="0.25">
      <c r="F2206" t="s">
        <v>1773</v>
      </c>
      <c r="G2206" t="s">
        <v>399</v>
      </c>
      <c r="H2206" t="str">
        <f>VLOOKUP(record[[#This Row],[ProcessSN]],表格2_7[],2,FALSE)</f>
        <v>30-4118-018-550</v>
      </c>
      <c r="I2206" t="str">
        <f>VLOOKUP(record[[#This Row],[ProcessSN]],表格2_7[],3,FALSE)</f>
        <v>#08IQC</v>
      </c>
      <c r="J2206" t="s">
        <v>583</v>
      </c>
      <c r="K2206" s="195">
        <v>46122.675393518519</v>
      </c>
      <c r="L2206">
        <v>127</v>
      </c>
      <c r="M2206">
        <v>0</v>
      </c>
      <c r="N2206" s="98" t="str">
        <f>IF(record[[#This Row],[Memo]]="Browser:chrome os:android","平板報工",IF(record[[#This Row],[Memo]]=0,"委外",record[[#This Row],[Memo]]))</f>
        <v/>
      </c>
      <c r="O2206" t="s">
        <v>58</v>
      </c>
      <c r="P2206" t="s">
        <v>109</v>
      </c>
      <c r="Q2206" t="s">
        <v>58</v>
      </c>
      <c r="R2206" t="str">
        <f>IFERROR(VLOOKUP(record[[#This Row],[PCUSTID]],廠商[],2,FALSE),"")</f>
        <v/>
      </c>
      <c r="S2206" t="str">
        <f>VLOOKUP(record[[#This Row],[employeeID]],員工[],2,FALSE)</f>
        <v>裴氏璧鳳</v>
      </c>
    </row>
    <row r="2207" spans="6:19" hidden="1" x14ac:dyDescent="0.25">
      <c r="F2207" t="s">
        <v>1782</v>
      </c>
      <c r="G2207" t="s">
        <v>416</v>
      </c>
      <c r="H2207" t="str">
        <f>VLOOKUP(record[[#This Row],[ProcessSN]],表格2_7[],2,FALSE)</f>
        <v>30-4118-018-5XX</v>
      </c>
      <c r="I2207" t="str">
        <f>VLOOKUP(record[[#This Row],[ProcessSN]],表格2_7[],3,FALSE)</f>
        <v>#05</v>
      </c>
      <c r="J2207" t="s">
        <v>588</v>
      </c>
      <c r="K2207" s="195">
        <v>46122.674756944441</v>
      </c>
      <c r="L2207">
        <v>52</v>
      </c>
      <c r="M2207">
        <v>0</v>
      </c>
      <c r="N2207" s="98" t="str">
        <f>IF(record[[#This Row],[Memo]]="Browser:chrome os:android","平板報工",IF(record[[#This Row],[Memo]]=0,"委外",record[[#This Row],[Memo]]))</f>
        <v/>
      </c>
      <c r="O2207" t="s">
        <v>58</v>
      </c>
      <c r="P2207" t="s">
        <v>107</v>
      </c>
      <c r="Q2207" t="s">
        <v>58</v>
      </c>
      <c r="R2207" t="str">
        <f>IFERROR(VLOOKUP(record[[#This Row],[PCUSTID]],廠商[],2,FALSE),"")</f>
        <v/>
      </c>
      <c r="S2207" t="str">
        <f>VLOOKUP(record[[#This Row],[employeeID]],員工[],2,FALSE)</f>
        <v>黎氏順</v>
      </c>
    </row>
    <row r="2208" spans="6:19" hidden="1" x14ac:dyDescent="0.25">
      <c r="F2208" t="s">
        <v>1774</v>
      </c>
      <c r="G2208" t="s">
        <v>358</v>
      </c>
      <c r="H2208" t="str">
        <f>VLOOKUP(record[[#This Row],[ProcessSN]],表格2_7[],2,FALSE)</f>
        <v>30-4118-018-450</v>
      </c>
      <c r="I2208" t="str">
        <f>VLOOKUP(record[[#This Row],[ProcessSN]],表格2_7[],3,FALSE)</f>
        <v>#08IQC</v>
      </c>
      <c r="J2208" t="s">
        <v>583</v>
      </c>
      <c r="K2208" s="195">
        <v>46122.671944444446</v>
      </c>
      <c r="L2208">
        <v>606</v>
      </c>
      <c r="M2208">
        <v>0</v>
      </c>
      <c r="N2208" s="98" t="str">
        <f>IF(record[[#This Row],[Memo]]="Browser:chrome os:android","平板報工",IF(record[[#This Row],[Memo]]=0,"委外",record[[#This Row],[Memo]]))</f>
        <v/>
      </c>
      <c r="O2208" t="s">
        <v>58</v>
      </c>
      <c r="P2208" t="s">
        <v>109</v>
      </c>
      <c r="Q2208" t="s">
        <v>58</v>
      </c>
      <c r="R2208" t="str">
        <f>IFERROR(VLOOKUP(record[[#This Row],[PCUSTID]],廠商[],2,FALSE),"")</f>
        <v/>
      </c>
      <c r="S2208" t="str">
        <f>VLOOKUP(record[[#This Row],[employeeID]],員工[],2,FALSE)</f>
        <v>裴氏璧鳳</v>
      </c>
    </row>
    <row r="2209" spans="6:19" hidden="1" x14ac:dyDescent="0.25">
      <c r="F2209" t="s">
        <v>1782</v>
      </c>
      <c r="G2209" t="s">
        <v>415</v>
      </c>
      <c r="H2209" t="str">
        <f>VLOOKUP(record[[#This Row],[ProcessSN]],表格2_7[],2,FALSE)</f>
        <v>30-4118-018-5XX</v>
      </c>
      <c r="I2209" t="str">
        <f>VLOOKUP(record[[#This Row],[ProcessSN]],表格2_7[],3,FALSE)</f>
        <v>#04</v>
      </c>
      <c r="J2209" t="s">
        <v>588</v>
      </c>
      <c r="K2209" s="195">
        <v>46122.663356481484</v>
      </c>
      <c r="L2209">
        <v>106</v>
      </c>
      <c r="M2209">
        <v>0</v>
      </c>
      <c r="N2209" s="98" t="str">
        <f>IF(record[[#This Row],[Memo]]="Browser:chrome os:android","平板報工",IF(record[[#This Row],[Memo]]=0,"委外",record[[#This Row],[Memo]]))</f>
        <v>平板報工</v>
      </c>
      <c r="O2209" t="s">
        <v>643</v>
      </c>
      <c r="P2209" t="s">
        <v>107</v>
      </c>
      <c r="Q2209" t="s">
        <v>644</v>
      </c>
      <c r="R2209" t="str">
        <f>IFERROR(VLOOKUP(record[[#This Row],[PCUSTID]],廠商[],2,FALSE),"")</f>
        <v/>
      </c>
      <c r="S2209" t="str">
        <f>VLOOKUP(record[[#This Row],[employeeID]],員工[],2,FALSE)</f>
        <v>黎氏順</v>
      </c>
    </row>
    <row r="2210" spans="6:19" hidden="1" x14ac:dyDescent="0.25">
      <c r="F2210" t="s">
        <v>1767</v>
      </c>
      <c r="G2210" t="s">
        <v>416</v>
      </c>
      <c r="H2210" t="str">
        <f>VLOOKUP(record[[#This Row],[ProcessSN]],表格2_7[],2,FALSE)</f>
        <v>30-4118-018-5XX</v>
      </c>
      <c r="I2210" t="str">
        <f>VLOOKUP(record[[#This Row],[ProcessSN]],表格2_7[],3,FALSE)</f>
        <v>#05</v>
      </c>
      <c r="J2210" t="s">
        <v>588</v>
      </c>
      <c r="K2210" s="195">
        <v>46122.662789351853</v>
      </c>
      <c r="L2210">
        <v>48</v>
      </c>
      <c r="M2210">
        <v>0</v>
      </c>
      <c r="N2210" s="98" t="str">
        <f>IF(record[[#This Row],[Memo]]="Browser:chrome os:android","平板報工",IF(record[[#This Row],[Memo]]=0,"委外",record[[#This Row],[Memo]]))</f>
        <v>平板報工</v>
      </c>
      <c r="O2210" t="s">
        <v>643</v>
      </c>
      <c r="P2210" t="s">
        <v>107</v>
      </c>
      <c r="Q2210" t="s">
        <v>644</v>
      </c>
      <c r="R2210" t="str">
        <f>IFERROR(VLOOKUP(record[[#This Row],[PCUSTID]],廠商[],2,FALSE),"")</f>
        <v/>
      </c>
      <c r="S2210" t="str">
        <f>VLOOKUP(record[[#This Row],[employeeID]],員工[],2,FALSE)</f>
        <v>黎氏順</v>
      </c>
    </row>
    <row r="2211" spans="6:19" hidden="1" x14ac:dyDescent="0.25">
      <c r="F2211" t="s">
        <v>1767</v>
      </c>
      <c r="G2211" t="s">
        <v>415</v>
      </c>
      <c r="H2211" t="str">
        <f>VLOOKUP(record[[#This Row],[ProcessSN]],表格2_7[],2,FALSE)</f>
        <v>30-4118-018-5XX</v>
      </c>
      <c r="I2211" t="str">
        <f>VLOOKUP(record[[#This Row],[ProcessSN]],表格2_7[],3,FALSE)</f>
        <v>#04</v>
      </c>
      <c r="J2211" t="s">
        <v>588</v>
      </c>
      <c r="K2211" s="195">
        <v>46122.662442129629</v>
      </c>
      <c r="L2211">
        <v>18</v>
      </c>
      <c r="M2211">
        <v>0</v>
      </c>
      <c r="N2211" s="98" t="str">
        <f>IF(record[[#This Row],[Memo]]="Browser:chrome os:android","平板報工",IF(record[[#This Row],[Memo]]=0,"委外",record[[#This Row],[Memo]]))</f>
        <v>平板報工</v>
      </c>
      <c r="O2211" t="s">
        <v>643</v>
      </c>
      <c r="P2211" t="s">
        <v>107</v>
      </c>
      <c r="Q2211" t="s">
        <v>644</v>
      </c>
      <c r="R2211" t="str">
        <f>IFERROR(VLOOKUP(record[[#This Row],[PCUSTID]],廠商[],2,FALSE),"")</f>
        <v/>
      </c>
      <c r="S2211" t="str">
        <f>VLOOKUP(record[[#This Row],[employeeID]],員工[],2,FALSE)</f>
        <v>黎氏順</v>
      </c>
    </row>
    <row r="2212" spans="6:19" hidden="1" x14ac:dyDescent="0.25">
      <c r="F2212" t="s">
        <v>1761</v>
      </c>
      <c r="G2212" t="s">
        <v>359</v>
      </c>
      <c r="H2212" t="str">
        <f>VLOOKUP(record[[#This Row],[ProcessSN]],表格2_7[],2,FALSE)</f>
        <v>30-4118-018-450</v>
      </c>
      <c r="I2212" t="str">
        <f>VLOOKUP(record[[#This Row],[ProcessSN]],表格2_7[],3,FALSE)</f>
        <v>#100</v>
      </c>
      <c r="J2212" t="s">
        <v>598</v>
      </c>
      <c r="K2212" s="195">
        <v>46122.651585648149</v>
      </c>
      <c r="L2212">
        <v>0</v>
      </c>
      <c r="M2212">
        <v>51</v>
      </c>
      <c r="N2212" s="98" t="str">
        <f>IF(record[[#This Row],[Memo]]="Browser:chrome os:android","平板報工",IF(record[[#This Row],[Memo]]=0,"委外",record[[#This Row],[Memo]]))</f>
        <v>素材瘡孔</v>
      </c>
      <c r="O2212" t="s">
        <v>1789</v>
      </c>
      <c r="P2212" t="s">
        <v>141</v>
      </c>
      <c r="Q2212" t="s">
        <v>58</v>
      </c>
      <c r="R2212" t="str">
        <f>IFERROR(VLOOKUP(record[[#This Row],[PCUSTID]],廠商[],2,FALSE),"")</f>
        <v/>
      </c>
      <c r="S2212" t="str">
        <f>VLOOKUP(record[[#This Row],[employeeID]],員工[],2,FALSE)</f>
        <v>蔣梅</v>
      </c>
    </row>
    <row r="2213" spans="6:19" hidden="1" x14ac:dyDescent="0.25">
      <c r="F2213" t="s">
        <v>1761</v>
      </c>
      <c r="G2213" t="s">
        <v>359</v>
      </c>
      <c r="H2213" t="str">
        <f>VLOOKUP(record[[#This Row],[ProcessSN]],表格2_7[],2,FALSE)</f>
        <v>30-4118-018-450</v>
      </c>
      <c r="I2213" t="str">
        <f>VLOOKUP(record[[#This Row],[ProcessSN]],表格2_7[],3,FALSE)</f>
        <v>#100</v>
      </c>
      <c r="J2213" t="s">
        <v>598</v>
      </c>
      <c r="K2213" s="195">
        <v>46122.65042824074</v>
      </c>
      <c r="L2213">
        <v>71</v>
      </c>
      <c r="M2213">
        <v>0</v>
      </c>
      <c r="N2213" s="98" t="str">
        <f>IF(record[[#This Row],[Memo]]="Browser:chrome os:android","平板報工",IF(record[[#This Row],[Memo]]=0,"委外",record[[#This Row],[Memo]]))</f>
        <v/>
      </c>
      <c r="O2213" t="s">
        <v>58</v>
      </c>
      <c r="P2213" t="s">
        <v>141</v>
      </c>
      <c r="Q2213" t="s">
        <v>58</v>
      </c>
      <c r="R2213" t="str">
        <f>IFERROR(VLOOKUP(record[[#This Row],[PCUSTID]],廠商[],2,FALSE),"")</f>
        <v/>
      </c>
      <c r="S2213" t="str">
        <f>VLOOKUP(record[[#This Row],[employeeID]],員工[],2,FALSE)</f>
        <v>蔣梅</v>
      </c>
    </row>
    <row r="2214" spans="6:19" hidden="1" x14ac:dyDescent="0.25">
      <c r="F2214" t="s">
        <v>1737</v>
      </c>
      <c r="G2214" t="s">
        <v>359</v>
      </c>
      <c r="H2214" t="str">
        <f>VLOOKUP(record[[#This Row],[ProcessSN]],表格2_7[],2,FALSE)</f>
        <v>30-4118-018-450</v>
      </c>
      <c r="I2214" t="str">
        <f>VLOOKUP(record[[#This Row],[ProcessSN]],表格2_7[],3,FALSE)</f>
        <v>#100</v>
      </c>
      <c r="J2214" t="s">
        <v>598</v>
      </c>
      <c r="K2214" s="195">
        <v>46122.65016203704</v>
      </c>
      <c r="L2214">
        <v>21</v>
      </c>
      <c r="M2214">
        <v>0</v>
      </c>
      <c r="N2214" s="98" t="str">
        <f>IF(record[[#This Row],[Memo]]="Browser:chrome os:android","平板報工",IF(record[[#This Row],[Memo]]=0,"委外",record[[#This Row],[Memo]]))</f>
        <v/>
      </c>
      <c r="O2214" t="s">
        <v>58</v>
      </c>
      <c r="P2214" t="s">
        <v>141</v>
      </c>
      <c r="Q2214" t="s">
        <v>58</v>
      </c>
      <c r="R2214" t="str">
        <f>IFERROR(VLOOKUP(record[[#This Row],[PCUSTID]],廠商[],2,FALSE),"")</f>
        <v/>
      </c>
      <c r="S2214" t="str">
        <f>VLOOKUP(record[[#This Row],[employeeID]],員工[],2,FALSE)</f>
        <v>蔣梅</v>
      </c>
    </row>
    <row r="2215" spans="6:19" hidden="1" x14ac:dyDescent="0.25">
      <c r="F2215" t="s">
        <v>1782</v>
      </c>
      <c r="G2215" t="s">
        <v>414</v>
      </c>
      <c r="H2215" t="str">
        <f>VLOOKUP(record[[#This Row],[ProcessSN]],表格2_7[],2,FALSE)</f>
        <v>30-4118-018-5XX</v>
      </c>
      <c r="I2215" t="str">
        <f>VLOOKUP(record[[#This Row],[ProcessSN]],表格2_7[],3,FALSE)</f>
        <v>#03</v>
      </c>
      <c r="J2215" t="s">
        <v>588</v>
      </c>
      <c r="K2215" s="195">
        <v>46122.649293981478</v>
      </c>
      <c r="L2215">
        <v>557</v>
      </c>
      <c r="M2215">
        <v>0</v>
      </c>
      <c r="N2215" s="98" t="str">
        <f>IF(record[[#This Row],[Memo]]="Browser:chrome os:android","平板報工",IF(record[[#This Row],[Memo]]=0,"委外",record[[#This Row],[Memo]]))</f>
        <v>平板報工</v>
      </c>
      <c r="O2215" t="s">
        <v>643</v>
      </c>
      <c r="P2215" t="s">
        <v>107</v>
      </c>
      <c r="Q2215" t="s">
        <v>644</v>
      </c>
      <c r="R2215" t="str">
        <f>IFERROR(VLOOKUP(record[[#This Row],[PCUSTID]],廠商[],2,FALSE),"")</f>
        <v/>
      </c>
      <c r="S2215" t="str">
        <f>VLOOKUP(record[[#This Row],[employeeID]],員工[],2,FALSE)</f>
        <v>黎氏順</v>
      </c>
    </row>
    <row r="2216" spans="6:19" hidden="1" x14ac:dyDescent="0.25">
      <c r="F2216" t="s">
        <v>1773</v>
      </c>
      <c r="G2216" t="s">
        <v>398</v>
      </c>
      <c r="H2216" t="str">
        <f>VLOOKUP(record[[#This Row],[ProcessSN]],表格2_7[],2,FALSE)</f>
        <v>30-4118-018-550</v>
      </c>
      <c r="I2216" t="str">
        <f>VLOOKUP(record[[#This Row],[ProcessSN]],表格2_7[],3,FALSE)</f>
        <v>#08RCV</v>
      </c>
      <c r="J2216" t="s">
        <v>591</v>
      </c>
      <c r="K2216" s="195">
        <v>46122.643530092595</v>
      </c>
      <c r="L2216">
        <v>0</v>
      </c>
      <c r="M2216">
        <v>1</v>
      </c>
      <c r="N2216" s="98" t="str">
        <f>IF(record[[#This Row],[Memo]]="Browser:chrome os:android","平板報工",IF(record[[#This Row],[Memo]]=0,"委外",record[[#This Row],[Memo]]))</f>
        <v/>
      </c>
      <c r="O2216" t="s">
        <v>58</v>
      </c>
      <c r="P2216" t="s">
        <v>1698</v>
      </c>
      <c r="Q2216" t="s">
        <v>58</v>
      </c>
      <c r="R2216" t="str">
        <f>IFERROR(VLOOKUP(record[[#This Row],[PCUSTID]],廠商[],2,FALSE),"")</f>
        <v/>
      </c>
      <c r="S2216" t="str">
        <f>VLOOKUP(record[[#This Row],[employeeID]],員工[],2,FALSE)</f>
        <v>羅思潔</v>
      </c>
    </row>
    <row r="2217" spans="6:19" hidden="1" x14ac:dyDescent="0.25">
      <c r="F2217" t="s">
        <v>1774</v>
      </c>
      <c r="G2217" t="s">
        <v>357</v>
      </c>
      <c r="H2217" t="str">
        <f>VLOOKUP(record[[#This Row],[ProcessSN]],表格2_7[],2,FALSE)</f>
        <v>30-4118-018-450</v>
      </c>
      <c r="I2217" t="str">
        <f>VLOOKUP(record[[#This Row],[ProcessSN]],表格2_7[],3,FALSE)</f>
        <v>#08RCV</v>
      </c>
      <c r="J2217" t="s">
        <v>591</v>
      </c>
      <c r="K2217" s="195">
        <v>46122.643391203703</v>
      </c>
      <c r="L2217">
        <v>0</v>
      </c>
      <c r="M2217">
        <v>7</v>
      </c>
      <c r="N2217" s="98" t="str">
        <f>IF(record[[#This Row],[Memo]]="Browser:chrome os:android","平板報工",IF(record[[#This Row],[Memo]]=0,"委外",record[[#This Row],[Memo]]))</f>
        <v/>
      </c>
      <c r="O2217" t="s">
        <v>58</v>
      </c>
      <c r="P2217" t="s">
        <v>1698</v>
      </c>
      <c r="Q2217" t="s">
        <v>58</v>
      </c>
      <c r="R2217" t="str">
        <f>IFERROR(VLOOKUP(record[[#This Row],[PCUSTID]],廠商[],2,FALSE),"")</f>
        <v/>
      </c>
      <c r="S2217" t="str">
        <f>VLOOKUP(record[[#This Row],[employeeID]],員工[],2,FALSE)</f>
        <v>羅思潔</v>
      </c>
    </row>
    <row r="2218" spans="6:19" hidden="1" x14ac:dyDescent="0.25">
      <c r="F2218" t="s">
        <v>1773</v>
      </c>
      <c r="G2218" t="s">
        <v>398</v>
      </c>
      <c r="H2218" t="str">
        <f>VLOOKUP(record[[#This Row],[ProcessSN]],表格2_7[],2,FALSE)</f>
        <v>30-4118-018-550</v>
      </c>
      <c r="I2218" t="str">
        <f>VLOOKUP(record[[#This Row],[ProcessSN]],表格2_7[],3,FALSE)</f>
        <v>#08RCV</v>
      </c>
      <c r="J2218" t="s">
        <v>591</v>
      </c>
      <c r="K2218" s="195">
        <v>46122.642789351848</v>
      </c>
      <c r="L2218">
        <v>127</v>
      </c>
      <c r="M2218">
        <v>0</v>
      </c>
      <c r="N2218" s="98" t="str">
        <f>IF(record[[#This Row],[Memo]]="Browser:chrome os:android","平板報工",IF(record[[#This Row],[Memo]]=0,"委外",record[[#This Row],[Memo]]))</f>
        <v/>
      </c>
      <c r="O2218" t="s">
        <v>58</v>
      </c>
      <c r="P2218" t="s">
        <v>1698</v>
      </c>
      <c r="Q2218" t="s">
        <v>58</v>
      </c>
      <c r="R2218" t="str">
        <f>IFERROR(VLOOKUP(record[[#This Row],[PCUSTID]],廠商[],2,FALSE),"")</f>
        <v/>
      </c>
      <c r="S2218" t="str">
        <f>VLOOKUP(record[[#This Row],[employeeID]],員工[],2,FALSE)</f>
        <v>羅思潔</v>
      </c>
    </row>
    <row r="2219" spans="6:19" hidden="1" x14ac:dyDescent="0.25">
      <c r="F2219" t="s">
        <v>1774</v>
      </c>
      <c r="G2219" t="s">
        <v>357</v>
      </c>
      <c r="H2219" t="str">
        <f>VLOOKUP(record[[#This Row],[ProcessSN]],表格2_7[],2,FALSE)</f>
        <v>30-4118-018-450</v>
      </c>
      <c r="I2219" t="str">
        <f>VLOOKUP(record[[#This Row],[ProcessSN]],表格2_7[],3,FALSE)</f>
        <v>#08RCV</v>
      </c>
      <c r="J2219" t="s">
        <v>591</v>
      </c>
      <c r="K2219" s="195">
        <v>46122.642534722225</v>
      </c>
      <c r="L2219">
        <v>0</v>
      </c>
      <c r="M2219">
        <v>1</v>
      </c>
      <c r="N2219" s="98" t="str">
        <f>IF(record[[#This Row],[Memo]]="Browser:chrome os:android","平板報工",IF(record[[#This Row],[Memo]]=0,"委外",record[[#This Row],[Memo]]))</f>
        <v/>
      </c>
      <c r="O2219" t="s">
        <v>58</v>
      </c>
      <c r="P2219" t="s">
        <v>1698</v>
      </c>
      <c r="Q2219" t="s">
        <v>58</v>
      </c>
      <c r="R2219" t="str">
        <f>IFERROR(VLOOKUP(record[[#This Row],[PCUSTID]],廠商[],2,FALSE),"")</f>
        <v/>
      </c>
      <c r="S2219" t="str">
        <f>VLOOKUP(record[[#This Row],[employeeID]],員工[],2,FALSE)</f>
        <v>羅思潔</v>
      </c>
    </row>
    <row r="2220" spans="6:19" hidden="1" x14ac:dyDescent="0.25">
      <c r="F2220" t="s">
        <v>1774</v>
      </c>
      <c r="G2220" t="s">
        <v>357</v>
      </c>
      <c r="H2220" t="str">
        <f>VLOOKUP(record[[#This Row],[ProcessSN]],表格2_7[],2,FALSE)</f>
        <v>30-4118-018-450</v>
      </c>
      <c r="I2220" t="str">
        <f>VLOOKUP(record[[#This Row],[ProcessSN]],表格2_7[],3,FALSE)</f>
        <v>#08RCV</v>
      </c>
      <c r="J2220" t="s">
        <v>591</v>
      </c>
      <c r="K2220" s="195">
        <v>46122.642280092594</v>
      </c>
      <c r="L2220">
        <v>606</v>
      </c>
      <c r="M2220">
        <v>0</v>
      </c>
      <c r="N2220" s="98" t="str">
        <f>IF(record[[#This Row],[Memo]]="Browser:chrome os:android","平板報工",IF(record[[#This Row],[Memo]]=0,"委外",record[[#This Row],[Memo]]))</f>
        <v/>
      </c>
      <c r="O2220" t="s">
        <v>58</v>
      </c>
      <c r="P2220" t="s">
        <v>1698</v>
      </c>
      <c r="Q2220" t="s">
        <v>58</v>
      </c>
      <c r="R2220" t="str">
        <f>IFERROR(VLOOKUP(record[[#This Row],[PCUSTID]],廠商[],2,FALSE),"")</f>
        <v/>
      </c>
      <c r="S2220" t="str">
        <f>VLOOKUP(record[[#This Row],[employeeID]],員工[],2,FALSE)</f>
        <v>羅思潔</v>
      </c>
    </row>
    <row r="2221" spans="6:19" hidden="1" x14ac:dyDescent="0.25">
      <c r="F2221" t="s">
        <v>1653</v>
      </c>
      <c r="G2221" t="s">
        <v>417</v>
      </c>
      <c r="H2221" t="str">
        <f>VLOOKUP(record[[#This Row],[ProcessSN]],表格2_7[],2,FALSE)</f>
        <v>30-4118-018-5XX</v>
      </c>
      <c r="I2221" t="str">
        <f>VLOOKUP(record[[#This Row],[ProcessSN]],表格2_7[],3,FALSE)</f>
        <v>#06</v>
      </c>
      <c r="J2221" t="s">
        <v>593</v>
      </c>
      <c r="K2221" s="195">
        <v>46122.625219907408</v>
      </c>
      <c r="L2221">
        <v>0</v>
      </c>
      <c r="M2221">
        <v>1</v>
      </c>
      <c r="N2221" s="98" t="str">
        <f>IF(record[[#This Row],[Memo]]="Browser:chrome os:android","平板報工",IF(record[[#This Row],[Memo]]=0,"委外",record[[#This Row],[Memo]]))</f>
        <v>平板報工</v>
      </c>
      <c r="O2221" t="s">
        <v>643</v>
      </c>
      <c r="P2221" t="s">
        <v>1413</v>
      </c>
      <c r="Q2221" t="s">
        <v>644</v>
      </c>
      <c r="R2221" t="str">
        <f>IFERROR(VLOOKUP(record[[#This Row],[PCUSTID]],廠商[],2,FALSE),"")</f>
        <v/>
      </c>
      <c r="S2221" t="str">
        <f>VLOOKUP(record[[#This Row],[employeeID]],員工[],2,FALSE)</f>
        <v>阮氏芳英(芳)</v>
      </c>
    </row>
    <row r="2222" spans="6:19" hidden="1" x14ac:dyDescent="0.25">
      <c r="F2222" t="s">
        <v>1767</v>
      </c>
      <c r="G2222" t="s">
        <v>417</v>
      </c>
      <c r="H2222" t="str">
        <f>VLOOKUP(record[[#This Row],[ProcessSN]],表格2_7[],2,FALSE)</f>
        <v>30-4118-018-5XX</v>
      </c>
      <c r="I2222" t="str">
        <f>VLOOKUP(record[[#This Row],[ProcessSN]],表格2_7[],3,FALSE)</f>
        <v>#06</v>
      </c>
      <c r="J2222" t="s">
        <v>593</v>
      </c>
      <c r="K2222" s="195">
        <v>46122.624907407408</v>
      </c>
      <c r="L2222">
        <v>133</v>
      </c>
      <c r="M2222">
        <v>0</v>
      </c>
      <c r="N2222" s="98" t="str">
        <f>IF(record[[#This Row],[Memo]]="Browser:chrome os:android","平板報工",IF(record[[#This Row],[Memo]]=0,"委外",record[[#This Row],[Memo]]))</f>
        <v>平板報工</v>
      </c>
      <c r="O2222" t="s">
        <v>643</v>
      </c>
      <c r="P2222" t="s">
        <v>1413</v>
      </c>
      <c r="Q2222" t="s">
        <v>644</v>
      </c>
      <c r="R2222" t="str">
        <f>IFERROR(VLOOKUP(record[[#This Row],[PCUSTID]],廠商[],2,FALSE),"")</f>
        <v/>
      </c>
      <c r="S2222" t="str">
        <f>VLOOKUP(record[[#This Row],[employeeID]],員工[],2,FALSE)</f>
        <v>阮氏芳英(芳)</v>
      </c>
    </row>
    <row r="2223" spans="6:19" hidden="1" x14ac:dyDescent="0.25">
      <c r="F2223" t="s">
        <v>1767</v>
      </c>
      <c r="G2223" t="s">
        <v>417</v>
      </c>
      <c r="H2223" t="str">
        <f>VLOOKUP(record[[#This Row],[ProcessSN]],表格2_7[],2,FALSE)</f>
        <v>30-4118-018-5XX</v>
      </c>
      <c r="I2223" t="str">
        <f>VLOOKUP(record[[#This Row],[ProcessSN]],表格2_7[],3,FALSE)</f>
        <v>#06</v>
      </c>
      <c r="J2223" t="s">
        <v>593</v>
      </c>
      <c r="K2223" s="195">
        <v>46122.624155092592</v>
      </c>
      <c r="L2223">
        <v>8</v>
      </c>
      <c r="M2223">
        <v>0</v>
      </c>
      <c r="N2223" s="98" t="str">
        <f>IF(record[[#This Row],[Memo]]="Browser:chrome os:android","平板報工",IF(record[[#This Row],[Memo]]=0,"委外",record[[#This Row],[Memo]]))</f>
        <v>平板報工</v>
      </c>
      <c r="O2223" t="s">
        <v>643</v>
      </c>
      <c r="P2223" t="s">
        <v>1413</v>
      </c>
      <c r="Q2223" t="s">
        <v>644</v>
      </c>
      <c r="R2223" t="str">
        <f>IFERROR(VLOOKUP(record[[#This Row],[PCUSTID]],廠商[],2,FALSE),"")</f>
        <v/>
      </c>
      <c r="S2223" t="str">
        <f>VLOOKUP(record[[#This Row],[employeeID]],員工[],2,FALSE)</f>
        <v>阮氏芳英(芳)</v>
      </c>
    </row>
    <row r="2224" spans="6:19" hidden="1" x14ac:dyDescent="0.25">
      <c r="F2224" t="s">
        <v>1788</v>
      </c>
      <c r="G2224" t="s">
        <v>397</v>
      </c>
      <c r="H2224" t="str">
        <f>VLOOKUP(record[[#This Row],[ProcessSN]],表格2_7[],2,FALSE)</f>
        <v>30-4118-018-550</v>
      </c>
      <c r="I2224" t="str">
        <f>VLOOKUP(record[[#This Row],[ProcessSN]],表格2_7[],3,FALSE)</f>
        <v>#08</v>
      </c>
      <c r="J2224" t="s">
        <v>597</v>
      </c>
      <c r="K2224" s="195">
        <v>46122.587048611109</v>
      </c>
      <c r="L2224">
        <v>504</v>
      </c>
      <c r="M2224">
        <v>0</v>
      </c>
      <c r="N2224" s="98" t="str">
        <f>IF(record[[#This Row],[Memo]]="Browser:chrome os:android","平板報工",IF(record[[#This Row],[Memo]]=0,"委外",record[[#This Row],[Memo]]))</f>
        <v>委外</v>
      </c>
      <c r="P2224" t="s">
        <v>186</v>
      </c>
      <c r="Q2224" t="s">
        <v>287</v>
      </c>
      <c r="R2224" t="str">
        <f>IFERROR(VLOOKUP(record[[#This Row],[PCUSTID]],廠商[],2,FALSE),"")</f>
        <v>泉盛</v>
      </c>
      <c r="S2224" t="str">
        <f>VLOOKUP(record[[#This Row],[employeeID]],員工[],2,FALSE)</f>
        <v>許文姍</v>
      </c>
    </row>
    <row r="2225" spans="6:19" hidden="1" x14ac:dyDescent="0.25">
      <c r="F2225" t="s">
        <v>1788</v>
      </c>
      <c r="G2225" t="s">
        <v>396</v>
      </c>
      <c r="H2225" t="str">
        <f>VLOOKUP(record[[#This Row],[ProcessSN]],表格2_7[],2,FALSE)</f>
        <v>30-4118-018-550</v>
      </c>
      <c r="I2225" t="str">
        <f>VLOOKUP(record[[#This Row],[ProcessSN]],表格2_7[],3,FALSE)</f>
        <v>#08PICK</v>
      </c>
      <c r="J2225" t="s">
        <v>582</v>
      </c>
      <c r="K2225" s="195">
        <v>46122.585300925923</v>
      </c>
      <c r="L2225">
        <v>504</v>
      </c>
      <c r="M2225">
        <v>0</v>
      </c>
      <c r="N2225" s="98" t="str">
        <f>IF(record[[#This Row],[Memo]]="Browser:chrome os:android","平板報工",IF(record[[#This Row],[Memo]]=0,"委外",record[[#This Row],[Memo]]))</f>
        <v/>
      </c>
      <c r="O2225" t="s">
        <v>58</v>
      </c>
      <c r="P2225" t="s">
        <v>186</v>
      </c>
      <c r="Q2225" t="s">
        <v>58</v>
      </c>
      <c r="R2225" t="str">
        <f>IFERROR(VLOOKUP(record[[#This Row],[PCUSTID]],廠商[],2,FALSE),"")</f>
        <v/>
      </c>
      <c r="S2225" t="str">
        <f>VLOOKUP(record[[#This Row],[employeeID]],員工[],2,FALSE)</f>
        <v>許文姍</v>
      </c>
    </row>
    <row r="2226" spans="6:19" hidden="1" x14ac:dyDescent="0.25">
      <c r="F2226" t="s">
        <v>1653</v>
      </c>
      <c r="G2226" t="s">
        <v>420</v>
      </c>
      <c r="H2226" t="str">
        <f>VLOOKUP(record[[#This Row],[ProcessSN]],表格2_7[],2,FALSE)</f>
        <v>30-4118-018-5XX</v>
      </c>
      <c r="I2226" t="str">
        <f>VLOOKUP(record[[#This Row],[ProcessSN]],表格2_7[],3,FALSE)</f>
        <v>#07STOCK</v>
      </c>
      <c r="J2226" t="s">
        <v>592</v>
      </c>
      <c r="K2226" s="195">
        <v>46122.573541666665</v>
      </c>
      <c r="L2226">
        <v>504</v>
      </c>
      <c r="M2226">
        <v>0</v>
      </c>
      <c r="N2226" s="98" t="str">
        <f>IF(record[[#This Row],[Memo]]="Browser:chrome os:android","平板報工",IF(record[[#This Row],[Memo]]=0,"委外",record[[#This Row],[Memo]]))</f>
        <v/>
      </c>
      <c r="O2226" t="s">
        <v>58</v>
      </c>
      <c r="P2226" t="s">
        <v>186</v>
      </c>
      <c r="Q2226" t="s">
        <v>58</v>
      </c>
      <c r="R2226" t="str">
        <f>IFERROR(VLOOKUP(record[[#This Row],[PCUSTID]],廠商[],2,FALSE),"")</f>
        <v/>
      </c>
      <c r="S2226" t="str">
        <f>VLOOKUP(record[[#This Row],[employeeID]],員工[],2,FALSE)</f>
        <v>許文姍</v>
      </c>
    </row>
    <row r="2227" spans="6:19" hidden="1" x14ac:dyDescent="0.25">
      <c r="F2227" t="s">
        <v>1653</v>
      </c>
      <c r="G2227" t="s">
        <v>419</v>
      </c>
      <c r="H2227" t="str">
        <f>VLOOKUP(record[[#This Row],[ProcessSN]],表格2_7[],2,FALSE)</f>
        <v>30-4118-018-5XX</v>
      </c>
      <c r="I2227" t="str">
        <f>VLOOKUP(record[[#This Row],[ProcessSN]],表格2_7[],3,FALSE)</f>
        <v>#07QC</v>
      </c>
      <c r="J2227" t="s">
        <v>589</v>
      </c>
      <c r="K2227" s="195">
        <v>46122.553182870368</v>
      </c>
      <c r="L2227">
        <v>0</v>
      </c>
      <c r="M2227">
        <v>12</v>
      </c>
      <c r="N2227" s="98" t="str">
        <f>IF(record[[#This Row],[Memo]]="Browser:chrome os:android","平板報工",IF(record[[#This Row],[Memo]]=0,"委外",record[[#This Row],[Memo]]))</f>
        <v/>
      </c>
      <c r="O2227" t="s">
        <v>58</v>
      </c>
      <c r="P2227" t="s">
        <v>141</v>
      </c>
      <c r="Q2227" t="s">
        <v>58</v>
      </c>
      <c r="R2227" t="str">
        <f>IFERROR(VLOOKUP(record[[#This Row],[PCUSTID]],廠商[],2,FALSE),"")</f>
        <v/>
      </c>
      <c r="S2227" t="str">
        <f>VLOOKUP(record[[#This Row],[employeeID]],員工[],2,FALSE)</f>
        <v>蔣梅</v>
      </c>
    </row>
    <row r="2228" spans="6:19" hidden="1" x14ac:dyDescent="0.25">
      <c r="F2228" t="s">
        <v>1653</v>
      </c>
      <c r="G2228" t="s">
        <v>419</v>
      </c>
      <c r="H2228" t="str">
        <f>VLOOKUP(record[[#This Row],[ProcessSN]],表格2_7[],2,FALSE)</f>
        <v>30-4118-018-5XX</v>
      </c>
      <c r="I2228" t="str">
        <f>VLOOKUP(record[[#This Row],[ProcessSN]],表格2_7[],3,FALSE)</f>
        <v>#07QC</v>
      </c>
      <c r="J2228" t="s">
        <v>589</v>
      </c>
      <c r="K2228" s="195">
        <v>46122.497094907405</v>
      </c>
      <c r="L2228">
        <v>504</v>
      </c>
      <c r="M2228">
        <v>0</v>
      </c>
      <c r="N2228" s="98" t="str">
        <f>IF(record[[#This Row],[Memo]]="Browser:chrome os:android","平板報工",IF(record[[#This Row],[Memo]]=0,"委外",record[[#This Row],[Memo]]))</f>
        <v/>
      </c>
      <c r="O2228" t="s">
        <v>58</v>
      </c>
      <c r="P2228" t="s">
        <v>141</v>
      </c>
      <c r="Q2228" t="s">
        <v>58</v>
      </c>
      <c r="R2228" t="str">
        <f>IFERROR(VLOOKUP(record[[#This Row],[PCUSTID]],廠商[],2,FALSE),"")</f>
        <v/>
      </c>
      <c r="S2228" t="str">
        <f>VLOOKUP(record[[#This Row],[employeeID]],員工[],2,FALSE)</f>
        <v>蔣梅</v>
      </c>
    </row>
    <row r="2229" spans="6:19" hidden="1" x14ac:dyDescent="0.25">
      <c r="F2229" t="s">
        <v>1787</v>
      </c>
      <c r="G2229" t="s">
        <v>462</v>
      </c>
      <c r="H2229" t="str">
        <f>VLOOKUP(record[[#This Row],[ProcessSN]],表格2_7[],2,FALSE)</f>
        <v>30-4118-018-XXX</v>
      </c>
      <c r="I2229" t="str">
        <f>VLOOKUP(record[[#This Row],[ProcessSN]],表格2_7[],3,FALSE)</f>
        <v>#00PICK</v>
      </c>
      <c r="J2229" t="s">
        <v>582</v>
      </c>
      <c r="K2229" s="195">
        <v>46122.445300925923</v>
      </c>
      <c r="L2229">
        <v>5000</v>
      </c>
      <c r="M2229">
        <v>0</v>
      </c>
      <c r="N2229" s="98" t="str">
        <f>IF(record[[#This Row],[Memo]]="Browser:chrome os:android","平板報工",IF(record[[#This Row],[Memo]]=0,"委外",record[[#This Row],[Memo]]))</f>
        <v/>
      </c>
      <c r="O2229" t="s">
        <v>58</v>
      </c>
      <c r="P2229" t="s">
        <v>186</v>
      </c>
      <c r="Q2229" t="s">
        <v>58</v>
      </c>
      <c r="R2229" t="str">
        <f>IFERROR(VLOOKUP(record[[#This Row],[PCUSTID]],廠商[],2,FALSE),"")</f>
        <v/>
      </c>
      <c r="S2229" t="str">
        <f>VLOOKUP(record[[#This Row],[employeeID]],員工[],2,FALSE)</f>
        <v>許文姍</v>
      </c>
    </row>
    <row r="2230" spans="6:19" hidden="1" x14ac:dyDescent="0.25">
      <c r="F2230" t="s">
        <v>1705</v>
      </c>
      <c r="G2230" t="s">
        <v>428</v>
      </c>
      <c r="H2230" t="str">
        <f>VLOOKUP(record[[#This Row],[ProcessSN]],表格2_7[],2,FALSE)</f>
        <v>30-4118-018-600</v>
      </c>
      <c r="I2230" t="str">
        <f>VLOOKUP(record[[#This Row],[ProcessSN]],表格2_7[],3,FALSE)</f>
        <v>#100SHIP</v>
      </c>
      <c r="J2230" t="s">
        <v>600</v>
      </c>
      <c r="K2230" s="195">
        <v>46122.43346064815</v>
      </c>
      <c r="L2230">
        <v>194</v>
      </c>
      <c r="M2230">
        <v>0</v>
      </c>
      <c r="N2230" s="98" t="str">
        <f>IF(record[[#This Row],[Memo]]="Browser:chrome os:android","平板報工",IF(record[[#This Row],[Memo]]=0,"委外",record[[#This Row],[Memo]]))</f>
        <v/>
      </c>
      <c r="O2230" t="s">
        <v>58</v>
      </c>
      <c r="P2230" t="s">
        <v>886</v>
      </c>
      <c r="Q2230" t="s">
        <v>58</v>
      </c>
      <c r="R2230" t="str">
        <f>IFERROR(VLOOKUP(record[[#This Row],[PCUSTID]],廠商[],2,FALSE),"")</f>
        <v/>
      </c>
      <c r="S2230" t="str">
        <f>VLOOKUP(record[[#This Row],[employeeID]],員工[],2,FALSE)</f>
        <v>謝蓁薰</v>
      </c>
    </row>
    <row r="2231" spans="6:19" hidden="1" x14ac:dyDescent="0.25">
      <c r="F2231" t="s">
        <v>1693</v>
      </c>
      <c r="G2231" t="s">
        <v>428</v>
      </c>
      <c r="H2231" t="str">
        <f>VLOOKUP(record[[#This Row],[ProcessSN]],表格2_7[],2,FALSE)</f>
        <v>30-4118-018-600</v>
      </c>
      <c r="I2231" t="str">
        <f>VLOOKUP(record[[#This Row],[ProcessSN]],表格2_7[],3,FALSE)</f>
        <v>#100SHIP</v>
      </c>
      <c r="J2231" t="s">
        <v>600</v>
      </c>
      <c r="K2231" s="195">
        <v>46122.433229166665</v>
      </c>
      <c r="L2231">
        <v>31</v>
      </c>
      <c r="M2231">
        <v>0</v>
      </c>
      <c r="N2231" s="98" t="str">
        <f>IF(record[[#This Row],[Memo]]="Browser:chrome os:android","平板報工",IF(record[[#This Row],[Memo]]=0,"委外",record[[#This Row],[Memo]]))</f>
        <v/>
      </c>
      <c r="O2231" t="s">
        <v>58</v>
      </c>
      <c r="P2231" t="s">
        <v>886</v>
      </c>
      <c r="Q2231" t="s">
        <v>58</v>
      </c>
      <c r="R2231" t="str">
        <f>IFERROR(VLOOKUP(record[[#This Row],[PCUSTID]],廠商[],2,FALSE),"")</f>
        <v/>
      </c>
      <c r="S2231" t="str">
        <f>VLOOKUP(record[[#This Row],[employeeID]],員工[],2,FALSE)</f>
        <v>謝蓁薰</v>
      </c>
    </row>
    <row r="2232" spans="6:19" hidden="1" x14ac:dyDescent="0.25">
      <c r="F2232" t="s">
        <v>1722</v>
      </c>
      <c r="G2232" t="s">
        <v>403</v>
      </c>
      <c r="H2232" t="str">
        <f>VLOOKUP(record[[#This Row],[ProcessSN]],表格2_7[],2,FALSE)</f>
        <v>30-4118-018-550</v>
      </c>
      <c r="I2232" t="str">
        <f>VLOOKUP(record[[#This Row],[ProcessSN]],表格2_7[],3,FALSE)</f>
        <v>#100SHIP</v>
      </c>
      <c r="J2232" t="s">
        <v>600</v>
      </c>
      <c r="K2232" s="195">
        <v>46122.43310185185</v>
      </c>
      <c r="L2232">
        <v>114</v>
      </c>
      <c r="M2232">
        <v>0</v>
      </c>
      <c r="N2232" s="98" t="str">
        <f>IF(record[[#This Row],[Memo]]="Browser:chrome os:android","平板報工",IF(record[[#This Row],[Memo]]=0,"委外",record[[#This Row],[Memo]]))</f>
        <v/>
      </c>
      <c r="O2232" t="s">
        <v>58</v>
      </c>
      <c r="P2232" t="s">
        <v>886</v>
      </c>
      <c r="Q2232" t="s">
        <v>58</v>
      </c>
      <c r="R2232" t="str">
        <f>IFERROR(VLOOKUP(record[[#This Row],[PCUSTID]],廠商[],2,FALSE),"")</f>
        <v/>
      </c>
      <c r="S2232" t="str">
        <f>VLOOKUP(record[[#This Row],[employeeID]],員工[],2,FALSE)</f>
        <v>謝蓁薰</v>
      </c>
    </row>
    <row r="2233" spans="6:19" hidden="1" x14ac:dyDescent="0.25">
      <c r="F2233" t="s">
        <v>1660</v>
      </c>
      <c r="G2233" t="s">
        <v>403</v>
      </c>
      <c r="H2233" t="str">
        <f>VLOOKUP(record[[#This Row],[ProcessSN]],表格2_7[],2,FALSE)</f>
        <v>30-4118-018-550</v>
      </c>
      <c r="I2233" t="str">
        <f>VLOOKUP(record[[#This Row],[ProcessSN]],表格2_7[],3,FALSE)</f>
        <v>#100SHIP</v>
      </c>
      <c r="J2233" t="s">
        <v>600</v>
      </c>
      <c r="K2233" s="195">
        <v>46122.432916666665</v>
      </c>
      <c r="L2233">
        <v>74</v>
      </c>
      <c r="M2233">
        <v>0</v>
      </c>
      <c r="N2233" s="98" t="str">
        <f>IF(record[[#This Row],[Memo]]="Browser:chrome os:android","平板報工",IF(record[[#This Row],[Memo]]=0,"委外",record[[#This Row],[Memo]]))</f>
        <v/>
      </c>
      <c r="O2233" t="s">
        <v>58</v>
      </c>
      <c r="P2233" t="s">
        <v>886</v>
      </c>
      <c r="Q2233" t="s">
        <v>58</v>
      </c>
      <c r="R2233" t="str">
        <f>IFERROR(VLOOKUP(record[[#This Row],[PCUSTID]],廠商[],2,FALSE),"")</f>
        <v/>
      </c>
      <c r="S2233" t="str">
        <f>VLOOKUP(record[[#This Row],[employeeID]],員工[],2,FALSE)</f>
        <v>謝蓁薰</v>
      </c>
    </row>
    <row r="2234" spans="6:19" hidden="1" x14ac:dyDescent="0.25">
      <c r="F2234" t="s">
        <v>1715</v>
      </c>
      <c r="G2234" t="s">
        <v>403</v>
      </c>
      <c r="H2234" t="str">
        <f>VLOOKUP(record[[#This Row],[ProcessSN]],表格2_7[],2,FALSE)</f>
        <v>30-4118-018-550</v>
      </c>
      <c r="I2234" t="str">
        <f>VLOOKUP(record[[#This Row],[ProcessSN]],表格2_7[],3,FALSE)</f>
        <v>#100SHIP</v>
      </c>
      <c r="J2234" t="s">
        <v>600</v>
      </c>
      <c r="K2234" s="195">
        <v>46122.43277777778</v>
      </c>
      <c r="L2234">
        <v>312</v>
      </c>
      <c r="M2234">
        <v>0</v>
      </c>
      <c r="N2234" s="98" t="str">
        <f>IF(record[[#This Row],[Memo]]="Browser:chrome os:android","平板報工",IF(record[[#This Row],[Memo]]=0,"委外",record[[#This Row],[Memo]]))</f>
        <v/>
      </c>
      <c r="O2234" t="s">
        <v>58</v>
      </c>
      <c r="P2234" t="s">
        <v>886</v>
      </c>
      <c r="Q2234" t="s">
        <v>58</v>
      </c>
      <c r="R2234" t="str">
        <f>IFERROR(VLOOKUP(record[[#This Row],[PCUSTID]],廠商[],2,FALSE),"")</f>
        <v/>
      </c>
      <c r="S2234" t="str">
        <f>VLOOKUP(record[[#This Row],[employeeID]],員工[],2,FALSE)</f>
        <v>謝蓁薰</v>
      </c>
    </row>
    <row r="2235" spans="6:19" hidden="1" x14ac:dyDescent="0.25">
      <c r="F2235" t="s">
        <v>1737</v>
      </c>
      <c r="G2235" t="s">
        <v>362</v>
      </c>
      <c r="H2235" t="str">
        <f>VLOOKUP(record[[#This Row],[ProcessSN]],表格2_7[],2,FALSE)</f>
        <v>30-4118-018-450</v>
      </c>
      <c r="I2235" t="str">
        <f>VLOOKUP(record[[#This Row],[ProcessSN]],表格2_7[],3,FALSE)</f>
        <v>#100SHIP</v>
      </c>
      <c r="J2235" t="s">
        <v>600</v>
      </c>
      <c r="K2235" s="195">
        <v>46122.432650462964</v>
      </c>
      <c r="L2235">
        <v>500</v>
      </c>
      <c r="M2235">
        <v>0</v>
      </c>
      <c r="N2235" s="98" t="str">
        <f>IF(record[[#This Row],[Memo]]="Browser:chrome os:android","平板報工",IF(record[[#This Row],[Memo]]=0,"委外",record[[#This Row],[Memo]]))</f>
        <v/>
      </c>
      <c r="O2235" t="s">
        <v>58</v>
      </c>
      <c r="P2235" t="s">
        <v>886</v>
      </c>
      <c r="Q2235" t="s">
        <v>58</v>
      </c>
      <c r="R2235" t="str">
        <f>IFERROR(VLOOKUP(record[[#This Row],[PCUSTID]],廠商[],2,FALSE),"")</f>
        <v/>
      </c>
      <c r="S2235" t="str">
        <f>VLOOKUP(record[[#This Row],[employeeID]],員工[],2,FALSE)</f>
        <v>謝蓁薰</v>
      </c>
    </row>
    <row r="2236" spans="6:19" hidden="1" x14ac:dyDescent="0.25">
      <c r="F2236" t="s">
        <v>1737</v>
      </c>
      <c r="G2236" t="s">
        <v>361</v>
      </c>
      <c r="H2236" t="str">
        <f>VLOOKUP(record[[#This Row],[ProcessSN]],表格2_7[],2,FALSE)</f>
        <v>30-4118-018-450</v>
      </c>
      <c r="I2236" t="str">
        <f>VLOOKUP(record[[#This Row],[ProcessSN]],表格2_7[],3,FALSE)</f>
        <v>#100STOCK</v>
      </c>
      <c r="J2236" t="s">
        <v>592</v>
      </c>
      <c r="K2236" s="195">
        <v>46122.432546296295</v>
      </c>
      <c r="L2236">
        <v>528</v>
      </c>
      <c r="M2236">
        <v>0</v>
      </c>
      <c r="N2236" s="98" t="str">
        <f>IF(record[[#This Row],[Memo]]="Browser:chrome os:android","平板報工",IF(record[[#This Row],[Memo]]=0,"委外",record[[#This Row],[Memo]]))</f>
        <v/>
      </c>
      <c r="O2236" t="s">
        <v>58</v>
      </c>
      <c r="P2236" t="s">
        <v>886</v>
      </c>
      <c r="Q2236" t="s">
        <v>58</v>
      </c>
      <c r="R2236" t="str">
        <f>IFERROR(VLOOKUP(record[[#This Row],[PCUSTID]],廠商[],2,FALSE),"")</f>
        <v/>
      </c>
      <c r="S2236" t="str">
        <f>VLOOKUP(record[[#This Row],[employeeID]],員工[],2,FALSE)</f>
        <v>謝蓁薰</v>
      </c>
    </row>
    <row r="2237" spans="6:19" hidden="1" x14ac:dyDescent="0.25">
      <c r="F2237" t="s">
        <v>1655</v>
      </c>
      <c r="G2237" t="s">
        <v>469</v>
      </c>
      <c r="H2237" t="str">
        <f>VLOOKUP(record[[#This Row],[ProcessSN]],表格2_7[],2,FALSE)</f>
        <v>30-4118-018-XXX</v>
      </c>
      <c r="I2237" t="str">
        <f>VLOOKUP(record[[#This Row],[ProcessSN]],表格2_7[],3,FALSE)</f>
        <v>#02RCV</v>
      </c>
      <c r="J2237" t="s">
        <v>591</v>
      </c>
      <c r="K2237" s="195">
        <v>46122.407569444447</v>
      </c>
      <c r="L2237">
        <v>672</v>
      </c>
      <c r="M2237">
        <v>0</v>
      </c>
      <c r="N2237" s="98" t="str">
        <f>IF(record[[#This Row],[Memo]]="Browser:chrome os:android","平板報工",IF(record[[#This Row],[Memo]]=0,"委外",record[[#This Row],[Memo]]))</f>
        <v/>
      </c>
      <c r="O2237" t="s">
        <v>58</v>
      </c>
      <c r="P2237" t="s">
        <v>1698</v>
      </c>
      <c r="Q2237" t="s">
        <v>58</v>
      </c>
      <c r="R2237" t="str">
        <f>IFERROR(VLOOKUP(record[[#This Row],[PCUSTID]],廠商[],2,FALSE),"")</f>
        <v/>
      </c>
      <c r="S2237" t="str">
        <f>VLOOKUP(record[[#This Row],[employeeID]],員工[],2,FALSE)</f>
        <v>羅思潔</v>
      </c>
    </row>
    <row r="2238" spans="6:19" hidden="1" x14ac:dyDescent="0.25">
      <c r="F2238" t="s">
        <v>1655</v>
      </c>
      <c r="G2238" t="s">
        <v>468</v>
      </c>
      <c r="H2238" t="str">
        <f>VLOOKUP(record[[#This Row],[ProcessSN]],表格2_7[],2,FALSE)</f>
        <v>30-4118-018-XXX</v>
      </c>
      <c r="I2238" t="str">
        <f>VLOOKUP(record[[#This Row],[ProcessSN]],表格2_7[],3,FALSE)</f>
        <v>#02</v>
      </c>
      <c r="J2238" t="s">
        <v>590</v>
      </c>
      <c r="K2238" s="195">
        <v>46122.3827662037</v>
      </c>
      <c r="L2238">
        <v>1008</v>
      </c>
      <c r="M2238">
        <v>0</v>
      </c>
      <c r="N2238" s="98" t="str">
        <f>IF(record[[#This Row],[Memo]]="Browser:chrome os:android","平板報工",IF(record[[#This Row],[Memo]]=0,"委外",record[[#This Row],[Memo]]))</f>
        <v>委外</v>
      </c>
      <c r="P2238" t="s">
        <v>186</v>
      </c>
      <c r="Q2238" t="s">
        <v>216</v>
      </c>
      <c r="R2238" t="str">
        <f>IFERROR(VLOOKUP(record[[#This Row],[PCUSTID]],廠商[],2,FALSE),"")</f>
        <v>俊杰</v>
      </c>
      <c r="S2238" t="str">
        <f>VLOOKUP(record[[#This Row],[employeeID]],員工[],2,FALSE)</f>
        <v>許文姍</v>
      </c>
    </row>
    <row r="2239" spans="6:19" hidden="1" x14ac:dyDescent="0.25">
      <c r="F2239" t="s">
        <v>1655</v>
      </c>
      <c r="G2239" t="s">
        <v>467</v>
      </c>
      <c r="H2239" t="str">
        <f>VLOOKUP(record[[#This Row],[ProcessSN]],表格2_7[],2,FALSE)</f>
        <v>30-4118-018-XXX</v>
      </c>
      <c r="I2239" t="str">
        <f>VLOOKUP(record[[#This Row],[ProcessSN]],表格2_7[],3,FALSE)</f>
        <v>#01QC</v>
      </c>
      <c r="J2239" t="s">
        <v>589</v>
      </c>
      <c r="K2239" s="195">
        <v>46122.354664351849</v>
      </c>
      <c r="L2239">
        <v>1008</v>
      </c>
      <c r="M2239">
        <v>0</v>
      </c>
      <c r="N2239" s="98" t="str">
        <f>IF(record[[#This Row],[Memo]]="Browser:chrome os:android","平板報工",IF(record[[#This Row],[Memo]]=0,"委外",record[[#This Row],[Memo]]))</f>
        <v>平板報工</v>
      </c>
      <c r="O2239" t="s">
        <v>643</v>
      </c>
      <c r="P2239" t="s">
        <v>182</v>
      </c>
      <c r="Q2239" t="s">
        <v>644</v>
      </c>
      <c r="R2239" t="str">
        <f>IFERROR(VLOOKUP(record[[#This Row],[PCUSTID]],廠商[],2,FALSE),"")</f>
        <v/>
      </c>
      <c r="S2239" t="str">
        <f>VLOOKUP(record[[#This Row],[employeeID]],員工[],2,FALSE)</f>
        <v>梅氏和</v>
      </c>
    </row>
    <row r="2240" spans="6:19" hidden="1" x14ac:dyDescent="0.25">
      <c r="F2240" t="s">
        <v>1737</v>
      </c>
      <c r="G2240" t="s">
        <v>360</v>
      </c>
      <c r="H2240" t="str">
        <f>VLOOKUP(record[[#This Row],[ProcessSN]],表格2_7[],2,FALSE)</f>
        <v>30-4118-018-450</v>
      </c>
      <c r="I2240" t="str">
        <f>VLOOKUP(record[[#This Row],[ProcessSN]],表格2_7[],3,FALSE)</f>
        <v>#100OQC</v>
      </c>
      <c r="J2240" t="s">
        <v>599</v>
      </c>
      <c r="K2240" s="195">
        <v>46122.339039351849</v>
      </c>
      <c r="L2240">
        <v>528</v>
      </c>
      <c r="M2240">
        <v>0</v>
      </c>
      <c r="N2240" s="98" t="str">
        <f>IF(record[[#This Row],[Memo]]="Browser:chrome os:android","平板報工",IF(record[[#This Row],[Memo]]=0,"委外",record[[#This Row],[Memo]]))</f>
        <v/>
      </c>
      <c r="O2240" t="s">
        <v>58</v>
      </c>
      <c r="P2240" t="s">
        <v>121</v>
      </c>
      <c r="Q2240" t="s">
        <v>58</v>
      </c>
      <c r="R2240" t="str">
        <f>IFERROR(VLOOKUP(record[[#This Row],[PCUSTID]],廠商[],2,FALSE),"")</f>
        <v/>
      </c>
      <c r="S2240" t="str">
        <f>VLOOKUP(record[[#This Row],[employeeID]],員工[],2,FALSE)</f>
        <v>謝素卿</v>
      </c>
    </row>
    <row r="2241" spans="6:19" hidden="1" x14ac:dyDescent="0.25">
      <c r="F2241" t="s">
        <v>1767</v>
      </c>
      <c r="G2241" t="s">
        <v>417</v>
      </c>
      <c r="H2241" t="str">
        <f>VLOOKUP(record[[#This Row],[ProcessSN]],表格2_7[],2,FALSE)</f>
        <v>30-4118-018-5XX</v>
      </c>
      <c r="I2241" t="str">
        <f>VLOOKUP(record[[#This Row],[ProcessSN]],表格2_7[],3,FALSE)</f>
        <v>#06</v>
      </c>
      <c r="J2241" t="s">
        <v>593</v>
      </c>
      <c r="K2241" s="195">
        <v>46122.317847222221</v>
      </c>
      <c r="L2241">
        <v>115</v>
      </c>
      <c r="M2241">
        <v>0</v>
      </c>
      <c r="N2241" s="98" t="str">
        <f>IF(record[[#This Row],[Memo]]="Browser:chrome os:android","平板報工",IF(record[[#This Row],[Memo]]=0,"委外",record[[#This Row],[Memo]]))</f>
        <v/>
      </c>
      <c r="O2241" t="s">
        <v>58</v>
      </c>
      <c r="P2241" t="s">
        <v>691</v>
      </c>
      <c r="Q2241" t="s">
        <v>58</v>
      </c>
      <c r="R2241" t="str">
        <f>IFERROR(VLOOKUP(record[[#This Row],[PCUSTID]],廠商[],2,FALSE),"")</f>
        <v/>
      </c>
      <c r="S2241" t="str">
        <f>VLOOKUP(record[[#This Row],[employeeID]],員工[],2,FALSE)</f>
        <v>武氏賢</v>
      </c>
    </row>
    <row r="2242" spans="6:19" hidden="1" x14ac:dyDescent="0.25">
      <c r="F2242" t="s">
        <v>1653</v>
      </c>
      <c r="G2242" t="s">
        <v>417</v>
      </c>
      <c r="H2242" t="str">
        <f>VLOOKUP(record[[#This Row],[ProcessSN]],表格2_7[],2,FALSE)</f>
        <v>30-4118-018-5XX</v>
      </c>
      <c r="I2242" t="str">
        <f>VLOOKUP(record[[#This Row],[ProcessSN]],表格2_7[],3,FALSE)</f>
        <v>#06</v>
      </c>
      <c r="J2242" t="s">
        <v>593</v>
      </c>
      <c r="K2242" s="195">
        <v>46122.317708333336</v>
      </c>
      <c r="L2242">
        <v>18</v>
      </c>
      <c r="M2242">
        <v>0</v>
      </c>
      <c r="N2242" s="98" t="str">
        <f>IF(record[[#This Row],[Memo]]="Browser:chrome os:android","平板報工",IF(record[[#This Row],[Memo]]=0,"委外",record[[#This Row],[Memo]]))</f>
        <v/>
      </c>
      <c r="O2242" t="s">
        <v>58</v>
      </c>
      <c r="P2242" t="s">
        <v>691</v>
      </c>
      <c r="Q2242" t="s">
        <v>58</v>
      </c>
      <c r="R2242" t="str">
        <f>IFERROR(VLOOKUP(record[[#This Row],[PCUSTID]],廠商[],2,FALSE),"")</f>
        <v/>
      </c>
      <c r="S2242" t="str">
        <f>VLOOKUP(record[[#This Row],[employeeID]],員工[],2,FALSE)</f>
        <v>武氏賢</v>
      </c>
    </row>
    <row r="2243" spans="6:19" hidden="1" x14ac:dyDescent="0.25">
      <c r="F2243" t="s">
        <v>1653</v>
      </c>
      <c r="G2243" t="s">
        <v>418</v>
      </c>
      <c r="H2243" t="str">
        <f>VLOOKUP(record[[#This Row],[ProcessSN]],表格2_7[],2,FALSE)</f>
        <v>30-4118-018-5XX</v>
      </c>
      <c r="I2243" t="str">
        <f>VLOOKUP(record[[#This Row],[ProcessSN]],表格2_7[],3,FALSE)</f>
        <v>#07</v>
      </c>
      <c r="J2243" t="s">
        <v>588</v>
      </c>
      <c r="K2243" s="195">
        <v>46122.316874999997</v>
      </c>
      <c r="L2243">
        <v>185</v>
      </c>
      <c r="M2243">
        <v>1</v>
      </c>
      <c r="N2243" s="98" t="str">
        <f>IF(record[[#This Row],[Memo]]="Browser:chrome os:android","平板報工",IF(record[[#This Row],[Memo]]=0,"委外",record[[#This Row],[Memo]]))</f>
        <v/>
      </c>
      <c r="O2243" t="s">
        <v>58</v>
      </c>
      <c r="P2243" t="s">
        <v>806</v>
      </c>
      <c r="Q2243" t="s">
        <v>58</v>
      </c>
      <c r="R2243" t="str">
        <f>IFERROR(VLOOKUP(record[[#This Row],[PCUSTID]],廠商[],2,FALSE),"")</f>
        <v/>
      </c>
      <c r="S2243" t="str">
        <f>VLOOKUP(record[[#This Row],[employeeID]],員工[],2,FALSE)</f>
        <v>方思緯</v>
      </c>
    </row>
    <row r="2244" spans="6:19" hidden="1" x14ac:dyDescent="0.25">
      <c r="F2244" t="s">
        <v>1655</v>
      </c>
      <c r="G2244" t="s">
        <v>466</v>
      </c>
      <c r="H2244" t="str">
        <f>VLOOKUP(record[[#This Row],[ProcessSN]],表格2_7[],2,FALSE)</f>
        <v>30-4118-018-XXX</v>
      </c>
      <c r="I2244" t="str">
        <f>VLOOKUP(record[[#This Row],[ProcessSN]],表格2_7[],3,FALSE)</f>
        <v>#01-2</v>
      </c>
      <c r="J2244" t="s">
        <v>588</v>
      </c>
      <c r="K2244" s="195">
        <v>46122.316701388889</v>
      </c>
      <c r="L2244">
        <v>560</v>
      </c>
      <c r="M2244">
        <v>0</v>
      </c>
      <c r="N2244" s="98" t="str">
        <f>IF(record[[#This Row],[Memo]]="Browser:chrome os:android","平板報工",IF(record[[#This Row],[Memo]]=0,"委外",record[[#This Row],[Memo]]))</f>
        <v/>
      </c>
      <c r="O2244" t="s">
        <v>58</v>
      </c>
      <c r="P2244" t="s">
        <v>806</v>
      </c>
      <c r="Q2244" t="s">
        <v>58</v>
      </c>
      <c r="R2244" t="str">
        <f>IFERROR(VLOOKUP(record[[#This Row],[PCUSTID]],廠商[],2,FALSE),"")</f>
        <v/>
      </c>
      <c r="S2244" t="str">
        <f>VLOOKUP(record[[#This Row],[employeeID]],員工[],2,FALSE)</f>
        <v>方思緯</v>
      </c>
    </row>
    <row r="2245" spans="6:19" hidden="1" x14ac:dyDescent="0.25">
      <c r="F2245" t="s">
        <v>1767</v>
      </c>
      <c r="G2245" t="s">
        <v>416</v>
      </c>
      <c r="H2245" t="str">
        <f>VLOOKUP(record[[#This Row],[ProcessSN]],表格2_7[],2,FALSE)</f>
        <v>30-4118-018-5XX</v>
      </c>
      <c r="I2245" t="str">
        <f>VLOOKUP(record[[#This Row],[ProcessSN]],表格2_7[],3,FALSE)</f>
        <v>#05</v>
      </c>
      <c r="J2245" t="s">
        <v>588</v>
      </c>
      <c r="K2245" s="195">
        <v>46122.315057870372</v>
      </c>
      <c r="L2245">
        <v>214</v>
      </c>
      <c r="M2245">
        <v>0</v>
      </c>
      <c r="N2245" s="98" t="str">
        <f>IF(record[[#This Row],[Memo]]="Browser:chrome os:android","平板報工",IF(record[[#This Row],[Memo]]=0,"委外",record[[#This Row],[Memo]]))</f>
        <v/>
      </c>
      <c r="O2245" t="s">
        <v>58</v>
      </c>
      <c r="P2245" t="s">
        <v>843</v>
      </c>
      <c r="Q2245" t="s">
        <v>58</v>
      </c>
      <c r="R2245" t="str">
        <f>IFERROR(VLOOKUP(record[[#This Row],[PCUSTID]],廠商[],2,FALSE),"")</f>
        <v/>
      </c>
      <c r="S2245" t="str">
        <f>VLOOKUP(record[[#This Row],[employeeID]],員工[],2,FALSE)</f>
        <v>張楚承</v>
      </c>
    </row>
    <row r="2246" spans="6:19" hidden="1" x14ac:dyDescent="0.25">
      <c r="F2246" t="s">
        <v>1782</v>
      </c>
      <c r="G2246" t="s">
        <v>414</v>
      </c>
      <c r="H2246" t="str">
        <f>VLOOKUP(record[[#This Row],[ProcessSN]],表格2_7[],2,FALSE)</f>
        <v>30-4118-018-5XX</v>
      </c>
      <c r="I2246" t="str">
        <f>VLOOKUP(record[[#This Row],[ProcessSN]],表格2_7[],3,FALSE)</f>
        <v>#03</v>
      </c>
      <c r="J2246" t="s">
        <v>588</v>
      </c>
      <c r="K2246" s="195">
        <v>46122.314837962964</v>
      </c>
      <c r="L2246">
        <v>168</v>
      </c>
      <c r="M2246">
        <v>0</v>
      </c>
      <c r="N2246" s="98" t="str">
        <f>IF(record[[#This Row],[Memo]]="Browser:chrome os:android","平板報工",IF(record[[#This Row],[Memo]]=0,"委外",record[[#This Row],[Memo]]))</f>
        <v/>
      </c>
      <c r="O2246" t="s">
        <v>58</v>
      </c>
      <c r="P2246" t="s">
        <v>135</v>
      </c>
      <c r="Q2246" t="s">
        <v>58</v>
      </c>
      <c r="R2246" t="str">
        <f>IFERROR(VLOOKUP(record[[#This Row],[PCUSTID]],廠商[],2,FALSE),"")</f>
        <v/>
      </c>
      <c r="S2246" t="str">
        <f>VLOOKUP(record[[#This Row],[employeeID]],員工[],2,FALSE)</f>
        <v>阮士文</v>
      </c>
    </row>
    <row r="2247" spans="6:19" hidden="1" x14ac:dyDescent="0.25">
      <c r="F2247" t="s">
        <v>1767</v>
      </c>
      <c r="G2247" t="s">
        <v>415</v>
      </c>
      <c r="H2247" t="str">
        <f>VLOOKUP(record[[#This Row],[ProcessSN]],表格2_7[],2,FALSE)</f>
        <v>30-4118-018-5XX</v>
      </c>
      <c r="I2247" t="str">
        <f>VLOOKUP(record[[#This Row],[ProcessSN]],表格2_7[],3,FALSE)</f>
        <v>#04</v>
      </c>
      <c r="J2247" t="s">
        <v>588</v>
      </c>
      <c r="K2247" s="195">
        <v>46122.314085648148</v>
      </c>
      <c r="L2247">
        <v>150</v>
      </c>
      <c r="M2247">
        <v>0</v>
      </c>
      <c r="N2247" s="98" t="str">
        <f>IF(record[[#This Row],[Memo]]="Browser:chrome os:android","平板報工",IF(record[[#This Row],[Memo]]=0,"委外",record[[#This Row],[Memo]]))</f>
        <v/>
      </c>
      <c r="O2247" t="s">
        <v>58</v>
      </c>
      <c r="P2247" t="s">
        <v>135</v>
      </c>
      <c r="Q2247" t="s">
        <v>58</v>
      </c>
      <c r="R2247" t="str">
        <f>IFERROR(VLOOKUP(record[[#This Row],[PCUSTID]],廠商[],2,FALSE),"")</f>
        <v/>
      </c>
      <c r="S2247" t="str">
        <f>VLOOKUP(record[[#This Row],[employeeID]],員工[],2,FALSE)</f>
        <v>阮士文</v>
      </c>
    </row>
    <row r="2248" spans="6:19" hidden="1" x14ac:dyDescent="0.25">
      <c r="F2248" t="s">
        <v>1653</v>
      </c>
      <c r="G2248" t="s">
        <v>417</v>
      </c>
      <c r="H2248" t="str">
        <f>VLOOKUP(record[[#This Row],[ProcessSN]],表格2_7[],2,FALSE)</f>
        <v>30-4118-018-5XX</v>
      </c>
      <c r="I2248" t="str">
        <f>VLOOKUP(record[[#This Row],[ProcessSN]],表格2_7[],3,FALSE)</f>
        <v>#06</v>
      </c>
      <c r="J2248" t="s">
        <v>593</v>
      </c>
      <c r="K2248" s="195">
        <v>46121.996215277781</v>
      </c>
      <c r="L2248">
        <v>67</v>
      </c>
      <c r="M2248">
        <v>0</v>
      </c>
      <c r="N2248" s="98" t="str">
        <f>IF(record[[#This Row],[Memo]]="Browser:chrome os:android","平板報工",IF(record[[#This Row],[Memo]]=0,"委外",record[[#This Row],[Memo]]))</f>
        <v/>
      </c>
      <c r="O2248" t="s">
        <v>58</v>
      </c>
      <c r="P2248" t="s">
        <v>841</v>
      </c>
      <c r="Q2248" t="s">
        <v>58</v>
      </c>
      <c r="R2248" t="str">
        <f>IFERROR(VLOOKUP(record[[#This Row],[PCUSTID]],廠商[],2,FALSE),"")</f>
        <v/>
      </c>
      <c r="S2248" t="str">
        <f>VLOOKUP(record[[#This Row],[employeeID]],員工[],2,FALSE)</f>
        <v>范氏香</v>
      </c>
    </row>
    <row r="2249" spans="6:19" hidden="1" x14ac:dyDescent="0.25">
      <c r="F2249" t="s">
        <v>1653</v>
      </c>
      <c r="G2249" t="s">
        <v>418</v>
      </c>
      <c r="H2249" t="str">
        <f>VLOOKUP(record[[#This Row],[ProcessSN]],表格2_7[],2,FALSE)</f>
        <v>30-4118-018-5XX</v>
      </c>
      <c r="I2249" t="str">
        <f>VLOOKUP(record[[#This Row],[ProcessSN]],表格2_7[],3,FALSE)</f>
        <v>#07</v>
      </c>
      <c r="J2249" t="s">
        <v>588</v>
      </c>
      <c r="K2249" s="195">
        <v>46121.988576388889</v>
      </c>
      <c r="L2249">
        <v>184</v>
      </c>
      <c r="M2249">
        <v>0</v>
      </c>
      <c r="N2249" s="98" t="str">
        <f>IF(record[[#This Row],[Memo]]="Browser:chrome os:android","平板報工",IF(record[[#This Row],[Memo]]=0,"委外",record[[#This Row],[Memo]]))</f>
        <v/>
      </c>
      <c r="O2249" t="s">
        <v>58</v>
      </c>
      <c r="P2249" t="s">
        <v>89</v>
      </c>
      <c r="Q2249" t="s">
        <v>58</v>
      </c>
      <c r="R2249" t="str">
        <f>IFERROR(VLOOKUP(record[[#This Row],[PCUSTID]],廠商[],2,FALSE),"")</f>
        <v/>
      </c>
      <c r="S2249" t="str">
        <f>VLOOKUP(record[[#This Row],[employeeID]],員工[],2,FALSE)</f>
        <v>李美蓮</v>
      </c>
    </row>
    <row r="2250" spans="6:19" hidden="1" x14ac:dyDescent="0.25">
      <c r="F2250" t="s">
        <v>1655</v>
      </c>
      <c r="G2250" t="s">
        <v>466</v>
      </c>
      <c r="H2250" t="str">
        <f>VLOOKUP(record[[#This Row],[ProcessSN]],表格2_7[],2,FALSE)</f>
        <v>30-4118-018-XXX</v>
      </c>
      <c r="I2250" t="str">
        <f>VLOOKUP(record[[#This Row],[ProcessSN]],表格2_7[],3,FALSE)</f>
        <v>#01-2</v>
      </c>
      <c r="J2250" t="s">
        <v>588</v>
      </c>
      <c r="K2250" s="195">
        <v>46121.987187500003</v>
      </c>
      <c r="L2250">
        <v>330</v>
      </c>
      <c r="M2250">
        <v>0</v>
      </c>
      <c r="N2250" s="98" t="str">
        <f>IF(record[[#This Row],[Memo]]="Browser:chrome os:android","平板報工",IF(record[[#This Row],[Memo]]=0,"委外",record[[#This Row],[Memo]]))</f>
        <v/>
      </c>
      <c r="O2250" t="s">
        <v>58</v>
      </c>
      <c r="P2250" t="s">
        <v>89</v>
      </c>
      <c r="Q2250" t="s">
        <v>58</v>
      </c>
      <c r="R2250" t="str">
        <f>IFERROR(VLOOKUP(record[[#This Row],[PCUSTID]],廠商[],2,FALSE),"")</f>
        <v/>
      </c>
      <c r="S2250" t="str">
        <f>VLOOKUP(record[[#This Row],[employeeID]],員工[],2,FALSE)</f>
        <v>李美蓮</v>
      </c>
    </row>
    <row r="2251" spans="6:19" hidden="1" x14ac:dyDescent="0.25">
      <c r="F2251" t="s">
        <v>1767</v>
      </c>
      <c r="G2251" t="s">
        <v>416</v>
      </c>
      <c r="H2251" t="str">
        <f>VLOOKUP(record[[#This Row],[ProcessSN]],表格2_7[],2,FALSE)</f>
        <v>30-4118-018-5XX</v>
      </c>
      <c r="I2251" t="str">
        <f>VLOOKUP(record[[#This Row],[ProcessSN]],表格2_7[],3,FALSE)</f>
        <v>#05</v>
      </c>
      <c r="J2251" t="s">
        <v>588</v>
      </c>
      <c r="K2251" s="195">
        <v>46121.985659722224</v>
      </c>
      <c r="L2251">
        <v>223</v>
      </c>
      <c r="M2251">
        <v>0</v>
      </c>
      <c r="N2251" s="98" t="str">
        <f>IF(record[[#This Row],[Memo]]="Browser:chrome os:android","平板報工",IF(record[[#This Row],[Memo]]=0,"委外",record[[#This Row],[Memo]]))</f>
        <v/>
      </c>
      <c r="O2251" t="s">
        <v>58</v>
      </c>
      <c r="P2251" t="s">
        <v>1098</v>
      </c>
      <c r="Q2251" t="s">
        <v>58</v>
      </c>
      <c r="R2251" t="str">
        <f>IFERROR(VLOOKUP(record[[#This Row],[PCUSTID]],廠商[],2,FALSE),"")</f>
        <v/>
      </c>
      <c r="S2251" t="str">
        <f>VLOOKUP(record[[#This Row],[employeeID]],員工[],2,FALSE)</f>
        <v>阮氏芳英(英)</v>
      </c>
    </row>
    <row r="2252" spans="6:19" hidden="1" x14ac:dyDescent="0.25">
      <c r="F2252" t="s">
        <v>1767</v>
      </c>
      <c r="G2252" t="s">
        <v>415</v>
      </c>
      <c r="H2252" t="str">
        <f>VLOOKUP(record[[#This Row],[ProcessSN]],表格2_7[],2,FALSE)</f>
        <v>30-4118-018-5XX</v>
      </c>
      <c r="I2252" t="str">
        <f>VLOOKUP(record[[#This Row],[ProcessSN]],表格2_7[],3,FALSE)</f>
        <v>#04</v>
      </c>
      <c r="J2252" t="s">
        <v>588</v>
      </c>
      <c r="K2252" s="195">
        <v>46121.984756944446</v>
      </c>
      <c r="L2252">
        <v>142</v>
      </c>
      <c r="M2252">
        <v>1</v>
      </c>
      <c r="N2252" s="98" t="str">
        <f>IF(record[[#This Row],[Memo]]="Browser:chrome os:android","平板報工",IF(record[[#This Row],[Memo]]=0,"委外",record[[#This Row],[Memo]]))</f>
        <v/>
      </c>
      <c r="O2252" t="s">
        <v>58</v>
      </c>
      <c r="P2252" t="s">
        <v>176</v>
      </c>
      <c r="Q2252" t="s">
        <v>58</v>
      </c>
      <c r="R2252" t="str">
        <f>IFERROR(VLOOKUP(record[[#This Row],[PCUSTID]],廠商[],2,FALSE),"")</f>
        <v/>
      </c>
      <c r="S2252" t="str">
        <f>VLOOKUP(record[[#This Row],[employeeID]],員工[],2,FALSE)</f>
        <v>郭政雄</v>
      </c>
    </row>
    <row r="2253" spans="6:19" hidden="1" x14ac:dyDescent="0.25">
      <c r="F2253" t="s">
        <v>1637</v>
      </c>
      <c r="G2253" t="s">
        <v>449</v>
      </c>
      <c r="H2253" t="str">
        <f>VLOOKUP(record[[#This Row],[ProcessSN]],表格2_7[],2,FALSE)</f>
        <v>30-4118-018-6XX</v>
      </c>
      <c r="I2253" t="str">
        <f>VLOOKUP(record[[#This Row],[ProcessSN]],表格2_7[],3,FALSE)</f>
        <v>#05</v>
      </c>
      <c r="J2253" t="s">
        <v>588</v>
      </c>
      <c r="K2253" s="195">
        <v>46121.984120370369</v>
      </c>
      <c r="L2253">
        <v>53</v>
      </c>
      <c r="M2253">
        <v>0</v>
      </c>
      <c r="N2253" s="98" t="str">
        <f>IF(record[[#This Row],[Memo]]="Browser:chrome os:android","平板報工",IF(record[[#This Row],[Memo]]=0,"委外",record[[#This Row],[Memo]]))</f>
        <v/>
      </c>
      <c r="O2253" t="s">
        <v>58</v>
      </c>
      <c r="P2253" t="s">
        <v>1098</v>
      </c>
      <c r="Q2253" t="s">
        <v>58</v>
      </c>
      <c r="R2253" t="str">
        <f>IFERROR(VLOOKUP(record[[#This Row],[PCUSTID]],廠商[],2,FALSE),"")</f>
        <v/>
      </c>
      <c r="S2253" t="str">
        <f>VLOOKUP(record[[#This Row],[employeeID]],員工[],2,FALSE)</f>
        <v>阮氏芳英(英)</v>
      </c>
    </row>
    <row r="2254" spans="6:19" hidden="1" x14ac:dyDescent="0.25">
      <c r="F2254" t="s">
        <v>1653</v>
      </c>
      <c r="G2254" t="s">
        <v>417</v>
      </c>
      <c r="H2254" t="str">
        <f>VLOOKUP(record[[#This Row],[ProcessSN]],表格2_7[],2,FALSE)</f>
        <v>30-4118-018-5XX</v>
      </c>
      <c r="I2254" t="str">
        <f>VLOOKUP(record[[#This Row],[ProcessSN]],表格2_7[],3,FALSE)</f>
        <v>#06</v>
      </c>
      <c r="J2254" t="s">
        <v>593</v>
      </c>
      <c r="K2254" s="195">
        <v>46121.836226851854</v>
      </c>
      <c r="L2254">
        <v>67</v>
      </c>
      <c r="M2254">
        <v>0</v>
      </c>
      <c r="N2254" s="98" t="str">
        <f>IF(record[[#This Row],[Memo]]="Browser:chrome os:android","平板報工",IF(record[[#This Row],[Memo]]=0,"委外",record[[#This Row],[Memo]]))</f>
        <v/>
      </c>
      <c r="O2254" t="s">
        <v>58</v>
      </c>
      <c r="P2254" t="s">
        <v>188</v>
      </c>
      <c r="Q2254" t="s">
        <v>58</v>
      </c>
      <c r="R2254" t="str">
        <f>IFERROR(VLOOKUP(record[[#This Row],[PCUSTID]],廠商[],2,FALSE),"")</f>
        <v/>
      </c>
      <c r="S2254" t="str">
        <f>VLOOKUP(record[[#This Row],[employeeID]],員工[],2,FALSE)</f>
        <v>阮氏璧紅</v>
      </c>
    </row>
    <row r="2255" spans="6:19" hidden="1" x14ac:dyDescent="0.25">
      <c r="F2255" t="s">
        <v>1737</v>
      </c>
      <c r="G2255" t="s">
        <v>359</v>
      </c>
      <c r="H2255" t="str">
        <f>VLOOKUP(record[[#This Row],[ProcessSN]],表格2_7[],2,FALSE)</f>
        <v>30-4118-018-450</v>
      </c>
      <c r="I2255" t="str">
        <f>VLOOKUP(record[[#This Row],[ProcessSN]],表格2_7[],3,FALSE)</f>
        <v>#100</v>
      </c>
      <c r="J2255" t="s">
        <v>598</v>
      </c>
      <c r="K2255" s="195">
        <v>46121.825624999998</v>
      </c>
      <c r="L2255">
        <v>528</v>
      </c>
      <c r="M2255">
        <v>0</v>
      </c>
      <c r="N2255" s="98" t="str">
        <f>IF(record[[#This Row],[Memo]]="Browser:chrome os:android","平板報工",IF(record[[#This Row],[Memo]]=0,"委外",record[[#This Row],[Memo]]))</f>
        <v/>
      </c>
      <c r="O2255" t="s">
        <v>58</v>
      </c>
      <c r="P2255" t="s">
        <v>141</v>
      </c>
      <c r="Q2255" t="s">
        <v>58</v>
      </c>
      <c r="R2255" t="str">
        <f>IFERROR(VLOOKUP(record[[#This Row],[PCUSTID]],廠商[],2,FALSE),"")</f>
        <v/>
      </c>
      <c r="S2255" t="str">
        <f>VLOOKUP(record[[#This Row],[employeeID]],員工[],2,FALSE)</f>
        <v>蔣梅</v>
      </c>
    </row>
    <row r="2256" spans="6:19" hidden="1" x14ac:dyDescent="0.25">
      <c r="F2256" t="s">
        <v>1653</v>
      </c>
      <c r="G2256" t="s">
        <v>417</v>
      </c>
      <c r="H2256" t="str">
        <f>VLOOKUP(record[[#This Row],[ProcessSN]],表格2_7[],2,FALSE)</f>
        <v>30-4118-018-5XX</v>
      </c>
      <c r="I2256" t="str">
        <f>VLOOKUP(record[[#This Row],[ProcessSN]],表格2_7[],3,FALSE)</f>
        <v>#06</v>
      </c>
      <c r="J2256" t="s">
        <v>593</v>
      </c>
      <c r="K2256" s="195">
        <v>46121.821597222224</v>
      </c>
      <c r="L2256">
        <v>67</v>
      </c>
      <c r="M2256">
        <v>0</v>
      </c>
      <c r="N2256" s="98" t="str">
        <f>IF(record[[#This Row],[Memo]]="Browser:chrome os:android","平板報工",IF(record[[#This Row],[Memo]]=0,"委外",record[[#This Row],[Memo]]))</f>
        <v>平板報工</v>
      </c>
      <c r="O2256" t="s">
        <v>643</v>
      </c>
      <c r="P2256" t="s">
        <v>1413</v>
      </c>
      <c r="Q2256" t="s">
        <v>644</v>
      </c>
      <c r="R2256" t="str">
        <f>IFERROR(VLOOKUP(record[[#This Row],[PCUSTID]],廠商[],2,FALSE),"")</f>
        <v/>
      </c>
      <c r="S2256" t="str">
        <f>VLOOKUP(record[[#This Row],[employeeID]],員工[],2,FALSE)</f>
        <v>阮氏芳英(芳)</v>
      </c>
    </row>
    <row r="2257" spans="6:19" hidden="1" x14ac:dyDescent="0.25">
      <c r="F2257" t="s">
        <v>1767</v>
      </c>
      <c r="G2257" t="s">
        <v>415</v>
      </c>
      <c r="H2257" t="str">
        <f>VLOOKUP(record[[#This Row],[ProcessSN]],表格2_7[],2,FALSE)</f>
        <v>30-4118-018-5XX</v>
      </c>
      <c r="I2257" t="str">
        <f>VLOOKUP(record[[#This Row],[ProcessSN]],表格2_7[],3,FALSE)</f>
        <v>#04</v>
      </c>
      <c r="J2257" t="s">
        <v>588</v>
      </c>
      <c r="K2257" s="195">
        <v>46121.721064814818</v>
      </c>
      <c r="L2257">
        <v>68</v>
      </c>
      <c r="M2257">
        <v>0</v>
      </c>
      <c r="N2257" s="98" t="str">
        <f>IF(record[[#This Row],[Memo]]="Browser:chrome os:android","平板報工",IF(record[[#This Row],[Memo]]=0,"委外",record[[#This Row],[Memo]]))</f>
        <v/>
      </c>
      <c r="O2257" t="s">
        <v>58</v>
      </c>
      <c r="P2257" t="s">
        <v>107</v>
      </c>
      <c r="Q2257" t="s">
        <v>58</v>
      </c>
      <c r="R2257" t="str">
        <f>IFERROR(VLOOKUP(record[[#This Row],[PCUSTID]],廠商[],2,FALSE),"")</f>
        <v/>
      </c>
      <c r="S2257" t="str">
        <f>VLOOKUP(record[[#This Row],[employeeID]],員工[],2,FALSE)</f>
        <v>黎氏順</v>
      </c>
    </row>
    <row r="2258" spans="6:19" hidden="1" x14ac:dyDescent="0.25">
      <c r="F2258" t="s">
        <v>1656</v>
      </c>
      <c r="G2258" t="s">
        <v>402</v>
      </c>
      <c r="H2258" t="str">
        <f>VLOOKUP(record[[#This Row],[ProcessSN]],表格2_7[],2,FALSE)</f>
        <v>30-4118-018-550</v>
      </c>
      <c r="I2258" t="str">
        <f>VLOOKUP(record[[#This Row],[ProcessSN]],表格2_7[],3,FALSE)</f>
        <v>#100STOCK</v>
      </c>
      <c r="J2258" t="s">
        <v>592</v>
      </c>
      <c r="K2258" s="195">
        <v>46121.711550925924</v>
      </c>
      <c r="L2258">
        <v>24</v>
      </c>
      <c r="M2258">
        <v>0</v>
      </c>
      <c r="N2258" s="98" t="str">
        <f>IF(record[[#This Row],[Memo]]="Browser:chrome os:android","平板報工",IF(record[[#This Row],[Memo]]=0,"委外",record[[#This Row],[Memo]]))</f>
        <v/>
      </c>
      <c r="O2258" t="s">
        <v>58</v>
      </c>
      <c r="P2258" t="s">
        <v>886</v>
      </c>
      <c r="Q2258" t="s">
        <v>58</v>
      </c>
      <c r="R2258" t="str">
        <f>IFERROR(VLOOKUP(record[[#This Row],[PCUSTID]],廠商[],2,FALSE),"")</f>
        <v/>
      </c>
      <c r="S2258" t="str">
        <f>VLOOKUP(record[[#This Row],[employeeID]],員工[],2,FALSE)</f>
        <v>謝蓁薰</v>
      </c>
    </row>
    <row r="2259" spans="6:19" hidden="1" x14ac:dyDescent="0.25">
      <c r="F2259" t="s">
        <v>1722</v>
      </c>
      <c r="G2259" t="s">
        <v>402</v>
      </c>
      <c r="H2259" t="str">
        <f>VLOOKUP(record[[#This Row],[ProcessSN]],表格2_7[],2,FALSE)</f>
        <v>30-4118-018-550</v>
      </c>
      <c r="I2259" t="str">
        <f>VLOOKUP(record[[#This Row],[ProcessSN]],表格2_7[],3,FALSE)</f>
        <v>#100STOCK</v>
      </c>
      <c r="J2259" t="s">
        <v>592</v>
      </c>
      <c r="K2259" s="195">
        <v>46121.71130787037</v>
      </c>
      <c r="L2259">
        <v>143</v>
      </c>
      <c r="M2259">
        <v>0</v>
      </c>
      <c r="N2259" s="98" t="str">
        <f>IF(record[[#This Row],[Memo]]="Browser:chrome os:android","平板報工",IF(record[[#This Row],[Memo]]=0,"委外",record[[#This Row],[Memo]]))</f>
        <v/>
      </c>
      <c r="O2259" t="s">
        <v>58</v>
      </c>
      <c r="P2259" t="s">
        <v>886</v>
      </c>
      <c r="Q2259" t="s">
        <v>58</v>
      </c>
      <c r="R2259" t="str">
        <f>IFERROR(VLOOKUP(record[[#This Row],[PCUSTID]],廠商[],2,FALSE),"")</f>
        <v/>
      </c>
      <c r="S2259" t="str">
        <f>VLOOKUP(record[[#This Row],[employeeID]],員工[],2,FALSE)</f>
        <v>謝蓁薰</v>
      </c>
    </row>
    <row r="2260" spans="6:19" hidden="1" x14ac:dyDescent="0.25">
      <c r="F2260" t="s">
        <v>1660</v>
      </c>
      <c r="G2260" t="s">
        <v>402</v>
      </c>
      <c r="H2260" t="str">
        <f>VLOOKUP(record[[#This Row],[ProcessSN]],表格2_7[],2,FALSE)</f>
        <v>30-4118-018-550</v>
      </c>
      <c r="I2260" t="str">
        <f>VLOOKUP(record[[#This Row],[ProcessSN]],表格2_7[],3,FALSE)</f>
        <v>#100STOCK</v>
      </c>
      <c r="J2260" t="s">
        <v>592</v>
      </c>
      <c r="K2260" s="195">
        <v>46121.711053240739</v>
      </c>
      <c r="L2260">
        <v>74</v>
      </c>
      <c r="M2260">
        <v>0</v>
      </c>
      <c r="N2260" s="98" t="str">
        <f>IF(record[[#This Row],[Memo]]="Browser:chrome os:android","平板報工",IF(record[[#This Row],[Memo]]=0,"委外",record[[#This Row],[Memo]]))</f>
        <v/>
      </c>
      <c r="O2260" t="s">
        <v>58</v>
      </c>
      <c r="P2260" t="s">
        <v>886</v>
      </c>
      <c r="Q2260" t="s">
        <v>58</v>
      </c>
      <c r="R2260" t="str">
        <f>IFERROR(VLOOKUP(record[[#This Row],[PCUSTID]],廠商[],2,FALSE),"")</f>
        <v/>
      </c>
      <c r="S2260" t="str">
        <f>VLOOKUP(record[[#This Row],[employeeID]],員工[],2,FALSE)</f>
        <v>謝蓁薰</v>
      </c>
    </row>
    <row r="2261" spans="6:19" hidden="1" x14ac:dyDescent="0.25">
      <c r="F2261" t="s">
        <v>1737</v>
      </c>
      <c r="G2261" t="s">
        <v>362</v>
      </c>
      <c r="H2261" t="str">
        <f>VLOOKUP(record[[#This Row],[ProcessSN]],表格2_7[],2,FALSE)</f>
        <v>30-4118-018-450</v>
      </c>
      <c r="I2261" t="str">
        <f>VLOOKUP(record[[#This Row],[ProcessSN]],表格2_7[],3,FALSE)</f>
        <v>#100SHIP</v>
      </c>
      <c r="J2261" t="s">
        <v>600</v>
      </c>
      <c r="K2261" s="195">
        <v>46121.696736111109</v>
      </c>
      <c r="L2261">
        <v>161</v>
      </c>
      <c r="M2261">
        <v>0</v>
      </c>
      <c r="N2261" s="98" t="str">
        <f>IF(record[[#This Row],[Memo]]="Browser:chrome os:android","平板報工",IF(record[[#This Row],[Memo]]=0,"委外",record[[#This Row],[Memo]]))</f>
        <v/>
      </c>
      <c r="O2261" t="s">
        <v>58</v>
      </c>
      <c r="P2261" t="s">
        <v>886</v>
      </c>
      <c r="Q2261" t="s">
        <v>58</v>
      </c>
      <c r="R2261" t="str">
        <f>IFERROR(VLOOKUP(record[[#This Row],[PCUSTID]],廠商[],2,FALSE),"")</f>
        <v/>
      </c>
      <c r="S2261" t="str">
        <f>VLOOKUP(record[[#This Row],[employeeID]],員工[],2,FALSE)</f>
        <v>謝蓁薰</v>
      </c>
    </row>
    <row r="2262" spans="6:19" hidden="1" x14ac:dyDescent="0.25">
      <c r="F2262" t="s">
        <v>1737</v>
      </c>
      <c r="G2262" t="s">
        <v>361</v>
      </c>
      <c r="H2262" t="str">
        <f>VLOOKUP(record[[#This Row],[ProcessSN]],表格2_7[],2,FALSE)</f>
        <v>30-4118-018-450</v>
      </c>
      <c r="I2262" t="str">
        <f>VLOOKUP(record[[#This Row],[ProcessSN]],表格2_7[],3,FALSE)</f>
        <v>#100STOCK</v>
      </c>
      <c r="J2262" t="s">
        <v>592</v>
      </c>
      <c r="K2262" s="195">
        <v>46121.696655092594</v>
      </c>
      <c r="L2262">
        <v>161</v>
      </c>
      <c r="M2262">
        <v>0</v>
      </c>
      <c r="N2262" s="98" t="str">
        <f>IF(record[[#This Row],[Memo]]="Browser:chrome os:android","平板報工",IF(record[[#This Row],[Memo]]=0,"委外",record[[#This Row],[Memo]]))</f>
        <v/>
      </c>
      <c r="O2262" t="s">
        <v>58</v>
      </c>
      <c r="P2262" t="s">
        <v>886</v>
      </c>
      <c r="Q2262" t="s">
        <v>58</v>
      </c>
      <c r="R2262" t="str">
        <f>IFERROR(VLOOKUP(record[[#This Row],[PCUSTID]],廠商[],2,FALSE),"")</f>
        <v/>
      </c>
      <c r="S2262" t="str">
        <f>VLOOKUP(record[[#This Row],[employeeID]],員工[],2,FALSE)</f>
        <v>謝蓁薰</v>
      </c>
    </row>
    <row r="2263" spans="6:19" hidden="1" x14ac:dyDescent="0.25">
      <c r="F2263" t="s">
        <v>1737</v>
      </c>
      <c r="G2263" t="s">
        <v>360</v>
      </c>
      <c r="H2263" t="str">
        <f>VLOOKUP(record[[#This Row],[ProcessSN]],表格2_7[],2,FALSE)</f>
        <v>30-4118-018-450</v>
      </c>
      <c r="I2263" t="str">
        <f>VLOOKUP(record[[#This Row],[ProcessSN]],表格2_7[],3,FALSE)</f>
        <v>#100OQC</v>
      </c>
      <c r="J2263" t="s">
        <v>599</v>
      </c>
      <c r="K2263" s="195">
        <v>46121.687986111108</v>
      </c>
      <c r="L2263">
        <v>161</v>
      </c>
      <c r="M2263">
        <v>0</v>
      </c>
      <c r="N2263" s="98" t="str">
        <f>IF(record[[#This Row],[Memo]]="Browser:chrome os:android","平板報工",IF(record[[#This Row],[Memo]]=0,"委外",record[[#This Row],[Memo]]))</f>
        <v/>
      </c>
      <c r="O2263" t="s">
        <v>58</v>
      </c>
      <c r="P2263" t="s">
        <v>121</v>
      </c>
      <c r="Q2263" t="s">
        <v>58</v>
      </c>
      <c r="R2263" t="str">
        <f>IFERROR(VLOOKUP(record[[#This Row],[PCUSTID]],廠商[],2,FALSE),"")</f>
        <v/>
      </c>
      <c r="S2263" t="str">
        <f>VLOOKUP(record[[#This Row],[employeeID]],員工[],2,FALSE)</f>
        <v>謝素卿</v>
      </c>
    </row>
    <row r="2264" spans="6:19" hidden="1" x14ac:dyDescent="0.25">
      <c r="F2264" t="s">
        <v>1714</v>
      </c>
      <c r="G2264" t="s">
        <v>427</v>
      </c>
      <c r="H2264" t="str">
        <f>VLOOKUP(record[[#This Row],[ProcessSN]],表格2_7[],2,FALSE)</f>
        <v>30-4118-018-600</v>
      </c>
      <c r="I2264" t="str">
        <f>VLOOKUP(record[[#This Row],[ProcessSN]],表格2_7[],3,FALSE)</f>
        <v>#100STOCK</v>
      </c>
      <c r="J2264" t="s">
        <v>592</v>
      </c>
      <c r="K2264" s="195">
        <v>46121.680138888885</v>
      </c>
      <c r="L2264">
        <v>127</v>
      </c>
      <c r="M2264">
        <v>0</v>
      </c>
      <c r="N2264" s="98" t="str">
        <f>IF(record[[#This Row],[Memo]]="Browser:chrome os:android","平板報工",IF(record[[#This Row],[Memo]]=0,"委外",record[[#This Row],[Memo]]))</f>
        <v>平板報工</v>
      </c>
      <c r="O2264" t="s">
        <v>643</v>
      </c>
      <c r="P2264" t="s">
        <v>886</v>
      </c>
      <c r="Q2264" t="s">
        <v>644</v>
      </c>
      <c r="R2264" t="str">
        <f>IFERROR(VLOOKUP(record[[#This Row],[PCUSTID]],廠商[],2,FALSE),"")</f>
        <v/>
      </c>
      <c r="S2264" t="str">
        <f>VLOOKUP(record[[#This Row],[employeeID]],員工[],2,FALSE)</f>
        <v>謝蓁薰</v>
      </c>
    </row>
    <row r="2265" spans="6:19" hidden="1" x14ac:dyDescent="0.25">
      <c r="F2265" t="s">
        <v>1737</v>
      </c>
      <c r="G2265" t="s">
        <v>359</v>
      </c>
      <c r="H2265" t="str">
        <f>VLOOKUP(record[[#This Row],[ProcessSN]],表格2_7[],2,FALSE)</f>
        <v>30-4118-018-450</v>
      </c>
      <c r="I2265" t="str">
        <f>VLOOKUP(record[[#This Row],[ProcessSN]],表格2_7[],3,FALSE)</f>
        <v>#100</v>
      </c>
      <c r="J2265" t="s">
        <v>598</v>
      </c>
      <c r="K2265" s="195">
        <v>46121.677071759259</v>
      </c>
      <c r="L2265">
        <v>89</v>
      </c>
      <c r="M2265">
        <v>0</v>
      </c>
      <c r="N2265" s="98" t="str">
        <f>IF(record[[#This Row],[Memo]]="Browser:chrome os:android","平板報工",IF(record[[#This Row],[Memo]]=0,"委外",record[[#This Row],[Memo]]))</f>
        <v/>
      </c>
      <c r="O2265" t="s">
        <v>58</v>
      </c>
      <c r="P2265" t="s">
        <v>141</v>
      </c>
      <c r="Q2265" t="s">
        <v>58</v>
      </c>
      <c r="R2265" t="str">
        <f>IFERROR(VLOOKUP(record[[#This Row],[PCUSTID]],廠商[],2,FALSE),"")</f>
        <v/>
      </c>
      <c r="S2265" t="str">
        <f>VLOOKUP(record[[#This Row],[employeeID]],員工[],2,FALSE)</f>
        <v>蔣梅</v>
      </c>
    </row>
    <row r="2266" spans="6:19" hidden="1" x14ac:dyDescent="0.25">
      <c r="F2266" t="s">
        <v>1737</v>
      </c>
      <c r="G2266" t="s">
        <v>359</v>
      </c>
      <c r="H2266" t="str">
        <f>VLOOKUP(record[[#This Row],[ProcessSN]],表格2_7[],2,FALSE)</f>
        <v>30-4118-018-450</v>
      </c>
      <c r="I2266" t="str">
        <f>VLOOKUP(record[[#This Row],[ProcessSN]],表格2_7[],3,FALSE)</f>
        <v>#100</v>
      </c>
      <c r="J2266" t="s">
        <v>598</v>
      </c>
      <c r="K2266" s="195">
        <v>46121.676851851851</v>
      </c>
      <c r="L2266">
        <v>72</v>
      </c>
      <c r="M2266">
        <v>0</v>
      </c>
      <c r="N2266" s="98" t="str">
        <f>IF(record[[#This Row],[Memo]]="Browser:chrome os:android","平板報工",IF(record[[#This Row],[Memo]]=0,"委外",record[[#This Row],[Memo]]))</f>
        <v/>
      </c>
      <c r="O2266" t="s">
        <v>58</v>
      </c>
      <c r="P2266" t="s">
        <v>99</v>
      </c>
      <c r="Q2266" t="s">
        <v>58</v>
      </c>
      <c r="R2266" t="str">
        <f>IFERROR(VLOOKUP(record[[#This Row],[PCUSTID]],廠商[],2,FALSE),"")</f>
        <v/>
      </c>
      <c r="S2266" t="str">
        <f>VLOOKUP(record[[#This Row],[employeeID]],員工[],2,FALSE)</f>
        <v>阮氏河</v>
      </c>
    </row>
    <row r="2267" spans="6:19" hidden="1" x14ac:dyDescent="0.25">
      <c r="F2267" t="s">
        <v>1656</v>
      </c>
      <c r="G2267" t="s">
        <v>401</v>
      </c>
      <c r="H2267" t="str">
        <f>VLOOKUP(record[[#This Row],[ProcessSN]],表格2_7[],2,FALSE)</f>
        <v>30-4118-018-550</v>
      </c>
      <c r="I2267" t="str">
        <f>VLOOKUP(record[[#This Row],[ProcessSN]],表格2_7[],3,FALSE)</f>
        <v>#100OQC</v>
      </c>
      <c r="J2267" t="s">
        <v>599</v>
      </c>
      <c r="K2267" s="195">
        <v>46121.674803240741</v>
      </c>
      <c r="L2267">
        <v>24</v>
      </c>
      <c r="M2267">
        <v>0</v>
      </c>
      <c r="N2267" s="98" t="str">
        <f>IF(record[[#This Row],[Memo]]="Browser:chrome os:android","平板報工",IF(record[[#This Row],[Memo]]=0,"委外",record[[#This Row],[Memo]]))</f>
        <v/>
      </c>
      <c r="O2267" t="s">
        <v>58</v>
      </c>
      <c r="P2267" t="s">
        <v>121</v>
      </c>
      <c r="Q2267" t="s">
        <v>58</v>
      </c>
      <c r="R2267" t="str">
        <f>IFERROR(VLOOKUP(record[[#This Row],[PCUSTID]],廠商[],2,FALSE),"")</f>
        <v/>
      </c>
      <c r="S2267" t="str">
        <f>VLOOKUP(record[[#This Row],[employeeID]],員工[],2,FALSE)</f>
        <v>謝素卿</v>
      </c>
    </row>
    <row r="2268" spans="6:19" hidden="1" x14ac:dyDescent="0.25">
      <c r="F2268" t="s">
        <v>1660</v>
      </c>
      <c r="G2268" t="s">
        <v>401</v>
      </c>
      <c r="H2268" t="str">
        <f>VLOOKUP(record[[#This Row],[ProcessSN]],表格2_7[],2,FALSE)</f>
        <v>30-4118-018-550</v>
      </c>
      <c r="I2268" t="str">
        <f>VLOOKUP(record[[#This Row],[ProcessSN]],表格2_7[],3,FALSE)</f>
        <v>#100OQC</v>
      </c>
      <c r="J2268" t="s">
        <v>599</v>
      </c>
      <c r="K2268" s="195">
        <v>46121.674629629626</v>
      </c>
      <c r="L2268">
        <v>74</v>
      </c>
      <c r="M2268">
        <v>0</v>
      </c>
      <c r="N2268" s="98" t="str">
        <f>IF(record[[#This Row],[Memo]]="Browser:chrome os:android","平板報工",IF(record[[#This Row],[Memo]]=0,"委外",record[[#This Row],[Memo]]))</f>
        <v/>
      </c>
      <c r="O2268" t="s">
        <v>58</v>
      </c>
      <c r="P2268" t="s">
        <v>121</v>
      </c>
      <c r="Q2268" t="s">
        <v>58</v>
      </c>
      <c r="R2268" t="str">
        <f>IFERROR(VLOOKUP(record[[#This Row],[PCUSTID]],廠商[],2,FALSE),"")</f>
        <v/>
      </c>
      <c r="S2268" t="str">
        <f>VLOOKUP(record[[#This Row],[employeeID]],員工[],2,FALSE)</f>
        <v>謝素卿</v>
      </c>
    </row>
    <row r="2269" spans="6:19" hidden="1" x14ac:dyDescent="0.25">
      <c r="F2269" t="s">
        <v>1729</v>
      </c>
      <c r="G2269" t="s">
        <v>399</v>
      </c>
      <c r="H2269" t="str">
        <f>VLOOKUP(record[[#This Row],[ProcessSN]],表格2_7[],2,FALSE)</f>
        <v>30-4118-018-550</v>
      </c>
      <c r="I2269" t="str">
        <f>VLOOKUP(record[[#This Row],[ProcessSN]],表格2_7[],3,FALSE)</f>
        <v>#08IQC</v>
      </c>
      <c r="J2269" t="s">
        <v>583</v>
      </c>
      <c r="K2269" s="195">
        <v>46121.670775462961</v>
      </c>
      <c r="L2269">
        <v>145</v>
      </c>
      <c r="M2269">
        <v>0</v>
      </c>
      <c r="N2269" s="98" t="str">
        <f>IF(record[[#This Row],[Memo]]="Browser:chrome os:android","平板報工",IF(record[[#This Row],[Memo]]=0,"委外",record[[#This Row],[Memo]]))</f>
        <v/>
      </c>
      <c r="O2269" t="s">
        <v>58</v>
      </c>
      <c r="P2269" t="s">
        <v>109</v>
      </c>
      <c r="Q2269" t="s">
        <v>58</v>
      </c>
      <c r="R2269" t="str">
        <f>IFERROR(VLOOKUP(record[[#This Row],[PCUSTID]],廠商[],2,FALSE),"")</f>
        <v/>
      </c>
      <c r="S2269" t="str">
        <f>VLOOKUP(record[[#This Row],[employeeID]],員工[],2,FALSE)</f>
        <v>裴氏璧鳳</v>
      </c>
    </row>
    <row r="2270" spans="6:19" hidden="1" x14ac:dyDescent="0.25">
      <c r="F2270" t="s">
        <v>1762</v>
      </c>
      <c r="G2270" t="s">
        <v>399</v>
      </c>
      <c r="H2270" t="str">
        <f>VLOOKUP(record[[#This Row],[ProcessSN]],表格2_7[],2,FALSE)</f>
        <v>30-4118-018-550</v>
      </c>
      <c r="I2270" t="str">
        <f>VLOOKUP(record[[#This Row],[ProcessSN]],表格2_7[],3,FALSE)</f>
        <v>#08IQC</v>
      </c>
      <c r="J2270" t="s">
        <v>583</v>
      </c>
      <c r="K2270" s="195">
        <v>46121.670648148145</v>
      </c>
      <c r="L2270">
        <v>159</v>
      </c>
      <c r="M2270">
        <v>0</v>
      </c>
      <c r="N2270" s="98" t="str">
        <f>IF(record[[#This Row],[Memo]]="Browser:chrome os:android","平板報工",IF(record[[#This Row],[Memo]]=0,"委外",record[[#This Row],[Memo]]))</f>
        <v/>
      </c>
      <c r="O2270" t="s">
        <v>58</v>
      </c>
      <c r="P2270" t="s">
        <v>109</v>
      </c>
      <c r="Q2270" t="s">
        <v>58</v>
      </c>
      <c r="R2270" t="str">
        <f>IFERROR(VLOOKUP(record[[#This Row],[PCUSTID]],廠商[],2,FALSE),"")</f>
        <v/>
      </c>
      <c r="S2270" t="str">
        <f>VLOOKUP(record[[#This Row],[employeeID]],員工[],2,FALSE)</f>
        <v>裴氏璧鳳</v>
      </c>
    </row>
    <row r="2271" spans="6:19" hidden="1" x14ac:dyDescent="0.25">
      <c r="F2271" t="s">
        <v>1761</v>
      </c>
      <c r="G2271" t="s">
        <v>358</v>
      </c>
      <c r="H2271" t="str">
        <f>VLOOKUP(record[[#This Row],[ProcessSN]],表格2_7[],2,FALSE)</f>
        <v>30-4118-018-450</v>
      </c>
      <c r="I2271" t="str">
        <f>VLOOKUP(record[[#This Row],[ProcessSN]],表格2_7[],3,FALSE)</f>
        <v>#08IQC</v>
      </c>
      <c r="J2271" t="s">
        <v>583</v>
      </c>
      <c r="K2271" s="195">
        <v>46121.667326388888</v>
      </c>
      <c r="L2271">
        <v>122</v>
      </c>
      <c r="M2271">
        <v>0</v>
      </c>
      <c r="N2271" s="98" t="str">
        <f>IF(record[[#This Row],[Memo]]="Browser:chrome os:android","平板報工",IF(record[[#This Row],[Memo]]=0,"委外",record[[#This Row],[Memo]]))</f>
        <v/>
      </c>
      <c r="O2271" t="s">
        <v>58</v>
      </c>
      <c r="P2271" t="s">
        <v>109</v>
      </c>
      <c r="Q2271" t="s">
        <v>58</v>
      </c>
      <c r="R2271" t="str">
        <f>IFERROR(VLOOKUP(record[[#This Row],[PCUSTID]],廠商[],2,FALSE),"")</f>
        <v/>
      </c>
      <c r="S2271" t="str">
        <f>VLOOKUP(record[[#This Row],[employeeID]],員工[],2,FALSE)</f>
        <v>裴氏璧鳳</v>
      </c>
    </row>
    <row r="2272" spans="6:19" hidden="1" x14ac:dyDescent="0.25">
      <c r="F2272" t="s">
        <v>1737</v>
      </c>
      <c r="G2272" t="s">
        <v>358</v>
      </c>
      <c r="H2272" t="str">
        <f>VLOOKUP(record[[#This Row],[ProcessSN]],表格2_7[],2,FALSE)</f>
        <v>30-4118-018-450</v>
      </c>
      <c r="I2272" t="str">
        <f>VLOOKUP(record[[#This Row],[ProcessSN]],表格2_7[],3,FALSE)</f>
        <v>#08IQC</v>
      </c>
      <c r="J2272" t="s">
        <v>583</v>
      </c>
      <c r="K2272" s="195">
        <v>46121.667199074072</v>
      </c>
      <c r="L2272">
        <v>710</v>
      </c>
      <c r="M2272">
        <v>0</v>
      </c>
      <c r="N2272" s="98" t="str">
        <f>IF(record[[#This Row],[Memo]]="Browser:chrome os:android","平板報工",IF(record[[#This Row],[Memo]]=0,"委外",record[[#This Row],[Memo]]))</f>
        <v/>
      </c>
      <c r="O2272" t="s">
        <v>58</v>
      </c>
      <c r="P2272" t="s">
        <v>109</v>
      </c>
      <c r="Q2272" t="s">
        <v>58</v>
      </c>
      <c r="R2272" t="str">
        <f>IFERROR(VLOOKUP(record[[#This Row],[PCUSTID]],廠商[],2,FALSE),"")</f>
        <v/>
      </c>
      <c r="S2272" t="str">
        <f>VLOOKUP(record[[#This Row],[employeeID]],員工[],2,FALSE)</f>
        <v>裴氏璧鳳</v>
      </c>
    </row>
    <row r="2273" spans="6:19" hidden="1" x14ac:dyDescent="0.25">
      <c r="F2273" t="s">
        <v>1653</v>
      </c>
      <c r="G2273" t="s">
        <v>418</v>
      </c>
      <c r="H2273" t="str">
        <f>VLOOKUP(record[[#This Row],[ProcessSN]],表格2_7[],2,FALSE)</f>
        <v>30-4118-018-5XX</v>
      </c>
      <c r="I2273" t="str">
        <f>VLOOKUP(record[[#This Row],[ProcessSN]],表格2_7[],3,FALSE)</f>
        <v>#07</v>
      </c>
      <c r="J2273" t="s">
        <v>588</v>
      </c>
      <c r="K2273" s="195">
        <v>46121.654050925928</v>
      </c>
      <c r="L2273">
        <v>215</v>
      </c>
      <c r="M2273">
        <v>2</v>
      </c>
      <c r="N2273" s="98" t="str">
        <f>IF(record[[#This Row],[Memo]]="Browser:chrome os:android","平板報工",IF(record[[#This Row],[Memo]]=0,"委外",record[[#This Row],[Memo]]))</f>
        <v>平板報工</v>
      </c>
      <c r="O2273" t="s">
        <v>643</v>
      </c>
      <c r="P2273" t="s">
        <v>145</v>
      </c>
      <c r="Q2273" t="s">
        <v>644</v>
      </c>
      <c r="R2273" t="str">
        <f>IFERROR(VLOOKUP(record[[#This Row],[PCUSTID]],廠商[],2,FALSE),"")</f>
        <v/>
      </c>
      <c r="S2273" t="str">
        <f>VLOOKUP(record[[#This Row],[employeeID]],員工[],2,FALSE)</f>
        <v>阮秋霞</v>
      </c>
    </row>
    <row r="2274" spans="6:19" hidden="1" x14ac:dyDescent="0.25">
      <c r="F2274" t="s">
        <v>1786</v>
      </c>
      <c r="G2274" t="s">
        <v>466</v>
      </c>
      <c r="H2274" t="str">
        <f>VLOOKUP(record[[#This Row],[ProcessSN]],表格2_7[],2,FALSE)</f>
        <v>30-4118-018-XXX</v>
      </c>
      <c r="I2274" t="str">
        <f>VLOOKUP(record[[#This Row],[ProcessSN]],表格2_7[],3,FALSE)</f>
        <v>#01-2</v>
      </c>
      <c r="J2274" t="s">
        <v>588</v>
      </c>
      <c r="K2274" s="195">
        <v>46121.648912037039</v>
      </c>
      <c r="L2274">
        <v>235</v>
      </c>
      <c r="M2274">
        <v>0</v>
      </c>
      <c r="N2274" s="98" t="str">
        <f>IF(record[[#This Row],[Memo]]="Browser:chrome os:android","平板報工",IF(record[[#This Row],[Memo]]=0,"委外",record[[#This Row],[Memo]]))</f>
        <v/>
      </c>
      <c r="O2274" t="s">
        <v>58</v>
      </c>
      <c r="P2274" t="s">
        <v>107</v>
      </c>
      <c r="Q2274" t="s">
        <v>58</v>
      </c>
      <c r="R2274" t="str">
        <f>IFERROR(VLOOKUP(record[[#This Row],[PCUSTID]],廠商[],2,FALSE),"")</f>
        <v/>
      </c>
      <c r="S2274" t="str">
        <f>VLOOKUP(record[[#This Row],[employeeID]],員工[],2,FALSE)</f>
        <v>黎氏順</v>
      </c>
    </row>
    <row r="2275" spans="6:19" hidden="1" x14ac:dyDescent="0.25">
      <c r="F2275" t="s">
        <v>1653</v>
      </c>
      <c r="G2275" t="s">
        <v>417</v>
      </c>
      <c r="H2275" t="str">
        <f>VLOOKUP(record[[#This Row],[ProcessSN]],表格2_7[],2,FALSE)</f>
        <v>30-4118-018-5XX</v>
      </c>
      <c r="I2275" t="str">
        <f>VLOOKUP(record[[#This Row],[ProcessSN]],表格2_7[],3,FALSE)</f>
        <v>#06</v>
      </c>
      <c r="J2275" t="s">
        <v>593</v>
      </c>
      <c r="K2275" s="195">
        <v>46121.641817129632</v>
      </c>
      <c r="L2275">
        <v>133</v>
      </c>
      <c r="M2275">
        <v>0</v>
      </c>
      <c r="N2275" s="98" t="str">
        <f>IF(record[[#This Row],[Memo]]="Browser:chrome os:android","平板報工",IF(record[[#This Row],[Memo]]=0,"委外",record[[#This Row],[Memo]]))</f>
        <v>平板報工</v>
      </c>
      <c r="O2275" t="s">
        <v>643</v>
      </c>
      <c r="P2275" t="s">
        <v>1413</v>
      </c>
      <c r="Q2275" t="s">
        <v>644</v>
      </c>
      <c r="R2275" t="str">
        <f>IFERROR(VLOOKUP(record[[#This Row],[PCUSTID]],廠商[],2,FALSE),"")</f>
        <v/>
      </c>
      <c r="S2275" t="str">
        <f>VLOOKUP(record[[#This Row],[employeeID]],員工[],2,FALSE)</f>
        <v>阮氏芳英(芳)</v>
      </c>
    </row>
    <row r="2276" spans="6:19" hidden="1" x14ac:dyDescent="0.25">
      <c r="F2276" t="s">
        <v>1637</v>
      </c>
      <c r="G2276" t="s">
        <v>449</v>
      </c>
      <c r="H2276" t="str">
        <f>VLOOKUP(record[[#This Row],[ProcessSN]],表格2_7[],2,FALSE)</f>
        <v>30-4118-018-6XX</v>
      </c>
      <c r="I2276" t="str">
        <f>VLOOKUP(record[[#This Row],[ProcessSN]],表格2_7[],3,FALSE)</f>
        <v>#05</v>
      </c>
      <c r="J2276" t="s">
        <v>588</v>
      </c>
      <c r="K2276" s="195">
        <v>46121.637175925927</v>
      </c>
      <c r="L2276">
        <v>260</v>
      </c>
      <c r="M2276">
        <v>0</v>
      </c>
      <c r="N2276" s="98" t="str">
        <f>IF(record[[#This Row],[Memo]]="Browser:chrome os:android","平板報工",IF(record[[#This Row],[Memo]]=0,"委外",record[[#This Row],[Memo]]))</f>
        <v>平板報工</v>
      </c>
      <c r="O2276" t="s">
        <v>643</v>
      </c>
      <c r="P2276" t="s">
        <v>785</v>
      </c>
      <c r="Q2276" t="s">
        <v>644</v>
      </c>
      <c r="R2276" t="str">
        <f>IFERROR(VLOOKUP(record[[#This Row],[PCUSTID]],廠商[],2,FALSE),"")</f>
        <v/>
      </c>
      <c r="S2276" t="str">
        <f>VLOOKUP(record[[#This Row],[employeeID]],員工[],2,FALSE)</f>
        <v>謝刻光</v>
      </c>
    </row>
    <row r="2277" spans="6:19" hidden="1" x14ac:dyDescent="0.25">
      <c r="F2277" t="s">
        <v>1737</v>
      </c>
      <c r="G2277" t="s">
        <v>357</v>
      </c>
      <c r="H2277" t="str">
        <f>VLOOKUP(record[[#This Row],[ProcessSN]],表格2_7[],2,FALSE)</f>
        <v>30-4118-018-450</v>
      </c>
      <c r="I2277" t="str">
        <f>VLOOKUP(record[[#This Row],[ProcessSN]],表格2_7[],3,FALSE)</f>
        <v>#08RCV</v>
      </c>
      <c r="J2277" t="s">
        <v>591</v>
      </c>
      <c r="K2277" s="195">
        <v>46121.634108796294</v>
      </c>
      <c r="L2277">
        <v>0</v>
      </c>
      <c r="M2277">
        <v>1</v>
      </c>
      <c r="N2277" s="98" t="str">
        <f>IF(record[[#This Row],[Memo]]="Browser:chrome os:android","平板報工",IF(record[[#This Row],[Memo]]=0,"委外",record[[#This Row],[Memo]]))</f>
        <v/>
      </c>
      <c r="O2277" t="s">
        <v>58</v>
      </c>
      <c r="P2277" t="s">
        <v>1698</v>
      </c>
      <c r="Q2277" t="s">
        <v>58</v>
      </c>
      <c r="R2277" t="str">
        <f>IFERROR(VLOOKUP(record[[#This Row],[PCUSTID]],廠商[],2,FALSE),"")</f>
        <v/>
      </c>
      <c r="S2277" t="str">
        <f>VLOOKUP(record[[#This Row],[employeeID]],員工[],2,FALSE)</f>
        <v>羅思潔</v>
      </c>
    </row>
    <row r="2278" spans="6:19" hidden="1" x14ac:dyDescent="0.25">
      <c r="F2278" t="s">
        <v>1655</v>
      </c>
      <c r="G2278" t="s">
        <v>470</v>
      </c>
      <c r="H2278" t="str">
        <f>VLOOKUP(record[[#This Row],[ProcessSN]],表格2_7[],2,FALSE)</f>
        <v>30-4118-018-XXX</v>
      </c>
      <c r="I2278" t="str">
        <f>VLOOKUP(record[[#This Row],[ProcessSN]],表格2_7[],3,FALSE)</f>
        <v>#02IQC</v>
      </c>
      <c r="J2278" t="s">
        <v>583</v>
      </c>
      <c r="K2278" s="195">
        <v>46121.634004629632</v>
      </c>
      <c r="L2278">
        <v>839</v>
      </c>
      <c r="M2278">
        <v>0</v>
      </c>
      <c r="N2278" s="98" t="str">
        <f>IF(record[[#This Row],[Memo]]="Browser:chrome os:android","平板報工",IF(record[[#This Row],[Memo]]=0,"委外",record[[#This Row],[Memo]]))</f>
        <v/>
      </c>
      <c r="O2278" t="s">
        <v>58</v>
      </c>
      <c r="P2278" t="s">
        <v>109</v>
      </c>
      <c r="Q2278" t="s">
        <v>58</v>
      </c>
      <c r="R2278" t="str">
        <f>IFERROR(VLOOKUP(record[[#This Row],[PCUSTID]],廠商[],2,FALSE),"")</f>
        <v/>
      </c>
      <c r="S2278" t="str">
        <f>VLOOKUP(record[[#This Row],[employeeID]],員工[],2,FALSE)</f>
        <v>裴氏璧鳳</v>
      </c>
    </row>
    <row r="2279" spans="6:19" hidden="1" x14ac:dyDescent="0.25">
      <c r="F2279" t="s">
        <v>1737</v>
      </c>
      <c r="G2279" t="s">
        <v>357</v>
      </c>
      <c r="H2279" t="str">
        <f>VLOOKUP(record[[#This Row],[ProcessSN]],表格2_7[],2,FALSE)</f>
        <v>30-4118-018-450</v>
      </c>
      <c r="I2279" t="str">
        <f>VLOOKUP(record[[#This Row],[ProcessSN]],表格2_7[],3,FALSE)</f>
        <v>#08RCV</v>
      </c>
      <c r="J2279" t="s">
        <v>591</v>
      </c>
      <c r="K2279" s="195">
        <v>46121.633969907409</v>
      </c>
      <c r="L2279">
        <v>0</v>
      </c>
      <c r="M2279">
        <v>19</v>
      </c>
      <c r="N2279" s="98" t="str">
        <f>IF(record[[#This Row],[Memo]]="Browser:chrome os:android","平板報工",IF(record[[#This Row],[Memo]]=0,"委外",record[[#This Row],[Memo]]))</f>
        <v/>
      </c>
      <c r="O2279" t="s">
        <v>58</v>
      </c>
      <c r="P2279" t="s">
        <v>1698</v>
      </c>
      <c r="Q2279" t="s">
        <v>58</v>
      </c>
      <c r="R2279" t="str">
        <f>IFERROR(VLOOKUP(record[[#This Row],[PCUSTID]],廠商[],2,FALSE),"")</f>
        <v/>
      </c>
      <c r="S2279" t="str">
        <f>VLOOKUP(record[[#This Row],[employeeID]],員工[],2,FALSE)</f>
        <v>羅思潔</v>
      </c>
    </row>
    <row r="2280" spans="6:19" hidden="1" x14ac:dyDescent="0.25">
      <c r="F2280" t="s">
        <v>1729</v>
      </c>
      <c r="G2280" t="s">
        <v>398</v>
      </c>
      <c r="H2280" t="str">
        <f>VLOOKUP(record[[#This Row],[ProcessSN]],表格2_7[],2,FALSE)</f>
        <v>30-4118-018-550</v>
      </c>
      <c r="I2280" t="str">
        <f>VLOOKUP(record[[#This Row],[ProcessSN]],表格2_7[],3,FALSE)</f>
        <v>#08RCV</v>
      </c>
      <c r="J2280" t="s">
        <v>591</v>
      </c>
      <c r="K2280" s="195">
        <v>46121.633750000001</v>
      </c>
      <c r="L2280">
        <v>145</v>
      </c>
      <c r="M2280">
        <v>0</v>
      </c>
      <c r="N2280" s="98" t="str">
        <f>IF(record[[#This Row],[Memo]]="Browser:chrome os:android","平板報工",IF(record[[#This Row],[Memo]]=0,"委外",record[[#This Row],[Memo]]))</f>
        <v/>
      </c>
      <c r="O2280" t="s">
        <v>58</v>
      </c>
      <c r="P2280" t="s">
        <v>1698</v>
      </c>
      <c r="Q2280" t="s">
        <v>58</v>
      </c>
      <c r="R2280" t="str">
        <f>IFERROR(VLOOKUP(record[[#This Row],[PCUSTID]],廠商[],2,FALSE),"")</f>
        <v/>
      </c>
      <c r="S2280" t="str">
        <f>VLOOKUP(record[[#This Row],[employeeID]],員工[],2,FALSE)</f>
        <v>羅思潔</v>
      </c>
    </row>
    <row r="2281" spans="6:19" hidden="1" x14ac:dyDescent="0.25">
      <c r="F2281" t="s">
        <v>1762</v>
      </c>
      <c r="G2281" t="s">
        <v>398</v>
      </c>
      <c r="H2281" t="str">
        <f>VLOOKUP(record[[#This Row],[ProcessSN]],表格2_7[],2,FALSE)</f>
        <v>30-4118-018-550</v>
      </c>
      <c r="I2281" t="str">
        <f>VLOOKUP(record[[#This Row],[ProcessSN]],表格2_7[],3,FALSE)</f>
        <v>#08RCV</v>
      </c>
      <c r="J2281" t="s">
        <v>591</v>
      </c>
      <c r="K2281" s="195">
        <v>46121.633425925924</v>
      </c>
      <c r="L2281">
        <v>159</v>
      </c>
      <c r="M2281">
        <v>0</v>
      </c>
      <c r="N2281" s="98" t="str">
        <f>IF(record[[#This Row],[Memo]]="Browser:chrome os:android","平板報工",IF(record[[#This Row],[Memo]]=0,"委外",record[[#This Row],[Memo]]))</f>
        <v/>
      </c>
      <c r="O2281" t="s">
        <v>58</v>
      </c>
      <c r="P2281" t="s">
        <v>1698</v>
      </c>
      <c r="Q2281" t="s">
        <v>58</v>
      </c>
      <c r="R2281" t="str">
        <f>IFERROR(VLOOKUP(record[[#This Row],[PCUSTID]],廠商[],2,FALSE),"")</f>
        <v/>
      </c>
      <c r="S2281" t="str">
        <f>VLOOKUP(record[[#This Row],[employeeID]],員工[],2,FALSE)</f>
        <v>羅思潔</v>
      </c>
    </row>
    <row r="2282" spans="6:19" hidden="1" x14ac:dyDescent="0.25">
      <c r="F2282" t="s">
        <v>1761</v>
      </c>
      <c r="G2282" t="s">
        <v>357</v>
      </c>
      <c r="H2282" t="str">
        <f>VLOOKUP(record[[#This Row],[ProcessSN]],表格2_7[],2,FALSE)</f>
        <v>30-4118-018-450</v>
      </c>
      <c r="I2282" t="str">
        <f>VLOOKUP(record[[#This Row],[ProcessSN]],表格2_7[],3,FALSE)</f>
        <v>#08RCV</v>
      </c>
      <c r="J2282" t="s">
        <v>591</v>
      </c>
      <c r="K2282" s="195">
        <v>46121.633229166669</v>
      </c>
      <c r="L2282">
        <v>122</v>
      </c>
      <c r="M2282">
        <v>0</v>
      </c>
      <c r="N2282" s="98" t="str">
        <f>IF(record[[#This Row],[Memo]]="Browser:chrome os:android","平板報工",IF(record[[#This Row],[Memo]]=0,"委外",record[[#This Row],[Memo]]))</f>
        <v/>
      </c>
      <c r="O2282" t="s">
        <v>58</v>
      </c>
      <c r="P2282" t="s">
        <v>1698</v>
      </c>
      <c r="Q2282" t="s">
        <v>58</v>
      </c>
      <c r="R2282" t="str">
        <f>IFERROR(VLOOKUP(record[[#This Row],[PCUSTID]],廠商[],2,FALSE),"")</f>
        <v/>
      </c>
      <c r="S2282" t="str">
        <f>VLOOKUP(record[[#This Row],[employeeID]],員工[],2,FALSE)</f>
        <v>羅思潔</v>
      </c>
    </row>
    <row r="2283" spans="6:19" hidden="1" x14ac:dyDescent="0.25">
      <c r="F2283" t="s">
        <v>1737</v>
      </c>
      <c r="G2283" t="s">
        <v>357</v>
      </c>
      <c r="H2283" t="str">
        <f>VLOOKUP(record[[#This Row],[ProcessSN]],表格2_7[],2,FALSE)</f>
        <v>30-4118-018-450</v>
      </c>
      <c r="I2283" t="str">
        <f>VLOOKUP(record[[#This Row],[ProcessSN]],表格2_7[],3,FALSE)</f>
        <v>#08RCV</v>
      </c>
      <c r="J2283" t="s">
        <v>591</v>
      </c>
      <c r="K2283" s="195">
        <v>46121.632986111108</v>
      </c>
      <c r="L2283">
        <v>0</v>
      </c>
      <c r="M2283">
        <v>35</v>
      </c>
      <c r="N2283" s="98" t="str">
        <f>IF(record[[#This Row],[Memo]]="Browser:chrome os:android","平板報工",IF(record[[#This Row],[Memo]]=0,"委外",record[[#This Row],[Memo]]))</f>
        <v/>
      </c>
      <c r="O2283" t="s">
        <v>58</v>
      </c>
      <c r="P2283" t="s">
        <v>1698</v>
      </c>
      <c r="Q2283" t="s">
        <v>58</v>
      </c>
      <c r="R2283" t="str">
        <f>IFERROR(VLOOKUP(record[[#This Row],[PCUSTID]],廠商[],2,FALSE),"")</f>
        <v/>
      </c>
      <c r="S2283" t="str">
        <f>VLOOKUP(record[[#This Row],[employeeID]],員工[],2,FALSE)</f>
        <v>羅思潔</v>
      </c>
    </row>
    <row r="2284" spans="6:19" hidden="1" x14ac:dyDescent="0.25">
      <c r="F2284" t="s">
        <v>1737</v>
      </c>
      <c r="G2284" t="s">
        <v>357</v>
      </c>
      <c r="H2284" t="str">
        <f>VLOOKUP(record[[#This Row],[ProcessSN]],表格2_7[],2,FALSE)</f>
        <v>30-4118-018-450</v>
      </c>
      <c r="I2284" t="str">
        <f>VLOOKUP(record[[#This Row],[ProcessSN]],表格2_7[],3,FALSE)</f>
        <v>#08RCV</v>
      </c>
      <c r="J2284" t="s">
        <v>591</v>
      </c>
      <c r="K2284" s="195">
        <v>46121.632465277777</v>
      </c>
      <c r="L2284">
        <v>710</v>
      </c>
      <c r="M2284">
        <v>0</v>
      </c>
      <c r="N2284" s="98" t="str">
        <f>IF(record[[#This Row],[Memo]]="Browser:chrome os:android","平板報工",IF(record[[#This Row],[Memo]]=0,"委外",record[[#This Row],[Memo]]))</f>
        <v/>
      </c>
      <c r="O2284" t="s">
        <v>58</v>
      </c>
      <c r="P2284" t="s">
        <v>1698</v>
      </c>
      <c r="Q2284" t="s">
        <v>58</v>
      </c>
      <c r="R2284" t="str">
        <f>IFERROR(VLOOKUP(record[[#This Row],[PCUSTID]],廠商[],2,FALSE),"")</f>
        <v/>
      </c>
      <c r="S2284" t="str">
        <f>VLOOKUP(record[[#This Row],[employeeID]],員工[],2,FALSE)</f>
        <v>羅思潔</v>
      </c>
    </row>
    <row r="2285" spans="6:19" hidden="1" x14ac:dyDescent="0.25">
      <c r="F2285" t="s">
        <v>1653</v>
      </c>
      <c r="G2285" t="s">
        <v>420</v>
      </c>
      <c r="H2285" t="str">
        <f>VLOOKUP(record[[#This Row],[ProcessSN]],表格2_7[],2,FALSE)</f>
        <v>30-4118-018-5XX</v>
      </c>
      <c r="I2285" t="str">
        <f>VLOOKUP(record[[#This Row],[ProcessSN]],表格2_7[],3,FALSE)</f>
        <v>#07STOCK</v>
      </c>
      <c r="J2285" t="s">
        <v>592</v>
      </c>
      <c r="K2285" s="195">
        <v>46121.628067129626</v>
      </c>
      <c r="L2285">
        <v>627</v>
      </c>
      <c r="M2285">
        <v>0</v>
      </c>
      <c r="N2285" s="98" t="str">
        <f>IF(record[[#This Row],[Memo]]="Browser:chrome os:android","平板報工",IF(record[[#This Row],[Memo]]=0,"委外",record[[#This Row],[Memo]]))</f>
        <v/>
      </c>
      <c r="O2285" t="s">
        <v>58</v>
      </c>
      <c r="P2285" t="s">
        <v>186</v>
      </c>
      <c r="Q2285" t="s">
        <v>58</v>
      </c>
      <c r="R2285" t="str">
        <f>IFERROR(VLOOKUP(record[[#This Row],[PCUSTID]],廠商[],2,FALSE),"")</f>
        <v/>
      </c>
      <c r="S2285" t="str">
        <f>VLOOKUP(record[[#This Row],[employeeID]],員工[],2,FALSE)</f>
        <v>許文姍</v>
      </c>
    </row>
    <row r="2286" spans="6:19" hidden="1" x14ac:dyDescent="0.25">
      <c r="F2286" t="s">
        <v>1472</v>
      </c>
      <c r="G2286" t="s">
        <v>420</v>
      </c>
      <c r="H2286" t="str">
        <f>VLOOKUP(record[[#This Row],[ProcessSN]],表格2_7[],2,FALSE)</f>
        <v>30-4118-018-5XX</v>
      </c>
      <c r="I2286" t="str">
        <f>VLOOKUP(record[[#This Row],[ProcessSN]],表格2_7[],3,FALSE)</f>
        <v>#07STOCK</v>
      </c>
      <c r="J2286" t="s">
        <v>592</v>
      </c>
      <c r="K2286" s="195">
        <v>46121.627662037034</v>
      </c>
      <c r="L2286">
        <v>2</v>
      </c>
      <c r="M2286">
        <v>0</v>
      </c>
      <c r="N2286" s="98" t="str">
        <f>IF(record[[#This Row],[Memo]]="Browser:chrome os:android","平板報工",IF(record[[#This Row],[Memo]]=0,"委外",record[[#This Row],[Memo]]))</f>
        <v/>
      </c>
      <c r="O2286" t="s">
        <v>58</v>
      </c>
      <c r="P2286" t="s">
        <v>186</v>
      </c>
      <c r="Q2286" t="s">
        <v>58</v>
      </c>
      <c r="R2286" t="str">
        <f>IFERROR(VLOOKUP(record[[#This Row],[PCUSTID]],廠商[],2,FALSE),"")</f>
        <v/>
      </c>
      <c r="S2286" t="str">
        <f>VLOOKUP(record[[#This Row],[employeeID]],員工[],2,FALSE)</f>
        <v>許文姍</v>
      </c>
    </row>
    <row r="2287" spans="6:19" hidden="1" x14ac:dyDescent="0.25">
      <c r="F2287" t="s">
        <v>1381</v>
      </c>
      <c r="G2287" t="s">
        <v>420</v>
      </c>
      <c r="H2287" t="str">
        <f>VLOOKUP(record[[#This Row],[ProcessSN]],表格2_7[],2,FALSE)</f>
        <v>30-4118-018-5XX</v>
      </c>
      <c r="I2287" t="str">
        <f>VLOOKUP(record[[#This Row],[ProcessSN]],表格2_7[],3,FALSE)</f>
        <v>#07STOCK</v>
      </c>
      <c r="J2287" t="s">
        <v>592</v>
      </c>
      <c r="K2287" s="195">
        <v>46121.627442129633</v>
      </c>
      <c r="L2287">
        <v>1</v>
      </c>
      <c r="M2287">
        <v>0</v>
      </c>
      <c r="N2287" s="98" t="str">
        <f>IF(record[[#This Row],[Memo]]="Browser:chrome os:android","平板報工",IF(record[[#This Row],[Memo]]=0,"委外",record[[#This Row],[Memo]]))</f>
        <v/>
      </c>
      <c r="O2287" t="s">
        <v>58</v>
      </c>
      <c r="P2287" t="s">
        <v>186</v>
      </c>
      <c r="Q2287" t="s">
        <v>58</v>
      </c>
      <c r="R2287" t="str">
        <f>IFERROR(VLOOKUP(record[[#This Row],[PCUSTID]],廠商[],2,FALSE),"")</f>
        <v/>
      </c>
      <c r="S2287" t="str">
        <f>VLOOKUP(record[[#This Row],[employeeID]],員工[],2,FALSE)</f>
        <v>許文姍</v>
      </c>
    </row>
    <row r="2288" spans="6:19" hidden="1" x14ac:dyDescent="0.25">
      <c r="F2288" t="s">
        <v>1653</v>
      </c>
      <c r="G2288" t="s">
        <v>417</v>
      </c>
      <c r="H2288" t="str">
        <f>VLOOKUP(record[[#This Row],[ProcessSN]],表格2_7[],2,FALSE)</f>
        <v>30-4118-018-5XX</v>
      </c>
      <c r="I2288" t="str">
        <f>VLOOKUP(record[[#This Row],[ProcessSN]],表格2_7[],3,FALSE)</f>
        <v>#06</v>
      </c>
      <c r="J2288" t="s">
        <v>593</v>
      </c>
      <c r="K2288" s="195">
        <v>46121.625185185185</v>
      </c>
      <c r="L2288">
        <v>55</v>
      </c>
      <c r="M2288">
        <v>0</v>
      </c>
      <c r="N2288" s="98" t="str">
        <f>IF(record[[#This Row],[Memo]]="Browser:chrome os:android","平板報工",IF(record[[#This Row],[Memo]]=0,"委外",record[[#This Row],[Memo]]))</f>
        <v>平板報工</v>
      </c>
      <c r="O2288" t="s">
        <v>643</v>
      </c>
      <c r="P2288" t="s">
        <v>166</v>
      </c>
      <c r="Q2288" t="s">
        <v>644</v>
      </c>
      <c r="R2288" t="str">
        <f>IFERROR(VLOOKUP(record[[#This Row],[PCUSTID]],廠商[],2,FALSE),"")</f>
        <v/>
      </c>
      <c r="S2288" t="str">
        <f>VLOOKUP(record[[#This Row],[employeeID]],員工[],2,FALSE)</f>
        <v>阮懷香</v>
      </c>
    </row>
    <row r="2289" spans="6:19" hidden="1" x14ac:dyDescent="0.25">
      <c r="F2289" t="s">
        <v>1784</v>
      </c>
      <c r="G2289" t="s">
        <v>397</v>
      </c>
      <c r="H2289" t="str">
        <f>VLOOKUP(record[[#This Row],[ProcessSN]],表格2_7[],2,FALSE)</f>
        <v>30-4118-018-550</v>
      </c>
      <c r="I2289" t="str">
        <f>VLOOKUP(record[[#This Row],[ProcessSN]],表格2_7[],3,FALSE)</f>
        <v>#08</v>
      </c>
      <c r="J2289" t="s">
        <v>597</v>
      </c>
      <c r="K2289" s="195">
        <v>46121.607951388891</v>
      </c>
      <c r="L2289">
        <v>630</v>
      </c>
      <c r="M2289">
        <v>0</v>
      </c>
      <c r="N2289" s="98" t="str">
        <f>IF(record[[#This Row],[Memo]]="Browser:chrome os:android","平板報工",IF(record[[#This Row],[Memo]]=0,"委外",record[[#This Row],[Memo]]))</f>
        <v>委外</v>
      </c>
      <c r="P2289" t="s">
        <v>186</v>
      </c>
      <c r="Q2289" t="s">
        <v>287</v>
      </c>
      <c r="R2289" t="str">
        <f>IFERROR(VLOOKUP(record[[#This Row],[PCUSTID]],廠商[],2,FALSE),"")</f>
        <v>泉盛</v>
      </c>
      <c r="S2289" t="str">
        <f>VLOOKUP(record[[#This Row],[employeeID]],員工[],2,FALSE)</f>
        <v>許文姍</v>
      </c>
    </row>
    <row r="2290" spans="6:19" hidden="1" x14ac:dyDescent="0.25">
      <c r="F2290" t="s">
        <v>1784</v>
      </c>
      <c r="G2290" t="s">
        <v>396</v>
      </c>
      <c r="H2290" t="str">
        <f>VLOOKUP(record[[#This Row],[ProcessSN]],表格2_7[],2,FALSE)</f>
        <v>30-4118-018-550</v>
      </c>
      <c r="I2290" t="str">
        <f>VLOOKUP(record[[#This Row],[ProcessSN]],表格2_7[],3,FALSE)</f>
        <v>#08PICK</v>
      </c>
      <c r="J2290" t="s">
        <v>582</v>
      </c>
      <c r="K2290" s="195">
        <v>46121.607638888891</v>
      </c>
      <c r="L2290">
        <v>630</v>
      </c>
      <c r="M2290">
        <v>0</v>
      </c>
      <c r="N2290" s="98" t="str">
        <f>IF(record[[#This Row],[Memo]]="Browser:chrome os:android","平板報工",IF(record[[#This Row],[Memo]]=0,"委外",record[[#This Row],[Memo]]))</f>
        <v/>
      </c>
      <c r="O2290" t="s">
        <v>58</v>
      </c>
      <c r="P2290" t="s">
        <v>186</v>
      </c>
      <c r="Q2290" t="s">
        <v>58</v>
      </c>
      <c r="R2290" t="str">
        <f>IFERROR(VLOOKUP(record[[#This Row],[PCUSTID]],廠商[],2,FALSE),"")</f>
        <v/>
      </c>
      <c r="S2290" t="str">
        <f>VLOOKUP(record[[#This Row],[employeeID]],員工[],2,FALSE)</f>
        <v>許文姍</v>
      </c>
    </row>
    <row r="2291" spans="6:19" hidden="1" x14ac:dyDescent="0.25">
      <c r="F2291" t="s">
        <v>1653</v>
      </c>
      <c r="G2291" t="s">
        <v>419</v>
      </c>
      <c r="H2291" t="str">
        <f>VLOOKUP(record[[#This Row],[ProcessSN]],表格2_7[],2,FALSE)</f>
        <v>30-4118-018-5XX</v>
      </c>
      <c r="I2291" t="str">
        <f>VLOOKUP(record[[#This Row],[ProcessSN]],表格2_7[],3,FALSE)</f>
        <v>#07QC</v>
      </c>
      <c r="J2291" t="s">
        <v>589</v>
      </c>
      <c r="K2291" s="195">
        <v>46121.571076388886</v>
      </c>
      <c r="L2291">
        <v>0</v>
      </c>
      <c r="M2291">
        <v>6</v>
      </c>
      <c r="N2291" s="98" t="str">
        <f>IF(record[[#This Row],[Memo]]="Browser:chrome os:android","平板報工",IF(record[[#This Row],[Memo]]=0,"委外",record[[#This Row],[Memo]]))</f>
        <v/>
      </c>
      <c r="O2291" t="s">
        <v>58</v>
      </c>
      <c r="P2291" t="s">
        <v>141</v>
      </c>
      <c r="Q2291" t="s">
        <v>58</v>
      </c>
      <c r="R2291" t="str">
        <f>IFERROR(VLOOKUP(record[[#This Row],[PCUSTID]],廠商[],2,FALSE),"")</f>
        <v/>
      </c>
      <c r="S2291" t="str">
        <f>VLOOKUP(record[[#This Row],[employeeID]],員工[],2,FALSE)</f>
        <v>蔣梅</v>
      </c>
    </row>
    <row r="2292" spans="6:19" hidden="1" x14ac:dyDescent="0.25">
      <c r="F2292" t="s">
        <v>1653</v>
      </c>
      <c r="G2292" t="s">
        <v>419</v>
      </c>
      <c r="H2292" t="str">
        <f>VLOOKUP(record[[#This Row],[ProcessSN]],表格2_7[],2,FALSE)</f>
        <v>30-4118-018-5XX</v>
      </c>
      <c r="I2292" t="str">
        <f>VLOOKUP(record[[#This Row],[ProcessSN]],表格2_7[],3,FALSE)</f>
        <v>#07QC</v>
      </c>
      <c r="J2292" t="s">
        <v>589</v>
      </c>
      <c r="K2292" s="195">
        <v>46121.565266203703</v>
      </c>
      <c r="L2292">
        <v>627</v>
      </c>
      <c r="M2292">
        <v>0</v>
      </c>
      <c r="N2292" s="98" t="str">
        <f>IF(record[[#This Row],[Memo]]="Browser:chrome os:android","平板報工",IF(record[[#This Row],[Memo]]=0,"委外",record[[#This Row],[Memo]]))</f>
        <v/>
      </c>
      <c r="O2292" t="s">
        <v>58</v>
      </c>
      <c r="P2292" t="s">
        <v>141</v>
      </c>
      <c r="Q2292" t="s">
        <v>58</v>
      </c>
      <c r="R2292" t="str">
        <f>IFERROR(VLOOKUP(record[[#This Row],[PCUSTID]],廠商[],2,FALSE),"")</f>
        <v/>
      </c>
      <c r="S2292" t="str">
        <f>VLOOKUP(record[[#This Row],[employeeID]],員工[],2,FALSE)</f>
        <v>蔣梅</v>
      </c>
    </row>
    <row r="2293" spans="6:19" hidden="1" x14ac:dyDescent="0.25">
      <c r="F2293" t="s">
        <v>1381</v>
      </c>
      <c r="G2293" t="s">
        <v>419</v>
      </c>
      <c r="H2293" t="str">
        <f>VLOOKUP(record[[#This Row],[ProcessSN]],表格2_7[],2,FALSE)</f>
        <v>30-4118-018-5XX</v>
      </c>
      <c r="I2293" t="str">
        <f>VLOOKUP(record[[#This Row],[ProcessSN]],表格2_7[],3,FALSE)</f>
        <v>#07QC</v>
      </c>
      <c r="J2293" t="s">
        <v>589</v>
      </c>
      <c r="K2293" s="195">
        <v>46121.564722222225</v>
      </c>
      <c r="L2293">
        <v>1</v>
      </c>
      <c r="M2293">
        <v>0</v>
      </c>
      <c r="N2293" s="98" t="str">
        <f>IF(record[[#This Row],[Memo]]="Browser:chrome os:android","平板報工",IF(record[[#This Row],[Memo]]=0,"委外",record[[#This Row],[Memo]]))</f>
        <v/>
      </c>
      <c r="O2293" t="s">
        <v>58</v>
      </c>
      <c r="P2293" t="s">
        <v>141</v>
      </c>
      <c r="Q2293" t="s">
        <v>58</v>
      </c>
      <c r="R2293" t="str">
        <f>IFERROR(VLOOKUP(record[[#This Row],[PCUSTID]],廠商[],2,FALSE),"")</f>
        <v/>
      </c>
      <c r="S2293" t="str">
        <f>VLOOKUP(record[[#This Row],[employeeID]],員工[],2,FALSE)</f>
        <v>蔣梅</v>
      </c>
    </row>
    <row r="2294" spans="6:19" hidden="1" x14ac:dyDescent="0.25">
      <c r="F2294" t="s">
        <v>1472</v>
      </c>
      <c r="G2294" t="s">
        <v>419</v>
      </c>
      <c r="H2294" t="str">
        <f>VLOOKUP(record[[#This Row],[ProcessSN]],表格2_7[],2,FALSE)</f>
        <v>30-4118-018-5XX</v>
      </c>
      <c r="I2294" t="str">
        <f>VLOOKUP(record[[#This Row],[ProcessSN]],表格2_7[],3,FALSE)</f>
        <v>#07QC</v>
      </c>
      <c r="J2294" t="s">
        <v>589</v>
      </c>
      <c r="K2294" s="195">
        <v>46121.56449074074</v>
      </c>
      <c r="L2294">
        <v>2</v>
      </c>
      <c r="M2294">
        <v>0</v>
      </c>
      <c r="N2294" s="98" t="str">
        <f>IF(record[[#This Row],[Memo]]="Browser:chrome os:android","平板報工",IF(record[[#This Row],[Memo]]=0,"委外",record[[#This Row],[Memo]]))</f>
        <v/>
      </c>
      <c r="O2294" t="s">
        <v>58</v>
      </c>
      <c r="P2294" t="s">
        <v>141</v>
      </c>
      <c r="Q2294" t="s">
        <v>58</v>
      </c>
      <c r="R2294" t="str">
        <f>IFERROR(VLOOKUP(record[[#This Row],[PCUSTID]],廠商[],2,FALSE),"")</f>
        <v/>
      </c>
      <c r="S2294" t="str">
        <f>VLOOKUP(record[[#This Row],[employeeID]],員工[],2,FALSE)</f>
        <v>蔣梅</v>
      </c>
    </row>
    <row r="2295" spans="6:19" hidden="1" x14ac:dyDescent="0.25">
      <c r="F2295" t="s">
        <v>1653</v>
      </c>
      <c r="G2295" t="s">
        <v>418</v>
      </c>
      <c r="H2295" t="str">
        <f>VLOOKUP(record[[#This Row],[ProcessSN]],表格2_7[],2,FALSE)</f>
        <v>30-4118-018-5XX</v>
      </c>
      <c r="I2295" t="str">
        <f>VLOOKUP(record[[#This Row],[ProcessSN]],表格2_7[],3,FALSE)</f>
        <v>#07</v>
      </c>
      <c r="J2295" t="s">
        <v>588</v>
      </c>
      <c r="K2295" s="195">
        <v>46121.493564814817</v>
      </c>
      <c r="L2295">
        <v>108</v>
      </c>
      <c r="M2295">
        <v>0</v>
      </c>
      <c r="N2295" s="98" t="str">
        <f>IF(record[[#This Row],[Memo]]="Browser:chrome os:android","平板報工",IF(record[[#This Row],[Memo]]=0,"委外",record[[#This Row],[Memo]]))</f>
        <v>平板報工</v>
      </c>
      <c r="O2295" t="s">
        <v>643</v>
      </c>
      <c r="P2295" t="s">
        <v>145</v>
      </c>
      <c r="Q2295" t="s">
        <v>644</v>
      </c>
      <c r="R2295" t="str">
        <f>IFERROR(VLOOKUP(record[[#This Row],[PCUSTID]],廠商[],2,FALSE),"")</f>
        <v/>
      </c>
      <c r="S2295" t="str">
        <f>VLOOKUP(record[[#This Row],[employeeID]],員工[],2,FALSE)</f>
        <v>阮秋霞</v>
      </c>
    </row>
    <row r="2296" spans="6:19" hidden="1" x14ac:dyDescent="0.25">
      <c r="F2296" t="s">
        <v>1656</v>
      </c>
      <c r="G2296" t="s">
        <v>400</v>
      </c>
      <c r="H2296" t="str">
        <f>VLOOKUP(record[[#This Row],[ProcessSN]],表格2_7[],2,FALSE)</f>
        <v>30-4118-018-550</v>
      </c>
      <c r="I2296" t="str">
        <f>VLOOKUP(record[[#This Row],[ProcessSN]],表格2_7[],3,FALSE)</f>
        <v>#100</v>
      </c>
      <c r="J2296" t="s">
        <v>598</v>
      </c>
      <c r="K2296" s="195">
        <v>46121.470520833333</v>
      </c>
      <c r="L2296">
        <v>24</v>
      </c>
      <c r="M2296">
        <v>0</v>
      </c>
      <c r="N2296" s="98" t="str">
        <f>IF(record[[#This Row],[Memo]]="Browser:chrome os:android","平板報工",IF(record[[#This Row],[Memo]]=0,"委外",record[[#This Row],[Memo]]))</f>
        <v>多料</v>
      </c>
      <c r="O2296" t="s">
        <v>1783</v>
      </c>
      <c r="P2296" t="s">
        <v>141</v>
      </c>
      <c r="Q2296" t="s">
        <v>58</v>
      </c>
      <c r="R2296" t="str">
        <f>IFERROR(VLOOKUP(record[[#This Row],[PCUSTID]],廠商[],2,FALSE),"")</f>
        <v/>
      </c>
      <c r="S2296" t="str">
        <f>VLOOKUP(record[[#This Row],[employeeID]],員工[],2,FALSE)</f>
        <v>蔣梅</v>
      </c>
    </row>
    <row r="2297" spans="6:19" hidden="1" x14ac:dyDescent="0.25">
      <c r="F2297" t="s">
        <v>1737</v>
      </c>
      <c r="G2297" t="s">
        <v>362</v>
      </c>
      <c r="H2297" t="str">
        <f>VLOOKUP(record[[#This Row],[ProcessSN]],表格2_7[],2,FALSE)</f>
        <v>30-4118-018-450</v>
      </c>
      <c r="I2297" t="str">
        <f>VLOOKUP(record[[#This Row],[ProcessSN]],表格2_7[],3,FALSE)</f>
        <v>#100SHIP</v>
      </c>
      <c r="J2297" t="s">
        <v>600</v>
      </c>
      <c r="K2297" s="195">
        <v>46121.447384259256</v>
      </c>
      <c r="L2297">
        <v>354</v>
      </c>
      <c r="M2297">
        <v>0</v>
      </c>
      <c r="N2297" s="98" t="str">
        <f>IF(record[[#This Row],[Memo]]="Browser:chrome os:android","平板報工",IF(record[[#This Row],[Memo]]=0,"委外",record[[#This Row],[Memo]]))</f>
        <v/>
      </c>
      <c r="O2297" t="s">
        <v>58</v>
      </c>
      <c r="P2297" t="s">
        <v>886</v>
      </c>
      <c r="Q2297" t="s">
        <v>58</v>
      </c>
      <c r="R2297" t="str">
        <f>IFERROR(VLOOKUP(record[[#This Row],[PCUSTID]],廠商[],2,FALSE),"")</f>
        <v/>
      </c>
      <c r="S2297" t="str">
        <f>VLOOKUP(record[[#This Row],[employeeID]],員工[],2,FALSE)</f>
        <v>謝蓁薰</v>
      </c>
    </row>
    <row r="2298" spans="6:19" hidden="1" x14ac:dyDescent="0.25">
      <c r="F2298" t="s">
        <v>1782</v>
      </c>
      <c r="G2298" t="s">
        <v>413</v>
      </c>
      <c r="H2298" t="str">
        <f>VLOOKUP(record[[#This Row],[ProcessSN]],表格2_7[],2,FALSE)</f>
        <v>30-4118-018-5XX</v>
      </c>
      <c r="I2298" t="str">
        <f>VLOOKUP(record[[#This Row],[ProcessSN]],表格2_7[],3,FALSE)</f>
        <v>#03GIVE</v>
      </c>
      <c r="J2298" t="s">
        <v>587</v>
      </c>
      <c r="K2298" s="195">
        <v>46121.409247685187</v>
      </c>
      <c r="L2298">
        <v>839</v>
      </c>
      <c r="M2298">
        <v>0</v>
      </c>
      <c r="N2298" s="98" t="str">
        <f>IF(record[[#This Row],[Memo]]="Browser:chrome os:android","平板報工",IF(record[[#This Row],[Memo]]=0,"委外",record[[#This Row],[Memo]]))</f>
        <v/>
      </c>
      <c r="O2298" t="s">
        <v>58</v>
      </c>
      <c r="P2298" t="s">
        <v>1070</v>
      </c>
      <c r="Q2298" t="s">
        <v>58</v>
      </c>
      <c r="R2298" t="str">
        <f>IFERROR(VLOOKUP(record[[#This Row],[PCUSTID]],廠商[],2,FALSE),"")</f>
        <v/>
      </c>
      <c r="S2298" t="str">
        <f>VLOOKUP(record[[#This Row],[employeeID]],員工[],2,FALSE)</f>
        <v>陳昱佑</v>
      </c>
    </row>
    <row r="2299" spans="6:19" hidden="1" x14ac:dyDescent="0.25">
      <c r="F2299" t="s">
        <v>1782</v>
      </c>
      <c r="G2299" t="s">
        <v>412</v>
      </c>
      <c r="H2299" t="str">
        <f>VLOOKUP(record[[#This Row],[ProcessSN]],表格2_7[],2,FALSE)</f>
        <v>30-4118-018-5XX</v>
      </c>
      <c r="I2299" t="str">
        <f>VLOOKUP(record[[#This Row],[ProcessSN]],表格2_7[],3,FALSE)</f>
        <v>#03PICK</v>
      </c>
      <c r="J2299" t="s">
        <v>582</v>
      </c>
      <c r="K2299" s="195">
        <v>46121.407418981478</v>
      </c>
      <c r="L2299">
        <v>839</v>
      </c>
      <c r="M2299">
        <v>0</v>
      </c>
      <c r="N2299" s="98" t="str">
        <f>IF(record[[#This Row],[Memo]]="Browser:chrome os:android","平板報工",IF(record[[#This Row],[Memo]]=0,"委外",record[[#This Row],[Memo]]))</f>
        <v/>
      </c>
      <c r="O2299" t="s">
        <v>58</v>
      </c>
      <c r="P2299" t="s">
        <v>186</v>
      </c>
      <c r="Q2299" t="s">
        <v>58</v>
      </c>
      <c r="R2299" t="str">
        <f>IFERROR(VLOOKUP(record[[#This Row],[PCUSTID]],廠商[],2,FALSE),"")</f>
        <v/>
      </c>
      <c r="S2299" t="str">
        <f>VLOOKUP(record[[#This Row],[employeeID]],員工[],2,FALSE)</f>
        <v>許文姍</v>
      </c>
    </row>
    <row r="2300" spans="6:19" hidden="1" x14ac:dyDescent="0.25">
      <c r="F2300" t="s">
        <v>1655</v>
      </c>
      <c r="G2300" t="s">
        <v>469</v>
      </c>
      <c r="H2300" t="str">
        <f>VLOOKUP(record[[#This Row],[ProcessSN]],表格2_7[],2,FALSE)</f>
        <v>30-4118-018-XXX</v>
      </c>
      <c r="I2300" t="str">
        <f>VLOOKUP(record[[#This Row],[ProcessSN]],表格2_7[],3,FALSE)</f>
        <v>#02RCV</v>
      </c>
      <c r="J2300" t="s">
        <v>591</v>
      </c>
      <c r="K2300" s="195">
        <v>46121.406041666669</v>
      </c>
      <c r="L2300">
        <v>839</v>
      </c>
      <c r="M2300">
        <v>0</v>
      </c>
      <c r="N2300" s="98" t="str">
        <f>IF(record[[#This Row],[Memo]]="Browser:chrome os:android","平板報工",IF(record[[#This Row],[Memo]]=0,"委外",record[[#This Row],[Memo]]))</f>
        <v/>
      </c>
      <c r="O2300" t="s">
        <v>58</v>
      </c>
      <c r="P2300" t="s">
        <v>186</v>
      </c>
      <c r="Q2300" t="s">
        <v>58</v>
      </c>
      <c r="R2300" t="str">
        <f>IFERROR(VLOOKUP(record[[#This Row],[PCUSTID]],廠商[],2,FALSE),"")</f>
        <v/>
      </c>
      <c r="S2300" t="str">
        <f>VLOOKUP(record[[#This Row],[employeeID]],員工[],2,FALSE)</f>
        <v>許文姍</v>
      </c>
    </row>
    <row r="2301" spans="6:19" hidden="1" x14ac:dyDescent="0.25">
      <c r="F2301" t="s">
        <v>1655</v>
      </c>
      <c r="G2301" t="s">
        <v>468</v>
      </c>
      <c r="H2301" t="str">
        <f>VLOOKUP(record[[#This Row],[ProcessSN]],表格2_7[],2,FALSE)</f>
        <v>30-4118-018-XXX</v>
      </c>
      <c r="I2301" t="str">
        <f>VLOOKUP(record[[#This Row],[ProcessSN]],表格2_7[],3,FALSE)</f>
        <v>#02</v>
      </c>
      <c r="J2301" t="s">
        <v>590</v>
      </c>
      <c r="K2301" s="195">
        <v>46121.372673611113</v>
      </c>
      <c r="L2301">
        <v>1176</v>
      </c>
      <c r="M2301">
        <v>0</v>
      </c>
      <c r="N2301" s="98" t="str">
        <f>IF(record[[#This Row],[Memo]]="Browser:chrome os:android","平板報工",IF(record[[#This Row],[Memo]]=0,"委外",record[[#This Row],[Memo]]))</f>
        <v>委外</v>
      </c>
      <c r="P2301" t="s">
        <v>1698</v>
      </c>
      <c r="Q2301" t="s">
        <v>216</v>
      </c>
      <c r="R2301" t="str">
        <f>IFERROR(VLOOKUP(record[[#This Row],[PCUSTID]],廠商[],2,FALSE),"")</f>
        <v>俊杰</v>
      </c>
      <c r="S2301" t="str">
        <f>VLOOKUP(record[[#This Row],[employeeID]],員工[],2,FALSE)</f>
        <v>羅思潔</v>
      </c>
    </row>
    <row r="2302" spans="6:19" hidden="1" x14ac:dyDescent="0.25">
      <c r="F2302" t="s">
        <v>1737</v>
      </c>
      <c r="G2302" t="s">
        <v>361</v>
      </c>
      <c r="H2302" t="str">
        <f>VLOOKUP(record[[#This Row],[ProcessSN]],表格2_7[],2,FALSE)</f>
        <v>30-4118-018-450</v>
      </c>
      <c r="I2302" t="str">
        <f>VLOOKUP(record[[#This Row],[ProcessSN]],表格2_7[],3,FALSE)</f>
        <v>#100STOCK</v>
      </c>
      <c r="J2302" t="s">
        <v>592</v>
      </c>
      <c r="K2302" s="195">
        <v>46121.368784722225</v>
      </c>
      <c r="L2302">
        <v>354</v>
      </c>
      <c r="M2302">
        <v>0</v>
      </c>
      <c r="N2302" s="98" t="str">
        <f>IF(record[[#This Row],[Memo]]="Browser:chrome os:android","平板報工",IF(record[[#This Row],[Memo]]=0,"委外",record[[#This Row],[Memo]]))</f>
        <v/>
      </c>
      <c r="O2302" t="s">
        <v>58</v>
      </c>
      <c r="P2302" t="s">
        <v>886</v>
      </c>
      <c r="Q2302" t="s">
        <v>58</v>
      </c>
      <c r="R2302" t="str">
        <f>IFERROR(VLOOKUP(record[[#This Row],[PCUSTID]],廠商[],2,FALSE),"")</f>
        <v/>
      </c>
      <c r="S2302" t="str">
        <f>VLOOKUP(record[[#This Row],[employeeID]],員工[],2,FALSE)</f>
        <v>謝蓁薰</v>
      </c>
    </row>
    <row r="2303" spans="6:19" hidden="1" x14ac:dyDescent="0.25">
      <c r="F2303" t="s">
        <v>1660</v>
      </c>
      <c r="G2303" t="s">
        <v>400</v>
      </c>
      <c r="H2303" t="str">
        <f>VLOOKUP(record[[#This Row],[ProcessSN]],表格2_7[],2,FALSE)</f>
        <v>30-4118-018-550</v>
      </c>
      <c r="I2303" t="str">
        <f>VLOOKUP(record[[#This Row],[ProcessSN]],表格2_7[],3,FALSE)</f>
        <v>#100</v>
      </c>
      <c r="J2303" t="s">
        <v>598</v>
      </c>
      <c r="K2303" s="195">
        <v>46121.356608796297</v>
      </c>
      <c r="L2303">
        <v>74</v>
      </c>
      <c r="M2303">
        <v>0</v>
      </c>
      <c r="N2303" s="98" t="str">
        <f>IF(record[[#This Row],[Memo]]="Browser:chrome os:android","平板報工",IF(record[[#This Row],[Memo]]=0,"委外",record[[#This Row],[Memo]]))</f>
        <v/>
      </c>
      <c r="O2303" t="s">
        <v>58</v>
      </c>
      <c r="P2303" t="s">
        <v>141</v>
      </c>
      <c r="Q2303" t="s">
        <v>58</v>
      </c>
      <c r="R2303" t="str">
        <f>IFERROR(VLOOKUP(record[[#This Row],[PCUSTID]],廠商[],2,FALSE),"")</f>
        <v/>
      </c>
      <c r="S2303" t="str">
        <f>VLOOKUP(record[[#This Row],[employeeID]],員工[],2,FALSE)</f>
        <v>蔣梅</v>
      </c>
    </row>
    <row r="2304" spans="6:19" hidden="1" x14ac:dyDescent="0.25">
      <c r="F2304" t="s">
        <v>1660</v>
      </c>
      <c r="G2304" t="s">
        <v>399</v>
      </c>
      <c r="H2304" t="str">
        <f>VLOOKUP(record[[#This Row],[ProcessSN]],表格2_7[],2,FALSE)</f>
        <v>30-4118-018-550</v>
      </c>
      <c r="I2304" t="str">
        <f>VLOOKUP(record[[#This Row],[ProcessSN]],表格2_7[],3,FALSE)</f>
        <v>#08IQC</v>
      </c>
      <c r="J2304" t="s">
        <v>583</v>
      </c>
      <c r="K2304" s="195">
        <v>46121.356400462966</v>
      </c>
      <c r="L2304">
        <v>74</v>
      </c>
      <c r="M2304">
        <v>0</v>
      </c>
      <c r="N2304" s="98" t="str">
        <f>IF(record[[#This Row],[Memo]]="Browser:chrome os:android","平板報工",IF(record[[#This Row],[Memo]]=0,"委外",record[[#This Row],[Memo]]))</f>
        <v>覆回(3/30日阿河看)</v>
      </c>
      <c r="O2304" t="s">
        <v>1780</v>
      </c>
      <c r="P2304" t="s">
        <v>141</v>
      </c>
      <c r="Q2304" t="s">
        <v>58</v>
      </c>
      <c r="R2304" t="str">
        <f>IFERROR(VLOOKUP(record[[#This Row],[PCUSTID]],廠商[],2,FALSE),"")</f>
        <v/>
      </c>
      <c r="S2304" t="str">
        <f>VLOOKUP(record[[#This Row],[employeeID]],員工[],2,FALSE)</f>
        <v>蔣梅</v>
      </c>
    </row>
    <row r="2305" spans="6:19" hidden="1" x14ac:dyDescent="0.25">
      <c r="F2305" t="s">
        <v>1660</v>
      </c>
      <c r="G2305" t="s">
        <v>398</v>
      </c>
      <c r="H2305" t="str">
        <f>VLOOKUP(record[[#This Row],[ProcessSN]],表格2_7[],2,FALSE)</f>
        <v>30-4118-018-550</v>
      </c>
      <c r="I2305" t="str">
        <f>VLOOKUP(record[[#This Row],[ProcessSN]],表格2_7[],3,FALSE)</f>
        <v>#08RCV</v>
      </c>
      <c r="J2305" t="s">
        <v>591</v>
      </c>
      <c r="K2305" s="195">
        <v>46121.349409722221</v>
      </c>
      <c r="L2305">
        <v>0</v>
      </c>
      <c r="M2305">
        <v>8</v>
      </c>
      <c r="N2305" s="98" t="str">
        <f>IF(record[[#This Row],[Memo]]="Browser:chrome os:android","平板報工",IF(record[[#This Row],[Memo]]=0,"委外",record[[#This Row],[Memo]]))</f>
        <v>補</v>
      </c>
      <c r="O2305" t="s">
        <v>690</v>
      </c>
      <c r="P2305" t="s">
        <v>186</v>
      </c>
      <c r="Q2305" t="s">
        <v>58</v>
      </c>
      <c r="R2305" t="str">
        <f>IFERROR(VLOOKUP(record[[#This Row],[PCUSTID]],廠商[],2,FALSE),"")</f>
        <v/>
      </c>
      <c r="S2305" t="str">
        <f>VLOOKUP(record[[#This Row],[employeeID]],員工[],2,FALSE)</f>
        <v>許文姍</v>
      </c>
    </row>
    <row r="2306" spans="6:19" hidden="1" x14ac:dyDescent="0.25">
      <c r="F2306" t="s">
        <v>1660</v>
      </c>
      <c r="G2306" t="s">
        <v>398</v>
      </c>
      <c r="H2306" t="str">
        <f>VLOOKUP(record[[#This Row],[ProcessSN]],表格2_7[],2,FALSE)</f>
        <v>30-4118-018-550</v>
      </c>
      <c r="I2306" t="str">
        <f>VLOOKUP(record[[#This Row],[ProcessSN]],表格2_7[],3,FALSE)</f>
        <v>#08RCV</v>
      </c>
      <c r="J2306" t="s">
        <v>591</v>
      </c>
      <c r="K2306" s="195">
        <v>46121.349189814813</v>
      </c>
      <c r="L2306">
        <v>74</v>
      </c>
      <c r="M2306">
        <v>0</v>
      </c>
      <c r="N2306" s="98" t="str">
        <f>IF(record[[#This Row],[Memo]]="Browser:chrome os:android","平板報工",IF(record[[#This Row],[Memo]]=0,"委外",record[[#This Row],[Memo]]))</f>
        <v>補</v>
      </c>
      <c r="O2306" t="s">
        <v>690</v>
      </c>
      <c r="P2306" t="s">
        <v>186</v>
      </c>
      <c r="Q2306" t="s">
        <v>58</v>
      </c>
      <c r="R2306" t="str">
        <f>IFERROR(VLOOKUP(record[[#This Row],[PCUSTID]],廠商[],2,FALSE),"")</f>
        <v/>
      </c>
      <c r="S2306" t="str">
        <f>VLOOKUP(record[[#This Row],[employeeID]],員工[],2,FALSE)</f>
        <v>許文姍</v>
      </c>
    </row>
    <row r="2307" spans="6:19" hidden="1" x14ac:dyDescent="0.25">
      <c r="F2307" t="s">
        <v>1655</v>
      </c>
      <c r="G2307" t="s">
        <v>467</v>
      </c>
      <c r="H2307" t="str">
        <f>VLOOKUP(record[[#This Row],[ProcessSN]],表格2_7[],2,FALSE)</f>
        <v>30-4118-018-XXX</v>
      </c>
      <c r="I2307" t="str">
        <f>VLOOKUP(record[[#This Row],[ProcessSN]],表格2_7[],3,FALSE)</f>
        <v>#01QC</v>
      </c>
      <c r="J2307" t="s">
        <v>589</v>
      </c>
      <c r="K2307" s="195">
        <v>46121.345219907409</v>
      </c>
      <c r="L2307">
        <v>1176</v>
      </c>
      <c r="M2307">
        <v>0</v>
      </c>
      <c r="N2307" s="98" t="str">
        <f>IF(record[[#This Row],[Memo]]="Browser:chrome os:android","平板報工",IF(record[[#This Row],[Memo]]=0,"委外",record[[#This Row],[Memo]]))</f>
        <v>平板報工</v>
      </c>
      <c r="O2307" t="s">
        <v>643</v>
      </c>
      <c r="P2307" t="s">
        <v>182</v>
      </c>
      <c r="Q2307" t="s">
        <v>644</v>
      </c>
      <c r="R2307" t="str">
        <f>IFERROR(VLOOKUP(record[[#This Row],[PCUSTID]],廠商[],2,FALSE),"")</f>
        <v/>
      </c>
      <c r="S2307" t="str">
        <f>VLOOKUP(record[[#This Row],[employeeID]],員工[],2,FALSE)</f>
        <v>梅氏和</v>
      </c>
    </row>
    <row r="2308" spans="6:19" hidden="1" x14ac:dyDescent="0.25">
      <c r="F2308" t="s">
        <v>1653</v>
      </c>
      <c r="G2308" t="s">
        <v>418</v>
      </c>
      <c r="H2308" t="str">
        <f>VLOOKUP(record[[#This Row],[ProcessSN]],表格2_7[],2,FALSE)</f>
        <v>30-4118-018-5XX</v>
      </c>
      <c r="I2308" t="str">
        <f>VLOOKUP(record[[#This Row],[ProcessSN]],表格2_7[],3,FALSE)</f>
        <v>#07</v>
      </c>
      <c r="J2308" t="s">
        <v>588</v>
      </c>
      <c r="K2308" s="195">
        <v>46121.303460648145</v>
      </c>
      <c r="L2308">
        <v>161</v>
      </c>
      <c r="M2308">
        <v>0</v>
      </c>
      <c r="N2308" s="98" t="str">
        <f>IF(record[[#This Row],[Memo]]="Browser:chrome os:android","平板報工",IF(record[[#This Row],[Memo]]=0,"委外",record[[#This Row],[Memo]]))</f>
        <v/>
      </c>
      <c r="O2308" t="s">
        <v>58</v>
      </c>
      <c r="P2308" t="s">
        <v>843</v>
      </c>
      <c r="Q2308" t="s">
        <v>58</v>
      </c>
      <c r="R2308" t="str">
        <f>IFERROR(VLOOKUP(record[[#This Row],[PCUSTID]],廠商[],2,FALSE),"")</f>
        <v/>
      </c>
      <c r="S2308" t="str">
        <f>VLOOKUP(record[[#This Row],[employeeID]],員工[],2,FALSE)</f>
        <v>張楚承</v>
      </c>
    </row>
    <row r="2309" spans="6:19" hidden="1" x14ac:dyDescent="0.25">
      <c r="F2309" t="s">
        <v>1652</v>
      </c>
      <c r="G2309" t="s">
        <v>449</v>
      </c>
      <c r="H2309" t="str">
        <f>VLOOKUP(record[[#This Row],[ProcessSN]],表格2_7[],2,FALSE)</f>
        <v>30-4118-018-6XX</v>
      </c>
      <c r="I2309" t="str">
        <f>VLOOKUP(record[[#This Row],[ProcessSN]],表格2_7[],3,FALSE)</f>
        <v>#05</v>
      </c>
      <c r="J2309" t="s">
        <v>588</v>
      </c>
      <c r="K2309" s="195">
        <v>46121.302997685183</v>
      </c>
      <c r="L2309">
        <v>18</v>
      </c>
      <c r="M2309">
        <v>0</v>
      </c>
      <c r="N2309" s="98" t="str">
        <f>IF(record[[#This Row],[Memo]]="Browser:chrome os:android","平板報工",IF(record[[#This Row],[Memo]]=0,"委外",record[[#This Row],[Memo]]))</f>
        <v/>
      </c>
      <c r="O2309" t="s">
        <v>58</v>
      </c>
      <c r="P2309" t="s">
        <v>843</v>
      </c>
      <c r="Q2309" t="s">
        <v>58</v>
      </c>
      <c r="R2309" t="str">
        <f>IFERROR(VLOOKUP(record[[#This Row],[PCUSTID]],廠商[],2,FALSE),"")</f>
        <v/>
      </c>
      <c r="S2309" t="str">
        <f>VLOOKUP(record[[#This Row],[employeeID]],員工[],2,FALSE)</f>
        <v>張楚承</v>
      </c>
    </row>
    <row r="2310" spans="6:19" hidden="1" x14ac:dyDescent="0.25">
      <c r="F2310" t="s">
        <v>1655</v>
      </c>
      <c r="G2310" t="s">
        <v>466</v>
      </c>
      <c r="H2310" t="str">
        <f>VLOOKUP(record[[#This Row],[ProcessSN]],表格2_7[],2,FALSE)</f>
        <v>30-4118-018-XXX</v>
      </c>
      <c r="I2310" t="str">
        <f>VLOOKUP(record[[#This Row],[ProcessSN]],表格2_7[],3,FALSE)</f>
        <v>#01-2</v>
      </c>
      <c r="J2310" t="s">
        <v>588</v>
      </c>
      <c r="K2310" s="195">
        <v>46121.302511574075</v>
      </c>
      <c r="L2310">
        <v>406</v>
      </c>
      <c r="M2310">
        <v>0</v>
      </c>
      <c r="N2310" s="98" t="str">
        <f>IF(record[[#This Row],[Memo]]="Browser:chrome os:android","平板報工",IF(record[[#This Row],[Memo]]=0,"委外",record[[#This Row],[Memo]]))</f>
        <v/>
      </c>
      <c r="O2310" t="s">
        <v>58</v>
      </c>
      <c r="P2310" t="s">
        <v>135</v>
      </c>
      <c r="Q2310" t="s">
        <v>58</v>
      </c>
      <c r="R2310" t="str">
        <f>IFERROR(VLOOKUP(record[[#This Row],[PCUSTID]],廠商[],2,FALSE),"")</f>
        <v/>
      </c>
      <c r="S2310" t="str">
        <f>VLOOKUP(record[[#This Row],[employeeID]],員工[],2,FALSE)</f>
        <v>阮士文</v>
      </c>
    </row>
    <row r="2311" spans="6:19" hidden="1" x14ac:dyDescent="0.25">
      <c r="F2311" t="s">
        <v>1637</v>
      </c>
      <c r="G2311" t="s">
        <v>448</v>
      </c>
      <c r="H2311" t="str">
        <f>VLOOKUP(record[[#This Row],[ProcessSN]],表格2_7[],2,FALSE)</f>
        <v>30-4118-018-6XX</v>
      </c>
      <c r="I2311" t="str">
        <f>VLOOKUP(record[[#This Row],[ProcessSN]],表格2_7[],3,FALSE)</f>
        <v>#04</v>
      </c>
      <c r="J2311" t="s">
        <v>588</v>
      </c>
      <c r="K2311" s="195">
        <v>46120.990555555552</v>
      </c>
      <c r="L2311">
        <v>42</v>
      </c>
      <c r="M2311">
        <v>0</v>
      </c>
      <c r="N2311" s="98" t="str">
        <f>IF(record[[#This Row],[Memo]]="Browser:chrome os:android","平板報工",IF(record[[#This Row],[Memo]]=0,"委外",record[[#This Row],[Memo]]))</f>
        <v/>
      </c>
      <c r="O2311" t="s">
        <v>58</v>
      </c>
      <c r="P2311" t="s">
        <v>176</v>
      </c>
      <c r="Q2311" t="s">
        <v>58</v>
      </c>
      <c r="R2311" t="str">
        <f>IFERROR(VLOOKUP(record[[#This Row],[PCUSTID]],廠商[],2,FALSE),"")</f>
        <v/>
      </c>
      <c r="S2311" t="str">
        <f>VLOOKUP(record[[#This Row],[employeeID]],員工[],2,FALSE)</f>
        <v>郭政雄</v>
      </c>
    </row>
    <row r="2312" spans="6:19" hidden="1" x14ac:dyDescent="0.25">
      <c r="F2312" t="s">
        <v>1767</v>
      </c>
      <c r="G2312" t="s">
        <v>415</v>
      </c>
      <c r="H2312" t="str">
        <f>VLOOKUP(record[[#This Row],[ProcessSN]],表格2_7[],2,FALSE)</f>
        <v>30-4118-018-5XX</v>
      </c>
      <c r="I2312" t="str">
        <f>VLOOKUP(record[[#This Row],[ProcessSN]],表格2_7[],3,FALSE)</f>
        <v>#04</v>
      </c>
      <c r="J2312" t="s">
        <v>588</v>
      </c>
      <c r="K2312" s="195">
        <v>46120.987164351849</v>
      </c>
      <c r="L2312">
        <v>107</v>
      </c>
      <c r="M2312">
        <v>17</v>
      </c>
      <c r="N2312" s="98" t="str">
        <f>IF(record[[#This Row],[Memo]]="Browser:chrome os:android","平板報工",IF(record[[#This Row],[Memo]]=0,"委外",record[[#This Row],[Memo]]))</f>
        <v/>
      </c>
      <c r="O2312" t="s">
        <v>58</v>
      </c>
      <c r="P2312" t="s">
        <v>176</v>
      </c>
      <c r="Q2312" t="s">
        <v>58</v>
      </c>
      <c r="R2312" t="str">
        <f>IFERROR(VLOOKUP(record[[#This Row],[PCUSTID]],廠商[],2,FALSE),"")</f>
        <v/>
      </c>
      <c r="S2312" t="str">
        <f>VLOOKUP(record[[#This Row],[employeeID]],員工[],2,FALSE)</f>
        <v>郭政雄</v>
      </c>
    </row>
    <row r="2313" spans="6:19" hidden="1" x14ac:dyDescent="0.25">
      <c r="F2313" t="s">
        <v>1653</v>
      </c>
      <c r="G2313" t="s">
        <v>418</v>
      </c>
      <c r="H2313" t="str">
        <f>VLOOKUP(record[[#This Row],[ProcessSN]],表格2_7[],2,FALSE)</f>
        <v>30-4118-018-5XX</v>
      </c>
      <c r="I2313" t="str">
        <f>VLOOKUP(record[[#This Row],[ProcessSN]],表格2_7[],3,FALSE)</f>
        <v>#07</v>
      </c>
      <c r="J2313" t="s">
        <v>588</v>
      </c>
      <c r="K2313" s="195">
        <v>46120.986585648148</v>
      </c>
      <c r="L2313">
        <v>184</v>
      </c>
      <c r="M2313">
        <v>2</v>
      </c>
      <c r="N2313" s="98" t="str">
        <f>IF(record[[#This Row],[Memo]]="Browser:chrome os:android","平板報工",IF(record[[#This Row],[Memo]]=0,"委外",record[[#This Row],[Memo]]))</f>
        <v/>
      </c>
      <c r="O2313" t="s">
        <v>58</v>
      </c>
      <c r="P2313" t="s">
        <v>89</v>
      </c>
      <c r="Q2313" t="s">
        <v>58</v>
      </c>
      <c r="R2313" t="str">
        <f>IFERROR(VLOOKUP(record[[#This Row],[PCUSTID]],廠商[],2,FALSE),"")</f>
        <v/>
      </c>
      <c r="S2313" t="str">
        <f>VLOOKUP(record[[#This Row],[employeeID]],員工[],2,FALSE)</f>
        <v>李美蓮</v>
      </c>
    </row>
    <row r="2314" spans="6:19" hidden="1" x14ac:dyDescent="0.25">
      <c r="F2314" t="s">
        <v>1655</v>
      </c>
      <c r="G2314" t="s">
        <v>466</v>
      </c>
      <c r="H2314" t="str">
        <f>VLOOKUP(record[[#This Row],[ProcessSN]],表格2_7[],2,FALSE)</f>
        <v>30-4118-018-XXX</v>
      </c>
      <c r="I2314" t="str">
        <f>VLOOKUP(record[[#This Row],[ProcessSN]],表格2_7[],3,FALSE)</f>
        <v>#01-2</v>
      </c>
      <c r="J2314" t="s">
        <v>588</v>
      </c>
      <c r="K2314" s="195">
        <v>46120.986307870371</v>
      </c>
      <c r="L2314">
        <v>449</v>
      </c>
      <c r="M2314">
        <v>0</v>
      </c>
      <c r="N2314" s="98" t="str">
        <f>IF(record[[#This Row],[Memo]]="Browser:chrome os:android","平板報工",IF(record[[#This Row],[Memo]]=0,"委外",record[[#This Row],[Memo]]))</f>
        <v/>
      </c>
      <c r="O2314" t="s">
        <v>58</v>
      </c>
      <c r="P2314" t="s">
        <v>89</v>
      </c>
      <c r="Q2314" t="s">
        <v>58</v>
      </c>
      <c r="R2314" t="str">
        <f>IFERROR(VLOOKUP(record[[#This Row],[PCUSTID]],廠商[],2,FALSE),"")</f>
        <v/>
      </c>
      <c r="S2314" t="str">
        <f>VLOOKUP(record[[#This Row],[employeeID]],員工[],2,FALSE)</f>
        <v>李美蓮</v>
      </c>
    </row>
    <row r="2315" spans="6:19" hidden="1" x14ac:dyDescent="0.25">
      <c r="F2315" t="s">
        <v>1637</v>
      </c>
      <c r="G2315" t="s">
        <v>449</v>
      </c>
      <c r="H2315" t="str">
        <f>VLOOKUP(record[[#This Row],[ProcessSN]],表格2_7[],2,FALSE)</f>
        <v>30-4118-018-6XX</v>
      </c>
      <c r="I2315" t="str">
        <f>VLOOKUP(record[[#This Row],[ProcessSN]],表格2_7[],3,FALSE)</f>
        <v>#05</v>
      </c>
      <c r="J2315" t="s">
        <v>588</v>
      </c>
      <c r="K2315" s="195">
        <v>46120.985486111109</v>
      </c>
      <c r="L2315">
        <v>142</v>
      </c>
      <c r="M2315">
        <v>0</v>
      </c>
      <c r="N2315" s="98" t="str">
        <f>IF(record[[#This Row],[Memo]]="Browser:chrome os:android","平板報工",IF(record[[#This Row],[Memo]]=0,"委外",record[[#This Row],[Memo]]))</f>
        <v/>
      </c>
      <c r="O2315" t="s">
        <v>58</v>
      </c>
      <c r="P2315" t="s">
        <v>1098</v>
      </c>
      <c r="Q2315" t="s">
        <v>58</v>
      </c>
      <c r="R2315" t="str">
        <f>IFERROR(VLOOKUP(record[[#This Row],[PCUSTID]],廠商[],2,FALSE),"")</f>
        <v/>
      </c>
      <c r="S2315" t="str">
        <f>VLOOKUP(record[[#This Row],[employeeID]],員工[],2,FALSE)</f>
        <v>阮氏芳英(英)</v>
      </c>
    </row>
    <row r="2316" spans="6:19" hidden="1" x14ac:dyDescent="0.25">
      <c r="F2316" t="s">
        <v>1652</v>
      </c>
      <c r="G2316" t="s">
        <v>449</v>
      </c>
      <c r="H2316" t="str">
        <f>VLOOKUP(record[[#This Row],[ProcessSN]],表格2_7[],2,FALSE)</f>
        <v>30-4118-018-6XX</v>
      </c>
      <c r="I2316" t="str">
        <f>VLOOKUP(record[[#This Row],[ProcessSN]],表格2_7[],3,FALSE)</f>
        <v>#05</v>
      </c>
      <c r="J2316" t="s">
        <v>588</v>
      </c>
      <c r="K2316" s="195">
        <v>46120.985300925924</v>
      </c>
      <c r="L2316">
        <v>139</v>
      </c>
      <c r="M2316">
        <v>0</v>
      </c>
      <c r="N2316" s="98" t="str">
        <f>IF(record[[#This Row],[Memo]]="Browser:chrome os:android","平板報工",IF(record[[#This Row],[Memo]]=0,"委外",record[[#This Row],[Memo]]))</f>
        <v/>
      </c>
      <c r="O2316" t="s">
        <v>58</v>
      </c>
      <c r="P2316" t="s">
        <v>1098</v>
      </c>
      <c r="Q2316" t="s">
        <v>58</v>
      </c>
      <c r="R2316" t="str">
        <f>IFERROR(VLOOKUP(record[[#This Row],[PCUSTID]],廠商[],2,FALSE),"")</f>
        <v/>
      </c>
      <c r="S2316" t="str">
        <f>VLOOKUP(record[[#This Row],[employeeID]],員工[],2,FALSE)</f>
        <v>阮氏芳英(英)</v>
      </c>
    </row>
    <row r="2317" spans="6:19" hidden="1" x14ac:dyDescent="0.25">
      <c r="F2317" t="s">
        <v>1653</v>
      </c>
      <c r="G2317" t="s">
        <v>417</v>
      </c>
      <c r="H2317" t="str">
        <f>VLOOKUP(record[[#This Row],[ProcessSN]],表格2_7[],2,FALSE)</f>
        <v>30-4118-018-5XX</v>
      </c>
      <c r="I2317" t="str">
        <f>VLOOKUP(record[[#This Row],[ProcessSN]],表格2_7[],3,FALSE)</f>
        <v>#06</v>
      </c>
      <c r="J2317" t="s">
        <v>593</v>
      </c>
      <c r="K2317" s="195">
        <v>46120.977326388886</v>
      </c>
      <c r="L2317">
        <v>67</v>
      </c>
      <c r="M2317">
        <v>0</v>
      </c>
      <c r="N2317" s="98" t="str">
        <f>IF(record[[#This Row],[Memo]]="Browser:chrome os:android","平板報工",IF(record[[#This Row],[Memo]]=0,"委外",record[[#This Row],[Memo]]))</f>
        <v/>
      </c>
      <c r="O2317" t="s">
        <v>58</v>
      </c>
      <c r="P2317" t="s">
        <v>841</v>
      </c>
      <c r="Q2317" t="s">
        <v>58</v>
      </c>
      <c r="R2317" t="str">
        <f>IFERROR(VLOOKUP(record[[#This Row],[PCUSTID]],廠商[],2,FALSE),"")</f>
        <v/>
      </c>
      <c r="S2317" t="str">
        <f>VLOOKUP(record[[#This Row],[employeeID]],員工[],2,FALSE)</f>
        <v>范氏香</v>
      </c>
    </row>
    <row r="2318" spans="6:19" hidden="1" x14ac:dyDescent="0.25">
      <c r="F2318" t="s">
        <v>1702</v>
      </c>
      <c r="G2318" t="s">
        <v>376</v>
      </c>
      <c r="H2318" t="str">
        <f>VLOOKUP(record[[#This Row],[ProcessSN]],表格2_7[],2,FALSE)</f>
        <v>30-4118-018-4XX</v>
      </c>
      <c r="I2318" t="str">
        <f>VLOOKUP(record[[#This Row],[ProcessSN]],表格2_7[],3,FALSE)</f>
        <v>#06</v>
      </c>
      <c r="J2318" t="s">
        <v>593</v>
      </c>
      <c r="K2318" s="195">
        <v>46120.897650462961</v>
      </c>
      <c r="L2318">
        <v>25</v>
      </c>
      <c r="M2318">
        <v>0</v>
      </c>
      <c r="N2318" s="98" t="str">
        <f>IF(record[[#This Row],[Memo]]="Browser:chrome os:android","平板報工",IF(record[[#This Row],[Memo]]=0,"委外",record[[#This Row],[Memo]]))</f>
        <v/>
      </c>
      <c r="O2318" t="s">
        <v>58</v>
      </c>
      <c r="P2318" t="s">
        <v>188</v>
      </c>
      <c r="Q2318" t="s">
        <v>58</v>
      </c>
      <c r="R2318" t="str">
        <f>IFERROR(VLOOKUP(record[[#This Row],[PCUSTID]],廠商[],2,FALSE),"")</f>
        <v/>
      </c>
      <c r="S2318" t="str">
        <f>VLOOKUP(record[[#This Row],[employeeID]],員工[],2,FALSE)</f>
        <v>阮氏璧紅</v>
      </c>
    </row>
    <row r="2319" spans="6:19" hidden="1" x14ac:dyDescent="0.25">
      <c r="F2319" t="s">
        <v>1767</v>
      </c>
      <c r="G2319" t="s">
        <v>414</v>
      </c>
      <c r="H2319" t="str">
        <f>VLOOKUP(record[[#This Row],[ProcessSN]],表格2_7[],2,FALSE)</f>
        <v>30-4118-018-5XX</v>
      </c>
      <c r="I2319" t="str">
        <f>VLOOKUP(record[[#This Row],[ProcessSN]],表格2_7[],3,FALSE)</f>
        <v>#03</v>
      </c>
      <c r="J2319" t="s">
        <v>588</v>
      </c>
      <c r="K2319" s="195">
        <v>46120.892048611109</v>
      </c>
      <c r="L2319">
        <v>192</v>
      </c>
      <c r="M2319">
        <v>0</v>
      </c>
      <c r="N2319" s="98" t="str">
        <f>IF(record[[#This Row],[Memo]]="Browser:chrome os:android","平板報工",IF(record[[#This Row],[Memo]]=0,"委外",record[[#This Row],[Memo]]))</f>
        <v/>
      </c>
      <c r="O2319" t="s">
        <v>58</v>
      </c>
      <c r="P2319" t="s">
        <v>176</v>
      </c>
      <c r="Q2319" t="s">
        <v>58</v>
      </c>
      <c r="R2319" t="str">
        <f>IFERROR(VLOOKUP(record[[#This Row],[PCUSTID]],廠商[],2,FALSE),"")</f>
        <v/>
      </c>
      <c r="S2319" t="str">
        <f>VLOOKUP(record[[#This Row],[employeeID]],員工[],2,FALSE)</f>
        <v>郭政雄</v>
      </c>
    </row>
    <row r="2320" spans="6:19" hidden="1" x14ac:dyDescent="0.25">
      <c r="F2320" t="s">
        <v>1637</v>
      </c>
      <c r="G2320" t="s">
        <v>450</v>
      </c>
      <c r="H2320" t="str">
        <f>VLOOKUP(record[[#This Row],[ProcessSN]],表格2_7[],2,FALSE)</f>
        <v>30-4118-018-6XX</v>
      </c>
      <c r="I2320" t="str">
        <f>VLOOKUP(record[[#This Row],[ProcessSN]],表格2_7[],3,FALSE)</f>
        <v>#06</v>
      </c>
      <c r="J2320" t="s">
        <v>593</v>
      </c>
      <c r="K2320" s="195">
        <v>46120.828703703701</v>
      </c>
      <c r="L2320">
        <v>57</v>
      </c>
      <c r="M2320">
        <v>0</v>
      </c>
      <c r="N2320" s="98" t="str">
        <f>IF(record[[#This Row],[Memo]]="Browser:chrome os:android","平板報工",IF(record[[#This Row],[Memo]]=0,"委外",record[[#This Row],[Memo]]))</f>
        <v>平板報工</v>
      </c>
      <c r="O2320" t="s">
        <v>643</v>
      </c>
      <c r="P2320" t="s">
        <v>1413</v>
      </c>
      <c r="Q2320" t="s">
        <v>644</v>
      </c>
      <c r="R2320" t="str">
        <f>IFERROR(VLOOKUP(record[[#This Row],[PCUSTID]],廠商[],2,FALSE),"")</f>
        <v/>
      </c>
      <c r="S2320" t="str">
        <f>VLOOKUP(record[[#This Row],[employeeID]],員工[],2,FALSE)</f>
        <v>阮氏芳英(芳)</v>
      </c>
    </row>
    <row r="2321" spans="6:19" hidden="1" x14ac:dyDescent="0.25">
      <c r="F2321" t="s">
        <v>1653</v>
      </c>
      <c r="G2321" t="s">
        <v>417</v>
      </c>
      <c r="H2321" t="str">
        <f>VLOOKUP(record[[#This Row],[ProcessSN]],表格2_7[],2,FALSE)</f>
        <v>30-4118-018-5XX</v>
      </c>
      <c r="I2321" t="str">
        <f>VLOOKUP(record[[#This Row],[ProcessSN]],表格2_7[],3,FALSE)</f>
        <v>#06</v>
      </c>
      <c r="J2321" t="s">
        <v>593</v>
      </c>
      <c r="K2321" s="195">
        <v>46120.823206018518</v>
      </c>
      <c r="L2321">
        <v>13</v>
      </c>
      <c r="M2321">
        <v>0</v>
      </c>
      <c r="N2321" s="98" t="str">
        <f>IF(record[[#This Row],[Memo]]="Browser:chrome os:android","平板報工",IF(record[[#This Row],[Memo]]=0,"委外",record[[#This Row],[Memo]]))</f>
        <v>平板報工</v>
      </c>
      <c r="O2321" t="s">
        <v>643</v>
      </c>
      <c r="P2321" t="s">
        <v>1413</v>
      </c>
      <c r="Q2321" t="s">
        <v>644</v>
      </c>
      <c r="R2321" t="str">
        <f>IFERROR(VLOOKUP(record[[#This Row],[PCUSTID]],廠商[],2,FALSE),"")</f>
        <v/>
      </c>
      <c r="S2321" t="str">
        <f>VLOOKUP(record[[#This Row],[employeeID]],員工[],2,FALSE)</f>
        <v>阮氏芳英(芳)</v>
      </c>
    </row>
    <row r="2322" spans="6:19" hidden="1" x14ac:dyDescent="0.25">
      <c r="F2322" t="s">
        <v>1737</v>
      </c>
      <c r="G2322" t="s">
        <v>362</v>
      </c>
      <c r="H2322" t="str">
        <f>VLOOKUP(record[[#This Row],[ProcessSN]],表格2_7[],2,FALSE)</f>
        <v>30-4118-018-450</v>
      </c>
      <c r="I2322" t="str">
        <f>VLOOKUP(record[[#This Row],[ProcessSN]],表格2_7[],3,FALSE)</f>
        <v>#100SHIP</v>
      </c>
      <c r="J2322" t="s">
        <v>600</v>
      </c>
      <c r="K2322" s="195">
        <v>46120.777372685188</v>
      </c>
      <c r="L2322">
        <v>198</v>
      </c>
      <c r="M2322">
        <v>0</v>
      </c>
      <c r="N2322" s="98" t="str">
        <f>IF(record[[#This Row],[Memo]]="Browser:chrome os:android","平板報工",IF(record[[#This Row],[Memo]]=0,"委外",record[[#This Row],[Memo]]))</f>
        <v/>
      </c>
      <c r="O2322" t="s">
        <v>58</v>
      </c>
      <c r="P2322" t="s">
        <v>886</v>
      </c>
      <c r="Q2322" t="s">
        <v>58</v>
      </c>
      <c r="R2322" t="str">
        <f>IFERROR(VLOOKUP(record[[#This Row],[PCUSTID]],廠商[],2,FALSE),"")</f>
        <v/>
      </c>
      <c r="S2322" t="str">
        <f>VLOOKUP(record[[#This Row],[employeeID]],員工[],2,FALSE)</f>
        <v>謝蓁薰</v>
      </c>
    </row>
    <row r="2323" spans="6:19" hidden="1" x14ac:dyDescent="0.25">
      <c r="F2323" t="s">
        <v>1737</v>
      </c>
      <c r="G2323" t="s">
        <v>361</v>
      </c>
      <c r="H2323" t="str">
        <f>VLOOKUP(record[[#This Row],[ProcessSN]],表格2_7[],2,FALSE)</f>
        <v>30-4118-018-450</v>
      </c>
      <c r="I2323" t="str">
        <f>VLOOKUP(record[[#This Row],[ProcessSN]],表格2_7[],3,FALSE)</f>
        <v>#100STOCK</v>
      </c>
      <c r="J2323" t="s">
        <v>592</v>
      </c>
      <c r="K2323" s="195">
        <v>46120.777187500003</v>
      </c>
      <c r="L2323">
        <v>198</v>
      </c>
      <c r="M2323">
        <v>0</v>
      </c>
      <c r="N2323" s="98" t="str">
        <f>IF(record[[#This Row],[Memo]]="Browser:chrome os:android","平板報工",IF(record[[#This Row],[Memo]]=0,"委外",record[[#This Row],[Memo]]))</f>
        <v/>
      </c>
      <c r="O2323" t="s">
        <v>58</v>
      </c>
      <c r="P2323" t="s">
        <v>886</v>
      </c>
      <c r="Q2323" t="s">
        <v>58</v>
      </c>
      <c r="R2323" t="str">
        <f>IFERROR(VLOOKUP(record[[#This Row],[PCUSTID]],廠商[],2,FALSE),"")</f>
        <v/>
      </c>
      <c r="S2323" t="str">
        <f>VLOOKUP(record[[#This Row],[employeeID]],員工[],2,FALSE)</f>
        <v>謝蓁薰</v>
      </c>
    </row>
    <row r="2324" spans="6:19" hidden="1" x14ac:dyDescent="0.25">
      <c r="F2324" t="s">
        <v>1722</v>
      </c>
      <c r="G2324" t="s">
        <v>401</v>
      </c>
      <c r="H2324" t="str">
        <f>VLOOKUP(record[[#This Row],[ProcessSN]],表格2_7[],2,FALSE)</f>
        <v>30-4118-018-550</v>
      </c>
      <c r="I2324" t="str">
        <f>VLOOKUP(record[[#This Row],[ProcessSN]],表格2_7[],3,FALSE)</f>
        <v>#100OQC</v>
      </c>
      <c r="J2324" t="s">
        <v>599</v>
      </c>
      <c r="K2324" s="195">
        <v>46120.776307870372</v>
      </c>
      <c r="L2324">
        <v>143</v>
      </c>
      <c r="M2324">
        <v>0</v>
      </c>
      <c r="N2324" s="98" t="str">
        <f>IF(record[[#This Row],[Memo]]="Browser:chrome os:android","平板報工",IF(record[[#This Row],[Memo]]=0,"委外",record[[#This Row],[Memo]]))</f>
        <v/>
      </c>
      <c r="O2324" t="s">
        <v>58</v>
      </c>
      <c r="P2324" t="s">
        <v>121</v>
      </c>
      <c r="Q2324" t="s">
        <v>58</v>
      </c>
      <c r="R2324" t="str">
        <f>IFERROR(VLOOKUP(record[[#This Row],[PCUSTID]],廠商[],2,FALSE),"")</f>
        <v/>
      </c>
      <c r="S2324" t="str">
        <f>VLOOKUP(record[[#This Row],[employeeID]],員工[],2,FALSE)</f>
        <v>謝素卿</v>
      </c>
    </row>
    <row r="2325" spans="6:19" hidden="1" x14ac:dyDescent="0.25">
      <c r="F2325" t="s">
        <v>1737</v>
      </c>
      <c r="G2325" t="s">
        <v>360</v>
      </c>
      <c r="H2325" t="str">
        <f>VLOOKUP(record[[#This Row],[ProcessSN]],表格2_7[],2,FALSE)</f>
        <v>30-4118-018-450</v>
      </c>
      <c r="I2325" t="str">
        <f>VLOOKUP(record[[#This Row],[ProcessSN]],表格2_7[],3,FALSE)</f>
        <v>#100OQC</v>
      </c>
      <c r="J2325" t="s">
        <v>599</v>
      </c>
      <c r="K2325" s="195">
        <v>46120.775810185187</v>
      </c>
      <c r="L2325">
        <v>552</v>
      </c>
      <c r="M2325">
        <v>0</v>
      </c>
      <c r="N2325" s="98" t="str">
        <f>IF(record[[#This Row],[Memo]]="Browser:chrome os:android","平板報工",IF(record[[#This Row],[Memo]]=0,"委外",record[[#This Row],[Memo]]))</f>
        <v/>
      </c>
      <c r="O2325" t="s">
        <v>58</v>
      </c>
      <c r="P2325" t="s">
        <v>121</v>
      </c>
      <c r="Q2325" t="s">
        <v>58</v>
      </c>
      <c r="R2325" t="str">
        <f>IFERROR(VLOOKUP(record[[#This Row],[PCUSTID]],廠商[],2,FALSE),"")</f>
        <v/>
      </c>
      <c r="S2325" t="str">
        <f>VLOOKUP(record[[#This Row],[employeeID]],員工[],2,FALSE)</f>
        <v>謝素卿</v>
      </c>
    </row>
    <row r="2326" spans="6:19" hidden="1" x14ac:dyDescent="0.25">
      <c r="F2326" t="s">
        <v>1737</v>
      </c>
      <c r="G2326" t="s">
        <v>359</v>
      </c>
      <c r="H2326" t="str">
        <f>VLOOKUP(record[[#This Row],[ProcessSN]],表格2_7[],2,FALSE)</f>
        <v>30-4118-018-450</v>
      </c>
      <c r="I2326" t="str">
        <f>VLOOKUP(record[[#This Row],[ProcessSN]],表格2_7[],3,FALSE)</f>
        <v>#100</v>
      </c>
      <c r="J2326" t="s">
        <v>598</v>
      </c>
      <c r="K2326" s="195">
        <v>46120.749965277777</v>
      </c>
      <c r="L2326">
        <v>0</v>
      </c>
      <c r="M2326">
        <v>8</v>
      </c>
      <c r="N2326" s="98" t="str">
        <f>IF(record[[#This Row],[Memo]]="Browser:chrome os:android","平板報工",IF(record[[#This Row],[Memo]]=0,"委外",record[[#This Row],[Memo]]))</f>
        <v/>
      </c>
      <c r="O2326" t="s">
        <v>58</v>
      </c>
      <c r="P2326" t="s">
        <v>141</v>
      </c>
      <c r="Q2326" t="s">
        <v>58</v>
      </c>
      <c r="R2326" t="str">
        <f>IFERROR(VLOOKUP(record[[#This Row],[PCUSTID]],廠商[],2,FALSE),"")</f>
        <v/>
      </c>
      <c r="S2326" t="str">
        <f>VLOOKUP(record[[#This Row],[employeeID]],員工[],2,FALSE)</f>
        <v>蔣梅</v>
      </c>
    </row>
    <row r="2327" spans="6:19" hidden="1" x14ac:dyDescent="0.25">
      <c r="F2327" t="s">
        <v>1737</v>
      </c>
      <c r="G2327" t="s">
        <v>359</v>
      </c>
      <c r="H2327" t="str">
        <f>VLOOKUP(record[[#This Row],[ProcessSN]],表格2_7[],2,FALSE)</f>
        <v>30-4118-018-450</v>
      </c>
      <c r="I2327" t="str">
        <f>VLOOKUP(record[[#This Row],[ProcessSN]],表格2_7[],3,FALSE)</f>
        <v>#100</v>
      </c>
      <c r="J2327" t="s">
        <v>598</v>
      </c>
      <c r="K2327" s="195">
        <v>46120.749745370369</v>
      </c>
      <c r="L2327">
        <v>354</v>
      </c>
      <c r="M2327">
        <v>0</v>
      </c>
      <c r="N2327" s="98" t="str">
        <f>IF(record[[#This Row],[Memo]]="Browser:chrome os:android","平板報工",IF(record[[#This Row],[Memo]]=0,"委外",record[[#This Row],[Memo]]))</f>
        <v/>
      </c>
      <c r="O2327" t="s">
        <v>58</v>
      </c>
      <c r="P2327" t="s">
        <v>141</v>
      </c>
      <c r="Q2327" t="s">
        <v>58</v>
      </c>
      <c r="R2327" t="str">
        <f>IFERROR(VLOOKUP(record[[#This Row],[PCUSTID]],廠商[],2,FALSE),"")</f>
        <v/>
      </c>
      <c r="S2327" t="str">
        <f>VLOOKUP(record[[#This Row],[employeeID]],員工[],2,FALSE)</f>
        <v>蔣梅</v>
      </c>
    </row>
    <row r="2328" spans="6:19" hidden="1" x14ac:dyDescent="0.25">
      <c r="F2328" t="s">
        <v>1417</v>
      </c>
      <c r="G2328" t="s">
        <v>451</v>
      </c>
      <c r="H2328" t="str">
        <f>VLOOKUP(record[[#This Row],[ProcessSN]],表格2_7[],2,FALSE)</f>
        <v>30-4118-018-6XX</v>
      </c>
      <c r="I2328" t="str">
        <f>VLOOKUP(record[[#This Row],[ProcessSN]],表格2_7[],3,FALSE)</f>
        <v>#07</v>
      </c>
      <c r="J2328" t="s">
        <v>588</v>
      </c>
      <c r="K2328" s="195">
        <v>46120.696226851855</v>
      </c>
      <c r="L2328">
        <v>76</v>
      </c>
      <c r="M2328">
        <v>2</v>
      </c>
      <c r="N2328" s="98" t="str">
        <f>IF(record[[#This Row],[Memo]]="Browser:chrome os:android","平板報工",IF(record[[#This Row],[Memo]]=0,"委外",record[[#This Row],[Memo]]))</f>
        <v>覆回*3pcs(4/8)</v>
      </c>
      <c r="O2328" t="s">
        <v>1779</v>
      </c>
      <c r="P2328" t="s">
        <v>101</v>
      </c>
      <c r="Q2328" t="s">
        <v>58</v>
      </c>
      <c r="R2328" t="str">
        <f>IFERROR(VLOOKUP(record[[#This Row],[PCUSTID]],廠商[],2,FALSE),"")</f>
        <v/>
      </c>
      <c r="S2328" t="str">
        <f>VLOOKUP(record[[#This Row],[employeeID]],員工[],2,FALSE)</f>
        <v>陳氏絨</v>
      </c>
    </row>
    <row r="2329" spans="6:19" hidden="1" x14ac:dyDescent="0.25">
      <c r="F2329" t="s">
        <v>1587</v>
      </c>
      <c r="G2329" t="s">
        <v>377</v>
      </c>
      <c r="H2329" t="str">
        <f>VLOOKUP(record[[#This Row],[ProcessSN]],表格2_7[],2,FALSE)</f>
        <v>30-4118-018-4XX</v>
      </c>
      <c r="I2329" t="str">
        <f>VLOOKUP(record[[#This Row],[ProcessSN]],表格2_7[],3,FALSE)</f>
        <v>#07</v>
      </c>
      <c r="J2329" t="s">
        <v>588</v>
      </c>
      <c r="K2329" s="195">
        <v>46120.695011574076</v>
      </c>
      <c r="L2329">
        <v>258</v>
      </c>
      <c r="M2329">
        <v>1</v>
      </c>
      <c r="N2329" s="98" t="str">
        <f>IF(record[[#This Row],[Memo]]="Browser:chrome os:android","平板報工",IF(record[[#This Row],[Memo]]=0,"委外",record[[#This Row],[Memo]]))</f>
        <v>覆回*2pcs(4/8)</v>
      </c>
      <c r="O2329" t="s">
        <v>1778</v>
      </c>
      <c r="P2329" t="s">
        <v>101</v>
      </c>
      <c r="Q2329" t="s">
        <v>58</v>
      </c>
      <c r="R2329" t="str">
        <f>IFERROR(VLOOKUP(record[[#This Row],[PCUSTID]],廠商[],2,FALSE),"")</f>
        <v/>
      </c>
      <c r="S2329" t="str">
        <f>VLOOKUP(record[[#This Row],[employeeID]],員工[],2,FALSE)</f>
        <v>陳氏絨</v>
      </c>
    </row>
    <row r="2330" spans="6:19" hidden="1" x14ac:dyDescent="0.25">
      <c r="F2330" t="s">
        <v>1472</v>
      </c>
      <c r="G2330" t="s">
        <v>418</v>
      </c>
      <c r="H2330" t="str">
        <f>VLOOKUP(record[[#This Row],[ProcessSN]],表格2_7[],2,FALSE)</f>
        <v>30-4118-018-5XX</v>
      </c>
      <c r="I2330" t="str">
        <f>VLOOKUP(record[[#This Row],[ProcessSN]],表格2_7[],3,FALSE)</f>
        <v>#07</v>
      </c>
      <c r="J2330" t="s">
        <v>588</v>
      </c>
      <c r="K2330" s="195">
        <v>46120.694155092591</v>
      </c>
      <c r="L2330">
        <v>187</v>
      </c>
      <c r="M2330">
        <v>0</v>
      </c>
      <c r="N2330" s="98" t="str">
        <f>IF(record[[#This Row],[Memo]]="Browser:chrome os:android","平板報工",IF(record[[#This Row],[Memo]]=0,"委外",record[[#This Row],[Memo]]))</f>
        <v>覆回*2pcs(4/8)</v>
      </c>
      <c r="O2330" t="s">
        <v>1778</v>
      </c>
      <c r="P2330" t="s">
        <v>101</v>
      </c>
      <c r="Q2330" t="s">
        <v>58</v>
      </c>
      <c r="R2330" t="str">
        <f>IFERROR(VLOOKUP(record[[#This Row],[PCUSTID]],廠商[],2,FALSE),"")</f>
        <v/>
      </c>
      <c r="S2330" t="str">
        <f>VLOOKUP(record[[#This Row],[employeeID]],員工[],2,FALSE)</f>
        <v>陳氏絨</v>
      </c>
    </row>
    <row r="2331" spans="6:19" hidden="1" x14ac:dyDescent="0.25">
      <c r="F2331" t="s">
        <v>1381</v>
      </c>
      <c r="G2331" t="s">
        <v>418</v>
      </c>
      <c r="H2331" t="str">
        <f>VLOOKUP(record[[#This Row],[ProcessSN]],表格2_7[],2,FALSE)</f>
        <v>30-4118-018-5XX</v>
      </c>
      <c r="I2331" t="str">
        <f>VLOOKUP(record[[#This Row],[ProcessSN]],表格2_7[],3,FALSE)</f>
        <v>#07</v>
      </c>
      <c r="J2331" t="s">
        <v>588</v>
      </c>
      <c r="K2331" s="195">
        <v>46120.693344907406</v>
      </c>
      <c r="L2331">
        <v>213</v>
      </c>
      <c r="M2331">
        <v>3</v>
      </c>
      <c r="N2331" s="98" t="str">
        <f>IF(record[[#This Row],[Memo]]="Browser:chrome os:android","平板報工",IF(record[[#This Row],[Memo]]=0,"委外",record[[#This Row],[Memo]]))</f>
        <v>覆回*1pcs(4/8)</v>
      </c>
      <c r="O2331" t="s">
        <v>1777</v>
      </c>
      <c r="P2331" t="s">
        <v>101</v>
      </c>
      <c r="Q2331" t="s">
        <v>58</v>
      </c>
      <c r="R2331" t="str">
        <f>IFERROR(VLOOKUP(record[[#This Row],[PCUSTID]],廠商[],2,FALSE),"")</f>
        <v/>
      </c>
      <c r="S2331" t="str">
        <f>VLOOKUP(record[[#This Row],[employeeID]],員工[],2,FALSE)</f>
        <v>陳氏絨</v>
      </c>
    </row>
    <row r="2332" spans="6:19" hidden="1" x14ac:dyDescent="0.25">
      <c r="F2332" t="s">
        <v>1772</v>
      </c>
      <c r="G2332" t="s">
        <v>463</v>
      </c>
      <c r="H2332" t="str">
        <f>VLOOKUP(record[[#This Row],[ProcessSN]],表格2_7[],2,FALSE)</f>
        <v>30-4118-018-XXX</v>
      </c>
      <c r="I2332" t="str">
        <f>VLOOKUP(record[[#This Row],[ProcessSN]],表格2_7[],3,FALSE)</f>
        <v>#00IQC</v>
      </c>
      <c r="J2332" t="s">
        <v>583</v>
      </c>
      <c r="K2332" s="195">
        <v>46120.690787037034</v>
      </c>
      <c r="L2332">
        <v>3200</v>
      </c>
      <c r="M2332">
        <v>0</v>
      </c>
      <c r="N2332" s="98" t="str">
        <f>IF(record[[#This Row],[Memo]]="Browser:chrome os:android","平板報工",IF(record[[#This Row],[Memo]]=0,"委外",record[[#This Row],[Memo]]))</f>
        <v/>
      </c>
      <c r="O2332" t="s">
        <v>58</v>
      </c>
      <c r="P2332" t="s">
        <v>109</v>
      </c>
      <c r="Q2332" t="s">
        <v>58</v>
      </c>
      <c r="R2332" t="str">
        <f>IFERROR(VLOOKUP(record[[#This Row],[PCUSTID]],廠商[],2,FALSE),"")</f>
        <v/>
      </c>
      <c r="S2332" t="str">
        <f>VLOOKUP(record[[#This Row],[employeeID]],員工[],2,FALSE)</f>
        <v>裴氏璧鳳</v>
      </c>
    </row>
    <row r="2333" spans="6:19" hidden="1" x14ac:dyDescent="0.25">
      <c r="F2333" t="s">
        <v>1653</v>
      </c>
      <c r="G2333" t="s">
        <v>418</v>
      </c>
      <c r="H2333" t="str">
        <f>VLOOKUP(record[[#This Row],[ProcessSN]],表格2_7[],2,FALSE)</f>
        <v>30-4118-018-5XX</v>
      </c>
      <c r="I2333" t="str">
        <f>VLOOKUP(record[[#This Row],[ProcessSN]],表格2_7[],3,FALSE)</f>
        <v>#07</v>
      </c>
      <c r="J2333" t="s">
        <v>588</v>
      </c>
      <c r="K2333" s="195">
        <v>46120.677152777775</v>
      </c>
      <c r="L2333">
        <v>207</v>
      </c>
      <c r="M2333">
        <v>0</v>
      </c>
      <c r="N2333" s="98" t="str">
        <f>IF(record[[#This Row],[Memo]]="Browser:chrome os:android","平板報工",IF(record[[#This Row],[Memo]]=0,"委外",record[[#This Row],[Memo]]))</f>
        <v/>
      </c>
      <c r="O2333" t="s">
        <v>58</v>
      </c>
      <c r="P2333" t="s">
        <v>145</v>
      </c>
      <c r="Q2333" t="s">
        <v>58</v>
      </c>
      <c r="R2333" t="str">
        <f>IFERROR(VLOOKUP(record[[#This Row],[PCUSTID]],廠商[],2,FALSE),"")</f>
        <v/>
      </c>
      <c r="S2333" t="str">
        <f>VLOOKUP(record[[#This Row],[employeeID]],員工[],2,FALSE)</f>
        <v>阮秋霞</v>
      </c>
    </row>
    <row r="2334" spans="6:19" hidden="1" x14ac:dyDescent="0.25">
      <c r="F2334" t="s">
        <v>1737</v>
      </c>
      <c r="G2334" t="s">
        <v>359</v>
      </c>
      <c r="H2334" t="str">
        <f>VLOOKUP(record[[#This Row],[ProcessSN]],表格2_7[],2,FALSE)</f>
        <v>30-4118-018-450</v>
      </c>
      <c r="I2334" t="str">
        <f>VLOOKUP(record[[#This Row],[ProcessSN]],表格2_7[],3,FALSE)</f>
        <v>#100</v>
      </c>
      <c r="J2334" t="s">
        <v>598</v>
      </c>
      <c r="K2334" s="195">
        <v>46120.66746527778</v>
      </c>
      <c r="L2334">
        <v>198</v>
      </c>
      <c r="M2334">
        <v>0</v>
      </c>
      <c r="N2334" s="98" t="str">
        <f>IF(record[[#This Row],[Memo]]="Browser:chrome os:android","平板報工",IF(record[[#This Row],[Memo]]=0,"委外",record[[#This Row],[Memo]]))</f>
        <v/>
      </c>
      <c r="O2334" t="s">
        <v>58</v>
      </c>
      <c r="P2334" t="s">
        <v>99</v>
      </c>
      <c r="Q2334" t="s">
        <v>58</v>
      </c>
      <c r="R2334" t="str">
        <f>IFERROR(VLOOKUP(record[[#This Row],[PCUSTID]],廠商[],2,FALSE),"")</f>
        <v/>
      </c>
      <c r="S2334" t="str">
        <f>VLOOKUP(record[[#This Row],[employeeID]],員工[],2,FALSE)</f>
        <v>阮氏河</v>
      </c>
    </row>
    <row r="2335" spans="6:19" hidden="1" x14ac:dyDescent="0.25">
      <c r="F2335" t="s">
        <v>1653</v>
      </c>
      <c r="G2335" t="s">
        <v>417</v>
      </c>
      <c r="H2335" t="str">
        <f>VLOOKUP(record[[#This Row],[ProcessSN]],表格2_7[],2,FALSE)</f>
        <v>30-4118-018-5XX</v>
      </c>
      <c r="I2335" t="str">
        <f>VLOOKUP(record[[#This Row],[ProcessSN]],表格2_7[],3,FALSE)</f>
        <v>#06</v>
      </c>
      <c r="J2335" t="s">
        <v>593</v>
      </c>
      <c r="K2335" s="195">
        <v>46120.653391203705</v>
      </c>
      <c r="L2335">
        <v>133</v>
      </c>
      <c r="M2335">
        <v>0</v>
      </c>
      <c r="N2335" s="98" t="str">
        <f>IF(record[[#This Row],[Memo]]="Browser:chrome os:android","平板報工",IF(record[[#This Row],[Memo]]=0,"委外",record[[#This Row],[Memo]]))</f>
        <v/>
      </c>
      <c r="O2335" t="s">
        <v>58</v>
      </c>
      <c r="P2335" t="s">
        <v>188</v>
      </c>
      <c r="Q2335" t="s">
        <v>58</v>
      </c>
      <c r="R2335" t="str">
        <f>IFERROR(VLOOKUP(record[[#This Row],[PCUSTID]],廠商[],2,FALSE),"")</f>
        <v/>
      </c>
      <c r="S2335" t="str">
        <f>VLOOKUP(record[[#This Row],[employeeID]],員工[],2,FALSE)</f>
        <v>阮氏璧紅</v>
      </c>
    </row>
    <row r="2336" spans="6:19" hidden="1" x14ac:dyDescent="0.25">
      <c r="F2336" t="s">
        <v>1655</v>
      </c>
      <c r="G2336" t="s">
        <v>466</v>
      </c>
      <c r="H2336" t="str">
        <f>VLOOKUP(record[[#This Row],[ProcessSN]],表格2_7[],2,FALSE)</f>
        <v>30-4118-018-XXX</v>
      </c>
      <c r="I2336" t="str">
        <f>VLOOKUP(record[[#This Row],[ProcessSN]],表格2_7[],3,FALSE)</f>
        <v>#01-2</v>
      </c>
      <c r="J2336" t="s">
        <v>588</v>
      </c>
      <c r="K2336" s="195">
        <v>46120.644837962966</v>
      </c>
      <c r="L2336">
        <v>251</v>
      </c>
      <c r="M2336">
        <v>0</v>
      </c>
      <c r="N2336" s="98" t="str">
        <f>IF(record[[#This Row],[Memo]]="Browser:chrome os:android","平板報工",IF(record[[#This Row],[Memo]]=0,"委外",record[[#This Row],[Memo]]))</f>
        <v>平板報工</v>
      </c>
      <c r="O2336" t="s">
        <v>643</v>
      </c>
      <c r="P2336" t="s">
        <v>107</v>
      </c>
      <c r="Q2336" t="s">
        <v>644</v>
      </c>
      <c r="R2336" t="str">
        <f>IFERROR(VLOOKUP(record[[#This Row],[PCUSTID]],廠商[],2,FALSE),"")</f>
        <v/>
      </c>
      <c r="S2336" t="str">
        <f>VLOOKUP(record[[#This Row],[employeeID]],員工[],2,FALSE)</f>
        <v>黎氏順</v>
      </c>
    </row>
    <row r="2337" spans="6:19" hidden="1" x14ac:dyDescent="0.25">
      <c r="F2337" t="s">
        <v>1767</v>
      </c>
      <c r="G2337" t="s">
        <v>414</v>
      </c>
      <c r="H2337" t="str">
        <f>VLOOKUP(record[[#This Row],[ProcessSN]],表格2_7[],2,FALSE)</f>
        <v>30-4118-018-5XX</v>
      </c>
      <c r="I2337" t="str">
        <f>VLOOKUP(record[[#This Row],[ProcessSN]],表格2_7[],3,FALSE)</f>
        <v>#03</v>
      </c>
      <c r="J2337" t="s">
        <v>588</v>
      </c>
      <c r="K2337" s="195">
        <v>46120.644409722219</v>
      </c>
      <c r="L2337">
        <v>311</v>
      </c>
      <c r="M2337">
        <v>1</v>
      </c>
      <c r="N2337" s="98" t="str">
        <f>IF(record[[#This Row],[Memo]]="Browser:chrome os:android","平板報工",IF(record[[#This Row],[Memo]]=0,"委外",record[[#This Row],[Memo]]))</f>
        <v>平板報工</v>
      </c>
      <c r="O2337" t="s">
        <v>643</v>
      </c>
      <c r="P2337" t="s">
        <v>107</v>
      </c>
      <c r="Q2337" t="s">
        <v>644</v>
      </c>
      <c r="R2337" t="str">
        <f>IFERROR(VLOOKUP(record[[#This Row],[PCUSTID]],廠商[],2,FALSE),"")</f>
        <v/>
      </c>
      <c r="S2337" t="str">
        <f>VLOOKUP(record[[#This Row],[employeeID]],員工[],2,FALSE)</f>
        <v>黎氏順</v>
      </c>
    </row>
    <row r="2338" spans="6:19" hidden="1" x14ac:dyDescent="0.25">
      <c r="F2338" t="s">
        <v>1721</v>
      </c>
      <c r="G2338" t="s">
        <v>362</v>
      </c>
      <c r="H2338" t="str">
        <f>VLOOKUP(record[[#This Row],[ProcessSN]],表格2_7[],2,FALSE)</f>
        <v>30-4118-018-450</v>
      </c>
      <c r="I2338" t="str">
        <f>VLOOKUP(record[[#This Row],[ProcessSN]],表格2_7[],3,FALSE)</f>
        <v>#100SHIP</v>
      </c>
      <c r="J2338" t="s">
        <v>600</v>
      </c>
      <c r="K2338" s="195">
        <v>46120.636817129627</v>
      </c>
      <c r="L2338">
        <v>352</v>
      </c>
      <c r="M2338">
        <v>0</v>
      </c>
      <c r="N2338" s="98" t="str">
        <f>IF(record[[#This Row],[Memo]]="Browser:chrome os:android","平板報工",IF(record[[#This Row],[Memo]]=0,"委外",record[[#This Row],[Memo]]))</f>
        <v/>
      </c>
      <c r="O2338" t="s">
        <v>58</v>
      </c>
      <c r="P2338" t="s">
        <v>886</v>
      </c>
      <c r="Q2338" t="s">
        <v>58</v>
      </c>
      <c r="R2338" t="str">
        <f>IFERROR(VLOOKUP(record[[#This Row],[PCUSTID]],廠商[],2,FALSE),"")</f>
        <v/>
      </c>
      <c r="S2338" t="str">
        <f>VLOOKUP(record[[#This Row],[employeeID]],員工[],2,FALSE)</f>
        <v>謝蓁薰</v>
      </c>
    </row>
    <row r="2339" spans="6:19" hidden="1" x14ac:dyDescent="0.25">
      <c r="F2339" t="s">
        <v>1772</v>
      </c>
      <c r="G2339" t="s">
        <v>462</v>
      </c>
      <c r="H2339" t="str">
        <f>VLOOKUP(record[[#This Row],[ProcessSN]],表格2_7[],2,FALSE)</f>
        <v>30-4118-018-XXX</v>
      </c>
      <c r="I2339" t="str">
        <f>VLOOKUP(record[[#This Row],[ProcessSN]],表格2_7[],3,FALSE)</f>
        <v>#00PICK</v>
      </c>
      <c r="J2339" t="s">
        <v>582</v>
      </c>
      <c r="K2339" s="195">
        <v>46120.635312500002</v>
      </c>
      <c r="L2339">
        <v>3200</v>
      </c>
      <c r="M2339">
        <v>0</v>
      </c>
      <c r="N2339" s="98" t="str">
        <f>IF(record[[#This Row],[Memo]]="Browser:chrome os:android","平板報工",IF(record[[#This Row],[Memo]]=0,"委外",record[[#This Row],[Memo]]))</f>
        <v/>
      </c>
      <c r="O2339" t="s">
        <v>58</v>
      </c>
      <c r="P2339" t="s">
        <v>113</v>
      </c>
      <c r="Q2339" t="s">
        <v>58</v>
      </c>
      <c r="R2339" t="str">
        <f>IFERROR(VLOOKUP(record[[#This Row],[PCUSTID]],廠商[],2,FALSE),"")</f>
        <v/>
      </c>
      <c r="S2339" t="str">
        <f>VLOOKUP(record[[#This Row],[employeeID]],員工[],2,FALSE)</f>
        <v>王奕蓁</v>
      </c>
    </row>
    <row r="2340" spans="6:19" hidden="1" x14ac:dyDescent="0.25">
      <c r="F2340" t="s">
        <v>1637</v>
      </c>
      <c r="G2340" t="s">
        <v>449</v>
      </c>
      <c r="H2340" t="str">
        <f>VLOOKUP(record[[#This Row],[ProcessSN]],表格2_7[],2,FALSE)</f>
        <v>30-4118-018-6XX</v>
      </c>
      <c r="I2340" t="str">
        <f>VLOOKUP(record[[#This Row],[ProcessSN]],表格2_7[],3,FALSE)</f>
        <v>#05</v>
      </c>
      <c r="J2340" t="s">
        <v>588</v>
      </c>
      <c r="K2340" s="195">
        <v>46120.633900462963</v>
      </c>
      <c r="L2340">
        <v>225</v>
      </c>
      <c r="M2340">
        <v>0</v>
      </c>
      <c r="N2340" s="98" t="str">
        <f>IF(record[[#This Row],[Memo]]="Browser:chrome os:android","平板報工",IF(record[[#This Row],[Memo]]=0,"委外",record[[#This Row],[Memo]]))</f>
        <v>平板報工</v>
      </c>
      <c r="O2340" t="s">
        <v>643</v>
      </c>
      <c r="P2340" t="s">
        <v>785</v>
      </c>
      <c r="Q2340" t="s">
        <v>644</v>
      </c>
      <c r="R2340" t="str">
        <f>IFERROR(VLOOKUP(record[[#This Row],[PCUSTID]],廠商[],2,FALSE),"")</f>
        <v/>
      </c>
      <c r="S2340" t="str">
        <f>VLOOKUP(record[[#This Row],[employeeID]],員工[],2,FALSE)</f>
        <v>謝刻光</v>
      </c>
    </row>
    <row r="2341" spans="6:19" hidden="1" x14ac:dyDescent="0.25">
      <c r="F2341" t="s">
        <v>1653</v>
      </c>
      <c r="G2341" t="s">
        <v>420</v>
      </c>
      <c r="H2341" t="str">
        <f>VLOOKUP(record[[#This Row],[ProcessSN]],表格2_7[],2,FALSE)</f>
        <v>30-4118-018-5XX</v>
      </c>
      <c r="I2341" t="str">
        <f>VLOOKUP(record[[#This Row],[ProcessSN]],表格2_7[],3,FALSE)</f>
        <v>#07STOCK</v>
      </c>
      <c r="J2341" t="s">
        <v>592</v>
      </c>
      <c r="K2341" s="195">
        <v>46120.632696759261</v>
      </c>
      <c r="L2341">
        <v>128</v>
      </c>
      <c r="M2341">
        <v>0</v>
      </c>
      <c r="N2341" s="98" t="str">
        <f>IF(record[[#This Row],[Memo]]="Browser:chrome os:android","平板報工",IF(record[[#This Row],[Memo]]=0,"委外",record[[#This Row],[Memo]]))</f>
        <v/>
      </c>
      <c r="O2341" t="s">
        <v>58</v>
      </c>
      <c r="P2341" t="s">
        <v>113</v>
      </c>
      <c r="Q2341" t="s">
        <v>58</v>
      </c>
      <c r="R2341" t="str">
        <f>IFERROR(VLOOKUP(record[[#This Row],[PCUSTID]],廠商[],2,FALSE),"")</f>
        <v/>
      </c>
      <c r="S2341" t="str">
        <f>VLOOKUP(record[[#This Row],[employeeID]],員工[],2,FALSE)</f>
        <v>王奕蓁</v>
      </c>
    </row>
    <row r="2342" spans="6:19" hidden="1" x14ac:dyDescent="0.25">
      <c r="F2342" t="s">
        <v>1702</v>
      </c>
      <c r="G2342" t="s">
        <v>379</v>
      </c>
      <c r="H2342" t="str">
        <f>VLOOKUP(record[[#This Row],[ProcessSN]],表格2_7[],2,FALSE)</f>
        <v>30-4118-018-4XX</v>
      </c>
      <c r="I2342" t="str">
        <f>VLOOKUP(record[[#This Row],[ProcessSN]],表格2_7[],3,FALSE)</f>
        <v>#07STOCK</v>
      </c>
      <c r="J2342" t="s">
        <v>592</v>
      </c>
      <c r="K2342" s="195">
        <v>46120.632557870369</v>
      </c>
      <c r="L2342">
        <v>614</v>
      </c>
      <c r="M2342">
        <v>0</v>
      </c>
      <c r="N2342" s="98" t="str">
        <f>IF(record[[#This Row],[Memo]]="Browser:chrome os:android","平板報工",IF(record[[#This Row],[Memo]]=0,"委外",record[[#This Row],[Memo]]))</f>
        <v/>
      </c>
      <c r="O2342" t="s">
        <v>58</v>
      </c>
      <c r="P2342" t="s">
        <v>113</v>
      </c>
      <c r="Q2342" t="s">
        <v>58</v>
      </c>
      <c r="R2342" t="str">
        <f>IFERROR(VLOOKUP(record[[#This Row],[PCUSTID]],廠商[],2,FALSE),"")</f>
        <v/>
      </c>
      <c r="S2342" t="str">
        <f>VLOOKUP(record[[#This Row],[employeeID]],員工[],2,FALSE)</f>
        <v>王奕蓁</v>
      </c>
    </row>
    <row r="2343" spans="6:19" hidden="1" x14ac:dyDescent="0.25">
      <c r="F2343" t="s">
        <v>1737</v>
      </c>
      <c r="G2343" t="s">
        <v>358</v>
      </c>
      <c r="H2343" t="str">
        <f>VLOOKUP(record[[#This Row],[ProcessSN]],表格2_7[],2,FALSE)</f>
        <v>30-4118-018-450</v>
      </c>
      <c r="I2343" t="str">
        <f>VLOOKUP(record[[#This Row],[ProcessSN]],表格2_7[],3,FALSE)</f>
        <v>#08IQC</v>
      </c>
      <c r="J2343" t="s">
        <v>583</v>
      </c>
      <c r="K2343" s="195">
        <v>46120.623206018521</v>
      </c>
      <c r="L2343">
        <v>560</v>
      </c>
      <c r="M2343">
        <v>0</v>
      </c>
      <c r="N2343" s="98" t="str">
        <f>IF(record[[#This Row],[Memo]]="Browser:chrome os:android","平板報工",IF(record[[#This Row],[Memo]]=0,"委外",record[[#This Row],[Memo]]))</f>
        <v/>
      </c>
      <c r="O2343" t="s">
        <v>58</v>
      </c>
      <c r="P2343" t="s">
        <v>109</v>
      </c>
      <c r="Q2343" t="s">
        <v>58</v>
      </c>
      <c r="R2343" t="str">
        <f>IFERROR(VLOOKUP(record[[#This Row],[PCUSTID]],廠商[],2,FALSE),"")</f>
        <v/>
      </c>
      <c r="S2343" t="str">
        <f>VLOOKUP(record[[#This Row],[employeeID]],員工[],2,FALSE)</f>
        <v>裴氏璧鳳</v>
      </c>
    </row>
    <row r="2344" spans="6:19" hidden="1" x14ac:dyDescent="0.25">
      <c r="F2344" t="s">
        <v>1702</v>
      </c>
      <c r="G2344" t="s">
        <v>376</v>
      </c>
      <c r="H2344" t="str">
        <f>VLOOKUP(record[[#This Row],[ProcessSN]],表格2_7[],2,FALSE)</f>
        <v>30-4118-018-4XX</v>
      </c>
      <c r="I2344" t="str">
        <f>VLOOKUP(record[[#This Row],[ProcessSN]],表格2_7[],3,FALSE)</f>
        <v>#06</v>
      </c>
      <c r="J2344" t="s">
        <v>593</v>
      </c>
      <c r="K2344" s="195">
        <v>46120.61515046296</v>
      </c>
      <c r="L2344">
        <v>100</v>
      </c>
      <c r="M2344">
        <v>0</v>
      </c>
      <c r="N2344" s="98" t="str">
        <f>IF(record[[#This Row],[Memo]]="Browser:chrome os:android","平板報工",IF(record[[#This Row],[Memo]]=0,"委外",record[[#This Row],[Memo]]))</f>
        <v>平板報工</v>
      </c>
      <c r="O2344" t="s">
        <v>643</v>
      </c>
      <c r="P2344" t="s">
        <v>101</v>
      </c>
      <c r="Q2344" t="s">
        <v>644</v>
      </c>
      <c r="R2344" t="str">
        <f>IFERROR(VLOOKUP(record[[#This Row],[PCUSTID]],廠商[],2,FALSE),"")</f>
        <v/>
      </c>
      <c r="S2344" t="str">
        <f>VLOOKUP(record[[#This Row],[employeeID]],員工[],2,FALSE)</f>
        <v>陳氏絨</v>
      </c>
    </row>
    <row r="2345" spans="6:19" hidden="1" x14ac:dyDescent="0.25">
      <c r="F2345" t="s">
        <v>1737</v>
      </c>
      <c r="G2345" t="s">
        <v>357</v>
      </c>
      <c r="H2345" t="str">
        <f>VLOOKUP(record[[#This Row],[ProcessSN]],表格2_7[],2,FALSE)</f>
        <v>30-4118-018-450</v>
      </c>
      <c r="I2345" t="str">
        <f>VLOOKUP(record[[#This Row],[ProcessSN]],表格2_7[],3,FALSE)</f>
        <v>#08RCV</v>
      </c>
      <c r="J2345" t="s">
        <v>591</v>
      </c>
      <c r="K2345" s="195">
        <v>46120.610694444447</v>
      </c>
      <c r="L2345">
        <v>560</v>
      </c>
      <c r="M2345">
        <v>0</v>
      </c>
      <c r="N2345" s="98" t="str">
        <f>IF(record[[#This Row],[Memo]]="Browser:chrome os:android","平板報工",IF(record[[#This Row],[Memo]]=0,"委外",record[[#This Row],[Memo]]))</f>
        <v/>
      </c>
      <c r="O2345" t="s">
        <v>58</v>
      </c>
      <c r="P2345" t="s">
        <v>113</v>
      </c>
      <c r="Q2345" t="s">
        <v>58</v>
      </c>
      <c r="R2345" t="str">
        <f>IFERROR(VLOOKUP(record[[#This Row],[PCUSTID]],廠商[],2,FALSE),"")</f>
        <v/>
      </c>
      <c r="S2345" t="str">
        <f>VLOOKUP(record[[#This Row],[employeeID]],員工[],2,FALSE)</f>
        <v>王奕蓁</v>
      </c>
    </row>
    <row r="2346" spans="6:19" hidden="1" x14ac:dyDescent="0.25">
      <c r="F2346" t="s">
        <v>1722</v>
      </c>
      <c r="G2346" t="s">
        <v>400</v>
      </c>
      <c r="H2346" t="str">
        <f>VLOOKUP(record[[#This Row],[ProcessSN]],表格2_7[],2,FALSE)</f>
        <v>30-4118-018-550</v>
      </c>
      <c r="I2346" t="str">
        <f>VLOOKUP(record[[#This Row],[ProcessSN]],表格2_7[],3,FALSE)</f>
        <v>#100</v>
      </c>
      <c r="J2346" t="s">
        <v>598</v>
      </c>
      <c r="K2346" s="195">
        <v>46120.610162037039</v>
      </c>
      <c r="L2346">
        <v>143</v>
      </c>
      <c r="M2346">
        <v>0</v>
      </c>
      <c r="N2346" s="98" t="str">
        <f>IF(record[[#This Row],[Memo]]="Browser:chrome os:android","平板報工",IF(record[[#This Row],[Memo]]=0,"委外",record[[#This Row],[Memo]]))</f>
        <v/>
      </c>
      <c r="O2346" t="s">
        <v>58</v>
      </c>
      <c r="P2346" t="s">
        <v>141</v>
      </c>
      <c r="Q2346" t="s">
        <v>58</v>
      </c>
      <c r="R2346" t="str">
        <f>IFERROR(VLOOKUP(record[[#This Row],[PCUSTID]],廠商[],2,FALSE),"")</f>
        <v/>
      </c>
      <c r="S2346" t="str">
        <f>VLOOKUP(record[[#This Row],[employeeID]],員工[],2,FALSE)</f>
        <v>蔣梅</v>
      </c>
    </row>
    <row r="2347" spans="6:19" hidden="1" x14ac:dyDescent="0.25">
      <c r="F2347" t="s">
        <v>1774</v>
      </c>
      <c r="G2347" t="s">
        <v>356</v>
      </c>
      <c r="H2347" t="str">
        <f>VLOOKUP(record[[#This Row],[ProcessSN]],表格2_7[],2,FALSE)</f>
        <v>30-4118-018-450</v>
      </c>
      <c r="I2347" t="str">
        <f>VLOOKUP(record[[#This Row],[ProcessSN]],表格2_7[],3,FALSE)</f>
        <v>#08</v>
      </c>
      <c r="J2347" t="s">
        <v>597</v>
      </c>
      <c r="K2347" s="195">
        <v>46120.597766203704</v>
      </c>
      <c r="L2347">
        <v>614</v>
      </c>
      <c r="M2347">
        <v>0</v>
      </c>
      <c r="N2347" s="98" t="str">
        <f>IF(record[[#This Row],[Memo]]="Browser:chrome os:android","平板報工",IF(record[[#This Row],[Memo]]=0,"委外",record[[#This Row],[Memo]]))</f>
        <v>委外</v>
      </c>
      <c r="P2347" t="s">
        <v>113</v>
      </c>
      <c r="Q2347" t="s">
        <v>287</v>
      </c>
      <c r="R2347" t="str">
        <f>IFERROR(VLOOKUP(record[[#This Row],[PCUSTID]],廠商[],2,FALSE),"")</f>
        <v>泉盛</v>
      </c>
      <c r="S2347" t="str">
        <f>VLOOKUP(record[[#This Row],[employeeID]],員工[],2,FALSE)</f>
        <v>王奕蓁</v>
      </c>
    </row>
    <row r="2348" spans="6:19" hidden="1" x14ac:dyDescent="0.25">
      <c r="F2348" t="s">
        <v>1773</v>
      </c>
      <c r="G2348" t="s">
        <v>397</v>
      </c>
      <c r="H2348" t="str">
        <f>VLOOKUP(record[[#This Row],[ProcessSN]],表格2_7[],2,FALSE)</f>
        <v>30-4118-018-550</v>
      </c>
      <c r="I2348" t="str">
        <f>VLOOKUP(record[[#This Row],[ProcessSN]],表格2_7[],3,FALSE)</f>
        <v>#08</v>
      </c>
      <c r="J2348" t="s">
        <v>597</v>
      </c>
      <c r="K2348" s="195">
        <v>46120.597662037035</v>
      </c>
      <c r="L2348">
        <v>128</v>
      </c>
      <c r="M2348">
        <v>0</v>
      </c>
      <c r="N2348" s="98" t="str">
        <f>IF(record[[#This Row],[Memo]]="Browser:chrome os:android","平板報工",IF(record[[#This Row],[Memo]]=0,"委外",record[[#This Row],[Memo]]))</f>
        <v>委外</v>
      </c>
      <c r="P2348" t="s">
        <v>113</v>
      </c>
      <c r="Q2348" t="s">
        <v>287</v>
      </c>
      <c r="R2348" t="str">
        <f>IFERROR(VLOOKUP(record[[#This Row],[PCUSTID]],廠商[],2,FALSE),"")</f>
        <v>泉盛</v>
      </c>
      <c r="S2348" t="str">
        <f>VLOOKUP(record[[#This Row],[employeeID]],員工[],2,FALSE)</f>
        <v>王奕蓁</v>
      </c>
    </row>
    <row r="2349" spans="6:19" hidden="1" x14ac:dyDescent="0.25">
      <c r="F2349" t="s">
        <v>1774</v>
      </c>
      <c r="G2349" t="s">
        <v>355</v>
      </c>
      <c r="H2349" t="str">
        <f>VLOOKUP(record[[#This Row],[ProcessSN]],表格2_7[],2,FALSE)</f>
        <v>30-4118-018-450</v>
      </c>
      <c r="I2349" t="str">
        <f>VLOOKUP(record[[#This Row],[ProcessSN]],表格2_7[],3,FALSE)</f>
        <v>#08PICK</v>
      </c>
      <c r="J2349" t="s">
        <v>582</v>
      </c>
      <c r="K2349" s="195">
        <v>46120.596875000003</v>
      </c>
      <c r="L2349">
        <v>614</v>
      </c>
      <c r="M2349">
        <v>0</v>
      </c>
      <c r="N2349" s="98" t="str">
        <f>IF(record[[#This Row],[Memo]]="Browser:chrome os:android","平板報工",IF(record[[#This Row],[Memo]]=0,"委外",record[[#This Row],[Memo]]))</f>
        <v/>
      </c>
      <c r="O2349" t="s">
        <v>58</v>
      </c>
      <c r="P2349" t="s">
        <v>113</v>
      </c>
      <c r="Q2349" t="s">
        <v>58</v>
      </c>
      <c r="R2349" t="str">
        <f>IFERROR(VLOOKUP(record[[#This Row],[PCUSTID]],廠商[],2,FALSE),"")</f>
        <v/>
      </c>
      <c r="S2349" t="str">
        <f>VLOOKUP(record[[#This Row],[employeeID]],員工[],2,FALSE)</f>
        <v>王奕蓁</v>
      </c>
    </row>
    <row r="2350" spans="6:19" hidden="1" x14ac:dyDescent="0.25">
      <c r="F2350" t="s">
        <v>1773</v>
      </c>
      <c r="G2350" t="s">
        <v>396</v>
      </c>
      <c r="H2350" t="str">
        <f>VLOOKUP(record[[#This Row],[ProcessSN]],表格2_7[],2,FALSE)</f>
        <v>30-4118-018-550</v>
      </c>
      <c r="I2350" t="str">
        <f>VLOOKUP(record[[#This Row],[ProcessSN]],表格2_7[],3,FALSE)</f>
        <v>#08PICK</v>
      </c>
      <c r="J2350" t="s">
        <v>582</v>
      </c>
      <c r="K2350" s="195">
        <v>46120.596770833334</v>
      </c>
      <c r="L2350">
        <v>128</v>
      </c>
      <c r="M2350">
        <v>0</v>
      </c>
      <c r="N2350" s="98" t="str">
        <f>IF(record[[#This Row],[Memo]]="Browser:chrome os:android","平板報工",IF(record[[#This Row],[Memo]]=0,"委外",record[[#This Row],[Memo]]))</f>
        <v/>
      </c>
      <c r="O2350" t="s">
        <v>58</v>
      </c>
      <c r="P2350" t="s">
        <v>113</v>
      </c>
      <c r="Q2350" t="s">
        <v>58</v>
      </c>
      <c r="R2350" t="str">
        <f>IFERROR(VLOOKUP(record[[#This Row],[PCUSTID]],廠商[],2,FALSE),"")</f>
        <v/>
      </c>
      <c r="S2350" t="str">
        <f>VLOOKUP(record[[#This Row],[employeeID]],員工[],2,FALSE)</f>
        <v>王奕蓁</v>
      </c>
    </row>
    <row r="2351" spans="6:19" hidden="1" x14ac:dyDescent="0.25">
      <c r="F2351" t="s">
        <v>1702</v>
      </c>
      <c r="G2351" t="s">
        <v>378</v>
      </c>
      <c r="H2351" t="str">
        <f>VLOOKUP(record[[#This Row],[ProcessSN]],表格2_7[],2,FALSE)</f>
        <v>30-4118-018-4XX</v>
      </c>
      <c r="I2351" t="str">
        <f>VLOOKUP(record[[#This Row],[ProcessSN]],表格2_7[],3,FALSE)</f>
        <v>#07QC</v>
      </c>
      <c r="J2351" t="s">
        <v>589</v>
      </c>
      <c r="K2351" s="195">
        <v>46120.578923611109</v>
      </c>
      <c r="L2351">
        <v>0</v>
      </c>
      <c r="M2351">
        <v>12</v>
      </c>
      <c r="N2351" s="98" t="str">
        <f>IF(record[[#This Row],[Memo]]="Browser:chrome os:android","平板報工",IF(record[[#This Row],[Memo]]=0,"委外",record[[#This Row],[Memo]]))</f>
        <v/>
      </c>
      <c r="O2351" t="s">
        <v>58</v>
      </c>
      <c r="P2351" t="s">
        <v>141</v>
      </c>
      <c r="Q2351" t="s">
        <v>58</v>
      </c>
      <c r="R2351" t="str">
        <f>IFERROR(VLOOKUP(record[[#This Row],[PCUSTID]],廠商[],2,FALSE),"")</f>
        <v/>
      </c>
      <c r="S2351" t="str">
        <f>VLOOKUP(record[[#This Row],[employeeID]],員工[],2,FALSE)</f>
        <v>蔣梅</v>
      </c>
    </row>
    <row r="2352" spans="6:19" hidden="1" x14ac:dyDescent="0.25">
      <c r="F2352" t="s">
        <v>1702</v>
      </c>
      <c r="G2352" t="s">
        <v>378</v>
      </c>
      <c r="H2352" t="str">
        <f>VLOOKUP(record[[#This Row],[ProcessSN]],表格2_7[],2,FALSE)</f>
        <v>30-4118-018-4XX</v>
      </c>
      <c r="I2352" t="str">
        <f>VLOOKUP(record[[#This Row],[ProcessSN]],表格2_7[],3,FALSE)</f>
        <v>#07QC</v>
      </c>
      <c r="J2352" t="s">
        <v>589</v>
      </c>
      <c r="K2352" s="195">
        <v>46120.578668981485</v>
      </c>
      <c r="L2352">
        <v>614</v>
      </c>
      <c r="M2352">
        <v>0</v>
      </c>
      <c r="N2352" s="98" t="str">
        <f>IF(record[[#This Row],[Memo]]="Browser:chrome os:android","平板報工",IF(record[[#This Row],[Memo]]=0,"委外",record[[#This Row],[Memo]]))</f>
        <v/>
      </c>
      <c r="O2352" t="s">
        <v>58</v>
      </c>
      <c r="P2352" t="s">
        <v>141</v>
      </c>
      <c r="Q2352" t="s">
        <v>58</v>
      </c>
      <c r="R2352" t="str">
        <f>IFERROR(VLOOKUP(record[[#This Row],[PCUSTID]],廠商[],2,FALSE),"")</f>
        <v/>
      </c>
      <c r="S2352" t="str">
        <f>VLOOKUP(record[[#This Row],[employeeID]],員工[],2,FALSE)</f>
        <v>蔣梅</v>
      </c>
    </row>
    <row r="2353" spans="6:19" hidden="1" x14ac:dyDescent="0.25">
      <c r="F2353" t="s">
        <v>1705</v>
      </c>
      <c r="G2353" t="s">
        <v>427</v>
      </c>
      <c r="H2353" t="str">
        <f>VLOOKUP(record[[#This Row],[ProcessSN]],表格2_7[],2,FALSE)</f>
        <v>30-4118-018-600</v>
      </c>
      <c r="I2353" t="str">
        <f>VLOOKUP(record[[#This Row],[ProcessSN]],表格2_7[],3,FALSE)</f>
        <v>#100STOCK</v>
      </c>
      <c r="J2353" t="s">
        <v>592</v>
      </c>
      <c r="K2353" s="195">
        <v>46120.498819444445</v>
      </c>
      <c r="L2353">
        <v>366</v>
      </c>
      <c r="M2353">
        <v>0</v>
      </c>
      <c r="N2353" s="98" t="str">
        <f>IF(record[[#This Row],[Memo]]="Browser:chrome os:android","平板報工",IF(record[[#This Row],[Memo]]=0,"委外",record[[#This Row],[Memo]]))</f>
        <v/>
      </c>
      <c r="O2353" t="s">
        <v>58</v>
      </c>
      <c r="P2353" t="s">
        <v>886</v>
      </c>
      <c r="Q2353" t="s">
        <v>58</v>
      </c>
      <c r="R2353" t="str">
        <f>IFERROR(VLOOKUP(record[[#This Row],[PCUSTID]],廠商[],2,FALSE),"")</f>
        <v/>
      </c>
      <c r="S2353" t="str">
        <f>VLOOKUP(record[[#This Row],[employeeID]],員工[],2,FALSE)</f>
        <v>謝蓁薰</v>
      </c>
    </row>
    <row r="2354" spans="6:19" hidden="1" x14ac:dyDescent="0.25">
      <c r="F2354" t="s">
        <v>1721</v>
      </c>
      <c r="G2354" t="s">
        <v>361</v>
      </c>
      <c r="H2354" t="str">
        <f>VLOOKUP(record[[#This Row],[ProcessSN]],表格2_7[],2,FALSE)</f>
        <v>30-4118-018-450</v>
      </c>
      <c r="I2354" t="str">
        <f>VLOOKUP(record[[#This Row],[ProcessSN]],表格2_7[],3,FALSE)</f>
        <v>#100STOCK</v>
      </c>
      <c r="J2354" t="s">
        <v>592</v>
      </c>
      <c r="K2354" s="195">
        <v>46120.489247685182</v>
      </c>
      <c r="L2354">
        <v>352</v>
      </c>
      <c r="M2354">
        <v>0</v>
      </c>
      <c r="N2354" s="98" t="str">
        <f>IF(record[[#This Row],[Memo]]="Browser:chrome os:android","平板報工",IF(record[[#This Row],[Memo]]=0,"委外",record[[#This Row],[Memo]]))</f>
        <v/>
      </c>
      <c r="O2354" t="s">
        <v>58</v>
      </c>
      <c r="P2354" t="s">
        <v>886</v>
      </c>
      <c r="Q2354" t="s">
        <v>58</v>
      </c>
      <c r="R2354" t="str">
        <f>IFERROR(VLOOKUP(record[[#This Row],[PCUSTID]],廠商[],2,FALSE),"")</f>
        <v/>
      </c>
      <c r="S2354" t="str">
        <f>VLOOKUP(record[[#This Row],[employeeID]],員工[],2,FALSE)</f>
        <v>謝蓁薰</v>
      </c>
    </row>
    <row r="2355" spans="6:19" hidden="1" x14ac:dyDescent="0.25">
      <c r="F2355" t="s">
        <v>1693</v>
      </c>
      <c r="G2355" t="s">
        <v>428</v>
      </c>
      <c r="H2355" t="str">
        <f>VLOOKUP(record[[#This Row],[ProcessSN]],表格2_7[],2,FALSE)</f>
        <v>30-4118-018-600</v>
      </c>
      <c r="I2355" t="str">
        <f>VLOOKUP(record[[#This Row],[ProcessSN]],表格2_7[],3,FALSE)</f>
        <v>#100SHIP</v>
      </c>
      <c r="J2355" t="s">
        <v>600</v>
      </c>
      <c r="K2355" s="195">
        <v>46120.489120370374</v>
      </c>
      <c r="L2355">
        <v>148</v>
      </c>
      <c r="M2355">
        <v>0</v>
      </c>
      <c r="N2355" s="98" t="str">
        <f>IF(record[[#This Row],[Memo]]="Browser:chrome os:android","平板報工",IF(record[[#This Row],[Memo]]=0,"委外",record[[#This Row],[Memo]]))</f>
        <v/>
      </c>
      <c r="O2355" t="s">
        <v>58</v>
      </c>
      <c r="P2355" t="s">
        <v>886</v>
      </c>
      <c r="Q2355" t="s">
        <v>58</v>
      </c>
      <c r="R2355" t="str">
        <f>IFERROR(VLOOKUP(record[[#This Row],[PCUSTID]],廠商[],2,FALSE),"")</f>
        <v/>
      </c>
      <c r="S2355" t="str">
        <f>VLOOKUP(record[[#This Row],[employeeID]],員工[],2,FALSE)</f>
        <v>謝蓁薰</v>
      </c>
    </row>
    <row r="2356" spans="6:19" hidden="1" x14ac:dyDescent="0.25">
      <c r="F2356" t="s">
        <v>1693</v>
      </c>
      <c r="G2356" t="s">
        <v>427</v>
      </c>
      <c r="H2356" t="str">
        <f>VLOOKUP(record[[#This Row],[ProcessSN]],表格2_7[],2,FALSE)</f>
        <v>30-4118-018-600</v>
      </c>
      <c r="I2356" t="str">
        <f>VLOOKUP(record[[#This Row],[ProcessSN]],表格2_7[],3,FALSE)</f>
        <v>#100STOCK</v>
      </c>
      <c r="J2356" t="s">
        <v>592</v>
      </c>
      <c r="K2356" s="195">
        <v>46120.488923611112</v>
      </c>
      <c r="L2356">
        <v>179</v>
      </c>
      <c r="M2356">
        <v>0</v>
      </c>
      <c r="N2356" s="98" t="str">
        <f>IF(record[[#This Row],[Memo]]="Browser:chrome os:android","平板報工",IF(record[[#This Row],[Memo]]=0,"委外",record[[#This Row],[Memo]]))</f>
        <v/>
      </c>
      <c r="O2356" t="s">
        <v>58</v>
      </c>
      <c r="P2356" t="s">
        <v>886</v>
      </c>
      <c r="Q2356" t="s">
        <v>58</v>
      </c>
      <c r="R2356" t="str">
        <f>IFERROR(VLOOKUP(record[[#This Row],[PCUSTID]],廠商[],2,FALSE),"")</f>
        <v/>
      </c>
      <c r="S2356" t="str">
        <f>VLOOKUP(record[[#This Row],[employeeID]],員工[],2,FALSE)</f>
        <v>謝蓁薰</v>
      </c>
    </row>
    <row r="2357" spans="6:19" hidden="1" x14ac:dyDescent="0.25">
      <c r="F2357" t="s">
        <v>1715</v>
      </c>
      <c r="G2357" t="s">
        <v>403</v>
      </c>
      <c r="H2357" t="str">
        <f>VLOOKUP(record[[#This Row],[ProcessSN]],表格2_7[],2,FALSE)</f>
        <v>30-4118-018-550</v>
      </c>
      <c r="I2357" t="str">
        <f>VLOOKUP(record[[#This Row],[ProcessSN]],表格2_7[],3,FALSE)</f>
        <v>#100SHIP</v>
      </c>
      <c r="J2357" t="s">
        <v>600</v>
      </c>
      <c r="K2357" s="195">
        <v>46120.488749999997</v>
      </c>
      <c r="L2357">
        <v>171</v>
      </c>
      <c r="M2357">
        <v>0</v>
      </c>
      <c r="N2357" s="98" t="str">
        <f>IF(record[[#This Row],[Memo]]="Browser:chrome os:android","平板報工",IF(record[[#This Row],[Memo]]=0,"委外",record[[#This Row],[Memo]]))</f>
        <v/>
      </c>
      <c r="O2357" t="s">
        <v>58</v>
      </c>
      <c r="P2357" t="s">
        <v>886</v>
      </c>
      <c r="Q2357" t="s">
        <v>58</v>
      </c>
      <c r="R2357" t="str">
        <f>IFERROR(VLOOKUP(record[[#This Row],[PCUSTID]],廠商[],2,FALSE),"")</f>
        <v/>
      </c>
      <c r="S2357" t="str">
        <f>VLOOKUP(record[[#This Row],[employeeID]],員工[],2,FALSE)</f>
        <v>謝蓁薰</v>
      </c>
    </row>
    <row r="2358" spans="6:19" hidden="1" x14ac:dyDescent="0.25">
      <c r="F2358" t="s">
        <v>1704</v>
      </c>
      <c r="G2358" t="s">
        <v>403</v>
      </c>
      <c r="H2358" t="str">
        <f>VLOOKUP(record[[#This Row],[ProcessSN]],表格2_7[],2,FALSE)</f>
        <v>30-4118-018-550</v>
      </c>
      <c r="I2358" t="str">
        <f>VLOOKUP(record[[#This Row],[ProcessSN]],表格2_7[],3,FALSE)</f>
        <v>#100SHIP</v>
      </c>
      <c r="J2358" t="s">
        <v>600</v>
      </c>
      <c r="K2358" s="195">
        <v>46120.488622685189</v>
      </c>
      <c r="L2358">
        <v>329</v>
      </c>
      <c r="M2358">
        <v>0</v>
      </c>
      <c r="N2358" s="98" t="str">
        <f>IF(record[[#This Row],[Memo]]="Browser:chrome os:android","平板報工",IF(record[[#This Row],[Memo]]=0,"委外",record[[#This Row],[Memo]]))</f>
        <v/>
      </c>
      <c r="O2358" t="s">
        <v>58</v>
      </c>
      <c r="P2358" t="s">
        <v>886</v>
      </c>
      <c r="Q2358" t="s">
        <v>58</v>
      </c>
      <c r="R2358" t="str">
        <f>IFERROR(VLOOKUP(record[[#This Row],[PCUSTID]],廠商[],2,FALSE),"")</f>
        <v/>
      </c>
      <c r="S2358" t="str">
        <f>VLOOKUP(record[[#This Row],[employeeID]],員工[],2,FALSE)</f>
        <v>謝蓁薰</v>
      </c>
    </row>
    <row r="2359" spans="6:19" hidden="1" x14ac:dyDescent="0.25">
      <c r="F2359" t="s">
        <v>1715</v>
      </c>
      <c r="G2359" t="s">
        <v>402</v>
      </c>
      <c r="H2359" t="str">
        <f>VLOOKUP(record[[#This Row],[ProcessSN]],表格2_7[],2,FALSE)</f>
        <v>30-4118-018-550</v>
      </c>
      <c r="I2359" t="str">
        <f>VLOOKUP(record[[#This Row],[ProcessSN]],表格2_7[],3,FALSE)</f>
        <v>#100STOCK</v>
      </c>
      <c r="J2359" t="s">
        <v>592</v>
      </c>
      <c r="K2359" s="195">
        <v>46120.488495370373</v>
      </c>
      <c r="L2359">
        <v>483</v>
      </c>
      <c r="M2359">
        <v>0</v>
      </c>
      <c r="N2359" s="98" t="str">
        <f>IF(record[[#This Row],[Memo]]="Browser:chrome os:android","平板報工",IF(record[[#This Row],[Memo]]=0,"委外",record[[#This Row],[Memo]]))</f>
        <v/>
      </c>
      <c r="O2359" t="s">
        <v>58</v>
      </c>
      <c r="P2359" t="s">
        <v>886</v>
      </c>
      <c r="Q2359" t="s">
        <v>58</v>
      </c>
      <c r="R2359" t="str">
        <f>IFERROR(VLOOKUP(record[[#This Row],[PCUSTID]],廠商[],2,FALSE),"")</f>
        <v/>
      </c>
      <c r="S2359" t="str">
        <f>VLOOKUP(record[[#This Row],[employeeID]],員工[],2,FALSE)</f>
        <v>謝蓁薰</v>
      </c>
    </row>
    <row r="2360" spans="6:19" hidden="1" x14ac:dyDescent="0.25">
      <c r="F2360" t="s">
        <v>1704</v>
      </c>
      <c r="G2360" t="s">
        <v>402</v>
      </c>
      <c r="H2360" t="str">
        <f>VLOOKUP(record[[#This Row],[ProcessSN]],表格2_7[],2,FALSE)</f>
        <v>30-4118-018-550</v>
      </c>
      <c r="I2360" t="str">
        <f>VLOOKUP(record[[#This Row],[ProcessSN]],表格2_7[],3,FALSE)</f>
        <v>#100STOCK</v>
      </c>
      <c r="J2360" t="s">
        <v>592</v>
      </c>
      <c r="K2360" s="195">
        <v>46120.488333333335</v>
      </c>
      <c r="L2360">
        <v>329</v>
      </c>
      <c r="M2360">
        <v>0</v>
      </c>
      <c r="N2360" s="98" t="str">
        <f>IF(record[[#This Row],[Memo]]="Browser:chrome os:android","平板報工",IF(record[[#This Row],[Memo]]=0,"委外",record[[#This Row],[Memo]]))</f>
        <v/>
      </c>
      <c r="O2360" t="s">
        <v>58</v>
      </c>
      <c r="P2360" t="s">
        <v>886</v>
      </c>
      <c r="Q2360" t="s">
        <v>58</v>
      </c>
      <c r="R2360" t="str">
        <f>IFERROR(VLOOKUP(record[[#This Row],[PCUSTID]],廠商[],2,FALSE),"")</f>
        <v/>
      </c>
      <c r="S2360" t="str">
        <f>VLOOKUP(record[[#This Row],[employeeID]],員工[],2,FALSE)</f>
        <v>謝蓁薰</v>
      </c>
    </row>
    <row r="2361" spans="6:19" hidden="1" x14ac:dyDescent="0.25">
      <c r="F2361" t="s">
        <v>1655</v>
      </c>
      <c r="G2361" t="s">
        <v>471</v>
      </c>
      <c r="H2361" t="str">
        <f>VLOOKUP(record[[#This Row],[ProcessSN]],表格2_7[],2,FALSE)</f>
        <v>30-4118-018-XXX</v>
      </c>
      <c r="I2361" t="str">
        <f>VLOOKUP(record[[#This Row],[ProcessSN]],表格2_7[],3,FALSE)</f>
        <v>#02STOCK</v>
      </c>
      <c r="J2361" t="s">
        <v>592</v>
      </c>
      <c r="K2361" s="195">
        <v>46120.415092592593</v>
      </c>
      <c r="L2361">
        <v>504</v>
      </c>
      <c r="M2361">
        <v>0</v>
      </c>
      <c r="N2361" s="98" t="str">
        <f>IF(record[[#This Row],[Memo]]="Browser:chrome os:android","平板報工",IF(record[[#This Row],[Memo]]=0,"委外",record[[#This Row],[Memo]]))</f>
        <v/>
      </c>
      <c r="O2361" t="s">
        <v>58</v>
      </c>
      <c r="P2361" t="s">
        <v>1070</v>
      </c>
      <c r="Q2361" t="s">
        <v>58</v>
      </c>
      <c r="R2361" t="str">
        <f>IFERROR(VLOOKUP(record[[#This Row],[PCUSTID]],廠商[],2,FALSE),"")</f>
        <v/>
      </c>
      <c r="S2361" t="str">
        <f>VLOOKUP(record[[#This Row],[employeeID]],員工[],2,FALSE)</f>
        <v>陳昱佑</v>
      </c>
    </row>
    <row r="2362" spans="6:19" hidden="1" x14ac:dyDescent="0.25">
      <c r="F2362" t="s">
        <v>1767</v>
      </c>
      <c r="G2362" t="s">
        <v>413</v>
      </c>
      <c r="H2362" t="str">
        <f>VLOOKUP(record[[#This Row],[ProcessSN]],表格2_7[],2,FALSE)</f>
        <v>30-4118-018-5XX</v>
      </c>
      <c r="I2362" t="str">
        <f>VLOOKUP(record[[#This Row],[ProcessSN]],表格2_7[],3,FALSE)</f>
        <v>#03GIVE</v>
      </c>
      <c r="J2362" t="s">
        <v>587</v>
      </c>
      <c r="K2362" s="195">
        <v>46120.413946759261</v>
      </c>
      <c r="L2362">
        <v>504</v>
      </c>
      <c r="M2362">
        <v>0</v>
      </c>
      <c r="N2362" s="98" t="str">
        <f>IF(record[[#This Row],[Memo]]="Browser:chrome os:android","平板報工",IF(record[[#This Row],[Memo]]=0,"委外",record[[#This Row],[Memo]]))</f>
        <v/>
      </c>
      <c r="O2362" t="s">
        <v>58</v>
      </c>
      <c r="P2362" t="s">
        <v>1070</v>
      </c>
      <c r="Q2362" t="s">
        <v>58</v>
      </c>
      <c r="R2362" t="str">
        <f>IFERROR(VLOOKUP(record[[#This Row],[PCUSTID]],廠商[],2,FALSE),"")</f>
        <v/>
      </c>
      <c r="S2362" t="str">
        <f>VLOOKUP(record[[#This Row],[employeeID]],員工[],2,FALSE)</f>
        <v>陳昱佑</v>
      </c>
    </row>
    <row r="2363" spans="6:19" hidden="1" x14ac:dyDescent="0.25">
      <c r="F2363" t="s">
        <v>1767</v>
      </c>
      <c r="G2363" t="s">
        <v>412</v>
      </c>
      <c r="H2363" t="str">
        <f>VLOOKUP(record[[#This Row],[ProcessSN]],表格2_7[],2,FALSE)</f>
        <v>30-4118-018-5XX</v>
      </c>
      <c r="I2363" t="str">
        <f>VLOOKUP(record[[#This Row],[ProcessSN]],表格2_7[],3,FALSE)</f>
        <v>#03PICK</v>
      </c>
      <c r="J2363" t="s">
        <v>582</v>
      </c>
      <c r="K2363" s="195">
        <v>46120.403715277775</v>
      </c>
      <c r="L2363">
        <v>504</v>
      </c>
      <c r="M2363">
        <v>0</v>
      </c>
      <c r="N2363" s="98" t="str">
        <f>IF(record[[#This Row],[Memo]]="Browser:chrome os:android","平板報工",IF(record[[#This Row],[Memo]]=0,"委外",record[[#This Row],[Memo]]))</f>
        <v/>
      </c>
      <c r="O2363" t="s">
        <v>58</v>
      </c>
      <c r="P2363" t="s">
        <v>113</v>
      </c>
      <c r="Q2363" t="s">
        <v>58</v>
      </c>
      <c r="R2363" t="str">
        <f>IFERROR(VLOOKUP(record[[#This Row],[PCUSTID]],廠商[],2,FALSE),"")</f>
        <v/>
      </c>
      <c r="S2363" t="str">
        <f>VLOOKUP(record[[#This Row],[employeeID]],員工[],2,FALSE)</f>
        <v>王奕蓁</v>
      </c>
    </row>
    <row r="2364" spans="6:19" hidden="1" x14ac:dyDescent="0.25">
      <c r="F2364" t="s">
        <v>1655</v>
      </c>
      <c r="G2364" t="s">
        <v>470</v>
      </c>
      <c r="H2364" t="str">
        <f>VLOOKUP(record[[#This Row],[ProcessSN]],表格2_7[],2,FALSE)</f>
        <v>30-4118-018-XXX</v>
      </c>
      <c r="I2364" t="str">
        <f>VLOOKUP(record[[#This Row],[ProcessSN]],表格2_7[],3,FALSE)</f>
        <v>#02IQC</v>
      </c>
      <c r="J2364" t="s">
        <v>583</v>
      </c>
      <c r="K2364" s="195">
        <v>46120.400393518517</v>
      </c>
      <c r="L2364">
        <v>504</v>
      </c>
      <c r="M2364">
        <v>0</v>
      </c>
      <c r="N2364" s="98" t="str">
        <f>IF(record[[#This Row],[Memo]]="Browser:chrome os:android","平板報工",IF(record[[#This Row],[Memo]]=0,"委外",record[[#This Row],[Memo]]))</f>
        <v/>
      </c>
      <c r="O2364" t="s">
        <v>58</v>
      </c>
      <c r="P2364" t="s">
        <v>109</v>
      </c>
      <c r="Q2364" t="s">
        <v>58</v>
      </c>
      <c r="R2364" t="str">
        <f>IFERROR(VLOOKUP(record[[#This Row],[PCUSTID]],廠商[],2,FALSE),"")</f>
        <v/>
      </c>
      <c r="S2364" t="str">
        <f>VLOOKUP(record[[#This Row],[employeeID]],員工[],2,FALSE)</f>
        <v>裴氏璧鳳</v>
      </c>
    </row>
    <row r="2365" spans="6:19" hidden="1" x14ac:dyDescent="0.25">
      <c r="F2365" t="s">
        <v>1655</v>
      </c>
      <c r="G2365" t="s">
        <v>469</v>
      </c>
      <c r="H2365" t="str">
        <f>VLOOKUP(record[[#This Row],[ProcessSN]],表格2_7[],2,FALSE)</f>
        <v>30-4118-018-XXX</v>
      </c>
      <c r="I2365" t="str">
        <f>VLOOKUP(record[[#This Row],[ProcessSN]],表格2_7[],3,FALSE)</f>
        <v>#02RCV</v>
      </c>
      <c r="J2365" t="s">
        <v>591</v>
      </c>
      <c r="K2365" s="195">
        <v>46120.387928240743</v>
      </c>
      <c r="L2365">
        <v>504</v>
      </c>
      <c r="M2365">
        <v>0</v>
      </c>
      <c r="N2365" s="98" t="str">
        <f>IF(record[[#This Row],[Memo]]="Browser:chrome os:android","平板報工",IF(record[[#This Row],[Memo]]=0,"委外",record[[#This Row],[Memo]]))</f>
        <v/>
      </c>
      <c r="O2365" t="s">
        <v>58</v>
      </c>
      <c r="P2365" t="s">
        <v>113</v>
      </c>
      <c r="Q2365" t="s">
        <v>58</v>
      </c>
      <c r="R2365" t="str">
        <f>IFERROR(VLOOKUP(record[[#This Row],[PCUSTID]],廠商[],2,FALSE),"")</f>
        <v/>
      </c>
      <c r="S2365" t="str">
        <f>VLOOKUP(record[[#This Row],[employeeID]],員工[],2,FALSE)</f>
        <v>王奕蓁</v>
      </c>
    </row>
    <row r="2366" spans="6:19" hidden="1" x14ac:dyDescent="0.25">
      <c r="F2366" t="s">
        <v>1653</v>
      </c>
      <c r="G2366" t="s">
        <v>419</v>
      </c>
      <c r="H2366" t="str">
        <f>VLOOKUP(record[[#This Row],[ProcessSN]],表格2_7[],2,FALSE)</f>
        <v>30-4118-018-5XX</v>
      </c>
      <c r="I2366" t="str">
        <f>VLOOKUP(record[[#This Row],[ProcessSN]],表格2_7[],3,FALSE)</f>
        <v>#07QC</v>
      </c>
      <c r="J2366" t="s">
        <v>589</v>
      </c>
      <c r="K2366" s="195">
        <v>46120.383564814816</v>
      </c>
      <c r="L2366">
        <v>0</v>
      </c>
      <c r="M2366">
        <v>3</v>
      </c>
      <c r="N2366" s="98" t="str">
        <f>IF(record[[#This Row],[Memo]]="Browser:chrome os:android","平板報工",IF(record[[#This Row],[Memo]]=0,"委外",record[[#This Row],[Memo]]))</f>
        <v/>
      </c>
      <c r="O2366" t="s">
        <v>58</v>
      </c>
      <c r="P2366" t="s">
        <v>141</v>
      </c>
      <c r="Q2366" t="s">
        <v>58</v>
      </c>
      <c r="R2366" t="str">
        <f>IFERROR(VLOOKUP(record[[#This Row],[PCUSTID]],廠商[],2,FALSE),"")</f>
        <v/>
      </c>
      <c r="S2366" t="str">
        <f>VLOOKUP(record[[#This Row],[employeeID]],員工[],2,FALSE)</f>
        <v>蔣梅</v>
      </c>
    </row>
    <row r="2367" spans="6:19" hidden="1" x14ac:dyDescent="0.25">
      <c r="F2367" t="s">
        <v>1653</v>
      </c>
      <c r="G2367" t="s">
        <v>419</v>
      </c>
      <c r="H2367" t="str">
        <f>VLOOKUP(record[[#This Row],[ProcessSN]],表格2_7[],2,FALSE)</f>
        <v>30-4118-018-5XX</v>
      </c>
      <c r="I2367" t="str">
        <f>VLOOKUP(record[[#This Row],[ProcessSN]],表格2_7[],3,FALSE)</f>
        <v>#07QC</v>
      </c>
      <c r="J2367" t="s">
        <v>589</v>
      </c>
      <c r="K2367" s="195">
        <v>46120.383414351854</v>
      </c>
      <c r="L2367">
        <v>128</v>
      </c>
      <c r="M2367">
        <v>0</v>
      </c>
      <c r="N2367" s="98" t="str">
        <f>IF(record[[#This Row],[Memo]]="Browser:chrome os:android","平板報工",IF(record[[#This Row],[Memo]]=0,"委外",record[[#This Row],[Memo]]))</f>
        <v/>
      </c>
      <c r="O2367" t="s">
        <v>58</v>
      </c>
      <c r="P2367" t="s">
        <v>141</v>
      </c>
      <c r="Q2367" t="s">
        <v>58</v>
      </c>
      <c r="R2367" t="str">
        <f>IFERROR(VLOOKUP(record[[#This Row],[PCUSTID]],廠商[],2,FALSE),"")</f>
        <v/>
      </c>
      <c r="S2367" t="str">
        <f>VLOOKUP(record[[#This Row],[employeeID]],員工[],2,FALSE)</f>
        <v>蔣梅</v>
      </c>
    </row>
    <row r="2368" spans="6:19" hidden="1" x14ac:dyDescent="0.25">
      <c r="F2368" t="s">
        <v>1655</v>
      </c>
      <c r="G2368" t="s">
        <v>468</v>
      </c>
      <c r="H2368" t="str">
        <f>VLOOKUP(record[[#This Row],[ProcessSN]],表格2_7[],2,FALSE)</f>
        <v>30-4118-018-XXX</v>
      </c>
      <c r="I2368" t="str">
        <f>VLOOKUP(record[[#This Row],[ProcessSN]],表格2_7[],3,FALSE)</f>
        <v>#02</v>
      </c>
      <c r="J2368" t="s">
        <v>590</v>
      </c>
      <c r="K2368" s="195">
        <v>46120.378888888888</v>
      </c>
      <c r="L2368">
        <v>672</v>
      </c>
      <c r="M2368">
        <v>0</v>
      </c>
      <c r="N2368" s="98" t="str">
        <f>IF(record[[#This Row],[Memo]]="Browser:chrome os:android","平板報工",IF(record[[#This Row],[Memo]]=0,"委外",record[[#This Row],[Memo]]))</f>
        <v>委外</v>
      </c>
      <c r="P2368" t="s">
        <v>113</v>
      </c>
      <c r="Q2368" t="s">
        <v>216</v>
      </c>
      <c r="R2368" t="str">
        <f>IFERROR(VLOOKUP(record[[#This Row],[PCUSTID]],廠商[],2,FALSE),"")</f>
        <v>俊杰</v>
      </c>
      <c r="S2368" t="str">
        <f>VLOOKUP(record[[#This Row],[employeeID]],員工[],2,FALSE)</f>
        <v>王奕蓁</v>
      </c>
    </row>
    <row r="2369" spans="6:19" hidden="1" x14ac:dyDescent="0.25">
      <c r="F2369" t="s">
        <v>1655</v>
      </c>
      <c r="G2369" t="s">
        <v>467</v>
      </c>
      <c r="H2369" t="str">
        <f>VLOOKUP(record[[#This Row],[ProcessSN]],表格2_7[],2,FALSE)</f>
        <v>30-4118-018-XXX</v>
      </c>
      <c r="I2369" t="str">
        <f>VLOOKUP(record[[#This Row],[ProcessSN]],表格2_7[],3,FALSE)</f>
        <v>#01QC</v>
      </c>
      <c r="J2369" t="s">
        <v>589</v>
      </c>
      <c r="K2369" s="195">
        <v>46120.352893518517</v>
      </c>
      <c r="L2369">
        <v>672</v>
      </c>
      <c r="M2369">
        <v>0</v>
      </c>
      <c r="N2369" s="98" t="str">
        <f>IF(record[[#This Row],[Memo]]="Browser:chrome os:android","平板報工",IF(record[[#This Row],[Memo]]=0,"委外",record[[#This Row],[Memo]]))</f>
        <v>平板報工</v>
      </c>
      <c r="O2369" t="s">
        <v>643</v>
      </c>
      <c r="P2369" t="s">
        <v>182</v>
      </c>
      <c r="Q2369" t="s">
        <v>644</v>
      </c>
      <c r="R2369" t="str">
        <f>IFERROR(VLOOKUP(record[[#This Row],[PCUSTID]],廠商[],2,FALSE),"")</f>
        <v/>
      </c>
      <c r="S2369" t="str">
        <f>VLOOKUP(record[[#This Row],[employeeID]],員工[],2,FALSE)</f>
        <v>梅氏和</v>
      </c>
    </row>
    <row r="2370" spans="6:19" hidden="1" x14ac:dyDescent="0.25">
      <c r="F2370" t="s">
        <v>1637</v>
      </c>
      <c r="G2370" t="s">
        <v>448</v>
      </c>
      <c r="H2370" t="str">
        <f>VLOOKUP(record[[#This Row],[ProcessSN]],表格2_7[],2,FALSE)</f>
        <v>30-4118-018-6XX</v>
      </c>
      <c r="I2370" t="str">
        <f>VLOOKUP(record[[#This Row],[ProcessSN]],表格2_7[],3,FALSE)</f>
        <v>#04</v>
      </c>
      <c r="J2370" t="s">
        <v>588</v>
      </c>
      <c r="K2370" s="195">
        <v>46120.327523148146</v>
      </c>
      <c r="L2370">
        <v>84</v>
      </c>
      <c r="M2370">
        <v>0</v>
      </c>
      <c r="N2370" s="98" t="str">
        <f>IF(record[[#This Row],[Memo]]="Browser:chrome os:android","平板報工",IF(record[[#This Row],[Memo]]=0,"委外",record[[#This Row],[Memo]]))</f>
        <v>補報4/7</v>
      </c>
      <c r="O2370" t="s">
        <v>1765</v>
      </c>
      <c r="P2370" t="s">
        <v>176</v>
      </c>
      <c r="Q2370" t="s">
        <v>58</v>
      </c>
      <c r="R2370" t="str">
        <f>IFERROR(VLOOKUP(record[[#This Row],[PCUSTID]],廠商[],2,FALSE),"")</f>
        <v/>
      </c>
      <c r="S2370" t="str">
        <f>VLOOKUP(record[[#This Row],[employeeID]],員工[],2,FALSE)</f>
        <v>郭政雄</v>
      </c>
    </row>
    <row r="2371" spans="6:19" hidden="1" x14ac:dyDescent="0.25">
      <c r="F2371" t="s">
        <v>1637</v>
      </c>
      <c r="G2371" t="s">
        <v>448</v>
      </c>
      <c r="H2371" t="str">
        <f>VLOOKUP(record[[#This Row],[ProcessSN]],表格2_7[],2,FALSE)</f>
        <v>30-4118-018-6XX</v>
      </c>
      <c r="I2371" t="str">
        <f>VLOOKUP(record[[#This Row],[ProcessSN]],表格2_7[],3,FALSE)</f>
        <v>#04</v>
      </c>
      <c r="J2371" t="s">
        <v>588</v>
      </c>
      <c r="K2371" s="195">
        <v>46120.326469907406</v>
      </c>
      <c r="L2371">
        <v>4</v>
      </c>
      <c r="M2371">
        <v>0</v>
      </c>
      <c r="N2371" s="98" t="str">
        <f>IF(record[[#This Row],[Memo]]="Browser:chrome os:android","平板報工",IF(record[[#This Row],[Memo]]=0,"委外",record[[#This Row],[Memo]]))</f>
        <v>補報4/7</v>
      </c>
      <c r="O2371" t="s">
        <v>1765</v>
      </c>
      <c r="P2371" t="s">
        <v>107</v>
      </c>
      <c r="Q2371" t="s">
        <v>58</v>
      </c>
      <c r="R2371" t="str">
        <f>IFERROR(VLOOKUP(record[[#This Row],[PCUSTID]],廠商[],2,FALSE),"")</f>
        <v/>
      </c>
      <c r="S2371" t="str">
        <f>VLOOKUP(record[[#This Row],[employeeID]],員工[],2,FALSE)</f>
        <v>黎氏順</v>
      </c>
    </row>
    <row r="2372" spans="6:19" hidden="1" x14ac:dyDescent="0.25">
      <c r="F2372" t="s">
        <v>1653</v>
      </c>
      <c r="G2372" t="s">
        <v>417</v>
      </c>
      <c r="H2372" t="str">
        <f>VLOOKUP(record[[#This Row],[ProcessSN]],表格2_7[],2,FALSE)</f>
        <v>30-4118-018-5XX</v>
      </c>
      <c r="I2372" t="str">
        <f>VLOOKUP(record[[#This Row],[ProcessSN]],表格2_7[],3,FALSE)</f>
        <v>#06</v>
      </c>
      <c r="J2372" t="s">
        <v>593</v>
      </c>
      <c r="K2372" s="195">
        <v>46120.314120370371</v>
      </c>
      <c r="L2372">
        <v>128</v>
      </c>
      <c r="M2372">
        <v>0</v>
      </c>
      <c r="N2372" s="98" t="str">
        <f>IF(record[[#This Row],[Memo]]="Browser:chrome os:android","平板報工",IF(record[[#This Row],[Memo]]=0,"委外",record[[#This Row],[Memo]]))</f>
        <v/>
      </c>
      <c r="O2372" t="s">
        <v>58</v>
      </c>
      <c r="P2372" t="s">
        <v>691</v>
      </c>
      <c r="Q2372" t="s">
        <v>58</v>
      </c>
      <c r="R2372" t="str">
        <f>IFERROR(VLOOKUP(record[[#This Row],[PCUSTID]],廠商[],2,FALSE),"")</f>
        <v/>
      </c>
      <c r="S2372" t="str">
        <f>VLOOKUP(record[[#This Row],[employeeID]],員工[],2,FALSE)</f>
        <v>武氏賢</v>
      </c>
    </row>
    <row r="2373" spans="6:19" hidden="1" x14ac:dyDescent="0.25">
      <c r="F2373" t="s">
        <v>1653</v>
      </c>
      <c r="G2373" t="s">
        <v>418</v>
      </c>
      <c r="H2373" t="str">
        <f>VLOOKUP(record[[#This Row],[ProcessSN]],表格2_7[],2,FALSE)</f>
        <v>30-4118-018-5XX</v>
      </c>
      <c r="I2373" t="str">
        <f>VLOOKUP(record[[#This Row],[ProcessSN]],表格2_7[],3,FALSE)</f>
        <v>#07</v>
      </c>
      <c r="J2373" t="s">
        <v>588</v>
      </c>
      <c r="K2373" s="195">
        <v>46120.31318287037</v>
      </c>
      <c r="L2373">
        <v>67</v>
      </c>
      <c r="M2373">
        <v>3</v>
      </c>
      <c r="N2373" s="98" t="str">
        <f>IF(record[[#This Row],[Memo]]="Browser:chrome os:android","平板報工",IF(record[[#This Row],[Memo]]=0,"委外",record[[#This Row],[Memo]]))</f>
        <v/>
      </c>
      <c r="O2373" t="s">
        <v>58</v>
      </c>
      <c r="P2373" t="s">
        <v>806</v>
      </c>
      <c r="Q2373" t="s">
        <v>58</v>
      </c>
      <c r="R2373" t="str">
        <f>IFERROR(VLOOKUP(record[[#This Row],[PCUSTID]],廠商[],2,FALSE),"")</f>
        <v/>
      </c>
      <c r="S2373" t="str">
        <f>VLOOKUP(record[[#This Row],[employeeID]],員工[],2,FALSE)</f>
        <v>方思緯</v>
      </c>
    </row>
    <row r="2374" spans="6:19" hidden="1" x14ac:dyDescent="0.25">
      <c r="F2374" t="s">
        <v>1702</v>
      </c>
      <c r="G2374" t="s">
        <v>377</v>
      </c>
      <c r="H2374" t="str">
        <f>VLOOKUP(record[[#This Row],[ProcessSN]],表格2_7[],2,FALSE)</f>
        <v>30-4118-018-4XX</v>
      </c>
      <c r="I2374" t="str">
        <f>VLOOKUP(record[[#This Row],[ProcessSN]],表格2_7[],3,FALSE)</f>
        <v>#07</v>
      </c>
      <c r="J2374" t="s">
        <v>588</v>
      </c>
      <c r="K2374" s="195">
        <v>46120.312986111108</v>
      </c>
      <c r="L2374">
        <v>138</v>
      </c>
      <c r="M2374">
        <v>3</v>
      </c>
      <c r="N2374" s="98" t="str">
        <f>IF(record[[#This Row],[Memo]]="Browser:chrome os:android","平板報工",IF(record[[#This Row],[Memo]]=0,"委外",record[[#This Row],[Memo]]))</f>
        <v/>
      </c>
      <c r="O2374" t="s">
        <v>58</v>
      </c>
      <c r="P2374" t="s">
        <v>806</v>
      </c>
      <c r="Q2374" t="s">
        <v>58</v>
      </c>
      <c r="R2374" t="str">
        <f>IFERROR(VLOOKUP(record[[#This Row],[PCUSTID]],廠商[],2,FALSE),"")</f>
        <v/>
      </c>
      <c r="S2374" t="str">
        <f>VLOOKUP(record[[#This Row],[employeeID]],員工[],2,FALSE)</f>
        <v>方思緯</v>
      </c>
    </row>
    <row r="2375" spans="6:19" hidden="1" x14ac:dyDescent="0.25">
      <c r="F2375" t="s">
        <v>1655</v>
      </c>
      <c r="G2375" t="s">
        <v>466</v>
      </c>
      <c r="H2375" t="str">
        <f>VLOOKUP(record[[#This Row],[ProcessSN]],表格2_7[],2,FALSE)</f>
        <v>30-4118-018-XXX</v>
      </c>
      <c r="I2375" t="str">
        <f>VLOOKUP(record[[#This Row],[ProcessSN]],表格2_7[],3,FALSE)</f>
        <v>#01-2</v>
      </c>
      <c r="J2375" t="s">
        <v>588</v>
      </c>
      <c r="K2375" s="195">
        <v>46120.312384259261</v>
      </c>
      <c r="L2375">
        <v>320</v>
      </c>
      <c r="M2375">
        <v>0</v>
      </c>
      <c r="N2375" s="98" t="str">
        <f>IF(record[[#This Row],[Memo]]="Browser:chrome os:android","平板報工",IF(record[[#This Row],[Memo]]=0,"委外",record[[#This Row],[Memo]]))</f>
        <v/>
      </c>
      <c r="O2375" t="s">
        <v>58</v>
      </c>
      <c r="P2375" t="s">
        <v>806</v>
      </c>
      <c r="Q2375" t="s">
        <v>58</v>
      </c>
      <c r="R2375" t="str">
        <f>IFERROR(VLOOKUP(record[[#This Row],[PCUSTID]],廠商[],2,FALSE),"")</f>
        <v/>
      </c>
      <c r="S2375" t="str">
        <f>VLOOKUP(record[[#This Row],[employeeID]],員工[],2,FALSE)</f>
        <v>方思緯</v>
      </c>
    </row>
    <row r="2376" spans="6:19" hidden="1" x14ac:dyDescent="0.25">
      <c r="F2376" t="s">
        <v>1653</v>
      </c>
      <c r="G2376" t="s">
        <v>416</v>
      </c>
      <c r="H2376" t="str">
        <f>VLOOKUP(record[[#This Row],[ProcessSN]],表格2_7[],2,FALSE)</f>
        <v>30-4118-018-5XX</v>
      </c>
      <c r="I2376" t="str">
        <f>VLOOKUP(record[[#This Row],[ProcessSN]],表格2_7[],3,FALSE)</f>
        <v>#05</v>
      </c>
      <c r="J2376" t="s">
        <v>588</v>
      </c>
      <c r="K2376" s="195">
        <v>46120.311631944445</v>
      </c>
      <c r="L2376">
        <v>247</v>
      </c>
      <c r="M2376">
        <v>0</v>
      </c>
      <c r="N2376" s="98" t="str">
        <f>IF(record[[#This Row],[Memo]]="Browser:chrome os:android","平板報工",IF(record[[#This Row],[Memo]]=0,"委外",record[[#This Row],[Memo]]))</f>
        <v/>
      </c>
      <c r="O2376" t="s">
        <v>58</v>
      </c>
      <c r="P2376" t="s">
        <v>843</v>
      </c>
      <c r="Q2376" t="s">
        <v>58</v>
      </c>
      <c r="R2376" t="str">
        <f>IFERROR(VLOOKUP(record[[#This Row],[PCUSTID]],廠商[],2,FALSE),"")</f>
        <v/>
      </c>
      <c r="S2376" t="str">
        <f>VLOOKUP(record[[#This Row],[employeeID]],員工[],2,FALSE)</f>
        <v>張楚承</v>
      </c>
    </row>
    <row r="2377" spans="6:19" hidden="1" x14ac:dyDescent="0.25">
      <c r="F2377" t="s">
        <v>1653</v>
      </c>
      <c r="G2377" t="s">
        <v>415</v>
      </c>
      <c r="H2377" t="str">
        <f>VLOOKUP(record[[#This Row],[ProcessSN]],表格2_7[],2,FALSE)</f>
        <v>30-4118-018-5XX</v>
      </c>
      <c r="I2377" t="str">
        <f>VLOOKUP(record[[#This Row],[ProcessSN]],表格2_7[],3,FALSE)</f>
        <v>#04</v>
      </c>
      <c r="J2377" t="s">
        <v>588</v>
      </c>
      <c r="K2377" s="195">
        <v>46120.31145833333</v>
      </c>
      <c r="L2377">
        <v>111</v>
      </c>
      <c r="M2377">
        <v>0</v>
      </c>
      <c r="N2377" s="98" t="str">
        <f>IF(record[[#This Row],[Memo]]="Browser:chrome os:android","平板報工",IF(record[[#This Row],[Memo]]=0,"委外",record[[#This Row],[Memo]]))</f>
        <v/>
      </c>
      <c r="O2377" t="s">
        <v>58</v>
      </c>
      <c r="P2377" t="s">
        <v>843</v>
      </c>
      <c r="Q2377" t="s">
        <v>58</v>
      </c>
      <c r="R2377" t="str">
        <f>IFERROR(VLOOKUP(record[[#This Row],[PCUSTID]],廠商[],2,FALSE),"")</f>
        <v/>
      </c>
      <c r="S2377" t="str">
        <f>VLOOKUP(record[[#This Row],[employeeID]],員工[],2,FALSE)</f>
        <v>張楚承</v>
      </c>
    </row>
    <row r="2378" spans="6:19" hidden="1" x14ac:dyDescent="0.25">
      <c r="F2378" t="s">
        <v>1652</v>
      </c>
      <c r="G2378" t="s">
        <v>448</v>
      </c>
      <c r="H2378" t="str">
        <f>VLOOKUP(record[[#This Row],[ProcessSN]],表格2_7[],2,FALSE)</f>
        <v>30-4118-018-6XX</v>
      </c>
      <c r="I2378" t="str">
        <f>VLOOKUP(record[[#This Row],[ProcessSN]],表格2_7[],3,FALSE)</f>
        <v>#04</v>
      </c>
      <c r="J2378" t="s">
        <v>588</v>
      </c>
      <c r="K2378" s="195">
        <v>46120.310844907406</v>
      </c>
      <c r="L2378">
        <v>127</v>
      </c>
      <c r="M2378">
        <v>0</v>
      </c>
      <c r="N2378" s="98" t="str">
        <f>IF(record[[#This Row],[Memo]]="Browser:chrome os:android","平板報工",IF(record[[#This Row],[Memo]]=0,"委外",record[[#This Row],[Memo]]))</f>
        <v/>
      </c>
      <c r="O2378" t="s">
        <v>58</v>
      </c>
      <c r="P2378" t="s">
        <v>135</v>
      </c>
      <c r="Q2378" t="s">
        <v>58</v>
      </c>
      <c r="R2378" t="str">
        <f>IFERROR(VLOOKUP(record[[#This Row],[PCUSTID]],廠商[],2,FALSE),"")</f>
        <v/>
      </c>
      <c r="S2378" t="str">
        <f>VLOOKUP(record[[#This Row],[employeeID]],員工[],2,FALSE)</f>
        <v>阮士文</v>
      </c>
    </row>
    <row r="2379" spans="6:19" hidden="1" x14ac:dyDescent="0.25">
      <c r="F2379" t="s">
        <v>1652</v>
      </c>
      <c r="G2379" t="s">
        <v>448</v>
      </c>
      <c r="H2379" t="str">
        <f>VLOOKUP(record[[#This Row],[ProcessSN]],表格2_7[],2,FALSE)</f>
        <v>30-4118-018-6XX</v>
      </c>
      <c r="I2379" t="str">
        <f>VLOOKUP(record[[#This Row],[ProcessSN]],表格2_7[],3,FALSE)</f>
        <v>#04</v>
      </c>
      <c r="J2379" t="s">
        <v>588</v>
      </c>
      <c r="K2379" s="195">
        <v>46119.987407407411</v>
      </c>
      <c r="L2379">
        <v>30</v>
      </c>
      <c r="M2379">
        <v>6</v>
      </c>
      <c r="N2379" s="98" t="str">
        <f>IF(record[[#This Row],[Memo]]="Browser:chrome os:android","平板報工",IF(record[[#This Row],[Memo]]=0,"委外",record[[#This Row],[Memo]]))</f>
        <v/>
      </c>
      <c r="O2379" t="s">
        <v>58</v>
      </c>
      <c r="P2379" t="s">
        <v>176</v>
      </c>
      <c r="Q2379" t="s">
        <v>58</v>
      </c>
      <c r="R2379" t="str">
        <f>IFERROR(VLOOKUP(record[[#This Row],[PCUSTID]],廠商[],2,FALSE),"")</f>
        <v/>
      </c>
      <c r="S2379" t="str">
        <f>VLOOKUP(record[[#This Row],[employeeID]],員工[],2,FALSE)</f>
        <v>郭政雄</v>
      </c>
    </row>
    <row r="2380" spans="6:19" hidden="1" x14ac:dyDescent="0.25">
      <c r="F2380" t="s">
        <v>1702</v>
      </c>
      <c r="G2380" t="s">
        <v>376</v>
      </c>
      <c r="H2380" t="str">
        <f>VLOOKUP(record[[#This Row],[ProcessSN]],表格2_7[],2,FALSE)</f>
        <v>30-4118-018-4XX</v>
      </c>
      <c r="I2380" t="str">
        <f>VLOOKUP(record[[#This Row],[ProcessSN]],表格2_7[],3,FALSE)</f>
        <v>#06</v>
      </c>
      <c r="J2380" t="s">
        <v>593</v>
      </c>
      <c r="K2380" s="195">
        <v>46119.984375</v>
      </c>
      <c r="L2380">
        <v>30</v>
      </c>
      <c r="M2380">
        <v>0</v>
      </c>
      <c r="N2380" s="98" t="str">
        <f>IF(record[[#This Row],[Memo]]="Browser:chrome os:android","平板報工",IF(record[[#This Row],[Memo]]=0,"委外",record[[#This Row],[Memo]]))</f>
        <v/>
      </c>
      <c r="O2380" t="s">
        <v>58</v>
      </c>
      <c r="P2380" t="s">
        <v>841</v>
      </c>
      <c r="Q2380" t="s">
        <v>58</v>
      </c>
      <c r="R2380" t="str">
        <f>IFERROR(VLOOKUP(record[[#This Row],[PCUSTID]],廠商[],2,FALSE),"")</f>
        <v/>
      </c>
      <c r="S2380" t="str">
        <f>VLOOKUP(record[[#This Row],[employeeID]],員工[],2,FALSE)</f>
        <v>范氏香</v>
      </c>
    </row>
    <row r="2381" spans="6:19" hidden="1" x14ac:dyDescent="0.25">
      <c r="F2381" t="s">
        <v>1653</v>
      </c>
      <c r="G2381" t="s">
        <v>417</v>
      </c>
      <c r="H2381" t="str">
        <f>VLOOKUP(record[[#This Row],[ProcessSN]],表格2_7[],2,FALSE)</f>
        <v>30-4118-018-5XX</v>
      </c>
      <c r="I2381" t="str">
        <f>VLOOKUP(record[[#This Row],[ProcessSN]],表格2_7[],3,FALSE)</f>
        <v>#06</v>
      </c>
      <c r="J2381" t="s">
        <v>593</v>
      </c>
      <c r="K2381" s="195">
        <v>46119.983726851853</v>
      </c>
      <c r="L2381">
        <v>40</v>
      </c>
      <c r="M2381">
        <v>0</v>
      </c>
      <c r="N2381" s="98" t="str">
        <f>IF(record[[#This Row],[Memo]]="Browser:chrome os:android","平板報工",IF(record[[#This Row],[Memo]]=0,"委外",record[[#This Row],[Memo]]))</f>
        <v/>
      </c>
      <c r="O2381" t="s">
        <v>58</v>
      </c>
      <c r="P2381" t="s">
        <v>841</v>
      </c>
      <c r="Q2381" t="s">
        <v>58</v>
      </c>
      <c r="R2381" t="str">
        <f>IFERROR(VLOOKUP(record[[#This Row],[PCUSTID]],廠商[],2,FALSE),"")</f>
        <v/>
      </c>
      <c r="S2381" t="str">
        <f>VLOOKUP(record[[#This Row],[employeeID]],員工[],2,FALSE)</f>
        <v>范氏香</v>
      </c>
    </row>
    <row r="2382" spans="6:19" hidden="1" x14ac:dyDescent="0.25">
      <c r="F2382" t="s">
        <v>1702</v>
      </c>
      <c r="G2382" t="s">
        <v>377</v>
      </c>
      <c r="H2382" t="str">
        <f>VLOOKUP(record[[#This Row],[ProcessSN]],表格2_7[],2,FALSE)</f>
        <v>30-4118-018-4XX</v>
      </c>
      <c r="I2382" t="str">
        <f>VLOOKUP(record[[#This Row],[ProcessSN]],表格2_7[],3,FALSE)</f>
        <v>#07</v>
      </c>
      <c r="J2382" t="s">
        <v>588</v>
      </c>
      <c r="K2382" s="195">
        <v>46119.976759259262</v>
      </c>
      <c r="L2382">
        <v>254</v>
      </c>
      <c r="M2382">
        <v>1</v>
      </c>
      <c r="N2382" s="98" t="str">
        <f>IF(record[[#This Row],[Memo]]="Browser:chrome os:android","平板報工",IF(record[[#This Row],[Memo]]=0,"委外",record[[#This Row],[Memo]]))</f>
        <v/>
      </c>
      <c r="O2382" t="s">
        <v>58</v>
      </c>
      <c r="P2382" t="s">
        <v>89</v>
      </c>
      <c r="Q2382" t="s">
        <v>58</v>
      </c>
      <c r="R2382" t="str">
        <f>IFERROR(VLOOKUP(record[[#This Row],[PCUSTID]],廠商[],2,FALSE),"")</f>
        <v/>
      </c>
      <c r="S2382" t="str">
        <f>VLOOKUP(record[[#This Row],[employeeID]],員工[],2,FALSE)</f>
        <v>李美蓮</v>
      </c>
    </row>
    <row r="2383" spans="6:19" hidden="1" x14ac:dyDescent="0.25">
      <c r="F2383" t="s">
        <v>1655</v>
      </c>
      <c r="G2383" t="s">
        <v>466</v>
      </c>
      <c r="H2383" t="str">
        <f>VLOOKUP(record[[#This Row],[ProcessSN]],表格2_7[],2,FALSE)</f>
        <v>30-4118-018-XXX</v>
      </c>
      <c r="I2383" t="str">
        <f>VLOOKUP(record[[#This Row],[ProcessSN]],表格2_7[],3,FALSE)</f>
        <v>#01-2</v>
      </c>
      <c r="J2383" t="s">
        <v>588</v>
      </c>
      <c r="K2383" s="195">
        <v>46119.976076388892</v>
      </c>
      <c r="L2383">
        <v>241</v>
      </c>
      <c r="M2383">
        <v>0</v>
      </c>
      <c r="N2383" s="98" t="str">
        <f>IF(record[[#This Row],[Memo]]="Browser:chrome os:android","平板報工",IF(record[[#This Row],[Memo]]=0,"委外",record[[#This Row],[Memo]]))</f>
        <v/>
      </c>
      <c r="O2383" t="s">
        <v>58</v>
      </c>
      <c r="P2383" t="s">
        <v>89</v>
      </c>
      <c r="Q2383" t="s">
        <v>58</v>
      </c>
      <c r="R2383" t="str">
        <f>IFERROR(VLOOKUP(record[[#This Row],[PCUSTID]],廠商[],2,FALSE),"")</f>
        <v/>
      </c>
      <c r="S2383" t="str">
        <f>VLOOKUP(record[[#This Row],[employeeID]],員工[],2,FALSE)</f>
        <v>李美蓮</v>
      </c>
    </row>
    <row r="2384" spans="6:19" hidden="1" x14ac:dyDescent="0.25">
      <c r="F2384" t="s">
        <v>1653</v>
      </c>
      <c r="G2384" t="s">
        <v>416</v>
      </c>
      <c r="H2384" t="str">
        <f>VLOOKUP(record[[#This Row],[ProcessSN]],表格2_7[],2,FALSE)</f>
        <v>30-4118-018-5XX</v>
      </c>
      <c r="I2384" t="str">
        <f>VLOOKUP(record[[#This Row],[ProcessSN]],表格2_7[],3,FALSE)</f>
        <v>#05</v>
      </c>
      <c r="J2384" t="s">
        <v>588</v>
      </c>
      <c r="K2384" s="195">
        <v>46119.974351851852</v>
      </c>
      <c r="L2384">
        <v>260</v>
      </c>
      <c r="M2384">
        <v>0</v>
      </c>
      <c r="N2384" s="98" t="str">
        <f>IF(record[[#This Row],[Memo]]="Browser:chrome os:android","平板報工",IF(record[[#This Row],[Memo]]=0,"委外",record[[#This Row],[Memo]]))</f>
        <v/>
      </c>
      <c r="O2384" t="s">
        <v>58</v>
      </c>
      <c r="P2384" t="s">
        <v>1098</v>
      </c>
      <c r="Q2384" t="s">
        <v>58</v>
      </c>
      <c r="R2384" t="str">
        <f>IFERROR(VLOOKUP(record[[#This Row],[PCUSTID]],廠商[],2,FALSE),"")</f>
        <v/>
      </c>
      <c r="S2384" t="str">
        <f>VLOOKUP(record[[#This Row],[employeeID]],員工[],2,FALSE)</f>
        <v>阮氏芳英(英)</v>
      </c>
    </row>
    <row r="2385" spans="6:19" hidden="1" x14ac:dyDescent="0.25">
      <c r="F2385" t="s">
        <v>1702</v>
      </c>
      <c r="G2385" t="s">
        <v>376</v>
      </c>
      <c r="H2385" t="str">
        <f>VLOOKUP(record[[#This Row],[ProcessSN]],表格2_7[],2,FALSE)</f>
        <v>30-4118-018-4XX</v>
      </c>
      <c r="I2385" t="str">
        <f>VLOOKUP(record[[#This Row],[ProcessSN]],表格2_7[],3,FALSE)</f>
        <v>#06</v>
      </c>
      <c r="J2385" t="s">
        <v>593</v>
      </c>
      <c r="K2385" s="195">
        <v>46119.859097222223</v>
      </c>
      <c r="L2385">
        <v>31</v>
      </c>
      <c r="M2385">
        <v>0</v>
      </c>
      <c r="N2385" s="98" t="str">
        <f>IF(record[[#This Row],[Memo]]="Browser:chrome os:android","平板報工",IF(record[[#This Row],[Memo]]=0,"委外",record[[#This Row],[Memo]]))</f>
        <v/>
      </c>
      <c r="O2385" t="s">
        <v>58</v>
      </c>
      <c r="P2385" t="s">
        <v>841</v>
      </c>
      <c r="Q2385" t="s">
        <v>58</v>
      </c>
      <c r="R2385" t="str">
        <f>IFERROR(VLOOKUP(record[[#This Row],[PCUSTID]],廠商[],2,FALSE),"")</f>
        <v/>
      </c>
      <c r="S2385" t="str">
        <f>VLOOKUP(record[[#This Row],[employeeID]],員工[],2,FALSE)</f>
        <v>范氏香</v>
      </c>
    </row>
    <row r="2386" spans="6:19" hidden="1" x14ac:dyDescent="0.25">
      <c r="F2386" t="s">
        <v>1702</v>
      </c>
      <c r="G2386" t="s">
        <v>376</v>
      </c>
      <c r="H2386" t="str">
        <f>VLOOKUP(record[[#This Row],[ProcessSN]],表格2_7[],2,FALSE)</f>
        <v>30-4118-018-4XX</v>
      </c>
      <c r="I2386" t="str">
        <f>VLOOKUP(record[[#This Row],[ProcessSN]],表格2_7[],3,FALSE)</f>
        <v>#06</v>
      </c>
      <c r="J2386" t="s">
        <v>593</v>
      </c>
      <c r="K2386" s="195">
        <v>46119.834675925929</v>
      </c>
      <c r="L2386">
        <v>67</v>
      </c>
      <c r="M2386">
        <v>0</v>
      </c>
      <c r="N2386" s="98" t="str">
        <f>IF(record[[#This Row],[Memo]]="Browser:chrome os:android","平板報工",IF(record[[#This Row],[Memo]]=0,"委外",record[[#This Row],[Memo]]))</f>
        <v/>
      </c>
      <c r="O2386" t="s">
        <v>58</v>
      </c>
      <c r="P2386" t="s">
        <v>188</v>
      </c>
      <c r="Q2386" t="s">
        <v>58</v>
      </c>
      <c r="R2386" t="str">
        <f>IFERROR(VLOOKUP(record[[#This Row],[PCUSTID]],廠商[],2,FALSE),"")</f>
        <v/>
      </c>
      <c r="S2386" t="str">
        <f>VLOOKUP(record[[#This Row],[employeeID]],員工[],2,FALSE)</f>
        <v>阮氏璧紅</v>
      </c>
    </row>
    <row r="2387" spans="6:19" hidden="1" x14ac:dyDescent="0.25">
      <c r="F2387" t="s">
        <v>1702</v>
      </c>
      <c r="G2387" t="s">
        <v>376</v>
      </c>
      <c r="H2387" t="str">
        <f>VLOOKUP(record[[#This Row],[ProcessSN]],表格2_7[],2,FALSE)</f>
        <v>30-4118-018-4XX</v>
      </c>
      <c r="I2387" t="str">
        <f>VLOOKUP(record[[#This Row],[ProcessSN]],表格2_7[],3,FALSE)</f>
        <v>#06</v>
      </c>
      <c r="J2387" t="s">
        <v>593</v>
      </c>
      <c r="K2387" s="195">
        <v>46119.824675925927</v>
      </c>
      <c r="L2387">
        <v>67</v>
      </c>
      <c r="M2387">
        <v>0</v>
      </c>
      <c r="N2387" s="98" t="str">
        <f>IF(record[[#This Row],[Memo]]="Browser:chrome os:android","平板報工",IF(record[[#This Row],[Memo]]=0,"委外",record[[#This Row],[Memo]]))</f>
        <v>平板報工</v>
      </c>
      <c r="O2387" t="s">
        <v>643</v>
      </c>
      <c r="P2387" t="s">
        <v>1413</v>
      </c>
      <c r="Q2387" t="s">
        <v>644</v>
      </c>
      <c r="R2387" t="str">
        <f>IFERROR(VLOOKUP(record[[#This Row],[PCUSTID]],廠商[],2,FALSE),"")</f>
        <v/>
      </c>
      <c r="S2387" t="str">
        <f>VLOOKUP(record[[#This Row],[employeeID]],員工[],2,FALSE)</f>
        <v>阮氏芳英(芳)</v>
      </c>
    </row>
    <row r="2388" spans="6:19" hidden="1" x14ac:dyDescent="0.25">
      <c r="F2388" t="s">
        <v>1721</v>
      </c>
      <c r="G2388" t="s">
        <v>362</v>
      </c>
      <c r="H2388" t="str">
        <f>VLOOKUP(record[[#This Row],[ProcessSN]],表格2_7[],2,FALSE)</f>
        <v>30-4118-018-450</v>
      </c>
      <c r="I2388" t="str">
        <f>VLOOKUP(record[[#This Row],[ProcessSN]],表格2_7[],3,FALSE)</f>
        <v>#100SHIP</v>
      </c>
      <c r="J2388" t="s">
        <v>600</v>
      </c>
      <c r="K2388" s="195">
        <v>46119.800532407404</v>
      </c>
      <c r="L2388">
        <v>130</v>
      </c>
      <c r="M2388">
        <v>0</v>
      </c>
      <c r="N2388" s="98" t="str">
        <f>IF(record[[#This Row],[Memo]]="Browser:chrome os:android","平板報工",IF(record[[#This Row],[Memo]]=0,"委外",record[[#This Row],[Memo]]))</f>
        <v/>
      </c>
      <c r="O2388" t="s">
        <v>58</v>
      </c>
      <c r="P2388" t="s">
        <v>886</v>
      </c>
      <c r="Q2388" t="s">
        <v>58</v>
      </c>
      <c r="R2388" t="str">
        <f>IFERROR(VLOOKUP(record[[#This Row],[PCUSTID]],廠商[],2,FALSE),"")</f>
        <v/>
      </c>
      <c r="S2388" t="str">
        <f>VLOOKUP(record[[#This Row],[employeeID]],員工[],2,FALSE)</f>
        <v>謝蓁薰</v>
      </c>
    </row>
    <row r="2389" spans="6:19" hidden="1" x14ac:dyDescent="0.25">
      <c r="F2389" t="s">
        <v>1721</v>
      </c>
      <c r="G2389" t="s">
        <v>361</v>
      </c>
      <c r="H2389" t="str">
        <f>VLOOKUP(record[[#This Row],[ProcessSN]],表格2_7[],2,FALSE)</f>
        <v>30-4118-018-450</v>
      </c>
      <c r="I2389" t="str">
        <f>VLOOKUP(record[[#This Row],[ProcessSN]],表格2_7[],3,FALSE)</f>
        <v>#100STOCK</v>
      </c>
      <c r="J2389" t="s">
        <v>592</v>
      </c>
      <c r="K2389" s="195">
        <v>46119.800393518519</v>
      </c>
      <c r="L2389">
        <v>130</v>
      </c>
      <c r="M2389">
        <v>0</v>
      </c>
      <c r="N2389" s="98" t="str">
        <f>IF(record[[#This Row],[Memo]]="Browser:chrome os:android","平板報工",IF(record[[#This Row],[Memo]]=0,"委外",record[[#This Row],[Memo]]))</f>
        <v/>
      </c>
      <c r="O2389" t="s">
        <v>58</v>
      </c>
      <c r="P2389" t="s">
        <v>886</v>
      </c>
      <c r="Q2389" t="s">
        <v>58</v>
      </c>
      <c r="R2389" t="str">
        <f>IFERROR(VLOOKUP(record[[#This Row],[PCUSTID]],廠商[],2,FALSE),"")</f>
        <v/>
      </c>
      <c r="S2389" t="str">
        <f>VLOOKUP(record[[#This Row],[employeeID]],員工[],2,FALSE)</f>
        <v>謝蓁薰</v>
      </c>
    </row>
    <row r="2390" spans="6:19" hidden="1" x14ac:dyDescent="0.25">
      <c r="F2390" t="s">
        <v>1721</v>
      </c>
      <c r="G2390" t="s">
        <v>360</v>
      </c>
      <c r="H2390" t="str">
        <f>VLOOKUP(record[[#This Row],[ProcessSN]],表格2_7[],2,FALSE)</f>
        <v>30-4118-018-450</v>
      </c>
      <c r="I2390" t="str">
        <f>VLOOKUP(record[[#This Row],[ProcessSN]],表格2_7[],3,FALSE)</f>
        <v>#100OQC</v>
      </c>
      <c r="J2390" t="s">
        <v>599</v>
      </c>
      <c r="K2390" s="195">
        <v>46119.796898148146</v>
      </c>
      <c r="L2390">
        <v>352</v>
      </c>
      <c r="M2390">
        <v>0</v>
      </c>
      <c r="N2390" s="98" t="str">
        <f>IF(record[[#This Row],[Memo]]="Browser:chrome os:android","平板報工",IF(record[[#This Row],[Memo]]=0,"委外",record[[#This Row],[Memo]]))</f>
        <v/>
      </c>
      <c r="O2390" t="s">
        <v>58</v>
      </c>
      <c r="P2390" t="s">
        <v>121</v>
      </c>
      <c r="Q2390" t="s">
        <v>58</v>
      </c>
      <c r="R2390" t="str">
        <f>IFERROR(VLOOKUP(record[[#This Row],[PCUSTID]],廠商[],2,FALSE),"")</f>
        <v/>
      </c>
      <c r="S2390" t="str">
        <f>VLOOKUP(record[[#This Row],[employeeID]],員工[],2,FALSE)</f>
        <v>謝素卿</v>
      </c>
    </row>
    <row r="2391" spans="6:19" hidden="1" x14ac:dyDescent="0.25">
      <c r="F2391" t="s">
        <v>1721</v>
      </c>
      <c r="G2391" t="s">
        <v>359</v>
      </c>
      <c r="H2391" t="str">
        <f>VLOOKUP(record[[#This Row],[ProcessSN]],表格2_7[],2,FALSE)</f>
        <v>30-4118-018-450</v>
      </c>
      <c r="I2391" t="str">
        <f>VLOOKUP(record[[#This Row],[ProcessSN]],表格2_7[],3,FALSE)</f>
        <v>#100</v>
      </c>
      <c r="J2391" t="s">
        <v>598</v>
      </c>
      <c r="K2391" s="195">
        <v>46119.787928240738</v>
      </c>
      <c r="L2391">
        <v>0</v>
      </c>
      <c r="M2391">
        <v>5</v>
      </c>
      <c r="N2391" s="98" t="str">
        <f>IF(record[[#This Row],[Memo]]="Browser:chrome os:android","平板報工",IF(record[[#This Row],[Memo]]=0,"委外",record[[#This Row],[Memo]]))</f>
        <v/>
      </c>
      <c r="O2391" t="s">
        <v>58</v>
      </c>
      <c r="P2391" t="s">
        <v>141</v>
      </c>
      <c r="Q2391" t="s">
        <v>58</v>
      </c>
      <c r="R2391" t="str">
        <f>IFERROR(VLOOKUP(record[[#This Row],[PCUSTID]],廠商[],2,FALSE),"")</f>
        <v/>
      </c>
      <c r="S2391" t="str">
        <f>VLOOKUP(record[[#This Row],[employeeID]],員工[],2,FALSE)</f>
        <v>蔣梅</v>
      </c>
    </row>
    <row r="2392" spans="6:19" hidden="1" x14ac:dyDescent="0.25">
      <c r="F2392" t="s">
        <v>1721</v>
      </c>
      <c r="G2392" t="s">
        <v>359</v>
      </c>
      <c r="H2392" t="str">
        <f>VLOOKUP(record[[#This Row],[ProcessSN]],表格2_7[],2,FALSE)</f>
        <v>30-4118-018-450</v>
      </c>
      <c r="I2392" t="str">
        <f>VLOOKUP(record[[#This Row],[ProcessSN]],表格2_7[],3,FALSE)</f>
        <v>#100</v>
      </c>
      <c r="J2392" t="s">
        <v>598</v>
      </c>
      <c r="K2392" s="195">
        <v>46119.787754629629</v>
      </c>
      <c r="L2392">
        <v>352</v>
      </c>
      <c r="M2392">
        <v>0</v>
      </c>
      <c r="N2392" s="98" t="str">
        <f>IF(record[[#This Row],[Memo]]="Browser:chrome os:android","平板報工",IF(record[[#This Row],[Memo]]=0,"委外",record[[#This Row],[Memo]]))</f>
        <v/>
      </c>
      <c r="O2392" t="s">
        <v>58</v>
      </c>
      <c r="P2392" t="s">
        <v>141</v>
      </c>
      <c r="Q2392" t="s">
        <v>58</v>
      </c>
      <c r="R2392" t="str">
        <f>IFERROR(VLOOKUP(record[[#This Row],[PCUSTID]],廠商[],2,FALSE),"")</f>
        <v/>
      </c>
      <c r="S2392" t="str">
        <f>VLOOKUP(record[[#This Row],[employeeID]],員工[],2,FALSE)</f>
        <v>蔣梅</v>
      </c>
    </row>
    <row r="2393" spans="6:19" hidden="1" x14ac:dyDescent="0.25">
      <c r="F2393" t="s">
        <v>1719</v>
      </c>
      <c r="G2393" t="s">
        <v>362</v>
      </c>
      <c r="H2393" t="str">
        <f>VLOOKUP(record[[#This Row],[ProcessSN]],表格2_7[],2,FALSE)</f>
        <v>30-4118-018-450</v>
      </c>
      <c r="I2393" t="str">
        <f>VLOOKUP(record[[#This Row],[ProcessSN]],表格2_7[],3,FALSE)</f>
        <v>#100SHIP</v>
      </c>
      <c r="J2393" t="s">
        <v>600</v>
      </c>
      <c r="K2393" s="195">
        <v>46119.766585648147</v>
      </c>
      <c r="L2393">
        <v>198</v>
      </c>
      <c r="M2393">
        <v>0</v>
      </c>
      <c r="N2393" s="98" t="str">
        <f>IF(record[[#This Row],[Memo]]="Browser:chrome os:android","平板報工",IF(record[[#This Row],[Memo]]=0,"委外",record[[#This Row],[Memo]]))</f>
        <v/>
      </c>
      <c r="O2393" t="s">
        <v>58</v>
      </c>
      <c r="P2393" t="s">
        <v>886</v>
      </c>
      <c r="Q2393" t="s">
        <v>58</v>
      </c>
      <c r="R2393" t="str">
        <f>IFERROR(VLOOKUP(record[[#This Row],[PCUSTID]],廠商[],2,FALSE),"")</f>
        <v/>
      </c>
      <c r="S2393" t="str">
        <f>VLOOKUP(record[[#This Row],[employeeID]],員工[],2,FALSE)</f>
        <v>謝蓁薰</v>
      </c>
    </row>
    <row r="2394" spans="6:19" hidden="1" x14ac:dyDescent="0.25">
      <c r="F2394" t="s">
        <v>1646</v>
      </c>
      <c r="G2394" t="s">
        <v>362</v>
      </c>
      <c r="H2394" t="str">
        <f>VLOOKUP(record[[#This Row],[ProcessSN]],表格2_7[],2,FALSE)</f>
        <v>30-4118-018-450</v>
      </c>
      <c r="I2394" t="str">
        <f>VLOOKUP(record[[#This Row],[ProcessSN]],表格2_7[],3,FALSE)</f>
        <v>#100SHIP</v>
      </c>
      <c r="J2394" t="s">
        <v>600</v>
      </c>
      <c r="K2394" s="195">
        <v>46119.766435185185</v>
      </c>
      <c r="L2394">
        <v>172</v>
      </c>
      <c r="M2394">
        <v>0</v>
      </c>
      <c r="N2394" s="98" t="str">
        <f>IF(record[[#This Row],[Memo]]="Browser:chrome os:android","平板報工",IF(record[[#This Row],[Memo]]=0,"委外",record[[#This Row],[Memo]]))</f>
        <v/>
      </c>
      <c r="O2394" t="s">
        <v>58</v>
      </c>
      <c r="P2394" t="s">
        <v>886</v>
      </c>
      <c r="Q2394" t="s">
        <v>58</v>
      </c>
      <c r="R2394" t="str">
        <f>IFERROR(VLOOKUP(record[[#This Row],[PCUSTID]],廠商[],2,FALSE),"")</f>
        <v/>
      </c>
      <c r="S2394" t="str">
        <f>VLOOKUP(record[[#This Row],[employeeID]],員工[],2,FALSE)</f>
        <v>謝蓁薰</v>
      </c>
    </row>
    <row r="2395" spans="6:19" hidden="1" x14ac:dyDescent="0.25">
      <c r="F2395" t="s">
        <v>1721</v>
      </c>
      <c r="G2395" t="s">
        <v>360</v>
      </c>
      <c r="H2395" t="str">
        <f>VLOOKUP(record[[#This Row],[ProcessSN]],表格2_7[],2,FALSE)</f>
        <v>30-4118-018-450</v>
      </c>
      <c r="I2395" t="str">
        <f>VLOOKUP(record[[#This Row],[ProcessSN]],表格2_7[],3,FALSE)</f>
        <v>#100OQC</v>
      </c>
      <c r="J2395" t="s">
        <v>599</v>
      </c>
      <c r="K2395" s="195">
        <v>46119.766400462962</v>
      </c>
      <c r="L2395">
        <v>130</v>
      </c>
      <c r="M2395">
        <v>0</v>
      </c>
      <c r="N2395" s="98" t="str">
        <f>IF(record[[#This Row],[Memo]]="Browser:chrome os:android","平板報工",IF(record[[#This Row],[Memo]]=0,"委外",record[[#This Row],[Memo]]))</f>
        <v/>
      </c>
      <c r="O2395" t="s">
        <v>58</v>
      </c>
      <c r="P2395" t="s">
        <v>121</v>
      </c>
      <c r="Q2395" t="s">
        <v>58</v>
      </c>
      <c r="R2395" t="str">
        <f>IFERROR(VLOOKUP(record[[#This Row],[PCUSTID]],廠商[],2,FALSE),"")</f>
        <v/>
      </c>
      <c r="S2395" t="str">
        <f>VLOOKUP(record[[#This Row],[employeeID]],員工[],2,FALSE)</f>
        <v>謝素卿</v>
      </c>
    </row>
    <row r="2396" spans="6:19" hidden="1" x14ac:dyDescent="0.25">
      <c r="F2396" t="s">
        <v>1719</v>
      </c>
      <c r="G2396" t="s">
        <v>361</v>
      </c>
      <c r="H2396" t="str">
        <f>VLOOKUP(record[[#This Row],[ProcessSN]],表格2_7[],2,FALSE)</f>
        <v>30-4118-018-450</v>
      </c>
      <c r="I2396" t="str">
        <f>VLOOKUP(record[[#This Row],[ProcessSN]],表格2_7[],3,FALSE)</f>
        <v>#100STOCK</v>
      </c>
      <c r="J2396" t="s">
        <v>592</v>
      </c>
      <c r="K2396" s="195">
        <v>46119.766331018516</v>
      </c>
      <c r="L2396">
        <v>198</v>
      </c>
      <c r="M2396">
        <v>0</v>
      </c>
      <c r="N2396" s="98" t="str">
        <f>IF(record[[#This Row],[Memo]]="Browser:chrome os:android","平板報工",IF(record[[#This Row],[Memo]]=0,"委外",record[[#This Row],[Memo]]))</f>
        <v/>
      </c>
      <c r="O2396" t="s">
        <v>58</v>
      </c>
      <c r="P2396" t="s">
        <v>886</v>
      </c>
      <c r="Q2396" t="s">
        <v>58</v>
      </c>
      <c r="R2396" t="str">
        <f>IFERROR(VLOOKUP(record[[#This Row],[PCUSTID]],廠商[],2,FALSE),"")</f>
        <v/>
      </c>
      <c r="S2396" t="str">
        <f>VLOOKUP(record[[#This Row],[employeeID]],員工[],2,FALSE)</f>
        <v>謝蓁薰</v>
      </c>
    </row>
    <row r="2397" spans="6:19" hidden="1" x14ac:dyDescent="0.25">
      <c r="F2397" t="s">
        <v>1646</v>
      </c>
      <c r="G2397" t="s">
        <v>361</v>
      </c>
      <c r="H2397" t="str">
        <f>VLOOKUP(record[[#This Row],[ProcessSN]],表格2_7[],2,FALSE)</f>
        <v>30-4118-018-450</v>
      </c>
      <c r="I2397" t="str">
        <f>VLOOKUP(record[[#This Row],[ProcessSN]],表格2_7[],3,FALSE)</f>
        <v>#100STOCK</v>
      </c>
      <c r="J2397" t="s">
        <v>592</v>
      </c>
      <c r="K2397" s="195">
        <v>46119.766215277778</v>
      </c>
      <c r="L2397">
        <v>172</v>
      </c>
      <c r="M2397">
        <v>0</v>
      </c>
      <c r="N2397" s="98" t="str">
        <f>IF(record[[#This Row],[Memo]]="Browser:chrome os:android","平板報工",IF(record[[#This Row],[Memo]]=0,"委外",record[[#This Row],[Memo]]))</f>
        <v/>
      </c>
      <c r="O2397" t="s">
        <v>58</v>
      </c>
      <c r="P2397" t="s">
        <v>886</v>
      </c>
      <c r="Q2397" t="s">
        <v>58</v>
      </c>
      <c r="R2397" t="str">
        <f>IFERROR(VLOOKUP(record[[#This Row],[PCUSTID]],廠商[],2,FALSE),"")</f>
        <v/>
      </c>
      <c r="S2397" t="str">
        <f>VLOOKUP(record[[#This Row],[employeeID]],員工[],2,FALSE)</f>
        <v>謝蓁薰</v>
      </c>
    </row>
    <row r="2398" spans="6:19" hidden="1" x14ac:dyDescent="0.25">
      <c r="F2398" t="s">
        <v>1714</v>
      </c>
      <c r="G2398" t="s">
        <v>426</v>
      </c>
      <c r="H2398" t="str">
        <f>VLOOKUP(record[[#This Row],[ProcessSN]],表格2_7[],2,FALSE)</f>
        <v>30-4118-018-600</v>
      </c>
      <c r="I2398" t="str">
        <f>VLOOKUP(record[[#This Row],[ProcessSN]],表格2_7[],3,FALSE)</f>
        <v>#100OQC</v>
      </c>
      <c r="J2398" t="s">
        <v>599</v>
      </c>
      <c r="K2398" s="195">
        <v>46119.766122685185</v>
      </c>
      <c r="L2398">
        <v>127</v>
      </c>
      <c r="M2398">
        <v>0</v>
      </c>
      <c r="N2398" s="98" t="str">
        <f>IF(record[[#This Row],[Memo]]="Browser:chrome os:android","平板報工",IF(record[[#This Row],[Memo]]=0,"委外",record[[#This Row],[Memo]]))</f>
        <v/>
      </c>
      <c r="O2398" t="s">
        <v>58</v>
      </c>
      <c r="P2398" t="s">
        <v>121</v>
      </c>
      <c r="Q2398" t="s">
        <v>58</v>
      </c>
      <c r="R2398" t="str">
        <f>IFERROR(VLOOKUP(record[[#This Row],[PCUSTID]],廠商[],2,FALSE),"")</f>
        <v/>
      </c>
      <c r="S2398" t="str">
        <f>VLOOKUP(record[[#This Row],[employeeID]],員工[],2,FALSE)</f>
        <v>謝素卿</v>
      </c>
    </row>
    <row r="2399" spans="6:19" hidden="1" x14ac:dyDescent="0.25">
      <c r="F2399" t="s">
        <v>1721</v>
      </c>
      <c r="G2399" t="s">
        <v>359</v>
      </c>
      <c r="H2399" t="str">
        <f>VLOOKUP(record[[#This Row],[ProcessSN]],表格2_7[],2,FALSE)</f>
        <v>30-4118-018-450</v>
      </c>
      <c r="I2399" t="str">
        <f>VLOOKUP(record[[#This Row],[ProcessSN]],表格2_7[],3,FALSE)</f>
        <v>#100</v>
      </c>
      <c r="J2399" t="s">
        <v>598</v>
      </c>
      <c r="K2399" s="195">
        <v>46119.746203703704</v>
      </c>
      <c r="L2399">
        <v>130</v>
      </c>
      <c r="M2399">
        <v>0</v>
      </c>
      <c r="N2399" s="98" t="str">
        <f>IF(record[[#This Row],[Memo]]="Browser:chrome os:android","平板報工",IF(record[[#This Row],[Memo]]=0,"委外",record[[#This Row],[Memo]]))</f>
        <v/>
      </c>
      <c r="O2399" t="s">
        <v>58</v>
      </c>
      <c r="P2399" t="s">
        <v>141</v>
      </c>
      <c r="Q2399" t="s">
        <v>58</v>
      </c>
      <c r="R2399" t="str">
        <f>IFERROR(VLOOKUP(record[[#This Row],[PCUSTID]],廠商[],2,FALSE),"")</f>
        <v/>
      </c>
      <c r="S2399" t="str">
        <f>VLOOKUP(record[[#This Row],[employeeID]],員工[],2,FALSE)</f>
        <v>蔣梅</v>
      </c>
    </row>
    <row r="2400" spans="6:19" hidden="1" x14ac:dyDescent="0.25">
      <c r="F2400" t="s">
        <v>1721</v>
      </c>
      <c r="G2400" t="s">
        <v>358</v>
      </c>
      <c r="H2400" t="str">
        <f>VLOOKUP(record[[#This Row],[ProcessSN]],表格2_7[],2,FALSE)</f>
        <v>30-4118-018-450</v>
      </c>
      <c r="I2400" t="str">
        <f>VLOOKUP(record[[#This Row],[ProcessSN]],表格2_7[],3,FALSE)</f>
        <v>#08IQC</v>
      </c>
      <c r="J2400" t="s">
        <v>583</v>
      </c>
      <c r="K2400" s="195">
        <v>46119.736203703702</v>
      </c>
      <c r="L2400">
        <v>487</v>
      </c>
      <c r="M2400">
        <v>0</v>
      </c>
      <c r="N2400" s="98" t="str">
        <f>IF(record[[#This Row],[Memo]]="Browser:chrome os:android","平板報工",IF(record[[#This Row],[Memo]]=0,"委外",record[[#This Row],[Memo]]))</f>
        <v/>
      </c>
      <c r="O2400" t="s">
        <v>58</v>
      </c>
      <c r="P2400" t="s">
        <v>109</v>
      </c>
      <c r="Q2400" t="s">
        <v>58</v>
      </c>
      <c r="R2400" t="str">
        <f>IFERROR(VLOOKUP(record[[#This Row],[PCUSTID]],廠商[],2,FALSE),"")</f>
        <v/>
      </c>
      <c r="S2400" t="str">
        <f>VLOOKUP(record[[#This Row],[employeeID]],員工[],2,FALSE)</f>
        <v>裴氏璧鳳</v>
      </c>
    </row>
    <row r="2401" spans="6:19" hidden="1" x14ac:dyDescent="0.25">
      <c r="F2401" t="s">
        <v>1714</v>
      </c>
      <c r="G2401" t="s">
        <v>425</v>
      </c>
      <c r="H2401" t="str">
        <f>VLOOKUP(record[[#This Row],[ProcessSN]],表格2_7[],2,FALSE)</f>
        <v>30-4118-018-600</v>
      </c>
      <c r="I2401" t="str">
        <f>VLOOKUP(record[[#This Row],[ProcessSN]],表格2_7[],3,FALSE)</f>
        <v>#100</v>
      </c>
      <c r="J2401" t="s">
        <v>598</v>
      </c>
      <c r="K2401" s="195">
        <v>46119.734270833331</v>
      </c>
      <c r="L2401">
        <v>127</v>
      </c>
      <c r="M2401">
        <v>0</v>
      </c>
      <c r="N2401" s="98" t="str">
        <f>IF(record[[#This Row],[Memo]]="Browser:chrome os:android","平板報工",IF(record[[#This Row],[Memo]]=0,"委外",record[[#This Row],[Memo]]))</f>
        <v/>
      </c>
      <c r="O2401" t="s">
        <v>58</v>
      </c>
      <c r="P2401" t="s">
        <v>99</v>
      </c>
      <c r="Q2401" t="s">
        <v>58</v>
      </c>
      <c r="R2401" t="str">
        <f>IFERROR(VLOOKUP(record[[#This Row],[PCUSTID]],廠商[],2,FALSE),"")</f>
        <v/>
      </c>
      <c r="S2401" t="str">
        <f>VLOOKUP(record[[#This Row],[employeeID]],員工[],2,FALSE)</f>
        <v>阮氏河</v>
      </c>
    </row>
    <row r="2402" spans="6:19" hidden="1" x14ac:dyDescent="0.25">
      <c r="F2402" t="s">
        <v>1714</v>
      </c>
      <c r="G2402" t="s">
        <v>425</v>
      </c>
      <c r="H2402" t="str">
        <f>VLOOKUP(record[[#This Row],[ProcessSN]],表格2_7[],2,FALSE)</f>
        <v>30-4118-018-600</v>
      </c>
      <c r="I2402" t="str">
        <f>VLOOKUP(record[[#This Row],[ProcessSN]],表格2_7[],3,FALSE)</f>
        <v>#100</v>
      </c>
      <c r="J2402" t="s">
        <v>598</v>
      </c>
      <c r="K2402" s="195">
        <v>46119.734097222223</v>
      </c>
      <c r="L2402">
        <v>0</v>
      </c>
      <c r="M2402">
        <v>2</v>
      </c>
      <c r="N2402" s="98" t="str">
        <f>IF(record[[#This Row],[Memo]]="Browser:chrome os:android","平板報工",IF(record[[#This Row],[Memo]]=0,"委外",record[[#This Row],[Memo]]))</f>
        <v/>
      </c>
      <c r="O2402" t="s">
        <v>58</v>
      </c>
      <c r="P2402" t="s">
        <v>99</v>
      </c>
      <c r="Q2402" t="s">
        <v>58</v>
      </c>
      <c r="R2402" t="str">
        <f>IFERROR(VLOOKUP(record[[#This Row],[PCUSTID]],廠商[],2,FALSE),"")</f>
        <v/>
      </c>
      <c r="S2402" t="str">
        <f>VLOOKUP(record[[#This Row],[employeeID]],員工[],2,FALSE)</f>
        <v>阮氏河</v>
      </c>
    </row>
    <row r="2403" spans="6:19" hidden="1" x14ac:dyDescent="0.25">
      <c r="F2403" t="s">
        <v>1714</v>
      </c>
      <c r="G2403" t="s">
        <v>424</v>
      </c>
      <c r="H2403" t="str">
        <f>VLOOKUP(record[[#This Row],[ProcessSN]],表格2_7[],2,FALSE)</f>
        <v>30-4118-018-600</v>
      </c>
      <c r="I2403" t="str">
        <f>VLOOKUP(record[[#This Row],[ProcessSN]],表格2_7[],3,FALSE)</f>
        <v>#08IQC</v>
      </c>
      <c r="J2403" t="s">
        <v>583</v>
      </c>
      <c r="K2403" s="195">
        <v>46119.733946759261</v>
      </c>
      <c r="L2403">
        <v>8</v>
      </c>
      <c r="M2403">
        <v>0</v>
      </c>
      <c r="N2403" s="98" t="str">
        <f>IF(record[[#This Row],[Memo]]="Browser:chrome os:android","平板報工",IF(record[[#This Row],[Memo]]=0,"委外",record[[#This Row],[Memo]]))</f>
        <v/>
      </c>
      <c r="O2403" t="s">
        <v>58</v>
      </c>
      <c r="P2403" t="s">
        <v>109</v>
      </c>
      <c r="Q2403" t="s">
        <v>58</v>
      </c>
      <c r="R2403" t="str">
        <f>IFERROR(VLOOKUP(record[[#This Row],[PCUSTID]],廠商[],2,FALSE),"")</f>
        <v/>
      </c>
      <c r="S2403" t="str">
        <f>VLOOKUP(record[[#This Row],[employeeID]],員工[],2,FALSE)</f>
        <v>裴氏璧鳳</v>
      </c>
    </row>
    <row r="2404" spans="6:19" hidden="1" x14ac:dyDescent="0.25">
      <c r="F2404" t="s">
        <v>1714</v>
      </c>
      <c r="G2404" t="s">
        <v>423</v>
      </c>
      <c r="H2404" t="str">
        <f>VLOOKUP(record[[#This Row],[ProcessSN]],表格2_7[],2,FALSE)</f>
        <v>30-4118-018-600</v>
      </c>
      <c r="I2404" t="str">
        <f>VLOOKUP(record[[#This Row],[ProcessSN]],表格2_7[],3,FALSE)</f>
        <v>#08RCV</v>
      </c>
      <c r="J2404" t="s">
        <v>591</v>
      </c>
      <c r="K2404" s="195">
        <v>46119.713645833333</v>
      </c>
      <c r="L2404">
        <v>8</v>
      </c>
      <c r="M2404">
        <v>0</v>
      </c>
      <c r="N2404" s="98" t="str">
        <f>IF(record[[#This Row],[Memo]]="Browser:chrome os:android","平板報工",IF(record[[#This Row],[Memo]]=0,"委外",record[[#This Row],[Memo]]))</f>
        <v/>
      </c>
      <c r="O2404" t="s">
        <v>58</v>
      </c>
      <c r="P2404" t="s">
        <v>186</v>
      </c>
      <c r="Q2404" t="s">
        <v>58</v>
      </c>
      <c r="R2404" t="str">
        <f>IFERROR(VLOOKUP(record[[#This Row],[PCUSTID]],廠商[],2,FALSE),"")</f>
        <v/>
      </c>
      <c r="S2404" t="str">
        <f>VLOOKUP(record[[#This Row],[employeeID]],員工[],2,FALSE)</f>
        <v>許文姍</v>
      </c>
    </row>
    <row r="2405" spans="6:19" hidden="1" x14ac:dyDescent="0.25">
      <c r="F2405" t="s">
        <v>1702</v>
      </c>
      <c r="G2405" t="s">
        <v>377</v>
      </c>
      <c r="H2405" t="str">
        <f>VLOOKUP(record[[#This Row],[ProcessSN]],表格2_7[],2,FALSE)</f>
        <v>30-4118-018-4XX</v>
      </c>
      <c r="I2405" t="str">
        <f>VLOOKUP(record[[#This Row],[ProcessSN]],表格2_7[],3,FALSE)</f>
        <v>#07</v>
      </c>
      <c r="J2405" t="s">
        <v>588</v>
      </c>
      <c r="K2405" s="195">
        <v>46119.710092592592</v>
      </c>
      <c r="L2405">
        <v>0</v>
      </c>
      <c r="M2405">
        <v>2</v>
      </c>
      <c r="N2405" s="98" t="str">
        <f>IF(record[[#This Row],[Memo]]="Browser:chrome os:android","平板報工",IF(record[[#This Row],[Memo]]=0,"委外",record[[#This Row],[Memo]]))</f>
        <v/>
      </c>
      <c r="O2405" t="s">
        <v>58</v>
      </c>
      <c r="P2405" t="s">
        <v>145</v>
      </c>
      <c r="Q2405" t="s">
        <v>58</v>
      </c>
      <c r="R2405" t="str">
        <f>IFERROR(VLOOKUP(record[[#This Row],[PCUSTID]],廠商[],2,FALSE),"")</f>
        <v/>
      </c>
      <c r="S2405" t="str">
        <f>VLOOKUP(record[[#This Row],[employeeID]],員工[],2,FALSE)</f>
        <v>阮秋霞</v>
      </c>
    </row>
    <row r="2406" spans="6:19" hidden="1" x14ac:dyDescent="0.25">
      <c r="F2406" t="s">
        <v>1719</v>
      </c>
      <c r="G2406" t="s">
        <v>360</v>
      </c>
      <c r="H2406" t="str">
        <f>VLOOKUP(record[[#This Row],[ProcessSN]],表格2_7[],2,FALSE)</f>
        <v>30-4118-018-450</v>
      </c>
      <c r="I2406" t="str">
        <f>VLOOKUP(record[[#This Row],[ProcessSN]],表格2_7[],3,FALSE)</f>
        <v>#100OQC</v>
      </c>
      <c r="J2406" t="s">
        <v>599</v>
      </c>
      <c r="K2406" s="195">
        <v>46119.697812500002</v>
      </c>
      <c r="L2406">
        <v>198</v>
      </c>
      <c r="M2406">
        <v>0</v>
      </c>
      <c r="N2406" s="98" t="str">
        <f>IF(record[[#This Row],[Memo]]="Browser:chrome os:android","平板報工",IF(record[[#This Row],[Memo]]=0,"委外",record[[#This Row],[Memo]]))</f>
        <v/>
      </c>
      <c r="O2406" t="s">
        <v>58</v>
      </c>
      <c r="P2406" t="s">
        <v>121</v>
      </c>
      <c r="Q2406" t="s">
        <v>58</v>
      </c>
      <c r="R2406" t="str">
        <f>IFERROR(VLOOKUP(record[[#This Row],[PCUSTID]],廠商[],2,FALSE),"")</f>
        <v/>
      </c>
      <c r="S2406" t="str">
        <f>VLOOKUP(record[[#This Row],[employeeID]],員工[],2,FALSE)</f>
        <v>謝素卿</v>
      </c>
    </row>
    <row r="2407" spans="6:19" hidden="1" x14ac:dyDescent="0.25">
      <c r="F2407" t="s">
        <v>1715</v>
      </c>
      <c r="G2407" t="s">
        <v>401</v>
      </c>
      <c r="H2407" t="str">
        <f>VLOOKUP(record[[#This Row],[ProcessSN]],表格2_7[],2,FALSE)</f>
        <v>30-4118-018-550</v>
      </c>
      <c r="I2407" t="str">
        <f>VLOOKUP(record[[#This Row],[ProcessSN]],表格2_7[],3,FALSE)</f>
        <v>#100OQC</v>
      </c>
      <c r="J2407" t="s">
        <v>599</v>
      </c>
      <c r="K2407" s="195">
        <v>46119.69703703704</v>
      </c>
      <c r="L2407">
        <v>394</v>
      </c>
      <c r="M2407">
        <v>0</v>
      </c>
      <c r="N2407" s="98" t="str">
        <f>IF(record[[#This Row],[Memo]]="Browser:chrome os:android","平板報工",IF(record[[#This Row],[Memo]]=0,"委外",record[[#This Row],[Memo]]))</f>
        <v/>
      </c>
      <c r="O2407" t="s">
        <v>58</v>
      </c>
      <c r="P2407" t="s">
        <v>121</v>
      </c>
      <c r="Q2407" t="s">
        <v>58</v>
      </c>
      <c r="R2407" t="str">
        <f>IFERROR(VLOOKUP(record[[#This Row],[PCUSTID]],廠商[],2,FALSE),"")</f>
        <v/>
      </c>
      <c r="S2407" t="str">
        <f>VLOOKUP(record[[#This Row],[employeeID]],員工[],2,FALSE)</f>
        <v>謝素卿</v>
      </c>
    </row>
    <row r="2408" spans="6:19" hidden="1" x14ac:dyDescent="0.25">
      <c r="F2408" t="s">
        <v>1719</v>
      </c>
      <c r="G2408" t="s">
        <v>359</v>
      </c>
      <c r="H2408" t="str">
        <f>VLOOKUP(record[[#This Row],[ProcessSN]],表格2_7[],2,FALSE)</f>
        <v>30-4118-018-450</v>
      </c>
      <c r="I2408" t="str">
        <f>VLOOKUP(record[[#This Row],[ProcessSN]],表格2_7[],3,FALSE)</f>
        <v>#100</v>
      </c>
      <c r="J2408" t="s">
        <v>598</v>
      </c>
      <c r="K2408" s="195">
        <v>46119.67869212963</v>
      </c>
      <c r="L2408">
        <v>198</v>
      </c>
      <c r="M2408">
        <v>0</v>
      </c>
      <c r="N2408" s="98" t="str">
        <f>IF(record[[#This Row],[Memo]]="Browser:chrome os:android","平板報工",IF(record[[#This Row],[Memo]]=0,"委外",record[[#This Row],[Memo]]))</f>
        <v/>
      </c>
      <c r="O2408" t="s">
        <v>58</v>
      </c>
      <c r="P2408" t="s">
        <v>99</v>
      </c>
      <c r="Q2408" t="s">
        <v>58</v>
      </c>
      <c r="R2408" t="str">
        <f>IFERROR(VLOOKUP(record[[#This Row],[PCUSTID]],廠商[],2,FALSE),"")</f>
        <v/>
      </c>
      <c r="S2408" t="str">
        <f>VLOOKUP(record[[#This Row],[employeeID]],員工[],2,FALSE)</f>
        <v>阮氏河</v>
      </c>
    </row>
    <row r="2409" spans="6:19" hidden="1" x14ac:dyDescent="0.25">
      <c r="F2409" t="s">
        <v>1719</v>
      </c>
      <c r="G2409" t="s">
        <v>359</v>
      </c>
      <c r="H2409" t="str">
        <f>VLOOKUP(record[[#This Row],[ProcessSN]],表格2_7[],2,FALSE)</f>
        <v>30-4118-018-450</v>
      </c>
      <c r="I2409" t="str">
        <f>VLOOKUP(record[[#This Row],[ProcessSN]],表格2_7[],3,FALSE)</f>
        <v>#100</v>
      </c>
      <c r="J2409" t="s">
        <v>598</v>
      </c>
      <c r="K2409" s="195">
        <v>46119.677488425928</v>
      </c>
      <c r="L2409">
        <v>0</v>
      </c>
      <c r="M2409">
        <v>3</v>
      </c>
      <c r="N2409" s="98" t="str">
        <f>IF(record[[#This Row],[Memo]]="Browser:chrome os:android","平板報工",IF(record[[#This Row],[Memo]]=0,"委外",record[[#This Row],[Memo]]))</f>
        <v/>
      </c>
      <c r="O2409" t="s">
        <v>58</v>
      </c>
      <c r="P2409" t="s">
        <v>99</v>
      </c>
      <c r="Q2409" t="s">
        <v>58</v>
      </c>
      <c r="R2409" t="str">
        <f>IFERROR(VLOOKUP(record[[#This Row],[PCUSTID]],廠商[],2,FALSE),"")</f>
        <v/>
      </c>
      <c r="S2409" t="str">
        <f>VLOOKUP(record[[#This Row],[employeeID]],員工[],2,FALSE)</f>
        <v>阮氏河</v>
      </c>
    </row>
    <row r="2410" spans="6:19" hidden="1" x14ac:dyDescent="0.25">
      <c r="F2410" t="s">
        <v>1721</v>
      </c>
      <c r="G2410" t="s">
        <v>357</v>
      </c>
      <c r="H2410" t="str">
        <f>VLOOKUP(record[[#This Row],[ProcessSN]],表格2_7[],2,FALSE)</f>
        <v>30-4118-018-450</v>
      </c>
      <c r="I2410" t="str">
        <f>VLOOKUP(record[[#This Row],[ProcessSN]],表格2_7[],3,FALSE)</f>
        <v>#08RCV</v>
      </c>
      <c r="J2410" t="s">
        <v>591</v>
      </c>
      <c r="K2410" s="195">
        <v>46119.671759259261</v>
      </c>
      <c r="L2410">
        <v>487</v>
      </c>
      <c r="M2410">
        <v>0</v>
      </c>
      <c r="N2410" s="98" t="str">
        <f>IF(record[[#This Row],[Memo]]="Browser:chrome os:android","平板報工",IF(record[[#This Row],[Memo]]=0,"委外",record[[#This Row],[Memo]]))</f>
        <v/>
      </c>
      <c r="O2410" t="s">
        <v>58</v>
      </c>
      <c r="P2410" t="s">
        <v>186</v>
      </c>
      <c r="Q2410" t="s">
        <v>58</v>
      </c>
      <c r="R2410" t="str">
        <f>IFERROR(VLOOKUP(record[[#This Row],[PCUSTID]],廠商[],2,FALSE),"")</f>
        <v/>
      </c>
      <c r="S2410" t="str">
        <f>VLOOKUP(record[[#This Row],[employeeID]],員工[],2,FALSE)</f>
        <v>許文姍</v>
      </c>
    </row>
    <row r="2411" spans="6:19" hidden="1" x14ac:dyDescent="0.25">
      <c r="F2411" t="s">
        <v>1702</v>
      </c>
      <c r="G2411" t="s">
        <v>376</v>
      </c>
      <c r="H2411" t="str">
        <f>VLOOKUP(record[[#This Row],[ProcessSN]],表格2_7[],2,FALSE)</f>
        <v>30-4118-018-4XX</v>
      </c>
      <c r="I2411" t="str">
        <f>VLOOKUP(record[[#This Row],[ProcessSN]],表格2_7[],3,FALSE)</f>
        <v>#06</v>
      </c>
      <c r="J2411" t="s">
        <v>593</v>
      </c>
      <c r="K2411" s="195">
        <v>46119.655439814815</v>
      </c>
      <c r="L2411">
        <v>133</v>
      </c>
      <c r="M2411">
        <v>0</v>
      </c>
      <c r="N2411" s="98" t="str">
        <f>IF(record[[#This Row],[Memo]]="Browser:chrome os:android","平板報工",IF(record[[#This Row],[Memo]]=0,"委外",record[[#This Row],[Memo]]))</f>
        <v/>
      </c>
      <c r="O2411" t="s">
        <v>58</v>
      </c>
      <c r="P2411" t="s">
        <v>188</v>
      </c>
      <c r="Q2411" t="s">
        <v>58</v>
      </c>
      <c r="R2411" t="str">
        <f>IFERROR(VLOOKUP(record[[#This Row],[PCUSTID]],廠商[],2,FALSE),"")</f>
        <v/>
      </c>
      <c r="S2411" t="str">
        <f>VLOOKUP(record[[#This Row],[employeeID]],員工[],2,FALSE)</f>
        <v>阮氏璧紅</v>
      </c>
    </row>
    <row r="2412" spans="6:19" hidden="1" x14ac:dyDescent="0.25">
      <c r="F2412" t="s">
        <v>1702</v>
      </c>
      <c r="G2412" t="s">
        <v>376</v>
      </c>
      <c r="H2412" t="str">
        <f>VLOOKUP(record[[#This Row],[ProcessSN]],表格2_7[],2,FALSE)</f>
        <v>30-4118-018-4XX</v>
      </c>
      <c r="I2412" t="str">
        <f>VLOOKUP(record[[#This Row],[ProcessSN]],表格2_7[],3,FALSE)</f>
        <v>#06</v>
      </c>
      <c r="J2412" t="s">
        <v>593</v>
      </c>
      <c r="K2412" s="195">
        <v>46119.653958333336</v>
      </c>
      <c r="L2412">
        <v>70</v>
      </c>
      <c r="M2412">
        <v>0</v>
      </c>
      <c r="N2412" s="98" t="str">
        <f>IF(record[[#This Row],[Memo]]="Browser:chrome os:android","平板報工",IF(record[[#This Row],[Memo]]=0,"委外",record[[#This Row],[Memo]]))</f>
        <v>平板報工</v>
      </c>
      <c r="O2412" t="s">
        <v>643</v>
      </c>
      <c r="P2412" t="s">
        <v>145</v>
      </c>
      <c r="Q2412" t="s">
        <v>644</v>
      </c>
      <c r="R2412" t="str">
        <f>IFERROR(VLOOKUP(record[[#This Row],[PCUSTID]],廠商[],2,FALSE),"")</f>
        <v/>
      </c>
      <c r="S2412" t="str">
        <f>VLOOKUP(record[[#This Row],[employeeID]],員工[],2,FALSE)</f>
        <v>阮秋霞</v>
      </c>
    </row>
    <row r="2413" spans="6:19" hidden="1" x14ac:dyDescent="0.25">
      <c r="F2413" t="s">
        <v>1702</v>
      </c>
      <c r="G2413" t="s">
        <v>379</v>
      </c>
      <c r="H2413" t="str">
        <f>VLOOKUP(record[[#This Row],[ProcessSN]],表格2_7[],2,FALSE)</f>
        <v>30-4118-018-4XX</v>
      </c>
      <c r="I2413" t="str">
        <f>VLOOKUP(record[[#This Row],[ProcessSN]],表格2_7[],3,FALSE)</f>
        <v>#07STOCK</v>
      </c>
      <c r="J2413" t="s">
        <v>592</v>
      </c>
      <c r="K2413" s="195">
        <v>46119.653564814813</v>
      </c>
      <c r="L2413">
        <v>122</v>
      </c>
      <c r="M2413">
        <v>0</v>
      </c>
      <c r="N2413" s="98" t="str">
        <f>IF(record[[#This Row],[Memo]]="Browser:chrome os:android","平板報工",IF(record[[#This Row],[Memo]]=0,"委外",record[[#This Row],[Memo]]))</f>
        <v/>
      </c>
      <c r="O2413" t="s">
        <v>58</v>
      </c>
      <c r="P2413" t="s">
        <v>186</v>
      </c>
      <c r="Q2413" t="s">
        <v>58</v>
      </c>
      <c r="R2413" t="str">
        <f>IFERROR(VLOOKUP(record[[#This Row],[PCUSTID]],廠商[],2,FALSE),"")</f>
        <v/>
      </c>
      <c r="S2413" t="str">
        <f>VLOOKUP(record[[#This Row],[employeeID]],員工[],2,FALSE)</f>
        <v>許文姍</v>
      </c>
    </row>
    <row r="2414" spans="6:19" hidden="1" x14ac:dyDescent="0.25">
      <c r="F2414" t="s">
        <v>1653</v>
      </c>
      <c r="G2414" t="s">
        <v>420</v>
      </c>
      <c r="H2414" t="str">
        <f>VLOOKUP(record[[#This Row],[ProcessSN]],表格2_7[],2,FALSE)</f>
        <v>30-4118-018-5XX</v>
      </c>
      <c r="I2414" t="str">
        <f>VLOOKUP(record[[#This Row],[ProcessSN]],表格2_7[],3,FALSE)</f>
        <v>#07STOCK</v>
      </c>
      <c r="J2414" t="s">
        <v>592</v>
      </c>
      <c r="K2414" s="195">
        <v>46119.652499999997</v>
      </c>
      <c r="L2414">
        <v>159</v>
      </c>
      <c r="M2414">
        <v>0</v>
      </c>
      <c r="N2414" s="98" t="str">
        <f>IF(record[[#This Row],[Memo]]="Browser:chrome os:android","平板報工",IF(record[[#This Row],[Memo]]=0,"委外",record[[#This Row],[Memo]]))</f>
        <v/>
      </c>
      <c r="O2414" t="s">
        <v>58</v>
      </c>
      <c r="P2414" t="s">
        <v>186</v>
      </c>
      <c r="Q2414" t="s">
        <v>58</v>
      </c>
      <c r="R2414" t="str">
        <f>IFERROR(VLOOKUP(record[[#This Row],[PCUSTID]],廠商[],2,FALSE),"")</f>
        <v/>
      </c>
      <c r="S2414" t="str">
        <f>VLOOKUP(record[[#This Row],[employeeID]],員工[],2,FALSE)</f>
        <v>許文姍</v>
      </c>
    </row>
    <row r="2415" spans="6:19" hidden="1" x14ac:dyDescent="0.25">
      <c r="F2415" t="s">
        <v>1762</v>
      </c>
      <c r="G2415" t="s">
        <v>397</v>
      </c>
      <c r="H2415" t="str">
        <f>VLOOKUP(record[[#This Row],[ProcessSN]],表格2_7[],2,FALSE)</f>
        <v>30-4118-018-550</v>
      </c>
      <c r="I2415" t="str">
        <f>VLOOKUP(record[[#This Row],[ProcessSN]],表格2_7[],3,FALSE)</f>
        <v>#08</v>
      </c>
      <c r="J2415" t="s">
        <v>597</v>
      </c>
      <c r="K2415" s="195">
        <v>46119.647893518515</v>
      </c>
      <c r="L2415">
        <v>159</v>
      </c>
      <c r="M2415">
        <v>0</v>
      </c>
      <c r="N2415" s="98" t="str">
        <f>IF(record[[#This Row],[Memo]]="Browser:chrome os:android","平板報工",IF(record[[#This Row],[Memo]]=0,"委外",record[[#This Row],[Memo]]))</f>
        <v>委外</v>
      </c>
      <c r="P2415" t="s">
        <v>186</v>
      </c>
      <c r="Q2415" t="s">
        <v>287</v>
      </c>
      <c r="R2415" t="str">
        <f>IFERROR(VLOOKUP(record[[#This Row],[PCUSTID]],廠商[],2,FALSE),"")</f>
        <v>泉盛</v>
      </c>
      <c r="S2415" t="str">
        <f>VLOOKUP(record[[#This Row],[employeeID]],員工[],2,FALSE)</f>
        <v>許文姍</v>
      </c>
    </row>
    <row r="2416" spans="6:19" hidden="1" x14ac:dyDescent="0.25">
      <c r="F2416" t="s">
        <v>1761</v>
      </c>
      <c r="G2416" t="s">
        <v>356</v>
      </c>
      <c r="H2416" t="str">
        <f>VLOOKUP(record[[#This Row],[ProcessSN]],表格2_7[],2,FALSE)</f>
        <v>30-4118-018-450</v>
      </c>
      <c r="I2416" t="str">
        <f>VLOOKUP(record[[#This Row],[ProcessSN]],表格2_7[],3,FALSE)</f>
        <v>#08</v>
      </c>
      <c r="J2416" t="s">
        <v>597</v>
      </c>
      <c r="K2416" s="195">
        <v>46119.647615740738</v>
      </c>
      <c r="L2416">
        <v>122</v>
      </c>
      <c r="M2416">
        <v>0</v>
      </c>
      <c r="N2416" s="98" t="str">
        <f>IF(record[[#This Row],[Memo]]="Browser:chrome os:android","平板報工",IF(record[[#This Row],[Memo]]=0,"委外",record[[#This Row],[Memo]]))</f>
        <v>委外</v>
      </c>
      <c r="P2416" t="s">
        <v>186</v>
      </c>
      <c r="Q2416" t="s">
        <v>287</v>
      </c>
      <c r="R2416" t="str">
        <f>IFERROR(VLOOKUP(record[[#This Row],[PCUSTID]],廠商[],2,FALSE),"")</f>
        <v>泉盛</v>
      </c>
      <c r="S2416" t="str">
        <f>VLOOKUP(record[[#This Row],[employeeID]],員工[],2,FALSE)</f>
        <v>許文姍</v>
      </c>
    </row>
    <row r="2417" spans="6:19" hidden="1" x14ac:dyDescent="0.25">
      <c r="F2417" t="s">
        <v>1637</v>
      </c>
      <c r="G2417" t="s">
        <v>448</v>
      </c>
      <c r="H2417" t="str">
        <f>VLOOKUP(record[[#This Row],[ProcessSN]],表格2_7[],2,FALSE)</f>
        <v>30-4118-018-6XX</v>
      </c>
      <c r="I2417" t="str">
        <f>VLOOKUP(record[[#This Row],[ProcessSN]],表格2_7[],3,FALSE)</f>
        <v>#04</v>
      </c>
      <c r="J2417" t="s">
        <v>588</v>
      </c>
      <c r="K2417" s="195">
        <v>46119.647476851853</v>
      </c>
      <c r="L2417">
        <v>126</v>
      </c>
      <c r="M2417">
        <v>0</v>
      </c>
      <c r="N2417" s="98" t="str">
        <f>IF(record[[#This Row],[Memo]]="Browser:chrome os:android","平板報工",IF(record[[#This Row],[Memo]]=0,"委外",record[[#This Row],[Memo]]))</f>
        <v>平板報工</v>
      </c>
      <c r="O2417" t="s">
        <v>643</v>
      </c>
      <c r="P2417" t="s">
        <v>107</v>
      </c>
      <c r="Q2417" t="s">
        <v>644</v>
      </c>
      <c r="R2417" t="str">
        <f>IFERROR(VLOOKUP(record[[#This Row],[PCUSTID]],廠商[],2,FALSE),"")</f>
        <v/>
      </c>
      <c r="S2417" t="str">
        <f>VLOOKUP(record[[#This Row],[employeeID]],員工[],2,FALSE)</f>
        <v>黎氏順</v>
      </c>
    </row>
    <row r="2418" spans="6:19" hidden="1" x14ac:dyDescent="0.25">
      <c r="F2418" t="s">
        <v>1762</v>
      </c>
      <c r="G2418" t="s">
        <v>396</v>
      </c>
      <c r="H2418" t="str">
        <f>VLOOKUP(record[[#This Row],[ProcessSN]],表格2_7[],2,FALSE)</f>
        <v>30-4118-018-550</v>
      </c>
      <c r="I2418" t="str">
        <f>VLOOKUP(record[[#This Row],[ProcessSN]],表格2_7[],3,FALSE)</f>
        <v>#08PICK</v>
      </c>
      <c r="J2418" t="s">
        <v>582</v>
      </c>
      <c r="K2418" s="195">
        <v>46119.647222222222</v>
      </c>
      <c r="L2418">
        <v>159</v>
      </c>
      <c r="M2418">
        <v>0</v>
      </c>
      <c r="N2418" s="98" t="str">
        <f>IF(record[[#This Row],[Memo]]="Browser:chrome os:android","平板報工",IF(record[[#This Row],[Memo]]=0,"委外",record[[#This Row],[Memo]]))</f>
        <v/>
      </c>
      <c r="O2418" t="s">
        <v>58</v>
      </c>
      <c r="P2418" t="s">
        <v>186</v>
      </c>
      <c r="Q2418" t="s">
        <v>58</v>
      </c>
      <c r="R2418" t="str">
        <f>IFERROR(VLOOKUP(record[[#This Row],[PCUSTID]],廠商[],2,FALSE),"")</f>
        <v/>
      </c>
      <c r="S2418" t="str">
        <f>VLOOKUP(record[[#This Row],[employeeID]],員工[],2,FALSE)</f>
        <v>許文姍</v>
      </c>
    </row>
    <row r="2419" spans="6:19" hidden="1" x14ac:dyDescent="0.25">
      <c r="F2419" t="s">
        <v>1761</v>
      </c>
      <c r="G2419" t="s">
        <v>355</v>
      </c>
      <c r="H2419" t="str">
        <f>VLOOKUP(record[[#This Row],[ProcessSN]],表格2_7[],2,FALSE)</f>
        <v>30-4118-018-450</v>
      </c>
      <c r="I2419" t="str">
        <f>VLOOKUP(record[[#This Row],[ProcessSN]],表格2_7[],3,FALSE)</f>
        <v>#08PICK</v>
      </c>
      <c r="J2419" t="s">
        <v>582</v>
      </c>
      <c r="K2419" s="195">
        <v>46119.646944444445</v>
      </c>
      <c r="L2419">
        <v>122</v>
      </c>
      <c r="M2419">
        <v>0</v>
      </c>
      <c r="N2419" s="98" t="str">
        <f>IF(record[[#This Row],[Memo]]="Browser:chrome os:android","平板報工",IF(record[[#This Row],[Memo]]=0,"委外",record[[#This Row],[Memo]]))</f>
        <v/>
      </c>
      <c r="O2419" t="s">
        <v>58</v>
      </c>
      <c r="P2419" t="s">
        <v>186</v>
      </c>
      <c r="Q2419" t="s">
        <v>58</v>
      </c>
      <c r="R2419" t="str">
        <f>IFERROR(VLOOKUP(record[[#This Row],[PCUSTID]],廠商[],2,FALSE),"")</f>
        <v/>
      </c>
      <c r="S2419" t="str">
        <f>VLOOKUP(record[[#This Row],[employeeID]],員工[],2,FALSE)</f>
        <v>許文姍</v>
      </c>
    </row>
    <row r="2420" spans="6:19" hidden="1" x14ac:dyDescent="0.25">
      <c r="F2420" t="s">
        <v>1655</v>
      </c>
      <c r="G2420" t="s">
        <v>466</v>
      </c>
      <c r="H2420" t="str">
        <f>VLOOKUP(record[[#This Row],[ProcessSN]],表格2_7[],2,FALSE)</f>
        <v>30-4118-018-XXX</v>
      </c>
      <c r="I2420" t="str">
        <f>VLOOKUP(record[[#This Row],[ProcessSN]],表格2_7[],3,FALSE)</f>
        <v>#01-2</v>
      </c>
      <c r="J2420" t="s">
        <v>588</v>
      </c>
      <c r="K2420" s="195">
        <v>46119.644085648149</v>
      </c>
      <c r="L2420">
        <v>237</v>
      </c>
      <c r="M2420">
        <v>0</v>
      </c>
      <c r="N2420" s="98" t="str">
        <f>IF(record[[#This Row],[Memo]]="Browser:chrome os:android","平板報工",IF(record[[#This Row],[Memo]]=0,"委外",record[[#This Row],[Memo]]))</f>
        <v>平板報工</v>
      </c>
      <c r="O2420" t="s">
        <v>643</v>
      </c>
      <c r="P2420" t="s">
        <v>107</v>
      </c>
      <c r="Q2420" t="s">
        <v>644</v>
      </c>
      <c r="R2420" t="str">
        <f>IFERROR(VLOOKUP(record[[#This Row],[PCUSTID]],廠商[],2,FALSE),"")</f>
        <v/>
      </c>
      <c r="S2420" t="str">
        <f>VLOOKUP(record[[#This Row],[employeeID]],員工[],2,FALSE)</f>
        <v>黎氏順</v>
      </c>
    </row>
    <row r="2421" spans="6:19" hidden="1" x14ac:dyDescent="0.25">
      <c r="F2421" t="s">
        <v>1702</v>
      </c>
      <c r="G2421" t="s">
        <v>377</v>
      </c>
      <c r="H2421" t="str">
        <f>VLOOKUP(record[[#This Row],[ProcessSN]],表格2_7[],2,FALSE)</f>
        <v>30-4118-018-4XX</v>
      </c>
      <c r="I2421" t="str">
        <f>VLOOKUP(record[[#This Row],[ProcessSN]],表格2_7[],3,FALSE)</f>
        <v>#07</v>
      </c>
      <c r="J2421" t="s">
        <v>588</v>
      </c>
      <c r="K2421" s="195">
        <v>46119.640289351853</v>
      </c>
      <c r="L2421">
        <v>226</v>
      </c>
      <c r="M2421">
        <v>0</v>
      </c>
      <c r="N2421" s="98" t="str">
        <f>IF(record[[#This Row],[Memo]]="Browser:chrome os:android","平板報工",IF(record[[#This Row],[Memo]]=0,"委外",record[[#This Row],[Memo]]))</f>
        <v>平板報工</v>
      </c>
      <c r="O2421" t="s">
        <v>643</v>
      </c>
      <c r="P2421" t="s">
        <v>145</v>
      </c>
      <c r="Q2421" t="s">
        <v>644</v>
      </c>
      <c r="R2421" t="str">
        <f>IFERROR(VLOOKUP(record[[#This Row],[PCUSTID]],廠商[],2,FALSE),"")</f>
        <v/>
      </c>
      <c r="S2421" t="str">
        <f>VLOOKUP(record[[#This Row],[employeeID]],員工[],2,FALSE)</f>
        <v>阮秋霞</v>
      </c>
    </row>
    <row r="2422" spans="6:19" hidden="1" x14ac:dyDescent="0.25">
      <c r="F2422" t="s">
        <v>1653</v>
      </c>
      <c r="G2422" t="s">
        <v>416</v>
      </c>
      <c r="H2422" t="str">
        <f>VLOOKUP(record[[#This Row],[ProcessSN]],表格2_7[],2,FALSE)</f>
        <v>30-4118-018-5XX</v>
      </c>
      <c r="I2422" t="str">
        <f>VLOOKUP(record[[#This Row],[ProcessSN]],表格2_7[],3,FALSE)</f>
        <v>#05</v>
      </c>
      <c r="J2422" t="s">
        <v>588</v>
      </c>
      <c r="K2422" s="195">
        <v>46119.637673611112</v>
      </c>
      <c r="L2422">
        <v>266</v>
      </c>
      <c r="M2422">
        <v>0</v>
      </c>
      <c r="N2422" s="98" t="str">
        <f>IF(record[[#This Row],[Memo]]="Browser:chrome os:android","平板報工",IF(record[[#This Row],[Memo]]=0,"委外",record[[#This Row],[Memo]]))</f>
        <v>平板報工</v>
      </c>
      <c r="O2422" t="s">
        <v>643</v>
      </c>
      <c r="P2422" t="s">
        <v>785</v>
      </c>
      <c r="Q2422" t="s">
        <v>644</v>
      </c>
      <c r="R2422" t="str">
        <f>IFERROR(VLOOKUP(record[[#This Row],[PCUSTID]],廠商[],2,FALSE),"")</f>
        <v/>
      </c>
      <c r="S2422" t="str">
        <f>VLOOKUP(record[[#This Row],[employeeID]],員工[],2,FALSE)</f>
        <v>謝刻光</v>
      </c>
    </row>
    <row r="2423" spans="6:19" hidden="1" x14ac:dyDescent="0.25">
      <c r="F2423" t="s">
        <v>1714</v>
      </c>
      <c r="G2423" t="s">
        <v>424</v>
      </c>
      <c r="H2423" t="str">
        <f>VLOOKUP(record[[#This Row],[ProcessSN]],表格2_7[],2,FALSE)</f>
        <v>30-4118-018-600</v>
      </c>
      <c r="I2423" t="str">
        <f>VLOOKUP(record[[#This Row],[ProcessSN]],表格2_7[],3,FALSE)</f>
        <v>#08IQC</v>
      </c>
      <c r="J2423" t="s">
        <v>583</v>
      </c>
      <c r="K2423" s="195">
        <v>46119.616620370369</v>
      </c>
      <c r="L2423">
        <v>121</v>
      </c>
      <c r="M2423">
        <v>0</v>
      </c>
      <c r="N2423" s="98" t="str">
        <f>IF(record[[#This Row],[Memo]]="Browser:chrome os:android","平板報工",IF(record[[#This Row],[Memo]]=0,"委外",record[[#This Row],[Memo]]))</f>
        <v/>
      </c>
      <c r="O2423" t="s">
        <v>58</v>
      </c>
      <c r="P2423" t="s">
        <v>109</v>
      </c>
      <c r="Q2423" t="s">
        <v>58</v>
      </c>
      <c r="R2423" t="str">
        <f>IFERROR(VLOOKUP(record[[#This Row],[PCUSTID]],廠商[],2,FALSE),"")</f>
        <v/>
      </c>
      <c r="S2423" t="str">
        <f>VLOOKUP(record[[#This Row],[employeeID]],員工[],2,FALSE)</f>
        <v>裴氏璧鳳</v>
      </c>
    </row>
    <row r="2424" spans="6:19" hidden="1" x14ac:dyDescent="0.25">
      <c r="F2424" t="s">
        <v>1722</v>
      </c>
      <c r="G2424" t="s">
        <v>399</v>
      </c>
      <c r="H2424" t="str">
        <f>VLOOKUP(record[[#This Row],[ProcessSN]],表格2_7[],2,FALSE)</f>
        <v>30-4118-018-550</v>
      </c>
      <c r="I2424" t="str">
        <f>VLOOKUP(record[[#This Row],[ProcessSN]],表格2_7[],3,FALSE)</f>
        <v>#08IQC</v>
      </c>
      <c r="J2424" t="s">
        <v>583</v>
      </c>
      <c r="K2424" s="195">
        <v>46119.614641203705</v>
      </c>
      <c r="L2424">
        <v>143</v>
      </c>
      <c r="M2424">
        <v>0</v>
      </c>
      <c r="N2424" s="98" t="str">
        <f>IF(record[[#This Row],[Memo]]="Browser:chrome os:android","平板報工",IF(record[[#This Row],[Memo]]=0,"委外",record[[#This Row],[Memo]]))</f>
        <v/>
      </c>
      <c r="O2424" t="s">
        <v>58</v>
      </c>
      <c r="P2424" t="s">
        <v>109</v>
      </c>
      <c r="Q2424" t="s">
        <v>58</v>
      </c>
      <c r="R2424" t="str">
        <f>IFERROR(VLOOKUP(record[[#This Row],[PCUSTID]],廠商[],2,FALSE),"")</f>
        <v/>
      </c>
      <c r="S2424" t="str">
        <f>VLOOKUP(record[[#This Row],[employeeID]],員工[],2,FALSE)</f>
        <v>裴氏璧鳳</v>
      </c>
    </row>
    <row r="2425" spans="6:19" hidden="1" x14ac:dyDescent="0.25">
      <c r="F2425" t="s">
        <v>1719</v>
      </c>
      <c r="G2425" t="s">
        <v>358</v>
      </c>
      <c r="H2425" t="str">
        <f>VLOOKUP(record[[#This Row],[ProcessSN]],表格2_7[],2,FALSE)</f>
        <v>30-4118-018-450</v>
      </c>
      <c r="I2425" t="str">
        <f>VLOOKUP(record[[#This Row],[ProcessSN]],表格2_7[],3,FALSE)</f>
        <v>#08IQC</v>
      </c>
      <c r="J2425" t="s">
        <v>583</v>
      </c>
      <c r="K2425" s="195">
        <v>46119.612037037034</v>
      </c>
      <c r="L2425">
        <v>201</v>
      </c>
      <c r="M2425">
        <v>0</v>
      </c>
      <c r="N2425" s="98" t="str">
        <f>IF(record[[#This Row],[Memo]]="Browser:chrome os:android","平板報工",IF(record[[#This Row],[Memo]]=0,"委外",record[[#This Row],[Memo]]))</f>
        <v/>
      </c>
      <c r="O2425" t="s">
        <v>58</v>
      </c>
      <c r="P2425" t="s">
        <v>109</v>
      </c>
      <c r="Q2425" t="s">
        <v>58</v>
      </c>
      <c r="R2425" t="str">
        <f>IFERROR(VLOOKUP(record[[#This Row],[PCUSTID]],廠商[],2,FALSE),"")</f>
        <v/>
      </c>
      <c r="S2425" t="str">
        <f>VLOOKUP(record[[#This Row],[employeeID]],員工[],2,FALSE)</f>
        <v>裴氏璧鳳</v>
      </c>
    </row>
    <row r="2426" spans="6:19" hidden="1" x14ac:dyDescent="0.25">
      <c r="F2426" t="s">
        <v>1715</v>
      </c>
      <c r="G2426" t="s">
        <v>400</v>
      </c>
      <c r="H2426" t="str">
        <f>VLOOKUP(record[[#This Row],[ProcessSN]],表格2_7[],2,FALSE)</f>
        <v>30-4118-018-550</v>
      </c>
      <c r="I2426" t="str">
        <f>VLOOKUP(record[[#This Row],[ProcessSN]],表格2_7[],3,FALSE)</f>
        <v>#100</v>
      </c>
      <c r="J2426" t="s">
        <v>598</v>
      </c>
      <c r="K2426" s="195">
        <v>46119.600312499999</v>
      </c>
      <c r="L2426">
        <v>133</v>
      </c>
      <c r="M2426">
        <v>0</v>
      </c>
      <c r="N2426" s="98" t="str">
        <f>IF(record[[#This Row],[Memo]]="Browser:chrome os:android","平板報工",IF(record[[#This Row],[Memo]]=0,"委外",record[[#This Row],[Memo]]))</f>
        <v/>
      </c>
      <c r="O2426" t="s">
        <v>58</v>
      </c>
      <c r="P2426" t="s">
        <v>141</v>
      </c>
      <c r="Q2426" t="s">
        <v>58</v>
      </c>
      <c r="R2426" t="str">
        <f>IFERROR(VLOOKUP(record[[#This Row],[PCUSTID]],廠商[],2,FALSE),"")</f>
        <v/>
      </c>
      <c r="S2426" t="str">
        <f>VLOOKUP(record[[#This Row],[employeeID]],員工[],2,FALSE)</f>
        <v>蔣梅</v>
      </c>
    </row>
    <row r="2427" spans="6:19" hidden="1" x14ac:dyDescent="0.25">
      <c r="F2427" t="s">
        <v>1653</v>
      </c>
      <c r="G2427" t="s">
        <v>419</v>
      </c>
      <c r="H2427" t="str">
        <f>VLOOKUP(record[[#This Row],[ProcessSN]],表格2_7[],2,FALSE)</f>
        <v>30-4118-018-5XX</v>
      </c>
      <c r="I2427" t="str">
        <f>VLOOKUP(record[[#This Row],[ProcessSN]],表格2_7[],3,FALSE)</f>
        <v>#07QC</v>
      </c>
      <c r="J2427" t="s">
        <v>589</v>
      </c>
      <c r="K2427" s="195">
        <v>46119.595254629632</v>
      </c>
      <c r="L2427">
        <v>0</v>
      </c>
      <c r="M2427">
        <v>3</v>
      </c>
      <c r="N2427" s="98" t="str">
        <f>IF(record[[#This Row],[Memo]]="Browser:chrome os:android","平板報工",IF(record[[#This Row],[Memo]]=0,"委外",record[[#This Row],[Memo]]))</f>
        <v/>
      </c>
      <c r="O2427" t="s">
        <v>58</v>
      </c>
      <c r="P2427" t="s">
        <v>141</v>
      </c>
      <c r="Q2427" t="s">
        <v>58</v>
      </c>
      <c r="R2427" t="str">
        <f>IFERROR(VLOOKUP(record[[#This Row],[PCUSTID]],廠商[],2,FALSE),"")</f>
        <v/>
      </c>
      <c r="S2427" t="str">
        <f>VLOOKUP(record[[#This Row],[employeeID]],員工[],2,FALSE)</f>
        <v>蔣梅</v>
      </c>
    </row>
    <row r="2428" spans="6:19" hidden="1" x14ac:dyDescent="0.25">
      <c r="F2428" t="s">
        <v>1653</v>
      </c>
      <c r="G2428" t="s">
        <v>419</v>
      </c>
      <c r="H2428" t="str">
        <f>VLOOKUP(record[[#This Row],[ProcessSN]],表格2_7[],2,FALSE)</f>
        <v>30-4118-018-5XX</v>
      </c>
      <c r="I2428" t="str">
        <f>VLOOKUP(record[[#This Row],[ProcessSN]],表格2_7[],3,FALSE)</f>
        <v>#07QC</v>
      </c>
      <c r="J2428" t="s">
        <v>589</v>
      </c>
      <c r="K2428" s="195">
        <v>46119.595104166663</v>
      </c>
      <c r="L2428">
        <v>159</v>
      </c>
      <c r="M2428">
        <v>0</v>
      </c>
      <c r="N2428" s="98" t="str">
        <f>IF(record[[#This Row],[Memo]]="Browser:chrome os:android","平板報工",IF(record[[#This Row],[Memo]]=0,"委外",record[[#This Row],[Memo]]))</f>
        <v/>
      </c>
      <c r="O2428" t="s">
        <v>58</v>
      </c>
      <c r="P2428" t="s">
        <v>141</v>
      </c>
      <c r="Q2428" t="s">
        <v>58</v>
      </c>
      <c r="R2428" t="str">
        <f>IFERROR(VLOOKUP(record[[#This Row],[PCUSTID]],廠商[],2,FALSE),"")</f>
        <v/>
      </c>
      <c r="S2428" t="str">
        <f>VLOOKUP(record[[#This Row],[employeeID]],員工[],2,FALSE)</f>
        <v>蔣梅</v>
      </c>
    </row>
    <row r="2429" spans="6:19" hidden="1" x14ac:dyDescent="0.25">
      <c r="F2429" t="s">
        <v>1719</v>
      </c>
      <c r="G2429" t="s">
        <v>357</v>
      </c>
      <c r="H2429" t="str">
        <f>VLOOKUP(record[[#This Row],[ProcessSN]],表格2_7[],2,FALSE)</f>
        <v>30-4118-018-450</v>
      </c>
      <c r="I2429" t="str">
        <f>VLOOKUP(record[[#This Row],[ProcessSN]],表格2_7[],3,FALSE)</f>
        <v>#08RCV</v>
      </c>
      <c r="J2429" t="s">
        <v>591</v>
      </c>
      <c r="K2429" s="195">
        <v>46119.5783912037</v>
      </c>
      <c r="L2429">
        <v>0</v>
      </c>
      <c r="M2429">
        <v>1</v>
      </c>
      <c r="N2429" s="98" t="str">
        <f>IF(record[[#This Row],[Memo]]="Browser:chrome os:android","平板報工",IF(record[[#This Row],[Memo]]=0,"委外",record[[#This Row],[Memo]]))</f>
        <v/>
      </c>
      <c r="O2429" t="s">
        <v>58</v>
      </c>
      <c r="P2429" t="s">
        <v>1698</v>
      </c>
      <c r="Q2429" t="s">
        <v>58</v>
      </c>
      <c r="R2429" t="str">
        <f>IFERROR(VLOOKUP(record[[#This Row],[PCUSTID]],廠商[],2,FALSE),"")</f>
        <v/>
      </c>
      <c r="S2429" t="str">
        <f>VLOOKUP(record[[#This Row],[employeeID]],員工[],2,FALSE)</f>
        <v>羅思潔</v>
      </c>
    </row>
    <row r="2430" spans="6:19" hidden="1" x14ac:dyDescent="0.25">
      <c r="F2430" t="s">
        <v>1722</v>
      </c>
      <c r="G2430" t="s">
        <v>398</v>
      </c>
      <c r="H2430" t="str">
        <f>VLOOKUP(record[[#This Row],[ProcessSN]],表格2_7[],2,FALSE)</f>
        <v>30-4118-018-550</v>
      </c>
      <c r="I2430" t="str">
        <f>VLOOKUP(record[[#This Row],[ProcessSN]],表格2_7[],3,FALSE)</f>
        <v>#08RCV</v>
      </c>
      <c r="J2430" t="s">
        <v>591</v>
      </c>
      <c r="K2430" s="195">
        <v>46119.578090277777</v>
      </c>
      <c r="L2430">
        <v>0</v>
      </c>
      <c r="M2430">
        <v>2</v>
      </c>
      <c r="N2430" s="98" t="str">
        <f>IF(record[[#This Row],[Memo]]="Browser:chrome os:android","平板報工",IF(record[[#This Row],[Memo]]=0,"委外",record[[#This Row],[Memo]]))</f>
        <v/>
      </c>
      <c r="O2430" t="s">
        <v>58</v>
      </c>
      <c r="P2430" t="s">
        <v>1698</v>
      </c>
      <c r="Q2430" t="s">
        <v>58</v>
      </c>
      <c r="R2430" t="str">
        <f>IFERROR(VLOOKUP(record[[#This Row],[PCUSTID]],廠商[],2,FALSE),"")</f>
        <v/>
      </c>
      <c r="S2430" t="str">
        <f>VLOOKUP(record[[#This Row],[employeeID]],員工[],2,FALSE)</f>
        <v>羅思潔</v>
      </c>
    </row>
    <row r="2431" spans="6:19" hidden="1" x14ac:dyDescent="0.25">
      <c r="F2431" t="s">
        <v>1719</v>
      </c>
      <c r="G2431" t="s">
        <v>357</v>
      </c>
      <c r="H2431" t="str">
        <f>VLOOKUP(record[[#This Row],[ProcessSN]],表格2_7[],2,FALSE)</f>
        <v>30-4118-018-450</v>
      </c>
      <c r="I2431" t="str">
        <f>VLOOKUP(record[[#This Row],[ProcessSN]],表格2_7[],3,FALSE)</f>
        <v>#08RCV</v>
      </c>
      <c r="J2431" t="s">
        <v>591</v>
      </c>
      <c r="K2431" s="195">
        <v>46119.57644675926</v>
      </c>
      <c r="L2431">
        <v>201</v>
      </c>
      <c r="M2431">
        <v>0</v>
      </c>
      <c r="N2431" s="98" t="str">
        <f>IF(record[[#This Row],[Memo]]="Browser:chrome os:android","平板報工",IF(record[[#This Row],[Memo]]=0,"委外",record[[#This Row],[Memo]]))</f>
        <v/>
      </c>
      <c r="O2431" t="s">
        <v>58</v>
      </c>
      <c r="P2431" t="s">
        <v>1698</v>
      </c>
      <c r="Q2431" t="s">
        <v>58</v>
      </c>
      <c r="R2431" t="str">
        <f>IFERROR(VLOOKUP(record[[#This Row],[PCUSTID]],廠商[],2,FALSE),"")</f>
        <v/>
      </c>
      <c r="S2431" t="str">
        <f>VLOOKUP(record[[#This Row],[employeeID]],員工[],2,FALSE)</f>
        <v>羅思潔</v>
      </c>
    </row>
    <row r="2432" spans="6:19" hidden="1" x14ac:dyDescent="0.25">
      <c r="F2432" t="s">
        <v>1722</v>
      </c>
      <c r="G2432" t="s">
        <v>398</v>
      </c>
      <c r="H2432" t="str">
        <f>VLOOKUP(record[[#This Row],[ProcessSN]],表格2_7[],2,FALSE)</f>
        <v>30-4118-018-550</v>
      </c>
      <c r="I2432" t="str">
        <f>VLOOKUP(record[[#This Row],[ProcessSN]],表格2_7[],3,FALSE)</f>
        <v>#08RCV</v>
      </c>
      <c r="J2432" t="s">
        <v>591</v>
      </c>
      <c r="K2432" s="195">
        <v>46119.575925925928</v>
      </c>
      <c r="L2432">
        <v>143</v>
      </c>
      <c r="M2432">
        <v>0</v>
      </c>
      <c r="N2432" s="98" t="str">
        <f>IF(record[[#This Row],[Memo]]="Browser:chrome os:android","平板報工",IF(record[[#This Row],[Memo]]=0,"委外",record[[#This Row],[Memo]]))</f>
        <v/>
      </c>
      <c r="O2432" t="s">
        <v>58</v>
      </c>
      <c r="P2432" t="s">
        <v>1698</v>
      </c>
      <c r="Q2432" t="s">
        <v>58</v>
      </c>
      <c r="R2432" t="str">
        <f>IFERROR(VLOOKUP(record[[#This Row],[PCUSTID]],廠商[],2,FALSE),"")</f>
        <v/>
      </c>
      <c r="S2432" t="str">
        <f>VLOOKUP(record[[#This Row],[employeeID]],員工[],2,FALSE)</f>
        <v>羅思潔</v>
      </c>
    </row>
    <row r="2433" spans="6:19" hidden="1" x14ac:dyDescent="0.25">
      <c r="F2433" t="s">
        <v>1714</v>
      </c>
      <c r="G2433" t="s">
        <v>423</v>
      </c>
      <c r="H2433" t="str">
        <f>VLOOKUP(record[[#This Row],[ProcessSN]],表格2_7[],2,FALSE)</f>
        <v>30-4118-018-600</v>
      </c>
      <c r="I2433" t="str">
        <f>VLOOKUP(record[[#This Row],[ProcessSN]],表格2_7[],3,FALSE)</f>
        <v>#08RCV</v>
      </c>
      <c r="J2433" t="s">
        <v>591</v>
      </c>
      <c r="K2433" s="195">
        <v>46119.571747685186</v>
      </c>
      <c r="L2433">
        <v>121</v>
      </c>
      <c r="M2433">
        <v>0</v>
      </c>
      <c r="N2433" s="98" t="str">
        <f>IF(record[[#This Row],[Memo]]="Browser:chrome os:android","平板報工",IF(record[[#This Row],[Memo]]=0,"委外",record[[#This Row],[Memo]]))</f>
        <v/>
      </c>
      <c r="O2433" t="s">
        <v>58</v>
      </c>
      <c r="P2433" t="s">
        <v>1698</v>
      </c>
      <c r="Q2433" t="s">
        <v>58</v>
      </c>
      <c r="R2433" t="str">
        <f>IFERROR(VLOOKUP(record[[#This Row],[PCUSTID]],廠商[],2,FALSE),"")</f>
        <v/>
      </c>
      <c r="S2433" t="str">
        <f>VLOOKUP(record[[#This Row],[employeeID]],員工[],2,FALSE)</f>
        <v>羅思潔</v>
      </c>
    </row>
    <row r="2434" spans="6:19" hidden="1" x14ac:dyDescent="0.25">
      <c r="F2434" t="s">
        <v>1587</v>
      </c>
      <c r="G2434" t="s">
        <v>378</v>
      </c>
      <c r="H2434" t="str">
        <f>VLOOKUP(record[[#This Row],[ProcessSN]],表格2_7[],2,FALSE)</f>
        <v>30-4118-018-4XX</v>
      </c>
      <c r="I2434" t="str">
        <f>VLOOKUP(record[[#This Row],[ProcessSN]],表格2_7[],3,FALSE)</f>
        <v>#07QC</v>
      </c>
      <c r="J2434" t="s">
        <v>589</v>
      </c>
      <c r="K2434" s="195">
        <v>46119.547511574077</v>
      </c>
      <c r="L2434">
        <v>0</v>
      </c>
      <c r="M2434">
        <v>30</v>
      </c>
      <c r="N2434" s="98" t="str">
        <f>IF(record[[#This Row],[Memo]]="Browser:chrome os:android","平板報工",IF(record[[#This Row],[Memo]]=0,"委外",record[[#This Row],[Memo]]))</f>
        <v/>
      </c>
      <c r="O2434" t="s">
        <v>58</v>
      </c>
      <c r="P2434" t="s">
        <v>141</v>
      </c>
      <c r="Q2434" t="s">
        <v>58</v>
      </c>
      <c r="R2434" t="str">
        <f>IFERROR(VLOOKUP(record[[#This Row],[PCUSTID]],廠商[],2,FALSE),"")</f>
        <v/>
      </c>
      <c r="S2434" t="str">
        <f>VLOOKUP(record[[#This Row],[employeeID]],員工[],2,FALSE)</f>
        <v>蔣梅</v>
      </c>
    </row>
    <row r="2435" spans="6:19" hidden="1" x14ac:dyDescent="0.25">
      <c r="F2435" t="s">
        <v>1587</v>
      </c>
      <c r="G2435" t="s">
        <v>377</v>
      </c>
      <c r="H2435" t="str">
        <f>VLOOKUP(record[[#This Row],[ProcessSN]],表格2_7[],2,FALSE)</f>
        <v>30-4118-018-4XX</v>
      </c>
      <c r="I2435" t="str">
        <f>VLOOKUP(record[[#This Row],[ProcessSN]],表格2_7[],3,FALSE)</f>
        <v>#07</v>
      </c>
      <c r="J2435" t="s">
        <v>588</v>
      </c>
      <c r="K2435" s="195">
        <v>46119.501481481479</v>
      </c>
      <c r="L2435">
        <v>30</v>
      </c>
      <c r="M2435">
        <v>0</v>
      </c>
      <c r="N2435" s="98" t="str">
        <f>IF(record[[#This Row],[Memo]]="Browser:chrome os:android","平板報工",IF(record[[#This Row],[Memo]]=0,"委外",record[[#This Row],[Memo]]))</f>
        <v>4/7檢包有料生產漏報工*30pcs</v>
      </c>
      <c r="O2435" t="s">
        <v>1760</v>
      </c>
      <c r="P2435" t="s">
        <v>1075</v>
      </c>
      <c r="Q2435" t="s">
        <v>58</v>
      </c>
      <c r="R2435" t="str">
        <f>IFERROR(VLOOKUP(record[[#This Row],[PCUSTID]],廠商[],2,FALSE),"")</f>
        <v/>
      </c>
      <c r="S2435" t="str">
        <f>VLOOKUP(record[[#This Row],[employeeID]],員工[],2,FALSE)</f>
        <v>吳宥叡</v>
      </c>
    </row>
    <row r="2436" spans="6:19" hidden="1" x14ac:dyDescent="0.25">
      <c r="F2436" t="s">
        <v>1587</v>
      </c>
      <c r="G2436" t="s">
        <v>376</v>
      </c>
      <c r="H2436" t="str">
        <f>VLOOKUP(record[[#This Row],[ProcessSN]],表格2_7[],2,FALSE)</f>
        <v>30-4118-018-4XX</v>
      </c>
      <c r="I2436" t="str">
        <f>VLOOKUP(record[[#This Row],[ProcessSN]],表格2_7[],3,FALSE)</f>
        <v>#06</v>
      </c>
      <c r="J2436" t="s">
        <v>593</v>
      </c>
      <c r="K2436" s="195">
        <v>46119.501238425924</v>
      </c>
      <c r="L2436">
        <v>30</v>
      </c>
      <c r="M2436">
        <v>0</v>
      </c>
      <c r="N2436" s="98" t="str">
        <f>IF(record[[#This Row],[Memo]]="Browser:chrome os:android","平板報工",IF(record[[#This Row],[Memo]]=0,"委外",record[[#This Row],[Memo]]))</f>
        <v>4/7檢包有料生產漏報工*30pcs</v>
      </c>
      <c r="O2436" t="s">
        <v>1760</v>
      </c>
      <c r="P2436" t="s">
        <v>1075</v>
      </c>
      <c r="Q2436" t="s">
        <v>58</v>
      </c>
      <c r="R2436" t="str">
        <f>IFERROR(VLOOKUP(record[[#This Row],[PCUSTID]],廠商[],2,FALSE),"")</f>
        <v/>
      </c>
      <c r="S2436" t="str">
        <f>VLOOKUP(record[[#This Row],[employeeID]],員工[],2,FALSE)</f>
        <v>吳宥叡</v>
      </c>
    </row>
    <row r="2437" spans="6:19" hidden="1" x14ac:dyDescent="0.25">
      <c r="F2437" t="s">
        <v>1702</v>
      </c>
      <c r="G2437" t="s">
        <v>378</v>
      </c>
      <c r="H2437" t="str">
        <f>VLOOKUP(record[[#This Row],[ProcessSN]],表格2_7[],2,FALSE)</f>
        <v>30-4118-018-4XX</v>
      </c>
      <c r="I2437" t="str">
        <f>VLOOKUP(record[[#This Row],[ProcessSN]],表格2_7[],3,FALSE)</f>
        <v>#07QC</v>
      </c>
      <c r="J2437" t="s">
        <v>589</v>
      </c>
      <c r="K2437" s="195">
        <v>46119.469039351854</v>
      </c>
      <c r="L2437">
        <v>0</v>
      </c>
      <c r="M2437">
        <v>31</v>
      </c>
      <c r="N2437" s="98" t="str">
        <f>IF(record[[#This Row],[Memo]]="Browser:chrome os:android","平板報工",IF(record[[#This Row],[Memo]]=0,"委外",record[[#This Row],[Memo]]))</f>
        <v/>
      </c>
      <c r="O2437" t="s">
        <v>58</v>
      </c>
      <c r="P2437" t="s">
        <v>141</v>
      </c>
      <c r="Q2437" t="s">
        <v>58</v>
      </c>
      <c r="R2437" t="str">
        <f>IFERROR(VLOOKUP(record[[#This Row],[PCUSTID]],廠商[],2,FALSE),"")</f>
        <v/>
      </c>
      <c r="S2437" t="str">
        <f>VLOOKUP(record[[#This Row],[employeeID]],員工[],2,FALSE)</f>
        <v>蔣梅</v>
      </c>
    </row>
    <row r="2438" spans="6:19" hidden="1" x14ac:dyDescent="0.25">
      <c r="F2438" t="s">
        <v>1702</v>
      </c>
      <c r="G2438" t="s">
        <v>378</v>
      </c>
      <c r="H2438" t="str">
        <f>VLOOKUP(record[[#This Row],[ProcessSN]],表格2_7[],2,FALSE)</f>
        <v>30-4118-018-4XX</v>
      </c>
      <c r="I2438" t="str">
        <f>VLOOKUP(record[[#This Row],[ProcessSN]],表格2_7[],3,FALSE)</f>
        <v>#07QC</v>
      </c>
      <c r="J2438" t="s">
        <v>589</v>
      </c>
      <c r="K2438" s="195">
        <v>46119.468645833331</v>
      </c>
      <c r="L2438">
        <v>122</v>
      </c>
      <c r="M2438">
        <v>0</v>
      </c>
      <c r="N2438" s="98" t="str">
        <f>IF(record[[#This Row],[Memo]]="Browser:chrome os:android","平板報工",IF(record[[#This Row],[Memo]]=0,"委外",record[[#This Row],[Memo]]))</f>
        <v/>
      </c>
      <c r="O2438" t="s">
        <v>58</v>
      </c>
      <c r="P2438" t="s">
        <v>141</v>
      </c>
      <c r="Q2438" t="s">
        <v>58</v>
      </c>
      <c r="R2438" t="str">
        <f>IFERROR(VLOOKUP(record[[#This Row],[PCUSTID]],廠商[],2,FALSE),"")</f>
        <v/>
      </c>
      <c r="S2438" t="str">
        <f>VLOOKUP(record[[#This Row],[employeeID]],員工[],2,FALSE)</f>
        <v>蔣梅</v>
      </c>
    </row>
    <row r="2439" spans="6:19" hidden="1" x14ac:dyDescent="0.25">
      <c r="F2439" t="s">
        <v>1715</v>
      </c>
      <c r="G2439" t="s">
        <v>400</v>
      </c>
      <c r="H2439" t="str">
        <f>VLOOKUP(record[[#This Row],[ProcessSN]],表格2_7[],2,FALSE)</f>
        <v>30-4118-018-550</v>
      </c>
      <c r="I2439" t="str">
        <f>VLOOKUP(record[[#This Row],[ProcessSN]],表格2_7[],3,FALSE)</f>
        <v>#100</v>
      </c>
      <c r="J2439" t="s">
        <v>598</v>
      </c>
      <c r="K2439" s="195">
        <v>46119.428576388891</v>
      </c>
      <c r="L2439">
        <v>0</v>
      </c>
      <c r="M2439">
        <v>3</v>
      </c>
      <c r="N2439" s="98" t="str">
        <f>IF(record[[#This Row],[Memo]]="Browser:chrome os:android","平板報工",IF(record[[#This Row],[Memo]]=0,"委外",record[[#This Row],[Memo]]))</f>
        <v/>
      </c>
      <c r="O2439" t="s">
        <v>58</v>
      </c>
      <c r="P2439" t="s">
        <v>103</v>
      </c>
      <c r="Q2439" t="s">
        <v>58</v>
      </c>
      <c r="R2439" t="str">
        <f>IFERROR(VLOOKUP(record[[#This Row],[PCUSTID]],廠商[],2,FALSE),"")</f>
        <v/>
      </c>
      <c r="S2439" t="str">
        <f>VLOOKUP(record[[#This Row],[employeeID]],員工[],2,FALSE)</f>
        <v>黎秋水</v>
      </c>
    </row>
    <row r="2440" spans="6:19" hidden="1" x14ac:dyDescent="0.25">
      <c r="F2440" t="s">
        <v>1715</v>
      </c>
      <c r="G2440" t="s">
        <v>400</v>
      </c>
      <c r="H2440" t="str">
        <f>VLOOKUP(record[[#This Row],[ProcessSN]],表格2_7[],2,FALSE)</f>
        <v>30-4118-018-550</v>
      </c>
      <c r="I2440" t="str">
        <f>VLOOKUP(record[[#This Row],[ProcessSN]],表格2_7[],3,FALSE)</f>
        <v>#100</v>
      </c>
      <c r="J2440" t="s">
        <v>598</v>
      </c>
      <c r="K2440" s="195">
        <v>46119.428171296298</v>
      </c>
      <c r="L2440">
        <v>261</v>
      </c>
      <c r="M2440">
        <v>0</v>
      </c>
      <c r="N2440" s="98" t="str">
        <f>IF(record[[#This Row],[Memo]]="Browser:chrome os:android","平板報工",IF(record[[#This Row],[Memo]]=0,"委外",record[[#This Row],[Memo]]))</f>
        <v/>
      </c>
      <c r="O2440" t="s">
        <v>58</v>
      </c>
      <c r="P2440" t="s">
        <v>103</v>
      </c>
      <c r="Q2440" t="s">
        <v>58</v>
      </c>
      <c r="R2440" t="str">
        <f>IFERROR(VLOOKUP(record[[#This Row],[PCUSTID]],廠商[],2,FALSE),"")</f>
        <v/>
      </c>
      <c r="S2440" t="str">
        <f>VLOOKUP(record[[#This Row],[employeeID]],員工[],2,FALSE)</f>
        <v>黎秋水</v>
      </c>
    </row>
    <row r="2441" spans="6:19" hidden="1" x14ac:dyDescent="0.25">
      <c r="F2441" t="s">
        <v>1702</v>
      </c>
      <c r="G2441" t="s">
        <v>379</v>
      </c>
      <c r="H2441" t="str">
        <f>VLOOKUP(record[[#This Row],[ProcessSN]],表格2_7[],2,FALSE)</f>
        <v>30-4118-018-4XX</v>
      </c>
      <c r="I2441" t="str">
        <f>VLOOKUP(record[[#This Row],[ProcessSN]],表格2_7[],3,FALSE)</f>
        <v>#07STOCK</v>
      </c>
      <c r="J2441" t="s">
        <v>592</v>
      </c>
      <c r="K2441" s="195">
        <v>46119.415254629632</v>
      </c>
      <c r="L2441">
        <v>472</v>
      </c>
      <c r="M2441">
        <v>0</v>
      </c>
      <c r="N2441" s="98" t="str">
        <f>IF(record[[#This Row],[Memo]]="Browser:chrome os:android","平板報工",IF(record[[#This Row],[Memo]]=0,"委外",record[[#This Row],[Memo]]))</f>
        <v/>
      </c>
      <c r="O2441" t="s">
        <v>58</v>
      </c>
      <c r="P2441" t="s">
        <v>186</v>
      </c>
      <c r="Q2441" t="s">
        <v>58</v>
      </c>
      <c r="R2441" t="str">
        <f>IFERROR(VLOOKUP(record[[#This Row],[PCUSTID]],廠商[],2,FALSE),"")</f>
        <v/>
      </c>
      <c r="S2441" t="str">
        <f>VLOOKUP(record[[#This Row],[employeeID]],員工[],2,FALSE)</f>
        <v>許文姍</v>
      </c>
    </row>
    <row r="2442" spans="6:19" hidden="1" x14ac:dyDescent="0.25">
      <c r="F2442" t="s">
        <v>1587</v>
      </c>
      <c r="G2442" t="s">
        <v>379</v>
      </c>
      <c r="H2442" t="str">
        <f>VLOOKUP(record[[#This Row],[ProcessSN]],表格2_7[],2,FALSE)</f>
        <v>30-4118-018-4XX</v>
      </c>
      <c r="I2442" t="str">
        <f>VLOOKUP(record[[#This Row],[ProcessSN]],表格2_7[],3,FALSE)</f>
        <v>#07STOCK</v>
      </c>
      <c r="J2442" t="s">
        <v>592</v>
      </c>
      <c r="K2442" s="195">
        <v>46119.41511574074</v>
      </c>
      <c r="L2442">
        <v>853</v>
      </c>
      <c r="M2442">
        <v>0</v>
      </c>
      <c r="N2442" s="98" t="str">
        <f>IF(record[[#This Row],[Memo]]="Browser:chrome os:android","平板報工",IF(record[[#This Row],[Memo]]=0,"委外",record[[#This Row],[Memo]]))</f>
        <v/>
      </c>
      <c r="O2442" t="s">
        <v>58</v>
      </c>
      <c r="P2442" t="s">
        <v>186</v>
      </c>
      <c r="Q2442" t="s">
        <v>58</v>
      </c>
      <c r="R2442" t="str">
        <f>IFERROR(VLOOKUP(record[[#This Row],[PCUSTID]],廠商[],2,FALSE),"")</f>
        <v/>
      </c>
      <c r="S2442" t="str">
        <f>VLOOKUP(record[[#This Row],[employeeID]],員工[],2,FALSE)</f>
        <v>許文姍</v>
      </c>
    </row>
    <row r="2443" spans="6:19" hidden="1" x14ac:dyDescent="0.25">
      <c r="F2443" t="s">
        <v>1655</v>
      </c>
      <c r="G2443" t="s">
        <v>468</v>
      </c>
      <c r="H2443" t="str">
        <f>VLOOKUP(record[[#This Row],[ProcessSN]],表格2_7[],2,FALSE)</f>
        <v>30-4118-018-XXX</v>
      </c>
      <c r="I2443" t="str">
        <f>VLOOKUP(record[[#This Row],[ProcessSN]],表格2_7[],3,FALSE)</f>
        <v>#02</v>
      </c>
      <c r="J2443" t="s">
        <v>590</v>
      </c>
      <c r="K2443" s="195">
        <v>46119.411944444444</v>
      </c>
      <c r="L2443">
        <v>672</v>
      </c>
      <c r="M2443">
        <v>0</v>
      </c>
      <c r="N2443" s="98" t="str">
        <f>IF(record[[#This Row],[Memo]]="Browser:chrome os:android","平板報工",IF(record[[#This Row],[Memo]]=0,"委外",record[[#This Row],[Memo]]))</f>
        <v>委外</v>
      </c>
      <c r="P2443" t="s">
        <v>186</v>
      </c>
      <c r="Q2443" t="s">
        <v>216</v>
      </c>
      <c r="R2443" t="str">
        <f>IFERROR(VLOOKUP(record[[#This Row],[PCUSTID]],廠商[],2,FALSE),"")</f>
        <v>俊杰</v>
      </c>
      <c r="S2443" t="str">
        <f>VLOOKUP(record[[#This Row],[employeeID]],員工[],2,FALSE)</f>
        <v>許文姍</v>
      </c>
    </row>
    <row r="2444" spans="6:19" hidden="1" x14ac:dyDescent="0.25">
      <c r="F2444" t="s">
        <v>1737</v>
      </c>
      <c r="G2444" t="s">
        <v>356</v>
      </c>
      <c r="H2444" t="str">
        <f>VLOOKUP(record[[#This Row],[ProcessSN]],表格2_7[],2,FALSE)</f>
        <v>30-4118-018-450</v>
      </c>
      <c r="I2444" t="str">
        <f>VLOOKUP(record[[#This Row],[ProcessSN]],表格2_7[],3,FALSE)</f>
        <v>#08</v>
      </c>
      <c r="J2444" t="s">
        <v>597</v>
      </c>
      <c r="K2444" s="195">
        <v>46119.408275462964</v>
      </c>
      <c r="L2444">
        <v>1325</v>
      </c>
      <c r="M2444">
        <v>0</v>
      </c>
      <c r="N2444" s="98" t="str">
        <f>IF(record[[#This Row],[Memo]]="Browser:chrome os:android","平板報工",IF(record[[#This Row],[Memo]]=0,"委外",record[[#This Row],[Memo]]))</f>
        <v>委外</v>
      </c>
      <c r="P2444" t="s">
        <v>186</v>
      </c>
      <c r="Q2444" t="s">
        <v>287</v>
      </c>
      <c r="R2444" t="str">
        <f>IFERROR(VLOOKUP(record[[#This Row],[PCUSTID]],廠商[],2,FALSE),"")</f>
        <v>泉盛</v>
      </c>
      <c r="S2444" t="str">
        <f>VLOOKUP(record[[#This Row],[employeeID]],員工[],2,FALSE)</f>
        <v>許文姍</v>
      </c>
    </row>
    <row r="2445" spans="6:19" hidden="1" x14ac:dyDescent="0.25">
      <c r="F2445" t="s">
        <v>1737</v>
      </c>
      <c r="G2445" t="s">
        <v>355</v>
      </c>
      <c r="H2445" t="str">
        <f>VLOOKUP(record[[#This Row],[ProcessSN]],表格2_7[],2,FALSE)</f>
        <v>30-4118-018-450</v>
      </c>
      <c r="I2445" t="str">
        <f>VLOOKUP(record[[#This Row],[ProcessSN]],表格2_7[],3,FALSE)</f>
        <v>#08PICK</v>
      </c>
      <c r="J2445" t="s">
        <v>582</v>
      </c>
      <c r="K2445" s="195">
        <v>46119.408113425925</v>
      </c>
      <c r="L2445">
        <v>1325</v>
      </c>
      <c r="M2445">
        <v>0</v>
      </c>
      <c r="N2445" s="98" t="str">
        <f>IF(record[[#This Row],[Memo]]="Browser:chrome os:android","平板報工",IF(record[[#This Row],[Memo]]=0,"委外",record[[#This Row],[Memo]]))</f>
        <v/>
      </c>
      <c r="O2445" t="s">
        <v>58</v>
      </c>
      <c r="P2445" t="s">
        <v>186</v>
      </c>
      <c r="Q2445" t="s">
        <v>58</v>
      </c>
      <c r="R2445" t="str">
        <f>IFERROR(VLOOKUP(record[[#This Row],[PCUSTID]],廠商[],2,FALSE),"")</f>
        <v/>
      </c>
      <c r="S2445" t="str">
        <f>VLOOKUP(record[[#This Row],[employeeID]],員工[],2,FALSE)</f>
        <v>許文姍</v>
      </c>
    </row>
    <row r="2446" spans="6:19" hidden="1" x14ac:dyDescent="0.25">
      <c r="F2446" t="s">
        <v>1702</v>
      </c>
      <c r="G2446" t="s">
        <v>378</v>
      </c>
      <c r="H2446" t="str">
        <f>VLOOKUP(record[[#This Row],[ProcessSN]],表格2_7[],2,FALSE)</f>
        <v>30-4118-018-4XX</v>
      </c>
      <c r="I2446" t="str">
        <f>VLOOKUP(record[[#This Row],[ProcessSN]],表格2_7[],3,FALSE)</f>
        <v>#07QC</v>
      </c>
      <c r="J2446" t="s">
        <v>589</v>
      </c>
      <c r="K2446" s="195">
        <v>46119.406608796293</v>
      </c>
      <c r="L2446">
        <v>168</v>
      </c>
      <c r="M2446">
        <v>0</v>
      </c>
      <c r="N2446" s="98" t="str">
        <f>IF(record[[#This Row],[Memo]]="Browser:chrome os:android","平板報工",IF(record[[#This Row],[Memo]]=0,"委外",record[[#This Row],[Memo]]))</f>
        <v/>
      </c>
      <c r="O2446" t="s">
        <v>58</v>
      </c>
      <c r="P2446" t="s">
        <v>141</v>
      </c>
      <c r="Q2446" t="s">
        <v>58</v>
      </c>
      <c r="R2446" t="str">
        <f>IFERROR(VLOOKUP(record[[#This Row],[PCUSTID]],廠商[],2,FALSE),"")</f>
        <v/>
      </c>
      <c r="S2446" t="str">
        <f>VLOOKUP(record[[#This Row],[employeeID]],員工[],2,FALSE)</f>
        <v>蔣梅</v>
      </c>
    </row>
    <row r="2447" spans="6:19" hidden="1" x14ac:dyDescent="0.25">
      <c r="F2447" t="s">
        <v>1729</v>
      </c>
      <c r="G2447" t="s">
        <v>397</v>
      </c>
      <c r="H2447" t="str">
        <f>VLOOKUP(record[[#This Row],[ProcessSN]],表格2_7[],2,FALSE)</f>
        <v>30-4118-018-550</v>
      </c>
      <c r="I2447" t="str">
        <f>VLOOKUP(record[[#This Row],[ProcessSN]],表格2_7[],3,FALSE)</f>
        <v>#08</v>
      </c>
      <c r="J2447" t="s">
        <v>597</v>
      </c>
      <c r="K2447" s="195">
        <v>46119.393460648149</v>
      </c>
      <c r="L2447">
        <v>145</v>
      </c>
      <c r="M2447">
        <v>0</v>
      </c>
      <c r="N2447" s="98" t="str">
        <f>IF(record[[#This Row],[Memo]]="Browser:chrome os:android","平板報工",IF(record[[#This Row],[Memo]]=0,"委外",record[[#This Row],[Memo]]))</f>
        <v>委外</v>
      </c>
      <c r="P2447" t="s">
        <v>186</v>
      </c>
      <c r="Q2447" t="s">
        <v>287</v>
      </c>
      <c r="R2447" t="str">
        <f>IFERROR(VLOOKUP(record[[#This Row],[PCUSTID]],廠商[],2,FALSE),"")</f>
        <v>泉盛</v>
      </c>
      <c r="S2447" t="str">
        <f>VLOOKUP(record[[#This Row],[employeeID]],員工[],2,FALSE)</f>
        <v>許文姍</v>
      </c>
    </row>
    <row r="2448" spans="6:19" hidden="1" x14ac:dyDescent="0.25">
      <c r="F2448" t="s">
        <v>1729</v>
      </c>
      <c r="G2448" t="s">
        <v>396</v>
      </c>
      <c r="H2448" t="str">
        <f>VLOOKUP(record[[#This Row],[ProcessSN]],表格2_7[],2,FALSE)</f>
        <v>30-4118-018-550</v>
      </c>
      <c r="I2448" t="str">
        <f>VLOOKUP(record[[#This Row],[ProcessSN]],表格2_7[],3,FALSE)</f>
        <v>#08PICK</v>
      </c>
      <c r="J2448" t="s">
        <v>582</v>
      </c>
      <c r="K2448" s="195">
        <v>46119.393310185187</v>
      </c>
      <c r="L2448">
        <v>145</v>
      </c>
      <c r="M2448">
        <v>0</v>
      </c>
      <c r="N2448" s="98" t="str">
        <f>IF(record[[#This Row],[Memo]]="Browser:chrome os:android","平板報工",IF(record[[#This Row],[Memo]]=0,"委外",record[[#This Row],[Memo]]))</f>
        <v/>
      </c>
      <c r="O2448" t="s">
        <v>58</v>
      </c>
      <c r="P2448" t="s">
        <v>186</v>
      </c>
      <c r="Q2448" t="s">
        <v>58</v>
      </c>
      <c r="R2448" t="str">
        <f>IFERROR(VLOOKUP(record[[#This Row],[PCUSTID]],廠商[],2,FALSE),"")</f>
        <v/>
      </c>
      <c r="S2448" t="str">
        <f>VLOOKUP(record[[#This Row],[employeeID]],員工[],2,FALSE)</f>
        <v>許文姍</v>
      </c>
    </row>
    <row r="2449" spans="6:19" hidden="1" x14ac:dyDescent="0.25">
      <c r="F2449" t="s">
        <v>1653</v>
      </c>
      <c r="G2449" t="s">
        <v>420</v>
      </c>
      <c r="H2449" t="str">
        <f>VLOOKUP(record[[#This Row],[ProcessSN]],表格2_7[],2,FALSE)</f>
        <v>30-4118-018-5XX</v>
      </c>
      <c r="I2449" t="str">
        <f>VLOOKUP(record[[#This Row],[ProcessSN]],表格2_7[],3,FALSE)</f>
        <v>#07STOCK</v>
      </c>
      <c r="J2449" t="s">
        <v>592</v>
      </c>
      <c r="K2449" s="195">
        <v>46119.392048611109</v>
      </c>
      <c r="L2449">
        <v>25</v>
      </c>
      <c r="M2449">
        <v>0</v>
      </c>
      <c r="N2449" s="98" t="str">
        <f>IF(record[[#This Row],[Memo]]="Browser:chrome os:android","平板報工",IF(record[[#This Row],[Memo]]=0,"委外",record[[#This Row],[Memo]]))</f>
        <v/>
      </c>
      <c r="O2449" t="s">
        <v>58</v>
      </c>
      <c r="P2449" t="s">
        <v>186</v>
      </c>
      <c r="Q2449" t="s">
        <v>58</v>
      </c>
      <c r="R2449" t="str">
        <f>IFERROR(VLOOKUP(record[[#This Row],[PCUSTID]],廠商[],2,FALSE),"")</f>
        <v/>
      </c>
      <c r="S2449" t="str">
        <f>VLOOKUP(record[[#This Row],[employeeID]],員工[],2,FALSE)</f>
        <v>許文姍</v>
      </c>
    </row>
    <row r="2450" spans="6:19" hidden="1" x14ac:dyDescent="0.25">
      <c r="F2450" t="s">
        <v>1589</v>
      </c>
      <c r="G2450" t="s">
        <v>420</v>
      </c>
      <c r="H2450" t="str">
        <f>VLOOKUP(record[[#This Row],[ProcessSN]],表格2_7[],2,FALSE)</f>
        <v>30-4118-018-5XX</v>
      </c>
      <c r="I2450" t="str">
        <f>VLOOKUP(record[[#This Row],[ProcessSN]],表格2_7[],3,FALSE)</f>
        <v>#07STOCK</v>
      </c>
      <c r="J2450" t="s">
        <v>592</v>
      </c>
      <c r="K2450" s="195">
        <v>46119.391909722224</v>
      </c>
      <c r="L2450">
        <v>120</v>
      </c>
      <c r="M2450">
        <v>0</v>
      </c>
      <c r="N2450" s="98" t="str">
        <f>IF(record[[#This Row],[Memo]]="Browser:chrome os:android","平板報工",IF(record[[#This Row],[Memo]]=0,"委外",record[[#This Row],[Memo]]))</f>
        <v/>
      </c>
      <c r="O2450" t="s">
        <v>58</v>
      </c>
      <c r="P2450" t="s">
        <v>186</v>
      </c>
      <c r="Q2450" t="s">
        <v>58</v>
      </c>
      <c r="R2450" t="str">
        <f>IFERROR(VLOOKUP(record[[#This Row],[PCUSTID]],廠商[],2,FALSE),"")</f>
        <v/>
      </c>
      <c r="S2450" t="str">
        <f>VLOOKUP(record[[#This Row],[employeeID]],員工[],2,FALSE)</f>
        <v>許文姍</v>
      </c>
    </row>
    <row r="2451" spans="6:19" hidden="1" x14ac:dyDescent="0.25">
      <c r="F2451" t="s">
        <v>1655</v>
      </c>
      <c r="G2451" t="s">
        <v>467</v>
      </c>
      <c r="H2451" t="str">
        <f>VLOOKUP(record[[#This Row],[ProcessSN]],表格2_7[],2,FALSE)</f>
        <v>30-4118-018-XXX</v>
      </c>
      <c r="I2451" t="str">
        <f>VLOOKUP(record[[#This Row],[ProcessSN]],表格2_7[],3,FALSE)</f>
        <v>#01QC</v>
      </c>
      <c r="J2451" t="s">
        <v>589</v>
      </c>
      <c r="K2451" s="195">
        <v>46119.354120370372</v>
      </c>
      <c r="L2451">
        <v>672</v>
      </c>
      <c r="M2451">
        <v>0</v>
      </c>
      <c r="N2451" s="98" t="str">
        <f>IF(record[[#This Row],[Memo]]="Browser:chrome os:android","平板報工",IF(record[[#This Row],[Memo]]=0,"委外",record[[#This Row],[Memo]]))</f>
        <v>平板報工</v>
      </c>
      <c r="O2451" t="s">
        <v>643</v>
      </c>
      <c r="P2451" t="s">
        <v>182</v>
      </c>
      <c r="Q2451" t="s">
        <v>644</v>
      </c>
      <c r="R2451" t="str">
        <f>IFERROR(VLOOKUP(record[[#This Row],[PCUSTID]],廠商[],2,FALSE),"")</f>
        <v/>
      </c>
      <c r="S2451" t="str">
        <f>VLOOKUP(record[[#This Row],[employeeID]],員工[],2,FALSE)</f>
        <v>梅氏和</v>
      </c>
    </row>
    <row r="2452" spans="6:19" hidden="1" x14ac:dyDescent="0.25">
      <c r="F2452" t="s">
        <v>1702</v>
      </c>
      <c r="G2452" t="s">
        <v>376</v>
      </c>
      <c r="H2452" t="str">
        <f>VLOOKUP(record[[#This Row],[ProcessSN]],表格2_7[],2,FALSE)</f>
        <v>30-4118-018-4XX</v>
      </c>
      <c r="I2452" t="str">
        <f>VLOOKUP(record[[#This Row],[ProcessSN]],表格2_7[],3,FALSE)</f>
        <v>#06</v>
      </c>
      <c r="J2452" t="s">
        <v>593</v>
      </c>
      <c r="K2452" s="195">
        <v>46117.299687500003</v>
      </c>
      <c r="L2452">
        <v>133</v>
      </c>
      <c r="M2452">
        <v>1</v>
      </c>
      <c r="N2452" s="98" t="str">
        <f>IF(record[[#This Row],[Memo]]="Browser:chrome os:android","平板報工",IF(record[[#This Row],[Memo]]=0,"委外",record[[#This Row],[Memo]]))</f>
        <v/>
      </c>
      <c r="O2452" t="s">
        <v>58</v>
      </c>
      <c r="P2452" t="s">
        <v>180</v>
      </c>
      <c r="Q2452" t="s">
        <v>58</v>
      </c>
      <c r="R2452" t="str">
        <f>IFERROR(VLOOKUP(record[[#This Row],[PCUSTID]],廠商[],2,FALSE),"")</f>
        <v/>
      </c>
      <c r="S2452" t="str">
        <f>VLOOKUP(record[[#This Row],[employeeID]],員工[],2,FALSE)</f>
        <v>黎功江</v>
      </c>
    </row>
    <row r="2453" spans="6:19" hidden="1" x14ac:dyDescent="0.25">
      <c r="F2453" t="s">
        <v>1655</v>
      </c>
      <c r="G2453" t="s">
        <v>466</v>
      </c>
      <c r="H2453" t="str">
        <f>VLOOKUP(record[[#This Row],[ProcessSN]],表格2_7[],2,FALSE)</f>
        <v>30-4118-018-XXX</v>
      </c>
      <c r="I2453" t="str">
        <f>VLOOKUP(record[[#This Row],[ProcessSN]],表格2_7[],3,FALSE)</f>
        <v>#01-2</v>
      </c>
      <c r="J2453" t="s">
        <v>588</v>
      </c>
      <c r="K2453" s="195">
        <v>46117.294583333336</v>
      </c>
      <c r="L2453">
        <v>409</v>
      </c>
      <c r="M2453">
        <v>0</v>
      </c>
      <c r="N2453" s="98" t="str">
        <f>IF(record[[#This Row],[Memo]]="Browser:chrome os:android","平板報工",IF(record[[#This Row],[Memo]]=0,"委外",record[[#This Row],[Memo]]))</f>
        <v/>
      </c>
      <c r="O2453" t="s">
        <v>58</v>
      </c>
      <c r="P2453" t="s">
        <v>806</v>
      </c>
      <c r="Q2453" t="s">
        <v>58</v>
      </c>
      <c r="R2453" t="str">
        <f>IFERROR(VLOOKUP(record[[#This Row],[PCUSTID]],廠商[],2,FALSE),"")</f>
        <v/>
      </c>
      <c r="S2453" t="str">
        <f>VLOOKUP(record[[#This Row],[employeeID]],員工[],2,FALSE)</f>
        <v>方思緯</v>
      </c>
    </row>
    <row r="2454" spans="6:19" hidden="1" x14ac:dyDescent="0.25">
      <c r="F2454" t="s">
        <v>1655</v>
      </c>
      <c r="G2454" t="s">
        <v>465</v>
      </c>
      <c r="H2454" t="str">
        <f>VLOOKUP(record[[#This Row],[ProcessSN]],表格2_7[],2,FALSE)</f>
        <v>30-4118-018-XXX</v>
      </c>
      <c r="I2454" t="str">
        <f>VLOOKUP(record[[#This Row],[ProcessSN]],表格2_7[],3,FALSE)</f>
        <v>#01-1</v>
      </c>
      <c r="J2454" t="s">
        <v>588</v>
      </c>
      <c r="K2454" s="195">
        <v>46117.294363425928</v>
      </c>
      <c r="L2454">
        <v>412</v>
      </c>
      <c r="M2454">
        <v>0</v>
      </c>
      <c r="N2454" s="98" t="str">
        <f>IF(record[[#This Row],[Memo]]="Browser:chrome os:android","平板報工",IF(record[[#This Row],[Memo]]=0,"委外",record[[#This Row],[Memo]]))</f>
        <v/>
      </c>
      <c r="O2454" t="s">
        <v>58</v>
      </c>
      <c r="P2454" t="s">
        <v>806</v>
      </c>
      <c r="Q2454" t="s">
        <v>58</v>
      </c>
      <c r="R2454" t="str">
        <f>IFERROR(VLOOKUP(record[[#This Row],[PCUSTID]],廠商[],2,FALSE),"")</f>
        <v/>
      </c>
      <c r="S2454" t="str">
        <f>VLOOKUP(record[[#This Row],[employeeID]],員工[],2,FALSE)</f>
        <v>方思緯</v>
      </c>
    </row>
    <row r="2455" spans="6:19" hidden="1" x14ac:dyDescent="0.25">
      <c r="F2455" t="s">
        <v>1702</v>
      </c>
      <c r="G2455" t="s">
        <v>377</v>
      </c>
      <c r="H2455" t="str">
        <f>VLOOKUP(record[[#This Row],[ProcessSN]],表格2_7[],2,FALSE)</f>
        <v>30-4118-018-4XX</v>
      </c>
      <c r="I2455" t="str">
        <f>VLOOKUP(record[[#This Row],[ProcessSN]],表格2_7[],3,FALSE)</f>
        <v>#07</v>
      </c>
      <c r="J2455" t="s">
        <v>588</v>
      </c>
      <c r="K2455" s="195">
        <v>46116.984085648146</v>
      </c>
      <c r="L2455">
        <v>225</v>
      </c>
      <c r="M2455">
        <v>5</v>
      </c>
      <c r="N2455" s="98" t="str">
        <f>IF(record[[#This Row],[Memo]]="Browser:chrome os:android","平板報工",IF(record[[#This Row],[Memo]]=0,"委外",record[[#This Row],[Memo]]))</f>
        <v/>
      </c>
      <c r="O2455" t="s">
        <v>58</v>
      </c>
      <c r="P2455" t="s">
        <v>135</v>
      </c>
      <c r="Q2455" t="s">
        <v>58</v>
      </c>
      <c r="R2455" t="str">
        <f>IFERROR(VLOOKUP(record[[#This Row],[PCUSTID]],廠商[],2,FALSE),"")</f>
        <v/>
      </c>
      <c r="S2455" t="str">
        <f>VLOOKUP(record[[#This Row],[employeeID]],員工[],2,FALSE)</f>
        <v>阮士文</v>
      </c>
    </row>
    <row r="2456" spans="6:19" hidden="1" x14ac:dyDescent="0.25">
      <c r="F2456" t="s">
        <v>1655</v>
      </c>
      <c r="G2456" t="s">
        <v>466</v>
      </c>
      <c r="H2456" t="str">
        <f>VLOOKUP(record[[#This Row],[ProcessSN]],表格2_7[],2,FALSE)</f>
        <v>30-4118-018-XXX</v>
      </c>
      <c r="I2456" t="str">
        <f>VLOOKUP(record[[#This Row],[ProcessSN]],表格2_7[],3,FALSE)</f>
        <v>#01-2</v>
      </c>
      <c r="J2456" t="s">
        <v>588</v>
      </c>
      <c r="K2456" s="195">
        <v>46116.983449074076</v>
      </c>
      <c r="L2456">
        <v>411</v>
      </c>
      <c r="M2456">
        <v>0</v>
      </c>
      <c r="N2456" s="98" t="str">
        <f>IF(record[[#This Row],[Memo]]="Browser:chrome os:android","平板報工",IF(record[[#This Row],[Memo]]=0,"委外",record[[#This Row],[Memo]]))</f>
        <v/>
      </c>
      <c r="O2456" t="s">
        <v>58</v>
      </c>
      <c r="P2456" t="s">
        <v>89</v>
      </c>
      <c r="Q2456" t="s">
        <v>58</v>
      </c>
      <c r="R2456" t="str">
        <f>IFERROR(VLOOKUP(record[[#This Row],[PCUSTID]],廠商[],2,FALSE),"")</f>
        <v/>
      </c>
      <c r="S2456" t="str">
        <f>VLOOKUP(record[[#This Row],[employeeID]],員工[],2,FALSE)</f>
        <v>李美蓮</v>
      </c>
    </row>
    <row r="2457" spans="6:19" hidden="1" x14ac:dyDescent="0.25">
      <c r="F2457" t="s">
        <v>1655</v>
      </c>
      <c r="G2457" t="s">
        <v>465</v>
      </c>
      <c r="H2457" t="str">
        <f>VLOOKUP(record[[#This Row],[ProcessSN]],表格2_7[],2,FALSE)</f>
        <v>30-4118-018-XXX</v>
      </c>
      <c r="I2457" t="str">
        <f>VLOOKUP(record[[#This Row],[ProcessSN]],表格2_7[],3,FALSE)</f>
        <v>#01-1</v>
      </c>
      <c r="J2457" t="s">
        <v>588</v>
      </c>
      <c r="K2457" s="195">
        <v>46116.983229166668</v>
      </c>
      <c r="L2457">
        <v>572</v>
      </c>
      <c r="M2457">
        <v>0</v>
      </c>
      <c r="N2457" s="98" t="str">
        <f>IF(record[[#This Row],[Memo]]="Browser:chrome os:android","平板報工",IF(record[[#This Row],[Memo]]=0,"委外",record[[#This Row],[Memo]]))</f>
        <v/>
      </c>
      <c r="O2457" t="s">
        <v>58</v>
      </c>
      <c r="P2457" t="s">
        <v>89</v>
      </c>
      <c r="Q2457" t="s">
        <v>58</v>
      </c>
      <c r="R2457" t="str">
        <f>IFERROR(VLOOKUP(record[[#This Row],[PCUSTID]],廠商[],2,FALSE),"")</f>
        <v/>
      </c>
      <c r="S2457" t="str">
        <f>VLOOKUP(record[[#This Row],[employeeID]],員工[],2,FALSE)</f>
        <v>李美蓮</v>
      </c>
    </row>
    <row r="2458" spans="6:19" hidden="1" x14ac:dyDescent="0.25">
      <c r="F2458" t="s">
        <v>1702</v>
      </c>
      <c r="G2458" t="s">
        <v>375</v>
      </c>
      <c r="H2458" t="str">
        <f>VLOOKUP(record[[#This Row],[ProcessSN]],表格2_7[],2,FALSE)</f>
        <v>30-4118-018-4XX</v>
      </c>
      <c r="I2458" t="str">
        <f>VLOOKUP(record[[#This Row],[ProcessSN]],表格2_7[],3,FALSE)</f>
        <v>#05</v>
      </c>
      <c r="J2458" t="s">
        <v>588</v>
      </c>
      <c r="K2458" s="195">
        <v>46116.98296296296</v>
      </c>
      <c r="L2458">
        <v>226</v>
      </c>
      <c r="M2458">
        <v>0</v>
      </c>
      <c r="N2458" s="98" t="str">
        <f>IF(record[[#This Row],[Memo]]="Browser:chrome os:android","平板報工",IF(record[[#This Row],[Memo]]=0,"委外",record[[#This Row],[Memo]]))</f>
        <v/>
      </c>
      <c r="O2458" t="s">
        <v>58</v>
      </c>
      <c r="P2458" t="s">
        <v>89</v>
      </c>
      <c r="Q2458" t="s">
        <v>58</v>
      </c>
      <c r="R2458" t="str">
        <f>IFERROR(VLOOKUP(record[[#This Row],[PCUSTID]],廠商[],2,FALSE),"")</f>
        <v/>
      </c>
      <c r="S2458" t="str">
        <f>VLOOKUP(record[[#This Row],[employeeID]],員工[],2,FALSE)</f>
        <v>李美蓮</v>
      </c>
    </row>
    <row r="2459" spans="6:19" hidden="1" x14ac:dyDescent="0.25">
      <c r="F2459" t="s">
        <v>1702</v>
      </c>
      <c r="G2459" t="s">
        <v>376</v>
      </c>
      <c r="H2459" t="str">
        <f>VLOOKUP(record[[#This Row],[ProcessSN]],表格2_7[],2,FALSE)</f>
        <v>30-4118-018-4XX</v>
      </c>
      <c r="I2459" t="str">
        <f>VLOOKUP(record[[#This Row],[ProcessSN]],表格2_7[],3,FALSE)</f>
        <v>#06</v>
      </c>
      <c r="J2459" t="s">
        <v>593</v>
      </c>
      <c r="K2459" s="195">
        <v>46116.981296296297</v>
      </c>
      <c r="L2459">
        <v>133</v>
      </c>
      <c r="M2459">
        <v>0</v>
      </c>
      <c r="N2459" s="98" t="str">
        <f>IF(record[[#This Row],[Memo]]="Browser:chrome os:android","平板報工",IF(record[[#This Row],[Memo]]=0,"委外",record[[#This Row],[Memo]]))</f>
        <v/>
      </c>
      <c r="O2459" t="s">
        <v>58</v>
      </c>
      <c r="P2459" t="s">
        <v>188</v>
      </c>
      <c r="Q2459" t="s">
        <v>58</v>
      </c>
      <c r="R2459" t="str">
        <f>IFERROR(VLOOKUP(record[[#This Row],[PCUSTID]],廠商[],2,FALSE),"")</f>
        <v/>
      </c>
      <c r="S2459" t="str">
        <f>VLOOKUP(record[[#This Row],[employeeID]],員工[],2,FALSE)</f>
        <v>阮氏璧紅</v>
      </c>
    </row>
    <row r="2460" spans="6:19" hidden="1" x14ac:dyDescent="0.25">
      <c r="F2460" t="s">
        <v>1702</v>
      </c>
      <c r="G2460" t="s">
        <v>374</v>
      </c>
      <c r="H2460" t="str">
        <f>VLOOKUP(record[[#This Row],[ProcessSN]],表格2_7[],2,FALSE)</f>
        <v>30-4118-018-4XX</v>
      </c>
      <c r="I2460" t="str">
        <f>VLOOKUP(record[[#This Row],[ProcessSN]],表格2_7[],3,FALSE)</f>
        <v>#04</v>
      </c>
      <c r="J2460" t="s">
        <v>588</v>
      </c>
      <c r="K2460" s="195">
        <v>46116.980034722219</v>
      </c>
      <c r="L2460">
        <v>43</v>
      </c>
      <c r="M2460">
        <v>0</v>
      </c>
      <c r="N2460" s="98" t="str">
        <f>IF(record[[#This Row],[Memo]]="Browser:chrome os:android","平板報工",IF(record[[#This Row],[Memo]]=0,"委外",record[[#This Row],[Memo]]))</f>
        <v/>
      </c>
      <c r="O2460" t="s">
        <v>58</v>
      </c>
      <c r="P2460" t="s">
        <v>135</v>
      </c>
      <c r="Q2460" t="s">
        <v>58</v>
      </c>
      <c r="R2460" t="str">
        <f>IFERROR(VLOOKUP(record[[#This Row],[PCUSTID]],廠商[],2,FALSE),"")</f>
        <v/>
      </c>
      <c r="S2460" t="str">
        <f>VLOOKUP(record[[#This Row],[employeeID]],員工[],2,FALSE)</f>
        <v>阮士文</v>
      </c>
    </row>
    <row r="2461" spans="6:19" hidden="1" x14ac:dyDescent="0.25">
      <c r="F2461" t="s">
        <v>1702</v>
      </c>
      <c r="G2461" t="s">
        <v>376</v>
      </c>
      <c r="H2461" t="str">
        <f>VLOOKUP(record[[#This Row],[ProcessSN]],表格2_7[],2,FALSE)</f>
        <v>30-4118-018-4XX</v>
      </c>
      <c r="I2461" t="str">
        <f>VLOOKUP(record[[#This Row],[ProcessSN]],表格2_7[],3,FALSE)</f>
        <v>#06</v>
      </c>
      <c r="J2461" t="s">
        <v>593</v>
      </c>
      <c r="K2461" s="195">
        <v>46116.721817129626</v>
      </c>
      <c r="L2461">
        <v>103</v>
      </c>
      <c r="M2461">
        <v>5</v>
      </c>
      <c r="N2461" s="98" t="str">
        <f>IF(record[[#This Row],[Memo]]="Browser:chrome os:android","平板報工",IF(record[[#This Row],[Memo]]=0,"委外",record[[#This Row],[Memo]]))</f>
        <v/>
      </c>
      <c r="O2461" t="s">
        <v>58</v>
      </c>
      <c r="P2461" t="s">
        <v>101</v>
      </c>
      <c r="Q2461" t="s">
        <v>58</v>
      </c>
      <c r="R2461" t="str">
        <f>IFERROR(VLOOKUP(record[[#This Row],[PCUSTID]],廠商[],2,FALSE),"")</f>
        <v/>
      </c>
      <c r="S2461" t="str">
        <f>VLOOKUP(record[[#This Row],[employeeID]],員工[],2,FALSE)</f>
        <v>陳氏絨</v>
      </c>
    </row>
    <row r="2462" spans="6:19" hidden="1" x14ac:dyDescent="0.25">
      <c r="F2462" t="s">
        <v>1702</v>
      </c>
      <c r="G2462" t="s">
        <v>378</v>
      </c>
      <c r="H2462" t="str">
        <f>VLOOKUP(record[[#This Row],[ProcessSN]],表格2_7[],2,FALSE)</f>
        <v>30-4118-018-4XX</v>
      </c>
      <c r="I2462" t="str">
        <f>VLOOKUP(record[[#This Row],[ProcessSN]],表格2_7[],3,FALSE)</f>
        <v>#07QC</v>
      </c>
      <c r="J2462" t="s">
        <v>589</v>
      </c>
      <c r="K2462" s="195">
        <v>46116.68304398148</v>
      </c>
      <c r="L2462">
        <v>0</v>
      </c>
      <c r="M2462">
        <v>6</v>
      </c>
      <c r="N2462" s="98" t="str">
        <f>IF(record[[#This Row],[Memo]]="Browser:chrome os:android","平板報工",IF(record[[#This Row],[Memo]]=0,"委外",record[[#This Row],[Memo]]))</f>
        <v/>
      </c>
      <c r="O2462" t="s">
        <v>58</v>
      </c>
      <c r="P2462" t="s">
        <v>141</v>
      </c>
      <c r="Q2462" t="s">
        <v>58</v>
      </c>
      <c r="R2462" t="str">
        <f>IFERROR(VLOOKUP(record[[#This Row],[PCUSTID]],廠商[],2,FALSE),"")</f>
        <v/>
      </c>
      <c r="S2462" t="str">
        <f>VLOOKUP(record[[#This Row],[employeeID]],員工[],2,FALSE)</f>
        <v>蔣梅</v>
      </c>
    </row>
    <row r="2463" spans="6:19" hidden="1" x14ac:dyDescent="0.25">
      <c r="F2463" t="s">
        <v>1702</v>
      </c>
      <c r="G2463" t="s">
        <v>378</v>
      </c>
      <c r="H2463" t="str">
        <f>VLOOKUP(record[[#This Row],[ProcessSN]],表格2_7[],2,FALSE)</f>
        <v>30-4118-018-4XX</v>
      </c>
      <c r="I2463" t="str">
        <f>VLOOKUP(record[[#This Row],[ProcessSN]],表格2_7[],3,FALSE)</f>
        <v>#07QC</v>
      </c>
      <c r="J2463" t="s">
        <v>589</v>
      </c>
      <c r="K2463" s="195">
        <v>46116.682847222219</v>
      </c>
      <c r="L2463">
        <v>180</v>
      </c>
      <c r="M2463">
        <v>0</v>
      </c>
      <c r="N2463" s="98" t="str">
        <f>IF(record[[#This Row],[Memo]]="Browser:chrome os:android","平板報工",IF(record[[#This Row],[Memo]]=0,"委外",record[[#This Row],[Memo]]))</f>
        <v/>
      </c>
      <c r="O2463" t="s">
        <v>58</v>
      </c>
      <c r="P2463" t="s">
        <v>141</v>
      </c>
      <c r="Q2463" t="s">
        <v>58</v>
      </c>
      <c r="R2463" t="str">
        <f>IFERROR(VLOOKUP(record[[#This Row],[PCUSTID]],廠商[],2,FALSE),"")</f>
        <v/>
      </c>
      <c r="S2463" t="str">
        <f>VLOOKUP(record[[#This Row],[employeeID]],員工[],2,FALSE)</f>
        <v>蔣梅</v>
      </c>
    </row>
    <row r="2464" spans="6:19" hidden="1" x14ac:dyDescent="0.25">
      <c r="F2464" t="s">
        <v>1702</v>
      </c>
      <c r="G2464" t="s">
        <v>377</v>
      </c>
      <c r="H2464" t="str">
        <f>VLOOKUP(record[[#This Row],[ProcessSN]],表格2_7[],2,FALSE)</f>
        <v>30-4118-018-4XX</v>
      </c>
      <c r="I2464" t="str">
        <f>VLOOKUP(record[[#This Row],[ProcessSN]],表格2_7[],3,FALSE)</f>
        <v>#07</v>
      </c>
      <c r="J2464" t="s">
        <v>588</v>
      </c>
      <c r="K2464" s="195">
        <v>46116.658518518518</v>
      </c>
      <c r="L2464">
        <v>275</v>
      </c>
      <c r="M2464">
        <v>0</v>
      </c>
      <c r="N2464" s="98" t="str">
        <f>IF(record[[#This Row],[Memo]]="Browser:chrome os:android","平板報工",IF(record[[#This Row],[Memo]]=0,"委外",record[[#This Row],[Memo]]))</f>
        <v/>
      </c>
      <c r="O2464" t="s">
        <v>58</v>
      </c>
      <c r="P2464" t="s">
        <v>133</v>
      </c>
      <c r="Q2464" t="s">
        <v>58</v>
      </c>
      <c r="R2464" t="str">
        <f>IFERROR(VLOOKUP(record[[#This Row],[PCUSTID]],廠商[],2,FALSE),"")</f>
        <v/>
      </c>
      <c r="S2464" t="str">
        <f>VLOOKUP(record[[#This Row],[employeeID]],員工[],2,FALSE)</f>
        <v>黎長維</v>
      </c>
    </row>
    <row r="2465" spans="6:19" hidden="1" x14ac:dyDescent="0.25">
      <c r="F2465" t="s">
        <v>1702</v>
      </c>
      <c r="G2465" t="s">
        <v>376</v>
      </c>
      <c r="H2465" t="str">
        <f>VLOOKUP(record[[#This Row],[ProcessSN]],表格2_7[],2,FALSE)</f>
        <v>30-4118-018-4XX</v>
      </c>
      <c r="I2465" t="str">
        <f>VLOOKUP(record[[#This Row],[ProcessSN]],表格2_7[],3,FALSE)</f>
        <v>#06</v>
      </c>
      <c r="J2465" t="s">
        <v>593</v>
      </c>
      <c r="K2465" s="195">
        <v>46116.657824074071</v>
      </c>
      <c r="L2465">
        <v>133</v>
      </c>
      <c r="M2465">
        <v>0</v>
      </c>
      <c r="N2465" s="98" t="str">
        <f>IF(record[[#This Row],[Memo]]="Browser:chrome os:android","平板報工",IF(record[[#This Row],[Memo]]=0,"委外",record[[#This Row],[Memo]]))</f>
        <v>平板報工</v>
      </c>
      <c r="O2465" t="s">
        <v>643</v>
      </c>
      <c r="P2465" t="s">
        <v>1413</v>
      </c>
      <c r="Q2465" t="s">
        <v>644</v>
      </c>
      <c r="R2465" t="str">
        <f>IFERROR(VLOOKUP(record[[#This Row],[PCUSTID]],廠商[],2,FALSE),"")</f>
        <v/>
      </c>
      <c r="S2465" t="str">
        <f>VLOOKUP(record[[#This Row],[employeeID]],員工[],2,FALSE)</f>
        <v>阮氏芳英(芳)</v>
      </c>
    </row>
    <row r="2466" spans="6:19" hidden="1" x14ac:dyDescent="0.25">
      <c r="F2466" t="s">
        <v>1637</v>
      </c>
      <c r="G2466" t="s">
        <v>448</v>
      </c>
      <c r="H2466" t="str">
        <f>VLOOKUP(record[[#This Row],[ProcessSN]],表格2_7[],2,FALSE)</f>
        <v>30-4118-018-6XX</v>
      </c>
      <c r="I2466" t="str">
        <f>VLOOKUP(record[[#This Row],[ProcessSN]],表格2_7[],3,FALSE)</f>
        <v>#04</v>
      </c>
      <c r="J2466" t="s">
        <v>588</v>
      </c>
      <c r="K2466" s="195">
        <v>46116.655914351853</v>
      </c>
      <c r="L2466">
        <v>3</v>
      </c>
      <c r="M2466">
        <v>1</v>
      </c>
      <c r="N2466" s="98" t="str">
        <f>IF(record[[#This Row],[Memo]]="Browser:chrome os:android","平板報工",IF(record[[#This Row],[Memo]]=0,"委外",record[[#This Row],[Memo]]))</f>
        <v>平板報工</v>
      </c>
      <c r="O2466" t="s">
        <v>643</v>
      </c>
      <c r="P2466" t="s">
        <v>107</v>
      </c>
      <c r="Q2466" t="s">
        <v>644</v>
      </c>
      <c r="R2466" t="str">
        <f>IFERROR(VLOOKUP(record[[#This Row],[PCUSTID]],廠商[],2,FALSE),"")</f>
        <v/>
      </c>
      <c r="S2466" t="str">
        <f>VLOOKUP(record[[#This Row],[employeeID]],員工[],2,FALSE)</f>
        <v>黎氏順</v>
      </c>
    </row>
    <row r="2467" spans="6:19" hidden="1" x14ac:dyDescent="0.25">
      <c r="F2467" t="s">
        <v>1702</v>
      </c>
      <c r="G2467" t="s">
        <v>374</v>
      </c>
      <c r="H2467" t="str">
        <f>VLOOKUP(record[[#This Row],[ProcessSN]],表格2_7[],2,FALSE)</f>
        <v>30-4118-018-4XX</v>
      </c>
      <c r="I2467" t="str">
        <f>VLOOKUP(record[[#This Row],[ProcessSN]],表格2_7[],3,FALSE)</f>
        <v>#04</v>
      </c>
      <c r="J2467" t="s">
        <v>588</v>
      </c>
      <c r="K2467" s="195">
        <v>46116.646319444444</v>
      </c>
      <c r="L2467">
        <v>136</v>
      </c>
      <c r="M2467">
        <v>0</v>
      </c>
      <c r="N2467" s="98" t="str">
        <f>IF(record[[#This Row],[Memo]]="Browser:chrome os:android","平板報工",IF(record[[#This Row],[Memo]]=0,"委外",record[[#This Row],[Memo]]))</f>
        <v>平板報工</v>
      </c>
      <c r="O2467" t="s">
        <v>643</v>
      </c>
      <c r="P2467" t="s">
        <v>107</v>
      </c>
      <c r="Q2467" t="s">
        <v>644</v>
      </c>
      <c r="R2467" t="str">
        <f>IFERROR(VLOOKUP(record[[#This Row],[PCUSTID]],廠商[],2,FALSE),"")</f>
        <v/>
      </c>
      <c r="S2467" t="str">
        <f>VLOOKUP(record[[#This Row],[employeeID]],員工[],2,FALSE)</f>
        <v>黎氏順</v>
      </c>
    </row>
    <row r="2468" spans="6:19" hidden="1" x14ac:dyDescent="0.25">
      <c r="F2468" t="s">
        <v>1705</v>
      </c>
      <c r="G2468" t="s">
        <v>426</v>
      </c>
      <c r="H2468" t="str">
        <f>VLOOKUP(record[[#This Row],[ProcessSN]],表格2_7[],2,FALSE)</f>
        <v>30-4118-018-600</v>
      </c>
      <c r="I2468" t="str">
        <f>VLOOKUP(record[[#This Row],[ProcessSN]],表格2_7[],3,FALSE)</f>
        <v>#100OQC</v>
      </c>
      <c r="J2468" t="s">
        <v>599</v>
      </c>
      <c r="K2468" s="195">
        <v>46116.636886574073</v>
      </c>
      <c r="L2468">
        <v>366</v>
      </c>
      <c r="M2468">
        <v>0</v>
      </c>
      <c r="N2468" s="98" t="str">
        <f>IF(record[[#This Row],[Memo]]="Browser:chrome os:android","平板報工",IF(record[[#This Row],[Memo]]=0,"委外",record[[#This Row],[Memo]]))</f>
        <v/>
      </c>
      <c r="O2468" t="s">
        <v>58</v>
      </c>
      <c r="P2468" t="s">
        <v>121</v>
      </c>
      <c r="Q2468" t="s">
        <v>58</v>
      </c>
      <c r="R2468" t="str">
        <f>IFERROR(VLOOKUP(record[[#This Row],[PCUSTID]],廠商[],2,FALSE),"")</f>
        <v/>
      </c>
      <c r="S2468" t="str">
        <f>VLOOKUP(record[[#This Row],[employeeID]],員工[],2,FALSE)</f>
        <v>謝素卿</v>
      </c>
    </row>
    <row r="2469" spans="6:19" hidden="1" x14ac:dyDescent="0.25">
      <c r="F2469" t="s">
        <v>1693</v>
      </c>
      <c r="G2469" t="s">
        <v>426</v>
      </c>
      <c r="H2469" t="str">
        <f>VLOOKUP(record[[#This Row],[ProcessSN]],表格2_7[],2,FALSE)</f>
        <v>30-4118-018-600</v>
      </c>
      <c r="I2469" t="str">
        <f>VLOOKUP(record[[#This Row],[ProcessSN]],表格2_7[],3,FALSE)</f>
        <v>#100OQC</v>
      </c>
      <c r="J2469" t="s">
        <v>599</v>
      </c>
      <c r="K2469" s="195">
        <v>46116.636736111112</v>
      </c>
      <c r="L2469">
        <v>179</v>
      </c>
      <c r="M2469">
        <v>0</v>
      </c>
      <c r="N2469" s="98" t="str">
        <f>IF(record[[#This Row],[Memo]]="Browser:chrome os:android","平板報工",IF(record[[#This Row],[Memo]]=0,"委外",record[[#This Row],[Memo]]))</f>
        <v/>
      </c>
      <c r="O2469" t="s">
        <v>58</v>
      </c>
      <c r="P2469" t="s">
        <v>121</v>
      </c>
      <c r="Q2469" t="s">
        <v>58</v>
      </c>
      <c r="R2469" t="str">
        <f>IFERROR(VLOOKUP(record[[#This Row],[PCUSTID]],廠商[],2,FALSE),"")</f>
        <v/>
      </c>
      <c r="S2469" t="str">
        <f>VLOOKUP(record[[#This Row],[employeeID]],員工[],2,FALSE)</f>
        <v>謝素卿</v>
      </c>
    </row>
    <row r="2470" spans="6:19" hidden="1" x14ac:dyDescent="0.25">
      <c r="F2470" t="s">
        <v>1715</v>
      </c>
      <c r="G2470" t="s">
        <v>401</v>
      </c>
      <c r="H2470" t="str">
        <f>VLOOKUP(record[[#This Row],[ProcessSN]],表格2_7[],2,FALSE)</f>
        <v>30-4118-018-550</v>
      </c>
      <c r="I2470" t="str">
        <f>VLOOKUP(record[[#This Row],[ProcessSN]],表格2_7[],3,FALSE)</f>
        <v>#100OQC</v>
      </c>
      <c r="J2470" t="s">
        <v>599</v>
      </c>
      <c r="K2470" s="195">
        <v>46116.635439814818</v>
      </c>
      <c r="L2470">
        <v>82</v>
      </c>
      <c r="M2470">
        <v>0</v>
      </c>
      <c r="N2470" s="98" t="str">
        <f>IF(record[[#This Row],[Memo]]="Browser:chrome os:android","平板報工",IF(record[[#This Row],[Memo]]=0,"委外",record[[#This Row],[Memo]]))</f>
        <v/>
      </c>
      <c r="O2470" t="s">
        <v>58</v>
      </c>
      <c r="P2470" t="s">
        <v>121</v>
      </c>
      <c r="Q2470" t="s">
        <v>58</v>
      </c>
      <c r="R2470" t="str">
        <f>IFERROR(VLOOKUP(record[[#This Row],[PCUSTID]],廠商[],2,FALSE),"")</f>
        <v/>
      </c>
      <c r="S2470" t="str">
        <f>VLOOKUP(record[[#This Row],[employeeID]],員工[],2,FALSE)</f>
        <v>謝素卿</v>
      </c>
    </row>
    <row r="2471" spans="6:19" hidden="1" x14ac:dyDescent="0.25">
      <c r="F2471" t="s">
        <v>1702</v>
      </c>
      <c r="G2471" t="s">
        <v>375</v>
      </c>
      <c r="H2471" t="str">
        <f>VLOOKUP(record[[#This Row],[ProcessSN]],表格2_7[],2,FALSE)</f>
        <v>30-4118-018-4XX</v>
      </c>
      <c r="I2471" t="str">
        <f>VLOOKUP(record[[#This Row],[ProcessSN]],表格2_7[],3,FALSE)</f>
        <v>#05</v>
      </c>
      <c r="J2471" t="s">
        <v>588</v>
      </c>
      <c r="K2471" s="195">
        <v>46116.622939814813</v>
      </c>
      <c r="L2471">
        <v>104</v>
      </c>
      <c r="M2471">
        <v>0</v>
      </c>
      <c r="N2471" s="98" t="str">
        <f>IF(record[[#This Row],[Memo]]="Browser:chrome os:android","平板報工",IF(record[[#This Row],[Memo]]=0,"委外",record[[#This Row],[Memo]]))</f>
        <v/>
      </c>
      <c r="O2471" t="s">
        <v>58</v>
      </c>
      <c r="P2471" t="s">
        <v>133</v>
      </c>
      <c r="Q2471" t="s">
        <v>58</v>
      </c>
      <c r="R2471" t="str">
        <f>IFERROR(VLOOKUP(record[[#This Row],[PCUSTID]],廠商[],2,FALSE),"")</f>
        <v/>
      </c>
      <c r="S2471" t="str">
        <f>VLOOKUP(record[[#This Row],[employeeID]],員工[],2,FALSE)</f>
        <v>黎長維</v>
      </c>
    </row>
    <row r="2472" spans="6:19" hidden="1" x14ac:dyDescent="0.25">
      <c r="F2472" t="s">
        <v>1655</v>
      </c>
      <c r="G2472" t="s">
        <v>465</v>
      </c>
      <c r="H2472" t="str">
        <f>VLOOKUP(record[[#This Row],[ProcessSN]],表格2_7[],2,FALSE)</f>
        <v>30-4118-018-XXX</v>
      </c>
      <c r="I2472" t="str">
        <f>VLOOKUP(record[[#This Row],[ProcessSN]],表格2_7[],3,FALSE)</f>
        <v>#01-1</v>
      </c>
      <c r="J2472" t="s">
        <v>588</v>
      </c>
      <c r="K2472" s="195">
        <v>46116.62259259259</v>
      </c>
      <c r="L2472">
        <v>100</v>
      </c>
      <c r="M2472">
        <v>0</v>
      </c>
      <c r="N2472" s="98" t="str">
        <f>IF(record[[#This Row],[Memo]]="Browser:chrome os:android","平板報工",IF(record[[#This Row],[Memo]]=0,"委外",record[[#This Row],[Memo]]))</f>
        <v/>
      </c>
      <c r="O2472" t="s">
        <v>58</v>
      </c>
      <c r="P2472" t="s">
        <v>133</v>
      </c>
      <c r="Q2472" t="s">
        <v>58</v>
      </c>
      <c r="R2472" t="str">
        <f>IFERROR(VLOOKUP(record[[#This Row],[PCUSTID]],廠商[],2,FALSE),"")</f>
        <v/>
      </c>
      <c r="S2472" t="str">
        <f>VLOOKUP(record[[#This Row],[employeeID]],員工[],2,FALSE)</f>
        <v>黎長維</v>
      </c>
    </row>
    <row r="2473" spans="6:19" hidden="1" x14ac:dyDescent="0.25">
      <c r="F2473" t="s">
        <v>1587</v>
      </c>
      <c r="G2473" t="s">
        <v>378</v>
      </c>
      <c r="H2473" t="str">
        <f>VLOOKUP(record[[#This Row],[ProcessSN]],表格2_7[],2,FALSE)</f>
        <v>30-4118-018-4XX</v>
      </c>
      <c r="I2473" t="str">
        <f>VLOOKUP(record[[#This Row],[ProcessSN]],表格2_7[],3,FALSE)</f>
        <v>#07QC</v>
      </c>
      <c r="J2473" t="s">
        <v>589</v>
      </c>
      <c r="K2473" s="195">
        <v>46116.620069444441</v>
      </c>
      <c r="L2473">
        <v>0</v>
      </c>
      <c r="M2473">
        <v>1</v>
      </c>
      <c r="N2473" s="98" t="str">
        <f>IF(record[[#This Row],[Memo]]="Browser:chrome os:android","平板報工",IF(record[[#This Row],[Memo]]=0,"委外",record[[#This Row],[Memo]]))</f>
        <v/>
      </c>
      <c r="O2473" t="s">
        <v>58</v>
      </c>
      <c r="P2473" t="s">
        <v>141</v>
      </c>
      <c r="Q2473" t="s">
        <v>58</v>
      </c>
      <c r="R2473" t="str">
        <f>IFERROR(VLOOKUP(record[[#This Row],[PCUSTID]],廠商[],2,FALSE),"")</f>
        <v/>
      </c>
      <c r="S2473" t="str">
        <f>VLOOKUP(record[[#This Row],[employeeID]],員工[],2,FALSE)</f>
        <v>蔣梅</v>
      </c>
    </row>
    <row r="2474" spans="6:19" hidden="1" x14ac:dyDescent="0.25">
      <c r="F2474" t="s">
        <v>1587</v>
      </c>
      <c r="G2474" t="s">
        <v>378</v>
      </c>
      <c r="H2474" t="str">
        <f>VLOOKUP(record[[#This Row],[ProcessSN]],表格2_7[],2,FALSE)</f>
        <v>30-4118-018-4XX</v>
      </c>
      <c r="I2474" t="str">
        <f>VLOOKUP(record[[#This Row],[ProcessSN]],表格2_7[],3,FALSE)</f>
        <v>#07QC</v>
      </c>
      <c r="J2474" t="s">
        <v>589</v>
      </c>
      <c r="K2474" s="195">
        <v>46116.61991898148</v>
      </c>
      <c r="L2474">
        <v>14</v>
      </c>
      <c r="M2474">
        <v>0</v>
      </c>
      <c r="N2474" s="98" t="str">
        <f>IF(record[[#This Row],[Memo]]="Browser:chrome os:android","平板報工",IF(record[[#This Row],[Memo]]=0,"委外",record[[#This Row],[Memo]]))</f>
        <v/>
      </c>
      <c r="O2474" t="s">
        <v>58</v>
      </c>
      <c r="P2474" t="s">
        <v>141</v>
      </c>
      <c r="Q2474" t="s">
        <v>58</v>
      </c>
      <c r="R2474" t="str">
        <f>IFERROR(VLOOKUP(record[[#This Row],[PCUSTID]],廠商[],2,FALSE),"")</f>
        <v/>
      </c>
      <c r="S2474" t="str">
        <f>VLOOKUP(record[[#This Row],[employeeID]],員工[],2,FALSE)</f>
        <v>蔣梅</v>
      </c>
    </row>
    <row r="2475" spans="6:19" hidden="1" x14ac:dyDescent="0.25">
      <c r="F2475" t="s">
        <v>1587</v>
      </c>
      <c r="G2475" t="s">
        <v>378</v>
      </c>
      <c r="H2475" t="str">
        <f>VLOOKUP(record[[#This Row],[ProcessSN]],表格2_7[],2,FALSE)</f>
        <v>30-4118-018-4XX</v>
      </c>
      <c r="I2475" t="str">
        <f>VLOOKUP(record[[#This Row],[ProcessSN]],表格2_7[],3,FALSE)</f>
        <v>#07QC</v>
      </c>
      <c r="J2475" t="s">
        <v>589</v>
      </c>
      <c r="K2475" s="195">
        <v>46116.603460648148</v>
      </c>
      <c r="L2475">
        <v>500</v>
      </c>
      <c r="M2475">
        <v>0</v>
      </c>
      <c r="N2475" s="98" t="str">
        <f>IF(record[[#This Row],[Memo]]="Browser:chrome os:android","平板報工",IF(record[[#This Row],[Memo]]=0,"委外",record[[#This Row],[Memo]]))</f>
        <v/>
      </c>
      <c r="O2475" t="s">
        <v>58</v>
      </c>
      <c r="P2475" t="s">
        <v>141</v>
      </c>
      <c r="Q2475" t="s">
        <v>58</v>
      </c>
      <c r="R2475" t="str">
        <f>IFERROR(VLOOKUP(record[[#This Row],[PCUSTID]],廠商[],2,FALSE),"")</f>
        <v/>
      </c>
      <c r="S2475" t="str">
        <f>VLOOKUP(record[[#This Row],[employeeID]],員工[],2,FALSE)</f>
        <v>蔣梅</v>
      </c>
    </row>
    <row r="2476" spans="6:19" hidden="1" x14ac:dyDescent="0.25">
      <c r="F2476" t="s">
        <v>1702</v>
      </c>
      <c r="G2476" t="s">
        <v>378</v>
      </c>
      <c r="H2476" t="str">
        <f>VLOOKUP(record[[#This Row],[ProcessSN]],表格2_7[],2,FALSE)</f>
        <v>30-4118-018-4XX</v>
      </c>
      <c r="I2476" t="str">
        <f>VLOOKUP(record[[#This Row],[ProcessSN]],表格2_7[],3,FALSE)</f>
        <v>#07QC</v>
      </c>
      <c r="J2476" t="s">
        <v>589</v>
      </c>
      <c r="K2476" s="195">
        <v>46116.60328703704</v>
      </c>
      <c r="L2476">
        <v>124</v>
      </c>
      <c r="M2476">
        <v>0</v>
      </c>
      <c r="N2476" s="98" t="str">
        <f>IF(record[[#This Row],[Memo]]="Browser:chrome os:android","平板報工",IF(record[[#This Row],[Memo]]=0,"委外",record[[#This Row],[Memo]]))</f>
        <v/>
      </c>
      <c r="O2476" t="s">
        <v>58</v>
      </c>
      <c r="P2476" t="s">
        <v>141</v>
      </c>
      <c r="Q2476" t="s">
        <v>58</v>
      </c>
      <c r="R2476" t="str">
        <f>IFERROR(VLOOKUP(record[[#This Row],[PCUSTID]],廠商[],2,FALSE),"")</f>
        <v/>
      </c>
      <c r="S2476" t="str">
        <f>VLOOKUP(record[[#This Row],[employeeID]],員工[],2,FALSE)</f>
        <v>蔣梅</v>
      </c>
    </row>
    <row r="2477" spans="6:19" hidden="1" x14ac:dyDescent="0.25">
      <c r="F2477" t="s">
        <v>1702</v>
      </c>
      <c r="G2477" t="s">
        <v>376</v>
      </c>
      <c r="H2477" t="str">
        <f>VLOOKUP(record[[#This Row],[ProcessSN]],表格2_7[],2,FALSE)</f>
        <v>30-4118-018-4XX</v>
      </c>
      <c r="I2477" t="str">
        <f>VLOOKUP(record[[#This Row],[ProcessSN]],表格2_7[],3,FALSE)</f>
        <v>#06</v>
      </c>
      <c r="J2477" t="s">
        <v>593</v>
      </c>
      <c r="K2477" s="195">
        <v>46116.307256944441</v>
      </c>
      <c r="L2477">
        <v>50</v>
      </c>
      <c r="M2477">
        <v>0</v>
      </c>
      <c r="N2477" s="98" t="str">
        <f>IF(record[[#This Row],[Memo]]="Browser:chrome os:android","平板報工",IF(record[[#This Row],[Memo]]=0,"委外",record[[#This Row],[Memo]]))</f>
        <v/>
      </c>
      <c r="O2477" t="s">
        <v>58</v>
      </c>
      <c r="P2477" t="s">
        <v>180</v>
      </c>
      <c r="Q2477" t="s">
        <v>58</v>
      </c>
      <c r="R2477" t="str">
        <f>IFERROR(VLOOKUP(record[[#This Row],[PCUSTID]],廠商[],2,FALSE),"")</f>
        <v/>
      </c>
      <c r="S2477" t="str">
        <f>VLOOKUP(record[[#This Row],[employeeID]],員工[],2,FALSE)</f>
        <v>黎功江</v>
      </c>
    </row>
    <row r="2478" spans="6:19" hidden="1" x14ac:dyDescent="0.25">
      <c r="F2478" t="s">
        <v>1702</v>
      </c>
      <c r="G2478" t="s">
        <v>376</v>
      </c>
      <c r="H2478" t="str">
        <f>VLOOKUP(record[[#This Row],[ProcessSN]],表格2_7[],2,FALSE)</f>
        <v>30-4118-018-4XX</v>
      </c>
      <c r="I2478" t="str">
        <f>VLOOKUP(record[[#This Row],[ProcessSN]],表格2_7[],3,FALSE)</f>
        <v>#06</v>
      </c>
      <c r="J2478" t="s">
        <v>593</v>
      </c>
      <c r="K2478" s="195">
        <v>46116.306215277778</v>
      </c>
      <c r="L2478">
        <v>133</v>
      </c>
      <c r="M2478">
        <v>0</v>
      </c>
      <c r="N2478" s="98" t="str">
        <f>IF(record[[#This Row],[Memo]]="Browser:chrome os:android","平板報工",IF(record[[#This Row],[Memo]]=0,"委外",record[[#This Row],[Memo]]))</f>
        <v/>
      </c>
      <c r="O2478" t="s">
        <v>58</v>
      </c>
      <c r="P2478" t="s">
        <v>180</v>
      </c>
      <c r="Q2478" t="s">
        <v>58</v>
      </c>
      <c r="R2478" t="str">
        <f>IFERROR(VLOOKUP(record[[#This Row],[PCUSTID]],廠商[],2,FALSE),"")</f>
        <v/>
      </c>
      <c r="S2478" t="str">
        <f>VLOOKUP(record[[#This Row],[employeeID]],員工[],2,FALSE)</f>
        <v>黎功江</v>
      </c>
    </row>
    <row r="2479" spans="6:19" hidden="1" x14ac:dyDescent="0.25">
      <c r="F2479" t="s">
        <v>1702</v>
      </c>
      <c r="G2479" t="s">
        <v>374</v>
      </c>
      <c r="H2479" t="str">
        <f>VLOOKUP(record[[#This Row],[ProcessSN]],表格2_7[],2,FALSE)</f>
        <v>30-4118-018-4XX</v>
      </c>
      <c r="I2479" t="str">
        <f>VLOOKUP(record[[#This Row],[ProcessSN]],表格2_7[],3,FALSE)</f>
        <v>#04</v>
      </c>
      <c r="J2479" t="s">
        <v>588</v>
      </c>
      <c r="K2479" s="195">
        <v>46116.305972222224</v>
      </c>
      <c r="L2479">
        <v>130</v>
      </c>
      <c r="M2479">
        <v>2</v>
      </c>
      <c r="N2479" s="98" t="str">
        <f>IF(record[[#This Row],[Memo]]="Browser:chrome os:android","平板報工",IF(record[[#This Row],[Memo]]=0,"委外",record[[#This Row],[Memo]]))</f>
        <v/>
      </c>
      <c r="O2479" t="s">
        <v>58</v>
      </c>
      <c r="P2479" t="s">
        <v>180</v>
      </c>
      <c r="Q2479" t="s">
        <v>58</v>
      </c>
      <c r="R2479" t="str">
        <f>IFERROR(VLOOKUP(record[[#This Row],[PCUSTID]],廠商[],2,FALSE),"")</f>
        <v/>
      </c>
      <c r="S2479" t="str">
        <f>VLOOKUP(record[[#This Row],[employeeID]],員工[],2,FALSE)</f>
        <v>黎功江</v>
      </c>
    </row>
    <row r="2480" spans="6:19" hidden="1" x14ac:dyDescent="0.25">
      <c r="F2480" t="s">
        <v>1637</v>
      </c>
      <c r="G2480" t="s">
        <v>448</v>
      </c>
      <c r="H2480" t="str">
        <f>VLOOKUP(record[[#This Row],[ProcessSN]],表格2_7[],2,FALSE)</f>
        <v>30-4118-018-6XX</v>
      </c>
      <c r="I2480" t="str">
        <f>VLOOKUP(record[[#This Row],[ProcessSN]],表格2_7[],3,FALSE)</f>
        <v>#04</v>
      </c>
      <c r="J2480" t="s">
        <v>588</v>
      </c>
      <c r="K2480" s="195">
        <v>46116.305289351854</v>
      </c>
      <c r="L2480">
        <v>54</v>
      </c>
      <c r="M2480">
        <v>10</v>
      </c>
      <c r="N2480" s="98" t="str">
        <f>IF(record[[#This Row],[Memo]]="Browser:chrome os:android","平板報工",IF(record[[#This Row],[Memo]]=0,"委外",record[[#This Row],[Memo]]))</f>
        <v/>
      </c>
      <c r="O2480" t="s">
        <v>58</v>
      </c>
      <c r="P2480" t="s">
        <v>180</v>
      </c>
      <c r="Q2480" t="s">
        <v>58</v>
      </c>
      <c r="R2480" t="str">
        <f>IFERROR(VLOOKUP(record[[#This Row],[PCUSTID]],廠商[],2,FALSE),"")</f>
        <v/>
      </c>
      <c r="S2480" t="str">
        <f>VLOOKUP(record[[#This Row],[employeeID]],員工[],2,FALSE)</f>
        <v>黎功江</v>
      </c>
    </row>
    <row r="2481" spans="6:19" hidden="1" x14ac:dyDescent="0.25">
      <c r="F2481" t="s">
        <v>1702</v>
      </c>
      <c r="G2481" t="s">
        <v>377</v>
      </c>
      <c r="H2481" t="str">
        <f>VLOOKUP(record[[#This Row],[ProcessSN]],表格2_7[],2,FALSE)</f>
        <v>30-4118-018-4XX</v>
      </c>
      <c r="I2481" t="str">
        <f>VLOOKUP(record[[#This Row],[ProcessSN]],表格2_7[],3,FALSE)</f>
        <v>#07</v>
      </c>
      <c r="J2481" t="s">
        <v>588</v>
      </c>
      <c r="K2481" s="195">
        <v>46116.3047337963</v>
      </c>
      <c r="L2481">
        <v>92</v>
      </c>
      <c r="M2481">
        <v>0</v>
      </c>
      <c r="N2481" s="98" t="str">
        <f>IF(record[[#This Row],[Memo]]="Browser:chrome os:android","平板報工",IF(record[[#This Row],[Memo]]=0,"委外",record[[#This Row],[Memo]]))</f>
        <v/>
      </c>
      <c r="O2481" t="s">
        <v>58</v>
      </c>
      <c r="P2481" t="s">
        <v>806</v>
      </c>
      <c r="Q2481" t="s">
        <v>58</v>
      </c>
      <c r="R2481" t="str">
        <f>IFERROR(VLOOKUP(record[[#This Row],[PCUSTID]],廠商[],2,FALSE),"")</f>
        <v/>
      </c>
      <c r="S2481" t="str">
        <f>VLOOKUP(record[[#This Row],[employeeID]],員工[],2,FALSE)</f>
        <v>方思緯</v>
      </c>
    </row>
    <row r="2482" spans="6:19" hidden="1" x14ac:dyDescent="0.25">
      <c r="F2482" t="s">
        <v>1587</v>
      </c>
      <c r="G2482" t="s">
        <v>377</v>
      </c>
      <c r="H2482" t="str">
        <f>VLOOKUP(record[[#This Row],[ProcessSN]],表格2_7[],2,FALSE)</f>
        <v>30-4118-018-4XX</v>
      </c>
      <c r="I2482" t="str">
        <f>VLOOKUP(record[[#This Row],[ProcessSN]],表格2_7[],3,FALSE)</f>
        <v>#07</v>
      </c>
      <c r="J2482" t="s">
        <v>588</v>
      </c>
      <c r="K2482" s="195">
        <v>46116.304398148146</v>
      </c>
      <c r="L2482">
        <v>165</v>
      </c>
      <c r="M2482">
        <v>0</v>
      </c>
      <c r="N2482" s="98" t="str">
        <f>IF(record[[#This Row],[Memo]]="Browser:chrome os:android","平板報工",IF(record[[#This Row],[Memo]]=0,"委外",record[[#This Row],[Memo]]))</f>
        <v/>
      </c>
      <c r="O2482" t="s">
        <v>58</v>
      </c>
      <c r="P2482" t="s">
        <v>806</v>
      </c>
      <c r="Q2482" t="s">
        <v>58</v>
      </c>
      <c r="R2482" t="str">
        <f>IFERROR(VLOOKUP(record[[#This Row],[PCUSTID]],廠商[],2,FALSE),"")</f>
        <v/>
      </c>
      <c r="S2482" t="str">
        <f>VLOOKUP(record[[#This Row],[employeeID]],員工[],2,FALSE)</f>
        <v>方思緯</v>
      </c>
    </row>
    <row r="2483" spans="6:19" hidden="1" x14ac:dyDescent="0.25">
      <c r="F2483" t="s">
        <v>1655</v>
      </c>
      <c r="G2483" t="s">
        <v>465</v>
      </c>
      <c r="H2483" t="str">
        <f>VLOOKUP(record[[#This Row],[ProcessSN]],表格2_7[],2,FALSE)</f>
        <v>30-4118-018-XXX</v>
      </c>
      <c r="I2483" t="str">
        <f>VLOOKUP(record[[#This Row],[ProcessSN]],表格2_7[],3,FALSE)</f>
        <v>#01-1</v>
      </c>
      <c r="J2483" t="s">
        <v>588</v>
      </c>
      <c r="K2483" s="195">
        <v>46116.300439814811</v>
      </c>
      <c r="L2483">
        <v>484</v>
      </c>
      <c r="M2483">
        <v>0</v>
      </c>
      <c r="N2483" s="98" t="str">
        <f>IF(record[[#This Row],[Memo]]="Browser:chrome os:android","平板報工",IF(record[[#This Row],[Memo]]=0,"委外",record[[#This Row],[Memo]]))</f>
        <v/>
      </c>
      <c r="O2483" t="s">
        <v>58</v>
      </c>
      <c r="P2483" t="s">
        <v>806</v>
      </c>
      <c r="Q2483" t="s">
        <v>58</v>
      </c>
      <c r="R2483" t="str">
        <f>IFERROR(VLOOKUP(record[[#This Row],[PCUSTID]],廠商[],2,FALSE),"")</f>
        <v/>
      </c>
      <c r="S2483" t="str">
        <f>VLOOKUP(record[[#This Row],[employeeID]],員工[],2,FALSE)</f>
        <v>方思緯</v>
      </c>
    </row>
    <row r="2484" spans="6:19" hidden="1" x14ac:dyDescent="0.25">
      <c r="F2484" t="s">
        <v>1702</v>
      </c>
      <c r="G2484" t="s">
        <v>375</v>
      </c>
      <c r="H2484" t="str">
        <f>VLOOKUP(record[[#This Row],[ProcessSN]],表格2_7[],2,FALSE)</f>
        <v>30-4118-018-4XX</v>
      </c>
      <c r="I2484" t="str">
        <f>VLOOKUP(record[[#This Row],[ProcessSN]],表格2_7[],3,FALSE)</f>
        <v>#05</v>
      </c>
      <c r="J2484" t="s">
        <v>588</v>
      </c>
      <c r="K2484" s="195">
        <v>46116.300208333334</v>
      </c>
      <c r="L2484">
        <v>246</v>
      </c>
      <c r="M2484">
        <v>0</v>
      </c>
      <c r="N2484" s="98" t="str">
        <f>IF(record[[#This Row],[Memo]]="Browser:chrome os:android","平板報工",IF(record[[#This Row],[Memo]]=0,"委外",record[[#This Row],[Memo]]))</f>
        <v/>
      </c>
      <c r="O2484" t="s">
        <v>58</v>
      </c>
      <c r="P2484" t="s">
        <v>806</v>
      </c>
      <c r="Q2484" t="s">
        <v>58</v>
      </c>
      <c r="R2484" t="str">
        <f>IFERROR(VLOOKUP(record[[#This Row],[PCUSTID]],廠商[],2,FALSE),"")</f>
        <v/>
      </c>
      <c r="S2484" t="str">
        <f>VLOOKUP(record[[#This Row],[employeeID]],員工[],2,FALSE)</f>
        <v>方思緯</v>
      </c>
    </row>
    <row r="2485" spans="6:19" hidden="1" x14ac:dyDescent="0.25">
      <c r="F2485" t="s">
        <v>1587</v>
      </c>
      <c r="G2485" t="s">
        <v>376</v>
      </c>
      <c r="H2485" t="str">
        <f>VLOOKUP(record[[#This Row],[ProcessSN]],表格2_7[],2,FALSE)</f>
        <v>30-4118-018-4XX</v>
      </c>
      <c r="I2485" t="str">
        <f>VLOOKUP(record[[#This Row],[ProcessSN]],表格2_7[],3,FALSE)</f>
        <v>#06</v>
      </c>
      <c r="J2485" t="s">
        <v>593</v>
      </c>
      <c r="K2485" s="195">
        <v>46115.990543981483</v>
      </c>
      <c r="L2485">
        <v>50</v>
      </c>
      <c r="M2485">
        <v>0</v>
      </c>
      <c r="N2485" s="98" t="str">
        <f>IF(record[[#This Row],[Memo]]="Browser:chrome os:android","平板報工",IF(record[[#This Row],[Memo]]=0,"委外",record[[#This Row],[Memo]]))</f>
        <v/>
      </c>
      <c r="O2485" t="s">
        <v>58</v>
      </c>
      <c r="P2485" t="s">
        <v>135</v>
      </c>
      <c r="Q2485" t="s">
        <v>58</v>
      </c>
      <c r="R2485" t="str">
        <f>IFERROR(VLOOKUP(record[[#This Row],[PCUSTID]],廠商[],2,FALSE),"")</f>
        <v/>
      </c>
      <c r="S2485" t="str">
        <f>VLOOKUP(record[[#This Row],[employeeID]],員工[],2,FALSE)</f>
        <v>阮士文</v>
      </c>
    </row>
    <row r="2486" spans="6:19" hidden="1" x14ac:dyDescent="0.25">
      <c r="F2486" t="s">
        <v>1587</v>
      </c>
      <c r="G2486" t="s">
        <v>375</v>
      </c>
      <c r="H2486" t="str">
        <f>VLOOKUP(record[[#This Row],[ProcessSN]],表格2_7[],2,FALSE)</f>
        <v>30-4118-018-4XX</v>
      </c>
      <c r="I2486" t="str">
        <f>VLOOKUP(record[[#This Row],[ProcessSN]],表格2_7[],3,FALSE)</f>
        <v>#05</v>
      </c>
      <c r="J2486" t="s">
        <v>588</v>
      </c>
      <c r="K2486" s="195">
        <v>46115.99015046296</v>
      </c>
      <c r="L2486">
        <v>81</v>
      </c>
      <c r="M2486">
        <v>0</v>
      </c>
      <c r="N2486" s="98" t="str">
        <f>IF(record[[#This Row],[Memo]]="Browser:chrome os:android","平板報工",IF(record[[#This Row],[Memo]]=0,"委外",record[[#This Row],[Memo]]))</f>
        <v/>
      </c>
      <c r="O2486" t="s">
        <v>58</v>
      </c>
      <c r="P2486" t="s">
        <v>135</v>
      </c>
      <c r="Q2486" t="s">
        <v>58</v>
      </c>
      <c r="R2486" t="str">
        <f>IFERROR(VLOOKUP(record[[#This Row],[PCUSTID]],廠商[],2,FALSE),"")</f>
        <v/>
      </c>
      <c r="S2486" t="str">
        <f>VLOOKUP(record[[#This Row],[employeeID]],員工[],2,FALSE)</f>
        <v>阮士文</v>
      </c>
    </row>
    <row r="2487" spans="6:19" hidden="1" x14ac:dyDescent="0.25">
      <c r="F2487" t="s">
        <v>1587</v>
      </c>
      <c r="G2487" t="s">
        <v>374</v>
      </c>
      <c r="H2487" t="str">
        <f>VLOOKUP(record[[#This Row],[ProcessSN]],表格2_7[],2,FALSE)</f>
        <v>30-4118-018-4XX</v>
      </c>
      <c r="I2487" t="str">
        <f>VLOOKUP(record[[#This Row],[ProcessSN]],表格2_7[],3,FALSE)</f>
        <v>#04</v>
      </c>
      <c r="J2487" t="s">
        <v>588</v>
      </c>
      <c r="K2487" s="195">
        <v>46115.990011574075</v>
      </c>
      <c r="L2487">
        <v>81</v>
      </c>
      <c r="M2487">
        <v>0</v>
      </c>
      <c r="N2487" s="98" t="str">
        <f>IF(record[[#This Row],[Memo]]="Browser:chrome os:android","平板報工",IF(record[[#This Row],[Memo]]=0,"委外",record[[#This Row],[Memo]]))</f>
        <v/>
      </c>
      <c r="O2487" t="s">
        <v>58</v>
      </c>
      <c r="P2487" t="s">
        <v>135</v>
      </c>
      <c r="Q2487" t="s">
        <v>58</v>
      </c>
      <c r="R2487" t="str">
        <f>IFERROR(VLOOKUP(record[[#This Row],[PCUSTID]],廠商[],2,FALSE),"")</f>
        <v/>
      </c>
      <c r="S2487" t="str">
        <f>VLOOKUP(record[[#This Row],[employeeID]],員工[],2,FALSE)</f>
        <v>阮士文</v>
      </c>
    </row>
    <row r="2488" spans="6:19" hidden="1" x14ac:dyDescent="0.25">
      <c r="F2488" t="s">
        <v>1702</v>
      </c>
      <c r="G2488" t="s">
        <v>376</v>
      </c>
      <c r="H2488" t="str">
        <f>VLOOKUP(record[[#This Row],[ProcessSN]],表格2_7[],2,FALSE)</f>
        <v>30-4118-018-4XX</v>
      </c>
      <c r="I2488" t="str">
        <f>VLOOKUP(record[[#This Row],[ProcessSN]],表格2_7[],3,FALSE)</f>
        <v>#06</v>
      </c>
      <c r="J2488" t="s">
        <v>593</v>
      </c>
      <c r="K2488" s="195">
        <v>46115.98951388889</v>
      </c>
      <c r="L2488">
        <v>83</v>
      </c>
      <c r="M2488">
        <v>0</v>
      </c>
      <c r="N2488" s="98" t="str">
        <f>IF(record[[#This Row],[Memo]]="Browser:chrome os:android","平板報工",IF(record[[#This Row],[Memo]]=0,"委外",record[[#This Row],[Memo]]))</f>
        <v/>
      </c>
      <c r="O2488" t="s">
        <v>58</v>
      </c>
      <c r="P2488" t="s">
        <v>188</v>
      </c>
      <c r="Q2488" t="s">
        <v>58</v>
      </c>
      <c r="R2488" t="str">
        <f>IFERROR(VLOOKUP(record[[#This Row],[PCUSTID]],廠商[],2,FALSE),"")</f>
        <v/>
      </c>
      <c r="S2488" t="str">
        <f>VLOOKUP(record[[#This Row],[employeeID]],員工[],2,FALSE)</f>
        <v>阮氏璧紅</v>
      </c>
    </row>
    <row r="2489" spans="6:19" hidden="1" x14ac:dyDescent="0.25">
      <c r="F2489" t="s">
        <v>1702</v>
      </c>
      <c r="G2489" t="s">
        <v>377</v>
      </c>
      <c r="H2489" t="str">
        <f>VLOOKUP(record[[#This Row],[ProcessSN]],表格2_7[],2,FALSE)</f>
        <v>30-4118-018-4XX</v>
      </c>
      <c r="I2489" t="str">
        <f>VLOOKUP(record[[#This Row],[ProcessSN]],表格2_7[],3,FALSE)</f>
        <v>#07</v>
      </c>
      <c r="J2489" t="s">
        <v>588</v>
      </c>
      <c r="K2489" s="195">
        <v>46115.98847222222</v>
      </c>
      <c r="L2489">
        <v>69</v>
      </c>
      <c r="M2489">
        <v>1</v>
      </c>
      <c r="N2489" s="98" t="str">
        <f>IF(record[[#This Row],[Memo]]="Browser:chrome os:android","平板報工",IF(record[[#This Row],[Memo]]=0,"委外",record[[#This Row],[Memo]]))</f>
        <v/>
      </c>
      <c r="O2489" t="s">
        <v>58</v>
      </c>
      <c r="P2489" t="s">
        <v>89</v>
      </c>
      <c r="Q2489" t="s">
        <v>58</v>
      </c>
      <c r="R2489" t="str">
        <f>IFERROR(VLOOKUP(record[[#This Row],[PCUSTID]],廠商[],2,FALSE),"")</f>
        <v/>
      </c>
      <c r="S2489" t="str">
        <f>VLOOKUP(record[[#This Row],[employeeID]],員工[],2,FALSE)</f>
        <v>李美蓮</v>
      </c>
    </row>
    <row r="2490" spans="6:19" hidden="1" x14ac:dyDescent="0.25">
      <c r="F2490" t="s">
        <v>1587</v>
      </c>
      <c r="G2490" t="s">
        <v>377</v>
      </c>
      <c r="H2490" t="str">
        <f>VLOOKUP(record[[#This Row],[ProcessSN]],表格2_7[],2,FALSE)</f>
        <v>30-4118-018-4XX</v>
      </c>
      <c r="I2490" t="str">
        <f>VLOOKUP(record[[#This Row],[ProcessSN]],表格2_7[],3,FALSE)</f>
        <v>#07</v>
      </c>
      <c r="J2490" t="s">
        <v>588</v>
      </c>
      <c r="K2490" s="195">
        <v>46115.988217592596</v>
      </c>
      <c r="L2490">
        <v>187</v>
      </c>
      <c r="M2490">
        <v>0</v>
      </c>
      <c r="N2490" s="98" t="str">
        <f>IF(record[[#This Row],[Memo]]="Browser:chrome os:android","平板報工",IF(record[[#This Row],[Memo]]=0,"委外",record[[#This Row],[Memo]]))</f>
        <v/>
      </c>
      <c r="O2490" t="s">
        <v>58</v>
      </c>
      <c r="P2490" t="s">
        <v>89</v>
      </c>
      <c r="Q2490" t="s">
        <v>58</v>
      </c>
      <c r="R2490" t="str">
        <f>IFERROR(VLOOKUP(record[[#This Row],[PCUSTID]],廠商[],2,FALSE),"")</f>
        <v/>
      </c>
      <c r="S2490" t="str">
        <f>VLOOKUP(record[[#This Row],[employeeID]],員工[],2,FALSE)</f>
        <v>李美蓮</v>
      </c>
    </row>
    <row r="2491" spans="6:19" hidden="1" x14ac:dyDescent="0.25">
      <c r="F2491" t="s">
        <v>1655</v>
      </c>
      <c r="G2491" t="s">
        <v>465</v>
      </c>
      <c r="H2491" t="str">
        <f>VLOOKUP(record[[#This Row],[ProcessSN]],表格2_7[],2,FALSE)</f>
        <v>30-4118-018-XXX</v>
      </c>
      <c r="I2491" t="str">
        <f>VLOOKUP(record[[#This Row],[ProcessSN]],表格2_7[],3,FALSE)</f>
        <v>#01-1</v>
      </c>
      <c r="J2491" t="s">
        <v>588</v>
      </c>
      <c r="K2491" s="195">
        <v>46115.987916666665</v>
      </c>
      <c r="L2491">
        <v>342</v>
      </c>
      <c r="M2491">
        <v>0</v>
      </c>
      <c r="N2491" s="98" t="str">
        <f>IF(record[[#This Row],[Memo]]="Browser:chrome os:android","平板報工",IF(record[[#This Row],[Memo]]=0,"委外",record[[#This Row],[Memo]]))</f>
        <v/>
      </c>
      <c r="O2491" t="s">
        <v>58</v>
      </c>
      <c r="P2491" t="s">
        <v>89</v>
      </c>
      <c r="Q2491" t="s">
        <v>58</v>
      </c>
      <c r="R2491" t="str">
        <f>IFERROR(VLOOKUP(record[[#This Row],[PCUSTID]],廠商[],2,FALSE),"")</f>
        <v/>
      </c>
      <c r="S2491" t="str">
        <f>VLOOKUP(record[[#This Row],[employeeID]],員工[],2,FALSE)</f>
        <v>李美蓮</v>
      </c>
    </row>
    <row r="2492" spans="6:19" hidden="1" x14ac:dyDescent="0.25">
      <c r="F2492" t="s">
        <v>1702</v>
      </c>
      <c r="G2492" t="s">
        <v>375</v>
      </c>
      <c r="H2492" t="str">
        <f>VLOOKUP(record[[#This Row],[ProcessSN]],表格2_7[],2,FALSE)</f>
        <v>30-4118-018-4XX</v>
      </c>
      <c r="I2492" t="str">
        <f>VLOOKUP(record[[#This Row],[ProcessSN]],表格2_7[],3,FALSE)</f>
        <v>#05</v>
      </c>
      <c r="J2492" t="s">
        <v>588</v>
      </c>
      <c r="K2492" s="195">
        <v>46115.987314814818</v>
      </c>
      <c r="L2492">
        <v>264</v>
      </c>
      <c r="M2492">
        <v>0</v>
      </c>
      <c r="N2492" s="98" t="str">
        <f>IF(record[[#This Row],[Memo]]="Browser:chrome os:android","平板報工",IF(record[[#This Row],[Memo]]=0,"委外",record[[#This Row],[Memo]]))</f>
        <v/>
      </c>
      <c r="O2492" t="s">
        <v>58</v>
      </c>
      <c r="P2492" t="s">
        <v>89</v>
      </c>
      <c r="Q2492" t="s">
        <v>58</v>
      </c>
      <c r="R2492" t="str">
        <f>IFERROR(VLOOKUP(record[[#This Row],[PCUSTID]],廠商[],2,FALSE),"")</f>
        <v/>
      </c>
      <c r="S2492" t="str">
        <f>VLOOKUP(record[[#This Row],[employeeID]],員工[],2,FALSE)</f>
        <v>李美蓮</v>
      </c>
    </row>
    <row r="2493" spans="6:19" hidden="1" x14ac:dyDescent="0.25">
      <c r="F2493" t="s">
        <v>1702</v>
      </c>
      <c r="G2493" t="s">
        <v>374</v>
      </c>
      <c r="H2493" t="str">
        <f>VLOOKUP(record[[#This Row],[ProcessSN]],表格2_7[],2,FALSE)</f>
        <v>30-4118-018-4XX</v>
      </c>
      <c r="I2493" t="str">
        <f>VLOOKUP(record[[#This Row],[ProcessSN]],表格2_7[],3,FALSE)</f>
        <v>#04</v>
      </c>
      <c r="J2493" t="s">
        <v>588</v>
      </c>
      <c r="K2493" s="195">
        <v>46115.987002314818</v>
      </c>
      <c r="L2493">
        <v>142</v>
      </c>
      <c r="M2493">
        <v>0</v>
      </c>
      <c r="N2493" s="98" t="str">
        <f>IF(record[[#This Row],[Memo]]="Browser:chrome os:android","平板報工",IF(record[[#This Row],[Memo]]=0,"委外",record[[#This Row],[Memo]]))</f>
        <v/>
      </c>
      <c r="O2493" t="s">
        <v>58</v>
      </c>
      <c r="P2493" t="s">
        <v>135</v>
      </c>
      <c r="Q2493" t="s">
        <v>58</v>
      </c>
      <c r="R2493" t="str">
        <f>IFERROR(VLOOKUP(record[[#This Row],[PCUSTID]],廠商[],2,FALSE),"")</f>
        <v/>
      </c>
      <c r="S2493" t="str">
        <f>VLOOKUP(record[[#This Row],[employeeID]],員工[],2,FALSE)</f>
        <v>阮士文</v>
      </c>
    </row>
    <row r="2494" spans="6:19" hidden="1" x14ac:dyDescent="0.25">
      <c r="F2494" t="s">
        <v>1637</v>
      </c>
      <c r="G2494" t="s">
        <v>448</v>
      </c>
      <c r="H2494" t="str">
        <f>VLOOKUP(record[[#This Row],[ProcessSN]],表格2_7[],2,FALSE)</f>
        <v>30-4118-018-6XX</v>
      </c>
      <c r="I2494" t="str">
        <f>VLOOKUP(record[[#This Row],[ProcessSN]],表格2_7[],3,FALSE)</f>
        <v>#04</v>
      </c>
      <c r="J2494" t="s">
        <v>588</v>
      </c>
      <c r="K2494" s="195">
        <v>46115.986215277779</v>
      </c>
      <c r="L2494">
        <v>76</v>
      </c>
      <c r="M2494">
        <v>1</v>
      </c>
      <c r="N2494" s="98" t="str">
        <f>IF(record[[#This Row],[Memo]]="Browser:chrome os:android","平板報工",IF(record[[#This Row],[Memo]]=0,"委外",record[[#This Row],[Memo]]))</f>
        <v/>
      </c>
      <c r="O2494" t="s">
        <v>58</v>
      </c>
      <c r="P2494" t="s">
        <v>135</v>
      </c>
      <c r="Q2494" t="s">
        <v>58</v>
      </c>
      <c r="R2494" t="str">
        <f>IFERROR(VLOOKUP(record[[#This Row],[PCUSTID]],廠商[],2,FALSE),"")</f>
        <v/>
      </c>
      <c r="S2494" t="str">
        <f>VLOOKUP(record[[#This Row],[employeeID]],員工[],2,FALSE)</f>
        <v>阮士文</v>
      </c>
    </row>
    <row r="2495" spans="6:19" hidden="1" x14ac:dyDescent="0.25">
      <c r="F2495" t="s">
        <v>1587</v>
      </c>
      <c r="G2495" t="s">
        <v>376</v>
      </c>
      <c r="H2495" t="str">
        <f>VLOOKUP(record[[#This Row],[ProcessSN]],表格2_7[],2,FALSE)</f>
        <v>30-4118-018-4XX</v>
      </c>
      <c r="I2495" t="str">
        <f>VLOOKUP(record[[#This Row],[ProcessSN]],表格2_7[],3,FALSE)</f>
        <v>#06</v>
      </c>
      <c r="J2495" t="s">
        <v>593</v>
      </c>
      <c r="K2495" s="195">
        <v>46115.664687500001</v>
      </c>
      <c r="L2495">
        <v>106</v>
      </c>
      <c r="M2495">
        <v>0</v>
      </c>
      <c r="N2495" s="98" t="str">
        <f>IF(record[[#This Row],[Memo]]="Browser:chrome os:android","平板報工",IF(record[[#This Row],[Memo]]=0,"委外",record[[#This Row],[Memo]]))</f>
        <v>平板報工</v>
      </c>
      <c r="O2495" t="s">
        <v>643</v>
      </c>
      <c r="P2495" t="s">
        <v>1669</v>
      </c>
      <c r="Q2495" t="s">
        <v>644</v>
      </c>
      <c r="R2495" t="str">
        <f>IFERROR(VLOOKUP(record[[#This Row],[PCUSTID]],廠商[],2,FALSE),"")</f>
        <v/>
      </c>
      <c r="S2495" t="str">
        <f>VLOOKUP(record[[#This Row],[employeeID]],員工[],2,FALSE)</f>
        <v>武氏麗娟</v>
      </c>
    </row>
    <row r="2496" spans="6:19" hidden="1" x14ac:dyDescent="0.25">
      <c r="F2496" t="s">
        <v>1653</v>
      </c>
      <c r="G2496" t="s">
        <v>417</v>
      </c>
      <c r="H2496" t="str">
        <f>VLOOKUP(record[[#This Row],[ProcessSN]],表格2_7[],2,FALSE)</f>
        <v>30-4118-018-5XX</v>
      </c>
      <c r="I2496" t="str">
        <f>VLOOKUP(record[[#This Row],[ProcessSN]],表格2_7[],3,FALSE)</f>
        <v>#06</v>
      </c>
      <c r="J2496" t="s">
        <v>593</v>
      </c>
      <c r="K2496" s="195">
        <v>46115.658634259256</v>
      </c>
      <c r="L2496">
        <v>12</v>
      </c>
      <c r="M2496">
        <v>0</v>
      </c>
      <c r="N2496" s="98" t="str">
        <f>IF(record[[#This Row],[Memo]]="Browser:chrome os:android","平板報工",IF(record[[#This Row],[Memo]]=0,"委外",record[[#This Row],[Memo]]))</f>
        <v>平板報工</v>
      </c>
      <c r="O2496" t="s">
        <v>643</v>
      </c>
      <c r="P2496" t="s">
        <v>1413</v>
      </c>
      <c r="Q2496" t="s">
        <v>644</v>
      </c>
      <c r="R2496" t="str">
        <f>IFERROR(VLOOKUP(record[[#This Row],[PCUSTID]],廠商[],2,FALSE),"")</f>
        <v/>
      </c>
      <c r="S2496" t="str">
        <f>VLOOKUP(record[[#This Row],[employeeID]],員工[],2,FALSE)</f>
        <v>阮氏芳英(芳)</v>
      </c>
    </row>
    <row r="2497" spans="6:19" hidden="1" x14ac:dyDescent="0.25">
      <c r="F2497" t="s">
        <v>1702</v>
      </c>
      <c r="G2497" t="s">
        <v>376</v>
      </c>
      <c r="H2497" t="str">
        <f>VLOOKUP(record[[#This Row],[ProcessSN]],表格2_7[],2,FALSE)</f>
        <v>30-4118-018-4XX</v>
      </c>
      <c r="I2497" t="str">
        <f>VLOOKUP(record[[#This Row],[ProcessSN]],表格2_7[],3,FALSE)</f>
        <v>#06</v>
      </c>
      <c r="J2497" t="s">
        <v>593</v>
      </c>
      <c r="K2497" s="195">
        <v>46115.656006944446</v>
      </c>
      <c r="L2497">
        <v>125</v>
      </c>
      <c r="M2497">
        <v>0</v>
      </c>
      <c r="N2497" s="98" t="str">
        <f>IF(record[[#This Row],[Memo]]="Browser:chrome os:android","平板報工",IF(record[[#This Row],[Memo]]=0,"委外",record[[#This Row],[Memo]]))</f>
        <v>平板報工</v>
      </c>
      <c r="O2497" t="s">
        <v>643</v>
      </c>
      <c r="P2497" t="s">
        <v>1413</v>
      </c>
      <c r="Q2497" t="s">
        <v>644</v>
      </c>
      <c r="R2497" t="str">
        <f>IFERROR(VLOOKUP(record[[#This Row],[PCUSTID]],廠商[],2,FALSE),"")</f>
        <v/>
      </c>
      <c r="S2497" t="str">
        <f>VLOOKUP(record[[#This Row],[employeeID]],員工[],2,FALSE)</f>
        <v>阮氏芳英(芳)</v>
      </c>
    </row>
    <row r="2498" spans="6:19" hidden="1" x14ac:dyDescent="0.25">
      <c r="F2498" t="s">
        <v>1653</v>
      </c>
      <c r="G2498" t="s">
        <v>418</v>
      </c>
      <c r="H2498" t="str">
        <f>VLOOKUP(record[[#This Row],[ProcessSN]],表格2_7[],2,FALSE)</f>
        <v>30-4118-018-5XX</v>
      </c>
      <c r="I2498" t="str">
        <f>VLOOKUP(record[[#This Row],[ProcessSN]],表格2_7[],3,FALSE)</f>
        <v>#07</v>
      </c>
      <c r="J2498" t="s">
        <v>588</v>
      </c>
      <c r="K2498" s="195">
        <v>46115.650960648149</v>
      </c>
      <c r="L2498">
        <v>258</v>
      </c>
      <c r="M2498">
        <v>0</v>
      </c>
      <c r="N2498" s="98" t="str">
        <f>IF(record[[#This Row],[Memo]]="Browser:chrome os:android","平板報工",IF(record[[#This Row],[Memo]]=0,"委外",record[[#This Row],[Memo]]))</f>
        <v/>
      </c>
      <c r="O2498" t="s">
        <v>58</v>
      </c>
      <c r="P2498" t="s">
        <v>133</v>
      </c>
      <c r="Q2498" t="s">
        <v>58</v>
      </c>
      <c r="R2498" t="str">
        <f>IFERROR(VLOOKUP(record[[#This Row],[PCUSTID]],廠商[],2,FALSE),"")</f>
        <v/>
      </c>
      <c r="S2498" t="str">
        <f>VLOOKUP(record[[#This Row],[employeeID]],員工[],2,FALSE)</f>
        <v>黎長維</v>
      </c>
    </row>
    <row r="2499" spans="6:19" hidden="1" x14ac:dyDescent="0.25">
      <c r="F2499" t="s">
        <v>1655</v>
      </c>
      <c r="G2499" t="s">
        <v>465</v>
      </c>
      <c r="H2499" t="str">
        <f>VLOOKUP(record[[#This Row],[ProcessSN]],表格2_7[],2,FALSE)</f>
        <v>30-4118-018-XXX</v>
      </c>
      <c r="I2499" t="str">
        <f>VLOOKUP(record[[#This Row],[ProcessSN]],表格2_7[],3,FALSE)</f>
        <v>#01-1</v>
      </c>
      <c r="J2499" t="s">
        <v>588</v>
      </c>
      <c r="K2499" s="195">
        <v>46115.650694444441</v>
      </c>
      <c r="L2499">
        <v>606</v>
      </c>
      <c r="M2499">
        <v>0</v>
      </c>
      <c r="N2499" s="98" t="str">
        <f>IF(record[[#This Row],[Memo]]="Browser:chrome os:android","平板報工",IF(record[[#This Row],[Memo]]=0,"委外",record[[#This Row],[Memo]]))</f>
        <v/>
      </c>
      <c r="O2499" t="s">
        <v>58</v>
      </c>
      <c r="P2499" t="s">
        <v>133</v>
      </c>
      <c r="Q2499" t="s">
        <v>58</v>
      </c>
      <c r="R2499" t="str">
        <f>IFERROR(VLOOKUP(record[[#This Row],[PCUSTID]],廠商[],2,FALSE),"")</f>
        <v/>
      </c>
      <c r="S2499" t="str">
        <f>VLOOKUP(record[[#This Row],[employeeID]],員工[],2,FALSE)</f>
        <v>黎長維</v>
      </c>
    </row>
    <row r="2500" spans="6:19" hidden="1" x14ac:dyDescent="0.25">
      <c r="F2500" t="s">
        <v>1702</v>
      </c>
      <c r="G2500" t="s">
        <v>375</v>
      </c>
      <c r="H2500" t="str">
        <f>VLOOKUP(record[[#This Row],[ProcessSN]],表格2_7[],2,FALSE)</f>
        <v>30-4118-018-4XX</v>
      </c>
      <c r="I2500" t="str">
        <f>VLOOKUP(record[[#This Row],[ProcessSN]],表格2_7[],3,FALSE)</f>
        <v>#05</v>
      </c>
      <c r="J2500" t="s">
        <v>588</v>
      </c>
      <c r="K2500" s="195">
        <v>46115.650509259256</v>
      </c>
      <c r="L2500">
        <v>341</v>
      </c>
      <c r="M2500">
        <v>0</v>
      </c>
      <c r="N2500" s="98" t="str">
        <f>IF(record[[#This Row],[Memo]]="Browser:chrome os:android","平板報工",IF(record[[#This Row],[Memo]]=0,"委外",record[[#This Row],[Memo]]))</f>
        <v/>
      </c>
      <c r="O2500" t="s">
        <v>58</v>
      </c>
      <c r="P2500" t="s">
        <v>133</v>
      </c>
      <c r="Q2500" t="s">
        <v>58</v>
      </c>
      <c r="R2500" t="str">
        <f>IFERROR(VLOOKUP(record[[#This Row],[PCUSTID]],廠商[],2,FALSE),"")</f>
        <v/>
      </c>
      <c r="S2500" t="str">
        <f>VLOOKUP(record[[#This Row],[employeeID]],員工[],2,FALSE)</f>
        <v>黎長維</v>
      </c>
    </row>
    <row r="2501" spans="6:19" hidden="1" x14ac:dyDescent="0.25">
      <c r="F2501" t="s">
        <v>1702</v>
      </c>
      <c r="G2501" t="s">
        <v>374</v>
      </c>
      <c r="H2501" t="str">
        <f>VLOOKUP(record[[#This Row],[ProcessSN]],表格2_7[],2,FALSE)</f>
        <v>30-4118-018-4XX</v>
      </c>
      <c r="I2501" t="str">
        <f>VLOOKUP(record[[#This Row],[ProcessSN]],表格2_7[],3,FALSE)</f>
        <v>#04</v>
      </c>
      <c r="J2501" t="s">
        <v>588</v>
      </c>
      <c r="K2501" s="195">
        <v>46115.645497685182</v>
      </c>
      <c r="L2501">
        <v>135</v>
      </c>
      <c r="M2501">
        <v>0</v>
      </c>
      <c r="N2501" s="98" t="str">
        <f>IF(record[[#This Row],[Memo]]="Browser:chrome os:android","平板報工",IF(record[[#This Row],[Memo]]=0,"委外",record[[#This Row],[Memo]]))</f>
        <v>平板報工</v>
      </c>
      <c r="O2501" t="s">
        <v>643</v>
      </c>
      <c r="P2501" t="s">
        <v>107</v>
      </c>
      <c r="Q2501" t="s">
        <v>644</v>
      </c>
      <c r="R2501" t="str">
        <f>IFERROR(VLOOKUP(record[[#This Row],[PCUSTID]],廠商[],2,FALSE),"")</f>
        <v/>
      </c>
      <c r="S2501" t="str">
        <f>VLOOKUP(record[[#This Row],[employeeID]],員工[],2,FALSE)</f>
        <v>黎氏順</v>
      </c>
    </row>
    <row r="2502" spans="6:19" hidden="1" x14ac:dyDescent="0.25">
      <c r="F2502" t="s">
        <v>1702</v>
      </c>
      <c r="G2502" t="s">
        <v>374</v>
      </c>
      <c r="H2502" t="str">
        <f>VLOOKUP(record[[#This Row],[ProcessSN]],表格2_7[],2,FALSE)</f>
        <v>30-4118-018-4XX</v>
      </c>
      <c r="I2502" t="str">
        <f>VLOOKUP(record[[#This Row],[ProcessSN]],表格2_7[],3,FALSE)</f>
        <v>#04</v>
      </c>
      <c r="J2502" t="s">
        <v>588</v>
      </c>
      <c r="K2502" s="195">
        <v>46115.644259259258</v>
      </c>
      <c r="L2502">
        <v>108</v>
      </c>
      <c r="M2502">
        <v>4</v>
      </c>
      <c r="N2502" s="98" t="str">
        <f>IF(record[[#This Row],[Memo]]="Browser:chrome os:android","平板報工",IF(record[[#This Row],[Memo]]=0,"委外",record[[#This Row],[Memo]]))</f>
        <v>平板報工</v>
      </c>
      <c r="O2502" t="s">
        <v>643</v>
      </c>
      <c r="P2502" t="s">
        <v>107</v>
      </c>
      <c r="Q2502" t="s">
        <v>644</v>
      </c>
      <c r="R2502" t="str">
        <f>IFERROR(VLOOKUP(record[[#This Row],[PCUSTID]],廠商[],2,FALSE),"")</f>
        <v/>
      </c>
      <c r="S2502" t="str">
        <f>VLOOKUP(record[[#This Row],[employeeID]],員工[],2,FALSE)</f>
        <v>黎氏順</v>
      </c>
    </row>
    <row r="2503" spans="6:19" hidden="1" x14ac:dyDescent="0.25">
      <c r="F2503" t="s">
        <v>1705</v>
      </c>
      <c r="G2503" t="s">
        <v>425</v>
      </c>
      <c r="H2503" t="str">
        <f>VLOOKUP(record[[#This Row],[ProcessSN]],表格2_7[],2,FALSE)</f>
        <v>30-4118-018-600</v>
      </c>
      <c r="I2503" t="str">
        <f>VLOOKUP(record[[#This Row],[ProcessSN]],表格2_7[],3,FALSE)</f>
        <v>#100</v>
      </c>
      <c r="J2503" t="s">
        <v>598</v>
      </c>
      <c r="K2503" s="195">
        <v>46115.643414351849</v>
      </c>
      <c r="L2503">
        <v>366</v>
      </c>
      <c r="M2503">
        <v>0</v>
      </c>
      <c r="N2503" s="98" t="str">
        <f>IF(record[[#This Row],[Memo]]="Browser:chrome os:android","平板報工",IF(record[[#This Row],[Memo]]=0,"委外",record[[#This Row],[Memo]]))</f>
        <v/>
      </c>
      <c r="O2503" t="s">
        <v>58</v>
      </c>
      <c r="P2503" t="s">
        <v>141</v>
      </c>
      <c r="Q2503" t="s">
        <v>58</v>
      </c>
      <c r="R2503" t="str">
        <f>IFERROR(VLOOKUP(record[[#This Row],[PCUSTID]],廠商[],2,FALSE),"")</f>
        <v/>
      </c>
      <c r="S2503" t="str">
        <f>VLOOKUP(record[[#This Row],[employeeID]],員工[],2,FALSE)</f>
        <v>蔣梅</v>
      </c>
    </row>
    <row r="2504" spans="6:19" hidden="1" x14ac:dyDescent="0.25">
      <c r="F2504" t="s">
        <v>1693</v>
      </c>
      <c r="G2504" t="s">
        <v>425</v>
      </c>
      <c r="H2504" t="str">
        <f>VLOOKUP(record[[#This Row],[ProcessSN]],表格2_7[],2,FALSE)</f>
        <v>30-4118-018-600</v>
      </c>
      <c r="I2504" t="str">
        <f>VLOOKUP(record[[#This Row],[ProcessSN]],表格2_7[],3,FALSE)</f>
        <v>#100</v>
      </c>
      <c r="J2504" t="s">
        <v>598</v>
      </c>
      <c r="K2504" s="195">
        <v>46115.64303240741</v>
      </c>
      <c r="L2504">
        <v>179</v>
      </c>
      <c r="M2504">
        <v>0</v>
      </c>
      <c r="N2504" s="98" t="str">
        <f>IF(record[[#This Row],[Memo]]="Browser:chrome os:android","平板報工",IF(record[[#This Row],[Memo]]=0,"委外",record[[#This Row],[Memo]]))</f>
        <v/>
      </c>
      <c r="O2504" t="s">
        <v>58</v>
      </c>
      <c r="P2504" t="s">
        <v>141</v>
      </c>
      <c r="Q2504" t="s">
        <v>58</v>
      </c>
      <c r="R2504" t="str">
        <f>IFERROR(VLOOKUP(record[[#This Row],[PCUSTID]],廠商[],2,FALSE),"")</f>
        <v/>
      </c>
      <c r="S2504" t="str">
        <f>VLOOKUP(record[[#This Row],[employeeID]],員工[],2,FALSE)</f>
        <v>蔣梅</v>
      </c>
    </row>
    <row r="2505" spans="6:19" hidden="1" x14ac:dyDescent="0.25">
      <c r="F2505" t="s">
        <v>1587</v>
      </c>
      <c r="G2505" t="s">
        <v>378</v>
      </c>
      <c r="H2505" t="str">
        <f>VLOOKUP(record[[#This Row],[ProcessSN]],表格2_7[],2,FALSE)</f>
        <v>30-4118-018-4XX</v>
      </c>
      <c r="I2505" t="str">
        <f>VLOOKUP(record[[#This Row],[ProcessSN]],表格2_7[],3,FALSE)</f>
        <v>#07QC</v>
      </c>
      <c r="J2505" t="s">
        <v>589</v>
      </c>
      <c r="K2505" s="195">
        <v>46115.475624999999</v>
      </c>
      <c r="L2505">
        <v>339</v>
      </c>
      <c r="M2505">
        <v>0</v>
      </c>
      <c r="N2505" s="98" t="str">
        <f>IF(record[[#This Row],[Memo]]="Browser:chrome os:android","平板報工",IF(record[[#This Row],[Memo]]=0,"委外",record[[#This Row],[Memo]]))</f>
        <v/>
      </c>
      <c r="O2505" t="s">
        <v>58</v>
      </c>
      <c r="P2505" t="s">
        <v>141</v>
      </c>
      <c r="Q2505" t="s">
        <v>58</v>
      </c>
      <c r="R2505" t="str">
        <f>IFERROR(VLOOKUP(record[[#This Row],[PCUSTID]],廠商[],2,FALSE),"")</f>
        <v/>
      </c>
      <c r="S2505" t="str">
        <f>VLOOKUP(record[[#This Row],[employeeID]],員工[],2,FALSE)</f>
        <v>蔣梅</v>
      </c>
    </row>
    <row r="2506" spans="6:19" hidden="1" x14ac:dyDescent="0.25">
      <c r="F2506" t="s">
        <v>1653</v>
      </c>
      <c r="G2506" t="s">
        <v>417</v>
      </c>
      <c r="H2506" t="str">
        <f>VLOOKUP(record[[#This Row],[ProcessSN]],表格2_7[],2,FALSE)</f>
        <v>30-4118-018-5XX</v>
      </c>
      <c r="I2506" t="str">
        <f>VLOOKUP(record[[#This Row],[ProcessSN]],表格2_7[],3,FALSE)</f>
        <v>#06</v>
      </c>
      <c r="J2506" t="s">
        <v>593</v>
      </c>
      <c r="K2506" s="195">
        <v>46115.319976851853</v>
      </c>
      <c r="L2506">
        <v>133</v>
      </c>
      <c r="M2506">
        <v>0</v>
      </c>
      <c r="N2506" s="98" t="str">
        <f>IF(record[[#This Row],[Memo]]="Browser:chrome os:android","平板報工",IF(record[[#This Row],[Memo]]=0,"委外",record[[#This Row],[Memo]]))</f>
        <v/>
      </c>
      <c r="O2506" t="s">
        <v>58</v>
      </c>
      <c r="P2506" t="s">
        <v>180</v>
      </c>
      <c r="Q2506" t="s">
        <v>58</v>
      </c>
      <c r="R2506" t="str">
        <f>IFERROR(VLOOKUP(record[[#This Row],[PCUSTID]],廠商[],2,FALSE),"")</f>
        <v/>
      </c>
      <c r="S2506" t="str">
        <f>VLOOKUP(record[[#This Row],[employeeID]],員工[],2,FALSE)</f>
        <v>黎功江</v>
      </c>
    </row>
    <row r="2507" spans="6:19" hidden="1" x14ac:dyDescent="0.25">
      <c r="F2507" t="s">
        <v>1587</v>
      </c>
      <c r="G2507" t="s">
        <v>376</v>
      </c>
      <c r="H2507" t="str">
        <f>VLOOKUP(record[[#This Row],[ProcessSN]],表格2_7[],2,FALSE)</f>
        <v>30-4118-018-4XX</v>
      </c>
      <c r="I2507" t="str">
        <f>VLOOKUP(record[[#This Row],[ProcessSN]],表格2_7[],3,FALSE)</f>
        <v>#06</v>
      </c>
      <c r="J2507" t="s">
        <v>593</v>
      </c>
      <c r="K2507" s="195">
        <v>46115.319398148145</v>
      </c>
      <c r="L2507">
        <v>133</v>
      </c>
      <c r="M2507">
        <v>0</v>
      </c>
      <c r="N2507" s="98" t="str">
        <f>IF(record[[#This Row],[Memo]]="Browser:chrome os:android","平板報工",IF(record[[#This Row],[Memo]]=0,"委外",record[[#This Row],[Memo]]))</f>
        <v/>
      </c>
      <c r="O2507" t="s">
        <v>58</v>
      </c>
      <c r="P2507" t="s">
        <v>691</v>
      </c>
      <c r="Q2507" t="s">
        <v>58</v>
      </c>
      <c r="R2507" t="str">
        <f>IFERROR(VLOOKUP(record[[#This Row],[PCUSTID]],廠商[],2,FALSE),"")</f>
        <v/>
      </c>
      <c r="S2507" t="str">
        <f>VLOOKUP(record[[#This Row],[employeeID]],員工[],2,FALSE)</f>
        <v>武氏賢</v>
      </c>
    </row>
    <row r="2508" spans="6:19" hidden="1" x14ac:dyDescent="0.25">
      <c r="F2508" t="s">
        <v>1587</v>
      </c>
      <c r="G2508" t="s">
        <v>377</v>
      </c>
      <c r="H2508" t="str">
        <f>VLOOKUP(record[[#This Row],[ProcessSN]],表格2_7[],2,FALSE)</f>
        <v>30-4118-018-4XX</v>
      </c>
      <c r="I2508" t="str">
        <f>VLOOKUP(record[[#This Row],[ProcessSN]],表格2_7[],3,FALSE)</f>
        <v>#07</v>
      </c>
      <c r="J2508" t="s">
        <v>588</v>
      </c>
      <c r="K2508" s="195">
        <v>46115.317928240744</v>
      </c>
      <c r="L2508">
        <v>200</v>
      </c>
      <c r="M2508">
        <v>1</v>
      </c>
      <c r="N2508" s="98" t="str">
        <f>IF(record[[#This Row],[Memo]]="Browser:chrome os:android","平板報工",IF(record[[#This Row],[Memo]]=0,"委外",record[[#This Row],[Memo]]))</f>
        <v/>
      </c>
      <c r="O2508" t="s">
        <v>58</v>
      </c>
      <c r="P2508" t="s">
        <v>806</v>
      </c>
      <c r="Q2508" t="s">
        <v>58</v>
      </c>
      <c r="R2508" t="str">
        <f>IFERROR(VLOOKUP(record[[#This Row],[PCUSTID]],廠商[],2,FALSE),"")</f>
        <v/>
      </c>
      <c r="S2508" t="str">
        <f>VLOOKUP(record[[#This Row],[employeeID]],員工[],2,FALSE)</f>
        <v>方思緯</v>
      </c>
    </row>
    <row r="2509" spans="6:19" hidden="1" x14ac:dyDescent="0.25">
      <c r="F2509" t="s">
        <v>1655</v>
      </c>
      <c r="G2509" t="s">
        <v>465</v>
      </c>
      <c r="H2509" t="str">
        <f>VLOOKUP(record[[#This Row],[ProcessSN]],表格2_7[],2,FALSE)</f>
        <v>30-4118-018-XXX</v>
      </c>
      <c r="I2509" t="str">
        <f>VLOOKUP(record[[#This Row],[ProcessSN]],表格2_7[],3,FALSE)</f>
        <v>#01-1</v>
      </c>
      <c r="J2509" t="s">
        <v>588</v>
      </c>
      <c r="K2509" s="195">
        <v>46115.317256944443</v>
      </c>
      <c r="L2509">
        <v>240</v>
      </c>
      <c r="M2509">
        <v>0</v>
      </c>
      <c r="N2509" s="98" t="str">
        <f>IF(record[[#This Row],[Memo]]="Browser:chrome os:android","平板報工",IF(record[[#This Row],[Memo]]=0,"委外",record[[#This Row],[Memo]]))</f>
        <v>中4/1</v>
      </c>
      <c r="O2509" t="s">
        <v>1728</v>
      </c>
      <c r="P2509" t="s">
        <v>135</v>
      </c>
      <c r="Q2509" t="s">
        <v>58</v>
      </c>
      <c r="R2509" t="str">
        <f>IFERROR(VLOOKUP(record[[#This Row],[PCUSTID]],廠商[],2,FALSE),"")</f>
        <v/>
      </c>
      <c r="S2509" t="str">
        <f>VLOOKUP(record[[#This Row],[employeeID]],員工[],2,FALSE)</f>
        <v>阮士文</v>
      </c>
    </row>
    <row r="2510" spans="6:19" hidden="1" x14ac:dyDescent="0.25">
      <c r="F2510" t="s">
        <v>1655</v>
      </c>
      <c r="G2510" t="s">
        <v>465</v>
      </c>
      <c r="H2510" t="str">
        <f>VLOOKUP(record[[#This Row],[ProcessSN]],表格2_7[],2,FALSE)</f>
        <v>30-4118-018-XXX</v>
      </c>
      <c r="I2510" t="str">
        <f>VLOOKUP(record[[#This Row],[ProcessSN]],表格2_7[],3,FALSE)</f>
        <v>#01-1</v>
      </c>
      <c r="J2510" t="s">
        <v>588</v>
      </c>
      <c r="K2510" s="195">
        <v>46115.316747685189</v>
      </c>
      <c r="L2510">
        <v>720</v>
      </c>
      <c r="M2510">
        <v>0</v>
      </c>
      <c r="N2510" s="98" t="str">
        <f>IF(record[[#This Row],[Memo]]="Browser:chrome os:android","平板報工",IF(record[[#This Row],[Memo]]=0,"委外",record[[#This Row],[Memo]]))</f>
        <v>晚4/1</v>
      </c>
      <c r="O2510" t="s">
        <v>1727</v>
      </c>
      <c r="P2510" t="s">
        <v>843</v>
      </c>
      <c r="Q2510" t="s">
        <v>58</v>
      </c>
      <c r="R2510" t="str">
        <f>IFERROR(VLOOKUP(record[[#This Row],[PCUSTID]],廠商[],2,FALSE),"")</f>
        <v/>
      </c>
      <c r="S2510" t="str">
        <f>VLOOKUP(record[[#This Row],[employeeID]],員工[],2,FALSE)</f>
        <v>張楚承</v>
      </c>
    </row>
    <row r="2511" spans="6:19" hidden="1" x14ac:dyDescent="0.25">
      <c r="F2511" t="s">
        <v>1655</v>
      </c>
      <c r="G2511" t="s">
        <v>465</v>
      </c>
      <c r="H2511" t="str">
        <f>VLOOKUP(record[[#This Row],[ProcessSN]],表格2_7[],2,FALSE)</f>
        <v>30-4118-018-XXX</v>
      </c>
      <c r="I2511" t="str">
        <f>VLOOKUP(record[[#This Row],[ProcessSN]],表格2_7[],3,FALSE)</f>
        <v>#01-1</v>
      </c>
      <c r="J2511" t="s">
        <v>588</v>
      </c>
      <c r="K2511" s="195">
        <v>46115.316412037035</v>
      </c>
      <c r="L2511">
        <v>434</v>
      </c>
      <c r="M2511">
        <v>0</v>
      </c>
      <c r="N2511" s="98" t="str">
        <f>IF(record[[#This Row],[Memo]]="Browser:chrome os:android","平板報工",IF(record[[#This Row],[Memo]]=0,"委外",record[[#This Row],[Memo]]))</f>
        <v/>
      </c>
      <c r="O2511" t="s">
        <v>58</v>
      </c>
      <c r="P2511" t="s">
        <v>843</v>
      </c>
      <c r="Q2511" t="s">
        <v>58</v>
      </c>
      <c r="R2511" t="str">
        <f>IFERROR(VLOOKUP(record[[#This Row],[PCUSTID]],廠商[],2,FALSE),"")</f>
        <v/>
      </c>
      <c r="S2511" t="str">
        <f>VLOOKUP(record[[#This Row],[employeeID]],員工[],2,FALSE)</f>
        <v>張楚承</v>
      </c>
    </row>
    <row r="2512" spans="6:19" hidden="1" x14ac:dyDescent="0.25">
      <c r="F2512" t="s">
        <v>1702</v>
      </c>
      <c r="G2512" t="s">
        <v>375</v>
      </c>
      <c r="H2512" t="str">
        <f>VLOOKUP(record[[#This Row],[ProcessSN]],表格2_7[],2,FALSE)</f>
        <v>30-4118-018-4XX</v>
      </c>
      <c r="I2512" t="str">
        <f>VLOOKUP(record[[#This Row],[ProcessSN]],表格2_7[],3,FALSE)</f>
        <v>#05</v>
      </c>
      <c r="J2512" t="s">
        <v>588</v>
      </c>
      <c r="K2512" s="195">
        <v>46115.315497685187</v>
      </c>
      <c r="L2512">
        <v>241</v>
      </c>
      <c r="M2512">
        <v>0</v>
      </c>
      <c r="N2512" s="98" t="str">
        <f>IF(record[[#This Row],[Memo]]="Browser:chrome os:android","平板報工",IF(record[[#This Row],[Memo]]=0,"委外",record[[#This Row],[Memo]]))</f>
        <v/>
      </c>
      <c r="O2512" t="s">
        <v>58</v>
      </c>
      <c r="P2512" t="s">
        <v>843</v>
      </c>
      <c r="Q2512" t="s">
        <v>58</v>
      </c>
      <c r="R2512" t="str">
        <f>IFERROR(VLOOKUP(record[[#This Row],[PCUSTID]],廠商[],2,FALSE),"")</f>
        <v/>
      </c>
      <c r="S2512" t="str">
        <f>VLOOKUP(record[[#This Row],[employeeID]],員工[],2,FALSE)</f>
        <v>張楚承</v>
      </c>
    </row>
    <row r="2513" spans="6:19" hidden="1" x14ac:dyDescent="0.25">
      <c r="F2513" t="s">
        <v>1702</v>
      </c>
      <c r="G2513" t="s">
        <v>374</v>
      </c>
      <c r="H2513" t="str">
        <f>VLOOKUP(record[[#This Row],[ProcessSN]],表格2_7[],2,FALSE)</f>
        <v>30-4118-018-4XX</v>
      </c>
      <c r="I2513" t="str">
        <f>VLOOKUP(record[[#This Row],[ProcessSN]],表格2_7[],3,FALSE)</f>
        <v>#04</v>
      </c>
      <c r="J2513" t="s">
        <v>588</v>
      </c>
      <c r="K2513" s="195">
        <v>46115.315011574072</v>
      </c>
      <c r="L2513">
        <v>233</v>
      </c>
      <c r="M2513">
        <v>3</v>
      </c>
      <c r="N2513" s="98" t="str">
        <f>IF(record[[#This Row],[Memo]]="Browser:chrome os:android","平板報工",IF(record[[#This Row],[Memo]]=0,"委外",record[[#This Row],[Memo]]))</f>
        <v/>
      </c>
      <c r="O2513" t="s">
        <v>58</v>
      </c>
      <c r="P2513" t="s">
        <v>135</v>
      </c>
      <c r="Q2513" t="s">
        <v>58</v>
      </c>
      <c r="R2513" t="str">
        <f>IFERROR(VLOOKUP(record[[#This Row],[PCUSTID]],廠商[],2,FALSE),"")</f>
        <v/>
      </c>
      <c r="S2513" t="str">
        <f>VLOOKUP(record[[#This Row],[employeeID]],員工[],2,FALSE)</f>
        <v>阮士文</v>
      </c>
    </row>
    <row r="2514" spans="6:19" hidden="1" x14ac:dyDescent="0.25">
      <c r="F2514" t="s">
        <v>1587</v>
      </c>
      <c r="G2514" t="s">
        <v>375</v>
      </c>
      <c r="H2514" t="str">
        <f>VLOOKUP(record[[#This Row],[ProcessSN]],表格2_7[],2,FALSE)</f>
        <v>30-4118-018-4XX</v>
      </c>
      <c r="I2514" t="str">
        <f>VLOOKUP(record[[#This Row],[ProcessSN]],表格2_7[],3,FALSE)</f>
        <v>#05</v>
      </c>
      <c r="J2514" t="s">
        <v>588</v>
      </c>
      <c r="K2514" s="195">
        <v>46114.98982638889</v>
      </c>
      <c r="L2514">
        <v>90</v>
      </c>
      <c r="M2514">
        <v>0</v>
      </c>
      <c r="N2514" s="98" t="str">
        <f>IF(record[[#This Row],[Memo]]="Browser:chrome os:android","平板報工",IF(record[[#This Row],[Memo]]=0,"委外",record[[#This Row],[Memo]]))</f>
        <v/>
      </c>
      <c r="O2514" t="s">
        <v>58</v>
      </c>
      <c r="P2514" t="s">
        <v>1098</v>
      </c>
      <c r="Q2514" t="s">
        <v>58</v>
      </c>
      <c r="R2514" t="str">
        <f>IFERROR(VLOOKUP(record[[#This Row],[PCUSTID]],廠商[],2,FALSE),"")</f>
        <v/>
      </c>
      <c r="S2514" t="str">
        <f>VLOOKUP(record[[#This Row],[employeeID]],員工[],2,FALSE)</f>
        <v>阮氏芳英(英)</v>
      </c>
    </row>
    <row r="2515" spans="6:19" hidden="1" x14ac:dyDescent="0.25">
      <c r="F2515" t="s">
        <v>1702</v>
      </c>
      <c r="G2515" t="s">
        <v>374</v>
      </c>
      <c r="H2515" t="str">
        <f>VLOOKUP(record[[#This Row],[ProcessSN]],表格2_7[],2,FALSE)</f>
        <v>30-4118-018-4XX</v>
      </c>
      <c r="I2515" t="str">
        <f>VLOOKUP(record[[#This Row],[ProcessSN]],表格2_7[],3,FALSE)</f>
        <v>#04</v>
      </c>
      <c r="J2515" t="s">
        <v>588</v>
      </c>
      <c r="K2515" s="195">
        <v>46114.979791666665</v>
      </c>
      <c r="L2515">
        <v>93</v>
      </c>
      <c r="M2515">
        <v>11</v>
      </c>
      <c r="N2515" s="98" t="str">
        <f>IF(record[[#This Row],[Memo]]="Browser:chrome os:android","平板報工",IF(record[[#This Row],[Memo]]=0,"委外",record[[#This Row],[Memo]]))</f>
        <v/>
      </c>
      <c r="O2515" t="s">
        <v>58</v>
      </c>
      <c r="P2515" t="s">
        <v>176</v>
      </c>
      <c r="Q2515" t="s">
        <v>58</v>
      </c>
      <c r="R2515" t="str">
        <f>IFERROR(VLOOKUP(record[[#This Row],[PCUSTID]],廠商[],2,FALSE),"")</f>
        <v/>
      </c>
      <c r="S2515" t="str">
        <f>VLOOKUP(record[[#This Row],[employeeID]],員工[],2,FALSE)</f>
        <v>郭政雄</v>
      </c>
    </row>
    <row r="2516" spans="6:19" hidden="1" x14ac:dyDescent="0.25">
      <c r="F2516" t="s">
        <v>1702</v>
      </c>
      <c r="G2516" t="s">
        <v>374</v>
      </c>
      <c r="H2516" t="str">
        <f>VLOOKUP(record[[#This Row],[ProcessSN]],表格2_7[],2,FALSE)</f>
        <v>30-4118-018-4XX</v>
      </c>
      <c r="I2516" t="str">
        <f>VLOOKUP(record[[#This Row],[ProcessSN]],表格2_7[],3,FALSE)</f>
        <v>#04</v>
      </c>
      <c r="J2516" t="s">
        <v>588</v>
      </c>
      <c r="K2516" s="195">
        <v>46114.977881944447</v>
      </c>
      <c r="L2516">
        <v>96</v>
      </c>
      <c r="M2516">
        <v>0</v>
      </c>
      <c r="N2516" s="98" t="str">
        <f>IF(record[[#This Row],[Memo]]="Browser:chrome os:android","平板報工",IF(record[[#This Row],[Memo]]=0,"委外",record[[#This Row],[Memo]]))</f>
        <v/>
      </c>
      <c r="O2516" t="s">
        <v>58</v>
      </c>
      <c r="P2516" t="s">
        <v>176</v>
      </c>
      <c r="Q2516" t="s">
        <v>58</v>
      </c>
      <c r="R2516" t="str">
        <f>IFERROR(VLOOKUP(record[[#This Row],[PCUSTID]],廠商[],2,FALSE),"")</f>
        <v/>
      </c>
      <c r="S2516" t="str">
        <f>VLOOKUP(record[[#This Row],[employeeID]],員工[],2,FALSE)</f>
        <v>郭政雄</v>
      </c>
    </row>
    <row r="2517" spans="6:19" hidden="1" x14ac:dyDescent="0.25">
      <c r="F2517" t="s">
        <v>1655</v>
      </c>
      <c r="G2517" t="s">
        <v>465</v>
      </c>
      <c r="H2517" t="str">
        <f>VLOOKUP(record[[#This Row],[ProcessSN]],表格2_7[],2,FALSE)</f>
        <v>30-4118-018-XXX</v>
      </c>
      <c r="I2517" t="str">
        <f>VLOOKUP(record[[#This Row],[ProcessSN]],表格2_7[],3,FALSE)</f>
        <v>#01-1</v>
      </c>
      <c r="J2517" t="s">
        <v>588</v>
      </c>
      <c r="K2517" s="195">
        <v>46114.967442129629</v>
      </c>
      <c r="L2517">
        <v>638</v>
      </c>
      <c r="M2517">
        <v>0</v>
      </c>
      <c r="N2517" s="98" t="str">
        <f>IF(record[[#This Row],[Memo]]="Browser:chrome os:android","平板報工",IF(record[[#This Row],[Memo]]=0,"委外",record[[#This Row],[Memo]]))</f>
        <v/>
      </c>
      <c r="O2517" t="s">
        <v>58</v>
      </c>
      <c r="P2517" t="s">
        <v>1098</v>
      </c>
      <c r="Q2517" t="s">
        <v>58</v>
      </c>
      <c r="R2517" t="str">
        <f>IFERROR(VLOOKUP(record[[#This Row],[PCUSTID]],廠商[],2,FALSE),"")</f>
        <v/>
      </c>
      <c r="S2517" t="str">
        <f>VLOOKUP(record[[#This Row],[employeeID]],員工[],2,FALSE)</f>
        <v>阮氏芳英(英)</v>
      </c>
    </row>
    <row r="2518" spans="6:19" hidden="1" x14ac:dyDescent="0.25">
      <c r="F2518" t="s">
        <v>1653</v>
      </c>
      <c r="G2518" t="s">
        <v>417</v>
      </c>
      <c r="H2518" t="str">
        <f>VLOOKUP(record[[#This Row],[ProcessSN]],表格2_7[],2,FALSE)</f>
        <v>30-4118-018-5XX</v>
      </c>
      <c r="I2518" t="str">
        <f>VLOOKUP(record[[#This Row],[ProcessSN]],表格2_7[],3,FALSE)</f>
        <v>#06</v>
      </c>
      <c r="J2518" t="s">
        <v>593</v>
      </c>
      <c r="K2518" s="195">
        <v>46114.966064814813</v>
      </c>
      <c r="L2518">
        <v>120</v>
      </c>
      <c r="M2518">
        <v>0</v>
      </c>
      <c r="N2518" s="98" t="str">
        <f>IF(record[[#This Row],[Memo]]="Browser:chrome os:android","平板報工",IF(record[[#This Row],[Memo]]=0,"委外",record[[#This Row],[Memo]]))</f>
        <v/>
      </c>
      <c r="O2518" t="s">
        <v>58</v>
      </c>
      <c r="P2518" t="s">
        <v>115</v>
      </c>
      <c r="Q2518" t="s">
        <v>58</v>
      </c>
      <c r="R2518" t="str">
        <f>IFERROR(VLOOKUP(record[[#This Row],[PCUSTID]],廠商[],2,FALSE),"")</f>
        <v/>
      </c>
      <c r="S2518" t="str">
        <f>VLOOKUP(record[[#This Row],[employeeID]],員工[],2,FALSE)</f>
        <v>溫智淵</v>
      </c>
    </row>
    <row r="2519" spans="6:19" hidden="1" x14ac:dyDescent="0.25">
      <c r="F2519" t="s">
        <v>1587</v>
      </c>
      <c r="G2519" t="s">
        <v>376</v>
      </c>
      <c r="H2519" t="str">
        <f>VLOOKUP(record[[#This Row],[ProcessSN]],表格2_7[],2,FALSE)</f>
        <v>30-4118-018-4XX</v>
      </c>
      <c r="I2519" t="str">
        <f>VLOOKUP(record[[#This Row],[ProcessSN]],表格2_7[],3,FALSE)</f>
        <v>#06</v>
      </c>
      <c r="J2519" t="s">
        <v>593</v>
      </c>
      <c r="K2519" s="195">
        <v>46114.965682870374</v>
      </c>
      <c r="L2519">
        <v>133</v>
      </c>
      <c r="M2519">
        <v>0</v>
      </c>
      <c r="N2519" s="98" t="str">
        <f>IF(record[[#This Row],[Memo]]="Browser:chrome os:android","平板報工",IF(record[[#This Row],[Memo]]=0,"委外",record[[#This Row],[Memo]]))</f>
        <v/>
      </c>
      <c r="O2519" t="s">
        <v>58</v>
      </c>
      <c r="P2519" t="s">
        <v>133</v>
      </c>
      <c r="Q2519" t="s">
        <v>58</v>
      </c>
      <c r="R2519" t="str">
        <f>IFERROR(VLOOKUP(record[[#This Row],[PCUSTID]],廠商[],2,FALSE),"")</f>
        <v/>
      </c>
      <c r="S2519" t="str">
        <f>VLOOKUP(record[[#This Row],[employeeID]],員工[],2,FALSE)</f>
        <v>黎長維</v>
      </c>
    </row>
    <row r="2520" spans="6:19" hidden="1" x14ac:dyDescent="0.25">
      <c r="F2520" t="s">
        <v>1715</v>
      </c>
      <c r="G2520" t="s">
        <v>399</v>
      </c>
      <c r="H2520" t="str">
        <f>VLOOKUP(record[[#This Row],[ProcessSN]],表格2_7[],2,FALSE)</f>
        <v>30-4118-018-550</v>
      </c>
      <c r="I2520" t="str">
        <f>VLOOKUP(record[[#This Row],[ProcessSN]],表格2_7[],3,FALSE)</f>
        <v>#08IQC</v>
      </c>
      <c r="J2520" t="s">
        <v>583</v>
      </c>
      <c r="K2520" s="195">
        <v>46114.751840277779</v>
      </c>
      <c r="L2520">
        <v>397</v>
      </c>
      <c r="M2520">
        <v>0</v>
      </c>
      <c r="N2520" s="98" t="str">
        <f>IF(record[[#This Row],[Memo]]="Browser:chrome os:android","平板報工",IF(record[[#This Row],[Memo]]=0,"委外",record[[#This Row],[Memo]]))</f>
        <v/>
      </c>
      <c r="O2520" t="s">
        <v>58</v>
      </c>
      <c r="P2520" t="s">
        <v>109</v>
      </c>
      <c r="Q2520" t="s">
        <v>58</v>
      </c>
      <c r="R2520" t="str">
        <f>IFERROR(VLOOKUP(record[[#This Row],[PCUSTID]],廠商[],2,FALSE),"")</f>
        <v/>
      </c>
      <c r="S2520" t="str">
        <f>VLOOKUP(record[[#This Row],[employeeID]],員工[],2,FALSE)</f>
        <v>裴氏璧鳳</v>
      </c>
    </row>
    <row r="2521" spans="6:19" hidden="1" x14ac:dyDescent="0.25">
      <c r="F2521" t="s">
        <v>1653</v>
      </c>
      <c r="G2521" t="s">
        <v>418</v>
      </c>
      <c r="H2521" t="str">
        <f>VLOOKUP(record[[#This Row],[ProcessSN]],表格2_7[],2,FALSE)</f>
        <v>30-4118-018-5XX</v>
      </c>
      <c r="I2521" t="str">
        <f>VLOOKUP(record[[#This Row],[ProcessSN]],表格2_7[],3,FALSE)</f>
        <v>#07</v>
      </c>
      <c r="J2521" t="s">
        <v>588</v>
      </c>
      <c r="K2521" s="195">
        <v>46114.737060185187</v>
      </c>
      <c r="L2521">
        <v>217</v>
      </c>
      <c r="M2521">
        <v>2</v>
      </c>
      <c r="N2521" s="98" t="str">
        <f>IF(record[[#This Row],[Memo]]="Browser:chrome os:android","平板報工",IF(record[[#This Row],[Memo]]=0,"委外",record[[#This Row],[Memo]]))</f>
        <v>覆回*1pcs4/2</v>
      </c>
      <c r="O2521" t="s">
        <v>1726</v>
      </c>
      <c r="P2521" t="s">
        <v>101</v>
      </c>
      <c r="Q2521" t="s">
        <v>58</v>
      </c>
      <c r="R2521" t="str">
        <f>IFERROR(VLOOKUP(record[[#This Row],[PCUSTID]],廠商[],2,FALSE),"")</f>
        <v/>
      </c>
      <c r="S2521" t="str">
        <f>VLOOKUP(record[[#This Row],[employeeID]],員工[],2,FALSE)</f>
        <v>陳氏絨</v>
      </c>
    </row>
    <row r="2522" spans="6:19" hidden="1" x14ac:dyDescent="0.25">
      <c r="F2522" t="s">
        <v>1715</v>
      </c>
      <c r="G2522" t="s">
        <v>400</v>
      </c>
      <c r="H2522" t="str">
        <f>VLOOKUP(record[[#This Row],[ProcessSN]],表格2_7[],2,FALSE)</f>
        <v>30-4118-018-550</v>
      </c>
      <c r="I2522" t="str">
        <f>VLOOKUP(record[[#This Row],[ProcessSN]],表格2_7[],3,FALSE)</f>
        <v>#100</v>
      </c>
      <c r="J2522" t="s">
        <v>598</v>
      </c>
      <c r="K2522" s="195">
        <v>46114.711365740739</v>
      </c>
      <c r="L2522">
        <v>0</v>
      </c>
      <c r="M2522">
        <v>5</v>
      </c>
      <c r="N2522" s="98" t="str">
        <f>IF(record[[#This Row],[Memo]]="Browser:chrome os:android","平板報工",IF(record[[#This Row],[Memo]]=0,"委外",record[[#This Row],[Memo]]))</f>
        <v/>
      </c>
      <c r="O2522" t="s">
        <v>58</v>
      </c>
      <c r="P2522" t="s">
        <v>141</v>
      </c>
      <c r="Q2522" t="s">
        <v>58</v>
      </c>
      <c r="R2522" t="str">
        <f>IFERROR(VLOOKUP(record[[#This Row],[PCUSTID]],廠商[],2,FALSE),"")</f>
        <v/>
      </c>
      <c r="S2522" t="str">
        <f>VLOOKUP(record[[#This Row],[employeeID]],員工[],2,FALSE)</f>
        <v>蔣梅</v>
      </c>
    </row>
    <row r="2523" spans="6:19" hidden="1" x14ac:dyDescent="0.25">
      <c r="F2523" t="s">
        <v>1725</v>
      </c>
      <c r="G2523" t="s">
        <v>400</v>
      </c>
      <c r="H2523" t="str">
        <f>VLOOKUP(record[[#This Row],[ProcessSN]],表格2_7[],2,FALSE)</f>
        <v>30-4118-018-550</v>
      </c>
      <c r="I2523" t="str">
        <f>VLOOKUP(record[[#This Row],[ProcessSN]],表格2_7[],3,FALSE)</f>
        <v>#100</v>
      </c>
      <c r="J2523" t="s">
        <v>598</v>
      </c>
      <c r="K2523" s="195">
        <v>46114.711134259262</v>
      </c>
      <c r="L2523">
        <v>1</v>
      </c>
      <c r="M2523">
        <v>0</v>
      </c>
      <c r="N2523" s="98" t="str">
        <f>IF(record[[#This Row],[Memo]]="Browser:chrome os:android","平板報工",IF(record[[#This Row],[Memo]]=0,"委外",record[[#This Row],[Memo]]))</f>
        <v/>
      </c>
      <c r="O2523" t="s">
        <v>58</v>
      </c>
      <c r="P2523" t="s">
        <v>141</v>
      </c>
      <c r="Q2523" t="s">
        <v>58</v>
      </c>
      <c r="R2523" t="str">
        <f>IFERROR(VLOOKUP(record[[#This Row],[PCUSTID]],廠商[],2,FALSE),"")</f>
        <v/>
      </c>
      <c r="S2523" t="str">
        <f>VLOOKUP(record[[#This Row],[employeeID]],員工[],2,FALSE)</f>
        <v>蔣梅</v>
      </c>
    </row>
    <row r="2524" spans="6:19" hidden="1" x14ac:dyDescent="0.25">
      <c r="F2524" t="s">
        <v>1715</v>
      </c>
      <c r="G2524" t="s">
        <v>400</v>
      </c>
      <c r="H2524" t="str">
        <f>VLOOKUP(record[[#This Row],[ProcessSN]],表格2_7[],2,FALSE)</f>
        <v>30-4118-018-550</v>
      </c>
      <c r="I2524" t="str">
        <f>VLOOKUP(record[[#This Row],[ProcessSN]],表格2_7[],3,FALSE)</f>
        <v>#100</v>
      </c>
      <c r="J2524" t="s">
        <v>598</v>
      </c>
      <c r="K2524" s="195">
        <v>46114.701701388891</v>
      </c>
      <c r="L2524">
        <v>81</v>
      </c>
      <c r="M2524">
        <v>0</v>
      </c>
      <c r="N2524" s="98" t="str">
        <f>IF(record[[#This Row],[Memo]]="Browser:chrome os:android","平板報工",IF(record[[#This Row],[Memo]]=0,"委外",record[[#This Row],[Memo]]))</f>
        <v/>
      </c>
      <c r="O2524" t="s">
        <v>58</v>
      </c>
      <c r="P2524" t="s">
        <v>141</v>
      </c>
      <c r="Q2524" t="s">
        <v>58</v>
      </c>
      <c r="R2524" t="str">
        <f>IFERROR(VLOOKUP(record[[#This Row],[PCUSTID]],廠商[],2,FALSE),"")</f>
        <v/>
      </c>
      <c r="S2524" t="str">
        <f>VLOOKUP(record[[#This Row],[employeeID]],員工[],2,FALSE)</f>
        <v>蔣梅</v>
      </c>
    </row>
    <row r="2525" spans="6:19" hidden="1" x14ac:dyDescent="0.25">
      <c r="F2525" t="s">
        <v>1653</v>
      </c>
      <c r="G2525" t="s">
        <v>415</v>
      </c>
      <c r="H2525" t="str">
        <f>VLOOKUP(record[[#This Row],[ProcessSN]],表格2_7[],2,FALSE)</f>
        <v>30-4118-018-5XX</v>
      </c>
      <c r="I2525" t="str">
        <f>VLOOKUP(record[[#This Row],[ProcessSN]],表格2_7[],3,FALSE)</f>
        <v>#04</v>
      </c>
      <c r="J2525" t="s">
        <v>588</v>
      </c>
      <c r="K2525" s="195">
        <v>46114.69798611111</v>
      </c>
      <c r="L2525">
        <v>0</v>
      </c>
      <c r="M2525">
        <v>1</v>
      </c>
      <c r="N2525" s="98" t="str">
        <f>IF(record[[#This Row],[Memo]]="Browser:chrome os:android","平板報工",IF(record[[#This Row],[Memo]]=0,"委外",record[[#This Row],[Memo]]))</f>
        <v/>
      </c>
      <c r="O2525" t="s">
        <v>58</v>
      </c>
      <c r="P2525" t="s">
        <v>107</v>
      </c>
      <c r="Q2525" t="s">
        <v>58</v>
      </c>
      <c r="R2525" t="str">
        <f>IFERROR(VLOOKUP(record[[#This Row],[PCUSTID]],廠商[],2,FALSE),"")</f>
        <v/>
      </c>
      <c r="S2525" t="str">
        <f>VLOOKUP(record[[#This Row],[employeeID]],員工[],2,FALSE)</f>
        <v>黎氏順</v>
      </c>
    </row>
    <row r="2526" spans="6:19" hidden="1" x14ac:dyDescent="0.25">
      <c r="F2526" t="s">
        <v>1587</v>
      </c>
      <c r="G2526" t="s">
        <v>377</v>
      </c>
      <c r="H2526" t="str">
        <f>VLOOKUP(record[[#This Row],[ProcessSN]],表格2_7[],2,FALSE)</f>
        <v>30-4118-018-4XX</v>
      </c>
      <c r="I2526" t="str">
        <f>VLOOKUP(record[[#This Row],[ProcessSN]],表格2_7[],3,FALSE)</f>
        <v>#07</v>
      </c>
      <c r="J2526" t="s">
        <v>588</v>
      </c>
      <c r="K2526" s="195">
        <v>46114.684317129628</v>
      </c>
      <c r="L2526">
        <v>24</v>
      </c>
      <c r="M2526">
        <v>0</v>
      </c>
      <c r="N2526" s="98" t="str">
        <f>IF(record[[#This Row],[Memo]]="Browser:chrome os:android","平板報工",IF(record[[#This Row],[Memo]]=0,"委外",record[[#This Row],[Memo]]))</f>
        <v/>
      </c>
      <c r="O2526" t="s">
        <v>58</v>
      </c>
      <c r="P2526" t="s">
        <v>145</v>
      </c>
      <c r="Q2526" t="s">
        <v>58</v>
      </c>
      <c r="R2526" t="str">
        <f>IFERROR(VLOOKUP(record[[#This Row],[PCUSTID]],廠商[],2,FALSE),"")</f>
        <v/>
      </c>
      <c r="S2526" t="str">
        <f>VLOOKUP(record[[#This Row],[employeeID]],員工[],2,FALSE)</f>
        <v>阮秋霞</v>
      </c>
    </row>
    <row r="2527" spans="6:19" hidden="1" x14ac:dyDescent="0.25">
      <c r="F2527" t="s">
        <v>1702</v>
      </c>
      <c r="G2527" t="s">
        <v>374</v>
      </c>
      <c r="H2527" t="str">
        <f>VLOOKUP(record[[#This Row],[ProcessSN]],表格2_7[],2,FALSE)</f>
        <v>30-4118-018-4XX</v>
      </c>
      <c r="I2527" t="str">
        <f>VLOOKUP(record[[#This Row],[ProcessSN]],表格2_7[],3,FALSE)</f>
        <v>#04</v>
      </c>
      <c r="J2527" t="s">
        <v>588</v>
      </c>
      <c r="K2527" s="195">
        <v>46114.682199074072</v>
      </c>
      <c r="L2527">
        <v>0</v>
      </c>
      <c r="M2527">
        <v>1</v>
      </c>
      <c r="N2527" s="98" t="str">
        <f>IF(record[[#This Row],[Memo]]="Browser:chrome os:android","平板報工",IF(record[[#This Row],[Memo]]=0,"委外",record[[#This Row],[Memo]]))</f>
        <v/>
      </c>
      <c r="O2527" t="s">
        <v>58</v>
      </c>
      <c r="P2527" t="s">
        <v>101</v>
      </c>
      <c r="Q2527" t="s">
        <v>58</v>
      </c>
      <c r="R2527" t="str">
        <f>IFERROR(VLOOKUP(record[[#This Row],[PCUSTID]],廠商[],2,FALSE),"")</f>
        <v/>
      </c>
      <c r="S2527" t="str">
        <f>VLOOKUP(record[[#This Row],[employeeID]],員工[],2,FALSE)</f>
        <v>陳氏絨</v>
      </c>
    </row>
    <row r="2528" spans="6:19" hidden="1" x14ac:dyDescent="0.25">
      <c r="F2528" t="s">
        <v>1715</v>
      </c>
      <c r="G2528" t="s">
        <v>398</v>
      </c>
      <c r="H2528" t="str">
        <f>VLOOKUP(record[[#This Row],[ProcessSN]],表格2_7[],2,FALSE)</f>
        <v>30-4118-018-550</v>
      </c>
      <c r="I2528" t="str">
        <f>VLOOKUP(record[[#This Row],[ProcessSN]],表格2_7[],3,FALSE)</f>
        <v>#08RCV</v>
      </c>
      <c r="J2528" t="s">
        <v>591</v>
      </c>
      <c r="K2528" s="195">
        <v>46114.668067129627</v>
      </c>
      <c r="L2528">
        <v>397</v>
      </c>
      <c r="M2528">
        <v>0</v>
      </c>
      <c r="N2528" s="98" t="str">
        <f>IF(record[[#This Row],[Memo]]="Browser:chrome os:android","平板報工",IF(record[[#This Row],[Memo]]=0,"委外",record[[#This Row],[Memo]]))</f>
        <v/>
      </c>
      <c r="O2528" t="s">
        <v>58</v>
      </c>
      <c r="P2528" t="s">
        <v>1698</v>
      </c>
      <c r="Q2528" t="s">
        <v>58</v>
      </c>
      <c r="R2528" t="str">
        <f>IFERROR(VLOOKUP(record[[#This Row],[PCUSTID]],廠商[],2,FALSE),"")</f>
        <v/>
      </c>
      <c r="S2528" t="str">
        <f>VLOOKUP(record[[#This Row],[employeeID]],員工[],2,FALSE)</f>
        <v>羅思潔</v>
      </c>
    </row>
    <row r="2529" spans="6:19" hidden="1" x14ac:dyDescent="0.25">
      <c r="F2529" t="s">
        <v>1705</v>
      </c>
      <c r="G2529" t="s">
        <v>424</v>
      </c>
      <c r="H2529" t="str">
        <f>VLOOKUP(record[[#This Row],[ProcessSN]],表格2_7[],2,FALSE)</f>
        <v>30-4118-018-600</v>
      </c>
      <c r="I2529" t="str">
        <f>VLOOKUP(record[[#This Row],[ProcessSN]],表格2_7[],3,FALSE)</f>
        <v>#08IQC</v>
      </c>
      <c r="J2529" t="s">
        <v>583</v>
      </c>
      <c r="K2529" s="195">
        <v>46114.66574074074</v>
      </c>
      <c r="L2529">
        <v>381</v>
      </c>
      <c r="M2529">
        <v>0</v>
      </c>
      <c r="N2529" s="98" t="str">
        <f>IF(record[[#This Row],[Memo]]="Browser:chrome os:android","平板報工",IF(record[[#This Row],[Memo]]=0,"委外",record[[#This Row],[Memo]]))</f>
        <v/>
      </c>
      <c r="O2529" t="s">
        <v>58</v>
      </c>
      <c r="P2529" t="s">
        <v>109</v>
      </c>
      <c r="Q2529" t="s">
        <v>58</v>
      </c>
      <c r="R2529" t="str">
        <f>IFERROR(VLOOKUP(record[[#This Row],[PCUSTID]],廠商[],2,FALSE),"")</f>
        <v/>
      </c>
      <c r="S2529" t="str">
        <f>VLOOKUP(record[[#This Row],[employeeID]],員工[],2,FALSE)</f>
        <v>裴氏璧鳳</v>
      </c>
    </row>
    <row r="2530" spans="6:19" hidden="1" x14ac:dyDescent="0.25">
      <c r="F2530" t="s">
        <v>1587</v>
      </c>
      <c r="G2530" t="s">
        <v>379</v>
      </c>
      <c r="H2530" t="str">
        <f>VLOOKUP(record[[#This Row],[ProcessSN]],表格2_7[],2,FALSE)</f>
        <v>30-4118-018-4XX</v>
      </c>
      <c r="I2530" t="str">
        <f>VLOOKUP(record[[#This Row],[ProcessSN]],表格2_7[],3,FALSE)</f>
        <v>#07STOCK</v>
      </c>
      <c r="J2530" t="s">
        <v>592</v>
      </c>
      <c r="K2530" s="195">
        <v>46114.664340277777</v>
      </c>
      <c r="L2530">
        <v>487</v>
      </c>
      <c r="M2530">
        <v>0</v>
      </c>
      <c r="N2530" s="98" t="str">
        <f>IF(record[[#This Row],[Memo]]="Browser:chrome os:android","平板報工",IF(record[[#This Row],[Memo]]=0,"委外",record[[#This Row],[Memo]]))</f>
        <v/>
      </c>
      <c r="O2530" t="s">
        <v>58</v>
      </c>
      <c r="P2530" t="s">
        <v>186</v>
      </c>
      <c r="Q2530" t="s">
        <v>58</v>
      </c>
      <c r="R2530" t="str">
        <f>IFERROR(VLOOKUP(record[[#This Row],[PCUSTID]],廠商[],2,FALSE),"")</f>
        <v/>
      </c>
      <c r="S2530" t="str">
        <f>VLOOKUP(record[[#This Row],[employeeID]],員工[],2,FALSE)</f>
        <v>許文姍</v>
      </c>
    </row>
    <row r="2531" spans="6:19" hidden="1" x14ac:dyDescent="0.25">
      <c r="F2531" t="s">
        <v>1589</v>
      </c>
      <c r="G2531" t="s">
        <v>419</v>
      </c>
      <c r="H2531" t="str">
        <f>VLOOKUP(record[[#This Row],[ProcessSN]],表格2_7[],2,FALSE)</f>
        <v>30-4118-018-5XX</v>
      </c>
      <c r="I2531" t="str">
        <f>VLOOKUP(record[[#This Row],[ProcessSN]],表格2_7[],3,FALSE)</f>
        <v>#07QC</v>
      </c>
      <c r="J2531" t="s">
        <v>589</v>
      </c>
      <c r="K2531" s="195">
        <v>46114.664259259262</v>
      </c>
      <c r="L2531">
        <v>0</v>
      </c>
      <c r="M2531">
        <v>24</v>
      </c>
      <c r="N2531" s="98" t="str">
        <f>IF(record[[#This Row],[Memo]]="Browser:chrome os:android","平板報工",IF(record[[#This Row],[Memo]]=0,"委外",record[[#This Row],[Memo]]))</f>
        <v/>
      </c>
      <c r="O2531" t="s">
        <v>58</v>
      </c>
      <c r="P2531" t="s">
        <v>141</v>
      </c>
      <c r="Q2531" t="s">
        <v>58</v>
      </c>
      <c r="R2531" t="str">
        <f>IFERROR(VLOOKUP(record[[#This Row],[PCUSTID]],廠商[],2,FALSE),"")</f>
        <v/>
      </c>
      <c r="S2531" t="str">
        <f>VLOOKUP(record[[#This Row],[employeeID]],員工[],2,FALSE)</f>
        <v>蔣梅</v>
      </c>
    </row>
    <row r="2532" spans="6:19" hidden="1" x14ac:dyDescent="0.25">
      <c r="F2532" t="s">
        <v>1589</v>
      </c>
      <c r="G2532" t="s">
        <v>419</v>
      </c>
      <c r="H2532" t="str">
        <f>VLOOKUP(record[[#This Row],[ProcessSN]],表格2_7[],2,FALSE)</f>
        <v>30-4118-018-5XX</v>
      </c>
      <c r="I2532" t="str">
        <f>VLOOKUP(record[[#This Row],[ProcessSN]],表格2_7[],3,FALSE)</f>
        <v>#07QC</v>
      </c>
      <c r="J2532" t="s">
        <v>589</v>
      </c>
      <c r="K2532" s="195">
        <v>46114.664120370369</v>
      </c>
      <c r="L2532">
        <v>120</v>
      </c>
      <c r="M2532">
        <v>0</v>
      </c>
      <c r="N2532" s="98" t="str">
        <f>IF(record[[#This Row],[Memo]]="Browser:chrome os:android","平板報工",IF(record[[#This Row],[Memo]]=0,"委外",record[[#This Row],[Memo]]))</f>
        <v>覆回</v>
      </c>
      <c r="O2532" t="s">
        <v>682</v>
      </c>
      <c r="P2532" t="s">
        <v>141</v>
      </c>
      <c r="Q2532" t="s">
        <v>58</v>
      </c>
      <c r="R2532" t="str">
        <f>IFERROR(VLOOKUP(record[[#This Row],[PCUSTID]],廠商[],2,FALSE),"")</f>
        <v/>
      </c>
      <c r="S2532" t="str">
        <f>VLOOKUP(record[[#This Row],[employeeID]],員工[],2,FALSE)</f>
        <v>蔣梅</v>
      </c>
    </row>
    <row r="2533" spans="6:19" hidden="1" x14ac:dyDescent="0.25">
      <c r="F2533" t="s">
        <v>1653</v>
      </c>
      <c r="G2533" t="s">
        <v>419</v>
      </c>
      <c r="H2533" t="str">
        <f>VLOOKUP(record[[#This Row],[ProcessSN]],表格2_7[],2,FALSE)</f>
        <v>30-4118-018-5XX</v>
      </c>
      <c r="I2533" t="str">
        <f>VLOOKUP(record[[#This Row],[ProcessSN]],表格2_7[],3,FALSE)</f>
        <v>#07QC</v>
      </c>
      <c r="J2533" t="s">
        <v>589</v>
      </c>
      <c r="K2533" s="195">
        <v>46114.662789351853</v>
      </c>
      <c r="L2533">
        <v>0</v>
      </c>
      <c r="M2533">
        <v>2</v>
      </c>
      <c r="N2533" s="98" t="str">
        <f>IF(record[[#This Row],[Memo]]="Browser:chrome os:android","平板報工",IF(record[[#This Row],[Memo]]=0,"委外",record[[#This Row],[Memo]]))</f>
        <v/>
      </c>
      <c r="O2533" t="s">
        <v>58</v>
      </c>
      <c r="P2533" t="s">
        <v>141</v>
      </c>
      <c r="Q2533" t="s">
        <v>58</v>
      </c>
      <c r="R2533" t="str">
        <f>IFERROR(VLOOKUP(record[[#This Row],[PCUSTID]],廠商[],2,FALSE),"")</f>
        <v/>
      </c>
      <c r="S2533" t="str">
        <f>VLOOKUP(record[[#This Row],[employeeID]],員工[],2,FALSE)</f>
        <v>蔣梅</v>
      </c>
    </row>
    <row r="2534" spans="6:19" hidden="1" x14ac:dyDescent="0.25">
      <c r="F2534" t="s">
        <v>1653</v>
      </c>
      <c r="G2534" t="s">
        <v>419</v>
      </c>
      <c r="H2534" t="str">
        <f>VLOOKUP(record[[#This Row],[ProcessSN]],表格2_7[],2,FALSE)</f>
        <v>30-4118-018-5XX</v>
      </c>
      <c r="I2534" t="str">
        <f>VLOOKUP(record[[#This Row],[ProcessSN]],表格2_7[],3,FALSE)</f>
        <v>#07QC</v>
      </c>
      <c r="J2534" t="s">
        <v>589</v>
      </c>
      <c r="K2534" s="195">
        <v>46114.662638888891</v>
      </c>
      <c r="L2534">
        <v>25</v>
      </c>
      <c r="M2534">
        <v>0</v>
      </c>
      <c r="N2534" s="98" t="str">
        <f>IF(record[[#This Row],[Memo]]="Browser:chrome os:android","平板報工",IF(record[[#This Row],[Memo]]=0,"委外",record[[#This Row],[Memo]]))</f>
        <v/>
      </c>
      <c r="O2534" t="s">
        <v>58</v>
      </c>
      <c r="P2534" t="s">
        <v>141</v>
      </c>
      <c r="Q2534" t="s">
        <v>58</v>
      </c>
      <c r="R2534" t="str">
        <f>IFERROR(VLOOKUP(record[[#This Row],[PCUSTID]],廠商[],2,FALSE),"")</f>
        <v/>
      </c>
      <c r="S2534" t="str">
        <f>VLOOKUP(record[[#This Row],[employeeID]],員工[],2,FALSE)</f>
        <v>蔣梅</v>
      </c>
    </row>
    <row r="2535" spans="6:19" hidden="1" x14ac:dyDescent="0.25">
      <c r="F2535" t="s">
        <v>1587</v>
      </c>
      <c r="G2535" t="s">
        <v>376</v>
      </c>
      <c r="H2535" t="str">
        <f>VLOOKUP(record[[#This Row],[ProcessSN]],表格2_7[],2,FALSE)</f>
        <v>30-4118-018-4XX</v>
      </c>
      <c r="I2535" t="str">
        <f>VLOOKUP(record[[#This Row],[ProcessSN]],表格2_7[],3,FALSE)</f>
        <v>#06</v>
      </c>
      <c r="J2535" t="s">
        <v>593</v>
      </c>
      <c r="K2535" s="195">
        <v>46114.657766203702</v>
      </c>
      <c r="L2535">
        <v>105</v>
      </c>
      <c r="M2535">
        <v>0</v>
      </c>
      <c r="N2535" s="98" t="str">
        <f>IF(record[[#This Row],[Memo]]="Browser:chrome os:android","平板報工",IF(record[[#This Row],[Memo]]=0,"委外",record[[#This Row],[Memo]]))</f>
        <v>平板報工</v>
      </c>
      <c r="O2535" t="s">
        <v>643</v>
      </c>
      <c r="P2535" t="s">
        <v>1669</v>
      </c>
      <c r="Q2535" t="s">
        <v>644</v>
      </c>
      <c r="R2535" t="str">
        <f>IFERROR(VLOOKUP(record[[#This Row],[PCUSTID]],廠商[],2,FALSE),"")</f>
        <v/>
      </c>
      <c r="S2535" t="str">
        <f>VLOOKUP(record[[#This Row],[employeeID]],員工[],2,FALSE)</f>
        <v>武氏麗娟</v>
      </c>
    </row>
    <row r="2536" spans="6:19" hidden="1" x14ac:dyDescent="0.25">
      <c r="F2536" t="s">
        <v>1653</v>
      </c>
      <c r="G2536" t="s">
        <v>420</v>
      </c>
      <c r="H2536" t="str">
        <f>VLOOKUP(record[[#This Row],[ProcessSN]],表格2_7[],2,FALSE)</f>
        <v>30-4118-018-5XX</v>
      </c>
      <c r="I2536" t="str">
        <f>VLOOKUP(record[[#This Row],[ProcessSN]],表格2_7[],3,FALSE)</f>
        <v>#07STOCK</v>
      </c>
      <c r="J2536" t="s">
        <v>592</v>
      </c>
      <c r="K2536" s="195">
        <v>46114.65729166667</v>
      </c>
      <c r="L2536">
        <v>145</v>
      </c>
      <c r="M2536">
        <v>0</v>
      </c>
      <c r="N2536" s="98" t="str">
        <f>IF(record[[#This Row],[Memo]]="Browser:chrome os:android","平板報工",IF(record[[#This Row],[Memo]]=0,"委外",record[[#This Row],[Memo]]))</f>
        <v/>
      </c>
      <c r="O2536" t="s">
        <v>58</v>
      </c>
      <c r="P2536" t="s">
        <v>186</v>
      </c>
      <c r="Q2536" t="s">
        <v>58</v>
      </c>
      <c r="R2536" t="str">
        <f>IFERROR(VLOOKUP(record[[#This Row],[PCUSTID]],廠商[],2,FALSE),"")</f>
        <v/>
      </c>
      <c r="S2536" t="str">
        <f>VLOOKUP(record[[#This Row],[employeeID]],員工[],2,FALSE)</f>
        <v>許文姍</v>
      </c>
    </row>
    <row r="2537" spans="6:19" hidden="1" x14ac:dyDescent="0.25">
      <c r="F2537" t="s">
        <v>1653</v>
      </c>
      <c r="G2537" t="s">
        <v>417</v>
      </c>
      <c r="H2537" t="str">
        <f>VLOOKUP(record[[#This Row],[ProcessSN]],表格2_7[],2,FALSE)</f>
        <v>30-4118-018-5XX</v>
      </c>
      <c r="I2537" t="str">
        <f>VLOOKUP(record[[#This Row],[ProcessSN]],表格2_7[],3,FALSE)</f>
        <v>#06</v>
      </c>
      <c r="J2537" t="s">
        <v>593</v>
      </c>
      <c r="K2537" s="195">
        <v>46114.64949074074</v>
      </c>
      <c r="L2537">
        <v>85</v>
      </c>
      <c r="M2537">
        <v>0</v>
      </c>
      <c r="N2537" s="98" t="str">
        <f>IF(record[[#This Row],[Memo]]="Browser:chrome os:android","平板報工",IF(record[[#This Row],[Memo]]=0,"委外",record[[#This Row],[Memo]]))</f>
        <v>平板報工</v>
      </c>
      <c r="O2537" t="s">
        <v>643</v>
      </c>
      <c r="P2537" t="s">
        <v>1413</v>
      </c>
      <c r="Q2537" t="s">
        <v>644</v>
      </c>
      <c r="R2537" t="str">
        <f>IFERROR(VLOOKUP(record[[#This Row],[PCUSTID]],廠商[],2,FALSE),"")</f>
        <v/>
      </c>
      <c r="S2537" t="str">
        <f>VLOOKUP(record[[#This Row],[employeeID]],員工[],2,FALSE)</f>
        <v>阮氏芳英(芳)</v>
      </c>
    </row>
    <row r="2538" spans="6:19" hidden="1" x14ac:dyDescent="0.25">
      <c r="F2538" t="s">
        <v>1587</v>
      </c>
      <c r="G2538" t="s">
        <v>376</v>
      </c>
      <c r="H2538" t="str">
        <f>VLOOKUP(record[[#This Row],[ProcessSN]],表格2_7[],2,FALSE)</f>
        <v>30-4118-018-4XX</v>
      </c>
      <c r="I2538" t="str">
        <f>VLOOKUP(record[[#This Row],[ProcessSN]],表格2_7[],3,FALSE)</f>
        <v>#06</v>
      </c>
      <c r="J2538" t="s">
        <v>593</v>
      </c>
      <c r="K2538" s="195">
        <v>46114.649247685185</v>
      </c>
      <c r="L2538">
        <v>35</v>
      </c>
      <c r="M2538">
        <v>0</v>
      </c>
      <c r="N2538" s="98" t="str">
        <f>IF(record[[#This Row],[Memo]]="Browser:chrome os:android","平板報工",IF(record[[#This Row],[Memo]]=0,"委外",record[[#This Row],[Memo]]))</f>
        <v>平板報工</v>
      </c>
      <c r="O2538" t="s">
        <v>643</v>
      </c>
      <c r="P2538" t="s">
        <v>1413</v>
      </c>
      <c r="Q2538" t="s">
        <v>644</v>
      </c>
      <c r="R2538" t="str">
        <f>IFERROR(VLOOKUP(record[[#This Row],[PCUSTID]],廠商[],2,FALSE),"")</f>
        <v/>
      </c>
      <c r="S2538" t="str">
        <f>VLOOKUP(record[[#This Row],[employeeID]],員工[],2,FALSE)</f>
        <v>阮氏芳英(芳)</v>
      </c>
    </row>
    <row r="2539" spans="6:19" hidden="1" x14ac:dyDescent="0.25">
      <c r="F2539" t="s">
        <v>1722</v>
      </c>
      <c r="G2539" t="s">
        <v>397</v>
      </c>
      <c r="H2539" t="str">
        <f>VLOOKUP(record[[#This Row],[ProcessSN]],表格2_7[],2,FALSE)</f>
        <v>30-4118-018-550</v>
      </c>
      <c r="I2539" t="str">
        <f>VLOOKUP(record[[#This Row],[ProcessSN]],表格2_7[],3,FALSE)</f>
        <v>#08</v>
      </c>
      <c r="J2539" t="s">
        <v>597</v>
      </c>
      <c r="K2539" s="195">
        <v>46114.646886574075</v>
      </c>
      <c r="L2539">
        <v>145</v>
      </c>
      <c r="M2539">
        <v>0</v>
      </c>
      <c r="N2539" s="98" t="str">
        <f>IF(record[[#This Row],[Memo]]="Browser:chrome os:android","平板報工",IF(record[[#This Row],[Memo]]=0,"委外",record[[#This Row],[Memo]]))</f>
        <v>委外</v>
      </c>
      <c r="P2539" t="s">
        <v>186</v>
      </c>
      <c r="Q2539" t="s">
        <v>287</v>
      </c>
      <c r="R2539" t="str">
        <f>IFERROR(VLOOKUP(record[[#This Row],[PCUSTID]],廠商[],2,FALSE),"")</f>
        <v>泉盛</v>
      </c>
      <c r="S2539" t="str">
        <f>VLOOKUP(record[[#This Row],[employeeID]],員工[],2,FALSE)</f>
        <v>許文姍</v>
      </c>
    </row>
    <row r="2540" spans="6:19" hidden="1" x14ac:dyDescent="0.25">
      <c r="F2540" t="s">
        <v>1721</v>
      </c>
      <c r="G2540" t="s">
        <v>356</v>
      </c>
      <c r="H2540" t="str">
        <f>VLOOKUP(record[[#This Row],[ProcessSN]],表格2_7[],2,FALSE)</f>
        <v>30-4118-018-450</v>
      </c>
      <c r="I2540" t="str">
        <f>VLOOKUP(record[[#This Row],[ProcessSN]],表格2_7[],3,FALSE)</f>
        <v>#08</v>
      </c>
      <c r="J2540" t="s">
        <v>597</v>
      </c>
      <c r="K2540" s="195">
        <v>46114.646770833337</v>
      </c>
      <c r="L2540">
        <v>487</v>
      </c>
      <c r="M2540">
        <v>0</v>
      </c>
      <c r="N2540" s="98" t="str">
        <f>IF(record[[#This Row],[Memo]]="Browser:chrome os:android","平板報工",IF(record[[#This Row],[Memo]]=0,"委外",record[[#This Row],[Memo]]))</f>
        <v>委外</v>
      </c>
      <c r="P2540" t="s">
        <v>186</v>
      </c>
      <c r="Q2540" t="s">
        <v>287</v>
      </c>
      <c r="R2540" t="str">
        <f>IFERROR(VLOOKUP(record[[#This Row],[PCUSTID]],廠商[],2,FALSE),"")</f>
        <v>泉盛</v>
      </c>
      <c r="S2540" t="str">
        <f>VLOOKUP(record[[#This Row],[employeeID]],員工[],2,FALSE)</f>
        <v>許文姍</v>
      </c>
    </row>
    <row r="2541" spans="6:19" hidden="1" x14ac:dyDescent="0.25">
      <c r="F2541" t="s">
        <v>1722</v>
      </c>
      <c r="G2541" t="s">
        <v>396</v>
      </c>
      <c r="H2541" t="str">
        <f>VLOOKUP(record[[#This Row],[ProcessSN]],表格2_7[],2,FALSE)</f>
        <v>30-4118-018-550</v>
      </c>
      <c r="I2541" t="str">
        <f>VLOOKUP(record[[#This Row],[ProcessSN]],表格2_7[],3,FALSE)</f>
        <v>#08PICK</v>
      </c>
      <c r="J2541" t="s">
        <v>582</v>
      </c>
      <c r="K2541" s="195">
        <v>46114.646469907406</v>
      </c>
      <c r="L2541">
        <v>145</v>
      </c>
      <c r="M2541">
        <v>0</v>
      </c>
      <c r="N2541" s="98" t="str">
        <f>IF(record[[#This Row],[Memo]]="Browser:chrome os:android","平板報工",IF(record[[#This Row],[Memo]]=0,"委外",record[[#This Row],[Memo]]))</f>
        <v/>
      </c>
      <c r="O2541" t="s">
        <v>58</v>
      </c>
      <c r="P2541" t="s">
        <v>186</v>
      </c>
      <c r="Q2541" t="s">
        <v>58</v>
      </c>
      <c r="R2541" t="str">
        <f>IFERROR(VLOOKUP(record[[#This Row],[PCUSTID]],廠商[],2,FALSE),"")</f>
        <v/>
      </c>
      <c r="S2541" t="str">
        <f>VLOOKUP(record[[#This Row],[employeeID]],員工[],2,FALSE)</f>
        <v>許文姍</v>
      </c>
    </row>
    <row r="2542" spans="6:19" hidden="1" x14ac:dyDescent="0.25">
      <c r="F2542" t="s">
        <v>1721</v>
      </c>
      <c r="G2542" t="s">
        <v>355</v>
      </c>
      <c r="H2542" t="str">
        <f>VLOOKUP(record[[#This Row],[ProcessSN]],表格2_7[],2,FALSE)</f>
        <v>30-4118-018-450</v>
      </c>
      <c r="I2542" t="str">
        <f>VLOOKUP(record[[#This Row],[ProcessSN]],表格2_7[],3,FALSE)</f>
        <v>#08PICK</v>
      </c>
      <c r="J2542" t="s">
        <v>582</v>
      </c>
      <c r="K2542" s="195">
        <v>46114.646377314813</v>
      </c>
      <c r="L2542">
        <v>487</v>
      </c>
      <c r="M2542">
        <v>0</v>
      </c>
      <c r="N2542" s="98" t="str">
        <f>IF(record[[#This Row],[Memo]]="Browser:chrome os:android","平板報工",IF(record[[#This Row],[Memo]]=0,"委外",record[[#This Row],[Memo]]))</f>
        <v/>
      </c>
      <c r="O2542" t="s">
        <v>58</v>
      </c>
      <c r="P2542" t="s">
        <v>186</v>
      </c>
      <c r="Q2542" t="s">
        <v>58</v>
      </c>
      <c r="R2542" t="str">
        <f>IFERROR(VLOOKUP(record[[#This Row],[PCUSTID]],廠商[],2,FALSE),"")</f>
        <v/>
      </c>
      <c r="S2542" t="str">
        <f>VLOOKUP(record[[#This Row],[employeeID]],員工[],2,FALSE)</f>
        <v>許文姍</v>
      </c>
    </row>
    <row r="2543" spans="6:19" hidden="1" x14ac:dyDescent="0.25">
      <c r="F2543" t="s">
        <v>1702</v>
      </c>
      <c r="G2543" t="s">
        <v>374</v>
      </c>
      <c r="H2543" t="str">
        <f>VLOOKUP(record[[#This Row],[ProcessSN]],表格2_7[],2,FALSE)</f>
        <v>30-4118-018-4XX</v>
      </c>
      <c r="I2543" t="str">
        <f>VLOOKUP(record[[#This Row],[ProcessSN]],表格2_7[],3,FALSE)</f>
        <v>#04</v>
      </c>
      <c r="J2543" t="s">
        <v>588</v>
      </c>
      <c r="K2543" s="195">
        <v>46114.640011574076</v>
      </c>
      <c r="L2543">
        <v>82</v>
      </c>
      <c r="M2543">
        <v>0</v>
      </c>
      <c r="N2543" s="98" t="str">
        <f>IF(record[[#This Row],[Memo]]="Browser:chrome os:android","平板報工",IF(record[[#This Row],[Memo]]=0,"委外",record[[#This Row],[Memo]]))</f>
        <v>平板報工</v>
      </c>
      <c r="O2543" t="s">
        <v>643</v>
      </c>
      <c r="P2543" t="s">
        <v>107</v>
      </c>
      <c r="Q2543" t="s">
        <v>644</v>
      </c>
      <c r="R2543" t="str">
        <f>IFERROR(VLOOKUP(record[[#This Row],[PCUSTID]],廠商[],2,FALSE),"")</f>
        <v/>
      </c>
      <c r="S2543" t="str">
        <f>VLOOKUP(record[[#This Row],[employeeID]],員工[],2,FALSE)</f>
        <v>黎氏順</v>
      </c>
    </row>
    <row r="2544" spans="6:19" hidden="1" x14ac:dyDescent="0.25">
      <c r="F2544" t="s">
        <v>1653</v>
      </c>
      <c r="G2544" t="s">
        <v>415</v>
      </c>
      <c r="H2544" t="str">
        <f>VLOOKUP(record[[#This Row],[ProcessSN]],表格2_7[],2,FALSE)</f>
        <v>30-4118-018-5XX</v>
      </c>
      <c r="I2544" t="str">
        <f>VLOOKUP(record[[#This Row],[ProcessSN]],表格2_7[],3,FALSE)</f>
        <v>#04</v>
      </c>
      <c r="J2544" t="s">
        <v>588</v>
      </c>
      <c r="K2544" s="195">
        <v>46114.639317129629</v>
      </c>
      <c r="L2544">
        <v>124</v>
      </c>
      <c r="M2544">
        <v>1</v>
      </c>
      <c r="N2544" s="98" t="str">
        <f>IF(record[[#This Row],[Memo]]="Browser:chrome os:android","平板報工",IF(record[[#This Row],[Memo]]=0,"委外",record[[#This Row],[Memo]]))</f>
        <v>平板報工</v>
      </c>
      <c r="O2544" t="s">
        <v>643</v>
      </c>
      <c r="P2544" t="s">
        <v>107</v>
      </c>
      <c r="Q2544" t="s">
        <v>644</v>
      </c>
      <c r="R2544" t="str">
        <f>IFERROR(VLOOKUP(record[[#This Row],[PCUSTID]],廠商[],2,FALSE),"")</f>
        <v/>
      </c>
      <c r="S2544" t="str">
        <f>VLOOKUP(record[[#This Row],[employeeID]],員工[],2,FALSE)</f>
        <v>黎氏順</v>
      </c>
    </row>
    <row r="2545" spans="6:19" hidden="1" x14ac:dyDescent="0.25">
      <c r="F2545" t="s">
        <v>1587</v>
      </c>
      <c r="G2545" t="s">
        <v>375</v>
      </c>
      <c r="H2545" t="str">
        <f>VLOOKUP(record[[#This Row],[ProcessSN]],表格2_7[],2,FALSE)</f>
        <v>30-4118-018-4XX</v>
      </c>
      <c r="I2545" t="str">
        <f>VLOOKUP(record[[#This Row],[ProcessSN]],表格2_7[],3,FALSE)</f>
        <v>#05</v>
      </c>
      <c r="J2545" t="s">
        <v>588</v>
      </c>
      <c r="K2545" s="195">
        <v>46114.637789351851</v>
      </c>
      <c r="L2545">
        <v>192</v>
      </c>
      <c r="M2545">
        <v>0</v>
      </c>
      <c r="N2545" s="98" t="str">
        <f>IF(record[[#This Row],[Memo]]="Browser:chrome os:android","平板報工",IF(record[[#This Row],[Memo]]=0,"委外",record[[#This Row],[Memo]]))</f>
        <v>平板報工</v>
      </c>
      <c r="O2545" t="s">
        <v>643</v>
      </c>
      <c r="P2545" t="s">
        <v>785</v>
      </c>
      <c r="Q2545" t="s">
        <v>644</v>
      </c>
      <c r="R2545" t="str">
        <f>IFERROR(VLOOKUP(record[[#This Row],[PCUSTID]],廠商[],2,FALSE),"")</f>
        <v/>
      </c>
      <c r="S2545" t="str">
        <f>VLOOKUP(record[[#This Row],[employeeID]],員工[],2,FALSE)</f>
        <v>謝刻光</v>
      </c>
    </row>
    <row r="2546" spans="6:19" hidden="1" x14ac:dyDescent="0.25">
      <c r="F2546" t="s">
        <v>1655</v>
      </c>
      <c r="G2546" t="s">
        <v>465</v>
      </c>
      <c r="H2546" t="str">
        <f>VLOOKUP(record[[#This Row],[ProcessSN]],表格2_7[],2,FALSE)</f>
        <v>30-4118-018-XXX</v>
      </c>
      <c r="I2546" t="str">
        <f>VLOOKUP(record[[#This Row],[ProcessSN]],表格2_7[],3,FALSE)</f>
        <v>#01-1</v>
      </c>
      <c r="J2546" t="s">
        <v>588</v>
      </c>
      <c r="K2546" s="195">
        <v>46114.637025462966</v>
      </c>
      <c r="L2546">
        <v>400</v>
      </c>
      <c r="M2546">
        <v>0</v>
      </c>
      <c r="N2546" s="98" t="str">
        <f>IF(record[[#This Row],[Memo]]="Browser:chrome os:android","平板報工",IF(record[[#This Row],[Memo]]=0,"委外",record[[#This Row],[Memo]]))</f>
        <v>平板報工</v>
      </c>
      <c r="O2546" t="s">
        <v>643</v>
      </c>
      <c r="P2546" t="s">
        <v>785</v>
      </c>
      <c r="Q2546" t="s">
        <v>644</v>
      </c>
      <c r="R2546" t="str">
        <f>IFERROR(VLOOKUP(record[[#This Row],[PCUSTID]],廠商[],2,FALSE),"")</f>
        <v/>
      </c>
      <c r="S2546" t="str">
        <f>VLOOKUP(record[[#This Row],[employeeID]],員工[],2,FALSE)</f>
        <v>謝刻光</v>
      </c>
    </row>
    <row r="2547" spans="6:19" hidden="1" x14ac:dyDescent="0.25">
      <c r="F2547" t="s">
        <v>1587</v>
      </c>
      <c r="G2547" t="s">
        <v>378</v>
      </c>
      <c r="H2547" t="str">
        <f>VLOOKUP(record[[#This Row],[ProcessSN]],表格2_7[],2,FALSE)</f>
        <v>30-4118-018-4XX</v>
      </c>
      <c r="I2547" t="str">
        <f>VLOOKUP(record[[#This Row],[ProcessSN]],表格2_7[],3,FALSE)</f>
        <v>#07QC</v>
      </c>
      <c r="J2547" t="s">
        <v>589</v>
      </c>
      <c r="K2547" s="195">
        <v>46114.634166666663</v>
      </c>
      <c r="L2547">
        <v>487</v>
      </c>
      <c r="M2547">
        <v>0</v>
      </c>
      <c r="N2547" s="98" t="str">
        <f>IF(record[[#This Row],[Memo]]="Browser:chrome os:android","平板報工",IF(record[[#This Row],[Memo]]=0,"委外",record[[#This Row],[Memo]]))</f>
        <v/>
      </c>
      <c r="O2547" t="s">
        <v>58</v>
      </c>
      <c r="P2547" t="s">
        <v>141</v>
      </c>
      <c r="Q2547" t="s">
        <v>58</v>
      </c>
      <c r="R2547" t="str">
        <f>IFERROR(VLOOKUP(record[[#This Row],[PCUSTID]],廠商[],2,FALSE),"")</f>
        <v/>
      </c>
      <c r="S2547" t="str">
        <f>VLOOKUP(record[[#This Row],[employeeID]],員工[],2,FALSE)</f>
        <v>蔣梅</v>
      </c>
    </row>
    <row r="2548" spans="6:19" hidden="1" x14ac:dyDescent="0.25">
      <c r="F2548" t="s">
        <v>1587</v>
      </c>
      <c r="G2548" t="s">
        <v>377</v>
      </c>
      <c r="H2548" t="str">
        <f>VLOOKUP(record[[#This Row],[ProcessSN]],表格2_7[],2,FALSE)</f>
        <v>30-4118-018-4XX</v>
      </c>
      <c r="I2548" t="str">
        <f>VLOOKUP(record[[#This Row],[ProcessSN]],表格2_7[],3,FALSE)</f>
        <v>#07</v>
      </c>
      <c r="J2548" t="s">
        <v>588</v>
      </c>
      <c r="K2548" s="195">
        <v>46114.631678240738</v>
      </c>
      <c r="L2548">
        <v>31</v>
      </c>
      <c r="M2548">
        <v>0</v>
      </c>
      <c r="N2548" s="98" t="str">
        <f>IF(record[[#This Row],[Memo]]="Browser:chrome os:android","平板報工",IF(record[[#This Row],[Memo]]=0,"委外",record[[#This Row],[Memo]]))</f>
        <v/>
      </c>
      <c r="O2548" t="s">
        <v>58</v>
      </c>
      <c r="P2548" t="s">
        <v>145</v>
      </c>
      <c r="Q2548" t="s">
        <v>58</v>
      </c>
      <c r="R2548" t="str">
        <f>IFERROR(VLOOKUP(record[[#This Row],[PCUSTID]],廠商[],2,FALSE),"")</f>
        <v/>
      </c>
      <c r="S2548" t="str">
        <f>VLOOKUP(record[[#This Row],[employeeID]],員工[],2,FALSE)</f>
        <v>阮秋霞</v>
      </c>
    </row>
    <row r="2549" spans="6:19" hidden="1" x14ac:dyDescent="0.25">
      <c r="F2549" t="s">
        <v>1587</v>
      </c>
      <c r="G2549" t="s">
        <v>377</v>
      </c>
      <c r="H2549" t="str">
        <f>VLOOKUP(record[[#This Row],[ProcessSN]],表格2_7[],2,FALSE)</f>
        <v>30-4118-018-4XX</v>
      </c>
      <c r="I2549" t="str">
        <f>VLOOKUP(record[[#This Row],[ProcessSN]],表格2_7[],3,FALSE)</f>
        <v>#07</v>
      </c>
      <c r="J2549" t="s">
        <v>588</v>
      </c>
      <c r="K2549" s="195">
        <v>46114.582083333335</v>
      </c>
      <c r="L2549">
        <v>168</v>
      </c>
      <c r="M2549">
        <v>0</v>
      </c>
      <c r="N2549" s="98" t="str">
        <f>IF(record[[#This Row],[Memo]]="Browser:chrome os:android","平板報工",IF(record[[#This Row],[Memo]]=0,"委外",record[[#This Row],[Memo]]))</f>
        <v/>
      </c>
      <c r="O2549" t="s">
        <v>58</v>
      </c>
      <c r="P2549" t="s">
        <v>145</v>
      </c>
      <c r="Q2549" t="s">
        <v>58</v>
      </c>
      <c r="R2549" t="str">
        <f>IFERROR(VLOOKUP(record[[#This Row],[PCUSTID]],廠商[],2,FALSE),"")</f>
        <v/>
      </c>
      <c r="S2549" t="str">
        <f>VLOOKUP(record[[#This Row],[employeeID]],員工[],2,FALSE)</f>
        <v>阮秋霞</v>
      </c>
    </row>
    <row r="2550" spans="6:19" hidden="1" x14ac:dyDescent="0.25">
      <c r="F2550" t="s">
        <v>1587</v>
      </c>
      <c r="G2550" t="s">
        <v>379</v>
      </c>
      <c r="H2550" t="str">
        <f>VLOOKUP(record[[#This Row],[ProcessSN]],表格2_7[],2,FALSE)</f>
        <v>30-4118-018-4XX</v>
      </c>
      <c r="I2550" t="str">
        <f>VLOOKUP(record[[#This Row],[ProcessSN]],表格2_7[],3,FALSE)</f>
        <v>#07STOCK</v>
      </c>
      <c r="J2550" t="s">
        <v>592</v>
      </c>
      <c r="K2550" s="195">
        <v>46114.497650462959</v>
      </c>
      <c r="L2550">
        <v>205</v>
      </c>
      <c r="M2550">
        <v>0</v>
      </c>
      <c r="N2550" s="98" t="str">
        <f>IF(record[[#This Row],[Memo]]="Browser:chrome os:android","平板報工",IF(record[[#This Row],[Memo]]=0,"委外",record[[#This Row],[Memo]]))</f>
        <v/>
      </c>
      <c r="O2550" t="s">
        <v>58</v>
      </c>
      <c r="P2550" t="s">
        <v>186</v>
      </c>
      <c r="Q2550" t="s">
        <v>58</v>
      </c>
      <c r="R2550" t="str">
        <f>IFERROR(VLOOKUP(record[[#This Row],[PCUSTID]],廠商[],2,FALSE),"")</f>
        <v/>
      </c>
      <c r="S2550" t="str">
        <f>VLOOKUP(record[[#This Row],[employeeID]],員工[],2,FALSE)</f>
        <v>許文姍</v>
      </c>
    </row>
    <row r="2551" spans="6:19" hidden="1" x14ac:dyDescent="0.25">
      <c r="F2551" t="s">
        <v>1705</v>
      </c>
      <c r="G2551" t="s">
        <v>423</v>
      </c>
      <c r="H2551" t="str">
        <f>VLOOKUP(record[[#This Row],[ProcessSN]],表格2_7[],2,FALSE)</f>
        <v>30-4118-018-600</v>
      </c>
      <c r="I2551" t="str">
        <f>VLOOKUP(record[[#This Row],[ProcessSN]],表格2_7[],3,FALSE)</f>
        <v>#08RCV</v>
      </c>
      <c r="J2551" t="s">
        <v>591</v>
      </c>
      <c r="K2551" s="195">
        <v>46114.47855324074</v>
      </c>
      <c r="L2551">
        <v>381</v>
      </c>
      <c r="M2551">
        <v>0</v>
      </c>
      <c r="N2551" s="98" t="str">
        <f>IF(record[[#This Row],[Memo]]="Browser:chrome os:android","平板報工",IF(record[[#This Row],[Memo]]=0,"委外",record[[#This Row],[Memo]]))</f>
        <v/>
      </c>
      <c r="O2551" t="s">
        <v>58</v>
      </c>
      <c r="P2551" t="s">
        <v>186</v>
      </c>
      <c r="Q2551" t="s">
        <v>58</v>
      </c>
      <c r="R2551" t="str">
        <f>IFERROR(VLOOKUP(record[[#This Row],[PCUSTID]],廠商[],2,FALSE),"")</f>
        <v/>
      </c>
      <c r="S2551" t="str">
        <f>VLOOKUP(record[[#This Row],[employeeID]],員工[],2,FALSE)</f>
        <v>許文姍</v>
      </c>
    </row>
    <row r="2552" spans="6:19" hidden="1" x14ac:dyDescent="0.25">
      <c r="F2552" t="s">
        <v>1719</v>
      </c>
      <c r="G2552" t="s">
        <v>356</v>
      </c>
      <c r="H2552" t="str">
        <f>VLOOKUP(record[[#This Row],[ProcessSN]],表格2_7[],2,FALSE)</f>
        <v>30-4118-018-450</v>
      </c>
      <c r="I2552" t="str">
        <f>VLOOKUP(record[[#This Row],[ProcessSN]],表格2_7[],3,FALSE)</f>
        <v>#08</v>
      </c>
      <c r="J2552" t="s">
        <v>597</v>
      </c>
      <c r="K2552" s="195">
        <v>46114.449131944442</v>
      </c>
      <c r="L2552">
        <v>205</v>
      </c>
      <c r="M2552">
        <v>0</v>
      </c>
      <c r="N2552" s="98" t="str">
        <f>IF(record[[#This Row],[Memo]]="Browser:chrome os:android","平板報工",IF(record[[#This Row],[Memo]]=0,"委外",record[[#This Row],[Memo]]))</f>
        <v>委外</v>
      </c>
      <c r="P2552" t="s">
        <v>186</v>
      </c>
      <c r="Q2552" t="s">
        <v>287</v>
      </c>
      <c r="R2552" t="str">
        <f>IFERROR(VLOOKUP(record[[#This Row],[PCUSTID]],廠商[],2,FALSE),"")</f>
        <v>泉盛</v>
      </c>
      <c r="S2552" t="str">
        <f>VLOOKUP(record[[#This Row],[employeeID]],員工[],2,FALSE)</f>
        <v>許文姍</v>
      </c>
    </row>
    <row r="2553" spans="6:19" hidden="1" x14ac:dyDescent="0.25">
      <c r="F2553" t="s">
        <v>1719</v>
      </c>
      <c r="G2553" t="s">
        <v>355</v>
      </c>
      <c r="H2553" t="str">
        <f>VLOOKUP(record[[#This Row],[ProcessSN]],表格2_7[],2,FALSE)</f>
        <v>30-4118-018-450</v>
      </c>
      <c r="I2553" t="str">
        <f>VLOOKUP(record[[#This Row],[ProcessSN]],表格2_7[],3,FALSE)</f>
        <v>#08PICK</v>
      </c>
      <c r="J2553" t="s">
        <v>582</v>
      </c>
      <c r="K2553" s="195">
        <v>46114.448854166665</v>
      </c>
      <c r="L2553">
        <v>205</v>
      </c>
      <c r="M2553">
        <v>0</v>
      </c>
      <c r="N2553" s="98" t="str">
        <f>IF(record[[#This Row],[Memo]]="Browser:chrome os:android","平板報工",IF(record[[#This Row],[Memo]]=0,"委外",record[[#This Row],[Memo]]))</f>
        <v/>
      </c>
      <c r="O2553" t="s">
        <v>58</v>
      </c>
      <c r="P2553" t="s">
        <v>186</v>
      </c>
      <c r="Q2553" t="s">
        <v>58</v>
      </c>
      <c r="R2553" t="str">
        <f>IFERROR(VLOOKUP(record[[#This Row],[PCUSTID]],廠商[],2,FALSE),"")</f>
        <v/>
      </c>
      <c r="S2553" t="str">
        <f>VLOOKUP(record[[#This Row],[employeeID]],員工[],2,FALSE)</f>
        <v>許文姍</v>
      </c>
    </row>
    <row r="2554" spans="6:19" hidden="1" x14ac:dyDescent="0.25">
      <c r="F2554" t="s">
        <v>1587</v>
      </c>
      <c r="G2554" t="s">
        <v>378</v>
      </c>
      <c r="H2554" t="str">
        <f>VLOOKUP(record[[#This Row],[ProcessSN]],表格2_7[],2,FALSE)</f>
        <v>30-4118-018-4XX</v>
      </c>
      <c r="I2554" t="str">
        <f>VLOOKUP(record[[#This Row],[ProcessSN]],表格2_7[],3,FALSE)</f>
        <v>#07QC</v>
      </c>
      <c r="J2554" t="s">
        <v>589</v>
      </c>
      <c r="K2554" s="195">
        <v>46114.448344907411</v>
      </c>
      <c r="L2554">
        <v>205</v>
      </c>
      <c r="M2554">
        <v>0</v>
      </c>
      <c r="N2554" s="98" t="str">
        <f>IF(record[[#This Row],[Memo]]="Browser:chrome os:android","平板報工",IF(record[[#This Row],[Memo]]=0,"委外",record[[#This Row],[Memo]]))</f>
        <v/>
      </c>
      <c r="O2554" t="s">
        <v>58</v>
      </c>
      <c r="P2554" t="s">
        <v>141</v>
      </c>
      <c r="Q2554" t="s">
        <v>58</v>
      </c>
      <c r="R2554" t="str">
        <f>IFERROR(VLOOKUP(record[[#This Row],[PCUSTID]],廠商[],2,FALSE),"")</f>
        <v/>
      </c>
      <c r="S2554" t="str">
        <f>VLOOKUP(record[[#This Row],[employeeID]],員工[],2,FALSE)</f>
        <v>蔣梅</v>
      </c>
    </row>
    <row r="2555" spans="6:19" hidden="1" x14ac:dyDescent="0.25">
      <c r="F2555" t="s">
        <v>1653</v>
      </c>
      <c r="G2555" t="s">
        <v>419</v>
      </c>
      <c r="H2555" t="str">
        <f>VLOOKUP(record[[#This Row],[ProcessSN]],表格2_7[],2,FALSE)</f>
        <v>30-4118-018-5XX</v>
      </c>
      <c r="I2555" t="str">
        <f>VLOOKUP(record[[#This Row],[ProcessSN]],表格2_7[],3,FALSE)</f>
        <v>#07QC</v>
      </c>
      <c r="J2555" t="s">
        <v>589</v>
      </c>
      <c r="K2555" s="195">
        <v>46114.380798611113</v>
      </c>
      <c r="L2555">
        <v>145</v>
      </c>
      <c r="M2555">
        <v>0</v>
      </c>
      <c r="N2555" s="98" t="str">
        <f>IF(record[[#This Row],[Memo]]="Browser:chrome os:android","平板報工",IF(record[[#This Row],[Memo]]=0,"委外",record[[#This Row],[Memo]]))</f>
        <v/>
      </c>
      <c r="O2555" t="s">
        <v>58</v>
      </c>
      <c r="P2555" t="s">
        <v>141</v>
      </c>
      <c r="Q2555" t="s">
        <v>58</v>
      </c>
      <c r="R2555" t="str">
        <f>IFERROR(VLOOKUP(record[[#This Row],[PCUSTID]],廠商[],2,FALSE),"")</f>
        <v/>
      </c>
      <c r="S2555" t="str">
        <f>VLOOKUP(record[[#This Row],[employeeID]],員工[],2,FALSE)</f>
        <v>蔣梅</v>
      </c>
    </row>
    <row r="2556" spans="6:19" hidden="1" x14ac:dyDescent="0.25">
      <c r="F2556" t="s">
        <v>1715</v>
      </c>
      <c r="G2556" t="s">
        <v>401</v>
      </c>
      <c r="H2556" t="str">
        <f>VLOOKUP(record[[#This Row],[ProcessSN]],表格2_7[],2,FALSE)</f>
        <v>30-4118-018-550</v>
      </c>
      <c r="I2556" t="str">
        <f>VLOOKUP(record[[#This Row],[ProcessSN]],表格2_7[],3,FALSE)</f>
        <v>#100OQC</v>
      </c>
      <c r="J2556" t="s">
        <v>599</v>
      </c>
      <c r="K2556" s="195">
        <v>46114.379803240743</v>
      </c>
      <c r="L2556">
        <v>7</v>
      </c>
      <c r="M2556">
        <v>0</v>
      </c>
      <c r="N2556" s="98" t="str">
        <f>IF(record[[#This Row],[Memo]]="Browser:chrome os:android","平板報工",IF(record[[#This Row],[Memo]]=0,"委外",record[[#This Row],[Memo]]))</f>
        <v/>
      </c>
      <c r="O2556" t="s">
        <v>58</v>
      </c>
      <c r="P2556" t="s">
        <v>121</v>
      </c>
      <c r="Q2556" t="s">
        <v>58</v>
      </c>
      <c r="R2556" t="str">
        <f>IFERROR(VLOOKUP(record[[#This Row],[PCUSTID]],廠商[],2,FALSE),"")</f>
        <v/>
      </c>
      <c r="S2556" t="str">
        <f>VLOOKUP(record[[#This Row],[employeeID]],員工[],2,FALSE)</f>
        <v>謝素卿</v>
      </c>
    </row>
    <row r="2557" spans="6:19" hidden="1" x14ac:dyDescent="0.25">
      <c r="F2557" t="s">
        <v>1704</v>
      </c>
      <c r="G2557" t="s">
        <v>401</v>
      </c>
      <c r="H2557" t="str">
        <f>VLOOKUP(record[[#This Row],[ProcessSN]],表格2_7[],2,FALSE)</f>
        <v>30-4118-018-550</v>
      </c>
      <c r="I2557" t="str">
        <f>VLOOKUP(record[[#This Row],[ProcessSN]],表格2_7[],3,FALSE)</f>
        <v>#100OQC</v>
      </c>
      <c r="J2557" t="s">
        <v>599</v>
      </c>
      <c r="K2557" s="195">
        <v>46114.379664351851</v>
      </c>
      <c r="L2557">
        <v>329</v>
      </c>
      <c r="M2557">
        <v>0</v>
      </c>
      <c r="N2557" s="98" t="str">
        <f>IF(record[[#This Row],[Memo]]="Browser:chrome os:android","平板報工",IF(record[[#This Row],[Memo]]=0,"委外",record[[#This Row],[Memo]]))</f>
        <v/>
      </c>
      <c r="O2557" t="s">
        <v>58</v>
      </c>
      <c r="P2557" t="s">
        <v>121</v>
      </c>
      <c r="Q2557" t="s">
        <v>58</v>
      </c>
      <c r="R2557" t="str">
        <f>IFERROR(VLOOKUP(record[[#This Row],[PCUSTID]],廠商[],2,FALSE),"")</f>
        <v/>
      </c>
      <c r="S2557" t="str">
        <f>VLOOKUP(record[[#This Row],[employeeID]],員工[],2,FALSE)</f>
        <v>謝素卿</v>
      </c>
    </row>
    <row r="2558" spans="6:19" hidden="1" x14ac:dyDescent="0.25">
      <c r="F2558" t="s">
        <v>1704</v>
      </c>
      <c r="G2558" t="s">
        <v>403</v>
      </c>
      <c r="H2558" t="str">
        <f>VLOOKUP(record[[#This Row],[ProcessSN]],表格2_7[],2,FALSE)</f>
        <v>30-4118-018-550</v>
      </c>
      <c r="I2558" t="str">
        <f>VLOOKUP(record[[#This Row],[ProcessSN]],表格2_7[],3,FALSE)</f>
        <v>#100SHIP</v>
      </c>
      <c r="J2558" t="s">
        <v>600</v>
      </c>
      <c r="K2558" s="195">
        <v>46114.339780092596</v>
      </c>
      <c r="L2558">
        <v>2</v>
      </c>
      <c r="M2558">
        <v>0</v>
      </c>
      <c r="N2558" s="98" t="str">
        <f>IF(record[[#This Row],[Memo]]="Browser:chrome os:android","平板報工",IF(record[[#This Row],[Memo]]=0,"委外",record[[#This Row],[Memo]]))</f>
        <v>補4/1出貨</v>
      </c>
      <c r="O2558" t="s">
        <v>1718</v>
      </c>
      <c r="P2558" t="s">
        <v>886</v>
      </c>
      <c r="Q2558" t="s">
        <v>58</v>
      </c>
      <c r="R2558" t="str">
        <f>IFERROR(VLOOKUP(record[[#This Row],[PCUSTID]],廠商[],2,FALSE),"")</f>
        <v/>
      </c>
      <c r="S2558" t="str">
        <f>VLOOKUP(record[[#This Row],[employeeID]],員工[],2,FALSE)</f>
        <v>謝蓁薰</v>
      </c>
    </row>
    <row r="2559" spans="6:19" hidden="1" x14ac:dyDescent="0.25">
      <c r="F2559" t="s">
        <v>1694</v>
      </c>
      <c r="G2559" t="s">
        <v>403</v>
      </c>
      <c r="H2559" t="str">
        <f>VLOOKUP(record[[#This Row],[ProcessSN]],表格2_7[],2,FALSE)</f>
        <v>30-4118-018-550</v>
      </c>
      <c r="I2559" t="str">
        <f>VLOOKUP(record[[#This Row],[ProcessSN]],表格2_7[],3,FALSE)</f>
        <v>#100SHIP</v>
      </c>
      <c r="J2559" t="s">
        <v>600</v>
      </c>
      <c r="K2559" s="195">
        <v>46114.339629629627</v>
      </c>
      <c r="L2559">
        <v>161</v>
      </c>
      <c r="M2559">
        <v>0</v>
      </c>
      <c r="N2559" s="98" t="str">
        <f>IF(record[[#This Row],[Memo]]="Browser:chrome os:android","平板報工",IF(record[[#This Row],[Memo]]=0,"委外",record[[#This Row],[Memo]]))</f>
        <v>補4/1出貨</v>
      </c>
      <c r="O2559" t="s">
        <v>1718</v>
      </c>
      <c r="P2559" t="s">
        <v>886</v>
      </c>
      <c r="Q2559" t="s">
        <v>58</v>
      </c>
      <c r="R2559" t="str">
        <f>IFERROR(VLOOKUP(record[[#This Row],[PCUSTID]],廠商[],2,FALSE),"")</f>
        <v/>
      </c>
      <c r="S2559" t="str">
        <f>VLOOKUP(record[[#This Row],[employeeID]],員工[],2,FALSE)</f>
        <v>謝蓁薰</v>
      </c>
    </row>
    <row r="2560" spans="6:19" hidden="1" x14ac:dyDescent="0.25">
      <c r="F2560" t="s">
        <v>1704</v>
      </c>
      <c r="G2560" t="s">
        <v>402</v>
      </c>
      <c r="H2560" t="str">
        <f>VLOOKUP(record[[#This Row],[ProcessSN]],表格2_7[],2,FALSE)</f>
        <v>30-4118-018-550</v>
      </c>
      <c r="I2560" t="str">
        <f>VLOOKUP(record[[#This Row],[ProcessSN]],表格2_7[],3,FALSE)</f>
        <v>#100STOCK</v>
      </c>
      <c r="J2560" t="s">
        <v>592</v>
      </c>
      <c r="K2560" s="195">
        <v>46114.339409722219</v>
      </c>
      <c r="L2560">
        <v>2</v>
      </c>
      <c r="M2560">
        <v>0</v>
      </c>
      <c r="N2560" s="98" t="str">
        <f>IF(record[[#This Row],[Memo]]="Browser:chrome os:android","平板報工",IF(record[[#This Row],[Memo]]=0,"委外",record[[#This Row],[Memo]]))</f>
        <v/>
      </c>
      <c r="O2560" t="s">
        <v>58</v>
      </c>
      <c r="P2560" t="s">
        <v>886</v>
      </c>
      <c r="Q2560" t="s">
        <v>58</v>
      </c>
      <c r="R2560" t="str">
        <f>IFERROR(VLOOKUP(record[[#This Row],[PCUSTID]],廠商[],2,FALSE),"")</f>
        <v/>
      </c>
      <c r="S2560" t="str">
        <f>VLOOKUP(record[[#This Row],[employeeID]],員工[],2,FALSE)</f>
        <v>謝蓁薰</v>
      </c>
    </row>
    <row r="2561" spans="6:19" hidden="1" x14ac:dyDescent="0.25">
      <c r="F2561" t="s">
        <v>1694</v>
      </c>
      <c r="G2561" t="s">
        <v>402</v>
      </c>
      <c r="H2561" t="str">
        <f>VLOOKUP(record[[#This Row],[ProcessSN]],表格2_7[],2,FALSE)</f>
        <v>30-4118-018-550</v>
      </c>
      <c r="I2561" t="str">
        <f>VLOOKUP(record[[#This Row],[ProcessSN]],表格2_7[],3,FALSE)</f>
        <v>#100STOCK</v>
      </c>
      <c r="J2561" t="s">
        <v>592</v>
      </c>
      <c r="K2561" s="195">
        <v>46114.339305555557</v>
      </c>
      <c r="L2561">
        <v>161</v>
      </c>
      <c r="M2561">
        <v>0</v>
      </c>
      <c r="N2561" s="98" t="str">
        <f>IF(record[[#This Row],[Memo]]="Browser:chrome os:android","平板報工",IF(record[[#This Row],[Memo]]=0,"委外",record[[#This Row],[Memo]]))</f>
        <v/>
      </c>
      <c r="O2561" t="s">
        <v>58</v>
      </c>
      <c r="P2561" t="s">
        <v>886</v>
      </c>
      <c r="Q2561" t="s">
        <v>58</v>
      </c>
      <c r="R2561" t="str">
        <f>IFERROR(VLOOKUP(record[[#This Row],[PCUSTID]],廠商[],2,FALSE),"")</f>
        <v/>
      </c>
      <c r="S2561" t="str">
        <f>VLOOKUP(record[[#This Row],[employeeID]],員工[],2,FALSE)</f>
        <v>謝蓁薰</v>
      </c>
    </row>
    <row r="2562" spans="6:19" hidden="1" x14ac:dyDescent="0.25">
      <c r="F2562" t="s">
        <v>1587</v>
      </c>
      <c r="G2562" t="s">
        <v>376</v>
      </c>
      <c r="H2562" t="str">
        <f>VLOOKUP(record[[#This Row],[ProcessSN]],表格2_7[],2,FALSE)</f>
        <v>30-4118-018-4XX</v>
      </c>
      <c r="I2562" t="str">
        <f>VLOOKUP(record[[#This Row],[ProcessSN]],表格2_7[],3,FALSE)</f>
        <v>#06</v>
      </c>
      <c r="J2562" t="s">
        <v>593</v>
      </c>
      <c r="K2562" s="195">
        <v>46114.319722222222</v>
      </c>
      <c r="L2562">
        <v>133</v>
      </c>
      <c r="M2562">
        <v>0</v>
      </c>
      <c r="N2562" s="98" t="str">
        <f>IF(record[[#This Row],[Memo]]="Browser:chrome os:android","平板報工",IF(record[[#This Row],[Memo]]=0,"委外",record[[#This Row],[Memo]]))</f>
        <v/>
      </c>
      <c r="O2562" t="s">
        <v>58</v>
      </c>
      <c r="P2562" t="s">
        <v>841</v>
      </c>
      <c r="Q2562" t="s">
        <v>58</v>
      </c>
      <c r="R2562" t="str">
        <f>IFERROR(VLOOKUP(record[[#This Row],[PCUSTID]],廠商[],2,FALSE),"")</f>
        <v/>
      </c>
      <c r="S2562" t="str">
        <f>VLOOKUP(record[[#This Row],[employeeID]],員工[],2,FALSE)</f>
        <v>范氏香</v>
      </c>
    </row>
    <row r="2563" spans="6:19" hidden="1" x14ac:dyDescent="0.25">
      <c r="F2563" t="s">
        <v>1587</v>
      </c>
      <c r="G2563" t="s">
        <v>376</v>
      </c>
      <c r="H2563" t="str">
        <f>VLOOKUP(record[[#This Row],[ProcessSN]],表格2_7[],2,FALSE)</f>
        <v>30-4118-018-4XX</v>
      </c>
      <c r="I2563" t="str">
        <f>VLOOKUP(record[[#This Row],[ProcessSN]],表格2_7[],3,FALSE)</f>
        <v>#06</v>
      </c>
      <c r="J2563" t="s">
        <v>593</v>
      </c>
      <c r="K2563" s="195">
        <v>46114.317743055559</v>
      </c>
      <c r="L2563">
        <v>123</v>
      </c>
      <c r="M2563">
        <v>0</v>
      </c>
      <c r="N2563" s="98" t="str">
        <f>IF(record[[#This Row],[Memo]]="Browser:chrome os:android","平板報工",IF(record[[#This Row],[Memo]]=0,"委外",record[[#This Row],[Memo]]))</f>
        <v/>
      </c>
      <c r="O2563" t="s">
        <v>58</v>
      </c>
      <c r="P2563" t="s">
        <v>691</v>
      </c>
      <c r="Q2563" t="s">
        <v>58</v>
      </c>
      <c r="R2563" t="str">
        <f>IFERROR(VLOOKUP(record[[#This Row],[PCUSTID]],廠商[],2,FALSE),"")</f>
        <v/>
      </c>
      <c r="S2563" t="str">
        <f>VLOOKUP(record[[#This Row],[employeeID]],員工[],2,FALSE)</f>
        <v>武氏賢</v>
      </c>
    </row>
    <row r="2564" spans="6:19" hidden="1" x14ac:dyDescent="0.25">
      <c r="F2564" t="s">
        <v>1587</v>
      </c>
      <c r="G2564" t="s">
        <v>377</v>
      </c>
      <c r="H2564" t="str">
        <f>VLOOKUP(record[[#This Row],[ProcessSN]],表格2_7[],2,FALSE)</f>
        <v>30-4118-018-4XX</v>
      </c>
      <c r="I2564" t="str">
        <f>VLOOKUP(record[[#This Row],[ProcessSN]],表格2_7[],3,FALSE)</f>
        <v>#07</v>
      </c>
      <c r="J2564" t="s">
        <v>588</v>
      </c>
      <c r="K2564" s="195">
        <v>46114.316319444442</v>
      </c>
      <c r="L2564">
        <v>200</v>
      </c>
      <c r="M2564">
        <v>0</v>
      </c>
      <c r="N2564" s="98" t="str">
        <f>IF(record[[#This Row],[Memo]]="Browser:chrome os:android","平板報工",IF(record[[#This Row],[Memo]]=0,"委外",record[[#This Row],[Memo]]))</f>
        <v/>
      </c>
      <c r="O2564" t="s">
        <v>58</v>
      </c>
      <c r="P2564" t="s">
        <v>841</v>
      </c>
      <c r="Q2564" t="s">
        <v>58</v>
      </c>
      <c r="R2564" t="str">
        <f>IFERROR(VLOOKUP(record[[#This Row],[PCUSTID]],廠商[],2,FALSE),"")</f>
        <v/>
      </c>
      <c r="S2564" t="str">
        <f>VLOOKUP(record[[#This Row],[employeeID]],員工[],2,FALSE)</f>
        <v>范氏香</v>
      </c>
    </row>
    <row r="2565" spans="6:19" hidden="1" x14ac:dyDescent="0.25">
      <c r="F2565" t="s">
        <v>1653</v>
      </c>
      <c r="G2565" t="s">
        <v>416</v>
      </c>
      <c r="H2565" t="str">
        <f>VLOOKUP(record[[#This Row],[ProcessSN]],表格2_7[],2,FALSE)</f>
        <v>30-4118-018-5XX</v>
      </c>
      <c r="I2565" t="str">
        <f>VLOOKUP(record[[#This Row],[ProcessSN]],表格2_7[],3,FALSE)</f>
        <v>#05</v>
      </c>
      <c r="J2565" t="s">
        <v>588</v>
      </c>
      <c r="K2565" s="195">
        <v>46114.315844907411</v>
      </c>
      <c r="L2565">
        <v>221</v>
      </c>
      <c r="M2565">
        <v>0</v>
      </c>
      <c r="N2565" s="98" t="str">
        <f>IF(record[[#This Row],[Memo]]="Browser:chrome os:android","平板報工",IF(record[[#This Row],[Memo]]=0,"委外",record[[#This Row],[Memo]]))</f>
        <v/>
      </c>
      <c r="O2565" t="s">
        <v>58</v>
      </c>
      <c r="P2565" t="s">
        <v>843</v>
      </c>
      <c r="Q2565" t="s">
        <v>58</v>
      </c>
      <c r="R2565" t="str">
        <f>IFERROR(VLOOKUP(record[[#This Row],[PCUSTID]],廠商[],2,FALSE),"")</f>
        <v/>
      </c>
      <c r="S2565" t="str">
        <f>VLOOKUP(record[[#This Row],[employeeID]],員工[],2,FALSE)</f>
        <v>張楚承</v>
      </c>
    </row>
    <row r="2566" spans="6:19" hidden="1" x14ac:dyDescent="0.25">
      <c r="F2566" t="s">
        <v>1702</v>
      </c>
      <c r="G2566" t="s">
        <v>374</v>
      </c>
      <c r="H2566" t="str">
        <f>VLOOKUP(record[[#This Row],[ProcessSN]],表格2_7[],2,FALSE)</f>
        <v>30-4118-018-4XX</v>
      </c>
      <c r="I2566" t="str">
        <f>VLOOKUP(record[[#This Row],[ProcessSN]],表格2_7[],3,FALSE)</f>
        <v>#04</v>
      </c>
      <c r="J2566" t="s">
        <v>588</v>
      </c>
      <c r="K2566" s="195">
        <v>46114.315601851849</v>
      </c>
      <c r="L2566">
        <v>124</v>
      </c>
      <c r="M2566">
        <v>3</v>
      </c>
      <c r="N2566" s="98" t="str">
        <f>IF(record[[#This Row],[Memo]]="Browser:chrome os:android","平板報工",IF(record[[#This Row],[Memo]]=0,"委外",record[[#This Row],[Memo]]))</f>
        <v/>
      </c>
      <c r="O2566" t="s">
        <v>58</v>
      </c>
      <c r="P2566" t="s">
        <v>135</v>
      </c>
      <c r="Q2566" t="s">
        <v>58</v>
      </c>
      <c r="R2566" t="str">
        <f>IFERROR(VLOOKUP(record[[#This Row],[PCUSTID]],廠商[],2,FALSE),"")</f>
        <v/>
      </c>
      <c r="S2566" t="str">
        <f>VLOOKUP(record[[#This Row],[employeeID]],員工[],2,FALSE)</f>
        <v>阮士文</v>
      </c>
    </row>
    <row r="2567" spans="6:19" hidden="1" x14ac:dyDescent="0.25">
      <c r="F2567" t="s">
        <v>1653</v>
      </c>
      <c r="G2567" t="s">
        <v>415</v>
      </c>
      <c r="H2567" t="str">
        <f>VLOOKUP(record[[#This Row],[ProcessSN]],表格2_7[],2,FALSE)</f>
        <v>30-4118-018-5XX</v>
      </c>
      <c r="I2567" t="str">
        <f>VLOOKUP(record[[#This Row],[ProcessSN]],表格2_7[],3,FALSE)</f>
        <v>#04</v>
      </c>
      <c r="J2567" t="s">
        <v>588</v>
      </c>
      <c r="K2567" s="195">
        <v>46114.314930555556</v>
      </c>
      <c r="L2567">
        <v>130</v>
      </c>
      <c r="M2567">
        <v>0</v>
      </c>
      <c r="N2567" s="98" t="str">
        <f>IF(record[[#This Row],[Memo]]="Browser:chrome os:android","平板報工",IF(record[[#This Row],[Memo]]=0,"委外",record[[#This Row],[Memo]]))</f>
        <v/>
      </c>
      <c r="O2567" t="s">
        <v>58</v>
      </c>
      <c r="P2567" t="s">
        <v>135</v>
      </c>
      <c r="Q2567" t="s">
        <v>58</v>
      </c>
      <c r="R2567" t="str">
        <f>IFERROR(VLOOKUP(record[[#This Row],[PCUSTID]],廠商[],2,FALSE),"")</f>
        <v/>
      </c>
      <c r="S2567" t="str">
        <f>VLOOKUP(record[[#This Row],[employeeID]],員工[],2,FALSE)</f>
        <v>阮士文</v>
      </c>
    </row>
    <row r="2568" spans="6:19" hidden="1" x14ac:dyDescent="0.25">
      <c r="F2568" t="s">
        <v>1653</v>
      </c>
      <c r="G2568" t="s">
        <v>414</v>
      </c>
      <c r="H2568" t="str">
        <f>VLOOKUP(record[[#This Row],[ProcessSN]],表格2_7[],2,FALSE)</f>
        <v>30-4118-018-5XX</v>
      </c>
      <c r="I2568" t="str">
        <f>VLOOKUP(record[[#This Row],[ProcessSN]],表格2_7[],3,FALSE)</f>
        <v>#03</v>
      </c>
      <c r="J2568" t="s">
        <v>588</v>
      </c>
      <c r="K2568" s="195">
        <v>46114.314733796295</v>
      </c>
      <c r="L2568">
        <v>337</v>
      </c>
      <c r="M2568">
        <v>0</v>
      </c>
      <c r="N2568" s="98" t="str">
        <f>IF(record[[#This Row],[Memo]]="Browser:chrome os:android","平板報工",IF(record[[#This Row],[Memo]]=0,"委外",record[[#This Row],[Memo]]))</f>
        <v/>
      </c>
      <c r="O2568" t="s">
        <v>58</v>
      </c>
      <c r="P2568" t="s">
        <v>135</v>
      </c>
      <c r="Q2568" t="s">
        <v>58</v>
      </c>
      <c r="R2568" t="str">
        <f>IFERROR(VLOOKUP(record[[#This Row],[PCUSTID]],廠商[],2,FALSE),"")</f>
        <v/>
      </c>
      <c r="S2568" t="str">
        <f>VLOOKUP(record[[#This Row],[employeeID]],員工[],2,FALSE)</f>
        <v>阮士文</v>
      </c>
    </row>
    <row r="2569" spans="6:19" hidden="1" x14ac:dyDescent="0.25">
      <c r="F2569" t="s">
        <v>1702</v>
      </c>
      <c r="G2569" t="s">
        <v>374</v>
      </c>
      <c r="H2569" t="str">
        <f>VLOOKUP(record[[#This Row],[ProcessSN]],表格2_7[],2,FALSE)</f>
        <v>30-4118-018-4XX</v>
      </c>
      <c r="I2569" t="str">
        <f>VLOOKUP(record[[#This Row],[ProcessSN]],表格2_7[],3,FALSE)</f>
        <v>#04</v>
      </c>
      <c r="J2569" t="s">
        <v>588</v>
      </c>
      <c r="K2569" s="195">
        <v>46114.003657407404</v>
      </c>
      <c r="L2569">
        <v>100</v>
      </c>
      <c r="M2569">
        <v>4</v>
      </c>
      <c r="N2569" s="98" t="str">
        <f>IF(record[[#This Row],[Memo]]="Browser:chrome os:android","平板報工",IF(record[[#This Row],[Memo]]=0,"委外",record[[#This Row],[Memo]]))</f>
        <v/>
      </c>
      <c r="O2569" t="s">
        <v>58</v>
      </c>
      <c r="P2569" t="s">
        <v>1098</v>
      </c>
      <c r="Q2569" t="s">
        <v>58</v>
      </c>
      <c r="R2569" t="str">
        <f>IFERROR(VLOOKUP(record[[#This Row],[PCUSTID]],廠商[],2,FALSE),"")</f>
        <v/>
      </c>
      <c r="S2569" t="str">
        <f>VLOOKUP(record[[#This Row],[employeeID]],員工[],2,FALSE)</f>
        <v>阮氏芳英(英)</v>
      </c>
    </row>
    <row r="2570" spans="6:19" hidden="1" x14ac:dyDescent="0.25">
      <c r="F2570" t="s">
        <v>1653</v>
      </c>
      <c r="G2570" t="s">
        <v>415</v>
      </c>
      <c r="H2570" t="str">
        <f>VLOOKUP(record[[#This Row],[ProcessSN]],表格2_7[],2,FALSE)</f>
        <v>30-4118-018-5XX</v>
      </c>
      <c r="I2570" t="str">
        <f>VLOOKUP(record[[#This Row],[ProcessSN]],表格2_7[],3,FALSE)</f>
        <v>#04</v>
      </c>
      <c r="J2570" t="s">
        <v>588</v>
      </c>
      <c r="K2570" s="195">
        <v>46114.002245370371</v>
      </c>
      <c r="L2570">
        <v>127</v>
      </c>
      <c r="M2570">
        <v>0</v>
      </c>
      <c r="N2570" s="98" t="str">
        <f>IF(record[[#This Row],[Memo]]="Browser:chrome os:android","平板報工",IF(record[[#This Row],[Memo]]=0,"委外",record[[#This Row],[Memo]]))</f>
        <v/>
      </c>
      <c r="O2570" t="s">
        <v>58</v>
      </c>
      <c r="P2570" t="s">
        <v>1098</v>
      </c>
      <c r="Q2570" t="s">
        <v>58</v>
      </c>
      <c r="R2570" t="str">
        <f>IFERROR(VLOOKUP(record[[#This Row],[PCUSTID]],廠商[],2,FALSE),"")</f>
        <v/>
      </c>
      <c r="S2570" t="str">
        <f>VLOOKUP(record[[#This Row],[employeeID]],員工[],2,FALSE)</f>
        <v>阮氏芳英(英)</v>
      </c>
    </row>
    <row r="2571" spans="6:19" hidden="1" x14ac:dyDescent="0.25">
      <c r="F2571" t="s">
        <v>1653</v>
      </c>
      <c r="G2571" t="s">
        <v>416</v>
      </c>
      <c r="H2571" t="str">
        <f>VLOOKUP(record[[#This Row],[ProcessSN]],表格2_7[],2,FALSE)</f>
        <v>30-4118-018-5XX</v>
      </c>
      <c r="I2571" t="str">
        <f>VLOOKUP(record[[#This Row],[ProcessSN]],表格2_7[],3,FALSE)</f>
        <v>#05</v>
      </c>
      <c r="J2571" t="s">
        <v>588</v>
      </c>
      <c r="K2571" s="195">
        <v>46114.001793981479</v>
      </c>
      <c r="L2571">
        <v>190</v>
      </c>
      <c r="M2571">
        <v>0</v>
      </c>
      <c r="N2571" s="98" t="str">
        <f>IF(record[[#This Row],[Memo]]="Browser:chrome os:android","平板報工",IF(record[[#This Row],[Memo]]=0,"委外",record[[#This Row],[Memo]]))</f>
        <v/>
      </c>
      <c r="O2571" t="s">
        <v>58</v>
      </c>
      <c r="P2571" t="s">
        <v>1098</v>
      </c>
      <c r="Q2571" t="s">
        <v>58</v>
      </c>
      <c r="R2571" t="str">
        <f>IFERROR(VLOOKUP(record[[#This Row],[PCUSTID]],廠商[],2,FALSE),"")</f>
        <v/>
      </c>
      <c r="S2571" t="str">
        <f>VLOOKUP(record[[#This Row],[employeeID]],員工[],2,FALSE)</f>
        <v>阮氏芳英(英)</v>
      </c>
    </row>
    <row r="2572" spans="6:19" hidden="1" x14ac:dyDescent="0.25">
      <c r="F2572" t="s">
        <v>1587</v>
      </c>
      <c r="G2572" t="s">
        <v>377</v>
      </c>
      <c r="H2572" t="str">
        <f>VLOOKUP(record[[#This Row],[ProcessSN]],表格2_7[],2,FALSE)</f>
        <v>30-4118-018-4XX</v>
      </c>
      <c r="I2572" t="str">
        <f>VLOOKUP(record[[#This Row],[ProcessSN]],表格2_7[],3,FALSE)</f>
        <v>#07</v>
      </c>
      <c r="J2572" t="s">
        <v>588</v>
      </c>
      <c r="K2572" s="195">
        <v>46113.996724537035</v>
      </c>
      <c r="L2572">
        <v>193</v>
      </c>
      <c r="M2572">
        <v>4</v>
      </c>
      <c r="N2572" s="98" t="str">
        <f>IF(record[[#This Row],[Memo]]="Browser:chrome os:android","平板報工",IF(record[[#This Row],[Memo]]=0,"委外",record[[#This Row],[Memo]]))</f>
        <v/>
      </c>
      <c r="O2572" t="s">
        <v>58</v>
      </c>
      <c r="P2572" t="s">
        <v>89</v>
      </c>
      <c r="Q2572" t="s">
        <v>58</v>
      </c>
      <c r="R2572" t="str">
        <f>IFERROR(VLOOKUP(record[[#This Row],[PCUSTID]],廠商[],2,FALSE),"")</f>
        <v/>
      </c>
      <c r="S2572" t="str">
        <f>VLOOKUP(record[[#This Row],[employeeID]],員工[],2,FALSE)</f>
        <v>李美蓮</v>
      </c>
    </row>
    <row r="2573" spans="6:19" hidden="1" x14ac:dyDescent="0.25">
      <c r="F2573" t="s">
        <v>1653</v>
      </c>
      <c r="G2573" t="s">
        <v>417</v>
      </c>
      <c r="H2573" t="str">
        <f>VLOOKUP(record[[#This Row],[ProcessSN]],表格2_7[],2,FALSE)</f>
        <v>30-4118-018-5XX</v>
      </c>
      <c r="I2573" t="str">
        <f>VLOOKUP(record[[#This Row],[ProcessSN]],表格2_7[],3,FALSE)</f>
        <v>#06</v>
      </c>
      <c r="J2573" t="s">
        <v>593</v>
      </c>
      <c r="K2573" s="195">
        <v>46113.99324074074</v>
      </c>
      <c r="L2573">
        <v>67</v>
      </c>
      <c r="M2573">
        <v>0</v>
      </c>
      <c r="N2573" s="98" t="str">
        <f>IF(record[[#This Row],[Memo]]="Browser:chrome os:android","平板報工",IF(record[[#This Row],[Memo]]=0,"委外",record[[#This Row],[Memo]]))</f>
        <v/>
      </c>
      <c r="O2573" t="s">
        <v>58</v>
      </c>
      <c r="P2573" t="s">
        <v>841</v>
      </c>
      <c r="Q2573" t="s">
        <v>58</v>
      </c>
      <c r="R2573" t="str">
        <f>IFERROR(VLOOKUP(record[[#This Row],[PCUSTID]],廠商[],2,FALSE),"")</f>
        <v/>
      </c>
      <c r="S2573" t="str">
        <f>VLOOKUP(record[[#This Row],[employeeID]],員工[],2,FALSE)</f>
        <v>范氏香</v>
      </c>
    </row>
    <row r="2574" spans="6:19" hidden="1" x14ac:dyDescent="0.25">
      <c r="F2574" t="s">
        <v>1653</v>
      </c>
      <c r="G2574" t="s">
        <v>417</v>
      </c>
      <c r="H2574" t="str">
        <f>VLOOKUP(record[[#This Row],[ProcessSN]],表格2_7[],2,FALSE)</f>
        <v>30-4118-018-5XX</v>
      </c>
      <c r="I2574" t="str">
        <f>VLOOKUP(record[[#This Row],[ProcessSN]],表格2_7[],3,FALSE)</f>
        <v>#06</v>
      </c>
      <c r="J2574" t="s">
        <v>593</v>
      </c>
      <c r="K2574" s="195">
        <v>46113.982546296298</v>
      </c>
      <c r="L2574">
        <v>110</v>
      </c>
      <c r="M2574">
        <v>1</v>
      </c>
      <c r="N2574" s="98" t="str">
        <f>IF(record[[#This Row],[Memo]]="Browser:chrome os:android","平板報工",IF(record[[#This Row],[Memo]]=0,"委外",record[[#This Row],[Memo]]))</f>
        <v/>
      </c>
      <c r="O2574" t="s">
        <v>58</v>
      </c>
      <c r="P2574" t="s">
        <v>133</v>
      </c>
      <c r="Q2574" t="s">
        <v>58</v>
      </c>
      <c r="R2574" t="str">
        <f>IFERROR(VLOOKUP(record[[#This Row],[PCUSTID]],廠商[],2,FALSE),"")</f>
        <v/>
      </c>
      <c r="S2574" t="str">
        <f>VLOOKUP(record[[#This Row],[employeeID]],員工[],2,FALSE)</f>
        <v>黎長維</v>
      </c>
    </row>
    <row r="2575" spans="6:19" hidden="1" x14ac:dyDescent="0.25">
      <c r="F2575" t="s">
        <v>1715</v>
      </c>
      <c r="G2575" t="s">
        <v>400</v>
      </c>
      <c r="H2575" t="str">
        <f>VLOOKUP(record[[#This Row],[ProcessSN]],表格2_7[],2,FALSE)</f>
        <v>30-4118-018-550</v>
      </c>
      <c r="I2575" t="str">
        <f>VLOOKUP(record[[#This Row],[ProcessSN]],表格2_7[],3,FALSE)</f>
        <v>#100</v>
      </c>
      <c r="J2575" t="s">
        <v>598</v>
      </c>
      <c r="K2575" s="195">
        <v>46113.822800925926</v>
      </c>
      <c r="L2575">
        <v>7</v>
      </c>
      <c r="M2575">
        <v>0</v>
      </c>
      <c r="N2575" s="98" t="str">
        <f>IF(record[[#This Row],[Memo]]="Browser:chrome os:android","平板報工",IF(record[[#This Row],[Memo]]=0,"委外",record[[#This Row],[Memo]]))</f>
        <v/>
      </c>
      <c r="O2575" t="s">
        <v>58</v>
      </c>
      <c r="P2575" t="s">
        <v>141</v>
      </c>
      <c r="Q2575" t="s">
        <v>58</v>
      </c>
      <c r="R2575" t="str">
        <f>IFERROR(VLOOKUP(record[[#This Row],[PCUSTID]],廠商[],2,FALSE),"")</f>
        <v/>
      </c>
      <c r="S2575" t="str">
        <f>VLOOKUP(record[[#This Row],[employeeID]],員工[],2,FALSE)</f>
        <v>蔣梅</v>
      </c>
    </row>
    <row r="2576" spans="6:19" hidden="1" x14ac:dyDescent="0.25">
      <c r="F2576" t="s">
        <v>1704</v>
      </c>
      <c r="G2576" t="s">
        <v>400</v>
      </c>
      <c r="H2576" t="str">
        <f>VLOOKUP(record[[#This Row],[ProcessSN]],表格2_7[],2,FALSE)</f>
        <v>30-4118-018-550</v>
      </c>
      <c r="I2576" t="str">
        <f>VLOOKUP(record[[#This Row],[ProcessSN]],表格2_7[],3,FALSE)</f>
        <v>#100</v>
      </c>
      <c r="J2576" t="s">
        <v>598</v>
      </c>
      <c r="K2576" s="195">
        <v>46113.822557870371</v>
      </c>
      <c r="L2576">
        <v>329</v>
      </c>
      <c r="M2576">
        <v>0</v>
      </c>
      <c r="N2576" s="98" t="str">
        <f>IF(record[[#This Row],[Memo]]="Browser:chrome os:android","平板報工",IF(record[[#This Row],[Memo]]=0,"委外",record[[#This Row],[Memo]]))</f>
        <v/>
      </c>
      <c r="O2576" t="s">
        <v>58</v>
      </c>
      <c r="P2576" t="s">
        <v>141</v>
      </c>
      <c r="Q2576" t="s">
        <v>58</v>
      </c>
      <c r="R2576" t="str">
        <f>IFERROR(VLOOKUP(record[[#This Row],[PCUSTID]],廠商[],2,FALSE),"")</f>
        <v/>
      </c>
      <c r="S2576" t="str">
        <f>VLOOKUP(record[[#This Row],[employeeID]],員工[],2,FALSE)</f>
        <v>蔣梅</v>
      </c>
    </row>
    <row r="2577" spans="6:19" hidden="1" x14ac:dyDescent="0.25">
      <c r="F2577" t="s">
        <v>1653</v>
      </c>
      <c r="G2577" t="s">
        <v>417</v>
      </c>
      <c r="H2577" t="str">
        <f>VLOOKUP(record[[#This Row],[ProcessSN]],表格2_7[],2,FALSE)</f>
        <v>30-4118-018-5XX</v>
      </c>
      <c r="I2577" t="str">
        <f>VLOOKUP(record[[#This Row],[ProcessSN]],表格2_7[],3,FALSE)</f>
        <v>#06</v>
      </c>
      <c r="J2577" t="s">
        <v>593</v>
      </c>
      <c r="K2577" s="195">
        <v>46113.819363425922</v>
      </c>
      <c r="L2577">
        <v>50</v>
      </c>
      <c r="M2577">
        <v>0</v>
      </c>
      <c r="N2577" s="98" t="str">
        <f>IF(record[[#This Row],[Memo]]="Browser:chrome os:android","平板報工",IF(record[[#This Row],[Memo]]=0,"委外",record[[#This Row],[Memo]]))</f>
        <v>平板報工</v>
      </c>
      <c r="O2577" t="s">
        <v>643</v>
      </c>
      <c r="P2577" t="s">
        <v>785</v>
      </c>
      <c r="Q2577" t="s">
        <v>644</v>
      </c>
      <c r="R2577" t="str">
        <f>IFERROR(VLOOKUP(record[[#This Row],[PCUSTID]],廠商[],2,FALSE),"")</f>
        <v/>
      </c>
      <c r="S2577" t="str">
        <f>VLOOKUP(record[[#This Row],[employeeID]],員工[],2,FALSE)</f>
        <v>謝刻光</v>
      </c>
    </row>
    <row r="2578" spans="6:19" hidden="1" x14ac:dyDescent="0.25">
      <c r="F2578" t="s">
        <v>1704</v>
      </c>
      <c r="G2578" t="s">
        <v>401</v>
      </c>
      <c r="H2578" t="str">
        <f>VLOOKUP(record[[#This Row],[ProcessSN]],表格2_7[],2,FALSE)</f>
        <v>30-4118-018-550</v>
      </c>
      <c r="I2578" t="str">
        <f>VLOOKUP(record[[#This Row],[ProcessSN]],表格2_7[],3,FALSE)</f>
        <v>#100OQC</v>
      </c>
      <c r="J2578" t="s">
        <v>599</v>
      </c>
      <c r="K2578" s="195">
        <v>46113.797175925924</v>
      </c>
      <c r="L2578">
        <v>2</v>
      </c>
      <c r="M2578">
        <v>0</v>
      </c>
      <c r="N2578" s="98" t="str">
        <f>IF(record[[#This Row],[Memo]]="Browser:chrome os:android","平板報工",IF(record[[#This Row],[Memo]]=0,"委外",record[[#This Row],[Memo]]))</f>
        <v/>
      </c>
      <c r="O2578" t="s">
        <v>58</v>
      </c>
      <c r="P2578" t="s">
        <v>121</v>
      </c>
      <c r="Q2578" t="s">
        <v>58</v>
      </c>
      <c r="R2578" t="str">
        <f>IFERROR(VLOOKUP(record[[#This Row],[PCUSTID]],廠商[],2,FALSE),"")</f>
        <v/>
      </c>
      <c r="S2578" t="str">
        <f>VLOOKUP(record[[#This Row],[employeeID]],員工[],2,FALSE)</f>
        <v>謝素卿</v>
      </c>
    </row>
    <row r="2579" spans="6:19" hidden="1" x14ac:dyDescent="0.25">
      <c r="F2579" t="s">
        <v>1694</v>
      </c>
      <c r="G2579" t="s">
        <v>401</v>
      </c>
      <c r="H2579" t="str">
        <f>VLOOKUP(record[[#This Row],[ProcessSN]],表格2_7[],2,FALSE)</f>
        <v>30-4118-018-550</v>
      </c>
      <c r="I2579" t="str">
        <f>VLOOKUP(record[[#This Row],[ProcessSN]],表格2_7[],3,FALSE)</f>
        <v>#100OQC</v>
      </c>
      <c r="J2579" t="s">
        <v>599</v>
      </c>
      <c r="K2579" s="195">
        <v>46113.797037037039</v>
      </c>
      <c r="L2579">
        <v>161</v>
      </c>
      <c r="M2579">
        <v>0</v>
      </c>
      <c r="N2579" s="98" t="str">
        <f>IF(record[[#This Row],[Memo]]="Browser:chrome os:android","平板報工",IF(record[[#This Row],[Memo]]=0,"委外",record[[#This Row],[Memo]]))</f>
        <v/>
      </c>
      <c r="O2579" t="s">
        <v>58</v>
      </c>
      <c r="P2579" t="s">
        <v>121</v>
      </c>
      <c r="Q2579" t="s">
        <v>58</v>
      </c>
      <c r="R2579" t="str">
        <f>IFERROR(VLOOKUP(record[[#This Row],[PCUSTID]],廠商[],2,FALSE),"")</f>
        <v/>
      </c>
      <c r="S2579" t="str">
        <f>VLOOKUP(record[[#This Row],[employeeID]],員工[],2,FALSE)</f>
        <v>謝素卿</v>
      </c>
    </row>
    <row r="2580" spans="6:19" hidden="1" x14ac:dyDescent="0.25">
      <c r="F2580" t="s">
        <v>1637</v>
      </c>
      <c r="G2580" t="s">
        <v>448</v>
      </c>
      <c r="H2580" t="str">
        <f>VLOOKUP(record[[#This Row],[ProcessSN]],表格2_7[],2,FALSE)</f>
        <v>30-4118-018-6XX</v>
      </c>
      <c r="I2580" t="str">
        <f>VLOOKUP(record[[#This Row],[ProcessSN]],表格2_7[],3,FALSE)</f>
        <v>#04</v>
      </c>
      <c r="J2580" t="s">
        <v>588</v>
      </c>
      <c r="K2580" s="195">
        <v>46113.756458333337</v>
      </c>
      <c r="L2580">
        <v>0</v>
      </c>
      <c r="M2580">
        <v>1</v>
      </c>
      <c r="N2580" s="98" t="str">
        <f>IF(record[[#This Row],[Memo]]="Browser:chrome os:android","平板報工",IF(record[[#This Row],[Memo]]=0,"委外",record[[#This Row],[Memo]]))</f>
        <v/>
      </c>
      <c r="O2580" t="s">
        <v>58</v>
      </c>
      <c r="P2580" t="s">
        <v>107</v>
      </c>
      <c r="Q2580" t="s">
        <v>58</v>
      </c>
      <c r="R2580" t="str">
        <f>IFERROR(VLOOKUP(record[[#This Row],[PCUSTID]],廠商[],2,FALSE),"")</f>
        <v/>
      </c>
      <c r="S2580" t="str">
        <f>VLOOKUP(record[[#This Row],[employeeID]],員工[],2,FALSE)</f>
        <v>黎氏順</v>
      </c>
    </row>
    <row r="2581" spans="6:19" hidden="1" x14ac:dyDescent="0.25">
      <c r="F2581" t="s">
        <v>1653</v>
      </c>
      <c r="G2581" t="s">
        <v>418</v>
      </c>
      <c r="H2581" t="str">
        <f>VLOOKUP(record[[#This Row],[ProcessSN]],表格2_7[],2,FALSE)</f>
        <v>30-4118-018-5XX</v>
      </c>
      <c r="I2581" t="str">
        <f>VLOOKUP(record[[#This Row],[ProcessSN]],表格2_7[],3,FALSE)</f>
        <v>#07</v>
      </c>
      <c r="J2581" t="s">
        <v>588</v>
      </c>
      <c r="K2581" s="195">
        <v>46113.75445601852</v>
      </c>
      <c r="L2581">
        <v>32</v>
      </c>
      <c r="M2581">
        <v>0</v>
      </c>
      <c r="N2581" s="98" t="str">
        <f>IF(record[[#This Row],[Memo]]="Browser:chrome os:android","平板報工",IF(record[[#This Row],[Memo]]=0,"委外",record[[#This Row],[Memo]]))</f>
        <v/>
      </c>
      <c r="O2581" t="s">
        <v>58</v>
      </c>
      <c r="P2581" t="s">
        <v>145</v>
      </c>
      <c r="Q2581" t="s">
        <v>58</v>
      </c>
      <c r="R2581" t="str">
        <f>IFERROR(VLOOKUP(record[[#This Row],[PCUSTID]],廠商[],2,FALSE),"")</f>
        <v/>
      </c>
      <c r="S2581" t="str">
        <f>VLOOKUP(record[[#This Row],[employeeID]],員工[],2,FALSE)</f>
        <v>阮秋霞</v>
      </c>
    </row>
    <row r="2582" spans="6:19" hidden="1" x14ac:dyDescent="0.25">
      <c r="F2582" t="s">
        <v>1653</v>
      </c>
      <c r="G2582" t="s">
        <v>417</v>
      </c>
      <c r="H2582" t="str">
        <f>VLOOKUP(record[[#This Row],[ProcessSN]],表格2_7[],2,FALSE)</f>
        <v>30-4118-018-5XX</v>
      </c>
      <c r="I2582" t="str">
        <f>VLOOKUP(record[[#This Row],[ProcessSN]],表格2_7[],3,FALSE)</f>
        <v>#06</v>
      </c>
      <c r="J2582" t="s">
        <v>593</v>
      </c>
      <c r="K2582" s="195">
        <v>46113.747615740744</v>
      </c>
      <c r="L2582">
        <v>50</v>
      </c>
      <c r="M2582">
        <v>0</v>
      </c>
      <c r="N2582" s="98" t="str">
        <f>IF(record[[#This Row],[Memo]]="Browser:chrome os:android","平板報工",IF(record[[#This Row],[Memo]]=0,"委外",record[[#This Row],[Memo]]))</f>
        <v/>
      </c>
      <c r="O2582" t="s">
        <v>58</v>
      </c>
      <c r="P2582" t="s">
        <v>101</v>
      </c>
      <c r="Q2582" t="s">
        <v>58</v>
      </c>
      <c r="R2582" t="str">
        <f>IFERROR(VLOOKUP(record[[#This Row],[PCUSTID]],廠商[],2,FALSE),"")</f>
        <v/>
      </c>
      <c r="S2582" t="str">
        <f>VLOOKUP(record[[#This Row],[employeeID]],員工[],2,FALSE)</f>
        <v>陳氏絨</v>
      </c>
    </row>
    <row r="2583" spans="6:19" hidden="1" x14ac:dyDescent="0.25">
      <c r="F2583" t="s">
        <v>1704</v>
      </c>
      <c r="G2583" t="s">
        <v>400</v>
      </c>
      <c r="H2583" t="str">
        <f>VLOOKUP(record[[#This Row],[ProcessSN]],表格2_7[],2,FALSE)</f>
        <v>30-4118-018-550</v>
      </c>
      <c r="I2583" t="str">
        <f>VLOOKUP(record[[#This Row],[ProcessSN]],表格2_7[],3,FALSE)</f>
        <v>#100</v>
      </c>
      <c r="J2583" t="s">
        <v>598</v>
      </c>
      <c r="K2583" s="195">
        <v>46113.703587962962</v>
      </c>
      <c r="L2583">
        <v>2</v>
      </c>
      <c r="M2583">
        <v>0</v>
      </c>
      <c r="N2583" s="98" t="str">
        <f>IF(record[[#This Row],[Memo]]="Browser:chrome os:android","平板報工",IF(record[[#This Row],[Memo]]=0,"委外",record[[#This Row],[Memo]]))</f>
        <v/>
      </c>
      <c r="O2583" t="s">
        <v>58</v>
      </c>
      <c r="P2583" t="s">
        <v>141</v>
      </c>
      <c r="Q2583" t="s">
        <v>58</v>
      </c>
      <c r="R2583" t="str">
        <f>IFERROR(VLOOKUP(record[[#This Row],[PCUSTID]],廠商[],2,FALSE),"")</f>
        <v/>
      </c>
      <c r="S2583" t="str">
        <f>VLOOKUP(record[[#This Row],[employeeID]],員工[],2,FALSE)</f>
        <v>蔣梅</v>
      </c>
    </row>
    <row r="2584" spans="6:19" hidden="1" x14ac:dyDescent="0.25">
      <c r="F2584" t="s">
        <v>1694</v>
      </c>
      <c r="G2584" t="s">
        <v>400</v>
      </c>
      <c r="H2584" t="str">
        <f>VLOOKUP(record[[#This Row],[ProcessSN]],表格2_7[],2,FALSE)</f>
        <v>30-4118-018-550</v>
      </c>
      <c r="I2584" t="str">
        <f>VLOOKUP(record[[#This Row],[ProcessSN]],表格2_7[],3,FALSE)</f>
        <v>#100</v>
      </c>
      <c r="J2584" t="s">
        <v>598</v>
      </c>
      <c r="K2584" s="195">
        <v>46113.703344907408</v>
      </c>
      <c r="L2584">
        <v>161</v>
      </c>
      <c r="M2584">
        <v>0</v>
      </c>
      <c r="N2584" s="98" t="str">
        <f>IF(record[[#This Row],[Memo]]="Browser:chrome os:android","平板報工",IF(record[[#This Row],[Memo]]=0,"委外",record[[#This Row],[Memo]]))</f>
        <v/>
      </c>
      <c r="O2584" t="s">
        <v>58</v>
      </c>
      <c r="P2584" t="s">
        <v>141</v>
      </c>
      <c r="Q2584" t="s">
        <v>58</v>
      </c>
      <c r="R2584" t="str">
        <f>IFERROR(VLOOKUP(record[[#This Row],[PCUSTID]],廠商[],2,FALSE),"")</f>
        <v/>
      </c>
      <c r="S2584" t="str">
        <f>VLOOKUP(record[[#This Row],[employeeID]],員工[],2,FALSE)</f>
        <v>蔣梅</v>
      </c>
    </row>
    <row r="2585" spans="6:19" hidden="1" x14ac:dyDescent="0.25">
      <c r="F2585" t="s">
        <v>1715</v>
      </c>
      <c r="G2585" t="s">
        <v>399</v>
      </c>
      <c r="H2585" t="str">
        <f>VLOOKUP(record[[#This Row],[ProcessSN]],表格2_7[],2,FALSE)</f>
        <v>30-4118-018-550</v>
      </c>
      <c r="I2585" t="str">
        <f>VLOOKUP(record[[#This Row],[ProcessSN]],表格2_7[],3,FALSE)</f>
        <v>#08IQC</v>
      </c>
      <c r="J2585" t="s">
        <v>583</v>
      </c>
      <c r="K2585" s="195">
        <v>46113.702592592592</v>
      </c>
      <c r="L2585">
        <v>94</v>
      </c>
      <c r="M2585">
        <v>0</v>
      </c>
      <c r="N2585" s="98" t="str">
        <f>IF(record[[#This Row],[Memo]]="Browser:chrome os:android","平板報工",IF(record[[#This Row],[Memo]]=0,"委外",record[[#This Row],[Memo]]))</f>
        <v/>
      </c>
      <c r="O2585" t="s">
        <v>58</v>
      </c>
      <c r="P2585" t="s">
        <v>109</v>
      </c>
      <c r="Q2585" t="s">
        <v>58</v>
      </c>
      <c r="R2585" t="str">
        <f>IFERROR(VLOOKUP(record[[#This Row],[PCUSTID]],廠商[],2,FALSE),"")</f>
        <v/>
      </c>
      <c r="S2585" t="str">
        <f>VLOOKUP(record[[#This Row],[employeeID]],員工[],2,FALSE)</f>
        <v>裴氏璧鳳</v>
      </c>
    </row>
    <row r="2586" spans="6:19" hidden="1" x14ac:dyDescent="0.25">
      <c r="F2586" t="s">
        <v>1694</v>
      </c>
      <c r="G2586" t="s">
        <v>399</v>
      </c>
      <c r="H2586" t="str">
        <f>VLOOKUP(record[[#This Row],[ProcessSN]],表格2_7[],2,FALSE)</f>
        <v>30-4118-018-550</v>
      </c>
      <c r="I2586" t="str">
        <f>VLOOKUP(record[[#This Row],[ProcessSN]],表格2_7[],3,FALSE)</f>
        <v>#08IQC</v>
      </c>
      <c r="J2586" t="s">
        <v>583</v>
      </c>
      <c r="K2586" s="195">
        <v>46113.702465277776</v>
      </c>
      <c r="L2586">
        <v>161</v>
      </c>
      <c r="M2586">
        <v>0</v>
      </c>
      <c r="N2586" s="98" t="str">
        <f>IF(record[[#This Row],[Memo]]="Browser:chrome os:android","平板報工",IF(record[[#This Row],[Memo]]=0,"委外",record[[#This Row],[Memo]]))</f>
        <v/>
      </c>
      <c r="O2586" t="s">
        <v>58</v>
      </c>
      <c r="P2586" t="s">
        <v>109</v>
      </c>
      <c r="Q2586" t="s">
        <v>58</v>
      </c>
      <c r="R2586" t="str">
        <f>IFERROR(VLOOKUP(record[[#This Row],[PCUSTID]],廠商[],2,FALSE),"")</f>
        <v/>
      </c>
      <c r="S2586" t="str">
        <f>VLOOKUP(record[[#This Row],[employeeID]],員工[],2,FALSE)</f>
        <v>裴氏璧鳳</v>
      </c>
    </row>
    <row r="2587" spans="6:19" hidden="1" x14ac:dyDescent="0.25">
      <c r="F2587" t="s">
        <v>1704</v>
      </c>
      <c r="G2587" t="s">
        <v>399</v>
      </c>
      <c r="H2587" t="str">
        <f>VLOOKUP(record[[#This Row],[ProcessSN]],表格2_7[],2,FALSE)</f>
        <v>30-4118-018-550</v>
      </c>
      <c r="I2587" t="str">
        <f>VLOOKUP(record[[#This Row],[ProcessSN]],表格2_7[],3,FALSE)</f>
        <v>#08IQC</v>
      </c>
      <c r="J2587" t="s">
        <v>583</v>
      </c>
      <c r="K2587" s="195">
        <v>46113.699837962966</v>
      </c>
      <c r="L2587">
        <v>331</v>
      </c>
      <c r="M2587">
        <v>0</v>
      </c>
      <c r="N2587" s="98" t="str">
        <f>IF(record[[#This Row],[Memo]]="Browser:chrome os:android","平板報工",IF(record[[#This Row],[Memo]]=0,"委外",record[[#This Row],[Memo]]))</f>
        <v/>
      </c>
      <c r="O2587" t="s">
        <v>58</v>
      </c>
      <c r="P2587" t="s">
        <v>109</v>
      </c>
      <c r="Q2587" t="s">
        <v>58</v>
      </c>
      <c r="R2587" t="str">
        <f>IFERROR(VLOOKUP(record[[#This Row],[PCUSTID]],廠商[],2,FALSE),"")</f>
        <v/>
      </c>
      <c r="S2587" t="str">
        <f>VLOOKUP(record[[#This Row],[employeeID]],員工[],2,FALSE)</f>
        <v>裴氏璧鳳</v>
      </c>
    </row>
    <row r="2588" spans="6:19" hidden="1" x14ac:dyDescent="0.25">
      <c r="F2588" t="s">
        <v>1693</v>
      </c>
      <c r="G2588" t="s">
        <v>424</v>
      </c>
      <c r="H2588" t="str">
        <f>VLOOKUP(record[[#This Row],[ProcessSN]],表格2_7[],2,FALSE)</f>
        <v>30-4118-018-600</v>
      </c>
      <c r="I2588" t="str">
        <f>VLOOKUP(record[[#This Row],[ProcessSN]],表格2_7[],3,FALSE)</f>
        <v>#08IQC</v>
      </c>
      <c r="J2588" t="s">
        <v>583</v>
      </c>
      <c r="K2588" s="195">
        <v>46113.699699074074</v>
      </c>
      <c r="L2588">
        <v>179</v>
      </c>
      <c r="M2588">
        <v>0</v>
      </c>
      <c r="N2588" s="98" t="str">
        <f>IF(record[[#This Row],[Memo]]="Browser:chrome os:android","平板報工",IF(record[[#This Row],[Memo]]=0,"委外",record[[#This Row],[Memo]]))</f>
        <v/>
      </c>
      <c r="O2588" t="s">
        <v>58</v>
      </c>
      <c r="P2588" t="s">
        <v>109</v>
      </c>
      <c r="Q2588" t="s">
        <v>58</v>
      </c>
      <c r="R2588" t="str">
        <f>IFERROR(VLOOKUP(record[[#This Row],[PCUSTID]],廠商[],2,FALSE),"")</f>
        <v/>
      </c>
      <c r="S2588" t="str">
        <f>VLOOKUP(record[[#This Row],[employeeID]],員工[],2,FALSE)</f>
        <v>裴氏璧鳳</v>
      </c>
    </row>
    <row r="2589" spans="6:19" hidden="1" x14ac:dyDescent="0.25">
      <c r="F2589" t="s">
        <v>1693</v>
      </c>
      <c r="G2589" t="s">
        <v>423</v>
      </c>
      <c r="H2589" t="str">
        <f>VLOOKUP(record[[#This Row],[ProcessSN]],表格2_7[],2,FALSE)</f>
        <v>30-4118-018-600</v>
      </c>
      <c r="I2589" t="str">
        <f>VLOOKUP(record[[#This Row],[ProcessSN]],表格2_7[],3,FALSE)</f>
        <v>#08RCV</v>
      </c>
      <c r="J2589" t="s">
        <v>591</v>
      </c>
      <c r="K2589" s="195">
        <v>46113.692662037036</v>
      </c>
      <c r="L2589">
        <v>0</v>
      </c>
      <c r="M2589">
        <v>8</v>
      </c>
      <c r="N2589" s="98" t="str">
        <f>IF(record[[#This Row],[Memo]]="Browser:chrome os:android","平板報工",IF(record[[#This Row],[Memo]]=0,"委外",record[[#This Row],[Memo]]))</f>
        <v/>
      </c>
      <c r="O2589" t="s">
        <v>58</v>
      </c>
      <c r="P2589" t="s">
        <v>1698</v>
      </c>
      <c r="Q2589" t="s">
        <v>58</v>
      </c>
      <c r="R2589" t="str">
        <f>IFERROR(VLOOKUP(record[[#This Row],[PCUSTID]],廠商[],2,FALSE),"")</f>
        <v/>
      </c>
      <c r="S2589" t="str">
        <f>VLOOKUP(record[[#This Row],[employeeID]],員工[],2,FALSE)</f>
        <v>羅思潔</v>
      </c>
    </row>
    <row r="2590" spans="6:19" hidden="1" x14ac:dyDescent="0.25">
      <c r="F2590" t="s">
        <v>1693</v>
      </c>
      <c r="G2590" t="s">
        <v>423</v>
      </c>
      <c r="H2590" t="str">
        <f>VLOOKUP(record[[#This Row],[ProcessSN]],表格2_7[],2,FALSE)</f>
        <v>30-4118-018-600</v>
      </c>
      <c r="I2590" t="str">
        <f>VLOOKUP(record[[#This Row],[ProcessSN]],表格2_7[],3,FALSE)</f>
        <v>#08RCV</v>
      </c>
      <c r="J2590" t="s">
        <v>591</v>
      </c>
      <c r="K2590" s="195">
        <v>46113.692465277774</v>
      </c>
      <c r="L2590">
        <v>179</v>
      </c>
      <c r="M2590">
        <v>0</v>
      </c>
      <c r="N2590" s="98" t="str">
        <f>IF(record[[#This Row],[Memo]]="Browser:chrome os:android","平板報工",IF(record[[#This Row],[Memo]]=0,"委外",record[[#This Row],[Memo]]))</f>
        <v/>
      </c>
      <c r="O2590" t="s">
        <v>58</v>
      </c>
      <c r="P2590" t="s">
        <v>1698</v>
      </c>
      <c r="Q2590" t="s">
        <v>58</v>
      </c>
      <c r="R2590" t="str">
        <f>IFERROR(VLOOKUP(record[[#This Row],[PCUSTID]],廠商[],2,FALSE),"")</f>
        <v/>
      </c>
      <c r="S2590" t="str">
        <f>VLOOKUP(record[[#This Row],[employeeID]],員工[],2,FALSE)</f>
        <v>羅思潔</v>
      </c>
    </row>
    <row r="2591" spans="6:19" hidden="1" x14ac:dyDescent="0.25">
      <c r="F2591" t="s">
        <v>1715</v>
      </c>
      <c r="G2591" t="s">
        <v>398</v>
      </c>
      <c r="H2591" t="str">
        <f>VLOOKUP(record[[#This Row],[ProcessSN]],表格2_7[],2,FALSE)</f>
        <v>30-4118-018-550</v>
      </c>
      <c r="I2591" t="str">
        <f>VLOOKUP(record[[#This Row],[ProcessSN]],表格2_7[],3,FALSE)</f>
        <v>#08RCV</v>
      </c>
      <c r="J2591" t="s">
        <v>591</v>
      </c>
      <c r="K2591" s="195">
        <v>46113.691631944443</v>
      </c>
      <c r="L2591">
        <v>0</v>
      </c>
      <c r="M2591">
        <v>11</v>
      </c>
      <c r="N2591" s="98" t="str">
        <f>IF(record[[#This Row],[Memo]]="Browser:chrome os:android","平板報工",IF(record[[#This Row],[Memo]]=0,"委外",record[[#This Row],[Memo]]))</f>
        <v/>
      </c>
      <c r="O2591" t="s">
        <v>58</v>
      </c>
      <c r="P2591" t="s">
        <v>1698</v>
      </c>
      <c r="Q2591" t="s">
        <v>58</v>
      </c>
      <c r="R2591" t="str">
        <f>IFERROR(VLOOKUP(record[[#This Row],[PCUSTID]],廠商[],2,FALSE),"")</f>
        <v/>
      </c>
      <c r="S2591" t="str">
        <f>VLOOKUP(record[[#This Row],[employeeID]],員工[],2,FALSE)</f>
        <v>羅思潔</v>
      </c>
    </row>
    <row r="2592" spans="6:19" hidden="1" x14ac:dyDescent="0.25">
      <c r="F2592" t="s">
        <v>1715</v>
      </c>
      <c r="G2592" t="s">
        <v>398</v>
      </c>
      <c r="H2592" t="str">
        <f>VLOOKUP(record[[#This Row],[ProcessSN]],表格2_7[],2,FALSE)</f>
        <v>30-4118-018-550</v>
      </c>
      <c r="I2592" t="str">
        <f>VLOOKUP(record[[#This Row],[ProcessSN]],表格2_7[],3,FALSE)</f>
        <v>#08RCV</v>
      </c>
      <c r="J2592" t="s">
        <v>591</v>
      </c>
      <c r="K2592" s="195">
        <v>46113.68949074074</v>
      </c>
      <c r="L2592">
        <v>94</v>
      </c>
      <c r="M2592">
        <v>0</v>
      </c>
      <c r="N2592" s="98" t="str">
        <f>IF(record[[#This Row],[Memo]]="Browser:chrome os:android","平板報工",IF(record[[#This Row],[Memo]]=0,"委外",record[[#This Row],[Memo]]))</f>
        <v/>
      </c>
      <c r="O2592" t="s">
        <v>58</v>
      </c>
      <c r="P2592" t="s">
        <v>1698</v>
      </c>
      <c r="Q2592" t="s">
        <v>58</v>
      </c>
      <c r="R2592" t="str">
        <f>IFERROR(VLOOKUP(record[[#This Row],[PCUSTID]],廠商[],2,FALSE),"")</f>
        <v/>
      </c>
      <c r="S2592" t="str">
        <f>VLOOKUP(record[[#This Row],[employeeID]],員工[],2,FALSE)</f>
        <v>羅思潔</v>
      </c>
    </row>
    <row r="2593" spans="6:19" hidden="1" x14ac:dyDescent="0.25">
      <c r="F2593" t="s">
        <v>1694</v>
      </c>
      <c r="G2593" t="s">
        <v>398</v>
      </c>
      <c r="H2593" t="str">
        <f>VLOOKUP(record[[#This Row],[ProcessSN]],表格2_7[],2,FALSE)</f>
        <v>30-4118-018-550</v>
      </c>
      <c r="I2593" t="str">
        <f>VLOOKUP(record[[#This Row],[ProcessSN]],表格2_7[],3,FALSE)</f>
        <v>#08RCV</v>
      </c>
      <c r="J2593" t="s">
        <v>591</v>
      </c>
      <c r="K2593" s="195">
        <v>46113.689270833333</v>
      </c>
      <c r="L2593">
        <v>11</v>
      </c>
      <c r="M2593">
        <v>0</v>
      </c>
      <c r="N2593" s="98" t="str">
        <f>IF(record[[#This Row],[Memo]]="Browser:chrome os:android","平板報工",IF(record[[#This Row],[Memo]]=0,"委外",record[[#This Row],[Memo]]))</f>
        <v/>
      </c>
      <c r="O2593" t="s">
        <v>58</v>
      </c>
      <c r="P2593" t="s">
        <v>1698</v>
      </c>
      <c r="Q2593" t="s">
        <v>58</v>
      </c>
      <c r="R2593" t="str">
        <f>IFERROR(VLOOKUP(record[[#This Row],[PCUSTID]],廠商[],2,FALSE),"")</f>
        <v/>
      </c>
      <c r="S2593" t="str">
        <f>VLOOKUP(record[[#This Row],[employeeID]],員工[],2,FALSE)</f>
        <v>羅思潔</v>
      </c>
    </row>
    <row r="2594" spans="6:19" hidden="1" x14ac:dyDescent="0.25">
      <c r="F2594" t="s">
        <v>1694</v>
      </c>
      <c r="G2594" t="s">
        <v>398</v>
      </c>
      <c r="H2594" t="str">
        <f>VLOOKUP(record[[#This Row],[ProcessSN]],表格2_7[],2,FALSE)</f>
        <v>30-4118-018-550</v>
      </c>
      <c r="I2594" t="str">
        <f>VLOOKUP(record[[#This Row],[ProcessSN]],表格2_7[],3,FALSE)</f>
        <v>#08RCV</v>
      </c>
      <c r="J2594" t="s">
        <v>591</v>
      </c>
      <c r="K2594" s="195">
        <v>46113.685925925929</v>
      </c>
      <c r="L2594">
        <v>150</v>
      </c>
      <c r="M2594">
        <v>0</v>
      </c>
      <c r="N2594" s="98" t="str">
        <f>IF(record[[#This Row],[Memo]]="Browser:chrome os:android","平板報工",IF(record[[#This Row],[Memo]]=0,"委外",record[[#This Row],[Memo]]))</f>
        <v/>
      </c>
      <c r="O2594" t="s">
        <v>58</v>
      </c>
      <c r="P2594" t="s">
        <v>186</v>
      </c>
      <c r="Q2594" t="s">
        <v>58</v>
      </c>
      <c r="R2594" t="str">
        <f>IFERROR(VLOOKUP(record[[#This Row],[PCUSTID]],廠商[],2,FALSE),"")</f>
        <v/>
      </c>
      <c r="S2594" t="str">
        <f>VLOOKUP(record[[#This Row],[employeeID]],員工[],2,FALSE)</f>
        <v>許文姍</v>
      </c>
    </row>
    <row r="2595" spans="6:19" hidden="1" x14ac:dyDescent="0.25">
      <c r="F2595" t="s">
        <v>1704</v>
      </c>
      <c r="G2595" t="s">
        <v>398</v>
      </c>
      <c r="H2595" t="str">
        <f>VLOOKUP(record[[#This Row],[ProcessSN]],表格2_7[],2,FALSE)</f>
        <v>30-4118-018-550</v>
      </c>
      <c r="I2595" t="str">
        <f>VLOOKUP(record[[#This Row],[ProcessSN]],表格2_7[],3,FALSE)</f>
        <v>#08RCV</v>
      </c>
      <c r="J2595" t="s">
        <v>591</v>
      </c>
      <c r="K2595" s="195">
        <v>46113.685532407406</v>
      </c>
      <c r="L2595">
        <v>331</v>
      </c>
      <c r="M2595">
        <v>0</v>
      </c>
      <c r="N2595" s="98" t="str">
        <f>IF(record[[#This Row],[Memo]]="Browser:chrome os:android","平板報工",IF(record[[#This Row],[Memo]]=0,"委外",record[[#This Row],[Memo]]))</f>
        <v/>
      </c>
      <c r="O2595" t="s">
        <v>58</v>
      </c>
      <c r="P2595" t="s">
        <v>186</v>
      </c>
      <c r="Q2595" t="s">
        <v>58</v>
      </c>
      <c r="R2595" t="str">
        <f>IFERROR(VLOOKUP(record[[#This Row],[PCUSTID]],廠商[],2,FALSE),"")</f>
        <v/>
      </c>
      <c r="S2595" t="str">
        <f>VLOOKUP(record[[#This Row],[employeeID]],員工[],2,FALSE)</f>
        <v>許文姍</v>
      </c>
    </row>
    <row r="2596" spans="6:19" hidden="1" x14ac:dyDescent="0.25">
      <c r="F2596" t="s">
        <v>1653</v>
      </c>
      <c r="G2596" t="s">
        <v>417</v>
      </c>
      <c r="H2596" t="str">
        <f>VLOOKUP(record[[#This Row],[ProcessSN]],表格2_7[],2,FALSE)</f>
        <v>30-4118-018-5XX</v>
      </c>
      <c r="I2596" t="str">
        <f>VLOOKUP(record[[#This Row],[ProcessSN]],表格2_7[],3,FALSE)</f>
        <v>#06</v>
      </c>
      <c r="J2596" t="s">
        <v>593</v>
      </c>
      <c r="K2596" s="195">
        <v>46113.655729166669</v>
      </c>
      <c r="L2596">
        <v>111</v>
      </c>
      <c r="M2596">
        <v>0</v>
      </c>
      <c r="N2596" s="98" t="str">
        <f>IF(record[[#This Row],[Memo]]="Browser:chrome os:android","平板報工",IF(record[[#This Row],[Memo]]=0,"委外",record[[#This Row],[Memo]]))</f>
        <v>平板報工</v>
      </c>
      <c r="O2596" t="s">
        <v>643</v>
      </c>
      <c r="P2596" t="s">
        <v>101</v>
      </c>
      <c r="Q2596" t="s">
        <v>644</v>
      </c>
      <c r="R2596" t="str">
        <f>IFERROR(VLOOKUP(record[[#This Row],[PCUSTID]],廠商[],2,FALSE),"")</f>
        <v/>
      </c>
      <c r="S2596" t="str">
        <f>VLOOKUP(record[[#This Row],[employeeID]],員工[],2,FALSE)</f>
        <v>陳氏絨</v>
      </c>
    </row>
    <row r="2597" spans="6:19" hidden="1" x14ac:dyDescent="0.25">
      <c r="F2597" t="s">
        <v>1587</v>
      </c>
      <c r="G2597" t="s">
        <v>377</v>
      </c>
      <c r="H2597" t="str">
        <f>VLOOKUP(record[[#This Row],[ProcessSN]],表格2_7[],2,FALSE)</f>
        <v>30-4118-018-4XX</v>
      </c>
      <c r="I2597" t="str">
        <f>VLOOKUP(record[[#This Row],[ProcessSN]],表格2_7[],3,FALSE)</f>
        <v>#07</v>
      </c>
      <c r="J2597" t="s">
        <v>588</v>
      </c>
      <c r="K2597" s="195">
        <v>46113.640057870369</v>
      </c>
      <c r="L2597">
        <v>122</v>
      </c>
      <c r="M2597">
        <v>0</v>
      </c>
      <c r="N2597" s="98" t="str">
        <f>IF(record[[#This Row],[Memo]]="Browser:chrome os:android","平板報工",IF(record[[#This Row],[Memo]]=0,"委外",record[[#This Row],[Memo]]))</f>
        <v>平板報工</v>
      </c>
      <c r="O2597" t="s">
        <v>643</v>
      </c>
      <c r="P2597" t="s">
        <v>145</v>
      </c>
      <c r="Q2597" t="s">
        <v>644</v>
      </c>
      <c r="R2597" t="str">
        <f>IFERROR(VLOOKUP(record[[#This Row],[PCUSTID]],廠商[],2,FALSE),"")</f>
        <v/>
      </c>
      <c r="S2597" t="str">
        <f>VLOOKUP(record[[#This Row],[employeeID]],員工[],2,FALSE)</f>
        <v>阮秋霞</v>
      </c>
    </row>
    <row r="2598" spans="6:19" hidden="1" x14ac:dyDescent="0.25">
      <c r="F2598" t="s">
        <v>1653</v>
      </c>
      <c r="G2598" t="s">
        <v>420</v>
      </c>
      <c r="H2598" t="str">
        <f>VLOOKUP(record[[#This Row],[ProcessSN]],表格2_7[],2,FALSE)</f>
        <v>30-4118-018-5XX</v>
      </c>
      <c r="I2598" t="str">
        <f>VLOOKUP(record[[#This Row],[ProcessSN]],表格2_7[],3,FALSE)</f>
        <v>#07STOCK</v>
      </c>
      <c r="J2598" t="s">
        <v>592</v>
      </c>
      <c r="K2598" s="195">
        <v>46113.639768518522</v>
      </c>
      <c r="L2598">
        <v>470</v>
      </c>
      <c r="M2598">
        <v>0</v>
      </c>
      <c r="N2598" s="98" t="str">
        <f>IF(record[[#This Row],[Memo]]="Browser:chrome os:android","平板報工",IF(record[[#This Row],[Memo]]=0,"委外",record[[#This Row],[Memo]]))</f>
        <v/>
      </c>
      <c r="O2598" t="s">
        <v>58</v>
      </c>
      <c r="P2598" t="s">
        <v>186</v>
      </c>
      <c r="Q2598" t="s">
        <v>58</v>
      </c>
      <c r="R2598" t="str">
        <f>IFERROR(VLOOKUP(record[[#This Row],[PCUSTID]],廠商[],2,FALSE),"")</f>
        <v/>
      </c>
      <c r="S2598" t="str">
        <f>VLOOKUP(record[[#This Row],[employeeID]],員工[],2,FALSE)</f>
        <v>許文姍</v>
      </c>
    </row>
    <row r="2599" spans="6:19" hidden="1" x14ac:dyDescent="0.25">
      <c r="F2599" t="s">
        <v>1589</v>
      </c>
      <c r="G2599" t="s">
        <v>420</v>
      </c>
      <c r="H2599" t="str">
        <f>VLOOKUP(record[[#This Row],[ProcessSN]],表格2_7[],2,FALSE)</f>
        <v>30-4118-018-5XX</v>
      </c>
      <c r="I2599" t="str">
        <f>VLOOKUP(record[[#This Row],[ProcessSN]],表格2_7[],3,FALSE)</f>
        <v>#07STOCK</v>
      </c>
      <c r="J2599" t="s">
        <v>592</v>
      </c>
      <c r="K2599" s="195">
        <v>46113.639444444445</v>
      </c>
      <c r="L2599">
        <v>17</v>
      </c>
      <c r="M2599">
        <v>0</v>
      </c>
      <c r="N2599" s="98" t="str">
        <f>IF(record[[#This Row],[Memo]]="Browser:chrome os:android","平板報工",IF(record[[#This Row],[Memo]]=0,"委外",record[[#This Row],[Memo]]))</f>
        <v/>
      </c>
      <c r="O2599" t="s">
        <v>58</v>
      </c>
      <c r="P2599" t="s">
        <v>186</v>
      </c>
      <c r="Q2599" t="s">
        <v>58</v>
      </c>
      <c r="R2599" t="str">
        <f>IFERROR(VLOOKUP(record[[#This Row],[PCUSTID]],廠商[],2,FALSE),"")</f>
        <v/>
      </c>
      <c r="S2599" t="str">
        <f>VLOOKUP(record[[#This Row],[employeeID]],員工[],2,FALSE)</f>
        <v>許文姍</v>
      </c>
    </row>
    <row r="2600" spans="6:19" hidden="1" x14ac:dyDescent="0.25">
      <c r="F2600" t="s">
        <v>1568</v>
      </c>
      <c r="G2600" t="s">
        <v>420</v>
      </c>
      <c r="H2600" t="str">
        <f>VLOOKUP(record[[#This Row],[ProcessSN]],表格2_7[],2,FALSE)</f>
        <v>30-4118-018-5XX</v>
      </c>
      <c r="I2600" t="str">
        <f>VLOOKUP(record[[#This Row],[ProcessSN]],表格2_7[],3,FALSE)</f>
        <v>#07STOCK</v>
      </c>
      <c r="J2600" t="s">
        <v>592</v>
      </c>
      <c r="K2600" s="195">
        <v>46113.639282407406</v>
      </c>
      <c r="L2600">
        <v>15</v>
      </c>
      <c r="M2600">
        <v>0</v>
      </c>
      <c r="N2600" s="98" t="str">
        <f>IF(record[[#This Row],[Memo]]="Browser:chrome os:android","平板報工",IF(record[[#This Row],[Memo]]=0,"委外",record[[#This Row],[Memo]]))</f>
        <v/>
      </c>
      <c r="O2600" t="s">
        <v>58</v>
      </c>
      <c r="P2600" t="s">
        <v>186</v>
      </c>
      <c r="Q2600" t="s">
        <v>58</v>
      </c>
      <c r="R2600" t="str">
        <f>IFERROR(VLOOKUP(record[[#This Row],[PCUSTID]],廠商[],2,FALSE),"")</f>
        <v/>
      </c>
      <c r="S2600" t="str">
        <f>VLOOKUP(record[[#This Row],[employeeID]],員工[],2,FALSE)</f>
        <v>許文姍</v>
      </c>
    </row>
    <row r="2601" spans="6:19" hidden="1" x14ac:dyDescent="0.25">
      <c r="F2601" t="s">
        <v>1653</v>
      </c>
      <c r="G2601" t="s">
        <v>419</v>
      </c>
      <c r="H2601" t="str">
        <f>VLOOKUP(record[[#This Row],[ProcessSN]],表格2_7[],2,FALSE)</f>
        <v>30-4118-018-5XX</v>
      </c>
      <c r="I2601" t="str">
        <f>VLOOKUP(record[[#This Row],[ProcessSN]],表格2_7[],3,FALSE)</f>
        <v>#07QC</v>
      </c>
      <c r="J2601" t="s">
        <v>589</v>
      </c>
      <c r="K2601" s="195">
        <v>46113.638726851852</v>
      </c>
      <c r="L2601">
        <v>164</v>
      </c>
      <c r="M2601">
        <v>0</v>
      </c>
      <c r="N2601" s="98" t="str">
        <f>IF(record[[#This Row],[Memo]]="Browser:chrome os:android","平板報工",IF(record[[#This Row],[Memo]]=0,"委外",record[[#This Row],[Memo]]))</f>
        <v/>
      </c>
      <c r="O2601" t="s">
        <v>58</v>
      </c>
      <c r="P2601" t="s">
        <v>186</v>
      </c>
      <c r="Q2601" t="s">
        <v>58</v>
      </c>
      <c r="R2601" t="str">
        <f>IFERROR(VLOOKUP(record[[#This Row],[PCUSTID]],廠商[],2,FALSE),"")</f>
        <v/>
      </c>
      <c r="S2601" t="str">
        <f>VLOOKUP(record[[#This Row],[employeeID]],員工[],2,FALSE)</f>
        <v>許文姍</v>
      </c>
    </row>
    <row r="2602" spans="6:19" hidden="1" x14ac:dyDescent="0.25">
      <c r="F2602" t="s">
        <v>1702</v>
      </c>
      <c r="G2602" t="s">
        <v>373</v>
      </c>
      <c r="H2602" t="str">
        <f>VLOOKUP(record[[#This Row],[ProcessSN]],表格2_7[],2,FALSE)</f>
        <v>30-4118-018-4XX</v>
      </c>
      <c r="I2602" t="str">
        <f>VLOOKUP(record[[#This Row],[ProcessSN]],表格2_7[],3,FALSE)</f>
        <v>#03</v>
      </c>
      <c r="J2602" t="s">
        <v>588</v>
      </c>
      <c r="K2602" s="195">
        <v>46113.638599537036</v>
      </c>
      <c r="L2602">
        <v>359</v>
      </c>
      <c r="M2602">
        <v>0</v>
      </c>
      <c r="N2602" s="98" t="str">
        <f>IF(record[[#This Row],[Memo]]="Browser:chrome os:android","平板報工",IF(record[[#This Row],[Memo]]=0,"委外",record[[#This Row],[Memo]]))</f>
        <v>平板報工</v>
      </c>
      <c r="O2602" t="s">
        <v>643</v>
      </c>
      <c r="P2602" t="s">
        <v>107</v>
      </c>
      <c r="Q2602" t="s">
        <v>644</v>
      </c>
      <c r="R2602" t="str">
        <f>IFERROR(VLOOKUP(record[[#This Row],[PCUSTID]],廠商[],2,FALSE),"")</f>
        <v/>
      </c>
      <c r="S2602" t="str">
        <f>VLOOKUP(record[[#This Row],[employeeID]],員工[],2,FALSE)</f>
        <v>黎氏順</v>
      </c>
    </row>
    <row r="2603" spans="6:19" hidden="1" x14ac:dyDescent="0.25">
      <c r="F2603" t="s">
        <v>1653</v>
      </c>
      <c r="G2603" t="s">
        <v>416</v>
      </c>
      <c r="H2603" t="str">
        <f>VLOOKUP(record[[#This Row],[ProcessSN]],表格2_7[],2,FALSE)</f>
        <v>30-4118-018-5XX</v>
      </c>
      <c r="I2603" t="str">
        <f>VLOOKUP(record[[#This Row],[ProcessSN]],表格2_7[],3,FALSE)</f>
        <v>#05</v>
      </c>
      <c r="J2603" t="s">
        <v>588</v>
      </c>
      <c r="K2603" s="195">
        <v>46113.635960648149</v>
      </c>
      <c r="L2603">
        <v>240</v>
      </c>
      <c r="M2603">
        <v>0</v>
      </c>
      <c r="N2603" s="98" t="str">
        <f>IF(record[[#This Row],[Memo]]="Browser:chrome os:android","平板報工",IF(record[[#This Row],[Memo]]=0,"委外",record[[#This Row],[Memo]]))</f>
        <v>平板報工</v>
      </c>
      <c r="O2603" t="s">
        <v>643</v>
      </c>
      <c r="P2603" t="s">
        <v>785</v>
      </c>
      <c r="Q2603" t="s">
        <v>644</v>
      </c>
      <c r="R2603" t="str">
        <f>IFERROR(VLOOKUP(record[[#This Row],[PCUSTID]],廠商[],2,FALSE),"")</f>
        <v/>
      </c>
      <c r="S2603" t="str">
        <f>VLOOKUP(record[[#This Row],[employeeID]],員工[],2,FALSE)</f>
        <v>謝刻光</v>
      </c>
    </row>
    <row r="2604" spans="6:19" hidden="1" x14ac:dyDescent="0.25">
      <c r="F2604" t="s">
        <v>1637</v>
      </c>
      <c r="G2604" t="s">
        <v>448</v>
      </c>
      <c r="H2604" t="str">
        <f>VLOOKUP(record[[#This Row],[ProcessSN]],表格2_7[],2,FALSE)</f>
        <v>30-4118-018-6XX</v>
      </c>
      <c r="I2604" t="str">
        <f>VLOOKUP(record[[#This Row],[ProcessSN]],表格2_7[],3,FALSE)</f>
        <v>#04</v>
      </c>
      <c r="J2604" t="s">
        <v>588</v>
      </c>
      <c r="K2604" s="195">
        <v>46113.633773148147</v>
      </c>
      <c r="L2604">
        <v>20</v>
      </c>
      <c r="M2604">
        <v>0</v>
      </c>
      <c r="N2604" s="98" t="str">
        <f>IF(record[[#This Row],[Memo]]="Browser:chrome os:android","平板報工",IF(record[[#This Row],[Memo]]=0,"委外",record[[#This Row],[Memo]]))</f>
        <v>平板報工</v>
      </c>
      <c r="O2604" t="s">
        <v>643</v>
      </c>
      <c r="P2604" t="s">
        <v>107</v>
      </c>
      <c r="Q2604" t="s">
        <v>644</v>
      </c>
      <c r="R2604" t="str">
        <f>IFERROR(VLOOKUP(record[[#This Row],[PCUSTID]],廠商[],2,FALSE),"")</f>
        <v/>
      </c>
      <c r="S2604" t="str">
        <f>VLOOKUP(record[[#This Row],[employeeID]],員工[],2,FALSE)</f>
        <v>黎氏順</v>
      </c>
    </row>
    <row r="2605" spans="6:19" hidden="1" x14ac:dyDescent="0.25">
      <c r="F2605" t="s">
        <v>1653</v>
      </c>
      <c r="G2605" t="s">
        <v>415</v>
      </c>
      <c r="H2605" t="str">
        <f>VLOOKUP(record[[#This Row],[ProcessSN]],表格2_7[],2,FALSE)</f>
        <v>30-4118-018-5XX</v>
      </c>
      <c r="I2605" t="str">
        <f>VLOOKUP(record[[#This Row],[ProcessSN]],表格2_7[],3,FALSE)</f>
        <v>#04</v>
      </c>
      <c r="J2605" t="s">
        <v>588</v>
      </c>
      <c r="K2605" s="195">
        <v>46113.633506944447</v>
      </c>
      <c r="L2605">
        <v>130</v>
      </c>
      <c r="M2605">
        <v>0</v>
      </c>
      <c r="N2605" s="98" t="str">
        <f>IF(record[[#This Row],[Memo]]="Browser:chrome os:android","平板報工",IF(record[[#This Row],[Memo]]=0,"委外",record[[#This Row],[Memo]]))</f>
        <v>平板報工</v>
      </c>
      <c r="O2605" t="s">
        <v>643</v>
      </c>
      <c r="P2605" t="s">
        <v>107</v>
      </c>
      <c r="Q2605" t="s">
        <v>644</v>
      </c>
      <c r="R2605" t="str">
        <f>IFERROR(VLOOKUP(record[[#This Row],[PCUSTID]],廠商[],2,FALSE),"")</f>
        <v/>
      </c>
      <c r="S2605" t="str">
        <f>VLOOKUP(record[[#This Row],[employeeID]],員工[],2,FALSE)</f>
        <v>黎氏順</v>
      </c>
    </row>
    <row r="2606" spans="6:19" hidden="1" x14ac:dyDescent="0.25">
      <c r="F2606" t="s">
        <v>1694</v>
      </c>
      <c r="G2606" t="s">
        <v>403</v>
      </c>
      <c r="H2606" t="str">
        <f>VLOOKUP(record[[#This Row],[ProcessSN]],表格2_7[],2,FALSE)</f>
        <v>30-4118-018-550</v>
      </c>
      <c r="I2606" t="str">
        <f>VLOOKUP(record[[#This Row],[ProcessSN]],表格2_7[],3,FALSE)</f>
        <v>#100SHIP</v>
      </c>
      <c r="J2606" t="s">
        <v>600</v>
      </c>
      <c r="K2606" s="195">
        <v>46113.55672453704</v>
      </c>
      <c r="L2606">
        <v>82</v>
      </c>
      <c r="M2606">
        <v>0</v>
      </c>
      <c r="N2606" s="98" t="str">
        <f>IF(record[[#This Row],[Memo]]="Browser:chrome os:android","平板報工",IF(record[[#This Row],[Memo]]=0,"委外",record[[#This Row],[Memo]]))</f>
        <v/>
      </c>
      <c r="O2606" t="s">
        <v>58</v>
      </c>
      <c r="P2606" t="s">
        <v>886</v>
      </c>
      <c r="Q2606" t="s">
        <v>58</v>
      </c>
      <c r="R2606" t="str">
        <f>IFERROR(VLOOKUP(record[[#This Row],[PCUSTID]],廠商[],2,FALSE),"")</f>
        <v/>
      </c>
      <c r="S2606" t="str">
        <f>VLOOKUP(record[[#This Row],[employeeID]],員工[],2,FALSE)</f>
        <v>謝蓁薰</v>
      </c>
    </row>
    <row r="2607" spans="6:19" hidden="1" x14ac:dyDescent="0.25">
      <c r="F2607" t="s">
        <v>1694</v>
      </c>
      <c r="G2607" t="s">
        <v>402</v>
      </c>
      <c r="H2607" t="str">
        <f>VLOOKUP(record[[#This Row],[ProcessSN]],表格2_7[],2,FALSE)</f>
        <v>30-4118-018-550</v>
      </c>
      <c r="I2607" t="str">
        <f>VLOOKUP(record[[#This Row],[ProcessSN]],表格2_7[],3,FALSE)</f>
        <v>#100STOCK</v>
      </c>
      <c r="J2607" t="s">
        <v>592</v>
      </c>
      <c r="K2607" s="195">
        <v>46113.556608796294</v>
      </c>
      <c r="L2607">
        <v>82</v>
      </c>
      <c r="M2607">
        <v>0</v>
      </c>
      <c r="N2607" s="98" t="str">
        <f>IF(record[[#This Row],[Memo]]="Browser:chrome os:android","平板報工",IF(record[[#This Row],[Memo]]=0,"委外",record[[#This Row],[Memo]]))</f>
        <v/>
      </c>
      <c r="O2607" t="s">
        <v>58</v>
      </c>
      <c r="P2607" t="s">
        <v>886</v>
      </c>
      <c r="Q2607" t="s">
        <v>58</v>
      </c>
      <c r="R2607" t="str">
        <f>IFERROR(VLOOKUP(record[[#This Row],[PCUSTID]],廠商[],2,FALSE),"")</f>
        <v/>
      </c>
      <c r="S2607" t="str">
        <f>VLOOKUP(record[[#This Row],[employeeID]],員工[],2,FALSE)</f>
        <v>謝蓁薰</v>
      </c>
    </row>
    <row r="2608" spans="6:19" hidden="1" x14ac:dyDescent="0.25">
      <c r="F2608" t="s">
        <v>1715</v>
      </c>
      <c r="G2608" t="s">
        <v>397</v>
      </c>
      <c r="H2608" t="str">
        <f>VLOOKUP(record[[#This Row],[ProcessSN]],表格2_7[],2,FALSE)</f>
        <v>30-4118-018-550</v>
      </c>
      <c r="I2608" t="str">
        <f>VLOOKUP(record[[#This Row],[ProcessSN]],表格2_7[],3,FALSE)</f>
        <v>#08</v>
      </c>
      <c r="J2608" t="s">
        <v>597</v>
      </c>
      <c r="K2608" s="195">
        <v>46113.555567129632</v>
      </c>
      <c r="L2608">
        <v>502</v>
      </c>
      <c r="M2608">
        <v>0</v>
      </c>
      <c r="N2608" s="98" t="str">
        <f>IF(record[[#This Row],[Memo]]="Browser:chrome os:android","平板報工",IF(record[[#This Row],[Memo]]=0,"委外",record[[#This Row],[Memo]]))</f>
        <v>委外</v>
      </c>
      <c r="P2608" t="s">
        <v>186</v>
      </c>
      <c r="Q2608" t="s">
        <v>287</v>
      </c>
      <c r="R2608" t="str">
        <f>IFERROR(VLOOKUP(record[[#This Row],[PCUSTID]],廠商[],2,FALSE),"")</f>
        <v>泉盛</v>
      </c>
      <c r="S2608" t="str">
        <f>VLOOKUP(record[[#This Row],[employeeID]],員工[],2,FALSE)</f>
        <v>許文姍</v>
      </c>
    </row>
    <row r="2609" spans="6:19" hidden="1" x14ac:dyDescent="0.25">
      <c r="F2609" t="s">
        <v>1715</v>
      </c>
      <c r="G2609" t="s">
        <v>396</v>
      </c>
      <c r="H2609" t="str">
        <f>VLOOKUP(record[[#This Row],[ProcessSN]],表格2_7[],2,FALSE)</f>
        <v>30-4118-018-550</v>
      </c>
      <c r="I2609" t="str">
        <f>VLOOKUP(record[[#This Row],[ProcessSN]],表格2_7[],3,FALSE)</f>
        <v>#08PICK</v>
      </c>
      <c r="J2609" t="s">
        <v>582</v>
      </c>
      <c r="K2609" s="195">
        <v>46113.555069444446</v>
      </c>
      <c r="L2609">
        <v>502</v>
      </c>
      <c r="M2609">
        <v>0</v>
      </c>
      <c r="N2609" s="98" t="str">
        <f>IF(record[[#This Row],[Memo]]="Browser:chrome os:android","平板報工",IF(record[[#This Row],[Memo]]=0,"委外",record[[#This Row],[Memo]]))</f>
        <v/>
      </c>
      <c r="O2609" t="s">
        <v>58</v>
      </c>
      <c r="P2609" t="s">
        <v>186</v>
      </c>
      <c r="Q2609" t="s">
        <v>58</v>
      </c>
      <c r="R2609" t="str">
        <f>IFERROR(VLOOKUP(record[[#This Row],[PCUSTID]],廠商[],2,FALSE),"")</f>
        <v/>
      </c>
      <c r="S2609" t="str">
        <f>VLOOKUP(record[[#This Row],[employeeID]],員工[],2,FALSE)</f>
        <v>許文姍</v>
      </c>
    </row>
    <row r="2610" spans="6:19" hidden="1" x14ac:dyDescent="0.25">
      <c r="F2610" t="s">
        <v>1653</v>
      </c>
      <c r="G2610" t="s">
        <v>418</v>
      </c>
      <c r="H2610" t="str">
        <f>VLOOKUP(record[[#This Row],[ProcessSN]],表格2_7[],2,FALSE)</f>
        <v>30-4118-018-5XX</v>
      </c>
      <c r="I2610" t="str">
        <f>VLOOKUP(record[[#This Row],[ProcessSN]],表格2_7[],3,FALSE)</f>
        <v>#07</v>
      </c>
      <c r="J2610" t="s">
        <v>588</v>
      </c>
      <c r="K2610" s="195">
        <v>46113.550891203704</v>
      </c>
      <c r="L2610">
        <v>0</v>
      </c>
      <c r="M2610">
        <v>1</v>
      </c>
      <c r="N2610" s="98" t="str">
        <f>IF(record[[#This Row],[Memo]]="Browser:chrome os:android","平板報工",IF(record[[#This Row],[Memo]]=0,"委外",record[[#This Row],[Memo]]))</f>
        <v/>
      </c>
      <c r="O2610" t="s">
        <v>58</v>
      </c>
      <c r="P2610" t="s">
        <v>1075</v>
      </c>
      <c r="Q2610" t="s">
        <v>58</v>
      </c>
      <c r="R2610" t="str">
        <f>IFERROR(VLOOKUP(record[[#This Row],[PCUSTID]],廠商[],2,FALSE),"")</f>
        <v/>
      </c>
      <c r="S2610" t="str">
        <f>VLOOKUP(record[[#This Row],[employeeID]],員工[],2,FALSE)</f>
        <v>吳宥叡</v>
      </c>
    </row>
    <row r="2611" spans="6:19" hidden="1" x14ac:dyDescent="0.25">
      <c r="F2611" t="s">
        <v>1653</v>
      </c>
      <c r="G2611" t="s">
        <v>417</v>
      </c>
      <c r="H2611" t="str">
        <f>VLOOKUP(record[[#This Row],[ProcessSN]],表格2_7[],2,FALSE)</f>
        <v>30-4118-018-5XX</v>
      </c>
      <c r="I2611" t="str">
        <f>VLOOKUP(record[[#This Row],[ProcessSN]],表格2_7[],3,FALSE)</f>
        <v>#06</v>
      </c>
      <c r="J2611" t="s">
        <v>593</v>
      </c>
      <c r="K2611" s="195">
        <v>46113.496678240743</v>
      </c>
      <c r="L2611">
        <v>66</v>
      </c>
      <c r="M2611">
        <v>0</v>
      </c>
      <c r="N2611" s="98" t="str">
        <f>IF(record[[#This Row],[Memo]]="Browser:chrome os:android","平板報工",IF(record[[#This Row],[Memo]]=0,"委外",record[[#This Row],[Memo]]))</f>
        <v/>
      </c>
      <c r="O2611" t="s">
        <v>58</v>
      </c>
      <c r="P2611" t="s">
        <v>180</v>
      </c>
      <c r="Q2611" t="s">
        <v>58</v>
      </c>
      <c r="R2611" t="str">
        <f>IFERROR(VLOOKUP(record[[#This Row],[PCUSTID]],廠商[],2,FALSE),"")</f>
        <v/>
      </c>
      <c r="S2611" t="str">
        <f>VLOOKUP(record[[#This Row],[employeeID]],員工[],2,FALSE)</f>
        <v>黎功江</v>
      </c>
    </row>
    <row r="2612" spans="6:19" hidden="1" x14ac:dyDescent="0.25">
      <c r="F2612" t="s">
        <v>1714</v>
      </c>
      <c r="G2612" t="s">
        <v>422</v>
      </c>
      <c r="H2612" t="str">
        <f>VLOOKUP(record[[#This Row],[ProcessSN]],表格2_7[],2,FALSE)</f>
        <v>30-4118-018-600</v>
      </c>
      <c r="I2612" t="str">
        <f>VLOOKUP(record[[#This Row],[ProcessSN]],表格2_7[],3,FALSE)</f>
        <v>#08</v>
      </c>
      <c r="J2612" t="s">
        <v>597</v>
      </c>
      <c r="K2612" s="195">
        <v>46113.430254629631</v>
      </c>
      <c r="L2612">
        <v>129</v>
      </c>
      <c r="M2612">
        <v>0</v>
      </c>
      <c r="N2612" s="98" t="str">
        <f>IF(record[[#This Row],[Memo]]="Browser:chrome os:android","平板報工",IF(record[[#This Row],[Memo]]=0,"委外",record[[#This Row],[Memo]]))</f>
        <v>委外</v>
      </c>
      <c r="P2612" t="s">
        <v>186</v>
      </c>
      <c r="Q2612" t="s">
        <v>287</v>
      </c>
      <c r="R2612" t="str">
        <f>IFERROR(VLOOKUP(record[[#This Row],[PCUSTID]],廠商[],2,FALSE),"")</f>
        <v>泉盛</v>
      </c>
      <c r="S2612" t="str">
        <f>VLOOKUP(record[[#This Row],[employeeID]],員工[],2,FALSE)</f>
        <v>許文姍</v>
      </c>
    </row>
    <row r="2613" spans="6:19" hidden="1" x14ac:dyDescent="0.25">
      <c r="F2613" t="s">
        <v>1714</v>
      </c>
      <c r="G2613" t="s">
        <v>421</v>
      </c>
      <c r="H2613" t="str">
        <f>VLOOKUP(record[[#This Row],[ProcessSN]],表格2_7[],2,FALSE)</f>
        <v>30-4118-018-600</v>
      </c>
      <c r="I2613" t="str">
        <f>VLOOKUP(record[[#This Row],[ProcessSN]],表格2_7[],3,FALSE)</f>
        <v>#08PICK</v>
      </c>
      <c r="J2613" t="s">
        <v>582</v>
      </c>
      <c r="K2613" s="195">
        <v>46113.429930555554</v>
      </c>
      <c r="L2613">
        <v>129</v>
      </c>
      <c r="M2613">
        <v>0</v>
      </c>
      <c r="N2613" s="98" t="str">
        <f>IF(record[[#This Row],[Memo]]="Browser:chrome os:android","平板報工",IF(record[[#This Row],[Memo]]=0,"委外",record[[#This Row],[Memo]]))</f>
        <v/>
      </c>
      <c r="O2613" t="s">
        <v>58</v>
      </c>
      <c r="P2613" t="s">
        <v>186</v>
      </c>
      <c r="Q2613" t="s">
        <v>58</v>
      </c>
      <c r="R2613" t="str">
        <f>IFERROR(VLOOKUP(record[[#This Row],[PCUSTID]],廠商[],2,FALSE),"")</f>
        <v/>
      </c>
      <c r="S2613" t="str">
        <f>VLOOKUP(record[[#This Row],[employeeID]],員工[],2,FALSE)</f>
        <v>許文姍</v>
      </c>
    </row>
    <row r="2614" spans="6:19" hidden="1" x14ac:dyDescent="0.25">
      <c r="F2614" t="s">
        <v>1637</v>
      </c>
      <c r="G2614" t="s">
        <v>453</v>
      </c>
      <c r="H2614" t="str">
        <f>VLOOKUP(record[[#This Row],[ProcessSN]],表格2_7[],2,FALSE)</f>
        <v>30-4118-018-6XX</v>
      </c>
      <c r="I2614" t="str">
        <f>VLOOKUP(record[[#This Row],[ProcessSN]],表格2_7[],3,FALSE)</f>
        <v>#07STOCK</v>
      </c>
      <c r="J2614" t="s">
        <v>592</v>
      </c>
      <c r="K2614" s="195">
        <v>46113.429803240739</v>
      </c>
      <c r="L2614">
        <v>129</v>
      </c>
      <c r="M2614">
        <v>0</v>
      </c>
      <c r="N2614" s="98" t="str">
        <f>IF(record[[#This Row],[Memo]]="Browser:chrome os:android","平板報工",IF(record[[#This Row],[Memo]]=0,"委外",record[[#This Row],[Memo]]))</f>
        <v/>
      </c>
      <c r="O2614" t="s">
        <v>58</v>
      </c>
      <c r="P2614" t="s">
        <v>186</v>
      </c>
      <c r="Q2614" t="s">
        <v>58</v>
      </c>
      <c r="R2614" t="str">
        <f>IFERROR(VLOOKUP(record[[#This Row],[PCUSTID]],廠商[],2,FALSE),"")</f>
        <v/>
      </c>
      <c r="S2614" t="str">
        <f>VLOOKUP(record[[#This Row],[employeeID]],員工[],2,FALSE)</f>
        <v>許文姍</v>
      </c>
    </row>
    <row r="2615" spans="6:19" hidden="1" x14ac:dyDescent="0.25">
      <c r="F2615" t="s">
        <v>1653</v>
      </c>
      <c r="G2615" t="s">
        <v>419</v>
      </c>
      <c r="H2615" t="str">
        <f>VLOOKUP(record[[#This Row],[ProcessSN]],表格2_7[],2,FALSE)</f>
        <v>30-4118-018-5XX</v>
      </c>
      <c r="I2615" t="str">
        <f>VLOOKUP(record[[#This Row],[ProcessSN]],表格2_7[],3,FALSE)</f>
        <v>#07QC</v>
      </c>
      <c r="J2615" t="s">
        <v>589</v>
      </c>
      <c r="K2615" s="195">
        <v>46113.427662037036</v>
      </c>
      <c r="L2615">
        <v>0</v>
      </c>
      <c r="M2615">
        <v>2</v>
      </c>
      <c r="N2615" s="98" t="str">
        <f>IF(record[[#This Row],[Memo]]="Browser:chrome os:android","平板報工",IF(record[[#This Row],[Memo]]=0,"委外",record[[#This Row],[Memo]]))</f>
        <v/>
      </c>
      <c r="O2615" t="s">
        <v>58</v>
      </c>
      <c r="P2615" t="s">
        <v>141</v>
      </c>
      <c r="Q2615" t="s">
        <v>58</v>
      </c>
      <c r="R2615" t="str">
        <f>IFERROR(VLOOKUP(record[[#This Row],[PCUSTID]],廠商[],2,FALSE),"")</f>
        <v/>
      </c>
      <c r="S2615" t="str">
        <f>VLOOKUP(record[[#This Row],[employeeID]],員工[],2,FALSE)</f>
        <v>蔣梅</v>
      </c>
    </row>
    <row r="2616" spans="6:19" hidden="1" x14ac:dyDescent="0.25">
      <c r="F2616" t="s">
        <v>1653</v>
      </c>
      <c r="G2616" t="s">
        <v>419</v>
      </c>
      <c r="H2616" t="str">
        <f>VLOOKUP(record[[#This Row],[ProcessSN]],表格2_7[],2,FALSE)</f>
        <v>30-4118-018-5XX</v>
      </c>
      <c r="I2616" t="str">
        <f>VLOOKUP(record[[#This Row],[ProcessSN]],表格2_7[],3,FALSE)</f>
        <v>#07QC</v>
      </c>
      <c r="J2616" t="s">
        <v>589</v>
      </c>
      <c r="K2616" s="195">
        <v>46113.427372685182</v>
      </c>
      <c r="L2616">
        <v>306</v>
      </c>
      <c r="M2616">
        <v>0</v>
      </c>
      <c r="N2616" s="98" t="str">
        <f>IF(record[[#This Row],[Memo]]="Browser:chrome os:android","平板報工",IF(record[[#This Row],[Memo]]=0,"委外",record[[#This Row],[Memo]]))</f>
        <v/>
      </c>
      <c r="O2616" t="s">
        <v>58</v>
      </c>
      <c r="P2616" t="s">
        <v>141</v>
      </c>
      <c r="Q2616" t="s">
        <v>58</v>
      </c>
      <c r="R2616" t="str">
        <f>IFERROR(VLOOKUP(record[[#This Row],[PCUSTID]],廠商[],2,FALSE),"")</f>
        <v/>
      </c>
      <c r="S2616" t="str">
        <f>VLOOKUP(record[[#This Row],[employeeID]],員工[],2,FALSE)</f>
        <v>蔣梅</v>
      </c>
    </row>
    <row r="2617" spans="6:19" hidden="1" x14ac:dyDescent="0.25">
      <c r="F2617" t="s">
        <v>1694</v>
      </c>
      <c r="G2617" t="s">
        <v>403</v>
      </c>
      <c r="H2617" t="str">
        <f>VLOOKUP(record[[#This Row],[ProcessSN]],表格2_7[],2,FALSE)</f>
        <v>30-4118-018-550</v>
      </c>
      <c r="I2617" t="str">
        <f>VLOOKUP(record[[#This Row],[ProcessSN]],表格2_7[],3,FALSE)</f>
        <v>#100SHIP</v>
      </c>
      <c r="J2617" t="s">
        <v>600</v>
      </c>
      <c r="K2617" s="195">
        <v>46113.337210648147</v>
      </c>
      <c r="L2617">
        <v>12</v>
      </c>
      <c r="M2617">
        <v>0</v>
      </c>
      <c r="N2617" s="98" t="str">
        <f>IF(record[[#This Row],[Memo]]="Browser:chrome os:android","平板報工",IF(record[[#This Row],[Memo]]=0,"委外",record[[#This Row],[Memo]]))</f>
        <v>補3/31出貨</v>
      </c>
      <c r="O2617" t="s">
        <v>1713</v>
      </c>
      <c r="P2617" t="s">
        <v>886</v>
      </c>
      <c r="Q2617" t="s">
        <v>58</v>
      </c>
      <c r="R2617" t="str">
        <f>IFERROR(VLOOKUP(record[[#This Row],[PCUSTID]],廠商[],2,FALSE),"")</f>
        <v/>
      </c>
      <c r="S2617" t="str">
        <f>VLOOKUP(record[[#This Row],[employeeID]],員工[],2,FALSE)</f>
        <v>謝蓁薰</v>
      </c>
    </row>
    <row r="2618" spans="6:19" hidden="1" x14ac:dyDescent="0.25">
      <c r="F2618" t="s">
        <v>1685</v>
      </c>
      <c r="G2618" t="s">
        <v>403</v>
      </c>
      <c r="H2618" t="str">
        <f>VLOOKUP(record[[#This Row],[ProcessSN]],表格2_7[],2,FALSE)</f>
        <v>30-4118-018-550</v>
      </c>
      <c r="I2618" t="str">
        <f>VLOOKUP(record[[#This Row],[ProcessSN]],表格2_7[],3,FALSE)</f>
        <v>#100SHIP</v>
      </c>
      <c r="J2618" t="s">
        <v>600</v>
      </c>
      <c r="K2618" s="195">
        <v>46113.337013888886</v>
      </c>
      <c r="L2618">
        <v>233</v>
      </c>
      <c r="M2618">
        <v>0</v>
      </c>
      <c r="N2618" s="98" t="str">
        <f>IF(record[[#This Row],[Memo]]="Browser:chrome os:android","平板報工",IF(record[[#This Row],[Memo]]=0,"委外",record[[#This Row],[Memo]]))</f>
        <v>補3/31出貨</v>
      </c>
      <c r="O2618" t="s">
        <v>1713</v>
      </c>
      <c r="P2618" t="s">
        <v>886</v>
      </c>
      <c r="Q2618" t="s">
        <v>58</v>
      </c>
      <c r="R2618" t="str">
        <f>IFERROR(VLOOKUP(record[[#This Row],[PCUSTID]],廠商[],2,FALSE),"")</f>
        <v/>
      </c>
      <c r="S2618" t="str">
        <f>VLOOKUP(record[[#This Row],[employeeID]],員工[],2,FALSE)</f>
        <v>謝蓁薰</v>
      </c>
    </row>
    <row r="2619" spans="6:19" hidden="1" x14ac:dyDescent="0.25">
      <c r="F2619" t="s">
        <v>1694</v>
      </c>
      <c r="G2619" t="s">
        <v>402</v>
      </c>
      <c r="H2619" t="str">
        <f>VLOOKUP(record[[#This Row],[ProcessSN]],表格2_7[],2,FALSE)</f>
        <v>30-4118-018-550</v>
      </c>
      <c r="I2619" t="str">
        <f>VLOOKUP(record[[#This Row],[ProcessSN]],表格2_7[],3,FALSE)</f>
        <v>#100STOCK</v>
      </c>
      <c r="J2619" t="s">
        <v>592</v>
      </c>
      <c r="K2619" s="195">
        <v>46113.336689814816</v>
      </c>
      <c r="L2619">
        <v>12</v>
      </c>
      <c r="M2619">
        <v>0</v>
      </c>
      <c r="N2619" s="98" t="str">
        <f>IF(record[[#This Row],[Memo]]="Browser:chrome os:android","平板報工",IF(record[[#This Row],[Memo]]=0,"委外",record[[#This Row],[Memo]]))</f>
        <v/>
      </c>
      <c r="O2619" t="s">
        <v>58</v>
      </c>
      <c r="P2619" t="s">
        <v>886</v>
      </c>
      <c r="Q2619" t="s">
        <v>58</v>
      </c>
      <c r="R2619" t="str">
        <f>IFERROR(VLOOKUP(record[[#This Row],[PCUSTID]],廠商[],2,FALSE),"")</f>
        <v/>
      </c>
      <c r="S2619" t="str">
        <f>VLOOKUP(record[[#This Row],[employeeID]],員工[],2,FALSE)</f>
        <v>謝蓁薰</v>
      </c>
    </row>
    <row r="2620" spans="6:19" hidden="1" x14ac:dyDescent="0.25">
      <c r="F2620" t="s">
        <v>1685</v>
      </c>
      <c r="G2620" t="s">
        <v>402</v>
      </c>
      <c r="H2620" t="str">
        <f>VLOOKUP(record[[#This Row],[ProcessSN]],表格2_7[],2,FALSE)</f>
        <v>30-4118-018-550</v>
      </c>
      <c r="I2620" t="str">
        <f>VLOOKUP(record[[#This Row],[ProcessSN]],表格2_7[],3,FALSE)</f>
        <v>#100STOCK</v>
      </c>
      <c r="J2620" t="s">
        <v>592</v>
      </c>
      <c r="K2620" s="195">
        <v>46113.336562500001</v>
      </c>
      <c r="L2620">
        <v>233</v>
      </c>
      <c r="M2620">
        <v>0</v>
      </c>
      <c r="N2620" s="98" t="str">
        <f>IF(record[[#This Row],[Memo]]="Browser:chrome os:android","平板報工",IF(record[[#This Row],[Memo]]=0,"委外",record[[#This Row],[Memo]]))</f>
        <v/>
      </c>
      <c r="O2620" t="s">
        <v>58</v>
      </c>
      <c r="P2620" t="s">
        <v>886</v>
      </c>
      <c r="Q2620" t="s">
        <v>58</v>
      </c>
      <c r="R2620" t="str">
        <f>IFERROR(VLOOKUP(record[[#This Row],[PCUSTID]],廠商[],2,FALSE),"")</f>
        <v/>
      </c>
      <c r="S2620" t="str">
        <f>VLOOKUP(record[[#This Row],[employeeID]],員工[],2,FALSE)</f>
        <v>謝蓁薰</v>
      </c>
    </row>
    <row r="2621" spans="6:19" hidden="1" x14ac:dyDescent="0.25">
      <c r="F2621" t="s">
        <v>1646</v>
      </c>
      <c r="G2621" t="s">
        <v>360</v>
      </c>
      <c r="H2621" t="str">
        <f>VLOOKUP(record[[#This Row],[ProcessSN]],表格2_7[],2,FALSE)</f>
        <v>30-4118-018-450</v>
      </c>
      <c r="I2621" t="str">
        <f>VLOOKUP(record[[#This Row],[ProcessSN]],表格2_7[],3,FALSE)</f>
        <v>#100OQC</v>
      </c>
      <c r="J2621" t="s">
        <v>599</v>
      </c>
      <c r="K2621" s="195">
        <v>46113.322893518518</v>
      </c>
      <c r="L2621">
        <v>67</v>
      </c>
      <c r="M2621">
        <v>0</v>
      </c>
      <c r="N2621" s="98" t="str">
        <f>IF(record[[#This Row],[Memo]]="Browser:chrome os:android","平板報工",IF(record[[#This Row],[Memo]]=0,"委外",record[[#This Row],[Memo]]))</f>
        <v/>
      </c>
      <c r="O2621" t="s">
        <v>58</v>
      </c>
      <c r="P2621" t="s">
        <v>121</v>
      </c>
      <c r="Q2621" t="s">
        <v>58</v>
      </c>
      <c r="R2621" t="str">
        <f>IFERROR(VLOOKUP(record[[#This Row],[PCUSTID]],廠商[],2,FALSE),"")</f>
        <v/>
      </c>
      <c r="S2621" t="str">
        <f>VLOOKUP(record[[#This Row],[employeeID]],員工[],2,FALSE)</f>
        <v>謝素卿</v>
      </c>
    </row>
    <row r="2622" spans="6:19" hidden="1" x14ac:dyDescent="0.25">
      <c r="F2622" t="s">
        <v>1653</v>
      </c>
      <c r="G2622" t="s">
        <v>417</v>
      </c>
      <c r="H2622" t="str">
        <f>VLOOKUP(record[[#This Row],[ProcessSN]],表格2_7[],2,FALSE)</f>
        <v>30-4118-018-5XX</v>
      </c>
      <c r="I2622" t="str">
        <f>VLOOKUP(record[[#This Row],[ProcessSN]],表格2_7[],3,FALSE)</f>
        <v>#06</v>
      </c>
      <c r="J2622" t="s">
        <v>593</v>
      </c>
      <c r="K2622" s="195">
        <v>46113.320462962962</v>
      </c>
      <c r="L2622">
        <v>133</v>
      </c>
      <c r="M2622">
        <v>0</v>
      </c>
      <c r="N2622" s="98" t="str">
        <f>IF(record[[#This Row],[Memo]]="Browser:chrome os:android","平板報工",IF(record[[#This Row],[Memo]]=0,"委外",record[[#This Row],[Memo]]))</f>
        <v/>
      </c>
      <c r="O2622" t="s">
        <v>58</v>
      </c>
      <c r="P2622" t="s">
        <v>180</v>
      </c>
      <c r="Q2622" t="s">
        <v>58</v>
      </c>
      <c r="R2622" t="str">
        <f>IFERROR(VLOOKUP(record[[#This Row],[PCUSTID]],廠商[],2,FALSE),"")</f>
        <v/>
      </c>
      <c r="S2622" t="str">
        <f>VLOOKUP(record[[#This Row],[employeeID]],員工[],2,FALSE)</f>
        <v>黎功江</v>
      </c>
    </row>
    <row r="2623" spans="6:19" hidden="1" x14ac:dyDescent="0.25">
      <c r="F2623" t="s">
        <v>1694</v>
      </c>
      <c r="G2623" t="s">
        <v>401</v>
      </c>
      <c r="H2623" t="str">
        <f>VLOOKUP(record[[#This Row],[ProcessSN]],表格2_7[],2,FALSE)</f>
        <v>30-4118-018-550</v>
      </c>
      <c r="I2623" t="str">
        <f>VLOOKUP(record[[#This Row],[ProcessSN]],表格2_7[],3,FALSE)</f>
        <v>#100OQC</v>
      </c>
      <c r="J2623" t="s">
        <v>599</v>
      </c>
      <c r="K2623" s="195">
        <v>46113.320023148146</v>
      </c>
      <c r="L2623">
        <v>94</v>
      </c>
      <c r="M2623">
        <v>0</v>
      </c>
      <c r="N2623" s="98" t="str">
        <f>IF(record[[#This Row],[Memo]]="Browser:chrome os:android","平板報工",IF(record[[#This Row],[Memo]]=0,"委外",record[[#This Row],[Memo]]))</f>
        <v/>
      </c>
      <c r="O2623" t="s">
        <v>58</v>
      </c>
      <c r="P2623" t="s">
        <v>121</v>
      </c>
      <c r="Q2623" t="s">
        <v>58</v>
      </c>
      <c r="R2623" t="str">
        <f>IFERROR(VLOOKUP(record[[#This Row],[PCUSTID]],廠商[],2,FALSE),"")</f>
        <v/>
      </c>
      <c r="S2623" t="str">
        <f>VLOOKUP(record[[#This Row],[employeeID]],員工[],2,FALSE)</f>
        <v>謝素卿</v>
      </c>
    </row>
    <row r="2624" spans="6:19" hidden="1" x14ac:dyDescent="0.25">
      <c r="F2624" t="s">
        <v>1653</v>
      </c>
      <c r="G2624" t="s">
        <v>417</v>
      </c>
      <c r="H2624" t="str">
        <f>VLOOKUP(record[[#This Row],[ProcessSN]],表格2_7[],2,FALSE)</f>
        <v>30-4118-018-5XX</v>
      </c>
      <c r="I2624" t="str">
        <f>VLOOKUP(record[[#This Row],[ProcessSN]],表格2_7[],3,FALSE)</f>
        <v>#06</v>
      </c>
      <c r="J2624" t="s">
        <v>593</v>
      </c>
      <c r="K2624" s="195">
        <v>46113.319953703707</v>
      </c>
      <c r="L2624">
        <v>94</v>
      </c>
      <c r="M2624">
        <v>0</v>
      </c>
      <c r="N2624" s="98" t="str">
        <f>IF(record[[#This Row],[Memo]]="Browser:chrome os:android","平板報工",IF(record[[#This Row],[Memo]]=0,"委外",record[[#This Row],[Memo]]))</f>
        <v/>
      </c>
      <c r="O2624" t="s">
        <v>58</v>
      </c>
      <c r="P2624" t="s">
        <v>691</v>
      </c>
      <c r="Q2624" t="s">
        <v>58</v>
      </c>
      <c r="R2624" t="str">
        <f>IFERROR(VLOOKUP(record[[#This Row],[PCUSTID]],廠商[],2,FALSE),"")</f>
        <v/>
      </c>
      <c r="S2624" t="str">
        <f>VLOOKUP(record[[#This Row],[employeeID]],員工[],2,FALSE)</f>
        <v>武氏賢</v>
      </c>
    </row>
    <row r="2625" spans="6:19" hidden="1" x14ac:dyDescent="0.25">
      <c r="F2625" t="s">
        <v>1685</v>
      </c>
      <c r="G2625" t="s">
        <v>401</v>
      </c>
      <c r="H2625" t="str">
        <f>VLOOKUP(record[[#This Row],[ProcessSN]],表格2_7[],2,FALSE)</f>
        <v>30-4118-018-550</v>
      </c>
      <c r="I2625" t="str">
        <f>VLOOKUP(record[[#This Row],[ProcessSN]],表格2_7[],3,FALSE)</f>
        <v>#100OQC</v>
      </c>
      <c r="J2625" t="s">
        <v>599</v>
      </c>
      <c r="K2625" s="195">
        <v>46113.319837962961</v>
      </c>
      <c r="L2625">
        <v>233</v>
      </c>
      <c r="M2625">
        <v>0</v>
      </c>
      <c r="N2625" s="98" t="str">
        <f>IF(record[[#This Row],[Memo]]="Browser:chrome os:android","平板報工",IF(record[[#This Row],[Memo]]=0,"委外",record[[#This Row],[Memo]]))</f>
        <v/>
      </c>
      <c r="O2625" t="s">
        <v>58</v>
      </c>
      <c r="P2625" t="s">
        <v>121</v>
      </c>
      <c r="Q2625" t="s">
        <v>58</v>
      </c>
      <c r="R2625" t="str">
        <f>IFERROR(VLOOKUP(record[[#This Row],[PCUSTID]],廠商[],2,FALSE),"")</f>
        <v/>
      </c>
      <c r="S2625" t="str">
        <f>VLOOKUP(record[[#This Row],[employeeID]],員工[],2,FALSE)</f>
        <v>謝素卿</v>
      </c>
    </row>
    <row r="2626" spans="6:19" hidden="1" x14ac:dyDescent="0.25">
      <c r="F2626" t="s">
        <v>1653</v>
      </c>
      <c r="G2626" t="s">
        <v>418</v>
      </c>
      <c r="H2626" t="str">
        <f>VLOOKUP(record[[#This Row],[ProcessSN]],表格2_7[],2,FALSE)</f>
        <v>30-4118-018-5XX</v>
      </c>
      <c r="I2626" t="str">
        <f>VLOOKUP(record[[#This Row],[ProcessSN]],表格2_7[],3,FALSE)</f>
        <v>#07</v>
      </c>
      <c r="J2626" t="s">
        <v>588</v>
      </c>
      <c r="K2626" s="195">
        <v>46113.315937500003</v>
      </c>
      <c r="L2626">
        <v>155</v>
      </c>
      <c r="M2626">
        <v>1</v>
      </c>
      <c r="N2626" s="98" t="str">
        <f>IF(record[[#This Row],[Memo]]="Browser:chrome os:android","平板報工",IF(record[[#This Row],[Memo]]=0,"委外",record[[#This Row],[Memo]]))</f>
        <v/>
      </c>
      <c r="O2626" t="s">
        <v>58</v>
      </c>
      <c r="P2626" t="s">
        <v>806</v>
      </c>
      <c r="Q2626" t="s">
        <v>58</v>
      </c>
      <c r="R2626" t="str">
        <f>IFERROR(VLOOKUP(record[[#This Row],[PCUSTID]],廠商[],2,FALSE),"")</f>
        <v/>
      </c>
      <c r="S2626" t="str">
        <f>VLOOKUP(record[[#This Row],[employeeID]],員工[],2,FALSE)</f>
        <v>方思緯</v>
      </c>
    </row>
    <row r="2627" spans="6:19" hidden="1" x14ac:dyDescent="0.25">
      <c r="F2627" t="s">
        <v>1653</v>
      </c>
      <c r="G2627" t="s">
        <v>416</v>
      </c>
      <c r="H2627" t="str">
        <f>VLOOKUP(record[[#This Row],[ProcessSN]],表格2_7[],2,FALSE)</f>
        <v>30-4118-018-5XX</v>
      </c>
      <c r="I2627" t="str">
        <f>VLOOKUP(record[[#This Row],[ProcessSN]],表格2_7[],3,FALSE)</f>
        <v>#05</v>
      </c>
      <c r="J2627" t="s">
        <v>588</v>
      </c>
      <c r="K2627" s="195">
        <v>46113.314513888887</v>
      </c>
      <c r="L2627">
        <v>164</v>
      </c>
      <c r="M2627">
        <v>0</v>
      </c>
      <c r="N2627" s="98" t="str">
        <f>IF(record[[#This Row],[Memo]]="Browser:chrome os:android","平板報工",IF(record[[#This Row],[Memo]]=0,"委外",record[[#This Row],[Memo]]))</f>
        <v/>
      </c>
      <c r="O2627" t="s">
        <v>58</v>
      </c>
      <c r="P2627" t="s">
        <v>843</v>
      </c>
      <c r="Q2627" t="s">
        <v>58</v>
      </c>
      <c r="R2627" t="str">
        <f>IFERROR(VLOOKUP(record[[#This Row],[PCUSTID]],廠商[],2,FALSE),"")</f>
        <v/>
      </c>
      <c r="S2627" t="str">
        <f>VLOOKUP(record[[#This Row],[employeeID]],員工[],2,FALSE)</f>
        <v>張楚承</v>
      </c>
    </row>
    <row r="2628" spans="6:19" hidden="1" x14ac:dyDescent="0.25">
      <c r="F2628" t="s">
        <v>1702</v>
      </c>
      <c r="G2628" t="s">
        <v>373</v>
      </c>
      <c r="H2628" t="str">
        <f>VLOOKUP(record[[#This Row],[ProcessSN]],表格2_7[],2,FALSE)</f>
        <v>30-4118-018-4XX</v>
      </c>
      <c r="I2628" t="str">
        <f>VLOOKUP(record[[#This Row],[ProcessSN]],表格2_7[],3,FALSE)</f>
        <v>#03</v>
      </c>
      <c r="J2628" t="s">
        <v>588</v>
      </c>
      <c r="K2628" s="195">
        <v>46113.314050925925</v>
      </c>
      <c r="L2628">
        <v>863</v>
      </c>
      <c r="M2628">
        <v>9</v>
      </c>
      <c r="N2628" s="98" t="str">
        <f>IF(record[[#This Row],[Memo]]="Browser:chrome os:android","平板報工",IF(record[[#This Row],[Memo]]=0,"委外",record[[#This Row],[Memo]]))</f>
        <v/>
      </c>
      <c r="O2628" t="s">
        <v>58</v>
      </c>
      <c r="P2628" t="s">
        <v>135</v>
      </c>
      <c r="Q2628" t="s">
        <v>58</v>
      </c>
      <c r="R2628" t="str">
        <f>IFERROR(VLOOKUP(record[[#This Row],[PCUSTID]],廠商[],2,FALSE),"")</f>
        <v/>
      </c>
      <c r="S2628" t="str">
        <f>VLOOKUP(record[[#This Row],[employeeID]],員工[],2,FALSE)</f>
        <v>阮士文</v>
      </c>
    </row>
    <row r="2629" spans="6:19" hidden="1" x14ac:dyDescent="0.25">
      <c r="F2629" t="s">
        <v>1653</v>
      </c>
      <c r="G2629" t="s">
        <v>415</v>
      </c>
      <c r="H2629" t="str">
        <f>VLOOKUP(record[[#This Row],[ProcessSN]],表格2_7[],2,FALSE)</f>
        <v>30-4118-018-5XX</v>
      </c>
      <c r="I2629" t="str">
        <f>VLOOKUP(record[[#This Row],[ProcessSN]],表格2_7[],3,FALSE)</f>
        <v>#04</v>
      </c>
      <c r="J2629" t="s">
        <v>588</v>
      </c>
      <c r="K2629" s="195">
        <v>46113.312835648147</v>
      </c>
      <c r="L2629">
        <v>129</v>
      </c>
      <c r="M2629">
        <v>0</v>
      </c>
      <c r="N2629" s="98" t="str">
        <f>IF(record[[#This Row],[Memo]]="Browser:chrome os:android","平板報工",IF(record[[#This Row],[Memo]]=0,"委外",record[[#This Row],[Memo]]))</f>
        <v/>
      </c>
      <c r="O2629" t="s">
        <v>58</v>
      </c>
      <c r="P2629" t="s">
        <v>135</v>
      </c>
      <c r="Q2629" t="s">
        <v>58</v>
      </c>
      <c r="R2629" t="str">
        <f>IFERROR(VLOOKUP(record[[#This Row],[PCUSTID]],廠商[],2,FALSE),"")</f>
        <v/>
      </c>
      <c r="S2629" t="str">
        <f>VLOOKUP(record[[#This Row],[employeeID]],員工[],2,FALSE)</f>
        <v>阮士文</v>
      </c>
    </row>
    <row r="2630" spans="6:19" hidden="1" x14ac:dyDescent="0.25">
      <c r="F2630" t="s">
        <v>1653</v>
      </c>
      <c r="G2630" t="s">
        <v>415</v>
      </c>
      <c r="H2630" t="str">
        <f>VLOOKUP(record[[#This Row],[ProcessSN]],表格2_7[],2,FALSE)</f>
        <v>30-4118-018-5XX</v>
      </c>
      <c r="I2630" t="str">
        <f>VLOOKUP(record[[#This Row],[ProcessSN]],表格2_7[],3,FALSE)</f>
        <v>#04</v>
      </c>
      <c r="J2630" t="s">
        <v>588</v>
      </c>
      <c r="K2630" s="195">
        <v>46113.171967592592</v>
      </c>
      <c r="L2630">
        <v>122</v>
      </c>
      <c r="M2630">
        <v>12</v>
      </c>
      <c r="N2630" s="98" t="str">
        <f>IF(record[[#This Row],[Memo]]="Browser:chrome os:android","平板報工",IF(record[[#This Row],[Memo]]=0,"委外",record[[#This Row],[Memo]]))</f>
        <v/>
      </c>
      <c r="O2630" t="s">
        <v>58</v>
      </c>
      <c r="P2630" t="s">
        <v>176</v>
      </c>
      <c r="Q2630" t="s">
        <v>58</v>
      </c>
      <c r="R2630" t="str">
        <f>IFERROR(VLOOKUP(record[[#This Row],[PCUSTID]],廠商[],2,FALSE),"")</f>
        <v/>
      </c>
      <c r="S2630" t="str">
        <f>VLOOKUP(record[[#This Row],[employeeID]],員工[],2,FALSE)</f>
        <v>郭政雄</v>
      </c>
    </row>
    <row r="2631" spans="6:19" hidden="1" x14ac:dyDescent="0.25">
      <c r="F2631" t="s">
        <v>1702</v>
      </c>
      <c r="G2631" t="s">
        <v>373</v>
      </c>
      <c r="H2631" t="str">
        <f>VLOOKUP(record[[#This Row],[ProcessSN]],表格2_7[],2,FALSE)</f>
        <v>30-4118-018-4XX</v>
      </c>
      <c r="I2631" t="str">
        <f>VLOOKUP(record[[#This Row],[ProcessSN]],表格2_7[],3,FALSE)</f>
        <v>#03</v>
      </c>
      <c r="J2631" t="s">
        <v>588</v>
      </c>
      <c r="K2631" s="195">
        <v>46112.993935185186</v>
      </c>
      <c r="L2631">
        <v>228</v>
      </c>
      <c r="M2631">
        <v>19</v>
      </c>
      <c r="N2631" s="98" t="str">
        <f>IF(record[[#This Row],[Memo]]="Browser:chrome os:android","平板報工",IF(record[[#This Row],[Memo]]=0,"委外",record[[#This Row],[Memo]]))</f>
        <v/>
      </c>
      <c r="O2631" t="s">
        <v>58</v>
      </c>
      <c r="P2631" t="s">
        <v>176</v>
      </c>
      <c r="Q2631" t="s">
        <v>58</v>
      </c>
      <c r="R2631" t="str">
        <f>IFERROR(VLOOKUP(record[[#This Row],[PCUSTID]],廠商[],2,FALSE),"")</f>
        <v/>
      </c>
      <c r="S2631" t="str">
        <f>VLOOKUP(record[[#This Row],[employeeID]],員工[],2,FALSE)</f>
        <v>郭政雄</v>
      </c>
    </row>
    <row r="2632" spans="6:19" hidden="1" x14ac:dyDescent="0.25">
      <c r="F2632" t="s">
        <v>1653</v>
      </c>
      <c r="G2632" t="s">
        <v>416</v>
      </c>
      <c r="H2632" t="str">
        <f>VLOOKUP(record[[#This Row],[ProcessSN]],表格2_7[],2,FALSE)</f>
        <v>30-4118-018-5XX</v>
      </c>
      <c r="I2632" t="str">
        <f>VLOOKUP(record[[#This Row],[ProcessSN]],表格2_7[],3,FALSE)</f>
        <v>#05</v>
      </c>
      <c r="J2632" t="s">
        <v>588</v>
      </c>
      <c r="K2632" s="195">
        <v>46112.990844907406</v>
      </c>
      <c r="L2632">
        <v>281</v>
      </c>
      <c r="M2632">
        <v>0</v>
      </c>
      <c r="N2632" s="98" t="str">
        <f>IF(record[[#This Row],[Memo]]="Browser:chrome os:android","平板報工",IF(record[[#This Row],[Memo]]=0,"委外",record[[#This Row],[Memo]]))</f>
        <v/>
      </c>
      <c r="O2632" t="s">
        <v>58</v>
      </c>
      <c r="P2632" t="s">
        <v>1098</v>
      </c>
      <c r="Q2632" t="s">
        <v>58</v>
      </c>
      <c r="R2632" t="str">
        <f>IFERROR(VLOOKUP(record[[#This Row],[PCUSTID]],廠商[],2,FALSE),"")</f>
        <v/>
      </c>
      <c r="S2632" t="str">
        <f>VLOOKUP(record[[#This Row],[employeeID]],員工[],2,FALSE)</f>
        <v>阮氏芳英(英)</v>
      </c>
    </row>
    <row r="2633" spans="6:19" hidden="1" x14ac:dyDescent="0.25">
      <c r="F2633" t="s">
        <v>1653</v>
      </c>
      <c r="G2633" t="s">
        <v>414</v>
      </c>
      <c r="H2633" t="str">
        <f>VLOOKUP(record[[#This Row],[ProcessSN]],表格2_7[],2,FALSE)</f>
        <v>30-4118-018-5XX</v>
      </c>
      <c r="I2633" t="str">
        <f>VLOOKUP(record[[#This Row],[ProcessSN]],表格2_7[],3,FALSE)</f>
        <v>#03</v>
      </c>
      <c r="J2633" t="s">
        <v>588</v>
      </c>
      <c r="K2633" s="195">
        <v>46112.990312499998</v>
      </c>
      <c r="L2633">
        <v>220</v>
      </c>
      <c r="M2633">
        <v>0</v>
      </c>
      <c r="N2633" s="98" t="str">
        <f>IF(record[[#This Row],[Memo]]="Browser:chrome os:android","平板報工",IF(record[[#This Row],[Memo]]=0,"委外",record[[#This Row],[Memo]]))</f>
        <v/>
      </c>
      <c r="O2633" t="s">
        <v>58</v>
      </c>
      <c r="P2633" t="s">
        <v>176</v>
      </c>
      <c r="Q2633" t="s">
        <v>58</v>
      </c>
      <c r="R2633" t="str">
        <f>IFERROR(VLOOKUP(record[[#This Row],[PCUSTID]],廠商[],2,FALSE),"")</f>
        <v/>
      </c>
      <c r="S2633" t="str">
        <f>VLOOKUP(record[[#This Row],[employeeID]],員工[],2,FALSE)</f>
        <v>郭政雄</v>
      </c>
    </row>
    <row r="2634" spans="6:19" hidden="1" x14ac:dyDescent="0.25">
      <c r="F2634" t="s">
        <v>1653</v>
      </c>
      <c r="G2634" t="s">
        <v>417</v>
      </c>
      <c r="H2634" t="str">
        <f>VLOOKUP(record[[#This Row],[ProcessSN]],表格2_7[],2,FALSE)</f>
        <v>30-4118-018-5XX</v>
      </c>
      <c r="I2634" t="str">
        <f>VLOOKUP(record[[#This Row],[ProcessSN]],表格2_7[],3,FALSE)</f>
        <v>#06</v>
      </c>
      <c r="J2634" t="s">
        <v>593</v>
      </c>
      <c r="K2634" s="195">
        <v>46112.981527777774</v>
      </c>
      <c r="L2634">
        <v>50</v>
      </c>
      <c r="M2634">
        <v>0</v>
      </c>
      <c r="N2634" s="98" t="str">
        <f>IF(record[[#This Row],[Memo]]="Browser:chrome os:android","平板報工",IF(record[[#This Row],[Memo]]=0,"委外",record[[#This Row],[Memo]]))</f>
        <v/>
      </c>
      <c r="O2634" t="s">
        <v>58</v>
      </c>
      <c r="P2634" t="s">
        <v>176</v>
      </c>
      <c r="Q2634" t="s">
        <v>58</v>
      </c>
      <c r="R2634" t="str">
        <f>IFERROR(VLOOKUP(record[[#This Row],[PCUSTID]],廠商[],2,FALSE),"")</f>
        <v/>
      </c>
      <c r="S2634" t="str">
        <f>VLOOKUP(record[[#This Row],[employeeID]],員工[],2,FALSE)</f>
        <v>郭政雄</v>
      </c>
    </row>
    <row r="2635" spans="6:19" hidden="1" x14ac:dyDescent="0.25">
      <c r="F2635" t="s">
        <v>1653</v>
      </c>
      <c r="G2635" t="s">
        <v>417</v>
      </c>
      <c r="H2635" t="str">
        <f>VLOOKUP(record[[#This Row],[ProcessSN]],表格2_7[],2,FALSE)</f>
        <v>30-4118-018-5XX</v>
      </c>
      <c r="I2635" t="str">
        <f>VLOOKUP(record[[#This Row],[ProcessSN]],表格2_7[],3,FALSE)</f>
        <v>#06</v>
      </c>
      <c r="J2635" t="s">
        <v>593</v>
      </c>
      <c r="K2635" s="195">
        <v>46112.976134259261</v>
      </c>
      <c r="L2635">
        <v>66</v>
      </c>
      <c r="M2635">
        <v>0</v>
      </c>
      <c r="N2635" s="98" t="str">
        <f>IF(record[[#This Row],[Memo]]="Browser:chrome os:android","平板報工",IF(record[[#This Row],[Memo]]=0,"委外",record[[#This Row],[Memo]]))</f>
        <v/>
      </c>
      <c r="O2635" t="s">
        <v>58</v>
      </c>
      <c r="P2635" t="s">
        <v>841</v>
      </c>
      <c r="Q2635" t="s">
        <v>58</v>
      </c>
      <c r="R2635" t="str">
        <f>IFERROR(VLOOKUP(record[[#This Row],[PCUSTID]],廠商[],2,FALSE),"")</f>
        <v/>
      </c>
      <c r="S2635" t="str">
        <f>VLOOKUP(record[[#This Row],[employeeID]],員工[],2,FALSE)</f>
        <v>范氏香</v>
      </c>
    </row>
    <row r="2636" spans="6:19" hidden="1" x14ac:dyDescent="0.25">
      <c r="F2636" t="s">
        <v>1653</v>
      </c>
      <c r="G2636" t="s">
        <v>418</v>
      </c>
      <c r="H2636" t="str">
        <f>VLOOKUP(record[[#This Row],[ProcessSN]],表格2_7[],2,FALSE)</f>
        <v>30-4118-018-5XX</v>
      </c>
      <c r="I2636" t="str">
        <f>VLOOKUP(record[[#This Row],[ProcessSN]],表格2_7[],3,FALSE)</f>
        <v>#07</v>
      </c>
      <c r="J2636" t="s">
        <v>588</v>
      </c>
      <c r="K2636" s="195">
        <v>46112.968738425923</v>
      </c>
      <c r="L2636">
        <v>223</v>
      </c>
      <c r="M2636">
        <v>2</v>
      </c>
      <c r="N2636" s="98" t="str">
        <f>IF(record[[#This Row],[Memo]]="Browser:chrome os:android","平板報工",IF(record[[#This Row],[Memo]]=0,"委外",record[[#This Row],[Memo]]))</f>
        <v>平板報工</v>
      </c>
      <c r="O2636" t="s">
        <v>643</v>
      </c>
      <c r="P2636" t="s">
        <v>89</v>
      </c>
      <c r="Q2636" t="s">
        <v>644</v>
      </c>
      <c r="R2636" t="str">
        <f>IFERROR(VLOOKUP(record[[#This Row],[PCUSTID]],廠商[],2,FALSE),"")</f>
        <v/>
      </c>
      <c r="S2636" t="str">
        <f>VLOOKUP(record[[#This Row],[employeeID]],員工[],2,FALSE)</f>
        <v>李美蓮</v>
      </c>
    </row>
    <row r="2637" spans="6:19" hidden="1" x14ac:dyDescent="0.25">
      <c r="F2637" t="s">
        <v>1637</v>
      </c>
      <c r="G2637" t="s">
        <v>447</v>
      </c>
      <c r="H2637" t="str">
        <f>VLOOKUP(record[[#This Row],[ProcessSN]],表格2_7[],2,FALSE)</f>
        <v>30-4118-018-6XX</v>
      </c>
      <c r="I2637" t="str">
        <f>VLOOKUP(record[[#This Row],[ProcessSN]],表格2_7[],3,FALSE)</f>
        <v>#03</v>
      </c>
      <c r="J2637" t="s">
        <v>588</v>
      </c>
      <c r="K2637" s="195">
        <v>46112.898900462962</v>
      </c>
      <c r="L2637">
        <v>296</v>
      </c>
      <c r="M2637">
        <v>0</v>
      </c>
      <c r="N2637" s="98" t="str">
        <f>IF(record[[#This Row],[Memo]]="Browser:chrome os:android","平板報工",IF(record[[#This Row],[Memo]]=0,"委外",record[[#This Row],[Memo]]))</f>
        <v/>
      </c>
      <c r="O2637" t="s">
        <v>58</v>
      </c>
      <c r="P2637" t="s">
        <v>176</v>
      </c>
      <c r="Q2637" t="s">
        <v>58</v>
      </c>
      <c r="R2637" t="str">
        <f>IFERROR(VLOOKUP(record[[#This Row],[PCUSTID]],廠商[],2,FALSE),"")</f>
        <v/>
      </c>
      <c r="S2637" t="str">
        <f>VLOOKUP(record[[#This Row],[employeeID]],員工[],2,FALSE)</f>
        <v>郭政雄</v>
      </c>
    </row>
    <row r="2638" spans="6:19" hidden="1" x14ac:dyDescent="0.25">
      <c r="F2638" t="s">
        <v>1653</v>
      </c>
      <c r="G2638" t="s">
        <v>417</v>
      </c>
      <c r="H2638" t="str">
        <f>VLOOKUP(record[[#This Row],[ProcessSN]],表格2_7[],2,FALSE)</f>
        <v>30-4118-018-5XX</v>
      </c>
      <c r="I2638" t="str">
        <f>VLOOKUP(record[[#This Row],[ProcessSN]],表格2_7[],3,FALSE)</f>
        <v>#06</v>
      </c>
      <c r="J2638" t="s">
        <v>593</v>
      </c>
      <c r="K2638" s="195">
        <v>46112.819502314815</v>
      </c>
      <c r="L2638">
        <v>67</v>
      </c>
      <c r="M2638">
        <v>0</v>
      </c>
      <c r="N2638" s="98" t="str">
        <f>IF(record[[#This Row],[Memo]]="Browser:chrome os:android","平板報工",IF(record[[#This Row],[Memo]]=0,"委外",record[[#This Row],[Memo]]))</f>
        <v>平板報工</v>
      </c>
      <c r="O2638" t="s">
        <v>643</v>
      </c>
      <c r="P2638" t="s">
        <v>785</v>
      </c>
      <c r="Q2638" t="s">
        <v>644</v>
      </c>
      <c r="R2638" t="str">
        <f>IFERROR(VLOOKUP(record[[#This Row],[PCUSTID]],廠商[],2,FALSE),"")</f>
        <v/>
      </c>
      <c r="S2638" t="str">
        <f>VLOOKUP(record[[#This Row],[employeeID]],員工[],2,FALSE)</f>
        <v>謝刻光</v>
      </c>
    </row>
    <row r="2639" spans="6:19" hidden="1" x14ac:dyDescent="0.25">
      <c r="F2639" t="s">
        <v>1568</v>
      </c>
      <c r="G2639" t="s">
        <v>419</v>
      </c>
      <c r="H2639" t="str">
        <f>VLOOKUP(record[[#This Row],[ProcessSN]],表格2_7[],2,FALSE)</f>
        <v>30-4118-018-5XX</v>
      </c>
      <c r="I2639" t="str">
        <f>VLOOKUP(record[[#This Row],[ProcessSN]],表格2_7[],3,FALSE)</f>
        <v>#07QC</v>
      </c>
      <c r="J2639" t="s">
        <v>589</v>
      </c>
      <c r="K2639" s="195">
        <v>46112.809062499997</v>
      </c>
      <c r="L2639">
        <v>15</v>
      </c>
      <c r="M2639">
        <v>0</v>
      </c>
      <c r="N2639" s="98" t="str">
        <f>IF(record[[#This Row],[Memo]]="Browser:chrome os:android","平板報工",IF(record[[#This Row],[Memo]]=0,"委外",record[[#This Row],[Memo]]))</f>
        <v>覆回</v>
      </c>
      <c r="O2639" t="s">
        <v>682</v>
      </c>
      <c r="P2639" t="s">
        <v>141</v>
      </c>
      <c r="Q2639" t="s">
        <v>58</v>
      </c>
      <c r="R2639" t="str">
        <f>IFERROR(VLOOKUP(record[[#This Row],[PCUSTID]],廠商[],2,FALSE),"")</f>
        <v/>
      </c>
      <c r="S2639" t="str">
        <f>VLOOKUP(record[[#This Row],[employeeID]],員工[],2,FALSE)</f>
        <v>蔣梅</v>
      </c>
    </row>
    <row r="2640" spans="6:19" hidden="1" x14ac:dyDescent="0.25">
      <c r="F2640" t="s">
        <v>1589</v>
      </c>
      <c r="G2640" t="s">
        <v>419</v>
      </c>
      <c r="H2640" t="str">
        <f>VLOOKUP(record[[#This Row],[ProcessSN]],表格2_7[],2,FALSE)</f>
        <v>30-4118-018-5XX</v>
      </c>
      <c r="I2640" t="str">
        <f>VLOOKUP(record[[#This Row],[ProcessSN]],表格2_7[],3,FALSE)</f>
        <v>#07QC</v>
      </c>
      <c r="J2640" t="s">
        <v>589</v>
      </c>
      <c r="K2640" s="195">
        <v>46112.808541666665</v>
      </c>
      <c r="L2640">
        <v>17</v>
      </c>
      <c r="M2640">
        <v>0</v>
      </c>
      <c r="N2640" s="98" t="str">
        <f>IF(record[[#This Row],[Memo]]="Browser:chrome os:android","平板報工",IF(record[[#This Row],[Memo]]=0,"委外",record[[#This Row],[Memo]]))</f>
        <v>覆回</v>
      </c>
      <c r="O2640" t="s">
        <v>682</v>
      </c>
      <c r="P2640" t="s">
        <v>141</v>
      </c>
      <c r="Q2640" t="s">
        <v>58</v>
      </c>
      <c r="R2640" t="str">
        <f>IFERROR(VLOOKUP(record[[#This Row],[PCUSTID]],廠商[],2,FALSE),"")</f>
        <v/>
      </c>
      <c r="S2640" t="str">
        <f>VLOOKUP(record[[#This Row],[employeeID]],員工[],2,FALSE)</f>
        <v>蔣梅</v>
      </c>
    </row>
    <row r="2641" spans="6:19" hidden="1" x14ac:dyDescent="0.25">
      <c r="F2641" t="s">
        <v>1637</v>
      </c>
      <c r="G2641" t="s">
        <v>452</v>
      </c>
      <c r="H2641" t="str">
        <f>VLOOKUP(record[[#This Row],[ProcessSN]],表格2_7[],2,FALSE)</f>
        <v>30-4118-018-6XX</v>
      </c>
      <c r="I2641" t="str">
        <f>VLOOKUP(record[[#This Row],[ProcessSN]],表格2_7[],3,FALSE)</f>
        <v>#07QC</v>
      </c>
      <c r="J2641" t="s">
        <v>589</v>
      </c>
      <c r="K2641" s="195">
        <v>46112.804224537038</v>
      </c>
      <c r="L2641">
        <v>129</v>
      </c>
      <c r="M2641">
        <v>0</v>
      </c>
      <c r="N2641" s="98" t="str">
        <f>IF(record[[#This Row],[Memo]]="Browser:chrome os:android","平板報工",IF(record[[#This Row],[Memo]]=0,"委外",record[[#This Row],[Memo]]))</f>
        <v>覆回</v>
      </c>
      <c r="O2641" t="s">
        <v>682</v>
      </c>
      <c r="P2641" t="s">
        <v>141</v>
      </c>
      <c r="Q2641" t="s">
        <v>58</v>
      </c>
      <c r="R2641" t="str">
        <f>IFERROR(VLOOKUP(record[[#This Row],[PCUSTID]],廠商[],2,FALSE),"")</f>
        <v/>
      </c>
      <c r="S2641" t="str">
        <f>VLOOKUP(record[[#This Row],[employeeID]],員工[],2,FALSE)</f>
        <v>蔣梅</v>
      </c>
    </row>
    <row r="2642" spans="6:19" hidden="1" x14ac:dyDescent="0.25">
      <c r="F2642" t="s">
        <v>1646</v>
      </c>
      <c r="G2642" t="s">
        <v>359</v>
      </c>
      <c r="H2642" t="str">
        <f>VLOOKUP(record[[#This Row],[ProcessSN]],表格2_7[],2,FALSE)</f>
        <v>30-4118-018-450</v>
      </c>
      <c r="I2642" t="str">
        <f>VLOOKUP(record[[#This Row],[ProcessSN]],表格2_7[],3,FALSE)</f>
        <v>#100</v>
      </c>
      <c r="J2642" t="s">
        <v>598</v>
      </c>
      <c r="K2642" s="195">
        <v>46112.764849537038</v>
      </c>
      <c r="L2642">
        <v>67</v>
      </c>
      <c r="M2642">
        <v>0</v>
      </c>
      <c r="N2642" s="98" t="str">
        <f>IF(record[[#This Row],[Memo]]="Browser:chrome os:android","平板報工",IF(record[[#This Row],[Memo]]=0,"委外",record[[#This Row],[Memo]]))</f>
        <v>牙端口刀痕覆回</v>
      </c>
      <c r="O2642" t="s">
        <v>1710</v>
      </c>
      <c r="P2642" t="s">
        <v>141</v>
      </c>
      <c r="Q2642" t="s">
        <v>58</v>
      </c>
      <c r="R2642" t="str">
        <f>IFERROR(VLOOKUP(record[[#This Row],[PCUSTID]],廠商[],2,FALSE),"")</f>
        <v/>
      </c>
      <c r="S2642" t="str">
        <f>VLOOKUP(record[[#This Row],[employeeID]],員工[],2,FALSE)</f>
        <v>蔣梅</v>
      </c>
    </row>
    <row r="2643" spans="6:19" hidden="1" x14ac:dyDescent="0.25">
      <c r="F2643" t="s">
        <v>1646</v>
      </c>
      <c r="G2643" t="s">
        <v>358</v>
      </c>
      <c r="H2643" t="str">
        <f>VLOOKUP(record[[#This Row],[ProcessSN]],表格2_7[],2,FALSE)</f>
        <v>30-4118-018-450</v>
      </c>
      <c r="I2643" t="str">
        <f>VLOOKUP(record[[#This Row],[ProcessSN]],表格2_7[],3,FALSE)</f>
        <v>#08IQC</v>
      </c>
      <c r="J2643" t="s">
        <v>583</v>
      </c>
      <c r="K2643" s="195">
        <v>46112.764328703706</v>
      </c>
      <c r="L2643">
        <v>1</v>
      </c>
      <c r="M2643">
        <v>0</v>
      </c>
      <c r="N2643" s="98" t="str">
        <f>IF(record[[#This Row],[Memo]]="Browser:chrome os:android","平板報工",IF(record[[#This Row],[Memo]]=0,"委外",record[[#This Row],[Memo]]))</f>
        <v>覆回</v>
      </c>
      <c r="O2643" t="s">
        <v>682</v>
      </c>
      <c r="P2643" t="s">
        <v>141</v>
      </c>
      <c r="Q2643" t="s">
        <v>58</v>
      </c>
      <c r="R2643" t="str">
        <f>IFERROR(VLOOKUP(record[[#This Row],[PCUSTID]],廠商[],2,FALSE),"")</f>
        <v/>
      </c>
      <c r="S2643" t="str">
        <f>VLOOKUP(record[[#This Row],[employeeID]],員工[],2,FALSE)</f>
        <v>蔣梅</v>
      </c>
    </row>
    <row r="2644" spans="6:19" hidden="1" x14ac:dyDescent="0.25">
      <c r="F2644" t="s">
        <v>1646</v>
      </c>
      <c r="G2644" t="s">
        <v>357</v>
      </c>
      <c r="H2644" t="str">
        <f>VLOOKUP(record[[#This Row],[ProcessSN]],表格2_7[],2,FALSE)</f>
        <v>30-4118-018-450</v>
      </c>
      <c r="I2644" t="str">
        <f>VLOOKUP(record[[#This Row],[ProcessSN]],表格2_7[],3,FALSE)</f>
        <v>#08RCV</v>
      </c>
      <c r="J2644" t="s">
        <v>591</v>
      </c>
      <c r="K2644" s="195">
        <v>46112.763668981483</v>
      </c>
      <c r="L2644">
        <v>1</v>
      </c>
      <c r="M2644">
        <v>0</v>
      </c>
      <c r="N2644" s="98" t="str">
        <f>IF(record[[#This Row],[Memo]]="Browser:chrome os:android","平板報工",IF(record[[#This Row],[Memo]]=0,"委外",record[[#This Row],[Memo]]))</f>
        <v>覆回</v>
      </c>
      <c r="O2644" t="s">
        <v>682</v>
      </c>
      <c r="P2644" t="s">
        <v>141</v>
      </c>
      <c r="Q2644" t="s">
        <v>58</v>
      </c>
      <c r="R2644" t="str">
        <f>IFERROR(VLOOKUP(record[[#This Row],[PCUSTID]],廠商[],2,FALSE),"")</f>
        <v/>
      </c>
      <c r="S2644" t="str">
        <f>VLOOKUP(record[[#This Row],[employeeID]],員工[],2,FALSE)</f>
        <v>蔣梅</v>
      </c>
    </row>
    <row r="2645" spans="6:19" hidden="1" x14ac:dyDescent="0.25">
      <c r="F2645" t="s">
        <v>1694</v>
      </c>
      <c r="G2645" t="s">
        <v>400</v>
      </c>
      <c r="H2645" t="str">
        <f>VLOOKUP(record[[#This Row],[ProcessSN]],表格2_7[],2,FALSE)</f>
        <v>30-4118-018-550</v>
      </c>
      <c r="I2645" t="str">
        <f>VLOOKUP(record[[#This Row],[ProcessSN]],表格2_7[],3,FALSE)</f>
        <v>#100</v>
      </c>
      <c r="J2645" t="s">
        <v>598</v>
      </c>
      <c r="K2645" s="195">
        <v>46112.726921296293</v>
      </c>
      <c r="L2645">
        <v>94</v>
      </c>
      <c r="M2645">
        <v>0</v>
      </c>
      <c r="N2645" s="98" t="str">
        <f>IF(record[[#This Row],[Memo]]="Browser:chrome os:android","平板報工",IF(record[[#This Row],[Memo]]=0,"委外",record[[#This Row],[Memo]]))</f>
        <v/>
      </c>
      <c r="O2645" t="s">
        <v>58</v>
      </c>
      <c r="P2645" t="s">
        <v>141</v>
      </c>
      <c r="Q2645" t="s">
        <v>58</v>
      </c>
      <c r="R2645" t="str">
        <f>IFERROR(VLOOKUP(record[[#This Row],[PCUSTID]],廠商[],2,FALSE),"")</f>
        <v/>
      </c>
      <c r="S2645" t="str">
        <f>VLOOKUP(record[[#This Row],[employeeID]],員工[],2,FALSE)</f>
        <v>蔣梅</v>
      </c>
    </row>
    <row r="2646" spans="6:19" hidden="1" x14ac:dyDescent="0.25">
      <c r="F2646" t="s">
        <v>1685</v>
      </c>
      <c r="G2646" t="s">
        <v>400</v>
      </c>
      <c r="H2646" t="str">
        <f>VLOOKUP(record[[#This Row],[ProcessSN]],表格2_7[],2,FALSE)</f>
        <v>30-4118-018-550</v>
      </c>
      <c r="I2646" t="str">
        <f>VLOOKUP(record[[#This Row],[ProcessSN]],表格2_7[],3,FALSE)</f>
        <v>#100</v>
      </c>
      <c r="J2646" t="s">
        <v>598</v>
      </c>
      <c r="K2646" s="195">
        <v>46112.72625</v>
      </c>
      <c r="L2646">
        <v>91</v>
      </c>
      <c r="M2646">
        <v>0</v>
      </c>
      <c r="N2646" s="98" t="str">
        <f>IF(record[[#This Row],[Memo]]="Browser:chrome os:android","平板報工",IF(record[[#This Row],[Memo]]=0,"委外",record[[#This Row],[Memo]]))</f>
        <v/>
      </c>
      <c r="O2646" t="s">
        <v>58</v>
      </c>
      <c r="P2646" t="s">
        <v>141</v>
      </c>
      <c r="Q2646" t="s">
        <v>58</v>
      </c>
      <c r="R2646" t="str">
        <f>IFERROR(VLOOKUP(record[[#This Row],[PCUSTID]],廠商[],2,FALSE),"")</f>
        <v/>
      </c>
      <c r="S2646" t="str">
        <f>VLOOKUP(record[[#This Row],[employeeID]],員工[],2,FALSE)</f>
        <v>蔣梅</v>
      </c>
    </row>
    <row r="2647" spans="6:19" hidden="1" x14ac:dyDescent="0.25">
      <c r="F2647" t="s">
        <v>1685</v>
      </c>
      <c r="G2647" t="s">
        <v>400</v>
      </c>
      <c r="H2647" t="str">
        <f>VLOOKUP(record[[#This Row],[ProcessSN]],表格2_7[],2,FALSE)</f>
        <v>30-4118-018-550</v>
      </c>
      <c r="I2647" t="str">
        <f>VLOOKUP(record[[#This Row],[ProcessSN]],表格2_7[],3,FALSE)</f>
        <v>#100</v>
      </c>
      <c r="J2647" t="s">
        <v>598</v>
      </c>
      <c r="K2647" s="195">
        <v>46112.72587962963</v>
      </c>
      <c r="L2647">
        <v>142</v>
      </c>
      <c r="M2647">
        <v>0</v>
      </c>
      <c r="N2647" s="98" t="str">
        <f>IF(record[[#This Row],[Memo]]="Browser:chrome os:android","平板報工",IF(record[[#This Row],[Memo]]=0,"委外",record[[#This Row],[Memo]]))</f>
        <v/>
      </c>
      <c r="O2647" t="s">
        <v>58</v>
      </c>
      <c r="P2647" t="s">
        <v>99</v>
      </c>
      <c r="Q2647" t="s">
        <v>58</v>
      </c>
      <c r="R2647" t="str">
        <f>IFERROR(VLOOKUP(record[[#This Row],[PCUSTID]],廠商[],2,FALSE),"")</f>
        <v/>
      </c>
      <c r="S2647" t="str">
        <f>VLOOKUP(record[[#This Row],[employeeID]],員工[],2,FALSE)</f>
        <v>阮氏河</v>
      </c>
    </row>
    <row r="2648" spans="6:19" hidden="1" x14ac:dyDescent="0.25">
      <c r="F2648" t="s">
        <v>1702</v>
      </c>
      <c r="G2648" t="s">
        <v>372</v>
      </c>
      <c r="H2648" t="str">
        <f>VLOOKUP(record[[#This Row],[ProcessSN]],表格2_7[],2,FALSE)</f>
        <v>30-4118-018-4XX</v>
      </c>
      <c r="I2648" t="str">
        <f>VLOOKUP(record[[#This Row],[ProcessSN]],表格2_7[],3,FALSE)</f>
        <v>#03GIVE</v>
      </c>
      <c r="J2648" t="s">
        <v>587</v>
      </c>
      <c r="K2648" s="195">
        <v>46112.703043981484</v>
      </c>
      <c r="L2648">
        <v>1478</v>
      </c>
      <c r="M2648">
        <v>0</v>
      </c>
      <c r="N2648" s="98" t="str">
        <f>IF(record[[#This Row],[Memo]]="Browser:chrome os:android","平板報工",IF(record[[#This Row],[Memo]]=0,"委外",record[[#This Row],[Memo]]))</f>
        <v/>
      </c>
      <c r="O2648" t="s">
        <v>58</v>
      </c>
      <c r="P2648" t="s">
        <v>186</v>
      </c>
      <c r="Q2648" t="s">
        <v>58</v>
      </c>
      <c r="R2648" t="str">
        <f>IFERROR(VLOOKUP(record[[#This Row],[PCUSTID]],廠商[],2,FALSE),"")</f>
        <v/>
      </c>
      <c r="S2648" t="str">
        <f>VLOOKUP(record[[#This Row],[employeeID]],員工[],2,FALSE)</f>
        <v>許文姍</v>
      </c>
    </row>
    <row r="2649" spans="6:19" hidden="1" x14ac:dyDescent="0.25">
      <c r="F2649" t="s">
        <v>1589</v>
      </c>
      <c r="G2649" t="s">
        <v>418</v>
      </c>
      <c r="H2649" t="str">
        <f>VLOOKUP(record[[#This Row],[ProcessSN]],表格2_7[],2,FALSE)</f>
        <v>30-4118-018-5XX</v>
      </c>
      <c r="I2649" t="str">
        <f>VLOOKUP(record[[#This Row],[ProcessSN]],表格2_7[],3,FALSE)</f>
        <v>#07</v>
      </c>
      <c r="J2649" t="s">
        <v>588</v>
      </c>
      <c r="K2649" s="195">
        <v>46112.687627314815</v>
      </c>
      <c r="L2649">
        <v>1</v>
      </c>
      <c r="M2649">
        <v>0</v>
      </c>
      <c r="N2649" s="98" t="str">
        <f>IF(record[[#This Row],[Memo]]="Browser:chrome os:android","平板報工",IF(record[[#This Row],[Memo]]=0,"委外",record[[#This Row],[Memo]]))</f>
        <v/>
      </c>
      <c r="O2649" t="s">
        <v>58</v>
      </c>
      <c r="P2649" t="s">
        <v>1626</v>
      </c>
      <c r="Q2649" t="s">
        <v>58</v>
      </c>
      <c r="R2649" t="str">
        <f>IFERROR(VLOOKUP(record[[#This Row],[PCUSTID]],廠商[],2,FALSE),"")</f>
        <v/>
      </c>
      <c r="S2649" t="e">
        <f>VLOOKUP(record[[#This Row],[employeeID]],員工[],2,FALSE)</f>
        <v>#N/A</v>
      </c>
    </row>
    <row r="2650" spans="6:19" hidden="1" x14ac:dyDescent="0.25">
      <c r="F2650" t="s">
        <v>1637</v>
      </c>
      <c r="G2650" t="s">
        <v>451</v>
      </c>
      <c r="H2650" t="str">
        <f>VLOOKUP(record[[#This Row],[ProcessSN]],表格2_7[],2,FALSE)</f>
        <v>30-4118-018-6XX</v>
      </c>
      <c r="I2650" t="str">
        <f>VLOOKUP(record[[#This Row],[ProcessSN]],表格2_7[],3,FALSE)</f>
        <v>#07</v>
      </c>
      <c r="J2650" t="s">
        <v>588</v>
      </c>
      <c r="K2650" s="195">
        <v>46112.681145833332</v>
      </c>
      <c r="L2650">
        <v>29</v>
      </c>
      <c r="M2650">
        <v>0</v>
      </c>
      <c r="N2650" s="98" t="str">
        <f>IF(record[[#This Row],[Memo]]="Browser:chrome os:android","平板報工",IF(record[[#This Row],[Memo]]=0,"委外",record[[#This Row],[Memo]]))</f>
        <v>3/31檢包少帳29pcs</v>
      </c>
      <c r="O2650" t="s">
        <v>1709</v>
      </c>
      <c r="P2650" t="s">
        <v>1626</v>
      </c>
      <c r="Q2650" t="s">
        <v>58</v>
      </c>
      <c r="R2650" t="str">
        <f>IFERROR(VLOOKUP(record[[#This Row],[PCUSTID]],廠商[],2,FALSE),"")</f>
        <v/>
      </c>
      <c r="S2650" t="e">
        <f>VLOOKUP(record[[#This Row],[employeeID]],員工[],2,FALSE)</f>
        <v>#N/A</v>
      </c>
    </row>
    <row r="2651" spans="6:19" hidden="1" x14ac:dyDescent="0.25">
      <c r="F2651" t="s">
        <v>1653</v>
      </c>
      <c r="G2651" t="s">
        <v>417</v>
      </c>
      <c r="H2651" t="str">
        <f>VLOOKUP(record[[#This Row],[ProcessSN]],表格2_7[],2,FALSE)</f>
        <v>30-4118-018-5XX</v>
      </c>
      <c r="I2651" t="str">
        <f>VLOOKUP(record[[#This Row],[ProcessSN]],表格2_7[],3,FALSE)</f>
        <v>#06</v>
      </c>
      <c r="J2651" t="s">
        <v>593</v>
      </c>
      <c r="K2651" s="195">
        <v>46112.67564814815</v>
      </c>
      <c r="L2651">
        <v>54</v>
      </c>
      <c r="M2651">
        <v>0</v>
      </c>
      <c r="N2651" s="98" t="str">
        <f>IF(record[[#This Row],[Memo]]="Browser:chrome os:android","平板報工",IF(record[[#This Row],[Memo]]=0,"委外",record[[#This Row],[Memo]]))</f>
        <v/>
      </c>
      <c r="O2651" t="s">
        <v>58</v>
      </c>
      <c r="P2651" t="s">
        <v>101</v>
      </c>
      <c r="Q2651" t="s">
        <v>58</v>
      </c>
      <c r="R2651" t="str">
        <f>IFERROR(VLOOKUP(record[[#This Row],[PCUSTID]],廠商[],2,FALSE),"")</f>
        <v/>
      </c>
      <c r="S2651" t="str">
        <f>VLOOKUP(record[[#This Row],[employeeID]],員工[],2,FALSE)</f>
        <v>陳氏絨</v>
      </c>
    </row>
    <row r="2652" spans="6:19" hidden="1" x14ac:dyDescent="0.25">
      <c r="F2652" t="s">
        <v>1689</v>
      </c>
      <c r="G2652" t="s">
        <v>428</v>
      </c>
      <c r="H2652" t="str">
        <f>VLOOKUP(record[[#This Row],[ProcessSN]],表格2_7[],2,FALSE)</f>
        <v>30-4118-018-600</v>
      </c>
      <c r="I2652" t="str">
        <f>VLOOKUP(record[[#This Row],[ProcessSN]],表格2_7[],3,FALSE)</f>
        <v>#100SHIP</v>
      </c>
      <c r="J2652" t="s">
        <v>600</v>
      </c>
      <c r="K2652" s="195">
        <v>46112.670069444444</v>
      </c>
      <c r="L2652">
        <v>25</v>
      </c>
      <c r="M2652">
        <v>0</v>
      </c>
      <c r="N2652" s="98" t="str">
        <f>IF(record[[#This Row],[Memo]]="Browser:chrome os:android","平板報工",IF(record[[#This Row],[Memo]]=0,"委外",record[[#This Row],[Memo]]))</f>
        <v/>
      </c>
      <c r="O2652" t="s">
        <v>58</v>
      </c>
      <c r="P2652" t="s">
        <v>886</v>
      </c>
      <c r="Q2652" t="s">
        <v>58</v>
      </c>
      <c r="R2652" t="str">
        <f>IFERROR(VLOOKUP(record[[#This Row],[PCUSTID]],廠商[],2,FALSE),"")</f>
        <v/>
      </c>
      <c r="S2652" t="str">
        <f>VLOOKUP(record[[#This Row],[employeeID]],員工[],2,FALSE)</f>
        <v>謝蓁薰</v>
      </c>
    </row>
    <row r="2653" spans="6:19" hidden="1" x14ac:dyDescent="0.25">
      <c r="F2653" t="s">
        <v>1689</v>
      </c>
      <c r="G2653" t="s">
        <v>427</v>
      </c>
      <c r="H2653" t="str">
        <f>VLOOKUP(record[[#This Row],[ProcessSN]],表格2_7[],2,FALSE)</f>
        <v>30-4118-018-600</v>
      </c>
      <c r="I2653" t="str">
        <f>VLOOKUP(record[[#This Row],[ProcessSN]],表格2_7[],3,FALSE)</f>
        <v>#100STOCK</v>
      </c>
      <c r="J2653" t="s">
        <v>592</v>
      </c>
      <c r="K2653" s="195">
        <v>46112.669930555552</v>
      </c>
      <c r="L2653">
        <v>25</v>
      </c>
      <c r="M2653">
        <v>0</v>
      </c>
      <c r="N2653" s="98" t="str">
        <f>IF(record[[#This Row],[Memo]]="Browser:chrome os:android","平板報工",IF(record[[#This Row],[Memo]]=0,"委外",record[[#This Row],[Memo]]))</f>
        <v/>
      </c>
      <c r="O2653" t="s">
        <v>58</v>
      </c>
      <c r="P2653" t="s">
        <v>886</v>
      </c>
      <c r="Q2653" t="s">
        <v>58</v>
      </c>
      <c r="R2653" t="str">
        <f>IFERROR(VLOOKUP(record[[#This Row],[PCUSTID]],廠商[],2,FALSE),"")</f>
        <v/>
      </c>
      <c r="S2653" t="str">
        <f>VLOOKUP(record[[#This Row],[employeeID]],員工[],2,FALSE)</f>
        <v>謝蓁薰</v>
      </c>
    </row>
    <row r="2654" spans="6:19" hidden="1" x14ac:dyDescent="0.25">
      <c r="F2654" t="s">
        <v>1653</v>
      </c>
      <c r="G2654" t="s">
        <v>414</v>
      </c>
      <c r="H2654" t="str">
        <f>VLOOKUP(record[[#This Row],[ProcessSN]],表格2_7[],2,FALSE)</f>
        <v>30-4118-018-5XX</v>
      </c>
      <c r="I2654" t="str">
        <f>VLOOKUP(record[[#This Row],[ProcessSN]],表格2_7[],3,FALSE)</f>
        <v>#03</v>
      </c>
      <c r="J2654" t="s">
        <v>588</v>
      </c>
      <c r="K2654" s="195">
        <v>46112.667638888888</v>
      </c>
      <c r="L2654">
        <v>425</v>
      </c>
      <c r="M2654">
        <v>0</v>
      </c>
      <c r="N2654" s="98" t="str">
        <f>IF(record[[#This Row],[Memo]]="Browser:chrome os:android","平板報工",IF(record[[#This Row],[Memo]]=0,"委外",record[[#This Row],[Memo]]))</f>
        <v/>
      </c>
      <c r="O2654" t="s">
        <v>58</v>
      </c>
      <c r="P2654" t="s">
        <v>107</v>
      </c>
      <c r="Q2654" t="s">
        <v>58</v>
      </c>
      <c r="R2654" t="str">
        <f>IFERROR(VLOOKUP(record[[#This Row],[PCUSTID]],廠商[],2,FALSE),"")</f>
        <v/>
      </c>
      <c r="S2654" t="str">
        <f>VLOOKUP(record[[#This Row],[employeeID]],員工[],2,FALSE)</f>
        <v>黎氏順</v>
      </c>
    </row>
    <row r="2655" spans="6:19" hidden="1" x14ac:dyDescent="0.25">
      <c r="F2655" t="s">
        <v>1653</v>
      </c>
      <c r="G2655" t="s">
        <v>417</v>
      </c>
      <c r="H2655" t="str">
        <f>VLOOKUP(record[[#This Row],[ProcessSN]],表格2_7[],2,FALSE)</f>
        <v>30-4118-018-5XX</v>
      </c>
      <c r="I2655" t="str">
        <f>VLOOKUP(record[[#This Row],[ProcessSN]],表格2_7[],3,FALSE)</f>
        <v>#06</v>
      </c>
      <c r="J2655" t="s">
        <v>593</v>
      </c>
      <c r="K2655" s="195">
        <v>46112.667395833334</v>
      </c>
      <c r="L2655">
        <v>117</v>
      </c>
      <c r="M2655">
        <v>0</v>
      </c>
      <c r="N2655" s="98" t="str">
        <f>IF(record[[#This Row],[Memo]]="Browser:chrome os:android","平板報工",IF(record[[#This Row],[Memo]]=0,"委外",record[[#This Row],[Memo]]))</f>
        <v>平板報工</v>
      </c>
      <c r="O2655" t="s">
        <v>643</v>
      </c>
      <c r="P2655" t="s">
        <v>101</v>
      </c>
      <c r="Q2655" t="s">
        <v>644</v>
      </c>
      <c r="R2655" t="str">
        <f>IFERROR(VLOOKUP(record[[#This Row],[PCUSTID]],廠商[],2,FALSE),"")</f>
        <v/>
      </c>
      <c r="S2655" t="str">
        <f>VLOOKUP(record[[#This Row],[employeeID]],員工[],2,FALSE)</f>
        <v>陳氏絨</v>
      </c>
    </row>
    <row r="2656" spans="6:19" hidden="1" x14ac:dyDescent="0.25">
      <c r="F2656" t="s">
        <v>1694</v>
      </c>
      <c r="G2656" t="s">
        <v>398</v>
      </c>
      <c r="H2656" t="str">
        <f>VLOOKUP(record[[#This Row],[ProcessSN]],表格2_7[],2,FALSE)</f>
        <v>30-4118-018-550</v>
      </c>
      <c r="I2656" t="str">
        <f>VLOOKUP(record[[#This Row],[ProcessSN]],表格2_7[],3,FALSE)</f>
        <v>#08RCV</v>
      </c>
      <c r="J2656" t="s">
        <v>591</v>
      </c>
      <c r="K2656" s="195">
        <v>46112.664641203701</v>
      </c>
      <c r="L2656">
        <v>0</v>
      </c>
      <c r="M2656">
        <v>1</v>
      </c>
      <c r="N2656" s="98" t="str">
        <f>IF(record[[#This Row],[Memo]]="Browser:chrome os:android","平板報工",IF(record[[#This Row],[Memo]]=0,"委外",record[[#This Row],[Memo]]))</f>
        <v/>
      </c>
      <c r="O2656" t="s">
        <v>58</v>
      </c>
      <c r="P2656" t="s">
        <v>186</v>
      </c>
      <c r="Q2656" t="s">
        <v>58</v>
      </c>
      <c r="R2656" t="str">
        <f>IFERROR(VLOOKUP(record[[#This Row],[PCUSTID]],廠商[],2,FALSE),"")</f>
        <v/>
      </c>
      <c r="S2656" t="str">
        <f>VLOOKUP(record[[#This Row],[employeeID]],員工[],2,FALSE)</f>
        <v>許文姍</v>
      </c>
    </row>
    <row r="2657" spans="6:19" hidden="1" x14ac:dyDescent="0.25">
      <c r="F2657" t="s">
        <v>1694</v>
      </c>
      <c r="G2657" t="s">
        <v>399</v>
      </c>
      <c r="H2657" t="str">
        <f>VLOOKUP(record[[#This Row],[ProcessSN]],表格2_7[],2,FALSE)</f>
        <v>30-4118-018-550</v>
      </c>
      <c r="I2657" t="str">
        <f>VLOOKUP(record[[#This Row],[ProcessSN]],表格2_7[],3,FALSE)</f>
        <v>#08IQC</v>
      </c>
      <c r="J2657" t="s">
        <v>583</v>
      </c>
      <c r="K2657" s="195">
        <v>46112.663738425923</v>
      </c>
      <c r="L2657">
        <v>105</v>
      </c>
      <c r="M2657">
        <v>0</v>
      </c>
      <c r="N2657" s="98" t="str">
        <f>IF(record[[#This Row],[Memo]]="Browser:chrome os:android","平板報工",IF(record[[#This Row],[Memo]]=0,"委外",record[[#This Row],[Memo]]))</f>
        <v/>
      </c>
      <c r="O2657" t="s">
        <v>58</v>
      </c>
      <c r="P2657" t="s">
        <v>109</v>
      </c>
      <c r="Q2657" t="s">
        <v>58</v>
      </c>
      <c r="R2657" t="str">
        <f>IFERROR(VLOOKUP(record[[#This Row],[PCUSTID]],廠商[],2,FALSE),"")</f>
        <v/>
      </c>
      <c r="S2657" t="str">
        <f>VLOOKUP(record[[#This Row],[employeeID]],員工[],2,FALSE)</f>
        <v>裴氏璧鳳</v>
      </c>
    </row>
    <row r="2658" spans="6:19" hidden="1" x14ac:dyDescent="0.25">
      <c r="F2658" t="s">
        <v>1694</v>
      </c>
      <c r="G2658" t="s">
        <v>398</v>
      </c>
      <c r="H2658" t="str">
        <f>VLOOKUP(record[[#This Row],[ProcessSN]],表格2_7[],2,FALSE)</f>
        <v>30-4118-018-550</v>
      </c>
      <c r="I2658" t="str">
        <f>VLOOKUP(record[[#This Row],[ProcessSN]],表格2_7[],3,FALSE)</f>
        <v>#08RCV</v>
      </c>
      <c r="J2658" t="s">
        <v>591</v>
      </c>
      <c r="K2658" s="195">
        <v>46112.663599537038</v>
      </c>
      <c r="L2658">
        <v>105</v>
      </c>
      <c r="M2658">
        <v>0</v>
      </c>
      <c r="N2658" s="98" t="str">
        <f>IF(record[[#This Row],[Memo]]="Browser:chrome os:android","平板報工",IF(record[[#This Row],[Memo]]=0,"委外",record[[#This Row],[Memo]]))</f>
        <v/>
      </c>
      <c r="O2658" t="s">
        <v>58</v>
      </c>
      <c r="P2658" t="s">
        <v>186</v>
      </c>
      <c r="Q2658" t="s">
        <v>58</v>
      </c>
      <c r="R2658" t="str">
        <f>IFERROR(VLOOKUP(record[[#This Row],[PCUSTID]],廠商[],2,FALSE),"")</f>
        <v/>
      </c>
      <c r="S2658" t="str">
        <f>VLOOKUP(record[[#This Row],[employeeID]],員工[],2,FALSE)</f>
        <v>許文姍</v>
      </c>
    </row>
    <row r="2659" spans="6:19" hidden="1" x14ac:dyDescent="0.25">
      <c r="F2659" t="s">
        <v>1685</v>
      </c>
      <c r="G2659" t="s">
        <v>399</v>
      </c>
      <c r="H2659" t="str">
        <f>VLOOKUP(record[[#This Row],[ProcessSN]],表格2_7[],2,FALSE)</f>
        <v>30-4118-018-550</v>
      </c>
      <c r="I2659" t="str">
        <f>VLOOKUP(record[[#This Row],[ProcessSN]],表格2_7[],3,FALSE)</f>
        <v>#08IQC</v>
      </c>
      <c r="J2659" t="s">
        <v>583</v>
      </c>
      <c r="K2659" s="195">
        <v>46112.663576388892</v>
      </c>
      <c r="L2659">
        <v>233</v>
      </c>
      <c r="M2659">
        <v>0</v>
      </c>
      <c r="N2659" s="98" t="str">
        <f>IF(record[[#This Row],[Memo]]="Browser:chrome os:android","平板報工",IF(record[[#This Row],[Memo]]=0,"委外",record[[#This Row],[Memo]]))</f>
        <v/>
      </c>
      <c r="O2659" t="s">
        <v>58</v>
      </c>
      <c r="P2659" t="s">
        <v>109</v>
      </c>
      <c r="Q2659" t="s">
        <v>58</v>
      </c>
      <c r="R2659" t="str">
        <f>IFERROR(VLOOKUP(record[[#This Row],[PCUSTID]],廠商[],2,FALSE),"")</f>
        <v/>
      </c>
      <c r="S2659" t="str">
        <f>VLOOKUP(record[[#This Row],[employeeID]],員工[],2,FALSE)</f>
        <v>裴氏璧鳳</v>
      </c>
    </row>
    <row r="2660" spans="6:19" hidden="1" x14ac:dyDescent="0.25">
      <c r="F2660" t="s">
        <v>1685</v>
      </c>
      <c r="G2660" t="s">
        <v>398</v>
      </c>
      <c r="H2660" t="str">
        <f>VLOOKUP(record[[#This Row],[ProcessSN]],表格2_7[],2,FALSE)</f>
        <v>30-4118-018-550</v>
      </c>
      <c r="I2660" t="str">
        <f>VLOOKUP(record[[#This Row],[ProcessSN]],表格2_7[],3,FALSE)</f>
        <v>#08RCV</v>
      </c>
      <c r="J2660" t="s">
        <v>591</v>
      </c>
      <c r="K2660" s="195">
        <v>46112.663414351853</v>
      </c>
      <c r="L2660">
        <v>233</v>
      </c>
      <c r="M2660">
        <v>0</v>
      </c>
      <c r="N2660" s="98" t="str">
        <f>IF(record[[#This Row],[Memo]]="Browser:chrome os:android","平板報工",IF(record[[#This Row],[Memo]]=0,"委外",record[[#This Row],[Memo]]))</f>
        <v/>
      </c>
      <c r="O2660" t="s">
        <v>58</v>
      </c>
      <c r="P2660" t="s">
        <v>186</v>
      </c>
      <c r="Q2660" t="s">
        <v>58</v>
      </c>
      <c r="R2660" t="str">
        <f>IFERROR(VLOOKUP(record[[#This Row],[PCUSTID]],廠商[],2,FALSE),"")</f>
        <v/>
      </c>
      <c r="S2660" t="str">
        <f>VLOOKUP(record[[#This Row],[employeeID]],員工[],2,FALSE)</f>
        <v>許文姍</v>
      </c>
    </row>
    <row r="2661" spans="6:19" hidden="1" x14ac:dyDescent="0.25">
      <c r="F2661" t="s">
        <v>1637</v>
      </c>
      <c r="G2661" t="s">
        <v>450</v>
      </c>
      <c r="H2661" t="str">
        <f>VLOOKUP(record[[#This Row],[ProcessSN]],表格2_7[],2,FALSE)</f>
        <v>30-4118-018-6XX</v>
      </c>
      <c r="I2661" t="str">
        <f>VLOOKUP(record[[#This Row],[ProcessSN]],表格2_7[],3,FALSE)</f>
        <v>#06</v>
      </c>
      <c r="J2661" t="s">
        <v>593</v>
      </c>
      <c r="K2661" s="195">
        <v>46112.655243055553</v>
      </c>
      <c r="L2661">
        <v>0</v>
      </c>
      <c r="M2661">
        <v>4</v>
      </c>
      <c r="N2661" s="98" t="str">
        <f>IF(record[[#This Row],[Memo]]="Browser:chrome os:android","平板報工",IF(record[[#This Row],[Memo]]=0,"委外",record[[#This Row],[Memo]]))</f>
        <v>領1150059</v>
      </c>
      <c r="O2661" t="s">
        <v>1708</v>
      </c>
      <c r="P2661" t="s">
        <v>1611</v>
      </c>
      <c r="Q2661" t="s">
        <v>58</v>
      </c>
      <c r="R2661" t="str">
        <f>IFERROR(VLOOKUP(record[[#This Row],[PCUSTID]],廠商[],2,FALSE),"")</f>
        <v/>
      </c>
      <c r="S2661" t="str">
        <f>VLOOKUP(record[[#This Row],[employeeID]],員工[],2,FALSE)</f>
        <v>林沛瑄</v>
      </c>
    </row>
    <row r="2662" spans="6:19" hidden="1" x14ac:dyDescent="0.25">
      <c r="F2662" t="s">
        <v>1653</v>
      </c>
      <c r="G2662" t="s">
        <v>418</v>
      </c>
      <c r="H2662" t="str">
        <f>VLOOKUP(record[[#This Row],[ProcessSN]],表格2_7[],2,FALSE)</f>
        <v>30-4118-018-5XX</v>
      </c>
      <c r="I2662" t="str">
        <f>VLOOKUP(record[[#This Row],[ProcessSN]],表格2_7[],3,FALSE)</f>
        <v>#07</v>
      </c>
      <c r="J2662" t="s">
        <v>588</v>
      </c>
      <c r="K2662" s="195">
        <v>46112.645613425928</v>
      </c>
      <c r="L2662">
        <v>168</v>
      </c>
      <c r="M2662">
        <v>0</v>
      </c>
      <c r="N2662" s="98" t="str">
        <f>IF(record[[#This Row],[Memo]]="Browser:chrome os:android","平板報工",IF(record[[#This Row],[Memo]]=0,"委外",record[[#This Row],[Memo]]))</f>
        <v>平板報工</v>
      </c>
      <c r="O2662" t="s">
        <v>643</v>
      </c>
      <c r="P2662" t="s">
        <v>145</v>
      </c>
      <c r="Q2662" t="s">
        <v>644</v>
      </c>
      <c r="R2662" t="str">
        <f>IFERROR(VLOOKUP(record[[#This Row],[PCUSTID]],廠商[],2,FALSE),"")</f>
        <v/>
      </c>
      <c r="S2662" t="str">
        <f>VLOOKUP(record[[#This Row],[employeeID]],員工[],2,FALSE)</f>
        <v>阮秋霞</v>
      </c>
    </row>
    <row r="2663" spans="6:19" hidden="1" x14ac:dyDescent="0.25">
      <c r="F2663" t="s">
        <v>1653</v>
      </c>
      <c r="G2663" t="s">
        <v>416</v>
      </c>
      <c r="H2663" t="str">
        <f>VLOOKUP(record[[#This Row],[ProcessSN]],表格2_7[],2,FALSE)</f>
        <v>30-4118-018-5XX</v>
      </c>
      <c r="I2663" t="str">
        <f>VLOOKUP(record[[#This Row],[ProcessSN]],表格2_7[],3,FALSE)</f>
        <v>#05</v>
      </c>
      <c r="J2663" t="s">
        <v>588</v>
      </c>
      <c r="K2663" s="195">
        <v>46112.643530092595</v>
      </c>
      <c r="L2663">
        <v>231</v>
      </c>
      <c r="M2663">
        <v>0</v>
      </c>
      <c r="N2663" s="98" t="str">
        <f>IF(record[[#This Row],[Memo]]="Browser:chrome os:android","平板報工",IF(record[[#This Row],[Memo]]=0,"委外",record[[#This Row],[Memo]]))</f>
        <v>平板報工</v>
      </c>
      <c r="O2663" t="s">
        <v>643</v>
      </c>
      <c r="P2663" t="s">
        <v>785</v>
      </c>
      <c r="Q2663" t="s">
        <v>644</v>
      </c>
      <c r="R2663" t="str">
        <f>IFERROR(VLOOKUP(record[[#This Row],[PCUSTID]],廠商[],2,FALSE),"")</f>
        <v/>
      </c>
      <c r="S2663" t="str">
        <f>VLOOKUP(record[[#This Row],[employeeID]],員工[],2,FALSE)</f>
        <v>謝刻光</v>
      </c>
    </row>
    <row r="2664" spans="6:19" hidden="1" x14ac:dyDescent="0.25">
      <c r="F2664" t="s">
        <v>1653</v>
      </c>
      <c r="G2664" t="s">
        <v>415</v>
      </c>
      <c r="H2664" t="str">
        <f>VLOOKUP(record[[#This Row],[ProcessSN]],表格2_7[],2,FALSE)</f>
        <v>30-4118-018-5XX</v>
      </c>
      <c r="I2664" t="str">
        <f>VLOOKUP(record[[#This Row],[ProcessSN]],表格2_7[],3,FALSE)</f>
        <v>#04</v>
      </c>
      <c r="J2664" t="s">
        <v>588</v>
      </c>
      <c r="K2664" s="195">
        <v>46112.63989583333</v>
      </c>
      <c r="L2664">
        <v>102</v>
      </c>
      <c r="M2664">
        <v>6</v>
      </c>
      <c r="N2664" s="98" t="str">
        <f>IF(record[[#This Row],[Memo]]="Browser:chrome os:android","平板報工",IF(record[[#This Row],[Memo]]=0,"委外",record[[#This Row],[Memo]]))</f>
        <v>平板報工</v>
      </c>
      <c r="O2664" t="s">
        <v>643</v>
      </c>
      <c r="P2664" t="s">
        <v>107</v>
      </c>
      <c r="Q2664" t="s">
        <v>644</v>
      </c>
      <c r="R2664" t="str">
        <f>IFERROR(VLOOKUP(record[[#This Row],[PCUSTID]],廠商[],2,FALSE),"")</f>
        <v/>
      </c>
      <c r="S2664" t="str">
        <f>VLOOKUP(record[[#This Row],[employeeID]],員工[],2,FALSE)</f>
        <v>黎氏順</v>
      </c>
    </row>
    <row r="2665" spans="6:19" hidden="1" x14ac:dyDescent="0.25">
      <c r="F2665" t="s">
        <v>1637</v>
      </c>
      <c r="G2665" t="s">
        <v>448</v>
      </c>
      <c r="H2665" t="str">
        <f>VLOOKUP(record[[#This Row],[ProcessSN]],表格2_7[],2,FALSE)</f>
        <v>30-4118-018-6XX</v>
      </c>
      <c r="I2665" t="str">
        <f>VLOOKUP(record[[#This Row],[ProcessSN]],表格2_7[],3,FALSE)</f>
        <v>#04</v>
      </c>
      <c r="J2665" t="s">
        <v>588</v>
      </c>
      <c r="K2665" s="195">
        <v>46112.638969907406</v>
      </c>
      <c r="L2665">
        <v>16</v>
      </c>
      <c r="M2665">
        <v>0</v>
      </c>
      <c r="N2665" s="98" t="str">
        <f>IF(record[[#This Row],[Memo]]="Browser:chrome os:android","平板報工",IF(record[[#This Row],[Memo]]=0,"委外",record[[#This Row],[Memo]]))</f>
        <v>平板報工</v>
      </c>
      <c r="O2665" t="s">
        <v>643</v>
      </c>
      <c r="P2665" t="s">
        <v>107</v>
      </c>
      <c r="Q2665" t="s">
        <v>644</v>
      </c>
      <c r="R2665" t="str">
        <f>IFERROR(VLOOKUP(record[[#This Row],[PCUSTID]],廠商[],2,FALSE),"")</f>
        <v/>
      </c>
      <c r="S2665" t="str">
        <f>VLOOKUP(record[[#This Row],[employeeID]],員工[],2,FALSE)</f>
        <v>黎氏順</v>
      </c>
    </row>
    <row r="2666" spans="6:19" hidden="1" x14ac:dyDescent="0.25">
      <c r="F2666" t="s">
        <v>1702</v>
      </c>
      <c r="G2666" t="s">
        <v>371</v>
      </c>
      <c r="H2666" t="str">
        <f>VLOOKUP(record[[#This Row],[ProcessSN]],表格2_7[],2,FALSE)</f>
        <v>30-4118-018-4XX</v>
      </c>
      <c r="I2666" t="str">
        <f>VLOOKUP(record[[#This Row],[ProcessSN]],表格2_7[],3,FALSE)</f>
        <v>#03PICK</v>
      </c>
      <c r="J2666" t="s">
        <v>582</v>
      </c>
      <c r="K2666" s="195">
        <v>46112.625196759262</v>
      </c>
      <c r="L2666">
        <v>1478</v>
      </c>
      <c r="M2666">
        <v>0</v>
      </c>
      <c r="N2666" s="98" t="str">
        <f>IF(record[[#This Row],[Memo]]="Browser:chrome os:android","平板報工",IF(record[[#This Row],[Memo]]=0,"委外",record[[#This Row],[Memo]]))</f>
        <v/>
      </c>
      <c r="O2666" t="s">
        <v>58</v>
      </c>
      <c r="P2666" t="s">
        <v>125</v>
      </c>
      <c r="Q2666" t="s">
        <v>58</v>
      </c>
      <c r="R2666" t="str">
        <f>IFERROR(VLOOKUP(record[[#This Row],[PCUSTID]],廠商[],2,FALSE),"")</f>
        <v/>
      </c>
      <c r="S2666" t="str">
        <f>VLOOKUP(record[[#This Row],[employeeID]],員工[],2,FALSE)</f>
        <v>黃瓈巧</v>
      </c>
    </row>
    <row r="2667" spans="6:19" hidden="1" x14ac:dyDescent="0.25">
      <c r="F2667" t="s">
        <v>1602</v>
      </c>
      <c r="G2667" t="s">
        <v>471</v>
      </c>
      <c r="H2667" t="str">
        <f>VLOOKUP(record[[#This Row],[ProcessSN]],表格2_7[],2,FALSE)</f>
        <v>30-4118-018-XXX</v>
      </c>
      <c r="I2667" t="str">
        <f>VLOOKUP(record[[#This Row],[ProcessSN]],表格2_7[],3,FALSE)</f>
        <v>#02STOCK</v>
      </c>
      <c r="J2667" t="s">
        <v>592</v>
      </c>
      <c r="K2667" s="195">
        <v>46112.625069444446</v>
      </c>
      <c r="L2667">
        <v>1470</v>
      </c>
      <c r="M2667">
        <v>0</v>
      </c>
      <c r="N2667" s="98" t="str">
        <f>IF(record[[#This Row],[Memo]]="Browser:chrome os:android","平板報工",IF(record[[#This Row],[Memo]]=0,"委外",record[[#This Row],[Memo]]))</f>
        <v/>
      </c>
      <c r="O2667" t="s">
        <v>58</v>
      </c>
      <c r="P2667" t="s">
        <v>125</v>
      </c>
      <c r="Q2667" t="s">
        <v>58</v>
      </c>
      <c r="R2667" t="str">
        <f>IFERROR(VLOOKUP(record[[#This Row],[PCUSTID]],廠商[],2,FALSE),"")</f>
        <v/>
      </c>
      <c r="S2667" t="str">
        <f>VLOOKUP(record[[#This Row],[employeeID]],員工[],2,FALSE)</f>
        <v>黃瓈巧</v>
      </c>
    </row>
    <row r="2668" spans="6:19" hidden="1" x14ac:dyDescent="0.25">
      <c r="F2668" t="s">
        <v>1531</v>
      </c>
      <c r="G2668" t="s">
        <v>471</v>
      </c>
      <c r="H2668" t="str">
        <f>VLOOKUP(record[[#This Row],[ProcessSN]],表格2_7[],2,FALSE)</f>
        <v>30-4118-018-XXX</v>
      </c>
      <c r="I2668" t="str">
        <f>VLOOKUP(record[[#This Row],[ProcessSN]],表格2_7[],3,FALSE)</f>
        <v>#02STOCK</v>
      </c>
      <c r="J2668" t="s">
        <v>592</v>
      </c>
      <c r="K2668" s="195">
        <v>46112.624907407408</v>
      </c>
      <c r="L2668">
        <v>8</v>
      </c>
      <c r="M2668">
        <v>0</v>
      </c>
      <c r="N2668" s="98" t="str">
        <f>IF(record[[#This Row],[Memo]]="Browser:chrome os:android","平板報工",IF(record[[#This Row],[Memo]]=0,"委外",record[[#This Row],[Memo]]))</f>
        <v/>
      </c>
      <c r="O2668" t="s">
        <v>58</v>
      </c>
      <c r="P2668" t="s">
        <v>125</v>
      </c>
      <c r="Q2668" t="s">
        <v>58</v>
      </c>
      <c r="R2668" t="str">
        <f>IFERROR(VLOOKUP(record[[#This Row],[PCUSTID]],廠商[],2,FALSE),"")</f>
        <v/>
      </c>
      <c r="S2668" t="str">
        <f>VLOOKUP(record[[#This Row],[employeeID]],員工[],2,FALSE)</f>
        <v>黃瓈巧</v>
      </c>
    </row>
    <row r="2669" spans="6:19" hidden="1" x14ac:dyDescent="0.25">
      <c r="F2669" t="s">
        <v>1705</v>
      </c>
      <c r="G2669" t="s">
        <v>422</v>
      </c>
      <c r="H2669" t="str">
        <f>VLOOKUP(record[[#This Row],[ProcessSN]],表格2_7[],2,FALSE)</f>
        <v>30-4118-018-600</v>
      </c>
      <c r="I2669" t="str">
        <f>VLOOKUP(record[[#This Row],[ProcessSN]],表格2_7[],3,FALSE)</f>
        <v>#08</v>
      </c>
      <c r="J2669" t="s">
        <v>597</v>
      </c>
      <c r="K2669" s="195">
        <v>46112.602395833332</v>
      </c>
      <c r="L2669">
        <v>381</v>
      </c>
      <c r="M2669">
        <v>0</v>
      </c>
      <c r="N2669" s="98" t="str">
        <f>IF(record[[#This Row],[Memo]]="Browser:chrome os:android","平板報工",IF(record[[#This Row],[Memo]]=0,"委外",record[[#This Row],[Memo]]))</f>
        <v>委外</v>
      </c>
      <c r="P2669" t="s">
        <v>186</v>
      </c>
      <c r="Q2669" t="s">
        <v>287</v>
      </c>
      <c r="R2669" t="str">
        <f>IFERROR(VLOOKUP(record[[#This Row],[PCUSTID]],廠商[],2,FALSE),"")</f>
        <v>泉盛</v>
      </c>
      <c r="S2669" t="str">
        <f>VLOOKUP(record[[#This Row],[employeeID]],員工[],2,FALSE)</f>
        <v>許文姍</v>
      </c>
    </row>
    <row r="2670" spans="6:19" hidden="1" x14ac:dyDescent="0.25">
      <c r="F2670" t="s">
        <v>1704</v>
      </c>
      <c r="G2670" t="s">
        <v>397</v>
      </c>
      <c r="H2670" t="str">
        <f>VLOOKUP(record[[#This Row],[ProcessSN]],表格2_7[],2,FALSE)</f>
        <v>30-4118-018-550</v>
      </c>
      <c r="I2670" t="str">
        <f>VLOOKUP(record[[#This Row],[ProcessSN]],表格2_7[],3,FALSE)</f>
        <v>#08</v>
      </c>
      <c r="J2670" t="s">
        <v>597</v>
      </c>
      <c r="K2670" s="195">
        <v>46112.602268518516</v>
      </c>
      <c r="L2670">
        <v>331</v>
      </c>
      <c r="M2670">
        <v>0</v>
      </c>
      <c r="N2670" s="98" t="str">
        <f>IF(record[[#This Row],[Memo]]="Browser:chrome os:android","平板報工",IF(record[[#This Row],[Memo]]=0,"委外",record[[#This Row],[Memo]]))</f>
        <v>委外</v>
      </c>
      <c r="P2670" t="s">
        <v>186</v>
      </c>
      <c r="Q2670" t="s">
        <v>287</v>
      </c>
      <c r="R2670" t="str">
        <f>IFERROR(VLOOKUP(record[[#This Row],[PCUSTID]],廠商[],2,FALSE),"")</f>
        <v>泉盛</v>
      </c>
      <c r="S2670" t="str">
        <f>VLOOKUP(record[[#This Row],[employeeID]],員工[],2,FALSE)</f>
        <v>許文姍</v>
      </c>
    </row>
    <row r="2671" spans="6:19" hidden="1" x14ac:dyDescent="0.25">
      <c r="F2671" t="s">
        <v>1705</v>
      </c>
      <c r="G2671" t="s">
        <v>421</v>
      </c>
      <c r="H2671" t="str">
        <f>VLOOKUP(record[[#This Row],[ProcessSN]],表格2_7[],2,FALSE)</f>
        <v>30-4118-018-600</v>
      </c>
      <c r="I2671" t="str">
        <f>VLOOKUP(record[[#This Row],[ProcessSN]],表格2_7[],3,FALSE)</f>
        <v>#08PICK</v>
      </c>
      <c r="J2671" t="s">
        <v>582</v>
      </c>
      <c r="K2671" s="195">
        <v>46112.602013888885</v>
      </c>
      <c r="L2671">
        <v>381</v>
      </c>
      <c r="M2671">
        <v>0</v>
      </c>
      <c r="N2671" s="98" t="str">
        <f>IF(record[[#This Row],[Memo]]="Browser:chrome os:android","平板報工",IF(record[[#This Row],[Memo]]=0,"委外",record[[#This Row],[Memo]]))</f>
        <v/>
      </c>
      <c r="O2671" t="s">
        <v>58</v>
      </c>
      <c r="P2671" t="s">
        <v>186</v>
      </c>
      <c r="Q2671" t="s">
        <v>58</v>
      </c>
      <c r="R2671" t="str">
        <f>IFERROR(VLOOKUP(record[[#This Row],[PCUSTID]],廠商[],2,FALSE),"")</f>
        <v/>
      </c>
      <c r="S2671" t="str">
        <f>VLOOKUP(record[[#This Row],[employeeID]],員工[],2,FALSE)</f>
        <v>許文姍</v>
      </c>
    </row>
    <row r="2672" spans="6:19" hidden="1" x14ac:dyDescent="0.25">
      <c r="F2672" t="s">
        <v>1704</v>
      </c>
      <c r="G2672" t="s">
        <v>396</v>
      </c>
      <c r="H2672" t="str">
        <f>VLOOKUP(record[[#This Row],[ProcessSN]],表格2_7[],2,FALSE)</f>
        <v>30-4118-018-550</v>
      </c>
      <c r="I2672" t="str">
        <f>VLOOKUP(record[[#This Row],[ProcessSN]],表格2_7[],3,FALSE)</f>
        <v>#08PICK</v>
      </c>
      <c r="J2672" t="s">
        <v>582</v>
      </c>
      <c r="K2672" s="195">
        <v>46112.601898148147</v>
      </c>
      <c r="L2672">
        <v>331</v>
      </c>
      <c r="M2672">
        <v>0</v>
      </c>
      <c r="N2672" s="98" t="str">
        <f>IF(record[[#This Row],[Memo]]="Browser:chrome os:android","平板報工",IF(record[[#This Row],[Memo]]=0,"委外",record[[#This Row],[Memo]]))</f>
        <v/>
      </c>
      <c r="O2672" t="s">
        <v>58</v>
      </c>
      <c r="P2672" t="s">
        <v>186</v>
      </c>
      <c r="Q2672" t="s">
        <v>58</v>
      </c>
      <c r="R2672" t="str">
        <f>IFERROR(VLOOKUP(record[[#This Row],[PCUSTID]],廠商[],2,FALSE),"")</f>
        <v/>
      </c>
      <c r="S2672" t="str">
        <f>VLOOKUP(record[[#This Row],[employeeID]],員工[],2,FALSE)</f>
        <v>許文姍</v>
      </c>
    </row>
    <row r="2673" spans="6:19" hidden="1" x14ac:dyDescent="0.25">
      <c r="F2673" t="s">
        <v>1527</v>
      </c>
      <c r="G2673" t="s">
        <v>453</v>
      </c>
      <c r="H2673" t="str">
        <f>VLOOKUP(record[[#This Row],[ProcessSN]],表格2_7[],2,FALSE)</f>
        <v>30-4118-018-6XX</v>
      </c>
      <c r="I2673" t="str">
        <f>VLOOKUP(record[[#This Row],[ProcessSN]],表格2_7[],3,FALSE)</f>
        <v>#07STOCK</v>
      </c>
      <c r="J2673" t="s">
        <v>592</v>
      </c>
      <c r="K2673" s="195">
        <v>46112.599548611113</v>
      </c>
      <c r="L2673">
        <v>24</v>
      </c>
      <c r="M2673">
        <v>0</v>
      </c>
      <c r="N2673" s="98" t="str">
        <f>IF(record[[#This Row],[Memo]]="Browser:chrome os:android","平板報工",IF(record[[#This Row],[Memo]]=0,"委外",record[[#This Row],[Memo]]))</f>
        <v/>
      </c>
      <c r="O2673" t="s">
        <v>58</v>
      </c>
      <c r="P2673" t="s">
        <v>186</v>
      </c>
      <c r="Q2673" t="s">
        <v>58</v>
      </c>
      <c r="R2673" t="str">
        <f>IFERROR(VLOOKUP(record[[#This Row],[PCUSTID]],廠商[],2,FALSE),"")</f>
        <v/>
      </c>
      <c r="S2673" t="str">
        <f>VLOOKUP(record[[#This Row],[employeeID]],員工[],2,FALSE)</f>
        <v>許文姍</v>
      </c>
    </row>
    <row r="2674" spans="6:19" hidden="1" x14ac:dyDescent="0.25">
      <c r="F2674" t="s">
        <v>1493</v>
      </c>
      <c r="G2674" t="s">
        <v>453</v>
      </c>
      <c r="H2674" t="str">
        <f>VLOOKUP(record[[#This Row],[ProcessSN]],表格2_7[],2,FALSE)</f>
        <v>30-4118-018-6XX</v>
      </c>
      <c r="I2674" t="str">
        <f>VLOOKUP(record[[#This Row],[ProcessSN]],表格2_7[],3,FALSE)</f>
        <v>#07STOCK</v>
      </c>
      <c r="J2674" t="s">
        <v>592</v>
      </c>
      <c r="K2674" s="195">
        <v>46112.599421296298</v>
      </c>
      <c r="L2674">
        <v>16</v>
      </c>
      <c r="M2674">
        <v>0</v>
      </c>
      <c r="N2674" s="98" t="str">
        <f>IF(record[[#This Row],[Memo]]="Browser:chrome os:android","平板報工",IF(record[[#This Row],[Memo]]=0,"委外",record[[#This Row],[Memo]]))</f>
        <v/>
      </c>
      <c r="O2674" t="s">
        <v>58</v>
      </c>
      <c r="P2674" t="s">
        <v>186</v>
      </c>
      <c r="Q2674" t="s">
        <v>58</v>
      </c>
      <c r="R2674" t="str">
        <f>IFERROR(VLOOKUP(record[[#This Row],[PCUSTID]],廠商[],2,FALSE),"")</f>
        <v/>
      </c>
      <c r="S2674" t="str">
        <f>VLOOKUP(record[[#This Row],[employeeID]],員工[],2,FALSE)</f>
        <v>許文姍</v>
      </c>
    </row>
    <row r="2675" spans="6:19" hidden="1" x14ac:dyDescent="0.25">
      <c r="F2675" t="s">
        <v>1474</v>
      </c>
      <c r="G2675" t="s">
        <v>453</v>
      </c>
      <c r="H2675" t="str">
        <f>VLOOKUP(record[[#This Row],[ProcessSN]],表格2_7[],2,FALSE)</f>
        <v>30-4118-018-6XX</v>
      </c>
      <c r="I2675" t="str">
        <f>VLOOKUP(record[[#This Row],[ProcessSN]],表格2_7[],3,FALSE)</f>
        <v>#07STOCK</v>
      </c>
      <c r="J2675" t="s">
        <v>592</v>
      </c>
      <c r="K2675" s="195">
        <v>46112.599305555559</v>
      </c>
      <c r="L2675">
        <v>1</v>
      </c>
      <c r="M2675">
        <v>0</v>
      </c>
      <c r="N2675" s="98" t="str">
        <f>IF(record[[#This Row],[Memo]]="Browser:chrome os:android","平板報工",IF(record[[#This Row],[Memo]]=0,"委外",record[[#This Row],[Memo]]))</f>
        <v/>
      </c>
      <c r="O2675" t="s">
        <v>58</v>
      </c>
      <c r="P2675" t="s">
        <v>186</v>
      </c>
      <c r="Q2675" t="s">
        <v>58</v>
      </c>
      <c r="R2675" t="str">
        <f>IFERROR(VLOOKUP(record[[#This Row],[PCUSTID]],廠商[],2,FALSE),"")</f>
        <v/>
      </c>
      <c r="S2675" t="str">
        <f>VLOOKUP(record[[#This Row],[employeeID]],員工[],2,FALSE)</f>
        <v>許文姍</v>
      </c>
    </row>
    <row r="2676" spans="6:19" hidden="1" x14ac:dyDescent="0.25">
      <c r="F2676" t="s">
        <v>1637</v>
      </c>
      <c r="G2676" t="s">
        <v>453</v>
      </c>
      <c r="H2676" t="str">
        <f>VLOOKUP(record[[#This Row],[ProcessSN]],表格2_7[],2,FALSE)</f>
        <v>30-4118-018-6XX</v>
      </c>
      <c r="I2676" t="str">
        <f>VLOOKUP(record[[#This Row],[ProcessSN]],表格2_7[],3,FALSE)</f>
        <v>#07STOCK</v>
      </c>
      <c r="J2676" t="s">
        <v>592</v>
      </c>
      <c r="K2676" s="195">
        <v>46112.59915509259</v>
      </c>
      <c r="L2676">
        <v>340</v>
      </c>
      <c r="M2676">
        <v>0</v>
      </c>
      <c r="N2676" s="98" t="str">
        <f>IF(record[[#This Row],[Memo]]="Browser:chrome os:android","平板報工",IF(record[[#This Row],[Memo]]=0,"委外",record[[#This Row],[Memo]]))</f>
        <v/>
      </c>
      <c r="O2676" t="s">
        <v>58</v>
      </c>
      <c r="P2676" t="s">
        <v>186</v>
      </c>
      <c r="Q2676" t="s">
        <v>58</v>
      </c>
      <c r="R2676" t="str">
        <f>IFERROR(VLOOKUP(record[[#This Row],[PCUSTID]],廠商[],2,FALSE),"")</f>
        <v/>
      </c>
      <c r="S2676" t="str">
        <f>VLOOKUP(record[[#This Row],[employeeID]],員工[],2,FALSE)</f>
        <v>許文姍</v>
      </c>
    </row>
    <row r="2677" spans="6:19" hidden="1" x14ac:dyDescent="0.25">
      <c r="F2677" t="s">
        <v>1653</v>
      </c>
      <c r="G2677" t="s">
        <v>420</v>
      </c>
      <c r="H2677" t="str">
        <f>VLOOKUP(record[[#This Row],[ProcessSN]],表格2_7[],2,FALSE)</f>
        <v>30-4118-018-5XX</v>
      </c>
      <c r="I2677" t="str">
        <f>VLOOKUP(record[[#This Row],[ProcessSN]],表格2_7[],3,FALSE)</f>
        <v>#07STOCK</v>
      </c>
      <c r="J2677" t="s">
        <v>592</v>
      </c>
      <c r="K2677" s="195">
        <v>46112.598726851851</v>
      </c>
      <c r="L2677">
        <v>331</v>
      </c>
      <c r="M2677">
        <v>0</v>
      </c>
      <c r="N2677" s="98" t="str">
        <f>IF(record[[#This Row],[Memo]]="Browser:chrome os:android","平板報工",IF(record[[#This Row],[Memo]]=0,"委外",record[[#This Row],[Memo]]))</f>
        <v/>
      </c>
      <c r="O2677" t="s">
        <v>58</v>
      </c>
      <c r="P2677" t="s">
        <v>186</v>
      </c>
      <c r="Q2677" t="s">
        <v>58</v>
      </c>
      <c r="R2677" t="str">
        <f>IFERROR(VLOOKUP(record[[#This Row],[PCUSTID]],廠商[],2,FALSE),"")</f>
        <v/>
      </c>
      <c r="S2677" t="str">
        <f>VLOOKUP(record[[#This Row],[employeeID]],員工[],2,FALSE)</f>
        <v>許文姍</v>
      </c>
    </row>
    <row r="2678" spans="6:19" hidden="1" x14ac:dyDescent="0.25">
      <c r="F2678" t="s">
        <v>1653</v>
      </c>
      <c r="G2678" t="s">
        <v>419</v>
      </c>
      <c r="H2678" t="str">
        <f>VLOOKUP(record[[#This Row],[ProcessSN]],表格2_7[],2,FALSE)</f>
        <v>30-4118-018-5XX</v>
      </c>
      <c r="I2678" t="str">
        <f>VLOOKUP(record[[#This Row],[ProcessSN]],表格2_7[],3,FALSE)</f>
        <v>#07QC</v>
      </c>
      <c r="J2678" t="s">
        <v>589</v>
      </c>
      <c r="K2678" s="195">
        <v>46112.567187499997</v>
      </c>
      <c r="L2678">
        <v>0</v>
      </c>
      <c r="M2678">
        <v>2</v>
      </c>
      <c r="N2678" s="98" t="str">
        <f>IF(record[[#This Row],[Memo]]="Browser:chrome os:android","平板報工",IF(record[[#This Row],[Memo]]=0,"委外",record[[#This Row],[Memo]]))</f>
        <v/>
      </c>
      <c r="O2678" t="s">
        <v>58</v>
      </c>
      <c r="P2678" t="s">
        <v>141</v>
      </c>
      <c r="Q2678" t="s">
        <v>58</v>
      </c>
      <c r="R2678" t="str">
        <f>IFERROR(VLOOKUP(record[[#This Row],[PCUSTID]],廠商[],2,FALSE),"")</f>
        <v/>
      </c>
      <c r="S2678" t="str">
        <f>VLOOKUP(record[[#This Row],[employeeID]],員工[],2,FALSE)</f>
        <v>蔣梅</v>
      </c>
    </row>
    <row r="2679" spans="6:19" hidden="1" x14ac:dyDescent="0.25">
      <c r="F2679" t="s">
        <v>1653</v>
      </c>
      <c r="G2679" t="s">
        <v>419</v>
      </c>
      <c r="H2679" t="str">
        <f>VLOOKUP(record[[#This Row],[ProcessSN]],表格2_7[],2,FALSE)</f>
        <v>30-4118-018-5XX</v>
      </c>
      <c r="I2679" t="str">
        <f>VLOOKUP(record[[#This Row],[ProcessSN]],表格2_7[],3,FALSE)</f>
        <v>#07QC</v>
      </c>
      <c r="J2679" t="s">
        <v>589</v>
      </c>
      <c r="K2679" s="195">
        <v>46112.567013888889</v>
      </c>
      <c r="L2679">
        <v>331</v>
      </c>
      <c r="M2679">
        <v>0</v>
      </c>
      <c r="N2679" s="98" t="str">
        <f>IF(record[[#This Row],[Memo]]="Browser:chrome os:android","平板報工",IF(record[[#This Row],[Memo]]=0,"委外",record[[#This Row],[Memo]]))</f>
        <v/>
      </c>
      <c r="O2679" t="s">
        <v>58</v>
      </c>
      <c r="P2679" t="s">
        <v>141</v>
      </c>
      <c r="Q2679" t="s">
        <v>58</v>
      </c>
      <c r="R2679" t="str">
        <f>IFERROR(VLOOKUP(record[[#This Row],[PCUSTID]],廠商[],2,FALSE),"")</f>
        <v/>
      </c>
      <c r="S2679" t="str">
        <f>VLOOKUP(record[[#This Row],[employeeID]],員工[],2,FALSE)</f>
        <v>蔣梅</v>
      </c>
    </row>
    <row r="2680" spans="6:19" hidden="1" x14ac:dyDescent="0.25">
      <c r="F2680" t="s">
        <v>1653</v>
      </c>
      <c r="G2680" t="s">
        <v>417</v>
      </c>
      <c r="H2680" t="str">
        <f>VLOOKUP(record[[#This Row],[ProcessSN]],表格2_7[],2,FALSE)</f>
        <v>30-4118-018-5XX</v>
      </c>
      <c r="I2680" t="str">
        <f>VLOOKUP(record[[#This Row],[ProcessSN]],表格2_7[],3,FALSE)</f>
        <v>#06</v>
      </c>
      <c r="J2680" t="s">
        <v>593</v>
      </c>
      <c r="K2680" s="195">
        <v>46112.48269675926</v>
      </c>
      <c r="L2680">
        <v>67</v>
      </c>
      <c r="M2680">
        <v>0</v>
      </c>
      <c r="N2680" s="98" t="str">
        <f>IF(record[[#This Row],[Memo]]="Browser:chrome os:android","平板報工",IF(record[[#This Row],[Memo]]=0,"委外",record[[#This Row],[Memo]]))</f>
        <v/>
      </c>
      <c r="O2680" t="s">
        <v>58</v>
      </c>
      <c r="P2680" t="s">
        <v>180</v>
      </c>
      <c r="Q2680" t="s">
        <v>58</v>
      </c>
      <c r="R2680" t="str">
        <f>IFERROR(VLOOKUP(record[[#This Row],[PCUSTID]],廠商[],2,FALSE),"")</f>
        <v/>
      </c>
      <c r="S2680" t="str">
        <f>VLOOKUP(record[[#This Row],[employeeID]],員工[],2,FALSE)</f>
        <v>黎功江</v>
      </c>
    </row>
    <row r="2681" spans="6:19" hidden="1" x14ac:dyDescent="0.25">
      <c r="F2681" t="s">
        <v>1689</v>
      </c>
      <c r="G2681" t="s">
        <v>428</v>
      </c>
      <c r="H2681" t="str">
        <f>VLOOKUP(record[[#This Row],[ProcessSN]],表格2_7[],2,FALSE)</f>
        <v>30-4118-018-600</v>
      </c>
      <c r="I2681" t="str">
        <f>VLOOKUP(record[[#This Row],[ProcessSN]],表格2_7[],3,FALSE)</f>
        <v>#100SHIP</v>
      </c>
      <c r="J2681" t="s">
        <v>600</v>
      </c>
      <c r="K2681" s="195">
        <v>46112.463483796295</v>
      </c>
      <c r="L2681">
        <v>45</v>
      </c>
      <c r="M2681">
        <v>0</v>
      </c>
      <c r="N2681" s="98" t="str">
        <f>IF(record[[#This Row],[Memo]]="Browser:chrome os:android","平板報工",IF(record[[#This Row],[Memo]]=0,"委外",record[[#This Row],[Memo]]))</f>
        <v/>
      </c>
      <c r="O2681" t="s">
        <v>58</v>
      </c>
      <c r="P2681" t="s">
        <v>886</v>
      </c>
      <c r="Q2681" t="s">
        <v>58</v>
      </c>
      <c r="R2681" t="str">
        <f>IFERROR(VLOOKUP(record[[#This Row],[PCUSTID]],廠商[],2,FALSE),"")</f>
        <v/>
      </c>
      <c r="S2681" t="str">
        <f>VLOOKUP(record[[#This Row],[employeeID]],員工[],2,FALSE)</f>
        <v>謝蓁薰</v>
      </c>
    </row>
    <row r="2682" spans="6:19" hidden="1" x14ac:dyDescent="0.25">
      <c r="F2682" t="s">
        <v>1689</v>
      </c>
      <c r="G2682" t="s">
        <v>427</v>
      </c>
      <c r="H2682" t="str">
        <f>VLOOKUP(record[[#This Row],[ProcessSN]],表格2_7[],2,FALSE)</f>
        <v>30-4118-018-600</v>
      </c>
      <c r="I2682" t="str">
        <f>VLOOKUP(record[[#This Row],[ProcessSN]],表格2_7[],3,FALSE)</f>
        <v>#100STOCK</v>
      </c>
      <c r="J2682" t="s">
        <v>592</v>
      </c>
      <c r="K2682" s="195">
        <v>46112.46334490741</v>
      </c>
      <c r="L2682">
        <v>45</v>
      </c>
      <c r="M2682">
        <v>0</v>
      </c>
      <c r="N2682" s="98" t="str">
        <f>IF(record[[#This Row],[Memo]]="Browser:chrome os:android","平板報工",IF(record[[#This Row],[Memo]]=0,"委外",record[[#This Row],[Memo]]))</f>
        <v/>
      </c>
      <c r="O2682" t="s">
        <v>58</v>
      </c>
      <c r="P2682" t="s">
        <v>886</v>
      </c>
      <c r="Q2682" t="s">
        <v>58</v>
      </c>
      <c r="R2682" t="str">
        <f>IFERROR(VLOOKUP(record[[#This Row],[PCUSTID]],廠商[],2,FALSE),"")</f>
        <v/>
      </c>
      <c r="S2682" t="str">
        <f>VLOOKUP(record[[#This Row],[employeeID]],員工[],2,FALSE)</f>
        <v>謝蓁薰</v>
      </c>
    </row>
    <row r="2683" spans="6:19" hidden="1" x14ac:dyDescent="0.25">
      <c r="F2683" t="s">
        <v>1589</v>
      </c>
      <c r="G2683" t="s">
        <v>418</v>
      </c>
      <c r="H2683" t="str">
        <f>VLOOKUP(record[[#This Row],[ProcessSN]],表格2_7[],2,FALSE)</f>
        <v>30-4118-018-5XX</v>
      </c>
      <c r="I2683" t="str">
        <f>VLOOKUP(record[[#This Row],[ProcessSN]],表格2_7[],3,FALSE)</f>
        <v>#07</v>
      </c>
      <c r="J2683" t="s">
        <v>588</v>
      </c>
      <c r="K2683" s="195">
        <v>46112.462094907409</v>
      </c>
      <c r="L2683">
        <v>214</v>
      </c>
      <c r="M2683">
        <v>0</v>
      </c>
      <c r="N2683" s="98" t="str">
        <f>IF(record[[#This Row],[Memo]]="Browser:chrome os:android","平板報工",IF(record[[#This Row],[Memo]]=0,"委外",record[[#This Row],[Memo]]))</f>
        <v>覆回*1PCS(3/12)</v>
      </c>
      <c r="O2683" t="s">
        <v>1697</v>
      </c>
      <c r="P2683" t="s">
        <v>101</v>
      </c>
      <c r="Q2683" t="s">
        <v>58</v>
      </c>
      <c r="R2683" t="str">
        <f>IFERROR(VLOOKUP(record[[#This Row],[PCUSTID]],廠商[],2,FALSE),"")</f>
        <v/>
      </c>
      <c r="S2683" t="str">
        <f>VLOOKUP(record[[#This Row],[employeeID]],員工[],2,FALSE)</f>
        <v>陳氏絨</v>
      </c>
    </row>
    <row r="2684" spans="6:19" hidden="1" x14ac:dyDescent="0.25">
      <c r="F2684" t="s">
        <v>1637</v>
      </c>
      <c r="G2684" t="s">
        <v>452</v>
      </c>
      <c r="H2684" t="str">
        <f>VLOOKUP(record[[#This Row],[ProcessSN]],表格2_7[],2,FALSE)</f>
        <v>30-4118-018-6XX</v>
      </c>
      <c r="I2684" t="str">
        <f>VLOOKUP(record[[#This Row],[ProcessSN]],表格2_7[],3,FALSE)</f>
        <v>#07QC</v>
      </c>
      <c r="J2684" t="s">
        <v>589</v>
      </c>
      <c r="K2684" s="195">
        <v>46112.42083333333</v>
      </c>
      <c r="L2684">
        <v>0</v>
      </c>
      <c r="M2684">
        <v>10</v>
      </c>
      <c r="N2684" s="98" t="str">
        <f>IF(record[[#This Row],[Memo]]="Browser:chrome os:android","平板報工",IF(record[[#This Row],[Memo]]=0,"委外",record[[#This Row],[Memo]]))</f>
        <v/>
      </c>
      <c r="O2684" t="s">
        <v>58</v>
      </c>
      <c r="P2684" t="s">
        <v>141</v>
      </c>
      <c r="Q2684" t="s">
        <v>58</v>
      </c>
      <c r="R2684" t="str">
        <f>IFERROR(VLOOKUP(record[[#This Row],[PCUSTID]],廠商[],2,FALSE),"")</f>
        <v/>
      </c>
      <c r="S2684" t="str">
        <f>VLOOKUP(record[[#This Row],[employeeID]],員工[],2,FALSE)</f>
        <v>蔣梅</v>
      </c>
    </row>
    <row r="2685" spans="6:19" hidden="1" x14ac:dyDescent="0.25">
      <c r="F2685" t="s">
        <v>1637</v>
      </c>
      <c r="G2685" t="s">
        <v>452</v>
      </c>
      <c r="H2685" t="str">
        <f>VLOOKUP(record[[#This Row],[ProcessSN]],表格2_7[],2,FALSE)</f>
        <v>30-4118-018-6XX</v>
      </c>
      <c r="I2685" t="str">
        <f>VLOOKUP(record[[#This Row],[ProcessSN]],表格2_7[],3,FALSE)</f>
        <v>#07QC</v>
      </c>
      <c r="J2685" t="s">
        <v>589</v>
      </c>
      <c r="K2685" s="195">
        <v>46112.414953703701</v>
      </c>
      <c r="L2685">
        <v>211</v>
      </c>
      <c r="M2685">
        <v>0</v>
      </c>
      <c r="N2685" s="98" t="str">
        <f>IF(record[[#This Row],[Memo]]="Browser:chrome os:android","平板報工",IF(record[[#This Row],[Memo]]=0,"委外",record[[#This Row],[Memo]]))</f>
        <v/>
      </c>
      <c r="O2685" t="s">
        <v>58</v>
      </c>
      <c r="P2685" t="s">
        <v>141</v>
      </c>
      <c r="Q2685" t="s">
        <v>58</v>
      </c>
      <c r="R2685" t="str">
        <f>IFERROR(VLOOKUP(record[[#This Row],[PCUSTID]],廠商[],2,FALSE),"")</f>
        <v/>
      </c>
      <c r="S2685" t="str">
        <f>VLOOKUP(record[[#This Row],[employeeID]],員工[],2,FALSE)</f>
        <v>蔣梅</v>
      </c>
    </row>
    <row r="2686" spans="6:19" hidden="1" x14ac:dyDescent="0.25">
      <c r="F2686" t="s">
        <v>1637</v>
      </c>
      <c r="G2686" t="s">
        <v>448</v>
      </c>
      <c r="H2686" t="str">
        <f>VLOOKUP(record[[#This Row],[ProcessSN]],表格2_7[],2,FALSE)</f>
        <v>30-4118-018-6XX</v>
      </c>
      <c r="I2686" t="str">
        <f>VLOOKUP(record[[#This Row],[ProcessSN]],表格2_7[],3,FALSE)</f>
        <v>#04</v>
      </c>
      <c r="J2686" t="s">
        <v>588</v>
      </c>
      <c r="K2686" s="195">
        <v>46112.314143518517</v>
      </c>
      <c r="L2686">
        <v>96</v>
      </c>
      <c r="M2686">
        <v>5</v>
      </c>
      <c r="N2686" s="98" t="str">
        <f>IF(record[[#This Row],[Memo]]="Browser:chrome os:android","平板報工",IF(record[[#This Row],[Memo]]=0,"委外",record[[#This Row],[Memo]]))</f>
        <v/>
      </c>
      <c r="O2686" t="s">
        <v>58</v>
      </c>
      <c r="P2686" t="s">
        <v>135</v>
      </c>
      <c r="Q2686" t="s">
        <v>58</v>
      </c>
      <c r="R2686" t="str">
        <f>IFERROR(VLOOKUP(record[[#This Row],[PCUSTID]],廠商[],2,FALSE),"")</f>
        <v/>
      </c>
      <c r="S2686" t="str">
        <f>VLOOKUP(record[[#This Row],[employeeID]],員工[],2,FALSE)</f>
        <v>阮士文</v>
      </c>
    </row>
    <row r="2687" spans="6:19" hidden="1" x14ac:dyDescent="0.25">
      <c r="F2687" t="s">
        <v>1637</v>
      </c>
      <c r="G2687" t="s">
        <v>447</v>
      </c>
      <c r="H2687" t="str">
        <f>VLOOKUP(record[[#This Row],[ProcessSN]],表格2_7[],2,FALSE)</f>
        <v>30-4118-018-6XX</v>
      </c>
      <c r="I2687" t="str">
        <f>VLOOKUP(record[[#This Row],[ProcessSN]],表格2_7[],3,FALSE)</f>
        <v>#03</v>
      </c>
      <c r="J2687" t="s">
        <v>588</v>
      </c>
      <c r="K2687" s="195">
        <v>46112.313518518517</v>
      </c>
      <c r="L2687">
        <v>229</v>
      </c>
      <c r="M2687">
        <v>0</v>
      </c>
      <c r="N2687" s="98" t="str">
        <f>IF(record[[#This Row],[Memo]]="Browser:chrome os:android","平板報工",IF(record[[#This Row],[Memo]]=0,"委外",record[[#This Row],[Memo]]))</f>
        <v/>
      </c>
      <c r="O2687" t="s">
        <v>58</v>
      </c>
      <c r="P2687" t="s">
        <v>135</v>
      </c>
      <c r="Q2687" t="s">
        <v>58</v>
      </c>
      <c r="R2687" t="str">
        <f>IFERROR(VLOOKUP(record[[#This Row],[PCUSTID]],廠商[],2,FALSE),"")</f>
        <v/>
      </c>
      <c r="S2687" t="str">
        <f>VLOOKUP(record[[#This Row],[employeeID]],員工[],2,FALSE)</f>
        <v>阮士文</v>
      </c>
    </row>
    <row r="2688" spans="6:19" hidden="1" x14ac:dyDescent="0.25">
      <c r="F2688" t="s">
        <v>1653</v>
      </c>
      <c r="G2688" t="s">
        <v>415</v>
      </c>
      <c r="H2688" t="str">
        <f>VLOOKUP(record[[#This Row],[ProcessSN]],表格2_7[],2,FALSE)</f>
        <v>30-4118-018-5XX</v>
      </c>
      <c r="I2688" t="str">
        <f>VLOOKUP(record[[#This Row],[ProcessSN]],表格2_7[],3,FALSE)</f>
        <v>#04</v>
      </c>
      <c r="J2688" t="s">
        <v>588</v>
      </c>
      <c r="K2688" s="195">
        <v>46112.312118055554</v>
      </c>
      <c r="L2688">
        <v>53</v>
      </c>
      <c r="M2688">
        <v>0</v>
      </c>
      <c r="N2688" s="98" t="str">
        <f>IF(record[[#This Row],[Memo]]="Browser:chrome os:android","平板報工",IF(record[[#This Row],[Memo]]=0,"委外",record[[#This Row],[Memo]]))</f>
        <v/>
      </c>
      <c r="O2688" t="s">
        <v>58</v>
      </c>
      <c r="P2688" t="s">
        <v>135</v>
      </c>
      <c r="Q2688" t="s">
        <v>58</v>
      </c>
      <c r="R2688" t="str">
        <f>IFERROR(VLOOKUP(record[[#This Row],[PCUSTID]],廠商[],2,FALSE),"")</f>
        <v/>
      </c>
      <c r="S2688" t="str">
        <f>VLOOKUP(record[[#This Row],[employeeID]],員工[],2,FALSE)</f>
        <v>阮士文</v>
      </c>
    </row>
    <row r="2689" spans="6:19" hidden="1" x14ac:dyDescent="0.25">
      <c r="F2689" t="s">
        <v>1653</v>
      </c>
      <c r="G2689" t="s">
        <v>417</v>
      </c>
      <c r="H2689" t="str">
        <f>VLOOKUP(record[[#This Row],[ProcessSN]],表格2_7[],2,FALSE)</f>
        <v>30-4118-018-5XX</v>
      </c>
      <c r="I2689" t="str">
        <f>VLOOKUP(record[[#This Row],[ProcessSN]],表格2_7[],3,FALSE)</f>
        <v>#06</v>
      </c>
      <c r="J2689" t="s">
        <v>593</v>
      </c>
      <c r="K2689" s="195">
        <v>46112.311064814814</v>
      </c>
      <c r="L2689">
        <v>133</v>
      </c>
      <c r="M2689">
        <v>0</v>
      </c>
      <c r="N2689" s="98" t="str">
        <f>IF(record[[#This Row],[Memo]]="Browser:chrome os:android","平板報工",IF(record[[#This Row],[Memo]]=0,"委外",record[[#This Row],[Memo]]))</f>
        <v/>
      </c>
      <c r="O2689" t="s">
        <v>58</v>
      </c>
      <c r="P2689" t="s">
        <v>691</v>
      </c>
      <c r="Q2689" t="s">
        <v>58</v>
      </c>
      <c r="R2689" t="str">
        <f>IFERROR(VLOOKUP(record[[#This Row],[PCUSTID]],廠商[],2,FALSE),"")</f>
        <v/>
      </c>
      <c r="S2689" t="str">
        <f>VLOOKUP(record[[#This Row],[employeeID]],員工[],2,FALSE)</f>
        <v>武氏賢</v>
      </c>
    </row>
    <row r="2690" spans="6:19" hidden="1" x14ac:dyDescent="0.25">
      <c r="F2690" t="s">
        <v>1653</v>
      </c>
      <c r="G2690" t="s">
        <v>418</v>
      </c>
      <c r="H2690" t="str">
        <f>VLOOKUP(record[[#This Row],[ProcessSN]],表格2_7[],2,FALSE)</f>
        <v>30-4118-018-5XX</v>
      </c>
      <c r="I2690" t="str">
        <f>VLOOKUP(record[[#This Row],[ProcessSN]],表格2_7[],3,FALSE)</f>
        <v>#07</v>
      </c>
      <c r="J2690" t="s">
        <v>588</v>
      </c>
      <c r="K2690" s="195">
        <v>46112.310613425929</v>
      </c>
      <c r="L2690">
        <v>183</v>
      </c>
      <c r="M2690">
        <v>4</v>
      </c>
      <c r="N2690" s="98" t="str">
        <f>IF(record[[#This Row],[Memo]]="Browser:chrome os:android","平板報工",IF(record[[#This Row],[Memo]]=0,"委外",record[[#This Row],[Memo]]))</f>
        <v/>
      </c>
      <c r="O2690" t="s">
        <v>58</v>
      </c>
      <c r="P2690" t="s">
        <v>806</v>
      </c>
      <c r="Q2690" t="s">
        <v>58</v>
      </c>
      <c r="R2690" t="str">
        <f>IFERROR(VLOOKUP(record[[#This Row],[PCUSTID]],廠商[],2,FALSE),"")</f>
        <v/>
      </c>
      <c r="S2690" t="str">
        <f>VLOOKUP(record[[#This Row],[employeeID]],員工[],2,FALSE)</f>
        <v>方思緯</v>
      </c>
    </row>
    <row r="2691" spans="6:19" hidden="1" x14ac:dyDescent="0.25">
      <c r="F2691" t="s">
        <v>1653</v>
      </c>
      <c r="G2691" t="s">
        <v>417</v>
      </c>
      <c r="H2691" t="str">
        <f>VLOOKUP(record[[#This Row],[ProcessSN]],表格2_7[],2,FALSE)</f>
        <v>30-4118-018-5XX</v>
      </c>
      <c r="I2691" t="str">
        <f>VLOOKUP(record[[#This Row],[ProcessSN]],表格2_7[],3,FALSE)</f>
        <v>#06</v>
      </c>
      <c r="J2691" t="s">
        <v>593</v>
      </c>
      <c r="K2691" s="195">
        <v>46112.310312499998</v>
      </c>
      <c r="L2691">
        <v>130</v>
      </c>
      <c r="M2691">
        <v>0</v>
      </c>
      <c r="N2691" s="98" t="str">
        <f>IF(record[[#This Row],[Memo]]="Browser:chrome os:android","平板報工",IF(record[[#This Row],[Memo]]=0,"委外",record[[#This Row],[Memo]]))</f>
        <v/>
      </c>
      <c r="O2691" t="s">
        <v>58</v>
      </c>
      <c r="P2691" t="s">
        <v>180</v>
      </c>
      <c r="Q2691" t="s">
        <v>58</v>
      </c>
      <c r="R2691" t="str">
        <f>IFERROR(VLOOKUP(record[[#This Row],[PCUSTID]],廠商[],2,FALSE),"")</f>
        <v/>
      </c>
      <c r="S2691" t="str">
        <f>VLOOKUP(record[[#This Row],[employeeID]],員工[],2,FALSE)</f>
        <v>黎功江</v>
      </c>
    </row>
    <row r="2692" spans="6:19" hidden="1" x14ac:dyDescent="0.25">
      <c r="F2692" t="s">
        <v>1653</v>
      </c>
      <c r="G2692" t="s">
        <v>416</v>
      </c>
      <c r="H2692" t="str">
        <f>VLOOKUP(record[[#This Row],[ProcessSN]],表格2_7[],2,FALSE)</f>
        <v>30-4118-018-5XX</v>
      </c>
      <c r="I2692" t="str">
        <f>VLOOKUP(record[[#This Row],[ProcessSN]],表格2_7[],3,FALSE)</f>
        <v>#05</v>
      </c>
      <c r="J2692" t="s">
        <v>588</v>
      </c>
      <c r="K2692" s="195">
        <v>46112.308888888889</v>
      </c>
      <c r="L2692">
        <v>228</v>
      </c>
      <c r="M2692">
        <v>0</v>
      </c>
      <c r="N2692" s="98" t="str">
        <f>IF(record[[#This Row],[Memo]]="Browser:chrome os:android","平板報工",IF(record[[#This Row],[Memo]]=0,"委外",record[[#This Row],[Memo]]))</f>
        <v/>
      </c>
      <c r="O2692" t="s">
        <v>58</v>
      </c>
      <c r="P2692" t="s">
        <v>843</v>
      </c>
      <c r="Q2692" t="s">
        <v>58</v>
      </c>
      <c r="R2692" t="str">
        <f>IFERROR(VLOOKUP(record[[#This Row],[PCUSTID]],廠商[],2,FALSE),"")</f>
        <v/>
      </c>
      <c r="S2692" t="str">
        <f>VLOOKUP(record[[#This Row],[employeeID]],員工[],2,FALSE)</f>
        <v>張楚承</v>
      </c>
    </row>
    <row r="2693" spans="6:19" hidden="1" x14ac:dyDescent="0.25">
      <c r="F2693" t="s">
        <v>1653</v>
      </c>
      <c r="G2693" t="s">
        <v>416</v>
      </c>
      <c r="H2693" t="str">
        <f>VLOOKUP(record[[#This Row],[ProcessSN]],表格2_7[],2,FALSE)</f>
        <v>30-4118-018-5XX</v>
      </c>
      <c r="I2693" t="str">
        <f>VLOOKUP(record[[#This Row],[ProcessSN]],表格2_7[],3,FALSE)</f>
        <v>#05</v>
      </c>
      <c r="J2693" t="s">
        <v>588</v>
      </c>
      <c r="K2693" s="195">
        <v>46112.000590277778</v>
      </c>
      <c r="L2693">
        <v>264</v>
      </c>
      <c r="M2693">
        <v>0</v>
      </c>
      <c r="N2693" s="98" t="str">
        <f>IF(record[[#This Row],[Memo]]="Browser:chrome os:android","平板報工",IF(record[[#This Row],[Memo]]=0,"委外",record[[#This Row],[Memo]]))</f>
        <v/>
      </c>
      <c r="O2693" t="s">
        <v>58</v>
      </c>
      <c r="P2693" t="s">
        <v>1098</v>
      </c>
      <c r="Q2693" t="s">
        <v>58</v>
      </c>
      <c r="R2693" t="str">
        <f>IFERROR(VLOOKUP(record[[#This Row],[PCUSTID]],廠商[],2,FALSE),"")</f>
        <v/>
      </c>
      <c r="S2693" t="str">
        <f>VLOOKUP(record[[#This Row],[employeeID]],員工[],2,FALSE)</f>
        <v>阮氏芳英(英)</v>
      </c>
    </row>
    <row r="2694" spans="6:19" hidden="1" x14ac:dyDescent="0.25">
      <c r="F2694" t="s">
        <v>1637</v>
      </c>
      <c r="G2694" t="s">
        <v>448</v>
      </c>
      <c r="H2694" t="str">
        <f>VLOOKUP(record[[#This Row],[ProcessSN]],表格2_7[],2,FALSE)</f>
        <v>30-4118-018-6XX</v>
      </c>
      <c r="I2694" t="str">
        <f>VLOOKUP(record[[#This Row],[ProcessSN]],表格2_7[],3,FALSE)</f>
        <v>#04</v>
      </c>
      <c r="J2694" t="s">
        <v>588</v>
      </c>
      <c r="K2694" s="195">
        <v>46111.999814814815</v>
      </c>
      <c r="L2694">
        <v>113</v>
      </c>
      <c r="M2694">
        <v>3</v>
      </c>
      <c r="N2694" s="98" t="str">
        <f>IF(record[[#This Row],[Memo]]="Browser:chrome os:android","平板報工",IF(record[[#This Row],[Memo]]=0,"委外",record[[#This Row],[Memo]]))</f>
        <v/>
      </c>
      <c r="O2694" t="s">
        <v>58</v>
      </c>
      <c r="P2694" t="s">
        <v>176</v>
      </c>
      <c r="Q2694" t="s">
        <v>58</v>
      </c>
      <c r="R2694" t="str">
        <f>IFERROR(VLOOKUP(record[[#This Row],[PCUSTID]],廠商[],2,FALSE),"")</f>
        <v/>
      </c>
      <c r="S2694" t="str">
        <f>VLOOKUP(record[[#This Row],[employeeID]],員工[],2,FALSE)</f>
        <v>郭政雄</v>
      </c>
    </row>
    <row r="2695" spans="6:19" hidden="1" x14ac:dyDescent="0.25">
      <c r="F2695" t="s">
        <v>1653</v>
      </c>
      <c r="G2695" t="s">
        <v>415</v>
      </c>
      <c r="H2695" t="str">
        <f>VLOOKUP(record[[#This Row],[ProcessSN]],表格2_7[],2,FALSE)</f>
        <v>30-4118-018-5XX</v>
      </c>
      <c r="I2695" t="str">
        <f>VLOOKUP(record[[#This Row],[ProcessSN]],表格2_7[],3,FALSE)</f>
        <v>#04</v>
      </c>
      <c r="J2695" t="s">
        <v>588</v>
      </c>
      <c r="K2695" s="195">
        <v>46111.999293981484</v>
      </c>
      <c r="L2695">
        <v>130</v>
      </c>
      <c r="M2695">
        <v>0</v>
      </c>
      <c r="N2695" s="98" t="str">
        <f>IF(record[[#This Row],[Memo]]="Browser:chrome os:android","平板報工",IF(record[[#This Row],[Memo]]=0,"委外",record[[#This Row],[Memo]]))</f>
        <v/>
      </c>
      <c r="O2695" t="s">
        <v>58</v>
      </c>
      <c r="P2695" t="s">
        <v>176</v>
      </c>
      <c r="Q2695" t="s">
        <v>58</v>
      </c>
      <c r="R2695" t="str">
        <f>IFERROR(VLOOKUP(record[[#This Row],[PCUSTID]],廠商[],2,FALSE),"")</f>
        <v/>
      </c>
      <c r="S2695" t="str">
        <f>VLOOKUP(record[[#This Row],[employeeID]],員工[],2,FALSE)</f>
        <v>郭政雄</v>
      </c>
    </row>
    <row r="2696" spans="6:19" hidden="1" x14ac:dyDescent="0.25">
      <c r="F2696" t="s">
        <v>1653</v>
      </c>
      <c r="G2696" t="s">
        <v>417</v>
      </c>
      <c r="H2696" t="str">
        <f>VLOOKUP(record[[#This Row],[ProcessSN]],表格2_7[],2,FALSE)</f>
        <v>30-4118-018-5XX</v>
      </c>
      <c r="I2696" t="str">
        <f>VLOOKUP(record[[#This Row],[ProcessSN]],表格2_7[],3,FALSE)</f>
        <v>#06</v>
      </c>
      <c r="J2696" t="s">
        <v>593</v>
      </c>
      <c r="K2696" s="195">
        <v>46111.997581018521</v>
      </c>
      <c r="L2696">
        <v>60</v>
      </c>
      <c r="M2696">
        <v>0</v>
      </c>
      <c r="N2696" s="98" t="str">
        <f>IF(record[[#This Row],[Memo]]="Browser:chrome os:android","平板報工",IF(record[[#This Row],[Memo]]=0,"委外",record[[#This Row],[Memo]]))</f>
        <v/>
      </c>
      <c r="O2696" t="s">
        <v>58</v>
      </c>
      <c r="P2696" t="s">
        <v>841</v>
      </c>
      <c r="Q2696" t="s">
        <v>58</v>
      </c>
      <c r="R2696" t="str">
        <f>IFERROR(VLOOKUP(record[[#This Row],[PCUSTID]],廠商[],2,FALSE),"")</f>
        <v/>
      </c>
      <c r="S2696" t="str">
        <f>VLOOKUP(record[[#This Row],[employeeID]],員工[],2,FALSE)</f>
        <v>范氏香</v>
      </c>
    </row>
    <row r="2697" spans="6:19" hidden="1" x14ac:dyDescent="0.25">
      <c r="F2697" t="s">
        <v>1653</v>
      </c>
      <c r="G2697" t="s">
        <v>417</v>
      </c>
      <c r="H2697" t="str">
        <f>VLOOKUP(record[[#This Row],[ProcessSN]],表格2_7[],2,FALSE)</f>
        <v>30-4118-018-5XX</v>
      </c>
      <c r="I2697" t="str">
        <f>VLOOKUP(record[[#This Row],[ProcessSN]],表格2_7[],3,FALSE)</f>
        <v>#06</v>
      </c>
      <c r="J2697" t="s">
        <v>593</v>
      </c>
      <c r="K2697" s="195">
        <v>46111.829143518517</v>
      </c>
      <c r="L2697">
        <v>73</v>
      </c>
      <c r="M2697">
        <v>0</v>
      </c>
      <c r="N2697" s="98" t="str">
        <f>IF(record[[#This Row],[Memo]]="Browser:chrome os:android","平板報工",IF(record[[#This Row],[Memo]]=0,"委外",record[[#This Row],[Memo]]))</f>
        <v>平板報工</v>
      </c>
      <c r="O2697" t="s">
        <v>643</v>
      </c>
      <c r="P2697" t="s">
        <v>1413</v>
      </c>
      <c r="Q2697" t="s">
        <v>644</v>
      </c>
      <c r="R2697" t="str">
        <f>IFERROR(VLOOKUP(record[[#This Row],[PCUSTID]],廠商[],2,FALSE),"")</f>
        <v/>
      </c>
      <c r="S2697" t="str">
        <f>VLOOKUP(record[[#This Row],[employeeID]],員工[],2,FALSE)</f>
        <v>阮氏芳英(芳)</v>
      </c>
    </row>
    <row r="2698" spans="6:19" hidden="1" x14ac:dyDescent="0.25">
      <c r="F2698" t="s">
        <v>1653</v>
      </c>
      <c r="G2698" t="s">
        <v>417</v>
      </c>
      <c r="H2698" t="str">
        <f>VLOOKUP(record[[#This Row],[ProcessSN]],表格2_7[],2,FALSE)</f>
        <v>30-4118-018-5XX</v>
      </c>
      <c r="I2698" t="str">
        <f>VLOOKUP(record[[#This Row],[ProcessSN]],表格2_7[],3,FALSE)</f>
        <v>#06</v>
      </c>
      <c r="J2698" t="s">
        <v>593</v>
      </c>
      <c r="K2698" s="195">
        <v>46111.818310185183</v>
      </c>
      <c r="L2698">
        <v>55</v>
      </c>
      <c r="M2698">
        <v>0</v>
      </c>
      <c r="N2698" s="98" t="str">
        <f>IF(record[[#This Row],[Memo]]="Browser:chrome os:android","平板報工",IF(record[[#This Row],[Memo]]=0,"委外",record[[#This Row],[Memo]]))</f>
        <v>平板報工</v>
      </c>
      <c r="O2698" t="s">
        <v>643</v>
      </c>
      <c r="P2698" t="s">
        <v>785</v>
      </c>
      <c r="Q2698" t="s">
        <v>644</v>
      </c>
      <c r="R2698" t="str">
        <f>IFERROR(VLOOKUP(record[[#This Row],[PCUSTID]],廠商[],2,FALSE),"")</f>
        <v/>
      </c>
      <c r="S2698" t="str">
        <f>VLOOKUP(record[[#This Row],[employeeID]],員工[],2,FALSE)</f>
        <v>謝刻光</v>
      </c>
    </row>
    <row r="2699" spans="6:19" hidden="1" x14ac:dyDescent="0.25">
      <c r="F2699" t="s">
        <v>1637</v>
      </c>
      <c r="G2699" t="s">
        <v>450</v>
      </c>
      <c r="H2699" t="str">
        <f>VLOOKUP(record[[#This Row],[ProcessSN]],表格2_7[],2,FALSE)</f>
        <v>30-4118-018-6XX</v>
      </c>
      <c r="I2699" t="str">
        <f>VLOOKUP(record[[#This Row],[ProcessSN]],表格2_7[],3,FALSE)</f>
        <v>#06</v>
      </c>
      <c r="J2699" t="s">
        <v>593</v>
      </c>
      <c r="K2699" s="195">
        <v>46111.81790509259</v>
      </c>
      <c r="L2699">
        <v>13</v>
      </c>
      <c r="M2699">
        <v>0</v>
      </c>
      <c r="N2699" s="98" t="str">
        <f>IF(record[[#This Row],[Memo]]="Browser:chrome os:android","平板報工",IF(record[[#This Row],[Memo]]=0,"委外",record[[#This Row],[Memo]]))</f>
        <v>平板報工</v>
      </c>
      <c r="O2699" t="s">
        <v>643</v>
      </c>
      <c r="P2699" t="s">
        <v>785</v>
      </c>
      <c r="Q2699" t="s">
        <v>644</v>
      </c>
      <c r="R2699" t="str">
        <f>IFERROR(VLOOKUP(record[[#This Row],[PCUSTID]],廠商[],2,FALSE),"")</f>
        <v/>
      </c>
      <c r="S2699" t="str">
        <f>VLOOKUP(record[[#This Row],[employeeID]],員工[],2,FALSE)</f>
        <v>謝刻光</v>
      </c>
    </row>
    <row r="2700" spans="6:19" hidden="1" x14ac:dyDescent="0.25">
      <c r="F2700" t="s">
        <v>1689</v>
      </c>
      <c r="G2700" t="s">
        <v>428</v>
      </c>
      <c r="H2700" t="str">
        <f>VLOOKUP(record[[#This Row],[ProcessSN]],表格2_7[],2,FALSE)</f>
        <v>30-4118-018-600</v>
      </c>
      <c r="I2700" t="str">
        <f>VLOOKUP(record[[#This Row],[ProcessSN]],表格2_7[],3,FALSE)</f>
        <v>#100SHIP</v>
      </c>
      <c r="J2700" t="s">
        <v>600</v>
      </c>
      <c r="K2700" s="195">
        <v>46111.809814814813</v>
      </c>
      <c r="L2700">
        <v>231</v>
      </c>
      <c r="M2700">
        <v>0</v>
      </c>
      <c r="N2700" s="98" t="str">
        <f>IF(record[[#This Row],[Memo]]="Browser:chrome os:android","平板報工",IF(record[[#This Row],[Memo]]=0,"委外",record[[#This Row],[Memo]]))</f>
        <v/>
      </c>
      <c r="O2700" t="s">
        <v>58</v>
      </c>
      <c r="P2700" t="s">
        <v>886</v>
      </c>
      <c r="Q2700" t="s">
        <v>58</v>
      </c>
      <c r="R2700" t="str">
        <f>IFERROR(VLOOKUP(record[[#This Row],[PCUSTID]],廠商[],2,FALSE),"")</f>
        <v/>
      </c>
      <c r="S2700" t="str">
        <f>VLOOKUP(record[[#This Row],[employeeID]],員工[],2,FALSE)</f>
        <v>謝蓁薰</v>
      </c>
    </row>
    <row r="2701" spans="6:19" hidden="1" x14ac:dyDescent="0.25">
      <c r="F2701" t="s">
        <v>1686</v>
      </c>
      <c r="G2701" t="s">
        <v>428</v>
      </c>
      <c r="H2701" t="str">
        <f>VLOOKUP(record[[#This Row],[ProcessSN]],表格2_7[],2,FALSE)</f>
        <v>30-4118-018-600</v>
      </c>
      <c r="I2701" t="str">
        <f>VLOOKUP(record[[#This Row],[ProcessSN]],表格2_7[],3,FALSE)</f>
        <v>#100SHIP</v>
      </c>
      <c r="J2701" t="s">
        <v>600</v>
      </c>
      <c r="K2701" s="195">
        <v>46111.809618055559</v>
      </c>
      <c r="L2701">
        <v>6</v>
      </c>
      <c r="M2701">
        <v>0</v>
      </c>
      <c r="N2701" s="98" t="str">
        <f>IF(record[[#This Row],[Memo]]="Browser:chrome os:android","平板報工",IF(record[[#This Row],[Memo]]=0,"委外",record[[#This Row],[Memo]]))</f>
        <v/>
      </c>
      <c r="O2701" t="s">
        <v>58</v>
      </c>
      <c r="P2701" t="s">
        <v>886</v>
      </c>
      <c r="Q2701" t="s">
        <v>58</v>
      </c>
      <c r="R2701" t="str">
        <f>IFERROR(VLOOKUP(record[[#This Row],[PCUSTID]],廠商[],2,FALSE),"")</f>
        <v/>
      </c>
      <c r="S2701" t="str">
        <f>VLOOKUP(record[[#This Row],[employeeID]],員工[],2,FALSE)</f>
        <v>謝蓁薰</v>
      </c>
    </row>
    <row r="2702" spans="6:19" hidden="1" x14ac:dyDescent="0.25">
      <c r="F2702" t="s">
        <v>1680</v>
      </c>
      <c r="G2702" t="s">
        <v>428</v>
      </c>
      <c r="H2702" t="str">
        <f>VLOOKUP(record[[#This Row],[ProcessSN]],表格2_7[],2,FALSE)</f>
        <v>30-4118-018-600</v>
      </c>
      <c r="I2702" t="str">
        <f>VLOOKUP(record[[#This Row],[ProcessSN]],表格2_7[],3,FALSE)</f>
        <v>#100SHIP</v>
      </c>
      <c r="J2702" t="s">
        <v>600</v>
      </c>
      <c r="K2702" s="195">
        <v>46111.809502314813</v>
      </c>
      <c r="L2702">
        <v>142</v>
      </c>
      <c r="M2702">
        <v>0</v>
      </c>
      <c r="N2702" s="98" t="str">
        <f>IF(record[[#This Row],[Memo]]="Browser:chrome os:android","平板報工",IF(record[[#This Row],[Memo]]=0,"委外",record[[#This Row],[Memo]]))</f>
        <v/>
      </c>
      <c r="O2702" t="s">
        <v>58</v>
      </c>
      <c r="P2702" t="s">
        <v>886</v>
      </c>
      <c r="Q2702" t="s">
        <v>58</v>
      </c>
      <c r="R2702" t="str">
        <f>IFERROR(VLOOKUP(record[[#This Row],[PCUSTID]],廠商[],2,FALSE),"")</f>
        <v/>
      </c>
      <c r="S2702" t="str">
        <f>VLOOKUP(record[[#This Row],[employeeID]],員工[],2,FALSE)</f>
        <v>謝蓁薰</v>
      </c>
    </row>
    <row r="2703" spans="6:19" hidden="1" x14ac:dyDescent="0.25">
      <c r="F2703" t="s">
        <v>1676</v>
      </c>
      <c r="G2703" t="s">
        <v>428</v>
      </c>
      <c r="H2703" t="str">
        <f>VLOOKUP(record[[#This Row],[ProcessSN]],表格2_7[],2,FALSE)</f>
        <v>30-4118-018-600</v>
      </c>
      <c r="I2703" t="str">
        <f>VLOOKUP(record[[#This Row],[ProcessSN]],表格2_7[],3,FALSE)</f>
        <v>#100SHIP</v>
      </c>
      <c r="J2703" t="s">
        <v>600</v>
      </c>
      <c r="K2703" s="195">
        <v>46111.809374999997</v>
      </c>
      <c r="L2703">
        <v>1</v>
      </c>
      <c r="M2703">
        <v>0</v>
      </c>
      <c r="N2703" s="98" t="str">
        <f>IF(record[[#This Row],[Memo]]="Browser:chrome os:android","平板報工",IF(record[[#This Row],[Memo]]=0,"委外",record[[#This Row],[Memo]]))</f>
        <v/>
      </c>
      <c r="O2703" t="s">
        <v>58</v>
      </c>
      <c r="P2703" t="s">
        <v>886</v>
      </c>
      <c r="Q2703" t="s">
        <v>58</v>
      </c>
      <c r="R2703" t="str">
        <f>IFERROR(VLOOKUP(record[[#This Row],[PCUSTID]],廠商[],2,FALSE),"")</f>
        <v/>
      </c>
      <c r="S2703" t="str">
        <f>VLOOKUP(record[[#This Row],[employeeID]],員工[],2,FALSE)</f>
        <v>謝蓁薰</v>
      </c>
    </row>
    <row r="2704" spans="6:19" hidden="1" x14ac:dyDescent="0.25">
      <c r="F2704" t="s">
        <v>1672</v>
      </c>
      <c r="G2704" t="s">
        <v>428</v>
      </c>
      <c r="H2704" t="str">
        <f>VLOOKUP(record[[#This Row],[ProcessSN]],表格2_7[],2,FALSE)</f>
        <v>30-4118-018-600</v>
      </c>
      <c r="I2704" t="str">
        <f>VLOOKUP(record[[#This Row],[ProcessSN]],表格2_7[],3,FALSE)</f>
        <v>#100SHIP</v>
      </c>
      <c r="J2704" t="s">
        <v>600</v>
      </c>
      <c r="K2704" s="195">
        <v>46111.809247685182</v>
      </c>
      <c r="L2704">
        <v>154</v>
      </c>
      <c r="M2704">
        <v>0</v>
      </c>
      <c r="N2704" s="98" t="str">
        <f>IF(record[[#This Row],[Memo]]="Browser:chrome os:android","平板報工",IF(record[[#This Row],[Memo]]=0,"委外",record[[#This Row],[Memo]]))</f>
        <v/>
      </c>
      <c r="O2704" t="s">
        <v>58</v>
      </c>
      <c r="P2704" t="s">
        <v>886</v>
      </c>
      <c r="Q2704" t="s">
        <v>58</v>
      </c>
      <c r="R2704" t="str">
        <f>IFERROR(VLOOKUP(record[[#This Row],[PCUSTID]],廠商[],2,FALSE),"")</f>
        <v/>
      </c>
      <c r="S2704" t="str">
        <f>VLOOKUP(record[[#This Row],[employeeID]],員工[],2,FALSE)</f>
        <v>謝蓁薰</v>
      </c>
    </row>
    <row r="2705" spans="6:19" hidden="1" x14ac:dyDescent="0.25">
      <c r="F2705" t="s">
        <v>1676</v>
      </c>
      <c r="G2705" t="s">
        <v>427</v>
      </c>
      <c r="H2705" t="str">
        <f>VLOOKUP(record[[#This Row],[ProcessSN]],表格2_7[],2,FALSE)</f>
        <v>30-4118-018-600</v>
      </c>
      <c r="I2705" t="str">
        <f>VLOOKUP(record[[#This Row],[ProcessSN]],表格2_7[],3,FALSE)</f>
        <v>#100STOCK</v>
      </c>
      <c r="J2705" t="s">
        <v>592</v>
      </c>
      <c r="K2705" s="195">
        <v>46111.809108796297</v>
      </c>
      <c r="L2705">
        <v>1</v>
      </c>
      <c r="M2705">
        <v>0</v>
      </c>
      <c r="N2705" s="98" t="str">
        <f>IF(record[[#This Row],[Memo]]="Browser:chrome os:android","平板報工",IF(record[[#This Row],[Memo]]=0,"委外",record[[#This Row],[Memo]]))</f>
        <v/>
      </c>
      <c r="O2705" t="s">
        <v>58</v>
      </c>
      <c r="P2705" t="s">
        <v>886</v>
      </c>
      <c r="Q2705" t="s">
        <v>58</v>
      </c>
      <c r="R2705" t="str">
        <f>IFERROR(VLOOKUP(record[[#This Row],[PCUSTID]],廠商[],2,FALSE),"")</f>
        <v/>
      </c>
      <c r="S2705" t="str">
        <f>VLOOKUP(record[[#This Row],[employeeID]],員工[],2,FALSE)</f>
        <v>謝蓁薰</v>
      </c>
    </row>
    <row r="2706" spans="6:19" hidden="1" x14ac:dyDescent="0.25">
      <c r="F2706" t="s">
        <v>1672</v>
      </c>
      <c r="G2706" t="s">
        <v>427</v>
      </c>
      <c r="H2706" t="str">
        <f>VLOOKUP(record[[#This Row],[ProcessSN]],表格2_7[],2,FALSE)</f>
        <v>30-4118-018-600</v>
      </c>
      <c r="I2706" t="str">
        <f>VLOOKUP(record[[#This Row],[ProcessSN]],表格2_7[],3,FALSE)</f>
        <v>#100STOCK</v>
      </c>
      <c r="J2706" t="s">
        <v>592</v>
      </c>
      <c r="K2706" s="195">
        <v>46111.809004629627</v>
      </c>
      <c r="L2706">
        <v>154</v>
      </c>
      <c r="M2706">
        <v>0</v>
      </c>
      <c r="N2706" s="98" t="str">
        <f>IF(record[[#This Row],[Memo]]="Browser:chrome os:android","平板報工",IF(record[[#This Row],[Memo]]=0,"委外",record[[#This Row],[Memo]]))</f>
        <v/>
      </c>
      <c r="O2706" t="s">
        <v>58</v>
      </c>
      <c r="P2706" t="s">
        <v>886</v>
      </c>
      <c r="Q2706" t="s">
        <v>58</v>
      </c>
      <c r="R2706" t="str">
        <f>IFERROR(VLOOKUP(record[[#This Row],[PCUSTID]],廠商[],2,FALSE),"")</f>
        <v/>
      </c>
      <c r="S2706" t="str">
        <f>VLOOKUP(record[[#This Row],[employeeID]],員工[],2,FALSE)</f>
        <v>謝蓁薰</v>
      </c>
    </row>
    <row r="2707" spans="6:19" hidden="1" x14ac:dyDescent="0.25">
      <c r="F2707" t="s">
        <v>1680</v>
      </c>
      <c r="G2707" t="s">
        <v>427</v>
      </c>
      <c r="H2707" t="str">
        <f>VLOOKUP(record[[#This Row],[ProcessSN]],表格2_7[],2,FALSE)</f>
        <v>30-4118-018-600</v>
      </c>
      <c r="I2707" t="str">
        <f>VLOOKUP(record[[#This Row],[ProcessSN]],表格2_7[],3,FALSE)</f>
        <v>#100STOCK</v>
      </c>
      <c r="J2707" t="s">
        <v>592</v>
      </c>
      <c r="K2707" s="195">
        <v>46111.808692129627</v>
      </c>
      <c r="L2707">
        <v>8</v>
      </c>
      <c r="M2707">
        <v>0</v>
      </c>
      <c r="N2707" s="98" t="str">
        <f>IF(record[[#This Row],[Memo]]="Browser:chrome os:android","平板報工",IF(record[[#This Row],[Memo]]=0,"委外",record[[#This Row],[Memo]]))</f>
        <v/>
      </c>
      <c r="O2707" t="s">
        <v>58</v>
      </c>
      <c r="P2707" t="s">
        <v>886</v>
      </c>
      <c r="Q2707" t="s">
        <v>58</v>
      </c>
      <c r="R2707" t="str">
        <f>IFERROR(VLOOKUP(record[[#This Row],[PCUSTID]],廠商[],2,FALSE),"")</f>
        <v/>
      </c>
      <c r="S2707" t="str">
        <f>VLOOKUP(record[[#This Row],[employeeID]],員工[],2,FALSE)</f>
        <v>謝蓁薰</v>
      </c>
    </row>
    <row r="2708" spans="6:19" hidden="1" x14ac:dyDescent="0.25">
      <c r="F2708" t="s">
        <v>1680</v>
      </c>
      <c r="G2708" t="s">
        <v>426</v>
      </c>
      <c r="H2708" t="str">
        <f>VLOOKUP(record[[#This Row],[ProcessSN]],表格2_7[],2,FALSE)</f>
        <v>30-4118-018-600</v>
      </c>
      <c r="I2708" t="str">
        <f>VLOOKUP(record[[#This Row],[ProcessSN]],表格2_7[],3,FALSE)</f>
        <v>#100OQC</v>
      </c>
      <c r="J2708" t="s">
        <v>599</v>
      </c>
      <c r="K2708" s="195">
        <v>46111.772650462961</v>
      </c>
      <c r="L2708">
        <v>8</v>
      </c>
      <c r="M2708">
        <v>0</v>
      </c>
      <c r="N2708" s="98" t="str">
        <f>IF(record[[#This Row],[Memo]]="Browser:chrome os:android","平板報工",IF(record[[#This Row],[Memo]]=0,"委外",record[[#This Row],[Memo]]))</f>
        <v/>
      </c>
      <c r="O2708" t="s">
        <v>58</v>
      </c>
      <c r="P2708" t="s">
        <v>121</v>
      </c>
      <c r="Q2708" t="s">
        <v>58</v>
      </c>
      <c r="R2708" t="str">
        <f>IFERROR(VLOOKUP(record[[#This Row],[PCUSTID]],廠商[],2,FALSE),"")</f>
        <v/>
      </c>
      <c r="S2708" t="str">
        <f>VLOOKUP(record[[#This Row],[employeeID]],員工[],2,FALSE)</f>
        <v>謝素卿</v>
      </c>
    </row>
    <row r="2709" spans="6:19" hidden="1" x14ac:dyDescent="0.25">
      <c r="F2709" t="s">
        <v>1676</v>
      </c>
      <c r="G2709" t="s">
        <v>426</v>
      </c>
      <c r="H2709" t="str">
        <f>VLOOKUP(record[[#This Row],[ProcessSN]],表格2_7[],2,FALSE)</f>
        <v>30-4118-018-600</v>
      </c>
      <c r="I2709" t="str">
        <f>VLOOKUP(record[[#This Row],[ProcessSN]],表格2_7[],3,FALSE)</f>
        <v>#100OQC</v>
      </c>
      <c r="J2709" t="s">
        <v>599</v>
      </c>
      <c r="K2709" s="195">
        <v>46111.772499999999</v>
      </c>
      <c r="L2709">
        <v>1</v>
      </c>
      <c r="M2709">
        <v>0</v>
      </c>
      <c r="N2709" s="98" t="str">
        <f>IF(record[[#This Row],[Memo]]="Browser:chrome os:android","平板報工",IF(record[[#This Row],[Memo]]=0,"委外",record[[#This Row],[Memo]]))</f>
        <v/>
      </c>
      <c r="O2709" t="s">
        <v>58</v>
      </c>
      <c r="P2709" t="s">
        <v>121</v>
      </c>
      <c r="Q2709" t="s">
        <v>58</v>
      </c>
      <c r="R2709" t="str">
        <f>IFERROR(VLOOKUP(record[[#This Row],[PCUSTID]],廠商[],2,FALSE),"")</f>
        <v/>
      </c>
      <c r="S2709" t="str">
        <f>VLOOKUP(record[[#This Row],[employeeID]],員工[],2,FALSE)</f>
        <v>謝素卿</v>
      </c>
    </row>
    <row r="2710" spans="6:19" hidden="1" x14ac:dyDescent="0.25">
      <c r="F2710" t="s">
        <v>1672</v>
      </c>
      <c r="G2710" t="s">
        <v>426</v>
      </c>
      <c r="H2710" t="str">
        <f>VLOOKUP(record[[#This Row],[ProcessSN]],表格2_7[],2,FALSE)</f>
        <v>30-4118-018-600</v>
      </c>
      <c r="I2710" t="str">
        <f>VLOOKUP(record[[#This Row],[ProcessSN]],表格2_7[],3,FALSE)</f>
        <v>#100OQC</v>
      </c>
      <c r="J2710" t="s">
        <v>599</v>
      </c>
      <c r="K2710" s="195">
        <v>46111.772361111114</v>
      </c>
      <c r="L2710">
        <v>154</v>
      </c>
      <c r="M2710">
        <v>0</v>
      </c>
      <c r="N2710" s="98" t="str">
        <f>IF(record[[#This Row],[Memo]]="Browser:chrome os:android","平板報工",IF(record[[#This Row],[Memo]]=0,"委外",record[[#This Row],[Memo]]))</f>
        <v/>
      </c>
      <c r="O2710" t="s">
        <v>58</v>
      </c>
      <c r="P2710" t="s">
        <v>121</v>
      </c>
      <c r="Q2710" t="s">
        <v>58</v>
      </c>
      <c r="R2710" t="str">
        <f>IFERROR(VLOOKUP(record[[#This Row],[PCUSTID]],廠商[],2,FALSE),"")</f>
        <v/>
      </c>
      <c r="S2710" t="str">
        <f>VLOOKUP(record[[#This Row],[employeeID]],員工[],2,FALSE)</f>
        <v>謝素卿</v>
      </c>
    </row>
    <row r="2711" spans="6:19" hidden="1" x14ac:dyDescent="0.25">
      <c r="F2711" t="s">
        <v>1689</v>
      </c>
      <c r="G2711" t="s">
        <v>427</v>
      </c>
      <c r="H2711" t="str">
        <f>VLOOKUP(record[[#This Row],[ProcessSN]],表格2_7[],2,FALSE)</f>
        <v>30-4118-018-600</v>
      </c>
      <c r="I2711" t="str">
        <f>VLOOKUP(record[[#This Row],[ProcessSN]],表格2_7[],3,FALSE)</f>
        <v>#100STOCK</v>
      </c>
      <c r="J2711" t="s">
        <v>592</v>
      </c>
      <c r="K2711" s="195">
        <v>46111.75440972222</v>
      </c>
      <c r="L2711">
        <v>231</v>
      </c>
      <c r="M2711">
        <v>0</v>
      </c>
      <c r="N2711" s="98" t="str">
        <f>IF(record[[#This Row],[Memo]]="Browser:chrome os:android","平板報工",IF(record[[#This Row],[Memo]]=0,"委外",record[[#This Row],[Memo]]))</f>
        <v/>
      </c>
      <c r="O2711" t="s">
        <v>58</v>
      </c>
      <c r="P2711" t="s">
        <v>886</v>
      </c>
      <c r="Q2711" t="s">
        <v>58</v>
      </c>
      <c r="R2711" t="str">
        <f>IFERROR(VLOOKUP(record[[#This Row],[PCUSTID]],廠商[],2,FALSE),"")</f>
        <v/>
      </c>
      <c r="S2711" t="str">
        <f>VLOOKUP(record[[#This Row],[employeeID]],員工[],2,FALSE)</f>
        <v>謝蓁薰</v>
      </c>
    </row>
    <row r="2712" spans="6:19" hidden="1" x14ac:dyDescent="0.25">
      <c r="F2712" t="s">
        <v>1686</v>
      </c>
      <c r="G2712" t="s">
        <v>427</v>
      </c>
      <c r="H2712" t="str">
        <f>VLOOKUP(record[[#This Row],[ProcessSN]],表格2_7[],2,FALSE)</f>
        <v>30-4118-018-600</v>
      </c>
      <c r="I2712" t="str">
        <f>VLOOKUP(record[[#This Row],[ProcessSN]],表格2_7[],3,FALSE)</f>
        <v>#100STOCK</v>
      </c>
      <c r="J2712" t="s">
        <v>592</v>
      </c>
      <c r="K2712" s="195">
        <v>46111.754293981481</v>
      </c>
      <c r="L2712">
        <v>6</v>
      </c>
      <c r="M2712">
        <v>0</v>
      </c>
      <c r="N2712" s="98" t="str">
        <f>IF(record[[#This Row],[Memo]]="Browser:chrome os:android","平板報工",IF(record[[#This Row],[Memo]]=0,"委外",record[[#This Row],[Memo]]))</f>
        <v/>
      </c>
      <c r="O2712" t="s">
        <v>58</v>
      </c>
      <c r="P2712" t="s">
        <v>886</v>
      </c>
      <c r="Q2712" t="s">
        <v>58</v>
      </c>
      <c r="R2712" t="str">
        <f>IFERROR(VLOOKUP(record[[#This Row],[PCUSTID]],廠商[],2,FALSE),"")</f>
        <v/>
      </c>
      <c r="S2712" t="str">
        <f>VLOOKUP(record[[#This Row],[employeeID]],員工[],2,FALSE)</f>
        <v>謝蓁薰</v>
      </c>
    </row>
    <row r="2713" spans="6:19" hidden="1" x14ac:dyDescent="0.25">
      <c r="F2713" t="s">
        <v>1680</v>
      </c>
      <c r="G2713" t="s">
        <v>427</v>
      </c>
      <c r="H2713" t="str">
        <f>VLOOKUP(record[[#This Row],[ProcessSN]],表格2_7[],2,FALSE)</f>
        <v>30-4118-018-600</v>
      </c>
      <c r="I2713" t="str">
        <f>VLOOKUP(record[[#This Row],[ProcessSN]],表格2_7[],3,FALSE)</f>
        <v>#100STOCK</v>
      </c>
      <c r="J2713" t="s">
        <v>592</v>
      </c>
      <c r="K2713" s="195">
        <v>46111.754201388889</v>
      </c>
      <c r="L2713">
        <v>134</v>
      </c>
      <c r="M2713">
        <v>0</v>
      </c>
      <c r="N2713" s="98" t="str">
        <f>IF(record[[#This Row],[Memo]]="Browser:chrome os:android","平板報工",IF(record[[#This Row],[Memo]]=0,"委外",record[[#This Row],[Memo]]))</f>
        <v/>
      </c>
      <c r="O2713" t="s">
        <v>58</v>
      </c>
      <c r="P2713" t="s">
        <v>886</v>
      </c>
      <c r="Q2713" t="s">
        <v>58</v>
      </c>
      <c r="R2713" t="str">
        <f>IFERROR(VLOOKUP(record[[#This Row],[PCUSTID]],廠商[],2,FALSE),"")</f>
        <v/>
      </c>
      <c r="S2713" t="str">
        <f>VLOOKUP(record[[#This Row],[employeeID]],員工[],2,FALSE)</f>
        <v>謝蓁薰</v>
      </c>
    </row>
    <row r="2714" spans="6:19" hidden="1" x14ac:dyDescent="0.25">
      <c r="F2714" t="s">
        <v>1680</v>
      </c>
      <c r="G2714" t="s">
        <v>425</v>
      </c>
      <c r="H2714" t="str">
        <f>VLOOKUP(record[[#This Row],[ProcessSN]],表格2_7[],2,FALSE)</f>
        <v>30-4118-018-600</v>
      </c>
      <c r="I2714" t="str">
        <f>VLOOKUP(record[[#This Row],[ProcessSN]],表格2_7[],3,FALSE)</f>
        <v>#100</v>
      </c>
      <c r="J2714" t="s">
        <v>598</v>
      </c>
      <c r="K2714" s="195">
        <v>46111.748414351852</v>
      </c>
      <c r="L2714">
        <v>8</v>
      </c>
      <c r="M2714">
        <v>0</v>
      </c>
      <c r="N2714" s="98" t="str">
        <f>IF(record[[#This Row],[Memo]]="Browser:chrome os:android","平板報工",IF(record[[#This Row],[Memo]]=0,"委外",record[[#This Row],[Memo]]))</f>
        <v/>
      </c>
      <c r="O2714" t="s">
        <v>58</v>
      </c>
      <c r="P2714" t="s">
        <v>99</v>
      </c>
      <c r="Q2714" t="s">
        <v>58</v>
      </c>
      <c r="R2714" t="str">
        <f>IFERROR(VLOOKUP(record[[#This Row],[PCUSTID]],廠商[],2,FALSE),"")</f>
        <v/>
      </c>
      <c r="S2714" t="str">
        <f>VLOOKUP(record[[#This Row],[employeeID]],員工[],2,FALSE)</f>
        <v>阮氏河</v>
      </c>
    </row>
    <row r="2715" spans="6:19" hidden="1" x14ac:dyDescent="0.25">
      <c r="F2715" t="s">
        <v>1676</v>
      </c>
      <c r="G2715" t="s">
        <v>425</v>
      </c>
      <c r="H2715" t="str">
        <f>VLOOKUP(record[[#This Row],[ProcessSN]],表格2_7[],2,FALSE)</f>
        <v>30-4118-018-600</v>
      </c>
      <c r="I2715" t="str">
        <f>VLOOKUP(record[[#This Row],[ProcessSN]],表格2_7[],3,FALSE)</f>
        <v>#100</v>
      </c>
      <c r="J2715" t="s">
        <v>598</v>
      </c>
      <c r="K2715" s="195">
        <v>46111.748310185183</v>
      </c>
      <c r="L2715">
        <v>1</v>
      </c>
      <c r="M2715">
        <v>0</v>
      </c>
      <c r="N2715" s="98" t="str">
        <f>IF(record[[#This Row],[Memo]]="Browser:chrome os:android","平板報工",IF(record[[#This Row],[Memo]]=0,"委外",record[[#This Row],[Memo]]))</f>
        <v/>
      </c>
      <c r="O2715" t="s">
        <v>58</v>
      </c>
      <c r="P2715" t="s">
        <v>99</v>
      </c>
      <c r="Q2715" t="s">
        <v>58</v>
      </c>
      <c r="R2715" t="str">
        <f>IFERROR(VLOOKUP(record[[#This Row],[PCUSTID]],廠商[],2,FALSE),"")</f>
        <v/>
      </c>
      <c r="S2715" t="str">
        <f>VLOOKUP(record[[#This Row],[employeeID]],員工[],2,FALSE)</f>
        <v>阮氏河</v>
      </c>
    </row>
    <row r="2716" spans="6:19" hidden="1" x14ac:dyDescent="0.25">
      <c r="F2716" t="s">
        <v>1676</v>
      </c>
      <c r="G2716" t="s">
        <v>424</v>
      </c>
      <c r="H2716" t="str">
        <f>VLOOKUP(record[[#This Row],[ProcessSN]],表格2_7[],2,FALSE)</f>
        <v>30-4118-018-600</v>
      </c>
      <c r="I2716" t="str">
        <f>VLOOKUP(record[[#This Row],[ProcessSN]],表格2_7[],3,FALSE)</f>
        <v>#08IQC</v>
      </c>
      <c r="J2716" t="s">
        <v>583</v>
      </c>
      <c r="K2716" s="195">
        <v>46111.748159722221</v>
      </c>
      <c r="L2716">
        <v>1</v>
      </c>
      <c r="M2716">
        <v>0</v>
      </c>
      <c r="N2716" s="98" t="str">
        <f>IF(record[[#This Row],[Memo]]="Browser:chrome os:android","平板報工",IF(record[[#This Row],[Memo]]=0,"委外",record[[#This Row],[Memo]]))</f>
        <v>覆回</v>
      </c>
      <c r="O2716" t="s">
        <v>682</v>
      </c>
      <c r="P2716" t="s">
        <v>186</v>
      </c>
      <c r="Q2716" t="s">
        <v>58</v>
      </c>
      <c r="R2716" t="str">
        <f>IFERROR(VLOOKUP(record[[#This Row],[PCUSTID]],廠商[],2,FALSE),"")</f>
        <v/>
      </c>
      <c r="S2716" t="str">
        <f>VLOOKUP(record[[#This Row],[employeeID]],員工[],2,FALSE)</f>
        <v>許文姍</v>
      </c>
    </row>
    <row r="2717" spans="6:19" hidden="1" x14ac:dyDescent="0.25">
      <c r="F2717" t="s">
        <v>1676</v>
      </c>
      <c r="G2717" t="s">
        <v>423</v>
      </c>
      <c r="H2717" t="str">
        <f>VLOOKUP(record[[#This Row],[ProcessSN]],表格2_7[],2,FALSE)</f>
        <v>30-4118-018-600</v>
      </c>
      <c r="I2717" t="str">
        <f>VLOOKUP(record[[#This Row],[ProcessSN]],表格2_7[],3,FALSE)</f>
        <v>#08RCV</v>
      </c>
      <c r="J2717" t="s">
        <v>591</v>
      </c>
      <c r="K2717" s="195">
        <v>46111.748032407406</v>
      </c>
      <c r="L2717">
        <v>1</v>
      </c>
      <c r="M2717">
        <v>0</v>
      </c>
      <c r="N2717" s="98" t="str">
        <f>IF(record[[#This Row],[Memo]]="Browser:chrome os:android","平板報工",IF(record[[#This Row],[Memo]]=0,"委外",record[[#This Row],[Memo]]))</f>
        <v>覆回</v>
      </c>
      <c r="O2717" t="s">
        <v>682</v>
      </c>
      <c r="P2717" t="s">
        <v>186</v>
      </c>
      <c r="Q2717" t="s">
        <v>58</v>
      </c>
      <c r="R2717" t="str">
        <f>IFERROR(VLOOKUP(record[[#This Row],[PCUSTID]],廠商[],2,FALSE),"")</f>
        <v/>
      </c>
      <c r="S2717" t="str">
        <f>VLOOKUP(record[[#This Row],[employeeID]],員工[],2,FALSE)</f>
        <v>許文姍</v>
      </c>
    </row>
    <row r="2718" spans="6:19" hidden="1" x14ac:dyDescent="0.25">
      <c r="F2718" t="s">
        <v>1680</v>
      </c>
      <c r="G2718" t="s">
        <v>424</v>
      </c>
      <c r="H2718" t="str">
        <f>VLOOKUP(record[[#This Row],[ProcessSN]],表格2_7[],2,FALSE)</f>
        <v>30-4118-018-600</v>
      </c>
      <c r="I2718" t="str">
        <f>VLOOKUP(record[[#This Row],[ProcessSN]],表格2_7[],3,FALSE)</f>
        <v>#08IQC</v>
      </c>
      <c r="J2718" t="s">
        <v>583</v>
      </c>
      <c r="K2718" s="195">
        <v>46111.747789351852</v>
      </c>
      <c r="L2718">
        <v>8</v>
      </c>
      <c r="M2718">
        <v>0</v>
      </c>
      <c r="N2718" s="98" t="str">
        <f>IF(record[[#This Row],[Memo]]="Browser:chrome os:android","平板報工",IF(record[[#This Row],[Memo]]=0,"委外",record[[#This Row],[Memo]]))</f>
        <v>覆回</v>
      </c>
      <c r="O2718" t="s">
        <v>682</v>
      </c>
      <c r="P2718" t="s">
        <v>186</v>
      </c>
      <c r="Q2718" t="s">
        <v>58</v>
      </c>
      <c r="R2718" t="str">
        <f>IFERROR(VLOOKUP(record[[#This Row],[PCUSTID]],廠商[],2,FALSE),"")</f>
        <v/>
      </c>
      <c r="S2718" t="str">
        <f>VLOOKUP(record[[#This Row],[employeeID]],員工[],2,FALSE)</f>
        <v>許文姍</v>
      </c>
    </row>
    <row r="2719" spans="6:19" hidden="1" x14ac:dyDescent="0.25">
      <c r="F2719" t="s">
        <v>1680</v>
      </c>
      <c r="G2719" t="s">
        <v>423</v>
      </c>
      <c r="H2719" t="str">
        <f>VLOOKUP(record[[#This Row],[ProcessSN]],表格2_7[],2,FALSE)</f>
        <v>30-4118-018-600</v>
      </c>
      <c r="I2719" t="str">
        <f>VLOOKUP(record[[#This Row],[ProcessSN]],表格2_7[],3,FALSE)</f>
        <v>#08RCV</v>
      </c>
      <c r="J2719" t="s">
        <v>591</v>
      </c>
      <c r="K2719" s="195">
        <v>46111.747662037036</v>
      </c>
      <c r="L2719">
        <v>8</v>
      </c>
      <c r="M2719">
        <v>0</v>
      </c>
      <c r="N2719" s="98" t="str">
        <f>IF(record[[#This Row],[Memo]]="Browser:chrome os:android","平板報工",IF(record[[#This Row],[Memo]]=0,"委外",record[[#This Row],[Memo]]))</f>
        <v>覆回</v>
      </c>
      <c r="O2719" t="s">
        <v>682</v>
      </c>
      <c r="P2719" t="s">
        <v>186</v>
      </c>
      <c r="Q2719" t="s">
        <v>58</v>
      </c>
      <c r="R2719" t="str">
        <f>IFERROR(VLOOKUP(record[[#This Row],[PCUSTID]],廠商[],2,FALSE),"")</f>
        <v/>
      </c>
      <c r="S2719" t="str">
        <f>VLOOKUP(record[[#This Row],[employeeID]],員工[],2,FALSE)</f>
        <v>許文姍</v>
      </c>
    </row>
    <row r="2720" spans="6:19" hidden="1" x14ac:dyDescent="0.25">
      <c r="F2720" t="s">
        <v>1672</v>
      </c>
      <c r="G2720" t="s">
        <v>425</v>
      </c>
      <c r="H2720" t="str">
        <f>VLOOKUP(record[[#This Row],[ProcessSN]],表格2_7[],2,FALSE)</f>
        <v>30-4118-018-600</v>
      </c>
      <c r="I2720" t="str">
        <f>VLOOKUP(record[[#This Row],[ProcessSN]],表格2_7[],3,FALSE)</f>
        <v>#100</v>
      </c>
      <c r="J2720" t="s">
        <v>598</v>
      </c>
      <c r="K2720" s="195">
        <v>46111.745428240742</v>
      </c>
      <c r="L2720">
        <v>154</v>
      </c>
      <c r="M2720">
        <v>0</v>
      </c>
      <c r="N2720" s="98" t="str">
        <f>IF(record[[#This Row],[Memo]]="Browser:chrome os:android","平板報工",IF(record[[#This Row],[Memo]]=0,"委外",record[[#This Row],[Memo]]))</f>
        <v/>
      </c>
      <c r="O2720" t="s">
        <v>58</v>
      </c>
      <c r="P2720" t="s">
        <v>99</v>
      </c>
      <c r="Q2720" t="s">
        <v>58</v>
      </c>
      <c r="R2720" t="str">
        <f>IFERROR(VLOOKUP(record[[#This Row],[PCUSTID]],廠商[],2,FALSE),"")</f>
        <v/>
      </c>
      <c r="S2720" t="str">
        <f>VLOOKUP(record[[#This Row],[employeeID]],員工[],2,FALSE)</f>
        <v>阮氏河</v>
      </c>
    </row>
    <row r="2721" spans="6:19" hidden="1" x14ac:dyDescent="0.25">
      <c r="F2721" t="s">
        <v>1672</v>
      </c>
      <c r="G2721" t="s">
        <v>424</v>
      </c>
      <c r="H2721" t="str">
        <f>VLOOKUP(record[[#This Row],[ProcessSN]],表格2_7[],2,FALSE)</f>
        <v>30-4118-018-600</v>
      </c>
      <c r="I2721" t="str">
        <f>VLOOKUP(record[[#This Row],[ProcessSN]],表格2_7[],3,FALSE)</f>
        <v>#08IQC</v>
      </c>
      <c r="J2721" t="s">
        <v>583</v>
      </c>
      <c r="K2721" s="195">
        <v>46111.745208333334</v>
      </c>
      <c r="L2721">
        <v>154</v>
      </c>
      <c r="M2721">
        <v>0</v>
      </c>
      <c r="N2721" s="98" t="str">
        <f>IF(record[[#This Row],[Memo]]="Browser:chrome os:android","平板報工",IF(record[[#This Row],[Memo]]=0,"委外",record[[#This Row],[Memo]]))</f>
        <v>覆回</v>
      </c>
      <c r="O2721" t="s">
        <v>682</v>
      </c>
      <c r="P2721" t="s">
        <v>886</v>
      </c>
      <c r="Q2721" t="s">
        <v>58</v>
      </c>
      <c r="R2721" t="str">
        <f>IFERROR(VLOOKUP(record[[#This Row],[PCUSTID]],廠商[],2,FALSE),"")</f>
        <v/>
      </c>
      <c r="S2721" t="str">
        <f>VLOOKUP(record[[#This Row],[employeeID]],員工[],2,FALSE)</f>
        <v>謝蓁薰</v>
      </c>
    </row>
    <row r="2722" spans="6:19" hidden="1" x14ac:dyDescent="0.25">
      <c r="F2722" t="s">
        <v>1672</v>
      </c>
      <c r="G2722" t="s">
        <v>423</v>
      </c>
      <c r="H2722" t="str">
        <f>VLOOKUP(record[[#This Row],[ProcessSN]],表格2_7[],2,FALSE)</f>
        <v>30-4118-018-600</v>
      </c>
      <c r="I2722" t="str">
        <f>VLOOKUP(record[[#This Row],[ProcessSN]],表格2_7[],3,FALSE)</f>
        <v>#08RCV</v>
      </c>
      <c r="J2722" t="s">
        <v>591</v>
      </c>
      <c r="K2722" s="195">
        <v>46111.744976851849</v>
      </c>
      <c r="L2722">
        <v>154</v>
      </c>
      <c r="M2722">
        <v>0</v>
      </c>
      <c r="N2722" s="98" t="str">
        <f>IF(record[[#This Row],[Memo]]="Browser:chrome os:android","平板報工",IF(record[[#This Row],[Memo]]=0,"委外",record[[#This Row],[Memo]]))</f>
        <v/>
      </c>
      <c r="O2722" t="s">
        <v>58</v>
      </c>
      <c r="P2722" t="s">
        <v>886</v>
      </c>
      <c r="Q2722" t="s">
        <v>58</v>
      </c>
      <c r="R2722" t="str">
        <f>IFERROR(VLOOKUP(record[[#This Row],[PCUSTID]],廠商[],2,FALSE),"")</f>
        <v/>
      </c>
      <c r="S2722" t="str">
        <f>VLOOKUP(record[[#This Row],[employeeID]],員工[],2,FALSE)</f>
        <v>謝蓁薰</v>
      </c>
    </row>
    <row r="2723" spans="6:19" hidden="1" x14ac:dyDescent="0.25">
      <c r="F2723" t="s">
        <v>1689</v>
      </c>
      <c r="G2723" t="s">
        <v>426</v>
      </c>
      <c r="H2723" t="str">
        <f>VLOOKUP(record[[#This Row],[ProcessSN]],表格2_7[],2,FALSE)</f>
        <v>30-4118-018-600</v>
      </c>
      <c r="I2723" t="str">
        <f>VLOOKUP(record[[#This Row],[ProcessSN]],表格2_7[],3,FALSE)</f>
        <v>#100OQC</v>
      </c>
      <c r="J2723" t="s">
        <v>599</v>
      </c>
      <c r="K2723" s="195">
        <v>46111.742534722223</v>
      </c>
      <c r="L2723">
        <v>10</v>
      </c>
      <c r="M2723">
        <v>0</v>
      </c>
      <c r="N2723" s="98" t="str">
        <f>IF(record[[#This Row],[Memo]]="Browser:chrome os:android","平板報工",IF(record[[#This Row],[Memo]]=0,"委外",record[[#This Row],[Memo]]))</f>
        <v/>
      </c>
      <c r="O2723" t="s">
        <v>58</v>
      </c>
      <c r="P2723" t="s">
        <v>121</v>
      </c>
      <c r="Q2723" t="s">
        <v>58</v>
      </c>
      <c r="R2723" t="str">
        <f>IFERROR(VLOOKUP(record[[#This Row],[PCUSTID]],廠商[],2,FALSE),"")</f>
        <v/>
      </c>
      <c r="S2723" t="str">
        <f>VLOOKUP(record[[#This Row],[employeeID]],員工[],2,FALSE)</f>
        <v>謝素卿</v>
      </c>
    </row>
    <row r="2724" spans="6:19" hidden="1" x14ac:dyDescent="0.25">
      <c r="F2724" t="s">
        <v>1680</v>
      </c>
      <c r="G2724" t="s">
        <v>426</v>
      </c>
      <c r="H2724" t="str">
        <f>VLOOKUP(record[[#This Row],[ProcessSN]],表格2_7[],2,FALSE)</f>
        <v>30-4118-018-600</v>
      </c>
      <c r="I2724" t="str">
        <f>VLOOKUP(record[[#This Row],[ProcessSN]],表格2_7[],3,FALSE)</f>
        <v>#100OQC</v>
      </c>
      <c r="J2724" t="s">
        <v>599</v>
      </c>
      <c r="K2724" s="195">
        <v>46111.742407407408</v>
      </c>
      <c r="L2724">
        <v>134</v>
      </c>
      <c r="M2724">
        <v>0</v>
      </c>
      <c r="N2724" s="98" t="str">
        <f>IF(record[[#This Row],[Memo]]="Browser:chrome os:android","平板報工",IF(record[[#This Row],[Memo]]=0,"委外",record[[#This Row],[Memo]]))</f>
        <v/>
      </c>
      <c r="O2724" t="s">
        <v>58</v>
      </c>
      <c r="P2724" t="s">
        <v>121</v>
      </c>
      <c r="Q2724" t="s">
        <v>58</v>
      </c>
      <c r="R2724" t="str">
        <f>IFERROR(VLOOKUP(record[[#This Row],[PCUSTID]],廠商[],2,FALSE),"")</f>
        <v/>
      </c>
      <c r="S2724" t="str">
        <f>VLOOKUP(record[[#This Row],[employeeID]],員工[],2,FALSE)</f>
        <v>謝素卿</v>
      </c>
    </row>
    <row r="2725" spans="6:19" hidden="1" x14ac:dyDescent="0.25">
      <c r="F2725" t="s">
        <v>1686</v>
      </c>
      <c r="G2725" t="s">
        <v>426</v>
      </c>
      <c r="H2725" t="str">
        <f>VLOOKUP(record[[#This Row],[ProcessSN]],表格2_7[],2,FALSE)</f>
        <v>30-4118-018-600</v>
      </c>
      <c r="I2725" t="str">
        <f>VLOOKUP(record[[#This Row],[ProcessSN]],表格2_7[],3,FALSE)</f>
        <v>#100OQC</v>
      </c>
      <c r="J2725" t="s">
        <v>599</v>
      </c>
      <c r="K2725" s="195">
        <v>46111.742256944446</v>
      </c>
      <c r="L2725">
        <v>6</v>
      </c>
      <c r="M2725">
        <v>0</v>
      </c>
      <c r="N2725" s="98" t="str">
        <f>IF(record[[#This Row],[Memo]]="Browser:chrome os:android","平板報工",IF(record[[#This Row],[Memo]]=0,"委外",record[[#This Row],[Memo]]))</f>
        <v/>
      </c>
      <c r="O2725" t="s">
        <v>58</v>
      </c>
      <c r="P2725" t="s">
        <v>121</v>
      </c>
      <c r="Q2725" t="s">
        <v>58</v>
      </c>
      <c r="R2725" t="str">
        <f>IFERROR(VLOOKUP(record[[#This Row],[PCUSTID]],廠商[],2,FALSE),"")</f>
        <v/>
      </c>
      <c r="S2725" t="str">
        <f>VLOOKUP(record[[#This Row],[employeeID]],員工[],2,FALSE)</f>
        <v>謝素卿</v>
      </c>
    </row>
    <row r="2726" spans="6:19" hidden="1" x14ac:dyDescent="0.25">
      <c r="F2726" t="s">
        <v>1685</v>
      </c>
      <c r="G2726" t="s">
        <v>403</v>
      </c>
      <c r="H2726" t="str">
        <f>VLOOKUP(record[[#This Row],[ProcessSN]],表格2_7[],2,FALSE)</f>
        <v>30-4118-018-550</v>
      </c>
      <c r="I2726" t="str">
        <f>VLOOKUP(record[[#This Row],[ProcessSN]],表格2_7[],3,FALSE)</f>
        <v>#100SHIP</v>
      </c>
      <c r="J2726" t="s">
        <v>600</v>
      </c>
      <c r="K2726" s="195">
        <v>46111.74150462963</v>
      </c>
      <c r="L2726">
        <v>105</v>
      </c>
      <c r="M2726">
        <v>0</v>
      </c>
      <c r="N2726" s="98" t="str">
        <f>IF(record[[#This Row],[Memo]]="Browser:chrome os:android","平板報工",IF(record[[#This Row],[Memo]]=0,"委外",record[[#This Row],[Memo]]))</f>
        <v/>
      </c>
      <c r="O2726" t="s">
        <v>58</v>
      </c>
      <c r="P2726" t="s">
        <v>886</v>
      </c>
      <c r="Q2726" t="s">
        <v>58</v>
      </c>
      <c r="R2726" t="str">
        <f>IFERROR(VLOOKUP(record[[#This Row],[PCUSTID]],廠商[],2,FALSE),"")</f>
        <v/>
      </c>
      <c r="S2726" t="str">
        <f>VLOOKUP(record[[#This Row],[employeeID]],員工[],2,FALSE)</f>
        <v>謝蓁薰</v>
      </c>
    </row>
    <row r="2727" spans="6:19" hidden="1" x14ac:dyDescent="0.25">
      <c r="F2727" t="s">
        <v>1660</v>
      </c>
      <c r="G2727" t="s">
        <v>403</v>
      </c>
      <c r="H2727" t="str">
        <f>VLOOKUP(record[[#This Row],[ProcessSN]],表格2_7[],2,FALSE)</f>
        <v>30-4118-018-550</v>
      </c>
      <c r="I2727" t="str">
        <f>VLOOKUP(record[[#This Row],[ProcessSN]],表格2_7[],3,FALSE)</f>
        <v>#100SHIP</v>
      </c>
      <c r="J2727" t="s">
        <v>600</v>
      </c>
      <c r="K2727" s="195">
        <v>46111.73946759259</v>
      </c>
      <c r="L2727">
        <v>149</v>
      </c>
      <c r="M2727">
        <v>0</v>
      </c>
      <c r="N2727" s="98" t="str">
        <f>IF(record[[#This Row],[Memo]]="Browser:chrome os:android","平板報工",IF(record[[#This Row],[Memo]]=0,"委外",record[[#This Row],[Memo]]))</f>
        <v/>
      </c>
      <c r="O2727" t="s">
        <v>58</v>
      </c>
      <c r="P2727" t="s">
        <v>886</v>
      </c>
      <c r="Q2727" t="s">
        <v>58</v>
      </c>
      <c r="R2727" t="str">
        <f>IFERROR(VLOOKUP(record[[#This Row],[PCUSTID]],廠商[],2,FALSE),"")</f>
        <v/>
      </c>
      <c r="S2727" t="str">
        <f>VLOOKUP(record[[#This Row],[employeeID]],員工[],2,FALSE)</f>
        <v>謝蓁薰</v>
      </c>
    </row>
    <row r="2728" spans="6:19" hidden="1" x14ac:dyDescent="0.25">
      <c r="F2728" t="s">
        <v>1685</v>
      </c>
      <c r="G2728" t="s">
        <v>402</v>
      </c>
      <c r="H2728" t="str">
        <f>VLOOKUP(record[[#This Row],[ProcessSN]],表格2_7[],2,FALSE)</f>
        <v>30-4118-018-550</v>
      </c>
      <c r="I2728" t="str">
        <f>VLOOKUP(record[[#This Row],[ProcessSN]],表格2_7[],3,FALSE)</f>
        <v>#100STOCK</v>
      </c>
      <c r="J2728" t="s">
        <v>592</v>
      </c>
      <c r="K2728" s="195">
        <v>46111.739363425928</v>
      </c>
      <c r="L2728">
        <v>105</v>
      </c>
      <c r="M2728">
        <v>0</v>
      </c>
      <c r="N2728" s="98" t="str">
        <f>IF(record[[#This Row],[Memo]]="Browser:chrome os:android","平板報工",IF(record[[#This Row],[Memo]]=0,"委外",record[[#This Row],[Memo]]))</f>
        <v/>
      </c>
      <c r="O2728" t="s">
        <v>58</v>
      </c>
      <c r="P2728" t="s">
        <v>886</v>
      </c>
      <c r="Q2728" t="s">
        <v>58</v>
      </c>
      <c r="R2728" t="str">
        <f>IFERROR(VLOOKUP(record[[#This Row],[PCUSTID]],廠商[],2,FALSE),"")</f>
        <v/>
      </c>
      <c r="S2728" t="str">
        <f>VLOOKUP(record[[#This Row],[employeeID]],員工[],2,FALSE)</f>
        <v>謝蓁薰</v>
      </c>
    </row>
    <row r="2729" spans="6:19" hidden="1" x14ac:dyDescent="0.25">
      <c r="F2729" t="s">
        <v>1660</v>
      </c>
      <c r="G2729" t="s">
        <v>402</v>
      </c>
      <c r="H2729" t="str">
        <f>VLOOKUP(record[[#This Row],[ProcessSN]],表格2_7[],2,FALSE)</f>
        <v>30-4118-018-550</v>
      </c>
      <c r="I2729" t="str">
        <f>VLOOKUP(record[[#This Row],[ProcessSN]],表格2_7[],3,FALSE)</f>
        <v>#100STOCK</v>
      </c>
      <c r="J2729" t="s">
        <v>592</v>
      </c>
      <c r="K2729" s="195">
        <v>46111.739212962966</v>
      </c>
      <c r="L2729">
        <v>149</v>
      </c>
      <c r="M2729">
        <v>0</v>
      </c>
      <c r="N2729" s="98" t="str">
        <f>IF(record[[#This Row],[Memo]]="Browser:chrome os:android","平板報工",IF(record[[#This Row],[Memo]]=0,"委外",record[[#This Row],[Memo]]))</f>
        <v/>
      </c>
      <c r="O2729" t="s">
        <v>58</v>
      </c>
      <c r="P2729" t="s">
        <v>886</v>
      </c>
      <c r="Q2729" t="s">
        <v>58</v>
      </c>
      <c r="R2729" t="str">
        <f>IFERROR(VLOOKUP(record[[#This Row],[PCUSTID]],廠商[],2,FALSE),"")</f>
        <v/>
      </c>
      <c r="S2729" t="str">
        <f>VLOOKUP(record[[#This Row],[employeeID]],員工[],2,FALSE)</f>
        <v>謝蓁薰</v>
      </c>
    </row>
    <row r="2730" spans="6:19" hidden="1" x14ac:dyDescent="0.25">
      <c r="F2730" t="s">
        <v>1689</v>
      </c>
      <c r="G2730" t="s">
        <v>425</v>
      </c>
      <c r="H2730" t="str">
        <f>VLOOKUP(record[[#This Row],[ProcessSN]],表格2_7[],2,FALSE)</f>
        <v>30-4118-018-600</v>
      </c>
      <c r="I2730" t="str">
        <f>VLOOKUP(record[[#This Row],[ProcessSN]],表格2_7[],3,FALSE)</f>
        <v>#100</v>
      </c>
      <c r="J2730" t="s">
        <v>598</v>
      </c>
      <c r="K2730" s="195">
        <v>46111.737083333333</v>
      </c>
      <c r="L2730">
        <v>10</v>
      </c>
      <c r="M2730">
        <v>0</v>
      </c>
      <c r="N2730" s="98" t="str">
        <f>IF(record[[#This Row],[Memo]]="Browser:chrome os:android","平板報工",IF(record[[#This Row],[Memo]]=0,"委外",record[[#This Row],[Memo]]))</f>
        <v/>
      </c>
      <c r="O2730" t="s">
        <v>58</v>
      </c>
      <c r="P2730" t="s">
        <v>99</v>
      </c>
      <c r="Q2730" t="s">
        <v>58</v>
      </c>
      <c r="R2730" t="str">
        <f>IFERROR(VLOOKUP(record[[#This Row],[PCUSTID]],廠商[],2,FALSE),"")</f>
        <v/>
      </c>
      <c r="S2730" t="str">
        <f>VLOOKUP(record[[#This Row],[employeeID]],員工[],2,FALSE)</f>
        <v>阮氏河</v>
      </c>
    </row>
    <row r="2731" spans="6:19" hidden="1" x14ac:dyDescent="0.25">
      <c r="F2731" t="s">
        <v>1680</v>
      </c>
      <c r="G2731" t="s">
        <v>425</v>
      </c>
      <c r="H2731" t="str">
        <f>VLOOKUP(record[[#This Row],[ProcessSN]],表格2_7[],2,FALSE)</f>
        <v>30-4118-018-600</v>
      </c>
      <c r="I2731" t="str">
        <f>VLOOKUP(record[[#This Row],[ProcessSN]],表格2_7[],3,FALSE)</f>
        <v>#100</v>
      </c>
      <c r="J2731" t="s">
        <v>598</v>
      </c>
      <c r="K2731" s="195">
        <v>46111.736284722225</v>
      </c>
      <c r="L2731">
        <v>134</v>
      </c>
      <c r="M2731">
        <v>0</v>
      </c>
      <c r="N2731" s="98" t="str">
        <f>IF(record[[#This Row],[Memo]]="Browser:chrome os:android","平板報工",IF(record[[#This Row],[Memo]]=0,"委外",record[[#This Row],[Memo]]))</f>
        <v/>
      </c>
      <c r="O2731" t="s">
        <v>58</v>
      </c>
      <c r="P2731" t="s">
        <v>99</v>
      </c>
      <c r="Q2731" t="s">
        <v>58</v>
      </c>
      <c r="R2731" t="str">
        <f>IFERROR(VLOOKUP(record[[#This Row],[PCUSTID]],廠商[],2,FALSE),"")</f>
        <v/>
      </c>
      <c r="S2731" t="str">
        <f>VLOOKUP(record[[#This Row],[employeeID]],員工[],2,FALSE)</f>
        <v>阮氏河</v>
      </c>
    </row>
    <row r="2732" spans="6:19" hidden="1" x14ac:dyDescent="0.25">
      <c r="F2732" t="s">
        <v>1646</v>
      </c>
      <c r="G2732" t="s">
        <v>362</v>
      </c>
      <c r="H2732" t="str">
        <f>VLOOKUP(record[[#This Row],[ProcessSN]],表格2_7[],2,FALSE)</f>
        <v>30-4118-018-450</v>
      </c>
      <c r="I2732" t="str">
        <f>VLOOKUP(record[[#This Row],[ProcessSN]],表格2_7[],3,FALSE)</f>
        <v>#100SHIP</v>
      </c>
      <c r="J2732" t="s">
        <v>600</v>
      </c>
      <c r="K2732" s="195">
        <v>46111.735902777778</v>
      </c>
      <c r="L2732">
        <v>98</v>
      </c>
      <c r="M2732">
        <v>0</v>
      </c>
      <c r="N2732" s="98" t="str">
        <f>IF(record[[#This Row],[Memo]]="Browser:chrome os:android","平板報工",IF(record[[#This Row],[Memo]]=0,"委外",record[[#This Row],[Memo]]))</f>
        <v/>
      </c>
      <c r="O2732" t="s">
        <v>58</v>
      </c>
      <c r="P2732" t="s">
        <v>886</v>
      </c>
      <c r="Q2732" t="s">
        <v>58</v>
      </c>
      <c r="R2732" t="str">
        <f>IFERROR(VLOOKUP(record[[#This Row],[PCUSTID]],廠商[],2,FALSE),"")</f>
        <v/>
      </c>
      <c r="S2732" t="str">
        <f>VLOOKUP(record[[#This Row],[employeeID]],員工[],2,FALSE)</f>
        <v>謝蓁薰</v>
      </c>
    </row>
    <row r="2733" spans="6:19" hidden="1" x14ac:dyDescent="0.25">
      <c r="F2733" t="s">
        <v>1686</v>
      </c>
      <c r="G2733" t="s">
        <v>425</v>
      </c>
      <c r="H2733" t="str">
        <f>VLOOKUP(record[[#This Row],[ProcessSN]],表格2_7[],2,FALSE)</f>
        <v>30-4118-018-600</v>
      </c>
      <c r="I2733" t="str">
        <f>VLOOKUP(record[[#This Row],[ProcessSN]],表格2_7[],3,FALSE)</f>
        <v>#100</v>
      </c>
      <c r="J2733" t="s">
        <v>598</v>
      </c>
      <c r="K2733" s="195">
        <v>46111.735763888886</v>
      </c>
      <c r="L2733">
        <v>6</v>
      </c>
      <c r="M2733">
        <v>0</v>
      </c>
      <c r="N2733" s="98" t="str">
        <f>IF(record[[#This Row],[Memo]]="Browser:chrome os:android","平板報工",IF(record[[#This Row],[Memo]]=0,"委外",record[[#This Row],[Memo]]))</f>
        <v/>
      </c>
      <c r="O2733" t="s">
        <v>58</v>
      </c>
      <c r="P2733" t="s">
        <v>99</v>
      </c>
      <c r="Q2733" t="s">
        <v>58</v>
      </c>
      <c r="R2733" t="str">
        <f>IFERROR(VLOOKUP(record[[#This Row],[PCUSTID]],廠商[],2,FALSE),"")</f>
        <v/>
      </c>
      <c r="S2733" t="str">
        <f>VLOOKUP(record[[#This Row],[employeeID]],員工[],2,FALSE)</f>
        <v>阮氏河</v>
      </c>
    </row>
    <row r="2734" spans="6:19" hidden="1" x14ac:dyDescent="0.25">
      <c r="F2734" t="s">
        <v>1646</v>
      </c>
      <c r="G2734" t="s">
        <v>361</v>
      </c>
      <c r="H2734" t="str">
        <f>VLOOKUP(record[[#This Row],[ProcessSN]],表格2_7[],2,FALSE)</f>
        <v>30-4118-018-450</v>
      </c>
      <c r="I2734" t="str">
        <f>VLOOKUP(record[[#This Row],[ProcessSN]],表格2_7[],3,FALSE)</f>
        <v>#100STOCK</v>
      </c>
      <c r="J2734" t="s">
        <v>592</v>
      </c>
      <c r="K2734" s="195">
        <v>46111.735763888886</v>
      </c>
      <c r="L2734">
        <v>98</v>
      </c>
      <c r="M2734">
        <v>0</v>
      </c>
      <c r="N2734" s="98" t="str">
        <f>IF(record[[#This Row],[Memo]]="Browser:chrome os:android","平板報工",IF(record[[#This Row],[Memo]]=0,"委外",record[[#This Row],[Memo]]))</f>
        <v/>
      </c>
      <c r="O2734" t="s">
        <v>58</v>
      </c>
      <c r="P2734" t="s">
        <v>886</v>
      </c>
      <c r="Q2734" t="s">
        <v>58</v>
      </c>
      <c r="R2734" t="str">
        <f>IFERROR(VLOOKUP(record[[#This Row],[PCUSTID]],廠商[],2,FALSE),"")</f>
        <v/>
      </c>
      <c r="S2734" t="str">
        <f>VLOOKUP(record[[#This Row],[employeeID]],員工[],2,FALSE)</f>
        <v>謝蓁薰</v>
      </c>
    </row>
    <row r="2735" spans="6:19" hidden="1" x14ac:dyDescent="0.25">
      <c r="F2735" t="s">
        <v>1685</v>
      </c>
      <c r="G2735" t="s">
        <v>401</v>
      </c>
      <c r="H2735" t="str">
        <f>VLOOKUP(record[[#This Row],[ProcessSN]],表格2_7[],2,FALSE)</f>
        <v>30-4118-018-550</v>
      </c>
      <c r="I2735" t="str">
        <f>VLOOKUP(record[[#This Row],[ProcessSN]],表格2_7[],3,FALSE)</f>
        <v>#100OQC</v>
      </c>
      <c r="J2735" t="s">
        <v>599</v>
      </c>
      <c r="K2735" s="195">
        <v>46111.734363425923</v>
      </c>
      <c r="L2735">
        <v>105</v>
      </c>
      <c r="M2735">
        <v>0</v>
      </c>
      <c r="N2735" s="98" t="str">
        <f>IF(record[[#This Row],[Memo]]="Browser:chrome os:android","平板報工",IF(record[[#This Row],[Memo]]=0,"委外",record[[#This Row],[Memo]]))</f>
        <v/>
      </c>
      <c r="O2735" t="s">
        <v>58</v>
      </c>
      <c r="P2735" t="s">
        <v>121</v>
      </c>
      <c r="Q2735" t="s">
        <v>58</v>
      </c>
      <c r="R2735" t="str">
        <f>IFERROR(VLOOKUP(record[[#This Row],[PCUSTID]],廠商[],2,FALSE),"")</f>
        <v/>
      </c>
      <c r="S2735" t="str">
        <f>VLOOKUP(record[[#This Row],[employeeID]],員工[],2,FALSE)</f>
        <v>謝素卿</v>
      </c>
    </row>
    <row r="2736" spans="6:19" hidden="1" x14ac:dyDescent="0.25">
      <c r="F2736" t="s">
        <v>1660</v>
      </c>
      <c r="G2736" t="s">
        <v>401</v>
      </c>
      <c r="H2736" t="str">
        <f>VLOOKUP(record[[#This Row],[ProcessSN]],表格2_7[],2,FALSE)</f>
        <v>30-4118-018-550</v>
      </c>
      <c r="I2736" t="str">
        <f>VLOOKUP(record[[#This Row],[ProcessSN]],表格2_7[],3,FALSE)</f>
        <v>#100OQC</v>
      </c>
      <c r="J2736" t="s">
        <v>599</v>
      </c>
      <c r="K2736" s="195">
        <v>46111.734201388892</v>
      </c>
      <c r="L2736">
        <v>149</v>
      </c>
      <c r="M2736">
        <v>0</v>
      </c>
      <c r="N2736" s="98" t="str">
        <f>IF(record[[#This Row],[Memo]]="Browser:chrome os:android","平板報工",IF(record[[#This Row],[Memo]]=0,"委外",record[[#This Row],[Memo]]))</f>
        <v/>
      </c>
      <c r="O2736" t="s">
        <v>58</v>
      </c>
      <c r="P2736" t="s">
        <v>121</v>
      </c>
      <c r="Q2736" t="s">
        <v>58</v>
      </c>
      <c r="R2736" t="str">
        <f>IFERROR(VLOOKUP(record[[#This Row],[PCUSTID]],廠商[],2,FALSE),"")</f>
        <v/>
      </c>
      <c r="S2736" t="str">
        <f>VLOOKUP(record[[#This Row],[employeeID]],員工[],2,FALSE)</f>
        <v>謝素卿</v>
      </c>
    </row>
    <row r="2737" spans="6:19" hidden="1" x14ac:dyDescent="0.25">
      <c r="F2737" t="s">
        <v>1646</v>
      </c>
      <c r="G2737" t="s">
        <v>360</v>
      </c>
      <c r="H2737" t="str">
        <f>VLOOKUP(record[[#This Row],[ProcessSN]],表格2_7[],2,FALSE)</f>
        <v>30-4118-018-450</v>
      </c>
      <c r="I2737" t="str">
        <f>VLOOKUP(record[[#This Row],[ProcessSN]],表格2_7[],3,FALSE)</f>
        <v>#100OQC</v>
      </c>
      <c r="J2737" t="s">
        <v>599</v>
      </c>
      <c r="K2737" s="195">
        <v>46111.732395833336</v>
      </c>
      <c r="L2737">
        <v>203</v>
      </c>
      <c r="M2737">
        <v>0</v>
      </c>
      <c r="N2737" s="98" t="str">
        <f>IF(record[[#This Row],[Memo]]="Browser:chrome os:android","平板報工",IF(record[[#This Row],[Memo]]=0,"委外",record[[#This Row],[Memo]]))</f>
        <v/>
      </c>
      <c r="O2737" t="s">
        <v>58</v>
      </c>
      <c r="P2737" t="s">
        <v>121</v>
      </c>
      <c r="Q2737" t="s">
        <v>58</v>
      </c>
      <c r="R2737" t="str">
        <f>IFERROR(VLOOKUP(record[[#This Row],[PCUSTID]],廠商[],2,FALSE),"")</f>
        <v/>
      </c>
      <c r="S2737" t="str">
        <f>VLOOKUP(record[[#This Row],[employeeID]],員工[],2,FALSE)</f>
        <v>謝素卿</v>
      </c>
    </row>
    <row r="2738" spans="6:19" hidden="1" x14ac:dyDescent="0.25">
      <c r="F2738" t="s">
        <v>1689</v>
      </c>
      <c r="G2738" t="s">
        <v>426</v>
      </c>
      <c r="H2738" t="str">
        <f>VLOOKUP(record[[#This Row],[ProcessSN]],表格2_7[],2,FALSE)</f>
        <v>30-4118-018-600</v>
      </c>
      <c r="I2738" t="str">
        <f>VLOOKUP(record[[#This Row],[ProcessSN]],表格2_7[],3,FALSE)</f>
        <v>#100OQC</v>
      </c>
      <c r="J2738" t="s">
        <v>599</v>
      </c>
      <c r="K2738" s="195">
        <v>46111.732118055559</v>
      </c>
      <c r="L2738">
        <v>291</v>
      </c>
      <c r="M2738">
        <v>0</v>
      </c>
      <c r="N2738" s="98" t="str">
        <f>IF(record[[#This Row],[Memo]]="Browser:chrome os:android","平板報工",IF(record[[#This Row],[Memo]]=0,"委外",record[[#This Row],[Memo]]))</f>
        <v/>
      </c>
      <c r="O2738" t="s">
        <v>58</v>
      </c>
      <c r="P2738" t="s">
        <v>121</v>
      </c>
      <c r="Q2738" t="s">
        <v>58</v>
      </c>
      <c r="R2738" t="str">
        <f>IFERROR(VLOOKUP(record[[#This Row],[PCUSTID]],廠商[],2,FALSE),"")</f>
        <v/>
      </c>
      <c r="S2738" t="str">
        <f>VLOOKUP(record[[#This Row],[employeeID]],員工[],2,FALSE)</f>
        <v>謝素卿</v>
      </c>
    </row>
    <row r="2739" spans="6:19" hidden="1" x14ac:dyDescent="0.25">
      <c r="F2739" t="s">
        <v>1637</v>
      </c>
      <c r="G2739" t="s">
        <v>449</v>
      </c>
      <c r="H2739" t="str">
        <f>VLOOKUP(record[[#This Row],[ProcessSN]],表格2_7[],2,FALSE)</f>
        <v>30-4118-018-6XX</v>
      </c>
      <c r="I2739" t="str">
        <f>VLOOKUP(record[[#This Row],[ProcessSN]],表格2_7[],3,FALSE)</f>
        <v>#05</v>
      </c>
      <c r="J2739" t="s">
        <v>588</v>
      </c>
      <c r="K2739" s="195">
        <v>46111.728101851855</v>
      </c>
      <c r="L2739">
        <v>15</v>
      </c>
      <c r="M2739">
        <v>0</v>
      </c>
      <c r="N2739" s="98" t="str">
        <f>IF(record[[#This Row],[Memo]]="Browser:chrome os:android","平板報工",IF(record[[#This Row],[Memo]]=0,"委外",record[[#This Row],[Memo]]))</f>
        <v/>
      </c>
      <c r="O2739" t="s">
        <v>58</v>
      </c>
      <c r="P2739" t="s">
        <v>145</v>
      </c>
      <c r="Q2739" t="s">
        <v>58</v>
      </c>
      <c r="R2739" t="str">
        <f>IFERROR(VLOOKUP(record[[#This Row],[PCUSTID]],廠商[],2,FALSE),"")</f>
        <v/>
      </c>
      <c r="S2739" t="str">
        <f>VLOOKUP(record[[#This Row],[employeeID]],員工[],2,FALSE)</f>
        <v>阮秋霞</v>
      </c>
    </row>
    <row r="2740" spans="6:19" hidden="1" x14ac:dyDescent="0.25">
      <c r="F2740" t="s">
        <v>1637</v>
      </c>
      <c r="G2740" t="s">
        <v>452</v>
      </c>
      <c r="H2740" t="str">
        <f>VLOOKUP(record[[#This Row],[ProcessSN]],表格2_7[],2,FALSE)</f>
        <v>30-4118-018-6XX</v>
      </c>
      <c r="I2740" t="str">
        <f>VLOOKUP(record[[#This Row],[ProcessSN]],表格2_7[],3,FALSE)</f>
        <v>#07QC</v>
      </c>
      <c r="J2740" t="s">
        <v>589</v>
      </c>
      <c r="K2740" s="195">
        <v>46111.71570601852</v>
      </c>
      <c r="L2740">
        <v>129</v>
      </c>
      <c r="M2740">
        <v>0</v>
      </c>
      <c r="N2740" s="98" t="str">
        <f>IF(record[[#This Row],[Memo]]="Browser:chrome os:android","平板報工",IF(record[[#This Row],[Memo]]=0,"委外",record[[#This Row],[Memo]]))</f>
        <v/>
      </c>
      <c r="O2740" t="s">
        <v>58</v>
      </c>
      <c r="P2740" t="s">
        <v>141</v>
      </c>
      <c r="Q2740" t="s">
        <v>58</v>
      </c>
      <c r="R2740" t="str">
        <f>IFERROR(VLOOKUP(record[[#This Row],[PCUSTID]],廠商[],2,FALSE),"")</f>
        <v/>
      </c>
      <c r="S2740" t="str">
        <f>VLOOKUP(record[[#This Row],[employeeID]],員工[],2,FALSE)</f>
        <v>蔣梅</v>
      </c>
    </row>
    <row r="2741" spans="6:19" hidden="1" x14ac:dyDescent="0.25">
      <c r="F2741" t="s">
        <v>1527</v>
      </c>
      <c r="G2741" t="s">
        <v>452</v>
      </c>
      <c r="H2741" t="str">
        <f>VLOOKUP(record[[#This Row],[ProcessSN]],表格2_7[],2,FALSE)</f>
        <v>30-4118-018-6XX</v>
      </c>
      <c r="I2741" t="str">
        <f>VLOOKUP(record[[#This Row],[ProcessSN]],表格2_7[],3,FALSE)</f>
        <v>#07QC</v>
      </c>
      <c r="J2741" t="s">
        <v>589</v>
      </c>
      <c r="K2741" s="195">
        <v>46111.715266203704</v>
      </c>
      <c r="L2741">
        <v>24</v>
      </c>
      <c r="M2741">
        <v>0</v>
      </c>
      <c r="N2741" s="98" t="str">
        <f>IF(record[[#This Row],[Memo]]="Browser:chrome os:android","平板報工",IF(record[[#This Row],[Memo]]=0,"委外",record[[#This Row],[Memo]]))</f>
        <v/>
      </c>
      <c r="O2741" t="s">
        <v>58</v>
      </c>
      <c r="P2741" t="s">
        <v>141</v>
      </c>
      <c r="Q2741" t="s">
        <v>58</v>
      </c>
      <c r="R2741" t="str">
        <f>IFERROR(VLOOKUP(record[[#This Row],[PCUSTID]],廠商[],2,FALSE),"")</f>
        <v/>
      </c>
      <c r="S2741" t="str">
        <f>VLOOKUP(record[[#This Row],[employeeID]],員工[],2,FALSE)</f>
        <v>蔣梅</v>
      </c>
    </row>
    <row r="2742" spans="6:19" hidden="1" x14ac:dyDescent="0.25">
      <c r="F2742" t="s">
        <v>1493</v>
      </c>
      <c r="G2742" t="s">
        <v>452</v>
      </c>
      <c r="H2742" t="str">
        <f>VLOOKUP(record[[#This Row],[ProcessSN]],表格2_7[],2,FALSE)</f>
        <v>30-4118-018-6XX</v>
      </c>
      <c r="I2742" t="str">
        <f>VLOOKUP(record[[#This Row],[ProcessSN]],表格2_7[],3,FALSE)</f>
        <v>#07QC</v>
      </c>
      <c r="J2742" t="s">
        <v>589</v>
      </c>
      <c r="K2742" s="195">
        <v>46111.715127314812</v>
      </c>
      <c r="L2742">
        <v>16</v>
      </c>
      <c r="M2742">
        <v>0</v>
      </c>
      <c r="N2742" s="98" t="str">
        <f>IF(record[[#This Row],[Memo]]="Browser:chrome os:android","平板報工",IF(record[[#This Row],[Memo]]=0,"委外",record[[#This Row],[Memo]]))</f>
        <v/>
      </c>
      <c r="O2742" t="s">
        <v>58</v>
      </c>
      <c r="P2742" t="s">
        <v>141</v>
      </c>
      <c r="Q2742" t="s">
        <v>58</v>
      </c>
      <c r="R2742" t="str">
        <f>IFERROR(VLOOKUP(record[[#This Row],[PCUSTID]],廠商[],2,FALSE),"")</f>
        <v/>
      </c>
      <c r="S2742" t="str">
        <f>VLOOKUP(record[[#This Row],[employeeID]],員工[],2,FALSE)</f>
        <v>蔣梅</v>
      </c>
    </row>
    <row r="2743" spans="6:19" hidden="1" x14ac:dyDescent="0.25">
      <c r="F2743" t="s">
        <v>1474</v>
      </c>
      <c r="G2743" t="s">
        <v>452</v>
      </c>
      <c r="H2743" t="str">
        <f>VLOOKUP(record[[#This Row],[ProcessSN]],表格2_7[],2,FALSE)</f>
        <v>30-4118-018-6XX</v>
      </c>
      <c r="I2743" t="str">
        <f>VLOOKUP(record[[#This Row],[ProcessSN]],表格2_7[],3,FALSE)</f>
        <v>#07QC</v>
      </c>
      <c r="J2743" t="s">
        <v>589</v>
      </c>
      <c r="K2743" s="195">
        <v>46111.714953703704</v>
      </c>
      <c r="L2743">
        <v>1</v>
      </c>
      <c r="M2743">
        <v>0</v>
      </c>
      <c r="N2743" s="98" t="str">
        <f>IF(record[[#This Row],[Memo]]="Browser:chrome os:android","平板報工",IF(record[[#This Row],[Memo]]=0,"委外",record[[#This Row],[Memo]]))</f>
        <v/>
      </c>
      <c r="O2743" t="s">
        <v>58</v>
      </c>
      <c r="P2743" t="s">
        <v>141</v>
      </c>
      <c r="Q2743" t="s">
        <v>58</v>
      </c>
      <c r="R2743" t="str">
        <f>IFERROR(VLOOKUP(record[[#This Row],[PCUSTID]],廠商[],2,FALSE),"")</f>
        <v/>
      </c>
      <c r="S2743" t="str">
        <f>VLOOKUP(record[[#This Row],[employeeID]],員工[],2,FALSE)</f>
        <v>蔣梅</v>
      </c>
    </row>
    <row r="2744" spans="6:19" hidden="1" x14ac:dyDescent="0.25">
      <c r="F2744" t="s">
        <v>1637</v>
      </c>
      <c r="G2744" t="s">
        <v>452</v>
      </c>
      <c r="H2744" t="str">
        <f>VLOOKUP(record[[#This Row],[ProcessSN]],表格2_7[],2,FALSE)</f>
        <v>30-4118-018-6XX</v>
      </c>
      <c r="I2744" t="str">
        <f>VLOOKUP(record[[#This Row],[ProcessSN]],表格2_7[],3,FALSE)</f>
        <v>#07QC</v>
      </c>
      <c r="J2744" t="s">
        <v>589</v>
      </c>
      <c r="K2744" s="195">
        <v>46111.713634259257</v>
      </c>
      <c r="L2744">
        <v>0</v>
      </c>
      <c r="M2744">
        <v>53</v>
      </c>
      <c r="N2744" s="98" t="str">
        <f>IF(record[[#This Row],[Memo]]="Browser:chrome os:android","平板報工",IF(record[[#This Row],[Memo]]=0,"委外",record[[#This Row],[Memo]]))</f>
        <v/>
      </c>
      <c r="O2744" t="s">
        <v>58</v>
      </c>
      <c r="P2744" t="s">
        <v>141</v>
      </c>
      <c r="Q2744" t="s">
        <v>58</v>
      </c>
      <c r="R2744" t="str">
        <f>IFERROR(VLOOKUP(record[[#This Row],[PCUSTID]],廠商[],2,FALSE),"")</f>
        <v/>
      </c>
      <c r="S2744" t="str">
        <f>VLOOKUP(record[[#This Row],[employeeID]],員工[],2,FALSE)</f>
        <v>蔣梅</v>
      </c>
    </row>
    <row r="2745" spans="6:19" hidden="1" x14ac:dyDescent="0.25">
      <c r="F2745" t="s">
        <v>1689</v>
      </c>
      <c r="G2745" t="s">
        <v>425</v>
      </c>
      <c r="H2745" t="str">
        <f>VLOOKUP(record[[#This Row],[ProcessSN]],表格2_7[],2,FALSE)</f>
        <v>30-4118-018-600</v>
      </c>
      <c r="I2745" t="str">
        <f>VLOOKUP(record[[#This Row],[ProcessSN]],表格2_7[],3,FALSE)</f>
        <v>#100</v>
      </c>
      <c r="J2745" t="s">
        <v>598</v>
      </c>
      <c r="K2745" s="195">
        <v>46111.707199074073</v>
      </c>
      <c r="L2745">
        <v>291</v>
      </c>
      <c r="M2745">
        <v>0</v>
      </c>
      <c r="N2745" s="98" t="str">
        <f>IF(record[[#This Row],[Memo]]="Browser:chrome os:android","平板報工",IF(record[[#This Row],[Memo]]=0,"委外",record[[#This Row],[Memo]]))</f>
        <v/>
      </c>
      <c r="O2745" t="s">
        <v>58</v>
      </c>
      <c r="P2745" t="s">
        <v>141</v>
      </c>
      <c r="Q2745" t="s">
        <v>58</v>
      </c>
      <c r="R2745" t="str">
        <f>IFERROR(VLOOKUP(record[[#This Row],[PCUSTID]],廠商[],2,FALSE),"")</f>
        <v/>
      </c>
      <c r="S2745" t="str">
        <f>VLOOKUP(record[[#This Row],[employeeID]],員工[],2,FALSE)</f>
        <v>蔣梅</v>
      </c>
    </row>
    <row r="2746" spans="6:19" hidden="1" x14ac:dyDescent="0.25">
      <c r="F2746" t="s">
        <v>1689</v>
      </c>
      <c r="G2746" t="s">
        <v>425</v>
      </c>
      <c r="H2746" t="str">
        <f>VLOOKUP(record[[#This Row],[ProcessSN]],表格2_7[],2,FALSE)</f>
        <v>30-4118-018-600</v>
      </c>
      <c r="I2746" t="str">
        <f>VLOOKUP(record[[#This Row],[ProcessSN]],表格2_7[],3,FALSE)</f>
        <v>#100</v>
      </c>
      <c r="J2746" t="s">
        <v>598</v>
      </c>
      <c r="K2746" s="195">
        <v>46111.706944444442</v>
      </c>
      <c r="L2746">
        <v>0</v>
      </c>
      <c r="M2746">
        <v>11</v>
      </c>
      <c r="N2746" s="98" t="str">
        <f>IF(record[[#This Row],[Memo]]="Browser:chrome os:android","平板報工",IF(record[[#This Row],[Memo]]=0,"委外",record[[#This Row],[Memo]]))</f>
        <v/>
      </c>
      <c r="O2746" t="s">
        <v>58</v>
      </c>
      <c r="P2746" t="s">
        <v>141</v>
      </c>
      <c r="Q2746" t="s">
        <v>58</v>
      </c>
      <c r="R2746" t="str">
        <f>IFERROR(VLOOKUP(record[[#This Row],[PCUSTID]],廠商[],2,FALSE),"")</f>
        <v/>
      </c>
      <c r="S2746" t="str">
        <f>VLOOKUP(record[[#This Row],[employeeID]],員工[],2,FALSE)</f>
        <v>蔣梅</v>
      </c>
    </row>
    <row r="2747" spans="6:19" hidden="1" x14ac:dyDescent="0.25">
      <c r="F2747" t="s">
        <v>1653</v>
      </c>
      <c r="G2747" t="s">
        <v>417</v>
      </c>
      <c r="H2747" t="str">
        <f>VLOOKUP(record[[#This Row],[ProcessSN]],表格2_7[],2,FALSE)</f>
        <v>30-4118-018-5XX</v>
      </c>
      <c r="I2747" t="str">
        <f>VLOOKUP(record[[#This Row],[ProcessSN]],表格2_7[],3,FALSE)</f>
        <v>#06</v>
      </c>
      <c r="J2747" t="s">
        <v>593</v>
      </c>
      <c r="K2747" s="195">
        <v>46111.67015046296</v>
      </c>
      <c r="L2747">
        <v>95</v>
      </c>
      <c r="M2747">
        <v>0</v>
      </c>
      <c r="N2747" s="98" t="str">
        <f>IF(record[[#This Row],[Memo]]="Browser:chrome os:android","平板報工",IF(record[[#This Row],[Memo]]=0,"委外",record[[#This Row],[Memo]]))</f>
        <v>平板報工</v>
      </c>
      <c r="O2747" t="s">
        <v>643</v>
      </c>
      <c r="P2747" t="s">
        <v>101</v>
      </c>
      <c r="Q2747" t="s">
        <v>644</v>
      </c>
      <c r="R2747" t="str">
        <f>IFERROR(VLOOKUP(record[[#This Row],[PCUSTID]],廠商[],2,FALSE),"")</f>
        <v/>
      </c>
      <c r="S2747" t="str">
        <f>VLOOKUP(record[[#This Row],[employeeID]],員工[],2,FALSE)</f>
        <v>陳氏絨</v>
      </c>
    </row>
    <row r="2748" spans="6:19" hidden="1" x14ac:dyDescent="0.25">
      <c r="F2748" t="s">
        <v>1689</v>
      </c>
      <c r="G2748" t="s">
        <v>424</v>
      </c>
      <c r="H2748" t="str">
        <f>VLOOKUP(record[[#This Row],[ProcessSN]],表格2_7[],2,FALSE)</f>
        <v>30-4118-018-600</v>
      </c>
      <c r="I2748" t="str">
        <f>VLOOKUP(record[[#This Row],[ProcessSN]],表格2_7[],3,FALSE)</f>
        <v>#08IQC</v>
      </c>
      <c r="J2748" t="s">
        <v>583</v>
      </c>
      <c r="K2748" s="195">
        <v>46111.661273148151</v>
      </c>
      <c r="L2748">
        <v>312</v>
      </c>
      <c r="M2748">
        <v>0</v>
      </c>
      <c r="N2748" s="98" t="str">
        <f>IF(record[[#This Row],[Memo]]="Browser:chrome os:android","平板報工",IF(record[[#This Row],[Memo]]=0,"委外",record[[#This Row],[Memo]]))</f>
        <v/>
      </c>
      <c r="O2748" t="s">
        <v>58</v>
      </c>
      <c r="P2748" t="s">
        <v>109</v>
      </c>
      <c r="Q2748" t="s">
        <v>58</v>
      </c>
      <c r="R2748" t="str">
        <f>IFERROR(VLOOKUP(record[[#This Row],[PCUSTID]],廠商[],2,FALSE),"")</f>
        <v/>
      </c>
      <c r="S2748" t="str">
        <f>VLOOKUP(record[[#This Row],[employeeID]],員工[],2,FALSE)</f>
        <v>裴氏璧鳳</v>
      </c>
    </row>
    <row r="2749" spans="6:19" hidden="1" x14ac:dyDescent="0.25">
      <c r="F2749" t="s">
        <v>1686</v>
      </c>
      <c r="G2749" t="s">
        <v>424</v>
      </c>
      <c r="H2749" t="str">
        <f>VLOOKUP(record[[#This Row],[ProcessSN]],表格2_7[],2,FALSE)</f>
        <v>30-4118-018-600</v>
      </c>
      <c r="I2749" t="str">
        <f>VLOOKUP(record[[#This Row],[ProcessSN]],表格2_7[],3,FALSE)</f>
        <v>#08IQC</v>
      </c>
      <c r="J2749" t="s">
        <v>583</v>
      </c>
      <c r="K2749" s="195">
        <v>46111.661145833335</v>
      </c>
      <c r="L2749">
        <v>160</v>
      </c>
      <c r="M2749">
        <v>0</v>
      </c>
      <c r="N2749" s="98" t="str">
        <f>IF(record[[#This Row],[Memo]]="Browser:chrome os:android","平板報工",IF(record[[#This Row],[Memo]]=0,"委外",record[[#This Row],[Memo]]))</f>
        <v/>
      </c>
      <c r="O2749" t="s">
        <v>58</v>
      </c>
      <c r="P2749" t="s">
        <v>109</v>
      </c>
      <c r="Q2749" t="s">
        <v>58</v>
      </c>
      <c r="R2749" t="str">
        <f>IFERROR(VLOOKUP(record[[#This Row],[PCUSTID]],廠商[],2,FALSE),"")</f>
        <v/>
      </c>
      <c r="S2749" t="str">
        <f>VLOOKUP(record[[#This Row],[employeeID]],員工[],2,FALSE)</f>
        <v>裴氏璧鳳</v>
      </c>
    </row>
    <row r="2750" spans="6:19" hidden="1" x14ac:dyDescent="0.25">
      <c r="F2750" t="s">
        <v>1637</v>
      </c>
      <c r="G2750" t="s">
        <v>451</v>
      </c>
      <c r="H2750" t="str">
        <f>VLOOKUP(record[[#This Row],[ProcessSN]],表格2_7[],2,FALSE)</f>
        <v>30-4118-018-6XX</v>
      </c>
      <c r="I2750" t="str">
        <f>VLOOKUP(record[[#This Row],[ProcessSN]],表格2_7[],3,FALSE)</f>
        <v>#07</v>
      </c>
      <c r="J2750" t="s">
        <v>588</v>
      </c>
      <c r="K2750" s="195">
        <v>46111.653796296298</v>
      </c>
      <c r="L2750">
        <v>134</v>
      </c>
      <c r="M2750">
        <v>2</v>
      </c>
      <c r="N2750" s="98" t="str">
        <f>IF(record[[#This Row],[Memo]]="Browser:chrome os:android","平板報工",IF(record[[#This Row],[Memo]]=0,"委外",record[[#This Row],[Memo]]))</f>
        <v>平板報工</v>
      </c>
      <c r="O2750" t="s">
        <v>643</v>
      </c>
      <c r="P2750" t="s">
        <v>145</v>
      </c>
      <c r="Q2750" t="s">
        <v>644</v>
      </c>
      <c r="R2750" t="str">
        <f>IFERROR(VLOOKUP(record[[#This Row],[PCUSTID]],廠商[],2,FALSE),"")</f>
        <v/>
      </c>
      <c r="S2750" t="str">
        <f>VLOOKUP(record[[#This Row],[employeeID]],員工[],2,FALSE)</f>
        <v>阮秋霞</v>
      </c>
    </row>
    <row r="2751" spans="6:19" hidden="1" x14ac:dyDescent="0.25">
      <c r="F2751" t="s">
        <v>1653</v>
      </c>
      <c r="G2751" t="s">
        <v>416</v>
      </c>
      <c r="H2751" t="str">
        <f>VLOOKUP(record[[#This Row],[ProcessSN]],表格2_7[],2,FALSE)</f>
        <v>30-4118-018-5XX</v>
      </c>
      <c r="I2751" t="str">
        <f>VLOOKUP(record[[#This Row],[ProcessSN]],表格2_7[],3,FALSE)</f>
        <v>#05</v>
      </c>
      <c r="J2751" t="s">
        <v>588</v>
      </c>
      <c r="K2751" s="195">
        <v>46111.65284722222</v>
      </c>
      <c r="L2751">
        <v>222</v>
      </c>
      <c r="M2751">
        <v>0</v>
      </c>
      <c r="N2751" s="98" t="str">
        <f>IF(record[[#This Row],[Memo]]="Browser:chrome os:android","平板報工",IF(record[[#This Row],[Memo]]=0,"委外",record[[#This Row],[Memo]]))</f>
        <v>平板報工</v>
      </c>
      <c r="O2751" t="s">
        <v>643</v>
      </c>
      <c r="P2751" t="s">
        <v>145</v>
      </c>
      <c r="Q2751" t="s">
        <v>644</v>
      </c>
      <c r="R2751" t="str">
        <f>IFERROR(VLOOKUP(record[[#This Row],[PCUSTID]],廠商[],2,FALSE),"")</f>
        <v/>
      </c>
      <c r="S2751" t="str">
        <f>VLOOKUP(record[[#This Row],[employeeID]],員工[],2,FALSE)</f>
        <v>阮秋霞</v>
      </c>
    </row>
    <row r="2752" spans="6:19" hidden="1" x14ac:dyDescent="0.25">
      <c r="F2752" t="s">
        <v>1653</v>
      </c>
      <c r="G2752" t="s">
        <v>415</v>
      </c>
      <c r="H2752" t="str">
        <f>VLOOKUP(record[[#This Row],[ProcessSN]],表格2_7[],2,FALSE)</f>
        <v>30-4118-018-5XX</v>
      </c>
      <c r="I2752" t="str">
        <f>VLOOKUP(record[[#This Row],[ProcessSN]],表格2_7[],3,FALSE)</f>
        <v>#04</v>
      </c>
      <c r="J2752" t="s">
        <v>588</v>
      </c>
      <c r="K2752" s="195">
        <v>46111.652696759258</v>
      </c>
      <c r="L2752">
        <v>125</v>
      </c>
      <c r="M2752">
        <v>0</v>
      </c>
      <c r="N2752" s="98" t="str">
        <f>IF(record[[#This Row],[Memo]]="Browser:chrome os:android","平板報工",IF(record[[#This Row],[Memo]]=0,"委外",record[[#This Row],[Memo]]))</f>
        <v>平板報工</v>
      </c>
      <c r="O2752" t="s">
        <v>643</v>
      </c>
      <c r="P2752" t="s">
        <v>107</v>
      </c>
      <c r="Q2752" t="s">
        <v>644</v>
      </c>
      <c r="R2752" t="str">
        <f>IFERROR(VLOOKUP(record[[#This Row],[PCUSTID]],廠商[],2,FALSE),"")</f>
        <v/>
      </c>
      <c r="S2752" t="str">
        <f>VLOOKUP(record[[#This Row],[employeeID]],員工[],2,FALSE)</f>
        <v>黎氏順</v>
      </c>
    </row>
    <row r="2753" spans="6:19" hidden="1" x14ac:dyDescent="0.25">
      <c r="F2753" t="s">
        <v>1637</v>
      </c>
      <c r="G2753" t="s">
        <v>448</v>
      </c>
      <c r="H2753" t="str">
        <f>VLOOKUP(record[[#This Row],[ProcessSN]],表格2_7[],2,FALSE)</f>
        <v>30-4118-018-6XX</v>
      </c>
      <c r="I2753" t="str">
        <f>VLOOKUP(record[[#This Row],[ProcessSN]],表格2_7[],3,FALSE)</f>
        <v>#04</v>
      </c>
      <c r="J2753" t="s">
        <v>588</v>
      </c>
      <c r="K2753" s="195">
        <v>46111.651817129627</v>
      </c>
      <c r="L2753">
        <v>61</v>
      </c>
      <c r="M2753">
        <v>5</v>
      </c>
      <c r="N2753" s="98" t="str">
        <f>IF(record[[#This Row],[Memo]]="Browser:chrome os:android","平板報工",IF(record[[#This Row],[Memo]]=0,"委外",record[[#This Row],[Memo]]))</f>
        <v>平板報工</v>
      </c>
      <c r="O2753" t="s">
        <v>643</v>
      </c>
      <c r="P2753" t="s">
        <v>107</v>
      </c>
      <c r="Q2753" t="s">
        <v>644</v>
      </c>
      <c r="R2753" t="str">
        <f>IFERROR(VLOOKUP(record[[#This Row],[PCUSTID]],廠商[],2,FALSE),"")</f>
        <v/>
      </c>
      <c r="S2753" t="str">
        <f>VLOOKUP(record[[#This Row],[employeeID]],員工[],2,FALSE)</f>
        <v>黎氏順</v>
      </c>
    </row>
    <row r="2754" spans="6:19" hidden="1" x14ac:dyDescent="0.25">
      <c r="F2754" t="s">
        <v>1637</v>
      </c>
      <c r="G2754" t="s">
        <v>450</v>
      </c>
      <c r="H2754" t="str">
        <f>VLOOKUP(record[[#This Row],[ProcessSN]],表格2_7[],2,FALSE)</f>
        <v>30-4118-018-6XX</v>
      </c>
      <c r="I2754" t="str">
        <f>VLOOKUP(record[[#This Row],[ProcessSN]],表格2_7[],3,FALSE)</f>
        <v>#06</v>
      </c>
      <c r="J2754" t="s">
        <v>593</v>
      </c>
      <c r="K2754" s="195">
        <v>46111.646435185183</v>
      </c>
      <c r="L2754">
        <v>110</v>
      </c>
      <c r="M2754">
        <v>0</v>
      </c>
      <c r="N2754" s="98" t="str">
        <f>IF(record[[#This Row],[Memo]]="Browser:chrome os:android","平板報工",IF(record[[#This Row],[Memo]]=0,"委外",record[[#This Row],[Memo]]))</f>
        <v>平板報工</v>
      </c>
      <c r="O2754" t="s">
        <v>643</v>
      </c>
      <c r="P2754" t="s">
        <v>166</v>
      </c>
      <c r="Q2754" t="s">
        <v>644</v>
      </c>
      <c r="R2754" t="str">
        <f>IFERROR(VLOOKUP(record[[#This Row],[PCUSTID]],廠商[],2,FALSE),"")</f>
        <v/>
      </c>
      <c r="S2754" t="str">
        <f>VLOOKUP(record[[#This Row],[employeeID]],員工[],2,FALSE)</f>
        <v>阮懷香</v>
      </c>
    </row>
    <row r="2755" spans="6:19" hidden="1" x14ac:dyDescent="0.25">
      <c r="F2755" t="s">
        <v>1637</v>
      </c>
      <c r="G2755" t="s">
        <v>451</v>
      </c>
      <c r="H2755" t="str">
        <f>VLOOKUP(record[[#This Row],[ProcessSN]],表格2_7[],2,FALSE)</f>
        <v>30-4118-018-6XX</v>
      </c>
      <c r="I2755" t="str">
        <f>VLOOKUP(record[[#This Row],[ProcessSN]],表格2_7[],3,FALSE)</f>
        <v>#07</v>
      </c>
      <c r="J2755" t="s">
        <v>588</v>
      </c>
      <c r="K2755" s="195">
        <v>46111.598865740743</v>
      </c>
      <c r="L2755">
        <v>152</v>
      </c>
      <c r="M2755">
        <v>0</v>
      </c>
      <c r="N2755" s="98" t="str">
        <f>IF(record[[#This Row],[Memo]]="Browser:chrome os:android","平板報工",IF(record[[#This Row],[Memo]]=0,"委外",record[[#This Row],[Memo]]))</f>
        <v/>
      </c>
      <c r="O2755" t="s">
        <v>58</v>
      </c>
      <c r="P2755" t="s">
        <v>1075</v>
      </c>
      <c r="Q2755" t="s">
        <v>58</v>
      </c>
      <c r="R2755" t="str">
        <f>IFERROR(VLOOKUP(record[[#This Row],[PCUSTID]],廠商[],2,FALSE),"")</f>
        <v/>
      </c>
      <c r="S2755" t="str">
        <f>VLOOKUP(record[[#This Row],[employeeID]],員工[],2,FALSE)</f>
        <v>吳宥叡</v>
      </c>
    </row>
    <row r="2756" spans="6:19" hidden="1" x14ac:dyDescent="0.25">
      <c r="F2756" t="s">
        <v>1527</v>
      </c>
      <c r="G2756" t="s">
        <v>451</v>
      </c>
      <c r="H2756" t="str">
        <f>VLOOKUP(record[[#This Row],[ProcessSN]],表格2_7[],2,FALSE)</f>
        <v>30-4118-018-6XX</v>
      </c>
      <c r="I2756" t="str">
        <f>VLOOKUP(record[[#This Row],[ProcessSN]],表格2_7[],3,FALSE)</f>
        <v>#07</v>
      </c>
      <c r="J2756" t="s">
        <v>588</v>
      </c>
      <c r="K2756" s="195">
        <v>46111.597534722219</v>
      </c>
      <c r="L2756">
        <v>24</v>
      </c>
      <c r="M2756">
        <v>0</v>
      </c>
      <c r="N2756" s="98" t="str">
        <f>IF(record[[#This Row],[Memo]]="Browser:chrome os:android","平板報工",IF(record[[#This Row],[Memo]]=0,"委外",record[[#This Row],[Memo]]))</f>
        <v/>
      </c>
      <c r="O2756" t="s">
        <v>58</v>
      </c>
      <c r="P2756" t="s">
        <v>1075</v>
      </c>
      <c r="Q2756" t="s">
        <v>58</v>
      </c>
      <c r="R2756" t="str">
        <f>IFERROR(VLOOKUP(record[[#This Row],[PCUSTID]],廠商[],2,FALSE),"")</f>
        <v/>
      </c>
      <c r="S2756" t="str">
        <f>VLOOKUP(record[[#This Row],[employeeID]],員工[],2,FALSE)</f>
        <v>吳宥叡</v>
      </c>
    </row>
    <row r="2757" spans="6:19" hidden="1" x14ac:dyDescent="0.25">
      <c r="F2757" t="s">
        <v>1527</v>
      </c>
      <c r="G2757" t="s">
        <v>450</v>
      </c>
      <c r="H2757" t="str">
        <f>VLOOKUP(record[[#This Row],[ProcessSN]],表格2_7[],2,FALSE)</f>
        <v>30-4118-018-6XX</v>
      </c>
      <c r="I2757" t="str">
        <f>VLOOKUP(record[[#This Row],[ProcessSN]],表格2_7[],3,FALSE)</f>
        <v>#06</v>
      </c>
      <c r="J2757" t="s">
        <v>593</v>
      </c>
      <c r="K2757" s="195">
        <v>46111.597442129627</v>
      </c>
      <c r="L2757">
        <v>24</v>
      </c>
      <c r="M2757">
        <v>0</v>
      </c>
      <c r="N2757" s="98" t="str">
        <f>IF(record[[#This Row],[Memo]]="Browser:chrome os:android","平板報工",IF(record[[#This Row],[Memo]]=0,"委外",record[[#This Row],[Memo]]))</f>
        <v/>
      </c>
      <c r="O2757" t="s">
        <v>58</v>
      </c>
      <c r="P2757" t="s">
        <v>1075</v>
      </c>
      <c r="Q2757" t="s">
        <v>58</v>
      </c>
      <c r="R2757" t="str">
        <f>IFERROR(VLOOKUP(record[[#This Row],[PCUSTID]],廠商[],2,FALSE),"")</f>
        <v/>
      </c>
      <c r="S2757" t="str">
        <f>VLOOKUP(record[[#This Row],[employeeID]],員工[],2,FALSE)</f>
        <v>吳宥叡</v>
      </c>
    </row>
    <row r="2758" spans="6:19" hidden="1" x14ac:dyDescent="0.25">
      <c r="F2758" t="s">
        <v>1493</v>
      </c>
      <c r="G2758" t="s">
        <v>451</v>
      </c>
      <c r="H2758" t="str">
        <f>VLOOKUP(record[[#This Row],[ProcessSN]],表格2_7[],2,FALSE)</f>
        <v>30-4118-018-6XX</v>
      </c>
      <c r="I2758" t="str">
        <f>VLOOKUP(record[[#This Row],[ProcessSN]],表格2_7[],3,FALSE)</f>
        <v>#07</v>
      </c>
      <c r="J2758" t="s">
        <v>588</v>
      </c>
      <c r="K2758" s="195">
        <v>46111.595914351848</v>
      </c>
      <c r="L2758">
        <v>16</v>
      </c>
      <c r="M2758">
        <v>0</v>
      </c>
      <c r="N2758" s="98" t="str">
        <f>IF(record[[#This Row],[Memo]]="Browser:chrome os:android","平板報工",IF(record[[#This Row],[Memo]]=0,"委外",record[[#This Row],[Memo]]))</f>
        <v/>
      </c>
      <c r="O2758" t="s">
        <v>58</v>
      </c>
      <c r="P2758" t="s">
        <v>1075</v>
      </c>
      <c r="Q2758" t="s">
        <v>58</v>
      </c>
      <c r="R2758" t="str">
        <f>IFERROR(VLOOKUP(record[[#This Row],[PCUSTID]],廠商[],2,FALSE),"")</f>
        <v/>
      </c>
      <c r="S2758" t="str">
        <f>VLOOKUP(record[[#This Row],[employeeID]],員工[],2,FALSE)</f>
        <v>吳宥叡</v>
      </c>
    </row>
    <row r="2759" spans="6:19" hidden="1" x14ac:dyDescent="0.25">
      <c r="F2759" t="s">
        <v>1493</v>
      </c>
      <c r="G2759" t="s">
        <v>450</v>
      </c>
      <c r="H2759" t="str">
        <f>VLOOKUP(record[[#This Row],[ProcessSN]],表格2_7[],2,FALSE)</f>
        <v>30-4118-018-6XX</v>
      </c>
      <c r="I2759" t="str">
        <f>VLOOKUP(record[[#This Row],[ProcessSN]],表格2_7[],3,FALSE)</f>
        <v>#06</v>
      </c>
      <c r="J2759" t="s">
        <v>593</v>
      </c>
      <c r="K2759" s="195">
        <v>46111.595810185187</v>
      </c>
      <c r="L2759">
        <v>16</v>
      </c>
      <c r="M2759">
        <v>0</v>
      </c>
      <c r="N2759" s="98" t="str">
        <f>IF(record[[#This Row],[Memo]]="Browser:chrome os:android","平板報工",IF(record[[#This Row],[Memo]]=0,"委外",record[[#This Row],[Memo]]))</f>
        <v/>
      </c>
      <c r="O2759" t="s">
        <v>58</v>
      </c>
      <c r="P2759" t="s">
        <v>1075</v>
      </c>
      <c r="Q2759" t="s">
        <v>58</v>
      </c>
      <c r="R2759" t="str">
        <f>IFERROR(VLOOKUP(record[[#This Row],[PCUSTID]],廠商[],2,FALSE),"")</f>
        <v/>
      </c>
      <c r="S2759" t="str">
        <f>VLOOKUP(record[[#This Row],[employeeID]],員工[],2,FALSE)</f>
        <v>吳宥叡</v>
      </c>
    </row>
    <row r="2760" spans="6:19" hidden="1" x14ac:dyDescent="0.25">
      <c r="F2760" t="s">
        <v>1493</v>
      </c>
      <c r="G2760" t="s">
        <v>449</v>
      </c>
      <c r="H2760" t="str">
        <f>VLOOKUP(record[[#This Row],[ProcessSN]],表格2_7[],2,FALSE)</f>
        <v>30-4118-018-6XX</v>
      </c>
      <c r="I2760" t="str">
        <f>VLOOKUP(record[[#This Row],[ProcessSN]],表格2_7[],3,FALSE)</f>
        <v>#05</v>
      </c>
      <c r="J2760" t="s">
        <v>588</v>
      </c>
      <c r="K2760" s="195">
        <v>46111.595682870371</v>
      </c>
      <c r="L2760">
        <v>16</v>
      </c>
      <c r="M2760">
        <v>0</v>
      </c>
      <c r="N2760" s="98" t="str">
        <f>IF(record[[#This Row],[Memo]]="Browser:chrome os:android","平板報工",IF(record[[#This Row],[Memo]]=0,"委外",record[[#This Row],[Memo]]))</f>
        <v/>
      </c>
      <c r="O2760" t="s">
        <v>58</v>
      </c>
      <c r="P2760" t="s">
        <v>1075</v>
      </c>
      <c r="Q2760" t="s">
        <v>58</v>
      </c>
      <c r="R2760" t="str">
        <f>IFERROR(VLOOKUP(record[[#This Row],[PCUSTID]],廠商[],2,FALSE),"")</f>
        <v/>
      </c>
      <c r="S2760" t="str">
        <f>VLOOKUP(record[[#This Row],[employeeID]],員工[],2,FALSE)</f>
        <v>吳宥叡</v>
      </c>
    </row>
    <row r="2761" spans="6:19" hidden="1" x14ac:dyDescent="0.25">
      <c r="F2761" t="s">
        <v>1474</v>
      </c>
      <c r="G2761" t="s">
        <v>451</v>
      </c>
      <c r="H2761" t="str">
        <f>VLOOKUP(record[[#This Row],[ProcessSN]],表格2_7[],2,FALSE)</f>
        <v>30-4118-018-6XX</v>
      </c>
      <c r="I2761" t="str">
        <f>VLOOKUP(record[[#This Row],[ProcessSN]],表格2_7[],3,FALSE)</f>
        <v>#07</v>
      </c>
      <c r="J2761" t="s">
        <v>588</v>
      </c>
      <c r="K2761" s="195">
        <v>46111.595486111109</v>
      </c>
      <c r="L2761">
        <v>1</v>
      </c>
      <c r="M2761">
        <v>0</v>
      </c>
      <c r="N2761" s="98" t="str">
        <f>IF(record[[#This Row],[Memo]]="Browser:chrome os:android","平板報工",IF(record[[#This Row],[Memo]]=0,"委外",record[[#This Row],[Memo]]))</f>
        <v/>
      </c>
      <c r="O2761" t="s">
        <v>58</v>
      </c>
      <c r="P2761" t="s">
        <v>1075</v>
      </c>
      <c r="Q2761" t="s">
        <v>58</v>
      </c>
      <c r="R2761" t="str">
        <f>IFERROR(VLOOKUP(record[[#This Row],[PCUSTID]],廠商[],2,FALSE),"")</f>
        <v/>
      </c>
      <c r="S2761" t="str">
        <f>VLOOKUP(record[[#This Row],[employeeID]],員工[],2,FALSE)</f>
        <v>吳宥叡</v>
      </c>
    </row>
    <row r="2762" spans="6:19" hidden="1" x14ac:dyDescent="0.25">
      <c r="F2762" t="s">
        <v>1474</v>
      </c>
      <c r="G2762" t="s">
        <v>450</v>
      </c>
      <c r="H2762" t="str">
        <f>VLOOKUP(record[[#This Row],[ProcessSN]],表格2_7[],2,FALSE)</f>
        <v>30-4118-018-6XX</v>
      </c>
      <c r="I2762" t="str">
        <f>VLOOKUP(record[[#This Row],[ProcessSN]],表格2_7[],3,FALSE)</f>
        <v>#06</v>
      </c>
      <c r="J2762" t="s">
        <v>593</v>
      </c>
      <c r="K2762" s="195">
        <v>46111.595405092594</v>
      </c>
      <c r="L2762">
        <v>1</v>
      </c>
      <c r="M2762">
        <v>0</v>
      </c>
      <c r="N2762" s="98" t="str">
        <f>IF(record[[#This Row],[Memo]]="Browser:chrome os:android","平板報工",IF(record[[#This Row],[Memo]]=0,"委外",record[[#This Row],[Memo]]))</f>
        <v/>
      </c>
      <c r="O2762" t="s">
        <v>58</v>
      </c>
      <c r="P2762" t="s">
        <v>1075</v>
      </c>
      <c r="Q2762" t="s">
        <v>58</v>
      </c>
      <c r="R2762" t="str">
        <f>IFERROR(VLOOKUP(record[[#This Row],[PCUSTID]],廠商[],2,FALSE),"")</f>
        <v/>
      </c>
      <c r="S2762" t="str">
        <f>VLOOKUP(record[[#This Row],[employeeID]],員工[],2,FALSE)</f>
        <v>吳宥叡</v>
      </c>
    </row>
    <row r="2763" spans="6:19" hidden="1" x14ac:dyDescent="0.25">
      <c r="F2763" t="s">
        <v>1474</v>
      </c>
      <c r="G2763" t="s">
        <v>449</v>
      </c>
      <c r="H2763" t="str">
        <f>VLOOKUP(record[[#This Row],[ProcessSN]],表格2_7[],2,FALSE)</f>
        <v>30-4118-018-6XX</v>
      </c>
      <c r="I2763" t="str">
        <f>VLOOKUP(record[[#This Row],[ProcessSN]],表格2_7[],3,FALSE)</f>
        <v>#05</v>
      </c>
      <c r="J2763" t="s">
        <v>588</v>
      </c>
      <c r="K2763" s="195">
        <v>46111.595173611109</v>
      </c>
      <c r="L2763">
        <v>1</v>
      </c>
      <c r="M2763">
        <v>0</v>
      </c>
      <c r="N2763" s="98" t="str">
        <f>IF(record[[#This Row],[Memo]]="Browser:chrome os:android","平板報工",IF(record[[#This Row],[Memo]]=0,"委外",record[[#This Row],[Memo]]))</f>
        <v/>
      </c>
      <c r="O2763" t="s">
        <v>58</v>
      </c>
      <c r="P2763" t="s">
        <v>1075</v>
      </c>
      <c r="Q2763" t="s">
        <v>58</v>
      </c>
      <c r="R2763" t="str">
        <f>IFERROR(VLOOKUP(record[[#This Row],[PCUSTID]],廠商[],2,FALSE),"")</f>
        <v/>
      </c>
      <c r="S2763" t="str">
        <f>VLOOKUP(record[[#This Row],[employeeID]],員工[],2,FALSE)</f>
        <v>吳宥叡</v>
      </c>
    </row>
    <row r="2764" spans="6:19" hidden="1" x14ac:dyDescent="0.25">
      <c r="F2764" t="s">
        <v>1653</v>
      </c>
      <c r="G2764" t="s">
        <v>413</v>
      </c>
      <c r="H2764" t="str">
        <f>VLOOKUP(record[[#This Row],[ProcessSN]],表格2_7[],2,FALSE)</f>
        <v>30-4118-018-5XX</v>
      </c>
      <c r="I2764" t="str">
        <f>VLOOKUP(record[[#This Row],[ProcessSN]],表格2_7[],3,FALSE)</f>
        <v>#03GIVE</v>
      </c>
      <c r="J2764" t="s">
        <v>587</v>
      </c>
      <c r="K2764" s="195">
        <v>46111.580682870372</v>
      </c>
      <c r="L2764">
        <v>981</v>
      </c>
      <c r="M2764">
        <v>0</v>
      </c>
      <c r="N2764" s="98" t="str">
        <f>IF(record[[#This Row],[Memo]]="Browser:chrome os:android","平板報工",IF(record[[#This Row],[Memo]]=0,"委外",record[[#This Row],[Memo]]))</f>
        <v/>
      </c>
      <c r="O2764" t="s">
        <v>58</v>
      </c>
      <c r="P2764" t="s">
        <v>208</v>
      </c>
      <c r="Q2764" t="s">
        <v>58</v>
      </c>
      <c r="R2764" t="str">
        <f>IFERROR(VLOOKUP(record[[#This Row],[PCUSTID]],廠商[],2,FALSE),"")</f>
        <v/>
      </c>
      <c r="S2764" t="str">
        <f>VLOOKUP(record[[#This Row],[employeeID]],員工[],2,FALSE)</f>
        <v>陳治宏</v>
      </c>
    </row>
    <row r="2765" spans="6:19" hidden="1" x14ac:dyDescent="0.25">
      <c r="F2765" t="s">
        <v>1653</v>
      </c>
      <c r="G2765" t="s">
        <v>420</v>
      </c>
      <c r="H2765" t="str">
        <f>VLOOKUP(record[[#This Row],[ProcessSN]],表格2_7[],2,FALSE)</f>
        <v>30-4118-018-5XX</v>
      </c>
      <c r="I2765" t="str">
        <f>VLOOKUP(record[[#This Row],[ProcessSN]],表格2_7[],3,FALSE)</f>
        <v>#07STOCK</v>
      </c>
      <c r="J2765" t="s">
        <v>592</v>
      </c>
      <c r="K2765" s="195">
        <v>46111.499074074076</v>
      </c>
      <c r="L2765">
        <v>267</v>
      </c>
      <c r="M2765">
        <v>0</v>
      </c>
      <c r="N2765" s="98" t="str">
        <f>IF(record[[#This Row],[Memo]]="Browser:chrome os:android","平板報工",IF(record[[#This Row],[Memo]]=0,"委外",record[[#This Row],[Memo]]))</f>
        <v/>
      </c>
      <c r="O2765" t="s">
        <v>58</v>
      </c>
      <c r="P2765" t="s">
        <v>186</v>
      </c>
      <c r="Q2765" t="s">
        <v>58</v>
      </c>
      <c r="R2765" t="str">
        <f>IFERROR(VLOOKUP(record[[#This Row],[PCUSTID]],廠商[],2,FALSE),"")</f>
        <v/>
      </c>
      <c r="S2765" t="str">
        <f>VLOOKUP(record[[#This Row],[employeeID]],員工[],2,FALSE)</f>
        <v>許文姍</v>
      </c>
    </row>
    <row r="2766" spans="6:19" hidden="1" x14ac:dyDescent="0.25">
      <c r="F2766" t="s">
        <v>1637</v>
      </c>
      <c r="G2766" t="s">
        <v>453</v>
      </c>
      <c r="H2766" t="str">
        <f>VLOOKUP(record[[#This Row],[ProcessSN]],表格2_7[],2,FALSE)</f>
        <v>30-4118-018-6XX</v>
      </c>
      <c r="I2766" t="str">
        <f>VLOOKUP(record[[#This Row],[ProcessSN]],表格2_7[],3,FALSE)</f>
        <v>#07STOCK</v>
      </c>
      <c r="J2766" t="s">
        <v>592</v>
      </c>
      <c r="K2766" s="195">
        <v>46111.498912037037</v>
      </c>
      <c r="L2766">
        <v>187</v>
      </c>
      <c r="M2766">
        <v>0</v>
      </c>
      <c r="N2766" s="98" t="str">
        <f>IF(record[[#This Row],[Memo]]="Browser:chrome os:android","平板報工",IF(record[[#This Row],[Memo]]=0,"委外",record[[#This Row],[Memo]]))</f>
        <v/>
      </c>
      <c r="O2766" t="s">
        <v>58</v>
      </c>
      <c r="P2766" t="s">
        <v>186</v>
      </c>
      <c r="Q2766" t="s">
        <v>58</v>
      </c>
      <c r="R2766" t="str">
        <f>IFERROR(VLOOKUP(record[[#This Row],[PCUSTID]],廠商[],2,FALSE),"")</f>
        <v/>
      </c>
      <c r="S2766" t="str">
        <f>VLOOKUP(record[[#This Row],[employeeID]],員工[],2,FALSE)</f>
        <v>許文姍</v>
      </c>
    </row>
    <row r="2767" spans="6:19" hidden="1" x14ac:dyDescent="0.25">
      <c r="F2767" t="s">
        <v>1689</v>
      </c>
      <c r="G2767" t="s">
        <v>423</v>
      </c>
      <c r="H2767" t="str">
        <f>VLOOKUP(record[[#This Row],[ProcessSN]],表格2_7[],2,FALSE)</f>
        <v>30-4118-018-600</v>
      </c>
      <c r="I2767" t="str">
        <f>VLOOKUP(record[[#This Row],[ProcessSN]],表格2_7[],3,FALSE)</f>
        <v>#08RCV</v>
      </c>
      <c r="J2767" t="s">
        <v>591</v>
      </c>
      <c r="K2767" s="195">
        <v>46111.465497685182</v>
      </c>
      <c r="L2767">
        <v>312</v>
      </c>
      <c r="M2767">
        <v>0</v>
      </c>
      <c r="N2767" s="98" t="str">
        <f>IF(record[[#This Row],[Memo]]="Browser:chrome os:android","平板報工",IF(record[[#This Row],[Memo]]=0,"委外",record[[#This Row],[Memo]]))</f>
        <v/>
      </c>
      <c r="O2767" t="s">
        <v>58</v>
      </c>
      <c r="P2767" t="s">
        <v>186</v>
      </c>
      <c r="Q2767" t="s">
        <v>58</v>
      </c>
      <c r="R2767" t="str">
        <f>IFERROR(VLOOKUP(record[[#This Row],[PCUSTID]],廠商[],2,FALSE),"")</f>
        <v/>
      </c>
      <c r="S2767" t="str">
        <f>VLOOKUP(record[[#This Row],[employeeID]],員工[],2,FALSE)</f>
        <v>許文姍</v>
      </c>
    </row>
    <row r="2768" spans="6:19" hidden="1" x14ac:dyDescent="0.25">
      <c r="F2768" t="s">
        <v>1686</v>
      </c>
      <c r="G2768" t="s">
        <v>423</v>
      </c>
      <c r="H2768" t="str">
        <f>VLOOKUP(record[[#This Row],[ProcessSN]],表格2_7[],2,FALSE)</f>
        <v>30-4118-018-600</v>
      </c>
      <c r="I2768" t="str">
        <f>VLOOKUP(record[[#This Row],[ProcessSN]],表格2_7[],3,FALSE)</f>
        <v>#08RCV</v>
      </c>
      <c r="J2768" t="s">
        <v>591</v>
      </c>
      <c r="K2768" s="195">
        <v>46111.465358796297</v>
      </c>
      <c r="L2768">
        <v>160</v>
      </c>
      <c r="M2768">
        <v>0</v>
      </c>
      <c r="N2768" s="98" t="str">
        <f>IF(record[[#This Row],[Memo]]="Browser:chrome os:android","平板報工",IF(record[[#This Row],[Memo]]=0,"委外",record[[#This Row],[Memo]]))</f>
        <v/>
      </c>
      <c r="O2768" t="s">
        <v>58</v>
      </c>
      <c r="P2768" t="s">
        <v>186</v>
      </c>
      <c r="Q2768" t="s">
        <v>58</v>
      </c>
      <c r="R2768" t="str">
        <f>IFERROR(VLOOKUP(record[[#This Row],[PCUSTID]],廠商[],2,FALSE),"")</f>
        <v/>
      </c>
      <c r="S2768" t="str">
        <f>VLOOKUP(record[[#This Row],[employeeID]],員工[],2,FALSE)</f>
        <v>許文姍</v>
      </c>
    </row>
    <row r="2769" spans="6:19" hidden="1" x14ac:dyDescent="0.25">
      <c r="F2769" t="s">
        <v>1685</v>
      </c>
      <c r="G2769" t="s">
        <v>400</v>
      </c>
      <c r="H2769" t="str">
        <f>VLOOKUP(record[[#This Row],[ProcessSN]],表格2_7[],2,FALSE)</f>
        <v>30-4118-018-550</v>
      </c>
      <c r="I2769" t="str">
        <f>VLOOKUP(record[[#This Row],[ProcessSN]],表格2_7[],3,FALSE)</f>
        <v>#100</v>
      </c>
      <c r="J2769" t="s">
        <v>598</v>
      </c>
      <c r="K2769" s="195">
        <v>46111.457430555558</v>
      </c>
      <c r="L2769">
        <v>105</v>
      </c>
      <c r="M2769">
        <v>0</v>
      </c>
      <c r="N2769" s="98" t="str">
        <f>IF(record[[#This Row],[Memo]]="Browser:chrome os:android","平板報工",IF(record[[#This Row],[Memo]]=0,"委外",record[[#This Row],[Memo]]))</f>
        <v/>
      </c>
      <c r="O2769" t="s">
        <v>58</v>
      </c>
      <c r="P2769" t="s">
        <v>99</v>
      </c>
      <c r="Q2769" t="s">
        <v>58</v>
      </c>
      <c r="R2769" t="str">
        <f>IFERROR(VLOOKUP(record[[#This Row],[PCUSTID]],廠商[],2,FALSE),"")</f>
        <v/>
      </c>
      <c r="S2769" t="str">
        <f>VLOOKUP(record[[#This Row],[employeeID]],員工[],2,FALSE)</f>
        <v>阮氏河</v>
      </c>
    </row>
    <row r="2770" spans="6:19" hidden="1" x14ac:dyDescent="0.25">
      <c r="F2770" t="s">
        <v>1685</v>
      </c>
      <c r="G2770" t="s">
        <v>399</v>
      </c>
      <c r="H2770" t="str">
        <f>VLOOKUP(record[[#This Row],[ProcessSN]],表格2_7[],2,FALSE)</f>
        <v>30-4118-018-550</v>
      </c>
      <c r="I2770" t="str">
        <f>VLOOKUP(record[[#This Row],[ProcessSN]],表格2_7[],3,FALSE)</f>
        <v>#08IQC</v>
      </c>
      <c r="J2770" t="s">
        <v>583</v>
      </c>
      <c r="K2770" s="195">
        <v>46111.457268518519</v>
      </c>
      <c r="L2770">
        <v>105</v>
      </c>
      <c r="M2770">
        <v>0</v>
      </c>
      <c r="N2770" s="98" t="str">
        <f>IF(record[[#This Row],[Memo]]="Browser:chrome os:android","平板報工",IF(record[[#This Row],[Memo]]=0,"委外",record[[#This Row],[Memo]]))</f>
        <v>補</v>
      </c>
      <c r="O2770" t="s">
        <v>690</v>
      </c>
      <c r="P2770" t="s">
        <v>186</v>
      </c>
      <c r="Q2770" t="s">
        <v>58</v>
      </c>
      <c r="R2770" t="str">
        <f>IFERROR(VLOOKUP(record[[#This Row],[PCUSTID]],廠商[],2,FALSE),"")</f>
        <v/>
      </c>
      <c r="S2770" t="str">
        <f>VLOOKUP(record[[#This Row],[employeeID]],員工[],2,FALSE)</f>
        <v>許文姍</v>
      </c>
    </row>
    <row r="2771" spans="6:19" hidden="1" x14ac:dyDescent="0.25">
      <c r="F2771" t="s">
        <v>1685</v>
      </c>
      <c r="G2771" t="s">
        <v>398</v>
      </c>
      <c r="H2771" t="str">
        <f>VLOOKUP(record[[#This Row],[ProcessSN]],表格2_7[],2,FALSE)</f>
        <v>30-4118-018-550</v>
      </c>
      <c r="I2771" t="str">
        <f>VLOOKUP(record[[#This Row],[ProcessSN]],表格2_7[],3,FALSE)</f>
        <v>#08RCV</v>
      </c>
      <c r="J2771" t="s">
        <v>591</v>
      </c>
      <c r="K2771" s="195">
        <v>46111.457013888888</v>
      </c>
      <c r="L2771">
        <v>105</v>
      </c>
      <c r="M2771">
        <v>0</v>
      </c>
      <c r="N2771" s="98" t="str">
        <f>IF(record[[#This Row],[Memo]]="Browser:chrome os:android","平板報工",IF(record[[#This Row],[Memo]]=0,"委外",record[[#This Row],[Memo]]))</f>
        <v>補</v>
      </c>
      <c r="O2771" t="s">
        <v>690</v>
      </c>
      <c r="P2771" t="s">
        <v>186</v>
      </c>
      <c r="Q2771" t="s">
        <v>58</v>
      </c>
      <c r="R2771" t="str">
        <f>IFERROR(VLOOKUP(record[[#This Row],[PCUSTID]],廠商[],2,FALSE),"")</f>
        <v/>
      </c>
      <c r="S2771" t="str">
        <f>VLOOKUP(record[[#This Row],[employeeID]],員工[],2,FALSE)</f>
        <v>許文姍</v>
      </c>
    </row>
    <row r="2772" spans="6:19" hidden="1" x14ac:dyDescent="0.25">
      <c r="F2772" t="s">
        <v>1660</v>
      </c>
      <c r="G2772" t="s">
        <v>400</v>
      </c>
      <c r="H2772" t="str">
        <f>VLOOKUP(record[[#This Row],[ProcessSN]],表格2_7[],2,FALSE)</f>
        <v>30-4118-018-550</v>
      </c>
      <c r="I2772" t="str">
        <f>VLOOKUP(record[[#This Row],[ProcessSN]],表格2_7[],3,FALSE)</f>
        <v>#100</v>
      </c>
      <c r="J2772" t="s">
        <v>598</v>
      </c>
      <c r="K2772" s="195">
        <v>46111.453773148147</v>
      </c>
      <c r="L2772">
        <v>149</v>
      </c>
      <c r="M2772">
        <v>0</v>
      </c>
      <c r="N2772" s="98" t="str">
        <f>IF(record[[#This Row],[Memo]]="Browser:chrome os:android","平板報工",IF(record[[#This Row],[Memo]]=0,"委外",record[[#This Row],[Memo]]))</f>
        <v/>
      </c>
      <c r="O2772" t="s">
        <v>58</v>
      </c>
      <c r="P2772" t="s">
        <v>99</v>
      </c>
      <c r="Q2772" t="s">
        <v>58</v>
      </c>
      <c r="R2772" t="str">
        <f>IFERROR(VLOOKUP(record[[#This Row],[PCUSTID]],廠商[],2,FALSE),"")</f>
        <v/>
      </c>
      <c r="S2772" t="str">
        <f>VLOOKUP(record[[#This Row],[employeeID]],員工[],2,FALSE)</f>
        <v>阮氏河</v>
      </c>
    </row>
    <row r="2773" spans="6:19" hidden="1" x14ac:dyDescent="0.25">
      <c r="F2773" t="s">
        <v>1660</v>
      </c>
      <c r="G2773" t="s">
        <v>400</v>
      </c>
      <c r="H2773" t="str">
        <f>VLOOKUP(record[[#This Row],[ProcessSN]],表格2_7[],2,FALSE)</f>
        <v>30-4118-018-550</v>
      </c>
      <c r="I2773" t="str">
        <f>VLOOKUP(record[[#This Row],[ProcessSN]],表格2_7[],3,FALSE)</f>
        <v>#100</v>
      </c>
      <c r="J2773" t="s">
        <v>598</v>
      </c>
      <c r="K2773" s="195">
        <v>46111.453275462962</v>
      </c>
      <c r="L2773">
        <v>0</v>
      </c>
      <c r="M2773">
        <v>33</v>
      </c>
      <c r="N2773" s="98" t="str">
        <f>IF(record[[#This Row],[Memo]]="Browser:chrome os:android","平板報工",IF(record[[#This Row],[Memo]]=0,"委外",record[[#This Row],[Memo]]))</f>
        <v/>
      </c>
      <c r="O2773" t="s">
        <v>58</v>
      </c>
      <c r="P2773" t="s">
        <v>99</v>
      </c>
      <c r="Q2773" t="s">
        <v>58</v>
      </c>
      <c r="R2773" t="str">
        <f>IFERROR(VLOOKUP(record[[#This Row],[PCUSTID]],廠商[],2,FALSE),"")</f>
        <v/>
      </c>
      <c r="S2773" t="str">
        <f>VLOOKUP(record[[#This Row],[employeeID]],員工[],2,FALSE)</f>
        <v>阮氏河</v>
      </c>
    </row>
    <row r="2774" spans="6:19" hidden="1" x14ac:dyDescent="0.25">
      <c r="F2774" t="s">
        <v>1641</v>
      </c>
      <c r="G2774" t="s">
        <v>362</v>
      </c>
      <c r="H2774" t="str">
        <f>VLOOKUP(record[[#This Row],[ProcessSN]],表格2_7[],2,FALSE)</f>
        <v>30-4118-018-450</v>
      </c>
      <c r="I2774" t="str">
        <f>VLOOKUP(record[[#This Row],[ProcessSN]],表格2_7[],3,FALSE)</f>
        <v>#100SHIP</v>
      </c>
      <c r="J2774" t="s">
        <v>600</v>
      </c>
      <c r="K2774" s="195">
        <v>46111.45103009259</v>
      </c>
      <c r="L2774">
        <v>52</v>
      </c>
      <c r="M2774">
        <v>0</v>
      </c>
      <c r="N2774" s="98" t="str">
        <f>IF(record[[#This Row],[Memo]]="Browser:chrome os:android","平板報工",IF(record[[#This Row],[Memo]]=0,"委外",record[[#This Row],[Memo]]))</f>
        <v/>
      </c>
      <c r="O2774" t="s">
        <v>58</v>
      </c>
      <c r="P2774" t="s">
        <v>886</v>
      </c>
      <c r="Q2774" t="s">
        <v>58</v>
      </c>
      <c r="R2774" t="str">
        <f>IFERROR(VLOOKUP(record[[#This Row],[PCUSTID]],廠商[],2,FALSE),"")</f>
        <v/>
      </c>
      <c r="S2774" t="str">
        <f>VLOOKUP(record[[#This Row],[employeeID]],員工[],2,FALSE)</f>
        <v>謝蓁薰</v>
      </c>
    </row>
    <row r="2775" spans="6:19" hidden="1" x14ac:dyDescent="0.25">
      <c r="F2775" t="s">
        <v>1641</v>
      </c>
      <c r="G2775" t="s">
        <v>361</v>
      </c>
      <c r="H2775" t="str">
        <f>VLOOKUP(record[[#This Row],[ProcessSN]],表格2_7[],2,FALSE)</f>
        <v>30-4118-018-450</v>
      </c>
      <c r="I2775" t="str">
        <f>VLOOKUP(record[[#This Row],[ProcessSN]],表格2_7[],3,FALSE)</f>
        <v>#100STOCK</v>
      </c>
      <c r="J2775" t="s">
        <v>592</v>
      </c>
      <c r="K2775" s="195">
        <v>46111.450578703705</v>
      </c>
      <c r="L2775">
        <v>52</v>
      </c>
      <c r="M2775">
        <v>0</v>
      </c>
      <c r="N2775" s="98" t="str">
        <f>IF(record[[#This Row],[Memo]]="Browser:chrome os:android","平板報工",IF(record[[#This Row],[Memo]]=0,"委外",record[[#This Row],[Memo]]))</f>
        <v/>
      </c>
      <c r="O2775" t="s">
        <v>58</v>
      </c>
      <c r="P2775" t="s">
        <v>886</v>
      </c>
      <c r="Q2775" t="s">
        <v>58</v>
      </c>
      <c r="R2775" t="str">
        <f>IFERROR(VLOOKUP(record[[#This Row],[PCUSTID]],廠商[],2,FALSE),"")</f>
        <v/>
      </c>
      <c r="S2775" t="str">
        <f>VLOOKUP(record[[#This Row],[employeeID]],員工[],2,FALSE)</f>
        <v>謝蓁薰</v>
      </c>
    </row>
    <row r="2776" spans="6:19" hidden="1" x14ac:dyDescent="0.25">
      <c r="F2776" t="s">
        <v>1637</v>
      </c>
      <c r="G2776" t="s">
        <v>449</v>
      </c>
      <c r="H2776" t="str">
        <f>VLOOKUP(record[[#This Row],[ProcessSN]],表格2_7[],2,FALSE)</f>
        <v>30-4118-018-6XX</v>
      </c>
      <c r="I2776" t="str">
        <f>VLOOKUP(record[[#This Row],[ProcessSN]],表格2_7[],3,FALSE)</f>
        <v>#05</v>
      </c>
      <c r="J2776" t="s">
        <v>588</v>
      </c>
      <c r="K2776" s="195">
        <v>46111.437118055554</v>
      </c>
      <c r="L2776">
        <v>12</v>
      </c>
      <c r="M2776">
        <v>0</v>
      </c>
      <c r="N2776" s="98" t="str">
        <f>IF(record[[#This Row],[Memo]]="Browser:chrome os:android","平板報工",IF(record[[#This Row],[Memo]]=0,"委外",record[[#This Row],[Memo]]))</f>
        <v>平板報工</v>
      </c>
      <c r="O2776" t="s">
        <v>643</v>
      </c>
      <c r="P2776" t="s">
        <v>145</v>
      </c>
      <c r="Q2776" t="s">
        <v>644</v>
      </c>
      <c r="R2776" t="str">
        <f>IFERROR(VLOOKUP(record[[#This Row],[PCUSTID]],廠商[],2,FALSE),"")</f>
        <v/>
      </c>
      <c r="S2776" t="str">
        <f>VLOOKUP(record[[#This Row],[employeeID]],員工[],2,FALSE)</f>
        <v>阮秋霞</v>
      </c>
    </row>
    <row r="2777" spans="6:19" hidden="1" x14ac:dyDescent="0.25">
      <c r="F2777" t="s">
        <v>1637</v>
      </c>
      <c r="G2777" t="s">
        <v>452</v>
      </c>
      <c r="H2777" t="str">
        <f>VLOOKUP(record[[#This Row],[ProcessSN]],表格2_7[],2,FALSE)</f>
        <v>30-4118-018-6XX</v>
      </c>
      <c r="I2777" t="str">
        <f>VLOOKUP(record[[#This Row],[ProcessSN]],表格2_7[],3,FALSE)</f>
        <v>#07QC</v>
      </c>
      <c r="J2777" t="s">
        <v>589</v>
      </c>
      <c r="K2777" s="195">
        <v>46111.412939814814</v>
      </c>
      <c r="L2777">
        <v>120</v>
      </c>
      <c r="M2777">
        <v>0</v>
      </c>
      <c r="N2777" s="98" t="str">
        <f>IF(record[[#This Row],[Memo]]="Browser:chrome os:android","平板報工",IF(record[[#This Row],[Memo]]=0,"委外",record[[#This Row],[Memo]]))</f>
        <v/>
      </c>
      <c r="O2777" t="s">
        <v>58</v>
      </c>
      <c r="P2777" t="s">
        <v>141</v>
      </c>
      <c r="Q2777" t="s">
        <v>58</v>
      </c>
      <c r="R2777" t="str">
        <f>IFERROR(VLOOKUP(record[[#This Row],[PCUSTID]],廠商[],2,FALSE),"")</f>
        <v/>
      </c>
      <c r="S2777" t="str">
        <f>VLOOKUP(record[[#This Row],[employeeID]],員工[],2,FALSE)</f>
        <v>蔣梅</v>
      </c>
    </row>
    <row r="2778" spans="6:19" hidden="1" x14ac:dyDescent="0.25">
      <c r="F2778" t="s">
        <v>1694</v>
      </c>
      <c r="G2778" t="s">
        <v>397</v>
      </c>
      <c r="H2778" t="str">
        <f>VLOOKUP(record[[#This Row],[ProcessSN]],表格2_7[],2,FALSE)</f>
        <v>30-4118-018-550</v>
      </c>
      <c r="I2778" t="str">
        <f>VLOOKUP(record[[#This Row],[ProcessSN]],表格2_7[],3,FALSE)</f>
        <v>#08</v>
      </c>
      <c r="J2778" t="s">
        <v>597</v>
      </c>
      <c r="K2778" s="195">
        <v>46111.412256944444</v>
      </c>
      <c r="L2778">
        <v>267</v>
      </c>
      <c r="M2778">
        <v>0</v>
      </c>
      <c r="N2778" s="98" t="str">
        <f>IF(record[[#This Row],[Memo]]="Browser:chrome os:android","平板報工",IF(record[[#This Row],[Memo]]=0,"委外",record[[#This Row],[Memo]]))</f>
        <v>委外</v>
      </c>
      <c r="P2778" t="s">
        <v>186</v>
      </c>
      <c r="Q2778" t="s">
        <v>287</v>
      </c>
      <c r="R2778" t="str">
        <f>IFERROR(VLOOKUP(record[[#This Row],[PCUSTID]],廠商[],2,FALSE),"")</f>
        <v>泉盛</v>
      </c>
      <c r="S2778" t="str">
        <f>VLOOKUP(record[[#This Row],[employeeID]],員工[],2,FALSE)</f>
        <v>許文姍</v>
      </c>
    </row>
    <row r="2779" spans="6:19" hidden="1" x14ac:dyDescent="0.25">
      <c r="F2779" t="s">
        <v>1693</v>
      </c>
      <c r="G2779" t="s">
        <v>422</v>
      </c>
      <c r="H2779" t="str">
        <f>VLOOKUP(record[[#This Row],[ProcessSN]],表格2_7[],2,FALSE)</f>
        <v>30-4118-018-600</v>
      </c>
      <c r="I2779" t="str">
        <f>VLOOKUP(record[[#This Row],[ProcessSN]],表格2_7[],3,FALSE)</f>
        <v>#08</v>
      </c>
      <c r="J2779" t="s">
        <v>597</v>
      </c>
      <c r="K2779" s="195">
        <v>46111.41201388889</v>
      </c>
      <c r="L2779">
        <v>187</v>
      </c>
      <c r="M2779">
        <v>0</v>
      </c>
      <c r="N2779" s="98" t="str">
        <f>IF(record[[#This Row],[Memo]]="Browser:chrome os:android","平板報工",IF(record[[#This Row],[Memo]]=0,"委外",record[[#This Row],[Memo]]))</f>
        <v>委外</v>
      </c>
      <c r="P2779" t="s">
        <v>186</v>
      </c>
      <c r="Q2779" t="s">
        <v>287</v>
      </c>
      <c r="R2779" t="str">
        <f>IFERROR(VLOOKUP(record[[#This Row],[PCUSTID]],廠商[],2,FALSE),"")</f>
        <v>泉盛</v>
      </c>
      <c r="S2779" t="str">
        <f>VLOOKUP(record[[#This Row],[employeeID]],員工[],2,FALSE)</f>
        <v>許文姍</v>
      </c>
    </row>
    <row r="2780" spans="6:19" hidden="1" x14ac:dyDescent="0.25">
      <c r="F2780" t="s">
        <v>1694</v>
      </c>
      <c r="G2780" t="s">
        <v>396</v>
      </c>
      <c r="H2780" t="str">
        <f>VLOOKUP(record[[#This Row],[ProcessSN]],表格2_7[],2,FALSE)</f>
        <v>30-4118-018-550</v>
      </c>
      <c r="I2780" t="str">
        <f>VLOOKUP(record[[#This Row],[ProcessSN]],表格2_7[],3,FALSE)</f>
        <v>#08PICK</v>
      </c>
      <c r="J2780" t="s">
        <v>582</v>
      </c>
      <c r="K2780" s="195">
        <v>46111.411874999998</v>
      </c>
      <c r="L2780">
        <v>267</v>
      </c>
      <c r="M2780">
        <v>0</v>
      </c>
      <c r="N2780" s="98" t="str">
        <f>IF(record[[#This Row],[Memo]]="Browser:chrome os:android","平板報工",IF(record[[#This Row],[Memo]]=0,"委外",record[[#This Row],[Memo]]))</f>
        <v/>
      </c>
      <c r="O2780" t="s">
        <v>58</v>
      </c>
      <c r="P2780" t="s">
        <v>186</v>
      </c>
      <c r="Q2780" t="s">
        <v>58</v>
      </c>
      <c r="R2780" t="str">
        <f>IFERROR(VLOOKUP(record[[#This Row],[PCUSTID]],廠商[],2,FALSE),"")</f>
        <v/>
      </c>
      <c r="S2780" t="str">
        <f>VLOOKUP(record[[#This Row],[employeeID]],員工[],2,FALSE)</f>
        <v>許文姍</v>
      </c>
    </row>
    <row r="2781" spans="6:19" hidden="1" x14ac:dyDescent="0.25">
      <c r="F2781" t="s">
        <v>1693</v>
      </c>
      <c r="G2781" t="s">
        <v>421</v>
      </c>
      <c r="H2781" t="str">
        <f>VLOOKUP(record[[#This Row],[ProcessSN]],表格2_7[],2,FALSE)</f>
        <v>30-4118-018-600</v>
      </c>
      <c r="I2781" t="str">
        <f>VLOOKUP(record[[#This Row],[ProcessSN]],表格2_7[],3,FALSE)</f>
        <v>#08PICK</v>
      </c>
      <c r="J2781" t="s">
        <v>582</v>
      </c>
      <c r="K2781" s="195">
        <v>46111.411724537036</v>
      </c>
      <c r="L2781">
        <v>187</v>
      </c>
      <c r="M2781">
        <v>0</v>
      </c>
      <c r="N2781" s="98" t="str">
        <f>IF(record[[#This Row],[Memo]]="Browser:chrome os:android","平板報工",IF(record[[#This Row],[Memo]]=0,"委外",record[[#This Row],[Memo]]))</f>
        <v/>
      </c>
      <c r="O2781" t="s">
        <v>58</v>
      </c>
      <c r="P2781" t="s">
        <v>186</v>
      </c>
      <c r="Q2781" t="s">
        <v>58</v>
      </c>
      <c r="R2781" t="str">
        <f>IFERROR(VLOOKUP(record[[#This Row],[PCUSTID]],廠商[],2,FALSE),"")</f>
        <v/>
      </c>
      <c r="S2781" t="str">
        <f>VLOOKUP(record[[#This Row],[employeeID]],員工[],2,FALSE)</f>
        <v>許文姍</v>
      </c>
    </row>
    <row r="2782" spans="6:19" hidden="1" x14ac:dyDescent="0.25">
      <c r="F2782" t="s">
        <v>1680</v>
      </c>
      <c r="G2782" t="s">
        <v>428</v>
      </c>
      <c r="H2782" t="str">
        <f>VLOOKUP(record[[#This Row],[ProcessSN]],表格2_7[],2,FALSE)</f>
        <v>30-4118-018-600</v>
      </c>
      <c r="I2782" t="str">
        <f>VLOOKUP(record[[#This Row],[ProcessSN]],表格2_7[],3,FALSE)</f>
        <v>#100SHIP</v>
      </c>
      <c r="J2782" t="s">
        <v>600</v>
      </c>
      <c r="K2782" s="195">
        <v>46111.364155092589</v>
      </c>
      <c r="L2782">
        <v>105</v>
      </c>
      <c r="M2782">
        <v>0</v>
      </c>
      <c r="N2782" s="98" t="str">
        <f>IF(record[[#This Row],[Memo]]="Browser:chrome os:android","平板報工",IF(record[[#This Row],[Memo]]=0,"委外",record[[#This Row],[Memo]]))</f>
        <v>補3/27出貨</v>
      </c>
      <c r="O2782" t="s">
        <v>1692</v>
      </c>
      <c r="P2782" t="s">
        <v>886</v>
      </c>
      <c r="Q2782" t="s">
        <v>58</v>
      </c>
      <c r="R2782" t="str">
        <f>IFERROR(VLOOKUP(record[[#This Row],[PCUSTID]],廠商[],2,FALSE),"")</f>
        <v/>
      </c>
      <c r="S2782" t="str">
        <f>VLOOKUP(record[[#This Row],[employeeID]],員工[],2,FALSE)</f>
        <v>謝蓁薰</v>
      </c>
    </row>
    <row r="2783" spans="6:19" hidden="1" x14ac:dyDescent="0.25">
      <c r="F2783" t="s">
        <v>1660</v>
      </c>
      <c r="G2783" t="s">
        <v>403</v>
      </c>
      <c r="H2783" t="str">
        <f>VLOOKUP(record[[#This Row],[ProcessSN]],表格2_7[],2,FALSE)</f>
        <v>30-4118-018-550</v>
      </c>
      <c r="I2783" t="str">
        <f>VLOOKUP(record[[#This Row],[ProcessSN]],表格2_7[],3,FALSE)</f>
        <v>#100SHIP</v>
      </c>
      <c r="J2783" t="s">
        <v>600</v>
      </c>
      <c r="K2783" s="195">
        <v>46111.363958333335</v>
      </c>
      <c r="L2783">
        <v>155</v>
      </c>
      <c r="M2783">
        <v>0</v>
      </c>
      <c r="N2783" s="98" t="str">
        <f>IF(record[[#This Row],[Memo]]="Browser:chrome os:android","平板報工",IF(record[[#This Row],[Memo]]=0,"委外",record[[#This Row],[Memo]]))</f>
        <v>補3/27出貨</v>
      </c>
      <c r="O2783" t="s">
        <v>1692</v>
      </c>
      <c r="P2783" t="s">
        <v>886</v>
      </c>
      <c r="Q2783" t="s">
        <v>58</v>
      </c>
      <c r="R2783" t="str">
        <f>IFERROR(VLOOKUP(record[[#This Row],[PCUSTID]],廠商[],2,FALSE),"")</f>
        <v/>
      </c>
      <c r="S2783" t="str">
        <f>VLOOKUP(record[[#This Row],[employeeID]],員工[],2,FALSE)</f>
        <v>謝蓁薰</v>
      </c>
    </row>
    <row r="2784" spans="6:19" hidden="1" x14ac:dyDescent="0.25">
      <c r="F2784" t="s">
        <v>1656</v>
      </c>
      <c r="G2784" t="s">
        <v>403</v>
      </c>
      <c r="H2784" t="str">
        <f>VLOOKUP(record[[#This Row],[ProcessSN]],表格2_7[],2,FALSE)</f>
        <v>30-4118-018-550</v>
      </c>
      <c r="I2784" t="str">
        <f>VLOOKUP(record[[#This Row],[ProcessSN]],表格2_7[],3,FALSE)</f>
        <v>#100SHIP</v>
      </c>
      <c r="J2784" t="s">
        <v>600</v>
      </c>
      <c r="K2784" s="195">
        <v>46111.363819444443</v>
      </c>
      <c r="L2784">
        <v>52</v>
      </c>
      <c r="M2784">
        <v>0</v>
      </c>
      <c r="N2784" s="98" t="str">
        <f>IF(record[[#This Row],[Memo]]="Browser:chrome os:android","平板報工",IF(record[[#This Row],[Memo]]=0,"委外",record[[#This Row],[Memo]]))</f>
        <v>補3/27出貨</v>
      </c>
      <c r="O2784" t="s">
        <v>1692</v>
      </c>
      <c r="P2784" t="s">
        <v>886</v>
      </c>
      <c r="Q2784" t="s">
        <v>58</v>
      </c>
      <c r="R2784" t="str">
        <f>IFERROR(VLOOKUP(record[[#This Row],[PCUSTID]],廠商[],2,FALSE),"")</f>
        <v/>
      </c>
      <c r="S2784" t="str">
        <f>VLOOKUP(record[[#This Row],[employeeID]],員工[],2,FALSE)</f>
        <v>謝蓁薰</v>
      </c>
    </row>
    <row r="2785" spans="6:19" hidden="1" x14ac:dyDescent="0.25">
      <c r="F2785" t="s">
        <v>1680</v>
      </c>
      <c r="G2785" t="s">
        <v>428</v>
      </c>
      <c r="H2785" t="str">
        <f>VLOOKUP(record[[#This Row],[ProcessSN]],表格2_7[],2,FALSE)</f>
        <v>30-4118-018-600</v>
      </c>
      <c r="I2785" t="str">
        <f>VLOOKUP(record[[#This Row],[ProcessSN]],表格2_7[],3,FALSE)</f>
        <v>#100SHIP</v>
      </c>
      <c r="J2785" t="s">
        <v>600</v>
      </c>
      <c r="K2785" s="195">
        <v>46111.363530092596</v>
      </c>
      <c r="L2785">
        <v>35</v>
      </c>
      <c r="M2785">
        <v>0</v>
      </c>
      <c r="N2785" s="98" t="str">
        <f>IF(record[[#This Row],[Memo]]="Browser:chrome os:android","平板報工",IF(record[[#This Row],[Memo]]=0,"委外",record[[#This Row],[Memo]]))</f>
        <v>補3/27出貨</v>
      </c>
      <c r="O2785" t="s">
        <v>1692</v>
      </c>
      <c r="P2785" t="s">
        <v>886</v>
      </c>
      <c r="Q2785" t="s">
        <v>58</v>
      </c>
      <c r="R2785" t="str">
        <f>IFERROR(VLOOKUP(record[[#This Row],[PCUSTID]],廠商[],2,FALSE),"")</f>
        <v/>
      </c>
      <c r="S2785" t="str">
        <f>VLOOKUP(record[[#This Row],[employeeID]],員工[],2,FALSE)</f>
        <v>謝蓁薰</v>
      </c>
    </row>
    <row r="2786" spans="6:19" hidden="1" x14ac:dyDescent="0.25">
      <c r="F2786" t="s">
        <v>1676</v>
      </c>
      <c r="G2786" t="s">
        <v>428</v>
      </c>
      <c r="H2786" t="str">
        <f>VLOOKUP(record[[#This Row],[ProcessSN]],表格2_7[],2,FALSE)</f>
        <v>30-4118-018-600</v>
      </c>
      <c r="I2786" t="str">
        <f>VLOOKUP(record[[#This Row],[ProcessSN]],表格2_7[],3,FALSE)</f>
        <v>#100SHIP</v>
      </c>
      <c r="J2786" t="s">
        <v>600</v>
      </c>
      <c r="K2786" s="195">
        <v>46111.363368055558</v>
      </c>
      <c r="L2786">
        <v>231</v>
      </c>
      <c r="M2786">
        <v>0</v>
      </c>
      <c r="N2786" s="98" t="str">
        <f>IF(record[[#This Row],[Memo]]="Browser:chrome os:android","平板報工",IF(record[[#This Row],[Memo]]=0,"委外",record[[#This Row],[Memo]]))</f>
        <v>補3/27出貨</v>
      </c>
      <c r="O2786" t="s">
        <v>1692</v>
      </c>
      <c r="P2786" t="s">
        <v>886</v>
      </c>
      <c r="Q2786" t="s">
        <v>58</v>
      </c>
      <c r="R2786" t="str">
        <f>IFERROR(VLOOKUP(record[[#This Row],[PCUSTID]],廠商[],2,FALSE),"")</f>
        <v/>
      </c>
      <c r="S2786" t="str">
        <f>VLOOKUP(record[[#This Row],[employeeID]],員工[],2,FALSE)</f>
        <v>謝蓁薰</v>
      </c>
    </row>
    <row r="2787" spans="6:19" hidden="1" x14ac:dyDescent="0.25">
      <c r="F2787" t="s">
        <v>1660</v>
      </c>
      <c r="G2787" t="s">
        <v>402</v>
      </c>
      <c r="H2787" t="str">
        <f>VLOOKUP(record[[#This Row],[ProcessSN]],表格2_7[],2,FALSE)</f>
        <v>30-4118-018-550</v>
      </c>
      <c r="I2787" t="str">
        <f>VLOOKUP(record[[#This Row],[ProcessSN]],表格2_7[],3,FALSE)</f>
        <v>#100STOCK</v>
      </c>
      <c r="J2787" t="s">
        <v>592</v>
      </c>
      <c r="K2787" s="195">
        <v>46111.362291666665</v>
      </c>
      <c r="L2787">
        <v>155</v>
      </c>
      <c r="M2787">
        <v>0</v>
      </c>
      <c r="N2787" s="98" t="str">
        <f>IF(record[[#This Row],[Memo]]="Browser:chrome os:android","平板報工",IF(record[[#This Row],[Memo]]=0,"委外",record[[#This Row],[Memo]]))</f>
        <v/>
      </c>
      <c r="O2787" t="s">
        <v>58</v>
      </c>
      <c r="P2787" t="s">
        <v>886</v>
      </c>
      <c r="Q2787" t="s">
        <v>58</v>
      </c>
      <c r="R2787" t="str">
        <f>IFERROR(VLOOKUP(record[[#This Row],[PCUSTID]],廠商[],2,FALSE),"")</f>
        <v/>
      </c>
      <c r="S2787" t="str">
        <f>VLOOKUP(record[[#This Row],[employeeID]],員工[],2,FALSE)</f>
        <v>謝蓁薰</v>
      </c>
    </row>
    <row r="2788" spans="6:19" hidden="1" x14ac:dyDescent="0.25">
      <c r="F2788" t="s">
        <v>1656</v>
      </c>
      <c r="G2788" t="s">
        <v>402</v>
      </c>
      <c r="H2788" t="str">
        <f>VLOOKUP(record[[#This Row],[ProcessSN]],表格2_7[],2,FALSE)</f>
        <v>30-4118-018-550</v>
      </c>
      <c r="I2788" t="str">
        <f>VLOOKUP(record[[#This Row],[ProcessSN]],表格2_7[],3,FALSE)</f>
        <v>#100STOCK</v>
      </c>
      <c r="J2788" t="s">
        <v>592</v>
      </c>
      <c r="K2788" s="195">
        <v>46111.362175925926</v>
      </c>
      <c r="L2788">
        <v>52</v>
      </c>
      <c r="M2788">
        <v>0</v>
      </c>
      <c r="N2788" s="98" t="str">
        <f>IF(record[[#This Row],[Memo]]="Browser:chrome os:android","平板報工",IF(record[[#This Row],[Memo]]=0,"委外",record[[#This Row],[Memo]]))</f>
        <v/>
      </c>
      <c r="O2788" t="s">
        <v>58</v>
      </c>
      <c r="P2788" t="s">
        <v>886</v>
      </c>
      <c r="Q2788" t="s">
        <v>58</v>
      </c>
      <c r="R2788" t="str">
        <f>IFERROR(VLOOKUP(record[[#This Row],[PCUSTID]],廠商[],2,FALSE),"")</f>
        <v/>
      </c>
      <c r="S2788" t="str">
        <f>VLOOKUP(record[[#This Row],[employeeID]],員工[],2,FALSE)</f>
        <v>謝蓁薰</v>
      </c>
    </row>
    <row r="2789" spans="6:19" hidden="1" x14ac:dyDescent="0.25">
      <c r="F2789" t="s">
        <v>1680</v>
      </c>
      <c r="G2789" t="s">
        <v>427</v>
      </c>
      <c r="H2789" t="str">
        <f>VLOOKUP(record[[#This Row],[ProcessSN]],表格2_7[],2,FALSE)</f>
        <v>30-4118-018-600</v>
      </c>
      <c r="I2789" t="str">
        <f>VLOOKUP(record[[#This Row],[ProcessSN]],表格2_7[],3,FALSE)</f>
        <v>#100STOCK</v>
      </c>
      <c r="J2789" t="s">
        <v>592</v>
      </c>
      <c r="K2789" s="195">
        <v>46111.362037037034</v>
      </c>
      <c r="L2789">
        <v>140</v>
      </c>
      <c r="M2789">
        <v>0</v>
      </c>
      <c r="N2789" s="98" t="str">
        <f>IF(record[[#This Row],[Memo]]="Browser:chrome os:android","平板報工",IF(record[[#This Row],[Memo]]=0,"委外",record[[#This Row],[Memo]]))</f>
        <v/>
      </c>
      <c r="O2789" t="s">
        <v>58</v>
      </c>
      <c r="P2789" t="s">
        <v>886</v>
      </c>
      <c r="Q2789" t="s">
        <v>58</v>
      </c>
      <c r="R2789" t="str">
        <f>IFERROR(VLOOKUP(record[[#This Row],[PCUSTID]],廠商[],2,FALSE),"")</f>
        <v/>
      </c>
      <c r="S2789" t="str">
        <f>VLOOKUP(record[[#This Row],[employeeID]],員工[],2,FALSE)</f>
        <v>謝蓁薰</v>
      </c>
    </row>
    <row r="2790" spans="6:19" hidden="1" x14ac:dyDescent="0.25">
      <c r="F2790" t="s">
        <v>1676</v>
      </c>
      <c r="G2790" t="s">
        <v>427</v>
      </c>
      <c r="H2790" t="str">
        <f>VLOOKUP(record[[#This Row],[ProcessSN]],表格2_7[],2,FALSE)</f>
        <v>30-4118-018-600</v>
      </c>
      <c r="I2790" t="str">
        <f>VLOOKUP(record[[#This Row],[ProcessSN]],表格2_7[],3,FALSE)</f>
        <v>#100STOCK</v>
      </c>
      <c r="J2790" t="s">
        <v>592</v>
      </c>
      <c r="K2790" s="195">
        <v>46111.361840277779</v>
      </c>
      <c r="L2790">
        <v>231</v>
      </c>
      <c r="M2790">
        <v>0</v>
      </c>
      <c r="N2790" s="98" t="str">
        <f>IF(record[[#This Row],[Memo]]="Browser:chrome os:android","平板報工",IF(record[[#This Row],[Memo]]=0,"委外",record[[#This Row],[Memo]]))</f>
        <v/>
      </c>
      <c r="O2790" t="s">
        <v>58</v>
      </c>
      <c r="P2790" t="s">
        <v>886</v>
      </c>
      <c r="Q2790" t="s">
        <v>58</v>
      </c>
      <c r="R2790" t="str">
        <f>IFERROR(VLOOKUP(record[[#This Row],[PCUSTID]],廠商[],2,FALSE),"")</f>
        <v/>
      </c>
      <c r="S2790" t="str">
        <f>VLOOKUP(record[[#This Row],[employeeID]],員工[],2,FALSE)</f>
        <v>謝蓁薰</v>
      </c>
    </row>
    <row r="2791" spans="6:19" hidden="1" x14ac:dyDescent="0.25">
      <c r="F2791" t="s">
        <v>1680</v>
      </c>
      <c r="G2791" t="s">
        <v>426</v>
      </c>
      <c r="H2791" t="str">
        <f>VLOOKUP(record[[#This Row],[ProcessSN]],表格2_7[],2,FALSE)</f>
        <v>30-4118-018-600</v>
      </c>
      <c r="I2791" t="str">
        <f>VLOOKUP(record[[#This Row],[ProcessSN]],表格2_7[],3,FALSE)</f>
        <v>#100OQC</v>
      </c>
      <c r="J2791" t="s">
        <v>599</v>
      </c>
      <c r="K2791" s="195">
        <v>46111.354328703703</v>
      </c>
      <c r="L2791">
        <v>140</v>
      </c>
      <c r="M2791">
        <v>0</v>
      </c>
      <c r="N2791" s="98" t="str">
        <f>IF(record[[#This Row],[Memo]]="Browser:chrome os:android","平板報工",IF(record[[#This Row],[Memo]]=0,"委外",record[[#This Row],[Memo]]))</f>
        <v/>
      </c>
      <c r="O2791" t="s">
        <v>58</v>
      </c>
      <c r="P2791" t="s">
        <v>121</v>
      </c>
      <c r="Q2791" t="s">
        <v>58</v>
      </c>
      <c r="R2791" t="str">
        <f>IFERROR(VLOOKUP(record[[#This Row],[PCUSTID]],廠商[],2,FALSE),"")</f>
        <v/>
      </c>
      <c r="S2791" t="str">
        <f>VLOOKUP(record[[#This Row],[employeeID]],員工[],2,FALSE)</f>
        <v>謝素卿</v>
      </c>
    </row>
    <row r="2792" spans="6:19" hidden="1" x14ac:dyDescent="0.25">
      <c r="F2792" t="s">
        <v>1676</v>
      </c>
      <c r="G2792" t="s">
        <v>426</v>
      </c>
      <c r="H2792" t="str">
        <f>VLOOKUP(record[[#This Row],[ProcessSN]],表格2_7[],2,FALSE)</f>
        <v>30-4118-018-600</v>
      </c>
      <c r="I2792" t="str">
        <f>VLOOKUP(record[[#This Row],[ProcessSN]],表格2_7[],3,FALSE)</f>
        <v>#100OQC</v>
      </c>
      <c r="J2792" t="s">
        <v>599</v>
      </c>
      <c r="K2792" s="195">
        <v>46111.354166666664</v>
      </c>
      <c r="L2792">
        <v>231</v>
      </c>
      <c r="M2792">
        <v>0</v>
      </c>
      <c r="N2792" s="98" t="str">
        <f>IF(record[[#This Row],[Memo]]="Browser:chrome os:android","平板報工",IF(record[[#This Row],[Memo]]=0,"委外",record[[#This Row],[Memo]]))</f>
        <v/>
      </c>
      <c r="O2792" t="s">
        <v>58</v>
      </c>
      <c r="P2792" t="s">
        <v>121</v>
      </c>
      <c r="Q2792" t="s">
        <v>58</v>
      </c>
      <c r="R2792" t="str">
        <f>IFERROR(VLOOKUP(record[[#This Row],[PCUSTID]],廠商[],2,FALSE),"")</f>
        <v/>
      </c>
      <c r="S2792" t="str">
        <f>VLOOKUP(record[[#This Row],[employeeID]],員工[],2,FALSE)</f>
        <v>謝素卿</v>
      </c>
    </row>
    <row r="2793" spans="6:19" hidden="1" x14ac:dyDescent="0.25">
      <c r="F2793" t="s">
        <v>1660</v>
      </c>
      <c r="G2793" t="s">
        <v>401</v>
      </c>
      <c r="H2793" t="str">
        <f>VLOOKUP(record[[#This Row],[ProcessSN]],表格2_7[],2,FALSE)</f>
        <v>30-4118-018-550</v>
      </c>
      <c r="I2793" t="str">
        <f>VLOOKUP(record[[#This Row],[ProcessSN]],表格2_7[],3,FALSE)</f>
        <v>#100OQC</v>
      </c>
      <c r="J2793" t="s">
        <v>599</v>
      </c>
      <c r="K2793" s="195">
        <v>46111.353587962964</v>
      </c>
      <c r="L2793">
        <v>155</v>
      </c>
      <c r="M2793">
        <v>0</v>
      </c>
      <c r="N2793" s="98" t="str">
        <f>IF(record[[#This Row],[Memo]]="Browser:chrome os:android","平板報工",IF(record[[#This Row],[Memo]]=0,"委外",record[[#This Row],[Memo]]))</f>
        <v/>
      </c>
      <c r="O2793" t="s">
        <v>58</v>
      </c>
      <c r="P2793" t="s">
        <v>121</v>
      </c>
      <c r="Q2793" t="s">
        <v>58</v>
      </c>
      <c r="R2793" t="str">
        <f>IFERROR(VLOOKUP(record[[#This Row],[PCUSTID]],廠商[],2,FALSE),"")</f>
        <v/>
      </c>
      <c r="S2793" t="str">
        <f>VLOOKUP(record[[#This Row],[employeeID]],員工[],2,FALSE)</f>
        <v>謝素卿</v>
      </c>
    </row>
    <row r="2794" spans="6:19" hidden="1" x14ac:dyDescent="0.25">
      <c r="F2794" t="s">
        <v>1656</v>
      </c>
      <c r="G2794" t="s">
        <v>401</v>
      </c>
      <c r="H2794" t="str">
        <f>VLOOKUP(record[[#This Row],[ProcessSN]],表格2_7[],2,FALSE)</f>
        <v>30-4118-018-550</v>
      </c>
      <c r="I2794" t="str">
        <f>VLOOKUP(record[[#This Row],[ProcessSN]],表格2_7[],3,FALSE)</f>
        <v>#100OQC</v>
      </c>
      <c r="J2794" t="s">
        <v>599</v>
      </c>
      <c r="K2794" s="195">
        <v>46111.353460648148</v>
      </c>
      <c r="L2794">
        <v>31</v>
      </c>
      <c r="M2794">
        <v>0</v>
      </c>
      <c r="N2794" s="98" t="str">
        <f>IF(record[[#This Row],[Memo]]="Browser:chrome os:android","平板報工",IF(record[[#This Row],[Memo]]=0,"委外",record[[#This Row],[Memo]]))</f>
        <v/>
      </c>
      <c r="O2794" t="s">
        <v>58</v>
      </c>
      <c r="P2794" t="s">
        <v>121</v>
      </c>
      <c r="Q2794" t="s">
        <v>58</v>
      </c>
      <c r="R2794" t="str">
        <f>IFERROR(VLOOKUP(record[[#This Row],[PCUSTID]],廠商[],2,FALSE),"")</f>
        <v/>
      </c>
      <c r="S2794" t="str">
        <f>VLOOKUP(record[[#This Row],[employeeID]],員工[],2,FALSE)</f>
        <v>謝素卿</v>
      </c>
    </row>
    <row r="2795" spans="6:19" hidden="1" x14ac:dyDescent="0.25">
      <c r="F2795" t="s">
        <v>1637</v>
      </c>
      <c r="G2795" t="s">
        <v>450</v>
      </c>
      <c r="H2795" t="str">
        <f>VLOOKUP(record[[#This Row],[ProcessSN]],表格2_7[],2,FALSE)</f>
        <v>30-4118-018-6XX</v>
      </c>
      <c r="I2795" t="str">
        <f>VLOOKUP(record[[#This Row],[ProcessSN]],表格2_7[],3,FALSE)</f>
        <v>#06</v>
      </c>
      <c r="J2795" t="s">
        <v>593</v>
      </c>
      <c r="K2795" s="195">
        <v>46109.981724537036</v>
      </c>
      <c r="L2795">
        <v>133</v>
      </c>
      <c r="M2795">
        <v>0</v>
      </c>
      <c r="N2795" s="98" t="str">
        <f>IF(record[[#This Row],[Memo]]="Browser:chrome os:android","平板報工",IF(record[[#This Row],[Memo]]=0,"委外",record[[#This Row],[Memo]]))</f>
        <v/>
      </c>
      <c r="O2795" t="s">
        <v>58</v>
      </c>
      <c r="P2795" t="s">
        <v>180</v>
      </c>
      <c r="Q2795" t="s">
        <v>58</v>
      </c>
      <c r="R2795" t="str">
        <f>IFERROR(VLOOKUP(record[[#This Row],[PCUSTID]],廠商[],2,FALSE),"")</f>
        <v/>
      </c>
      <c r="S2795" t="str">
        <f>VLOOKUP(record[[#This Row],[employeeID]],員工[],2,FALSE)</f>
        <v>黎功江</v>
      </c>
    </row>
    <row r="2796" spans="6:19" hidden="1" x14ac:dyDescent="0.25">
      <c r="F2796" t="s">
        <v>1637</v>
      </c>
      <c r="G2796" t="s">
        <v>450</v>
      </c>
      <c r="H2796" t="str">
        <f>VLOOKUP(record[[#This Row],[ProcessSN]],表格2_7[],2,FALSE)</f>
        <v>30-4118-018-6XX</v>
      </c>
      <c r="I2796" t="str">
        <f>VLOOKUP(record[[#This Row],[ProcessSN]],表格2_7[],3,FALSE)</f>
        <v>#06</v>
      </c>
      <c r="J2796" t="s">
        <v>593</v>
      </c>
      <c r="K2796" s="195">
        <v>46109.978634259256</v>
      </c>
      <c r="L2796">
        <v>105</v>
      </c>
      <c r="M2796">
        <v>0</v>
      </c>
      <c r="N2796" s="98" t="str">
        <f>IF(record[[#This Row],[Memo]]="Browser:chrome os:android","平板報工",IF(record[[#This Row],[Memo]]=0,"委外",record[[#This Row],[Memo]]))</f>
        <v/>
      </c>
      <c r="O2796" t="s">
        <v>58</v>
      </c>
      <c r="P2796" t="s">
        <v>176</v>
      </c>
      <c r="Q2796" t="s">
        <v>58</v>
      </c>
      <c r="R2796" t="str">
        <f>IFERROR(VLOOKUP(record[[#This Row],[PCUSTID]],廠商[],2,FALSE),"")</f>
        <v/>
      </c>
      <c r="S2796" t="str">
        <f>VLOOKUP(record[[#This Row],[employeeID]],員工[],2,FALSE)</f>
        <v>郭政雄</v>
      </c>
    </row>
    <row r="2797" spans="6:19" hidden="1" x14ac:dyDescent="0.25">
      <c r="F2797" t="s">
        <v>1637</v>
      </c>
      <c r="G2797" t="s">
        <v>449</v>
      </c>
      <c r="H2797" t="str">
        <f>VLOOKUP(record[[#This Row],[ProcessSN]],表格2_7[],2,FALSE)</f>
        <v>30-4118-018-6XX</v>
      </c>
      <c r="I2797" t="str">
        <f>VLOOKUP(record[[#This Row],[ProcessSN]],表格2_7[],3,FALSE)</f>
        <v>#05</v>
      </c>
      <c r="J2797" t="s">
        <v>588</v>
      </c>
      <c r="K2797" s="195">
        <v>46109.975902777776</v>
      </c>
      <c r="L2797">
        <v>202</v>
      </c>
      <c r="M2797">
        <v>0</v>
      </c>
      <c r="N2797" s="98" t="str">
        <f>IF(record[[#This Row],[Memo]]="Browser:chrome os:android","平板報工",IF(record[[#This Row],[Memo]]=0,"委外",record[[#This Row],[Memo]]))</f>
        <v/>
      </c>
      <c r="O2797" t="s">
        <v>58</v>
      </c>
      <c r="P2797" t="s">
        <v>89</v>
      </c>
      <c r="Q2797" t="s">
        <v>58</v>
      </c>
      <c r="R2797" t="str">
        <f>IFERROR(VLOOKUP(record[[#This Row],[PCUSTID]],廠商[],2,FALSE),"")</f>
        <v/>
      </c>
      <c r="S2797" t="str">
        <f>VLOOKUP(record[[#This Row],[employeeID]],員工[],2,FALSE)</f>
        <v>李美蓮</v>
      </c>
    </row>
    <row r="2798" spans="6:19" hidden="1" x14ac:dyDescent="0.25">
      <c r="F2798" t="s">
        <v>1637</v>
      </c>
      <c r="G2798" t="s">
        <v>448</v>
      </c>
      <c r="H2798" t="str">
        <f>VLOOKUP(record[[#This Row],[ProcessSN]],表格2_7[],2,FALSE)</f>
        <v>30-4118-018-6XX</v>
      </c>
      <c r="I2798" t="str">
        <f>VLOOKUP(record[[#This Row],[ProcessSN]],表格2_7[],3,FALSE)</f>
        <v>#04</v>
      </c>
      <c r="J2798" t="s">
        <v>588</v>
      </c>
      <c r="K2798" s="195">
        <v>46109.97556712963</v>
      </c>
      <c r="L2798">
        <v>100</v>
      </c>
      <c r="M2798">
        <v>2</v>
      </c>
      <c r="N2798" s="98" t="str">
        <f>IF(record[[#This Row],[Memo]]="Browser:chrome os:android","平板報工",IF(record[[#This Row],[Memo]]=0,"委外",record[[#This Row],[Memo]]))</f>
        <v/>
      </c>
      <c r="O2798" t="s">
        <v>58</v>
      </c>
      <c r="P2798" t="s">
        <v>176</v>
      </c>
      <c r="Q2798" t="s">
        <v>58</v>
      </c>
      <c r="R2798" t="str">
        <f>IFERROR(VLOOKUP(record[[#This Row],[PCUSTID]],廠商[],2,FALSE),"")</f>
        <v/>
      </c>
      <c r="S2798" t="str">
        <f>VLOOKUP(record[[#This Row],[employeeID]],員工[],2,FALSE)</f>
        <v>郭政雄</v>
      </c>
    </row>
    <row r="2799" spans="6:19" hidden="1" x14ac:dyDescent="0.25">
      <c r="F2799" t="s">
        <v>1653</v>
      </c>
      <c r="G2799" t="s">
        <v>415</v>
      </c>
      <c r="H2799" t="str">
        <f>VLOOKUP(record[[#This Row],[ProcessSN]],表格2_7[],2,FALSE)</f>
        <v>30-4118-018-5XX</v>
      </c>
      <c r="I2799" t="str">
        <f>VLOOKUP(record[[#This Row],[ProcessSN]],表格2_7[],3,FALSE)</f>
        <v>#04</v>
      </c>
      <c r="J2799" t="s">
        <v>588</v>
      </c>
      <c r="K2799" s="195">
        <v>46109.97519675926</v>
      </c>
      <c r="L2799">
        <v>119</v>
      </c>
      <c r="M2799">
        <v>0</v>
      </c>
      <c r="N2799" s="98" t="str">
        <f>IF(record[[#This Row],[Memo]]="Browser:chrome os:android","平板報工",IF(record[[#This Row],[Memo]]=0,"委外",record[[#This Row],[Memo]]))</f>
        <v/>
      </c>
      <c r="O2799" t="s">
        <v>58</v>
      </c>
      <c r="P2799" t="s">
        <v>176</v>
      </c>
      <c r="Q2799" t="s">
        <v>58</v>
      </c>
      <c r="R2799" t="str">
        <f>IFERROR(VLOOKUP(record[[#This Row],[PCUSTID]],廠商[],2,FALSE),"")</f>
        <v/>
      </c>
      <c r="S2799" t="str">
        <f>VLOOKUP(record[[#This Row],[employeeID]],員工[],2,FALSE)</f>
        <v>郭政雄</v>
      </c>
    </row>
    <row r="2800" spans="6:19" hidden="1" x14ac:dyDescent="0.25">
      <c r="F2800" t="s">
        <v>1637</v>
      </c>
      <c r="G2800" t="s">
        <v>451</v>
      </c>
      <c r="H2800" t="str">
        <f>VLOOKUP(record[[#This Row],[ProcessSN]],表格2_7[],2,FALSE)</f>
        <v>30-4118-018-6XX</v>
      </c>
      <c r="I2800" t="str">
        <f>VLOOKUP(record[[#This Row],[ProcessSN]],表格2_7[],3,FALSE)</f>
        <v>#07</v>
      </c>
      <c r="J2800" t="s">
        <v>588</v>
      </c>
      <c r="K2800" s="195">
        <v>46109.668275462966</v>
      </c>
      <c r="L2800">
        <v>176</v>
      </c>
      <c r="M2800">
        <v>3</v>
      </c>
      <c r="N2800" s="98" t="str">
        <f>IF(record[[#This Row],[Memo]]="Browser:chrome os:android","平板報工",IF(record[[#This Row],[Memo]]=0,"委外",record[[#This Row],[Memo]]))</f>
        <v>平板報工</v>
      </c>
      <c r="O2800" t="s">
        <v>643</v>
      </c>
      <c r="P2800" t="s">
        <v>785</v>
      </c>
      <c r="Q2800" t="s">
        <v>644</v>
      </c>
      <c r="R2800" t="str">
        <f>IFERROR(VLOOKUP(record[[#This Row],[PCUSTID]],廠商[],2,FALSE),"")</f>
        <v/>
      </c>
      <c r="S2800" t="str">
        <f>VLOOKUP(record[[#This Row],[employeeID]],員工[],2,FALSE)</f>
        <v>謝刻光</v>
      </c>
    </row>
    <row r="2801" spans="6:19" hidden="1" x14ac:dyDescent="0.25">
      <c r="F2801" t="s">
        <v>1637</v>
      </c>
      <c r="G2801" t="s">
        <v>450</v>
      </c>
      <c r="H2801" t="str">
        <f>VLOOKUP(record[[#This Row],[ProcessSN]],表格2_7[],2,FALSE)</f>
        <v>30-4118-018-6XX</v>
      </c>
      <c r="I2801" t="str">
        <f>VLOOKUP(record[[#This Row],[ProcessSN]],表格2_7[],3,FALSE)</f>
        <v>#06</v>
      </c>
      <c r="J2801" t="s">
        <v>593</v>
      </c>
      <c r="K2801" s="195">
        <v>46109.667361111111</v>
      </c>
      <c r="L2801">
        <v>60</v>
      </c>
      <c r="M2801">
        <v>0</v>
      </c>
      <c r="N2801" s="98" t="str">
        <f>IF(record[[#This Row],[Memo]]="Browser:chrome os:android","平板報工",IF(record[[#This Row],[Memo]]=0,"委外",record[[#This Row],[Memo]]))</f>
        <v/>
      </c>
      <c r="O2801" t="s">
        <v>58</v>
      </c>
      <c r="P2801" t="s">
        <v>188</v>
      </c>
      <c r="Q2801" t="s">
        <v>58</v>
      </c>
      <c r="R2801" t="str">
        <f>IFERROR(VLOOKUP(record[[#This Row],[PCUSTID]],廠商[],2,FALSE),"")</f>
        <v/>
      </c>
      <c r="S2801" t="str">
        <f>VLOOKUP(record[[#This Row],[employeeID]],員工[],2,FALSE)</f>
        <v>阮氏璧紅</v>
      </c>
    </row>
    <row r="2802" spans="6:19" hidden="1" x14ac:dyDescent="0.25">
      <c r="F2802" t="s">
        <v>1637</v>
      </c>
      <c r="G2802" t="s">
        <v>450</v>
      </c>
      <c r="H2802" t="str">
        <f>VLOOKUP(record[[#This Row],[ProcessSN]],表格2_7[],2,FALSE)</f>
        <v>30-4118-018-6XX</v>
      </c>
      <c r="I2802" t="str">
        <f>VLOOKUP(record[[#This Row],[ProcessSN]],表格2_7[],3,FALSE)</f>
        <v>#06</v>
      </c>
      <c r="J2802" t="s">
        <v>593</v>
      </c>
      <c r="K2802" s="195">
        <v>46109.663263888891</v>
      </c>
      <c r="L2802">
        <v>115</v>
      </c>
      <c r="M2802">
        <v>0</v>
      </c>
      <c r="N2802" s="98" t="str">
        <f>IF(record[[#This Row],[Memo]]="Browser:chrome os:android","平板報工",IF(record[[#This Row],[Memo]]=0,"委外",record[[#This Row],[Memo]]))</f>
        <v>平板報工</v>
      </c>
      <c r="O2802" t="s">
        <v>643</v>
      </c>
      <c r="P2802" t="s">
        <v>1098</v>
      </c>
      <c r="Q2802" t="s">
        <v>644</v>
      </c>
      <c r="R2802" t="str">
        <f>IFERROR(VLOOKUP(record[[#This Row],[PCUSTID]],廠商[],2,FALSE),"")</f>
        <v/>
      </c>
      <c r="S2802" t="str">
        <f>VLOOKUP(record[[#This Row],[employeeID]],員工[],2,FALSE)</f>
        <v>阮氏芳英(英)</v>
      </c>
    </row>
    <row r="2803" spans="6:19" hidden="1" x14ac:dyDescent="0.25">
      <c r="F2803" t="s">
        <v>1637</v>
      </c>
      <c r="G2803" t="s">
        <v>449</v>
      </c>
      <c r="H2803" t="str">
        <f>VLOOKUP(record[[#This Row],[ProcessSN]],表格2_7[],2,FALSE)</f>
        <v>30-4118-018-6XX</v>
      </c>
      <c r="I2803" t="str">
        <f>VLOOKUP(record[[#This Row],[ProcessSN]],表格2_7[],3,FALSE)</f>
        <v>#05</v>
      </c>
      <c r="J2803" t="s">
        <v>588</v>
      </c>
      <c r="K2803" s="195">
        <v>46109.662361111114</v>
      </c>
      <c r="L2803">
        <v>220</v>
      </c>
      <c r="M2803">
        <v>0</v>
      </c>
      <c r="N2803" s="98" t="str">
        <f>IF(record[[#This Row],[Memo]]="Browser:chrome os:android","平板報工",IF(record[[#This Row],[Memo]]=0,"委外",record[[#This Row],[Memo]]))</f>
        <v>平板報工</v>
      </c>
      <c r="O2803" t="s">
        <v>643</v>
      </c>
      <c r="P2803" t="s">
        <v>785</v>
      </c>
      <c r="Q2803" t="s">
        <v>644</v>
      </c>
      <c r="R2803" t="str">
        <f>IFERROR(VLOOKUP(record[[#This Row],[PCUSTID]],廠商[],2,FALSE),"")</f>
        <v/>
      </c>
      <c r="S2803" t="str">
        <f>VLOOKUP(record[[#This Row],[employeeID]],員工[],2,FALSE)</f>
        <v>謝刻光</v>
      </c>
    </row>
    <row r="2804" spans="6:19" hidden="1" x14ac:dyDescent="0.25">
      <c r="F2804" t="s">
        <v>1637</v>
      </c>
      <c r="G2804" t="s">
        <v>448</v>
      </c>
      <c r="H2804" t="str">
        <f>VLOOKUP(record[[#This Row],[ProcessSN]],表格2_7[],2,FALSE)</f>
        <v>30-4118-018-6XX</v>
      </c>
      <c r="I2804" t="str">
        <f>VLOOKUP(record[[#This Row],[ProcessSN]],表格2_7[],3,FALSE)</f>
        <v>#04</v>
      </c>
      <c r="J2804" t="s">
        <v>588</v>
      </c>
      <c r="K2804" s="195">
        <v>46109.652881944443</v>
      </c>
      <c r="L2804">
        <v>115</v>
      </c>
      <c r="M2804">
        <v>0</v>
      </c>
      <c r="N2804" s="98" t="str">
        <f>IF(record[[#This Row],[Memo]]="Browser:chrome os:android","平板報工",IF(record[[#This Row],[Memo]]=0,"委外",record[[#This Row],[Memo]]))</f>
        <v>平板報工</v>
      </c>
      <c r="O2804" t="s">
        <v>643</v>
      </c>
      <c r="P2804" t="s">
        <v>107</v>
      </c>
      <c r="Q2804" t="s">
        <v>644</v>
      </c>
      <c r="R2804" t="str">
        <f>IFERROR(VLOOKUP(record[[#This Row],[PCUSTID]],廠商[],2,FALSE),"")</f>
        <v/>
      </c>
      <c r="S2804" t="str">
        <f>VLOOKUP(record[[#This Row],[employeeID]],員工[],2,FALSE)</f>
        <v>黎氏順</v>
      </c>
    </row>
    <row r="2805" spans="6:19" hidden="1" x14ac:dyDescent="0.25">
      <c r="F2805" t="s">
        <v>1653</v>
      </c>
      <c r="G2805" t="s">
        <v>415</v>
      </c>
      <c r="H2805" t="str">
        <f>VLOOKUP(record[[#This Row],[ProcessSN]],表格2_7[],2,FALSE)</f>
        <v>30-4118-018-5XX</v>
      </c>
      <c r="I2805" t="str">
        <f>VLOOKUP(record[[#This Row],[ProcessSN]],表格2_7[],3,FALSE)</f>
        <v>#04</v>
      </c>
      <c r="J2805" t="s">
        <v>588</v>
      </c>
      <c r="K2805" s="195">
        <v>46109.651539351849</v>
      </c>
      <c r="L2805">
        <v>144</v>
      </c>
      <c r="M2805">
        <v>0</v>
      </c>
      <c r="N2805" s="98" t="str">
        <f>IF(record[[#This Row],[Memo]]="Browser:chrome os:android","平板報工",IF(record[[#This Row],[Memo]]=0,"委外",record[[#This Row],[Memo]]))</f>
        <v>平板報工</v>
      </c>
      <c r="O2805" t="s">
        <v>643</v>
      </c>
      <c r="P2805" t="s">
        <v>107</v>
      </c>
      <c r="Q2805" t="s">
        <v>644</v>
      </c>
      <c r="R2805" t="str">
        <f>IFERROR(VLOOKUP(record[[#This Row],[PCUSTID]],廠商[],2,FALSE),"")</f>
        <v/>
      </c>
      <c r="S2805" t="str">
        <f>VLOOKUP(record[[#This Row],[employeeID]],員工[],2,FALSE)</f>
        <v>黎氏順</v>
      </c>
    </row>
    <row r="2806" spans="6:19" hidden="1" x14ac:dyDescent="0.25">
      <c r="F2806" t="s">
        <v>1653</v>
      </c>
      <c r="G2806" t="s">
        <v>419</v>
      </c>
      <c r="H2806" t="str">
        <f>VLOOKUP(record[[#This Row],[ProcessSN]],表格2_7[],2,FALSE)</f>
        <v>30-4118-018-5XX</v>
      </c>
      <c r="I2806" t="str">
        <f>VLOOKUP(record[[#This Row],[ProcessSN]],表格2_7[],3,FALSE)</f>
        <v>#07QC</v>
      </c>
      <c r="J2806" t="s">
        <v>589</v>
      </c>
      <c r="K2806" s="195">
        <v>46109.641087962962</v>
      </c>
      <c r="L2806">
        <v>267</v>
      </c>
      <c r="M2806">
        <v>0</v>
      </c>
      <c r="N2806" s="98" t="str">
        <f>IF(record[[#This Row],[Memo]]="Browser:chrome os:android","平板報工",IF(record[[#This Row],[Memo]]=0,"委外",record[[#This Row],[Memo]]))</f>
        <v/>
      </c>
      <c r="O2806" t="s">
        <v>58</v>
      </c>
      <c r="P2806" t="s">
        <v>99</v>
      </c>
      <c r="Q2806" t="s">
        <v>58</v>
      </c>
      <c r="R2806" t="str">
        <f>IFERROR(VLOOKUP(record[[#This Row],[PCUSTID]],廠商[],2,FALSE),"")</f>
        <v/>
      </c>
      <c r="S2806" t="str">
        <f>VLOOKUP(record[[#This Row],[employeeID]],員工[],2,FALSE)</f>
        <v>阮氏河</v>
      </c>
    </row>
    <row r="2807" spans="6:19" hidden="1" x14ac:dyDescent="0.25">
      <c r="F2807" t="s">
        <v>1653</v>
      </c>
      <c r="G2807" t="s">
        <v>419</v>
      </c>
      <c r="H2807" t="str">
        <f>VLOOKUP(record[[#This Row],[ProcessSN]],表格2_7[],2,FALSE)</f>
        <v>30-4118-018-5XX</v>
      </c>
      <c r="I2807" t="str">
        <f>VLOOKUP(record[[#This Row],[ProcessSN]],表格2_7[],3,FALSE)</f>
        <v>#07QC</v>
      </c>
      <c r="J2807" t="s">
        <v>589</v>
      </c>
      <c r="K2807" s="195">
        <v>46109.640833333331</v>
      </c>
      <c r="L2807">
        <v>0</v>
      </c>
      <c r="M2807">
        <v>49</v>
      </c>
      <c r="N2807" s="98" t="str">
        <f>IF(record[[#This Row],[Memo]]="Browser:chrome os:android","平板報工",IF(record[[#This Row],[Memo]]=0,"委外",record[[#This Row],[Memo]]))</f>
        <v/>
      </c>
      <c r="O2807" t="s">
        <v>58</v>
      </c>
      <c r="P2807" t="s">
        <v>99</v>
      </c>
      <c r="Q2807" t="s">
        <v>58</v>
      </c>
      <c r="R2807" t="str">
        <f>IFERROR(VLOOKUP(record[[#This Row],[PCUSTID]],廠商[],2,FALSE),"")</f>
        <v/>
      </c>
      <c r="S2807" t="str">
        <f>VLOOKUP(record[[#This Row],[employeeID]],員工[],2,FALSE)</f>
        <v>阮氏河</v>
      </c>
    </row>
    <row r="2808" spans="6:19" hidden="1" x14ac:dyDescent="0.25">
      <c r="F2808" t="s">
        <v>1637</v>
      </c>
      <c r="G2808" t="s">
        <v>452</v>
      </c>
      <c r="H2808" t="str">
        <f>VLOOKUP(record[[#This Row],[ProcessSN]],表格2_7[],2,FALSE)</f>
        <v>30-4118-018-6XX</v>
      </c>
      <c r="I2808" t="str">
        <f>VLOOKUP(record[[#This Row],[ProcessSN]],表格2_7[],3,FALSE)</f>
        <v>#07QC</v>
      </c>
      <c r="J2808" t="s">
        <v>589</v>
      </c>
      <c r="K2808" s="195">
        <v>46109.64025462963</v>
      </c>
      <c r="L2808">
        <v>67</v>
      </c>
      <c r="M2808">
        <v>0</v>
      </c>
      <c r="N2808" s="98" t="str">
        <f>IF(record[[#This Row],[Memo]]="Browser:chrome os:android","平板報工",IF(record[[#This Row],[Memo]]=0,"委外",record[[#This Row],[Memo]]))</f>
        <v/>
      </c>
      <c r="O2808" t="s">
        <v>58</v>
      </c>
      <c r="P2808" t="s">
        <v>99</v>
      </c>
      <c r="Q2808" t="s">
        <v>58</v>
      </c>
      <c r="R2808" t="str">
        <f>IFERROR(VLOOKUP(record[[#This Row],[PCUSTID]],廠商[],2,FALSE),"")</f>
        <v/>
      </c>
      <c r="S2808" t="str">
        <f>VLOOKUP(record[[#This Row],[employeeID]],員工[],2,FALSE)</f>
        <v>阮氏河</v>
      </c>
    </row>
    <row r="2809" spans="6:19" hidden="1" x14ac:dyDescent="0.25">
      <c r="F2809" t="s">
        <v>1637</v>
      </c>
      <c r="G2809" t="s">
        <v>452</v>
      </c>
      <c r="H2809" t="str">
        <f>VLOOKUP(record[[#This Row],[ProcessSN]],表格2_7[],2,FALSE)</f>
        <v>30-4118-018-6XX</v>
      </c>
      <c r="I2809" t="str">
        <f>VLOOKUP(record[[#This Row],[ProcessSN]],表格2_7[],3,FALSE)</f>
        <v>#07QC</v>
      </c>
      <c r="J2809" t="s">
        <v>589</v>
      </c>
      <c r="K2809" s="195">
        <v>46109.640023148146</v>
      </c>
      <c r="L2809">
        <v>0</v>
      </c>
      <c r="M2809">
        <v>112</v>
      </c>
      <c r="N2809" s="98" t="str">
        <f>IF(record[[#This Row],[Memo]]="Browser:chrome os:android","平板報工",IF(record[[#This Row],[Memo]]=0,"委外",record[[#This Row],[Memo]]))</f>
        <v/>
      </c>
      <c r="O2809" t="s">
        <v>58</v>
      </c>
      <c r="P2809" t="s">
        <v>99</v>
      </c>
      <c r="Q2809" t="s">
        <v>58</v>
      </c>
      <c r="R2809" t="str">
        <f>IFERROR(VLOOKUP(record[[#This Row],[PCUSTID]],廠商[],2,FALSE),"")</f>
        <v/>
      </c>
      <c r="S2809" t="str">
        <f>VLOOKUP(record[[#This Row],[employeeID]],員工[],2,FALSE)</f>
        <v>阮氏河</v>
      </c>
    </row>
    <row r="2810" spans="6:19" hidden="1" x14ac:dyDescent="0.25">
      <c r="F2810" t="s">
        <v>1637</v>
      </c>
      <c r="G2810" t="s">
        <v>453</v>
      </c>
      <c r="H2810" t="str">
        <f>VLOOKUP(record[[#This Row],[ProcessSN]],表格2_7[],2,FALSE)</f>
        <v>30-4118-018-6XX</v>
      </c>
      <c r="I2810" t="str">
        <f>VLOOKUP(record[[#This Row],[ProcessSN]],表格2_7[],3,FALSE)</f>
        <v>#07STOCK</v>
      </c>
      <c r="J2810" t="s">
        <v>592</v>
      </c>
      <c r="K2810" s="195">
        <v>46109.453981481478</v>
      </c>
      <c r="L2810">
        <v>312</v>
      </c>
      <c r="M2810">
        <v>0</v>
      </c>
      <c r="N2810" s="98" t="str">
        <f>IF(record[[#This Row],[Memo]]="Browser:chrome os:android","平板報工",IF(record[[#This Row],[Memo]]=0,"委外",record[[#This Row],[Memo]]))</f>
        <v/>
      </c>
      <c r="O2810" t="s">
        <v>58</v>
      </c>
      <c r="P2810" t="s">
        <v>125</v>
      </c>
      <c r="Q2810" t="s">
        <v>58</v>
      </c>
      <c r="R2810" t="str">
        <f>IFERROR(VLOOKUP(record[[#This Row],[PCUSTID]],廠商[],2,FALSE),"")</f>
        <v/>
      </c>
      <c r="S2810" t="str">
        <f>VLOOKUP(record[[#This Row],[employeeID]],員工[],2,FALSE)</f>
        <v>黃瓈巧</v>
      </c>
    </row>
    <row r="2811" spans="6:19" hidden="1" x14ac:dyDescent="0.25">
      <c r="F2811" t="s">
        <v>1637</v>
      </c>
      <c r="G2811" t="s">
        <v>452</v>
      </c>
      <c r="H2811" t="str">
        <f>VLOOKUP(record[[#This Row],[ProcessSN]],表格2_7[],2,FALSE)</f>
        <v>30-4118-018-6XX</v>
      </c>
      <c r="I2811" t="str">
        <f>VLOOKUP(record[[#This Row],[ProcessSN]],表格2_7[],3,FALSE)</f>
        <v>#07QC</v>
      </c>
      <c r="J2811" t="s">
        <v>589</v>
      </c>
      <c r="K2811" s="195">
        <v>46109.428090277775</v>
      </c>
      <c r="L2811">
        <v>312</v>
      </c>
      <c r="M2811">
        <v>0</v>
      </c>
      <c r="N2811" s="98" t="str">
        <f>IF(record[[#This Row],[Memo]]="Browser:chrome os:android","平板報工",IF(record[[#This Row],[Memo]]=0,"委外",record[[#This Row],[Memo]]))</f>
        <v/>
      </c>
      <c r="O2811" t="s">
        <v>58</v>
      </c>
      <c r="P2811" t="s">
        <v>99</v>
      </c>
      <c r="Q2811" t="s">
        <v>58</v>
      </c>
      <c r="R2811" t="str">
        <f>IFERROR(VLOOKUP(record[[#This Row],[PCUSTID]],廠商[],2,FALSE),"")</f>
        <v/>
      </c>
      <c r="S2811" t="str">
        <f>VLOOKUP(record[[#This Row],[employeeID]],員工[],2,FALSE)</f>
        <v>阮氏河</v>
      </c>
    </row>
    <row r="2812" spans="6:19" hidden="1" x14ac:dyDescent="0.25">
      <c r="F2812" t="s">
        <v>1689</v>
      </c>
      <c r="G2812" t="s">
        <v>422</v>
      </c>
      <c r="H2812" t="str">
        <f>VLOOKUP(record[[#This Row],[ProcessSN]],表格2_7[],2,FALSE)</f>
        <v>30-4118-018-600</v>
      </c>
      <c r="I2812" t="str">
        <f>VLOOKUP(record[[#This Row],[ProcessSN]],表格2_7[],3,FALSE)</f>
        <v>#08</v>
      </c>
      <c r="J2812" t="s">
        <v>597</v>
      </c>
      <c r="K2812" s="195">
        <v>46109.426851851851</v>
      </c>
      <c r="L2812">
        <v>312</v>
      </c>
      <c r="M2812">
        <v>0</v>
      </c>
      <c r="N2812" s="98" t="str">
        <f>IF(record[[#This Row],[Memo]]="Browser:chrome os:android","平板報工",IF(record[[#This Row],[Memo]]=0,"委外",record[[#This Row],[Memo]]))</f>
        <v>委外</v>
      </c>
      <c r="P2812" t="s">
        <v>125</v>
      </c>
      <c r="Q2812" t="s">
        <v>287</v>
      </c>
      <c r="R2812" t="str">
        <f>IFERROR(VLOOKUP(record[[#This Row],[PCUSTID]],廠商[],2,FALSE),"")</f>
        <v>泉盛</v>
      </c>
      <c r="S2812" t="str">
        <f>VLOOKUP(record[[#This Row],[employeeID]],員工[],2,FALSE)</f>
        <v>黃瓈巧</v>
      </c>
    </row>
    <row r="2813" spans="6:19" hidden="1" x14ac:dyDescent="0.25">
      <c r="F2813" t="s">
        <v>1689</v>
      </c>
      <c r="G2813" t="s">
        <v>421</v>
      </c>
      <c r="H2813" t="str">
        <f>VLOOKUP(record[[#This Row],[ProcessSN]],表格2_7[],2,FALSE)</f>
        <v>30-4118-018-600</v>
      </c>
      <c r="I2813" t="str">
        <f>VLOOKUP(record[[#This Row],[ProcessSN]],表格2_7[],3,FALSE)</f>
        <v>#08PICK</v>
      </c>
      <c r="J2813" t="s">
        <v>582</v>
      </c>
      <c r="K2813" s="195">
        <v>46109.426238425927</v>
      </c>
      <c r="L2813">
        <v>312</v>
      </c>
      <c r="M2813">
        <v>0</v>
      </c>
      <c r="N2813" s="98" t="str">
        <f>IF(record[[#This Row],[Memo]]="Browser:chrome os:android","平板報工",IF(record[[#This Row],[Memo]]=0,"委外",record[[#This Row],[Memo]]))</f>
        <v/>
      </c>
      <c r="O2813" t="s">
        <v>58</v>
      </c>
      <c r="P2813" t="s">
        <v>125</v>
      </c>
      <c r="Q2813" t="s">
        <v>58</v>
      </c>
      <c r="R2813" t="str">
        <f>IFERROR(VLOOKUP(record[[#This Row],[PCUSTID]],廠商[],2,FALSE),"")</f>
        <v/>
      </c>
      <c r="S2813" t="str">
        <f>VLOOKUP(record[[#This Row],[employeeID]],員工[],2,FALSE)</f>
        <v>黃瓈巧</v>
      </c>
    </row>
    <row r="2814" spans="6:19" hidden="1" x14ac:dyDescent="0.25">
      <c r="F2814" t="s">
        <v>1637</v>
      </c>
      <c r="G2814" t="s">
        <v>451</v>
      </c>
      <c r="H2814" t="str">
        <f>VLOOKUP(record[[#This Row],[ProcessSN]],表格2_7[],2,FALSE)</f>
        <v>30-4118-018-6XX</v>
      </c>
      <c r="I2814" t="str">
        <f>VLOOKUP(record[[#This Row],[ProcessSN]],表格2_7[],3,FALSE)</f>
        <v>#07</v>
      </c>
      <c r="J2814" t="s">
        <v>588</v>
      </c>
      <c r="K2814" s="195">
        <v>46109.319814814815</v>
      </c>
      <c r="L2814">
        <v>183</v>
      </c>
      <c r="M2814">
        <v>0</v>
      </c>
      <c r="N2814" s="98" t="str">
        <f>IF(record[[#This Row],[Memo]]="Browser:chrome os:android","平板報工",IF(record[[#This Row],[Memo]]=0,"委外",record[[#This Row],[Memo]]))</f>
        <v/>
      </c>
      <c r="O2814" t="s">
        <v>58</v>
      </c>
      <c r="P2814" t="s">
        <v>843</v>
      </c>
      <c r="Q2814" t="s">
        <v>58</v>
      </c>
      <c r="R2814" t="str">
        <f>IFERROR(VLOOKUP(record[[#This Row],[PCUSTID]],廠商[],2,FALSE),"")</f>
        <v/>
      </c>
      <c r="S2814" t="str">
        <f>VLOOKUP(record[[#This Row],[employeeID]],員工[],2,FALSE)</f>
        <v>張楚承</v>
      </c>
    </row>
    <row r="2815" spans="6:19" hidden="1" x14ac:dyDescent="0.25">
      <c r="F2815" t="s">
        <v>1637</v>
      </c>
      <c r="G2815" t="s">
        <v>451</v>
      </c>
      <c r="H2815" t="str">
        <f>VLOOKUP(record[[#This Row],[ProcessSN]],表格2_7[],2,FALSE)</f>
        <v>30-4118-018-6XX</v>
      </c>
      <c r="I2815" t="str">
        <f>VLOOKUP(record[[#This Row],[ProcessSN]],表格2_7[],3,FALSE)</f>
        <v>#07</v>
      </c>
      <c r="J2815" t="s">
        <v>588</v>
      </c>
      <c r="K2815" s="195">
        <v>46109.31962962963</v>
      </c>
      <c r="L2815">
        <v>140</v>
      </c>
      <c r="M2815">
        <v>2</v>
      </c>
      <c r="N2815" s="98" t="str">
        <f>IF(record[[#This Row],[Memo]]="Browser:chrome os:android","平板報工",IF(record[[#This Row],[Memo]]=0,"委外",record[[#This Row],[Memo]]))</f>
        <v/>
      </c>
      <c r="O2815" t="s">
        <v>58</v>
      </c>
      <c r="P2815" t="s">
        <v>135</v>
      </c>
      <c r="Q2815" t="s">
        <v>58</v>
      </c>
      <c r="R2815" t="str">
        <f>IFERROR(VLOOKUP(record[[#This Row],[PCUSTID]],廠商[],2,FALSE),"")</f>
        <v/>
      </c>
      <c r="S2815" t="str">
        <f>VLOOKUP(record[[#This Row],[employeeID]],員工[],2,FALSE)</f>
        <v>阮士文</v>
      </c>
    </row>
    <row r="2816" spans="6:19" hidden="1" x14ac:dyDescent="0.25">
      <c r="F2816" t="s">
        <v>1637</v>
      </c>
      <c r="G2816" t="s">
        <v>450</v>
      </c>
      <c r="H2816" t="str">
        <f>VLOOKUP(record[[#This Row],[ProcessSN]],表格2_7[],2,FALSE)</f>
        <v>30-4118-018-6XX</v>
      </c>
      <c r="I2816" t="str">
        <f>VLOOKUP(record[[#This Row],[ProcessSN]],表格2_7[],3,FALSE)</f>
        <v>#06</v>
      </c>
      <c r="J2816" t="s">
        <v>593</v>
      </c>
      <c r="K2816" s="195">
        <v>46109.317164351851</v>
      </c>
      <c r="L2816">
        <v>133</v>
      </c>
      <c r="M2816">
        <v>0</v>
      </c>
      <c r="N2816" s="98" t="str">
        <f>IF(record[[#This Row],[Memo]]="Browser:chrome os:android","平板報工",IF(record[[#This Row],[Memo]]=0,"委外",record[[#This Row],[Memo]]))</f>
        <v/>
      </c>
      <c r="O2816" t="s">
        <v>58</v>
      </c>
      <c r="P2816" t="s">
        <v>841</v>
      </c>
      <c r="Q2816" t="s">
        <v>58</v>
      </c>
      <c r="R2816" t="str">
        <f>IFERROR(VLOOKUP(record[[#This Row],[PCUSTID]],廠商[],2,FALSE),"")</f>
        <v/>
      </c>
      <c r="S2816" t="str">
        <f>VLOOKUP(record[[#This Row],[employeeID]],員工[],2,FALSE)</f>
        <v>范氏香</v>
      </c>
    </row>
    <row r="2817" spans="6:19" hidden="1" x14ac:dyDescent="0.25">
      <c r="F2817" t="s">
        <v>1637</v>
      </c>
      <c r="G2817" t="s">
        <v>450</v>
      </c>
      <c r="H2817" t="str">
        <f>VLOOKUP(record[[#This Row],[ProcessSN]],表格2_7[],2,FALSE)</f>
        <v>30-4118-018-6XX</v>
      </c>
      <c r="I2817" t="str">
        <f>VLOOKUP(record[[#This Row],[ProcessSN]],表格2_7[],3,FALSE)</f>
        <v>#06</v>
      </c>
      <c r="J2817" t="s">
        <v>593</v>
      </c>
      <c r="K2817" s="195">
        <v>46109.316944444443</v>
      </c>
      <c r="L2817">
        <v>125</v>
      </c>
      <c r="M2817">
        <v>0</v>
      </c>
      <c r="N2817" s="98" t="str">
        <f>IF(record[[#This Row],[Memo]]="Browser:chrome os:android","平板報工",IF(record[[#This Row],[Memo]]=0,"委外",record[[#This Row],[Memo]]))</f>
        <v/>
      </c>
      <c r="O2817" t="s">
        <v>58</v>
      </c>
      <c r="P2817" t="s">
        <v>180</v>
      </c>
      <c r="Q2817" t="s">
        <v>58</v>
      </c>
      <c r="R2817" t="str">
        <f>IFERROR(VLOOKUP(record[[#This Row],[PCUSTID]],廠商[],2,FALSE),"")</f>
        <v/>
      </c>
      <c r="S2817" t="str">
        <f>VLOOKUP(record[[#This Row],[employeeID]],員工[],2,FALSE)</f>
        <v>黎功江</v>
      </c>
    </row>
    <row r="2818" spans="6:19" hidden="1" x14ac:dyDescent="0.25">
      <c r="F2818" t="s">
        <v>1637</v>
      </c>
      <c r="G2818" t="s">
        <v>448</v>
      </c>
      <c r="H2818" t="str">
        <f>VLOOKUP(record[[#This Row],[ProcessSN]],表格2_7[],2,FALSE)</f>
        <v>30-4118-018-6XX</v>
      </c>
      <c r="I2818" t="str">
        <f>VLOOKUP(record[[#This Row],[ProcessSN]],表格2_7[],3,FALSE)</f>
        <v>#04</v>
      </c>
      <c r="J2818" t="s">
        <v>588</v>
      </c>
      <c r="K2818" s="195">
        <v>46109.316550925927</v>
      </c>
      <c r="L2818">
        <v>125</v>
      </c>
      <c r="M2818">
        <v>0</v>
      </c>
      <c r="N2818" s="98" t="str">
        <f>IF(record[[#This Row],[Memo]]="Browser:chrome os:android","平板報工",IF(record[[#This Row],[Memo]]=0,"委外",record[[#This Row],[Memo]]))</f>
        <v/>
      </c>
      <c r="O2818" t="s">
        <v>58</v>
      </c>
      <c r="P2818" t="s">
        <v>180</v>
      </c>
      <c r="Q2818" t="s">
        <v>58</v>
      </c>
      <c r="R2818" t="str">
        <f>IFERROR(VLOOKUP(record[[#This Row],[PCUSTID]],廠商[],2,FALSE),"")</f>
        <v/>
      </c>
      <c r="S2818" t="str">
        <f>VLOOKUP(record[[#This Row],[employeeID]],員工[],2,FALSE)</f>
        <v>黎功江</v>
      </c>
    </row>
    <row r="2819" spans="6:19" hidden="1" x14ac:dyDescent="0.25">
      <c r="F2819" t="s">
        <v>1653</v>
      </c>
      <c r="G2819" t="s">
        <v>415</v>
      </c>
      <c r="H2819" t="str">
        <f>VLOOKUP(record[[#This Row],[ProcessSN]],表格2_7[],2,FALSE)</f>
        <v>30-4118-018-5XX</v>
      </c>
      <c r="I2819" t="str">
        <f>VLOOKUP(record[[#This Row],[ProcessSN]],表格2_7[],3,FALSE)</f>
        <v>#04</v>
      </c>
      <c r="J2819" t="s">
        <v>588</v>
      </c>
      <c r="K2819" s="195">
        <v>46109.316250000003</v>
      </c>
      <c r="L2819">
        <v>132</v>
      </c>
      <c r="M2819">
        <v>0</v>
      </c>
      <c r="N2819" s="98" t="str">
        <f>IF(record[[#This Row],[Memo]]="Browser:chrome os:android","平板報工",IF(record[[#This Row],[Memo]]=0,"委外",record[[#This Row],[Memo]]))</f>
        <v/>
      </c>
      <c r="O2819" t="s">
        <v>58</v>
      </c>
      <c r="P2819" t="s">
        <v>180</v>
      </c>
      <c r="Q2819" t="s">
        <v>58</v>
      </c>
      <c r="R2819" t="str">
        <f>IFERROR(VLOOKUP(record[[#This Row],[PCUSTID]],廠商[],2,FALSE),"")</f>
        <v/>
      </c>
      <c r="S2819" t="str">
        <f>VLOOKUP(record[[#This Row],[employeeID]],員工[],2,FALSE)</f>
        <v>黎功江</v>
      </c>
    </row>
    <row r="2820" spans="6:19" hidden="1" x14ac:dyDescent="0.25">
      <c r="F2820" t="s">
        <v>1637</v>
      </c>
      <c r="G2820" t="s">
        <v>449</v>
      </c>
      <c r="H2820" t="str">
        <f>VLOOKUP(record[[#This Row],[ProcessSN]],表格2_7[],2,FALSE)</f>
        <v>30-4118-018-6XX</v>
      </c>
      <c r="I2820" t="str">
        <f>VLOOKUP(record[[#This Row],[ProcessSN]],表格2_7[],3,FALSE)</f>
        <v>#05</v>
      </c>
      <c r="J2820" t="s">
        <v>588</v>
      </c>
      <c r="K2820" s="195">
        <v>46109.314317129632</v>
      </c>
      <c r="L2820">
        <v>246</v>
      </c>
      <c r="M2820">
        <v>0</v>
      </c>
      <c r="N2820" s="98" t="str">
        <f>IF(record[[#This Row],[Memo]]="Browser:chrome os:android","平板報工",IF(record[[#This Row],[Memo]]=0,"委外",record[[#This Row],[Memo]]))</f>
        <v/>
      </c>
      <c r="O2820" t="s">
        <v>58</v>
      </c>
      <c r="P2820" t="s">
        <v>135</v>
      </c>
      <c r="Q2820" t="s">
        <v>58</v>
      </c>
      <c r="R2820" t="str">
        <f>IFERROR(VLOOKUP(record[[#This Row],[PCUSTID]],廠商[],2,FALSE),"")</f>
        <v/>
      </c>
      <c r="S2820" t="str">
        <f>VLOOKUP(record[[#This Row],[employeeID]],員工[],2,FALSE)</f>
        <v>阮士文</v>
      </c>
    </row>
    <row r="2821" spans="6:19" hidden="1" x14ac:dyDescent="0.25">
      <c r="F2821" t="s">
        <v>1637</v>
      </c>
      <c r="G2821" t="s">
        <v>451</v>
      </c>
      <c r="H2821" t="str">
        <f>VLOOKUP(record[[#This Row],[ProcessSN]],表格2_7[],2,FALSE)</f>
        <v>30-4118-018-6XX</v>
      </c>
      <c r="I2821" t="str">
        <f>VLOOKUP(record[[#This Row],[ProcessSN]],表格2_7[],3,FALSE)</f>
        <v>#07</v>
      </c>
      <c r="J2821" t="s">
        <v>588</v>
      </c>
      <c r="K2821" s="195">
        <v>46108.985335648147</v>
      </c>
      <c r="L2821">
        <v>161</v>
      </c>
      <c r="M2821">
        <v>0</v>
      </c>
      <c r="N2821" s="98" t="str">
        <f>IF(record[[#This Row],[Memo]]="Browser:chrome os:android","平板報工",IF(record[[#This Row],[Memo]]=0,"委外",record[[#This Row],[Memo]]))</f>
        <v/>
      </c>
      <c r="O2821" t="s">
        <v>58</v>
      </c>
      <c r="P2821" t="s">
        <v>89</v>
      </c>
      <c r="Q2821" t="s">
        <v>58</v>
      </c>
      <c r="R2821" t="str">
        <f>IFERROR(VLOOKUP(record[[#This Row],[PCUSTID]],廠商[],2,FALSE),"")</f>
        <v/>
      </c>
      <c r="S2821" t="str">
        <f>VLOOKUP(record[[#This Row],[employeeID]],員工[],2,FALSE)</f>
        <v>李美蓮</v>
      </c>
    </row>
    <row r="2822" spans="6:19" hidden="1" x14ac:dyDescent="0.25">
      <c r="F2822" t="s">
        <v>1637</v>
      </c>
      <c r="G2822" t="s">
        <v>450</v>
      </c>
      <c r="H2822" t="str">
        <f>VLOOKUP(record[[#This Row],[ProcessSN]],表格2_7[],2,FALSE)</f>
        <v>30-4118-018-6XX</v>
      </c>
      <c r="I2822" t="str">
        <f>VLOOKUP(record[[#This Row],[ProcessSN]],表格2_7[],3,FALSE)</f>
        <v>#06</v>
      </c>
      <c r="J2822" t="s">
        <v>593</v>
      </c>
      <c r="K2822" s="195">
        <v>46108.984768518516</v>
      </c>
      <c r="L2822">
        <v>127</v>
      </c>
      <c r="M2822">
        <v>0</v>
      </c>
      <c r="N2822" s="98" t="str">
        <f>IF(record[[#This Row],[Memo]]="Browser:chrome os:android","平板報工",IF(record[[#This Row],[Memo]]=0,"委外",record[[#This Row],[Memo]]))</f>
        <v/>
      </c>
      <c r="O2822" t="s">
        <v>58</v>
      </c>
      <c r="P2822" t="s">
        <v>133</v>
      </c>
      <c r="Q2822" t="s">
        <v>58</v>
      </c>
      <c r="R2822" t="str">
        <f>IFERROR(VLOOKUP(record[[#This Row],[PCUSTID]],廠商[],2,FALSE),"")</f>
        <v/>
      </c>
      <c r="S2822" t="str">
        <f>VLOOKUP(record[[#This Row],[employeeID]],員工[],2,FALSE)</f>
        <v>黎長維</v>
      </c>
    </row>
    <row r="2823" spans="6:19" hidden="1" x14ac:dyDescent="0.25">
      <c r="F2823" t="s">
        <v>1637</v>
      </c>
      <c r="G2823" t="s">
        <v>451</v>
      </c>
      <c r="H2823" t="str">
        <f>VLOOKUP(record[[#This Row],[ProcessSN]],表格2_7[],2,FALSE)</f>
        <v>30-4118-018-6XX</v>
      </c>
      <c r="I2823" t="str">
        <f>VLOOKUP(record[[#This Row],[ProcessSN]],表格2_7[],3,FALSE)</f>
        <v>#07</v>
      </c>
      <c r="J2823" t="s">
        <v>588</v>
      </c>
      <c r="K2823" s="195">
        <v>46108.983124999999</v>
      </c>
      <c r="L2823">
        <v>100</v>
      </c>
      <c r="M2823">
        <v>0</v>
      </c>
      <c r="N2823" s="98" t="str">
        <f>IF(record[[#This Row],[Memo]]="Browser:chrome os:android","平板報工",IF(record[[#This Row],[Memo]]=0,"委外",record[[#This Row],[Memo]]))</f>
        <v/>
      </c>
      <c r="O2823" t="s">
        <v>58</v>
      </c>
      <c r="P2823" t="s">
        <v>89</v>
      </c>
      <c r="Q2823" t="s">
        <v>58</v>
      </c>
      <c r="R2823" t="str">
        <f>IFERROR(VLOOKUP(record[[#This Row],[PCUSTID]],廠商[],2,FALSE),"")</f>
        <v/>
      </c>
      <c r="S2823" t="str">
        <f>VLOOKUP(record[[#This Row],[employeeID]],員工[],2,FALSE)</f>
        <v>李美蓮</v>
      </c>
    </row>
    <row r="2824" spans="6:19" hidden="1" x14ac:dyDescent="0.25">
      <c r="F2824" t="s">
        <v>1653</v>
      </c>
      <c r="G2824" t="s">
        <v>418</v>
      </c>
      <c r="H2824" t="str">
        <f>VLOOKUP(record[[#This Row],[ProcessSN]],表格2_7[],2,FALSE)</f>
        <v>30-4118-018-5XX</v>
      </c>
      <c r="I2824" t="str">
        <f>VLOOKUP(record[[#This Row],[ProcessSN]],表格2_7[],3,FALSE)</f>
        <v>#07</v>
      </c>
      <c r="J2824" t="s">
        <v>588</v>
      </c>
      <c r="K2824" s="195">
        <v>46108.982858796298</v>
      </c>
      <c r="L2824">
        <v>48</v>
      </c>
      <c r="M2824">
        <v>0</v>
      </c>
      <c r="N2824" s="98" t="str">
        <f>IF(record[[#This Row],[Memo]]="Browser:chrome os:android","平板報工",IF(record[[#This Row],[Memo]]=0,"委外",record[[#This Row],[Memo]]))</f>
        <v/>
      </c>
      <c r="O2824" t="s">
        <v>58</v>
      </c>
      <c r="P2824" t="s">
        <v>89</v>
      </c>
      <c r="Q2824" t="s">
        <v>58</v>
      </c>
      <c r="R2824" t="str">
        <f>IFERROR(VLOOKUP(record[[#This Row],[PCUSTID]],廠商[],2,FALSE),"")</f>
        <v/>
      </c>
      <c r="S2824" t="str">
        <f>VLOOKUP(record[[#This Row],[employeeID]],員工[],2,FALSE)</f>
        <v>李美蓮</v>
      </c>
    </row>
    <row r="2825" spans="6:19" hidden="1" x14ac:dyDescent="0.25">
      <c r="F2825" t="s">
        <v>1637</v>
      </c>
      <c r="G2825" t="s">
        <v>450</v>
      </c>
      <c r="H2825" t="str">
        <f>VLOOKUP(record[[#This Row],[ProcessSN]],表格2_7[],2,FALSE)</f>
        <v>30-4118-018-6XX</v>
      </c>
      <c r="I2825" t="str">
        <f>VLOOKUP(record[[#This Row],[ProcessSN]],表格2_7[],3,FALSE)</f>
        <v>#06</v>
      </c>
      <c r="J2825" t="s">
        <v>593</v>
      </c>
      <c r="K2825" s="195">
        <v>46108.981979166667</v>
      </c>
      <c r="L2825">
        <v>50</v>
      </c>
      <c r="M2825">
        <v>1</v>
      </c>
      <c r="N2825" s="98" t="str">
        <f>IF(record[[#This Row],[Memo]]="Browser:chrome os:android","平板報工",IF(record[[#This Row],[Memo]]=0,"委外",record[[#This Row],[Memo]]))</f>
        <v/>
      </c>
      <c r="O2825" t="s">
        <v>58</v>
      </c>
      <c r="P2825" t="s">
        <v>1098</v>
      </c>
      <c r="Q2825" t="s">
        <v>58</v>
      </c>
      <c r="R2825" t="str">
        <f>IFERROR(VLOOKUP(record[[#This Row],[PCUSTID]],廠商[],2,FALSE),"")</f>
        <v/>
      </c>
      <c r="S2825" t="str">
        <f>VLOOKUP(record[[#This Row],[employeeID]],員工[],2,FALSE)</f>
        <v>阮氏芳英(英)</v>
      </c>
    </row>
    <row r="2826" spans="6:19" hidden="1" x14ac:dyDescent="0.25">
      <c r="F2826" t="s">
        <v>1637</v>
      </c>
      <c r="G2826" t="s">
        <v>449</v>
      </c>
      <c r="H2826" t="str">
        <f>VLOOKUP(record[[#This Row],[ProcessSN]],表格2_7[],2,FALSE)</f>
        <v>30-4118-018-6XX</v>
      </c>
      <c r="I2826" t="str">
        <f>VLOOKUP(record[[#This Row],[ProcessSN]],表格2_7[],3,FALSE)</f>
        <v>#05</v>
      </c>
      <c r="J2826" t="s">
        <v>588</v>
      </c>
      <c r="K2826" s="195">
        <v>46108.980023148149</v>
      </c>
      <c r="L2826">
        <v>236</v>
      </c>
      <c r="M2826">
        <v>0</v>
      </c>
      <c r="N2826" s="98" t="str">
        <f>IF(record[[#This Row],[Memo]]="Browser:chrome os:android","平板報工",IF(record[[#This Row],[Memo]]=0,"委外",record[[#This Row],[Memo]]))</f>
        <v/>
      </c>
      <c r="O2826" t="s">
        <v>58</v>
      </c>
      <c r="P2826" t="s">
        <v>1098</v>
      </c>
      <c r="Q2826" t="s">
        <v>58</v>
      </c>
      <c r="R2826" t="str">
        <f>IFERROR(VLOOKUP(record[[#This Row],[PCUSTID]],廠商[],2,FALSE),"")</f>
        <v/>
      </c>
      <c r="S2826" t="str">
        <f>VLOOKUP(record[[#This Row],[employeeID]],員工[],2,FALSE)</f>
        <v>阮氏芳英(英)</v>
      </c>
    </row>
    <row r="2827" spans="6:19" hidden="1" x14ac:dyDescent="0.25">
      <c r="F2827" t="s">
        <v>1637</v>
      </c>
      <c r="G2827" t="s">
        <v>448</v>
      </c>
      <c r="H2827" t="str">
        <f>VLOOKUP(record[[#This Row],[ProcessSN]],表格2_7[],2,FALSE)</f>
        <v>30-4118-018-6XX</v>
      </c>
      <c r="I2827" t="str">
        <f>VLOOKUP(record[[#This Row],[ProcessSN]],表格2_7[],3,FALSE)</f>
        <v>#04</v>
      </c>
      <c r="J2827" t="s">
        <v>588</v>
      </c>
      <c r="K2827" s="195">
        <v>46108.979375000003</v>
      </c>
      <c r="L2827">
        <v>109</v>
      </c>
      <c r="M2827">
        <v>2</v>
      </c>
      <c r="N2827" s="98" t="str">
        <f>IF(record[[#This Row],[Memo]]="Browser:chrome os:android","平板報工",IF(record[[#This Row],[Memo]]=0,"委外",record[[#This Row],[Memo]]))</f>
        <v/>
      </c>
      <c r="O2827" t="s">
        <v>58</v>
      </c>
      <c r="P2827" t="s">
        <v>176</v>
      </c>
      <c r="Q2827" t="s">
        <v>58</v>
      </c>
      <c r="R2827" t="str">
        <f>IFERROR(VLOOKUP(record[[#This Row],[PCUSTID]],廠商[],2,FALSE),"")</f>
        <v/>
      </c>
      <c r="S2827" t="str">
        <f>VLOOKUP(record[[#This Row],[employeeID]],員工[],2,FALSE)</f>
        <v>郭政雄</v>
      </c>
    </row>
    <row r="2828" spans="6:19" hidden="1" x14ac:dyDescent="0.25">
      <c r="F2828" t="s">
        <v>1653</v>
      </c>
      <c r="G2828" t="s">
        <v>415</v>
      </c>
      <c r="H2828" t="str">
        <f>VLOOKUP(record[[#This Row],[ProcessSN]],表格2_7[],2,FALSE)</f>
        <v>30-4118-018-5XX</v>
      </c>
      <c r="I2828" t="str">
        <f>VLOOKUP(record[[#This Row],[ProcessSN]],表格2_7[],3,FALSE)</f>
        <v>#04</v>
      </c>
      <c r="J2828" t="s">
        <v>588</v>
      </c>
      <c r="K2828" s="195">
        <v>46108.978761574072</v>
      </c>
      <c r="L2828">
        <v>126</v>
      </c>
      <c r="M2828">
        <v>0</v>
      </c>
      <c r="N2828" s="98" t="str">
        <f>IF(record[[#This Row],[Memo]]="Browser:chrome os:android","平板報工",IF(record[[#This Row],[Memo]]=0,"委外",record[[#This Row],[Memo]]))</f>
        <v/>
      </c>
      <c r="O2828" t="s">
        <v>58</v>
      </c>
      <c r="P2828" t="s">
        <v>176</v>
      </c>
      <c r="Q2828" t="s">
        <v>58</v>
      </c>
      <c r="R2828" t="str">
        <f>IFERROR(VLOOKUP(record[[#This Row],[PCUSTID]],廠商[],2,FALSE),"")</f>
        <v/>
      </c>
      <c r="S2828" t="str">
        <f>VLOOKUP(record[[#This Row],[employeeID]],員工[],2,FALSE)</f>
        <v>郭政雄</v>
      </c>
    </row>
    <row r="2829" spans="6:19" hidden="1" x14ac:dyDescent="0.25">
      <c r="F2829" t="s">
        <v>1637</v>
      </c>
      <c r="G2829" t="s">
        <v>450</v>
      </c>
      <c r="H2829" t="str">
        <f>VLOOKUP(record[[#This Row],[ProcessSN]],表格2_7[],2,FALSE)</f>
        <v>30-4118-018-6XX</v>
      </c>
      <c r="I2829" t="str">
        <f>VLOOKUP(record[[#This Row],[ProcessSN]],表格2_7[],3,FALSE)</f>
        <v>#06</v>
      </c>
      <c r="J2829" t="s">
        <v>593</v>
      </c>
      <c r="K2829" s="195">
        <v>46108.882847222223</v>
      </c>
      <c r="L2829">
        <v>67</v>
      </c>
      <c r="M2829">
        <v>0</v>
      </c>
      <c r="N2829" s="98" t="str">
        <f>IF(record[[#This Row],[Memo]]="Browser:chrome os:android","平板報工",IF(record[[#This Row],[Memo]]=0,"委外",record[[#This Row],[Memo]]))</f>
        <v/>
      </c>
      <c r="O2829" t="s">
        <v>58</v>
      </c>
      <c r="P2829" t="s">
        <v>1413</v>
      </c>
      <c r="Q2829" t="s">
        <v>58</v>
      </c>
      <c r="R2829" t="str">
        <f>IFERROR(VLOOKUP(record[[#This Row],[PCUSTID]],廠商[],2,FALSE),"")</f>
        <v/>
      </c>
      <c r="S2829" t="str">
        <f>VLOOKUP(record[[#This Row],[employeeID]],員工[],2,FALSE)</f>
        <v>阮氏芳英(芳)</v>
      </c>
    </row>
    <row r="2830" spans="6:19" hidden="1" x14ac:dyDescent="0.25">
      <c r="F2830" t="s">
        <v>1660</v>
      </c>
      <c r="G2830" t="s">
        <v>400</v>
      </c>
      <c r="H2830" t="str">
        <f>VLOOKUP(record[[#This Row],[ProcessSN]],表格2_7[],2,FALSE)</f>
        <v>30-4118-018-550</v>
      </c>
      <c r="I2830" t="str">
        <f>VLOOKUP(record[[#This Row],[ProcessSN]],表格2_7[],3,FALSE)</f>
        <v>#100</v>
      </c>
      <c r="J2830" t="s">
        <v>598</v>
      </c>
      <c r="K2830" s="195">
        <v>46108.796793981484</v>
      </c>
      <c r="L2830">
        <v>155</v>
      </c>
      <c r="M2830">
        <v>0</v>
      </c>
      <c r="N2830" s="98" t="str">
        <f>IF(record[[#This Row],[Memo]]="Browser:chrome os:android","平板報工",IF(record[[#This Row],[Memo]]=0,"委外",record[[#This Row],[Memo]]))</f>
        <v/>
      </c>
      <c r="O2830" t="s">
        <v>58</v>
      </c>
      <c r="P2830" t="s">
        <v>99</v>
      </c>
      <c r="Q2830" t="s">
        <v>58</v>
      </c>
      <c r="R2830" t="str">
        <f>IFERROR(VLOOKUP(record[[#This Row],[PCUSTID]],廠商[],2,FALSE),"")</f>
        <v/>
      </c>
      <c r="S2830" t="str">
        <f>VLOOKUP(record[[#This Row],[employeeID]],員工[],2,FALSE)</f>
        <v>阮氏河</v>
      </c>
    </row>
    <row r="2831" spans="6:19" hidden="1" x14ac:dyDescent="0.25">
      <c r="F2831" t="s">
        <v>1680</v>
      </c>
      <c r="G2831" t="s">
        <v>425</v>
      </c>
      <c r="H2831" t="str">
        <f>VLOOKUP(record[[#This Row],[ProcessSN]],表格2_7[],2,FALSE)</f>
        <v>30-4118-018-600</v>
      </c>
      <c r="I2831" t="str">
        <f>VLOOKUP(record[[#This Row],[ProcessSN]],表格2_7[],3,FALSE)</f>
        <v>#100</v>
      </c>
      <c r="J2831" t="s">
        <v>598</v>
      </c>
      <c r="K2831" s="195">
        <v>46108.785185185188</v>
      </c>
      <c r="L2831">
        <v>140</v>
      </c>
      <c r="M2831">
        <v>0</v>
      </c>
      <c r="N2831" s="98" t="str">
        <f>IF(record[[#This Row],[Memo]]="Browser:chrome os:android","平板報工",IF(record[[#This Row],[Memo]]=0,"委外",record[[#This Row],[Memo]]))</f>
        <v/>
      </c>
      <c r="O2831" t="s">
        <v>58</v>
      </c>
      <c r="P2831" t="s">
        <v>99</v>
      </c>
      <c r="Q2831" t="s">
        <v>58</v>
      </c>
      <c r="R2831" t="str">
        <f>IFERROR(VLOOKUP(record[[#This Row],[PCUSTID]],廠商[],2,FALSE),"")</f>
        <v/>
      </c>
      <c r="S2831" t="str">
        <f>VLOOKUP(record[[#This Row],[employeeID]],員工[],2,FALSE)</f>
        <v>阮氏河</v>
      </c>
    </row>
    <row r="2832" spans="6:19" hidden="1" x14ac:dyDescent="0.25">
      <c r="F2832" t="s">
        <v>1676</v>
      </c>
      <c r="G2832" t="s">
        <v>425</v>
      </c>
      <c r="H2832" t="str">
        <f>VLOOKUP(record[[#This Row],[ProcessSN]],表格2_7[],2,FALSE)</f>
        <v>30-4118-018-600</v>
      </c>
      <c r="I2832" t="str">
        <f>VLOOKUP(record[[#This Row],[ProcessSN]],表格2_7[],3,FALSE)</f>
        <v>#100</v>
      </c>
      <c r="J2832" t="s">
        <v>598</v>
      </c>
      <c r="K2832" s="195">
        <v>46108.78365740741</v>
      </c>
      <c r="L2832">
        <v>231</v>
      </c>
      <c r="M2832">
        <v>0</v>
      </c>
      <c r="N2832" s="98" t="str">
        <f>IF(record[[#This Row],[Memo]]="Browser:chrome os:android","平板報工",IF(record[[#This Row],[Memo]]=0,"委外",record[[#This Row],[Memo]]))</f>
        <v/>
      </c>
      <c r="O2832" t="s">
        <v>58</v>
      </c>
      <c r="P2832" t="s">
        <v>99</v>
      </c>
      <c r="Q2832" t="s">
        <v>58</v>
      </c>
      <c r="R2832" t="str">
        <f>IFERROR(VLOOKUP(record[[#This Row],[PCUSTID]],廠商[],2,FALSE),"")</f>
        <v/>
      </c>
      <c r="S2832" t="str">
        <f>VLOOKUP(record[[#This Row],[employeeID]],員工[],2,FALSE)</f>
        <v>阮氏河</v>
      </c>
    </row>
    <row r="2833" spans="6:19" hidden="1" x14ac:dyDescent="0.25">
      <c r="F2833" t="s">
        <v>1568</v>
      </c>
      <c r="G2833" t="s">
        <v>418</v>
      </c>
      <c r="H2833" t="str">
        <f>VLOOKUP(record[[#This Row],[ProcessSN]],表格2_7[],2,FALSE)</f>
        <v>30-4118-018-5XX</v>
      </c>
      <c r="I2833" t="str">
        <f>VLOOKUP(record[[#This Row],[ProcessSN]],表格2_7[],3,FALSE)</f>
        <v>#07</v>
      </c>
      <c r="J2833" t="s">
        <v>588</v>
      </c>
      <c r="K2833" s="195">
        <v>46108.719050925924</v>
      </c>
      <c r="L2833">
        <v>15</v>
      </c>
      <c r="M2833">
        <v>0</v>
      </c>
      <c r="N2833" s="98" t="str">
        <f>IF(record[[#This Row],[Memo]]="Browser:chrome os:android","平板報工",IF(record[[#This Row],[Memo]]=0,"委外",record[[#This Row],[Memo]]))</f>
        <v/>
      </c>
      <c r="O2833" t="s">
        <v>58</v>
      </c>
      <c r="P2833" t="s">
        <v>1075</v>
      </c>
      <c r="Q2833" t="s">
        <v>58</v>
      </c>
      <c r="R2833" t="str">
        <f>IFERROR(VLOOKUP(record[[#This Row],[PCUSTID]],廠商[],2,FALSE),"")</f>
        <v/>
      </c>
      <c r="S2833" t="str">
        <f>VLOOKUP(record[[#This Row],[employeeID]],員工[],2,FALSE)</f>
        <v>吳宥叡</v>
      </c>
    </row>
    <row r="2834" spans="6:19" hidden="1" x14ac:dyDescent="0.25">
      <c r="F2834" t="s">
        <v>1680</v>
      </c>
      <c r="G2834" t="s">
        <v>424</v>
      </c>
      <c r="H2834" t="str">
        <f>VLOOKUP(record[[#This Row],[ProcessSN]],表格2_7[],2,FALSE)</f>
        <v>30-4118-018-600</v>
      </c>
      <c r="I2834" t="str">
        <f>VLOOKUP(record[[#This Row],[ProcessSN]],表格2_7[],3,FALSE)</f>
        <v>#08IQC</v>
      </c>
      <c r="J2834" t="s">
        <v>583</v>
      </c>
      <c r="K2834" s="195">
        <v>46108.707743055558</v>
      </c>
      <c r="L2834">
        <v>274</v>
      </c>
      <c r="M2834">
        <v>0</v>
      </c>
      <c r="N2834" s="98" t="str">
        <f>IF(record[[#This Row],[Memo]]="Browser:chrome os:android","平板報工",IF(record[[#This Row],[Memo]]=0,"委外",record[[#This Row],[Memo]]))</f>
        <v/>
      </c>
      <c r="O2834" t="s">
        <v>58</v>
      </c>
      <c r="P2834" t="s">
        <v>109</v>
      </c>
      <c r="Q2834" t="s">
        <v>58</v>
      </c>
      <c r="R2834" t="str">
        <f>IFERROR(VLOOKUP(record[[#This Row],[PCUSTID]],廠商[],2,FALSE),"")</f>
        <v/>
      </c>
      <c r="S2834" t="str">
        <f>VLOOKUP(record[[#This Row],[employeeID]],員工[],2,FALSE)</f>
        <v>裴氏璧鳳</v>
      </c>
    </row>
    <row r="2835" spans="6:19" hidden="1" x14ac:dyDescent="0.25">
      <c r="F2835" t="s">
        <v>1602</v>
      </c>
      <c r="G2835" t="s">
        <v>470</v>
      </c>
      <c r="H2835" t="str">
        <f>VLOOKUP(record[[#This Row],[ProcessSN]],表格2_7[],2,FALSE)</f>
        <v>30-4118-018-XXX</v>
      </c>
      <c r="I2835" t="str">
        <f>VLOOKUP(record[[#This Row],[ProcessSN]],表格2_7[],3,FALSE)</f>
        <v>#02IQC</v>
      </c>
      <c r="J2835" t="s">
        <v>583</v>
      </c>
      <c r="K2835" s="195">
        <v>46108.700266203705</v>
      </c>
      <c r="L2835">
        <v>168</v>
      </c>
      <c r="M2835">
        <v>0</v>
      </c>
      <c r="N2835" s="98" t="str">
        <f>IF(record[[#This Row],[Memo]]="Browser:chrome os:android","平板報工",IF(record[[#This Row],[Memo]]=0,"委外",record[[#This Row],[Memo]]))</f>
        <v/>
      </c>
      <c r="O2835" t="s">
        <v>58</v>
      </c>
      <c r="P2835" t="s">
        <v>109</v>
      </c>
      <c r="Q2835" t="s">
        <v>58</v>
      </c>
      <c r="R2835" t="str">
        <f>IFERROR(VLOOKUP(record[[#This Row],[PCUSTID]],廠商[],2,FALSE),"")</f>
        <v/>
      </c>
      <c r="S2835" t="str">
        <f>VLOOKUP(record[[#This Row],[employeeID]],員工[],2,FALSE)</f>
        <v>裴氏璧鳳</v>
      </c>
    </row>
    <row r="2836" spans="6:19" hidden="1" x14ac:dyDescent="0.25">
      <c r="F2836" t="s">
        <v>1656</v>
      </c>
      <c r="G2836" t="s">
        <v>400</v>
      </c>
      <c r="H2836" t="str">
        <f>VLOOKUP(record[[#This Row],[ProcessSN]],表格2_7[],2,FALSE)</f>
        <v>30-4118-018-550</v>
      </c>
      <c r="I2836" t="str">
        <f>VLOOKUP(record[[#This Row],[ProcessSN]],表格2_7[],3,FALSE)</f>
        <v>#100</v>
      </c>
      <c r="J2836" t="s">
        <v>598</v>
      </c>
      <c r="K2836" s="195">
        <v>46108.699930555558</v>
      </c>
      <c r="L2836">
        <v>31</v>
      </c>
      <c r="M2836">
        <v>0</v>
      </c>
      <c r="N2836" s="98" t="str">
        <f>IF(record[[#This Row],[Memo]]="Browser:chrome os:android","平板報工",IF(record[[#This Row],[Memo]]=0,"委外",record[[#This Row],[Memo]]))</f>
        <v/>
      </c>
      <c r="O2836" t="s">
        <v>58</v>
      </c>
      <c r="P2836" t="s">
        <v>99</v>
      </c>
      <c r="Q2836" t="s">
        <v>58</v>
      </c>
      <c r="R2836" t="str">
        <f>IFERROR(VLOOKUP(record[[#This Row],[PCUSTID]],廠商[],2,FALSE),"")</f>
        <v/>
      </c>
      <c r="S2836" t="str">
        <f>VLOOKUP(record[[#This Row],[employeeID]],員工[],2,FALSE)</f>
        <v>阮氏河</v>
      </c>
    </row>
    <row r="2837" spans="6:19" hidden="1" x14ac:dyDescent="0.25">
      <c r="F2837" t="s">
        <v>1656</v>
      </c>
      <c r="G2837" t="s">
        <v>399</v>
      </c>
      <c r="H2837" t="str">
        <f>VLOOKUP(record[[#This Row],[ProcessSN]],表格2_7[],2,FALSE)</f>
        <v>30-4118-018-550</v>
      </c>
      <c r="I2837" t="str">
        <f>VLOOKUP(record[[#This Row],[ProcessSN]],表格2_7[],3,FALSE)</f>
        <v>#08IQC</v>
      </c>
      <c r="J2837" t="s">
        <v>583</v>
      </c>
      <c r="K2837" s="195">
        <v>46108.694780092592</v>
      </c>
      <c r="L2837">
        <v>31</v>
      </c>
      <c r="M2837">
        <v>0</v>
      </c>
      <c r="N2837" s="98" t="str">
        <f>IF(record[[#This Row],[Memo]]="Browser:chrome os:android","平板報工",IF(record[[#This Row],[Memo]]=0,"委外",record[[#This Row],[Memo]]))</f>
        <v>補</v>
      </c>
      <c r="O2837" t="s">
        <v>690</v>
      </c>
      <c r="P2837" t="s">
        <v>186</v>
      </c>
      <c r="Q2837" t="s">
        <v>58</v>
      </c>
      <c r="R2837" t="str">
        <f>IFERROR(VLOOKUP(record[[#This Row],[PCUSTID]],廠商[],2,FALSE),"")</f>
        <v/>
      </c>
      <c r="S2837" t="str">
        <f>VLOOKUP(record[[#This Row],[employeeID]],員工[],2,FALSE)</f>
        <v>許文姍</v>
      </c>
    </row>
    <row r="2838" spans="6:19" hidden="1" x14ac:dyDescent="0.25">
      <c r="F2838" t="s">
        <v>1656</v>
      </c>
      <c r="G2838" t="s">
        <v>398</v>
      </c>
      <c r="H2838" t="str">
        <f>VLOOKUP(record[[#This Row],[ProcessSN]],表格2_7[],2,FALSE)</f>
        <v>30-4118-018-550</v>
      </c>
      <c r="I2838" t="str">
        <f>VLOOKUP(record[[#This Row],[ProcessSN]],表格2_7[],3,FALSE)</f>
        <v>#08RCV</v>
      </c>
      <c r="J2838" t="s">
        <v>591</v>
      </c>
      <c r="K2838" s="195">
        <v>46108.694675925923</v>
      </c>
      <c r="L2838">
        <v>31</v>
      </c>
      <c r="M2838">
        <v>0</v>
      </c>
      <c r="N2838" s="98" t="str">
        <f>IF(record[[#This Row],[Memo]]="Browser:chrome os:android","平板報工",IF(record[[#This Row],[Memo]]=0,"委外",record[[#This Row],[Memo]]))</f>
        <v>補</v>
      </c>
      <c r="O2838" t="s">
        <v>690</v>
      </c>
      <c r="P2838" t="s">
        <v>186</v>
      </c>
      <c r="Q2838" t="s">
        <v>58</v>
      </c>
      <c r="R2838" t="str">
        <f>IFERROR(VLOOKUP(record[[#This Row],[PCUSTID]],廠商[],2,FALSE),"")</f>
        <v/>
      </c>
      <c r="S2838" t="str">
        <f>VLOOKUP(record[[#This Row],[employeeID]],員工[],2,FALSE)</f>
        <v>許文姍</v>
      </c>
    </row>
    <row r="2839" spans="6:19" hidden="1" x14ac:dyDescent="0.25">
      <c r="F2839" t="s">
        <v>1637</v>
      </c>
      <c r="G2839" t="s">
        <v>450</v>
      </c>
      <c r="H2839" t="str">
        <f>VLOOKUP(record[[#This Row],[ProcessSN]],表格2_7[],2,FALSE)</f>
        <v>30-4118-018-6XX</v>
      </c>
      <c r="I2839" t="str">
        <f>VLOOKUP(record[[#This Row],[ProcessSN]],表格2_7[],3,FALSE)</f>
        <v>#06</v>
      </c>
      <c r="J2839" t="s">
        <v>593</v>
      </c>
      <c r="K2839" s="195">
        <v>46108.692766203705</v>
      </c>
      <c r="L2839">
        <v>60</v>
      </c>
      <c r="M2839">
        <v>1</v>
      </c>
      <c r="N2839" s="98" t="str">
        <f>IF(record[[#This Row],[Memo]]="Browser:chrome os:android","平板報工",IF(record[[#This Row],[Memo]]=0,"委外",record[[#This Row],[Memo]]))</f>
        <v/>
      </c>
      <c r="O2839" t="s">
        <v>58</v>
      </c>
      <c r="P2839" t="s">
        <v>101</v>
      </c>
      <c r="Q2839" t="s">
        <v>58</v>
      </c>
      <c r="R2839" t="str">
        <f>IFERROR(VLOOKUP(record[[#This Row],[PCUSTID]],廠商[],2,FALSE),"")</f>
        <v/>
      </c>
      <c r="S2839" t="str">
        <f>VLOOKUP(record[[#This Row],[employeeID]],員工[],2,FALSE)</f>
        <v>陳氏絨</v>
      </c>
    </row>
    <row r="2840" spans="6:19" hidden="1" x14ac:dyDescent="0.25">
      <c r="F2840" t="s">
        <v>1568</v>
      </c>
      <c r="G2840" t="s">
        <v>420</v>
      </c>
      <c r="H2840" t="str">
        <f>VLOOKUP(record[[#This Row],[ProcessSN]],表格2_7[],2,FALSE)</f>
        <v>30-4118-018-5XX</v>
      </c>
      <c r="I2840" t="str">
        <f>VLOOKUP(record[[#This Row],[ProcessSN]],表格2_7[],3,FALSE)</f>
        <v>#07STOCK</v>
      </c>
      <c r="J2840" t="s">
        <v>592</v>
      </c>
      <c r="K2840" s="195">
        <v>46108.686168981483</v>
      </c>
      <c r="L2840">
        <v>24</v>
      </c>
      <c r="M2840">
        <v>0</v>
      </c>
      <c r="N2840" s="98" t="str">
        <f>IF(record[[#This Row],[Memo]]="Browser:chrome os:android","平板報工",IF(record[[#This Row],[Memo]]=0,"委外",record[[#This Row],[Memo]]))</f>
        <v/>
      </c>
      <c r="O2840" t="s">
        <v>58</v>
      </c>
      <c r="P2840" t="s">
        <v>186</v>
      </c>
      <c r="Q2840" t="s">
        <v>58</v>
      </c>
      <c r="R2840" t="str">
        <f>IFERROR(VLOOKUP(record[[#This Row],[PCUSTID]],廠商[],2,FALSE),"")</f>
        <v/>
      </c>
      <c r="S2840" t="str">
        <f>VLOOKUP(record[[#This Row],[employeeID]],員工[],2,FALSE)</f>
        <v>許文姍</v>
      </c>
    </row>
    <row r="2841" spans="6:19" hidden="1" x14ac:dyDescent="0.25">
      <c r="F2841" t="s">
        <v>1653</v>
      </c>
      <c r="G2841" t="s">
        <v>420</v>
      </c>
      <c r="H2841" t="str">
        <f>VLOOKUP(record[[#This Row],[ProcessSN]],表格2_7[],2,FALSE)</f>
        <v>30-4118-018-5XX</v>
      </c>
      <c r="I2841" t="str">
        <f>VLOOKUP(record[[#This Row],[ProcessSN]],表格2_7[],3,FALSE)</f>
        <v>#07STOCK</v>
      </c>
      <c r="J2841" t="s">
        <v>592</v>
      </c>
      <c r="K2841" s="195">
        <v>46108.686030092591</v>
      </c>
      <c r="L2841">
        <v>129</v>
      </c>
      <c r="M2841">
        <v>0</v>
      </c>
      <c r="N2841" s="98" t="str">
        <f>IF(record[[#This Row],[Memo]]="Browser:chrome os:android","平板報工",IF(record[[#This Row],[Memo]]=0,"委外",record[[#This Row],[Memo]]))</f>
        <v/>
      </c>
      <c r="O2841" t="s">
        <v>58</v>
      </c>
      <c r="P2841" t="s">
        <v>186</v>
      </c>
      <c r="Q2841" t="s">
        <v>58</v>
      </c>
      <c r="R2841" t="str">
        <f>IFERROR(VLOOKUP(record[[#This Row],[PCUSTID]],廠商[],2,FALSE),"")</f>
        <v/>
      </c>
      <c r="S2841" t="str">
        <f>VLOOKUP(record[[#This Row],[employeeID]],員工[],2,FALSE)</f>
        <v>許文姍</v>
      </c>
    </row>
    <row r="2842" spans="6:19" hidden="1" x14ac:dyDescent="0.25">
      <c r="F2842" t="s">
        <v>1589</v>
      </c>
      <c r="G2842" t="s">
        <v>420</v>
      </c>
      <c r="H2842" t="str">
        <f>VLOOKUP(record[[#This Row],[ProcessSN]],表格2_7[],2,FALSE)</f>
        <v>30-4118-018-5XX</v>
      </c>
      <c r="I2842" t="str">
        <f>VLOOKUP(record[[#This Row],[ProcessSN]],表格2_7[],3,FALSE)</f>
        <v>#07STOCK</v>
      </c>
      <c r="J2842" t="s">
        <v>592</v>
      </c>
      <c r="K2842" s="195">
        <v>46108.68582175926</v>
      </c>
      <c r="L2842">
        <v>185</v>
      </c>
      <c r="M2842">
        <v>0</v>
      </c>
      <c r="N2842" s="98" t="str">
        <f>IF(record[[#This Row],[Memo]]="Browser:chrome os:android","平板報工",IF(record[[#This Row],[Memo]]=0,"委外",record[[#This Row],[Memo]]))</f>
        <v/>
      </c>
      <c r="O2842" t="s">
        <v>58</v>
      </c>
      <c r="P2842" t="s">
        <v>186</v>
      </c>
      <c r="Q2842" t="s">
        <v>58</v>
      </c>
      <c r="R2842" t="str">
        <f>IFERROR(VLOOKUP(record[[#This Row],[PCUSTID]],廠商[],2,FALSE),"")</f>
        <v/>
      </c>
      <c r="S2842" t="str">
        <f>VLOOKUP(record[[#This Row],[employeeID]],員工[],2,FALSE)</f>
        <v>許文姍</v>
      </c>
    </row>
    <row r="2843" spans="6:19" hidden="1" x14ac:dyDescent="0.25">
      <c r="F2843" t="s">
        <v>1569</v>
      </c>
      <c r="G2843" t="s">
        <v>453</v>
      </c>
      <c r="H2843" t="str">
        <f>VLOOKUP(record[[#This Row],[ProcessSN]],表格2_7[],2,FALSE)</f>
        <v>30-4118-018-6XX</v>
      </c>
      <c r="I2843" t="str">
        <f>VLOOKUP(record[[#This Row],[ProcessSN]],表格2_7[],3,FALSE)</f>
        <v>#07STOCK</v>
      </c>
      <c r="J2843" t="s">
        <v>592</v>
      </c>
      <c r="K2843" s="195">
        <v>46108.685486111113</v>
      </c>
      <c r="L2843">
        <v>67</v>
      </c>
      <c r="M2843">
        <v>0</v>
      </c>
      <c r="N2843" s="98" t="str">
        <f>IF(record[[#This Row],[Memo]]="Browser:chrome os:android","平板報工",IF(record[[#This Row],[Memo]]=0,"委外",record[[#This Row],[Memo]]))</f>
        <v/>
      </c>
      <c r="O2843" t="s">
        <v>58</v>
      </c>
      <c r="P2843" t="s">
        <v>186</v>
      </c>
      <c r="Q2843" t="s">
        <v>58</v>
      </c>
      <c r="R2843" t="str">
        <f>IFERROR(VLOOKUP(record[[#This Row],[PCUSTID]],廠商[],2,FALSE),"")</f>
        <v/>
      </c>
      <c r="S2843" t="str">
        <f>VLOOKUP(record[[#This Row],[employeeID]],員工[],2,FALSE)</f>
        <v>許文姍</v>
      </c>
    </row>
    <row r="2844" spans="6:19" hidden="1" x14ac:dyDescent="0.25">
      <c r="F2844" t="s">
        <v>1637</v>
      </c>
      <c r="G2844" t="s">
        <v>453</v>
      </c>
      <c r="H2844" t="str">
        <f>VLOOKUP(record[[#This Row],[ProcessSN]],表格2_7[],2,FALSE)</f>
        <v>30-4118-018-6XX</v>
      </c>
      <c r="I2844" t="str">
        <f>VLOOKUP(record[[#This Row],[ProcessSN]],表格2_7[],3,FALSE)</f>
        <v>#07STOCK</v>
      </c>
      <c r="J2844" t="s">
        <v>592</v>
      </c>
      <c r="K2844" s="195">
        <v>46108.685358796298</v>
      </c>
      <c r="L2844">
        <v>93</v>
      </c>
      <c r="M2844">
        <v>0</v>
      </c>
      <c r="N2844" s="98" t="str">
        <f>IF(record[[#This Row],[Memo]]="Browser:chrome os:android","平板報工",IF(record[[#This Row],[Memo]]=0,"委外",record[[#This Row],[Memo]]))</f>
        <v/>
      </c>
      <c r="O2844" t="s">
        <v>58</v>
      </c>
      <c r="P2844" t="s">
        <v>186</v>
      </c>
      <c r="Q2844" t="s">
        <v>58</v>
      </c>
      <c r="R2844" t="str">
        <f>IFERROR(VLOOKUP(record[[#This Row],[PCUSTID]],廠商[],2,FALSE),"")</f>
        <v/>
      </c>
      <c r="S2844" t="str">
        <f>VLOOKUP(record[[#This Row],[employeeID]],員工[],2,FALSE)</f>
        <v>許文姍</v>
      </c>
    </row>
    <row r="2845" spans="6:19" hidden="1" x14ac:dyDescent="0.25">
      <c r="F2845" t="s">
        <v>1680</v>
      </c>
      <c r="G2845" t="s">
        <v>423</v>
      </c>
      <c r="H2845" t="str">
        <f>VLOOKUP(record[[#This Row],[ProcessSN]],表格2_7[],2,FALSE)</f>
        <v>30-4118-018-600</v>
      </c>
      <c r="I2845" t="str">
        <f>VLOOKUP(record[[#This Row],[ProcessSN]],表格2_7[],3,FALSE)</f>
        <v>#08RCV</v>
      </c>
      <c r="J2845" t="s">
        <v>591</v>
      </c>
      <c r="K2845" s="195">
        <v>46108.674155092594</v>
      </c>
      <c r="L2845">
        <v>274</v>
      </c>
      <c r="M2845">
        <v>0</v>
      </c>
      <c r="N2845" s="98" t="str">
        <f>IF(record[[#This Row],[Memo]]="Browser:chrome os:android","平板報工",IF(record[[#This Row],[Memo]]=0,"委外",record[[#This Row],[Memo]]))</f>
        <v/>
      </c>
      <c r="O2845" t="s">
        <v>58</v>
      </c>
      <c r="P2845" t="s">
        <v>186</v>
      </c>
      <c r="Q2845" t="s">
        <v>58</v>
      </c>
      <c r="R2845" t="str">
        <f>IFERROR(VLOOKUP(record[[#This Row],[PCUSTID]],廠商[],2,FALSE),"")</f>
        <v/>
      </c>
      <c r="S2845" t="str">
        <f>VLOOKUP(record[[#This Row],[employeeID]],員工[],2,FALSE)</f>
        <v>許文姍</v>
      </c>
    </row>
    <row r="2846" spans="6:19" hidden="1" x14ac:dyDescent="0.25">
      <c r="F2846" t="s">
        <v>1686</v>
      </c>
      <c r="G2846" t="s">
        <v>422</v>
      </c>
      <c r="H2846" t="str">
        <f>VLOOKUP(record[[#This Row],[ProcessSN]],表格2_7[],2,FALSE)</f>
        <v>30-4118-018-600</v>
      </c>
      <c r="I2846" t="str">
        <f>VLOOKUP(record[[#This Row],[ProcessSN]],表格2_7[],3,FALSE)</f>
        <v>#08</v>
      </c>
      <c r="J2846" t="s">
        <v>597</v>
      </c>
      <c r="K2846" s="195">
        <v>46108.669687499998</v>
      </c>
      <c r="L2846">
        <v>160</v>
      </c>
      <c r="M2846">
        <v>0</v>
      </c>
      <c r="N2846" s="98" t="str">
        <f>IF(record[[#This Row],[Memo]]="Browser:chrome os:android","平板報工",IF(record[[#This Row],[Memo]]=0,"委外",record[[#This Row],[Memo]]))</f>
        <v>委外</v>
      </c>
      <c r="P2846" t="s">
        <v>186</v>
      </c>
      <c r="Q2846" t="s">
        <v>287</v>
      </c>
      <c r="R2846" t="str">
        <f>IFERROR(VLOOKUP(record[[#This Row],[PCUSTID]],廠商[],2,FALSE),"")</f>
        <v>泉盛</v>
      </c>
      <c r="S2846" t="str">
        <f>VLOOKUP(record[[#This Row],[employeeID]],員工[],2,FALSE)</f>
        <v>許文姍</v>
      </c>
    </row>
    <row r="2847" spans="6:19" hidden="1" x14ac:dyDescent="0.25">
      <c r="F2847" t="s">
        <v>1685</v>
      </c>
      <c r="G2847" t="s">
        <v>397</v>
      </c>
      <c r="H2847" t="str">
        <f>VLOOKUP(record[[#This Row],[ProcessSN]],表格2_7[],2,FALSE)</f>
        <v>30-4118-018-550</v>
      </c>
      <c r="I2847" t="str">
        <f>VLOOKUP(record[[#This Row],[ProcessSN]],表格2_7[],3,FALSE)</f>
        <v>#08</v>
      </c>
      <c r="J2847" t="s">
        <v>597</v>
      </c>
      <c r="K2847" s="195">
        <v>46108.669571759259</v>
      </c>
      <c r="L2847">
        <v>338</v>
      </c>
      <c r="M2847">
        <v>0</v>
      </c>
      <c r="N2847" s="98" t="str">
        <f>IF(record[[#This Row],[Memo]]="Browser:chrome os:android","平板報工",IF(record[[#This Row],[Memo]]=0,"委外",record[[#This Row],[Memo]]))</f>
        <v>委外</v>
      </c>
      <c r="P2847" t="s">
        <v>186</v>
      </c>
      <c r="Q2847" t="s">
        <v>287</v>
      </c>
      <c r="R2847" t="str">
        <f>IFERROR(VLOOKUP(record[[#This Row],[PCUSTID]],廠商[],2,FALSE),"")</f>
        <v>泉盛</v>
      </c>
      <c r="S2847" t="str">
        <f>VLOOKUP(record[[#This Row],[employeeID]],員工[],2,FALSE)</f>
        <v>許文姍</v>
      </c>
    </row>
    <row r="2848" spans="6:19" hidden="1" x14ac:dyDescent="0.25">
      <c r="F2848" t="s">
        <v>1686</v>
      </c>
      <c r="G2848" t="s">
        <v>421</v>
      </c>
      <c r="H2848" t="str">
        <f>VLOOKUP(record[[#This Row],[ProcessSN]],表格2_7[],2,FALSE)</f>
        <v>30-4118-018-600</v>
      </c>
      <c r="I2848" t="str">
        <f>VLOOKUP(record[[#This Row],[ProcessSN]],表格2_7[],3,FALSE)</f>
        <v>#08PICK</v>
      </c>
      <c r="J2848" t="s">
        <v>582</v>
      </c>
      <c r="K2848" s="195">
        <v>46108.669351851851</v>
      </c>
      <c r="L2848">
        <v>160</v>
      </c>
      <c r="M2848">
        <v>0</v>
      </c>
      <c r="N2848" s="98" t="str">
        <f>IF(record[[#This Row],[Memo]]="Browser:chrome os:android","平板報工",IF(record[[#This Row],[Memo]]=0,"委外",record[[#This Row],[Memo]]))</f>
        <v/>
      </c>
      <c r="O2848" t="s">
        <v>58</v>
      </c>
      <c r="P2848" t="s">
        <v>186</v>
      </c>
      <c r="Q2848" t="s">
        <v>58</v>
      </c>
      <c r="R2848" t="str">
        <f>IFERROR(VLOOKUP(record[[#This Row],[PCUSTID]],廠商[],2,FALSE),"")</f>
        <v/>
      </c>
      <c r="S2848" t="str">
        <f>VLOOKUP(record[[#This Row],[employeeID]],員工[],2,FALSE)</f>
        <v>許文姍</v>
      </c>
    </row>
    <row r="2849" spans="6:19" hidden="1" x14ac:dyDescent="0.25">
      <c r="F2849" t="s">
        <v>1685</v>
      </c>
      <c r="G2849" t="s">
        <v>396</v>
      </c>
      <c r="H2849" t="str">
        <f>VLOOKUP(record[[#This Row],[ProcessSN]],表格2_7[],2,FALSE)</f>
        <v>30-4118-018-550</v>
      </c>
      <c r="I2849" t="str">
        <f>VLOOKUP(record[[#This Row],[ProcessSN]],表格2_7[],3,FALSE)</f>
        <v>#08PICK</v>
      </c>
      <c r="J2849" t="s">
        <v>582</v>
      </c>
      <c r="K2849" s="195">
        <v>46108.667962962965</v>
      </c>
      <c r="L2849">
        <v>338</v>
      </c>
      <c r="M2849">
        <v>0</v>
      </c>
      <c r="N2849" s="98" t="str">
        <f>IF(record[[#This Row],[Memo]]="Browser:chrome os:android","平板報工",IF(record[[#This Row],[Memo]]=0,"委外",record[[#This Row],[Memo]]))</f>
        <v/>
      </c>
      <c r="O2849" t="s">
        <v>58</v>
      </c>
      <c r="P2849" t="s">
        <v>186</v>
      </c>
      <c r="Q2849" t="s">
        <v>58</v>
      </c>
      <c r="R2849" t="str">
        <f>IFERROR(VLOOKUP(record[[#This Row],[PCUSTID]],廠商[],2,FALSE),"")</f>
        <v/>
      </c>
      <c r="S2849" t="str">
        <f>VLOOKUP(record[[#This Row],[employeeID]],員工[],2,FALSE)</f>
        <v>許文姍</v>
      </c>
    </row>
    <row r="2850" spans="6:19" hidden="1" x14ac:dyDescent="0.25">
      <c r="F2850" t="s">
        <v>1653</v>
      </c>
      <c r="G2850" t="s">
        <v>418</v>
      </c>
      <c r="H2850" t="str">
        <f>VLOOKUP(record[[#This Row],[ProcessSN]],表格2_7[],2,FALSE)</f>
        <v>30-4118-018-5XX</v>
      </c>
      <c r="I2850" t="str">
        <f>VLOOKUP(record[[#This Row],[ProcessSN]],表格2_7[],3,FALSE)</f>
        <v>#07</v>
      </c>
      <c r="J2850" t="s">
        <v>588</v>
      </c>
      <c r="K2850" s="195">
        <v>46108.658460648148</v>
      </c>
      <c r="L2850">
        <v>216</v>
      </c>
      <c r="M2850">
        <v>0</v>
      </c>
      <c r="N2850" s="98" t="str">
        <f>IF(record[[#This Row],[Memo]]="Browser:chrome os:android","平板報工",IF(record[[#This Row],[Memo]]=0,"委外",record[[#This Row],[Memo]]))</f>
        <v>平板報工</v>
      </c>
      <c r="O2850" t="s">
        <v>643</v>
      </c>
      <c r="P2850" t="s">
        <v>145</v>
      </c>
      <c r="Q2850" t="s">
        <v>644</v>
      </c>
      <c r="R2850" t="str">
        <f>IFERROR(VLOOKUP(record[[#This Row],[PCUSTID]],廠商[],2,FALSE),"")</f>
        <v/>
      </c>
      <c r="S2850" t="str">
        <f>VLOOKUP(record[[#This Row],[employeeID]],員工[],2,FALSE)</f>
        <v>阮秋霞</v>
      </c>
    </row>
    <row r="2851" spans="6:19" hidden="1" x14ac:dyDescent="0.25">
      <c r="F2851" t="s">
        <v>1637</v>
      </c>
      <c r="G2851" t="s">
        <v>449</v>
      </c>
      <c r="H2851" t="str">
        <f>VLOOKUP(record[[#This Row],[ProcessSN]],表格2_7[],2,FALSE)</f>
        <v>30-4118-018-6XX</v>
      </c>
      <c r="I2851" t="str">
        <f>VLOOKUP(record[[#This Row],[ProcessSN]],表格2_7[],3,FALSE)</f>
        <v>#05</v>
      </c>
      <c r="J2851" t="s">
        <v>588</v>
      </c>
      <c r="K2851" s="195">
        <v>46108.658055555556</v>
      </c>
      <c r="L2851">
        <v>162</v>
      </c>
      <c r="M2851">
        <v>0</v>
      </c>
      <c r="N2851" s="98" t="str">
        <f>IF(record[[#This Row],[Memo]]="Browser:chrome os:android","平板報工",IF(record[[#This Row],[Memo]]=0,"委外",record[[#This Row],[Memo]]))</f>
        <v>平板報工</v>
      </c>
      <c r="O2851" t="s">
        <v>643</v>
      </c>
      <c r="P2851" t="s">
        <v>145</v>
      </c>
      <c r="Q2851" t="s">
        <v>644</v>
      </c>
      <c r="R2851" t="str">
        <f>IFERROR(VLOOKUP(record[[#This Row],[PCUSTID]],廠商[],2,FALSE),"")</f>
        <v/>
      </c>
      <c r="S2851" t="str">
        <f>VLOOKUP(record[[#This Row],[employeeID]],員工[],2,FALSE)</f>
        <v>阮秋霞</v>
      </c>
    </row>
    <row r="2852" spans="6:19" hidden="1" x14ac:dyDescent="0.25">
      <c r="F2852" t="s">
        <v>1637</v>
      </c>
      <c r="G2852" t="s">
        <v>450</v>
      </c>
      <c r="H2852" t="str">
        <f>VLOOKUP(record[[#This Row],[ProcessSN]],表格2_7[],2,FALSE)</f>
        <v>30-4118-018-6XX</v>
      </c>
      <c r="I2852" t="str">
        <f>VLOOKUP(record[[#This Row],[ProcessSN]],表格2_7[],3,FALSE)</f>
        <v>#06</v>
      </c>
      <c r="J2852" t="s">
        <v>593</v>
      </c>
      <c r="K2852" s="195">
        <v>46108.652789351851</v>
      </c>
      <c r="L2852">
        <v>38</v>
      </c>
      <c r="M2852">
        <v>0</v>
      </c>
      <c r="N2852" s="98" t="str">
        <f>IF(record[[#This Row],[Memo]]="Browser:chrome os:android","平板報工",IF(record[[#This Row],[Memo]]=0,"委外",record[[#This Row],[Memo]]))</f>
        <v>平板報工</v>
      </c>
      <c r="O2852" t="s">
        <v>643</v>
      </c>
      <c r="P2852" t="s">
        <v>1413</v>
      </c>
      <c r="Q2852" t="s">
        <v>644</v>
      </c>
      <c r="R2852" t="str">
        <f>IFERROR(VLOOKUP(record[[#This Row],[PCUSTID]],廠商[],2,FALSE),"")</f>
        <v/>
      </c>
      <c r="S2852" t="str">
        <f>VLOOKUP(record[[#This Row],[employeeID]],員工[],2,FALSE)</f>
        <v>阮氏芳英(芳)</v>
      </c>
    </row>
    <row r="2853" spans="6:19" hidden="1" x14ac:dyDescent="0.25">
      <c r="F2853" t="s">
        <v>1653</v>
      </c>
      <c r="G2853" t="s">
        <v>417</v>
      </c>
      <c r="H2853" t="str">
        <f>VLOOKUP(record[[#This Row],[ProcessSN]],表格2_7[],2,FALSE)</f>
        <v>30-4118-018-5XX</v>
      </c>
      <c r="I2853" t="str">
        <f>VLOOKUP(record[[#This Row],[ProcessSN]],表格2_7[],3,FALSE)</f>
        <v>#06</v>
      </c>
      <c r="J2853" t="s">
        <v>593</v>
      </c>
      <c r="K2853" s="195">
        <v>46108.65252314815</v>
      </c>
      <c r="L2853">
        <v>62</v>
      </c>
      <c r="M2853">
        <v>0</v>
      </c>
      <c r="N2853" s="98" t="str">
        <f>IF(record[[#This Row],[Memo]]="Browser:chrome os:android","平板報工",IF(record[[#This Row],[Memo]]=0,"委外",record[[#This Row],[Memo]]))</f>
        <v>平板報工</v>
      </c>
      <c r="O2853" t="s">
        <v>643</v>
      </c>
      <c r="P2853" t="s">
        <v>1413</v>
      </c>
      <c r="Q2853" t="s">
        <v>644</v>
      </c>
      <c r="R2853" t="str">
        <f>IFERROR(VLOOKUP(record[[#This Row],[PCUSTID]],廠商[],2,FALSE),"")</f>
        <v/>
      </c>
      <c r="S2853" t="str">
        <f>VLOOKUP(record[[#This Row],[employeeID]],員工[],2,FALSE)</f>
        <v>阮氏芳英(芳)</v>
      </c>
    </row>
    <row r="2854" spans="6:19" hidden="1" x14ac:dyDescent="0.25">
      <c r="F2854" t="s">
        <v>1653</v>
      </c>
      <c r="G2854" t="s">
        <v>419</v>
      </c>
      <c r="H2854" t="str">
        <f>VLOOKUP(record[[#This Row],[ProcessSN]],表格2_7[],2,FALSE)</f>
        <v>30-4118-018-5XX</v>
      </c>
      <c r="I2854" t="str">
        <f>VLOOKUP(record[[#This Row],[ProcessSN]],表格2_7[],3,FALSE)</f>
        <v>#07QC</v>
      </c>
      <c r="J2854" t="s">
        <v>589</v>
      </c>
      <c r="K2854" s="195">
        <v>46108.645902777775</v>
      </c>
      <c r="L2854">
        <v>129</v>
      </c>
      <c r="M2854">
        <v>0</v>
      </c>
      <c r="N2854" s="98" t="str">
        <f>IF(record[[#This Row],[Memo]]="Browser:chrome os:android","平板報工",IF(record[[#This Row],[Memo]]=0,"委外",record[[#This Row],[Memo]]))</f>
        <v/>
      </c>
      <c r="O2854" t="s">
        <v>58</v>
      </c>
      <c r="P2854" t="s">
        <v>141</v>
      </c>
      <c r="Q2854" t="s">
        <v>58</v>
      </c>
      <c r="R2854" t="str">
        <f>IFERROR(VLOOKUP(record[[#This Row],[PCUSTID]],廠商[],2,FALSE),"")</f>
        <v/>
      </c>
      <c r="S2854" t="str">
        <f>VLOOKUP(record[[#This Row],[employeeID]],員工[],2,FALSE)</f>
        <v>蔣梅</v>
      </c>
    </row>
    <row r="2855" spans="6:19" hidden="1" x14ac:dyDescent="0.25">
      <c r="F2855" t="s">
        <v>1589</v>
      </c>
      <c r="G2855" t="s">
        <v>419</v>
      </c>
      <c r="H2855" t="str">
        <f>VLOOKUP(record[[#This Row],[ProcessSN]],表格2_7[],2,FALSE)</f>
        <v>30-4118-018-5XX</v>
      </c>
      <c r="I2855" t="str">
        <f>VLOOKUP(record[[#This Row],[ProcessSN]],表格2_7[],3,FALSE)</f>
        <v>#07QC</v>
      </c>
      <c r="J2855" t="s">
        <v>589</v>
      </c>
      <c r="K2855" s="195">
        <v>46108.645694444444</v>
      </c>
      <c r="L2855">
        <v>161</v>
      </c>
      <c r="M2855">
        <v>0</v>
      </c>
      <c r="N2855" s="98" t="str">
        <f>IF(record[[#This Row],[Memo]]="Browser:chrome os:android","平板報工",IF(record[[#This Row],[Memo]]=0,"委外",record[[#This Row],[Memo]]))</f>
        <v/>
      </c>
      <c r="O2855" t="s">
        <v>58</v>
      </c>
      <c r="P2855" t="s">
        <v>141</v>
      </c>
      <c r="Q2855" t="s">
        <v>58</v>
      </c>
      <c r="R2855" t="str">
        <f>IFERROR(VLOOKUP(record[[#This Row],[PCUSTID]],廠商[],2,FALSE),"")</f>
        <v/>
      </c>
      <c r="S2855" t="str">
        <f>VLOOKUP(record[[#This Row],[employeeID]],員工[],2,FALSE)</f>
        <v>蔣梅</v>
      </c>
    </row>
    <row r="2856" spans="6:19" hidden="1" x14ac:dyDescent="0.25">
      <c r="F2856" t="s">
        <v>1637</v>
      </c>
      <c r="G2856" t="s">
        <v>448</v>
      </c>
      <c r="H2856" t="str">
        <f>VLOOKUP(record[[#This Row],[ProcessSN]],表格2_7[],2,FALSE)</f>
        <v>30-4118-018-6XX</v>
      </c>
      <c r="I2856" t="str">
        <f>VLOOKUP(record[[#This Row],[ProcessSN]],表格2_7[],3,FALSE)</f>
        <v>#04</v>
      </c>
      <c r="J2856" t="s">
        <v>588</v>
      </c>
      <c r="K2856" s="195">
        <v>46108.644814814812</v>
      </c>
      <c r="L2856">
        <v>96</v>
      </c>
      <c r="M2856">
        <v>3</v>
      </c>
      <c r="N2856" s="98" t="str">
        <f>IF(record[[#This Row],[Memo]]="Browser:chrome os:android","平板報工",IF(record[[#This Row],[Memo]]=0,"委外",record[[#This Row],[Memo]]))</f>
        <v>平板報工</v>
      </c>
      <c r="O2856" t="s">
        <v>643</v>
      </c>
      <c r="P2856" t="s">
        <v>107</v>
      </c>
      <c r="Q2856" t="s">
        <v>644</v>
      </c>
      <c r="R2856" t="str">
        <f>IFERROR(VLOOKUP(record[[#This Row],[PCUSTID]],廠商[],2,FALSE),"")</f>
        <v/>
      </c>
      <c r="S2856" t="str">
        <f>VLOOKUP(record[[#This Row],[employeeID]],員工[],2,FALSE)</f>
        <v>黎氏順</v>
      </c>
    </row>
    <row r="2857" spans="6:19" hidden="1" x14ac:dyDescent="0.25">
      <c r="F2857" t="s">
        <v>1653</v>
      </c>
      <c r="G2857" t="s">
        <v>415</v>
      </c>
      <c r="H2857" t="str">
        <f>VLOOKUP(record[[#This Row],[ProcessSN]],表格2_7[],2,FALSE)</f>
        <v>30-4118-018-5XX</v>
      </c>
      <c r="I2857" t="str">
        <f>VLOOKUP(record[[#This Row],[ProcessSN]],表格2_7[],3,FALSE)</f>
        <v>#04</v>
      </c>
      <c r="J2857" t="s">
        <v>588</v>
      </c>
      <c r="K2857" s="195">
        <v>46108.644479166665</v>
      </c>
      <c r="L2857">
        <v>138</v>
      </c>
      <c r="M2857">
        <v>0</v>
      </c>
      <c r="N2857" s="98" t="str">
        <f>IF(record[[#This Row],[Memo]]="Browser:chrome os:android","平板報工",IF(record[[#This Row],[Memo]]=0,"委外",record[[#This Row],[Memo]]))</f>
        <v>平板報工</v>
      </c>
      <c r="O2857" t="s">
        <v>643</v>
      </c>
      <c r="P2857" t="s">
        <v>107</v>
      </c>
      <c r="Q2857" t="s">
        <v>644</v>
      </c>
      <c r="R2857" t="str">
        <f>IFERROR(VLOOKUP(record[[#This Row],[PCUSTID]],廠商[],2,FALSE),"")</f>
        <v/>
      </c>
      <c r="S2857" t="str">
        <f>VLOOKUP(record[[#This Row],[employeeID]],員工[],2,FALSE)</f>
        <v>黎氏順</v>
      </c>
    </row>
    <row r="2858" spans="6:19" hidden="1" x14ac:dyDescent="0.25">
      <c r="F2858" t="s">
        <v>1656</v>
      </c>
      <c r="G2858" t="s">
        <v>403</v>
      </c>
      <c r="H2858" t="str">
        <f>VLOOKUP(record[[#This Row],[ProcessSN]],表格2_7[],2,FALSE)</f>
        <v>30-4118-018-550</v>
      </c>
      <c r="I2858" t="str">
        <f>VLOOKUP(record[[#This Row],[ProcessSN]],表格2_7[],3,FALSE)</f>
        <v>#100SHIP</v>
      </c>
      <c r="J2858" t="s">
        <v>600</v>
      </c>
      <c r="K2858" s="195">
        <v>46108.492094907408</v>
      </c>
      <c r="L2858">
        <v>27</v>
      </c>
      <c r="M2858">
        <v>0</v>
      </c>
      <c r="N2858" s="98" t="str">
        <f>IF(record[[#This Row],[Memo]]="Browser:chrome os:android","平板報工",IF(record[[#This Row],[Memo]]=0,"委外",record[[#This Row],[Memo]]))</f>
        <v/>
      </c>
      <c r="O2858" t="s">
        <v>58</v>
      </c>
      <c r="P2858" t="s">
        <v>886</v>
      </c>
      <c r="Q2858" t="s">
        <v>58</v>
      </c>
      <c r="R2858" t="str">
        <f>IFERROR(VLOOKUP(record[[#This Row],[PCUSTID]],廠商[],2,FALSE),"")</f>
        <v/>
      </c>
      <c r="S2858" t="str">
        <f>VLOOKUP(record[[#This Row],[employeeID]],員工[],2,FALSE)</f>
        <v>謝蓁薰</v>
      </c>
    </row>
    <row r="2859" spans="6:19" hidden="1" x14ac:dyDescent="0.25">
      <c r="F2859" t="s">
        <v>1656</v>
      </c>
      <c r="G2859" t="s">
        <v>403</v>
      </c>
      <c r="H2859" t="str">
        <f>VLOOKUP(record[[#This Row],[ProcessSN]],表格2_7[],2,FALSE)</f>
        <v>30-4118-018-550</v>
      </c>
      <c r="I2859" t="str">
        <f>VLOOKUP(record[[#This Row],[ProcessSN]],表格2_7[],3,FALSE)</f>
        <v>#100SHIP</v>
      </c>
      <c r="J2859" t="s">
        <v>600</v>
      </c>
      <c r="K2859" s="195">
        <v>46108.491898148146</v>
      </c>
      <c r="L2859">
        <v>36</v>
      </c>
      <c r="M2859">
        <v>0</v>
      </c>
      <c r="N2859" s="98" t="str">
        <f>IF(record[[#This Row],[Memo]]="Browser:chrome os:android","平板報工",IF(record[[#This Row],[Memo]]=0,"委外",record[[#This Row],[Memo]]))</f>
        <v/>
      </c>
      <c r="O2859" t="s">
        <v>58</v>
      </c>
      <c r="P2859" t="s">
        <v>886</v>
      </c>
      <c r="Q2859" t="s">
        <v>58</v>
      </c>
      <c r="R2859" t="str">
        <f>IFERROR(VLOOKUP(record[[#This Row],[PCUSTID]],廠商[],2,FALSE),"")</f>
        <v/>
      </c>
      <c r="S2859" t="str">
        <f>VLOOKUP(record[[#This Row],[employeeID]],員工[],2,FALSE)</f>
        <v>謝蓁薰</v>
      </c>
    </row>
    <row r="2860" spans="6:19" hidden="1" x14ac:dyDescent="0.25">
      <c r="F2860" t="s">
        <v>1656</v>
      </c>
      <c r="G2860" t="s">
        <v>403</v>
      </c>
      <c r="H2860" t="str">
        <f>VLOOKUP(record[[#This Row],[ProcessSN]],表格2_7[],2,FALSE)</f>
        <v>30-4118-018-550</v>
      </c>
      <c r="I2860" t="str">
        <f>VLOOKUP(record[[#This Row],[ProcessSN]],表格2_7[],3,FALSE)</f>
        <v>#100SHIP</v>
      </c>
      <c r="J2860" t="s">
        <v>600</v>
      </c>
      <c r="K2860" s="195">
        <v>46108.490162037036</v>
      </c>
      <c r="L2860">
        <v>351</v>
      </c>
      <c r="M2860">
        <v>0</v>
      </c>
      <c r="N2860" s="98" t="str">
        <f>IF(record[[#This Row],[Memo]]="Browser:chrome os:android","平板報工",IF(record[[#This Row],[Memo]]=0,"委外",record[[#This Row],[Memo]]))</f>
        <v/>
      </c>
      <c r="O2860" t="s">
        <v>58</v>
      </c>
      <c r="P2860" t="s">
        <v>886</v>
      </c>
      <c r="Q2860" t="s">
        <v>58</v>
      </c>
      <c r="R2860" t="str">
        <f>IFERROR(VLOOKUP(record[[#This Row],[PCUSTID]],廠商[],2,FALSE),"")</f>
        <v/>
      </c>
      <c r="S2860" t="str">
        <f>VLOOKUP(record[[#This Row],[employeeID]],員工[],2,FALSE)</f>
        <v>謝蓁薰</v>
      </c>
    </row>
    <row r="2861" spans="6:19" hidden="1" x14ac:dyDescent="0.25">
      <c r="F2861" t="s">
        <v>1656</v>
      </c>
      <c r="G2861" t="s">
        <v>402</v>
      </c>
      <c r="H2861" t="str">
        <f>VLOOKUP(record[[#This Row],[ProcessSN]],表格2_7[],2,FALSE)</f>
        <v>30-4118-018-550</v>
      </c>
      <c r="I2861" t="str">
        <f>VLOOKUP(record[[#This Row],[ProcessSN]],表格2_7[],3,FALSE)</f>
        <v>#100STOCK</v>
      </c>
      <c r="J2861" t="s">
        <v>592</v>
      </c>
      <c r="K2861" s="195">
        <v>46108.48978009259</v>
      </c>
      <c r="L2861">
        <v>414</v>
      </c>
      <c r="M2861">
        <v>0</v>
      </c>
      <c r="N2861" s="98" t="str">
        <f>IF(record[[#This Row],[Memo]]="Browser:chrome os:android","平板報工",IF(record[[#This Row],[Memo]]=0,"委外",record[[#This Row],[Memo]]))</f>
        <v/>
      </c>
      <c r="O2861" t="s">
        <v>58</v>
      </c>
      <c r="P2861" t="s">
        <v>886</v>
      </c>
      <c r="Q2861" t="s">
        <v>58</v>
      </c>
      <c r="R2861" t="str">
        <f>IFERROR(VLOOKUP(record[[#This Row],[PCUSTID]],廠商[],2,FALSE),"")</f>
        <v/>
      </c>
      <c r="S2861" t="str">
        <f>VLOOKUP(record[[#This Row],[employeeID]],員工[],2,FALSE)</f>
        <v>謝蓁薰</v>
      </c>
    </row>
    <row r="2862" spans="6:19" hidden="1" x14ac:dyDescent="0.25">
      <c r="F2862" t="s">
        <v>1602</v>
      </c>
      <c r="G2862" t="s">
        <v>469</v>
      </c>
      <c r="H2862" t="str">
        <f>VLOOKUP(record[[#This Row],[ProcessSN]],表格2_7[],2,FALSE)</f>
        <v>30-4118-018-XXX</v>
      </c>
      <c r="I2862" t="str">
        <f>VLOOKUP(record[[#This Row],[ProcessSN]],表格2_7[],3,FALSE)</f>
        <v>#02RCV</v>
      </c>
      <c r="J2862" t="s">
        <v>591</v>
      </c>
      <c r="K2862" s="195">
        <v>46108.479039351849</v>
      </c>
      <c r="L2862">
        <v>168</v>
      </c>
      <c r="M2862">
        <v>0</v>
      </c>
      <c r="N2862" s="98" t="str">
        <f>IF(record[[#This Row],[Memo]]="Browser:chrome os:android","平板報工",IF(record[[#This Row],[Memo]]=0,"委外",record[[#This Row],[Memo]]))</f>
        <v/>
      </c>
      <c r="O2862" t="s">
        <v>58</v>
      </c>
      <c r="P2862" t="s">
        <v>182</v>
      </c>
      <c r="Q2862" t="s">
        <v>58</v>
      </c>
      <c r="R2862" t="str">
        <f>IFERROR(VLOOKUP(record[[#This Row],[PCUSTID]],廠商[],2,FALSE),"")</f>
        <v/>
      </c>
      <c r="S2862" t="str">
        <f>VLOOKUP(record[[#This Row],[employeeID]],員工[],2,FALSE)</f>
        <v>梅氏和</v>
      </c>
    </row>
    <row r="2863" spans="6:19" hidden="1" x14ac:dyDescent="0.25">
      <c r="F2863" t="s">
        <v>1684</v>
      </c>
      <c r="G2863" t="s">
        <v>452</v>
      </c>
      <c r="H2863" t="str">
        <f>VLOOKUP(record[[#This Row],[ProcessSN]],表格2_7[],2,FALSE)</f>
        <v>30-4118-018-6XX</v>
      </c>
      <c r="I2863" t="str">
        <f>VLOOKUP(record[[#This Row],[ProcessSN]],表格2_7[],3,FALSE)</f>
        <v>#07QC</v>
      </c>
      <c r="J2863" t="s">
        <v>589</v>
      </c>
      <c r="K2863" s="195">
        <v>46108.410196759258</v>
      </c>
      <c r="L2863">
        <v>0</v>
      </c>
      <c r="M2863">
        <v>5</v>
      </c>
      <c r="N2863" s="98" t="str">
        <f>IF(record[[#This Row],[Memo]]="Browser:chrome os:android","平板報工",IF(record[[#This Row],[Memo]]=0,"委外",record[[#This Row],[Memo]]))</f>
        <v/>
      </c>
      <c r="O2863" t="s">
        <v>58</v>
      </c>
      <c r="P2863" t="s">
        <v>141</v>
      </c>
      <c r="Q2863" t="s">
        <v>58</v>
      </c>
      <c r="R2863" t="str">
        <f>IFERROR(VLOOKUP(record[[#This Row],[PCUSTID]],廠商[],2,FALSE),"")</f>
        <v/>
      </c>
      <c r="S2863" t="str">
        <f>VLOOKUP(record[[#This Row],[employeeID]],員工[],2,FALSE)</f>
        <v>蔣梅</v>
      </c>
    </row>
    <row r="2864" spans="6:19" hidden="1" x14ac:dyDescent="0.25">
      <c r="F2864" t="s">
        <v>1684</v>
      </c>
      <c r="G2864" t="s">
        <v>452</v>
      </c>
      <c r="H2864" t="str">
        <f>VLOOKUP(record[[#This Row],[ProcessSN]],表格2_7[],2,FALSE)</f>
        <v>30-4118-018-6XX</v>
      </c>
      <c r="I2864" t="str">
        <f>VLOOKUP(record[[#This Row],[ProcessSN]],表格2_7[],3,FALSE)</f>
        <v>#07QC</v>
      </c>
      <c r="J2864" t="s">
        <v>589</v>
      </c>
      <c r="K2864" s="195">
        <v>46108.40960648148</v>
      </c>
      <c r="L2864">
        <v>93</v>
      </c>
      <c r="M2864">
        <v>0</v>
      </c>
      <c r="N2864" s="98" t="str">
        <f>IF(record[[#This Row],[Memo]]="Browser:chrome os:android","平板報工",IF(record[[#This Row],[Memo]]=0,"委外",record[[#This Row],[Memo]]))</f>
        <v/>
      </c>
      <c r="O2864" t="s">
        <v>58</v>
      </c>
      <c r="P2864" t="s">
        <v>141</v>
      </c>
      <c r="Q2864" t="s">
        <v>58</v>
      </c>
      <c r="R2864" t="str">
        <f>IFERROR(VLOOKUP(record[[#This Row],[PCUSTID]],廠商[],2,FALSE),"")</f>
        <v/>
      </c>
      <c r="S2864" t="str">
        <f>VLOOKUP(record[[#This Row],[employeeID]],員工[],2,FALSE)</f>
        <v>蔣梅</v>
      </c>
    </row>
    <row r="2865" spans="6:19" hidden="1" x14ac:dyDescent="0.25">
      <c r="F2865" t="s">
        <v>1671</v>
      </c>
      <c r="G2865" t="s">
        <v>452</v>
      </c>
      <c r="H2865" t="str">
        <f>VLOOKUP(record[[#This Row],[ProcessSN]],表格2_7[],2,FALSE)</f>
        <v>30-4118-018-6XX</v>
      </c>
      <c r="I2865" t="str">
        <f>VLOOKUP(record[[#This Row],[ProcessSN]],表格2_7[],3,FALSE)</f>
        <v>#07QC</v>
      </c>
      <c r="J2865" t="s">
        <v>589</v>
      </c>
      <c r="K2865" s="195">
        <v>46108.409456018519</v>
      </c>
      <c r="L2865">
        <v>0</v>
      </c>
      <c r="M2865">
        <v>7</v>
      </c>
      <c r="N2865" s="98" t="str">
        <f>IF(record[[#This Row],[Memo]]="Browser:chrome os:android","平板報工",IF(record[[#This Row],[Memo]]=0,"委外",record[[#This Row],[Memo]]))</f>
        <v/>
      </c>
      <c r="O2865" t="s">
        <v>58</v>
      </c>
      <c r="P2865" t="s">
        <v>141</v>
      </c>
      <c r="Q2865" t="s">
        <v>58</v>
      </c>
      <c r="R2865" t="str">
        <f>IFERROR(VLOOKUP(record[[#This Row],[PCUSTID]],廠商[],2,FALSE),"")</f>
        <v/>
      </c>
      <c r="S2865" t="str">
        <f>VLOOKUP(record[[#This Row],[employeeID]],員工[],2,FALSE)</f>
        <v>蔣梅</v>
      </c>
    </row>
    <row r="2866" spans="6:19" hidden="1" x14ac:dyDescent="0.25">
      <c r="F2866" t="s">
        <v>1671</v>
      </c>
      <c r="G2866" t="s">
        <v>452</v>
      </c>
      <c r="H2866" t="str">
        <f>VLOOKUP(record[[#This Row],[ProcessSN]],表格2_7[],2,FALSE)</f>
        <v>30-4118-018-6XX</v>
      </c>
      <c r="I2866" t="str">
        <f>VLOOKUP(record[[#This Row],[ProcessSN]],表格2_7[],3,FALSE)</f>
        <v>#07QC</v>
      </c>
      <c r="J2866" t="s">
        <v>589</v>
      </c>
      <c r="K2866" s="195">
        <v>46108.40929398148</v>
      </c>
      <c r="L2866">
        <v>67</v>
      </c>
      <c r="M2866">
        <v>0</v>
      </c>
      <c r="N2866" s="98" t="str">
        <f>IF(record[[#This Row],[Memo]]="Browser:chrome os:android","平板報工",IF(record[[#This Row],[Memo]]=0,"委外",record[[#This Row],[Memo]]))</f>
        <v/>
      </c>
      <c r="O2866" t="s">
        <v>58</v>
      </c>
      <c r="P2866" t="s">
        <v>141</v>
      </c>
      <c r="Q2866" t="s">
        <v>58</v>
      </c>
      <c r="R2866" t="str">
        <f>IFERROR(VLOOKUP(record[[#This Row],[PCUSTID]],廠商[],2,FALSE),"")</f>
        <v/>
      </c>
      <c r="S2866" t="str">
        <f>VLOOKUP(record[[#This Row],[employeeID]],員工[],2,FALSE)</f>
        <v>蔣梅</v>
      </c>
    </row>
    <row r="2867" spans="6:19" hidden="1" x14ac:dyDescent="0.25">
      <c r="F2867" t="s">
        <v>1676</v>
      </c>
      <c r="G2867" t="s">
        <v>428</v>
      </c>
      <c r="H2867" t="str">
        <f>VLOOKUP(record[[#This Row],[ProcessSN]],表格2_7[],2,FALSE)</f>
        <v>30-4118-018-600</v>
      </c>
      <c r="I2867" t="str">
        <f>VLOOKUP(record[[#This Row],[ProcessSN]],表格2_7[],3,FALSE)</f>
        <v>#100SHIP</v>
      </c>
      <c r="J2867" t="s">
        <v>600</v>
      </c>
      <c r="K2867" s="195">
        <v>46108.352187500001</v>
      </c>
      <c r="L2867">
        <v>160</v>
      </c>
      <c r="M2867">
        <v>0</v>
      </c>
      <c r="N2867" s="98" t="str">
        <f>IF(record[[#This Row],[Memo]]="Browser:chrome os:android","平板報工",IF(record[[#This Row],[Memo]]=0,"委外",record[[#This Row],[Memo]]))</f>
        <v>補3/26出貨</v>
      </c>
      <c r="O2867" t="s">
        <v>1683</v>
      </c>
      <c r="P2867" t="s">
        <v>886</v>
      </c>
      <c r="Q2867" t="s">
        <v>58</v>
      </c>
      <c r="R2867" t="str">
        <f>IFERROR(VLOOKUP(record[[#This Row],[PCUSTID]],廠商[],2,FALSE),"")</f>
        <v/>
      </c>
      <c r="S2867" t="str">
        <f>VLOOKUP(record[[#This Row],[employeeID]],員工[],2,FALSE)</f>
        <v>謝蓁薰</v>
      </c>
    </row>
    <row r="2868" spans="6:19" hidden="1" x14ac:dyDescent="0.25">
      <c r="F2868" t="s">
        <v>1672</v>
      </c>
      <c r="G2868" t="s">
        <v>428</v>
      </c>
      <c r="H2868" t="str">
        <f>VLOOKUP(record[[#This Row],[ProcessSN]],表格2_7[],2,FALSE)</f>
        <v>30-4118-018-600</v>
      </c>
      <c r="I2868" t="str">
        <f>VLOOKUP(record[[#This Row],[ProcessSN]],表格2_7[],3,FALSE)</f>
        <v>#100SHIP</v>
      </c>
      <c r="J2868" t="s">
        <v>600</v>
      </c>
      <c r="K2868" s="195">
        <v>46108.351990740739</v>
      </c>
      <c r="L2868">
        <v>332</v>
      </c>
      <c r="M2868">
        <v>0</v>
      </c>
      <c r="N2868" s="98" t="str">
        <f>IF(record[[#This Row],[Memo]]="Browser:chrome os:android","平板報工",IF(record[[#This Row],[Memo]]=0,"委外",record[[#This Row],[Memo]]))</f>
        <v>補3/26出貨</v>
      </c>
      <c r="O2868" t="s">
        <v>1683</v>
      </c>
      <c r="P2868" t="s">
        <v>886</v>
      </c>
      <c r="Q2868" t="s">
        <v>58</v>
      </c>
      <c r="R2868" t="str">
        <f>IFERROR(VLOOKUP(record[[#This Row],[PCUSTID]],廠商[],2,FALSE),"")</f>
        <v/>
      </c>
      <c r="S2868" t="str">
        <f>VLOOKUP(record[[#This Row],[employeeID]],員工[],2,FALSE)</f>
        <v>謝蓁薰</v>
      </c>
    </row>
    <row r="2869" spans="6:19" hidden="1" x14ac:dyDescent="0.25">
      <c r="F2869" t="s">
        <v>1676</v>
      </c>
      <c r="G2869" t="s">
        <v>427</v>
      </c>
      <c r="H2869" t="str">
        <f>VLOOKUP(record[[#This Row],[ProcessSN]],表格2_7[],2,FALSE)</f>
        <v>30-4118-018-600</v>
      </c>
      <c r="I2869" t="str">
        <f>VLOOKUP(record[[#This Row],[ProcessSN]],表格2_7[],3,FALSE)</f>
        <v>#100STOCK</v>
      </c>
      <c r="J2869" t="s">
        <v>592</v>
      </c>
      <c r="K2869" s="195">
        <v>46108.351793981485</v>
      </c>
      <c r="L2869">
        <v>160</v>
      </c>
      <c r="M2869">
        <v>0</v>
      </c>
      <c r="N2869" s="98" t="str">
        <f>IF(record[[#This Row],[Memo]]="Browser:chrome os:android","平板報工",IF(record[[#This Row],[Memo]]=0,"委外",record[[#This Row],[Memo]]))</f>
        <v/>
      </c>
      <c r="O2869" t="s">
        <v>58</v>
      </c>
      <c r="P2869" t="s">
        <v>886</v>
      </c>
      <c r="Q2869" t="s">
        <v>58</v>
      </c>
      <c r="R2869" t="str">
        <f>IFERROR(VLOOKUP(record[[#This Row],[PCUSTID]],廠商[],2,FALSE),"")</f>
        <v/>
      </c>
      <c r="S2869" t="str">
        <f>VLOOKUP(record[[#This Row],[employeeID]],員工[],2,FALSE)</f>
        <v>謝蓁薰</v>
      </c>
    </row>
    <row r="2870" spans="6:19" hidden="1" x14ac:dyDescent="0.25">
      <c r="F2870" t="s">
        <v>1672</v>
      </c>
      <c r="G2870" t="s">
        <v>427</v>
      </c>
      <c r="H2870" t="str">
        <f>VLOOKUP(record[[#This Row],[ProcessSN]],表格2_7[],2,FALSE)</f>
        <v>30-4118-018-600</v>
      </c>
      <c r="I2870" t="str">
        <f>VLOOKUP(record[[#This Row],[ProcessSN]],表格2_7[],3,FALSE)</f>
        <v>#100STOCK</v>
      </c>
      <c r="J2870" t="s">
        <v>592</v>
      </c>
      <c r="K2870" s="195">
        <v>46108.351678240739</v>
      </c>
      <c r="L2870">
        <v>332</v>
      </c>
      <c r="M2870">
        <v>0</v>
      </c>
      <c r="N2870" s="98" t="str">
        <f>IF(record[[#This Row],[Memo]]="Browser:chrome os:android","平板報工",IF(record[[#This Row],[Memo]]=0,"委外",record[[#This Row],[Memo]]))</f>
        <v/>
      </c>
      <c r="O2870" t="s">
        <v>58</v>
      </c>
      <c r="P2870" t="s">
        <v>886</v>
      </c>
      <c r="Q2870" t="s">
        <v>58</v>
      </c>
      <c r="R2870" t="str">
        <f>IFERROR(VLOOKUP(record[[#This Row],[PCUSTID]],廠商[],2,FALSE),"")</f>
        <v/>
      </c>
      <c r="S2870" t="str">
        <f>VLOOKUP(record[[#This Row],[employeeID]],員工[],2,FALSE)</f>
        <v>謝蓁薰</v>
      </c>
    </row>
    <row r="2871" spans="6:19" hidden="1" x14ac:dyDescent="0.25">
      <c r="F2871" t="s">
        <v>1676</v>
      </c>
      <c r="G2871" t="s">
        <v>426</v>
      </c>
      <c r="H2871" t="str">
        <f>VLOOKUP(record[[#This Row],[ProcessSN]],表格2_7[],2,FALSE)</f>
        <v>30-4118-018-600</v>
      </c>
      <c r="I2871" t="str">
        <f>VLOOKUP(record[[#This Row],[ProcessSN]],表格2_7[],3,FALSE)</f>
        <v>#100OQC</v>
      </c>
      <c r="J2871" t="s">
        <v>599</v>
      </c>
      <c r="K2871" s="195">
        <v>46108.333287037036</v>
      </c>
      <c r="L2871">
        <v>160</v>
      </c>
      <c r="M2871">
        <v>0</v>
      </c>
      <c r="N2871" s="98" t="str">
        <f>IF(record[[#This Row],[Memo]]="Browser:chrome os:android","平板報工",IF(record[[#This Row],[Memo]]=0,"委外",record[[#This Row],[Memo]]))</f>
        <v/>
      </c>
      <c r="O2871" t="s">
        <v>58</v>
      </c>
      <c r="P2871" t="s">
        <v>121</v>
      </c>
      <c r="Q2871" t="s">
        <v>58</v>
      </c>
      <c r="R2871" t="str">
        <f>IFERROR(VLOOKUP(record[[#This Row],[PCUSTID]],廠商[],2,FALSE),"")</f>
        <v/>
      </c>
      <c r="S2871" t="str">
        <f>VLOOKUP(record[[#This Row],[employeeID]],員工[],2,FALSE)</f>
        <v>謝素卿</v>
      </c>
    </row>
    <row r="2872" spans="6:19" hidden="1" x14ac:dyDescent="0.25">
      <c r="F2872" t="s">
        <v>1672</v>
      </c>
      <c r="G2872" t="s">
        <v>426</v>
      </c>
      <c r="H2872" t="str">
        <f>VLOOKUP(record[[#This Row],[ProcessSN]],表格2_7[],2,FALSE)</f>
        <v>30-4118-018-600</v>
      </c>
      <c r="I2872" t="str">
        <f>VLOOKUP(record[[#This Row],[ProcessSN]],表格2_7[],3,FALSE)</f>
        <v>#100OQC</v>
      </c>
      <c r="J2872" t="s">
        <v>599</v>
      </c>
      <c r="K2872" s="195">
        <v>46108.333113425928</v>
      </c>
      <c r="L2872">
        <v>332</v>
      </c>
      <c r="M2872">
        <v>0</v>
      </c>
      <c r="N2872" s="98" t="str">
        <f>IF(record[[#This Row],[Memo]]="Browser:chrome os:android","平板報工",IF(record[[#This Row],[Memo]]=0,"委外",record[[#This Row],[Memo]]))</f>
        <v/>
      </c>
      <c r="O2872" t="s">
        <v>58</v>
      </c>
      <c r="P2872" t="s">
        <v>121</v>
      </c>
      <c r="Q2872" t="s">
        <v>58</v>
      </c>
      <c r="R2872" t="str">
        <f>IFERROR(VLOOKUP(record[[#This Row],[PCUSTID]],廠商[],2,FALSE),"")</f>
        <v/>
      </c>
      <c r="S2872" t="str">
        <f>VLOOKUP(record[[#This Row],[employeeID]],員工[],2,FALSE)</f>
        <v>謝素卿</v>
      </c>
    </row>
    <row r="2873" spans="6:19" hidden="1" x14ac:dyDescent="0.25">
      <c r="F2873" t="s">
        <v>1653</v>
      </c>
      <c r="G2873" t="s">
        <v>418</v>
      </c>
      <c r="H2873" t="str">
        <f>VLOOKUP(record[[#This Row],[ProcessSN]],表格2_7[],2,FALSE)</f>
        <v>30-4118-018-5XX</v>
      </c>
      <c r="I2873" t="str">
        <f>VLOOKUP(record[[#This Row],[ProcessSN]],表格2_7[],3,FALSE)</f>
        <v>#07</v>
      </c>
      <c r="J2873" t="s">
        <v>588</v>
      </c>
      <c r="K2873" s="195">
        <v>46108.30978009259</v>
      </c>
      <c r="L2873">
        <v>157</v>
      </c>
      <c r="M2873">
        <v>2</v>
      </c>
      <c r="N2873" s="98" t="str">
        <f>IF(record[[#This Row],[Memo]]="Browser:chrome os:android","平板報工",IF(record[[#This Row],[Memo]]=0,"委外",record[[#This Row],[Memo]]))</f>
        <v/>
      </c>
      <c r="O2873" t="s">
        <v>58</v>
      </c>
      <c r="P2873" t="s">
        <v>135</v>
      </c>
      <c r="Q2873" t="s">
        <v>58</v>
      </c>
      <c r="R2873" t="str">
        <f>IFERROR(VLOOKUP(record[[#This Row],[PCUSTID]],廠商[],2,FALSE),"")</f>
        <v/>
      </c>
      <c r="S2873" t="str">
        <f>VLOOKUP(record[[#This Row],[employeeID]],員工[],2,FALSE)</f>
        <v>阮士文</v>
      </c>
    </row>
    <row r="2874" spans="6:19" hidden="1" x14ac:dyDescent="0.25">
      <c r="F2874" t="s">
        <v>1587</v>
      </c>
      <c r="G2874" t="s">
        <v>376</v>
      </c>
      <c r="H2874" t="str">
        <f>VLOOKUP(record[[#This Row],[ProcessSN]],表格2_7[],2,FALSE)</f>
        <v>30-4118-018-4XX</v>
      </c>
      <c r="I2874" t="str">
        <f>VLOOKUP(record[[#This Row],[ProcessSN]],表格2_7[],3,FALSE)</f>
        <v>#06</v>
      </c>
      <c r="J2874" t="s">
        <v>593</v>
      </c>
      <c r="K2874" s="195">
        <v>46108.308229166665</v>
      </c>
      <c r="L2874">
        <v>67</v>
      </c>
      <c r="M2874">
        <v>0</v>
      </c>
      <c r="N2874" s="98" t="str">
        <f>IF(record[[#This Row],[Memo]]="Browser:chrome os:android","平板報工",IF(record[[#This Row],[Memo]]=0,"委外",record[[#This Row],[Memo]]))</f>
        <v/>
      </c>
      <c r="O2874" t="s">
        <v>58</v>
      </c>
      <c r="P2874" t="s">
        <v>188</v>
      </c>
      <c r="Q2874" t="s">
        <v>58</v>
      </c>
      <c r="R2874" t="str">
        <f>IFERROR(VLOOKUP(record[[#This Row],[PCUSTID]],廠商[],2,FALSE),"")</f>
        <v/>
      </c>
      <c r="S2874" t="str">
        <f>VLOOKUP(record[[#This Row],[employeeID]],員工[],2,FALSE)</f>
        <v>阮氏璧紅</v>
      </c>
    </row>
    <row r="2875" spans="6:19" hidden="1" x14ac:dyDescent="0.25">
      <c r="F2875" t="s">
        <v>1653</v>
      </c>
      <c r="G2875" t="s">
        <v>417</v>
      </c>
      <c r="H2875" t="str">
        <f>VLOOKUP(record[[#This Row],[ProcessSN]],表格2_7[],2,FALSE)</f>
        <v>30-4118-018-5XX</v>
      </c>
      <c r="I2875" t="str">
        <f>VLOOKUP(record[[#This Row],[ProcessSN]],表格2_7[],3,FALSE)</f>
        <v>#06</v>
      </c>
      <c r="J2875" t="s">
        <v>593</v>
      </c>
      <c r="K2875" s="195">
        <v>46108.306539351855</v>
      </c>
      <c r="L2875">
        <v>140</v>
      </c>
      <c r="M2875">
        <v>0</v>
      </c>
      <c r="N2875" s="98" t="str">
        <f>IF(record[[#This Row],[Memo]]="Browser:chrome os:android","平板報工",IF(record[[#This Row],[Memo]]=0,"委外",record[[#This Row],[Memo]]))</f>
        <v/>
      </c>
      <c r="O2875" t="s">
        <v>58</v>
      </c>
      <c r="P2875" t="s">
        <v>180</v>
      </c>
      <c r="Q2875" t="s">
        <v>58</v>
      </c>
      <c r="R2875" t="str">
        <f>IFERROR(VLOOKUP(record[[#This Row],[PCUSTID]],廠商[],2,FALSE),"")</f>
        <v/>
      </c>
      <c r="S2875" t="str">
        <f>VLOOKUP(record[[#This Row],[employeeID]],員工[],2,FALSE)</f>
        <v>黎功江</v>
      </c>
    </row>
    <row r="2876" spans="6:19" hidden="1" x14ac:dyDescent="0.25">
      <c r="F2876" t="s">
        <v>1637</v>
      </c>
      <c r="G2876" t="s">
        <v>448</v>
      </c>
      <c r="H2876" t="str">
        <f>VLOOKUP(record[[#This Row],[ProcessSN]],表格2_7[],2,FALSE)</f>
        <v>30-4118-018-6XX</v>
      </c>
      <c r="I2876" t="str">
        <f>VLOOKUP(record[[#This Row],[ProcessSN]],表格2_7[],3,FALSE)</f>
        <v>#04</v>
      </c>
      <c r="J2876" t="s">
        <v>588</v>
      </c>
      <c r="K2876" s="195">
        <v>46108.30636574074</v>
      </c>
      <c r="L2876">
        <v>115</v>
      </c>
      <c r="M2876">
        <v>0</v>
      </c>
      <c r="N2876" s="98" t="str">
        <f>IF(record[[#This Row],[Memo]]="Browser:chrome os:android","平板報工",IF(record[[#This Row],[Memo]]=0,"委外",record[[#This Row],[Memo]]))</f>
        <v/>
      </c>
      <c r="O2876" t="s">
        <v>58</v>
      </c>
      <c r="P2876" t="s">
        <v>180</v>
      </c>
      <c r="Q2876" t="s">
        <v>58</v>
      </c>
      <c r="R2876" t="str">
        <f>IFERROR(VLOOKUP(record[[#This Row],[PCUSTID]],廠商[],2,FALSE),"")</f>
        <v/>
      </c>
      <c r="S2876" t="str">
        <f>VLOOKUP(record[[#This Row],[employeeID]],員工[],2,FALSE)</f>
        <v>黎功江</v>
      </c>
    </row>
    <row r="2877" spans="6:19" hidden="1" x14ac:dyDescent="0.25">
      <c r="F2877" t="s">
        <v>1653</v>
      </c>
      <c r="G2877" t="s">
        <v>415</v>
      </c>
      <c r="H2877" t="str">
        <f>VLOOKUP(record[[#This Row],[ProcessSN]],表格2_7[],2,FALSE)</f>
        <v>30-4118-018-5XX</v>
      </c>
      <c r="I2877" t="str">
        <f>VLOOKUP(record[[#This Row],[ProcessSN]],表格2_7[],3,FALSE)</f>
        <v>#04</v>
      </c>
      <c r="J2877" t="s">
        <v>588</v>
      </c>
      <c r="K2877" s="195">
        <v>46108.306250000001</v>
      </c>
      <c r="L2877">
        <v>134</v>
      </c>
      <c r="M2877">
        <v>0</v>
      </c>
      <c r="N2877" s="98" t="str">
        <f>IF(record[[#This Row],[Memo]]="Browser:chrome os:android","平板報工",IF(record[[#This Row],[Memo]]=0,"委外",record[[#This Row],[Memo]]))</f>
        <v/>
      </c>
      <c r="O2877" t="s">
        <v>58</v>
      </c>
      <c r="P2877" t="s">
        <v>180</v>
      </c>
      <c r="Q2877" t="s">
        <v>58</v>
      </c>
      <c r="R2877" t="str">
        <f>IFERROR(VLOOKUP(record[[#This Row],[PCUSTID]],廠商[],2,FALSE),"")</f>
        <v/>
      </c>
      <c r="S2877" t="str">
        <f>VLOOKUP(record[[#This Row],[employeeID]],員工[],2,FALSE)</f>
        <v>黎功江</v>
      </c>
    </row>
    <row r="2878" spans="6:19" hidden="1" x14ac:dyDescent="0.25">
      <c r="F2878" t="s">
        <v>1589</v>
      </c>
      <c r="G2878" t="s">
        <v>418</v>
      </c>
      <c r="H2878" t="str">
        <f>VLOOKUP(record[[#This Row],[ProcessSN]],表格2_7[],2,FALSE)</f>
        <v>30-4118-018-5XX</v>
      </c>
      <c r="I2878" t="str">
        <f>VLOOKUP(record[[#This Row],[ProcessSN]],表格2_7[],3,FALSE)</f>
        <v>#07</v>
      </c>
      <c r="J2878" t="s">
        <v>588</v>
      </c>
      <c r="K2878" s="195">
        <v>46108.00509259259</v>
      </c>
      <c r="L2878">
        <v>185</v>
      </c>
      <c r="M2878">
        <v>0</v>
      </c>
      <c r="N2878" s="98" t="str">
        <f>IF(record[[#This Row],[Memo]]="Browser:chrome os:android","平板報工",IF(record[[#This Row],[Memo]]=0,"委外",record[[#This Row],[Memo]]))</f>
        <v/>
      </c>
      <c r="O2878" t="s">
        <v>58</v>
      </c>
      <c r="P2878" t="s">
        <v>89</v>
      </c>
      <c r="Q2878" t="s">
        <v>58</v>
      </c>
      <c r="R2878" t="str">
        <f>IFERROR(VLOOKUP(record[[#This Row],[PCUSTID]],廠商[],2,FALSE),"")</f>
        <v/>
      </c>
      <c r="S2878" t="str">
        <f>VLOOKUP(record[[#This Row],[employeeID]],員工[],2,FALSE)</f>
        <v>李美蓮</v>
      </c>
    </row>
    <row r="2879" spans="6:19" hidden="1" x14ac:dyDescent="0.25">
      <c r="F2879" t="s">
        <v>1653</v>
      </c>
      <c r="G2879" t="s">
        <v>417</v>
      </c>
      <c r="H2879" t="str">
        <f>VLOOKUP(record[[#This Row],[ProcessSN]],表格2_7[],2,FALSE)</f>
        <v>30-4118-018-5XX</v>
      </c>
      <c r="I2879" t="str">
        <f>VLOOKUP(record[[#This Row],[ProcessSN]],表格2_7[],3,FALSE)</f>
        <v>#06</v>
      </c>
      <c r="J2879" t="s">
        <v>593</v>
      </c>
      <c r="K2879" s="195">
        <v>46107.995486111111</v>
      </c>
      <c r="L2879">
        <v>123</v>
      </c>
      <c r="M2879">
        <v>0</v>
      </c>
      <c r="N2879" s="98" t="str">
        <f>IF(record[[#This Row],[Memo]]="Browser:chrome os:android","平板報工",IF(record[[#This Row],[Memo]]=0,"委外",record[[#This Row],[Memo]]))</f>
        <v/>
      </c>
      <c r="O2879" t="s">
        <v>58</v>
      </c>
      <c r="P2879" t="s">
        <v>176</v>
      </c>
      <c r="Q2879" t="s">
        <v>58</v>
      </c>
      <c r="R2879" t="str">
        <f>IFERROR(VLOOKUP(record[[#This Row],[PCUSTID]],廠商[],2,FALSE),"")</f>
        <v/>
      </c>
      <c r="S2879" t="str">
        <f>VLOOKUP(record[[#This Row],[employeeID]],員工[],2,FALSE)</f>
        <v>郭政雄</v>
      </c>
    </row>
    <row r="2880" spans="6:19" hidden="1" x14ac:dyDescent="0.25">
      <c r="F2880" t="s">
        <v>1637</v>
      </c>
      <c r="G2880" t="s">
        <v>448</v>
      </c>
      <c r="H2880" t="str">
        <f>VLOOKUP(record[[#This Row],[ProcessSN]],表格2_7[],2,FALSE)</f>
        <v>30-4118-018-6XX</v>
      </c>
      <c r="I2880" t="str">
        <f>VLOOKUP(record[[#This Row],[ProcessSN]],表格2_7[],3,FALSE)</f>
        <v>#04</v>
      </c>
      <c r="J2880" t="s">
        <v>588</v>
      </c>
      <c r="K2880" s="195">
        <v>46107.994525462964</v>
      </c>
      <c r="L2880">
        <v>106</v>
      </c>
      <c r="M2880">
        <v>0</v>
      </c>
      <c r="N2880" s="98" t="str">
        <f>IF(record[[#This Row],[Memo]]="Browser:chrome os:android","平板報工",IF(record[[#This Row],[Memo]]=0,"委外",record[[#This Row],[Memo]]))</f>
        <v/>
      </c>
      <c r="O2880" t="s">
        <v>58</v>
      </c>
      <c r="P2880" t="s">
        <v>176</v>
      </c>
      <c r="Q2880" t="s">
        <v>58</v>
      </c>
      <c r="R2880" t="str">
        <f>IFERROR(VLOOKUP(record[[#This Row],[PCUSTID]],廠商[],2,FALSE),"")</f>
        <v/>
      </c>
      <c r="S2880" t="str">
        <f>VLOOKUP(record[[#This Row],[employeeID]],員工[],2,FALSE)</f>
        <v>郭政雄</v>
      </c>
    </row>
    <row r="2881" spans="6:19" hidden="1" x14ac:dyDescent="0.25">
      <c r="F2881" t="s">
        <v>1653</v>
      </c>
      <c r="G2881" t="s">
        <v>415</v>
      </c>
      <c r="H2881" t="str">
        <f>VLOOKUP(record[[#This Row],[ProcessSN]],表格2_7[],2,FALSE)</f>
        <v>30-4118-018-5XX</v>
      </c>
      <c r="I2881" t="str">
        <f>VLOOKUP(record[[#This Row],[ProcessSN]],表格2_7[],3,FALSE)</f>
        <v>#04</v>
      </c>
      <c r="J2881" t="s">
        <v>588</v>
      </c>
      <c r="K2881" s="195">
        <v>46107.993668981479</v>
      </c>
      <c r="L2881">
        <v>122</v>
      </c>
      <c r="M2881">
        <v>0</v>
      </c>
      <c r="N2881" s="98" t="str">
        <f>IF(record[[#This Row],[Memo]]="Browser:chrome os:android","平板報工",IF(record[[#This Row],[Memo]]=0,"委外",record[[#This Row],[Memo]]))</f>
        <v/>
      </c>
      <c r="O2881" t="s">
        <v>58</v>
      </c>
      <c r="P2881" t="s">
        <v>176</v>
      </c>
      <c r="Q2881" t="s">
        <v>58</v>
      </c>
      <c r="R2881" t="str">
        <f>IFERROR(VLOOKUP(record[[#This Row],[PCUSTID]],廠商[],2,FALSE),"")</f>
        <v/>
      </c>
      <c r="S2881" t="str">
        <f>VLOOKUP(record[[#This Row],[employeeID]],員工[],2,FALSE)</f>
        <v>郭政雄</v>
      </c>
    </row>
    <row r="2882" spans="6:19" hidden="1" x14ac:dyDescent="0.25">
      <c r="F2882" t="s">
        <v>1653</v>
      </c>
      <c r="G2882" t="s">
        <v>418</v>
      </c>
      <c r="H2882" t="str">
        <f>VLOOKUP(record[[#This Row],[ProcessSN]],表格2_7[],2,FALSE)</f>
        <v>30-4118-018-5XX</v>
      </c>
      <c r="I2882" t="str">
        <f>VLOOKUP(record[[#This Row],[ProcessSN]],表格2_7[],3,FALSE)</f>
        <v>#07</v>
      </c>
      <c r="J2882" t="s">
        <v>588</v>
      </c>
      <c r="K2882" s="195">
        <v>46107.991759259261</v>
      </c>
      <c r="L2882">
        <v>24</v>
      </c>
      <c r="M2882">
        <v>1</v>
      </c>
      <c r="N2882" s="98" t="str">
        <f>IF(record[[#This Row],[Memo]]="Browser:chrome os:android","平板報工",IF(record[[#This Row],[Memo]]=0,"委外",record[[#This Row],[Memo]]))</f>
        <v/>
      </c>
      <c r="O2882" t="s">
        <v>58</v>
      </c>
      <c r="P2882" t="s">
        <v>89</v>
      </c>
      <c r="Q2882" t="s">
        <v>58</v>
      </c>
      <c r="R2882" t="str">
        <f>IFERROR(VLOOKUP(record[[#This Row],[PCUSTID]],廠商[],2,FALSE),"")</f>
        <v/>
      </c>
      <c r="S2882" t="str">
        <f>VLOOKUP(record[[#This Row],[employeeID]],員工[],2,FALSE)</f>
        <v>李美蓮</v>
      </c>
    </row>
    <row r="2883" spans="6:19" hidden="1" x14ac:dyDescent="0.25">
      <c r="F2883" t="s">
        <v>1587</v>
      </c>
      <c r="G2883" t="s">
        <v>376</v>
      </c>
      <c r="H2883" t="str">
        <f>VLOOKUP(record[[#This Row],[ProcessSN]],表格2_7[],2,FALSE)</f>
        <v>30-4118-018-4XX</v>
      </c>
      <c r="I2883" t="str">
        <f>VLOOKUP(record[[#This Row],[ProcessSN]],表格2_7[],3,FALSE)</f>
        <v>#06</v>
      </c>
      <c r="J2883" t="s">
        <v>593</v>
      </c>
      <c r="K2883" s="195">
        <v>46107.82849537037</v>
      </c>
      <c r="L2883">
        <v>67</v>
      </c>
      <c r="M2883">
        <v>0</v>
      </c>
      <c r="N2883" s="98" t="str">
        <f>IF(record[[#This Row],[Memo]]="Browser:chrome os:android","平板報工",IF(record[[#This Row],[Memo]]=0,"委外",record[[#This Row],[Memo]]))</f>
        <v>平板報工</v>
      </c>
      <c r="O2883" t="s">
        <v>643</v>
      </c>
      <c r="P2883" t="s">
        <v>1413</v>
      </c>
      <c r="Q2883" t="s">
        <v>644</v>
      </c>
      <c r="R2883" t="str">
        <f>IFERROR(VLOOKUP(record[[#This Row],[PCUSTID]],廠商[],2,FALSE),"")</f>
        <v/>
      </c>
      <c r="S2883" t="str">
        <f>VLOOKUP(record[[#This Row],[employeeID]],員工[],2,FALSE)</f>
        <v>阮氏芳英(芳)</v>
      </c>
    </row>
    <row r="2884" spans="6:19" hidden="1" x14ac:dyDescent="0.25">
      <c r="F2884" t="s">
        <v>1676</v>
      </c>
      <c r="G2884" t="s">
        <v>425</v>
      </c>
      <c r="H2884" t="str">
        <f>VLOOKUP(record[[#This Row],[ProcessSN]],表格2_7[],2,FALSE)</f>
        <v>30-4118-018-600</v>
      </c>
      <c r="I2884" t="str">
        <f>VLOOKUP(record[[#This Row],[ProcessSN]],表格2_7[],3,FALSE)</f>
        <v>#100</v>
      </c>
      <c r="J2884" t="s">
        <v>598</v>
      </c>
      <c r="K2884" s="195">
        <v>46107.810312499998</v>
      </c>
      <c r="L2884">
        <v>160</v>
      </c>
      <c r="M2884">
        <v>0</v>
      </c>
      <c r="N2884" s="98" t="str">
        <f>IF(record[[#This Row],[Memo]]="Browser:chrome os:android","平板報工",IF(record[[#This Row],[Memo]]=0,"委外",record[[#This Row],[Memo]]))</f>
        <v/>
      </c>
      <c r="O2884" t="s">
        <v>58</v>
      </c>
      <c r="P2884" t="s">
        <v>141</v>
      </c>
      <c r="Q2884" t="s">
        <v>58</v>
      </c>
      <c r="R2884" t="str">
        <f>IFERROR(VLOOKUP(record[[#This Row],[PCUSTID]],廠商[],2,FALSE),"")</f>
        <v/>
      </c>
      <c r="S2884" t="str">
        <f>VLOOKUP(record[[#This Row],[employeeID]],員工[],2,FALSE)</f>
        <v>蔣梅</v>
      </c>
    </row>
    <row r="2885" spans="6:19" hidden="1" x14ac:dyDescent="0.25">
      <c r="F2885" t="s">
        <v>1672</v>
      </c>
      <c r="G2885" t="s">
        <v>425</v>
      </c>
      <c r="H2885" t="str">
        <f>VLOOKUP(record[[#This Row],[ProcessSN]],表格2_7[],2,FALSE)</f>
        <v>30-4118-018-600</v>
      </c>
      <c r="I2885" t="str">
        <f>VLOOKUP(record[[#This Row],[ProcessSN]],表格2_7[],3,FALSE)</f>
        <v>#100</v>
      </c>
      <c r="J2885" t="s">
        <v>598</v>
      </c>
      <c r="K2885" s="195">
        <v>46107.809814814813</v>
      </c>
      <c r="L2885">
        <v>104</v>
      </c>
      <c r="M2885">
        <v>0</v>
      </c>
      <c r="N2885" s="98" t="str">
        <f>IF(record[[#This Row],[Memo]]="Browser:chrome os:android","平板報工",IF(record[[#This Row],[Memo]]=0,"委外",record[[#This Row],[Memo]]))</f>
        <v/>
      </c>
      <c r="O2885" t="s">
        <v>58</v>
      </c>
      <c r="P2885" t="s">
        <v>141</v>
      </c>
      <c r="Q2885" t="s">
        <v>58</v>
      </c>
      <c r="R2885" t="str">
        <f>IFERROR(VLOOKUP(record[[#This Row],[PCUSTID]],廠商[],2,FALSE),"")</f>
        <v/>
      </c>
      <c r="S2885" t="str">
        <f>VLOOKUP(record[[#This Row],[employeeID]],員工[],2,FALSE)</f>
        <v>蔣梅</v>
      </c>
    </row>
    <row r="2886" spans="6:19" hidden="1" x14ac:dyDescent="0.25">
      <c r="F2886" t="s">
        <v>1672</v>
      </c>
      <c r="G2886" t="s">
        <v>425</v>
      </c>
      <c r="H2886" t="str">
        <f>VLOOKUP(record[[#This Row],[ProcessSN]],表格2_7[],2,FALSE)</f>
        <v>30-4118-018-600</v>
      </c>
      <c r="I2886" t="str">
        <f>VLOOKUP(record[[#This Row],[ProcessSN]],表格2_7[],3,FALSE)</f>
        <v>#100</v>
      </c>
      <c r="J2886" t="s">
        <v>598</v>
      </c>
      <c r="K2886" s="195">
        <v>46107.809583333335</v>
      </c>
      <c r="L2886">
        <v>228</v>
      </c>
      <c r="M2886">
        <v>0</v>
      </c>
      <c r="N2886" s="98" t="str">
        <f>IF(record[[#This Row],[Memo]]="Browser:chrome os:android","平板報工",IF(record[[#This Row],[Memo]]=0,"委外",record[[#This Row],[Memo]]))</f>
        <v/>
      </c>
      <c r="O2886" t="s">
        <v>58</v>
      </c>
      <c r="P2886" t="s">
        <v>99</v>
      </c>
      <c r="Q2886" t="s">
        <v>58</v>
      </c>
      <c r="R2886" t="str">
        <f>IFERROR(VLOOKUP(record[[#This Row],[PCUSTID]],廠商[],2,FALSE),"")</f>
        <v/>
      </c>
      <c r="S2886" t="str">
        <f>VLOOKUP(record[[#This Row],[employeeID]],員工[],2,FALSE)</f>
        <v>阮氏河</v>
      </c>
    </row>
    <row r="2887" spans="6:19" hidden="1" x14ac:dyDescent="0.25">
      <c r="F2887" t="s">
        <v>1660</v>
      </c>
      <c r="G2887" t="s">
        <v>399</v>
      </c>
      <c r="H2887" t="str">
        <f>VLOOKUP(record[[#This Row],[ProcessSN]],表格2_7[],2,FALSE)</f>
        <v>30-4118-018-550</v>
      </c>
      <c r="I2887" t="str">
        <f>VLOOKUP(record[[#This Row],[ProcessSN]],表格2_7[],3,FALSE)</f>
        <v>#08IQC</v>
      </c>
      <c r="J2887" t="s">
        <v>583</v>
      </c>
      <c r="K2887" s="195">
        <v>46107.792025462964</v>
      </c>
      <c r="L2887">
        <v>337</v>
      </c>
      <c r="M2887">
        <v>0</v>
      </c>
      <c r="N2887" s="98" t="str">
        <f>IF(record[[#This Row],[Memo]]="Browser:chrome os:android","平板報工",IF(record[[#This Row],[Memo]]=0,"委外",record[[#This Row],[Memo]]))</f>
        <v/>
      </c>
      <c r="O2887" t="s">
        <v>58</v>
      </c>
      <c r="P2887" t="s">
        <v>109</v>
      </c>
      <c r="Q2887" t="s">
        <v>58</v>
      </c>
      <c r="R2887" t="str">
        <f>IFERROR(VLOOKUP(record[[#This Row],[PCUSTID]],廠商[],2,FALSE),"")</f>
        <v/>
      </c>
      <c r="S2887" t="str">
        <f>VLOOKUP(record[[#This Row],[employeeID]],員工[],2,FALSE)</f>
        <v>裴氏璧鳳</v>
      </c>
    </row>
    <row r="2888" spans="6:19" hidden="1" x14ac:dyDescent="0.25">
      <c r="F2888" t="s">
        <v>1587</v>
      </c>
      <c r="G2888" t="s">
        <v>376</v>
      </c>
      <c r="H2888" t="str">
        <f>VLOOKUP(record[[#This Row],[ProcessSN]],表格2_7[],2,FALSE)</f>
        <v>30-4118-018-4XX</v>
      </c>
      <c r="I2888" t="str">
        <f>VLOOKUP(record[[#This Row],[ProcessSN]],表格2_7[],3,FALSE)</f>
        <v>#06</v>
      </c>
      <c r="J2888" t="s">
        <v>593</v>
      </c>
      <c r="K2888" s="195">
        <v>46107.704305555555</v>
      </c>
      <c r="L2888">
        <v>52</v>
      </c>
      <c r="M2888">
        <v>1</v>
      </c>
      <c r="N2888" s="98" t="str">
        <f>IF(record[[#This Row],[Memo]]="Browser:chrome os:android","平板報工",IF(record[[#This Row],[Memo]]=0,"委外",record[[#This Row],[Memo]]))</f>
        <v/>
      </c>
      <c r="O2888" t="s">
        <v>58</v>
      </c>
      <c r="P2888" t="s">
        <v>101</v>
      </c>
      <c r="Q2888" t="s">
        <v>58</v>
      </c>
      <c r="R2888" t="str">
        <f>IFERROR(VLOOKUP(record[[#This Row],[PCUSTID]],廠商[],2,FALSE),"")</f>
        <v/>
      </c>
      <c r="S2888" t="str">
        <f>VLOOKUP(record[[#This Row],[employeeID]],員工[],2,FALSE)</f>
        <v>陳氏絨</v>
      </c>
    </row>
    <row r="2889" spans="6:19" hidden="1" x14ac:dyDescent="0.25">
      <c r="F2889" t="s">
        <v>1676</v>
      </c>
      <c r="G2889" t="s">
        <v>424</v>
      </c>
      <c r="H2889" t="str">
        <f>VLOOKUP(record[[#This Row],[ProcessSN]],表格2_7[],2,FALSE)</f>
        <v>30-4118-018-600</v>
      </c>
      <c r="I2889" t="str">
        <f>VLOOKUP(record[[#This Row],[ProcessSN]],表格2_7[],3,FALSE)</f>
        <v>#08IQC</v>
      </c>
      <c r="J2889" t="s">
        <v>583</v>
      </c>
      <c r="K2889" s="195">
        <v>46107.673425925925</v>
      </c>
      <c r="L2889">
        <v>391</v>
      </c>
      <c r="M2889">
        <v>0</v>
      </c>
      <c r="N2889" s="98" t="str">
        <f>IF(record[[#This Row],[Memo]]="Browser:chrome os:android","平板報工",IF(record[[#This Row],[Memo]]=0,"委外",record[[#This Row],[Memo]]))</f>
        <v/>
      </c>
      <c r="O2889" t="s">
        <v>58</v>
      </c>
      <c r="P2889" t="s">
        <v>109</v>
      </c>
      <c r="Q2889" t="s">
        <v>58</v>
      </c>
      <c r="R2889" t="str">
        <f>IFERROR(VLOOKUP(record[[#This Row],[PCUSTID]],廠商[],2,FALSE),"")</f>
        <v/>
      </c>
      <c r="S2889" t="str">
        <f>VLOOKUP(record[[#This Row],[employeeID]],員工[],2,FALSE)</f>
        <v>裴氏璧鳳</v>
      </c>
    </row>
    <row r="2890" spans="6:19" hidden="1" x14ac:dyDescent="0.25">
      <c r="F2890" t="s">
        <v>1672</v>
      </c>
      <c r="G2890" t="s">
        <v>424</v>
      </c>
      <c r="H2890" t="str">
        <f>VLOOKUP(record[[#This Row],[ProcessSN]],表格2_7[],2,FALSE)</f>
        <v>30-4118-018-600</v>
      </c>
      <c r="I2890" t="str">
        <f>VLOOKUP(record[[#This Row],[ProcessSN]],表格2_7[],3,FALSE)</f>
        <v>#08IQC</v>
      </c>
      <c r="J2890" t="s">
        <v>583</v>
      </c>
      <c r="K2890" s="195">
        <v>46107.673217592594</v>
      </c>
      <c r="L2890">
        <v>332</v>
      </c>
      <c r="M2890">
        <v>0</v>
      </c>
      <c r="N2890" s="98" t="str">
        <f>IF(record[[#This Row],[Memo]]="Browser:chrome os:android","平板報工",IF(record[[#This Row],[Memo]]=0,"委外",record[[#This Row],[Memo]]))</f>
        <v/>
      </c>
      <c r="O2890" t="s">
        <v>58</v>
      </c>
      <c r="P2890" t="s">
        <v>109</v>
      </c>
      <c r="Q2890" t="s">
        <v>58</v>
      </c>
      <c r="R2890" t="str">
        <f>IFERROR(VLOOKUP(record[[#This Row],[PCUSTID]],廠商[],2,FALSE),"")</f>
        <v/>
      </c>
      <c r="S2890" t="str">
        <f>VLOOKUP(record[[#This Row],[employeeID]],員工[],2,FALSE)</f>
        <v>裴氏璧鳳</v>
      </c>
    </row>
    <row r="2891" spans="6:19" hidden="1" x14ac:dyDescent="0.25">
      <c r="F2891" t="s">
        <v>1660</v>
      </c>
      <c r="G2891" t="s">
        <v>398</v>
      </c>
      <c r="H2891" t="str">
        <f>VLOOKUP(record[[#This Row],[ProcessSN]],表格2_7[],2,FALSE)</f>
        <v>30-4118-018-550</v>
      </c>
      <c r="I2891" t="str">
        <f>VLOOKUP(record[[#This Row],[ProcessSN]],表格2_7[],3,FALSE)</f>
        <v>#08RCV</v>
      </c>
      <c r="J2891" t="s">
        <v>591</v>
      </c>
      <c r="K2891" s="195">
        <v>46107.673055555555</v>
      </c>
      <c r="L2891">
        <v>337</v>
      </c>
      <c r="M2891">
        <v>0</v>
      </c>
      <c r="N2891" s="98" t="str">
        <f>IF(record[[#This Row],[Memo]]="Browser:chrome os:android","平板報工",IF(record[[#This Row],[Memo]]=0,"委外",record[[#This Row],[Memo]]))</f>
        <v/>
      </c>
      <c r="O2891" t="s">
        <v>58</v>
      </c>
      <c r="P2891" t="s">
        <v>186</v>
      </c>
      <c r="Q2891" t="s">
        <v>58</v>
      </c>
      <c r="R2891" t="str">
        <f>IFERROR(VLOOKUP(record[[#This Row],[PCUSTID]],廠商[],2,FALSE),"")</f>
        <v/>
      </c>
      <c r="S2891" t="str">
        <f>VLOOKUP(record[[#This Row],[employeeID]],員工[],2,FALSE)</f>
        <v>許文姍</v>
      </c>
    </row>
    <row r="2892" spans="6:19" hidden="1" x14ac:dyDescent="0.25">
      <c r="F2892" t="s">
        <v>1672</v>
      </c>
      <c r="G2892" t="s">
        <v>423</v>
      </c>
      <c r="H2892" t="str">
        <f>VLOOKUP(record[[#This Row],[ProcessSN]],表格2_7[],2,FALSE)</f>
        <v>30-4118-018-600</v>
      </c>
      <c r="I2892" t="str">
        <f>VLOOKUP(record[[#This Row],[ProcessSN]],表格2_7[],3,FALSE)</f>
        <v>#08RCV</v>
      </c>
      <c r="J2892" t="s">
        <v>591</v>
      </c>
      <c r="K2892" s="195">
        <v>46107.672476851854</v>
      </c>
      <c r="L2892">
        <v>332</v>
      </c>
      <c r="M2892">
        <v>0</v>
      </c>
      <c r="N2892" s="98" t="str">
        <f>IF(record[[#This Row],[Memo]]="Browser:chrome os:android","平板報工",IF(record[[#This Row],[Memo]]=0,"委外",record[[#This Row],[Memo]]))</f>
        <v/>
      </c>
      <c r="O2892" t="s">
        <v>58</v>
      </c>
      <c r="P2892" t="s">
        <v>186</v>
      </c>
      <c r="Q2892" t="s">
        <v>58</v>
      </c>
      <c r="R2892" t="str">
        <f>IFERROR(VLOOKUP(record[[#This Row],[PCUSTID]],廠商[],2,FALSE),"")</f>
        <v/>
      </c>
      <c r="S2892" t="str">
        <f>VLOOKUP(record[[#This Row],[employeeID]],員工[],2,FALSE)</f>
        <v>許文姍</v>
      </c>
    </row>
    <row r="2893" spans="6:19" hidden="1" x14ac:dyDescent="0.25">
      <c r="F2893" t="s">
        <v>1676</v>
      </c>
      <c r="G2893" t="s">
        <v>423</v>
      </c>
      <c r="H2893" t="str">
        <f>VLOOKUP(record[[#This Row],[ProcessSN]],表格2_7[],2,FALSE)</f>
        <v>30-4118-018-600</v>
      </c>
      <c r="I2893" t="str">
        <f>VLOOKUP(record[[#This Row],[ProcessSN]],表格2_7[],3,FALSE)</f>
        <v>#08RCV</v>
      </c>
      <c r="J2893" t="s">
        <v>591</v>
      </c>
      <c r="K2893" s="195">
        <v>46107.670324074075</v>
      </c>
      <c r="L2893">
        <v>391</v>
      </c>
      <c r="M2893">
        <v>0</v>
      </c>
      <c r="N2893" s="98" t="str">
        <f>IF(record[[#This Row],[Memo]]="Browser:chrome os:android","平板報工",IF(record[[#This Row],[Memo]]=0,"委外",record[[#This Row],[Memo]]))</f>
        <v/>
      </c>
      <c r="O2893" t="s">
        <v>58</v>
      </c>
      <c r="P2893" t="s">
        <v>186</v>
      </c>
      <c r="Q2893" t="s">
        <v>58</v>
      </c>
      <c r="R2893" t="str">
        <f>IFERROR(VLOOKUP(record[[#This Row],[PCUSTID]],廠商[],2,FALSE),"")</f>
        <v/>
      </c>
      <c r="S2893" t="str">
        <f>VLOOKUP(record[[#This Row],[employeeID]],員工[],2,FALSE)</f>
        <v>許文姍</v>
      </c>
    </row>
    <row r="2894" spans="6:19" hidden="1" x14ac:dyDescent="0.25">
      <c r="F2894" t="s">
        <v>1653</v>
      </c>
      <c r="G2894" t="s">
        <v>415</v>
      </c>
      <c r="H2894" t="str">
        <f>VLOOKUP(record[[#This Row],[ProcessSN]],表格2_7[],2,FALSE)</f>
        <v>30-4118-018-5XX</v>
      </c>
      <c r="I2894" t="str">
        <f>VLOOKUP(record[[#This Row],[ProcessSN]],表格2_7[],3,FALSE)</f>
        <v>#04</v>
      </c>
      <c r="J2894" t="s">
        <v>588</v>
      </c>
      <c r="K2894" s="195">
        <v>46107.659421296295</v>
      </c>
      <c r="L2894">
        <v>46</v>
      </c>
      <c r="M2894">
        <v>18</v>
      </c>
      <c r="N2894" s="98" t="str">
        <f>IF(record[[#This Row],[Memo]]="Browser:chrome os:android","平板報工",IF(record[[#This Row],[Memo]]=0,"委外",record[[#This Row],[Memo]]))</f>
        <v>修改3/24報工數量</v>
      </c>
      <c r="O2894" t="s">
        <v>1681</v>
      </c>
      <c r="P2894" t="s">
        <v>176</v>
      </c>
      <c r="Q2894" t="s">
        <v>58</v>
      </c>
      <c r="R2894" t="str">
        <f>IFERROR(VLOOKUP(record[[#This Row],[PCUSTID]],廠商[],2,FALSE),"")</f>
        <v/>
      </c>
      <c r="S2894" t="str">
        <f>VLOOKUP(record[[#This Row],[employeeID]],員工[],2,FALSE)</f>
        <v>郭政雄</v>
      </c>
    </row>
    <row r="2895" spans="6:19" hidden="1" x14ac:dyDescent="0.25">
      <c r="F2895" t="s">
        <v>1680</v>
      </c>
      <c r="G2895" t="s">
        <v>422</v>
      </c>
      <c r="H2895" t="str">
        <f>VLOOKUP(record[[#This Row],[ProcessSN]],表格2_7[],2,FALSE)</f>
        <v>30-4118-018-600</v>
      </c>
      <c r="I2895" t="str">
        <f>VLOOKUP(record[[#This Row],[ProcessSN]],表格2_7[],3,FALSE)</f>
        <v>#08</v>
      </c>
      <c r="J2895" t="s">
        <v>597</v>
      </c>
      <c r="K2895" s="195">
        <v>46107.659039351849</v>
      </c>
      <c r="L2895">
        <v>282</v>
      </c>
      <c r="M2895">
        <v>0</v>
      </c>
      <c r="N2895" s="98" t="str">
        <f>IF(record[[#This Row],[Memo]]="Browser:chrome os:android","平板報工",IF(record[[#This Row],[Memo]]=0,"委外",record[[#This Row],[Memo]]))</f>
        <v>委外</v>
      </c>
      <c r="P2895" t="s">
        <v>186</v>
      </c>
      <c r="Q2895" t="s">
        <v>287</v>
      </c>
      <c r="R2895" t="str">
        <f>IFERROR(VLOOKUP(record[[#This Row],[PCUSTID]],廠商[],2,FALSE),"")</f>
        <v>泉盛</v>
      </c>
      <c r="S2895" t="str">
        <f>VLOOKUP(record[[#This Row],[employeeID]],員工[],2,FALSE)</f>
        <v>許文姍</v>
      </c>
    </row>
    <row r="2896" spans="6:19" hidden="1" x14ac:dyDescent="0.25">
      <c r="F2896" t="s">
        <v>1680</v>
      </c>
      <c r="G2896" t="s">
        <v>421</v>
      </c>
      <c r="H2896" t="str">
        <f>VLOOKUP(record[[#This Row],[ProcessSN]],表格2_7[],2,FALSE)</f>
        <v>30-4118-018-600</v>
      </c>
      <c r="I2896" t="str">
        <f>VLOOKUP(record[[#This Row],[ProcessSN]],表格2_7[],3,FALSE)</f>
        <v>#08PICK</v>
      </c>
      <c r="J2896" t="s">
        <v>582</v>
      </c>
      <c r="K2896" s="195">
        <v>46107.658796296295</v>
      </c>
      <c r="L2896">
        <v>282</v>
      </c>
      <c r="M2896">
        <v>0</v>
      </c>
      <c r="N2896" s="98" t="str">
        <f>IF(record[[#This Row],[Memo]]="Browser:chrome os:android","平板報工",IF(record[[#This Row],[Memo]]=0,"委外",record[[#This Row],[Memo]]))</f>
        <v/>
      </c>
      <c r="O2896" t="s">
        <v>58</v>
      </c>
      <c r="P2896" t="s">
        <v>186</v>
      </c>
      <c r="Q2896" t="s">
        <v>58</v>
      </c>
      <c r="R2896" t="str">
        <f>IFERROR(VLOOKUP(record[[#This Row],[PCUSTID]],廠商[],2,FALSE),"")</f>
        <v/>
      </c>
      <c r="S2896" t="str">
        <f>VLOOKUP(record[[#This Row],[employeeID]],員工[],2,FALSE)</f>
        <v>許文姍</v>
      </c>
    </row>
    <row r="2897" spans="6:19" hidden="1" x14ac:dyDescent="0.25">
      <c r="F2897" t="s">
        <v>1639</v>
      </c>
      <c r="G2897" t="s">
        <v>428</v>
      </c>
      <c r="H2897" t="str">
        <f>VLOOKUP(record[[#This Row],[ProcessSN]],表格2_7[],2,FALSE)</f>
        <v>30-4118-018-600</v>
      </c>
      <c r="I2897" t="str">
        <f>VLOOKUP(record[[#This Row],[ProcessSN]],表格2_7[],3,FALSE)</f>
        <v>#100SHIP</v>
      </c>
      <c r="J2897" t="s">
        <v>600</v>
      </c>
      <c r="K2897" s="195">
        <v>46107.652789351851</v>
      </c>
      <c r="L2897">
        <v>181</v>
      </c>
      <c r="M2897">
        <v>0</v>
      </c>
      <c r="N2897" s="98" t="str">
        <f>IF(record[[#This Row],[Memo]]="Browser:chrome os:android","平板報工",IF(record[[#This Row],[Memo]]=0,"委外",record[[#This Row],[Memo]]))</f>
        <v/>
      </c>
      <c r="O2897" t="s">
        <v>58</v>
      </c>
      <c r="P2897" t="s">
        <v>886</v>
      </c>
      <c r="Q2897" t="s">
        <v>58</v>
      </c>
      <c r="R2897" t="str">
        <f>IFERROR(VLOOKUP(record[[#This Row],[PCUSTID]],廠商[],2,FALSE),"")</f>
        <v/>
      </c>
      <c r="S2897" t="str">
        <f>VLOOKUP(record[[#This Row],[employeeID]],員工[],2,FALSE)</f>
        <v>謝蓁薰</v>
      </c>
    </row>
    <row r="2898" spans="6:19" hidden="1" x14ac:dyDescent="0.25">
      <c r="F2898" t="s">
        <v>1600</v>
      </c>
      <c r="G2898" t="s">
        <v>428</v>
      </c>
      <c r="H2898" t="str">
        <f>VLOOKUP(record[[#This Row],[ProcessSN]],表格2_7[],2,FALSE)</f>
        <v>30-4118-018-600</v>
      </c>
      <c r="I2898" t="str">
        <f>VLOOKUP(record[[#This Row],[ProcessSN]],表格2_7[],3,FALSE)</f>
        <v>#100SHIP</v>
      </c>
      <c r="J2898" t="s">
        <v>600</v>
      </c>
      <c r="K2898" s="195">
        <v>46107.652627314812</v>
      </c>
      <c r="L2898">
        <v>82</v>
      </c>
      <c r="M2898">
        <v>0</v>
      </c>
      <c r="N2898" s="98" t="str">
        <f>IF(record[[#This Row],[Memo]]="Browser:chrome os:android","平板報工",IF(record[[#This Row],[Memo]]=0,"委外",record[[#This Row],[Memo]]))</f>
        <v/>
      </c>
      <c r="O2898" t="s">
        <v>58</v>
      </c>
      <c r="P2898" t="s">
        <v>886</v>
      </c>
      <c r="Q2898" t="s">
        <v>58</v>
      </c>
      <c r="R2898" t="str">
        <f>IFERROR(VLOOKUP(record[[#This Row],[PCUSTID]],廠商[],2,FALSE),"")</f>
        <v/>
      </c>
      <c r="S2898" t="str">
        <f>VLOOKUP(record[[#This Row],[employeeID]],員工[],2,FALSE)</f>
        <v>謝蓁薰</v>
      </c>
    </row>
    <row r="2899" spans="6:19" hidden="1" x14ac:dyDescent="0.25">
      <c r="F2899" t="s">
        <v>1522</v>
      </c>
      <c r="G2899" t="s">
        <v>428</v>
      </c>
      <c r="H2899" t="str">
        <f>VLOOKUP(record[[#This Row],[ProcessSN]],表格2_7[],2,FALSE)</f>
        <v>30-4118-018-600</v>
      </c>
      <c r="I2899" t="str">
        <f>VLOOKUP(record[[#This Row],[ProcessSN]],表格2_7[],3,FALSE)</f>
        <v>#100SHIP</v>
      </c>
      <c r="J2899" t="s">
        <v>600</v>
      </c>
      <c r="K2899" s="195">
        <v>46107.652499999997</v>
      </c>
      <c r="L2899">
        <v>4</v>
      </c>
      <c r="M2899">
        <v>0</v>
      </c>
      <c r="N2899" s="98" t="str">
        <f>IF(record[[#This Row],[Memo]]="Browser:chrome os:android","平板報工",IF(record[[#This Row],[Memo]]=0,"委外",record[[#This Row],[Memo]]))</f>
        <v/>
      </c>
      <c r="O2899" t="s">
        <v>58</v>
      </c>
      <c r="P2899" t="s">
        <v>886</v>
      </c>
      <c r="Q2899" t="s">
        <v>58</v>
      </c>
      <c r="R2899" t="str">
        <f>IFERROR(VLOOKUP(record[[#This Row],[PCUSTID]],廠商[],2,FALSE),"")</f>
        <v/>
      </c>
      <c r="S2899" t="str">
        <f>VLOOKUP(record[[#This Row],[employeeID]],員工[],2,FALSE)</f>
        <v>謝蓁薰</v>
      </c>
    </row>
    <row r="2900" spans="6:19" hidden="1" x14ac:dyDescent="0.25">
      <c r="F2900" t="s">
        <v>1653</v>
      </c>
      <c r="G2900" t="s">
        <v>415</v>
      </c>
      <c r="H2900" t="str">
        <f>VLOOKUP(record[[#This Row],[ProcessSN]],表格2_7[],2,FALSE)</f>
        <v>30-4118-018-5XX</v>
      </c>
      <c r="I2900" t="str">
        <f>VLOOKUP(record[[#This Row],[ProcessSN]],表格2_7[],3,FALSE)</f>
        <v>#04</v>
      </c>
      <c r="J2900" t="s">
        <v>588</v>
      </c>
      <c r="K2900" s="195">
        <v>46107.652488425927</v>
      </c>
      <c r="L2900">
        <v>130</v>
      </c>
      <c r="M2900">
        <v>12</v>
      </c>
      <c r="N2900" s="98" t="str">
        <f>IF(record[[#This Row],[Memo]]="Browser:chrome os:android","平板報工",IF(record[[#This Row],[Memo]]=0,"委外",record[[#This Row],[Memo]]))</f>
        <v>平板報工</v>
      </c>
      <c r="O2900" t="s">
        <v>643</v>
      </c>
      <c r="P2900" t="s">
        <v>107</v>
      </c>
      <c r="Q2900" t="s">
        <v>644</v>
      </c>
      <c r="R2900" t="str">
        <f>IFERROR(VLOOKUP(record[[#This Row],[PCUSTID]],廠商[],2,FALSE),"")</f>
        <v/>
      </c>
      <c r="S2900" t="str">
        <f>VLOOKUP(record[[#This Row],[employeeID]],員工[],2,FALSE)</f>
        <v>黎氏順</v>
      </c>
    </row>
    <row r="2901" spans="6:19" hidden="1" x14ac:dyDescent="0.25">
      <c r="F2901" t="s">
        <v>1653</v>
      </c>
      <c r="G2901" t="s">
        <v>417</v>
      </c>
      <c r="H2901" t="str">
        <f>VLOOKUP(record[[#This Row],[ProcessSN]],表格2_7[],2,FALSE)</f>
        <v>30-4118-018-5XX</v>
      </c>
      <c r="I2901" t="str">
        <f>VLOOKUP(record[[#This Row],[ProcessSN]],表格2_7[],3,FALSE)</f>
        <v>#06</v>
      </c>
      <c r="J2901" t="s">
        <v>593</v>
      </c>
      <c r="K2901" s="195">
        <v>46107.651412037034</v>
      </c>
      <c r="L2901">
        <v>57</v>
      </c>
      <c r="M2901">
        <v>0</v>
      </c>
      <c r="N2901" s="98" t="str">
        <f>IF(record[[#This Row],[Memo]]="Browser:chrome os:android","平板報工",IF(record[[#This Row],[Memo]]=0,"委外",record[[#This Row],[Memo]]))</f>
        <v>平板報工</v>
      </c>
      <c r="O2901" t="s">
        <v>643</v>
      </c>
      <c r="P2901" t="s">
        <v>1413</v>
      </c>
      <c r="Q2901" t="s">
        <v>644</v>
      </c>
      <c r="R2901" t="str">
        <f>IFERROR(VLOOKUP(record[[#This Row],[PCUSTID]],廠商[],2,FALSE),"")</f>
        <v/>
      </c>
      <c r="S2901" t="str">
        <f>VLOOKUP(record[[#This Row],[employeeID]],員工[],2,FALSE)</f>
        <v>阮氏芳英(芳)</v>
      </c>
    </row>
    <row r="2902" spans="6:19" hidden="1" x14ac:dyDescent="0.25">
      <c r="F2902" t="s">
        <v>1637</v>
      </c>
      <c r="G2902" t="s">
        <v>451</v>
      </c>
      <c r="H2902" t="str">
        <f>VLOOKUP(record[[#This Row],[ProcessSN]],表格2_7[],2,FALSE)</f>
        <v>30-4118-018-6XX</v>
      </c>
      <c r="I2902" t="str">
        <f>VLOOKUP(record[[#This Row],[ProcessSN]],表格2_7[],3,FALSE)</f>
        <v>#07</v>
      </c>
      <c r="J2902" t="s">
        <v>588</v>
      </c>
      <c r="K2902" s="195">
        <v>46107.650011574071</v>
      </c>
      <c r="L2902">
        <v>68</v>
      </c>
      <c r="M2902">
        <v>0</v>
      </c>
      <c r="N2902" s="98" t="str">
        <f>IF(record[[#This Row],[Memo]]="Browser:chrome os:android","平板報工",IF(record[[#This Row],[Memo]]=0,"委外",record[[#This Row],[Memo]]))</f>
        <v/>
      </c>
      <c r="O2902" t="s">
        <v>58</v>
      </c>
      <c r="P2902" t="s">
        <v>145</v>
      </c>
      <c r="Q2902" t="s">
        <v>58</v>
      </c>
      <c r="R2902" t="str">
        <f>IFERROR(VLOOKUP(record[[#This Row],[PCUSTID]],廠商[],2,FALSE),"")</f>
        <v/>
      </c>
      <c r="S2902" t="str">
        <f>VLOOKUP(record[[#This Row],[employeeID]],員工[],2,FALSE)</f>
        <v>阮秋霞</v>
      </c>
    </row>
    <row r="2903" spans="6:19" hidden="1" x14ac:dyDescent="0.25">
      <c r="F2903" t="s">
        <v>1637</v>
      </c>
      <c r="G2903" t="s">
        <v>448</v>
      </c>
      <c r="H2903" t="str">
        <f>VLOOKUP(record[[#This Row],[ProcessSN]],表格2_7[],2,FALSE)</f>
        <v>30-4118-018-6XX</v>
      </c>
      <c r="I2903" t="str">
        <f>VLOOKUP(record[[#This Row],[ProcessSN]],表格2_7[],3,FALSE)</f>
        <v>#04</v>
      </c>
      <c r="J2903" t="s">
        <v>588</v>
      </c>
      <c r="K2903" s="195">
        <v>46107.648900462962</v>
      </c>
      <c r="L2903">
        <v>113</v>
      </c>
      <c r="M2903">
        <v>5</v>
      </c>
      <c r="N2903" s="98" t="str">
        <f>IF(record[[#This Row],[Memo]]="Browser:chrome os:android","平板報工",IF(record[[#This Row],[Memo]]=0,"委外",record[[#This Row],[Memo]]))</f>
        <v>平板報工</v>
      </c>
      <c r="O2903" t="s">
        <v>643</v>
      </c>
      <c r="P2903" t="s">
        <v>107</v>
      </c>
      <c r="Q2903" t="s">
        <v>644</v>
      </c>
      <c r="R2903" t="str">
        <f>IFERROR(VLOOKUP(record[[#This Row],[PCUSTID]],廠商[],2,FALSE),"")</f>
        <v/>
      </c>
      <c r="S2903" t="str">
        <f>VLOOKUP(record[[#This Row],[employeeID]],員工[],2,FALSE)</f>
        <v>黎氏順</v>
      </c>
    </row>
    <row r="2904" spans="6:19" hidden="1" x14ac:dyDescent="0.25">
      <c r="F2904" t="s">
        <v>1637</v>
      </c>
      <c r="G2904" t="s">
        <v>453</v>
      </c>
      <c r="H2904" t="str">
        <f>VLOOKUP(record[[#This Row],[ProcessSN]],表格2_7[],2,FALSE)</f>
        <v>30-4118-018-6XX</v>
      </c>
      <c r="I2904" t="str">
        <f>VLOOKUP(record[[#This Row],[ProcessSN]],表格2_7[],3,FALSE)</f>
        <v>#07STOCK</v>
      </c>
      <c r="J2904" t="s">
        <v>592</v>
      </c>
      <c r="K2904" s="195">
        <v>46107.646307870367</v>
      </c>
      <c r="L2904">
        <v>167</v>
      </c>
      <c r="M2904">
        <v>0</v>
      </c>
      <c r="N2904" s="98" t="str">
        <f>IF(record[[#This Row],[Memo]]="Browser:chrome os:android","平板報工",IF(record[[#This Row],[Memo]]=0,"委外",record[[#This Row],[Memo]]))</f>
        <v/>
      </c>
      <c r="O2904" t="s">
        <v>58</v>
      </c>
      <c r="P2904" t="s">
        <v>186</v>
      </c>
      <c r="Q2904" t="s">
        <v>58</v>
      </c>
      <c r="R2904" t="str">
        <f>IFERROR(VLOOKUP(record[[#This Row],[PCUSTID]],廠商[],2,FALSE),"")</f>
        <v/>
      </c>
      <c r="S2904" t="str">
        <f>VLOOKUP(record[[#This Row],[employeeID]],員工[],2,FALSE)</f>
        <v>許文姍</v>
      </c>
    </row>
    <row r="2905" spans="6:19" hidden="1" x14ac:dyDescent="0.25">
      <c r="F2905" t="s">
        <v>1569</v>
      </c>
      <c r="G2905" t="s">
        <v>453</v>
      </c>
      <c r="H2905" t="str">
        <f>VLOOKUP(record[[#This Row],[ProcessSN]],表格2_7[],2,FALSE)</f>
        <v>30-4118-018-6XX</v>
      </c>
      <c r="I2905" t="str">
        <f>VLOOKUP(record[[#This Row],[ProcessSN]],表格2_7[],3,FALSE)</f>
        <v>#07STOCK</v>
      </c>
      <c r="J2905" t="s">
        <v>592</v>
      </c>
      <c r="K2905" s="195">
        <v>46107.645787037036</v>
      </c>
      <c r="L2905">
        <v>84</v>
      </c>
      <c r="M2905">
        <v>0</v>
      </c>
      <c r="N2905" s="98" t="str">
        <f>IF(record[[#This Row],[Memo]]="Browser:chrome os:android","平板報工",IF(record[[#This Row],[Memo]]=0,"委外",record[[#This Row],[Memo]]))</f>
        <v/>
      </c>
      <c r="O2905" t="s">
        <v>58</v>
      </c>
      <c r="P2905" t="s">
        <v>186</v>
      </c>
      <c r="Q2905" t="s">
        <v>58</v>
      </c>
      <c r="R2905" t="str">
        <f>IFERROR(VLOOKUP(record[[#This Row],[PCUSTID]],廠商[],2,FALSE),"")</f>
        <v/>
      </c>
      <c r="S2905" t="str">
        <f>VLOOKUP(record[[#This Row],[employeeID]],員工[],2,FALSE)</f>
        <v>許文姍</v>
      </c>
    </row>
    <row r="2906" spans="6:19" hidden="1" x14ac:dyDescent="0.25">
      <c r="F2906" t="s">
        <v>1527</v>
      </c>
      <c r="G2906" t="s">
        <v>453</v>
      </c>
      <c r="H2906" t="str">
        <f>VLOOKUP(record[[#This Row],[ProcessSN]],表格2_7[],2,FALSE)</f>
        <v>30-4118-018-6XX</v>
      </c>
      <c r="I2906" t="str">
        <f>VLOOKUP(record[[#This Row],[ProcessSN]],表格2_7[],3,FALSE)</f>
        <v>#07STOCK</v>
      </c>
      <c r="J2906" t="s">
        <v>592</v>
      </c>
      <c r="K2906" s="195">
        <v>46107.645150462966</v>
      </c>
      <c r="L2906">
        <v>27</v>
      </c>
      <c r="M2906">
        <v>0</v>
      </c>
      <c r="N2906" s="98" t="str">
        <f>IF(record[[#This Row],[Memo]]="Browser:chrome os:android","平板報工",IF(record[[#This Row],[Memo]]=0,"委外",record[[#This Row],[Memo]]))</f>
        <v/>
      </c>
      <c r="O2906" t="s">
        <v>58</v>
      </c>
      <c r="P2906" t="s">
        <v>186</v>
      </c>
      <c r="Q2906" t="s">
        <v>58</v>
      </c>
      <c r="R2906" t="str">
        <f>IFERROR(VLOOKUP(record[[#This Row],[PCUSTID]],廠商[],2,FALSE),"")</f>
        <v/>
      </c>
      <c r="S2906" t="str">
        <f>VLOOKUP(record[[#This Row],[employeeID]],員工[],2,FALSE)</f>
        <v>許文姍</v>
      </c>
    </row>
    <row r="2907" spans="6:19" hidden="1" x14ac:dyDescent="0.25">
      <c r="F2907" t="s">
        <v>1517</v>
      </c>
      <c r="G2907" t="s">
        <v>453</v>
      </c>
      <c r="H2907" t="str">
        <f>VLOOKUP(record[[#This Row],[ProcessSN]],表格2_7[],2,FALSE)</f>
        <v>30-4118-018-6XX</v>
      </c>
      <c r="I2907" t="str">
        <f>VLOOKUP(record[[#This Row],[ProcessSN]],表格2_7[],3,FALSE)</f>
        <v>#07STOCK</v>
      </c>
      <c r="J2907" t="s">
        <v>592</v>
      </c>
      <c r="K2907" s="195">
        <v>46107.644953703704</v>
      </c>
      <c r="L2907">
        <v>1</v>
      </c>
      <c r="M2907">
        <v>0</v>
      </c>
      <c r="N2907" s="98" t="str">
        <f>IF(record[[#This Row],[Memo]]="Browser:chrome os:android","平板報工",IF(record[[#This Row],[Memo]]=0,"委外",record[[#This Row],[Memo]]))</f>
        <v/>
      </c>
      <c r="O2907" t="s">
        <v>58</v>
      </c>
      <c r="P2907" t="s">
        <v>186</v>
      </c>
      <c r="Q2907" t="s">
        <v>58</v>
      </c>
      <c r="R2907" t="str">
        <f>IFERROR(VLOOKUP(record[[#This Row],[PCUSTID]],廠商[],2,FALSE),"")</f>
        <v/>
      </c>
      <c r="S2907" t="str">
        <f>VLOOKUP(record[[#This Row],[employeeID]],員工[],2,FALSE)</f>
        <v>許文姍</v>
      </c>
    </row>
    <row r="2908" spans="6:19" hidden="1" x14ac:dyDescent="0.25">
      <c r="F2908" t="s">
        <v>1417</v>
      </c>
      <c r="G2908" t="s">
        <v>453</v>
      </c>
      <c r="H2908" t="str">
        <f>VLOOKUP(record[[#This Row],[ProcessSN]],表格2_7[],2,FALSE)</f>
        <v>30-4118-018-6XX</v>
      </c>
      <c r="I2908" t="str">
        <f>VLOOKUP(record[[#This Row],[ProcessSN]],表格2_7[],3,FALSE)</f>
        <v>#07STOCK</v>
      </c>
      <c r="J2908" t="s">
        <v>592</v>
      </c>
      <c r="K2908" s="195">
        <v>46107.644780092596</v>
      </c>
      <c r="L2908">
        <v>2</v>
      </c>
      <c r="M2908">
        <v>0</v>
      </c>
      <c r="N2908" s="98" t="str">
        <f>IF(record[[#This Row],[Memo]]="Browser:chrome os:android","平板報工",IF(record[[#This Row],[Memo]]=0,"委外",record[[#This Row],[Memo]]))</f>
        <v/>
      </c>
      <c r="O2908" t="s">
        <v>58</v>
      </c>
      <c r="P2908" t="s">
        <v>186</v>
      </c>
      <c r="Q2908" t="s">
        <v>58</v>
      </c>
      <c r="R2908" t="str">
        <f>IFERROR(VLOOKUP(record[[#This Row],[PCUSTID]],廠商[],2,FALSE),"")</f>
        <v/>
      </c>
      <c r="S2908" t="str">
        <f>VLOOKUP(record[[#This Row],[employeeID]],員工[],2,FALSE)</f>
        <v>許文姍</v>
      </c>
    </row>
    <row r="2909" spans="6:19" hidden="1" x14ac:dyDescent="0.25">
      <c r="F2909" t="s">
        <v>1099</v>
      </c>
      <c r="G2909" t="s">
        <v>453</v>
      </c>
      <c r="H2909" t="str">
        <f>VLOOKUP(record[[#This Row],[ProcessSN]],表格2_7[],2,FALSE)</f>
        <v>30-4118-018-6XX</v>
      </c>
      <c r="I2909" t="str">
        <f>VLOOKUP(record[[#This Row],[ProcessSN]],表格2_7[],3,FALSE)</f>
        <v>#07STOCK</v>
      </c>
      <c r="J2909" t="s">
        <v>592</v>
      </c>
      <c r="K2909" s="195">
        <v>46107.644537037035</v>
      </c>
      <c r="L2909">
        <v>1</v>
      </c>
      <c r="M2909">
        <v>0</v>
      </c>
      <c r="N2909" s="98" t="str">
        <f>IF(record[[#This Row],[Memo]]="Browser:chrome os:android","平板報工",IF(record[[#This Row],[Memo]]=0,"委外",record[[#This Row],[Memo]]))</f>
        <v/>
      </c>
      <c r="O2909" t="s">
        <v>58</v>
      </c>
      <c r="P2909" t="s">
        <v>186</v>
      </c>
      <c r="Q2909" t="s">
        <v>58</v>
      </c>
      <c r="R2909" t="str">
        <f>IFERROR(VLOOKUP(record[[#This Row],[PCUSTID]],廠商[],2,FALSE),"")</f>
        <v/>
      </c>
      <c r="S2909" t="str">
        <f>VLOOKUP(record[[#This Row],[employeeID]],員工[],2,FALSE)</f>
        <v>許文姍</v>
      </c>
    </row>
    <row r="2910" spans="6:19" hidden="1" x14ac:dyDescent="0.25">
      <c r="F2910" t="s">
        <v>1589</v>
      </c>
      <c r="G2910" t="s">
        <v>418</v>
      </c>
      <c r="H2910" t="str">
        <f>VLOOKUP(record[[#This Row],[ProcessSN]],表格2_7[],2,FALSE)</f>
        <v>30-4118-018-5XX</v>
      </c>
      <c r="I2910" t="str">
        <f>VLOOKUP(record[[#This Row],[ProcessSN]],表格2_7[],3,FALSE)</f>
        <v>#07</v>
      </c>
      <c r="J2910" t="s">
        <v>588</v>
      </c>
      <c r="K2910" s="195">
        <v>46107.644201388888</v>
      </c>
      <c r="L2910">
        <v>120</v>
      </c>
      <c r="M2910">
        <v>0</v>
      </c>
      <c r="N2910" s="98" t="str">
        <f>IF(record[[#This Row],[Memo]]="Browser:chrome os:android","平板報工",IF(record[[#This Row],[Memo]]=0,"委外",record[[#This Row],[Memo]]))</f>
        <v>平板報工</v>
      </c>
      <c r="O2910" t="s">
        <v>643</v>
      </c>
      <c r="P2910" t="s">
        <v>145</v>
      </c>
      <c r="Q2910" t="s">
        <v>644</v>
      </c>
      <c r="R2910" t="str">
        <f>IFERROR(VLOOKUP(record[[#This Row],[PCUSTID]],廠商[],2,FALSE),"")</f>
        <v/>
      </c>
      <c r="S2910" t="str">
        <f>VLOOKUP(record[[#This Row],[employeeID]],員工[],2,FALSE)</f>
        <v>阮秋霞</v>
      </c>
    </row>
    <row r="2911" spans="6:19" hidden="1" x14ac:dyDescent="0.25">
      <c r="F2911" t="s">
        <v>1653</v>
      </c>
      <c r="G2911" t="s">
        <v>416</v>
      </c>
      <c r="H2911" t="str">
        <f>VLOOKUP(record[[#This Row],[ProcessSN]],表格2_7[],2,FALSE)</f>
        <v>30-4118-018-5XX</v>
      </c>
      <c r="I2911" t="str">
        <f>VLOOKUP(record[[#This Row],[ProcessSN]],表格2_7[],3,FALSE)</f>
        <v>#05</v>
      </c>
      <c r="J2911" t="s">
        <v>588</v>
      </c>
      <c r="K2911" s="195">
        <v>46107.643900462965</v>
      </c>
      <c r="L2911">
        <v>212</v>
      </c>
      <c r="M2911">
        <v>0</v>
      </c>
      <c r="N2911" s="98" t="str">
        <f>IF(record[[#This Row],[Memo]]="Browser:chrome os:android","平板報工",IF(record[[#This Row],[Memo]]=0,"委外",record[[#This Row],[Memo]]))</f>
        <v>平板報工</v>
      </c>
      <c r="O2911" t="s">
        <v>643</v>
      </c>
      <c r="P2911" t="s">
        <v>145</v>
      </c>
      <c r="Q2911" t="s">
        <v>644</v>
      </c>
      <c r="R2911" t="str">
        <f>IFERROR(VLOOKUP(record[[#This Row],[PCUSTID]],廠商[],2,FALSE),"")</f>
        <v/>
      </c>
      <c r="S2911" t="str">
        <f>VLOOKUP(record[[#This Row],[employeeID]],員工[],2,FALSE)</f>
        <v>阮秋霞</v>
      </c>
    </row>
    <row r="2912" spans="6:19" hidden="1" x14ac:dyDescent="0.25">
      <c r="F2912" t="s">
        <v>1656</v>
      </c>
      <c r="G2912" t="s">
        <v>401</v>
      </c>
      <c r="H2912" t="str">
        <f>VLOOKUP(record[[#This Row],[ProcessSN]],表格2_7[],2,FALSE)</f>
        <v>30-4118-018-550</v>
      </c>
      <c r="I2912" t="str">
        <f>VLOOKUP(record[[#This Row],[ProcessSN]],表格2_7[],3,FALSE)</f>
        <v>#100OQC</v>
      </c>
      <c r="J2912" t="s">
        <v>599</v>
      </c>
      <c r="K2912" s="195">
        <v>46107.621319444443</v>
      </c>
      <c r="L2912">
        <v>267</v>
      </c>
      <c r="M2912">
        <v>0</v>
      </c>
      <c r="N2912" s="98" t="str">
        <f>IF(record[[#This Row],[Memo]]="Browser:chrome os:android","平板報工",IF(record[[#This Row],[Memo]]=0,"委外",record[[#This Row],[Memo]]))</f>
        <v/>
      </c>
      <c r="O2912" t="s">
        <v>58</v>
      </c>
      <c r="P2912" t="s">
        <v>121</v>
      </c>
      <c r="Q2912" t="s">
        <v>58</v>
      </c>
      <c r="R2912" t="str">
        <f>IFERROR(VLOOKUP(record[[#This Row],[PCUSTID]],廠商[],2,FALSE),"")</f>
        <v/>
      </c>
      <c r="S2912" t="str">
        <f>VLOOKUP(record[[#This Row],[employeeID]],員工[],2,FALSE)</f>
        <v>謝素卿</v>
      </c>
    </row>
    <row r="2913" spans="6:19" hidden="1" x14ac:dyDescent="0.25">
      <c r="F2913" t="s">
        <v>1639</v>
      </c>
      <c r="G2913" t="s">
        <v>427</v>
      </c>
      <c r="H2913" t="str">
        <f>VLOOKUP(record[[#This Row],[ProcessSN]],表格2_7[],2,FALSE)</f>
        <v>30-4118-018-600</v>
      </c>
      <c r="I2913" t="str">
        <f>VLOOKUP(record[[#This Row],[ProcessSN]],表格2_7[],3,FALSE)</f>
        <v>#100STOCK</v>
      </c>
      <c r="J2913" t="s">
        <v>592</v>
      </c>
      <c r="K2913" s="195">
        <v>46107.560023148151</v>
      </c>
      <c r="L2913">
        <v>181</v>
      </c>
      <c r="M2913">
        <v>0</v>
      </c>
      <c r="N2913" s="98" t="str">
        <f>IF(record[[#This Row],[Memo]]="Browser:chrome os:android","平板報工",IF(record[[#This Row],[Memo]]=0,"委外",record[[#This Row],[Memo]]))</f>
        <v/>
      </c>
      <c r="O2913" t="s">
        <v>58</v>
      </c>
      <c r="P2913" t="s">
        <v>886</v>
      </c>
      <c r="Q2913" t="s">
        <v>58</v>
      </c>
      <c r="R2913" t="str">
        <f>IFERROR(VLOOKUP(record[[#This Row],[PCUSTID]],廠商[],2,FALSE),"")</f>
        <v/>
      </c>
      <c r="S2913" t="str">
        <f>VLOOKUP(record[[#This Row],[employeeID]],員工[],2,FALSE)</f>
        <v>謝蓁薰</v>
      </c>
    </row>
    <row r="2914" spans="6:19" hidden="1" x14ac:dyDescent="0.25">
      <c r="F2914" t="s">
        <v>1522</v>
      </c>
      <c r="G2914" t="s">
        <v>427</v>
      </c>
      <c r="H2914" t="str">
        <f>VLOOKUP(record[[#This Row],[ProcessSN]],表格2_7[],2,FALSE)</f>
        <v>30-4118-018-600</v>
      </c>
      <c r="I2914" t="str">
        <f>VLOOKUP(record[[#This Row],[ProcessSN]],表格2_7[],3,FALSE)</f>
        <v>#100STOCK</v>
      </c>
      <c r="J2914" t="s">
        <v>592</v>
      </c>
      <c r="K2914" s="195">
        <v>46107.559861111113</v>
      </c>
      <c r="L2914">
        <v>4</v>
      </c>
      <c r="M2914">
        <v>0</v>
      </c>
      <c r="N2914" s="98" t="str">
        <f>IF(record[[#This Row],[Memo]]="Browser:chrome os:android","平板報工",IF(record[[#This Row],[Memo]]=0,"委外",record[[#This Row],[Memo]]))</f>
        <v/>
      </c>
      <c r="O2914" t="s">
        <v>58</v>
      </c>
      <c r="P2914" t="s">
        <v>886</v>
      </c>
      <c r="Q2914" t="s">
        <v>58</v>
      </c>
      <c r="R2914" t="str">
        <f>IFERROR(VLOOKUP(record[[#This Row],[PCUSTID]],廠商[],2,FALSE),"")</f>
        <v/>
      </c>
      <c r="S2914" t="str">
        <f>VLOOKUP(record[[#This Row],[employeeID]],員工[],2,FALSE)</f>
        <v>謝蓁薰</v>
      </c>
    </row>
    <row r="2915" spans="6:19" hidden="1" x14ac:dyDescent="0.25">
      <c r="F2915" t="s">
        <v>1646</v>
      </c>
      <c r="G2915" t="s">
        <v>359</v>
      </c>
      <c r="H2915" t="str">
        <f>VLOOKUP(record[[#This Row],[ProcessSN]],表格2_7[],2,FALSE)</f>
        <v>30-4118-018-450</v>
      </c>
      <c r="I2915" t="str">
        <f>VLOOKUP(record[[#This Row],[ProcessSN]],表格2_7[],3,FALSE)</f>
        <v>#100</v>
      </c>
      <c r="J2915" t="s">
        <v>598</v>
      </c>
      <c r="K2915" s="195">
        <v>46107.557152777779</v>
      </c>
      <c r="L2915">
        <v>203</v>
      </c>
      <c r="M2915">
        <v>0</v>
      </c>
      <c r="N2915" s="98" t="str">
        <f>IF(record[[#This Row],[Memo]]="Browser:chrome os:android","平板報工",IF(record[[#This Row],[Memo]]=0,"委外",record[[#This Row],[Memo]]))</f>
        <v/>
      </c>
      <c r="O2915" t="s">
        <v>58</v>
      </c>
      <c r="P2915" t="s">
        <v>141</v>
      </c>
      <c r="Q2915" t="s">
        <v>58</v>
      </c>
      <c r="R2915" t="str">
        <f>IFERROR(VLOOKUP(record[[#This Row],[PCUSTID]],廠商[],2,FALSE),"")</f>
        <v/>
      </c>
      <c r="S2915" t="str">
        <f>VLOOKUP(record[[#This Row],[employeeID]],員工[],2,FALSE)</f>
        <v>蔣梅</v>
      </c>
    </row>
    <row r="2916" spans="6:19" hidden="1" x14ac:dyDescent="0.25">
      <c r="F2916" t="s">
        <v>1653</v>
      </c>
      <c r="G2916" t="s">
        <v>417</v>
      </c>
      <c r="H2916" t="str">
        <f>VLOOKUP(record[[#This Row],[ProcessSN]],表格2_7[],2,FALSE)</f>
        <v>30-4118-018-5XX</v>
      </c>
      <c r="I2916" t="str">
        <f>VLOOKUP(record[[#This Row],[ProcessSN]],表格2_7[],3,FALSE)</f>
        <v>#06</v>
      </c>
      <c r="J2916" t="s">
        <v>593</v>
      </c>
      <c r="K2916" s="195">
        <v>46107.501851851855</v>
      </c>
      <c r="L2916">
        <v>66</v>
      </c>
      <c r="M2916">
        <v>0</v>
      </c>
      <c r="N2916" s="98" t="str">
        <f>IF(record[[#This Row],[Memo]]="Browser:chrome os:android","平板報工",IF(record[[#This Row],[Memo]]=0,"委外",record[[#This Row],[Memo]]))</f>
        <v>平板報工</v>
      </c>
      <c r="O2916" t="s">
        <v>643</v>
      </c>
      <c r="P2916" t="s">
        <v>180</v>
      </c>
      <c r="Q2916" t="s">
        <v>644</v>
      </c>
      <c r="R2916" t="str">
        <f>IFERROR(VLOOKUP(record[[#This Row],[PCUSTID]],廠商[],2,FALSE),"")</f>
        <v/>
      </c>
      <c r="S2916" t="str">
        <f>VLOOKUP(record[[#This Row],[employeeID]],員工[],2,FALSE)</f>
        <v>黎功江</v>
      </c>
    </row>
    <row r="2917" spans="6:19" hidden="1" x14ac:dyDescent="0.25">
      <c r="F2917" t="s">
        <v>1527</v>
      </c>
      <c r="G2917" t="s">
        <v>452</v>
      </c>
      <c r="H2917" t="str">
        <f>VLOOKUP(record[[#This Row],[ProcessSN]],表格2_7[],2,FALSE)</f>
        <v>30-4118-018-6XX</v>
      </c>
      <c r="I2917" t="str">
        <f>VLOOKUP(record[[#This Row],[ProcessSN]],表格2_7[],3,FALSE)</f>
        <v>#07QC</v>
      </c>
      <c r="J2917" t="s">
        <v>589</v>
      </c>
      <c r="K2917" s="195">
        <v>46107.470347222225</v>
      </c>
      <c r="L2917">
        <v>27</v>
      </c>
      <c r="M2917">
        <v>0</v>
      </c>
      <c r="N2917" s="98" t="str">
        <f>IF(record[[#This Row],[Memo]]="Browser:chrome os:android","平板報工",IF(record[[#This Row],[Memo]]=0,"委外",record[[#This Row],[Memo]]))</f>
        <v/>
      </c>
      <c r="O2917" t="s">
        <v>58</v>
      </c>
      <c r="P2917" t="s">
        <v>141</v>
      </c>
      <c r="Q2917" t="s">
        <v>58</v>
      </c>
      <c r="R2917" t="str">
        <f>IFERROR(VLOOKUP(record[[#This Row],[PCUSTID]],廠商[],2,FALSE),"")</f>
        <v/>
      </c>
      <c r="S2917" t="str">
        <f>VLOOKUP(record[[#This Row],[employeeID]],員工[],2,FALSE)</f>
        <v>蔣梅</v>
      </c>
    </row>
    <row r="2918" spans="6:19" hidden="1" x14ac:dyDescent="0.25">
      <c r="F2918" t="s">
        <v>1517</v>
      </c>
      <c r="G2918" t="s">
        <v>452</v>
      </c>
      <c r="H2918" t="str">
        <f>VLOOKUP(record[[#This Row],[ProcessSN]],表格2_7[],2,FALSE)</f>
        <v>30-4118-018-6XX</v>
      </c>
      <c r="I2918" t="str">
        <f>VLOOKUP(record[[#This Row],[ProcessSN]],表格2_7[],3,FALSE)</f>
        <v>#07QC</v>
      </c>
      <c r="J2918" t="s">
        <v>589</v>
      </c>
      <c r="K2918" s="195">
        <v>46107.470208333332</v>
      </c>
      <c r="L2918">
        <v>1</v>
      </c>
      <c r="M2918">
        <v>0</v>
      </c>
      <c r="N2918" s="98" t="str">
        <f>IF(record[[#This Row],[Memo]]="Browser:chrome os:android","平板報工",IF(record[[#This Row],[Memo]]=0,"委外",record[[#This Row],[Memo]]))</f>
        <v/>
      </c>
      <c r="O2918" t="s">
        <v>58</v>
      </c>
      <c r="P2918" t="s">
        <v>141</v>
      </c>
      <c r="Q2918" t="s">
        <v>58</v>
      </c>
      <c r="R2918" t="str">
        <f>IFERROR(VLOOKUP(record[[#This Row],[PCUSTID]],廠商[],2,FALSE),"")</f>
        <v/>
      </c>
      <c r="S2918" t="str">
        <f>VLOOKUP(record[[#This Row],[employeeID]],員工[],2,FALSE)</f>
        <v>蔣梅</v>
      </c>
    </row>
    <row r="2919" spans="6:19" hidden="1" x14ac:dyDescent="0.25">
      <c r="F2919" t="s">
        <v>1417</v>
      </c>
      <c r="G2919" t="s">
        <v>452</v>
      </c>
      <c r="H2919" t="str">
        <f>VLOOKUP(record[[#This Row],[ProcessSN]],表格2_7[],2,FALSE)</f>
        <v>30-4118-018-6XX</v>
      </c>
      <c r="I2919" t="str">
        <f>VLOOKUP(record[[#This Row],[ProcessSN]],表格2_7[],3,FALSE)</f>
        <v>#07QC</v>
      </c>
      <c r="J2919" t="s">
        <v>589</v>
      </c>
      <c r="K2919" s="195">
        <v>46107.470081018517</v>
      </c>
      <c r="L2919">
        <v>2</v>
      </c>
      <c r="M2919">
        <v>0</v>
      </c>
      <c r="N2919" s="98" t="str">
        <f>IF(record[[#This Row],[Memo]]="Browser:chrome os:android","平板報工",IF(record[[#This Row],[Memo]]=0,"委外",record[[#This Row],[Memo]]))</f>
        <v/>
      </c>
      <c r="O2919" t="s">
        <v>58</v>
      </c>
      <c r="P2919" t="s">
        <v>141</v>
      </c>
      <c r="Q2919" t="s">
        <v>58</v>
      </c>
      <c r="R2919" t="str">
        <f>IFERROR(VLOOKUP(record[[#This Row],[PCUSTID]],廠商[],2,FALSE),"")</f>
        <v/>
      </c>
      <c r="S2919" t="str">
        <f>VLOOKUP(record[[#This Row],[employeeID]],員工[],2,FALSE)</f>
        <v>蔣梅</v>
      </c>
    </row>
    <row r="2920" spans="6:19" hidden="1" x14ac:dyDescent="0.25">
      <c r="F2920" t="s">
        <v>1527</v>
      </c>
      <c r="G2920" t="s">
        <v>451</v>
      </c>
      <c r="H2920" t="str">
        <f>VLOOKUP(record[[#This Row],[ProcessSN]],表格2_7[],2,FALSE)</f>
        <v>30-4118-018-6XX</v>
      </c>
      <c r="I2920" t="str">
        <f>VLOOKUP(record[[#This Row],[ProcessSN]],表格2_7[],3,FALSE)</f>
        <v>#07</v>
      </c>
      <c r="J2920" t="s">
        <v>588</v>
      </c>
      <c r="K2920" s="195">
        <v>46107.4684837963</v>
      </c>
      <c r="L2920">
        <v>27</v>
      </c>
      <c r="M2920">
        <v>0</v>
      </c>
      <c r="N2920" s="98" t="str">
        <f>IF(record[[#This Row],[Memo]]="Browser:chrome os:android","平板報工",IF(record[[#This Row],[Memo]]=0,"委外",record[[#This Row],[Memo]]))</f>
        <v/>
      </c>
      <c r="O2920" t="s">
        <v>58</v>
      </c>
      <c r="P2920" t="s">
        <v>1075</v>
      </c>
      <c r="Q2920" t="s">
        <v>58</v>
      </c>
      <c r="R2920" t="str">
        <f>IFERROR(VLOOKUP(record[[#This Row],[PCUSTID]],廠商[],2,FALSE),"")</f>
        <v/>
      </c>
      <c r="S2920" t="str">
        <f>VLOOKUP(record[[#This Row],[employeeID]],員工[],2,FALSE)</f>
        <v>吳宥叡</v>
      </c>
    </row>
    <row r="2921" spans="6:19" hidden="1" x14ac:dyDescent="0.25">
      <c r="F2921" t="s">
        <v>1527</v>
      </c>
      <c r="G2921" t="s">
        <v>450</v>
      </c>
      <c r="H2921" t="str">
        <f>VLOOKUP(record[[#This Row],[ProcessSN]],表格2_7[],2,FALSE)</f>
        <v>30-4118-018-6XX</v>
      </c>
      <c r="I2921" t="str">
        <f>VLOOKUP(record[[#This Row],[ProcessSN]],表格2_7[],3,FALSE)</f>
        <v>#06</v>
      </c>
      <c r="J2921" t="s">
        <v>593</v>
      </c>
      <c r="K2921" s="195">
        <v>46107.46837962963</v>
      </c>
      <c r="L2921">
        <v>12</v>
      </c>
      <c r="M2921">
        <v>0</v>
      </c>
      <c r="N2921" s="98" t="str">
        <f>IF(record[[#This Row],[Memo]]="Browser:chrome os:android","平板報工",IF(record[[#This Row],[Memo]]=0,"委外",record[[#This Row],[Memo]]))</f>
        <v/>
      </c>
      <c r="O2921" t="s">
        <v>58</v>
      </c>
      <c r="P2921" t="s">
        <v>1075</v>
      </c>
      <c r="Q2921" t="s">
        <v>58</v>
      </c>
      <c r="R2921" t="str">
        <f>IFERROR(VLOOKUP(record[[#This Row],[PCUSTID]],廠商[],2,FALSE),"")</f>
        <v/>
      </c>
      <c r="S2921" t="str">
        <f>VLOOKUP(record[[#This Row],[employeeID]],員工[],2,FALSE)</f>
        <v>吳宥叡</v>
      </c>
    </row>
    <row r="2922" spans="6:19" hidden="1" x14ac:dyDescent="0.25">
      <c r="F2922" t="s">
        <v>1517</v>
      </c>
      <c r="G2922" t="s">
        <v>451</v>
      </c>
      <c r="H2922" t="str">
        <f>VLOOKUP(record[[#This Row],[ProcessSN]],表格2_7[],2,FALSE)</f>
        <v>30-4118-018-6XX</v>
      </c>
      <c r="I2922" t="str">
        <f>VLOOKUP(record[[#This Row],[ProcessSN]],表格2_7[],3,FALSE)</f>
        <v>#07</v>
      </c>
      <c r="J2922" t="s">
        <v>588</v>
      </c>
      <c r="K2922" s="195">
        <v>46107.468009259261</v>
      </c>
      <c r="L2922">
        <v>1</v>
      </c>
      <c r="M2922">
        <v>0</v>
      </c>
      <c r="N2922" s="98" t="str">
        <f>IF(record[[#This Row],[Memo]]="Browser:chrome os:android","平板報工",IF(record[[#This Row],[Memo]]=0,"委外",record[[#This Row],[Memo]]))</f>
        <v/>
      </c>
      <c r="O2922" t="s">
        <v>58</v>
      </c>
      <c r="P2922" t="s">
        <v>1075</v>
      </c>
      <c r="Q2922" t="s">
        <v>58</v>
      </c>
      <c r="R2922" t="str">
        <f>IFERROR(VLOOKUP(record[[#This Row],[PCUSTID]],廠商[],2,FALSE),"")</f>
        <v/>
      </c>
      <c r="S2922" t="str">
        <f>VLOOKUP(record[[#This Row],[employeeID]],員工[],2,FALSE)</f>
        <v>吳宥叡</v>
      </c>
    </row>
    <row r="2923" spans="6:19" hidden="1" x14ac:dyDescent="0.25">
      <c r="F2923" t="s">
        <v>1417</v>
      </c>
      <c r="G2923" t="s">
        <v>451</v>
      </c>
      <c r="H2923" t="str">
        <f>VLOOKUP(record[[#This Row],[ProcessSN]],表格2_7[],2,FALSE)</f>
        <v>30-4118-018-6XX</v>
      </c>
      <c r="I2923" t="str">
        <f>VLOOKUP(record[[#This Row],[ProcessSN]],表格2_7[],3,FALSE)</f>
        <v>#07</v>
      </c>
      <c r="J2923" t="s">
        <v>588</v>
      </c>
      <c r="K2923" s="195">
        <v>46107.467685185184</v>
      </c>
      <c r="L2923">
        <v>2</v>
      </c>
      <c r="M2923">
        <v>0</v>
      </c>
      <c r="N2923" s="98" t="str">
        <f>IF(record[[#This Row],[Memo]]="Browser:chrome os:android","平板報工",IF(record[[#This Row],[Memo]]=0,"委外",record[[#This Row],[Memo]]))</f>
        <v/>
      </c>
      <c r="O2923" t="s">
        <v>58</v>
      </c>
      <c r="P2923" t="s">
        <v>1075</v>
      </c>
      <c r="Q2923" t="s">
        <v>58</v>
      </c>
      <c r="R2923" t="str">
        <f>IFERROR(VLOOKUP(record[[#This Row],[PCUSTID]],廠商[],2,FALSE),"")</f>
        <v/>
      </c>
      <c r="S2923" t="str">
        <f>VLOOKUP(record[[#This Row],[employeeID]],員工[],2,FALSE)</f>
        <v>吳宥叡</v>
      </c>
    </row>
    <row r="2924" spans="6:19" hidden="1" x14ac:dyDescent="0.25">
      <c r="F2924" t="s">
        <v>1569</v>
      </c>
      <c r="G2924" t="s">
        <v>452</v>
      </c>
      <c r="H2924" t="str">
        <f>VLOOKUP(record[[#This Row],[ProcessSN]],表格2_7[],2,FALSE)</f>
        <v>30-4118-018-6XX</v>
      </c>
      <c r="I2924" t="str">
        <f>VLOOKUP(record[[#This Row],[ProcessSN]],表格2_7[],3,FALSE)</f>
        <v>#07QC</v>
      </c>
      <c r="J2924" t="s">
        <v>589</v>
      </c>
      <c r="K2924" s="195">
        <v>46107.466863425929</v>
      </c>
      <c r="L2924">
        <v>84</v>
      </c>
      <c r="M2924">
        <v>0</v>
      </c>
      <c r="N2924" s="98" t="str">
        <f>IF(record[[#This Row],[Memo]]="Browser:chrome os:android","平板報工",IF(record[[#This Row],[Memo]]=0,"委外",record[[#This Row],[Memo]]))</f>
        <v/>
      </c>
      <c r="O2924" t="s">
        <v>58</v>
      </c>
      <c r="P2924" t="s">
        <v>141</v>
      </c>
      <c r="Q2924" t="s">
        <v>58</v>
      </c>
      <c r="R2924" t="str">
        <f>IFERROR(VLOOKUP(record[[#This Row],[PCUSTID]],廠商[],2,FALSE),"")</f>
        <v/>
      </c>
      <c r="S2924" t="str">
        <f>VLOOKUP(record[[#This Row],[employeeID]],員工[],2,FALSE)</f>
        <v>蔣梅</v>
      </c>
    </row>
    <row r="2925" spans="6:19" hidden="1" x14ac:dyDescent="0.25">
      <c r="F2925" t="s">
        <v>1637</v>
      </c>
      <c r="G2925" t="s">
        <v>452</v>
      </c>
      <c r="H2925" t="str">
        <f>VLOOKUP(record[[#This Row],[ProcessSN]],表格2_7[],2,FALSE)</f>
        <v>30-4118-018-6XX</v>
      </c>
      <c r="I2925" t="str">
        <f>VLOOKUP(record[[#This Row],[ProcessSN]],表格2_7[],3,FALSE)</f>
        <v>#07QC</v>
      </c>
      <c r="J2925" t="s">
        <v>589</v>
      </c>
      <c r="K2925" s="195">
        <v>46107.45752314815</v>
      </c>
      <c r="L2925">
        <v>167</v>
      </c>
      <c r="M2925">
        <v>0</v>
      </c>
      <c r="N2925" s="98" t="str">
        <f>IF(record[[#This Row],[Memo]]="Browser:chrome os:android","平板報工",IF(record[[#This Row],[Memo]]=0,"委外",record[[#This Row],[Memo]]))</f>
        <v/>
      </c>
      <c r="O2925" t="s">
        <v>58</v>
      </c>
      <c r="P2925" t="s">
        <v>141</v>
      </c>
      <c r="Q2925" t="s">
        <v>58</v>
      </c>
      <c r="R2925" t="str">
        <f>IFERROR(VLOOKUP(record[[#This Row],[PCUSTID]],廠商[],2,FALSE),"")</f>
        <v/>
      </c>
      <c r="S2925" t="str">
        <f>VLOOKUP(record[[#This Row],[employeeID]],員工[],2,FALSE)</f>
        <v>蔣梅</v>
      </c>
    </row>
    <row r="2926" spans="6:19" hidden="1" x14ac:dyDescent="0.25">
      <c r="F2926" t="s">
        <v>1099</v>
      </c>
      <c r="G2926" t="s">
        <v>452</v>
      </c>
      <c r="H2926" t="str">
        <f>VLOOKUP(record[[#This Row],[ProcessSN]],表格2_7[],2,FALSE)</f>
        <v>30-4118-018-6XX</v>
      </c>
      <c r="I2926" t="str">
        <f>VLOOKUP(record[[#This Row],[ProcessSN]],表格2_7[],3,FALSE)</f>
        <v>#07QC</v>
      </c>
      <c r="J2926" t="s">
        <v>589</v>
      </c>
      <c r="K2926" s="195">
        <v>46107.457245370373</v>
      </c>
      <c r="L2926">
        <v>1</v>
      </c>
      <c r="M2926">
        <v>0</v>
      </c>
      <c r="N2926" s="98" t="str">
        <f>IF(record[[#This Row],[Memo]]="Browser:chrome os:android","平板報工",IF(record[[#This Row],[Memo]]=0,"委外",record[[#This Row],[Memo]]))</f>
        <v/>
      </c>
      <c r="O2926" t="s">
        <v>58</v>
      </c>
      <c r="P2926" t="s">
        <v>141</v>
      </c>
      <c r="Q2926" t="s">
        <v>58</v>
      </c>
      <c r="R2926" t="str">
        <f>IFERROR(VLOOKUP(record[[#This Row],[PCUSTID]],廠商[],2,FALSE),"")</f>
        <v/>
      </c>
      <c r="S2926" t="str">
        <f>VLOOKUP(record[[#This Row],[employeeID]],員工[],2,FALSE)</f>
        <v>蔣梅</v>
      </c>
    </row>
    <row r="2927" spans="6:19" hidden="1" x14ac:dyDescent="0.25">
      <c r="F2927" t="s">
        <v>1656</v>
      </c>
      <c r="G2927" t="s">
        <v>400</v>
      </c>
      <c r="H2927" t="str">
        <f>VLOOKUP(record[[#This Row],[ProcessSN]],表格2_7[],2,FALSE)</f>
        <v>30-4118-018-550</v>
      </c>
      <c r="I2927" t="str">
        <f>VLOOKUP(record[[#This Row],[ProcessSN]],表格2_7[],3,FALSE)</f>
        <v>#100</v>
      </c>
      <c r="J2927" t="s">
        <v>598</v>
      </c>
      <c r="K2927" s="195">
        <v>46107.431863425925</v>
      </c>
      <c r="L2927">
        <v>267</v>
      </c>
      <c r="M2927">
        <v>0</v>
      </c>
      <c r="N2927" s="98" t="str">
        <f>IF(record[[#This Row],[Memo]]="Browser:chrome os:android","平板報工",IF(record[[#This Row],[Memo]]=0,"委外",record[[#This Row],[Memo]]))</f>
        <v/>
      </c>
      <c r="O2927" t="s">
        <v>58</v>
      </c>
      <c r="P2927" t="s">
        <v>99</v>
      </c>
      <c r="Q2927" t="s">
        <v>58</v>
      </c>
      <c r="R2927" t="str">
        <f>IFERROR(VLOOKUP(record[[#This Row],[PCUSTID]],廠商[],2,FALSE),"")</f>
        <v/>
      </c>
      <c r="S2927" t="str">
        <f>VLOOKUP(record[[#This Row],[employeeID]],員工[],2,FALSE)</f>
        <v>阮氏河</v>
      </c>
    </row>
    <row r="2928" spans="6:19" hidden="1" x14ac:dyDescent="0.25">
      <c r="F2928" t="s">
        <v>1637</v>
      </c>
      <c r="G2928" t="s">
        <v>448</v>
      </c>
      <c r="H2928" t="str">
        <f>VLOOKUP(record[[#This Row],[ProcessSN]],表格2_7[],2,FALSE)</f>
        <v>30-4118-018-6XX</v>
      </c>
      <c r="I2928" t="str">
        <f>VLOOKUP(record[[#This Row],[ProcessSN]],表格2_7[],3,FALSE)</f>
        <v>#04</v>
      </c>
      <c r="J2928" t="s">
        <v>588</v>
      </c>
      <c r="K2928" s="195">
        <v>46107.315312500003</v>
      </c>
      <c r="L2928">
        <v>118</v>
      </c>
      <c r="M2928">
        <v>0</v>
      </c>
      <c r="N2928" s="98" t="str">
        <f>IF(record[[#This Row],[Memo]]="Browser:chrome os:android","平板報工",IF(record[[#This Row],[Memo]]=0,"委外",record[[#This Row],[Memo]]))</f>
        <v/>
      </c>
      <c r="O2928" t="s">
        <v>58</v>
      </c>
      <c r="P2928" t="s">
        <v>135</v>
      </c>
      <c r="Q2928" t="s">
        <v>58</v>
      </c>
      <c r="R2928" t="str">
        <f>IFERROR(VLOOKUP(record[[#This Row],[PCUSTID]],廠商[],2,FALSE),"")</f>
        <v/>
      </c>
      <c r="S2928" t="str">
        <f>VLOOKUP(record[[#This Row],[employeeID]],員工[],2,FALSE)</f>
        <v>阮士文</v>
      </c>
    </row>
    <row r="2929" spans="6:19" hidden="1" x14ac:dyDescent="0.25">
      <c r="F2929" t="s">
        <v>1653</v>
      </c>
      <c r="G2929" t="s">
        <v>415</v>
      </c>
      <c r="H2929" t="str">
        <f>VLOOKUP(record[[#This Row],[ProcessSN]],表格2_7[],2,FALSE)</f>
        <v>30-4118-018-5XX</v>
      </c>
      <c r="I2929" t="str">
        <f>VLOOKUP(record[[#This Row],[ProcessSN]],表格2_7[],3,FALSE)</f>
        <v>#04</v>
      </c>
      <c r="J2929" t="s">
        <v>588</v>
      </c>
      <c r="K2929" s="195">
        <v>46107.315115740741</v>
      </c>
      <c r="L2929">
        <v>135</v>
      </c>
      <c r="M2929">
        <v>0</v>
      </c>
      <c r="N2929" s="98" t="str">
        <f>IF(record[[#This Row],[Memo]]="Browser:chrome os:android","平板報工",IF(record[[#This Row],[Memo]]=0,"委外",record[[#This Row],[Memo]]))</f>
        <v/>
      </c>
      <c r="O2929" t="s">
        <v>58</v>
      </c>
      <c r="P2929" t="s">
        <v>135</v>
      </c>
      <c r="Q2929" t="s">
        <v>58</v>
      </c>
      <c r="R2929" t="str">
        <f>IFERROR(VLOOKUP(record[[#This Row],[PCUSTID]],廠商[],2,FALSE),"")</f>
        <v/>
      </c>
      <c r="S2929" t="str">
        <f>VLOOKUP(record[[#This Row],[employeeID]],員工[],2,FALSE)</f>
        <v>阮士文</v>
      </c>
    </row>
    <row r="2930" spans="6:19" hidden="1" x14ac:dyDescent="0.25">
      <c r="F2930" t="s">
        <v>1587</v>
      </c>
      <c r="G2930" t="s">
        <v>376</v>
      </c>
      <c r="H2930" t="str">
        <f>VLOOKUP(record[[#This Row],[ProcessSN]],表格2_7[],2,FALSE)</f>
        <v>30-4118-018-4XX</v>
      </c>
      <c r="I2930" t="str">
        <f>VLOOKUP(record[[#This Row],[ProcessSN]],表格2_7[],3,FALSE)</f>
        <v>#06</v>
      </c>
      <c r="J2930" t="s">
        <v>593</v>
      </c>
      <c r="K2930" s="195">
        <v>46107.313009259262</v>
      </c>
      <c r="L2930">
        <v>133</v>
      </c>
      <c r="M2930">
        <v>0</v>
      </c>
      <c r="N2930" s="98" t="str">
        <f>IF(record[[#This Row],[Memo]]="Browser:chrome os:android","平板報工",IF(record[[#This Row],[Memo]]=0,"委外",record[[#This Row],[Memo]]))</f>
        <v/>
      </c>
      <c r="O2930" t="s">
        <v>58</v>
      </c>
      <c r="P2930" t="s">
        <v>691</v>
      </c>
      <c r="Q2930" t="s">
        <v>58</v>
      </c>
      <c r="R2930" t="str">
        <f>IFERROR(VLOOKUP(record[[#This Row],[PCUSTID]],廠商[],2,FALSE),"")</f>
        <v/>
      </c>
      <c r="S2930" t="str">
        <f>VLOOKUP(record[[#This Row],[employeeID]],員工[],2,FALSE)</f>
        <v>武氏賢</v>
      </c>
    </row>
    <row r="2931" spans="6:19" hidden="1" x14ac:dyDescent="0.25">
      <c r="F2931" t="s">
        <v>1637</v>
      </c>
      <c r="G2931" t="s">
        <v>451</v>
      </c>
      <c r="H2931" t="str">
        <f>VLOOKUP(record[[#This Row],[ProcessSN]],表格2_7[],2,FALSE)</f>
        <v>30-4118-018-6XX</v>
      </c>
      <c r="I2931" t="str">
        <f>VLOOKUP(record[[#This Row],[ProcessSN]],表格2_7[],3,FALSE)</f>
        <v>#07</v>
      </c>
      <c r="J2931" t="s">
        <v>588</v>
      </c>
      <c r="K2931" s="195">
        <v>46107.311550925922</v>
      </c>
      <c r="L2931">
        <v>67</v>
      </c>
      <c r="M2931">
        <v>1</v>
      </c>
      <c r="N2931" s="98" t="str">
        <f>IF(record[[#This Row],[Memo]]="Browser:chrome os:android","平板報工",IF(record[[#This Row],[Memo]]=0,"委外",record[[#This Row],[Memo]]))</f>
        <v/>
      </c>
      <c r="O2931" t="s">
        <v>58</v>
      </c>
      <c r="P2931" t="s">
        <v>1098</v>
      </c>
      <c r="Q2931" t="s">
        <v>58</v>
      </c>
      <c r="R2931" t="str">
        <f>IFERROR(VLOOKUP(record[[#This Row],[PCUSTID]],廠商[],2,FALSE),"")</f>
        <v/>
      </c>
      <c r="S2931" t="str">
        <f>VLOOKUP(record[[#This Row],[employeeID]],員工[],2,FALSE)</f>
        <v>阮氏芳英(英)</v>
      </c>
    </row>
    <row r="2932" spans="6:19" hidden="1" x14ac:dyDescent="0.25">
      <c r="F2932" t="s">
        <v>1653</v>
      </c>
      <c r="G2932" t="s">
        <v>416</v>
      </c>
      <c r="H2932" t="str">
        <f>VLOOKUP(record[[#This Row],[ProcessSN]],表格2_7[],2,FALSE)</f>
        <v>30-4118-018-5XX</v>
      </c>
      <c r="I2932" t="str">
        <f>VLOOKUP(record[[#This Row],[ProcessSN]],表格2_7[],3,FALSE)</f>
        <v>#05</v>
      </c>
      <c r="J2932" t="s">
        <v>588</v>
      </c>
      <c r="K2932" s="195">
        <v>46107.311342592591</v>
      </c>
      <c r="L2932">
        <v>140</v>
      </c>
      <c r="M2932">
        <v>0</v>
      </c>
      <c r="N2932" s="98" t="str">
        <f>IF(record[[#This Row],[Memo]]="Browser:chrome os:android","平板報工",IF(record[[#This Row],[Memo]]=0,"委外",record[[#This Row],[Memo]]))</f>
        <v/>
      </c>
      <c r="O2932" t="s">
        <v>58</v>
      </c>
      <c r="P2932" t="s">
        <v>1098</v>
      </c>
      <c r="Q2932" t="s">
        <v>58</v>
      </c>
      <c r="R2932" t="str">
        <f>IFERROR(VLOOKUP(record[[#This Row],[PCUSTID]],廠商[],2,FALSE),"")</f>
        <v/>
      </c>
      <c r="S2932" t="str">
        <f>VLOOKUP(record[[#This Row],[employeeID]],員工[],2,FALSE)</f>
        <v>阮氏芳英(英)</v>
      </c>
    </row>
    <row r="2933" spans="6:19" hidden="1" x14ac:dyDescent="0.25">
      <c r="F2933" t="s">
        <v>1637</v>
      </c>
      <c r="G2933" t="s">
        <v>450</v>
      </c>
      <c r="H2933" t="str">
        <f>VLOOKUP(record[[#This Row],[ProcessSN]],表格2_7[],2,FALSE)</f>
        <v>30-4118-018-6XX</v>
      </c>
      <c r="I2933" t="str">
        <f>VLOOKUP(record[[#This Row],[ProcessSN]],表格2_7[],3,FALSE)</f>
        <v>#06</v>
      </c>
      <c r="J2933" t="s">
        <v>593</v>
      </c>
      <c r="K2933" s="195">
        <v>46107.309618055559</v>
      </c>
      <c r="L2933">
        <v>136</v>
      </c>
      <c r="M2933">
        <v>0</v>
      </c>
      <c r="N2933" s="98" t="str">
        <f>IF(record[[#This Row],[Memo]]="Browser:chrome os:android","平板報工",IF(record[[#This Row],[Memo]]=0,"委外",record[[#This Row],[Memo]]))</f>
        <v/>
      </c>
      <c r="O2933" t="s">
        <v>58</v>
      </c>
      <c r="P2933" t="s">
        <v>180</v>
      </c>
      <c r="Q2933" t="s">
        <v>58</v>
      </c>
      <c r="R2933" t="str">
        <f>IFERROR(VLOOKUP(record[[#This Row],[PCUSTID]],廠商[],2,FALSE),"")</f>
        <v/>
      </c>
      <c r="S2933" t="str">
        <f>VLOOKUP(record[[#This Row],[employeeID]],員工[],2,FALSE)</f>
        <v>黎功江</v>
      </c>
    </row>
    <row r="2934" spans="6:19" hidden="1" x14ac:dyDescent="0.25">
      <c r="F2934" t="s">
        <v>1637</v>
      </c>
      <c r="G2934" t="s">
        <v>451</v>
      </c>
      <c r="H2934" t="str">
        <f>VLOOKUP(record[[#This Row],[ProcessSN]],表格2_7[],2,FALSE)</f>
        <v>30-4118-018-6XX</v>
      </c>
      <c r="I2934" t="str">
        <f>VLOOKUP(record[[#This Row],[ProcessSN]],表格2_7[],3,FALSE)</f>
        <v>#07</v>
      </c>
      <c r="J2934" t="s">
        <v>588</v>
      </c>
      <c r="K2934" s="195">
        <v>46107.000983796293</v>
      </c>
      <c r="L2934">
        <v>155</v>
      </c>
      <c r="M2934">
        <v>0</v>
      </c>
      <c r="N2934" s="98" t="str">
        <f>IF(record[[#This Row],[Memo]]="Browser:chrome os:android","平板報工",IF(record[[#This Row],[Memo]]=0,"委外",record[[#This Row],[Memo]]))</f>
        <v/>
      </c>
      <c r="O2934" t="s">
        <v>58</v>
      </c>
      <c r="P2934" t="s">
        <v>89</v>
      </c>
      <c r="Q2934" t="s">
        <v>58</v>
      </c>
      <c r="R2934" t="str">
        <f>IFERROR(VLOOKUP(record[[#This Row],[PCUSTID]],廠商[],2,FALSE),"")</f>
        <v/>
      </c>
      <c r="S2934" t="str">
        <f>VLOOKUP(record[[#This Row],[employeeID]],員工[],2,FALSE)</f>
        <v>李美蓮</v>
      </c>
    </row>
    <row r="2935" spans="6:19" hidden="1" x14ac:dyDescent="0.25">
      <c r="F2935" t="s">
        <v>1637</v>
      </c>
      <c r="G2935" t="s">
        <v>450</v>
      </c>
      <c r="H2935" t="str">
        <f>VLOOKUP(record[[#This Row],[ProcessSN]],表格2_7[],2,FALSE)</f>
        <v>30-4118-018-6XX</v>
      </c>
      <c r="I2935" t="str">
        <f>VLOOKUP(record[[#This Row],[ProcessSN]],表格2_7[],3,FALSE)</f>
        <v>#06</v>
      </c>
      <c r="J2935" t="s">
        <v>593</v>
      </c>
      <c r="K2935" s="195">
        <v>46107.00068287037</v>
      </c>
      <c r="L2935">
        <v>133</v>
      </c>
      <c r="M2935">
        <v>0</v>
      </c>
      <c r="N2935" s="98" t="str">
        <f>IF(record[[#This Row],[Memo]]="Browser:chrome os:android","平板報工",IF(record[[#This Row],[Memo]]=0,"委外",record[[#This Row],[Memo]]))</f>
        <v/>
      </c>
      <c r="O2935" t="s">
        <v>58</v>
      </c>
      <c r="P2935" t="s">
        <v>133</v>
      </c>
      <c r="Q2935" t="s">
        <v>58</v>
      </c>
      <c r="R2935" t="str">
        <f>IFERROR(VLOOKUP(record[[#This Row],[PCUSTID]],廠商[],2,FALSE),"")</f>
        <v/>
      </c>
      <c r="S2935" t="str">
        <f>VLOOKUP(record[[#This Row],[employeeID]],員工[],2,FALSE)</f>
        <v>黎長維</v>
      </c>
    </row>
    <row r="2936" spans="6:19" hidden="1" x14ac:dyDescent="0.25">
      <c r="F2936" t="s">
        <v>1587</v>
      </c>
      <c r="G2936" t="s">
        <v>376</v>
      </c>
      <c r="H2936" t="str">
        <f>VLOOKUP(record[[#This Row],[ProcessSN]],表格2_7[],2,FALSE)</f>
        <v>30-4118-018-4XX</v>
      </c>
      <c r="I2936" t="str">
        <f>VLOOKUP(record[[#This Row],[ProcessSN]],表格2_7[],3,FALSE)</f>
        <v>#06</v>
      </c>
      <c r="J2936" t="s">
        <v>593</v>
      </c>
      <c r="K2936" s="195">
        <v>46106.993796296294</v>
      </c>
      <c r="L2936">
        <v>120</v>
      </c>
      <c r="M2936">
        <v>0</v>
      </c>
      <c r="N2936" s="98" t="str">
        <f>IF(record[[#This Row],[Memo]]="Browser:chrome os:android","平板報工",IF(record[[#This Row],[Memo]]=0,"委外",record[[#This Row],[Memo]]))</f>
        <v/>
      </c>
      <c r="O2936" t="s">
        <v>58</v>
      </c>
      <c r="P2936" t="s">
        <v>1098</v>
      </c>
      <c r="Q2936" t="s">
        <v>58</v>
      </c>
      <c r="R2936" t="str">
        <f>IFERROR(VLOOKUP(record[[#This Row],[PCUSTID]],廠商[],2,FALSE),"")</f>
        <v/>
      </c>
      <c r="S2936" t="str">
        <f>VLOOKUP(record[[#This Row],[employeeID]],員工[],2,FALSE)</f>
        <v>阮氏芳英(英)</v>
      </c>
    </row>
    <row r="2937" spans="6:19" hidden="1" x14ac:dyDescent="0.25">
      <c r="F2937" t="s">
        <v>1653</v>
      </c>
      <c r="G2937" t="s">
        <v>415</v>
      </c>
      <c r="H2937" t="str">
        <f>VLOOKUP(record[[#This Row],[ProcessSN]],表格2_7[],2,FALSE)</f>
        <v>30-4118-018-5XX</v>
      </c>
      <c r="I2937" t="str">
        <f>VLOOKUP(record[[#This Row],[ProcessSN]],表格2_7[],3,FALSE)</f>
        <v>#04</v>
      </c>
      <c r="J2937" t="s">
        <v>588</v>
      </c>
      <c r="K2937" s="195">
        <v>46106.988842592589</v>
      </c>
      <c r="L2937">
        <v>125</v>
      </c>
      <c r="M2937">
        <v>0</v>
      </c>
      <c r="N2937" s="98" t="str">
        <f>IF(record[[#This Row],[Memo]]="Browser:chrome os:android","平板報工",IF(record[[#This Row],[Memo]]=0,"委外",record[[#This Row],[Memo]]))</f>
        <v/>
      </c>
      <c r="O2937" t="s">
        <v>58</v>
      </c>
      <c r="P2937" t="s">
        <v>806</v>
      </c>
      <c r="Q2937" t="s">
        <v>58</v>
      </c>
      <c r="R2937" t="str">
        <f>IFERROR(VLOOKUP(record[[#This Row],[PCUSTID]],廠商[],2,FALSE),"")</f>
        <v/>
      </c>
      <c r="S2937" t="str">
        <f>VLOOKUP(record[[#This Row],[employeeID]],員工[],2,FALSE)</f>
        <v>方思緯</v>
      </c>
    </row>
    <row r="2938" spans="6:19" hidden="1" x14ac:dyDescent="0.25">
      <c r="F2938" t="s">
        <v>1637</v>
      </c>
      <c r="G2938" t="s">
        <v>448</v>
      </c>
      <c r="H2938" t="str">
        <f>VLOOKUP(record[[#This Row],[ProcessSN]],表格2_7[],2,FALSE)</f>
        <v>30-4118-018-6XX</v>
      </c>
      <c r="I2938" t="str">
        <f>VLOOKUP(record[[#This Row],[ProcessSN]],表格2_7[],3,FALSE)</f>
        <v>#04</v>
      </c>
      <c r="J2938" t="s">
        <v>588</v>
      </c>
      <c r="K2938" s="195">
        <v>46106.987245370372</v>
      </c>
      <c r="L2938">
        <v>95</v>
      </c>
      <c r="M2938">
        <v>8</v>
      </c>
      <c r="N2938" s="98" t="str">
        <f>IF(record[[#This Row],[Memo]]="Browser:chrome os:android","平板報工",IF(record[[#This Row],[Memo]]=0,"委外",record[[#This Row],[Memo]]))</f>
        <v/>
      </c>
      <c r="O2938" t="s">
        <v>58</v>
      </c>
      <c r="P2938" t="s">
        <v>806</v>
      </c>
      <c r="Q2938" t="s">
        <v>58</v>
      </c>
      <c r="R2938" t="str">
        <f>IFERROR(VLOOKUP(record[[#This Row],[PCUSTID]],廠商[],2,FALSE),"")</f>
        <v/>
      </c>
      <c r="S2938" t="str">
        <f>VLOOKUP(record[[#This Row],[employeeID]],員工[],2,FALSE)</f>
        <v>方思緯</v>
      </c>
    </row>
    <row r="2939" spans="6:19" hidden="1" x14ac:dyDescent="0.25">
      <c r="F2939" t="s">
        <v>1653</v>
      </c>
      <c r="G2939" t="s">
        <v>416</v>
      </c>
      <c r="H2939" t="str">
        <f>VLOOKUP(record[[#This Row],[ProcessSN]],表格2_7[],2,FALSE)</f>
        <v>30-4118-018-5XX</v>
      </c>
      <c r="I2939" t="str">
        <f>VLOOKUP(record[[#This Row],[ProcessSN]],表格2_7[],3,FALSE)</f>
        <v>#05</v>
      </c>
      <c r="J2939" t="s">
        <v>588</v>
      </c>
      <c r="K2939" s="195">
        <v>46106.985439814816</v>
      </c>
      <c r="L2939">
        <v>210</v>
      </c>
      <c r="M2939">
        <v>1</v>
      </c>
      <c r="N2939" s="98" t="str">
        <f>IF(record[[#This Row],[Memo]]="Browser:chrome os:android","平板報工",IF(record[[#This Row],[Memo]]=0,"委外",record[[#This Row],[Memo]]))</f>
        <v/>
      </c>
      <c r="O2939" t="s">
        <v>58</v>
      </c>
      <c r="P2939" t="s">
        <v>843</v>
      </c>
      <c r="Q2939" t="s">
        <v>58</v>
      </c>
      <c r="R2939" t="str">
        <f>IFERROR(VLOOKUP(record[[#This Row],[PCUSTID]],廠商[],2,FALSE),"")</f>
        <v/>
      </c>
      <c r="S2939" t="str">
        <f>VLOOKUP(record[[#This Row],[employeeID]],員工[],2,FALSE)</f>
        <v>張楚承</v>
      </c>
    </row>
    <row r="2940" spans="6:19" hidden="1" x14ac:dyDescent="0.25">
      <c r="F2940" t="s">
        <v>1569</v>
      </c>
      <c r="G2940" t="s">
        <v>451</v>
      </c>
      <c r="H2940" t="str">
        <f>VLOOKUP(record[[#This Row],[ProcessSN]],表格2_7[],2,FALSE)</f>
        <v>30-4118-018-6XX</v>
      </c>
      <c r="I2940" t="str">
        <f>VLOOKUP(record[[#This Row],[ProcessSN]],表格2_7[],3,FALSE)</f>
        <v>#07</v>
      </c>
      <c r="J2940" t="s">
        <v>588</v>
      </c>
      <c r="K2940" s="195">
        <v>46106.814444444448</v>
      </c>
      <c r="L2940">
        <v>37</v>
      </c>
      <c r="M2940">
        <v>0</v>
      </c>
      <c r="N2940" s="98" t="str">
        <f>IF(record[[#This Row],[Memo]]="Browser:chrome os:android","平板報工",IF(record[[#This Row],[Memo]]=0,"委外",record[[#This Row],[Memo]]))</f>
        <v>補報</v>
      </c>
      <c r="O2940" t="s">
        <v>868</v>
      </c>
      <c r="P2940" t="s">
        <v>127</v>
      </c>
      <c r="Q2940" t="s">
        <v>58</v>
      </c>
      <c r="R2940" t="str">
        <f>IFERROR(VLOOKUP(record[[#This Row],[PCUSTID]],廠商[],2,FALSE),"")</f>
        <v/>
      </c>
      <c r="S2940" t="str">
        <f>VLOOKUP(record[[#This Row],[employeeID]],員工[],2,FALSE)</f>
        <v>潘雪梅</v>
      </c>
    </row>
    <row r="2941" spans="6:19" hidden="1" x14ac:dyDescent="0.25">
      <c r="F2941" t="s">
        <v>1569</v>
      </c>
      <c r="G2941" t="s">
        <v>450</v>
      </c>
      <c r="H2941" t="str">
        <f>VLOOKUP(record[[#This Row],[ProcessSN]],表格2_7[],2,FALSE)</f>
        <v>30-4118-018-6XX</v>
      </c>
      <c r="I2941" t="str">
        <f>VLOOKUP(record[[#This Row],[ProcessSN]],表格2_7[],3,FALSE)</f>
        <v>#06</v>
      </c>
      <c r="J2941" t="s">
        <v>593</v>
      </c>
      <c r="K2941" s="195">
        <v>46106.813969907409</v>
      </c>
      <c r="L2941">
        <v>37</v>
      </c>
      <c r="M2941">
        <v>0</v>
      </c>
      <c r="N2941" s="98" t="str">
        <f>IF(record[[#This Row],[Memo]]="Browser:chrome os:android","平板報工",IF(record[[#This Row],[Memo]]=0,"委外",record[[#This Row],[Memo]]))</f>
        <v>補報</v>
      </c>
      <c r="O2941" t="s">
        <v>868</v>
      </c>
      <c r="P2941" t="s">
        <v>127</v>
      </c>
      <c r="Q2941" t="s">
        <v>58</v>
      </c>
      <c r="R2941" t="str">
        <f>IFERROR(VLOOKUP(record[[#This Row],[PCUSTID]],廠商[],2,FALSE),"")</f>
        <v/>
      </c>
      <c r="S2941" t="str">
        <f>VLOOKUP(record[[#This Row],[employeeID]],員工[],2,FALSE)</f>
        <v>潘雪梅</v>
      </c>
    </row>
    <row r="2942" spans="6:19" hidden="1" x14ac:dyDescent="0.25">
      <c r="F2942" t="s">
        <v>1653</v>
      </c>
      <c r="G2942" t="s">
        <v>415</v>
      </c>
      <c r="H2942" t="str">
        <f>VLOOKUP(record[[#This Row],[ProcessSN]],表格2_7[],2,FALSE)</f>
        <v>30-4118-018-5XX</v>
      </c>
      <c r="I2942" t="str">
        <f>VLOOKUP(record[[#This Row],[ProcessSN]],表格2_7[],3,FALSE)</f>
        <v>#04</v>
      </c>
      <c r="J2942" t="s">
        <v>588</v>
      </c>
      <c r="K2942" s="195">
        <v>46106.712847222225</v>
      </c>
      <c r="L2942">
        <v>0</v>
      </c>
      <c r="M2942">
        <v>1</v>
      </c>
      <c r="N2942" s="98" t="str">
        <f>IF(record[[#This Row],[Memo]]="Browser:chrome os:android","平板報工",IF(record[[#This Row],[Memo]]=0,"委外",record[[#This Row],[Memo]]))</f>
        <v/>
      </c>
      <c r="O2942" t="s">
        <v>58</v>
      </c>
      <c r="P2942" t="s">
        <v>135</v>
      </c>
      <c r="Q2942" t="s">
        <v>58</v>
      </c>
      <c r="R2942" t="str">
        <f>IFERROR(VLOOKUP(record[[#This Row],[PCUSTID]],廠商[],2,FALSE),"")</f>
        <v/>
      </c>
      <c r="S2942" t="str">
        <f>VLOOKUP(record[[#This Row],[employeeID]],員工[],2,FALSE)</f>
        <v>阮士文</v>
      </c>
    </row>
    <row r="2943" spans="6:19" hidden="1" x14ac:dyDescent="0.25">
      <c r="F2943" t="s">
        <v>1656</v>
      </c>
      <c r="G2943" t="s">
        <v>403</v>
      </c>
      <c r="H2943" t="str">
        <f>VLOOKUP(record[[#This Row],[ProcessSN]],表格2_7[],2,FALSE)</f>
        <v>30-4118-018-550</v>
      </c>
      <c r="I2943" t="str">
        <f>VLOOKUP(record[[#This Row],[ProcessSN]],表格2_7[],3,FALSE)</f>
        <v>#100SHIP</v>
      </c>
      <c r="J2943" t="s">
        <v>600</v>
      </c>
      <c r="K2943" s="195">
        <v>46106.684293981481</v>
      </c>
      <c r="L2943">
        <v>378</v>
      </c>
      <c r="M2943">
        <v>0</v>
      </c>
      <c r="N2943" s="98" t="str">
        <f>IF(record[[#This Row],[Memo]]="Browser:chrome os:android","平板報工",IF(record[[#This Row],[Memo]]=0,"委外",record[[#This Row],[Memo]]))</f>
        <v/>
      </c>
      <c r="O2943" t="s">
        <v>58</v>
      </c>
      <c r="P2943" t="s">
        <v>886</v>
      </c>
      <c r="Q2943" t="s">
        <v>58</v>
      </c>
      <c r="R2943" t="str">
        <f>IFERROR(VLOOKUP(record[[#This Row],[PCUSTID]],廠商[],2,FALSE),"")</f>
        <v/>
      </c>
      <c r="S2943" t="str">
        <f>VLOOKUP(record[[#This Row],[employeeID]],員工[],2,FALSE)</f>
        <v>謝蓁薰</v>
      </c>
    </row>
    <row r="2944" spans="6:19" hidden="1" x14ac:dyDescent="0.25">
      <c r="F2944" t="s">
        <v>1656</v>
      </c>
      <c r="G2944" t="s">
        <v>402</v>
      </c>
      <c r="H2944" t="str">
        <f>VLOOKUP(record[[#This Row],[ProcessSN]],表格2_7[],2,FALSE)</f>
        <v>30-4118-018-550</v>
      </c>
      <c r="I2944" t="str">
        <f>VLOOKUP(record[[#This Row],[ProcessSN]],表格2_7[],3,FALSE)</f>
        <v>#100STOCK</v>
      </c>
      <c r="J2944" t="s">
        <v>592</v>
      </c>
      <c r="K2944" s="195">
        <v>46106.684074074074</v>
      </c>
      <c r="L2944">
        <v>9</v>
      </c>
      <c r="M2944">
        <v>0</v>
      </c>
      <c r="N2944" s="98" t="str">
        <f>IF(record[[#This Row],[Memo]]="Browser:chrome os:android","平板報工",IF(record[[#This Row],[Memo]]=0,"委外",record[[#This Row],[Memo]]))</f>
        <v/>
      </c>
      <c r="O2944" t="s">
        <v>58</v>
      </c>
      <c r="P2944" t="s">
        <v>886</v>
      </c>
      <c r="Q2944" t="s">
        <v>58</v>
      </c>
      <c r="R2944" t="str">
        <f>IFERROR(VLOOKUP(record[[#This Row],[PCUSTID]],廠商[],2,FALSE),"")</f>
        <v/>
      </c>
      <c r="S2944" t="str">
        <f>VLOOKUP(record[[#This Row],[employeeID]],員工[],2,FALSE)</f>
        <v>謝蓁薰</v>
      </c>
    </row>
    <row r="2945" spans="6:19" hidden="1" x14ac:dyDescent="0.25">
      <c r="F2945" t="s">
        <v>1656</v>
      </c>
      <c r="G2945" t="s">
        <v>402</v>
      </c>
      <c r="H2945" t="str">
        <f>VLOOKUP(record[[#This Row],[ProcessSN]],表格2_7[],2,FALSE)</f>
        <v>30-4118-018-550</v>
      </c>
      <c r="I2945" t="str">
        <f>VLOOKUP(record[[#This Row],[ProcessSN]],表格2_7[],3,FALSE)</f>
        <v>#100STOCK</v>
      </c>
      <c r="J2945" t="s">
        <v>592</v>
      </c>
      <c r="K2945" s="195">
        <v>46106.683865740742</v>
      </c>
      <c r="L2945">
        <v>348</v>
      </c>
      <c r="M2945">
        <v>0</v>
      </c>
      <c r="N2945" s="98" t="str">
        <f>IF(record[[#This Row],[Memo]]="Browser:chrome os:android","平板報工",IF(record[[#This Row],[Memo]]=0,"委外",record[[#This Row],[Memo]]))</f>
        <v/>
      </c>
      <c r="O2945" t="s">
        <v>58</v>
      </c>
      <c r="P2945" t="s">
        <v>886</v>
      </c>
      <c r="Q2945" t="s">
        <v>58</v>
      </c>
      <c r="R2945" t="str">
        <f>IFERROR(VLOOKUP(record[[#This Row],[PCUSTID]],廠商[],2,FALSE),"")</f>
        <v/>
      </c>
      <c r="S2945" t="str">
        <f>VLOOKUP(record[[#This Row],[employeeID]],員工[],2,FALSE)</f>
        <v>謝蓁薰</v>
      </c>
    </row>
    <row r="2946" spans="6:19" hidden="1" x14ac:dyDescent="0.25">
      <c r="F2946" t="s">
        <v>1569</v>
      </c>
      <c r="G2946" t="s">
        <v>451</v>
      </c>
      <c r="H2946" t="str">
        <f>VLOOKUP(record[[#This Row],[ProcessSN]],表格2_7[],2,FALSE)</f>
        <v>30-4118-018-6XX</v>
      </c>
      <c r="I2946" t="str">
        <f>VLOOKUP(record[[#This Row],[ProcessSN]],表格2_7[],3,FALSE)</f>
        <v>#07</v>
      </c>
      <c r="J2946" t="s">
        <v>588</v>
      </c>
      <c r="K2946" s="195">
        <v>46106.666921296295</v>
      </c>
      <c r="L2946">
        <v>99</v>
      </c>
      <c r="M2946">
        <v>0</v>
      </c>
      <c r="N2946" s="98" t="str">
        <f>IF(record[[#This Row],[Memo]]="Browser:chrome os:android","平板報工",IF(record[[#This Row],[Memo]]=0,"委外",record[[#This Row],[Memo]]))</f>
        <v>平板報工</v>
      </c>
      <c r="O2946" t="s">
        <v>643</v>
      </c>
      <c r="P2946" t="s">
        <v>145</v>
      </c>
      <c r="Q2946" t="s">
        <v>644</v>
      </c>
      <c r="R2946" t="str">
        <f>IFERROR(VLOOKUP(record[[#This Row],[PCUSTID]],廠商[],2,FALSE),"")</f>
        <v/>
      </c>
      <c r="S2946" t="str">
        <f>VLOOKUP(record[[#This Row],[employeeID]],員工[],2,FALSE)</f>
        <v>阮秋霞</v>
      </c>
    </row>
    <row r="2947" spans="6:19" hidden="1" x14ac:dyDescent="0.25">
      <c r="F2947" t="s">
        <v>1639</v>
      </c>
      <c r="G2947" t="s">
        <v>426</v>
      </c>
      <c r="H2947" t="str">
        <f>VLOOKUP(record[[#This Row],[ProcessSN]],表格2_7[],2,FALSE)</f>
        <v>30-4118-018-600</v>
      </c>
      <c r="I2947" t="str">
        <f>VLOOKUP(record[[#This Row],[ProcessSN]],表格2_7[],3,FALSE)</f>
        <v>#100OQC</v>
      </c>
      <c r="J2947" t="s">
        <v>599</v>
      </c>
      <c r="K2947" s="195">
        <v>46106.663865740738</v>
      </c>
      <c r="L2947">
        <v>181</v>
      </c>
      <c r="M2947">
        <v>0</v>
      </c>
      <c r="N2947" s="98" t="str">
        <f>IF(record[[#This Row],[Memo]]="Browser:chrome os:android","平板報工",IF(record[[#This Row],[Memo]]=0,"委外",record[[#This Row],[Memo]]))</f>
        <v/>
      </c>
      <c r="O2947" t="s">
        <v>58</v>
      </c>
      <c r="P2947" t="s">
        <v>121</v>
      </c>
      <c r="Q2947" t="s">
        <v>58</v>
      </c>
      <c r="R2947" t="str">
        <f>IFERROR(VLOOKUP(record[[#This Row],[PCUSTID]],廠商[],2,FALSE),"")</f>
        <v/>
      </c>
      <c r="S2947" t="str">
        <f>VLOOKUP(record[[#This Row],[employeeID]],員工[],2,FALSE)</f>
        <v>謝素卿</v>
      </c>
    </row>
    <row r="2948" spans="6:19" hidden="1" x14ac:dyDescent="0.25">
      <c r="F2948" t="s">
        <v>1522</v>
      </c>
      <c r="G2948" t="s">
        <v>426</v>
      </c>
      <c r="H2948" t="str">
        <f>VLOOKUP(record[[#This Row],[ProcessSN]],表格2_7[],2,FALSE)</f>
        <v>30-4118-018-600</v>
      </c>
      <c r="I2948" t="str">
        <f>VLOOKUP(record[[#This Row],[ProcessSN]],表格2_7[],3,FALSE)</f>
        <v>#100OQC</v>
      </c>
      <c r="J2948" t="s">
        <v>599</v>
      </c>
      <c r="K2948" s="195">
        <v>46106.663645833331</v>
      </c>
      <c r="L2948">
        <v>4</v>
      </c>
      <c r="M2948">
        <v>0</v>
      </c>
      <c r="N2948" s="98" t="str">
        <f>IF(record[[#This Row],[Memo]]="Browser:chrome os:android","平板報工",IF(record[[#This Row],[Memo]]=0,"委外",record[[#This Row],[Memo]]))</f>
        <v/>
      </c>
      <c r="O2948" t="s">
        <v>58</v>
      </c>
      <c r="P2948" t="s">
        <v>121</v>
      </c>
      <c r="Q2948" t="s">
        <v>58</v>
      </c>
      <c r="R2948" t="str">
        <f>IFERROR(VLOOKUP(record[[#This Row],[PCUSTID]],廠商[],2,FALSE),"")</f>
        <v/>
      </c>
      <c r="S2948" t="str">
        <f>VLOOKUP(record[[#This Row],[employeeID]],員工[],2,FALSE)</f>
        <v>謝素卿</v>
      </c>
    </row>
    <row r="2949" spans="6:19" hidden="1" x14ac:dyDescent="0.25">
      <c r="F2949" t="s">
        <v>1656</v>
      </c>
      <c r="G2949" t="s">
        <v>401</v>
      </c>
      <c r="H2949" t="str">
        <f>VLOOKUP(record[[#This Row],[ProcessSN]],表格2_7[],2,FALSE)</f>
        <v>30-4118-018-550</v>
      </c>
      <c r="I2949" t="str">
        <f>VLOOKUP(record[[#This Row],[ProcessSN]],表格2_7[],3,FALSE)</f>
        <v>#100OQC</v>
      </c>
      <c r="J2949" t="s">
        <v>599</v>
      </c>
      <c r="K2949" s="195">
        <v>46106.663182870368</v>
      </c>
      <c r="L2949">
        <v>525</v>
      </c>
      <c r="M2949">
        <v>0</v>
      </c>
      <c r="N2949" s="98" t="str">
        <f>IF(record[[#This Row],[Memo]]="Browser:chrome os:android","平板報工",IF(record[[#This Row],[Memo]]=0,"委外",record[[#This Row],[Memo]]))</f>
        <v/>
      </c>
      <c r="O2949" t="s">
        <v>58</v>
      </c>
      <c r="P2949" t="s">
        <v>121</v>
      </c>
      <c r="Q2949" t="s">
        <v>58</v>
      </c>
      <c r="R2949" t="str">
        <f>IFERROR(VLOOKUP(record[[#This Row],[PCUSTID]],廠商[],2,FALSE),"")</f>
        <v/>
      </c>
      <c r="S2949" t="str">
        <f>VLOOKUP(record[[#This Row],[employeeID]],員工[],2,FALSE)</f>
        <v>謝素卿</v>
      </c>
    </row>
    <row r="2950" spans="6:19" hidden="1" x14ac:dyDescent="0.25">
      <c r="F2950" t="s">
        <v>1099</v>
      </c>
      <c r="G2950" t="s">
        <v>451</v>
      </c>
      <c r="H2950" t="str">
        <f>VLOOKUP(record[[#This Row],[ProcessSN]],表格2_7[],2,FALSE)</f>
        <v>30-4118-018-6XX</v>
      </c>
      <c r="I2950" t="str">
        <f>VLOOKUP(record[[#This Row],[ProcessSN]],表格2_7[],3,FALSE)</f>
        <v>#07</v>
      </c>
      <c r="J2950" t="s">
        <v>588</v>
      </c>
      <c r="K2950" s="195">
        <v>46106.660983796297</v>
      </c>
      <c r="L2950">
        <v>1</v>
      </c>
      <c r="M2950">
        <v>0</v>
      </c>
      <c r="N2950" s="98" t="str">
        <f>IF(record[[#This Row],[Memo]]="Browser:chrome os:android","平板報工",IF(record[[#This Row],[Memo]]=0,"委外",record[[#This Row],[Memo]]))</f>
        <v>3/25覆回*1pcs</v>
      </c>
      <c r="O2950" t="s">
        <v>1679</v>
      </c>
      <c r="P2950" t="s">
        <v>1075</v>
      </c>
      <c r="Q2950" t="s">
        <v>58</v>
      </c>
      <c r="R2950" t="str">
        <f>IFERROR(VLOOKUP(record[[#This Row],[PCUSTID]],廠商[],2,FALSE),"")</f>
        <v/>
      </c>
      <c r="S2950" t="str">
        <f>VLOOKUP(record[[#This Row],[employeeID]],員工[],2,FALSE)</f>
        <v>吳宥叡</v>
      </c>
    </row>
    <row r="2951" spans="6:19" hidden="1" x14ac:dyDescent="0.25">
      <c r="F2951" t="s">
        <v>1099</v>
      </c>
      <c r="G2951" t="s">
        <v>450</v>
      </c>
      <c r="H2951" t="str">
        <f>VLOOKUP(record[[#This Row],[ProcessSN]],表格2_7[],2,FALSE)</f>
        <v>30-4118-018-6XX</v>
      </c>
      <c r="I2951" t="str">
        <f>VLOOKUP(record[[#This Row],[ProcessSN]],表格2_7[],3,FALSE)</f>
        <v>#06</v>
      </c>
      <c r="J2951" t="s">
        <v>593</v>
      </c>
      <c r="K2951" s="195">
        <v>46106.660671296297</v>
      </c>
      <c r="L2951">
        <v>1</v>
      </c>
      <c r="M2951">
        <v>0</v>
      </c>
      <c r="N2951" s="98" t="str">
        <f>IF(record[[#This Row],[Memo]]="Browser:chrome os:android","平板報工",IF(record[[#This Row],[Memo]]=0,"委外",record[[#This Row],[Memo]]))</f>
        <v>3/25覆回*1pcs</v>
      </c>
      <c r="O2951" t="s">
        <v>1679</v>
      </c>
      <c r="P2951" t="s">
        <v>1075</v>
      </c>
      <c r="Q2951" t="s">
        <v>58</v>
      </c>
      <c r="R2951" t="str">
        <f>IFERROR(VLOOKUP(record[[#This Row],[PCUSTID]],廠商[],2,FALSE),"")</f>
        <v/>
      </c>
      <c r="S2951" t="str">
        <f>VLOOKUP(record[[#This Row],[employeeID]],員工[],2,FALSE)</f>
        <v>吳宥叡</v>
      </c>
    </row>
    <row r="2952" spans="6:19" hidden="1" x14ac:dyDescent="0.25">
      <c r="F2952" t="s">
        <v>1637</v>
      </c>
      <c r="G2952" t="s">
        <v>451</v>
      </c>
      <c r="H2952" t="str">
        <f>VLOOKUP(record[[#This Row],[ProcessSN]],表格2_7[],2,FALSE)</f>
        <v>30-4118-018-6XX</v>
      </c>
      <c r="I2952" t="str">
        <f>VLOOKUP(record[[#This Row],[ProcessSN]],表格2_7[],3,FALSE)</f>
        <v>#07</v>
      </c>
      <c r="J2952" t="s">
        <v>588</v>
      </c>
      <c r="K2952" s="195">
        <v>46106.65761574074</v>
      </c>
      <c r="L2952">
        <v>43</v>
      </c>
      <c r="M2952">
        <v>0</v>
      </c>
      <c r="N2952" s="98" t="str">
        <f>IF(record[[#This Row],[Memo]]="Browser:chrome os:android","平板報工",IF(record[[#This Row],[Memo]]=0,"委外",record[[#This Row],[Memo]]))</f>
        <v>平板報工</v>
      </c>
      <c r="O2952" t="s">
        <v>643</v>
      </c>
      <c r="P2952" t="s">
        <v>145</v>
      </c>
      <c r="Q2952" t="s">
        <v>644</v>
      </c>
      <c r="R2952" t="str">
        <f>IFERROR(VLOOKUP(record[[#This Row],[PCUSTID]],廠商[],2,FALSE),"")</f>
        <v/>
      </c>
      <c r="S2952" t="str">
        <f>VLOOKUP(record[[#This Row],[employeeID]],員工[],2,FALSE)</f>
        <v>阮秋霞</v>
      </c>
    </row>
    <row r="2953" spans="6:19" hidden="1" x14ac:dyDescent="0.25">
      <c r="F2953" t="s">
        <v>1653</v>
      </c>
      <c r="G2953" t="s">
        <v>415</v>
      </c>
      <c r="H2953" t="str">
        <f>VLOOKUP(record[[#This Row],[ProcessSN]],表格2_7[],2,FALSE)</f>
        <v>30-4118-018-5XX</v>
      </c>
      <c r="I2953" t="str">
        <f>VLOOKUP(record[[#This Row],[ProcessSN]],表格2_7[],3,FALSE)</f>
        <v>#04</v>
      </c>
      <c r="J2953" t="s">
        <v>588</v>
      </c>
      <c r="K2953" s="195">
        <v>46106.651990740742</v>
      </c>
      <c r="L2953">
        <v>126</v>
      </c>
      <c r="M2953">
        <v>1</v>
      </c>
      <c r="N2953" s="98" t="str">
        <f>IF(record[[#This Row],[Memo]]="Browser:chrome os:android","平板報工",IF(record[[#This Row],[Memo]]=0,"委外",record[[#This Row],[Memo]]))</f>
        <v>平板報工</v>
      </c>
      <c r="O2953" t="s">
        <v>643</v>
      </c>
      <c r="P2953" t="s">
        <v>107</v>
      </c>
      <c r="Q2953" t="s">
        <v>644</v>
      </c>
      <c r="R2953" t="str">
        <f>IFERROR(VLOOKUP(record[[#This Row],[PCUSTID]],廠商[],2,FALSE),"")</f>
        <v/>
      </c>
      <c r="S2953" t="str">
        <f>VLOOKUP(record[[#This Row],[employeeID]],員工[],2,FALSE)</f>
        <v>黎氏順</v>
      </c>
    </row>
    <row r="2954" spans="6:19" hidden="1" x14ac:dyDescent="0.25">
      <c r="F2954" t="s">
        <v>1637</v>
      </c>
      <c r="G2954" t="s">
        <v>449</v>
      </c>
      <c r="H2954" t="str">
        <f>VLOOKUP(record[[#This Row],[ProcessSN]],表格2_7[],2,FALSE)</f>
        <v>30-4118-018-6XX</v>
      </c>
      <c r="I2954" t="str">
        <f>VLOOKUP(record[[#This Row],[ProcessSN]],表格2_7[],3,FALSE)</f>
        <v>#05</v>
      </c>
      <c r="J2954" t="s">
        <v>588</v>
      </c>
      <c r="K2954" s="195">
        <v>46106.651620370372</v>
      </c>
      <c r="L2954">
        <v>180</v>
      </c>
      <c r="M2954">
        <v>0</v>
      </c>
      <c r="N2954" s="98" t="str">
        <f>IF(record[[#This Row],[Memo]]="Browser:chrome os:android","平板報工",IF(record[[#This Row],[Memo]]=0,"委外",record[[#This Row],[Memo]]))</f>
        <v>平板報工</v>
      </c>
      <c r="O2954" t="s">
        <v>643</v>
      </c>
      <c r="P2954" t="s">
        <v>145</v>
      </c>
      <c r="Q2954" t="s">
        <v>644</v>
      </c>
      <c r="R2954" t="str">
        <f>IFERROR(VLOOKUP(record[[#This Row],[PCUSTID]],廠商[],2,FALSE),"")</f>
        <v/>
      </c>
      <c r="S2954" t="str">
        <f>VLOOKUP(record[[#This Row],[employeeID]],員工[],2,FALSE)</f>
        <v>阮秋霞</v>
      </c>
    </row>
    <row r="2955" spans="6:19" hidden="1" x14ac:dyDescent="0.25">
      <c r="F2955" t="s">
        <v>1637</v>
      </c>
      <c r="G2955" t="s">
        <v>448</v>
      </c>
      <c r="H2955" t="str">
        <f>VLOOKUP(record[[#This Row],[ProcessSN]],表格2_7[],2,FALSE)</f>
        <v>30-4118-018-6XX</v>
      </c>
      <c r="I2955" t="str">
        <f>VLOOKUP(record[[#This Row],[ProcessSN]],表格2_7[],3,FALSE)</f>
        <v>#04</v>
      </c>
      <c r="J2955" t="s">
        <v>588</v>
      </c>
      <c r="K2955" s="195">
        <v>46106.65053240741</v>
      </c>
      <c r="L2955">
        <v>106</v>
      </c>
      <c r="M2955">
        <v>0</v>
      </c>
      <c r="N2955" s="98" t="str">
        <f>IF(record[[#This Row],[Memo]]="Browser:chrome os:android","平板報工",IF(record[[#This Row],[Memo]]=0,"委外",record[[#This Row],[Memo]]))</f>
        <v>平板報工</v>
      </c>
      <c r="O2955" t="s">
        <v>643</v>
      </c>
      <c r="P2955" t="s">
        <v>107</v>
      </c>
      <c r="Q2955" t="s">
        <v>644</v>
      </c>
      <c r="R2955" t="str">
        <f>IFERROR(VLOOKUP(record[[#This Row],[PCUSTID]],廠商[],2,FALSE),"")</f>
        <v/>
      </c>
      <c r="S2955" t="str">
        <f>VLOOKUP(record[[#This Row],[employeeID]],員工[],2,FALSE)</f>
        <v>黎氏順</v>
      </c>
    </row>
    <row r="2956" spans="6:19" hidden="1" x14ac:dyDescent="0.25">
      <c r="F2956" t="s">
        <v>1637</v>
      </c>
      <c r="G2956" t="s">
        <v>450</v>
      </c>
      <c r="H2956" t="str">
        <f>VLOOKUP(record[[#This Row],[ProcessSN]],表格2_7[],2,FALSE)</f>
        <v>30-4118-018-6XX</v>
      </c>
      <c r="I2956" t="str">
        <f>VLOOKUP(record[[#This Row],[ProcessSN]],表格2_7[],3,FALSE)</f>
        <v>#06</v>
      </c>
      <c r="J2956" t="s">
        <v>593</v>
      </c>
      <c r="K2956" s="195">
        <v>46106.648923611108</v>
      </c>
      <c r="L2956">
        <v>65</v>
      </c>
      <c r="M2956">
        <v>0</v>
      </c>
      <c r="N2956" s="98" t="str">
        <f>IF(record[[#This Row],[Memo]]="Browser:chrome os:android","平板報工",IF(record[[#This Row],[Memo]]=0,"委外",record[[#This Row],[Memo]]))</f>
        <v>平板報工</v>
      </c>
      <c r="O2956" t="s">
        <v>643</v>
      </c>
      <c r="P2956" t="s">
        <v>1413</v>
      </c>
      <c r="Q2956" t="s">
        <v>644</v>
      </c>
      <c r="R2956" t="str">
        <f>IFERROR(VLOOKUP(record[[#This Row],[PCUSTID]],廠商[],2,FALSE),"")</f>
        <v/>
      </c>
      <c r="S2956" t="str">
        <f>VLOOKUP(record[[#This Row],[employeeID]],員工[],2,FALSE)</f>
        <v>阮氏芳英(芳)</v>
      </c>
    </row>
    <row r="2957" spans="6:19" hidden="1" x14ac:dyDescent="0.25">
      <c r="F2957" t="s">
        <v>1569</v>
      </c>
      <c r="G2957" t="s">
        <v>450</v>
      </c>
      <c r="H2957" t="str">
        <f>VLOOKUP(record[[#This Row],[ProcessSN]],表格2_7[],2,FALSE)</f>
        <v>30-4118-018-6XX</v>
      </c>
      <c r="I2957" t="str">
        <f>VLOOKUP(record[[#This Row],[ProcessSN]],表格2_7[],3,FALSE)</f>
        <v>#06</v>
      </c>
      <c r="J2957" t="s">
        <v>593</v>
      </c>
      <c r="K2957" s="195">
        <v>46106.648692129631</v>
      </c>
      <c r="L2957">
        <v>46</v>
      </c>
      <c r="M2957">
        <v>0</v>
      </c>
      <c r="N2957" s="98" t="str">
        <f>IF(record[[#This Row],[Memo]]="Browser:chrome os:android","平板報工",IF(record[[#This Row],[Memo]]=0,"委外",record[[#This Row],[Memo]]))</f>
        <v>平板報工</v>
      </c>
      <c r="O2957" t="s">
        <v>643</v>
      </c>
      <c r="P2957" t="s">
        <v>1413</v>
      </c>
      <c r="Q2957" t="s">
        <v>644</v>
      </c>
      <c r="R2957" t="str">
        <f>IFERROR(VLOOKUP(record[[#This Row],[PCUSTID]],廠商[],2,FALSE),"")</f>
        <v/>
      </c>
      <c r="S2957" t="str">
        <f>VLOOKUP(record[[#This Row],[employeeID]],員工[],2,FALSE)</f>
        <v>阮氏芳英(芳)</v>
      </c>
    </row>
    <row r="2958" spans="6:19" hidden="1" x14ac:dyDescent="0.25">
      <c r="F2958" t="s">
        <v>1568</v>
      </c>
      <c r="G2958" t="s">
        <v>419</v>
      </c>
      <c r="H2958" t="str">
        <f>VLOOKUP(record[[#This Row],[ProcessSN]],表格2_7[],2,FALSE)</f>
        <v>30-4118-018-5XX</v>
      </c>
      <c r="I2958" t="str">
        <f>VLOOKUP(record[[#This Row],[ProcessSN]],表格2_7[],3,FALSE)</f>
        <v>#07QC</v>
      </c>
      <c r="J2958" t="s">
        <v>589</v>
      </c>
      <c r="K2958" s="195">
        <v>46106.603414351855</v>
      </c>
      <c r="L2958">
        <v>24</v>
      </c>
      <c r="M2958">
        <v>0</v>
      </c>
      <c r="N2958" s="98" t="str">
        <f>IF(record[[#This Row],[Memo]]="Browser:chrome os:android","平板報工",IF(record[[#This Row],[Memo]]=0,"委外",record[[#This Row],[Memo]]))</f>
        <v>覆回階差</v>
      </c>
      <c r="O2958" t="s">
        <v>1678</v>
      </c>
      <c r="P2958" t="s">
        <v>141</v>
      </c>
      <c r="Q2958" t="s">
        <v>58</v>
      </c>
      <c r="R2958" t="str">
        <f>IFERROR(VLOOKUP(record[[#This Row],[PCUSTID]],廠商[],2,FALSE),"")</f>
        <v/>
      </c>
      <c r="S2958" t="str">
        <f>VLOOKUP(record[[#This Row],[employeeID]],員工[],2,FALSE)</f>
        <v>蔣梅</v>
      </c>
    </row>
    <row r="2959" spans="6:19" hidden="1" x14ac:dyDescent="0.25">
      <c r="F2959" t="s">
        <v>1676</v>
      </c>
      <c r="G2959" t="s">
        <v>422</v>
      </c>
      <c r="H2959" t="str">
        <f>VLOOKUP(record[[#This Row],[ProcessSN]],表格2_7[],2,FALSE)</f>
        <v>30-4118-018-600</v>
      </c>
      <c r="I2959" t="str">
        <f>VLOOKUP(record[[#This Row],[ProcessSN]],表格2_7[],3,FALSE)</f>
        <v>#08</v>
      </c>
      <c r="J2959" t="s">
        <v>597</v>
      </c>
      <c r="K2959" s="195">
        <v>46106.561226851853</v>
      </c>
      <c r="L2959">
        <v>392</v>
      </c>
      <c r="M2959">
        <v>0</v>
      </c>
      <c r="N2959" s="98" t="str">
        <f>IF(record[[#This Row],[Memo]]="Browser:chrome os:android","平板報工",IF(record[[#This Row],[Memo]]=0,"委外",record[[#This Row],[Memo]]))</f>
        <v>委外</v>
      </c>
      <c r="P2959" t="s">
        <v>186</v>
      </c>
      <c r="Q2959" t="s">
        <v>287</v>
      </c>
      <c r="R2959" t="str">
        <f>IFERROR(VLOOKUP(record[[#This Row],[PCUSTID]],廠商[],2,FALSE),"")</f>
        <v>泉盛</v>
      </c>
      <c r="S2959" t="str">
        <f>VLOOKUP(record[[#This Row],[employeeID]],員工[],2,FALSE)</f>
        <v>許文姍</v>
      </c>
    </row>
    <row r="2960" spans="6:19" hidden="1" x14ac:dyDescent="0.25">
      <c r="F2960" t="s">
        <v>1569</v>
      </c>
      <c r="G2960" t="s">
        <v>453</v>
      </c>
      <c r="H2960" t="str">
        <f>VLOOKUP(record[[#This Row],[ProcessSN]],表格2_7[],2,FALSE)</f>
        <v>30-4118-018-6XX</v>
      </c>
      <c r="I2960" t="str">
        <f>VLOOKUP(record[[#This Row],[ProcessSN]],表格2_7[],3,FALSE)</f>
        <v>#07STOCK</v>
      </c>
      <c r="J2960" t="s">
        <v>592</v>
      </c>
      <c r="K2960" s="195">
        <v>46106.557511574072</v>
      </c>
      <c r="L2960">
        <v>392</v>
      </c>
      <c r="M2960">
        <v>0</v>
      </c>
      <c r="N2960" s="98" t="str">
        <f>IF(record[[#This Row],[Memo]]="Browser:chrome os:android","平板報工",IF(record[[#This Row],[Memo]]=0,"委外",record[[#This Row],[Memo]]))</f>
        <v/>
      </c>
      <c r="O2960" t="s">
        <v>58</v>
      </c>
      <c r="P2960" t="s">
        <v>186</v>
      </c>
      <c r="Q2960" t="s">
        <v>58</v>
      </c>
      <c r="R2960" t="str">
        <f>IFERROR(VLOOKUP(record[[#This Row],[PCUSTID]],廠商[],2,FALSE),"")</f>
        <v/>
      </c>
      <c r="S2960" t="str">
        <f>VLOOKUP(record[[#This Row],[employeeID]],員工[],2,FALSE)</f>
        <v>許文姍</v>
      </c>
    </row>
    <row r="2961" spans="6:19" hidden="1" x14ac:dyDescent="0.25">
      <c r="F2961" t="s">
        <v>1676</v>
      </c>
      <c r="G2961" t="s">
        <v>421</v>
      </c>
      <c r="H2961" t="str">
        <f>VLOOKUP(record[[#This Row],[ProcessSN]],表格2_7[],2,FALSE)</f>
        <v>30-4118-018-600</v>
      </c>
      <c r="I2961" t="str">
        <f>VLOOKUP(record[[#This Row],[ProcessSN]],表格2_7[],3,FALSE)</f>
        <v>#08PICK</v>
      </c>
      <c r="J2961" t="s">
        <v>582</v>
      </c>
      <c r="K2961" s="195">
        <v>46106.554178240738</v>
      </c>
      <c r="L2961">
        <v>392</v>
      </c>
      <c r="M2961">
        <v>0</v>
      </c>
      <c r="N2961" s="98" t="str">
        <f>IF(record[[#This Row],[Memo]]="Browser:chrome os:android","平板報工",IF(record[[#This Row],[Memo]]=0,"委外",record[[#This Row],[Memo]]))</f>
        <v/>
      </c>
      <c r="O2961" t="s">
        <v>58</v>
      </c>
      <c r="P2961" t="s">
        <v>186</v>
      </c>
      <c r="Q2961" t="s">
        <v>58</v>
      </c>
      <c r="R2961" t="str">
        <f>IFERROR(VLOOKUP(record[[#This Row],[PCUSTID]],廠商[],2,FALSE),"")</f>
        <v/>
      </c>
      <c r="S2961" t="str">
        <f>VLOOKUP(record[[#This Row],[employeeID]],員工[],2,FALSE)</f>
        <v>許文姍</v>
      </c>
    </row>
    <row r="2962" spans="6:19" hidden="1" x14ac:dyDescent="0.25">
      <c r="F2962" t="s">
        <v>1569</v>
      </c>
      <c r="G2962" t="s">
        <v>452</v>
      </c>
      <c r="H2962" t="str">
        <f>VLOOKUP(record[[#This Row],[ProcessSN]],表格2_7[],2,FALSE)</f>
        <v>30-4118-018-6XX</v>
      </c>
      <c r="I2962" t="str">
        <f>VLOOKUP(record[[#This Row],[ProcessSN]],表格2_7[],3,FALSE)</f>
        <v>#07QC</v>
      </c>
      <c r="J2962" t="s">
        <v>589</v>
      </c>
      <c r="K2962" s="195">
        <v>46106.548773148148</v>
      </c>
      <c r="L2962">
        <v>0</v>
      </c>
      <c r="M2962">
        <v>21</v>
      </c>
      <c r="N2962" s="98" t="str">
        <f>IF(record[[#This Row],[Memo]]="Browser:chrome os:android","平板報工",IF(record[[#This Row],[Memo]]=0,"委外",record[[#This Row],[Memo]]))</f>
        <v/>
      </c>
      <c r="O2962" t="s">
        <v>58</v>
      </c>
      <c r="P2962" t="s">
        <v>141</v>
      </c>
      <c r="Q2962" t="s">
        <v>58</v>
      </c>
      <c r="R2962" t="str">
        <f>IFERROR(VLOOKUP(record[[#This Row],[PCUSTID]],廠商[],2,FALSE),"")</f>
        <v/>
      </c>
      <c r="S2962" t="str">
        <f>VLOOKUP(record[[#This Row],[employeeID]],員工[],2,FALSE)</f>
        <v>蔣梅</v>
      </c>
    </row>
    <row r="2963" spans="6:19" hidden="1" x14ac:dyDescent="0.25">
      <c r="F2963" t="s">
        <v>1569</v>
      </c>
      <c r="G2963" t="s">
        <v>452</v>
      </c>
      <c r="H2963" t="str">
        <f>VLOOKUP(record[[#This Row],[ProcessSN]],表格2_7[],2,FALSE)</f>
        <v>30-4118-018-6XX</v>
      </c>
      <c r="I2963" t="str">
        <f>VLOOKUP(record[[#This Row],[ProcessSN]],表格2_7[],3,FALSE)</f>
        <v>#07QC</v>
      </c>
      <c r="J2963" t="s">
        <v>589</v>
      </c>
      <c r="K2963" s="195">
        <v>46106.54859953704</v>
      </c>
      <c r="L2963">
        <v>29</v>
      </c>
      <c r="M2963">
        <v>0</v>
      </c>
      <c r="N2963" s="98" t="str">
        <f>IF(record[[#This Row],[Memo]]="Browser:chrome os:android","平板報工",IF(record[[#This Row],[Memo]]=0,"委外",record[[#This Row],[Memo]]))</f>
        <v/>
      </c>
      <c r="O2963" t="s">
        <v>58</v>
      </c>
      <c r="P2963" t="s">
        <v>141</v>
      </c>
      <c r="Q2963" t="s">
        <v>58</v>
      </c>
      <c r="R2963" t="str">
        <f>IFERROR(VLOOKUP(record[[#This Row],[PCUSTID]],廠商[],2,FALSE),"")</f>
        <v/>
      </c>
      <c r="S2963" t="str">
        <f>VLOOKUP(record[[#This Row],[employeeID]],員工[],2,FALSE)</f>
        <v>蔣梅</v>
      </c>
    </row>
    <row r="2964" spans="6:19" hidden="1" x14ac:dyDescent="0.25">
      <c r="F2964" t="s">
        <v>1568</v>
      </c>
      <c r="G2964" t="s">
        <v>418</v>
      </c>
      <c r="H2964" t="str">
        <f>VLOOKUP(record[[#This Row],[ProcessSN]],表格2_7[],2,FALSE)</f>
        <v>30-4118-018-5XX</v>
      </c>
      <c r="I2964" t="str">
        <f>VLOOKUP(record[[#This Row],[ProcessSN]],表格2_7[],3,FALSE)</f>
        <v>#07</v>
      </c>
      <c r="J2964" t="s">
        <v>588</v>
      </c>
      <c r="K2964" s="195">
        <v>46106.467557870368</v>
      </c>
      <c r="L2964">
        <v>144</v>
      </c>
      <c r="M2964">
        <v>3</v>
      </c>
      <c r="N2964" s="98" t="str">
        <f>IF(record[[#This Row],[Memo]]="Browser:chrome os:android","平板報工",IF(record[[#This Row],[Memo]]=0,"委外",record[[#This Row],[Memo]]))</f>
        <v>3/25覆回*24pcs</v>
      </c>
      <c r="O2964" t="s">
        <v>1675</v>
      </c>
      <c r="P2964" t="s">
        <v>1075</v>
      </c>
      <c r="Q2964" t="s">
        <v>58</v>
      </c>
      <c r="R2964" t="str">
        <f>IFERROR(VLOOKUP(record[[#This Row],[PCUSTID]],廠商[],2,FALSE),"")</f>
        <v/>
      </c>
      <c r="S2964" t="str">
        <f>VLOOKUP(record[[#This Row],[employeeID]],員工[],2,FALSE)</f>
        <v>吳宥叡</v>
      </c>
    </row>
    <row r="2965" spans="6:19" hidden="1" x14ac:dyDescent="0.25">
      <c r="F2965" t="s">
        <v>1569</v>
      </c>
      <c r="G2965" t="s">
        <v>452</v>
      </c>
      <c r="H2965" t="str">
        <f>VLOOKUP(record[[#This Row],[ProcessSN]],表格2_7[],2,FALSE)</f>
        <v>30-4118-018-6XX</v>
      </c>
      <c r="I2965" t="str">
        <f>VLOOKUP(record[[#This Row],[ProcessSN]],表格2_7[],3,FALSE)</f>
        <v>#07QC</v>
      </c>
      <c r="J2965" t="s">
        <v>589</v>
      </c>
      <c r="K2965" s="195">
        <v>46106.4608912037</v>
      </c>
      <c r="L2965">
        <v>363</v>
      </c>
      <c r="M2965">
        <v>0</v>
      </c>
      <c r="N2965" s="98" t="str">
        <f>IF(record[[#This Row],[Memo]]="Browser:chrome os:android","平板報工",IF(record[[#This Row],[Memo]]=0,"委外",record[[#This Row],[Memo]]))</f>
        <v/>
      </c>
      <c r="O2965" t="s">
        <v>58</v>
      </c>
      <c r="P2965" t="s">
        <v>141</v>
      </c>
      <c r="Q2965" t="s">
        <v>58</v>
      </c>
      <c r="R2965" t="str">
        <f>IFERROR(VLOOKUP(record[[#This Row],[PCUSTID]],廠商[],2,FALSE),"")</f>
        <v/>
      </c>
      <c r="S2965" t="str">
        <f>VLOOKUP(record[[#This Row],[employeeID]],員工[],2,FALSE)</f>
        <v>蔣梅</v>
      </c>
    </row>
    <row r="2966" spans="6:19" hidden="1" x14ac:dyDescent="0.25">
      <c r="F2966" t="s">
        <v>1656</v>
      </c>
      <c r="G2966" t="s">
        <v>400</v>
      </c>
      <c r="H2966" t="str">
        <f>VLOOKUP(record[[#This Row],[ProcessSN]],表格2_7[],2,FALSE)</f>
        <v>30-4118-018-550</v>
      </c>
      <c r="I2966" t="str">
        <f>VLOOKUP(record[[#This Row],[ProcessSN]],表格2_7[],3,FALSE)</f>
        <v>#100</v>
      </c>
      <c r="J2966" t="s">
        <v>598</v>
      </c>
      <c r="K2966" s="195">
        <v>46106.456574074073</v>
      </c>
      <c r="L2966">
        <v>177</v>
      </c>
      <c r="M2966">
        <v>0</v>
      </c>
      <c r="N2966" s="98" t="str">
        <f>IF(record[[#This Row],[Memo]]="Browser:chrome os:android","平板報工",IF(record[[#This Row],[Memo]]=0,"委外",record[[#This Row],[Memo]]))</f>
        <v/>
      </c>
      <c r="O2966" t="s">
        <v>58</v>
      </c>
      <c r="P2966" t="s">
        <v>99</v>
      </c>
      <c r="Q2966" t="s">
        <v>58</v>
      </c>
      <c r="R2966" t="str">
        <f>IFERROR(VLOOKUP(record[[#This Row],[PCUSTID]],廠商[],2,FALSE),"")</f>
        <v/>
      </c>
      <c r="S2966" t="str">
        <f>VLOOKUP(record[[#This Row],[employeeID]],員工[],2,FALSE)</f>
        <v>阮氏河</v>
      </c>
    </row>
    <row r="2967" spans="6:19" hidden="1" x14ac:dyDescent="0.25">
      <c r="F2967" t="s">
        <v>1656</v>
      </c>
      <c r="G2967" t="s">
        <v>402</v>
      </c>
      <c r="H2967" t="str">
        <f>VLOOKUP(record[[#This Row],[ProcessSN]],表格2_7[],2,FALSE)</f>
        <v>30-4118-018-550</v>
      </c>
      <c r="I2967" t="str">
        <f>VLOOKUP(record[[#This Row],[ProcessSN]],表格2_7[],3,FALSE)</f>
        <v>#100STOCK</v>
      </c>
      <c r="J2967" t="s">
        <v>592</v>
      </c>
      <c r="K2967" s="195">
        <v>46106.438240740739</v>
      </c>
      <c r="L2967">
        <v>21</v>
      </c>
      <c r="M2967">
        <v>0</v>
      </c>
      <c r="N2967" s="98" t="str">
        <f>IF(record[[#This Row],[Memo]]="Browser:chrome os:android","平板報工",IF(record[[#This Row],[Memo]]=0,"委外",record[[#This Row],[Memo]]))</f>
        <v/>
      </c>
      <c r="O2967" t="s">
        <v>58</v>
      </c>
      <c r="P2967" t="s">
        <v>886</v>
      </c>
      <c r="Q2967" t="s">
        <v>58</v>
      </c>
      <c r="R2967" t="str">
        <f>IFERROR(VLOOKUP(record[[#This Row],[PCUSTID]],廠商[],2,FALSE),"")</f>
        <v/>
      </c>
      <c r="S2967" t="str">
        <f>VLOOKUP(record[[#This Row],[employeeID]],員工[],2,FALSE)</f>
        <v>謝蓁薰</v>
      </c>
    </row>
    <row r="2968" spans="6:19" hidden="1" x14ac:dyDescent="0.25">
      <c r="F2968" t="s">
        <v>1656</v>
      </c>
      <c r="G2968" t="s">
        <v>400</v>
      </c>
      <c r="H2968" t="str">
        <f>VLOOKUP(record[[#This Row],[ProcessSN]],表格2_7[],2,FALSE)</f>
        <v>30-4118-018-550</v>
      </c>
      <c r="I2968" t="str">
        <f>VLOOKUP(record[[#This Row],[ProcessSN]],表格2_7[],3,FALSE)</f>
        <v>#100</v>
      </c>
      <c r="J2968" t="s">
        <v>598</v>
      </c>
      <c r="K2968" s="195">
        <v>46106.400196759256</v>
      </c>
      <c r="L2968">
        <v>348</v>
      </c>
      <c r="M2968">
        <v>0</v>
      </c>
      <c r="N2968" s="98" t="str">
        <f>IF(record[[#This Row],[Memo]]="Browser:chrome os:android","平板報工",IF(record[[#This Row],[Memo]]=0,"委外",record[[#This Row],[Memo]]))</f>
        <v/>
      </c>
      <c r="O2968" t="s">
        <v>58</v>
      </c>
      <c r="P2968" t="s">
        <v>141</v>
      </c>
      <c r="Q2968" t="s">
        <v>58</v>
      </c>
      <c r="R2968" t="str">
        <f>IFERROR(VLOOKUP(record[[#This Row],[PCUSTID]],廠商[],2,FALSE),"")</f>
        <v/>
      </c>
      <c r="S2968" t="str">
        <f>VLOOKUP(record[[#This Row],[employeeID]],員工[],2,FALSE)</f>
        <v>蔣梅</v>
      </c>
    </row>
    <row r="2969" spans="6:19" hidden="1" x14ac:dyDescent="0.25">
      <c r="F2969" t="s">
        <v>1569</v>
      </c>
      <c r="G2969" t="s">
        <v>451</v>
      </c>
      <c r="H2969" t="str">
        <f>VLOOKUP(record[[#This Row],[ProcessSN]],表格2_7[],2,FALSE)</f>
        <v>30-4118-018-6XX</v>
      </c>
      <c r="I2969" t="str">
        <f>VLOOKUP(record[[#This Row],[ProcessSN]],表格2_7[],3,FALSE)</f>
        <v>#07</v>
      </c>
      <c r="J2969" t="s">
        <v>588</v>
      </c>
      <c r="K2969" s="195">
        <v>46106.311793981484</v>
      </c>
      <c r="L2969">
        <v>112</v>
      </c>
      <c r="M2969">
        <v>1</v>
      </c>
      <c r="N2969" s="98" t="str">
        <f>IF(record[[#This Row],[Memo]]="Browser:chrome os:android","平板報工",IF(record[[#This Row],[Memo]]=0,"委外",record[[#This Row],[Memo]]))</f>
        <v/>
      </c>
      <c r="O2969" t="s">
        <v>58</v>
      </c>
      <c r="P2969" t="s">
        <v>1098</v>
      </c>
      <c r="Q2969" t="s">
        <v>58</v>
      </c>
      <c r="R2969" t="str">
        <f>IFERROR(VLOOKUP(record[[#This Row],[PCUSTID]],廠商[],2,FALSE),"")</f>
        <v/>
      </c>
      <c r="S2969" t="str">
        <f>VLOOKUP(record[[#This Row],[employeeID]],員工[],2,FALSE)</f>
        <v>阮氏芳英(英)</v>
      </c>
    </row>
    <row r="2970" spans="6:19" hidden="1" x14ac:dyDescent="0.25">
      <c r="F2970" t="s">
        <v>1569</v>
      </c>
      <c r="G2970" t="s">
        <v>450</v>
      </c>
      <c r="H2970" t="str">
        <f>VLOOKUP(record[[#This Row],[ProcessSN]],表格2_7[],2,FALSE)</f>
        <v>30-4118-018-6XX</v>
      </c>
      <c r="I2970" t="str">
        <f>VLOOKUP(record[[#This Row],[ProcessSN]],表格2_7[],3,FALSE)</f>
        <v>#06</v>
      </c>
      <c r="J2970" t="s">
        <v>593</v>
      </c>
      <c r="K2970" s="195">
        <v>46106.311608796299</v>
      </c>
      <c r="L2970">
        <v>125</v>
      </c>
      <c r="M2970">
        <v>0</v>
      </c>
      <c r="N2970" s="98" t="str">
        <f>IF(record[[#This Row],[Memo]]="Browser:chrome os:android","平板報工",IF(record[[#This Row],[Memo]]=0,"委外",record[[#This Row],[Memo]]))</f>
        <v/>
      </c>
      <c r="O2970" t="s">
        <v>58</v>
      </c>
      <c r="P2970" t="s">
        <v>180</v>
      </c>
      <c r="Q2970" t="s">
        <v>58</v>
      </c>
      <c r="R2970" t="str">
        <f>IFERROR(VLOOKUP(record[[#This Row],[PCUSTID]],廠商[],2,FALSE),"")</f>
        <v/>
      </c>
      <c r="S2970" t="str">
        <f>VLOOKUP(record[[#This Row],[employeeID]],員工[],2,FALSE)</f>
        <v>黎功江</v>
      </c>
    </row>
    <row r="2971" spans="6:19" hidden="1" x14ac:dyDescent="0.25">
      <c r="F2971" t="s">
        <v>1637</v>
      </c>
      <c r="G2971" t="s">
        <v>449</v>
      </c>
      <c r="H2971" t="str">
        <f>VLOOKUP(record[[#This Row],[ProcessSN]],表格2_7[],2,FALSE)</f>
        <v>30-4118-018-6XX</v>
      </c>
      <c r="I2971" t="str">
        <f>VLOOKUP(record[[#This Row],[ProcessSN]],表格2_7[],3,FALSE)</f>
        <v>#05</v>
      </c>
      <c r="J2971" t="s">
        <v>588</v>
      </c>
      <c r="K2971" s="195">
        <v>46106.311111111114</v>
      </c>
      <c r="L2971">
        <v>100</v>
      </c>
      <c r="M2971">
        <v>0</v>
      </c>
      <c r="N2971" s="98" t="str">
        <f>IF(record[[#This Row],[Memo]]="Browser:chrome os:android","平板報工",IF(record[[#This Row],[Memo]]=0,"委外",record[[#This Row],[Memo]]))</f>
        <v/>
      </c>
      <c r="O2971" t="s">
        <v>58</v>
      </c>
      <c r="P2971" t="s">
        <v>1098</v>
      </c>
      <c r="Q2971" t="s">
        <v>58</v>
      </c>
      <c r="R2971" t="str">
        <f>IFERROR(VLOOKUP(record[[#This Row],[PCUSTID]],廠商[],2,FALSE),"")</f>
        <v/>
      </c>
      <c r="S2971" t="str">
        <f>VLOOKUP(record[[#This Row],[employeeID]],員工[],2,FALSE)</f>
        <v>阮氏芳英(英)</v>
      </c>
    </row>
    <row r="2972" spans="6:19" hidden="1" x14ac:dyDescent="0.25">
      <c r="F2972" t="s">
        <v>1637</v>
      </c>
      <c r="G2972" t="s">
        <v>448</v>
      </c>
      <c r="H2972" t="str">
        <f>VLOOKUP(record[[#This Row],[ProcessSN]],表格2_7[],2,FALSE)</f>
        <v>30-4118-018-6XX</v>
      </c>
      <c r="I2972" t="str">
        <f>VLOOKUP(record[[#This Row],[ProcessSN]],表格2_7[],3,FALSE)</f>
        <v>#04</v>
      </c>
      <c r="J2972" t="s">
        <v>588</v>
      </c>
      <c r="K2972" s="195">
        <v>46106.310034722221</v>
      </c>
      <c r="L2972">
        <v>116</v>
      </c>
      <c r="M2972">
        <v>0</v>
      </c>
      <c r="N2972" s="98" t="str">
        <f>IF(record[[#This Row],[Memo]]="Browser:chrome os:android","平板報工",IF(record[[#This Row],[Memo]]=0,"委外",record[[#This Row],[Memo]]))</f>
        <v/>
      </c>
      <c r="O2972" t="s">
        <v>58</v>
      </c>
      <c r="P2972" t="s">
        <v>135</v>
      </c>
      <c r="Q2972" t="s">
        <v>58</v>
      </c>
      <c r="R2972" t="str">
        <f>IFERROR(VLOOKUP(record[[#This Row],[PCUSTID]],廠商[],2,FALSE),"")</f>
        <v/>
      </c>
      <c r="S2972" t="str">
        <f>VLOOKUP(record[[#This Row],[employeeID]],員工[],2,FALSE)</f>
        <v>阮士文</v>
      </c>
    </row>
    <row r="2973" spans="6:19" hidden="1" x14ac:dyDescent="0.25">
      <c r="F2973" t="s">
        <v>1653</v>
      </c>
      <c r="G2973" t="s">
        <v>415</v>
      </c>
      <c r="H2973" t="str">
        <f>VLOOKUP(record[[#This Row],[ProcessSN]],表格2_7[],2,FALSE)</f>
        <v>30-4118-018-5XX</v>
      </c>
      <c r="I2973" t="str">
        <f>VLOOKUP(record[[#This Row],[ProcessSN]],表格2_7[],3,FALSE)</f>
        <v>#04</v>
      </c>
      <c r="J2973" t="s">
        <v>588</v>
      </c>
      <c r="K2973" s="195">
        <v>46106.30982638889</v>
      </c>
      <c r="L2973">
        <v>123</v>
      </c>
      <c r="M2973">
        <v>7</v>
      </c>
      <c r="N2973" s="98" t="str">
        <f>IF(record[[#This Row],[Memo]]="Browser:chrome os:android","平板報工",IF(record[[#This Row],[Memo]]=0,"委外",record[[#This Row],[Memo]]))</f>
        <v/>
      </c>
      <c r="O2973" t="s">
        <v>58</v>
      </c>
      <c r="P2973" t="s">
        <v>135</v>
      </c>
      <c r="Q2973" t="s">
        <v>58</v>
      </c>
      <c r="R2973" t="str">
        <f>IFERROR(VLOOKUP(record[[#This Row],[PCUSTID]],廠商[],2,FALSE),"")</f>
        <v/>
      </c>
      <c r="S2973" t="str">
        <f>VLOOKUP(record[[#This Row],[employeeID]],員工[],2,FALSE)</f>
        <v>阮士文</v>
      </c>
    </row>
    <row r="2974" spans="6:19" hidden="1" x14ac:dyDescent="0.25">
      <c r="F2974" t="s">
        <v>1653</v>
      </c>
      <c r="G2974" t="s">
        <v>415</v>
      </c>
      <c r="H2974" t="str">
        <f>VLOOKUP(record[[#This Row],[ProcessSN]],表格2_7[],2,FALSE)</f>
        <v>30-4118-018-5XX</v>
      </c>
      <c r="I2974" t="str">
        <f>VLOOKUP(record[[#This Row],[ProcessSN]],表格2_7[],3,FALSE)</f>
        <v>#04</v>
      </c>
      <c r="J2974" t="s">
        <v>588</v>
      </c>
      <c r="K2974" s="195">
        <v>46105.987627314818</v>
      </c>
      <c r="L2974">
        <v>0</v>
      </c>
      <c r="M2974">
        <v>1</v>
      </c>
      <c r="N2974" s="98" t="str">
        <f>IF(record[[#This Row],[Memo]]="Browser:chrome os:android","平板報工",IF(record[[#This Row],[Memo]]=0,"委外",record[[#This Row],[Memo]]))</f>
        <v/>
      </c>
      <c r="O2974" t="s">
        <v>58</v>
      </c>
      <c r="P2974" t="s">
        <v>176</v>
      </c>
      <c r="Q2974" t="s">
        <v>58</v>
      </c>
      <c r="R2974" t="str">
        <f>IFERROR(VLOOKUP(record[[#This Row],[PCUSTID]],廠商[],2,FALSE),"")</f>
        <v/>
      </c>
      <c r="S2974" t="str">
        <f>VLOOKUP(record[[#This Row],[employeeID]],員工[],2,FALSE)</f>
        <v>郭政雄</v>
      </c>
    </row>
    <row r="2975" spans="6:19" hidden="1" x14ac:dyDescent="0.25">
      <c r="F2975" t="s">
        <v>1569</v>
      </c>
      <c r="G2975" t="s">
        <v>451</v>
      </c>
      <c r="H2975" t="str">
        <f>VLOOKUP(record[[#This Row],[ProcessSN]],表格2_7[],2,FALSE)</f>
        <v>30-4118-018-6XX</v>
      </c>
      <c r="I2975" t="str">
        <f>VLOOKUP(record[[#This Row],[ProcessSN]],表格2_7[],3,FALSE)</f>
        <v>#07</v>
      </c>
      <c r="J2975" t="s">
        <v>588</v>
      </c>
      <c r="K2975" s="195">
        <v>46105.98369212963</v>
      </c>
      <c r="L2975">
        <v>223</v>
      </c>
      <c r="M2975">
        <v>1</v>
      </c>
      <c r="N2975" s="98" t="str">
        <f>IF(record[[#This Row],[Memo]]="Browser:chrome os:android","平板報工",IF(record[[#This Row],[Memo]]=0,"委外",record[[#This Row],[Memo]]))</f>
        <v/>
      </c>
      <c r="O2975" t="s">
        <v>58</v>
      </c>
      <c r="P2975" t="s">
        <v>89</v>
      </c>
      <c r="Q2975" t="s">
        <v>58</v>
      </c>
      <c r="R2975" t="str">
        <f>IFERROR(VLOOKUP(record[[#This Row],[PCUSTID]],廠商[],2,FALSE),"")</f>
        <v/>
      </c>
      <c r="S2975" t="str">
        <f>VLOOKUP(record[[#This Row],[employeeID]],員工[],2,FALSE)</f>
        <v>李美蓮</v>
      </c>
    </row>
    <row r="2976" spans="6:19" hidden="1" x14ac:dyDescent="0.25">
      <c r="F2976" t="s">
        <v>1569</v>
      </c>
      <c r="G2976" t="s">
        <v>450</v>
      </c>
      <c r="H2976" t="str">
        <f>VLOOKUP(record[[#This Row],[ProcessSN]],表格2_7[],2,FALSE)</f>
        <v>30-4118-018-6XX</v>
      </c>
      <c r="I2976" t="str">
        <f>VLOOKUP(record[[#This Row],[ProcessSN]],表格2_7[],3,FALSE)</f>
        <v>#06</v>
      </c>
      <c r="J2976" t="s">
        <v>593</v>
      </c>
      <c r="K2976" s="195">
        <v>46105.982152777775</v>
      </c>
      <c r="L2976">
        <v>133</v>
      </c>
      <c r="M2976">
        <v>0</v>
      </c>
      <c r="N2976" s="98" t="str">
        <f>IF(record[[#This Row],[Memo]]="Browser:chrome os:android","平板報工",IF(record[[#This Row],[Memo]]=0,"委外",record[[#This Row],[Memo]]))</f>
        <v/>
      </c>
      <c r="O2976" t="s">
        <v>58</v>
      </c>
      <c r="P2976" t="s">
        <v>133</v>
      </c>
      <c r="Q2976" t="s">
        <v>58</v>
      </c>
      <c r="R2976" t="str">
        <f>IFERROR(VLOOKUP(record[[#This Row],[PCUSTID]],廠商[],2,FALSE),"")</f>
        <v/>
      </c>
      <c r="S2976" t="str">
        <f>VLOOKUP(record[[#This Row],[employeeID]],員工[],2,FALSE)</f>
        <v>黎長維</v>
      </c>
    </row>
    <row r="2977" spans="6:19" hidden="1" x14ac:dyDescent="0.25">
      <c r="F2977" t="s">
        <v>1637</v>
      </c>
      <c r="G2977" t="s">
        <v>449</v>
      </c>
      <c r="H2977" t="str">
        <f>VLOOKUP(record[[#This Row],[ProcessSN]],表格2_7[],2,FALSE)</f>
        <v>30-4118-018-6XX</v>
      </c>
      <c r="I2977" t="str">
        <f>VLOOKUP(record[[#This Row],[ProcessSN]],表格2_7[],3,FALSE)</f>
        <v>#05</v>
      </c>
      <c r="J2977" t="s">
        <v>588</v>
      </c>
      <c r="K2977" s="195">
        <v>46105.97896990741</v>
      </c>
      <c r="L2977">
        <v>103</v>
      </c>
      <c r="M2977">
        <v>0</v>
      </c>
      <c r="N2977" s="98" t="str">
        <f>IF(record[[#This Row],[Memo]]="Browser:chrome os:android","平板報工",IF(record[[#This Row],[Memo]]=0,"委外",record[[#This Row],[Memo]]))</f>
        <v/>
      </c>
      <c r="O2977" t="s">
        <v>58</v>
      </c>
      <c r="P2977" t="s">
        <v>1098</v>
      </c>
      <c r="Q2977" t="s">
        <v>58</v>
      </c>
      <c r="R2977" t="str">
        <f>IFERROR(VLOOKUP(record[[#This Row],[PCUSTID]],廠商[],2,FALSE),"")</f>
        <v/>
      </c>
      <c r="S2977" t="str">
        <f>VLOOKUP(record[[#This Row],[employeeID]],員工[],2,FALSE)</f>
        <v>阮氏芳英(英)</v>
      </c>
    </row>
    <row r="2978" spans="6:19" hidden="1" x14ac:dyDescent="0.25">
      <c r="F2978" t="s">
        <v>1569</v>
      </c>
      <c r="G2978" t="s">
        <v>449</v>
      </c>
      <c r="H2978" t="str">
        <f>VLOOKUP(record[[#This Row],[ProcessSN]],表格2_7[],2,FALSE)</f>
        <v>30-4118-018-6XX</v>
      </c>
      <c r="I2978" t="str">
        <f>VLOOKUP(record[[#This Row],[ProcessSN]],表格2_7[],3,FALSE)</f>
        <v>#05</v>
      </c>
      <c r="J2978" t="s">
        <v>588</v>
      </c>
      <c r="K2978" s="195">
        <v>46105.978587962964</v>
      </c>
      <c r="L2978">
        <v>77</v>
      </c>
      <c r="M2978">
        <v>0</v>
      </c>
      <c r="N2978" s="98" t="str">
        <f>IF(record[[#This Row],[Memo]]="Browser:chrome os:android","平板報工",IF(record[[#This Row],[Memo]]=0,"委外",record[[#This Row],[Memo]]))</f>
        <v/>
      </c>
      <c r="O2978" t="s">
        <v>58</v>
      </c>
      <c r="P2978" t="s">
        <v>1098</v>
      </c>
      <c r="Q2978" t="s">
        <v>58</v>
      </c>
      <c r="R2978" t="str">
        <f>IFERROR(VLOOKUP(record[[#This Row],[PCUSTID]],廠商[],2,FALSE),"")</f>
        <v/>
      </c>
      <c r="S2978" t="str">
        <f>VLOOKUP(record[[#This Row],[employeeID]],員工[],2,FALSE)</f>
        <v>阮氏芳英(英)</v>
      </c>
    </row>
    <row r="2979" spans="6:19" hidden="1" x14ac:dyDescent="0.25">
      <c r="F2979" t="s">
        <v>1637</v>
      </c>
      <c r="G2979" t="s">
        <v>448</v>
      </c>
      <c r="H2979" t="str">
        <f>VLOOKUP(record[[#This Row],[ProcessSN]],表格2_7[],2,FALSE)</f>
        <v>30-4118-018-6XX</v>
      </c>
      <c r="I2979" t="str">
        <f>VLOOKUP(record[[#This Row],[ProcessSN]],表格2_7[],3,FALSE)</f>
        <v>#04</v>
      </c>
      <c r="J2979" t="s">
        <v>588</v>
      </c>
      <c r="K2979" s="195">
        <v>46105.976736111108</v>
      </c>
      <c r="L2979">
        <v>51</v>
      </c>
      <c r="M2979">
        <v>0</v>
      </c>
      <c r="N2979" s="98" t="str">
        <f>IF(record[[#This Row],[Memo]]="Browser:chrome os:android","平板報工",IF(record[[#This Row],[Memo]]=0,"委外",record[[#This Row],[Memo]]))</f>
        <v/>
      </c>
      <c r="O2979" t="s">
        <v>58</v>
      </c>
      <c r="P2979" t="s">
        <v>176</v>
      </c>
      <c r="Q2979" t="s">
        <v>58</v>
      </c>
      <c r="R2979" t="str">
        <f>IFERROR(VLOOKUP(record[[#This Row],[PCUSTID]],廠商[],2,FALSE),"")</f>
        <v/>
      </c>
      <c r="S2979" t="str">
        <f>VLOOKUP(record[[#This Row],[employeeID]],員工[],2,FALSE)</f>
        <v>郭政雄</v>
      </c>
    </row>
    <row r="2980" spans="6:19" hidden="1" x14ac:dyDescent="0.25">
      <c r="F2980" t="s">
        <v>1653</v>
      </c>
      <c r="G2980" t="s">
        <v>415</v>
      </c>
      <c r="H2980" t="str">
        <f>VLOOKUP(record[[#This Row],[ProcessSN]],表格2_7[],2,FALSE)</f>
        <v>30-4118-018-5XX</v>
      </c>
      <c r="I2980" t="str">
        <f>VLOOKUP(record[[#This Row],[ProcessSN]],表格2_7[],3,FALSE)</f>
        <v>#04</v>
      </c>
      <c r="J2980" t="s">
        <v>588</v>
      </c>
      <c r="K2980" s="195">
        <v>46105.813020833331</v>
      </c>
      <c r="L2980">
        <v>70</v>
      </c>
      <c r="M2980">
        <v>0</v>
      </c>
      <c r="N2980" s="98" t="str">
        <f>IF(record[[#This Row],[Memo]]="Browser:chrome os:android","平板報工",IF(record[[#This Row],[Memo]]=0,"委外",record[[#This Row],[Memo]]))</f>
        <v>平板報工</v>
      </c>
      <c r="O2980" t="s">
        <v>643</v>
      </c>
      <c r="P2980" t="s">
        <v>785</v>
      </c>
      <c r="Q2980" t="s">
        <v>644</v>
      </c>
      <c r="R2980" t="str">
        <f>IFERROR(VLOOKUP(record[[#This Row],[PCUSTID]],廠商[],2,FALSE),"")</f>
        <v/>
      </c>
      <c r="S2980" t="str">
        <f>VLOOKUP(record[[#This Row],[employeeID]],員工[],2,FALSE)</f>
        <v>謝刻光</v>
      </c>
    </row>
    <row r="2981" spans="6:19" hidden="1" x14ac:dyDescent="0.25">
      <c r="F2981" t="s">
        <v>1637</v>
      </c>
      <c r="G2981" t="s">
        <v>448</v>
      </c>
      <c r="H2981" t="str">
        <f>VLOOKUP(record[[#This Row],[ProcessSN]],表格2_7[],2,FALSE)</f>
        <v>30-4118-018-6XX</v>
      </c>
      <c r="I2981" t="str">
        <f>VLOOKUP(record[[#This Row],[ProcessSN]],表格2_7[],3,FALSE)</f>
        <v>#04</v>
      </c>
      <c r="J2981" t="s">
        <v>588</v>
      </c>
      <c r="K2981" s="195">
        <v>46105.812800925924</v>
      </c>
      <c r="L2981">
        <v>61</v>
      </c>
      <c r="M2981">
        <v>0</v>
      </c>
      <c r="N2981" s="98" t="str">
        <f>IF(record[[#This Row],[Memo]]="Browser:chrome os:android","平板報工",IF(record[[#This Row],[Memo]]=0,"委外",record[[#This Row],[Memo]]))</f>
        <v>平板報工</v>
      </c>
      <c r="O2981" t="s">
        <v>643</v>
      </c>
      <c r="P2981" t="s">
        <v>785</v>
      </c>
      <c r="Q2981" t="s">
        <v>644</v>
      </c>
      <c r="R2981" t="str">
        <f>IFERROR(VLOOKUP(record[[#This Row],[PCUSTID]],廠商[],2,FALSE),"")</f>
        <v/>
      </c>
      <c r="S2981" t="str">
        <f>VLOOKUP(record[[#This Row],[employeeID]],員工[],2,FALSE)</f>
        <v>謝刻光</v>
      </c>
    </row>
    <row r="2982" spans="6:19" hidden="1" x14ac:dyDescent="0.25">
      <c r="F2982" t="s">
        <v>1569</v>
      </c>
      <c r="G2982" t="s">
        <v>453</v>
      </c>
      <c r="H2982" t="str">
        <f>VLOOKUP(record[[#This Row],[ProcessSN]],表格2_7[],2,FALSE)</f>
        <v>30-4118-018-6XX</v>
      </c>
      <c r="I2982" t="str">
        <f>VLOOKUP(record[[#This Row],[ProcessSN]],表格2_7[],3,FALSE)</f>
        <v>#07STOCK</v>
      </c>
      <c r="J2982" t="s">
        <v>592</v>
      </c>
      <c r="K2982" s="195">
        <v>46105.711840277778</v>
      </c>
      <c r="L2982">
        <v>486</v>
      </c>
      <c r="M2982">
        <v>0</v>
      </c>
      <c r="N2982" s="98" t="str">
        <f>IF(record[[#This Row],[Memo]]="Browser:chrome os:android","平板報工",IF(record[[#This Row],[Memo]]=0,"委外",record[[#This Row],[Memo]]))</f>
        <v/>
      </c>
      <c r="O2982" t="s">
        <v>58</v>
      </c>
      <c r="P2982" t="s">
        <v>186</v>
      </c>
      <c r="Q2982" t="s">
        <v>58</v>
      </c>
      <c r="R2982" t="str">
        <f>IFERROR(VLOOKUP(record[[#This Row],[PCUSTID]],廠商[],2,FALSE),"")</f>
        <v/>
      </c>
      <c r="S2982" t="str">
        <f>VLOOKUP(record[[#This Row],[employeeID]],員工[],2,FALSE)</f>
        <v>許文姍</v>
      </c>
    </row>
    <row r="2983" spans="6:19" hidden="1" x14ac:dyDescent="0.25">
      <c r="F2983" t="s">
        <v>1656</v>
      </c>
      <c r="G2983" t="s">
        <v>403</v>
      </c>
      <c r="H2983" t="str">
        <f>VLOOKUP(record[[#This Row],[ProcessSN]],表格2_7[],2,FALSE)</f>
        <v>30-4118-018-550</v>
      </c>
      <c r="I2983" t="str">
        <f>VLOOKUP(record[[#This Row],[ProcessSN]],表格2_7[],3,FALSE)</f>
        <v>#100SHIP</v>
      </c>
      <c r="J2983" t="s">
        <v>600</v>
      </c>
      <c r="K2983" s="195">
        <v>46105.707499999997</v>
      </c>
      <c r="L2983">
        <v>3</v>
      </c>
      <c r="M2983">
        <v>0</v>
      </c>
      <c r="N2983" s="98" t="str">
        <f>IF(record[[#This Row],[Memo]]="Browser:chrome os:android","平板報工",IF(record[[#This Row],[Memo]]=0,"委外",record[[#This Row],[Memo]]))</f>
        <v/>
      </c>
      <c r="O2983" t="s">
        <v>58</v>
      </c>
      <c r="P2983" t="s">
        <v>886</v>
      </c>
      <c r="Q2983" t="s">
        <v>58</v>
      </c>
      <c r="R2983" t="str">
        <f>IFERROR(VLOOKUP(record[[#This Row],[PCUSTID]],廠商[],2,FALSE),"")</f>
        <v/>
      </c>
      <c r="S2983" t="str">
        <f>VLOOKUP(record[[#This Row],[employeeID]],員工[],2,FALSE)</f>
        <v>謝蓁薰</v>
      </c>
    </row>
    <row r="2984" spans="6:19" hidden="1" x14ac:dyDescent="0.25">
      <c r="F2984" t="s">
        <v>1656</v>
      </c>
      <c r="G2984" t="s">
        <v>402</v>
      </c>
      <c r="H2984" t="str">
        <f>VLOOKUP(record[[#This Row],[ProcessSN]],表格2_7[],2,FALSE)</f>
        <v>30-4118-018-550</v>
      </c>
      <c r="I2984" t="str">
        <f>VLOOKUP(record[[#This Row],[ProcessSN]],表格2_7[],3,FALSE)</f>
        <v>#100STOCK</v>
      </c>
      <c r="J2984" t="s">
        <v>592</v>
      </c>
      <c r="K2984" s="195">
        <v>46105.707407407404</v>
      </c>
      <c r="L2984">
        <v>3</v>
      </c>
      <c r="M2984">
        <v>0</v>
      </c>
      <c r="N2984" s="98" t="str">
        <f>IF(record[[#This Row],[Memo]]="Browser:chrome os:android","平板報工",IF(record[[#This Row],[Memo]]=0,"委外",record[[#This Row],[Memo]]))</f>
        <v/>
      </c>
      <c r="O2984" t="s">
        <v>58</v>
      </c>
      <c r="P2984" t="s">
        <v>886</v>
      </c>
      <c r="Q2984" t="s">
        <v>58</v>
      </c>
      <c r="R2984" t="str">
        <f>IFERROR(VLOOKUP(record[[#This Row],[PCUSTID]],廠商[],2,FALSE),"")</f>
        <v/>
      </c>
      <c r="S2984" t="str">
        <f>VLOOKUP(record[[#This Row],[employeeID]],員工[],2,FALSE)</f>
        <v>謝蓁薰</v>
      </c>
    </row>
    <row r="2985" spans="6:19" hidden="1" x14ac:dyDescent="0.25">
      <c r="F2985" t="s">
        <v>1602</v>
      </c>
      <c r="G2985" t="s">
        <v>470</v>
      </c>
      <c r="H2985" t="str">
        <f>VLOOKUP(record[[#This Row],[ProcessSN]],表格2_7[],2,FALSE)</f>
        <v>30-4118-018-XXX</v>
      </c>
      <c r="I2985" t="str">
        <f>VLOOKUP(record[[#This Row],[ProcessSN]],表格2_7[],3,FALSE)</f>
        <v>#02IQC</v>
      </c>
      <c r="J2985" t="s">
        <v>583</v>
      </c>
      <c r="K2985" s="195">
        <v>46105.705914351849</v>
      </c>
      <c r="L2985">
        <v>309</v>
      </c>
      <c r="M2985">
        <v>0</v>
      </c>
      <c r="N2985" s="98" t="str">
        <f>IF(record[[#This Row],[Memo]]="Browser:chrome os:android","平板報工",IF(record[[#This Row],[Memo]]=0,"委外",record[[#This Row],[Memo]]))</f>
        <v/>
      </c>
      <c r="O2985" t="s">
        <v>58</v>
      </c>
      <c r="P2985" t="s">
        <v>109</v>
      </c>
      <c r="Q2985" t="s">
        <v>58</v>
      </c>
      <c r="R2985" t="str">
        <f>IFERROR(VLOOKUP(record[[#This Row],[PCUSTID]],廠商[],2,FALSE),"")</f>
        <v/>
      </c>
      <c r="S2985" t="str">
        <f>VLOOKUP(record[[#This Row],[employeeID]],員工[],2,FALSE)</f>
        <v>裴氏璧鳳</v>
      </c>
    </row>
    <row r="2986" spans="6:19" hidden="1" x14ac:dyDescent="0.25">
      <c r="F2986" t="s">
        <v>1531</v>
      </c>
      <c r="G2986" t="s">
        <v>470</v>
      </c>
      <c r="H2986" t="str">
        <f>VLOOKUP(record[[#This Row],[ProcessSN]],表格2_7[],2,FALSE)</f>
        <v>30-4118-018-XXX</v>
      </c>
      <c r="I2986" t="str">
        <f>VLOOKUP(record[[#This Row],[ProcessSN]],表格2_7[],3,FALSE)</f>
        <v>#02IQC</v>
      </c>
      <c r="J2986" t="s">
        <v>583</v>
      </c>
      <c r="K2986" s="195">
        <v>46105.705787037034</v>
      </c>
      <c r="L2986">
        <v>8</v>
      </c>
      <c r="M2986">
        <v>0</v>
      </c>
      <c r="N2986" s="98" t="str">
        <f>IF(record[[#This Row],[Memo]]="Browser:chrome os:android","平板報工",IF(record[[#This Row],[Memo]]=0,"委外",record[[#This Row],[Memo]]))</f>
        <v/>
      </c>
      <c r="O2986" t="s">
        <v>58</v>
      </c>
      <c r="P2986" t="s">
        <v>109</v>
      </c>
      <c r="Q2986" t="s">
        <v>58</v>
      </c>
      <c r="R2986" t="str">
        <f>IFERROR(VLOOKUP(record[[#This Row],[PCUSTID]],廠商[],2,FALSE),"")</f>
        <v/>
      </c>
      <c r="S2986" t="str">
        <f>VLOOKUP(record[[#This Row],[employeeID]],員工[],2,FALSE)</f>
        <v>裴氏璧鳳</v>
      </c>
    </row>
    <row r="2987" spans="6:19" hidden="1" x14ac:dyDescent="0.25">
      <c r="F2987" t="s">
        <v>1602</v>
      </c>
      <c r="G2987" t="s">
        <v>471</v>
      </c>
      <c r="H2987" t="str">
        <f>VLOOKUP(record[[#This Row],[ProcessSN]],表格2_7[],2,FALSE)</f>
        <v>30-4118-018-XXX</v>
      </c>
      <c r="I2987" t="str">
        <f>VLOOKUP(record[[#This Row],[ProcessSN]],表格2_7[],3,FALSE)</f>
        <v>#02STOCK</v>
      </c>
      <c r="J2987" t="s">
        <v>592</v>
      </c>
      <c r="K2987" s="195">
        <v>46105.70449074074</v>
      </c>
      <c r="L2987">
        <v>981</v>
      </c>
      <c r="M2987">
        <v>0</v>
      </c>
      <c r="N2987" s="98" t="str">
        <f>IF(record[[#This Row],[Memo]]="Browser:chrome os:android","平板報工",IF(record[[#This Row],[Memo]]=0,"委外",record[[#This Row],[Memo]]))</f>
        <v/>
      </c>
      <c r="O2987" t="s">
        <v>58</v>
      </c>
      <c r="P2987" t="s">
        <v>113</v>
      </c>
      <c r="Q2987" t="s">
        <v>58</v>
      </c>
      <c r="R2987" t="str">
        <f>IFERROR(VLOOKUP(record[[#This Row],[PCUSTID]],廠商[],2,FALSE),"")</f>
        <v/>
      </c>
      <c r="S2987" t="str">
        <f>VLOOKUP(record[[#This Row],[employeeID]],員工[],2,FALSE)</f>
        <v>王奕蓁</v>
      </c>
    </row>
    <row r="2988" spans="6:19" hidden="1" x14ac:dyDescent="0.25">
      <c r="F2988" t="s">
        <v>1656</v>
      </c>
      <c r="G2988" t="s">
        <v>399</v>
      </c>
      <c r="H2988" t="str">
        <f>VLOOKUP(record[[#This Row],[ProcessSN]],表格2_7[],2,FALSE)</f>
        <v>30-4118-018-550</v>
      </c>
      <c r="I2988" t="str">
        <f>VLOOKUP(record[[#This Row],[ProcessSN]],表格2_7[],3,FALSE)</f>
        <v>#08IQC</v>
      </c>
      <c r="J2988" t="s">
        <v>583</v>
      </c>
      <c r="K2988" s="195">
        <v>46105.698182870372</v>
      </c>
      <c r="L2988">
        <v>828</v>
      </c>
      <c r="M2988">
        <v>0</v>
      </c>
      <c r="N2988" s="98" t="str">
        <f>IF(record[[#This Row],[Memo]]="Browser:chrome os:android","平板報工",IF(record[[#This Row],[Memo]]=0,"委外",record[[#This Row],[Memo]]))</f>
        <v/>
      </c>
      <c r="O2988" t="s">
        <v>58</v>
      </c>
      <c r="P2988" t="s">
        <v>109</v>
      </c>
      <c r="Q2988" t="s">
        <v>58</v>
      </c>
      <c r="R2988" t="str">
        <f>IFERROR(VLOOKUP(record[[#This Row],[PCUSTID]],廠商[],2,FALSE),"")</f>
        <v/>
      </c>
      <c r="S2988" t="str">
        <f>VLOOKUP(record[[#This Row],[employeeID]],員工[],2,FALSE)</f>
        <v>裴氏璧鳳</v>
      </c>
    </row>
    <row r="2989" spans="6:19" hidden="1" x14ac:dyDescent="0.25">
      <c r="F2989" t="s">
        <v>1639</v>
      </c>
      <c r="G2989" t="s">
        <v>425</v>
      </c>
      <c r="H2989" t="str">
        <f>VLOOKUP(record[[#This Row],[ProcessSN]],表格2_7[],2,FALSE)</f>
        <v>30-4118-018-600</v>
      </c>
      <c r="I2989" t="str">
        <f>VLOOKUP(record[[#This Row],[ProcessSN]],表格2_7[],3,FALSE)</f>
        <v>#100</v>
      </c>
      <c r="J2989" t="s">
        <v>598</v>
      </c>
      <c r="K2989" s="195">
        <v>46105.687893518516</v>
      </c>
      <c r="L2989">
        <v>181</v>
      </c>
      <c r="M2989">
        <v>0</v>
      </c>
      <c r="N2989" s="98" t="str">
        <f>IF(record[[#This Row],[Memo]]="Browser:chrome os:android","平板報工",IF(record[[#This Row],[Memo]]=0,"委外",record[[#This Row],[Memo]]))</f>
        <v/>
      </c>
      <c r="O2989" t="s">
        <v>58</v>
      </c>
      <c r="P2989" t="s">
        <v>141</v>
      </c>
      <c r="Q2989" t="s">
        <v>58</v>
      </c>
      <c r="R2989" t="str">
        <f>IFERROR(VLOOKUP(record[[#This Row],[PCUSTID]],廠商[],2,FALSE),"")</f>
        <v/>
      </c>
      <c r="S2989" t="str">
        <f>VLOOKUP(record[[#This Row],[employeeID]],員工[],2,FALSE)</f>
        <v>蔣梅</v>
      </c>
    </row>
    <row r="2990" spans="6:19" hidden="1" x14ac:dyDescent="0.25">
      <c r="F2990" t="s">
        <v>1522</v>
      </c>
      <c r="G2990" t="s">
        <v>423</v>
      </c>
      <c r="H2990" t="str">
        <f>VLOOKUP(record[[#This Row],[ProcessSN]],表格2_7[],2,FALSE)</f>
        <v>30-4118-018-600</v>
      </c>
      <c r="I2990" t="str">
        <f>VLOOKUP(record[[#This Row],[ProcessSN]],表格2_7[],3,FALSE)</f>
        <v>#08RCV</v>
      </c>
      <c r="J2990" t="s">
        <v>591</v>
      </c>
      <c r="K2990" s="195">
        <v>46105.687349537038</v>
      </c>
      <c r="L2990">
        <v>0</v>
      </c>
      <c r="M2990">
        <v>11</v>
      </c>
      <c r="N2990" s="98" t="str">
        <f>IF(record[[#This Row],[Memo]]="Browser:chrome os:android","平板報工",IF(record[[#This Row],[Memo]]=0,"委外",record[[#This Row],[Memo]]))</f>
        <v/>
      </c>
      <c r="O2990" t="s">
        <v>58</v>
      </c>
      <c r="P2990" t="s">
        <v>141</v>
      </c>
      <c r="Q2990" t="s">
        <v>58</v>
      </c>
      <c r="R2990" t="str">
        <f>IFERROR(VLOOKUP(record[[#This Row],[PCUSTID]],廠商[],2,FALSE),"")</f>
        <v/>
      </c>
      <c r="S2990" t="str">
        <f>VLOOKUP(record[[#This Row],[employeeID]],員工[],2,FALSE)</f>
        <v>蔣梅</v>
      </c>
    </row>
    <row r="2991" spans="6:19" hidden="1" x14ac:dyDescent="0.25">
      <c r="F2991" t="s">
        <v>1522</v>
      </c>
      <c r="G2991" t="s">
        <v>425</v>
      </c>
      <c r="H2991" t="str">
        <f>VLOOKUP(record[[#This Row],[ProcessSN]],表格2_7[],2,FALSE)</f>
        <v>30-4118-018-600</v>
      </c>
      <c r="I2991" t="str">
        <f>VLOOKUP(record[[#This Row],[ProcessSN]],表格2_7[],3,FALSE)</f>
        <v>#100</v>
      </c>
      <c r="J2991" t="s">
        <v>598</v>
      </c>
      <c r="K2991" s="195">
        <v>46105.687199074076</v>
      </c>
      <c r="L2991">
        <v>4</v>
      </c>
      <c r="M2991">
        <v>0</v>
      </c>
      <c r="N2991" s="98" t="str">
        <f>IF(record[[#This Row],[Memo]]="Browser:chrome os:android","平板報工",IF(record[[#This Row],[Memo]]=0,"委外",record[[#This Row],[Memo]]))</f>
        <v>內徑面粗覆回</v>
      </c>
      <c r="O2991" t="s">
        <v>1673</v>
      </c>
      <c r="P2991" t="s">
        <v>141</v>
      </c>
      <c r="Q2991" t="s">
        <v>58</v>
      </c>
      <c r="R2991" t="str">
        <f>IFERROR(VLOOKUP(record[[#This Row],[PCUSTID]],廠商[],2,FALSE),"")</f>
        <v/>
      </c>
      <c r="S2991" t="str">
        <f>VLOOKUP(record[[#This Row],[employeeID]],員工[],2,FALSE)</f>
        <v>蔣梅</v>
      </c>
    </row>
    <row r="2992" spans="6:19" hidden="1" x14ac:dyDescent="0.25">
      <c r="F2992" t="s">
        <v>1522</v>
      </c>
      <c r="G2992" t="s">
        <v>424</v>
      </c>
      <c r="H2992" t="str">
        <f>VLOOKUP(record[[#This Row],[ProcessSN]],表格2_7[],2,FALSE)</f>
        <v>30-4118-018-600</v>
      </c>
      <c r="I2992" t="str">
        <f>VLOOKUP(record[[#This Row],[ProcessSN]],表格2_7[],3,FALSE)</f>
        <v>#08IQC</v>
      </c>
      <c r="J2992" t="s">
        <v>583</v>
      </c>
      <c r="K2992" s="195">
        <v>46105.687037037038</v>
      </c>
      <c r="L2992">
        <v>4</v>
      </c>
      <c r="M2992">
        <v>0</v>
      </c>
      <c r="N2992" s="98" t="str">
        <f>IF(record[[#This Row],[Memo]]="Browser:chrome os:android","平板報工",IF(record[[#This Row],[Memo]]=0,"委外",record[[#This Row],[Memo]]))</f>
        <v>內徑面粗覆回</v>
      </c>
      <c r="O2992" t="s">
        <v>1673</v>
      </c>
      <c r="P2992" t="s">
        <v>141</v>
      </c>
      <c r="Q2992" t="s">
        <v>58</v>
      </c>
      <c r="R2992" t="str">
        <f>IFERROR(VLOOKUP(record[[#This Row],[PCUSTID]],廠商[],2,FALSE),"")</f>
        <v/>
      </c>
      <c r="S2992" t="str">
        <f>VLOOKUP(record[[#This Row],[employeeID]],員工[],2,FALSE)</f>
        <v>蔣梅</v>
      </c>
    </row>
    <row r="2993" spans="6:19" hidden="1" x14ac:dyDescent="0.25">
      <c r="F2993" t="s">
        <v>1522</v>
      </c>
      <c r="G2993" t="s">
        <v>423</v>
      </c>
      <c r="H2993" t="str">
        <f>VLOOKUP(record[[#This Row],[ProcessSN]],表格2_7[],2,FALSE)</f>
        <v>30-4118-018-600</v>
      </c>
      <c r="I2993" t="str">
        <f>VLOOKUP(record[[#This Row],[ProcessSN]],表格2_7[],3,FALSE)</f>
        <v>#08RCV</v>
      </c>
      <c r="J2993" t="s">
        <v>591</v>
      </c>
      <c r="K2993" s="195">
        <v>46105.686863425923</v>
      </c>
      <c r="L2993">
        <v>4</v>
      </c>
      <c r="M2993">
        <v>0</v>
      </c>
      <c r="N2993" s="98" t="str">
        <f>IF(record[[#This Row],[Memo]]="Browser:chrome os:android","平板報工",IF(record[[#This Row],[Memo]]=0,"委外",record[[#This Row],[Memo]]))</f>
        <v>內徑面粗覆回</v>
      </c>
      <c r="O2993" t="s">
        <v>1673</v>
      </c>
      <c r="P2993" t="s">
        <v>141</v>
      </c>
      <c r="Q2993" t="s">
        <v>58</v>
      </c>
      <c r="R2993" t="str">
        <f>IFERROR(VLOOKUP(record[[#This Row],[PCUSTID]],廠商[],2,FALSE),"")</f>
        <v/>
      </c>
      <c r="S2993" t="str">
        <f>VLOOKUP(record[[#This Row],[employeeID]],員工[],2,FALSE)</f>
        <v>蔣梅</v>
      </c>
    </row>
    <row r="2994" spans="6:19" hidden="1" x14ac:dyDescent="0.25">
      <c r="F2994" t="s">
        <v>1656</v>
      </c>
      <c r="G2994" t="s">
        <v>401</v>
      </c>
      <c r="H2994" t="str">
        <f>VLOOKUP(record[[#This Row],[ProcessSN]],表格2_7[],2,FALSE)</f>
        <v>30-4118-018-550</v>
      </c>
      <c r="I2994" t="str">
        <f>VLOOKUP(record[[#This Row],[ProcessSN]],表格2_7[],3,FALSE)</f>
        <v>#100OQC</v>
      </c>
      <c r="J2994" t="s">
        <v>599</v>
      </c>
      <c r="K2994" s="195">
        <v>46105.686041666668</v>
      </c>
      <c r="L2994">
        <v>24</v>
      </c>
      <c r="M2994">
        <v>0</v>
      </c>
      <c r="N2994" s="98" t="str">
        <f>IF(record[[#This Row],[Memo]]="Browser:chrome os:android","平板報工",IF(record[[#This Row],[Memo]]=0,"委外",record[[#This Row],[Memo]]))</f>
        <v/>
      </c>
      <c r="O2994" t="s">
        <v>58</v>
      </c>
      <c r="P2994" t="s">
        <v>121</v>
      </c>
      <c r="Q2994" t="s">
        <v>58</v>
      </c>
      <c r="R2994" t="str">
        <f>IFERROR(VLOOKUP(record[[#This Row],[PCUSTID]],廠商[],2,FALSE),"")</f>
        <v/>
      </c>
      <c r="S2994" t="str">
        <f>VLOOKUP(record[[#This Row],[employeeID]],員工[],2,FALSE)</f>
        <v>謝素卿</v>
      </c>
    </row>
    <row r="2995" spans="6:19" hidden="1" x14ac:dyDescent="0.25">
      <c r="F2995" t="s">
        <v>1653</v>
      </c>
      <c r="G2995" t="s">
        <v>415</v>
      </c>
      <c r="H2995" t="str">
        <f>VLOOKUP(record[[#This Row],[ProcessSN]],表格2_7[],2,FALSE)</f>
        <v>30-4118-018-5XX</v>
      </c>
      <c r="I2995" t="str">
        <f>VLOOKUP(record[[#This Row],[ProcessSN]],表格2_7[],3,FALSE)</f>
        <v>#04</v>
      </c>
      <c r="J2995" t="s">
        <v>588</v>
      </c>
      <c r="K2995" s="195">
        <v>46105.678090277775</v>
      </c>
      <c r="L2995">
        <v>64</v>
      </c>
      <c r="M2995">
        <v>36</v>
      </c>
      <c r="N2995" s="98" t="str">
        <f>IF(record[[#This Row],[Memo]]="Browser:chrome os:android","平板報工",IF(record[[#This Row],[Memo]]=0,"委外",record[[#This Row],[Memo]]))</f>
        <v/>
      </c>
      <c r="O2995" t="s">
        <v>58</v>
      </c>
      <c r="P2995" t="s">
        <v>107</v>
      </c>
      <c r="Q2995" t="s">
        <v>58</v>
      </c>
      <c r="R2995" t="str">
        <f>IFERROR(VLOOKUP(record[[#This Row],[PCUSTID]],廠商[],2,FALSE),"")</f>
        <v/>
      </c>
      <c r="S2995" t="str">
        <f>VLOOKUP(record[[#This Row],[employeeID]],員工[],2,FALSE)</f>
        <v>黎氏順</v>
      </c>
    </row>
    <row r="2996" spans="6:19" hidden="1" x14ac:dyDescent="0.25">
      <c r="F2996" t="s">
        <v>1656</v>
      </c>
      <c r="G2996" t="s">
        <v>398</v>
      </c>
      <c r="H2996" t="str">
        <f>VLOOKUP(record[[#This Row],[ProcessSN]],表格2_7[],2,FALSE)</f>
        <v>30-4118-018-550</v>
      </c>
      <c r="I2996" t="str">
        <f>VLOOKUP(record[[#This Row],[ProcessSN]],表格2_7[],3,FALSE)</f>
        <v>#08RCV</v>
      </c>
      <c r="J2996" t="s">
        <v>591</v>
      </c>
      <c r="K2996" s="195">
        <v>46105.669386574074</v>
      </c>
      <c r="L2996">
        <v>828</v>
      </c>
      <c r="M2996">
        <v>0</v>
      </c>
      <c r="N2996" s="98" t="str">
        <f>IF(record[[#This Row],[Memo]]="Browser:chrome os:android","平板報工",IF(record[[#This Row],[Memo]]=0,"委外",record[[#This Row],[Memo]]))</f>
        <v/>
      </c>
      <c r="O2996" t="s">
        <v>58</v>
      </c>
      <c r="P2996" t="s">
        <v>186</v>
      </c>
      <c r="Q2996" t="s">
        <v>58</v>
      </c>
      <c r="R2996" t="str">
        <f>IFERROR(VLOOKUP(record[[#This Row],[PCUSTID]],廠商[],2,FALSE),"")</f>
        <v/>
      </c>
      <c r="S2996" t="str">
        <f>VLOOKUP(record[[#This Row],[employeeID]],員工[],2,FALSE)</f>
        <v>許文姍</v>
      </c>
    </row>
    <row r="2997" spans="6:19" hidden="1" x14ac:dyDescent="0.25">
      <c r="F2997" t="s">
        <v>1637</v>
      </c>
      <c r="G2997" t="s">
        <v>448</v>
      </c>
      <c r="H2997" t="str">
        <f>VLOOKUP(record[[#This Row],[ProcessSN]],表格2_7[],2,FALSE)</f>
        <v>30-4118-018-6XX</v>
      </c>
      <c r="I2997" t="str">
        <f>VLOOKUP(record[[#This Row],[ProcessSN]],表格2_7[],3,FALSE)</f>
        <v>#04</v>
      </c>
      <c r="J2997" t="s">
        <v>588</v>
      </c>
      <c r="K2997" s="195">
        <v>46105.660405092596</v>
      </c>
      <c r="L2997">
        <v>35</v>
      </c>
      <c r="M2997">
        <v>1</v>
      </c>
      <c r="N2997" s="98" t="str">
        <f>IF(record[[#This Row],[Memo]]="Browser:chrome os:android","平板報工",IF(record[[#This Row],[Memo]]=0,"委外",record[[#This Row],[Memo]]))</f>
        <v>平板報工</v>
      </c>
      <c r="O2997" t="s">
        <v>643</v>
      </c>
      <c r="P2997" t="s">
        <v>107</v>
      </c>
      <c r="Q2997" t="s">
        <v>644</v>
      </c>
      <c r="R2997" t="str">
        <f>IFERROR(VLOOKUP(record[[#This Row],[PCUSTID]],廠商[],2,FALSE),"")</f>
        <v/>
      </c>
      <c r="S2997" t="str">
        <f>VLOOKUP(record[[#This Row],[employeeID]],員工[],2,FALSE)</f>
        <v>黎氏順</v>
      </c>
    </row>
    <row r="2998" spans="6:19" hidden="1" x14ac:dyDescent="0.25">
      <c r="F2998" t="s">
        <v>1587</v>
      </c>
      <c r="G2998" t="s">
        <v>375</v>
      </c>
      <c r="H2998" t="str">
        <f>VLOOKUP(record[[#This Row],[ProcessSN]],表格2_7[],2,FALSE)</f>
        <v>30-4118-018-4XX</v>
      </c>
      <c r="I2998" t="str">
        <f>VLOOKUP(record[[#This Row],[ProcessSN]],表格2_7[],3,FALSE)</f>
        <v>#05</v>
      </c>
      <c r="J2998" t="s">
        <v>588</v>
      </c>
      <c r="K2998" s="195">
        <v>46105.659756944442</v>
      </c>
      <c r="L2998">
        <v>37</v>
      </c>
      <c r="M2998">
        <v>0</v>
      </c>
      <c r="N2998" s="98" t="str">
        <f>IF(record[[#This Row],[Memo]]="Browser:chrome os:android","平板報工",IF(record[[#This Row],[Memo]]=0,"委外",record[[#This Row],[Memo]]))</f>
        <v>平板報工</v>
      </c>
      <c r="O2998" t="s">
        <v>643</v>
      </c>
      <c r="P2998" t="s">
        <v>145</v>
      </c>
      <c r="Q2998" t="s">
        <v>644</v>
      </c>
      <c r="R2998" t="str">
        <f>IFERROR(VLOOKUP(record[[#This Row],[PCUSTID]],廠商[],2,FALSE),"")</f>
        <v/>
      </c>
      <c r="S2998" t="str">
        <f>VLOOKUP(record[[#This Row],[employeeID]],員工[],2,FALSE)</f>
        <v>阮秋霞</v>
      </c>
    </row>
    <row r="2999" spans="6:19" hidden="1" x14ac:dyDescent="0.25">
      <c r="F2999" t="s">
        <v>1569</v>
      </c>
      <c r="G2999" t="s">
        <v>449</v>
      </c>
      <c r="H2999" t="str">
        <f>VLOOKUP(record[[#This Row],[ProcessSN]],表格2_7[],2,FALSE)</f>
        <v>30-4118-018-6XX</v>
      </c>
      <c r="I2999" t="str">
        <f>VLOOKUP(record[[#This Row],[ProcessSN]],表格2_7[],3,FALSE)</f>
        <v>#05</v>
      </c>
      <c r="J2999" t="s">
        <v>588</v>
      </c>
      <c r="K2999" s="195">
        <v>46105.659016203703</v>
      </c>
      <c r="L2999">
        <v>122</v>
      </c>
      <c r="M2999">
        <v>0</v>
      </c>
      <c r="N2999" s="98" t="str">
        <f>IF(record[[#This Row],[Memo]]="Browser:chrome os:android","平板報工",IF(record[[#This Row],[Memo]]=0,"委外",record[[#This Row],[Memo]]))</f>
        <v>平板報工</v>
      </c>
      <c r="O2999" t="s">
        <v>643</v>
      </c>
      <c r="P2999" t="s">
        <v>145</v>
      </c>
      <c r="Q2999" t="s">
        <v>644</v>
      </c>
      <c r="R2999" t="str">
        <f>IFERROR(VLOOKUP(record[[#This Row],[PCUSTID]],廠商[],2,FALSE),"")</f>
        <v/>
      </c>
      <c r="S2999" t="str">
        <f>VLOOKUP(record[[#This Row],[employeeID]],員工[],2,FALSE)</f>
        <v>阮秋霞</v>
      </c>
    </row>
    <row r="3000" spans="6:19" hidden="1" x14ac:dyDescent="0.25">
      <c r="F3000" t="s">
        <v>1569</v>
      </c>
      <c r="G3000" t="s">
        <v>451</v>
      </c>
      <c r="H3000" t="str">
        <f>VLOOKUP(record[[#This Row],[ProcessSN]],表格2_7[],2,FALSE)</f>
        <v>30-4118-018-6XX</v>
      </c>
      <c r="I3000" t="str">
        <f>VLOOKUP(record[[#This Row],[ProcessSN]],表格2_7[],3,FALSE)</f>
        <v>#07</v>
      </c>
      <c r="J3000" t="s">
        <v>588</v>
      </c>
      <c r="K3000" s="195">
        <v>46105.65861111111</v>
      </c>
      <c r="L3000">
        <v>36</v>
      </c>
      <c r="M3000">
        <v>0</v>
      </c>
      <c r="N3000" s="98" t="str">
        <f>IF(record[[#This Row],[Memo]]="Browser:chrome os:android","平板報工",IF(record[[#This Row],[Memo]]=0,"委外",record[[#This Row],[Memo]]))</f>
        <v>平板報工</v>
      </c>
      <c r="O3000" t="s">
        <v>643</v>
      </c>
      <c r="P3000" t="s">
        <v>145</v>
      </c>
      <c r="Q3000" t="s">
        <v>644</v>
      </c>
      <c r="R3000" t="str">
        <f>IFERROR(VLOOKUP(record[[#This Row],[PCUSTID]],廠商[],2,FALSE),"")</f>
        <v/>
      </c>
      <c r="S3000" t="str">
        <f>VLOOKUP(record[[#This Row],[employeeID]],員工[],2,FALSE)</f>
        <v>阮秋霞</v>
      </c>
    </row>
    <row r="3001" spans="6:19" hidden="1" x14ac:dyDescent="0.25">
      <c r="F3001" t="s">
        <v>1587</v>
      </c>
      <c r="G3001" t="s">
        <v>376</v>
      </c>
      <c r="H3001" t="str">
        <f>VLOOKUP(record[[#This Row],[ProcessSN]],表格2_7[],2,FALSE)</f>
        <v>30-4118-018-4XX</v>
      </c>
      <c r="I3001" t="str">
        <f>VLOOKUP(record[[#This Row],[ProcessSN]],表格2_7[],3,FALSE)</f>
        <v>#06</v>
      </c>
      <c r="J3001" t="s">
        <v>593</v>
      </c>
      <c r="K3001" s="195">
        <v>46105.654293981483</v>
      </c>
      <c r="L3001">
        <v>10</v>
      </c>
      <c r="M3001">
        <v>0</v>
      </c>
      <c r="N3001" s="98" t="str">
        <f>IF(record[[#This Row],[Memo]]="Browser:chrome os:android","平板報工",IF(record[[#This Row],[Memo]]=0,"委外",record[[#This Row],[Memo]]))</f>
        <v>平板報工</v>
      </c>
      <c r="O3001" t="s">
        <v>643</v>
      </c>
      <c r="P3001" t="s">
        <v>1413</v>
      </c>
      <c r="Q3001" t="s">
        <v>644</v>
      </c>
      <c r="R3001" t="str">
        <f>IFERROR(VLOOKUP(record[[#This Row],[PCUSTID]],廠商[],2,FALSE),"")</f>
        <v/>
      </c>
      <c r="S3001" t="str">
        <f>VLOOKUP(record[[#This Row],[employeeID]],員工[],2,FALSE)</f>
        <v>阮氏芳英(芳)</v>
      </c>
    </row>
    <row r="3002" spans="6:19" hidden="1" x14ac:dyDescent="0.25">
      <c r="F3002" t="s">
        <v>1569</v>
      </c>
      <c r="G3002" t="s">
        <v>450</v>
      </c>
      <c r="H3002" t="str">
        <f>VLOOKUP(record[[#This Row],[ProcessSN]],表格2_7[],2,FALSE)</f>
        <v>30-4118-018-6XX</v>
      </c>
      <c r="I3002" t="str">
        <f>VLOOKUP(record[[#This Row],[ProcessSN]],表格2_7[],3,FALSE)</f>
        <v>#06</v>
      </c>
      <c r="J3002" t="s">
        <v>593</v>
      </c>
      <c r="K3002" s="195">
        <v>46105.654062499998</v>
      </c>
      <c r="L3002">
        <v>90</v>
      </c>
      <c r="M3002">
        <v>0</v>
      </c>
      <c r="N3002" s="98" t="str">
        <f>IF(record[[#This Row],[Memo]]="Browser:chrome os:android","平板報工",IF(record[[#This Row],[Memo]]=0,"委外",record[[#This Row],[Memo]]))</f>
        <v>平板報工</v>
      </c>
      <c r="O3002" t="s">
        <v>643</v>
      </c>
      <c r="P3002" t="s">
        <v>1413</v>
      </c>
      <c r="Q3002" t="s">
        <v>644</v>
      </c>
      <c r="R3002" t="str">
        <f>IFERROR(VLOOKUP(record[[#This Row],[PCUSTID]],廠商[],2,FALSE),"")</f>
        <v/>
      </c>
      <c r="S3002" t="str">
        <f>VLOOKUP(record[[#This Row],[employeeID]],員工[],2,FALSE)</f>
        <v>阮氏芳英(芳)</v>
      </c>
    </row>
    <row r="3003" spans="6:19" hidden="1" x14ac:dyDescent="0.25">
      <c r="F3003" t="s">
        <v>1589</v>
      </c>
      <c r="G3003" t="s">
        <v>419</v>
      </c>
      <c r="H3003" t="str">
        <f>VLOOKUP(record[[#This Row],[ProcessSN]],表格2_7[],2,FALSE)</f>
        <v>30-4118-018-5XX</v>
      </c>
      <c r="I3003" t="str">
        <f>VLOOKUP(record[[#This Row],[ProcessSN]],表格2_7[],3,FALSE)</f>
        <v>#07QC</v>
      </c>
      <c r="J3003" t="s">
        <v>589</v>
      </c>
      <c r="K3003" s="195">
        <v>46105.644687499997</v>
      </c>
      <c r="L3003">
        <v>24</v>
      </c>
      <c r="M3003">
        <v>0</v>
      </c>
      <c r="N3003" s="98" t="str">
        <f>IF(record[[#This Row],[Memo]]="Browser:chrome os:android","平板報工",IF(record[[#This Row],[Memo]]=0,"委外",record[[#This Row],[Memo]]))</f>
        <v/>
      </c>
      <c r="O3003" t="s">
        <v>58</v>
      </c>
      <c r="P3003" t="s">
        <v>141</v>
      </c>
      <c r="Q3003" t="s">
        <v>58</v>
      </c>
      <c r="R3003" t="str">
        <f>IFERROR(VLOOKUP(record[[#This Row],[PCUSTID]],廠商[],2,FALSE),"")</f>
        <v/>
      </c>
      <c r="S3003" t="str">
        <f>VLOOKUP(record[[#This Row],[employeeID]],員工[],2,FALSE)</f>
        <v>蔣梅</v>
      </c>
    </row>
    <row r="3004" spans="6:19" hidden="1" x14ac:dyDescent="0.25">
      <c r="F3004" t="s">
        <v>1672</v>
      </c>
      <c r="G3004" t="s">
        <v>422</v>
      </c>
      <c r="H3004" t="str">
        <f>VLOOKUP(record[[#This Row],[ProcessSN]],表格2_7[],2,FALSE)</f>
        <v>30-4118-018-600</v>
      </c>
      <c r="I3004" t="str">
        <f>VLOOKUP(record[[#This Row],[ProcessSN]],表格2_7[],3,FALSE)</f>
        <v>#08</v>
      </c>
      <c r="J3004" t="s">
        <v>597</v>
      </c>
      <c r="K3004" s="195">
        <v>46105.61519675926</v>
      </c>
      <c r="L3004">
        <v>486</v>
      </c>
      <c r="M3004">
        <v>0</v>
      </c>
      <c r="N3004" s="98" t="str">
        <f>IF(record[[#This Row],[Memo]]="Browser:chrome os:android","平板報工",IF(record[[#This Row],[Memo]]=0,"委外",record[[#This Row],[Memo]]))</f>
        <v>委外</v>
      </c>
      <c r="P3004" t="s">
        <v>186</v>
      </c>
      <c r="Q3004" t="s">
        <v>287</v>
      </c>
      <c r="R3004" t="str">
        <f>IFERROR(VLOOKUP(record[[#This Row],[PCUSTID]],廠商[],2,FALSE),"")</f>
        <v>泉盛</v>
      </c>
      <c r="S3004" t="str">
        <f>VLOOKUP(record[[#This Row],[employeeID]],員工[],2,FALSE)</f>
        <v>許文姍</v>
      </c>
    </row>
    <row r="3005" spans="6:19" hidden="1" x14ac:dyDescent="0.25">
      <c r="F3005" t="s">
        <v>1672</v>
      </c>
      <c r="G3005" t="s">
        <v>421</v>
      </c>
      <c r="H3005" t="str">
        <f>VLOOKUP(record[[#This Row],[ProcessSN]],表格2_7[],2,FALSE)</f>
        <v>30-4118-018-600</v>
      </c>
      <c r="I3005" t="str">
        <f>VLOOKUP(record[[#This Row],[ProcessSN]],表格2_7[],3,FALSE)</f>
        <v>#08PICK</v>
      </c>
      <c r="J3005" t="s">
        <v>582</v>
      </c>
      <c r="K3005" s="195">
        <v>46105.615023148152</v>
      </c>
      <c r="L3005">
        <v>486</v>
      </c>
      <c r="M3005">
        <v>0</v>
      </c>
      <c r="N3005" s="98" t="str">
        <f>IF(record[[#This Row],[Memo]]="Browser:chrome os:android","平板報工",IF(record[[#This Row],[Memo]]=0,"委外",record[[#This Row],[Memo]]))</f>
        <v/>
      </c>
      <c r="O3005" t="s">
        <v>58</v>
      </c>
      <c r="P3005" t="s">
        <v>186</v>
      </c>
      <c r="Q3005" t="s">
        <v>58</v>
      </c>
      <c r="R3005" t="str">
        <f>IFERROR(VLOOKUP(record[[#This Row],[PCUSTID]],廠商[],2,FALSE),"")</f>
        <v/>
      </c>
      <c r="S3005" t="str">
        <f>VLOOKUP(record[[#This Row],[employeeID]],員工[],2,FALSE)</f>
        <v>許文姍</v>
      </c>
    </row>
    <row r="3006" spans="6:19" hidden="1" x14ac:dyDescent="0.25">
      <c r="F3006" t="s">
        <v>1569</v>
      </c>
      <c r="G3006" t="s">
        <v>452</v>
      </c>
      <c r="H3006" t="str">
        <f>VLOOKUP(record[[#This Row],[ProcessSN]],表格2_7[],2,FALSE)</f>
        <v>30-4118-018-6XX</v>
      </c>
      <c r="I3006" t="str">
        <f>VLOOKUP(record[[#This Row],[ProcessSN]],表格2_7[],3,FALSE)</f>
        <v>#07QC</v>
      </c>
      <c r="J3006" t="s">
        <v>589</v>
      </c>
      <c r="K3006" s="195">
        <v>46105.614733796298</v>
      </c>
      <c r="L3006">
        <v>5</v>
      </c>
      <c r="M3006">
        <v>0</v>
      </c>
      <c r="N3006" s="98" t="str">
        <f>IF(record[[#This Row],[Memo]]="Browser:chrome os:android","平板報工",IF(record[[#This Row],[Memo]]=0,"委外",record[[#This Row],[Memo]]))</f>
        <v/>
      </c>
      <c r="O3006" t="s">
        <v>58</v>
      </c>
      <c r="P3006" t="s">
        <v>141</v>
      </c>
      <c r="Q3006" t="s">
        <v>58</v>
      </c>
      <c r="R3006" t="str">
        <f>IFERROR(VLOOKUP(record[[#This Row],[PCUSTID]],廠商[],2,FALSE),"")</f>
        <v/>
      </c>
      <c r="S3006" t="str">
        <f>VLOOKUP(record[[#This Row],[employeeID]],員工[],2,FALSE)</f>
        <v>蔣梅</v>
      </c>
    </row>
    <row r="3007" spans="6:19" hidden="1" x14ac:dyDescent="0.25">
      <c r="F3007" t="s">
        <v>1569</v>
      </c>
      <c r="G3007" t="s">
        <v>452</v>
      </c>
      <c r="H3007" t="str">
        <f>VLOOKUP(record[[#This Row],[ProcessSN]],表格2_7[],2,FALSE)</f>
        <v>30-4118-018-6XX</v>
      </c>
      <c r="I3007" t="str">
        <f>VLOOKUP(record[[#This Row],[ProcessSN]],表格2_7[],3,FALSE)</f>
        <v>#07QC</v>
      </c>
      <c r="J3007" t="s">
        <v>589</v>
      </c>
      <c r="K3007" s="195">
        <v>46105.61414351852</v>
      </c>
      <c r="L3007">
        <v>220</v>
      </c>
      <c r="M3007">
        <v>0</v>
      </c>
      <c r="N3007" s="98" t="str">
        <f>IF(record[[#This Row],[Memo]]="Browser:chrome os:android","平板報工",IF(record[[#This Row],[Memo]]=0,"委外",record[[#This Row],[Memo]]))</f>
        <v/>
      </c>
      <c r="O3007" t="s">
        <v>58</v>
      </c>
      <c r="P3007" t="s">
        <v>141</v>
      </c>
      <c r="Q3007" t="s">
        <v>58</v>
      </c>
      <c r="R3007" t="str">
        <f>IFERROR(VLOOKUP(record[[#This Row],[PCUSTID]],廠商[],2,FALSE),"")</f>
        <v/>
      </c>
      <c r="S3007" t="str">
        <f>VLOOKUP(record[[#This Row],[employeeID]],員工[],2,FALSE)</f>
        <v>蔣梅</v>
      </c>
    </row>
    <row r="3008" spans="6:19" hidden="1" x14ac:dyDescent="0.25">
      <c r="F3008" t="s">
        <v>1671</v>
      </c>
      <c r="G3008" t="s">
        <v>451</v>
      </c>
      <c r="H3008" t="str">
        <f>VLOOKUP(record[[#This Row],[ProcessSN]],表格2_7[],2,FALSE)</f>
        <v>30-4118-018-6XX</v>
      </c>
      <c r="I3008" t="str">
        <f>VLOOKUP(record[[#This Row],[ProcessSN]],表格2_7[],3,FALSE)</f>
        <v>#07</v>
      </c>
      <c r="J3008" t="s">
        <v>588</v>
      </c>
      <c r="K3008" s="195">
        <v>46105.600821759261</v>
      </c>
      <c r="L3008">
        <v>56</v>
      </c>
      <c r="M3008">
        <v>0</v>
      </c>
      <c r="N3008" s="98" t="str">
        <f>IF(record[[#This Row],[Memo]]="Browser:chrome os:android","平板報工",IF(record[[#This Row],[Memo]]=0,"委外",record[[#This Row],[Memo]]))</f>
        <v/>
      </c>
      <c r="O3008" t="s">
        <v>58</v>
      </c>
      <c r="P3008" t="s">
        <v>145</v>
      </c>
      <c r="Q3008" t="s">
        <v>58</v>
      </c>
      <c r="R3008" t="str">
        <f>IFERROR(VLOOKUP(record[[#This Row],[PCUSTID]],廠商[],2,FALSE),"")</f>
        <v/>
      </c>
      <c r="S3008" t="str">
        <f>VLOOKUP(record[[#This Row],[employeeID]],員工[],2,FALSE)</f>
        <v>阮秋霞</v>
      </c>
    </row>
    <row r="3009" spans="6:19" hidden="1" x14ac:dyDescent="0.25">
      <c r="F3009" t="s">
        <v>1569</v>
      </c>
      <c r="G3009" t="s">
        <v>451</v>
      </c>
      <c r="H3009" t="str">
        <f>VLOOKUP(record[[#This Row],[ProcessSN]],表格2_7[],2,FALSE)</f>
        <v>30-4118-018-6XX</v>
      </c>
      <c r="I3009" t="str">
        <f>VLOOKUP(record[[#This Row],[ProcessSN]],表格2_7[],3,FALSE)</f>
        <v>#07</v>
      </c>
      <c r="J3009" t="s">
        <v>588</v>
      </c>
      <c r="K3009" s="195">
        <v>46105.481574074074</v>
      </c>
      <c r="L3009">
        <v>61</v>
      </c>
      <c r="M3009">
        <v>0</v>
      </c>
      <c r="N3009" s="98" t="str">
        <f>IF(record[[#This Row],[Memo]]="Browser:chrome os:android","平板報工",IF(record[[#This Row],[Memo]]=0,"委外",record[[#This Row],[Memo]]))</f>
        <v>平板報工</v>
      </c>
      <c r="O3009" t="s">
        <v>643</v>
      </c>
      <c r="P3009" t="s">
        <v>145</v>
      </c>
      <c r="Q3009" t="s">
        <v>644</v>
      </c>
      <c r="R3009" t="str">
        <f>IFERROR(VLOOKUP(record[[#This Row],[PCUSTID]],廠商[],2,FALSE),"")</f>
        <v/>
      </c>
      <c r="S3009" t="str">
        <f>VLOOKUP(record[[#This Row],[employeeID]],員工[],2,FALSE)</f>
        <v>阮秋霞</v>
      </c>
    </row>
    <row r="3010" spans="6:19" hidden="1" x14ac:dyDescent="0.25">
      <c r="F3010" t="s">
        <v>1602</v>
      </c>
      <c r="G3010" t="s">
        <v>469</v>
      </c>
      <c r="H3010" t="str">
        <f>VLOOKUP(record[[#This Row],[ProcessSN]],表格2_7[],2,FALSE)</f>
        <v>30-4118-018-XXX</v>
      </c>
      <c r="I3010" t="str">
        <f>VLOOKUP(record[[#This Row],[ProcessSN]],表格2_7[],3,FALSE)</f>
        <v>#02RCV</v>
      </c>
      <c r="J3010" t="s">
        <v>591</v>
      </c>
      <c r="K3010" s="195">
        <v>46105.475104166668</v>
      </c>
      <c r="L3010">
        <v>309</v>
      </c>
      <c r="M3010">
        <v>0</v>
      </c>
      <c r="N3010" s="98" t="str">
        <f>IF(record[[#This Row],[Memo]]="Browser:chrome os:android","平板報工",IF(record[[#This Row],[Memo]]=0,"委外",record[[#This Row],[Memo]]))</f>
        <v/>
      </c>
      <c r="O3010" t="s">
        <v>58</v>
      </c>
      <c r="P3010" t="s">
        <v>186</v>
      </c>
      <c r="Q3010" t="s">
        <v>58</v>
      </c>
      <c r="R3010" t="str">
        <f>IFERROR(VLOOKUP(record[[#This Row],[PCUSTID]],廠商[],2,FALSE),"")</f>
        <v/>
      </c>
      <c r="S3010" t="str">
        <f>VLOOKUP(record[[#This Row],[employeeID]],員工[],2,FALSE)</f>
        <v>許文姍</v>
      </c>
    </row>
    <row r="3011" spans="6:19" hidden="1" x14ac:dyDescent="0.25">
      <c r="F3011" t="s">
        <v>1531</v>
      </c>
      <c r="G3011" t="s">
        <v>469</v>
      </c>
      <c r="H3011" t="str">
        <f>VLOOKUP(record[[#This Row],[ProcessSN]],表格2_7[],2,FALSE)</f>
        <v>30-4118-018-XXX</v>
      </c>
      <c r="I3011" t="str">
        <f>VLOOKUP(record[[#This Row],[ProcessSN]],表格2_7[],3,FALSE)</f>
        <v>#02RCV</v>
      </c>
      <c r="J3011" t="s">
        <v>591</v>
      </c>
      <c r="K3011" s="195">
        <v>46105.474965277775</v>
      </c>
      <c r="L3011">
        <v>8</v>
      </c>
      <c r="M3011">
        <v>0</v>
      </c>
      <c r="N3011" s="98" t="str">
        <f>IF(record[[#This Row],[Memo]]="Browser:chrome os:android","平板報工",IF(record[[#This Row],[Memo]]=0,"委外",record[[#This Row],[Memo]]))</f>
        <v/>
      </c>
      <c r="O3011" t="s">
        <v>58</v>
      </c>
      <c r="P3011" t="s">
        <v>186</v>
      </c>
      <c r="Q3011" t="s">
        <v>58</v>
      </c>
      <c r="R3011" t="str">
        <f>IFERROR(VLOOKUP(record[[#This Row],[PCUSTID]],廠商[],2,FALSE),"")</f>
        <v/>
      </c>
      <c r="S3011" t="str">
        <f>VLOOKUP(record[[#This Row],[employeeID]],員工[],2,FALSE)</f>
        <v>許文姍</v>
      </c>
    </row>
    <row r="3012" spans="6:19" hidden="1" x14ac:dyDescent="0.25">
      <c r="F3012" t="s">
        <v>1569</v>
      </c>
      <c r="G3012" t="s">
        <v>452</v>
      </c>
      <c r="H3012" t="str">
        <f>VLOOKUP(record[[#This Row],[ProcessSN]],表格2_7[],2,FALSE)</f>
        <v>30-4118-018-6XX</v>
      </c>
      <c r="I3012" t="str">
        <f>VLOOKUP(record[[#This Row],[ProcessSN]],表格2_7[],3,FALSE)</f>
        <v>#07QC</v>
      </c>
      <c r="J3012" t="s">
        <v>589</v>
      </c>
      <c r="K3012" s="195">
        <v>46105.47483796296</v>
      </c>
      <c r="L3012">
        <v>261</v>
      </c>
      <c r="M3012">
        <v>0</v>
      </c>
      <c r="N3012" s="98" t="str">
        <f>IF(record[[#This Row],[Memo]]="Browser:chrome os:android","平板報工",IF(record[[#This Row],[Memo]]=0,"委外",record[[#This Row],[Memo]]))</f>
        <v/>
      </c>
      <c r="O3012" t="s">
        <v>58</v>
      </c>
      <c r="P3012" t="s">
        <v>141</v>
      </c>
      <c r="Q3012" t="s">
        <v>58</v>
      </c>
      <c r="R3012" t="str">
        <f>IFERROR(VLOOKUP(record[[#This Row],[PCUSTID]],廠商[],2,FALSE),"")</f>
        <v/>
      </c>
      <c r="S3012" t="str">
        <f>VLOOKUP(record[[#This Row],[employeeID]],員工[],2,FALSE)</f>
        <v>蔣梅</v>
      </c>
    </row>
    <row r="3013" spans="6:19" hidden="1" x14ac:dyDescent="0.25">
      <c r="F3013" t="s">
        <v>1647</v>
      </c>
      <c r="G3013" t="s">
        <v>403</v>
      </c>
      <c r="H3013" t="str">
        <f>VLOOKUP(record[[#This Row],[ProcessSN]],表格2_7[],2,FALSE)</f>
        <v>30-4118-018-550</v>
      </c>
      <c r="I3013" t="str">
        <f>VLOOKUP(record[[#This Row],[ProcessSN]],表格2_7[],3,FALSE)</f>
        <v>#100SHIP</v>
      </c>
      <c r="J3013" t="s">
        <v>600</v>
      </c>
      <c r="K3013" s="195">
        <v>46105.454826388886</v>
      </c>
      <c r="L3013">
        <v>25</v>
      </c>
      <c r="M3013">
        <v>0</v>
      </c>
      <c r="N3013" s="98" t="str">
        <f>IF(record[[#This Row],[Memo]]="Browser:chrome os:android","平板報工",IF(record[[#This Row],[Memo]]=0,"委外",record[[#This Row],[Memo]]))</f>
        <v/>
      </c>
      <c r="O3013" t="s">
        <v>58</v>
      </c>
      <c r="P3013" t="s">
        <v>886</v>
      </c>
      <c r="Q3013" t="s">
        <v>58</v>
      </c>
      <c r="R3013" t="str">
        <f>IFERROR(VLOOKUP(record[[#This Row],[PCUSTID]],廠商[],2,FALSE),"")</f>
        <v/>
      </c>
      <c r="S3013" t="str">
        <f>VLOOKUP(record[[#This Row],[employeeID]],員工[],2,FALSE)</f>
        <v>謝蓁薰</v>
      </c>
    </row>
    <row r="3014" spans="6:19" hidden="1" x14ac:dyDescent="0.25">
      <c r="F3014" t="s">
        <v>1647</v>
      </c>
      <c r="G3014" t="s">
        <v>402</v>
      </c>
      <c r="H3014" t="str">
        <f>VLOOKUP(record[[#This Row],[ProcessSN]],表格2_7[],2,FALSE)</f>
        <v>30-4118-018-550</v>
      </c>
      <c r="I3014" t="str">
        <f>VLOOKUP(record[[#This Row],[ProcessSN]],表格2_7[],3,FALSE)</f>
        <v>#100STOCK</v>
      </c>
      <c r="J3014" t="s">
        <v>592</v>
      </c>
      <c r="K3014" s="195">
        <v>46105.454722222225</v>
      </c>
      <c r="L3014">
        <v>25</v>
      </c>
      <c r="M3014">
        <v>0</v>
      </c>
      <c r="N3014" s="98" t="str">
        <f>IF(record[[#This Row],[Memo]]="Browser:chrome os:android","平板報工",IF(record[[#This Row],[Memo]]=0,"委外",record[[#This Row],[Memo]]))</f>
        <v/>
      </c>
      <c r="O3014" t="s">
        <v>58</v>
      </c>
      <c r="P3014" t="s">
        <v>886</v>
      </c>
      <c r="Q3014" t="s">
        <v>58</v>
      </c>
      <c r="R3014" t="str">
        <f>IFERROR(VLOOKUP(record[[#This Row],[PCUSTID]],廠商[],2,FALSE),"")</f>
        <v/>
      </c>
      <c r="S3014" t="str">
        <f>VLOOKUP(record[[#This Row],[employeeID]],員工[],2,FALSE)</f>
        <v>謝蓁薰</v>
      </c>
    </row>
    <row r="3015" spans="6:19" hidden="1" x14ac:dyDescent="0.25">
      <c r="F3015" t="s">
        <v>1656</v>
      </c>
      <c r="G3015" t="s">
        <v>400</v>
      </c>
      <c r="H3015" t="str">
        <f>VLOOKUP(record[[#This Row],[ProcessSN]],表格2_7[],2,FALSE)</f>
        <v>30-4118-018-550</v>
      </c>
      <c r="I3015" t="str">
        <f>VLOOKUP(record[[#This Row],[ProcessSN]],表格2_7[],3,FALSE)</f>
        <v>#100</v>
      </c>
      <c r="J3015" t="s">
        <v>598</v>
      </c>
      <c r="K3015" s="195">
        <v>46105.367835648147</v>
      </c>
      <c r="L3015">
        <v>24</v>
      </c>
      <c r="M3015">
        <v>0</v>
      </c>
      <c r="N3015" s="98" t="str">
        <f>IF(record[[#This Row],[Memo]]="Browser:chrome os:android","平板報工",IF(record[[#This Row],[Memo]]=0,"委外",record[[#This Row],[Memo]]))</f>
        <v/>
      </c>
      <c r="O3015" t="s">
        <v>58</v>
      </c>
      <c r="P3015" t="s">
        <v>99</v>
      </c>
      <c r="Q3015" t="s">
        <v>58</v>
      </c>
      <c r="R3015" t="str">
        <f>IFERROR(VLOOKUP(record[[#This Row],[PCUSTID]],廠商[],2,FALSE),"")</f>
        <v/>
      </c>
      <c r="S3015" t="str">
        <f>VLOOKUP(record[[#This Row],[employeeID]],員工[],2,FALSE)</f>
        <v>阮氏河</v>
      </c>
    </row>
    <row r="3016" spans="6:19" hidden="1" x14ac:dyDescent="0.25">
      <c r="F3016" t="s">
        <v>1656</v>
      </c>
      <c r="G3016" t="s">
        <v>399</v>
      </c>
      <c r="H3016" t="str">
        <f>VLOOKUP(record[[#This Row],[ProcessSN]],表格2_7[],2,FALSE)</f>
        <v>30-4118-018-550</v>
      </c>
      <c r="I3016" t="str">
        <f>VLOOKUP(record[[#This Row],[ProcessSN]],表格2_7[],3,FALSE)</f>
        <v>#08IQC</v>
      </c>
      <c r="J3016" t="s">
        <v>583</v>
      </c>
      <c r="K3016" s="195">
        <v>46105.365706018521</v>
      </c>
      <c r="L3016">
        <v>24</v>
      </c>
      <c r="M3016">
        <v>0</v>
      </c>
      <c r="N3016" s="98" t="str">
        <f>IF(record[[#This Row],[Memo]]="Browser:chrome os:android","平板報工",IF(record[[#This Row],[Memo]]=0,"委外",record[[#This Row],[Memo]]))</f>
        <v>補3/20回料多24pcs</v>
      </c>
      <c r="O3016" t="s">
        <v>1665</v>
      </c>
      <c r="P3016" t="s">
        <v>186</v>
      </c>
      <c r="Q3016" t="s">
        <v>58</v>
      </c>
      <c r="R3016" t="str">
        <f>IFERROR(VLOOKUP(record[[#This Row],[PCUSTID]],廠商[],2,FALSE),"")</f>
        <v/>
      </c>
      <c r="S3016" t="str">
        <f>VLOOKUP(record[[#This Row],[employeeID]],員工[],2,FALSE)</f>
        <v>許文姍</v>
      </c>
    </row>
    <row r="3017" spans="6:19" hidden="1" x14ac:dyDescent="0.25">
      <c r="F3017" t="s">
        <v>1656</v>
      </c>
      <c r="G3017" t="s">
        <v>398</v>
      </c>
      <c r="H3017" t="str">
        <f>VLOOKUP(record[[#This Row],[ProcessSN]],表格2_7[],2,FALSE)</f>
        <v>30-4118-018-550</v>
      </c>
      <c r="I3017" t="str">
        <f>VLOOKUP(record[[#This Row],[ProcessSN]],表格2_7[],3,FALSE)</f>
        <v>#08RCV</v>
      </c>
      <c r="J3017" t="s">
        <v>591</v>
      </c>
      <c r="K3017" s="195">
        <v>46105.36546296296</v>
      </c>
      <c r="L3017">
        <v>24</v>
      </c>
      <c r="M3017">
        <v>0</v>
      </c>
      <c r="N3017" s="98" t="str">
        <f>IF(record[[#This Row],[Memo]]="Browser:chrome os:android","平板報工",IF(record[[#This Row],[Memo]]=0,"委外",record[[#This Row],[Memo]]))</f>
        <v>補3/20回料多24pcs</v>
      </c>
      <c r="O3017" t="s">
        <v>1665</v>
      </c>
      <c r="P3017" t="s">
        <v>186</v>
      </c>
      <c r="Q3017" t="s">
        <v>58</v>
      </c>
      <c r="R3017" t="str">
        <f>IFERROR(VLOOKUP(record[[#This Row],[PCUSTID]],廠商[],2,FALSE),"")</f>
        <v/>
      </c>
      <c r="S3017" t="str">
        <f>VLOOKUP(record[[#This Row],[employeeID]],員工[],2,FALSE)</f>
        <v>許文姍</v>
      </c>
    </row>
    <row r="3018" spans="6:19" hidden="1" x14ac:dyDescent="0.25">
      <c r="F3018" t="s">
        <v>1647</v>
      </c>
      <c r="G3018" t="s">
        <v>403</v>
      </c>
      <c r="H3018" t="str">
        <f>VLOOKUP(record[[#This Row],[ProcessSN]],表格2_7[],2,FALSE)</f>
        <v>30-4118-018-550</v>
      </c>
      <c r="I3018" t="str">
        <f>VLOOKUP(record[[#This Row],[ProcessSN]],表格2_7[],3,FALSE)</f>
        <v>#100SHIP</v>
      </c>
      <c r="J3018" t="s">
        <v>600</v>
      </c>
      <c r="K3018" s="195">
        <v>46105.329375000001</v>
      </c>
      <c r="L3018">
        <v>1</v>
      </c>
      <c r="M3018">
        <v>0</v>
      </c>
      <c r="N3018" s="98" t="str">
        <f>IF(record[[#This Row],[Memo]]="Browser:chrome os:android","平板報工",IF(record[[#This Row],[Memo]]=0,"委外",record[[#This Row],[Memo]]))</f>
        <v>補3/23出貨</v>
      </c>
      <c r="O3018" t="s">
        <v>1666</v>
      </c>
      <c r="P3018" t="s">
        <v>886</v>
      </c>
      <c r="Q3018" t="s">
        <v>58</v>
      </c>
      <c r="R3018" t="str">
        <f>IFERROR(VLOOKUP(record[[#This Row],[PCUSTID]],廠商[],2,FALSE),"")</f>
        <v/>
      </c>
      <c r="S3018" t="str">
        <f>VLOOKUP(record[[#This Row],[employeeID]],員工[],2,FALSE)</f>
        <v>謝蓁薰</v>
      </c>
    </row>
    <row r="3019" spans="6:19" hidden="1" x14ac:dyDescent="0.25">
      <c r="F3019" t="s">
        <v>1647</v>
      </c>
      <c r="G3019" t="s">
        <v>402</v>
      </c>
      <c r="H3019" t="str">
        <f>VLOOKUP(record[[#This Row],[ProcessSN]],表格2_7[],2,FALSE)</f>
        <v>30-4118-018-550</v>
      </c>
      <c r="I3019" t="str">
        <f>VLOOKUP(record[[#This Row],[ProcessSN]],表格2_7[],3,FALSE)</f>
        <v>#100STOCK</v>
      </c>
      <c r="J3019" t="s">
        <v>592</v>
      </c>
      <c r="K3019" s="195">
        <v>46105.32916666667</v>
      </c>
      <c r="L3019">
        <v>1</v>
      </c>
      <c r="M3019">
        <v>0</v>
      </c>
      <c r="N3019" s="98" t="str">
        <f>IF(record[[#This Row],[Memo]]="Browser:chrome os:android","平板報工",IF(record[[#This Row],[Memo]]=0,"委外",record[[#This Row],[Memo]]))</f>
        <v/>
      </c>
      <c r="O3019" t="s">
        <v>58</v>
      </c>
      <c r="P3019" t="s">
        <v>886</v>
      </c>
      <c r="Q3019" t="s">
        <v>58</v>
      </c>
      <c r="R3019" t="str">
        <f>IFERROR(VLOOKUP(record[[#This Row],[PCUSTID]],廠商[],2,FALSE),"")</f>
        <v/>
      </c>
      <c r="S3019" t="str">
        <f>VLOOKUP(record[[#This Row],[employeeID]],員工[],2,FALSE)</f>
        <v>謝蓁薰</v>
      </c>
    </row>
    <row r="3020" spans="6:19" hidden="1" x14ac:dyDescent="0.25">
      <c r="F3020" t="s">
        <v>1587</v>
      </c>
      <c r="G3020" t="s">
        <v>376</v>
      </c>
      <c r="H3020" t="str">
        <f>VLOOKUP(record[[#This Row],[ProcessSN]],表格2_7[],2,FALSE)</f>
        <v>30-4118-018-4XX</v>
      </c>
      <c r="I3020" t="str">
        <f>VLOOKUP(record[[#This Row],[ProcessSN]],表格2_7[],3,FALSE)</f>
        <v>#06</v>
      </c>
      <c r="J3020" t="s">
        <v>593</v>
      </c>
      <c r="K3020" s="195">
        <v>46105.314942129633</v>
      </c>
      <c r="L3020">
        <v>96</v>
      </c>
      <c r="M3020">
        <v>0</v>
      </c>
      <c r="N3020" s="98" t="str">
        <f>IF(record[[#This Row],[Memo]]="Browser:chrome os:android","平板報工",IF(record[[#This Row],[Memo]]=0,"委外",record[[#This Row],[Memo]]))</f>
        <v/>
      </c>
      <c r="O3020" t="s">
        <v>58</v>
      </c>
      <c r="P3020" t="s">
        <v>180</v>
      </c>
      <c r="Q3020" t="s">
        <v>58</v>
      </c>
      <c r="R3020" t="str">
        <f>IFERROR(VLOOKUP(record[[#This Row],[PCUSTID]],廠商[],2,FALSE),"")</f>
        <v/>
      </c>
      <c r="S3020" t="str">
        <f>VLOOKUP(record[[#This Row],[employeeID]],員工[],2,FALSE)</f>
        <v>黎功江</v>
      </c>
    </row>
    <row r="3021" spans="6:19" hidden="1" x14ac:dyDescent="0.25">
      <c r="F3021" t="s">
        <v>1589</v>
      </c>
      <c r="G3021" t="s">
        <v>417</v>
      </c>
      <c r="H3021" t="str">
        <f>VLOOKUP(record[[#This Row],[ProcessSN]],表格2_7[],2,FALSE)</f>
        <v>30-4118-018-5XX</v>
      </c>
      <c r="I3021" t="str">
        <f>VLOOKUP(record[[#This Row],[ProcessSN]],表格2_7[],3,FALSE)</f>
        <v>#06</v>
      </c>
      <c r="J3021" t="s">
        <v>593</v>
      </c>
      <c r="K3021" s="195">
        <v>46105.314791666664</v>
      </c>
      <c r="L3021">
        <v>35</v>
      </c>
      <c r="M3021">
        <v>0</v>
      </c>
      <c r="N3021" s="98" t="str">
        <f>IF(record[[#This Row],[Memo]]="Browser:chrome os:android","平板報工",IF(record[[#This Row],[Memo]]=0,"委外",record[[#This Row],[Memo]]))</f>
        <v/>
      </c>
      <c r="O3021" t="s">
        <v>58</v>
      </c>
      <c r="P3021" t="s">
        <v>180</v>
      </c>
      <c r="Q3021" t="s">
        <v>58</v>
      </c>
      <c r="R3021" t="str">
        <f>IFERROR(VLOOKUP(record[[#This Row],[PCUSTID]],廠商[],2,FALSE),"")</f>
        <v/>
      </c>
      <c r="S3021" t="str">
        <f>VLOOKUP(record[[#This Row],[employeeID]],員工[],2,FALSE)</f>
        <v>黎功江</v>
      </c>
    </row>
    <row r="3022" spans="6:19" hidden="1" x14ac:dyDescent="0.25">
      <c r="F3022" t="s">
        <v>1569</v>
      </c>
      <c r="G3022" t="s">
        <v>451</v>
      </c>
      <c r="H3022" t="str">
        <f>VLOOKUP(record[[#This Row],[ProcessSN]],表格2_7[],2,FALSE)</f>
        <v>30-4118-018-6XX</v>
      </c>
      <c r="I3022" t="str">
        <f>VLOOKUP(record[[#This Row],[ProcessSN]],表格2_7[],3,FALSE)</f>
        <v>#07</v>
      </c>
      <c r="J3022" t="s">
        <v>588</v>
      </c>
      <c r="K3022" s="195">
        <v>46105.312731481485</v>
      </c>
      <c r="L3022">
        <v>112</v>
      </c>
      <c r="M3022">
        <v>3</v>
      </c>
      <c r="N3022" s="98" t="str">
        <f>IF(record[[#This Row],[Memo]]="Browser:chrome os:android","平板報工",IF(record[[#This Row],[Memo]]=0,"委外",record[[#This Row],[Memo]]))</f>
        <v/>
      </c>
      <c r="O3022" t="s">
        <v>58</v>
      </c>
      <c r="P3022" t="s">
        <v>1098</v>
      </c>
      <c r="Q3022" t="s">
        <v>58</v>
      </c>
      <c r="R3022" t="str">
        <f>IFERROR(VLOOKUP(record[[#This Row],[PCUSTID]],廠商[],2,FALSE),"")</f>
        <v/>
      </c>
      <c r="S3022" t="str">
        <f>VLOOKUP(record[[#This Row],[employeeID]],員工[],2,FALSE)</f>
        <v>阮氏芳英(英)</v>
      </c>
    </row>
    <row r="3023" spans="6:19" hidden="1" x14ac:dyDescent="0.25">
      <c r="F3023" t="s">
        <v>1589</v>
      </c>
      <c r="G3023" t="s">
        <v>417</v>
      </c>
      <c r="H3023" t="str">
        <f>VLOOKUP(record[[#This Row],[ProcessSN]],表格2_7[],2,FALSE)</f>
        <v>30-4118-018-5XX</v>
      </c>
      <c r="I3023" t="str">
        <f>VLOOKUP(record[[#This Row],[ProcessSN]],表格2_7[],3,FALSE)</f>
        <v>#06</v>
      </c>
      <c r="J3023" t="s">
        <v>593</v>
      </c>
      <c r="K3023" s="195">
        <v>46104.984918981485</v>
      </c>
      <c r="L3023">
        <v>133</v>
      </c>
      <c r="M3023">
        <v>0</v>
      </c>
      <c r="N3023" s="98" t="str">
        <f>IF(record[[#This Row],[Memo]]="Browser:chrome os:android","平板報工",IF(record[[#This Row],[Memo]]=0,"委外",record[[#This Row],[Memo]]))</f>
        <v/>
      </c>
      <c r="O3023" t="s">
        <v>58</v>
      </c>
      <c r="P3023" t="s">
        <v>133</v>
      </c>
      <c r="Q3023" t="s">
        <v>58</v>
      </c>
      <c r="R3023" t="str">
        <f>IFERROR(VLOOKUP(record[[#This Row],[PCUSTID]],廠商[],2,FALSE),"")</f>
        <v/>
      </c>
      <c r="S3023" t="str">
        <f>VLOOKUP(record[[#This Row],[employeeID]],員工[],2,FALSE)</f>
        <v>黎長維</v>
      </c>
    </row>
    <row r="3024" spans="6:19" hidden="1" x14ac:dyDescent="0.25">
      <c r="F3024" t="s">
        <v>1653</v>
      </c>
      <c r="G3024" t="s">
        <v>414</v>
      </c>
      <c r="H3024" t="str">
        <f>VLOOKUP(record[[#This Row],[ProcessSN]],表格2_7[],2,FALSE)</f>
        <v>30-4118-018-5XX</v>
      </c>
      <c r="I3024" t="str">
        <f>VLOOKUP(record[[#This Row],[ProcessSN]],表格2_7[],3,FALSE)</f>
        <v>#03</v>
      </c>
      <c r="J3024" t="s">
        <v>588</v>
      </c>
      <c r="K3024" s="195">
        <v>46104.982800925929</v>
      </c>
      <c r="L3024">
        <v>433</v>
      </c>
      <c r="M3024">
        <v>20</v>
      </c>
      <c r="N3024" s="98" t="str">
        <f>IF(record[[#This Row],[Memo]]="Browser:chrome os:android","平板報工",IF(record[[#This Row],[Memo]]=0,"委外",record[[#This Row],[Memo]]))</f>
        <v/>
      </c>
      <c r="O3024" t="s">
        <v>58</v>
      </c>
      <c r="P3024" t="s">
        <v>806</v>
      </c>
      <c r="Q3024" t="s">
        <v>58</v>
      </c>
      <c r="R3024" t="str">
        <f>IFERROR(VLOOKUP(record[[#This Row],[PCUSTID]],廠商[],2,FALSE),"")</f>
        <v/>
      </c>
      <c r="S3024" t="str">
        <f>VLOOKUP(record[[#This Row],[employeeID]],員工[],2,FALSE)</f>
        <v>方思緯</v>
      </c>
    </row>
    <row r="3025" spans="6:19" hidden="1" x14ac:dyDescent="0.25">
      <c r="F3025" t="s">
        <v>1653</v>
      </c>
      <c r="G3025" t="s">
        <v>415</v>
      </c>
      <c r="H3025" t="str">
        <f>VLOOKUP(record[[#This Row],[ProcessSN]],表格2_7[],2,FALSE)</f>
        <v>30-4118-018-5XX</v>
      </c>
      <c r="I3025" t="str">
        <f>VLOOKUP(record[[#This Row],[ProcessSN]],表格2_7[],3,FALSE)</f>
        <v>#04</v>
      </c>
      <c r="J3025" t="s">
        <v>588</v>
      </c>
      <c r="K3025" s="195">
        <v>46104.982511574075</v>
      </c>
      <c r="L3025">
        <v>130</v>
      </c>
      <c r="M3025">
        <v>0</v>
      </c>
      <c r="N3025" s="98" t="str">
        <f>IF(record[[#This Row],[Memo]]="Browser:chrome os:android","平板報工",IF(record[[#This Row],[Memo]]=0,"委外",record[[#This Row],[Memo]]))</f>
        <v/>
      </c>
      <c r="O3025" t="s">
        <v>58</v>
      </c>
      <c r="P3025" t="s">
        <v>806</v>
      </c>
      <c r="Q3025" t="s">
        <v>58</v>
      </c>
      <c r="R3025" t="str">
        <f>IFERROR(VLOOKUP(record[[#This Row],[PCUSTID]],廠商[],2,FALSE),"")</f>
        <v/>
      </c>
      <c r="S3025" t="str">
        <f>VLOOKUP(record[[#This Row],[employeeID]],員工[],2,FALSE)</f>
        <v>方思緯</v>
      </c>
    </row>
    <row r="3026" spans="6:19" hidden="1" x14ac:dyDescent="0.25">
      <c r="F3026" t="s">
        <v>1569</v>
      </c>
      <c r="G3026" t="s">
        <v>451</v>
      </c>
      <c r="H3026" t="str">
        <f>VLOOKUP(record[[#This Row],[ProcessSN]],表格2_7[],2,FALSE)</f>
        <v>30-4118-018-6XX</v>
      </c>
      <c r="I3026" t="str">
        <f>VLOOKUP(record[[#This Row],[ProcessSN]],表格2_7[],3,FALSE)</f>
        <v>#07</v>
      </c>
      <c r="J3026" t="s">
        <v>588</v>
      </c>
      <c r="K3026" s="195">
        <v>46104.981863425928</v>
      </c>
      <c r="L3026">
        <v>224</v>
      </c>
      <c r="M3026">
        <v>1</v>
      </c>
      <c r="N3026" s="98" t="str">
        <f>IF(record[[#This Row],[Memo]]="Browser:chrome os:android","平板報工",IF(record[[#This Row],[Memo]]=0,"委外",record[[#This Row],[Memo]]))</f>
        <v/>
      </c>
      <c r="O3026" t="s">
        <v>58</v>
      </c>
      <c r="P3026" t="s">
        <v>89</v>
      </c>
      <c r="Q3026" t="s">
        <v>58</v>
      </c>
      <c r="R3026" t="str">
        <f>IFERROR(VLOOKUP(record[[#This Row],[PCUSTID]],廠商[],2,FALSE),"")</f>
        <v/>
      </c>
      <c r="S3026" t="str">
        <f>VLOOKUP(record[[#This Row],[employeeID]],員工[],2,FALSE)</f>
        <v>李美蓮</v>
      </c>
    </row>
    <row r="3027" spans="6:19" hidden="1" x14ac:dyDescent="0.25">
      <c r="F3027" t="s">
        <v>1587</v>
      </c>
      <c r="G3027" t="s">
        <v>375</v>
      </c>
      <c r="H3027" t="str">
        <f>VLOOKUP(record[[#This Row],[ProcessSN]],表格2_7[],2,FALSE)</f>
        <v>30-4118-018-4XX</v>
      </c>
      <c r="I3027" t="str">
        <f>VLOOKUP(record[[#This Row],[ProcessSN]],表格2_7[],3,FALSE)</f>
        <v>#05</v>
      </c>
      <c r="J3027" t="s">
        <v>588</v>
      </c>
      <c r="K3027" s="195">
        <v>46104.979675925926</v>
      </c>
      <c r="L3027">
        <v>264</v>
      </c>
      <c r="M3027">
        <v>0</v>
      </c>
      <c r="N3027" s="98" t="str">
        <f>IF(record[[#This Row],[Memo]]="Browser:chrome os:android","平板報工",IF(record[[#This Row],[Memo]]=0,"委外",record[[#This Row],[Memo]]))</f>
        <v/>
      </c>
      <c r="O3027" t="s">
        <v>58</v>
      </c>
      <c r="P3027" t="s">
        <v>843</v>
      </c>
      <c r="Q3027" t="s">
        <v>58</v>
      </c>
      <c r="R3027" t="str">
        <f>IFERROR(VLOOKUP(record[[#This Row],[PCUSTID]],廠商[],2,FALSE),"")</f>
        <v/>
      </c>
      <c r="S3027" t="str">
        <f>VLOOKUP(record[[#This Row],[employeeID]],員工[],2,FALSE)</f>
        <v>張楚承</v>
      </c>
    </row>
    <row r="3028" spans="6:19" hidden="1" x14ac:dyDescent="0.25">
      <c r="F3028" t="s">
        <v>1647</v>
      </c>
      <c r="G3028" t="s">
        <v>401</v>
      </c>
      <c r="H3028" t="str">
        <f>VLOOKUP(record[[#This Row],[ProcessSN]],表格2_7[],2,FALSE)</f>
        <v>30-4118-018-550</v>
      </c>
      <c r="I3028" t="str">
        <f>VLOOKUP(record[[#This Row],[ProcessSN]],表格2_7[],3,FALSE)</f>
        <v>#100OQC</v>
      </c>
      <c r="J3028" t="s">
        <v>599</v>
      </c>
      <c r="K3028" s="195">
        <v>46104.817557870374</v>
      </c>
      <c r="L3028">
        <v>26</v>
      </c>
      <c r="M3028">
        <v>0</v>
      </c>
      <c r="N3028" s="98" t="str">
        <f>IF(record[[#This Row],[Memo]]="Browser:chrome os:android","平板報工",IF(record[[#This Row],[Memo]]=0,"委外",record[[#This Row],[Memo]]))</f>
        <v/>
      </c>
      <c r="O3028" t="s">
        <v>58</v>
      </c>
      <c r="P3028" t="s">
        <v>121</v>
      </c>
      <c r="Q3028" t="s">
        <v>58</v>
      </c>
      <c r="R3028" t="str">
        <f>IFERROR(VLOOKUP(record[[#This Row],[PCUSTID]],廠商[],2,FALSE),"")</f>
        <v/>
      </c>
      <c r="S3028" t="str">
        <f>VLOOKUP(record[[#This Row],[employeeID]],員工[],2,FALSE)</f>
        <v>謝素卿</v>
      </c>
    </row>
    <row r="3029" spans="6:19" hidden="1" x14ac:dyDescent="0.25">
      <c r="F3029" t="s">
        <v>1647</v>
      </c>
      <c r="G3029" t="s">
        <v>400</v>
      </c>
      <c r="H3029" t="str">
        <f>VLOOKUP(record[[#This Row],[ProcessSN]],表格2_7[],2,FALSE)</f>
        <v>30-4118-018-550</v>
      </c>
      <c r="I3029" t="str">
        <f>VLOOKUP(record[[#This Row],[ProcessSN]],表格2_7[],3,FALSE)</f>
        <v>#100</v>
      </c>
      <c r="J3029" t="s">
        <v>598</v>
      </c>
      <c r="K3029" s="195">
        <v>46104.813449074078</v>
      </c>
      <c r="L3029">
        <v>26</v>
      </c>
      <c r="M3029">
        <v>0</v>
      </c>
      <c r="N3029" s="98" t="str">
        <f>IF(record[[#This Row],[Memo]]="Browser:chrome os:android","平板報工",IF(record[[#This Row],[Memo]]=0,"委外",record[[#This Row],[Memo]]))</f>
        <v/>
      </c>
      <c r="O3029" t="s">
        <v>58</v>
      </c>
      <c r="P3029" t="s">
        <v>886</v>
      </c>
      <c r="Q3029" t="s">
        <v>58</v>
      </c>
      <c r="R3029" t="str">
        <f>IFERROR(VLOOKUP(record[[#This Row],[PCUSTID]],廠商[],2,FALSE),"")</f>
        <v/>
      </c>
      <c r="S3029" t="str">
        <f>VLOOKUP(record[[#This Row],[employeeID]],員工[],2,FALSE)</f>
        <v>謝蓁薰</v>
      </c>
    </row>
    <row r="3030" spans="6:19" hidden="1" x14ac:dyDescent="0.25">
      <c r="F3030" t="s">
        <v>1647</v>
      </c>
      <c r="G3030" t="s">
        <v>399</v>
      </c>
      <c r="H3030" t="str">
        <f>VLOOKUP(record[[#This Row],[ProcessSN]],表格2_7[],2,FALSE)</f>
        <v>30-4118-018-550</v>
      </c>
      <c r="I3030" t="str">
        <f>VLOOKUP(record[[#This Row],[ProcessSN]],表格2_7[],3,FALSE)</f>
        <v>#08IQC</v>
      </c>
      <c r="J3030" t="s">
        <v>583</v>
      </c>
      <c r="K3030" s="195">
        <v>46104.811874999999</v>
      </c>
      <c r="L3030">
        <v>26</v>
      </c>
      <c r="M3030">
        <v>0</v>
      </c>
      <c r="N3030" s="98" t="str">
        <f>IF(record[[#This Row],[Memo]]="Browser:chrome os:android","平板報工",IF(record[[#This Row],[Memo]]=0,"委外",record[[#This Row],[Memo]]))</f>
        <v/>
      </c>
      <c r="O3030" t="s">
        <v>58</v>
      </c>
      <c r="P3030" t="s">
        <v>109</v>
      </c>
      <c r="Q3030" t="s">
        <v>58</v>
      </c>
      <c r="R3030" t="str">
        <f>IFERROR(VLOOKUP(record[[#This Row],[PCUSTID]],廠商[],2,FALSE),"")</f>
        <v/>
      </c>
      <c r="S3030" t="str">
        <f>VLOOKUP(record[[#This Row],[employeeID]],員工[],2,FALSE)</f>
        <v>裴氏璧鳳</v>
      </c>
    </row>
    <row r="3031" spans="6:19" hidden="1" x14ac:dyDescent="0.25">
      <c r="F3031" t="s">
        <v>1647</v>
      </c>
      <c r="G3031" t="s">
        <v>403</v>
      </c>
      <c r="H3031" t="str">
        <f>VLOOKUP(record[[#This Row],[ProcessSN]],表格2_7[],2,FALSE)</f>
        <v>30-4118-018-550</v>
      </c>
      <c r="I3031" t="str">
        <f>VLOOKUP(record[[#This Row],[ProcessSN]],表格2_7[],3,FALSE)</f>
        <v>#100SHIP</v>
      </c>
      <c r="J3031" t="s">
        <v>600</v>
      </c>
      <c r="K3031" s="195">
        <v>46104.797164351854</v>
      </c>
      <c r="L3031">
        <v>132</v>
      </c>
      <c r="M3031">
        <v>0</v>
      </c>
      <c r="N3031" s="98" t="str">
        <f>IF(record[[#This Row],[Memo]]="Browser:chrome os:android","平板報工",IF(record[[#This Row],[Memo]]=0,"委外",record[[#This Row],[Memo]]))</f>
        <v/>
      </c>
      <c r="O3031" t="s">
        <v>58</v>
      </c>
      <c r="P3031" t="s">
        <v>886</v>
      </c>
      <c r="Q3031" t="s">
        <v>58</v>
      </c>
      <c r="R3031" t="str">
        <f>IFERROR(VLOOKUP(record[[#This Row],[PCUSTID]],廠商[],2,FALSE),"")</f>
        <v/>
      </c>
      <c r="S3031" t="str">
        <f>VLOOKUP(record[[#This Row],[employeeID]],員工[],2,FALSE)</f>
        <v>謝蓁薰</v>
      </c>
    </row>
    <row r="3032" spans="6:19" hidden="1" x14ac:dyDescent="0.25">
      <c r="F3032" t="s">
        <v>1647</v>
      </c>
      <c r="G3032" t="s">
        <v>402</v>
      </c>
      <c r="H3032" t="str">
        <f>VLOOKUP(record[[#This Row],[ProcessSN]],表格2_7[],2,FALSE)</f>
        <v>30-4118-018-550</v>
      </c>
      <c r="I3032" t="str">
        <f>VLOOKUP(record[[#This Row],[ProcessSN]],表格2_7[],3,FALSE)</f>
        <v>#100STOCK</v>
      </c>
      <c r="J3032" t="s">
        <v>592</v>
      </c>
      <c r="K3032" s="195">
        <v>46104.796944444446</v>
      </c>
      <c r="L3032">
        <v>132</v>
      </c>
      <c r="M3032">
        <v>0</v>
      </c>
      <c r="N3032" s="98" t="str">
        <f>IF(record[[#This Row],[Memo]]="Browser:chrome os:android","平板報工",IF(record[[#This Row],[Memo]]=0,"委外",record[[#This Row],[Memo]]))</f>
        <v/>
      </c>
      <c r="O3032" t="s">
        <v>58</v>
      </c>
      <c r="P3032" t="s">
        <v>886</v>
      </c>
      <c r="Q3032" t="s">
        <v>58</v>
      </c>
      <c r="R3032" t="str">
        <f>IFERROR(VLOOKUP(record[[#This Row],[PCUSTID]],廠商[],2,FALSE),"")</f>
        <v/>
      </c>
      <c r="S3032" t="str">
        <f>VLOOKUP(record[[#This Row],[employeeID]],員工[],2,FALSE)</f>
        <v>謝蓁薰</v>
      </c>
    </row>
    <row r="3033" spans="6:19" hidden="1" x14ac:dyDescent="0.25">
      <c r="F3033" t="s">
        <v>1647</v>
      </c>
      <c r="G3033" t="s">
        <v>403</v>
      </c>
      <c r="H3033" t="str">
        <f>VLOOKUP(record[[#This Row],[ProcessSN]],表格2_7[],2,FALSE)</f>
        <v>30-4118-018-550</v>
      </c>
      <c r="I3033" t="str">
        <f>VLOOKUP(record[[#This Row],[ProcessSN]],表格2_7[],3,FALSE)</f>
        <v>#100SHIP</v>
      </c>
      <c r="J3033" t="s">
        <v>600</v>
      </c>
      <c r="K3033" s="195">
        <v>46104.795752314814</v>
      </c>
      <c r="L3033">
        <v>156</v>
      </c>
      <c r="M3033">
        <v>0</v>
      </c>
      <c r="N3033" s="98" t="str">
        <f>IF(record[[#This Row],[Memo]]="Browser:chrome os:android","平板報工",IF(record[[#This Row],[Memo]]=0,"委外",record[[#This Row],[Memo]]))</f>
        <v>補3/20出貨</v>
      </c>
      <c r="O3033" t="s">
        <v>1664</v>
      </c>
      <c r="P3033" t="s">
        <v>886</v>
      </c>
      <c r="Q3033" t="s">
        <v>58</v>
      </c>
      <c r="R3033" t="str">
        <f>IFERROR(VLOOKUP(record[[#This Row],[PCUSTID]],廠商[],2,FALSE),"")</f>
        <v/>
      </c>
      <c r="S3033" t="str">
        <f>VLOOKUP(record[[#This Row],[employeeID]],員工[],2,FALSE)</f>
        <v>謝蓁薰</v>
      </c>
    </row>
    <row r="3034" spans="6:19" hidden="1" x14ac:dyDescent="0.25">
      <c r="F3034" t="s">
        <v>1647</v>
      </c>
      <c r="G3034" t="s">
        <v>402</v>
      </c>
      <c r="H3034" t="str">
        <f>VLOOKUP(record[[#This Row],[ProcessSN]],表格2_7[],2,FALSE)</f>
        <v>30-4118-018-550</v>
      </c>
      <c r="I3034" t="str">
        <f>VLOOKUP(record[[#This Row],[ProcessSN]],表格2_7[],3,FALSE)</f>
        <v>#100STOCK</v>
      </c>
      <c r="J3034" t="s">
        <v>592</v>
      </c>
      <c r="K3034" s="195">
        <v>46104.795497685183</v>
      </c>
      <c r="L3034">
        <v>156</v>
      </c>
      <c r="M3034">
        <v>0</v>
      </c>
      <c r="N3034" s="98" t="str">
        <f>IF(record[[#This Row],[Memo]]="Browser:chrome os:android","平板報工",IF(record[[#This Row],[Memo]]=0,"委外",record[[#This Row],[Memo]]))</f>
        <v/>
      </c>
      <c r="O3034" t="s">
        <v>58</v>
      </c>
      <c r="P3034" t="s">
        <v>886</v>
      </c>
      <c r="Q3034" t="s">
        <v>58</v>
      </c>
      <c r="R3034" t="str">
        <f>IFERROR(VLOOKUP(record[[#This Row],[PCUSTID]],廠商[],2,FALSE),"")</f>
        <v/>
      </c>
      <c r="S3034" t="str">
        <f>VLOOKUP(record[[#This Row],[employeeID]],員工[],2,FALSE)</f>
        <v>謝蓁薰</v>
      </c>
    </row>
    <row r="3035" spans="6:19" hidden="1" x14ac:dyDescent="0.25">
      <c r="F3035" t="s">
        <v>1647</v>
      </c>
      <c r="G3035" t="s">
        <v>401</v>
      </c>
      <c r="H3035" t="str">
        <f>VLOOKUP(record[[#This Row],[ProcessSN]],表格2_7[],2,FALSE)</f>
        <v>30-4118-018-550</v>
      </c>
      <c r="I3035" t="str">
        <f>VLOOKUP(record[[#This Row],[ProcessSN]],表格2_7[],3,FALSE)</f>
        <v>#100OQC</v>
      </c>
      <c r="J3035" t="s">
        <v>599</v>
      </c>
      <c r="K3035" s="195">
        <v>46104.771689814814</v>
      </c>
      <c r="L3035">
        <v>288</v>
      </c>
      <c r="M3035">
        <v>0</v>
      </c>
      <c r="N3035" s="98" t="str">
        <f>IF(record[[#This Row],[Memo]]="Browser:chrome os:android","平板報工",IF(record[[#This Row],[Memo]]=0,"委外",record[[#This Row],[Memo]]))</f>
        <v/>
      </c>
      <c r="O3035" t="s">
        <v>58</v>
      </c>
      <c r="P3035" t="s">
        <v>121</v>
      </c>
      <c r="Q3035" t="s">
        <v>58</v>
      </c>
      <c r="R3035" t="str">
        <f>IFERROR(VLOOKUP(record[[#This Row],[PCUSTID]],廠商[],2,FALSE),"")</f>
        <v/>
      </c>
      <c r="S3035" t="str">
        <f>VLOOKUP(record[[#This Row],[employeeID]],員工[],2,FALSE)</f>
        <v>謝素卿</v>
      </c>
    </row>
    <row r="3036" spans="6:19" hidden="1" x14ac:dyDescent="0.25">
      <c r="F3036" t="s">
        <v>1655</v>
      </c>
      <c r="G3036" t="s">
        <v>464</v>
      </c>
      <c r="H3036" t="str">
        <f>VLOOKUP(record[[#This Row],[ProcessSN]],表格2_7[],2,FALSE)</f>
        <v>30-4118-018-XXX</v>
      </c>
      <c r="I3036" t="str">
        <f>VLOOKUP(record[[#This Row],[ProcessSN]],表格2_7[],3,FALSE)</f>
        <v>#01GIVE</v>
      </c>
      <c r="J3036" t="s">
        <v>587</v>
      </c>
      <c r="K3036" s="195">
        <v>46104.738703703704</v>
      </c>
      <c r="L3036">
        <v>5000</v>
      </c>
      <c r="M3036">
        <v>0</v>
      </c>
      <c r="N3036" s="98" t="str">
        <f>IF(record[[#This Row],[Memo]]="Browser:chrome os:android","平板報工",IF(record[[#This Row],[Memo]]=0,"委外",record[[#This Row],[Memo]]))</f>
        <v/>
      </c>
      <c r="O3036" t="s">
        <v>58</v>
      </c>
      <c r="P3036" t="s">
        <v>1070</v>
      </c>
      <c r="Q3036" t="s">
        <v>58</v>
      </c>
      <c r="R3036" t="str">
        <f>IFERROR(VLOOKUP(record[[#This Row],[PCUSTID]],廠商[],2,FALSE),"")</f>
        <v/>
      </c>
      <c r="S3036" t="str">
        <f>VLOOKUP(record[[#This Row],[employeeID]],員工[],2,FALSE)</f>
        <v>陳昱佑</v>
      </c>
    </row>
    <row r="3037" spans="6:19" hidden="1" x14ac:dyDescent="0.25">
      <c r="F3037" t="s">
        <v>1646</v>
      </c>
      <c r="G3037" t="s">
        <v>358</v>
      </c>
      <c r="H3037" t="str">
        <f>VLOOKUP(record[[#This Row],[ProcessSN]],表格2_7[],2,FALSE)</f>
        <v>30-4118-018-450</v>
      </c>
      <c r="I3037" t="str">
        <f>VLOOKUP(record[[#This Row],[ProcessSN]],表格2_7[],3,FALSE)</f>
        <v>#08IQC</v>
      </c>
      <c r="J3037" t="s">
        <v>583</v>
      </c>
      <c r="K3037" s="195">
        <v>46104.716817129629</v>
      </c>
      <c r="L3037">
        <v>269</v>
      </c>
      <c r="M3037">
        <v>0</v>
      </c>
      <c r="N3037" s="98" t="str">
        <f>IF(record[[#This Row],[Memo]]="Browser:chrome os:android","平板報工",IF(record[[#This Row],[Memo]]=0,"委外",record[[#This Row],[Memo]]))</f>
        <v/>
      </c>
      <c r="O3037" t="s">
        <v>58</v>
      </c>
      <c r="P3037" t="s">
        <v>109</v>
      </c>
      <c r="Q3037" t="s">
        <v>58</v>
      </c>
      <c r="R3037" t="str">
        <f>IFERROR(VLOOKUP(record[[#This Row],[PCUSTID]],廠商[],2,FALSE),"")</f>
        <v/>
      </c>
      <c r="S3037" t="str">
        <f>VLOOKUP(record[[#This Row],[employeeID]],員工[],2,FALSE)</f>
        <v>裴氏璧鳳</v>
      </c>
    </row>
    <row r="3038" spans="6:19" hidden="1" x14ac:dyDescent="0.25">
      <c r="F3038" t="s">
        <v>1602</v>
      </c>
      <c r="G3038" t="s">
        <v>470</v>
      </c>
      <c r="H3038" t="str">
        <f>VLOOKUP(record[[#This Row],[ProcessSN]],表格2_7[],2,FALSE)</f>
        <v>30-4118-018-XXX</v>
      </c>
      <c r="I3038" t="str">
        <f>VLOOKUP(record[[#This Row],[ProcessSN]],表格2_7[],3,FALSE)</f>
        <v>#02IQC</v>
      </c>
      <c r="J3038" t="s">
        <v>583</v>
      </c>
      <c r="K3038" s="195">
        <v>46104.713437500002</v>
      </c>
      <c r="L3038">
        <v>1807</v>
      </c>
      <c r="M3038">
        <v>0</v>
      </c>
      <c r="N3038" s="98" t="str">
        <f>IF(record[[#This Row],[Memo]]="Browser:chrome os:android","平板報工",IF(record[[#This Row],[Memo]]=0,"委外",record[[#This Row],[Memo]]))</f>
        <v/>
      </c>
      <c r="O3038" t="s">
        <v>58</v>
      </c>
      <c r="P3038" t="s">
        <v>109</v>
      </c>
      <c r="Q3038" t="s">
        <v>58</v>
      </c>
      <c r="R3038" t="str">
        <f>IFERROR(VLOOKUP(record[[#This Row],[PCUSTID]],廠商[],2,FALSE),"")</f>
        <v/>
      </c>
      <c r="S3038" t="str">
        <f>VLOOKUP(record[[#This Row],[employeeID]],員工[],2,FALSE)</f>
        <v>裴氏璧鳳</v>
      </c>
    </row>
    <row r="3039" spans="6:19" hidden="1" x14ac:dyDescent="0.25">
      <c r="F3039" t="s">
        <v>1569</v>
      </c>
      <c r="G3039" t="s">
        <v>451</v>
      </c>
      <c r="H3039" t="str">
        <f>VLOOKUP(record[[#This Row],[ProcessSN]],表格2_7[],2,FALSE)</f>
        <v>30-4118-018-6XX</v>
      </c>
      <c r="I3039" t="str">
        <f>VLOOKUP(record[[#This Row],[ProcessSN]],表格2_7[],3,FALSE)</f>
        <v>#07</v>
      </c>
      <c r="J3039" t="s">
        <v>588</v>
      </c>
      <c r="K3039" s="195">
        <v>46104.675636574073</v>
      </c>
      <c r="L3039">
        <v>86</v>
      </c>
      <c r="M3039">
        <v>0</v>
      </c>
      <c r="N3039" s="98" t="str">
        <f>IF(record[[#This Row],[Memo]]="Browser:chrome os:android","平板報工",IF(record[[#This Row],[Memo]]=0,"委外",record[[#This Row],[Memo]]))</f>
        <v/>
      </c>
      <c r="O3039" t="s">
        <v>58</v>
      </c>
      <c r="P3039" t="s">
        <v>145</v>
      </c>
      <c r="Q3039" t="s">
        <v>58</v>
      </c>
      <c r="R3039" t="str">
        <f>IFERROR(VLOOKUP(record[[#This Row],[PCUSTID]],廠商[],2,FALSE),"")</f>
        <v/>
      </c>
      <c r="S3039" t="str">
        <f>VLOOKUP(record[[#This Row],[employeeID]],員工[],2,FALSE)</f>
        <v>阮秋霞</v>
      </c>
    </row>
    <row r="3040" spans="6:19" hidden="1" x14ac:dyDescent="0.25">
      <c r="F3040" t="s">
        <v>1647</v>
      </c>
      <c r="G3040" t="s">
        <v>398</v>
      </c>
      <c r="H3040" t="str">
        <f>VLOOKUP(record[[#This Row],[ProcessSN]],表格2_7[],2,FALSE)</f>
        <v>30-4118-018-550</v>
      </c>
      <c r="I3040" t="str">
        <f>VLOOKUP(record[[#This Row],[ProcessSN]],表格2_7[],3,FALSE)</f>
        <v>#08RCV</v>
      </c>
      <c r="J3040" t="s">
        <v>591</v>
      </c>
      <c r="K3040" s="195">
        <v>46104.660486111112</v>
      </c>
      <c r="L3040">
        <v>26</v>
      </c>
      <c r="M3040">
        <v>0</v>
      </c>
      <c r="N3040" s="98" t="str">
        <f>IF(record[[#This Row],[Memo]]="Browser:chrome os:android","平板報工",IF(record[[#This Row],[Memo]]=0,"委外",record[[#This Row],[Memo]]))</f>
        <v>補3/20單</v>
      </c>
      <c r="O3040" t="s">
        <v>1663</v>
      </c>
      <c r="P3040" t="s">
        <v>186</v>
      </c>
      <c r="Q3040" t="s">
        <v>58</v>
      </c>
      <c r="R3040" t="str">
        <f>IFERROR(VLOOKUP(record[[#This Row],[PCUSTID]],廠商[],2,FALSE),"")</f>
        <v/>
      </c>
      <c r="S3040" t="str">
        <f>VLOOKUP(record[[#This Row],[employeeID]],員工[],2,FALSE)</f>
        <v>許文姍</v>
      </c>
    </row>
    <row r="3041" spans="6:19" hidden="1" x14ac:dyDescent="0.25">
      <c r="F3041" t="s">
        <v>1647</v>
      </c>
      <c r="G3041" t="s">
        <v>400</v>
      </c>
      <c r="H3041" t="str">
        <f>VLOOKUP(record[[#This Row],[ProcessSN]],表格2_7[],2,FALSE)</f>
        <v>30-4118-018-550</v>
      </c>
      <c r="I3041" t="str">
        <f>VLOOKUP(record[[#This Row],[ProcessSN]],表格2_7[],3,FALSE)</f>
        <v>#100</v>
      </c>
      <c r="J3041" t="s">
        <v>598</v>
      </c>
      <c r="K3041" s="195">
        <v>46104.654861111114</v>
      </c>
      <c r="L3041">
        <v>132</v>
      </c>
      <c r="M3041">
        <v>0</v>
      </c>
      <c r="N3041" s="98" t="str">
        <f>IF(record[[#This Row],[Memo]]="Browser:chrome os:android","平板報工",IF(record[[#This Row],[Memo]]=0,"委外",record[[#This Row],[Memo]]))</f>
        <v/>
      </c>
      <c r="O3041" t="s">
        <v>58</v>
      </c>
      <c r="P3041" t="s">
        <v>99</v>
      </c>
      <c r="Q3041" t="s">
        <v>58</v>
      </c>
      <c r="R3041" t="str">
        <f>IFERROR(VLOOKUP(record[[#This Row],[PCUSTID]],廠商[],2,FALSE),"")</f>
        <v/>
      </c>
      <c r="S3041" t="str">
        <f>VLOOKUP(record[[#This Row],[employeeID]],員工[],2,FALSE)</f>
        <v>阮氏河</v>
      </c>
    </row>
    <row r="3042" spans="6:19" hidden="1" x14ac:dyDescent="0.25">
      <c r="F3042" t="s">
        <v>1653</v>
      </c>
      <c r="G3042" t="s">
        <v>414</v>
      </c>
      <c r="H3042" t="str">
        <f>VLOOKUP(record[[#This Row],[ProcessSN]],表格2_7[],2,FALSE)</f>
        <v>30-4118-018-5XX</v>
      </c>
      <c r="I3042" t="str">
        <f>VLOOKUP(record[[#This Row],[ProcessSN]],表格2_7[],3,FALSE)</f>
        <v>#03</v>
      </c>
      <c r="J3042" t="s">
        <v>588</v>
      </c>
      <c r="K3042" s="195">
        <v>46104.654432870368</v>
      </c>
      <c r="L3042">
        <v>552</v>
      </c>
      <c r="M3042">
        <v>1</v>
      </c>
      <c r="N3042" s="98" t="str">
        <f>IF(record[[#This Row],[Memo]]="Browser:chrome os:android","平板報工",IF(record[[#This Row],[Memo]]=0,"委外",record[[#This Row],[Memo]]))</f>
        <v>平板報工</v>
      </c>
      <c r="O3042" t="s">
        <v>643</v>
      </c>
      <c r="P3042" t="s">
        <v>145</v>
      </c>
      <c r="Q3042" t="s">
        <v>644</v>
      </c>
      <c r="R3042" t="str">
        <f>IFERROR(VLOOKUP(record[[#This Row],[PCUSTID]],廠商[],2,FALSE),"")</f>
        <v/>
      </c>
      <c r="S3042" t="str">
        <f>VLOOKUP(record[[#This Row],[employeeID]],員工[],2,FALSE)</f>
        <v>阮秋霞</v>
      </c>
    </row>
    <row r="3043" spans="6:19" hidden="1" x14ac:dyDescent="0.25">
      <c r="F3043" t="s">
        <v>1589</v>
      </c>
      <c r="G3043" t="s">
        <v>417</v>
      </c>
      <c r="H3043" t="str">
        <f>VLOOKUP(record[[#This Row],[ProcessSN]],表格2_7[],2,FALSE)</f>
        <v>30-4118-018-5XX</v>
      </c>
      <c r="I3043" t="str">
        <f>VLOOKUP(record[[#This Row],[ProcessSN]],表格2_7[],3,FALSE)</f>
        <v>#06</v>
      </c>
      <c r="J3043" t="s">
        <v>593</v>
      </c>
      <c r="K3043" s="195">
        <v>46104.652708333335</v>
      </c>
      <c r="L3043">
        <v>99</v>
      </c>
      <c r="M3043">
        <v>0</v>
      </c>
      <c r="N3043" s="98" t="str">
        <f>IF(record[[#This Row],[Memo]]="Browser:chrome os:android","平板報工",IF(record[[#This Row],[Memo]]=0,"委外",record[[#This Row],[Memo]]))</f>
        <v>平板報工</v>
      </c>
      <c r="O3043" t="s">
        <v>643</v>
      </c>
      <c r="P3043" t="s">
        <v>1413</v>
      </c>
      <c r="Q3043" t="s">
        <v>644</v>
      </c>
      <c r="R3043" t="str">
        <f>IFERROR(VLOOKUP(record[[#This Row],[PCUSTID]],廠商[],2,FALSE),"")</f>
        <v/>
      </c>
      <c r="S3043" t="str">
        <f>VLOOKUP(record[[#This Row],[employeeID]],員工[],2,FALSE)</f>
        <v>阮氏芳英(芳)</v>
      </c>
    </row>
    <row r="3044" spans="6:19" hidden="1" x14ac:dyDescent="0.25">
      <c r="F3044" t="s">
        <v>1653</v>
      </c>
      <c r="G3044" t="s">
        <v>415</v>
      </c>
      <c r="H3044" t="str">
        <f>VLOOKUP(record[[#This Row],[ProcessSN]],表格2_7[],2,FALSE)</f>
        <v>30-4118-018-5XX</v>
      </c>
      <c r="I3044" t="str">
        <f>VLOOKUP(record[[#This Row],[ProcessSN]],表格2_7[],3,FALSE)</f>
        <v>#04</v>
      </c>
      <c r="J3044" t="s">
        <v>588</v>
      </c>
      <c r="K3044" s="195">
        <v>46104.649837962963</v>
      </c>
      <c r="L3044">
        <v>120</v>
      </c>
      <c r="M3044">
        <v>0</v>
      </c>
      <c r="N3044" s="98" t="str">
        <f>IF(record[[#This Row],[Memo]]="Browser:chrome os:android","平板報工",IF(record[[#This Row],[Memo]]=0,"委外",record[[#This Row],[Memo]]))</f>
        <v>平板報工</v>
      </c>
      <c r="O3044" t="s">
        <v>643</v>
      </c>
      <c r="P3044" t="s">
        <v>107</v>
      </c>
      <c r="Q3044" t="s">
        <v>644</v>
      </c>
      <c r="R3044" t="str">
        <f>IFERROR(VLOOKUP(record[[#This Row],[PCUSTID]],廠商[],2,FALSE),"")</f>
        <v/>
      </c>
      <c r="S3044" t="str">
        <f>VLOOKUP(record[[#This Row],[employeeID]],員工[],2,FALSE)</f>
        <v>黎氏順</v>
      </c>
    </row>
    <row r="3045" spans="6:19" hidden="1" x14ac:dyDescent="0.25">
      <c r="F3045" t="s">
        <v>1587</v>
      </c>
      <c r="G3045" t="s">
        <v>375</v>
      </c>
      <c r="H3045" t="str">
        <f>VLOOKUP(record[[#This Row],[ProcessSN]],表格2_7[],2,FALSE)</f>
        <v>30-4118-018-4XX</v>
      </c>
      <c r="I3045" t="str">
        <f>VLOOKUP(record[[#This Row],[ProcessSN]],表格2_7[],3,FALSE)</f>
        <v>#05</v>
      </c>
      <c r="J3045" t="s">
        <v>588</v>
      </c>
      <c r="K3045" s="195">
        <v>46104.644479166665</v>
      </c>
      <c r="L3045">
        <v>200</v>
      </c>
      <c r="M3045">
        <v>0</v>
      </c>
      <c r="N3045" s="98" t="str">
        <f>IF(record[[#This Row],[Memo]]="Browser:chrome os:android","平板報工",IF(record[[#This Row],[Memo]]=0,"委外",record[[#This Row],[Memo]]))</f>
        <v>平板報工</v>
      </c>
      <c r="O3045" t="s">
        <v>643</v>
      </c>
      <c r="P3045" t="s">
        <v>107</v>
      </c>
      <c r="Q3045" t="s">
        <v>644</v>
      </c>
      <c r="R3045" t="str">
        <f>IFERROR(VLOOKUP(record[[#This Row],[PCUSTID]],廠商[],2,FALSE),"")</f>
        <v/>
      </c>
      <c r="S3045" t="str">
        <f>VLOOKUP(record[[#This Row],[employeeID]],員工[],2,FALSE)</f>
        <v>黎氏順</v>
      </c>
    </row>
    <row r="3046" spans="6:19" hidden="1" x14ac:dyDescent="0.25">
      <c r="F3046" t="s">
        <v>1646</v>
      </c>
      <c r="G3046" t="s">
        <v>357</v>
      </c>
      <c r="H3046" t="str">
        <f>VLOOKUP(record[[#This Row],[ProcessSN]],表格2_7[],2,FALSE)</f>
        <v>30-4118-018-450</v>
      </c>
      <c r="I3046" t="str">
        <f>VLOOKUP(record[[#This Row],[ProcessSN]],表格2_7[],3,FALSE)</f>
        <v>#08RCV</v>
      </c>
      <c r="J3046" t="s">
        <v>591</v>
      </c>
      <c r="K3046" s="195">
        <v>46104.641631944447</v>
      </c>
      <c r="L3046">
        <v>269</v>
      </c>
      <c r="M3046">
        <v>0</v>
      </c>
      <c r="N3046" s="98" t="str">
        <f>IF(record[[#This Row],[Memo]]="Browser:chrome os:android","平板報工",IF(record[[#This Row],[Memo]]=0,"委外",record[[#This Row],[Memo]]))</f>
        <v/>
      </c>
      <c r="O3046" t="s">
        <v>58</v>
      </c>
      <c r="P3046" t="s">
        <v>186</v>
      </c>
      <c r="Q3046" t="s">
        <v>58</v>
      </c>
      <c r="R3046" t="str">
        <f>IFERROR(VLOOKUP(record[[#This Row],[PCUSTID]],廠商[],2,FALSE),"")</f>
        <v/>
      </c>
      <c r="S3046" t="str">
        <f>VLOOKUP(record[[#This Row],[employeeID]],員工[],2,FALSE)</f>
        <v>許文姍</v>
      </c>
    </row>
    <row r="3047" spans="6:19" hidden="1" x14ac:dyDescent="0.25">
      <c r="F3047" t="s">
        <v>1647</v>
      </c>
      <c r="G3047" t="s">
        <v>400</v>
      </c>
      <c r="H3047" t="str">
        <f>VLOOKUP(record[[#This Row],[ProcessSN]],表格2_7[],2,FALSE)</f>
        <v>30-4118-018-550</v>
      </c>
      <c r="I3047" t="str">
        <f>VLOOKUP(record[[#This Row],[ProcessSN]],表格2_7[],3,FALSE)</f>
        <v>#100</v>
      </c>
      <c r="J3047" t="s">
        <v>598</v>
      </c>
      <c r="K3047" s="195">
        <v>46104.640370370369</v>
      </c>
      <c r="L3047">
        <v>0</v>
      </c>
      <c r="M3047">
        <v>18</v>
      </c>
      <c r="N3047" s="98" t="str">
        <f>IF(record[[#This Row],[Memo]]="Browser:chrome os:android","平板報工",IF(record[[#This Row],[Memo]]=0,"委外",record[[#This Row],[Memo]]))</f>
        <v/>
      </c>
      <c r="O3047" t="s">
        <v>58</v>
      </c>
      <c r="P3047" t="s">
        <v>99</v>
      </c>
      <c r="Q3047" t="s">
        <v>58</v>
      </c>
      <c r="R3047" t="str">
        <f>IFERROR(VLOOKUP(record[[#This Row],[PCUSTID]],廠商[],2,FALSE),"")</f>
        <v/>
      </c>
      <c r="S3047" t="str">
        <f>VLOOKUP(record[[#This Row],[employeeID]],員工[],2,FALSE)</f>
        <v>阮氏河</v>
      </c>
    </row>
    <row r="3048" spans="6:19" hidden="1" x14ac:dyDescent="0.25">
      <c r="F3048" t="s">
        <v>1660</v>
      </c>
      <c r="G3048" t="s">
        <v>397</v>
      </c>
      <c r="H3048" t="str">
        <f>VLOOKUP(record[[#This Row],[ProcessSN]],表格2_7[],2,FALSE)</f>
        <v>30-4118-018-550</v>
      </c>
      <c r="I3048" t="str">
        <f>VLOOKUP(record[[#This Row],[ProcessSN]],表格2_7[],3,FALSE)</f>
        <v>#08</v>
      </c>
      <c r="J3048" t="s">
        <v>597</v>
      </c>
      <c r="K3048" s="195">
        <v>46104.617465277777</v>
      </c>
      <c r="L3048">
        <v>419</v>
      </c>
      <c r="M3048">
        <v>0</v>
      </c>
      <c r="N3048" s="98" t="str">
        <f>IF(record[[#This Row],[Memo]]="Browser:chrome os:android","平板報工",IF(record[[#This Row],[Memo]]=0,"委外",record[[#This Row],[Memo]]))</f>
        <v>委外</v>
      </c>
      <c r="P3048" t="s">
        <v>186</v>
      </c>
      <c r="Q3048" t="s">
        <v>287</v>
      </c>
      <c r="R3048" t="str">
        <f>IFERROR(VLOOKUP(record[[#This Row],[PCUSTID]],廠商[],2,FALSE),"")</f>
        <v>泉盛</v>
      </c>
      <c r="S3048" t="str">
        <f>VLOOKUP(record[[#This Row],[employeeID]],員工[],2,FALSE)</f>
        <v>許文姍</v>
      </c>
    </row>
    <row r="3049" spans="6:19" hidden="1" x14ac:dyDescent="0.25">
      <c r="F3049" t="s">
        <v>1589</v>
      </c>
      <c r="G3049" t="s">
        <v>418</v>
      </c>
      <c r="H3049" t="str">
        <f>VLOOKUP(record[[#This Row],[ProcessSN]],表格2_7[],2,FALSE)</f>
        <v>30-4118-018-5XX</v>
      </c>
      <c r="I3049" t="str">
        <f>VLOOKUP(record[[#This Row],[ProcessSN]],表格2_7[],3,FALSE)</f>
        <v>#07</v>
      </c>
      <c r="J3049" t="s">
        <v>588</v>
      </c>
      <c r="K3049" s="195">
        <v>46104.609664351854</v>
      </c>
      <c r="L3049">
        <v>13</v>
      </c>
      <c r="M3049">
        <v>0</v>
      </c>
      <c r="N3049" s="98" t="str">
        <f>IF(record[[#This Row],[Memo]]="Browser:chrome os:android","平板報工",IF(record[[#This Row],[Memo]]=0,"委外",record[[#This Row],[Memo]]))</f>
        <v>3/23幫忙協助補報工，檢包有料沒帳</v>
      </c>
      <c r="O3049" t="s">
        <v>1662</v>
      </c>
      <c r="P3049" t="s">
        <v>1075</v>
      </c>
      <c r="Q3049" t="s">
        <v>58</v>
      </c>
      <c r="R3049" t="str">
        <f>IFERROR(VLOOKUP(record[[#This Row],[PCUSTID]],廠商[],2,FALSE),"")</f>
        <v/>
      </c>
      <c r="S3049" t="str">
        <f>VLOOKUP(record[[#This Row],[employeeID]],員工[],2,FALSE)</f>
        <v>吳宥叡</v>
      </c>
    </row>
    <row r="3050" spans="6:19" hidden="1" x14ac:dyDescent="0.25">
      <c r="F3050" t="s">
        <v>1589</v>
      </c>
      <c r="G3050" t="s">
        <v>420</v>
      </c>
      <c r="H3050" t="str">
        <f>VLOOKUP(record[[#This Row],[ProcessSN]],表格2_7[],2,FALSE)</f>
        <v>30-4118-018-5XX</v>
      </c>
      <c r="I3050" t="str">
        <f>VLOOKUP(record[[#This Row],[ProcessSN]],表格2_7[],3,FALSE)</f>
        <v>#07STOCK</v>
      </c>
      <c r="J3050" t="s">
        <v>592</v>
      </c>
      <c r="K3050" s="195">
        <v>46104.602719907409</v>
      </c>
      <c r="L3050">
        <v>419</v>
      </c>
      <c r="M3050">
        <v>0</v>
      </c>
      <c r="N3050" s="98" t="str">
        <f>IF(record[[#This Row],[Memo]]="Browser:chrome os:android","平板報工",IF(record[[#This Row],[Memo]]=0,"委外",record[[#This Row],[Memo]]))</f>
        <v/>
      </c>
      <c r="O3050" t="s">
        <v>58</v>
      </c>
      <c r="P3050" t="s">
        <v>186</v>
      </c>
      <c r="Q3050" t="s">
        <v>58</v>
      </c>
      <c r="R3050" t="str">
        <f>IFERROR(VLOOKUP(record[[#This Row],[PCUSTID]],廠商[],2,FALSE),"")</f>
        <v/>
      </c>
      <c r="S3050" t="str">
        <f>VLOOKUP(record[[#This Row],[employeeID]],員工[],2,FALSE)</f>
        <v>許文姍</v>
      </c>
    </row>
    <row r="3051" spans="6:19" hidden="1" x14ac:dyDescent="0.25">
      <c r="F3051" t="s">
        <v>1660</v>
      </c>
      <c r="G3051" t="s">
        <v>396</v>
      </c>
      <c r="H3051" t="str">
        <f>VLOOKUP(record[[#This Row],[ProcessSN]],表格2_7[],2,FALSE)</f>
        <v>30-4118-018-550</v>
      </c>
      <c r="I3051" t="str">
        <f>VLOOKUP(record[[#This Row],[ProcessSN]],表格2_7[],3,FALSE)</f>
        <v>#08PICK</v>
      </c>
      <c r="J3051" t="s">
        <v>582</v>
      </c>
      <c r="K3051" s="195">
        <v>46104.601979166669</v>
      </c>
      <c r="L3051">
        <v>419</v>
      </c>
      <c r="M3051">
        <v>0</v>
      </c>
      <c r="N3051" s="98" t="str">
        <f>IF(record[[#This Row],[Memo]]="Browser:chrome os:android","平板報工",IF(record[[#This Row],[Memo]]=0,"委外",record[[#This Row],[Memo]]))</f>
        <v/>
      </c>
      <c r="O3051" t="s">
        <v>58</v>
      </c>
      <c r="P3051" t="s">
        <v>186</v>
      </c>
      <c r="Q3051" t="s">
        <v>58</v>
      </c>
      <c r="R3051" t="str">
        <f>IFERROR(VLOOKUP(record[[#This Row],[PCUSTID]],廠商[],2,FALSE),"")</f>
        <v/>
      </c>
      <c r="S3051" t="str">
        <f>VLOOKUP(record[[#This Row],[employeeID]],員工[],2,FALSE)</f>
        <v>許文姍</v>
      </c>
    </row>
    <row r="3052" spans="6:19" hidden="1" x14ac:dyDescent="0.25">
      <c r="F3052" t="s">
        <v>1589</v>
      </c>
      <c r="G3052" t="s">
        <v>419</v>
      </c>
      <c r="H3052" t="str">
        <f>VLOOKUP(record[[#This Row],[ProcessSN]],表格2_7[],2,FALSE)</f>
        <v>30-4118-018-5XX</v>
      </c>
      <c r="I3052" t="str">
        <f>VLOOKUP(record[[#This Row],[ProcessSN]],表格2_7[],3,FALSE)</f>
        <v>#07QC</v>
      </c>
      <c r="J3052" t="s">
        <v>589</v>
      </c>
      <c r="K3052" s="195">
        <v>46104.594618055555</v>
      </c>
      <c r="L3052">
        <v>419</v>
      </c>
      <c r="M3052">
        <v>0</v>
      </c>
      <c r="N3052" s="98" t="str">
        <f>IF(record[[#This Row],[Memo]]="Browser:chrome os:android","平板報工",IF(record[[#This Row],[Memo]]=0,"委外",record[[#This Row],[Memo]]))</f>
        <v/>
      </c>
      <c r="O3052" t="s">
        <v>58</v>
      </c>
      <c r="P3052" t="s">
        <v>141</v>
      </c>
      <c r="Q3052" t="s">
        <v>58</v>
      </c>
      <c r="R3052" t="str">
        <f>IFERROR(VLOOKUP(record[[#This Row],[PCUSTID]],廠商[],2,FALSE),"")</f>
        <v/>
      </c>
      <c r="S3052" t="str">
        <f>VLOOKUP(record[[#This Row],[employeeID]],員工[],2,FALSE)</f>
        <v>蔣梅</v>
      </c>
    </row>
    <row r="3053" spans="6:19" hidden="1" x14ac:dyDescent="0.25">
      <c r="F3053" t="s">
        <v>1540</v>
      </c>
      <c r="G3053" t="s">
        <v>420</v>
      </c>
      <c r="H3053" t="str">
        <f>VLOOKUP(record[[#This Row],[ProcessSN]],表格2_7[],2,FALSE)</f>
        <v>30-4118-018-5XX</v>
      </c>
      <c r="I3053" t="str">
        <f>VLOOKUP(record[[#This Row],[ProcessSN]],表格2_7[],3,FALSE)</f>
        <v>#07STOCK</v>
      </c>
      <c r="J3053" t="s">
        <v>592</v>
      </c>
      <c r="K3053" s="195">
        <v>46104.589675925927</v>
      </c>
      <c r="L3053">
        <v>23</v>
      </c>
      <c r="M3053">
        <v>0</v>
      </c>
      <c r="N3053" s="98" t="str">
        <f>IF(record[[#This Row],[Memo]]="Browser:chrome os:android","平板報工",IF(record[[#This Row],[Memo]]=0,"委外",record[[#This Row],[Memo]]))</f>
        <v/>
      </c>
      <c r="O3053" t="s">
        <v>58</v>
      </c>
      <c r="P3053" t="s">
        <v>186</v>
      </c>
      <c r="Q3053" t="s">
        <v>58</v>
      </c>
      <c r="R3053" t="str">
        <f>IFERROR(VLOOKUP(record[[#This Row],[PCUSTID]],廠商[],2,FALSE),"")</f>
        <v/>
      </c>
      <c r="S3053" t="str">
        <f>VLOOKUP(record[[#This Row],[employeeID]],員工[],2,FALSE)</f>
        <v>許文姍</v>
      </c>
    </row>
    <row r="3054" spans="6:19" hidden="1" x14ac:dyDescent="0.25">
      <c r="F3054" t="s">
        <v>1589</v>
      </c>
      <c r="G3054" t="s">
        <v>420</v>
      </c>
      <c r="H3054" t="str">
        <f>VLOOKUP(record[[#This Row],[ProcessSN]],表格2_7[],2,FALSE)</f>
        <v>30-4118-018-5XX</v>
      </c>
      <c r="I3054" t="str">
        <f>VLOOKUP(record[[#This Row],[ProcessSN]],表格2_7[],3,FALSE)</f>
        <v>#07STOCK</v>
      </c>
      <c r="J3054" t="s">
        <v>592</v>
      </c>
      <c r="K3054" s="195">
        <v>46104.589502314811</v>
      </c>
      <c r="L3054">
        <v>860</v>
      </c>
      <c r="M3054">
        <v>0</v>
      </c>
      <c r="N3054" s="98" t="str">
        <f>IF(record[[#This Row],[Memo]]="Browser:chrome os:android","平板報工",IF(record[[#This Row],[Memo]]=0,"委外",record[[#This Row],[Memo]]))</f>
        <v/>
      </c>
      <c r="O3054" t="s">
        <v>58</v>
      </c>
      <c r="P3054" t="s">
        <v>186</v>
      </c>
      <c r="Q3054" t="s">
        <v>58</v>
      </c>
      <c r="R3054" t="str">
        <f>IFERROR(VLOOKUP(record[[#This Row],[PCUSTID]],廠商[],2,FALSE),"")</f>
        <v/>
      </c>
      <c r="S3054" t="str">
        <f>VLOOKUP(record[[#This Row],[employeeID]],員工[],2,FALSE)</f>
        <v>許文姍</v>
      </c>
    </row>
    <row r="3055" spans="6:19" hidden="1" x14ac:dyDescent="0.25">
      <c r="F3055" t="s">
        <v>1600</v>
      </c>
      <c r="G3055" t="s">
        <v>428</v>
      </c>
      <c r="H3055" t="str">
        <f>VLOOKUP(record[[#This Row],[ProcessSN]],表格2_7[],2,FALSE)</f>
        <v>30-4118-018-600</v>
      </c>
      <c r="I3055" t="str">
        <f>VLOOKUP(record[[#This Row],[ProcessSN]],表格2_7[],3,FALSE)</f>
        <v>#100SHIP</v>
      </c>
      <c r="J3055" t="s">
        <v>600</v>
      </c>
      <c r="K3055" s="195">
        <v>46104.585162037038</v>
      </c>
      <c r="L3055">
        <v>101</v>
      </c>
      <c r="M3055">
        <v>0</v>
      </c>
      <c r="N3055" s="98" t="str">
        <f>IF(record[[#This Row],[Memo]]="Browser:chrome os:android","平板報工",IF(record[[#This Row],[Memo]]=0,"委外",record[[#This Row],[Memo]]))</f>
        <v/>
      </c>
      <c r="O3055" t="s">
        <v>58</v>
      </c>
      <c r="P3055" t="s">
        <v>886</v>
      </c>
      <c r="Q3055" t="s">
        <v>58</v>
      </c>
      <c r="R3055" t="str">
        <f>IFERROR(VLOOKUP(record[[#This Row],[PCUSTID]],廠商[],2,FALSE),"")</f>
        <v/>
      </c>
      <c r="S3055" t="str">
        <f>VLOOKUP(record[[#This Row],[employeeID]],員工[],2,FALSE)</f>
        <v>謝蓁薰</v>
      </c>
    </row>
    <row r="3056" spans="6:19" hidden="1" x14ac:dyDescent="0.25">
      <c r="F3056" t="s">
        <v>1596</v>
      </c>
      <c r="G3056" t="s">
        <v>428</v>
      </c>
      <c r="H3056" t="str">
        <f>VLOOKUP(record[[#This Row],[ProcessSN]],表格2_7[],2,FALSE)</f>
        <v>30-4118-018-600</v>
      </c>
      <c r="I3056" t="str">
        <f>VLOOKUP(record[[#This Row],[ProcessSN]],表格2_7[],3,FALSE)</f>
        <v>#100SHIP</v>
      </c>
      <c r="J3056" t="s">
        <v>600</v>
      </c>
      <c r="K3056" s="195">
        <v>46104.584999999999</v>
      </c>
      <c r="L3056">
        <v>101</v>
      </c>
      <c r="M3056">
        <v>0</v>
      </c>
      <c r="N3056" s="98" t="str">
        <f>IF(record[[#This Row],[Memo]]="Browser:chrome os:android","平板報工",IF(record[[#This Row],[Memo]]=0,"委外",record[[#This Row],[Memo]]))</f>
        <v/>
      </c>
      <c r="O3056" t="s">
        <v>58</v>
      </c>
      <c r="P3056" t="s">
        <v>886</v>
      </c>
      <c r="Q3056" t="s">
        <v>58</v>
      </c>
      <c r="R3056" t="str">
        <f>IFERROR(VLOOKUP(record[[#This Row],[PCUSTID]],廠商[],2,FALSE),"")</f>
        <v/>
      </c>
      <c r="S3056" t="str">
        <f>VLOOKUP(record[[#This Row],[employeeID]],員工[],2,FALSE)</f>
        <v>謝蓁薰</v>
      </c>
    </row>
    <row r="3057" spans="6:19" hidden="1" x14ac:dyDescent="0.25">
      <c r="F3057" t="s">
        <v>1600</v>
      </c>
      <c r="G3057" t="s">
        <v>427</v>
      </c>
      <c r="H3057" t="str">
        <f>VLOOKUP(record[[#This Row],[ProcessSN]],表格2_7[],2,FALSE)</f>
        <v>30-4118-018-600</v>
      </c>
      <c r="I3057" t="str">
        <f>VLOOKUP(record[[#This Row],[ProcessSN]],表格2_7[],3,FALSE)</f>
        <v>#100STOCK</v>
      </c>
      <c r="J3057" t="s">
        <v>592</v>
      </c>
      <c r="K3057" s="195">
        <v>46104.58489583333</v>
      </c>
      <c r="L3057">
        <v>183</v>
      </c>
      <c r="M3057">
        <v>0</v>
      </c>
      <c r="N3057" s="98" t="str">
        <f>IF(record[[#This Row],[Memo]]="Browser:chrome os:android","平板報工",IF(record[[#This Row],[Memo]]=0,"委外",record[[#This Row],[Memo]]))</f>
        <v/>
      </c>
      <c r="O3057" t="s">
        <v>58</v>
      </c>
      <c r="P3057" t="s">
        <v>886</v>
      </c>
      <c r="Q3057" t="s">
        <v>58</v>
      </c>
      <c r="R3057" t="str">
        <f>IFERROR(VLOOKUP(record[[#This Row],[PCUSTID]],廠商[],2,FALSE),"")</f>
        <v/>
      </c>
      <c r="S3057" t="str">
        <f>VLOOKUP(record[[#This Row],[employeeID]],員工[],2,FALSE)</f>
        <v>謝蓁薰</v>
      </c>
    </row>
    <row r="3058" spans="6:19" hidden="1" x14ac:dyDescent="0.25">
      <c r="F3058" t="s">
        <v>1596</v>
      </c>
      <c r="G3058" t="s">
        <v>427</v>
      </c>
      <c r="H3058" t="str">
        <f>VLOOKUP(record[[#This Row],[ProcessSN]],表格2_7[],2,FALSE)</f>
        <v>30-4118-018-600</v>
      </c>
      <c r="I3058" t="str">
        <f>VLOOKUP(record[[#This Row],[ProcessSN]],表格2_7[],3,FALSE)</f>
        <v>#100STOCK</v>
      </c>
      <c r="J3058" t="s">
        <v>592</v>
      </c>
      <c r="K3058" s="195">
        <v>46104.584756944445</v>
      </c>
      <c r="L3058">
        <v>101</v>
      </c>
      <c r="M3058">
        <v>0</v>
      </c>
      <c r="N3058" s="98" t="str">
        <f>IF(record[[#This Row],[Memo]]="Browser:chrome os:android","平板報工",IF(record[[#This Row],[Memo]]=0,"委外",record[[#This Row],[Memo]]))</f>
        <v/>
      </c>
      <c r="O3058" t="s">
        <v>58</v>
      </c>
      <c r="P3058" t="s">
        <v>886</v>
      </c>
      <c r="Q3058" t="s">
        <v>58</v>
      </c>
      <c r="R3058" t="str">
        <f>IFERROR(VLOOKUP(record[[#This Row],[PCUSTID]],廠商[],2,FALSE),"")</f>
        <v/>
      </c>
      <c r="S3058" t="str">
        <f>VLOOKUP(record[[#This Row],[employeeID]],員工[],2,FALSE)</f>
        <v>謝蓁薰</v>
      </c>
    </row>
    <row r="3059" spans="6:19" hidden="1" x14ac:dyDescent="0.25">
      <c r="F3059" t="s">
        <v>1593</v>
      </c>
      <c r="G3059" t="s">
        <v>428</v>
      </c>
      <c r="H3059" t="str">
        <f>VLOOKUP(record[[#This Row],[ProcessSN]],表格2_7[],2,FALSE)</f>
        <v>30-4118-018-600</v>
      </c>
      <c r="I3059" t="str">
        <f>VLOOKUP(record[[#This Row],[ProcessSN]],表格2_7[],3,FALSE)</f>
        <v>#100SHIP</v>
      </c>
      <c r="J3059" t="s">
        <v>600</v>
      </c>
      <c r="K3059" s="195">
        <v>46104.584560185183</v>
      </c>
      <c r="L3059">
        <v>70</v>
      </c>
      <c r="M3059">
        <v>0</v>
      </c>
      <c r="N3059" s="98" t="str">
        <f>IF(record[[#This Row],[Memo]]="Browser:chrome os:android","平板報工",IF(record[[#This Row],[Memo]]=0,"委外",record[[#This Row],[Memo]]))</f>
        <v/>
      </c>
      <c r="O3059" t="s">
        <v>58</v>
      </c>
      <c r="P3059" t="s">
        <v>886</v>
      </c>
      <c r="Q3059" t="s">
        <v>58</v>
      </c>
      <c r="R3059" t="str">
        <f>IFERROR(VLOOKUP(record[[#This Row],[PCUSTID]],廠商[],2,FALSE),"")</f>
        <v/>
      </c>
      <c r="S3059" t="str">
        <f>VLOOKUP(record[[#This Row],[employeeID]],員工[],2,FALSE)</f>
        <v>謝蓁薰</v>
      </c>
    </row>
    <row r="3060" spans="6:19" hidden="1" x14ac:dyDescent="0.25">
      <c r="F3060" t="s">
        <v>1593</v>
      </c>
      <c r="G3060" t="s">
        <v>428</v>
      </c>
      <c r="H3060" t="str">
        <f>VLOOKUP(record[[#This Row],[ProcessSN]],表格2_7[],2,FALSE)</f>
        <v>30-4118-018-600</v>
      </c>
      <c r="I3060" t="str">
        <f>VLOOKUP(record[[#This Row],[ProcessSN]],表格2_7[],3,FALSE)</f>
        <v>#100SHIP</v>
      </c>
      <c r="J3060" t="s">
        <v>600</v>
      </c>
      <c r="K3060" s="195">
        <v>46104.584386574075</v>
      </c>
      <c r="L3060">
        <v>22</v>
      </c>
      <c r="M3060">
        <v>0</v>
      </c>
      <c r="N3060" s="98" t="str">
        <f>IF(record[[#This Row],[Memo]]="Browser:chrome os:android","平板報工",IF(record[[#This Row],[Memo]]=0,"委外",record[[#This Row],[Memo]]))</f>
        <v/>
      </c>
      <c r="O3060" t="s">
        <v>58</v>
      </c>
      <c r="P3060" t="s">
        <v>886</v>
      </c>
      <c r="Q3060" t="s">
        <v>58</v>
      </c>
      <c r="R3060" t="str">
        <f>IFERROR(VLOOKUP(record[[#This Row],[PCUSTID]],廠商[],2,FALSE),"")</f>
        <v/>
      </c>
      <c r="S3060" t="str">
        <f>VLOOKUP(record[[#This Row],[employeeID]],員工[],2,FALSE)</f>
        <v>謝蓁薰</v>
      </c>
    </row>
    <row r="3061" spans="6:19" hidden="1" x14ac:dyDescent="0.25">
      <c r="F3061" t="s">
        <v>1655</v>
      </c>
      <c r="G3061" t="s">
        <v>463</v>
      </c>
      <c r="H3061" t="str">
        <f>VLOOKUP(record[[#This Row],[ProcessSN]],表格2_7[],2,FALSE)</f>
        <v>30-4118-018-XXX</v>
      </c>
      <c r="I3061" t="str">
        <f>VLOOKUP(record[[#This Row],[ProcessSN]],表格2_7[],3,FALSE)</f>
        <v>#00IQC</v>
      </c>
      <c r="J3061" t="s">
        <v>583</v>
      </c>
      <c r="K3061" s="195">
        <v>46104.47384259259</v>
      </c>
      <c r="L3061">
        <v>5000</v>
      </c>
      <c r="M3061">
        <v>0</v>
      </c>
      <c r="N3061" s="98" t="str">
        <f>IF(record[[#This Row],[Memo]]="Browser:chrome os:android","平板報工",IF(record[[#This Row],[Memo]]=0,"委外",record[[#This Row],[Memo]]))</f>
        <v/>
      </c>
      <c r="O3061" t="s">
        <v>58</v>
      </c>
      <c r="P3061" t="s">
        <v>109</v>
      </c>
      <c r="Q3061" t="s">
        <v>58</v>
      </c>
      <c r="R3061" t="str">
        <f>IFERROR(VLOOKUP(record[[#This Row],[PCUSTID]],廠商[],2,FALSE),"")</f>
        <v/>
      </c>
      <c r="S3061" t="str">
        <f>VLOOKUP(record[[#This Row],[employeeID]],員工[],2,FALSE)</f>
        <v>裴氏璧鳳</v>
      </c>
    </row>
    <row r="3062" spans="6:19" hidden="1" x14ac:dyDescent="0.25">
      <c r="F3062" t="s">
        <v>1602</v>
      </c>
      <c r="G3062" t="s">
        <v>469</v>
      </c>
      <c r="H3062" t="str">
        <f>VLOOKUP(record[[#This Row],[ProcessSN]],表格2_7[],2,FALSE)</f>
        <v>30-4118-018-XXX</v>
      </c>
      <c r="I3062" t="str">
        <f>VLOOKUP(record[[#This Row],[ProcessSN]],表格2_7[],3,FALSE)</f>
        <v>#02RCV</v>
      </c>
      <c r="J3062" t="s">
        <v>591</v>
      </c>
      <c r="K3062" s="195">
        <v>46104.455636574072</v>
      </c>
      <c r="L3062">
        <v>1807</v>
      </c>
      <c r="M3062">
        <v>0</v>
      </c>
      <c r="N3062" s="98" t="str">
        <f>IF(record[[#This Row],[Memo]]="Browser:chrome os:android","平板報工",IF(record[[#This Row],[Memo]]=0,"委外",record[[#This Row],[Memo]]))</f>
        <v/>
      </c>
      <c r="O3062" t="s">
        <v>58</v>
      </c>
      <c r="P3062" t="s">
        <v>186</v>
      </c>
      <c r="Q3062" t="s">
        <v>58</v>
      </c>
      <c r="R3062" t="str">
        <f>IFERROR(VLOOKUP(record[[#This Row],[PCUSTID]],廠商[],2,FALSE),"")</f>
        <v/>
      </c>
      <c r="S3062" t="str">
        <f>VLOOKUP(record[[#This Row],[employeeID]],員工[],2,FALSE)</f>
        <v>許文姍</v>
      </c>
    </row>
    <row r="3063" spans="6:19" hidden="1" x14ac:dyDescent="0.25">
      <c r="F3063" t="s">
        <v>1647</v>
      </c>
      <c r="G3063" t="s">
        <v>400</v>
      </c>
      <c r="H3063" t="str">
        <f>VLOOKUP(record[[#This Row],[ProcessSN]],表格2_7[],2,FALSE)</f>
        <v>30-4118-018-550</v>
      </c>
      <c r="I3063" t="str">
        <f>VLOOKUP(record[[#This Row],[ProcessSN]],表格2_7[],3,FALSE)</f>
        <v>#100</v>
      </c>
      <c r="J3063" t="s">
        <v>598</v>
      </c>
      <c r="K3063" s="195">
        <v>46104.439606481479</v>
      </c>
      <c r="L3063">
        <v>156</v>
      </c>
      <c r="M3063">
        <v>0</v>
      </c>
      <c r="N3063" s="98" t="str">
        <f>IF(record[[#This Row],[Memo]]="Browser:chrome os:android","平板報工",IF(record[[#This Row],[Memo]]=0,"委外",record[[#This Row],[Memo]]))</f>
        <v/>
      </c>
      <c r="O3063" t="s">
        <v>58</v>
      </c>
      <c r="P3063" t="s">
        <v>141</v>
      </c>
      <c r="Q3063" t="s">
        <v>58</v>
      </c>
      <c r="R3063" t="str">
        <f>IFERROR(VLOOKUP(record[[#This Row],[PCUSTID]],廠商[],2,FALSE),"")</f>
        <v/>
      </c>
      <c r="S3063" t="str">
        <f>VLOOKUP(record[[#This Row],[employeeID]],員工[],2,FALSE)</f>
        <v>蔣梅</v>
      </c>
    </row>
    <row r="3064" spans="6:19" hidden="1" x14ac:dyDescent="0.25">
      <c r="F3064" t="s">
        <v>1531</v>
      </c>
      <c r="G3064" t="s">
        <v>468</v>
      </c>
      <c r="H3064" t="str">
        <f>VLOOKUP(record[[#This Row],[ProcessSN]],表格2_7[],2,FALSE)</f>
        <v>30-4118-018-XXX</v>
      </c>
      <c r="I3064" t="str">
        <f>VLOOKUP(record[[#This Row],[ProcessSN]],表格2_7[],3,FALSE)</f>
        <v>#02</v>
      </c>
      <c r="J3064" t="s">
        <v>590</v>
      </c>
      <c r="K3064" s="195">
        <v>46104.367372685185</v>
      </c>
      <c r="L3064">
        <v>8</v>
      </c>
      <c r="M3064">
        <v>0</v>
      </c>
      <c r="N3064" s="98" t="str">
        <f>IF(record[[#This Row],[Memo]]="Browser:chrome os:android","平板報工",IF(record[[#This Row],[Memo]]=0,"委外",record[[#This Row],[Memo]]))</f>
        <v>委外</v>
      </c>
      <c r="P3064" t="s">
        <v>186</v>
      </c>
      <c r="Q3064" t="s">
        <v>216</v>
      </c>
      <c r="R3064" t="str">
        <f>IFERROR(VLOOKUP(record[[#This Row],[PCUSTID]],廠商[],2,FALSE),"")</f>
        <v>俊杰</v>
      </c>
      <c r="S3064" t="str">
        <f>VLOOKUP(record[[#This Row],[employeeID]],員工[],2,FALSE)</f>
        <v>許文姍</v>
      </c>
    </row>
    <row r="3065" spans="6:19" hidden="1" x14ac:dyDescent="0.25">
      <c r="F3065" t="s">
        <v>1602</v>
      </c>
      <c r="G3065" t="s">
        <v>468</v>
      </c>
      <c r="H3065" t="str">
        <f>VLOOKUP(record[[#This Row],[ProcessSN]],表格2_7[],2,FALSE)</f>
        <v>30-4118-018-XXX</v>
      </c>
      <c r="I3065" t="str">
        <f>VLOOKUP(record[[#This Row],[ProcessSN]],表格2_7[],3,FALSE)</f>
        <v>#02</v>
      </c>
      <c r="J3065" t="s">
        <v>590</v>
      </c>
      <c r="K3065" s="195">
        <v>46104.367280092592</v>
      </c>
      <c r="L3065">
        <v>141</v>
      </c>
      <c r="M3065">
        <v>0</v>
      </c>
      <c r="N3065" s="98" t="str">
        <f>IF(record[[#This Row],[Memo]]="Browser:chrome os:android","平板報工",IF(record[[#This Row],[Memo]]=0,"委外",record[[#This Row],[Memo]]))</f>
        <v>委外</v>
      </c>
      <c r="P3065" t="s">
        <v>186</v>
      </c>
      <c r="Q3065" t="s">
        <v>216</v>
      </c>
      <c r="R3065" t="str">
        <f>IFERROR(VLOOKUP(record[[#This Row],[PCUSTID]],廠商[],2,FALSE),"")</f>
        <v>俊杰</v>
      </c>
      <c r="S3065" t="str">
        <f>VLOOKUP(record[[#This Row],[employeeID]],員工[],2,FALSE)</f>
        <v>許文姍</v>
      </c>
    </row>
    <row r="3066" spans="6:19" hidden="1" x14ac:dyDescent="0.25">
      <c r="F3066" t="s">
        <v>1647</v>
      </c>
      <c r="G3066" t="s">
        <v>399</v>
      </c>
      <c r="H3066" t="str">
        <f>VLOOKUP(record[[#This Row],[ProcessSN]],表格2_7[],2,FALSE)</f>
        <v>30-4118-018-550</v>
      </c>
      <c r="I3066" t="str">
        <f>VLOOKUP(record[[#This Row],[ProcessSN]],表格2_7[],3,FALSE)</f>
        <v>#08IQC</v>
      </c>
      <c r="J3066" t="s">
        <v>583</v>
      </c>
      <c r="K3066" s="195">
        <v>46104.360752314817</v>
      </c>
      <c r="L3066">
        <v>306</v>
      </c>
      <c r="M3066">
        <v>0</v>
      </c>
      <c r="N3066" s="98" t="str">
        <f>IF(record[[#This Row],[Memo]]="Browser:chrome os:android","平板報工",IF(record[[#This Row],[Memo]]=0,"委外",record[[#This Row],[Memo]]))</f>
        <v/>
      </c>
      <c r="O3066" t="s">
        <v>58</v>
      </c>
      <c r="P3066" t="s">
        <v>109</v>
      </c>
      <c r="Q3066" t="s">
        <v>58</v>
      </c>
      <c r="R3066" t="str">
        <f>IFERROR(VLOOKUP(record[[#This Row],[PCUSTID]],廠商[],2,FALSE),"")</f>
        <v/>
      </c>
      <c r="S3066" t="str">
        <f>VLOOKUP(record[[#This Row],[employeeID]],員工[],2,FALSE)</f>
        <v>裴氏璧鳳</v>
      </c>
    </row>
    <row r="3067" spans="6:19" hidden="1" x14ac:dyDescent="0.25">
      <c r="F3067" t="s">
        <v>1647</v>
      </c>
      <c r="G3067" t="s">
        <v>398</v>
      </c>
      <c r="H3067" t="str">
        <f>VLOOKUP(record[[#This Row],[ProcessSN]],表格2_7[],2,FALSE)</f>
        <v>30-4118-018-550</v>
      </c>
      <c r="I3067" t="str">
        <f>VLOOKUP(record[[#This Row],[ProcessSN]],表格2_7[],3,FALSE)</f>
        <v>#08RCV</v>
      </c>
      <c r="J3067" t="s">
        <v>591</v>
      </c>
      <c r="K3067" s="195">
        <v>46104.338784722226</v>
      </c>
      <c r="L3067">
        <v>306</v>
      </c>
      <c r="M3067">
        <v>0</v>
      </c>
      <c r="N3067" s="98" t="str">
        <f>IF(record[[#This Row],[Memo]]="Browser:chrome os:android","平板報工",IF(record[[#This Row],[Memo]]=0,"委外",record[[#This Row],[Memo]]))</f>
        <v/>
      </c>
      <c r="O3067" t="s">
        <v>58</v>
      </c>
      <c r="P3067" t="s">
        <v>186</v>
      </c>
      <c r="Q3067" t="s">
        <v>58</v>
      </c>
      <c r="R3067" t="str">
        <f>IFERROR(VLOOKUP(record[[#This Row],[PCUSTID]],廠商[],2,FALSE),"")</f>
        <v/>
      </c>
      <c r="S3067" t="str">
        <f>VLOOKUP(record[[#This Row],[employeeID]],員工[],2,FALSE)</f>
        <v>許文姍</v>
      </c>
    </row>
    <row r="3068" spans="6:19" hidden="1" x14ac:dyDescent="0.25">
      <c r="F3068" t="s">
        <v>1569</v>
      </c>
      <c r="G3068" t="s">
        <v>450</v>
      </c>
      <c r="H3068" t="str">
        <f>VLOOKUP(record[[#This Row],[ProcessSN]],表格2_7[],2,FALSE)</f>
        <v>30-4118-018-6XX</v>
      </c>
      <c r="I3068" t="str">
        <f>VLOOKUP(record[[#This Row],[ProcessSN]],表格2_7[],3,FALSE)</f>
        <v>#06</v>
      </c>
      <c r="J3068" t="s">
        <v>593</v>
      </c>
      <c r="K3068" s="195">
        <v>46102.306469907409</v>
      </c>
      <c r="L3068">
        <v>111</v>
      </c>
      <c r="M3068">
        <v>0</v>
      </c>
      <c r="N3068" s="98" t="str">
        <f>IF(record[[#This Row],[Memo]]="Browser:chrome os:android","平板報工",IF(record[[#This Row],[Memo]]=0,"委外",record[[#This Row],[Memo]]))</f>
        <v/>
      </c>
      <c r="O3068" t="s">
        <v>58</v>
      </c>
      <c r="P3068" t="s">
        <v>180</v>
      </c>
      <c r="Q3068" t="s">
        <v>58</v>
      </c>
      <c r="R3068" t="str">
        <f>IFERROR(VLOOKUP(record[[#This Row],[PCUSTID]],廠商[],2,FALSE),"")</f>
        <v/>
      </c>
      <c r="S3068" t="str">
        <f>VLOOKUP(record[[#This Row],[employeeID]],員工[],2,FALSE)</f>
        <v>黎功江</v>
      </c>
    </row>
    <row r="3069" spans="6:19" hidden="1" x14ac:dyDescent="0.25">
      <c r="F3069" t="s">
        <v>1653</v>
      </c>
      <c r="G3069" t="s">
        <v>414</v>
      </c>
      <c r="H3069" t="str">
        <f>VLOOKUP(record[[#This Row],[ProcessSN]],表格2_7[],2,FALSE)</f>
        <v>30-4118-018-5XX</v>
      </c>
      <c r="I3069" t="str">
        <f>VLOOKUP(record[[#This Row],[ProcessSN]],表格2_7[],3,FALSE)</f>
        <v>#03</v>
      </c>
      <c r="J3069" t="s">
        <v>588</v>
      </c>
      <c r="K3069" s="195">
        <v>46102.305497685185</v>
      </c>
      <c r="L3069">
        <v>671</v>
      </c>
      <c r="M3069">
        <v>1</v>
      </c>
      <c r="N3069" s="98" t="str">
        <f>IF(record[[#This Row],[Memo]]="Browser:chrome os:android","平板報工",IF(record[[#This Row],[Memo]]=0,"委外",record[[#This Row],[Memo]]))</f>
        <v/>
      </c>
      <c r="O3069" t="s">
        <v>58</v>
      </c>
      <c r="P3069" t="s">
        <v>806</v>
      </c>
      <c r="Q3069" t="s">
        <v>58</v>
      </c>
      <c r="R3069" t="str">
        <f>IFERROR(VLOOKUP(record[[#This Row],[PCUSTID]],廠商[],2,FALSE),"")</f>
        <v/>
      </c>
      <c r="S3069" t="str">
        <f>VLOOKUP(record[[#This Row],[employeeID]],員工[],2,FALSE)</f>
        <v>方思緯</v>
      </c>
    </row>
    <row r="3070" spans="6:19" hidden="1" x14ac:dyDescent="0.25">
      <c r="F3070" t="s">
        <v>1653</v>
      </c>
      <c r="G3070" t="s">
        <v>415</v>
      </c>
      <c r="H3070" t="str">
        <f>VLOOKUP(record[[#This Row],[ProcessSN]],表格2_7[],2,FALSE)</f>
        <v>30-4118-018-5XX</v>
      </c>
      <c r="I3070" t="str">
        <f>VLOOKUP(record[[#This Row],[ProcessSN]],表格2_7[],3,FALSE)</f>
        <v>#04</v>
      </c>
      <c r="J3070" t="s">
        <v>588</v>
      </c>
      <c r="K3070" s="195">
        <v>46102.3046412037</v>
      </c>
      <c r="L3070">
        <v>110</v>
      </c>
      <c r="M3070">
        <v>0</v>
      </c>
      <c r="N3070" s="98" t="str">
        <f>IF(record[[#This Row],[Memo]]="Browser:chrome os:android","平板報工",IF(record[[#This Row],[Memo]]=0,"委外",record[[#This Row],[Memo]]))</f>
        <v/>
      </c>
      <c r="O3070" t="s">
        <v>58</v>
      </c>
      <c r="P3070" t="s">
        <v>806</v>
      </c>
      <c r="Q3070" t="s">
        <v>58</v>
      </c>
      <c r="R3070" t="str">
        <f>IFERROR(VLOOKUP(record[[#This Row],[PCUSTID]],廠商[],2,FALSE),"")</f>
        <v/>
      </c>
      <c r="S3070" t="str">
        <f>VLOOKUP(record[[#This Row],[employeeID]],員工[],2,FALSE)</f>
        <v>方思緯</v>
      </c>
    </row>
    <row r="3071" spans="6:19" hidden="1" x14ac:dyDescent="0.25">
      <c r="F3071" t="s">
        <v>1589</v>
      </c>
      <c r="G3071" t="s">
        <v>418</v>
      </c>
      <c r="H3071" t="str">
        <f>VLOOKUP(record[[#This Row],[ProcessSN]],表格2_7[],2,FALSE)</f>
        <v>30-4118-018-5XX</v>
      </c>
      <c r="I3071" t="str">
        <f>VLOOKUP(record[[#This Row],[ProcessSN]],表格2_7[],3,FALSE)</f>
        <v>#07</v>
      </c>
      <c r="J3071" t="s">
        <v>588</v>
      </c>
      <c r="K3071" s="195">
        <v>46102.303923611114</v>
      </c>
      <c r="L3071">
        <v>37</v>
      </c>
      <c r="M3071">
        <v>5</v>
      </c>
      <c r="N3071" s="98" t="str">
        <f>IF(record[[#This Row],[Memo]]="Browser:chrome os:android","平板報工",IF(record[[#This Row],[Memo]]=0,"委外",record[[#This Row],[Memo]]))</f>
        <v/>
      </c>
      <c r="O3071" t="s">
        <v>58</v>
      </c>
      <c r="P3071" t="s">
        <v>1098</v>
      </c>
      <c r="Q3071" t="s">
        <v>58</v>
      </c>
      <c r="R3071" t="str">
        <f>IFERROR(VLOOKUP(record[[#This Row],[PCUSTID]],廠商[],2,FALSE),"")</f>
        <v/>
      </c>
      <c r="S3071" t="str">
        <f>VLOOKUP(record[[#This Row],[employeeID]],員工[],2,FALSE)</f>
        <v>阮氏芳英(英)</v>
      </c>
    </row>
    <row r="3072" spans="6:19" hidden="1" x14ac:dyDescent="0.25">
      <c r="F3072" t="s">
        <v>1587</v>
      </c>
      <c r="G3072" t="s">
        <v>375</v>
      </c>
      <c r="H3072" t="str">
        <f>VLOOKUP(record[[#This Row],[ProcessSN]],表格2_7[],2,FALSE)</f>
        <v>30-4118-018-4XX</v>
      </c>
      <c r="I3072" t="str">
        <f>VLOOKUP(record[[#This Row],[ProcessSN]],表格2_7[],3,FALSE)</f>
        <v>#05</v>
      </c>
      <c r="J3072" t="s">
        <v>588</v>
      </c>
      <c r="K3072" s="195">
        <v>46102.301423611112</v>
      </c>
      <c r="L3072">
        <v>229</v>
      </c>
      <c r="M3072">
        <v>0</v>
      </c>
      <c r="N3072" s="98" t="str">
        <f>IF(record[[#This Row],[Memo]]="Browser:chrome os:android","平板報工",IF(record[[#This Row],[Memo]]=0,"委外",record[[#This Row],[Memo]]))</f>
        <v/>
      </c>
      <c r="O3072" t="s">
        <v>58</v>
      </c>
      <c r="P3072" t="s">
        <v>843</v>
      </c>
      <c r="Q3072" t="s">
        <v>58</v>
      </c>
      <c r="R3072" t="str">
        <f>IFERROR(VLOOKUP(record[[#This Row],[PCUSTID]],廠商[],2,FALSE),"")</f>
        <v/>
      </c>
      <c r="S3072" t="str">
        <f>VLOOKUP(record[[#This Row],[employeeID]],員工[],2,FALSE)</f>
        <v>張楚承</v>
      </c>
    </row>
    <row r="3073" spans="6:19" hidden="1" x14ac:dyDescent="0.25">
      <c r="F3073" t="s">
        <v>1569</v>
      </c>
      <c r="G3073" t="s">
        <v>450</v>
      </c>
      <c r="H3073" t="str">
        <f>VLOOKUP(record[[#This Row],[ProcessSN]],表格2_7[],2,FALSE)</f>
        <v>30-4118-018-6XX</v>
      </c>
      <c r="I3073" t="str">
        <f>VLOOKUP(record[[#This Row],[ProcessSN]],表格2_7[],3,FALSE)</f>
        <v>#06</v>
      </c>
      <c r="J3073" t="s">
        <v>593</v>
      </c>
      <c r="K3073" s="195">
        <v>46101.99015046296</v>
      </c>
      <c r="L3073">
        <v>133</v>
      </c>
      <c r="M3073">
        <v>0</v>
      </c>
      <c r="N3073" s="98" t="str">
        <f>IF(record[[#This Row],[Memo]]="Browser:chrome os:android","平板報工",IF(record[[#This Row],[Memo]]=0,"委外",record[[#This Row],[Memo]]))</f>
        <v/>
      </c>
      <c r="O3073" t="s">
        <v>58</v>
      </c>
      <c r="P3073" t="s">
        <v>133</v>
      </c>
      <c r="Q3073" t="s">
        <v>58</v>
      </c>
      <c r="R3073" t="str">
        <f>IFERROR(VLOOKUP(record[[#This Row],[PCUSTID]],廠商[],2,FALSE),"")</f>
        <v/>
      </c>
      <c r="S3073" t="str">
        <f>VLOOKUP(record[[#This Row],[employeeID]],員工[],2,FALSE)</f>
        <v>黎長維</v>
      </c>
    </row>
    <row r="3074" spans="6:19" hidden="1" x14ac:dyDescent="0.25">
      <c r="F3074" t="s">
        <v>1589</v>
      </c>
      <c r="G3074" t="s">
        <v>418</v>
      </c>
      <c r="H3074" t="str">
        <f>VLOOKUP(record[[#This Row],[ProcessSN]],表格2_7[],2,FALSE)</f>
        <v>30-4118-018-5XX</v>
      </c>
      <c r="I3074" t="str">
        <f>VLOOKUP(record[[#This Row],[ProcessSN]],表格2_7[],3,FALSE)</f>
        <v>#07</v>
      </c>
      <c r="J3074" t="s">
        <v>588</v>
      </c>
      <c r="K3074" s="195">
        <v>46101.988078703704</v>
      </c>
      <c r="L3074">
        <v>144</v>
      </c>
      <c r="M3074">
        <v>5</v>
      </c>
      <c r="N3074" s="98" t="str">
        <f>IF(record[[#This Row],[Memo]]="Browser:chrome os:android","平板報工",IF(record[[#This Row],[Memo]]=0,"委外",record[[#This Row],[Memo]]))</f>
        <v/>
      </c>
      <c r="O3074" t="s">
        <v>58</v>
      </c>
      <c r="P3074" t="s">
        <v>1098</v>
      </c>
      <c r="Q3074" t="s">
        <v>58</v>
      </c>
      <c r="R3074" t="str">
        <f>IFERROR(VLOOKUP(record[[#This Row],[PCUSTID]],廠商[],2,FALSE),"")</f>
        <v/>
      </c>
      <c r="S3074" t="str">
        <f>VLOOKUP(record[[#This Row],[employeeID]],員工[],2,FALSE)</f>
        <v>阮氏芳英(英)</v>
      </c>
    </row>
    <row r="3075" spans="6:19" hidden="1" x14ac:dyDescent="0.25">
      <c r="F3075" t="s">
        <v>1569</v>
      </c>
      <c r="G3075" t="s">
        <v>449</v>
      </c>
      <c r="H3075" t="str">
        <f>VLOOKUP(record[[#This Row],[ProcessSN]],表格2_7[],2,FALSE)</f>
        <v>30-4118-018-6XX</v>
      </c>
      <c r="I3075" t="str">
        <f>VLOOKUP(record[[#This Row],[ProcessSN]],表格2_7[],3,FALSE)</f>
        <v>#05</v>
      </c>
      <c r="J3075" t="s">
        <v>588</v>
      </c>
      <c r="K3075" s="195">
        <v>46101.987638888888</v>
      </c>
      <c r="L3075">
        <v>172</v>
      </c>
      <c r="M3075">
        <v>0</v>
      </c>
      <c r="N3075" s="98" t="str">
        <f>IF(record[[#This Row],[Memo]]="Browser:chrome os:android","平板報工",IF(record[[#This Row],[Memo]]=0,"委外",record[[#This Row],[Memo]]))</f>
        <v/>
      </c>
      <c r="O3075" t="s">
        <v>58</v>
      </c>
      <c r="P3075" t="s">
        <v>1098</v>
      </c>
      <c r="Q3075" t="s">
        <v>58</v>
      </c>
      <c r="R3075" t="str">
        <f>IFERROR(VLOOKUP(record[[#This Row],[PCUSTID]],廠商[],2,FALSE),"")</f>
        <v/>
      </c>
      <c r="S3075" t="str">
        <f>VLOOKUP(record[[#This Row],[employeeID]],員工[],2,FALSE)</f>
        <v>阮氏芳英(英)</v>
      </c>
    </row>
    <row r="3076" spans="6:19" hidden="1" x14ac:dyDescent="0.25">
      <c r="F3076" t="s">
        <v>1653</v>
      </c>
      <c r="G3076" t="s">
        <v>414</v>
      </c>
      <c r="H3076" t="str">
        <f>VLOOKUP(record[[#This Row],[ProcessSN]],表格2_7[],2,FALSE)</f>
        <v>30-4118-018-5XX</v>
      </c>
      <c r="I3076" t="str">
        <f>VLOOKUP(record[[#This Row],[ProcessSN]],表格2_7[],3,FALSE)</f>
        <v>#03</v>
      </c>
      <c r="J3076" t="s">
        <v>588</v>
      </c>
      <c r="K3076" s="195">
        <v>46101.987245370372</v>
      </c>
      <c r="L3076">
        <v>552</v>
      </c>
      <c r="M3076">
        <v>0</v>
      </c>
      <c r="N3076" s="98" t="str">
        <f>IF(record[[#This Row],[Memo]]="Browser:chrome os:android","平板報工",IF(record[[#This Row],[Memo]]=0,"委外",record[[#This Row],[Memo]]))</f>
        <v/>
      </c>
      <c r="O3076" t="s">
        <v>58</v>
      </c>
      <c r="P3076" t="s">
        <v>89</v>
      </c>
      <c r="Q3076" t="s">
        <v>58</v>
      </c>
      <c r="R3076" t="str">
        <f>IFERROR(VLOOKUP(record[[#This Row],[PCUSTID]],廠商[],2,FALSE),"")</f>
        <v/>
      </c>
      <c r="S3076" t="str">
        <f>VLOOKUP(record[[#This Row],[employeeID]],員工[],2,FALSE)</f>
        <v>李美蓮</v>
      </c>
    </row>
    <row r="3077" spans="6:19" hidden="1" x14ac:dyDescent="0.25">
      <c r="F3077" t="s">
        <v>1587</v>
      </c>
      <c r="G3077" t="s">
        <v>374</v>
      </c>
      <c r="H3077" t="str">
        <f>VLOOKUP(record[[#This Row],[ProcessSN]],表格2_7[],2,FALSE)</f>
        <v>30-4118-018-4XX</v>
      </c>
      <c r="I3077" t="str">
        <f>VLOOKUP(record[[#This Row],[ProcessSN]],表格2_7[],3,FALSE)</f>
        <v>#04</v>
      </c>
      <c r="J3077" t="s">
        <v>588</v>
      </c>
      <c r="K3077" s="195">
        <v>46101.985706018517</v>
      </c>
      <c r="L3077">
        <v>112</v>
      </c>
      <c r="M3077">
        <v>0</v>
      </c>
      <c r="N3077" s="98" t="str">
        <f>IF(record[[#This Row],[Memo]]="Browser:chrome os:android","平板報工",IF(record[[#This Row],[Memo]]=0,"委外",record[[#This Row],[Memo]]))</f>
        <v/>
      </c>
      <c r="O3077" t="s">
        <v>58</v>
      </c>
      <c r="P3077" t="s">
        <v>89</v>
      </c>
      <c r="Q3077" t="s">
        <v>58</v>
      </c>
      <c r="R3077" t="str">
        <f>IFERROR(VLOOKUP(record[[#This Row],[PCUSTID]],廠商[],2,FALSE),"")</f>
        <v/>
      </c>
      <c r="S3077" t="str">
        <f>VLOOKUP(record[[#This Row],[employeeID]],員工[],2,FALSE)</f>
        <v>李美蓮</v>
      </c>
    </row>
    <row r="3078" spans="6:19" hidden="1" x14ac:dyDescent="0.25">
      <c r="F3078" t="s">
        <v>1531</v>
      </c>
      <c r="G3078" t="s">
        <v>467</v>
      </c>
      <c r="H3078" t="str">
        <f>VLOOKUP(record[[#This Row],[ProcessSN]],表格2_7[],2,FALSE)</f>
        <v>30-4118-018-XXX</v>
      </c>
      <c r="I3078" t="str">
        <f>VLOOKUP(record[[#This Row],[ProcessSN]],表格2_7[],3,FALSE)</f>
        <v>#01QC</v>
      </c>
      <c r="J3078" t="s">
        <v>589</v>
      </c>
      <c r="K3078" s="195">
        <v>46101.779733796298</v>
      </c>
      <c r="L3078">
        <v>8</v>
      </c>
      <c r="M3078">
        <v>0</v>
      </c>
      <c r="N3078" s="98" t="str">
        <f>IF(record[[#This Row],[Memo]]="Browser:chrome os:android","平板報工",IF(record[[#This Row],[Memo]]=0,"委外",record[[#This Row],[Memo]]))</f>
        <v>平板報工</v>
      </c>
      <c r="O3078" t="s">
        <v>643</v>
      </c>
      <c r="P3078" t="s">
        <v>182</v>
      </c>
      <c r="Q3078" t="s">
        <v>644</v>
      </c>
      <c r="R3078" t="str">
        <f>IFERROR(VLOOKUP(record[[#This Row],[PCUSTID]],廠商[],2,FALSE),"")</f>
        <v/>
      </c>
      <c r="S3078" t="str">
        <f>VLOOKUP(record[[#This Row],[employeeID]],員工[],2,FALSE)</f>
        <v>梅氏和</v>
      </c>
    </row>
    <row r="3079" spans="6:19" hidden="1" x14ac:dyDescent="0.25">
      <c r="F3079" t="s">
        <v>1602</v>
      </c>
      <c r="G3079" t="s">
        <v>467</v>
      </c>
      <c r="H3079" t="str">
        <f>VLOOKUP(record[[#This Row],[ProcessSN]],表格2_7[],2,FALSE)</f>
        <v>30-4118-018-XXX</v>
      </c>
      <c r="I3079" t="str">
        <f>VLOOKUP(record[[#This Row],[ProcessSN]],表格2_7[],3,FALSE)</f>
        <v>#01QC</v>
      </c>
      <c r="J3079" t="s">
        <v>589</v>
      </c>
      <c r="K3079" s="195">
        <v>46101.779537037037</v>
      </c>
      <c r="L3079">
        <v>141</v>
      </c>
      <c r="M3079">
        <v>0</v>
      </c>
      <c r="N3079" s="98" t="str">
        <f>IF(record[[#This Row],[Memo]]="Browser:chrome os:android","平板報工",IF(record[[#This Row],[Memo]]=0,"委外",record[[#This Row],[Memo]]))</f>
        <v>平板報工</v>
      </c>
      <c r="O3079" t="s">
        <v>643</v>
      </c>
      <c r="P3079" t="s">
        <v>182</v>
      </c>
      <c r="Q3079" t="s">
        <v>644</v>
      </c>
      <c r="R3079" t="str">
        <f>IFERROR(VLOOKUP(record[[#This Row],[PCUSTID]],廠商[],2,FALSE),"")</f>
        <v/>
      </c>
      <c r="S3079" t="str">
        <f>VLOOKUP(record[[#This Row],[employeeID]],員工[],2,FALSE)</f>
        <v>梅氏和</v>
      </c>
    </row>
    <row r="3080" spans="6:19" hidden="1" x14ac:dyDescent="0.25">
      <c r="F3080" t="s">
        <v>1602</v>
      </c>
      <c r="G3080" t="s">
        <v>470</v>
      </c>
      <c r="H3080" t="str">
        <f>VLOOKUP(record[[#This Row],[ProcessSN]],表格2_7[],2,FALSE)</f>
        <v>30-4118-018-XXX</v>
      </c>
      <c r="I3080" t="str">
        <f>VLOOKUP(record[[#This Row],[ProcessSN]],表格2_7[],3,FALSE)</f>
        <v>#02IQC</v>
      </c>
      <c r="J3080" t="s">
        <v>583</v>
      </c>
      <c r="K3080" s="195">
        <v>46101.763807870368</v>
      </c>
      <c r="L3080">
        <v>167</v>
      </c>
      <c r="M3080">
        <v>0</v>
      </c>
      <c r="N3080" s="98" t="str">
        <f>IF(record[[#This Row],[Memo]]="Browser:chrome os:android","平板報工",IF(record[[#This Row],[Memo]]=0,"委外",record[[#This Row],[Memo]]))</f>
        <v/>
      </c>
      <c r="O3080" t="s">
        <v>58</v>
      </c>
      <c r="P3080" t="s">
        <v>109</v>
      </c>
      <c r="Q3080" t="s">
        <v>58</v>
      </c>
      <c r="R3080" t="str">
        <f>IFERROR(VLOOKUP(record[[#This Row],[PCUSTID]],廠商[],2,FALSE),"")</f>
        <v/>
      </c>
      <c r="S3080" t="str">
        <f>VLOOKUP(record[[#This Row],[employeeID]],員工[],2,FALSE)</f>
        <v>裴氏璧鳳</v>
      </c>
    </row>
    <row r="3081" spans="6:19" hidden="1" x14ac:dyDescent="0.25">
      <c r="F3081" t="s">
        <v>1647</v>
      </c>
      <c r="G3081" t="s">
        <v>403</v>
      </c>
      <c r="H3081" t="str">
        <f>VLOOKUP(record[[#This Row],[ProcessSN]],表格2_7[],2,FALSE)</f>
        <v>30-4118-018-550</v>
      </c>
      <c r="I3081" t="str">
        <f>VLOOKUP(record[[#This Row],[ProcessSN]],表格2_7[],3,FALSE)</f>
        <v>#100SHIP</v>
      </c>
      <c r="J3081" t="s">
        <v>600</v>
      </c>
      <c r="K3081" s="195">
        <v>46101.753750000003</v>
      </c>
      <c r="L3081">
        <v>24</v>
      </c>
      <c r="M3081">
        <v>0</v>
      </c>
      <c r="N3081" s="98" t="str">
        <f>IF(record[[#This Row],[Memo]]="Browser:chrome os:android","平板報工",IF(record[[#This Row],[Memo]]=0,"委外",record[[#This Row],[Memo]]))</f>
        <v/>
      </c>
      <c r="O3081" t="s">
        <v>58</v>
      </c>
      <c r="P3081" t="s">
        <v>886</v>
      </c>
      <c r="Q3081" t="s">
        <v>58</v>
      </c>
      <c r="R3081" t="str">
        <f>IFERROR(VLOOKUP(record[[#This Row],[PCUSTID]],廠商[],2,FALSE),"")</f>
        <v/>
      </c>
      <c r="S3081" t="str">
        <f>VLOOKUP(record[[#This Row],[employeeID]],員工[],2,FALSE)</f>
        <v>謝蓁薰</v>
      </c>
    </row>
    <row r="3082" spans="6:19" hidden="1" x14ac:dyDescent="0.25">
      <c r="F3082" t="s">
        <v>1640</v>
      </c>
      <c r="G3082" t="s">
        <v>403</v>
      </c>
      <c r="H3082" t="str">
        <f>VLOOKUP(record[[#This Row],[ProcessSN]],表格2_7[],2,FALSE)</f>
        <v>30-4118-018-550</v>
      </c>
      <c r="I3082" t="str">
        <f>VLOOKUP(record[[#This Row],[ProcessSN]],表格2_7[],3,FALSE)</f>
        <v>#100SHIP</v>
      </c>
      <c r="J3082" t="s">
        <v>600</v>
      </c>
      <c r="K3082" s="195">
        <v>46101.753622685188</v>
      </c>
      <c r="L3082">
        <v>291</v>
      </c>
      <c r="M3082">
        <v>0</v>
      </c>
      <c r="N3082" s="98" t="str">
        <f>IF(record[[#This Row],[Memo]]="Browser:chrome os:android","平板報工",IF(record[[#This Row],[Memo]]=0,"委外",record[[#This Row],[Memo]]))</f>
        <v/>
      </c>
      <c r="O3082" t="s">
        <v>58</v>
      </c>
      <c r="P3082" t="s">
        <v>886</v>
      </c>
      <c r="Q3082" t="s">
        <v>58</v>
      </c>
      <c r="R3082" t="str">
        <f>IFERROR(VLOOKUP(record[[#This Row],[PCUSTID]],廠商[],2,FALSE),"")</f>
        <v/>
      </c>
      <c r="S3082" t="str">
        <f>VLOOKUP(record[[#This Row],[employeeID]],員工[],2,FALSE)</f>
        <v>謝蓁薰</v>
      </c>
    </row>
    <row r="3083" spans="6:19" hidden="1" x14ac:dyDescent="0.25">
      <c r="F3083" t="s">
        <v>1647</v>
      </c>
      <c r="G3083" t="s">
        <v>402</v>
      </c>
      <c r="H3083" t="str">
        <f>VLOOKUP(record[[#This Row],[ProcessSN]],表格2_7[],2,FALSE)</f>
        <v>30-4118-018-550</v>
      </c>
      <c r="I3083" t="str">
        <f>VLOOKUP(record[[#This Row],[ProcessSN]],表格2_7[],3,FALSE)</f>
        <v>#100STOCK</v>
      </c>
      <c r="J3083" t="s">
        <v>592</v>
      </c>
      <c r="K3083" s="195">
        <v>46101.753460648149</v>
      </c>
      <c r="L3083">
        <v>24</v>
      </c>
      <c r="M3083">
        <v>0</v>
      </c>
      <c r="N3083" s="98" t="str">
        <f>IF(record[[#This Row],[Memo]]="Browser:chrome os:android","平板報工",IF(record[[#This Row],[Memo]]=0,"委外",record[[#This Row],[Memo]]))</f>
        <v/>
      </c>
      <c r="O3083" t="s">
        <v>58</v>
      </c>
      <c r="P3083" t="s">
        <v>886</v>
      </c>
      <c r="Q3083" t="s">
        <v>58</v>
      </c>
      <c r="R3083" t="str">
        <f>IFERROR(VLOOKUP(record[[#This Row],[PCUSTID]],廠商[],2,FALSE),"")</f>
        <v/>
      </c>
      <c r="S3083" t="str">
        <f>VLOOKUP(record[[#This Row],[employeeID]],員工[],2,FALSE)</f>
        <v>謝蓁薰</v>
      </c>
    </row>
    <row r="3084" spans="6:19" hidden="1" x14ac:dyDescent="0.25">
      <c r="F3084" t="s">
        <v>1640</v>
      </c>
      <c r="G3084" t="s">
        <v>402</v>
      </c>
      <c r="H3084" t="str">
        <f>VLOOKUP(record[[#This Row],[ProcessSN]],表格2_7[],2,FALSE)</f>
        <v>30-4118-018-550</v>
      </c>
      <c r="I3084" t="str">
        <f>VLOOKUP(record[[#This Row],[ProcessSN]],表格2_7[],3,FALSE)</f>
        <v>#100STOCK</v>
      </c>
      <c r="J3084" t="s">
        <v>592</v>
      </c>
      <c r="K3084" s="195">
        <v>46101.75335648148</v>
      </c>
      <c r="L3084">
        <v>291</v>
      </c>
      <c r="M3084">
        <v>0</v>
      </c>
      <c r="N3084" s="98" t="str">
        <f>IF(record[[#This Row],[Memo]]="Browser:chrome os:android","平板報工",IF(record[[#This Row],[Memo]]=0,"委外",record[[#This Row],[Memo]]))</f>
        <v/>
      </c>
      <c r="O3084" t="s">
        <v>58</v>
      </c>
      <c r="P3084" t="s">
        <v>886</v>
      </c>
      <c r="Q3084" t="s">
        <v>58</v>
      </c>
      <c r="R3084" t="str">
        <f>IFERROR(VLOOKUP(record[[#This Row],[PCUSTID]],廠商[],2,FALSE),"")</f>
        <v/>
      </c>
      <c r="S3084" t="str">
        <f>VLOOKUP(record[[#This Row],[employeeID]],員工[],2,FALSE)</f>
        <v>謝蓁薰</v>
      </c>
    </row>
    <row r="3085" spans="6:19" hidden="1" x14ac:dyDescent="0.25">
      <c r="F3085" t="s">
        <v>1631</v>
      </c>
      <c r="G3085" t="s">
        <v>403</v>
      </c>
      <c r="H3085" t="str">
        <f>VLOOKUP(record[[#This Row],[ProcessSN]],表格2_7[],2,FALSE)</f>
        <v>30-4118-018-550</v>
      </c>
      <c r="I3085" t="str">
        <f>VLOOKUP(record[[#This Row],[ProcessSN]],表格2_7[],3,FALSE)</f>
        <v>#100SHIP</v>
      </c>
      <c r="J3085" t="s">
        <v>600</v>
      </c>
      <c r="K3085" s="195">
        <v>46101.753240740742</v>
      </c>
      <c r="L3085">
        <v>47</v>
      </c>
      <c r="M3085">
        <v>0</v>
      </c>
      <c r="N3085" s="98" t="str">
        <f>IF(record[[#This Row],[Memo]]="Browser:chrome os:android","平板報工",IF(record[[#This Row],[Memo]]=0,"委外",record[[#This Row],[Memo]]))</f>
        <v/>
      </c>
      <c r="O3085" t="s">
        <v>58</v>
      </c>
      <c r="P3085" t="s">
        <v>886</v>
      </c>
      <c r="Q3085" t="s">
        <v>58</v>
      </c>
      <c r="R3085" t="str">
        <f>IFERROR(VLOOKUP(record[[#This Row],[PCUSTID]],廠商[],2,FALSE),"")</f>
        <v/>
      </c>
      <c r="S3085" t="str">
        <f>VLOOKUP(record[[#This Row],[employeeID]],員工[],2,FALSE)</f>
        <v>謝蓁薰</v>
      </c>
    </row>
    <row r="3086" spans="6:19" hidden="1" x14ac:dyDescent="0.25">
      <c r="F3086" t="s">
        <v>1622</v>
      </c>
      <c r="G3086" t="s">
        <v>403</v>
      </c>
      <c r="H3086" t="str">
        <f>VLOOKUP(record[[#This Row],[ProcessSN]],表格2_7[],2,FALSE)</f>
        <v>30-4118-018-550</v>
      </c>
      <c r="I3086" t="str">
        <f>VLOOKUP(record[[#This Row],[ProcessSN]],表格2_7[],3,FALSE)</f>
        <v>#100SHIP</v>
      </c>
      <c r="J3086" t="s">
        <v>600</v>
      </c>
      <c r="K3086" s="195">
        <v>46101.753055555557</v>
      </c>
      <c r="L3086">
        <v>164</v>
      </c>
      <c r="M3086">
        <v>0</v>
      </c>
      <c r="N3086" s="98" t="str">
        <f>IF(record[[#This Row],[Memo]]="Browser:chrome os:android","平板報工",IF(record[[#This Row],[Memo]]=0,"委外",record[[#This Row],[Memo]]))</f>
        <v/>
      </c>
      <c r="O3086" t="s">
        <v>58</v>
      </c>
      <c r="P3086" t="s">
        <v>886</v>
      </c>
      <c r="Q3086" t="s">
        <v>58</v>
      </c>
      <c r="R3086" t="str">
        <f>IFERROR(VLOOKUP(record[[#This Row],[PCUSTID]],廠商[],2,FALSE),"")</f>
        <v/>
      </c>
      <c r="S3086" t="str">
        <f>VLOOKUP(record[[#This Row],[employeeID]],員工[],2,FALSE)</f>
        <v>謝蓁薰</v>
      </c>
    </row>
    <row r="3087" spans="6:19" hidden="1" x14ac:dyDescent="0.25">
      <c r="F3087" t="s">
        <v>1647</v>
      </c>
      <c r="G3087" t="s">
        <v>401</v>
      </c>
      <c r="H3087" t="str">
        <f>VLOOKUP(record[[#This Row],[ProcessSN]],表格2_7[],2,FALSE)</f>
        <v>30-4118-018-550</v>
      </c>
      <c r="I3087" t="str">
        <f>VLOOKUP(record[[#This Row],[ProcessSN]],表格2_7[],3,FALSE)</f>
        <v>#100OQC</v>
      </c>
      <c r="J3087" t="s">
        <v>599</v>
      </c>
      <c r="K3087" s="195">
        <v>46101.743287037039</v>
      </c>
      <c r="L3087">
        <v>24</v>
      </c>
      <c r="M3087">
        <v>0</v>
      </c>
      <c r="N3087" s="98" t="str">
        <f>IF(record[[#This Row],[Memo]]="Browser:chrome os:android","平板報工",IF(record[[#This Row],[Memo]]=0,"委外",record[[#This Row],[Memo]]))</f>
        <v/>
      </c>
      <c r="O3087" t="s">
        <v>58</v>
      </c>
      <c r="P3087" t="s">
        <v>121</v>
      </c>
      <c r="Q3087" t="s">
        <v>58</v>
      </c>
      <c r="R3087" t="str">
        <f>IFERROR(VLOOKUP(record[[#This Row],[PCUSTID]],廠商[],2,FALSE),"")</f>
        <v/>
      </c>
      <c r="S3087" t="str">
        <f>VLOOKUP(record[[#This Row],[employeeID]],員工[],2,FALSE)</f>
        <v>謝素卿</v>
      </c>
    </row>
    <row r="3088" spans="6:19" hidden="1" x14ac:dyDescent="0.25">
      <c r="F3088" t="s">
        <v>1640</v>
      </c>
      <c r="G3088" t="s">
        <v>401</v>
      </c>
      <c r="H3088" t="str">
        <f>VLOOKUP(record[[#This Row],[ProcessSN]],表格2_7[],2,FALSE)</f>
        <v>30-4118-018-550</v>
      </c>
      <c r="I3088" t="str">
        <f>VLOOKUP(record[[#This Row],[ProcessSN]],表格2_7[],3,FALSE)</f>
        <v>#100OQC</v>
      </c>
      <c r="J3088" t="s">
        <v>599</v>
      </c>
      <c r="K3088" s="195">
        <v>46101.743113425924</v>
      </c>
      <c r="L3088">
        <v>291</v>
      </c>
      <c r="M3088">
        <v>0</v>
      </c>
      <c r="N3088" s="98" t="str">
        <f>IF(record[[#This Row],[Memo]]="Browser:chrome os:android","平板報工",IF(record[[#This Row],[Memo]]=0,"委外",record[[#This Row],[Memo]]))</f>
        <v/>
      </c>
      <c r="O3088" t="s">
        <v>58</v>
      </c>
      <c r="P3088" t="s">
        <v>121</v>
      </c>
      <c r="Q3088" t="s">
        <v>58</v>
      </c>
      <c r="R3088" t="str">
        <f>IFERROR(VLOOKUP(record[[#This Row],[PCUSTID]],廠商[],2,FALSE),"")</f>
        <v/>
      </c>
      <c r="S3088" t="str">
        <f>VLOOKUP(record[[#This Row],[employeeID]],員工[],2,FALSE)</f>
        <v>謝素卿</v>
      </c>
    </row>
    <row r="3089" spans="6:19" hidden="1" x14ac:dyDescent="0.25">
      <c r="F3089" t="s">
        <v>1631</v>
      </c>
      <c r="G3089" t="s">
        <v>402</v>
      </c>
      <c r="H3089" t="str">
        <f>VLOOKUP(record[[#This Row],[ProcessSN]],表格2_7[],2,FALSE)</f>
        <v>30-4118-018-550</v>
      </c>
      <c r="I3089" t="str">
        <f>VLOOKUP(record[[#This Row],[ProcessSN]],表格2_7[],3,FALSE)</f>
        <v>#100STOCK</v>
      </c>
      <c r="J3089" t="s">
        <v>592</v>
      </c>
      <c r="K3089" s="195">
        <v>46101.7421875</v>
      </c>
      <c r="L3089">
        <v>47</v>
      </c>
      <c r="M3089">
        <v>0</v>
      </c>
      <c r="N3089" s="98" t="str">
        <f>IF(record[[#This Row],[Memo]]="Browser:chrome os:android","平板報工",IF(record[[#This Row],[Memo]]=0,"委外",record[[#This Row],[Memo]]))</f>
        <v/>
      </c>
      <c r="O3089" t="s">
        <v>58</v>
      </c>
      <c r="P3089" t="s">
        <v>886</v>
      </c>
      <c r="Q3089" t="s">
        <v>58</v>
      </c>
      <c r="R3089" t="str">
        <f>IFERROR(VLOOKUP(record[[#This Row],[PCUSTID]],廠商[],2,FALSE),"")</f>
        <v/>
      </c>
      <c r="S3089" t="str">
        <f>VLOOKUP(record[[#This Row],[employeeID]],員工[],2,FALSE)</f>
        <v>謝蓁薰</v>
      </c>
    </row>
    <row r="3090" spans="6:19" hidden="1" x14ac:dyDescent="0.25">
      <c r="F3090" t="s">
        <v>1622</v>
      </c>
      <c r="G3090" t="s">
        <v>402</v>
      </c>
      <c r="H3090" t="str">
        <f>VLOOKUP(record[[#This Row],[ProcessSN]],表格2_7[],2,FALSE)</f>
        <v>30-4118-018-550</v>
      </c>
      <c r="I3090" t="str">
        <f>VLOOKUP(record[[#This Row],[ProcessSN]],表格2_7[],3,FALSE)</f>
        <v>#100STOCK</v>
      </c>
      <c r="J3090" t="s">
        <v>592</v>
      </c>
      <c r="K3090" s="195">
        <v>46101.742083333331</v>
      </c>
      <c r="L3090">
        <v>164</v>
      </c>
      <c r="M3090">
        <v>0</v>
      </c>
      <c r="N3090" s="98" t="str">
        <f>IF(record[[#This Row],[Memo]]="Browser:chrome os:android","平板報工",IF(record[[#This Row],[Memo]]=0,"委外",record[[#This Row],[Memo]]))</f>
        <v/>
      </c>
      <c r="O3090" t="s">
        <v>58</v>
      </c>
      <c r="P3090" t="s">
        <v>886</v>
      </c>
      <c r="Q3090" t="s">
        <v>58</v>
      </c>
      <c r="R3090" t="str">
        <f>IFERROR(VLOOKUP(record[[#This Row],[PCUSTID]],廠商[],2,FALSE),"")</f>
        <v/>
      </c>
      <c r="S3090" t="str">
        <f>VLOOKUP(record[[#This Row],[employeeID]],員工[],2,FALSE)</f>
        <v>謝蓁薰</v>
      </c>
    </row>
    <row r="3091" spans="6:19" hidden="1" x14ac:dyDescent="0.25">
      <c r="F3091" t="s">
        <v>1647</v>
      </c>
      <c r="G3091" t="s">
        <v>400</v>
      </c>
      <c r="H3091" t="str">
        <f>VLOOKUP(record[[#This Row],[ProcessSN]],表格2_7[],2,FALSE)</f>
        <v>30-4118-018-550</v>
      </c>
      <c r="I3091" t="str">
        <f>VLOOKUP(record[[#This Row],[ProcessSN]],表格2_7[],3,FALSE)</f>
        <v>#100</v>
      </c>
      <c r="J3091" t="s">
        <v>598</v>
      </c>
      <c r="K3091" s="195">
        <v>46101.721250000002</v>
      </c>
      <c r="L3091">
        <v>24</v>
      </c>
      <c r="M3091">
        <v>0</v>
      </c>
      <c r="N3091" s="98" t="str">
        <f>IF(record[[#This Row],[Memo]]="Browser:chrome os:android","平板報工",IF(record[[#This Row],[Memo]]=0,"委外",record[[#This Row],[Memo]]))</f>
        <v/>
      </c>
      <c r="O3091" t="s">
        <v>58</v>
      </c>
      <c r="P3091" t="s">
        <v>141</v>
      </c>
      <c r="Q3091" t="s">
        <v>58</v>
      </c>
      <c r="R3091" t="str">
        <f>IFERROR(VLOOKUP(record[[#This Row],[PCUSTID]],廠商[],2,FALSE),"")</f>
        <v/>
      </c>
      <c r="S3091" t="str">
        <f>VLOOKUP(record[[#This Row],[employeeID]],員工[],2,FALSE)</f>
        <v>蔣梅</v>
      </c>
    </row>
    <row r="3092" spans="6:19" hidden="1" x14ac:dyDescent="0.25">
      <c r="F3092" t="s">
        <v>1587</v>
      </c>
      <c r="G3092" t="s">
        <v>374</v>
      </c>
      <c r="H3092" t="str">
        <f>VLOOKUP(record[[#This Row],[ProcessSN]],表格2_7[],2,FALSE)</f>
        <v>30-4118-018-4XX</v>
      </c>
      <c r="I3092" t="str">
        <f>VLOOKUP(record[[#This Row],[ProcessSN]],表格2_7[],3,FALSE)</f>
        <v>#04</v>
      </c>
      <c r="J3092" t="s">
        <v>588</v>
      </c>
      <c r="K3092" s="195">
        <v>46101.720509259256</v>
      </c>
      <c r="L3092">
        <v>127</v>
      </c>
      <c r="M3092">
        <v>0</v>
      </c>
      <c r="N3092" s="98" t="str">
        <f>IF(record[[#This Row],[Memo]]="Browser:chrome os:android","平板報工",IF(record[[#This Row],[Memo]]=0,"委外",record[[#This Row],[Memo]]))</f>
        <v>3/19</v>
      </c>
      <c r="O3092" t="s">
        <v>1658</v>
      </c>
      <c r="P3092" t="s">
        <v>107</v>
      </c>
      <c r="Q3092" t="s">
        <v>58</v>
      </c>
      <c r="R3092" t="str">
        <f>IFERROR(VLOOKUP(record[[#This Row],[PCUSTID]],廠商[],2,FALSE),"")</f>
        <v/>
      </c>
      <c r="S3092" t="str">
        <f>VLOOKUP(record[[#This Row],[employeeID]],員工[],2,FALSE)</f>
        <v>黎氏順</v>
      </c>
    </row>
    <row r="3093" spans="6:19" hidden="1" x14ac:dyDescent="0.25">
      <c r="F3093" t="s">
        <v>1647</v>
      </c>
      <c r="G3093" t="s">
        <v>399</v>
      </c>
      <c r="H3093" t="str">
        <f>VLOOKUP(record[[#This Row],[ProcessSN]],表格2_7[],2,FALSE)</f>
        <v>30-4118-018-550</v>
      </c>
      <c r="I3093" t="str">
        <f>VLOOKUP(record[[#This Row],[ProcessSN]],表格2_7[],3,FALSE)</f>
        <v>#08IQC</v>
      </c>
      <c r="J3093" t="s">
        <v>583</v>
      </c>
      <c r="K3093" s="195">
        <v>46101.718344907407</v>
      </c>
      <c r="L3093">
        <v>24</v>
      </c>
      <c r="M3093">
        <v>0</v>
      </c>
      <c r="N3093" s="98" t="str">
        <f>IF(record[[#This Row],[Memo]]="Browser:chrome os:android","平板報工",IF(record[[#This Row],[Memo]]=0,"委外",record[[#This Row],[Memo]]))</f>
        <v/>
      </c>
      <c r="O3093" t="s">
        <v>58</v>
      </c>
      <c r="P3093" t="s">
        <v>109</v>
      </c>
      <c r="Q3093" t="s">
        <v>58</v>
      </c>
      <c r="R3093" t="str">
        <f>IFERROR(VLOOKUP(record[[#This Row],[PCUSTID]],廠商[],2,FALSE),"")</f>
        <v/>
      </c>
      <c r="S3093" t="str">
        <f>VLOOKUP(record[[#This Row],[employeeID]],員工[],2,FALSE)</f>
        <v>裴氏璧鳳</v>
      </c>
    </row>
    <row r="3094" spans="6:19" hidden="1" x14ac:dyDescent="0.25">
      <c r="F3094" t="s">
        <v>1647</v>
      </c>
      <c r="G3094" t="s">
        <v>398</v>
      </c>
      <c r="H3094" t="str">
        <f>VLOOKUP(record[[#This Row],[ProcessSN]],表格2_7[],2,FALSE)</f>
        <v>30-4118-018-550</v>
      </c>
      <c r="I3094" t="str">
        <f>VLOOKUP(record[[#This Row],[ProcessSN]],表格2_7[],3,FALSE)</f>
        <v>#08RCV</v>
      </c>
      <c r="J3094" t="s">
        <v>591</v>
      </c>
      <c r="K3094" s="195">
        <v>46101.716793981483</v>
      </c>
      <c r="L3094">
        <v>24</v>
      </c>
      <c r="M3094">
        <v>0</v>
      </c>
      <c r="N3094" s="98" t="str">
        <f>IF(record[[#This Row],[Memo]]="Browser:chrome os:android","平板報工",IF(record[[#This Row],[Memo]]=0,"委外",record[[#This Row],[Memo]]))</f>
        <v>3/20回來多料</v>
      </c>
      <c r="O3094" t="s">
        <v>1657</v>
      </c>
      <c r="P3094" t="s">
        <v>141</v>
      </c>
      <c r="Q3094" t="s">
        <v>58</v>
      </c>
      <c r="R3094" t="str">
        <f>IFERROR(VLOOKUP(record[[#This Row],[PCUSTID]],廠商[],2,FALSE),"")</f>
        <v/>
      </c>
      <c r="S3094" t="str">
        <f>VLOOKUP(record[[#This Row],[employeeID]],員工[],2,FALSE)</f>
        <v>蔣梅</v>
      </c>
    </row>
    <row r="3095" spans="6:19" hidden="1" x14ac:dyDescent="0.25">
      <c r="F3095" t="s">
        <v>1640</v>
      </c>
      <c r="G3095" t="s">
        <v>400</v>
      </c>
      <c r="H3095" t="str">
        <f>VLOOKUP(record[[#This Row],[ProcessSN]],表格2_7[],2,FALSE)</f>
        <v>30-4118-018-550</v>
      </c>
      <c r="I3095" t="str">
        <f>VLOOKUP(record[[#This Row],[ProcessSN]],表格2_7[],3,FALSE)</f>
        <v>#100</v>
      </c>
      <c r="J3095" t="s">
        <v>598</v>
      </c>
      <c r="K3095" s="195">
        <v>46101.715856481482</v>
      </c>
      <c r="L3095">
        <v>291</v>
      </c>
      <c r="M3095">
        <v>0</v>
      </c>
      <c r="N3095" s="98" t="str">
        <f>IF(record[[#This Row],[Memo]]="Browser:chrome os:android","平板報工",IF(record[[#This Row],[Memo]]=0,"委外",record[[#This Row],[Memo]]))</f>
        <v/>
      </c>
      <c r="O3095" t="s">
        <v>58</v>
      </c>
      <c r="P3095" t="s">
        <v>141</v>
      </c>
      <c r="Q3095" t="s">
        <v>58</v>
      </c>
      <c r="R3095" t="str">
        <f>IFERROR(VLOOKUP(record[[#This Row],[PCUSTID]],廠商[],2,FALSE),"")</f>
        <v/>
      </c>
      <c r="S3095" t="str">
        <f>VLOOKUP(record[[#This Row],[employeeID]],員工[],2,FALSE)</f>
        <v>蔣梅</v>
      </c>
    </row>
    <row r="3096" spans="6:19" hidden="1" x14ac:dyDescent="0.25">
      <c r="F3096" t="s">
        <v>1653</v>
      </c>
      <c r="G3096" t="s">
        <v>414</v>
      </c>
      <c r="H3096" t="str">
        <f>VLOOKUP(record[[#This Row],[ProcessSN]],表格2_7[],2,FALSE)</f>
        <v>30-4118-018-5XX</v>
      </c>
      <c r="I3096" t="str">
        <f>VLOOKUP(record[[#This Row],[ProcessSN]],表格2_7[],3,FALSE)</f>
        <v>#03</v>
      </c>
      <c r="J3096" t="s">
        <v>588</v>
      </c>
      <c r="K3096" s="195">
        <v>46101.712581018517</v>
      </c>
      <c r="L3096">
        <v>288</v>
      </c>
      <c r="M3096">
        <v>0</v>
      </c>
      <c r="N3096" s="98" t="str">
        <f>IF(record[[#This Row],[Memo]]="Browser:chrome os:android","平板報工",IF(record[[#This Row],[Memo]]=0,"委外",record[[#This Row],[Memo]]))</f>
        <v/>
      </c>
      <c r="O3096" t="s">
        <v>58</v>
      </c>
      <c r="P3096" t="s">
        <v>107</v>
      </c>
      <c r="Q3096" t="s">
        <v>58</v>
      </c>
      <c r="R3096" t="str">
        <f>IFERROR(VLOOKUP(record[[#This Row],[PCUSTID]],廠商[],2,FALSE),"")</f>
        <v/>
      </c>
      <c r="S3096" t="str">
        <f>VLOOKUP(record[[#This Row],[employeeID]],員工[],2,FALSE)</f>
        <v>黎氏順</v>
      </c>
    </row>
    <row r="3097" spans="6:19" hidden="1" x14ac:dyDescent="0.25">
      <c r="F3097" t="s">
        <v>1593</v>
      </c>
      <c r="G3097" t="s">
        <v>428</v>
      </c>
      <c r="H3097" t="str">
        <f>VLOOKUP(record[[#This Row],[ProcessSN]],表格2_7[],2,FALSE)</f>
        <v>30-4118-018-600</v>
      </c>
      <c r="I3097" t="str">
        <f>VLOOKUP(record[[#This Row],[ProcessSN]],表格2_7[],3,FALSE)</f>
        <v>#100SHIP</v>
      </c>
      <c r="J3097" t="s">
        <v>600</v>
      </c>
      <c r="K3097" s="195">
        <v>46101.681828703702</v>
      </c>
      <c r="L3097">
        <v>3</v>
      </c>
      <c r="M3097">
        <v>0</v>
      </c>
      <c r="N3097" s="98" t="str">
        <f>IF(record[[#This Row],[Memo]]="Browser:chrome os:android","平板報工",IF(record[[#This Row],[Memo]]=0,"委外",record[[#This Row],[Memo]]))</f>
        <v/>
      </c>
      <c r="O3097" t="s">
        <v>58</v>
      </c>
      <c r="P3097" t="s">
        <v>886</v>
      </c>
      <c r="Q3097" t="s">
        <v>58</v>
      </c>
      <c r="R3097" t="str">
        <f>IFERROR(VLOOKUP(record[[#This Row],[PCUSTID]],廠商[],2,FALSE),"")</f>
        <v/>
      </c>
      <c r="S3097" t="str">
        <f>VLOOKUP(record[[#This Row],[employeeID]],員工[],2,FALSE)</f>
        <v>謝蓁薰</v>
      </c>
    </row>
    <row r="3098" spans="6:19" hidden="1" x14ac:dyDescent="0.25">
      <c r="F3098" t="s">
        <v>1639</v>
      </c>
      <c r="G3098" t="s">
        <v>424</v>
      </c>
      <c r="H3098" t="str">
        <f>VLOOKUP(record[[#This Row],[ProcessSN]],表格2_7[],2,FALSE)</f>
        <v>30-4118-018-600</v>
      </c>
      <c r="I3098" t="str">
        <f>VLOOKUP(record[[#This Row],[ProcessSN]],表格2_7[],3,FALSE)</f>
        <v>#08IQC</v>
      </c>
      <c r="J3098" t="s">
        <v>583</v>
      </c>
      <c r="K3098" s="195">
        <v>46101.660312499997</v>
      </c>
      <c r="L3098">
        <v>189</v>
      </c>
      <c r="M3098">
        <v>0</v>
      </c>
      <c r="N3098" s="98" t="str">
        <f>IF(record[[#This Row],[Memo]]="Browser:chrome os:android","平板報工",IF(record[[#This Row],[Memo]]=0,"委外",record[[#This Row],[Memo]]))</f>
        <v/>
      </c>
      <c r="O3098" t="s">
        <v>58</v>
      </c>
      <c r="P3098" t="s">
        <v>109</v>
      </c>
      <c r="Q3098" t="s">
        <v>58</v>
      </c>
      <c r="R3098" t="str">
        <f>IFERROR(VLOOKUP(record[[#This Row],[PCUSTID]],廠商[],2,FALSE),"")</f>
        <v/>
      </c>
      <c r="S3098" t="str">
        <f>VLOOKUP(record[[#This Row],[employeeID]],員工[],2,FALSE)</f>
        <v>裴氏璧鳳</v>
      </c>
    </row>
    <row r="3099" spans="6:19" hidden="1" x14ac:dyDescent="0.25">
      <c r="F3099" t="s">
        <v>1587</v>
      </c>
      <c r="G3099" t="s">
        <v>374</v>
      </c>
      <c r="H3099" t="str">
        <f>VLOOKUP(record[[#This Row],[ProcessSN]],表格2_7[],2,FALSE)</f>
        <v>30-4118-018-4XX</v>
      </c>
      <c r="I3099" t="str">
        <f>VLOOKUP(record[[#This Row],[ProcessSN]],表格2_7[],3,FALSE)</f>
        <v>#04</v>
      </c>
      <c r="J3099" t="s">
        <v>588</v>
      </c>
      <c r="K3099" s="195">
        <v>46101.65729166667</v>
      </c>
      <c r="L3099">
        <v>140</v>
      </c>
      <c r="M3099">
        <v>0</v>
      </c>
      <c r="N3099" s="98" t="str">
        <f>IF(record[[#This Row],[Memo]]="Browser:chrome os:android","平板報工",IF(record[[#This Row],[Memo]]=0,"委外",record[[#This Row],[Memo]]))</f>
        <v>平板報工</v>
      </c>
      <c r="O3099" t="s">
        <v>643</v>
      </c>
      <c r="P3099" t="s">
        <v>107</v>
      </c>
      <c r="Q3099" t="s">
        <v>644</v>
      </c>
      <c r="R3099" t="str">
        <f>IFERROR(VLOOKUP(record[[#This Row],[PCUSTID]],廠商[],2,FALSE),"")</f>
        <v/>
      </c>
      <c r="S3099" t="str">
        <f>VLOOKUP(record[[#This Row],[employeeID]],員工[],2,FALSE)</f>
        <v>黎氏順</v>
      </c>
    </row>
    <row r="3100" spans="6:19" hidden="1" x14ac:dyDescent="0.25">
      <c r="F3100" t="s">
        <v>1569</v>
      </c>
      <c r="G3100" t="s">
        <v>449</v>
      </c>
      <c r="H3100" t="str">
        <f>VLOOKUP(record[[#This Row],[ProcessSN]],表格2_7[],2,FALSE)</f>
        <v>30-4118-018-6XX</v>
      </c>
      <c r="I3100" t="str">
        <f>VLOOKUP(record[[#This Row],[ProcessSN]],表格2_7[],3,FALSE)</f>
        <v>#05</v>
      </c>
      <c r="J3100" t="s">
        <v>588</v>
      </c>
      <c r="K3100" s="195">
        <v>46101.655949074076</v>
      </c>
      <c r="L3100">
        <v>88</v>
      </c>
      <c r="M3100">
        <v>0</v>
      </c>
      <c r="N3100" s="98" t="str">
        <f>IF(record[[#This Row],[Memo]]="Browser:chrome os:android","平板報工",IF(record[[#This Row],[Memo]]=0,"委外",record[[#This Row],[Memo]]))</f>
        <v>平板報工</v>
      </c>
      <c r="O3100" t="s">
        <v>643</v>
      </c>
      <c r="P3100" t="s">
        <v>107</v>
      </c>
      <c r="Q3100" t="s">
        <v>644</v>
      </c>
      <c r="R3100" t="str">
        <f>IFERROR(VLOOKUP(record[[#This Row],[PCUSTID]],廠商[],2,FALSE),"")</f>
        <v/>
      </c>
      <c r="S3100" t="str">
        <f>VLOOKUP(record[[#This Row],[employeeID]],員工[],2,FALSE)</f>
        <v>黎氏順</v>
      </c>
    </row>
    <row r="3101" spans="6:19" hidden="1" x14ac:dyDescent="0.25">
      <c r="F3101" t="s">
        <v>1640</v>
      </c>
      <c r="G3101" t="s">
        <v>399</v>
      </c>
      <c r="H3101" t="str">
        <f>VLOOKUP(record[[#This Row],[ProcessSN]],表格2_7[],2,FALSE)</f>
        <v>30-4118-018-550</v>
      </c>
      <c r="I3101" t="str">
        <f>VLOOKUP(record[[#This Row],[ProcessSN]],表格2_7[],3,FALSE)</f>
        <v>#08IQC</v>
      </c>
      <c r="J3101" t="s">
        <v>583</v>
      </c>
      <c r="K3101" s="195">
        <v>46101.655266203707</v>
      </c>
      <c r="L3101">
        <v>295</v>
      </c>
      <c r="M3101">
        <v>0</v>
      </c>
      <c r="N3101" s="98" t="str">
        <f>IF(record[[#This Row],[Memo]]="Browser:chrome os:android","平板報工",IF(record[[#This Row],[Memo]]=0,"委外",record[[#This Row],[Memo]]))</f>
        <v/>
      </c>
      <c r="O3101" t="s">
        <v>58</v>
      </c>
      <c r="P3101" t="s">
        <v>109</v>
      </c>
      <c r="Q3101" t="s">
        <v>58</v>
      </c>
      <c r="R3101" t="str">
        <f>IFERROR(VLOOKUP(record[[#This Row],[PCUSTID]],廠商[],2,FALSE),"")</f>
        <v/>
      </c>
      <c r="S3101" t="str">
        <f>VLOOKUP(record[[#This Row],[employeeID]],員工[],2,FALSE)</f>
        <v>裴氏璧鳳</v>
      </c>
    </row>
    <row r="3102" spans="6:19" hidden="1" x14ac:dyDescent="0.25">
      <c r="F3102" t="s">
        <v>1569</v>
      </c>
      <c r="G3102" t="s">
        <v>450</v>
      </c>
      <c r="H3102" t="str">
        <f>VLOOKUP(record[[#This Row],[ProcessSN]],表格2_7[],2,FALSE)</f>
        <v>30-4118-018-6XX</v>
      </c>
      <c r="I3102" t="str">
        <f>VLOOKUP(record[[#This Row],[ProcessSN]],表格2_7[],3,FALSE)</f>
        <v>#06</v>
      </c>
      <c r="J3102" t="s">
        <v>593</v>
      </c>
      <c r="K3102" s="195">
        <v>46101.642974537041</v>
      </c>
      <c r="L3102">
        <v>100</v>
      </c>
      <c r="M3102">
        <v>0</v>
      </c>
      <c r="N3102" s="98" t="str">
        <f>IF(record[[#This Row],[Memo]]="Browser:chrome os:android","平板報工",IF(record[[#This Row],[Memo]]=0,"委外",record[[#This Row],[Memo]]))</f>
        <v>平板報工</v>
      </c>
      <c r="O3102" t="s">
        <v>643</v>
      </c>
      <c r="P3102" t="s">
        <v>1413</v>
      </c>
      <c r="Q3102" t="s">
        <v>644</v>
      </c>
      <c r="R3102" t="str">
        <f>IFERROR(VLOOKUP(record[[#This Row],[PCUSTID]],廠商[],2,FALSE),"")</f>
        <v/>
      </c>
      <c r="S3102" t="str">
        <f>VLOOKUP(record[[#This Row],[employeeID]],員工[],2,FALSE)</f>
        <v>阮氏芳英(芳)</v>
      </c>
    </row>
    <row r="3103" spans="6:19" hidden="1" x14ac:dyDescent="0.25">
      <c r="F3103" t="s">
        <v>1639</v>
      </c>
      <c r="G3103" t="s">
        <v>423</v>
      </c>
      <c r="H3103" t="str">
        <f>VLOOKUP(record[[#This Row],[ProcessSN]],表格2_7[],2,FALSE)</f>
        <v>30-4118-018-600</v>
      </c>
      <c r="I3103" t="str">
        <f>VLOOKUP(record[[#This Row],[ProcessSN]],表格2_7[],3,FALSE)</f>
        <v>#08RCV</v>
      </c>
      <c r="J3103" t="s">
        <v>591</v>
      </c>
      <c r="K3103" s="195">
        <v>46101.631932870368</v>
      </c>
      <c r="L3103">
        <v>20</v>
      </c>
      <c r="M3103">
        <v>0</v>
      </c>
      <c r="N3103" s="98" t="str">
        <f>IF(record[[#This Row],[Memo]]="Browser:chrome os:android","平板報工",IF(record[[#This Row],[Memo]]=0,"委外",record[[#This Row],[Memo]]))</f>
        <v/>
      </c>
      <c r="O3103" t="s">
        <v>58</v>
      </c>
      <c r="P3103" t="s">
        <v>1611</v>
      </c>
      <c r="Q3103" t="s">
        <v>58</v>
      </c>
      <c r="R3103" t="str">
        <f>IFERROR(VLOOKUP(record[[#This Row],[PCUSTID]],廠商[],2,FALSE),"")</f>
        <v/>
      </c>
      <c r="S3103" t="str">
        <f>VLOOKUP(record[[#This Row],[employeeID]],員工[],2,FALSE)</f>
        <v>林沛瑄</v>
      </c>
    </row>
    <row r="3104" spans="6:19" hidden="1" x14ac:dyDescent="0.25">
      <c r="F3104" t="s">
        <v>1640</v>
      </c>
      <c r="G3104" t="s">
        <v>398</v>
      </c>
      <c r="H3104" t="str">
        <f>VLOOKUP(record[[#This Row],[ProcessSN]],表格2_7[],2,FALSE)</f>
        <v>30-4118-018-550</v>
      </c>
      <c r="I3104" t="str">
        <f>VLOOKUP(record[[#This Row],[ProcessSN]],表格2_7[],3,FALSE)</f>
        <v>#08RCV</v>
      </c>
      <c r="J3104" t="s">
        <v>591</v>
      </c>
      <c r="K3104" s="195">
        <v>46101.631747685184</v>
      </c>
      <c r="L3104">
        <v>12</v>
      </c>
      <c r="M3104">
        <v>0</v>
      </c>
      <c r="N3104" s="98" t="str">
        <f>IF(record[[#This Row],[Memo]]="Browser:chrome os:android","平板報工",IF(record[[#This Row],[Memo]]=0,"委外",record[[#This Row],[Memo]]))</f>
        <v/>
      </c>
      <c r="O3104" t="s">
        <v>58</v>
      </c>
      <c r="P3104" t="s">
        <v>1611</v>
      </c>
      <c r="Q3104" t="s">
        <v>58</v>
      </c>
      <c r="R3104" t="str">
        <f>IFERROR(VLOOKUP(record[[#This Row],[PCUSTID]],廠商[],2,FALSE),"")</f>
        <v/>
      </c>
      <c r="S3104" t="str">
        <f>VLOOKUP(record[[#This Row],[employeeID]],員工[],2,FALSE)</f>
        <v>林沛瑄</v>
      </c>
    </row>
    <row r="3105" spans="6:19" hidden="1" x14ac:dyDescent="0.25">
      <c r="F3105" t="s">
        <v>1639</v>
      </c>
      <c r="G3105" t="s">
        <v>423</v>
      </c>
      <c r="H3105" t="str">
        <f>VLOOKUP(record[[#This Row],[ProcessSN]],表格2_7[],2,FALSE)</f>
        <v>30-4118-018-600</v>
      </c>
      <c r="I3105" t="str">
        <f>VLOOKUP(record[[#This Row],[ProcessSN]],表格2_7[],3,FALSE)</f>
        <v>#08RCV</v>
      </c>
      <c r="J3105" t="s">
        <v>591</v>
      </c>
      <c r="K3105" s="195">
        <v>46101.631006944444</v>
      </c>
      <c r="L3105">
        <v>0</v>
      </c>
      <c r="M3105">
        <v>8</v>
      </c>
      <c r="N3105" s="98" t="str">
        <f>IF(record[[#This Row],[Memo]]="Browser:chrome os:android","平板報工",IF(record[[#This Row],[Memo]]=0,"委外",record[[#This Row],[Memo]]))</f>
        <v>素材不良</v>
      </c>
      <c r="O3105" t="s">
        <v>1448</v>
      </c>
      <c r="P3105" t="s">
        <v>1611</v>
      </c>
      <c r="Q3105" t="s">
        <v>58</v>
      </c>
      <c r="R3105" t="str">
        <f>IFERROR(VLOOKUP(record[[#This Row],[PCUSTID]],廠商[],2,FALSE),"")</f>
        <v/>
      </c>
      <c r="S3105" t="str">
        <f>VLOOKUP(record[[#This Row],[employeeID]],員工[],2,FALSE)</f>
        <v>林沛瑄</v>
      </c>
    </row>
    <row r="3106" spans="6:19" hidden="1" x14ac:dyDescent="0.25">
      <c r="F3106" t="s">
        <v>1639</v>
      </c>
      <c r="G3106" t="s">
        <v>423</v>
      </c>
      <c r="H3106" t="str">
        <f>VLOOKUP(record[[#This Row],[ProcessSN]],表格2_7[],2,FALSE)</f>
        <v>30-4118-018-600</v>
      </c>
      <c r="I3106" t="str">
        <f>VLOOKUP(record[[#This Row],[ProcessSN]],表格2_7[],3,FALSE)</f>
        <v>#08RCV</v>
      </c>
      <c r="J3106" t="s">
        <v>591</v>
      </c>
      <c r="K3106" s="195">
        <v>46101.630729166667</v>
      </c>
      <c r="L3106">
        <v>169</v>
      </c>
      <c r="M3106">
        <v>0</v>
      </c>
      <c r="N3106" s="98" t="str">
        <f>IF(record[[#This Row],[Memo]]="Browser:chrome os:android","平板報工",IF(record[[#This Row],[Memo]]=0,"委外",record[[#This Row],[Memo]]))</f>
        <v/>
      </c>
      <c r="O3106" t="s">
        <v>58</v>
      </c>
      <c r="P3106" t="s">
        <v>1611</v>
      </c>
      <c r="Q3106" t="s">
        <v>58</v>
      </c>
      <c r="R3106" t="str">
        <f>IFERROR(VLOOKUP(record[[#This Row],[PCUSTID]],廠商[],2,FALSE),"")</f>
        <v/>
      </c>
      <c r="S3106" t="str">
        <f>VLOOKUP(record[[#This Row],[employeeID]],員工[],2,FALSE)</f>
        <v>林沛瑄</v>
      </c>
    </row>
    <row r="3107" spans="6:19" hidden="1" x14ac:dyDescent="0.25">
      <c r="F3107" t="s">
        <v>1640</v>
      </c>
      <c r="G3107" t="s">
        <v>398</v>
      </c>
      <c r="H3107" t="str">
        <f>VLOOKUP(record[[#This Row],[ProcessSN]],表格2_7[],2,FALSE)</f>
        <v>30-4118-018-550</v>
      </c>
      <c r="I3107" t="str">
        <f>VLOOKUP(record[[#This Row],[ProcessSN]],表格2_7[],3,FALSE)</f>
        <v>#08RCV</v>
      </c>
      <c r="J3107" t="s">
        <v>591</v>
      </c>
      <c r="K3107" s="195">
        <v>46101.630300925928</v>
      </c>
      <c r="L3107">
        <v>0</v>
      </c>
      <c r="M3107">
        <v>22</v>
      </c>
      <c r="N3107" s="98" t="str">
        <f>IF(record[[#This Row],[Memo]]="Browser:chrome os:android","平板報工",IF(record[[#This Row],[Memo]]=0,"委外",record[[#This Row],[Memo]]))</f>
        <v>素材不良</v>
      </c>
      <c r="O3107" t="s">
        <v>1448</v>
      </c>
      <c r="P3107" t="s">
        <v>1611</v>
      </c>
      <c r="Q3107" t="s">
        <v>58</v>
      </c>
      <c r="R3107" t="str">
        <f>IFERROR(VLOOKUP(record[[#This Row],[PCUSTID]],廠商[],2,FALSE),"")</f>
        <v/>
      </c>
      <c r="S3107" t="str">
        <f>VLOOKUP(record[[#This Row],[employeeID]],員工[],2,FALSE)</f>
        <v>林沛瑄</v>
      </c>
    </row>
    <row r="3108" spans="6:19" hidden="1" x14ac:dyDescent="0.25">
      <c r="F3108" t="s">
        <v>1640</v>
      </c>
      <c r="G3108" t="s">
        <v>398</v>
      </c>
      <c r="H3108" t="str">
        <f>VLOOKUP(record[[#This Row],[ProcessSN]],表格2_7[],2,FALSE)</f>
        <v>30-4118-018-550</v>
      </c>
      <c r="I3108" t="str">
        <f>VLOOKUP(record[[#This Row],[ProcessSN]],表格2_7[],3,FALSE)</f>
        <v>#08RCV</v>
      </c>
      <c r="J3108" t="s">
        <v>591</v>
      </c>
      <c r="K3108" s="195">
        <v>46101.629965277774</v>
      </c>
      <c r="L3108">
        <v>283</v>
      </c>
      <c r="M3108">
        <v>0</v>
      </c>
      <c r="N3108" s="98" t="str">
        <f>IF(record[[#This Row],[Memo]]="Browser:chrome os:android","平板報工",IF(record[[#This Row],[Memo]]=0,"委外",record[[#This Row],[Memo]]))</f>
        <v/>
      </c>
      <c r="O3108" t="s">
        <v>58</v>
      </c>
      <c r="P3108" t="s">
        <v>1611</v>
      </c>
      <c r="Q3108" t="s">
        <v>58</v>
      </c>
      <c r="R3108" t="str">
        <f>IFERROR(VLOOKUP(record[[#This Row],[PCUSTID]],廠商[],2,FALSE),"")</f>
        <v/>
      </c>
      <c r="S3108" t="str">
        <f>VLOOKUP(record[[#This Row],[employeeID]],員工[],2,FALSE)</f>
        <v>林沛瑄</v>
      </c>
    </row>
    <row r="3109" spans="6:19" hidden="1" x14ac:dyDescent="0.25">
      <c r="F3109" t="s">
        <v>1656</v>
      </c>
      <c r="G3109" t="s">
        <v>397</v>
      </c>
      <c r="H3109" t="str">
        <f>VLOOKUP(record[[#This Row],[ProcessSN]],表格2_7[],2,FALSE)</f>
        <v>30-4118-018-550</v>
      </c>
      <c r="I3109" t="str">
        <f>VLOOKUP(record[[#This Row],[ProcessSN]],表格2_7[],3,FALSE)</f>
        <v>#08</v>
      </c>
      <c r="J3109" t="s">
        <v>597</v>
      </c>
      <c r="K3109" s="195">
        <v>46101.620324074072</v>
      </c>
      <c r="L3109">
        <v>883</v>
      </c>
      <c r="M3109">
        <v>0</v>
      </c>
      <c r="N3109" s="98" t="str">
        <f>IF(record[[#This Row],[Memo]]="Browser:chrome os:android","平板報工",IF(record[[#This Row],[Memo]]=0,"委外",record[[#This Row],[Memo]]))</f>
        <v>委外</v>
      </c>
      <c r="P3109" t="s">
        <v>886</v>
      </c>
      <c r="Q3109" t="s">
        <v>287</v>
      </c>
      <c r="R3109" t="str">
        <f>IFERROR(VLOOKUP(record[[#This Row],[PCUSTID]],廠商[],2,FALSE),"")</f>
        <v>泉盛</v>
      </c>
      <c r="S3109" t="str">
        <f>VLOOKUP(record[[#This Row],[employeeID]],員工[],2,FALSE)</f>
        <v>謝蓁薰</v>
      </c>
    </row>
    <row r="3110" spans="6:19" hidden="1" x14ac:dyDescent="0.25">
      <c r="F3110" t="s">
        <v>1656</v>
      </c>
      <c r="G3110" t="s">
        <v>396</v>
      </c>
      <c r="H3110" t="str">
        <f>VLOOKUP(record[[#This Row],[ProcessSN]],表格2_7[],2,FALSE)</f>
        <v>30-4118-018-550</v>
      </c>
      <c r="I3110" t="str">
        <f>VLOOKUP(record[[#This Row],[ProcessSN]],表格2_7[],3,FALSE)</f>
        <v>#08PICK</v>
      </c>
      <c r="J3110" t="s">
        <v>582</v>
      </c>
      <c r="K3110" s="195">
        <v>46101.567233796297</v>
      </c>
      <c r="L3110">
        <v>883</v>
      </c>
      <c r="M3110">
        <v>0</v>
      </c>
      <c r="N3110" s="98" t="str">
        <f>IF(record[[#This Row],[Memo]]="Browser:chrome os:android","平板報工",IF(record[[#This Row],[Memo]]=0,"委外",record[[#This Row],[Memo]]))</f>
        <v/>
      </c>
      <c r="O3110" t="s">
        <v>58</v>
      </c>
      <c r="P3110" t="s">
        <v>886</v>
      </c>
      <c r="Q3110" t="s">
        <v>58</v>
      </c>
      <c r="R3110" t="str">
        <f>IFERROR(VLOOKUP(record[[#This Row],[PCUSTID]],廠商[],2,FALSE),"")</f>
        <v/>
      </c>
      <c r="S3110" t="str">
        <f>VLOOKUP(record[[#This Row],[employeeID]],員工[],2,FALSE)</f>
        <v>謝蓁薰</v>
      </c>
    </row>
    <row r="3111" spans="6:19" hidden="1" x14ac:dyDescent="0.25">
      <c r="F3111" t="s">
        <v>1602</v>
      </c>
      <c r="G3111" t="s">
        <v>466</v>
      </c>
      <c r="H3111" t="str">
        <f>VLOOKUP(record[[#This Row],[ProcessSN]],表格2_7[],2,FALSE)</f>
        <v>30-4118-018-XXX</v>
      </c>
      <c r="I3111" t="str">
        <f>VLOOKUP(record[[#This Row],[ProcessSN]],表格2_7[],3,FALSE)</f>
        <v>#01-2</v>
      </c>
      <c r="J3111" t="s">
        <v>588</v>
      </c>
      <c r="K3111" s="195">
        <v>46101.559374999997</v>
      </c>
      <c r="L3111">
        <v>19</v>
      </c>
      <c r="M3111">
        <v>0</v>
      </c>
      <c r="N3111" s="98" t="str">
        <f>IF(record[[#This Row],[Memo]]="Browser:chrome os:android","平板報工",IF(record[[#This Row],[Memo]]=0,"委外",record[[#This Row],[Memo]]))</f>
        <v/>
      </c>
      <c r="O3111" t="s">
        <v>58</v>
      </c>
      <c r="P3111" t="s">
        <v>1075</v>
      </c>
      <c r="Q3111" t="s">
        <v>58</v>
      </c>
      <c r="R3111" t="str">
        <f>IFERROR(VLOOKUP(record[[#This Row],[PCUSTID]],廠商[],2,FALSE),"")</f>
        <v/>
      </c>
      <c r="S3111" t="str">
        <f>VLOOKUP(record[[#This Row],[employeeID]],員工[],2,FALSE)</f>
        <v>吳宥叡</v>
      </c>
    </row>
    <row r="3112" spans="6:19" hidden="1" x14ac:dyDescent="0.25">
      <c r="F3112" t="s">
        <v>1602</v>
      </c>
      <c r="G3112" t="s">
        <v>465</v>
      </c>
      <c r="H3112" t="str">
        <f>VLOOKUP(record[[#This Row],[ProcessSN]],表格2_7[],2,FALSE)</f>
        <v>30-4118-018-XXX</v>
      </c>
      <c r="I3112" t="str">
        <f>VLOOKUP(record[[#This Row],[ProcessSN]],表格2_7[],3,FALSE)</f>
        <v>#01-1</v>
      </c>
      <c r="J3112" t="s">
        <v>588</v>
      </c>
      <c r="K3112" s="195">
        <v>46101.559293981481</v>
      </c>
      <c r="L3112">
        <v>19</v>
      </c>
      <c r="M3112">
        <v>0</v>
      </c>
      <c r="N3112" s="98" t="str">
        <f>IF(record[[#This Row],[Memo]]="Browser:chrome os:android","平板報工",IF(record[[#This Row],[Memo]]=0,"委外",record[[#This Row],[Memo]]))</f>
        <v/>
      </c>
      <c r="O3112" t="s">
        <v>58</v>
      </c>
      <c r="P3112" t="s">
        <v>1075</v>
      </c>
      <c r="Q3112" t="s">
        <v>58</v>
      </c>
      <c r="R3112" t="str">
        <f>IFERROR(VLOOKUP(record[[#This Row],[PCUSTID]],廠商[],2,FALSE),"")</f>
        <v/>
      </c>
      <c r="S3112" t="str">
        <f>VLOOKUP(record[[#This Row],[employeeID]],員工[],2,FALSE)</f>
        <v>吳宥叡</v>
      </c>
    </row>
    <row r="3113" spans="6:19" hidden="1" x14ac:dyDescent="0.25">
      <c r="F3113" t="s">
        <v>1655</v>
      </c>
      <c r="G3113" t="s">
        <v>462</v>
      </c>
      <c r="H3113" t="str">
        <f>VLOOKUP(record[[#This Row],[ProcessSN]],表格2_7[],2,FALSE)</f>
        <v>30-4118-018-XXX</v>
      </c>
      <c r="I3113" t="str">
        <f>VLOOKUP(record[[#This Row],[ProcessSN]],表格2_7[],3,FALSE)</f>
        <v>#00PICK</v>
      </c>
      <c r="J3113" t="s">
        <v>582</v>
      </c>
      <c r="K3113" s="195">
        <v>46101.509282407409</v>
      </c>
      <c r="L3113">
        <v>5000</v>
      </c>
      <c r="M3113">
        <v>0</v>
      </c>
      <c r="N3113" s="98" t="str">
        <f>IF(record[[#This Row],[Memo]]="Browser:chrome os:android","平板報工",IF(record[[#This Row],[Memo]]=0,"委外",record[[#This Row],[Memo]]))</f>
        <v/>
      </c>
      <c r="O3113" t="s">
        <v>58</v>
      </c>
      <c r="P3113" t="s">
        <v>186</v>
      </c>
      <c r="Q3113" t="s">
        <v>58</v>
      </c>
      <c r="R3113" t="str">
        <f>IFERROR(VLOOKUP(record[[#This Row],[PCUSTID]],廠商[],2,FALSE),"")</f>
        <v/>
      </c>
      <c r="S3113" t="str">
        <f>VLOOKUP(record[[#This Row],[employeeID]],員工[],2,FALSE)</f>
        <v>許文姍</v>
      </c>
    </row>
    <row r="3114" spans="6:19" hidden="1" x14ac:dyDescent="0.25">
      <c r="F3114" t="s">
        <v>1602</v>
      </c>
      <c r="G3114" t="s">
        <v>469</v>
      </c>
      <c r="H3114" t="str">
        <f>VLOOKUP(record[[#This Row],[ProcessSN]],表格2_7[],2,FALSE)</f>
        <v>30-4118-018-XXX</v>
      </c>
      <c r="I3114" t="str">
        <f>VLOOKUP(record[[#This Row],[ProcessSN]],表格2_7[],3,FALSE)</f>
        <v>#02RCV</v>
      </c>
      <c r="J3114" t="s">
        <v>591</v>
      </c>
      <c r="K3114" s="195">
        <v>46101.499074074076</v>
      </c>
      <c r="L3114">
        <v>0</v>
      </c>
      <c r="M3114">
        <v>1</v>
      </c>
      <c r="N3114" s="98" t="str">
        <f>IF(record[[#This Row],[Memo]]="Browser:chrome os:android","平板報工",IF(record[[#This Row],[Memo]]=0,"委外",record[[#This Row],[Memo]]))</f>
        <v/>
      </c>
      <c r="O3114" t="s">
        <v>58</v>
      </c>
      <c r="P3114" t="s">
        <v>186</v>
      </c>
      <c r="Q3114" t="s">
        <v>58</v>
      </c>
      <c r="R3114" t="str">
        <f>IFERROR(VLOOKUP(record[[#This Row],[PCUSTID]],廠商[],2,FALSE),"")</f>
        <v/>
      </c>
      <c r="S3114" t="str">
        <f>VLOOKUP(record[[#This Row],[employeeID]],員工[],2,FALSE)</f>
        <v>許文姍</v>
      </c>
    </row>
    <row r="3115" spans="6:19" hidden="1" x14ac:dyDescent="0.25">
      <c r="F3115" t="s">
        <v>1602</v>
      </c>
      <c r="G3115" t="s">
        <v>469</v>
      </c>
      <c r="H3115" t="str">
        <f>VLOOKUP(record[[#This Row],[ProcessSN]],表格2_7[],2,FALSE)</f>
        <v>30-4118-018-XXX</v>
      </c>
      <c r="I3115" t="str">
        <f>VLOOKUP(record[[#This Row],[ProcessSN]],表格2_7[],3,FALSE)</f>
        <v>#02RCV</v>
      </c>
      <c r="J3115" t="s">
        <v>591</v>
      </c>
      <c r="K3115" s="195">
        <v>46101.498969907407</v>
      </c>
      <c r="L3115">
        <v>167</v>
      </c>
      <c r="M3115">
        <v>0</v>
      </c>
      <c r="N3115" s="98" t="str">
        <f>IF(record[[#This Row],[Memo]]="Browser:chrome os:android","平板報工",IF(record[[#This Row],[Memo]]=0,"委外",record[[#This Row],[Memo]]))</f>
        <v/>
      </c>
      <c r="O3115" t="s">
        <v>58</v>
      </c>
      <c r="P3115" t="s">
        <v>186</v>
      </c>
      <c r="Q3115" t="s">
        <v>58</v>
      </c>
      <c r="R3115" t="str">
        <f>IFERROR(VLOOKUP(record[[#This Row],[PCUSTID]],廠商[],2,FALSE),"")</f>
        <v/>
      </c>
      <c r="S3115" t="str">
        <f>VLOOKUP(record[[#This Row],[employeeID]],員工[],2,FALSE)</f>
        <v>許文姍</v>
      </c>
    </row>
    <row r="3116" spans="6:19" hidden="1" x14ac:dyDescent="0.25">
      <c r="F3116" t="s">
        <v>1589</v>
      </c>
      <c r="G3116" t="s">
        <v>419</v>
      </c>
      <c r="H3116" t="str">
        <f>VLOOKUP(record[[#This Row],[ProcessSN]],表格2_7[],2,FALSE)</f>
        <v>30-4118-018-5XX</v>
      </c>
      <c r="I3116" t="str">
        <f>VLOOKUP(record[[#This Row],[ProcessSN]],表格2_7[],3,FALSE)</f>
        <v>#07QC</v>
      </c>
      <c r="J3116" t="s">
        <v>589</v>
      </c>
      <c r="K3116" s="195">
        <v>46101.469849537039</v>
      </c>
      <c r="L3116">
        <v>860</v>
      </c>
      <c r="M3116">
        <v>0</v>
      </c>
      <c r="N3116" s="98" t="str">
        <f>IF(record[[#This Row],[Memo]]="Browser:chrome os:android","平板報工",IF(record[[#This Row],[Memo]]=0,"委外",record[[#This Row],[Memo]]))</f>
        <v/>
      </c>
      <c r="O3116" t="s">
        <v>58</v>
      </c>
      <c r="P3116" t="s">
        <v>141</v>
      </c>
      <c r="Q3116" t="s">
        <v>58</v>
      </c>
      <c r="R3116" t="str">
        <f>IFERROR(VLOOKUP(record[[#This Row],[PCUSTID]],廠商[],2,FALSE),"")</f>
        <v/>
      </c>
      <c r="S3116" t="str">
        <f>VLOOKUP(record[[#This Row],[employeeID]],員工[],2,FALSE)</f>
        <v>蔣梅</v>
      </c>
    </row>
    <row r="3117" spans="6:19" hidden="1" x14ac:dyDescent="0.25">
      <c r="F3117" t="s">
        <v>1540</v>
      </c>
      <c r="G3117" t="s">
        <v>419</v>
      </c>
      <c r="H3117" t="str">
        <f>VLOOKUP(record[[#This Row],[ProcessSN]],表格2_7[],2,FALSE)</f>
        <v>30-4118-018-5XX</v>
      </c>
      <c r="I3117" t="str">
        <f>VLOOKUP(record[[#This Row],[ProcessSN]],表格2_7[],3,FALSE)</f>
        <v>#07QC</v>
      </c>
      <c r="J3117" t="s">
        <v>589</v>
      </c>
      <c r="K3117" s="195">
        <v>46101.469340277778</v>
      </c>
      <c r="L3117">
        <v>23</v>
      </c>
      <c r="M3117">
        <v>0</v>
      </c>
      <c r="N3117" s="98" t="str">
        <f>IF(record[[#This Row],[Memo]]="Browser:chrome os:android","平板報工",IF(record[[#This Row],[Memo]]=0,"委外",record[[#This Row],[Memo]]))</f>
        <v/>
      </c>
      <c r="O3117" t="s">
        <v>58</v>
      </c>
      <c r="P3117" t="s">
        <v>141</v>
      </c>
      <c r="Q3117" t="s">
        <v>58</v>
      </c>
      <c r="R3117" t="str">
        <f>IFERROR(VLOOKUP(record[[#This Row],[PCUSTID]],廠商[],2,FALSE),"")</f>
        <v/>
      </c>
      <c r="S3117" t="str">
        <f>VLOOKUP(record[[#This Row],[employeeID]],員工[],2,FALSE)</f>
        <v>蔣梅</v>
      </c>
    </row>
    <row r="3118" spans="6:19" hidden="1" x14ac:dyDescent="0.25">
      <c r="F3118" t="s">
        <v>1602</v>
      </c>
      <c r="G3118" t="s">
        <v>468</v>
      </c>
      <c r="H3118" t="str">
        <f>VLOOKUP(record[[#This Row],[ProcessSN]],表格2_7[],2,FALSE)</f>
        <v>30-4118-018-XXX</v>
      </c>
      <c r="I3118" t="str">
        <f>VLOOKUP(record[[#This Row],[ProcessSN]],表格2_7[],3,FALSE)</f>
        <v>#02</v>
      </c>
      <c r="J3118" t="s">
        <v>590</v>
      </c>
      <c r="K3118" s="195">
        <v>46101.457430555558</v>
      </c>
      <c r="L3118">
        <v>968</v>
      </c>
      <c r="M3118">
        <v>0</v>
      </c>
      <c r="N3118" s="98" t="str">
        <f>IF(record[[#This Row],[Memo]]="Browser:chrome os:android","平板報工",IF(record[[#This Row],[Memo]]=0,"委外",record[[#This Row],[Memo]]))</f>
        <v>委外</v>
      </c>
      <c r="P3118" t="s">
        <v>186</v>
      </c>
      <c r="Q3118" t="s">
        <v>216</v>
      </c>
      <c r="R3118" t="str">
        <f>IFERROR(VLOOKUP(record[[#This Row],[PCUSTID]],廠商[],2,FALSE),"")</f>
        <v>俊杰</v>
      </c>
      <c r="S3118" t="str">
        <f>VLOOKUP(record[[#This Row],[employeeID]],員工[],2,FALSE)</f>
        <v>許文姍</v>
      </c>
    </row>
    <row r="3119" spans="6:19" hidden="1" x14ac:dyDescent="0.25">
      <c r="F3119" t="s">
        <v>1602</v>
      </c>
      <c r="G3119" t="s">
        <v>471</v>
      </c>
      <c r="H3119" t="str">
        <f>VLOOKUP(record[[#This Row],[ProcessSN]],表格2_7[],2,FALSE)</f>
        <v>30-4118-018-XXX</v>
      </c>
      <c r="I3119" t="str">
        <f>VLOOKUP(record[[#This Row],[ProcessSN]],表格2_7[],3,FALSE)</f>
        <v>#02STOCK</v>
      </c>
      <c r="J3119" t="s">
        <v>592</v>
      </c>
      <c r="K3119" s="195">
        <v>46101.435150462959</v>
      </c>
      <c r="L3119">
        <v>2519</v>
      </c>
      <c r="M3119">
        <v>0</v>
      </c>
      <c r="N3119" s="98" t="str">
        <f>IF(record[[#This Row],[Memo]]="Browser:chrome os:android","平板報工",IF(record[[#This Row],[Memo]]=0,"委外",record[[#This Row],[Memo]]))</f>
        <v/>
      </c>
      <c r="O3119" t="s">
        <v>58</v>
      </c>
      <c r="P3119" t="s">
        <v>113</v>
      </c>
      <c r="Q3119" t="s">
        <v>58</v>
      </c>
      <c r="R3119" t="str">
        <f>IFERROR(VLOOKUP(record[[#This Row],[PCUSTID]],廠商[],2,FALSE),"")</f>
        <v/>
      </c>
      <c r="S3119" t="str">
        <f>VLOOKUP(record[[#This Row],[employeeID]],員工[],2,FALSE)</f>
        <v>王奕蓁</v>
      </c>
    </row>
    <row r="3120" spans="6:19" hidden="1" x14ac:dyDescent="0.25">
      <c r="F3120" t="s">
        <v>1654</v>
      </c>
      <c r="G3120" t="s">
        <v>413</v>
      </c>
      <c r="H3120" t="str">
        <f>VLOOKUP(record[[#This Row],[ProcessSN]],表格2_7[],2,FALSE)</f>
        <v>30-4118-018-5XX</v>
      </c>
      <c r="I3120" t="str">
        <f>VLOOKUP(record[[#This Row],[ProcessSN]],表格2_7[],3,FALSE)</f>
        <v>#03GIVE</v>
      </c>
      <c r="J3120" t="s">
        <v>587</v>
      </c>
      <c r="K3120" s="195">
        <v>46101.434791666667</v>
      </c>
      <c r="L3120">
        <v>2519</v>
      </c>
      <c r="M3120">
        <v>0</v>
      </c>
      <c r="N3120" s="98" t="str">
        <f>IF(record[[#This Row],[Memo]]="Browser:chrome os:android","平板報工",IF(record[[#This Row],[Memo]]=0,"委外",record[[#This Row],[Memo]]))</f>
        <v/>
      </c>
      <c r="O3120" t="s">
        <v>58</v>
      </c>
      <c r="P3120" t="s">
        <v>113</v>
      </c>
      <c r="Q3120" t="s">
        <v>58</v>
      </c>
      <c r="R3120" t="str">
        <f>IFERROR(VLOOKUP(record[[#This Row],[PCUSTID]],廠商[],2,FALSE),"")</f>
        <v/>
      </c>
      <c r="S3120" t="str">
        <f>VLOOKUP(record[[#This Row],[employeeID]],員工[],2,FALSE)</f>
        <v>王奕蓁</v>
      </c>
    </row>
    <row r="3121" spans="6:19" hidden="1" x14ac:dyDescent="0.25">
      <c r="F3121" t="s">
        <v>1602</v>
      </c>
      <c r="G3121" t="s">
        <v>466</v>
      </c>
      <c r="H3121" t="str">
        <f>VLOOKUP(record[[#This Row],[ProcessSN]],表格2_7[],2,FALSE)</f>
        <v>30-4118-018-XXX</v>
      </c>
      <c r="I3121" t="str">
        <f>VLOOKUP(record[[#This Row],[ProcessSN]],表格2_7[],3,FALSE)</f>
        <v>#01-2</v>
      </c>
      <c r="J3121" t="s">
        <v>588</v>
      </c>
      <c r="K3121" s="195">
        <v>46101.355844907404</v>
      </c>
      <c r="L3121">
        <v>56</v>
      </c>
      <c r="M3121">
        <v>0</v>
      </c>
      <c r="N3121" s="98" t="str">
        <f>IF(record[[#This Row],[Memo]]="Browser:chrome os:android","平板報工",IF(record[[#This Row],[Memo]]=0,"委外",record[[#This Row],[Memo]]))</f>
        <v/>
      </c>
      <c r="O3121" t="s">
        <v>58</v>
      </c>
      <c r="P3121" t="s">
        <v>101</v>
      </c>
      <c r="Q3121" t="s">
        <v>58</v>
      </c>
      <c r="R3121" t="str">
        <f>IFERROR(VLOOKUP(record[[#This Row],[PCUSTID]],廠商[],2,FALSE),"")</f>
        <v/>
      </c>
      <c r="S3121" t="str">
        <f>VLOOKUP(record[[#This Row],[employeeID]],員工[],2,FALSE)</f>
        <v>陳氏絨</v>
      </c>
    </row>
    <row r="3122" spans="6:19" hidden="1" x14ac:dyDescent="0.25">
      <c r="F3122" t="s">
        <v>1602</v>
      </c>
      <c r="G3122" t="s">
        <v>465</v>
      </c>
      <c r="H3122" t="str">
        <f>VLOOKUP(record[[#This Row],[ProcessSN]],表格2_7[],2,FALSE)</f>
        <v>30-4118-018-XXX</v>
      </c>
      <c r="I3122" t="str">
        <f>VLOOKUP(record[[#This Row],[ProcessSN]],表格2_7[],3,FALSE)</f>
        <v>#01-1</v>
      </c>
      <c r="J3122" t="s">
        <v>588</v>
      </c>
      <c r="K3122" s="195">
        <v>46101.355682870373</v>
      </c>
      <c r="L3122">
        <v>56</v>
      </c>
      <c r="M3122">
        <v>0</v>
      </c>
      <c r="N3122" s="98" t="str">
        <f>IF(record[[#This Row],[Memo]]="Browser:chrome os:android","平板報工",IF(record[[#This Row],[Memo]]=0,"委外",record[[#This Row],[Memo]]))</f>
        <v/>
      </c>
      <c r="O3122" t="s">
        <v>58</v>
      </c>
      <c r="P3122" t="s">
        <v>101</v>
      </c>
      <c r="Q3122" t="s">
        <v>58</v>
      </c>
      <c r="R3122" t="str">
        <f>IFERROR(VLOOKUP(record[[#This Row],[PCUSTID]],廠商[],2,FALSE),"")</f>
        <v/>
      </c>
      <c r="S3122" t="str">
        <f>VLOOKUP(record[[#This Row],[employeeID]],員工[],2,FALSE)</f>
        <v>陳氏絨</v>
      </c>
    </row>
    <row r="3123" spans="6:19" hidden="1" x14ac:dyDescent="0.25">
      <c r="F3123" t="s">
        <v>1569</v>
      </c>
      <c r="G3123" t="s">
        <v>450</v>
      </c>
      <c r="H3123" t="str">
        <f>VLOOKUP(record[[#This Row],[ProcessSN]],表格2_7[],2,FALSE)</f>
        <v>30-4118-018-6XX</v>
      </c>
      <c r="I3123" t="str">
        <f>VLOOKUP(record[[#This Row],[ProcessSN]],表格2_7[],3,FALSE)</f>
        <v>#06</v>
      </c>
      <c r="J3123" t="s">
        <v>593</v>
      </c>
      <c r="K3123" s="195">
        <v>46101.310601851852</v>
      </c>
      <c r="L3123">
        <v>132</v>
      </c>
      <c r="M3123">
        <v>0</v>
      </c>
      <c r="N3123" s="98" t="str">
        <f>IF(record[[#This Row],[Memo]]="Browser:chrome os:android","平板報工",IF(record[[#This Row],[Memo]]=0,"委外",record[[#This Row],[Memo]]))</f>
        <v/>
      </c>
      <c r="O3123" t="s">
        <v>58</v>
      </c>
      <c r="P3123" t="s">
        <v>180</v>
      </c>
      <c r="Q3123" t="s">
        <v>58</v>
      </c>
      <c r="R3123" t="str">
        <f>IFERROR(VLOOKUP(record[[#This Row],[PCUSTID]],廠商[],2,FALSE),"")</f>
        <v/>
      </c>
      <c r="S3123" t="str">
        <f>VLOOKUP(record[[#This Row],[employeeID]],員工[],2,FALSE)</f>
        <v>黎功江</v>
      </c>
    </row>
    <row r="3124" spans="6:19" hidden="1" x14ac:dyDescent="0.25">
      <c r="F3124" t="s">
        <v>1587</v>
      </c>
      <c r="G3124" t="s">
        <v>374</v>
      </c>
      <c r="H3124" t="str">
        <f>VLOOKUP(record[[#This Row],[ProcessSN]],表格2_7[],2,FALSE)</f>
        <v>30-4118-018-4XX</v>
      </c>
      <c r="I3124" t="str">
        <f>VLOOKUP(record[[#This Row],[ProcessSN]],表格2_7[],3,FALSE)</f>
        <v>#04</v>
      </c>
      <c r="J3124" t="s">
        <v>588</v>
      </c>
      <c r="K3124" s="195">
        <v>46101.30846064815</v>
      </c>
      <c r="L3124">
        <v>129</v>
      </c>
      <c r="M3124">
        <v>0</v>
      </c>
      <c r="N3124" s="98" t="str">
        <f>IF(record[[#This Row],[Memo]]="Browser:chrome os:android","平板報工",IF(record[[#This Row],[Memo]]=0,"委外",record[[#This Row],[Memo]]))</f>
        <v/>
      </c>
      <c r="O3124" t="s">
        <v>58</v>
      </c>
      <c r="P3124" t="s">
        <v>806</v>
      </c>
      <c r="Q3124" t="s">
        <v>58</v>
      </c>
      <c r="R3124" t="str">
        <f>IFERROR(VLOOKUP(record[[#This Row],[PCUSTID]],廠商[],2,FALSE),"")</f>
        <v/>
      </c>
      <c r="S3124" t="str">
        <f>VLOOKUP(record[[#This Row],[employeeID]],員工[],2,FALSE)</f>
        <v>方思緯</v>
      </c>
    </row>
    <row r="3125" spans="6:19" hidden="1" x14ac:dyDescent="0.25">
      <c r="F3125" t="s">
        <v>1589</v>
      </c>
      <c r="G3125" t="s">
        <v>418</v>
      </c>
      <c r="H3125" t="str">
        <f>VLOOKUP(record[[#This Row],[ProcessSN]],表格2_7[],2,FALSE)</f>
        <v>30-4118-018-5XX</v>
      </c>
      <c r="I3125" t="str">
        <f>VLOOKUP(record[[#This Row],[ProcessSN]],表格2_7[],3,FALSE)</f>
        <v>#07</v>
      </c>
      <c r="J3125" t="s">
        <v>588</v>
      </c>
      <c r="K3125" s="195">
        <v>46101.303993055553</v>
      </c>
      <c r="L3125">
        <v>166</v>
      </c>
      <c r="M3125">
        <v>4</v>
      </c>
      <c r="N3125" s="98" t="str">
        <f>IF(record[[#This Row],[Memo]]="Browser:chrome os:android","平板報工",IF(record[[#This Row],[Memo]]=0,"委外",record[[#This Row],[Memo]]))</f>
        <v/>
      </c>
      <c r="O3125" t="s">
        <v>58</v>
      </c>
      <c r="P3125" t="s">
        <v>843</v>
      </c>
      <c r="Q3125" t="s">
        <v>58</v>
      </c>
      <c r="R3125" t="str">
        <f>IFERROR(VLOOKUP(record[[#This Row],[PCUSTID]],廠商[],2,FALSE),"")</f>
        <v/>
      </c>
      <c r="S3125" t="str">
        <f>VLOOKUP(record[[#This Row],[employeeID]],員工[],2,FALSE)</f>
        <v>張楚承</v>
      </c>
    </row>
    <row r="3126" spans="6:19" hidden="1" x14ac:dyDescent="0.25">
      <c r="F3126" t="s">
        <v>1569</v>
      </c>
      <c r="G3126" t="s">
        <v>449</v>
      </c>
      <c r="H3126" t="str">
        <f>VLOOKUP(record[[#This Row],[ProcessSN]],表格2_7[],2,FALSE)</f>
        <v>30-4118-018-6XX</v>
      </c>
      <c r="I3126" t="str">
        <f>VLOOKUP(record[[#This Row],[ProcessSN]],表格2_7[],3,FALSE)</f>
        <v>#05</v>
      </c>
      <c r="J3126" t="s">
        <v>588</v>
      </c>
      <c r="K3126" s="195">
        <v>46101.303356481483</v>
      </c>
      <c r="L3126">
        <v>167</v>
      </c>
      <c r="M3126">
        <v>0</v>
      </c>
      <c r="N3126" s="98" t="str">
        <f>IF(record[[#This Row],[Memo]]="Browser:chrome os:android","平板報工",IF(record[[#This Row],[Memo]]=0,"委外",record[[#This Row],[Memo]]))</f>
        <v/>
      </c>
      <c r="O3126" t="s">
        <v>58</v>
      </c>
      <c r="P3126" t="s">
        <v>843</v>
      </c>
      <c r="Q3126" t="s">
        <v>58</v>
      </c>
      <c r="R3126" t="str">
        <f>IFERROR(VLOOKUP(record[[#This Row],[PCUSTID]],廠商[],2,FALSE),"")</f>
        <v/>
      </c>
      <c r="S3126" t="str">
        <f>VLOOKUP(record[[#This Row],[employeeID]],員工[],2,FALSE)</f>
        <v>張楚承</v>
      </c>
    </row>
    <row r="3127" spans="6:19" hidden="1" x14ac:dyDescent="0.25">
      <c r="F3127" t="s">
        <v>1652</v>
      </c>
      <c r="G3127" t="s">
        <v>447</v>
      </c>
      <c r="H3127" t="str">
        <f>VLOOKUP(record[[#This Row],[ProcessSN]],表格2_7[],2,FALSE)</f>
        <v>30-4118-018-6XX</v>
      </c>
      <c r="I3127" t="str">
        <f>VLOOKUP(record[[#This Row],[ProcessSN]],表格2_7[],3,FALSE)</f>
        <v>#03</v>
      </c>
      <c r="J3127" t="s">
        <v>588</v>
      </c>
      <c r="K3127" s="195">
        <v>46100.977592592593</v>
      </c>
      <c r="L3127">
        <v>168</v>
      </c>
      <c r="M3127">
        <v>0</v>
      </c>
      <c r="N3127" s="98" t="str">
        <f>IF(record[[#This Row],[Memo]]="Browser:chrome os:android","平板報工",IF(record[[#This Row],[Memo]]=0,"委外",record[[#This Row],[Memo]]))</f>
        <v/>
      </c>
      <c r="O3127" t="s">
        <v>58</v>
      </c>
      <c r="P3127" t="s">
        <v>89</v>
      </c>
      <c r="Q3127" t="s">
        <v>58</v>
      </c>
      <c r="R3127" t="str">
        <f>IFERROR(VLOOKUP(record[[#This Row],[PCUSTID]],廠商[],2,FALSE),"")</f>
        <v/>
      </c>
      <c r="S3127" t="str">
        <f>VLOOKUP(record[[#This Row],[employeeID]],員工[],2,FALSE)</f>
        <v>李美蓮</v>
      </c>
    </row>
    <row r="3128" spans="6:19" hidden="1" x14ac:dyDescent="0.25">
      <c r="F3128" t="s">
        <v>1587</v>
      </c>
      <c r="G3128" t="s">
        <v>374</v>
      </c>
      <c r="H3128" t="str">
        <f>VLOOKUP(record[[#This Row],[ProcessSN]],表格2_7[],2,FALSE)</f>
        <v>30-4118-018-4XX</v>
      </c>
      <c r="I3128" t="str">
        <f>VLOOKUP(record[[#This Row],[ProcessSN]],表格2_7[],3,FALSE)</f>
        <v>#04</v>
      </c>
      <c r="J3128" t="s">
        <v>588</v>
      </c>
      <c r="K3128" s="195">
        <v>46100.976759259262</v>
      </c>
      <c r="L3128">
        <v>124</v>
      </c>
      <c r="M3128">
        <v>0</v>
      </c>
      <c r="N3128" s="98" t="str">
        <f>IF(record[[#This Row],[Memo]]="Browser:chrome os:android","平板報工",IF(record[[#This Row],[Memo]]=0,"委外",record[[#This Row],[Memo]]))</f>
        <v/>
      </c>
      <c r="O3128" t="s">
        <v>58</v>
      </c>
      <c r="P3128" t="s">
        <v>89</v>
      </c>
      <c r="Q3128" t="s">
        <v>58</v>
      </c>
      <c r="R3128" t="str">
        <f>IFERROR(VLOOKUP(record[[#This Row],[PCUSTID]],廠商[],2,FALSE),"")</f>
        <v/>
      </c>
      <c r="S3128" t="str">
        <f>VLOOKUP(record[[#This Row],[employeeID]],員工[],2,FALSE)</f>
        <v>李美蓮</v>
      </c>
    </row>
    <row r="3129" spans="6:19" hidden="1" x14ac:dyDescent="0.25">
      <c r="F3129" t="s">
        <v>1589</v>
      </c>
      <c r="G3129" t="s">
        <v>418</v>
      </c>
      <c r="H3129" t="str">
        <f>VLOOKUP(record[[#This Row],[ProcessSN]],表格2_7[],2,FALSE)</f>
        <v>30-4118-018-5XX</v>
      </c>
      <c r="I3129" t="str">
        <f>VLOOKUP(record[[#This Row],[ProcessSN]],表格2_7[],3,FALSE)</f>
        <v>#07</v>
      </c>
      <c r="J3129" t="s">
        <v>588</v>
      </c>
      <c r="K3129" s="195">
        <v>46100.976215277777</v>
      </c>
      <c r="L3129">
        <v>223</v>
      </c>
      <c r="M3129">
        <v>4</v>
      </c>
      <c r="N3129" s="98" t="str">
        <f>IF(record[[#This Row],[Memo]]="Browser:chrome os:android","平板報工",IF(record[[#This Row],[Memo]]=0,"委外",record[[#This Row],[Memo]]))</f>
        <v/>
      </c>
      <c r="O3129" t="s">
        <v>58</v>
      </c>
      <c r="P3129" t="s">
        <v>1098</v>
      </c>
      <c r="Q3129" t="s">
        <v>58</v>
      </c>
      <c r="R3129" t="str">
        <f>IFERROR(VLOOKUP(record[[#This Row],[PCUSTID]],廠商[],2,FALSE),"")</f>
        <v/>
      </c>
      <c r="S3129" t="str">
        <f>VLOOKUP(record[[#This Row],[employeeID]],員工[],2,FALSE)</f>
        <v>阮氏芳英(英)</v>
      </c>
    </row>
    <row r="3130" spans="6:19" hidden="1" x14ac:dyDescent="0.25">
      <c r="F3130" t="s">
        <v>1569</v>
      </c>
      <c r="G3130" t="s">
        <v>449</v>
      </c>
      <c r="H3130" t="str">
        <f>VLOOKUP(record[[#This Row],[ProcessSN]],表格2_7[],2,FALSE)</f>
        <v>30-4118-018-6XX</v>
      </c>
      <c r="I3130" t="str">
        <f>VLOOKUP(record[[#This Row],[ProcessSN]],表格2_7[],3,FALSE)</f>
        <v>#05</v>
      </c>
      <c r="J3130" t="s">
        <v>588</v>
      </c>
      <c r="K3130" s="195">
        <v>46100.971261574072</v>
      </c>
      <c r="L3130">
        <v>204</v>
      </c>
      <c r="M3130">
        <v>1</v>
      </c>
      <c r="N3130" s="98" t="str">
        <f>IF(record[[#This Row],[Memo]]="Browser:chrome os:android","平板報工",IF(record[[#This Row],[Memo]]=0,"委外",record[[#This Row],[Memo]]))</f>
        <v/>
      </c>
      <c r="O3130" t="s">
        <v>58</v>
      </c>
      <c r="P3130" t="s">
        <v>1098</v>
      </c>
      <c r="Q3130" t="s">
        <v>58</v>
      </c>
      <c r="R3130" t="str">
        <f>IFERROR(VLOOKUP(record[[#This Row],[PCUSTID]],廠商[],2,FALSE),"")</f>
        <v/>
      </c>
      <c r="S3130" t="str">
        <f>VLOOKUP(record[[#This Row],[employeeID]],員工[],2,FALSE)</f>
        <v>阮氏芳英(英)</v>
      </c>
    </row>
    <row r="3131" spans="6:19" hidden="1" x14ac:dyDescent="0.25">
      <c r="F3131" t="s">
        <v>1602</v>
      </c>
      <c r="G3131" t="s">
        <v>470</v>
      </c>
      <c r="H3131" t="str">
        <f>VLOOKUP(record[[#This Row],[ProcessSN]],表格2_7[],2,FALSE)</f>
        <v>30-4118-018-XXX</v>
      </c>
      <c r="I3131" t="str">
        <f>VLOOKUP(record[[#This Row],[ProcessSN]],表格2_7[],3,FALSE)</f>
        <v>#02IQC</v>
      </c>
      <c r="J3131" t="s">
        <v>583</v>
      </c>
      <c r="K3131" s="195">
        <v>46100.823182870372</v>
      </c>
      <c r="L3131">
        <v>1680</v>
      </c>
      <c r="M3131">
        <v>0</v>
      </c>
      <c r="N3131" s="98" t="str">
        <f>IF(record[[#This Row],[Memo]]="Browser:chrome os:android","平板報工",IF(record[[#This Row],[Memo]]=0,"委外",record[[#This Row],[Memo]]))</f>
        <v/>
      </c>
      <c r="O3131" t="s">
        <v>58</v>
      </c>
      <c r="P3131" t="s">
        <v>109</v>
      </c>
      <c r="Q3131" t="s">
        <v>58</v>
      </c>
      <c r="R3131" t="str">
        <f>IFERROR(VLOOKUP(record[[#This Row],[PCUSTID]],廠商[],2,FALSE),"")</f>
        <v/>
      </c>
      <c r="S3131" t="str">
        <f>VLOOKUP(record[[#This Row],[employeeID]],員工[],2,FALSE)</f>
        <v>裴氏璧鳳</v>
      </c>
    </row>
    <row r="3132" spans="6:19" hidden="1" x14ac:dyDescent="0.25">
      <c r="F3132" t="s">
        <v>1602</v>
      </c>
      <c r="G3132" t="s">
        <v>467</v>
      </c>
      <c r="H3132" t="str">
        <f>VLOOKUP(record[[#This Row],[ProcessSN]],表格2_7[],2,FALSE)</f>
        <v>30-4118-018-XXX</v>
      </c>
      <c r="I3132" t="str">
        <f>VLOOKUP(record[[#This Row],[ProcessSN]],表格2_7[],3,FALSE)</f>
        <v>#01QC</v>
      </c>
      <c r="J3132" t="s">
        <v>589</v>
      </c>
      <c r="K3132" s="195">
        <v>46100.811701388891</v>
      </c>
      <c r="L3132">
        <v>968</v>
      </c>
      <c r="M3132">
        <v>0</v>
      </c>
      <c r="N3132" s="98" t="str">
        <f>IF(record[[#This Row],[Memo]]="Browser:chrome os:android","平板報工",IF(record[[#This Row],[Memo]]=0,"委外",record[[#This Row],[Memo]]))</f>
        <v>平板報工</v>
      </c>
      <c r="O3132" t="s">
        <v>643</v>
      </c>
      <c r="P3132" t="s">
        <v>182</v>
      </c>
      <c r="Q3132" t="s">
        <v>644</v>
      </c>
      <c r="R3132" t="str">
        <f>IFERROR(VLOOKUP(record[[#This Row],[PCUSTID]],廠商[],2,FALSE),"")</f>
        <v/>
      </c>
      <c r="S3132" t="str">
        <f>VLOOKUP(record[[#This Row],[employeeID]],員工[],2,FALSE)</f>
        <v>梅氏和</v>
      </c>
    </row>
    <row r="3133" spans="6:19" hidden="1" x14ac:dyDescent="0.25">
      <c r="F3133" t="s">
        <v>1587</v>
      </c>
      <c r="G3133" t="s">
        <v>375</v>
      </c>
      <c r="H3133" t="str">
        <f>VLOOKUP(record[[#This Row],[ProcessSN]],表格2_7[],2,FALSE)</f>
        <v>30-4118-018-4XX</v>
      </c>
      <c r="I3133" t="str">
        <f>VLOOKUP(record[[#This Row],[ProcessSN]],表格2_7[],3,FALSE)</f>
        <v>#05</v>
      </c>
      <c r="J3133" t="s">
        <v>588</v>
      </c>
      <c r="K3133" s="195">
        <v>46100.80846064815</v>
      </c>
      <c r="L3133">
        <v>23</v>
      </c>
      <c r="M3133">
        <v>0</v>
      </c>
      <c r="N3133" s="98" t="str">
        <f>IF(record[[#This Row],[Memo]]="Browser:chrome os:android","平板報工",IF(record[[#This Row],[Memo]]=0,"委外",record[[#This Row],[Memo]]))</f>
        <v/>
      </c>
      <c r="O3133" t="s">
        <v>58</v>
      </c>
      <c r="P3133" t="s">
        <v>1098</v>
      </c>
      <c r="Q3133" t="s">
        <v>58</v>
      </c>
      <c r="R3133" t="str">
        <f>IFERROR(VLOOKUP(record[[#This Row],[PCUSTID]],廠商[],2,FALSE),"")</f>
        <v/>
      </c>
      <c r="S3133" t="str">
        <f>VLOOKUP(record[[#This Row],[employeeID]],員工[],2,FALSE)</f>
        <v>阮氏芳英(英)</v>
      </c>
    </row>
    <row r="3134" spans="6:19" hidden="1" x14ac:dyDescent="0.25">
      <c r="F3134" t="s">
        <v>1637</v>
      </c>
      <c r="G3134" t="s">
        <v>447</v>
      </c>
      <c r="H3134" t="str">
        <f>VLOOKUP(record[[#This Row],[ProcessSN]],表格2_7[],2,FALSE)</f>
        <v>30-4118-018-6XX</v>
      </c>
      <c r="I3134" t="str">
        <f>VLOOKUP(record[[#This Row],[ProcessSN]],表格2_7[],3,FALSE)</f>
        <v>#03</v>
      </c>
      <c r="J3134" t="s">
        <v>588</v>
      </c>
      <c r="K3134" s="195">
        <v>46100.808136574073</v>
      </c>
      <c r="L3134">
        <v>127</v>
      </c>
      <c r="M3134">
        <v>0</v>
      </c>
      <c r="N3134" s="98" t="str">
        <f>IF(record[[#This Row],[Memo]]="Browser:chrome os:android","平板報工",IF(record[[#This Row],[Memo]]=0,"委外",record[[#This Row],[Memo]]))</f>
        <v/>
      </c>
      <c r="O3134" t="s">
        <v>58</v>
      </c>
      <c r="P3134" t="s">
        <v>89</v>
      </c>
      <c r="Q3134" t="s">
        <v>58</v>
      </c>
      <c r="R3134" t="str">
        <f>IFERROR(VLOOKUP(record[[#This Row],[PCUSTID]],廠商[],2,FALSE),"")</f>
        <v/>
      </c>
      <c r="S3134" t="str">
        <f>VLOOKUP(record[[#This Row],[employeeID]],員工[],2,FALSE)</f>
        <v>李美蓮</v>
      </c>
    </row>
    <row r="3135" spans="6:19" hidden="1" x14ac:dyDescent="0.25">
      <c r="F3135" t="s">
        <v>1569</v>
      </c>
      <c r="G3135" t="s">
        <v>450</v>
      </c>
      <c r="H3135" t="str">
        <f>VLOOKUP(record[[#This Row],[ProcessSN]],表格2_7[],2,FALSE)</f>
        <v>30-4118-018-6XX</v>
      </c>
      <c r="I3135" t="str">
        <f>VLOOKUP(record[[#This Row],[ProcessSN]],表格2_7[],3,FALSE)</f>
        <v>#06</v>
      </c>
      <c r="J3135" t="s">
        <v>593</v>
      </c>
      <c r="K3135" s="195">
        <v>46100.806215277778</v>
      </c>
      <c r="L3135">
        <v>51</v>
      </c>
      <c r="M3135">
        <v>0</v>
      </c>
      <c r="N3135" s="98" t="str">
        <f>IF(record[[#This Row],[Memo]]="Browser:chrome os:android","平板報工",IF(record[[#This Row],[Memo]]=0,"委外",record[[#This Row],[Memo]]))</f>
        <v/>
      </c>
      <c r="O3135" t="s">
        <v>58</v>
      </c>
      <c r="P3135" t="s">
        <v>1413</v>
      </c>
      <c r="Q3135" t="s">
        <v>58</v>
      </c>
      <c r="R3135" t="str">
        <f>IFERROR(VLOOKUP(record[[#This Row],[PCUSTID]],廠商[],2,FALSE),"")</f>
        <v/>
      </c>
      <c r="S3135" t="str">
        <f>VLOOKUP(record[[#This Row],[employeeID]],員工[],2,FALSE)</f>
        <v>阮氏芳英(芳)</v>
      </c>
    </row>
    <row r="3136" spans="6:19" hidden="1" x14ac:dyDescent="0.25">
      <c r="F3136" t="s">
        <v>1589</v>
      </c>
      <c r="G3136" t="s">
        <v>417</v>
      </c>
      <c r="H3136" t="str">
        <f>VLOOKUP(record[[#This Row],[ProcessSN]],表格2_7[],2,FALSE)</f>
        <v>30-4118-018-5XX</v>
      </c>
      <c r="I3136" t="str">
        <f>VLOOKUP(record[[#This Row],[ProcessSN]],表格2_7[],3,FALSE)</f>
        <v>#06</v>
      </c>
      <c r="J3136" t="s">
        <v>593</v>
      </c>
      <c r="K3136" s="195">
        <v>46100.805844907409</v>
      </c>
      <c r="L3136">
        <v>16</v>
      </c>
      <c r="M3136">
        <v>0</v>
      </c>
      <c r="N3136" s="98" t="str">
        <f>IF(record[[#This Row],[Memo]]="Browser:chrome os:android","平板報工",IF(record[[#This Row],[Memo]]=0,"委外",record[[#This Row],[Memo]]))</f>
        <v/>
      </c>
      <c r="O3136" t="s">
        <v>58</v>
      </c>
      <c r="P3136" t="s">
        <v>1413</v>
      </c>
      <c r="Q3136" t="s">
        <v>58</v>
      </c>
      <c r="R3136" t="str">
        <f>IFERROR(VLOOKUP(record[[#This Row],[PCUSTID]],廠商[],2,FALSE),"")</f>
        <v/>
      </c>
      <c r="S3136" t="str">
        <f>VLOOKUP(record[[#This Row],[employeeID]],員工[],2,FALSE)</f>
        <v>阮氏芳英(芳)</v>
      </c>
    </row>
    <row r="3137" spans="6:19" hidden="1" x14ac:dyDescent="0.25">
      <c r="F3137" t="s">
        <v>1641</v>
      </c>
      <c r="G3137" t="s">
        <v>362</v>
      </c>
      <c r="H3137" t="str">
        <f>VLOOKUP(record[[#This Row],[ProcessSN]],表格2_7[],2,FALSE)</f>
        <v>30-4118-018-450</v>
      </c>
      <c r="I3137" t="str">
        <f>VLOOKUP(record[[#This Row],[ProcessSN]],表格2_7[],3,FALSE)</f>
        <v>#100SHIP</v>
      </c>
      <c r="J3137" t="s">
        <v>600</v>
      </c>
      <c r="K3137" s="195">
        <v>46100.723993055559</v>
      </c>
      <c r="L3137">
        <v>379</v>
      </c>
      <c r="M3137">
        <v>0</v>
      </c>
      <c r="N3137" s="98" t="str">
        <f>IF(record[[#This Row],[Memo]]="Browser:chrome os:android","平板報工",IF(record[[#This Row],[Memo]]=0,"委外",record[[#This Row],[Memo]]))</f>
        <v/>
      </c>
      <c r="O3137" t="s">
        <v>58</v>
      </c>
      <c r="P3137" t="s">
        <v>886</v>
      </c>
      <c r="Q3137" t="s">
        <v>58</v>
      </c>
      <c r="R3137" t="str">
        <f>IFERROR(VLOOKUP(record[[#This Row],[PCUSTID]],廠商[],2,FALSE),"")</f>
        <v/>
      </c>
      <c r="S3137" t="str">
        <f>VLOOKUP(record[[#This Row],[employeeID]],員工[],2,FALSE)</f>
        <v>謝蓁薰</v>
      </c>
    </row>
    <row r="3138" spans="6:19" hidden="1" x14ac:dyDescent="0.25">
      <c r="F3138" t="s">
        <v>1641</v>
      </c>
      <c r="G3138" t="s">
        <v>361</v>
      </c>
      <c r="H3138" t="str">
        <f>VLOOKUP(record[[#This Row],[ProcessSN]],表格2_7[],2,FALSE)</f>
        <v>30-4118-018-450</v>
      </c>
      <c r="I3138" t="str">
        <f>VLOOKUP(record[[#This Row],[ProcessSN]],表格2_7[],3,FALSE)</f>
        <v>#100STOCK</v>
      </c>
      <c r="J3138" t="s">
        <v>592</v>
      </c>
      <c r="K3138" s="195">
        <v>46100.723877314813</v>
      </c>
      <c r="L3138">
        <v>379</v>
      </c>
      <c r="M3138">
        <v>0</v>
      </c>
      <c r="N3138" s="98" t="str">
        <f>IF(record[[#This Row],[Memo]]="Browser:chrome os:android","平板報工",IF(record[[#This Row],[Memo]]=0,"委外",record[[#This Row],[Memo]]))</f>
        <v/>
      </c>
      <c r="O3138" t="s">
        <v>58</v>
      </c>
      <c r="P3138" t="s">
        <v>886</v>
      </c>
      <c r="Q3138" t="s">
        <v>58</v>
      </c>
      <c r="R3138" t="str">
        <f>IFERROR(VLOOKUP(record[[#This Row],[PCUSTID]],廠商[],2,FALSE),"")</f>
        <v/>
      </c>
      <c r="S3138" t="str">
        <f>VLOOKUP(record[[#This Row],[employeeID]],員工[],2,FALSE)</f>
        <v>謝蓁薰</v>
      </c>
    </row>
    <row r="3139" spans="6:19" hidden="1" x14ac:dyDescent="0.25">
      <c r="F3139" t="s">
        <v>1641</v>
      </c>
      <c r="G3139" t="s">
        <v>360</v>
      </c>
      <c r="H3139" t="str">
        <f>VLOOKUP(record[[#This Row],[ProcessSN]],表格2_7[],2,FALSE)</f>
        <v>30-4118-018-450</v>
      </c>
      <c r="I3139" t="str">
        <f>VLOOKUP(record[[#This Row],[ProcessSN]],表格2_7[],3,FALSE)</f>
        <v>#100OQC</v>
      </c>
      <c r="J3139" t="s">
        <v>599</v>
      </c>
      <c r="K3139" s="195">
        <v>46100.723240740743</v>
      </c>
      <c r="L3139">
        <v>431</v>
      </c>
      <c r="M3139">
        <v>0</v>
      </c>
      <c r="N3139" s="98" t="str">
        <f>IF(record[[#This Row],[Memo]]="Browser:chrome os:android","平板報工",IF(record[[#This Row],[Memo]]=0,"委外",record[[#This Row],[Memo]]))</f>
        <v/>
      </c>
      <c r="O3139" t="s">
        <v>58</v>
      </c>
      <c r="P3139" t="s">
        <v>121</v>
      </c>
      <c r="Q3139" t="s">
        <v>58</v>
      </c>
      <c r="R3139" t="str">
        <f>IFERROR(VLOOKUP(record[[#This Row],[PCUSTID]],廠商[],2,FALSE),"")</f>
        <v/>
      </c>
      <c r="S3139" t="str">
        <f>VLOOKUP(record[[#This Row],[employeeID]],員工[],2,FALSE)</f>
        <v>謝素卿</v>
      </c>
    </row>
    <row r="3140" spans="6:19" hidden="1" x14ac:dyDescent="0.25">
      <c r="F3140" t="s">
        <v>1602</v>
      </c>
      <c r="G3140" t="s">
        <v>466</v>
      </c>
      <c r="H3140" t="str">
        <f>VLOOKUP(record[[#This Row],[ProcessSN]],表格2_7[],2,FALSE)</f>
        <v>30-4118-018-XXX</v>
      </c>
      <c r="I3140" t="str">
        <f>VLOOKUP(record[[#This Row],[ProcessSN]],表格2_7[],3,FALSE)</f>
        <v>#01-2</v>
      </c>
      <c r="J3140" t="s">
        <v>588</v>
      </c>
      <c r="K3140" s="195">
        <v>46100.669062499997</v>
      </c>
      <c r="L3140">
        <v>435</v>
      </c>
      <c r="M3140">
        <v>0</v>
      </c>
      <c r="N3140" s="98" t="str">
        <f>IF(record[[#This Row],[Memo]]="Browser:chrome os:android","平板報工",IF(record[[#This Row],[Memo]]=0,"委外",record[[#This Row],[Memo]]))</f>
        <v/>
      </c>
      <c r="O3140" t="s">
        <v>58</v>
      </c>
      <c r="P3140" t="s">
        <v>101</v>
      </c>
      <c r="Q3140" t="s">
        <v>58</v>
      </c>
      <c r="R3140" t="str">
        <f>IFERROR(VLOOKUP(record[[#This Row],[PCUSTID]],廠商[],2,FALSE),"")</f>
        <v/>
      </c>
      <c r="S3140" t="str">
        <f>VLOOKUP(record[[#This Row],[employeeID]],員工[],2,FALSE)</f>
        <v>陳氏絨</v>
      </c>
    </row>
    <row r="3141" spans="6:19" hidden="1" x14ac:dyDescent="0.25">
      <c r="F3141" t="s">
        <v>1602</v>
      </c>
      <c r="G3141" t="s">
        <v>465</v>
      </c>
      <c r="H3141" t="str">
        <f>VLOOKUP(record[[#This Row],[ProcessSN]],表格2_7[],2,FALSE)</f>
        <v>30-4118-018-XXX</v>
      </c>
      <c r="I3141" t="str">
        <f>VLOOKUP(record[[#This Row],[ProcessSN]],表格2_7[],3,FALSE)</f>
        <v>#01-1</v>
      </c>
      <c r="J3141" t="s">
        <v>588</v>
      </c>
      <c r="K3141" s="195">
        <v>46100.668900462966</v>
      </c>
      <c r="L3141">
        <v>435</v>
      </c>
      <c r="M3141">
        <v>0</v>
      </c>
      <c r="N3141" s="98" t="str">
        <f>IF(record[[#This Row],[Memo]]="Browser:chrome os:android","平板報工",IF(record[[#This Row],[Memo]]=0,"委外",record[[#This Row],[Memo]]))</f>
        <v/>
      </c>
      <c r="O3141" t="s">
        <v>58</v>
      </c>
      <c r="P3141" t="s">
        <v>101</v>
      </c>
      <c r="Q3141" t="s">
        <v>58</v>
      </c>
      <c r="R3141" t="str">
        <f>IFERROR(VLOOKUP(record[[#This Row],[PCUSTID]],廠商[],2,FALSE),"")</f>
        <v/>
      </c>
      <c r="S3141" t="str">
        <f>VLOOKUP(record[[#This Row],[employeeID]],員工[],2,FALSE)</f>
        <v>陳氏絨</v>
      </c>
    </row>
    <row r="3142" spans="6:19" hidden="1" x14ac:dyDescent="0.25">
      <c r="F3142" t="s">
        <v>1641</v>
      </c>
      <c r="G3142" t="s">
        <v>359</v>
      </c>
      <c r="H3142" t="str">
        <f>VLOOKUP(record[[#This Row],[ProcessSN]],表格2_7[],2,FALSE)</f>
        <v>30-4118-018-450</v>
      </c>
      <c r="I3142" t="str">
        <f>VLOOKUP(record[[#This Row],[ProcessSN]],表格2_7[],3,FALSE)</f>
        <v>#100</v>
      </c>
      <c r="J3142" t="s">
        <v>598</v>
      </c>
      <c r="K3142" s="195">
        <v>46100.652800925927</v>
      </c>
      <c r="L3142">
        <v>0</v>
      </c>
      <c r="M3142">
        <v>17</v>
      </c>
      <c r="N3142" s="98" t="str">
        <f>IF(record[[#This Row],[Memo]]="Browser:chrome os:android","平板報工",IF(record[[#This Row],[Memo]]=0,"委外",record[[#This Row],[Memo]]))</f>
        <v/>
      </c>
      <c r="O3142" t="s">
        <v>58</v>
      </c>
      <c r="P3142" t="s">
        <v>141</v>
      </c>
      <c r="Q3142" t="s">
        <v>58</v>
      </c>
      <c r="R3142" t="str">
        <f>IFERROR(VLOOKUP(record[[#This Row],[PCUSTID]],廠商[],2,FALSE),"")</f>
        <v/>
      </c>
      <c r="S3142" t="str">
        <f>VLOOKUP(record[[#This Row],[employeeID]],員工[],2,FALSE)</f>
        <v>蔣梅</v>
      </c>
    </row>
    <row r="3143" spans="6:19" hidden="1" x14ac:dyDescent="0.25">
      <c r="F3143" t="s">
        <v>1587</v>
      </c>
      <c r="G3143" t="s">
        <v>375</v>
      </c>
      <c r="H3143" t="str">
        <f>VLOOKUP(record[[#This Row],[ProcessSN]],表格2_7[],2,FALSE)</f>
        <v>30-4118-018-4XX</v>
      </c>
      <c r="I3143" t="str">
        <f>VLOOKUP(record[[#This Row],[ProcessSN]],表格2_7[],3,FALSE)</f>
        <v>#05</v>
      </c>
      <c r="J3143" t="s">
        <v>588</v>
      </c>
      <c r="K3143" s="195">
        <v>46100.652685185189</v>
      </c>
      <c r="L3143">
        <v>180</v>
      </c>
      <c r="M3143">
        <v>0</v>
      </c>
      <c r="N3143" s="98" t="str">
        <f>IF(record[[#This Row],[Memo]]="Browser:chrome os:android","平板報工",IF(record[[#This Row],[Memo]]=0,"委外",record[[#This Row],[Memo]]))</f>
        <v>平板報工</v>
      </c>
      <c r="O3143" t="s">
        <v>643</v>
      </c>
      <c r="P3143" t="s">
        <v>145</v>
      </c>
      <c r="Q3143" t="s">
        <v>644</v>
      </c>
      <c r="R3143" t="str">
        <f>IFERROR(VLOOKUP(record[[#This Row],[PCUSTID]],廠商[],2,FALSE),"")</f>
        <v/>
      </c>
      <c r="S3143" t="str">
        <f>VLOOKUP(record[[#This Row],[employeeID]],員工[],2,FALSE)</f>
        <v>阮秋霞</v>
      </c>
    </row>
    <row r="3144" spans="6:19" hidden="1" x14ac:dyDescent="0.25">
      <c r="F3144" t="s">
        <v>1641</v>
      </c>
      <c r="G3144" t="s">
        <v>359</v>
      </c>
      <c r="H3144" t="str">
        <f>VLOOKUP(record[[#This Row],[ProcessSN]],表格2_7[],2,FALSE)</f>
        <v>30-4118-018-450</v>
      </c>
      <c r="I3144" t="str">
        <f>VLOOKUP(record[[#This Row],[ProcessSN]],表格2_7[],3,FALSE)</f>
        <v>#100</v>
      </c>
      <c r="J3144" t="s">
        <v>598</v>
      </c>
      <c r="K3144" s="195">
        <v>46100.652592592596</v>
      </c>
      <c r="L3144">
        <v>431</v>
      </c>
      <c r="M3144">
        <v>0</v>
      </c>
      <c r="N3144" s="98" t="str">
        <f>IF(record[[#This Row],[Memo]]="Browser:chrome os:android","平板報工",IF(record[[#This Row],[Memo]]=0,"委外",record[[#This Row],[Memo]]))</f>
        <v/>
      </c>
      <c r="O3144" t="s">
        <v>58</v>
      </c>
      <c r="P3144" t="s">
        <v>141</v>
      </c>
      <c r="Q3144" t="s">
        <v>58</v>
      </c>
      <c r="R3144" t="str">
        <f>IFERROR(VLOOKUP(record[[#This Row],[PCUSTID]],廠商[],2,FALSE),"")</f>
        <v/>
      </c>
      <c r="S3144" t="str">
        <f>VLOOKUP(record[[#This Row],[employeeID]],員工[],2,FALSE)</f>
        <v>蔣梅</v>
      </c>
    </row>
    <row r="3145" spans="6:19" hidden="1" x14ac:dyDescent="0.25">
      <c r="F3145" t="s">
        <v>1589</v>
      </c>
      <c r="G3145" t="s">
        <v>418</v>
      </c>
      <c r="H3145" t="str">
        <f>VLOOKUP(record[[#This Row],[ProcessSN]],表格2_7[],2,FALSE)</f>
        <v>30-4118-018-5XX</v>
      </c>
      <c r="I3145" t="str">
        <f>VLOOKUP(record[[#This Row],[ProcessSN]],表格2_7[],3,FALSE)</f>
        <v>#07</v>
      </c>
      <c r="J3145" t="s">
        <v>588</v>
      </c>
      <c r="K3145" s="195">
        <v>46100.652060185188</v>
      </c>
      <c r="L3145">
        <v>188</v>
      </c>
      <c r="M3145">
        <v>0</v>
      </c>
      <c r="N3145" s="98" t="str">
        <f>IF(record[[#This Row],[Memo]]="Browser:chrome os:android","平板報工",IF(record[[#This Row],[Memo]]=0,"委外",record[[#This Row],[Memo]]))</f>
        <v>平板報工</v>
      </c>
      <c r="O3145" t="s">
        <v>643</v>
      </c>
      <c r="P3145" t="s">
        <v>145</v>
      </c>
      <c r="Q3145" t="s">
        <v>644</v>
      </c>
      <c r="R3145" t="str">
        <f>IFERROR(VLOOKUP(record[[#This Row],[PCUSTID]],廠商[],2,FALSE),"")</f>
        <v/>
      </c>
      <c r="S3145" t="str">
        <f>VLOOKUP(record[[#This Row],[employeeID]],員工[],2,FALSE)</f>
        <v>阮秋霞</v>
      </c>
    </row>
    <row r="3146" spans="6:19" hidden="1" x14ac:dyDescent="0.25">
      <c r="F3146" t="s">
        <v>1589</v>
      </c>
      <c r="G3146" t="s">
        <v>417</v>
      </c>
      <c r="H3146" t="str">
        <f>VLOOKUP(record[[#This Row],[ProcessSN]],表格2_7[],2,FALSE)</f>
        <v>30-4118-018-5XX</v>
      </c>
      <c r="I3146" t="str">
        <f>VLOOKUP(record[[#This Row],[ProcessSN]],表格2_7[],3,FALSE)</f>
        <v>#06</v>
      </c>
      <c r="J3146" t="s">
        <v>593</v>
      </c>
      <c r="K3146" s="195">
        <v>46100.64949074074</v>
      </c>
      <c r="L3146">
        <v>105</v>
      </c>
      <c r="M3146">
        <v>0</v>
      </c>
      <c r="N3146" s="98" t="str">
        <f>IF(record[[#This Row],[Memo]]="Browser:chrome os:android","平板報工",IF(record[[#This Row],[Memo]]=0,"委外",record[[#This Row],[Memo]]))</f>
        <v>平板報工</v>
      </c>
      <c r="O3146" t="s">
        <v>643</v>
      </c>
      <c r="P3146" t="s">
        <v>1413</v>
      </c>
      <c r="Q3146" t="s">
        <v>644</v>
      </c>
      <c r="R3146" t="str">
        <f>IFERROR(VLOOKUP(record[[#This Row],[PCUSTID]],廠商[],2,FALSE),"")</f>
        <v/>
      </c>
      <c r="S3146" t="str">
        <f>VLOOKUP(record[[#This Row],[employeeID]],員工[],2,FALSE)</f>
        <v>阮氏芳英(芳)</v>
      </c>
    </row>
    <row r="3147" spans="6:19" hidden="1" x14ac:dyDescent="0.25">
      <c r="F3147" t="s">
        <v>1630</v>
      </c>
      <c r="G3147" t="s">
        <v>362</v>
      </c>
      <c r="H3147" t="str">
        <f>VLOOKUP(record[[#This Row],[ProcessSN]],表格2_7[],2,FALSE)</f>
        <v>30-4118-018-450</v>
      </c>
      <c r="I3147" t="str">
        <f>VLOOKUP(record[[#This Row],[ProcessSN]],表格2_7[],3,FALSE)</f>
        <v>#100SHIP</v>
      </c>
      <c r="J3147" t="s">
        <v>600</v>
      </c>
      <c r="K3147" s="195">
        <v>46100.642974537041</v>
      </c>
      <c r="L3147">
        <v>189</v>
      </c>
      <c r="M3147">
        <v>0</v>
      </c>
      <c r="N3147" s="98" t="str">
        <f>IF(record[[#This Row],[Memo]]="Browser:chrome os:android","平板報工",IF(record[[#This Row],[Memo]]=0,"委外",record[[#This Row],[Memo]]))</f>
        <v/>
      </c>
      <c r="O3147" t="s">
        <v>58</v>
      </c>
      <c r="P3147" t="s">
        <v>886</v>
      </c>
      <c r="Q3147" t="s">
        <v>58</v>
      </c>
      <c r="R3147" t="str">
        <f>IFERROR(VLOOKUP(record[[#This Row],[PCUSTID]],廠商[],2,FALSE),"")</f>
        <v/>
      </c>
      <c r="S3147" t="str">
        <f>VLOOKUP(record[[#This Row],[employeeID]],員工[],2,FALSE)</f>
        <v>謝蓁薰</v>
      </c>
    </row>
    <row r="3148" spans="6:19" hidden="1" x14ac:dyDescent="0.25">
      <c r="F3148" t="s">
        <v>1630</v>
      </c>
      <c r="G3148" t="s">
        <v>361</v>
      </c>
      <c r="H3148" t="str">
        <f>VLOOKUP(record[[#This Row],[ProcessSN]],表格2_7[],2,FALSE)</f>
        <v>30-4118-018-450</v>
      </c>
      <c r="I3148" t="str">
        <f>VLOOKUP(record[[#This Row],[ProcessSN]],表格2_7[],3,FALSE)</f>
        <v>#100STOCK</v>
      </c>
      <c r="J3148" t="s">
        <v>592</v>
      </c>
      <c r="K3148" s="195">
        <v>46100.642858796295</v>
      </c>
      <c r="L3148">
        <v>189</v>
      </c>
      <c r="M3148">
        <v>0</v>
      </c>
      <c r="N3148" s="98" t="str">
        <f>IF(record[[#This Row],[Memo]]="Browser:chrome os:android","平板報工",IF(record[[#This Row],[Memo]]=0,"委外",record[[#This Row],[Memo]]))</f>
        <v/>
      </c>
      <c r="O3148" t="s">
        <v>58</v>
      </c>
      <c r="P3148" t="s">
        <v>886</v>
      </c>
      <c r="Q3148" t="s">
        <v>58</v>
      </c>
      <c r="R3148" t="str">
        <f>IFERROR(VLOOKUP(record[[#This Row],[PCUSTID]],廠商[],2,FALSE),"")</f>
        <v/>
      </c>
      <c r="S3148" t="str">
        <f>VLOOKUP(record[[#This Row],[employeeID]],員工[],2,FALSE)</f>
        <v>謝蓁薰</v>
      </c>
    </row>
    <row r="3149" spans="6:19" hidden="1" x14ac:dyDescent="0.25">
      <c r="F3149" t="s">
        <v>1623</v>
      </c>
      <c r="G3149" t="s">
        <v>362</v>
      </c>
      <c r="H3149" t="str">
        <f>VLOOKUP(record[[#This Row],[ProcessSN]],表格2_7[],2,FALSE)</f>
        <v>30-4118-018-450</v>
      </c>
      <c r="I3149" t="str">
        <f>VLOOKUP(record[[#This Row],[ProcessSN]],表格2_7[],3,FALSE)</f>
        <v>#100SHIP</v>
      </c>
      <c r="J3149" t="s">
        <v>600</v>
      </c>
      <c r="K3149" s="195">
        <v>46100.64271990741</v>
      </c>
      <c r="L3149">
        <v>276</v>
      </c>
      <c r="M3149">
        <v>0</v>
      </c>
      <c r="N3149" s="98" t="str">
        <f>IF(record[[#This Row],[Memo]]="Browser:chrome os:android","平板報工",IF(record[[#This Row],[Memo]]=0,"委外",record[[#This Row],[Memo]]))</f>
        <v/>
      </c>
      <c r="O3149" t="s">
        <v>58</v>
      </c>
      <c r="P3149" t="s">
        <v>886</v>
      </c>
      <c r="Q3149" t="s">
        <v>58</v>
      </c>
      <c r="R3149" t="str">
        <f>IFERROR(VLOOKUP(record[[#This Row],[PCUSTID]],廠商[],2,FALSE),"")</f>
        <v/>
      </c>
      <c r="S3149" t="str">
        <f>VLOOKUP(record[[#This Row],[employeeID]],員工[],2,FALSE)</f>
        <v>謝蓁薰</v>
      </c>
    </row>
    <row r="3150" spans="6:19" hidden="1" x14ac:dyDescent="0.25">
      <c r="F3150" t="s">
        <v>1623</v>
      </c>
      <c r="G3150" t="s">
        <v>361</v>
      </c>
      <c r="H3150" t="str">
        <f>VLOOKUP(record[[#This Row],[ProcessSN]],表格2_7[],2,FALSE)</f>
        <v>30-4118-018-450</v>
      </c>
      <c r="I3150" t="str">
        <f>VLOOKUP(record[[#This Row],[ProcessSN]],表格2_7[],3,FALSE)</f>
        <v>#100STOCK</v>
      </c>
      <c r="J3150" t="s">
        <v>592</v>
      </c>
      <c r="K3150" s="195">
        <v>46100.64261574074</v>
      </c>
      <c r="L3150">
        <v>276</v>
      </c>
      <c r="M3150">
        <v>0</v>
      </c>
      <c r="N3150" s="98" t="str">
        <f>IF(record[[#This Row],[Memo]]="Browser:chrome os:android","平板報工",IF(record[[#This Row],[Memo]]=0,"委外",record[[#This Row],[Memo]]))</f>
        <v/>
      </c>
      <c r="O3150" t="s">
        <v>58</v>
      </c>
      <c r="P3150" t="s">
        <v>886</v>
      </c>
      <c r="Q3150" t="s">
        <v>58</v>
      </c>
      <c r="R3150" t="str">
        <f>IFERROR(VLOOKUP(record[[#This Row],[PCUSTID]],廠商[],2,FALSE),"")</f>
        <v/>
      </c>
      <c r="S3150" t="str">
        <f>VLOOKUP(record[[#This Row],[employeeID]],員工[],2,FALSE)</f>
        <v>謝蓁薰</v>
      </c>
    </row>
    <row r="3151" spans="6:19" hidden="1" x14ac:dyDescent="0.25">
      <c r="F3151" t="s">
        <v>1617</v>
      </c>
      <c r="G3151" t="s">
        <v>362</v>
      </c>
      <c r="H3151" t="str">
        <f>VLOOKUP(record[[#This Row],[ProcessSN]],表格2_7[],2,FALSE)</f>
        <v>30-4118-018-450</v>
      </c>
      <c r="I3151" t="str">
        <f>VLOOKUP(record[[#This Row],[ProcessSN]],表格2_7[],3,FALSE)</f>
        <v>#100SHIP</v>
      </c>
      <c r="J3151" t="s">
        <v>600</v>
      </c>
      <c r="K3151" s="195">
        <v>46100.642430555556</v>
      </c>
      <c r="L3151">
        <v>191</v>
      </c>
      <c r="M3151">
        <v>0</v>
      </c>
      <c r="N3151" s="98" t="str">
        <f>IF(record[[#This Row],[Memo]]="Browser:chrome os:android","平板報工",IF(record[[#This Row],[Memo]]=0,"委外",record[[#This Row],[Memo]]))</f>
        <v xml:space="preserve"> </v>
      </c>
      <c r="O3151" t="s">
        <v>644</v>
      </c>
      <c r="P3151" t="s">
        <v>886</v>
      </c>
      <c r="Q3151" t="s">
        <v>58</v>
      </c>
      <c r="R3151" t="str">
        <f>IFERROR(VLOOKUP(record[[#This Row],[PCUSTID]],廠商[],2,FALSE),"")</f>
        <v/>
      </c>
      <c r="S3151" t="str">
        <f>VLOOKUP(record[[#This Row],[employeeID]],員工[],2,FALSE)</f>
        <v>謝蓁薰</v>
      </c>
    </row>
    <row r="3152" spans="6:19" hidden="1" x14ac:dyDescent="0.25">
      <c r="F3152" t="s">
        <v>1652</v>
      </c>
      <c r="G3152" t="s">
        <v>446</v>
      </c>
      <c r="H3152" t="str">
        <f>VLOOKUP(record[[#This Row],[ProcessSN]],表格2_7[],2,FALSE)</f>
        <v>30-4118-018-6XX</v>
      </c>
      <c r="I3152" t="str">
        <f>VLOOKUP(record[[#This Row],[ProcessSN]],表格2_7[],3,FALSE)</f>
        <v>#03GIVE</v>
      </c>
      <c r="J3152" t="s">
        <v>587</v>
      </c>
      <c r="K3152" s="195">
        <v>46100.608819444446</v>
      </c>
      <c r="L3152">
        <v>168</v>
      </c>
      <c r="M3152">
        <v>0</v>
      </c>
      <c r="N3152" s="98" t="str">
        <f>IF(record[[#This Row],[Memo]]="Browser:chrome os:android","平板報工",IF(record[[#This Row],[Memo]]=0,"委外",record[[#This Row],[Memo]]))</f>
        <v/>
      </c>
      <c r="O3152" t="s">
        <v>58</v>
      </c>
      <c r="P3152" t="s">
        <v>1070</v>
      </c>
      <c r="Q3152" t="s">
        <v>58</v>
      </c>
      <c r="R3152" t="str">
        <f>IFERROR(VLOOKUP(record[[#This Row],[PCUSTID]],廠商[],2,FALSE),"")</f>
        <v/>
      </c>
      <c r="S3152" t="str">
        <f>VLOOKUP(record[[#This Row],[employeeID]],員工[],2,FALSE)</f>
        <v>陳昱佑</v>
      </c>
    </row>
    <row r="3153" spans="6:19" hidden="1" x14ac:dyDescent="0.25">
      <c r="F3153" t="s">
        <v>1653</v>
      </c>
      <c r="G3153" t="s">
        <v>412</v>
      </c>
      <c r="H3153" t="str">
        <f>VLOOKUP(record[[#This Row],[ProcessSN]],表格2_7[],2,FALSE)</f>
        <v>30-4118-018-5XX</v>
      </c>
      <c r="I3153" t="str">
        <f>VLOOKUP(record[[#This Row],[ProcessSN]],表格2_7[],3,FALSE)</f>
        <v>#03PICK</v>
      </c>
      <c r="J3153" t="s">
        <v>582</v>
      </c>
      <c r="K3153" s="195">
        <v>46100.598506944443</v>
      </c>
      <c r="L3153">
        <v>3500</v>
      </c>
      <c r="M3153">
        <v>0</v>
      </c>
      <c r="N3153" s="98" t="str">
        <f>IF(record[[#This Row],[Memo]]="Browser:chrome os:android","平板報工",IF(record[[#This Row],[Memo]]=0,"委外",record[[#This Row],[Memo]]))</f>
        <v/>
      </c>
      <c r="O3153" t="s">
        <v>58</v>
      </c>
      <c r="P3153" t="s">
        <v>113</v>
      </c>
      <c r="Q3153" t="s">
        <v>58</v>
      </c>
      <c r="R3153" t="str">
        <f>IFERROR(VLOOKUP(record[[#This Row],[PCUSTID]],廠商[],2,FALSE),"")</f>
        <v/>
      </c>
      <c r="S3153" t="str">
        <f>VLOOKUP(record[[#This Row],[employeeID]],員工[],2,FALSE)</f>
        <v>王奕蓁</v>
      </c>
    </row>
    <row r="3154" spans="6:19" hidden="1" x14ac:dyDescent="0.25">
      <c r="F3154" t="s">
        <v>1652</v>
      </c>
      <c r="G3154" t="s">
        <v>445</v>
      </c>
      <c r="H3154" t="str">
        <f>VLOOKUP(record[[#This Row],[ProcessSN]],表格2_7[],2,FALSE)</f>
        <v>30-4118-018-6XX</v>
      </c>
      <c r="I3154" t="str">
        <f>VLOOKUP(record[[#This Row],[ProcessSN]],表格2_7[],3,FALSE)</f>
        <v>#03PICK</v>
      </c>
      <c r="J3154" t="s">
        <v>582</v>
      </c>
      <c r="K3154" s="195">
        <v>46100.598356481481</v>
      </c>
      <c r="L3154">
        <v>168</v>
      </c>
      <c r="M3154">
        <v>0</v>
      </c>
      <c r="N3154" s="98" t="str">
        <f>IF(record[[#This Row],[Memo]]="Browser:chrome os:android","平板報工",IF(record[[#This Row],[Memo]]=0,"委外",record[[#This Row],[Memo]]))</f>
        <v/>
      </c>
      <c r="O3154" t="s">
        <v>58</v>
      </c>
      <c r="P3154" t="s">
        <v>113</v>
      </c>
      <c r="Q3154" t="s">
        <v>58</v>
      </c>
      <c r="R3154" t="str">
        <f>IFERROR(VLOOKUP(record[[#This Row],[PCUSTID]],廠商[],2,FALSE),"")</f>
        <v/>
      </c>
      <c r="S3154" t="str">
        <f>VLOOKUP(record[[#This Row],[employeeID]],員工[],2,FALSE)</f>
        <v>王奕蓁</v>
      </c>
    </row>
    <row r="3155" spans="6:19" hidden="1" x14ac:dyDescent="0.25">
      <c r="F3155" t="s">
        <v>1580</v>
      </c>
      <c r="G3155" t="s">
        <v>471</v>
      </c>
      <c r="H3155" t="str">
        <f>VLOOKUP(record[[#This Row],[ProcessSN]],表格2_7[],2,FALSE)</f>
        <v>30-4118-018-XXX</v>
      </c>
      <c r="I3155" t="str">
        <f>VLOOKUP(record[[#This Row],[ProcessSN]],表格2_7[],3,FALSE)</f>
        <v>#02STOCK</v>
      </c>
      <c r="J3155" t="s">
        <v>592</v>
      </c>
      <c r="K3155" s="195">
        <v>46100.596134259256</v>
      </c>
      <c r="L3155">
        <v>168</v>
      </c>
      <c r="M3155">
        <v>0</v>
      </c>
      <c r="N3155" s="98" t="str">
        <f>IF(record[[#This Row],[Memo]]="Browser:chrome os:android","平板報工",IF(record[[#This Row],[Memo]]=0,"委外",record[[#This Row],[Memo]]))</f>
        <v/>
      </c>
      <c r="O3155" t="s">
        <v>58</v>
      </c>
      <c r="P3155" t="s">
        <v>113</v>
      </c>
      <c r="Q3155" t="s">
        <v>58</v>
      </c>
      <c r="R3155" t="str">
        <f>IFERROR(VLOOKUP(record[[#This Row],[PCUSTID]],廠商[],2,FALSE),"")</f>
        <v/>
      </c>
      <c r="S3155" t="str">
        <f>VLOOKUP(record[[#This Row],[employeeID]],員工[],2,FALSE)</f>
        <v>王奕蓁</v>
      </c>
    </row>
    <row r="3156" spans="6:19" hidden="1" x14ac:dyDescent="0.25">
      <c r="F3156" t="s">
        <v>1641</v>
      </c>
      <c r="G3156" t="s">
        <v>358</v>
      </c>
      <c r="H3156" t="str">
        <f>VLOOKUP(record[[#This Row],[ProcessSN]],表格2_7[],2,FALSE)</f>
        <v>30-4118-018-450</v>
      </c>
      <c r="I3156" t="str">
        <f>VLOOKUP(record[[#This Row],[ProcessSN]],表格2_7[],3,FALSE)</f>
        <v>#08IQC</v>
      </c>
      <c r="J3156" t="s">
        <v>583</v>
      </c>
      <c r="K3156" s="195">
        <v>46100.549398148149</v>
      </c>
      <c r="L3156">
        <v>448</v>
      </c>
      <c r="M3156">
        <v>0</v>
      </c>
      <c r="N3156" s="98" t="str">
        <f>IF(record[[#This Row],[Memo]]="Browser:chrome os:android","平板報工",IF(record[[#This Row],[Memo]]=0,"委外",record[[#This Row],[Memo]]))</f>
        <v/>
      </c>
      <c r="O3156" t="s">
        <v>58</v>
      </c>
      <c r="P3156" t="s">
        <v>109</v>
      </c>
      <c r="Q3156" t="s">
        <v>58</v>
      </c>
      <c r="R3156" t="str">
        <f>IFERROR(VLOOKUP(record[[#This Row],[PCUSTID]],廠商[],2,FALSE),"")</f>
        <v/>
      </c>
      <c r="S3156" t="str">
        <f>VLOOKUP(record[[#This Row],[employeeID]],員工[],2,FALSE)</f>
        <v>裴氏璧鳳</v>
      </c>
    </row>
    <row r="3157" spans="6:19" hidden="1" x14ac:dyDescent="0.25">
      <c r="F3157" t="s">
        <v>1641</v>
      </c>
      <c r="G3157" t="s">
        <v>357</v>
      </c>
      <c r="H3157" t="str">
        <f>VLOOKUP(record[[#This Row],[ProcessSN]],表格2_7[],2,FALSE)</f>
        <v>30-4118-018-450</v>
      </c>
      <c r="I3157" t="str">
        <f>VLOOKUP(record[[#This Row],[ProcessSN]],表格2_7[],3,FALSE)</f>
        <v>#08RCV</v>
      </c>
      <c r="J3157" t="s">
        <v>591</v>
      </c>
      <c r="K3157" s="195">
        <v>46100.500520833331</v>
      </c>
      <c r="L3157">
        <v>0</v>
      </c>
      <c r="M3157">
        <v>26</v>
      </c>
      <c r="N3157" s="98" t="str">
        <f>IF(record[[#This Row],[Memo]]="Browser:chrome os:android","平板報工",IF(record[[#This Row],[Memo]]=0,"委外",record[[#This Row],[Memo]]))</f>
        <v/>
      </c>
      <c r="O3157" t="s">
        <v>58</v>
      </c>
      <c r="P3157" t="s">
        <v>186</v>
      </c>
      <c r="Q3157" t="s">
        <v>58</v>
      </c>
      <c r="R3157" t="str">
        <f>IFERROR(VLOOKUP(record[[#This Row],[PCUSTID]],廠商[],2,FALSE),"")</f>
        <v/>
      </c>
      <c r="S3157" t="str">
        <f>VLOOKUP(record[[#This Row],[employeeID]],員工[],2,FALSE)</f>
        <v>許文姍</v>
      </c>
    </row>
    <row r="3158" spans="6:19" hidden="1" x14ac:dyDescent="0.25">
      <c r="F3158" t="s">
        <v>1641</v>
      </c>
      <c r="G3158" t="s">
        <v>357</v>
      </c>
      <c r="H3158" t="str">
        <f>VLOOKUP(record[[#This Row],[ProcessSN]],表格2_7[],2,FALSE)</f>
        <v>30-4118-018-450</v>
      </c>
      <c r="I3158" t="str">
        <f>VLOOKUP(record[[#This Row],[ProcessSN]],表格2_7[],3,FALSE)</f>
        <v>#08RCV</v>
      </c>
      <c r="J3158" t="s">
        <v>591</v>
      </c>
      <c r="K3158" s="195">
        <v>46100.500347222223</v>
      </c>
      <c r="L3158">
        <v>448</v>
      </c>
      <c r="M3158">
        <v>0</v>
      </c>
      <c r="N3158" s="98" t="str">
        <f>IF(record[[#This Row],[Memo]]="Browser:chrome os:android","平板報工",IF(record[[#This Row],[Memo]]=0,"委外",record[[#This Row],[Memo]]))</f>
        <v/>
      </c>
      <c r="O3158" t="s">
        <v>58</v>
      </c>
      <c r="P3158" t="s">
        <v>186</v>
      </c>
      <c r="Q3158" t="s">
        <v>58</v>
      </c>
      <c r="R3158" t="str">
        <f>IFERROR(VLOOKUP(record[[#This Row],[PCUSTID]],廠商[],2,FALSE),"")</f>
        <v/>
      </c>
      <c r="S3158" t="str">
        <f>VLOOKUP(record[[#This Row],[employeeID]],員工[],2,FALSE)</f>
        <v>許文姍</v>
      </c>
    </row>
    <row r="3159" spans="6:19" hidden="1" x14ac:dyDescent="0.25">
      <c r="F3159" t="s">
        <v>1602</v>
      </c>
      <c r="G3159" t="s">
        <v>469</v>
      </c>
      <c r="H3159" t="str">
        <f>VLOOKUP(record[[#This Row],[ProcessSN]],表格2_7[],2,FALSE)</f>
        <v>30-4118-018-XXX</v>
      </c>
      <c r="I3159" t="str">
        <f>VLOOKUP(record[[#This Row],[ProcessSN]],表格2_7[],3,FALSE)</f>
        <v>#02RCV</v>
      </c>
      <c r="J3159" t="s">
        <v>591</v>
      </c>
      <c r="K3159" s="195">
        <v>46100.484340277777</v>
      </c>
      <c r="L3159">
        <v>1680</v>
      </c>
      <c r="M3159">
        <v>0</v>
      </c>
      <c r="N3159" s="98" t="str">
        <f>IF(record[[#This Row],[Memo]]="Browser:chrome os:android","平板報工",IF(record[[#This Row],[Memo]]=0,"委外",record[[#This Row],[Memo]]))</f>
        <v/>
      </c>
      <c r="O3159" t="s">
        <v>58</v>
      </c>
      <c r="P3159" t="s">
        <v>186</v>
      </c>
      <c r="Q3159" t="s">
        <v>58</v>
      </c>
      <c r="R3159" t="str">
        <f>IFERROR(VLOOKUP(record[[#This Row],[PCUSTID]],廠商[],2,FALSE),"")</f>
        <v/>
      </c>
      <c r="S3159" t="str">
        <f>VLOOKUP(record[[#This Row],[employeeID]],員工[],2,FALSE)</f>
        <v>許文姍</v>
      </c>
    </row>
    <row r="3160" spans="6:19" hidden="1" x14ac:dyDescent="0.25">
      <c r="F3160" t="s">
        <v>1593</v>
      </c>
      <c r="G3160" t="s">
        <v>428</v>
      </c>
      <c r="H3160" t="str">
        <f>VLOOKUP(record[[#This Row],[ProcessSN]],表格2_7[],2,FALSE)</f>
        <v>30-4118-018-600</v>
      </c>
      <c r="I3160" t="str">
        <f>VLOOKUP(record[[#This Row],[ProcessSN]],表格2_7[],3,FALSE)</f>
        <v>#100SHIP</v>
      </c>
      <c r="J3160" t="s">
        <v>600</v>
      </c>
      <c r="K3160" s="195">
        <v>46100.375381944446</v>
      </c>
      <c r="L3160">
        <v>1</v>
      </c>
      <c r="M3160">
        <v>0</v>
      </c>
      <c r="N3160" s="98" t="str">
        <f>IF(record[[#This Row],[Memo]]="Browser:chrome os:android","平板報工",IF(record[[#This Row],[Memo]]=0,"委外",record[[#This Row],[Memo]]))</f>
        <v/>
      </c>
      <c r="O3160" t="s">
        <v>58</v>
      </c>
      <c r="P3160" t="s">
        <v>886</v>
      </c>
      <c r="Q3160" t="s">
        <v>58</v>
      </c>
      <c r="R3160" t="str">
        <f>IFERROR(VLOOKUP(record[[#This Row],[PCUSTID]],廠商[],2,FALSE),"")</f>
        <v/>
      </c>
      <c r="S3160" t="str">
        <f>VLOOKUP(record[[#This Row],[employeeID]],員工[],2,FALSE)</f>
        <v>謝蓁薰</v>
      </c>
    </row>
    <row r="3161" spans="6:19" hidden="1" x14ac:dyDescent="0.25">
      <c r="F3161" t="s">
        <v>1602</v>
      </c>
      <c r="G3161" t="s">
        <v>468</v>
      </c>
      <c r="H3161" t="str">
        <f>VLOOKUP(record[[#This Row],[ProcessSN]],表格2_7[],2,FALSE)</f>
        <v>30-4118-018-XXX</v>
      </c>
      <c r="I3161" t="str">
        <f>VLOOKUP(record[[#This Row],[ProcessSN]],表格2_7[],3,FALSE)</f>
        <v>#02</v>
      </c>
      <c r="J3161" t="s">
        <v>590</v>
      </c>
      <c r="K3161" s="195">
        <v>46100.370462962965</v>
      </c>
      <c r="L3161">
        <v>1007</v>
      </c>
      <c r="M3161">
        <v>0</v>
      </c>
      <c r="N3161" s="98" t="str">
        <f>IF(record[[#This Row],[Memo]]="Browser:chrome os:android","平板報工",IF(record[[#This Row],[Memo]]=0,"委外",record[[#This Row],[Memo]]))</f>
        <v>委外</v>
      </c>
      <c r="P3161" t="s">
        <v>186</v>
      </c>
      <c r="Q3161" t="s">
        <v>216</v>
      </c>
      <c r="R3161" t="str">
        <f>IFERROR(VLOOKUP(record[[#This Row],[PCUSTID]],廠商[],2,FALSE),"")</f>
        <v>俊杰</v>
      </c>
      <c r="S3161" t="str">
        <f>VLOOKUP(record[[#This Row],[employeeID]],員工[],2,FALSE)</f>
        <v>許文姍</v>
      </c>
    </row>
    <row r="3162" spans="6:19" hidden="1" x14ac:dyDescent="0.25">
      <c r="F3162" t="s">
        <v>1630</v>
      </c>
      <c r="G3162" t="s">
        <v>360</v>
      </c>
      <c r="H3162" t="str">
        <f>VLOOKUP(record[[#This Row],[ProcessSN]],表格2_7[],2,FALSE)</f>
        <v>30-4118-018-450</v>
      </c>
      <c r="I3162" t="str">
        <f>VLOOKUP(record[[#This Row],[ProcessSN]],表格2_7[],3,FALSE)</f>
        <v>#100OQC</v>
      </c>
      <c r="J3162" t="s">
        <v>599</v>
      </c>
      <c r="K3162" s="195">
        <v>46100.337766203702</v>
      </c>
      <c r="L3162">
        <v>189</v>
      </c>
      <c r="M3162">
        <v>0</v>
      </c>
      <c r="N3162" s="98" t="str">
        <f>IF(record[[#This Row],[Memo]]="Browser:chrome os:android","平板報工",IF(record[[#This Row],[Memo]]=0,"委外",record[[#This Row],[Memo]]))</f>
        <v/>
      </c>
      <c r="O3162" t="s">
        <v>58</v>
      </c>
      <c r="P3162" t="s">
        <v>121</v>
      </c>
      <c r="Q3162" t="s">
        <v>58</v>
      </c>
      <c r="R3162" t="str">
        <f>IFERROR(VLOOKUP(record[[#This Row],[PCUSTID]],廠商[],2,FALSE),"")</f>
        <v/>
      </c>
      <c r="S3162" t="str">
        <f>VLOOKUP(record[[#This Row],[employeeID]],員工[],2,FALSE)</f>
        <v>謝素卿</v>
      </c>
    </row>
    <row r="3163" spans="6:19" hidden="1" x14ac:dyDescent="0.25">
      <c r="F3163" t="s">
        <v>1623</v>
      </c>
      <c r="G3163" t="s">
        <v>360</v>
      </c>
      <c r="H3163" t="str">
        <f>VLOOKUP(record[[#This Row],[ProcessSN]],表格2_7[],2,FALSE)</f>
        <v>30-4118-018-450</v>
      </c>
      <c r="I3163" t="str">
        <f>VLOOKUP(record[[#This Row],[ProcessSN]],表格2_7[],3,FALSE)</f>
        <v>#100OQC</v>
      </c>
      <c r="J3163" t="s">
        <v>599</v>
      </c>
      <c r="K3163" s="195">
        <v>46100.337326388886</v>
      </c>
      <c r="L3163">
        <v>276</v>
      </c>
      <c r="M3163">
        <v>0</v>
      </c>
      <c r="N3163" s="98" t="str">
        <f>IF(record[[#This Row],[Memo]]="Browser:chrome os:android","平板報工",IF(record[[#This Row],[Memo]]=0,"委外",record[[#This Row],[Memo]]))</f>
        <v/>
      </c>
      <c r="O3163" t="s">
        <v>58</v>
      </c>
      <c r="P3163" t="s">
        <v>121</v>
      </c>
      <c r="Q3163" t="s">
        <v>58</v>
      </c>
      <c r="R3163" t="str">
        <f>IFERROR(VLOOKUP(record[[#This Row],[PCUSTID]],廠商[],2,FALSE),"")</f>
        <v/>
      </c>
      <c r="S3163" t="str">
        <f>VLOOKUP(record[[#This Row],[employeeID]],員工[],2,FALSE)</f>
        <v>謝素卿</v>
      </c>
    </row>
    <row r="3164" spans="6:19" hidden="1" x14ac:dyDescent="0.25">
      <c r="F3164" t="s">
        <v>1631</v>
      </c>
      <c r="G3164" t="s">
        <v>401</v>
      </c>
      <c r="H3164" t="str">
        <f>VLOOKUP(record[[#This Row],[ProcessSN]],表格2_7[],2,FALSE)</f>
        <v>30-4118-018-550</v>
      </c>
      <c r="I3164" t="str">
        <f>VLOOKUP(record[[#This Row],[ProcessSN]],表格2_7[],3,FALSE)</f>
        <v>#100OQC</v>
      </c>
      <c r="J3164" t="s">
        <v>599</v>
      </c>
      <c r="K3164" s="195">
        <v>46100.336956018517</v>
      </c>
      <c r="L3164">
        <v>47</v>
      </c>
      <c r="M3164">
        <v>0</v>
      </c>
      <c r="N3164" s="98" t="str">
        <f>IF(record[[#This Row],[Memo]]="Browser:chrome os:android","平板報工",IF(record[[#This Row],[Memo]]=0,"委外",record[[#This Row],[Memo]]))</f>
        <v/>
      </c>
      <c r="O3164" t="s">
        <v>58</v>
      </c>
      <c r="P3164" t="s">
        <v>121</v>
      </c>
      <c r="Q3164" t="s">
        <v>58</v>
      </c>
      <c r="R3164" t="str">
        <f>IFERROR(VLOOKUP(record[[#This Row],[PCUSTID]],廠商[],2,FALSE),"")</f>
        <v/>
      </c>
      <c r="S3164" t="str">
        <f>VLOOKUP(record[[#This Row],[employeeID]],員工[],2,FALSE)</f>
        <v>謝素卿</v>
      </c>
    </row>
    <row r="3165" spans="6:19" hidden="1" x14ac:dyDescent="0.25">
      <c r="F3165" t="s">
        <v>1622</v>
      </c>
      <c r="G3165" t="s">
        <v>401</v>
      </c>
      <c r="H3165" t="str">
        <f>VLOOKUP(record[[#This Row],[ProcessSN]],表格2_7[],2,FALSE)</f>
        <v>30-4118-018-550</v>
      </c>
      <c r="I3165" t="str">
        <f>VLOOKUP(record[[#This Row],[ProcessSN]],表格2_7[],3,FALSE)</f>
        <v>#100OQC</v>
      </c>
      <c r="J3165" t="s">
        <v>599</v>
      </c>
      <c r="K3165" s="195">
        <v>46100.336747685185</v>
      </c>
      <c r="L3165">
        <v>128</v>
      </c>
      <c r="M3165">
        <v>0</v>
      </c>
      <c r="N3165" s="98" t="str">
        <f>IF(record[[#This Row],[Memo]]="Browser:chrome os:android","平板報工",IF(record[[#This Row],[Memo]]=0,"委外",record[[#This Row],[Memo]]))</f>
        <v/>
      </c>
      <c r="O3165" t="s">
        <v>58</v>
      </c>
      <c r="P3165" t="s">
        <v>121</v>
      </c>
      <c r="Q3165" t="s">
        <v>58</v>
      </c>
      <c r="R3165" t="str">
        <f>IFERROR(VLOOKUP(record[[#This Row],[PCUSTID]],廠商[],2,FALSE),"")</f>
        <v/>
      </c>
      <c r="S3165" t="str">
        <f>VLOOKUP(record[[#This Row],[employeeID]],員工[],2,FALSE)</f>
        <v>謝素卿</v>
      </c>
    </row>
    <row r="3166" spans="6:19" hidden="1" x14ac:dyDescent="0.25">
      <c r="F3166" t="s">
        <v>1637</v>
      </c>
      <c r="G3166" t="s">
        <v>447</v>
      </c>
      <c r="H3166" t="str">
        <f>VLOOKUP(record[[#This Row],[ProcessSN]],表格2_7[],2,FALSE)</f>
        <v>30-4118-018-6XX</v>
      </c>
      <c r="I3166" t="str">
        <f>VLOOKUP(record[[#This Row],[ProcessSN]],表格2_7[],3,FALSE)</f>
        <v>#03</v>
      </c>
      <c r="J3166" t="s">
        <v>588</v>
      </c>
      <c r="K3166" s="195">
        <v>46100.30369212963</v>
      </c>
      <c r="L3166">
        <v>545</v>
      </c>
      <c r="M3166">
        <v>16</v>
      </c>
      <c r="N3166" s="98" t="str">
        <f>IF(record[[#This Row],[Memo]]="Browser:chrome os:android","平板報工",IF(record[[#This Row],[Memo]]=0,"委外",record[[#This Row],[Memo]]))</f>
        <v/>
      </c>
      <c r="O3166" t="s">
        <v>58</v>
      </c>
      <c r="P3166" t="s">
        <v>843</v>
      </c>
      <c r="Q3166" t="s">
        <v>58</v>
      </c>
      <c r="R3166" t="str">
        <f>IFERROR(VLOOKUP(record[[#This Row],[PCUSTID]],廠商[],2,FALSE),"")</f>
        <v/>
      </c>
      <c r="S3166" t="str">
        <f>VLOOKUP(record[[#This Row],[employeeID]],員工[],2,FALSE)</f>
        <v>張楚承</v>
      </c>
    </row>
    <row r="3167" spans="6:19" hidden="1" x14ac:dyDescent="0.25">
      <c r="F3167" t="s">
        <v>1587</v>
      </c>
      <c r="G3167" t="s">
        <v>374</v>
      </c>
      <c r="H3167" t="str">
        <f>VLOOKUP(record[[#This Row],[ProcessSN]],表格2_7[],2,FALSE)</f>
        <v>30-4118-018-4XX</v>
      </c>
      <c r="I3167" t="str">
        <f>VLOOKUP(record[[#This Row],[ProcessSN]],表格2_7[],3,FALSE)</f>
        <v>#04</v>
      </c>
      <c r="J3167" t="s">
        <v>588</v>
      </c>
      <c r="K3167" s="195">
        <v>46100.303159722222</v>
      </c>
      <c r="L3167">
        <v>135</v>
      </c>
      <c r="M3167">
        <v>1</v>
      </c>
      <c r="N3167" s="98" t="str">
        <f>IF(record[[#This Row],[Memo]]="Browser:chrome os:android","平板報工",IF(record[[#This Row],[Memo]]=0,"委外",record[[#This Row],[Memo]]))</f>
        <v/>
      </c>
      <c r="O3167" t="s">
        <v>58</v>
      </c>
      <c r="P3167" t="s">
        <v>843</v>
      </c>
      <c r="Q3167" t="s">
        <v>58</v>
      </c>
      <c r="R3167" t="str">
        <f>IFERROR(VLOOKUP(record[[#This Row],[PCUSTID]],廠商[],2,FALSE),"")</f>
        <v/>
      </c>
      <c r="S3167" t="str">
        <f>VLOOKUP(record[[#This Row],[employeeID]],員工[],2,FALSE)</f>
        <v>張楚承</v>
      </c>
    </row>
    <row r="3168" spans="6:19" hidden="1" x14ac:dyDescent="0.25">
      <c r="F3168" t="s">
        <v>1589</v>
      </c>
      <c r="G3168" t="s">
        <v>418</v>
      </c>
      <c r="H3168" t="str">
        <f>VLOOKUP(record[[#This Row],[ProcessSN]],表格2_7[],2,FALSE)</f>
        <v>30-4118-018-5XX</v>
      </c>
      <c r="I3168" t="str">
        <f>VLOOKUP(record[[#This Row],[ProcessSN]],表格2_7[],3,FALSE)</f>
        <v>#07</v>
      </c>
      <c r="J3168" t="s">
        <v>588</v>
      </c>
      <c r="K3168" s="195">
        <v>46100.302939814814</v>
      </c>
      <c r="L3168">
        <v>164</v>
      </c>
      <c r="M3168">
        <v>1</v>
      </c>
      <c r="N3168" s="98" t="str">
        <f>IF(record[[#This Row],[Memo]]="Browser:chrome os:android","平板報工",IF(record[[#This Row],[Memo]]=0,"委外",record[[#This Row],[Memo]]))</f>
        <v/>
      </c>
      <c r="O3168" t="s">
        <v>58</v>
      </c>
      <c r="P3168" t="s">
        <v>843</v>
      </c>
      <c r="Q3168" t="s">
        <v>58</v>
      </c>
      <c r="R3168" t="str">
        <f>IFERROR(VLOOKUP(record[[#This Row],[PCUSTID]],廠商[],2,FALSE),"")</f>
        <v/>
      </c>
      <c r="S3168" t="str">
        <f>VLOOKUP(record[[#This Row],[employeeID]],員工[],2,FALSE)</f>
        <v>張楚承</v>
      </c>
    </row>
    <row r="3169" spans="6:19" hidden="1" x14ac:dyDescent="0.25">
      <c r="F3169" t="s">
        <v>1587</v>
      </c>
      <c r="G3169" t="s">
        <v>375</v>
      </c>
      <c r="H3169" t="str">
        <f>VLOOKUP(record[[#This Row],[ProcessSN]],表格2_7[],2,FALSE)</f>
        <v>30-4118-018-4XX</v>
      </c>
      <c r="I3169" t="str">
        <f>VLOOKUP(record[[#This Row],[ProcessSN]],表格2_7[],3,FALSE)</f>
        <v>#05</v>
      </c>
      <c r="J3169" t="s">
        <v>588</v>
      </c>
      <c r="K3169" s="195">
        <v>46100.302164351851</v>
      </c>
      <c r="L3169">
        <v>72</v>
      </c>
      <c r="M3169">
        <v>0</v>
      </c>
      <c r="N3169" s="98" t="str">
        <f>IF(record[[#This Row],[Memo]]="Browser:chrome os:android","平板報工",IF(record[[#This Row],[Memo]]=0,"委外",record[[#This Row],[Memo]]))</f>
        <v/>
      </c>
      <c r="O3169" t="s">
        <v>58</v>
      </c>
      <c r="P3169" t="s">
        <v>843</v>
      </c>
      <c r="Q3169" t="s">
        <v>58</v>
      </c>
      <c r="R3169" t="str">
        <f>IFERROR(VLOOKUP(record[[#This Row],[PCUSTID]],廠商[],2,FALSE),"")</f>
        <v/>
      </c>
      <c r="S3169" t="str">
        <f>VLOOKUP(record[[#This Row],[employeeID]],員工[],2,FALSE)</f>
        <v>張楚承</v>
      </c>
    </row>
    <row r="3170" spans="6:19" hidden="1" x14ac:dyDescent="0.25">
      <c r="F3170" t="s">
        <v>1589</v>
      </c>
      <c r="G3170" t="s">
        <v>417</v>
      </c>
      <c r="H3170" t="str">
        <f>VLOOKUP(record[[#This Row],[ProcessSN]],表格2_7[],2,FALSE)</f>
        <v>30-4118-018-5XX</v>
      </c>
      <c r="I3170" t="str">
        <f>VLOOKUP(record[[#This Row],[ProcessSN]],表格2_7[],3,FALSE)</f>
        <v>#06</v>
      </c>
      <c r="J3170" t="s">
        <v>593</v>
      </c>
      <c r="K3170" s="195">
        <v>46099.981076388889</v>
      </c>
      <c r="L3170">
        <v>120</v>
      </c>
      <c r="M3170">
        <v>0</v>
      </c>
      <c r="N3170" s="98" t="str">
        <f>IF(record[[#This Row],[Memo]]="Browser:chrome os:android","平板報工",IF(record[[#This Row],[Memo]]=0,"委外",record[[#This Row],[Memo]]))</f>
        <v/>
      </c>
      <c r="O3170" t="s">
        <v>58</v>
      </c>
      <c r="P3170" t="s">
        <v>133</v>
      </c>
      <c r="Q3170" t="s">
        <v>58</v>
      </c>
      <c r="R3170" t="str">
        <f>IFERROR(VLOOKUP(record[[#This Row],[PCUSTID]],廠商[],2,FALSE),"")</f>
        <v/>
      </c>
      <c r="S3170" t="str">
        <f>VLOOKUP(record[[#This Row],[employeeID]],員工[],2,FALSE)</f>
        <v>黎長維</v>
      </c>
    </row>
    <row r="3171" spans="6:19" hidden="1" x14ac:dyDescent="0.25">
      <c r="F3171" t="s">
        <v>1587</v>
      </c>
      <c r="G3171" t="s">
        <v>374</v>
      </c>
      <c r="H3171" t="str">
        <f>VLOOKUP(record[[#This Row],[ProcessSN]],表格2_7[],2,FALSE)</f>
        <v>30-4118-018-4XX</v>
      </c>
      <c r="I3171" t="str">
        <f>VLOOKUP(record[[#This Row],[ProcessSN]],表格2_7[],3,FALSE)</f>
        <v>#04</v>
      </c>
      <c r="J3171" t="s">
        <v>588</v>
      </c>
      <c r="K3171" s="195">
        <v>46099.979409722226</v>
      </c>
      <c r="L3171">
        <v>82</v>
      </c>
      <c r="M3171">
        <v>2</v>
      </c>
      <c r="N3171" s="98" t="str">
        <f>IF(record[[#This Row],[Memo]]="Browser:chrome os:android","平板報工",IF(record[[#This Row],[Memo]]=0,"委外",record[[#This Row],[Memo]]))</f>
        <v/>
      </c>
      <c r="O3171" t="s">
        <v>58</v>
      </c>
      <c r="P3171" t="s">
        <v>89</v>
      </c>
      <c r="Q3171" t="s">
        <v>58</v>
      </c>
      <c r="R3171" t="str">
        <f>IFERROR(VLOOKUP(record[[#This Row],[PCUSTID]],廠商[],2,FALSE),"")</f>
        <v/>
      </c>
      <c r="S3171" t="str">
        <f>VLOOKUP(record[[#This Row],[employeeID]],員工[],2,FALSE)</f>
        <v>李美蓮</v>
      </c>
    </row>
    <row r="3172" spans="6:19" hidden="1" x14ac:dyDescent="0.25">
      <c r="F3172" t="s">
        <v>1637</v>
      </c>
      <c r="G3172" t="s">
        <v>447</v>
      </c>
      <c r="H3172" t="str">
        <f>VLOOKUP(record[[#This Row],[ProcessSN]],表格2_7[],2,FALSE)</f>
        <v>30-4118-018-6XX</v>
      </c>
      <c r="I3172" t="str">
        <f>VLOOKUP(record[[#This Row],[ProcessSN]],表格2_7[],3,FALSE)</f>
        <v>#03</v>
      </c>
      <c r="J3172" t="s">
        <v>588</v>
      </c>
      <c r="K3172" s="195">
        <v>46099.979120370372</v>
      </c>
      <c r="L3172">
        <v>591</v>
      </c>
      <c r="M3172">
        <v>7</v>
      </c>
      <c r="N3172" s="98" t="str">
        <f>IF(record[[#This Row],[Memo]]="Browser:chrome os:android","平板報工",IF(record[[#This Row],[Memo]]=0,"委外",record[[#This Row],[Memo]]))</f>
        <v/>
      </c>
      <c r="O3172" t="s">
        <v>58</v>
      </c>
      <c r="P3172" t="s">
        <v>89</v>
      </c>
      <c r="Q3172" t="s">
        <v>58</v>
      </c>
      <c r="R3172" t="str">
        <f>IFERROR(VLOOKUP(record[[#This Row],[PCUSTID]],廠商[],2,FALSE),"")</f>
        <v/>
      </c>
      <c r="S3172" t="str">
        <f>VLOOKUP(record[[#This Row],[employeeID]],員工[],2,FALSE)</f>
        <v>李美蓮</v>
      </c>
    </row>
    <row r="3173" spans="6:19" hidden="1" x14ac:dyDescent="0.25">
      <c r="F3173" t="s">
        <v>1589</v>
      </c>
      <c r="G3173" t="s">
        <v>418</v>
      </c>
      <c r="H3173" t="str">
        <f>VLOOKUP(record[[#This Row],[ProcessSN]],表格2_7[],2,FALSE)</f>
        <v>30-4118-018-5XX</v>
      </c>
      <c r="I3173" t="str">
        <f>VLOOKUP(record[[#This Row],[ProcessSN]],表格2_7[],3,FALSE)</f>
        <v>#07</v>
      </c>
      <c r="J3173" t="s">
        <v>588</v>
      </c>
      <c r="K3173" s="195">
        <v>46099.977870370371</v>
      </c>
      <c r="L3173">
        <v>200</v>
      </c>
      <c r="M3173">
        <v>8</v>
      </c>
      <c r="N3173" s="98" t="str">
        <f>IF(record[[#This Row],[Memo]]="Browser:chrome os:android","平板報工",IF(record[[#This Row],[Memo]]=0,"委外",record[[#This Row],[Memo]]))</f>
        <v/>
      </c>
      <c r="O3173" t="s">
        <v>58</v>
      </c>
      <c r="P3173" t="s">
        <v>1098</v>
      </c>
      <c r="Q3173" t="s">
        <v>58</v>
      </c>
      <c r="R3173" t="str">
        <f>IFERROR(VLOOKUP(record[[#This Row],[PCUSTID]],廠商[],2,FALSE),"")</f>
        <v/>
      </c>
      <c r="S3173" t="str">
        <f>VLOOKUP(record[[#This Row],[employeeID]],員工[],2,FALSE)</f>
        <v>阮氏芳英(英)</v>
      </c>
    </row>
    <row r="3174" spans="6:19" hidden="1" x14ac:dyDescent="0.25">
      <c r="F3174" t="s">
        <v>1587</v>
      </c>
      <c r="G3174" t="s">
        <v>376</v>
      </c>
      <c r="H3174" t="str">
        <f>VLOOKUP(record[[#This Row],[ProcessSN]],表格2_7[],2,FALSE)</f>
        <v>30-4118-018-4XX</v>
      </c>
      <c r="I3174" t="str">
        <f>VLOOKUP(record[[#This Row],[ProcessSN]],表格2_7[],3,FALSE)</f>
        <v>#06</v>
      </c>
      <c r="J3174" t="s">
        <v>593</v>
      </c>
      <c r="K3174" s="195">
        <v>46099.947384259256</v>
      </c>
      <c r="L3174">
        <v>19</v>
      </c>
      <c r="M3174">
        <v>0</v>
      </c>
      <c r="N3174" s="98" t="str">
        <f>IF(record[[#This Row],[Memo]]="Browser:chrome os:android","平板報工",IF(record[[#This Row],[Memo]]=0,"委外",record[[#This Row],[Memo]]))</f>
        <v/>
      </c>
      <c r="O3174" t="s">
        <v>58</v>
      </c>
      <c r="P3174" t="s">
        <v>133</v>
      </c>
      <c r="Q3174" t="s">
        <v>58</v>
      </c>
      <c r="R3174" t="str">
        <f>IFERROR(VLOOKUP(record[[#This Row],[PCUSTID]],廠商[],2,FALSE),"")</f>
        <v/>
      </c>
      <c r="S3174" t="str">
        <f>VLOOKUP(record[[#This Row],[employeeID]],員工[],2,FALSE)</f>
        <v>黎長維</v>
      </c>
    </row>
    <row r="3175" spans="6:19" hidden="1" x14ac:dyDescent="0.25">
      <c r="F3175" t="s">
        <v>1602</v>
      </c>
      <c r="G3175" t="s">
        <v>466</v>
      </c>
      <c r="H3175" t="str">
        <f>VLOOKUP(record[[#This Row],[ProcessSN]],表格2_7[],2,FALSE)</f>
        <v>30-4118-018-XXX</v>
      </c>
      <c r="I3175" t="str">
        <f>VLOOKUP(record[[#This Row],[ProcessSN]],表格2_7[],3,FALSE)</f>
        <v>#01-2</v>
      </c>
      <c r="J3175" t="s">
        <v>588</v>
      </c>
      <c r="K3175" s="195">
        <v>46099.820173611108</v>
      </c>
      <c r="L3175">
        <v>254</v>
      </c>
      <c r="M3175">
        <v>0</v>
      </c>
      <c r="N3175" s="98" t="str">
        <f>IF(record[[#This Row],[Memo]]="Browser:chrome os:android","平板報工",IF(record[[#This Row],[Memo]]=0,"委外",record[[#This Row],[Memo]]))</f>
        <v>平板報工</v>
      </c>
      <c r="O3175" t="s">
        <v>643</v>
      </c>
      <c r="P3175" t="s">
        <v>785</v>
      </c>
      <c r="Q3175" t="s">
        <v>644</v>
      </c>
      <c r="R3175" t="str">
        <f>IFERROR(VLOOKUP(record[[#This Row],[PCUSTID]],廠商[],2,FALSE),"")</f>
        <v/>
      </c>
      <c r="S3175" t="str">
        <f>VLOOKUP(record[[#This Row],[employeeID]],員工[],2,FALSE)</f>
        <v>謝刻光</v>
      </c>
    </row>
    <row r="3176" spans="6:19" hidden="1" x14ac:dyDescent="0.25">
      <c r="F3176" t="s">
        <v>1602</v>
      </c>
      <c r="G3176" t="s">
        <v>465</v>
      </c>
      <c r="H3176" t="str">
        <f>VLOOKUP(record[[#This Row],[ProcessSN]],表格2_7[],2,FALSE)</f>
        <v>30-4118-018-XXX</v>
      </c>
      <c r="I3176" t="str">
        <f>VLOOKUP(record[[#This Row],[ProcessSN]],表格2_7[],3,FALSE)</f>
        <v>#01-1</v>
      </c>
      <c r="J3176" t="s">
        <v>588</v>
      </c>
      <c r="K3176" s="195">
        <v>46099.819895833331</v>
      </c>
      <c r="L3176">
        <v>254</v>
      </c>
      <c r="M3176">
        <v>0</v>
      </c>
      <c r="N3176" s="98" t="str">
        <f>IF(record[[#This Row],[Memo]]="Browser:chrome os:android","平板報工",IF(record[[#This Row],[Memo]]=0,"委外",record[[#This Row],[Memo]]))</f>
        <v>平板報工</v>
      </c>
      <c r="O3176" t="s">
        <v>643</v>
      </c>
      <c r="P3176" t="s">
        <v>785</v>
      </c>
      <c r="Q3176" t="s">
        <v>644</v>
      </c>
      <c r="R3176" t="str">
        <f>IFERROR(VLOOKUP(record[[#This Row],[PCUSTID]],廠商[],2,FALSE),"")</f>
        <v/>
      </c>
      <c r="S3176" t="str">
        <f>VLOOKUP(record[[#This Row],[employeeID]],員工[],2,FALSE)</f>
        <v>謝刻光</v>
      </c>
    </row>
    <row r="3177" spans="6:19" hidden="1" x14ac:dyDescent="0.25">
      <c r="F3177" t="s">
        <v>1630</v>
      </c>
      <c r="G3177" t="s">
        <v>359</v>
      </c>
      <c r="H3177" t="str">
        <f>VLOOKUP(record[[#This Row],[ProcessSN]],表格2_7[],2,FALSE)</f>
        <v>30-4118-018-450</v>
      </c>
      <c r="I3177" t="str">
        <f>VLOOKUP(record[[#This Row],[ProcessSN]],表格2_7[],3,FALSE)</f>
        <v>#100</v>
      </c>
      <c r="J3177" t="s">
        <v>598</v>
      </c>
      <c r="K3177" s="195">
        <v>46099.79246527778</v>
      </c>
      <c r="L3177">
        <v>189</v>
      </c>
      <c r="M3177">
        <v>0</v>
      </c>
      <c r="N3177" s="98" t="str">
        <f>IF(record[[#This Row],[Memo]]="Browser:chrome os:android","平板報工",IF(record[[#This Row],[Memo]]=0,"委外",record[[#This Row],[Memo]]))</f>
        <v/>
      </c>
      <c r="O3177" t="s">
        <v>58</v>
      </c>
      <c r="P3177" t="s">
        <v>141</v>
      </c>
      <c r="Q3177" t="s">
        <v>58</v>
      </c>
      <c r="R3177" t="str">
        <f>IFERROR(VLOOKUP(record[[#This Row],[PCUSTID]],廠商[],2,FALSE),"")</f>
        <v/>
      </c>
      <c r="S3177" t="str">
        <f>VLOOKUP(record[[#This Row],[employeeID]],員工[],2,FALSE)</f>
        <v>蔣梅</v>
      </c>
    </row>
    <row r="3178" spans="6:19" hidden="1" x14ac:dyDescent="0.25">
      <c r="F3178" t="s">
        <v>1623</v>
      </c>
      <c r="G3178" t="s">
        <v>359</v>
      </c>
      <c r="H3178" t="str">
        <f>VLOOKUP(record[[#This Row],[ProcessSN]],表格2_7[],2,FALSE)</f>
        <v>30-4118-018-450</v>
      </c>
      <c r="I3178" t="str">
        <f>VLOOKUP(record[[#This Row],[ProcessSN]],表格2_7[],3,FALSE)</f>
        <v>#100</v>
      </c>
      <c r="J3178" t="s">
        <v>598</v>
      </c>
      <c r="K3178" s="195">
        <v>46099.791539351849</v>
      </c>
      <c r="L3178">
        <v>276</v>
      </c>
      <c r="M3178">
        <v>0</v>
      </c>
      <c r="N3178" s="98" t="str">
        <f>IF(record[[#This Row],[Memo]]="Browser:chrome os:android","平板報工",IF(record[[#This Row],[Memo]]=0,"委外",record[[#This Row],[Memo]]))</f>
        <v/>
      </c>
      <c r="O3178" t="s">
        <v>58</v>
      </c>
      <c r="P3178" t="s">
        <v>141</v>
      </c>
      <c r="Q3178" t="s">
        <v>58</v>
      </c>
      <c r="R3178" t="str">
        <f>IFERROR(VLOOKUP(record[[#This Row],[PCUSTID]],廠商[],2,FALSE),"")</f>
        <v/>
      </c>
      <c r="S3178" t="str">
        <f>VLOOKUP(record[[#This Row],[employeeID]],員工[],2,FALSE)</f>
        <v>蔣梅</v>
      </c>
    </row>
    <row r="3179" spans="6:19" hidden="1" x14ac:dyDescent="0.25">
      <c r="F3179" t="s">
        <v>1623</v>
      </c>
      <c r="G3179" t="s">
        <v>358</v>
      </c>
      <c r="H3179" t="str">
        <f>VLOOKUP(record[[#This Row],[ProcessSN]],表格2_7[],2,FALSE)</f>
        <v>30-4118-018-450</v>
      </c>
      <c r="I3179" t="str">
        <f>VLOOKUP(record[[#This Row],[ProcessSN]],表格2_7[],3,FALSE)</f>
        <v>#08IQC</v>
      </c>
      <c r="J3179" t="s">
        <v>583</v>
      </c>
      <c r="K3179" s="195">
        <v>46099.791307870371</v>
      </c>
      <c r="L3179">
        <v>3</v>
      </c>
      <c r="M3179">
        <v>0</v>
      </c>
      <c r="N3179" s="98" t="str">
        <f>IF(record[[#This Row],[Memo]]="Browser:chrome os:android","平板報工",IF(record[[#This Row],[Memo]]=0,"委外",record[[#This Row],[Memo]]))</f>
        <v/>
      </c>
      <c r="O3179" t="s">
        <v>58</v>
      </c>
      <c r="P3179" t="s">
        <v>141</v>
      </c>
      <c r="Q3179" t="s">
        <v>58</v>
      </c>
      <c r="R3179" t="str">
        <f>IFERROR(VLOOKUP(record[[#This Row],[PCUSTID]],廠商[],2,FALSE),"")</f>
        <v/>
      </c>
      <c r="S3179" t="str">
        <f>VLOOKUP(record[[#This Row],[employeeID]],員工[],2,FALSE)</f>
        <v>蔣梅</v>
      </c>
    </row>
    <row r="3180" spans="6:19" hidden="1" x14ac:dyDescent="0.25">
      <c r="F3180" t="s">
        <v>1623</v>
      </c>
      <c r="G3180" t="s">
        <v>357</v>
      </c>
      <c r="H3180" t="str">
        <f>VLOOKUP(record[[#This Row],[ProcessSN]],表格2_7[],2,FALSE)</f>
        <v>30-4118-018-450</v>
      </c>
      <c r="I3180" t="str">
        <f>VLOOKUP(record[[#This Row],[ProcessSN]],表格2_7[],3,FALSE)</f>
        <v>#08RCV</v>
      </c>
      <c r="J3180" t="s">
        <v>591</v>
      </c>
      <c r="K3180" s="195">
        <v>46099.79115740741</v>
      </c>
      <c r="L3180">
        <v>0</v>
      </c>
      <c r="M3180">
        <v>12</v>
      </c>
      <c r="N3180" s="98" t="str">
        <f>IF(record[[#This Row],[Memo]]="Browser:chrome os:android","平板報工",IF(record[[#This Row],[Memo]]=0,"委外",record[[#This Row],[Memo]]))</f>
        <v/>
      </c>
      <c r="O3180" t="s">
        <v>58</v>
      </c>
      <c r="P3180" t="s">
        <v>141</v>
      </c>
      <c r="Q3180" t="s">
        <v>58</v>
      </c>
      <c r="R3180" t="str">
        <f>IFERROR(VLOOKUP(record[[#This Row],[PCUSTID]],廠商[],2,FALSE),"")</f>
        <v/>
      </c>
      <c r="S3180" t="str">
        <f>VLOOKUP(record[[#This Row],[employeeID]],員工[],2,FALSE)</f>
        <v>蔣梅</v>
      </c>
    </row>
    <row r="3181" spans="6:19" hidden="1" x14ac:dyDescent="0.25">
      <c r="F3181" t="s">
        <v>1623</v>
      </c>
      <c r="G3181" t="s">
        <v>357</v>
      </c>
      <c r="H3181" t="str">
        <f>VLOOKUP(record[[#This Row],[ProcessSN]],表格2_7[],2,FALSE)</f>
        <v>30-4118-018-450</v>
      </c>
      <c r="I3181" t="str">
        <f>VLOOKUP(record[[#This Row],[ProcessSN]],表格2_7[],3,FALSE)</f>
        <v>#08RCV</v>
      </c>
      <c r="J3181" t="s">
        <v>591</v>
      </c>
      <c r="K3181" s="195">
        <v>46099.790995370371</v>
      </c>
      <c r="L3181">
        <v>3</v>
      </c>
      <c r="M3181">
        <v>0</v>
      </c>
      <c r="N3181" s="98" t="str">
        <f>IF(record[[#This Row],[Memo]]="Browser:chrome os:android","平板報工",IF(record[[#This Row],[Memo]]=0,"委外",record[[#This Row],[Memo]]))</f>
        <v>覆回</v>
      </c>
      <c r="O3181" t="s">
        <v>682</v>
      </c>
      <c r="P3181" t="s">
        <v>141</v>
      </c>
      <c r="Q3181" t="s">
        <v>58</v>
      </c>
      <c r="R3181" t="str">
        <f>IFERROR(VLOOKUP(record[[#This Row],[PCUSTID]],廠商[],2,FALSE),"")</f>
        <v/>
      </c>
      <c r="S3181" t="str">
        <f>VLOOKUP(record[[#This Row],[employeeID]],員工[],2,FALSE)</f>
        <v>蔣梅</v>
      </c>
    </row>
    <row r="3182" spans="6:19" hidden="1" x14ac:dyDescent="0.25">
      <c r="F3182" t="s">
        <v>1602</v>
      </c>
      <c r="G3182" t="s">
        <v>467</v>
      </c>
      <c r="H3182" t="str">
        <f>VLOOKUP(record[[#This Row],[ProcessSN]],表格2_7[],2,FALSE)</f>
        <v>30-4118-018-XXX</v>
      </c>
      <c r="I3182" t="str">
        <f>VLOOKUP(record[[#This Row],[ProcessSN]],表格2_7[],3,FALSE)</f>
        <v>#01QC</v>
      </c>
      <c r="J3182" t="s">
        <v>589</v>
      </c>
      <c r="K3182" s="195">
        <v>46099.766481481478</v>
      </c>
      <c r="L3182">
        <v>1007</v>
      </c>
      <c r="M3182">
        <v>0</v>
      </c>
      <c r="N3182" s="98" t="str">
        <f>IF(record[[#This Row],[Memo]]="Browser:chrome os:android","平板報工",IF(record[[#This Row],[Memo]]=0,"委外",record[[#This Row],[Memo]]))</f>
        <v>平板報工</v>
      </c>
      <c r="O3182" t="s">
        <v>643</v>
      </c>
      <c r="P3182" t="s">
        <v>182</v>
      </c>
      <c r="Q3182" t="s">
        <v>644</v>
      </c>
      <c r="R3182" t="str">
        <f>IFERROR(VLOOKUP(record[[#This Row],[PCUSTID]],廠商[],2,FALSE),"")</f>
        <v/>
      </c>
      <c r="S3182" t="str">
        <f>VLOOKUP(record[[#This Row],[employeeID]],員工[],2,FALSE)</f>
        <v>梅氏和</v>
      </c>
    </row>
    <row r="3183" spans="6:19" hidden="1" x14ac:dyDescent="0.25">
      <c r="F3183" t="s">
        <v>1602</v>
      </c>
      <c r="G3183" t="s">
        <v>466</v>
      </c>
      <c r="H3183" t="str">
        <f>VLOOKUP(record[[#This Row],[ProcessSN]],表格2_7[],2,FALSE)</f>
        <v>30-4118-018-XXX</v>
      </c>
      <c r="I3183" t="str">
        <f>VLOOKUP(record[[#This Row],[ProcessSN]],表格2_7[],3,FALSE)</f>
        <v>#01-2</v>
      </c>
      <c r="J3183" t="s">
        <v>588</v>
      </c>
      <c r="K3183" s="195">
        <v>46099.6794212963</v>
      </c>
      <c r="L3183">
        <v>388</v>
      </c>
      <c r="M3183">
        <v>0</v>
      </c>
      <c r="N3183" s="98" t="str">
        <f>IF(record[[#This Row],[Memo]]="Browser:chrome os:android","平板報工",IF(record[[#This Row],[Memo]]=0,"委外",record[[#This Row],[Memo]]))</f>
        <v/>
      </c>
      <c r="O3183" t="s">
        <v>58</v>
      </c>
      <c r="P3183" t="s">
        <v>101</v>
      </c>
      <c r="Q3183" t="s">
        <v>58</v>
      </c>
      <c r="R3183" t="str">
        <f>IFERROR(VLOOKUP(record[[#This Row],[PCUSTID]],廠商[],2,FALSE),"")</f>
        <v/>
      </c>
      <c r="S3183" t="str">
        <f>VLOOKUP(record[[#This Row],[employeeID]],員工[],2,FALSE)</f>
        <v>陳氏絨</v>
      </c>
    </row>
    <row r="3184" spans="6:19" hidden="1" x14ac:dyDescent="0.25">
      <c r="F3184" t="s">
        <v>1602</v>
      </c>
      <c r="G3184" t="s">
        <v>465</v>
      </c>
      <c r="H3184" t="str">
        <f>VLOOKUP(record[[#This Row],[ProcessSN]],表格2_7[],2,FALSE)</f>
        <v>30-4118-018-XXX</v>
      </c>
      <c r="I3184" t="str">
        <f>VLOOKUP(record[[#This Row],[ProcessSN]],表格2_7[],3,FALSE)</f>
        <v>#01-1</v>
      </c>
      <c r="J3184" t="s">
        <v>588</v>
      </c>
      <c r="K3184" s="195">
        <v>46099.679270833331</v>
      </c>
      <c r="L3184">
        <v>388</v>
      </c>
      <c r="M3184">
        <v>1</v>
      </c>
      <c r="N3184" s="98" t="str">
        <f>IF(record[[#This Row],[Memo]]="Browser:chrome os:android","平板報工",IF(record[[#This Row],[Memo]]=0,"委外",record[[#This Row],[Memo]]))</f>
        <v/>
      </c>
      <c r="O3184" t="s">
        <v>58</v>
      </c>
      <c r="P3184" t="s">
        <v>101</v>
      </c>
      <c r="Q3184" t="s">
        <v>58</v>
      </c>
      <c r="R3184" t="str">
        <f>IFERROR(VLOOKUP(record[[#This Row],[PCUSTID]],廠商[],2,FALSE),"")</f>
        <v/>
      </c>
      <c r="S3184" t="str">
        <f>VLOOKUP(record[[#This Row],[employeeID]],員工[],2,FALSE)</f>
        <v>陳氏絨</v>
      </c>
    </row>
    <row r="3185" spans="6:19" hidden="1" x14ac:dyDescent="0.25">
      <c r="F3185" t="s">
        <v>1587</v>
      </c>
      <c r="G3185" t="s">
        <v>376</v>
      </c>
      <c r="H3185" t="str">
        <f>VLOOKUP(record[[#This Row],[ProcessSN]],表格2_7[],2,FALSE)</f>
        <v>30-4118-018-4XX</v>
      </c>
      <c r="I3185" t="str">
        <f>VLOOKUP(record[[#This Row],[ProcessSN]],表格2_7[],3,FALSE)</f>
        <v>#06</v>
      </c>
      <c r="J3185" t="s">
        <v>593</v>
      </c>
      <c r="K3185" s="195">
        <v>46099.664421296293</v>
      </c>
      <c r="L3185">
        <v>50</v>
      </c>
      <c r="M3185">
        <v>0</v>
      </c>
      <c r="N3185" s="98" t="str">
        <f>IF(record[[#This Row],[Memo]]="Browser:chrome os:android","平板報工",IF(record[[#This Row],[Memo]]=0,"委外",record[[#This Row],[Memo]]))</f>
        <v>平板報工</v>
      </c>
      <c r="O3185" t="s">
        <v>643</v>
      </c>
      <c r="P3185" t="s">
        <v>1413</v>
      </c>
      <c r="Q3185" t="s">
        <v>644</v>
      </c>
      <c r="R3185" t="str">
        <f>IFERROR(VLOOKUP(record[[#This Row],[PCUSTID]],廠商[],2,FALSE),"")</f>
        <v/>
      </c>
      <c r="S3185" t="str">
        <f>VLOOKUP(record[[#This Row],[employeeID]],員工[],2,FALSE)</f>
        <v>阮氏芳英(芳)</v>
      </c>
    </row>
    <row r="3186" spans="6:19" hidden="1" x14ac:dyDescent="0.25">
      <c r="F3186" t="s">
        <v>1637</v>
      </c>
      <c r="G3186" t="s">
        <v>447</v>
      </c>
      <c r="H3186" t="str">
        <f>VLOOKUP(record[[#This Row],[ProcessSN]],表格2_7[],2,FALSE)</f>
        <v>30-4118-018-6XX</v>
      </c>
      <c r="I3186" t="str">
        <f>VLOOKUP(record[[#This Row],[ProcessSN]],表格2_7[],3,FALSE)</f>
        <v>#03</v>
      </c>
      <c r="J3186" t="s">
        <v>588</v>
      </c>
      <c r="K3186" s="195">
        <v>46099.660856481481</v>
      </c>
      <c r="L3186">
        <v>415</v>
      </c>
      <c r="M3186">
        <v>2</v>
      </c>
      <c r="N3186" s="98" t="str">
        <f>IF(record[[#This Row],[Memo]]="Browser:chrome os:android","平板報工",IF(record[[#This Row],[Memo]]=0,"委外",record[[#This Row],[Memo]]))</f>
        <v>平板報工</v>
      </c>
      <c r="O3186" t="s">
        <v>643</v>
      </c>
      <c r="P3186" t="s">
        <v>107</v>
      </c>
      <c r="Q3186" t="s">
        <v>644</v>
      </c>
      <c r="R3186" t="str">
        <f>IFERROR(VLOOKUP(record[[#This Row],[PCUSTID]],廠商[],2,FALSE),"")</f>
        <v/>
      </c>
      <c r="S3186" t="str">
        <f>VLOOKUP(record[[#This Row],[employeeID]],員工[],2,FALSE)</f>
        <v>黎氏順</v>
      </c>
    </row>
    <row r="3187" spans="6:19" hidden="1" x14ac:dyDescent="0.25">
      <c r="F3187" t="s">
        <v>1587</v>
      </c>
      <c r="G3187" t="s">
        <v>374</v>
      </c>
      <c r="H3187" t="str">
        <f>VLOOKUP(record[[#This Row],[ProcessSN]],表格2_7[],2,FALSE)</f>
        <v>30-4118-018-4XX</v>
      </c>
      <c r="I3187" t="str">
        <f>VLOOKUP(record[[#This Row],[ProcessSN]],表格2_7[],3,FALSE)</f>
        <v>#04</v>
      </c>
      <c r="J3187" t="s">
        <v>588</v>
      </c>
      <c r="K3187" s="195">
        <v>46099.655474537038</v>
      </c>
      <c r="L3187">
        <v>135</v>
      </c>
      <c r="M3187">
        <v>0</v>
      </c>
      <c r="N3187" s="98" t="str">
        <f>IF(record[[#This Row],[Memo]]="Browser:chrome os:android","平板報工",IF(record[[#This Row],[Memo]]=0,"委外",record[[#This Row],[Memo]]))</f>
        <v>平板報工</v>
      </c>
      <c r="O3187" t="s">
        <v>643</v>
      </c>
      <c r="P3187" t="s">
        <v>107</v>
      </c>
      <c r="Q3187" t="s">
        <v>644</v>
      </c>
      <c r="R3187" t="str">
        <f>IFERROR(VLOOKUP(record[[#This Row],[PCUSTID]],廠商[],2,FALSE),"")</f>
        <v/>
      </c>
      <c r="S3187" t="str">
        <f>VLOOKUP(record[[#This Row],[employeeID]],員工[],2,FALSE)</f>
        <v>黎氏順</v>
      </c>
    </row>
    <row r="3188" spans="6:19" hidden="1" x14ac:dyDescent="0.25">
      <c r="F3188" t="s">
        <v>1589</v>
      </c>
      <c r="G3188" t="s">
        <v>418</v>
      </c>
      <c r="H3188" t="str">
        <f>VLOOKUP(record[[#This Row],[ProcessSN]],表格2_7[],2,FALSE)</f>
        <v>30-4118-018-5XX</v>
      </c>
      <c r="I3188" t="str">
        <f>VLOOKUP(record[[#This Row],[ProcessSN]],表格2_7[],3,FALSE)</f>
        <v>#07</v>
      </c>
      <c r="J3188" t="s">
        <v>588</v>
      </c>
      <c r="K3188" s="195">
        <v>46099.654664351852</v>
      </c>
      <c r="L3188">
        <v>187</v>
      </c>
      <c r="M3188">
        <v>0</v>
      </c>
      <c r="N3188" s="98" t="str">
        <f>IF(record[[#This Row],[Memo]]="Browser:chrome os:android","平板報工",IF(record[[#This Row],[Memo]]=0,"委外",record[[#This Row],[Memo]]))</f>
        <v>平板報工</v>
      </c>
      <c r="O3188" t="s">
        <v>643</v>
      </c>
      <c r="P3188" t="s">
        <v>145</v>
      </c>
      <c r="Q3188" t="s">
        <v>644</v>
      </c>
      <c r="R3188" t="str">
        <f>IFERROR(VLOOKUP(record[[#This Row],[PCUSTID]],廠商[],2,FALSE),"")</f>
        <v/>
      </c>
      <c r="S3188" t="str">
        <f>VLOOKUP(record[[#This Row],[employeeID]],員工[],2,FALSE)</f>
        <v>阮秋霞</v>
      </c>
    </row>
    <row r="3189" spans="6:19" hidden="1" x14ac:dyDescent="0.25">
      <c r="F3189" t="s">
        <v>1631</v>
      </c>
      <c r="G3189" t="s">
        <v>400</v>
      </c>
      <c r="H3189" t="str">
        <f>VLOOKUP(record[[#This Row],[ProcessSN]],表格2_7[],2,FALSE)</f>
        <v>30-4118-018-550</v>
      </c>
      <c r="I3189" t="str">
        <f>VLOOKUP(record[[#This Row],[ProcessSN]],表格2_7[],3,FALSE)</f>
        <v>#100</v>
      </c>
      <c r="J3189" t="s">
        <v>598</v>
      </c>
      <c r="K3189" s="195">
        <v>46099.643680555557</v>
      </c>
      <c r="L3189">
        <v>47</v>
      </c>
      <c r="M3189">
        <v>0</v>
      </c>
      <c r="N3189" s="98" t="str">
        <f>IF(record[[#This Row],[Memo]]="Browser:chrome os:android","平板報工",IF(record[[#This Row],[Memo]]=0,"委外",record[[#This Row],[Memo]]))</f>
        <v/>
      </c>
      <c r="O3189" t="s">
        <v>58</v>
      </c>
      <c r="P3189" t="s">
        <v>141</v>
      </c>
      <c r="Q3189" t="s">
        <v>58</v>
      </c>
      <c r="R3189" t="str">
        <f>IFERROR(VLOOKUP(record[[#This Row],[PCUSTID]],廠商[],2,FALSE),"")</f>
        <v/>
      </c>
      <c r="S3189" t="str">
        <f>VLOOKUP(record[[#This Row],[employeeID]],員工[],2,FALSE)</f>
        <v>蔣梅</v>
      </c>
    </row>
    <row r="3190" spans="6:19" hidden="1" x14ac:dyDescent="0.25">
      <c r="F3190" t="s">
        <v>1622</v>
      </c>
      <c r="G3190" t="s">
        <v>400</v>
      </c>
      <c r="H3190" t="str">
        <f>VLOOKUP(record[[#This Row],[ProcessSN]],表格2_7[],2,FALSE)</f>
        <v>30-4118-018-550</v>
      </c>
      <c r="I3190" t="str">
        <f>VLOOKUP(record[[#This Row],[ProcessSN]],表格2_7[],3,FALSE)</f>
        <v>#100</v>
      </c>
      <c r="J3190" t="s">
        <v>598</v>
      </c>
      <c r="K3190" s="195">
        <v>46099.643020833333</v>
      </c>
      <c r="L3190">
        <v>128</v>
      </c>
      <c r="M3190">
        <v>0</v>
      </c>
      <c r="N3190" s="98" t="str">
        <f>IF(record[[#This Row],[Memo]]="Browser:chrome os:android","平板報工",IF(record[[#This Row],[Memo]]=0,"委外",record[[#This Row],[Memo]]))</f>
        <v/>
      </c>
      <c r="O3190" t="s">
        <v>58</v>
      </c>
      <c r="P3190" t="s">
        <v>141</v>
      </c>
      <c r="Q3190" t="s">
        <v>58</v>
      </c>
      <c r="R3190" t="str">
        <f>IFERROR(VLOOKUP(record[[#This Row],[PCUSTID]],廠商[],2,FALSE),"")</f>
        <v/>
      </c>
      <c r="S3190" t="str">
        <f>VLOOKUP(record[[#This Row],[employeeID]],員工[],2,FALSE)</f>
        <v>蔣梅</v>
      </c>
    </row>
    <row r="3191" spans="6:19" hidden="1" x14ac:dyDescent="0.25">
      <c r="F3191" t="s">
        <v>1622</v>
      </c>
      <c r="G3191" t="s">
        <v>399</v>
      </c>
      <c r="H3191" t="str">
        <f>VLOOKUP(record[[#This Row],[ProcessSN]],表格2_7[],2,FALSE)</f>
        <v>30-4118-018-550</v>
      </c>
      <c r="I3191" t="str">
        <f>VLOOKUP(record[[#This Row],[ProcessSN]],表格2_7[],3,FALSE)</f>
        <v>#08IQC</v>
      </c>
      <c r="J3191" t="s">
        <v>583</v>
      </c>
      <c r="K3191" s="195">
        <v>46099.642465277779</v>
      </c>
      <c r="L3191">
        <v>12</v>
      </c>
      <c r="M3191">
        <v>0</v>
      </c>
      <c r="N3191" s="98" t="str">
        <f>IF(record[[#This Row],[Memo]]="Browser:chrome os:android","平板報工",IF(record[[#This Row],[Memo]]=0,"委外",record[[#This Row],[Memo]]))</f>
        <v>覆回</v>
      </c>
      <c r="O3191" t="s">
        <v>682</v>
      </c>
      <c r="P3191" t="s">
        <v>141</v>
      </c>
      <c r="Q3191" t="s">
        <v>58</v>
      </c>
      <c r="R3191" t="str">
        <f>IFERROR(VLOOKUP(record[[#This Row],[PCUSTID]],廠商[],2,FALSE),"")</f>
        <v/>
      </c>
      <c r="S3191" t="str">
        <f>VLOOKUP(record[[#This Row],[employeeID]],員工[],2,FALSE)</f>
        <v>蔣梅</v>
      </c>
    </row>
    <row r="3192" spans="6:19" hidden="1" x14ac:dyDescent="0.25">
      <c r="F3192" t="s">
        <v>1622</v>
      </c>
      <c r="G3192" t="s">
        <v>398</v>
      </c>
      <c r="H3192" t="str">
        <f>VLOOKUP(record[[#This Row],[ProcessSN]],表格2_7[],2,FALSE)</f>
        <v>30-4118-018-550</v>
      </c>
      <c r="I3192" t="str">
        <f>VLOOKUP(record[[#This Row],[ProcessSN]],表格2_7[],3,FALSE)</f>
        <v>#08RCV</v>
      </c>
      <c r="J3192" t="s">
        <v>591</v>
      </c>
      <c r="K3192" s="195">
        <v>46099.642129629632</v>
      </c>
      <c r="L3192">
        <v>0</v>
      </c>
      <c r="M3192">
        <v>17</v>
      </c>
      <c r="N3192" s="98" t="str">
        <f>IF(record[[#This Row],[Memo]]="Browser:chrome os:android","平板報工",IF(record[[#This Row],[Memo]]=0,"委外",record[[#This Row],[Memo]]))</f>
        <v/>
      </c>
      <c r="O3192" t="s">
        <v>58</v>
      </c>
      <c r="P3192" t="s">
        <v>141</v>
      </c>
      <c r="Q3192" t="s">
        <v>58</v>
      </c>
      <c r="R3192" t="str">
        <f>IFERROR(VLOOKUP(record[[#This Row],[PCUSTID]],廠商[],2,FALSE),"")</f>
        <v/>
      </c>
      <c r="S3192" t="str">
        <f>VLOOKUP(record[[#This Row],[employeeID]],員工[],2,FALSE)</f>
        <v>蔣梅</v>
      </c>
    </row>
    <row r="3193" spans="6:19" hidden="1" x14ac:dyDescent="0.25">
      <c r="F3193" t="s">
        <v>1622</v>
      </c>
      <c r="G3193" t="s">
        <v>398</v>
      </c>
      <c r="H3193" t="str">
        <f>VLOOKUP(record[[#This Row],[ProcessSN]],表格2_7[],2,FALSE)</f>
        <v>30-4118-018-550</v>
      </c>
      <c r="I3193" t="str">
        <f>VLOOKUP(record[[#This Row],[ProcessSN]],表格2_7[],3,FALSE)</f>
        <v>#08RCV</v>
      </c>
      <c r="J3193" t="s">
        <v>591</v>
      </c>
      <c r="K3193" s="195">
        <v>46099.641736111109</v>
      </c>
      <c r="L3193">
        <v>12</v>
      </c>
      <c r="M3193">
        <v>0</v>
      </c>
      <c r="N3193" s="98" t="str">
        <f>IF(record[[#This Row],[Memo]]="Browser:chrome os:android","平板報工",IF(record[[#This Row],[Memo]]=0,"委外",record[[#This Row],[Memo]]))</f>
        <v>覆回</v>
      </c>
      <c r="O3193" t="s">
        <v>682</v>
      </c>
      <c r="P3193" t="s">
        <v>141</v>
      </c>
      <c r="Q3193" t="s">
        <v>58</v>
      </c>
      <c r="R3193" t="str">
        <f>IFERROR(VLOOKUP(record[[#This Row],[PCUSTID]],廠商[],2,FALSE),"")</f>
        <v/>
      </c>
      <c r="S3193" t="str">
        <f>VLOOKUP(record[[#This Row],[employeeID]],員工[],2,FALSE)</f>
        <v>蔣梅</v>
      </c>
    </row>
    <row r="3194" spans="6:19" hidden="1" x14ac:dyDescent="0.25">
      <c r="F3194" t="s">
        <v>1540</v>
      </c>
      <c r="G3194" t="s">
        <v>419</v>
      </c>
      <c r="H3194" t="str">
        <f>VLOOKUP(record[[#This Row],[ProcessSN]],表格2_7[],2,FALSE)</f>
        <v>30-4118-018-5XX</v>
      </c>
      <c r="I3194" t="str">
        <f>VLOOKUP(record[[#This Row],[ProcessSN]],表格2_7[],3,FALSE)</f>
        <v>#07QC</v>
      </c>
      <c r="J3194" t="s">
        <v>589</v>
      </c>
      <c r="K3194" s="195">
        <v>46099.640300925923</v>
      </c>
      <c r="L3194">
        <v>0</v>
      </c>
      <c r="M3194">
        <v>2</v>
      </c>
      <c r="N3194" s="98" t="str">
        <f>IF(record[[#This Row],[Memo]]="Browser:chrome os:android","平板報工",IF(record[[#This Row],[Memo]]=0,"委外",record[[#This Row],[Memo]]))</f>
        <v/>
      </c>
      <c r="O3194" t="s">
        <v>58</v>
      </c>
      <c r="P3194" t="s">
        <v>141</v>
      </c>
      <c r="Q3194" t="s">
        <v>58</v>
      </c>
      <c r="R3194" t="str">
        <f>IFERROR(VLOOKUP(record[[#This Row],[PCUSTID]],廠商[],2,FALSE),"")</f>
        <v/>
      </c>
      <c r="S3194" t="str">
        <f>VLOOKUP(record[[#This Row],[employeeID]],員工[],2,FALSE)</f>
        <v>蔣梅</v>
      </c>
    </row>
    <row r="3195" spans="6:19" hidden="1" x14ac:dyDescent="0.25">
      <c r="F3195" t="s">
        <v>1568</v>
      </c>
      <c r="G3195" t="s">
        <v>420</v>
      </c>
      <c r="H3195" t="str">
        <f>VLOOKUP(record[[#This Row],[ProcessSN]],表格2_7[],2,FALSE)</f>
        <v>30-4118-018-5XX</v>
      </c>
      <c r="I3195" t="str">
        <f>VLOOKUP(record[[#This Row],[ProcessSN]],表格2_7[],3,FALSE)</f>
        <v>#07STOCK</v>
      </c>
      <c r="J3195" t="s">
        <v>592</v>
      </c>
      <c r="K3195" s="195">
        <v>46099.627662037034</v>
      </c>
      <c r="L3195">
        <v>128</v>
      </c>
      <c r="M3195">
        <v>0</v>
      </c>
      <c r="N3195" s="98" t="str">
        <f>IF(record[[#This Row],[Memo]]="Browser:chrome os:android","平板報工",IF(record[[#This Row],[Memo]]=0,"委外",record[[#This Row],[Memo]]))</f>
        <v/>
      </c>
      <c r="O3195" t="s">
        <v>58</v>
      </c>
      <c r="P3195" t="s">
        <v>186</v>
      </c>
      <c r="Q3195" t="s">
        <v>58</v>
      </c>
      <c r="R3195" t="str">
        <f>IFERROR(VLOOKUP(record[[#This Row],[PCUSTID]],廠商[],2,FALSE),"")</f>
        <v/>
      </c>
      <c r="S3195" t="str">
        <f>VLOOKUP(record[[#This Row],[employeeID]],員工[],2,FALSE)</f>
        <v>許文姍</v>
      </c>
    </row>
    <row r="3196" spans="6:19" hidden="1" x14ac:dyDescent="0.25">
      <c r="F3196" t="s">
        <v>1540</v>
      </c>
      <c r="G3196" t="s">
        <v>420</v>
      </c>
      <c r="H3196" t="str">
        <f>VLOOKUP(record[[#This Row],[ProcessSN]],表格2_7[],2,FALSE)</f>
        <v>30-4118-018-5XX</v>
      </c>
      <c r="I3196" t="str">
        <f>VLOOKUP(record[[#This Row],[ProcessSN]],表格2_7[],3,FALSE)</f>
        <v>#07STOCK</v>
      </c>
      <c r="J3196" t="s">
        <v>592</v>
      </c>
      <c r="K3196" s="195">
        <v>46099.627500000002</v>
      </c>
      <c r="L3196">
        <v>228</v>
      </c>
      <c r="M3196">
        <v>0</v>
      </c>
      <c r="N3196" s="98" t="str">
        <f>IF(record[[#This Row],[Memo]]="Browser:chrome os:android","平板報工",IF(record[[#This Row],[Memo]]=0,"委外",record[[#This Row],[Memo]]))</f>
        <v/>
      </c>
      <c r="O3196" t="s">
        <v>58</v>
      </c>
      <c r="P3196" t="s">
        <v>186</v>
      </c>
      <c r="Q3196" t="s">
        <v>58</v>
      </c>
      <c r="R3196" t="str">
        <f>IFERROR(VLOOKUP(record[[#This Row],[PCUSTID]],廠商[],2,FALSE),"")</f>
        <v/>
      </c>
      <c r="S3196" t="str">
        <f>VLOOKUP(record[[#This Row],[employeeID]],員工[],2,FALSE)</f>
        <v>許文姍</v>
      </c>
    </row>
    <row r="3197" spans="6:19" hidden="1" x14ac:dyDescent="0.25">
      <c r="F3197" t="s">
        <v>1587</v>
      </c>
      <c r="G3197" t="s">
        <v>379</v>
      </c>
      <c r="H3197" t="str">
        <f>VLOOKUP(record[[#This Row],[ProcessSN]],表格2_7[],2,FALSE)</f>
        <v>30-4118-018-4XX</v>
      </c>
      <c r="I3197" t="str">
        <f>VLOOKUP(record[[#This Row],[ProcessSN]],表格2_7[],3,FALSE)</f>
        <v>#07STOCK</v>
      </c>
      <c r="J3197" t="s">
        <v>592</v>
      </c>
      <c r="K3197" s="195">
        <v>46099.627152777779</v>
      </c>
      <c r="L3197">
        <v>285</v>
      </c>
      <c r="M3197">
        <v>0</v>
      </c>
      <c r="N3197" s="98" t="str">
        <f>IF(record[[#This Row],[Memo]]="Browser:chrome os:android","平板報工",IF(record[[#This Row],[Memo]]=0,"委外",record[[#This Row],[Memo]]))</f>
        <v/>
      </c>
      <c r="O3197" t="s">
        <v>58</v>
      </c>
      <c r="P3197" t="s">
        <v>186</v>
      </c>
      <c r="Q3197" t="s">
        <v>58</v>
      </c>
      <c r="R3197" t="str">
        <f>IFERROR(VLOOKUP(record[[#This Row],[PCUSTID]],廠商[],2,FALSE),"")</f>
        <v/>
      </c>
      <c r="S3197" t="str">
        <f>VLOOKUP(record[[#This Row],[employeeID]],員工[],2,FALSE)</f>
        <v>許文姍</v>
      </c>
    </row>
    <row r="3198" spans="6:19" hidden="1" x14ac:dyDescent="0.25">
      <c r="F3198" t="s">
        <v>1647</v>
      </c>
      <c r="G3198" t="s">
        <v>397</v>
      </c>
      <c r="H3198" t="str">
        <f>VLOOKUP(record[[#This Row],[ProcessSN]],表格2_7[],2,FALSE)</f>
        <v>30-4118-018-550</v>
      </c>
      <c r="I3198" t="str">
        <f>VLOOKUP(record[[#This Row],[ProcessSN]],表格2_7[],3,FALSE)</f>
        <v>#08</v>
      </c>
      <c r="J3198" t="s">
        <v>597</v>
      </c>
      <c r="K3198" s="195">
        <v>46099.61</v>
      </c>
      <c r="L3198">
        <v>356</v>
      </c>
      <c r="M3198">
        <v>0</v>
      </c>
      <c r="N3198" s="98" t="str">
        <f>IF(record[[#This Row],[Memo]]="Browser:chrome os:android","平板報工",IF(record[[#This Row],[Memo]]=0,"委外",record[[#This Row],[Memo]]))</f>
        <v>委外</v>
      </c>
      <c r="P3198" t="s">
        <v>186</v>
      </c>
      <c r="Q3198" t="s">
        <v>287</v>
      </c>
      <c r="R3198" t="str">
        <f>IFERROR(VLOOKUP(record[[#This Row],[PCUSTID]],廠商[],2,FALSE),"")</f>
        <v>泉盛</v>
      </c>
      <c r="S3198" t="str">
        <f>VLOOKUP(record[[#This Row],[employeeID]],員工[],2,FALSE)</f>
        <v>許文姍</v>
      </c>
    </row>
    <row r="3199" spans="6:19" hidden="1" x14ac:dyDescent="0.25">
      <c r="F3199" t="s">
        <v>1646</v>
      </c>
      <c r="G3199" t="s">
        <v>356</v>
      </c>
      <c r="H3199" t="str">
        <f>VLOOKUP(record[[#This Row],[ProcessSN]],表格2_7[],2,FALSE)</f>
        <v>30-4118-018-450</v>
      </c>
      <c r="I3199" t="str">
        <f>VLOOKUP(record[[#This Row],[ProcessSN]],表格2_7[],3,FALSE)</f>
        <v>#08</v>
      </c>
      <c r="J3199" t="s">
        <v>597</v>
      </c>
      <c r="K3199" s="195">
        <v>46099.609895833331</v>
      </c>
      <c r="L3199">
        <v>285</v>
      </c>
      <c r="M3199">
        <v>0</v>
      </c>
      <c r="N3199" s="98" t="str">
        <f>IF(record[[#This Row],[Memo]]="Browser:chrome os:android","平板報工",IF(record[[#This Row],[Memo]]=0,"委外",record[[#This Row],[Memo]]))</f>
        <v>委外</v>
      </c>
      <c r="P3199" t="s">
        <v>186</v>
      </c>
      <c r="Q3199" t="s">
        <v>287</v>
      </c>
      <c r="R3199" t="str">
        <f>IFERROR(VLOOKUP(record[[#This Row],[PCUSTID]],廠商[],2,FALSE),"")</f>
        <v>泉盛</v>
      </c>
      <c r="S3199" t="str">
        <f>VLOOKUP(record[[#This Row],[employeeID]],員工[],2,FALSE)</f>
        <v>許文姍</v>
      </c>
    </row>
    <row r="3200" spans="6:19" hidden="1" x14ac:dyDescent="0.25">
      <c r="F3200" t="s">
        <v>1647</v>
      </c>
      <c r="G3200" t="s">
        <v>396</v>
      </c>
      <c r="H3200" t="str">
        <f>VLOOKUP(record[[#This Row],[ProcessSN]],表格2_7[],2,FALSE)</f>
        <v>30-4118-018-550</v>
      </c>
      <c r="I3200" t="str">
        <f>VLOOKUP(record[[#This Row],[ProcessSN]],表格2_7[],3,FALSE)</f>
        <v>#08PICK</v>
      </c>
      <c r="J3200" t="s">
        <v>582</v>
      </c>
      <c r="K3200" s="195">
        <v>46099.609097222223</v>
      </c>
      <c r="L3200">
        <v>356</v>
      </c>
      <c r="M3200">
        <v>0</v>
      </c>
      <c r="N3200" s="98" t="str">
        <f>IF(record[[#This Row],[Memo]]="Browser:chrome os:android","平板報工",IF(record[[#This Row],[Memo]]=0,"委外",record[[#This Row],[Memo]]))</f>
        <v/>
      </c>
      <c r="O3200" t="s">
        <v>58</v>
      </c>
      <c r="P3200" t="s">
        <v>186</v>
      </c>
      <c r="Q3200" t="s">
        <v>58</v>
      </c>
      <c r="R3200" t="str">
        <f>IFERROR(VLOOKUP(record[[#This Row],[PCUSTID]],廠商[],2,FALSE),"")</f>
        <v/>
      </c>
      <c r="S3200" t="str">
        <f>VLOOKUP(record[[#This Row],[employeeID]],員工[],2,FALSE)</f>
        <v>許文姍</v>
      </c>
    </row>
    <row r="3201" spans="6:19" hidden="1" x14ac:dyDescent="0.25">
      <c r="F3201" t="s">
        <v>1646</v>
      </c>
      <c r="G3201" t="s">
        <v>355</v>
      </c>
      <c r="H3201" t="str">
        <f>VLOOKUP(record[[#This Row],[ProcessSN]],表格2_7[],2,FALSE)</f>
        <v>30-4118-018-450</v>
      </c>
      <c r="I3201" t="str">
        <f>VLOOKUP(record[[#This Row],[ProcessSN]],表格2_7[],3,FALSE)</f>
        <v>#08PICK</v>
      </c>
      <c r="J3201" t="s">
        <v>582</v>
      </c>
      <c r="K3201" s="195">
        <v>46099.60900462963</v>
      </c>
      <c r="L3201">
        <v>285</v>
      </c>
      <c r="M3201">
        <v>0</v>
      </c>
      <c r="N3201" s="98" t="str">
        <f>IF(record[[#This Row],[Memo]]="Browser:chrome os:android","平板報工",IF(record[[#This Row],[Memo]]=0,"委外",record[[#This Row],[Memo]]))</f>
        <v/>
      </c>
      <c r="O3201" t="s">
        <v>58</v>
      </c>
      <c r="P3201" t="s">
        <v>186</v>
      </c>
      <c r="Q3201" t="s">
        <v>58</v>
      </c>
      <c r="R3201" t="str">
        <f>IFERROR(VLOOKUP(record[[#This Row],[PCUSTID]],廠商[],2,FALSE),"")</f>
        <v/>
      </c>
      <c r="S3201" t="str">
        <f>VLOOKUP(record[[#This Row],[employeeID]],員工[],2,FALSE)</f>
        <v>許文姍</v>
      </c>
    </row>
    <row r="3202" spans="6:19" hidden="1" x14ac:dyDescent="0.25">
      <c r="F3202" t="s">
        <v>1587</v>
      </c>
      <c r="G3202" t="s">
        <v>378</v>
      </c>
      <c r="H3202" t="str">
        <f>VLOOKUP(record[[#This Row],[ProcessSN]],表格2_7[],2,FALSE)</f>
        <v>30-4118-018-4XX</v>
      </c>
      <c r="I3202" t="str">
        <f>VLOOKUP(record[[#This Row],[ProcessSN]],表格2_7[],3,FALSE)</f>
        <v>#07QC</v>
      </c>
      <c r="J3202" t="s">
        <v>589</v>
      </c>
      <c r="K3202" s="195">
        <v>46099.602789351855</v>
      </c>
      <c r="L3202">
        <v>96</v>
      </c>
      <c r="M3202">
        <v>0</v>
      </c>
      <c r="N3202" s="98" t="str">
        <f>IF(record[[#This Row],[Memo]]="Browser:chrome os:android","平板報工",IF(record[[#This Row],[Memo]]=0,"委外",record[[#This Row],[Memo]]))</f>
        <v/>
      </c>
      <c r="O3202" t="s">
        <v>58</v>
      </c>
      <c r="P3202" t="s">
        <v>99</v>
      </c>
      <c r="Q3202" t="s">
        <v>58</v>
      </c>
      <c r="R3202" t="str">
        <f>IFERROR(VLOOKUP(record[[#This Row],[PCUSTID]],廠商[],2,FALSE),"")</f>
        <v/>
      </c>
      <c r="S3202" t="str">
        <f>VLOOKUP(record[[#This Row],[employeeID]],員工[],2,FALSE)</f>
        <v>阮氏河</v>
      </c>
    </row>
    <row r="3203" spans="6:19" hidden="1" x14ac:dyDescent="0.25">
      <c r="F3203" t="s">
        <v>1587</v>
      </c>
      <c r="G3203" t="s">
        <v>378</v>
      </c>
      <c r="H3203" t="str">
        <f>VLOOKUP(record[[#This Row],[ProcessSN]],表格2_7[],2,FALSE)</f>
        <v>30-4118-018-4XX</v>
      </c>
      <c r="I3203" t="str">
        <f>VLOOKUP(record[[#This Row],[ProcessSN]],表格2_7[],3,FALSE)</f>
        <v>#07QC</v>
      </c>
      <c r="J3203" t="s">
        <v>589</v>
      </c>
      <c r="K3203" s="195">
        <v>46099.60261574074</v>
      </c>
      <c r="L3203">
        <v>0</v>
      </c>
      <c r="M3203">
        <v>6</v>
      </c>
      <c r="N3203" s="98" t="str">
        <f>IF(record[[#This Row],[Memo]]="Browser:chrome os:android","平板報工",IF(record[[#This Row],[Memo]]=0,"委外",record[[#This Row],[Memo]]))</f>
        <v/>
      </c>
      <c r="O3203" t="s">
        <v>58</v>
      </c>
      <c r="P3203" t="s">
        <v>99</v>
      </c>
      <c r="Q3203" t="s">
        <v>58</v>
      </c>
      <c r="R3203" t="str">
        <f>IFERROR(VLOOKUP(record[[#This Row],[PCUSTID]],廠商[],2,FALSE),"")</f>
        <v/>
      </c>
      <c r="S3203" t="str">
        <f>VLOOKUP(record[[#This Row],[employeeID]],員工[],2,FALSE)</f>
        <v>阮氏河</v>
      </c>
    </row>
    <row r="3204" spans="6:19" hidden="1" x14ac:dyDescent="0.25">
      <c r="F3204" t="s">
        <v>1568</v>
      </c>
      <c r="G3204" t="s">
        <v>419</v>
      </c>
      <c r="H3204" t="str">
        <f>VLOOKUP(record[[#This Row],[ProcessSN]],表格2_7[],2,FALSE)</f>
        <v>30-4118-018-5XX</v>
      </c>
      <c r="I3204" t="str">
        <f>VLOOKUP(record[[#This Row],[ProcessSN]],表格2_7[],3,FALSE)</f>
        <v>#07QC</v>
      </c>
      <c r="J3204" t="s">
        <v>589</v>
      </c>
      <c r="K3204" s="195">
        <v>46099.602337962962</v>
      </c>
      <c r="L3204">
        <v>128</v>
      </c>
      <c r="M3204">
        <v>0</v>
      </c>
      <c r="N3204" s="98" t="str">
        <f>IF(record[[#This Row],[Memo]]="Browser:chrome os:android","平板報工",IF(record[[#This Row],[Memo]]=0,"委外",record[[#This Row],[Memo]]))</f>
        <v/>
      </c>
      <c r="O3204" t="s">
        <v>58</v>
      </c>
      <c r="P3204" t="s">
        <v>99</v>
      </c>
      <c r="Q3204" t="s">
        <v>58</v>
      </c>
      <c r="R3204" t="str">
        <f>IFERROR(VLOOKUP(record[[#This Row],[PCUSTID]],廠商[],2,FALSE),"")</f>
        <v/>
      </c>
      <c r="S3204" t="str">
        <f>VLOOKUP(record[[#This Row],[employeeID]],員工[],2,FALSE)</f>
        <v>阮氏河</v>
      </c>
    </row>
    <row r="3205" spans="6:19" hidden="1" x14ac:dyDescent="0.25">
      <c r="F3205" t="s">
        <v>1540</v>
      </c>
      <c r="G3205" t="s">
        <v>419</v>
      </c>
      <c r="H3205" t="str">
        <f>VLOOKUP(record[[#This Row],[ProcessSN]],表格2_7[],2,FALSE)</f>
        <v>30-4118-018-5XX</v>
      </c>
      <c r="I3205" t="str">
        <f>VLOOKUP(record[[#This Row],[ProcessSN]],表格2_7[],3,FALSE)</f>
        <v>#07QC</v>
      </c>
      <c r="J3205" t="s">
        <v>589</v>
      </c>
      <c r="K3205" s="195">
        <v>46099.600173611114</v>
      </c>
      <c r="L3205">
        <v>228</v>
      </c>
      <c r="M3205">
        <v>0</v>
      </c>
      <c r="N3205" s="98" t="str">
        <f>IF(record[[#This Row],[Memo]]="Browser:chrome os:android","平板報工",IF(record[[#This Row],[Memo]]=0,"委外",record[[#This Row],[Memo]]))</f>
        <v/>
      </c>
      <c r="O3205" t="s">
        <v>58</v>
      </c>
      <c r="P3205" t="s">
        <v>141</v>
      </c>
      <c r="Q3205" t="s">
        <v>58</v>
      </c>
      <c r="R3205" t="str">
        <f>IFERROR(VLOOKUP(record[[#This Row],[PCUSTID]],廠商[],2,FALSE),"")</f>
        <v/>
      </c>
      <c r="S3205" t="str">
        <f>VLOOKUP(record[[#This Row],[employeeID]],員工[],2,FALSE)</f>
        <v>蔣梅</v>
      </c>
    </row>
    <row r="3206" spans="6:19" hidden="1" x14ac:dyDescent="0.25">
      <c r="F3206" t="s">
        <v>1587</v>
      </c>
      <c r="G3206" t="s">
        <v>377</v>
      </c>
      <c r="H3206" t="str">
        <f>VLOOKUP(record[[#This Row],[ProcessSN]],表格2_7[],2,FALSE)</f>
        <v>30-4118-018-4XX</v>
      </c>
      <c r="I3206" t="str">
        <f>VLOOKUP(record[[#This Row],[ProcessSN]],表格2_7[],3,FALSE)</f>
        <v>#07</v>
      </c>
      <c r="J3206" t="s">
        <v>588</v>
      </c>
      <c r="K3206" s="195">
        <v>46099.475844907407</v>
      </c>
      <c r="L3206">
        <v>1</v>
      </c>
      <c r="M3206">
        <v>0</v>
      </c>
      <c r="N3206" s="98" t="str">
        <f>IF(record[[#This Row],[Memo]]="Browser:chrome os:android","平板報工",IF(record[[#This Row],[Memo]]=0,"委外",record[[#This Row],[Memo]]))</f>
        <v/>
      </c>
      <c r="O3206" t="s">
        <v>58</v>
      </c>
      <c r="P3206" t="s">
        <v>1075</v>
      </c>
      <c r="Q3206" t="s">
        <v>58</v>
      </c>
      <c r="R3206" t="str">
        <f>IFERROR(VLOOKUP(record[[#This Row],[PCUSTID]],廠商[],2,FALSE),"")</f>
        <v/>
      </c>
      <c r="S3206" t="str">
        <f>VLOOKUP(record[[#This Row],[employeeID]],員工[],2,FALSE)</f>
        <v>吳宥叡</v>
      </c>
    </row>
    <row r="3207" spans="6:19" hidden="1" x14ac:dyDescent="0.25">
      <c r="F3207" t="s">
        <v>1587</v>
      </c>
      <c r="G3207" t="s">
        <v>378</v>
      </c>
      <c r="H3207" t="str">
        <f>VLOOKUP(record[[#This Row],[ProcessSN]],表格2_7[],2,FALSE)</f>
        <v>30-4118-018-4XX</v>
      </c>
      <c r="I3207" t="str">
        <f>VLOOKUP(record[[#This Row],[ProcessSN]],表格2_7[],3,FALSE)</f>
        <v>#07QC</v>
      </c>
      <c r="J3207" t="s">
        <v>589</v>
      </c>
      <c r="K3207" s="195">
        <v>46099.41306712963</v>
      </c>
      <c r="L3207">
        <v>189</v>
      </c>
      <c r="M3207">
        <v>0</v>
      </c>
      <c r="N3207" s="98" t="str">
        <f>IF(record[[#This Row],[Memo]]="Browser:chrome os:android","平板報工",IF(record[[#This Row],[Memo]]=0,"委外",record[[#This Row],[Memo]]))</f>
        <v/>
      </c>
      <c r="O3207" t="s">
        <v>58</v>
      </c>
      <c r="P3207" t="s">
        <v>141</v>
      </c>
      <c r="Q3207" t="s">
        <v>58</v>
      </c>
      <c r="R3207" t="str">
        <f>IFERROR(VLOOKUP(record[[#This Row],[PCUSTID]],廠商[],2,FALSE),"")</f>
        <v/>
      </c>
      <c r="S3207" t="str">
        <f>VLOOKUP(record[[#This Row],[employeeID]],員工[],2,FALSE)</f>
        <v>蔣梅</v>
      </c>
    </row>
    <row r="3208" spans="6:19" hidden="1" x14ac:dyDescent="0.25">
      <c r="F3208" t="s">
        <v>1622</v>
      </c>
      <c r="G3208" t="s">
        <v>403</v>
      </c>
      <c r="H3208" t="str">
        <f>VLOOKUP(record[[#This Row],[ProcessSN]],表格2_7[],2,FALSE)</f>
        <v>30-4118-018-550</v>
      </c>
      <c r="I3208" t="str">
        <f>VLOOKUP(record[[#This Row],[ProcessSN]],表格2_7[],3,FALSE)</f>
        <v>#100SHIP</v>
      </c>
      <c r="J3208" t="s">
        <v>600</v>
      </c>
      <c r="K3208" s="195">
        <v>46099.405972222223</v>
      </c>
      <c r="L3208">
        <v>228</v>
      </c>
      <c r="M3208">
        <v>0</v>
      </c>
      <c r="N3208" s="98" t="str">
        <f>IF(record[[#This Row],[Memo]]="Browser:chrome os:android","平板報工",IF(record[[#This Row],[Memo]]=0,"委外",record[[#This Row],[Memo]]))</f>
        <v/>
      </c>
      <c r="O3208" t="s">
        <v>58</v>
      </c>
      <c r="P3208" t="s">
        <v>886</v>
      </c>
      <c r="Q3208" t="s">
        <v>58</v>
      </c>
      <c r="R3208" t="str">
        <f>IFERROR(VLOOKUP(record[[#This Row],[PCUSTID]],廠商[],2,FALSE),"")</f>
        <v/>
      </c>
      <c r="S3208" t="str">
        <f>VLOOKUP(record[[#This Row],[employeeID]],員工[],2,FALSE)</f>
        <v>謝蓁薰</v>
      </c>
    </row>
    <row r="3209" spans="6:19" hidden="1" x14ac:dyDescent="0.25">
      <c r="F3209" t="s">
        <v>1622</v>
      </c>
      <c r="G3209" t="s">
        <v>402</v>
      </c>
      <c r="H3209" t="str">
        <f>VLOOKUP(record[[#This Row],[ProcessSN]],表格2_7[],2,FALSE)</f>
        <v>30-4118-018-550</v>
      </c>
      <c r="I3209" t="str">
        <f>VLOOKUP(record[[#This Row],[ProcessSN]],表格2_7[],3,FALSE)</f>
        <v>#100STOCK</v>
      </c>
      <c r="J3209" t="s">
        <v>592</v>
      </c>
      <c r="K3209" s="195">
        <v>46099.405844907407</v>
      </c>
      <c r="L3209">
        <v>228</v>
      </c>
      <c r="M3209">
        <v>0</v>
      </c>
      <c r="N3209" s="98" t="str">
        <f>IF(record[[#This Row],[Memo]]="Browser:chrome os:android","平板報工",IF(record[[#This Row],[Memo]]=0,"委外",record[[#This Row],[Memo]]))</f>
        <v/>
      </c>
      <c r="O3209" t="s">
        <v>58</v>
      </c>
      <c r="P3209" t="s">
        <v>886</v>
      </c>
      <c r="Q3209" t="s">
        <v>58</v>
      </c>
      <c r="R3209" t="str">
        <f>IFERROR(VLOOKUP(record[[#This Row],[PCUSTID]],廠商[],2,FALSE),"")</f>
        <v/>
      </c>
      <c r="S3209" t="str">
        <f>VLOOKUP(record[[#This Row],[employeeID]],員工[],2,FALSE)</f>
        <v>謝蓁薰</v>
      </c>
    </row>
    <row r="3210" spans="6:19" hidden="1" x14ac:dyDescent="0.25">
      <c r="F3210" t="s">
        <v>1618</v>
      </c>
      <c r="G3210" t="s">
        <v>403</v>
      </c>
      <c r="H3210" t="str">
        <f>VLOOKUP(record[[#This Row],[ProcessSN]],表格2_7[],2,FALSE)</f>
        <v>30-4118-018-550</v>
      </c>
      <c r="I3210" t="str">
        <f>VLOOKUP(record[[#This Row],[ProcessSN]],表格2_7[],3,FALSE)</f>
        <v>#100SHIP</v>
      </c>
      <c r="J3210" t="s">
        <v>600</v>
      </c>
      <c r="K3210" s="195">
        <v>46099.405694444446</v>
      </c>
      <c r="L3210">
        <v>308</v>
      </c>
      <c r="M3210">
        <v>0</v>
      </c>
      <c r="N3210" s="98" t="str">
        <f>IF(record[[#This Row],[Memo]]="Browser:chrome os:android","平板報工",IF(record[[#This Row],[Memo]]=0,"委外",record[[#This Row],[Memo]]))</f>
        <v/>
      </c>
      <c r="O3210" t="s">
        <v>58</v>
      </c>
      <c r="P3210" t="s">
        <v>886</v>
      </c>
      <c r="Q3210" t="s">
        <v>58</v>
      </c>
      <c r="R3210" t="str">
        <f>IFERROR(VLOOKUP(record[[#This Row],[PCUSTID]],廠商[],2,FALSE),"")</f>
        <v/>
      </c>
      <c r="S3210" t="str">
        <f>VLOOKUP(record[[#This Row],[employeeID]],員工[],2,FALSE)</f>
        <v>謝蓁薰</v>
      </c>
    </row>
    <row r="3211" spans="6:19" hidden="1" x14ac:dyDescent="0.25">
      <c r="F3211" t="s">
        <v>1618</v>
      </c>
      <c r="G3211" t="s">
        <v>402</v>
      </c>
      <c r="H3211" t="str">
        <f>VLOOKUP(record[[#This Row],[ProcessSN]],表格2_7[],2,FALSE)</f>
        <v>30-4118-018-550</v>
      </c>
      <c r="I3211" t="str">
        <f>VLOOKUP(record[[#This Row],[ProcessSN]],表格2_7[],3,FALSE)</f>
        <v>#100STOCK</v>
      </c>
      <c r="J3211" t="s">
        <v>592</v>
      </c>
      <c r="K3211" s="195">
        <v>46099.405590277776</v>
      </c>
      <c r="L3211">
        <v>308</v>
      </c>
      <c r="M3211">
        <v>0</v>
      </c>
      <c r="N3211" s="98" t="str">
        <f>IF(record[[#This Row],[Memo]]="Browser:chrome os:android","平板報工",IF(record[[#This Row],[Memo]]=0,"委外",record[[#This Row],[Memo]]))</f>
        <v/>
      </c>
      <c r="O3211" t="s">
        <v>58</v>
      </c>
      <c r="P3211" t="s">
        <v>886</v>
      </c>
      <c r="Q3211" t="s">
        <v>58</v>
      </c>
      <c r="R3211" t="str">
        <f>IFERROR(VLOOKUP(record[[#This Row],[PCUSTID]],廠商[],2,FALSE),"")</f>
        <v/>
      </c>
      <c r="S3211" t="str">
        <f>VLOOKUP(record[[#This Row],[employeeID]],員工[],2,FALSE)</f>
        <v>謝蓁薰</v>
      </c>
    </row>
    <row r="3212" spans="6:19" hidden="1" x14ac:dyDescent="0.25">
      <c r="F3212" t="s">
        <v>1605</v>
      </c>
      <c r="G3212" t="s">
        <v>403</v>
      </c>
      <c r="H3212" t="str">
        <f>VLOOKUP(record[[#This Row],[ProcessSN]],表格2_7[],2,FALSE)</f>
        <v>30-4118-018-550</v>
      </c>
      <c r="I3212" t="str">
        <f>VLOOKUP(record[[#This Row],[ProcessSN]],表格2_7[],3,FALSE)</f>
        <v>#100SHIP</v>
      </c>
      <c r="J3212" t="s">
        <v>600</v>
      </c>
      <c r="K3212" s="195">
        <v>46099.405393518522</v>
      </c>
      <c r="L3212">
        <v>24</v>
      </c>
      <c r="M3212">
        <v>0</v>
      </c>
      <c r="N3212" s="98" t="str">
        <f>IF(record[[#This Row],[Memo]]="Browser:chrome os:android","平板報工",IF(record[[#This Row],[Memo]]=0,"委外",record[[#This Row],[Memo]]))</f>
        <v/>
      </c>
      <c r="O3212" t="s">
        <v>58</v>
      </c>
      <c r="P3212" t="s">
        <v>886</v>
      </c>
      <c r="Q3212" t="s">
        <v>58</v>
      </c>
      <c r="R3212" t="str">
        <f>IFERROR(VLOOKUP(record[[#This Row],[PCUSTID]],廠商[],2,FALSE),"")</f>
        <v/>
      </c>
      <c r="S3212" t="str">
        <f>VLOOKUP(record[[#This Row],[employeeID]],員工[],2,FALSE)</f>
        <v>謝蓁薰</v>
      </c>
    </row>
    <row r="3213" spans="6:19" hidden="1" x14ac:dyDescent="0.25">
      <c r="F3213" t="s">
        <v>1593</v>
      </c>
      <c r="G3213" t="s">
        <v>428</v>
      </c>
      <c r="H3213" t="str">
        <f>VLOOKUP(record[[#This Row],[ProcessSN]],表格2_7[],2,FALSE)</f>
        <v>30-4118-018-600</v>
      </c>
      <c r="I3213" t="str">
        <f>VLOOKUP(record[[#This Row],[ProcessSN]],表格2_7[],3,FALSE)</f>
        <v>#100SHIP</v>
      </c>
      <c r="J3213" t="s">
        <v>600</v>
      </c>
      <c r="K3213" s="195">
        <v>46099.380462962959</v>
      </c>
      <c r="L3213">
        <v>66</v>
      </c>
      <c r="M3213">
        <v>0</v>
      </c>
      <c r="N3213" s="98" t="str">
        <f>IF(record[[#This Row],[Memo]]="Browser:chrome os:android","平板報工",IF(record[[#This Row],[Memo]]=0,"委外",record[[#This Row],[Memo]]))</f>
        <v/>
      </c>
      <c r="O3213" t="s">
        <v>58</v>
      </c>
      <c r="P3213" t="s">
        <v>886</v>
      </c>
      <c r="Q3213" t="s">
        <v>58</v>
      </c>
      <c r="R3213" t="str">
        <f>IFERROR(VLOOKUP(record[[#This Row],[PCUSTID]],廠商[],2,FALSE),"")</f>
        <v/>
      </c>
      <c r="S3213" t="str">
        <f>VLOOKUP(record[[#This Row],[employeeID]],員工[],2,FALSE)</f>
        <v>謝蓁薰</v>
      </c>
    </row>
    <row r="3214" spans="6:19" hidden="1" x14ac:dyDescent="0.25">
      <c r="F3214" t="s">
        <v>1593</v>
      </c>
      <c r="G3214" t="s">
        <v>427</v>
      </c>
      <c r="H3214" t="str">
        <f>VLOOKUP(record[[#This Row],[ProcessSN]],表格2_7[],2,FALSE)</f>
        <v>30-4118-018-600</v>
      </c>
      <c r="I3214" t="str">
        <f>VLOOKUP(record[[#This Row],[ProcessSN]],表格2_7[],3,FALSE)</f>
        <v>#100STOCK</v>
      </c>
      <c r="J3214" t="s">
        <v>592</v>
      </c>
      <c r="K3214" s="195">
        <v>46099.380347222221</v>
      </c>
      <c r="L3214">
        <v>162</v>
      </c>
      <c r="M3214">
        <v>0</v>
      </c>
      <c r="N3214" s="98" t="str">
        <f>IF(record[[#This Row],[Memo]]="Browser:chrome os:android","平板報工",IF(record[[#This Row],[Memo]]=0,"委外",record[[#This Row],[Memo]]))</f>
        <v/>
      </c>
      <c r="O3214" t="s">
        <v>58</v>
      </c>
      <c r="P3214" t="s">
        <v>886</v>
      </c>
      <c r="Q3214" t="s">
        <v>58</v>
      </c>
      <c r="R3214" t="str">
        <f>IFERROR(VLOOKUP(record[[#This Row],[PCUSTID]],廠商[],2,FALSE),"")</f>
        <v/>
      </c>
      <c r="S3214" t="str">
        <f>VLOOKUP(record[[#This Row],[employeeID]],員工[],2,FALSE)</f>
        <v>謝蓁薰</v>
      </c>
    </row>
    <row r="3215" spans="6:19" hidden="1" x14ac:dyDescent="0.25">
      <c r="F3215" t="s">
        <v>1622</v>
      </c>
      <c r="G3215" t="s">
        <v>401</v>
      </c>
      <c r="H3215" t="str">
        <f>VLOOKUP(record[[#This Row],[ProcessSN]],表格2_7[],2,FALSE)</f>
        <v>30-4118-018-550</v>
      </c>
      <c r="I3215" t="str">
        <f>VLOOKUP(record[[#This Row],[ProcessSN]],表格2_7[],3,FALSE)</f>
        <v>#100OQC</v>
      </c>
      <c r="J3215" t="s">
        <v>599</v>
      </c>
      <c r="K3215" s="195">
        <v>46099.377384259256</v>
      </c>
      <c r="L3215">
        <v>264</v>
      </c>
      <c r="M3215">
        <v>0</v>
      </c>
      <c r="N3215" s="98" t="str">
        <f>IF(record[[#This Row],[Memo]]="Browser:chrome os:android","平板報工",IF(record[[#This Row],[Memo]]=0,"委外",record[[#This Row],[Memo]]))</f>
        <v/>
      </c>
      <c r="O3215" t="s">
        <v>58</v>
      </c>
      <c r="P3215" t="s">
        <v>121</v>
      </c>
      <c r="Q3215" t="s">
        <v>58</v>
      </c>
      <c r="R3215" t="str">
        <f>IFERROR(VLOOKUP(record[[#This Row],[PCUSTID]],廠商[],2,FALSE),"")</f>
        <v/>
      </c>
      <c r="S3215" t="str">
        <f>VLOOKUP(record[[#This Row],[employeeID]],員工[],2,FALSE)</f>
        <v>謝素卿</v>
      </c>
    </row>
    <row r="3216" spans="6:19" hidden="1" x14ac:dyDescent="0.25">
      <c r="F3216" t="s">
        <v>1587</v>
      </c>
      <c r="G3216" t="s">
        <v>376</v>
      </c>
      <c r="H3216" t="str">
        <f>VLOOKUP(record[[#This Row],[ProcessSN]],表格2_7[],2,FALSE)</f>
        <v>30-4118-018-4XX</v>
      </c>
      <c r="I3216" t="str">
        <f>VLOOKUP(record[[#This Row],[ProcessSN]],表格2_7[],3,FALSE)</f>
        <v>#06</v>
      </c>
      <c r="J3216" t="s">
        <v>593</v>
      </c>
      <c r="K3216" s="195">
        <v>46099.322442129633</v>
      </c>
      <c r="L3216">
        <v>65</v>
      </c>
      <c r="M3216">
        <v>0</v>
      </c>
      <c r="N3216" s="98" t="str">
        <f>IF(record[[#This Row],[Memo]]="Browser:chrome os:android","平板報工",IF(record[[#This Row],[Memo]]=0,"委外",record[[#This Row],[Memo]]))</f>
        <v/>
      </c>
      <c r="O3216" t="s">
        <v>58</v>
      </c>
      <c r="P3216" t="s">
        <v>135</v>
      </c>
      <c r="Q3216" t="s">
        <v>58</v>
      </c>
      <c r="R3216" t="str">
        <f>IFERROR(VLOOKUP(record[[#This Row],[PCUSTID]],廠商[],2,FALSE),"")</f>
        <v/>
      </c>
      <c r="S3216" t="str">
        <f>VLOOKUP(record[[#This Row],[employeeID]],員工[],2,FALSE)</f>
        <v>阮士文</v>
      </c>
    </row>
    <row r="3217" spans="6:19" hidden="1" x14ac:dyDescent="0.25">
      <c r="F3217" t="s">
        <v>1587</v>
      </c>
      <c r="G3217" t="s">
        <v>375</v>
      </c>
      <c r="H3217" t="str">
        <f>VLOOKUP(record[[#This Row],[ProcessSN]],表格2_7[],2,FALSE)</f>
        <v>30-4118-018-4XX</v>
      </c>
      <c r="I3217" t="str">
        <f>VLOOKUP(record[[#This Row],[ProcessSN]],表格2_7[],3,FALSE)</f>
        <v>#05</v>
      </c>
      <c r="J3217" t="s">
        <v>588</v>
      </c>
      <c r="K3217" s="195">
        <v>46099.321493055555</v>
      </c>
      <c r="L3217">
        <v>161</v>
      </c>
      <c r="M3217">
        <v>0</v>
      </c>
      <c r="N3217" s="98" t="str">
        <f>IF(record[[#This Row],[Memo]]="Browser:chrome os:android","平板報工",IF(record[[#This Row],[Memo]]=0,"委外",record[[#This Row],[Memo]]))</f>
        <v>中3/14</v>
      </c>
      <c r="O3217" t="s">
        <v>1645</v>
      </c>
      <c r="P3217" t="s">
        <v>135</v>
      </c>
      <c r="Q3217" t="s">
        <v>58</v>
      </c>
      <c r="R3217" t="str">
        <f>IFERROR(VLOOKUP(record[[#This Row],[PCUSTID]],廠商[],2,FALSE),"")</f>
        <v/>
      </c>
      <c r="S3217" t="str">
        <f>VLOOKUP(record[[#This Row],[employeeID]],員工[],2,FALSE)</f>
        <v>阮士文</v>
      </c>
    </row>
    <row r="3218" spans="6:19" hidden="1" x14ac:dyDescent="0.25">
      <c r="F3218" t="s">
        <v>1568</v>
      </c>
      <c r="G3218" t="s">
        <v>418</v>
      </c>
      <c r="H3218" t="str">
        <f>VLOOKUP(record[[#This Row],[ProcessSN]],表格2_7[],2,FALSE)</f>
        <v>30-4118-018-5XX</v>
      </c>
      <c r="I3218" t="str">
        <f>VLOOKUP(record[[#This Row],[ProcessSN]],表格2_7[],3,FALSE)</f>
        <v>#07</v>
      </c>
      <c r="J3218" t="s">
        <v>588</v>
      </c>
      <c r="K3218" s="195">
        <v>46099.311747685184</v>
      </c>
      <c r="L3218">
        <v>48</v>
      </c>
      <c r="M3218">
        <v>0</v>
      </c>
      <c r="N3218" s="98" t="str">
        <f>IF(record[[#This Row],[Memo]]="Browser:chrome os:android","平板報工",IF(record[[#This Row],[Memo]]=0,"委外",record[[#This Row],[Memo]]))</f>
        <v/>
      </c>
      <c r="O3218" t="s">
        <v>58</v>
      </c>
      <c r="P3218" t="s">
        <v>843</v>
      </c>
      <c r="Q3218" t="s">
        <v>58</v>
      </c>
      <c r="R3218" t="str">
        <f>IFERROR(VLOOKUP(record[[#This Row],[PCUSTID]],廠商[],2,FALSE),"")</f>
        <v/>
      </c>
      <c r="S3218" t="str">
        <f>VLOOKUP(record[[#This Row],[employeeID]],員工[],2,FALSE)</f>
        <v>張楚承</v>
      </c>
    </row>
    <row r="3219" spans="6:19" hidden="1" x14ac:dyDescent="0.25">
      <c r="F3219" t="s">
        <v>1540</v>
      </c>
      <c r="G3219" t="s">
        <v>418</v>
      </c>
      <c r="H3219" t="str">
        <f>VLOOKUP(record[[#This Row],[ProcessSN]],表格2_7[],2,FALSE)</f>
        <v>30-4118-018-5XX</v>
      </c>
      <c r="I3219" t="str">
        <f>VLOOKUP(record[[#This Row],[ProcessSN]],表格2_7[],3,FALSE)</f>
        <v>#07</v>
      </c>
      <c r="J3219" t="s">
        <v>588</v>
      </c>
      <c r="K3219" s="195">
        <v>46099.311435185184</v>
      </c>
      <c r="L3219">
        <v>109</v>
      </c>
      <c r="M3219">
        <v>3</v>
      </c>
      <c r="N3219" s="98" t="str">
        <f>IF(record[[#This Row],[Memo]]="Browser:chrome os:android","平板報工",IF(record[[#This Row],[Memo]]=0,"委外",record[[#This Row],[Memo]]))</f>
        <v/>
      </c>
      <c r="O3219" t="s">
        <v>58</v>
      </c>
      <c r="P3219" t="s">
        <v>843</v>
      </c>
      <c r="Q3219" t="s">
        <v>58</v>
      </c>
      <c r="R3219" t="str">
        <f>IFERROR(VLOOKUP(record[[#This Row],[PCUSTID]],廠商[],2,FALSE),"")</f>
        <v/>
      </c>
      <c r="S3219" t="str">
        <f>VLOOKUP(record[[#This Row],[employeeID]],員工[],2,FALSE)</f>
        <v>張楚承</v>
      </c>
    </row>
    <row r="3220" spans="6:19" hidden="1" x14ac:dyDescent="0.25">
      <c r="F3220" t="s">
        <v>1587</v>
      </c>
      <c r="G3220" t="s">
        <v>374</v>
      </c>
      <c r="H3220" t="str">
        <f>VLOOKUP(record[[#This Row],[ProcessSN]],表格2_7[],2,FALSE)</f>
        <v>30-4118-018-4XX</v>
      </c>
      <c r="I3220" t="str">
        <f>VLOOKUP(record[[#This Row],[ProcessSN]],表格2_7[],3,FALSE)</f>
        <v>#04</v>
      </c>
      <c r="J3220" t="s">
        <v>588</v>
      </c>
      <c r="K3220" s="195">
        <v>46099.310706018521</v>
      </c>
      <c r="L3220">
        <v>132</v>
      </c>
      <c r="M3220">
        <v>0</v>
      </c>
      <c r="N3220" s="98" t="str">
        <f>IF(record[[#This Row],[Memo]]="Browser:chrome os:android","平板報工",IF(record[[#This Row],[Memo]]=0,"委外",record[[#This Row],[Memo]]))</f>
        <v/>
      </c>
      <c r="O3220" t="s">
        <v>58</v>
      </c>
      <c r="P3220" t="s">
        <v>843</v>
      </c>
      <c r="Q3220" t="s">
        <v>58</v>
      </c>
      <c r="R3220" t="str">
        <f>IFERROR(VLOOKUP(record[[#This Row],[PCUSTID]],廠商[],2,FALSE),"")</f>
        <v/>
      </c>
      <c r="S3220" t="str">
        <f>VLOOKUP(record[[#This Row],[employeeID]],員工[],2,FALSE)</f>
        <v>張楚承</v>
      </c>
    </row>
    <row r="3221" spans="6:19" hidden="1" x14ac:dyDescent="0.25">
      <c r="F3221" t="s">
        <v>1587</v>
      </c>
      <c r="G3221" t="s">
        <v>376</v>
      </c>
      <c r="H3221" t="str">
        <f>VLOOKUP(record[[#This Row],[ProcessSN]],表格2_7[],2,FALSE)</f>
        <v>30-4118-018-4XX</v>
      </c>
      <c r="I3221" t="str">
        <f>VLOOKUP(record[[#This Row],[ProcessSN]],表格2_7[],3,FALSE)</f>
        <v>#06</v>
      </c>
      <c r="J3221" t="s">
        <v>593</v>
      </c>
      <c r="K3221" s="195">
        <v>46098.98778935185</v>
      </c>
      <c r="L3221">
        <v>34</v>
      </c>
      <c r="M3221">
        <v>0</v>
      </c>
      <c r="N3221" s="98" t="str">
        <f>IF(record[[#This Row],[Memo]]="Browser:chrome os:android","平板報工",IF(record[[#This Row],[Memo]]=0,"委外",record[[#This Row],[Memo]]))</f>
        <v/>
      </c>
      <c r="O3221" t="s">
        <v>58</v>
      </c>
      <c r="P3221" t="s">
        <v>841</v>
      </c>
      <c r="Q3221" t="s">
        <v>58</v>
      </c>
      <c r="R3221" t="str">
        <f>IFERROR(VLOOKUP(record[[#This Row],[PCUSTID]],廠商[],2,FALSE),"")</f>
        <v/>
      </c>
      <c r="S3221" t="str">
        <f>VLOOKUP(record[[#This Row],[employeeID]],員工[],2,FALSE)</f>
        <v>范氏香</v>
      </c>
    </row>
    <row r="3222" spans="6:19" hidden="1" x14ac:dyDescent="0.25">
      <c r="F3222" t="s">
        <v>1587</v>
      </c>
      <c r="G3222" t="s">
        <v>377</v>
      </c>
      <c r="H3222" t="str">
        <f>VLOOKUP(record[[#This Row],[ProcessSN]],表格2_7[],2,FALSE)</f>
        <v>30-4118-018-4XX</v>
      </c>
      <c r="I3222" t="str">
        <f>VLOOKUP(record[[#This Row],[ProcessSN]],表格2_7[],3,FALSE)</f>
        <v>#07</v>
      </c>
      <c r="J3222" t="s">
        <v>588</v>
      </c>
      <c r="K3222" s="195">
        <v>46098.984270833331</v>
      </c>
      <c r="L3222">
        <v>37</v>
      </c>
      <c r="M3222">
        <v>0</v>
      </c>
      <c r="N3222" s="98" t="str">
        <f>IF(record[[#This Row],[Memo]]="Browser:chrome os:android","平板報工",IF(record[[#This Row],[Memo]]=0,"委外",record[[#This Row],[Memo]]))</f>
        <v/>
      </c>
      <c r="O3222" t="s">
        <v>58</v>
      </c>
      <c r="P3222" t="s">
        <v>1098</v>
      </c>
      <c r="Q3222" t="s">
        <v>58</v>
      </c>
      <c r="R3222" t="str">
        <f>IFERROR(VLOOKUP(record[[#This Row],[PCUSTID]],廠商[],2,FALSE),"")</f>
        <v/>
      </c>
      <c r="S3222" t="str">
        <f>VLOOKUP(record[[#This Row],[employeeID]],員工[],2,FALSE)</f>
        <v>阮氏芳英(英)</v>
      </c>
    </row>
    <row r="3223" spans="6:19" hidden="1" x14ac:dyDescent="0.25">
      <c r="F3223" t="s">
        <v>1540</v>
      </c>
      <c r="G3223" t="s">
        <v>418</v>
      </c>
      <c r="H3223" t="str">
        <f>VLOOKUP(record[[#This Row],[ProcessSN]],表格2_7[],2,FALSE)</f>
        <v>30-4118-018-5XX</v>
      </c>
      <c r="I3223" t="str">
        <f>VLOOKUP(record[[#This Row],[ProcessSN]],表格2_7[],3,FALSE)</f>
        <v>#07</v>
      </c>
      <c r="J3223" t="s">
        <v>588</v>
      </c>
      <c r="K3223" s="195">
        <v>46098.984085648146</v>
      </c>
      <c r="L3223">
        <v>144</v>
      </c>
      <c r="M3223">
        <v>1</v>
      </c>
      <c r="N3223" s="98" t="str">
        <f>IF(record[[#This Row],[Memo]]="Browser:chrome os:android","平板報工",IF(record[[#This Row],[Memo]]=0,"委外",record[[#This Row],[Memo]]))</f>
        <v/>
      </c>
      <c r="O3223" t="s">
        <v>58</v>
      </c>
      <c r="P3223" t="s">
        <v>1098</v>
      </c>
      <c r="Q3223" t="s">
        <v>58</v>
      </c>
      <c r="R3223" t="str">
        <f>IFERROR(VLOOKUP(record[[#This Row],[PCUSTID]],廠商[],2,FALSE),"")</f>
        <v/>
      </c>
      <c r="S3223" t="str">
        <f>VLOOKUP(record[[#This Row],[employeeID]],員工[],2,FALSE)</f>
        <v>阮氏芳英(英)</v>
      </c>
    </row>
    <row r="3224" spans="6:19" hidden="1" x14ac:dyDescent="0.25">
      <c r="F3224" t="s">
        <v>1602</v>
      </c>
      <c r="G3224" t="s">
        <v>466</v>
      </c>
      <c r="H3224" t="str">
        <f>VLOOKUP(record[[#This Row],[ProcessSN]],表格2_7[],2,FALSE)</f>
        <v>30-4118-018-XXX</v>
      </c>
      <c r="I3224" t="str">
        <f>VLOOKUP(record[[#This Row],[ProcessSN]],表格2_7[],3,FALSE)</f>
        <v>#01-2</v>
      </c>
      <c r="J3224" t="s">
        <v>588</v>
      </c>
      <c r="K3224" s="195">
        <v>46098.982777777775</v>
      </c>
      <c r="L3224">
        <v>444</v>
      </c>
      <c r="M3224">
        <v>0</v>
      </c>
      <c r="N3224" s="98" t="str">
        <f>IF(record[[#This Row],[Memo]]="Browser:chrome os:android","平板報工",IF(record[[#This Row],[Memo]]=0,"委外",record[[#This Row],[Memo]]))</f>
        <v/>
      </c>
      <c r="O3224" t="s">
        <v>58</v>
      </c>
      <c r="P3224" t="s">
        <v>89</v>
      </c>
      <c r="Q3224" t="s">
        <v>58</v>
      </c>
      <c r="R3224" t="str">
        <f>IFERROR(VLOOKUP(record[[#This Row],[PCUSTID]],廠商[],2,FALSE),"")</f>
        <v/>
      </c>
      <c r="S3224" t="str">
        <f>VLOOKUP(record[[#This Row],[employeeID]],員工[],2,FALSE)</f>
        <v>李美蓮</v>
      </c>
    </row>
    <row r="3225" spans="6:19" hidden="1" x14ac:dyDescent="0.25">
      <c r="F3225" t="s">
        <v>1602</v>
      </c>
      <c r="G3225" t="s">
        <v>465</v>
      </c>
      <c r="H3225" t="str">
        <f>VLOOKUP(record[[#This Row],[ProcessSN]],表格2_7[],2,FALSE)</f>
        <v>30-4118-018-XXX</v>
      </c>
      <c r="I3225" t="str">
        <f>VLOOKUP(record[[#This Row],[ProcessSN]],表格2_7[],3,FALSE)</f>
        <v>#01-1</v>
      </c>
      <c r="J3225" t="s">
        <v>588</v>
      </c>
      <c r="K3225" s="195">
        <v>46098.982604166667</v>
      </c>
      <c r="L3225">
        <v>444</v>
      </c>
      <c r="M3225">
        <v>0</v>
      </c>
      <c r="N3225" s="98" t="str">
        <f>IF(record[[#This Row],[Memo]]="Browser:chrome os:android","平板報工",IF(record[[#This Row],[Memo]]=0,"委外",record[[#This Row],[Memo]]))</f>
        <v/>
      </c>
      <c r="O3225" t="s">
        <v>58</v>
      </c>
      <c r="P3225" t="s">
        <v>89</v>
      </c>
      <c r="Q3225" t="s">
        <v>58</v>
      </c>
      <c r="R3225" t="str">
        <f>IFERROR(VLOOKUP(record[[#This Row],[PCUSTID]],廠商[],2,FALSE),"")</f>
        <v/>
      </c>
      <c r="S3225" t="str">
        <f>VLOOKUP(record[[#This Row],[employeeID]],員工[],2,FALSE)</f>
        <v>李美蓮</v>
      </c>
    </row>
    <row r="3226" spans="6:19" hidden="1" x14ac:dyDescent="0.25">
      <c r="F3226" t="s">
        <v>1587</v>
      </c>
      <c r="G3226" t="s">
        <v>374</v>
      </c>
      <c r="H3226" t="str">
        <f>VLOOKUP(record[[#This Row],[ProcessSN]],表格2_7[],2,FALSE)</f>
        <v>30-4118-018-4XX</v>
      </c>
      <c r="I3226" t="str">
        <f>VLOOKUP(record[[#This Row],[ProcessSN]],表格2_7[],3,FALSE)</f>
        <v>#04</v>
      </c>
      <c r="J3226" t="s">
        <v>588</v>
      </c>
      <c r="K3226" s="195">
        <v>46098.980810185189</v>
      </c>
      <c r="L3226">
        <v>122</v>
      </c>
      <c r="M3226">
        <v>0</v>
      </c>
      <c r="N3226" s="98" t="str">
        <f>IF(record[[#This Row],[Memo]]="Browser:chrome os:android","平板報工",IF(record[[#This Row],[Memo]]=0,"委外",record[[#This Row],[Memo]]))</f>
        <v/>
      </c>
      <c r="O3226" t="s">
        <v>58</v>
      </c>
      <c r="P3226" t="s">
        <v>89</v>
      </c>
      <c r="Q3226" t="s">
        <v>58</v>
      </c>
      <c r="R3226" t="str">
        <f>IFERROR(VLOOKUP(record[[#This Row],[PCUSTID]],廠商[],2,FALSE),"")</f>
        <v/>
      </c>
      <c r="S3226" t="str">
        <f>VLOOKUP(record[[#This Row],[employeeID]],員工[],2,FALSE)</f>
        <v>李美蓮</v>
      </c>
    </row>
    <row r="3227" spans="6:19" hidden="1" x14ac:dyDescent="0.25">
      <c r="F3227" t="s">
        <v>1622</v>
      </c>
      <c r="G3227" t="s">
        <v>400</v>
      </c>
      <c r="H3227" t="str">
        <f>VLOOKUP(record[[#This Row],[ProcessSN]],表格2_7[],2,FALSE)</f>
        <v>30-4118-018-550</v>
      </c>
      <c r="I3227" t="str">
        <f>VLOOKUP(record[[#This Row],[ProcessSN]],表格2_7[],3,FALSE)</f>
        <v>#100</v>
      </c>
      <c r="J3227" t="s">
        <v>598</v>
      </c>
      <c r="K3227" s="195">
        <v>46098.824745370373</v>
      </c>
      <c r="L3227">
        <v>264</v>
      </c>
      <c r="M3227">
        <v>0</v>
      </c>
      <c r="N3227" s="98" t="str">
        <f>IF(record[[#This Row],[Memo]]="Browser:chrome os:android","平板報工",IF(record[[#This Row],[Memo]]=0,"委外",record[[#This Row],[Memo]]))</f>
        <v/>
      </c>
      <c r="O3227" t="s">
        <v>58</v>
      </c>
      <c r="P3227" t="s">
        <v>141</v>
      </c>
      <c r="Q3227" t="s">
        <v>58</v>
      </c>
      <c r="R3227" t="str">
        <f>IFERROR(VLOOKUP(record[[#This Row],[PCUSTID]],廠商[],2,FALSE),"")</f>
        <v/>
      </c>
      <c r="S3227" t="str">
        <f>VLOOKUP(record[[#This Row],[employeeID]],員工[],2,FALSE)</f>
        <v>蔣梅</v>
      </c>
    </row>
    <row r="3228" spans="6:19" hidden="1" x14ac:dyDescent="0.25">
      <c r="F3228" t="s">
        <v>1587</v>
      </c>
      <c r="G3228" t="s">
        <v>376</v>
      </c>
      <c r="H3228" t="str">
        <f>VLOOKUP(record[[#This Row],[ProcessSN]],表格2_7[],2,FALSE)</f>
        <v>30-4118-018-4XX</v>
      </c>
      <c r="I3228" t="str">
        <f>VLOOKUP(record[[#This Row],[ProcessSN]],表格2_7[],3,FALSE)</f>
        <v>#06</v>
      </c>
      <c r="J3228" t="s">
        <v>593</v>
      </c>
      <c r="K3228" s="195">
        <v>46098.819699074076</v>
      </c>
      <c r="L3228">
        <v>61</v>
      </c>
      <c r="M3228">
        <v>0</v>
      </c>
      <c r="N3228" s="98" t="str">
        <f>IF(record[[#This Row],[Memo]]="Browser:chrome os:android","平板報工",IF(record[[#This Row],[Memo]]=0,"委外",record[[#This Row],[Memo]]))</f>
        <v>平板報工</v>
      </c>
      <c r="O3228" t="s">
        <v>643</v>
      </c>
      <c r="P3228" t="s">
        <v>1413</v>
      </c>
      <c r="Q3228" t="s">
        <v>644</v>
      </c>
      <c r="R3228" t="str">
        <f>IFERROR(VLOOKUP(record[[#This Row],[PCUSTID]],廠商[],2,FALSE),"")</f>
        <v/>
      </c>
      <c r="S3228" t="str">
        <f>VLOOKUP(record[[#This Row],[employeeID]],員工[],2,FALSE)</f>
        <v>阮氏芳英(芳)</v>
      </c>
    </row>
    <row r="3229" spans="6:19" hidden="1" x14ac:dyDescent="0.25">
      <c r="F3229" t="s">
        <v>1631</v>
      </c>
      <c r="G3229" t="s">
        <v>399</v>
      </c>
      <c r="H3229" t="str">
        <f>VLOOKUP(record[[#This Row],[ProcessSN]],表格2_7[],2,FALSE)</f>
        <v>30-4118-018-550</v>
      </c>
      <c r="I3229" t="str">
        <f>VLOOKUP(record[[#This Row],[ProcessSN]],表格2_7[],3,FALSE)</f>
        <v>#08IQC</v>
      </c>
      <c r="J3229" t="s">
        <v>583</v>
      </c>
      <c r="K3229" s="195">
        <v>46098.697789351849</v>
      </c>
      <c r="L3229">
        <v>47</v>
      </c>
      <c r="M3229">
        <v>0</v>
      </c>
      <c r="N3229" s="98" t="str">
        <f>IF(record[[#This Row],[Memo]]="Browser:chrome os:android","平板報工",IF(record[[#This Row],[Memo]]=0,"委外",record[[#This Row],[Memo]]))</f>
        <v/>
      </c>
      <c r="O3229" t="s">
        <v>58</v>
      </c>
      <c r="P3229" t="s">
        <v>109</v>
      </c>
      <c r="Q3229" t="s">
        <v>58</v>
      </c>
      <c r="R3229" t="str">
        <f>IFERROR(VLOOKUP(record[[#This Row],[PCUSTID]],廠商[],2,FALSE),"")</f>
        <v/>
      </c>
      <c r="S3229" t="str">
        <f>VLOOKUP(record[[#This Row],[employeeID]],員工[],2,FALSE)</f>
        <v>裴氏璧鳳</v>
      </c>
    </row>
    <row r="3230" spans="6:19" hidden="1" x14ac:dyDescent="0.25">
      <c r="F3230" t="s">
        <v>1630</v>
      </c>
      <c r="G3230" t="s">
        <v>358</v>
      </c>
      <c r="H3230" t="str">
        <f>VLOOKUP(record[[#This Row],[ProcessSN]],表格2_7[],2,FALSE)</f>
        <v>30-4118-018-450</v>
      </c>
      <c r="I3230" t="str">
        <f>VLOOKUP(record[[#This Row],[ProcessSN]],表格2_7[],3,FALSE)</f>
        <v>#08IQC</v>
      </c>
      <c r="J3230" t="s">
        <v>583</v>
      </c>
      <c r="K3230" s="195">
        <v>46098.6953587963</v>
      </c>
      <c r="L3230">
        <v>189</v>
      </c>
      <c r="M3230">
        <v>0</v>
      </c>
      <c r="N3230" s="98" t="str">
        <f>IF(record[[#This Row],[Memo]]="Browser:chrome os:android","平板報工",IF(record[[#This Row],[Memo]]=0,"委外",record[[#This Row],[Memo]]))</f>
        <v/>
      </c>
      <c r="O3230" t="s">
        <v>58</v>
      </c>
      <c r="P3230" t="s">
        <v>109</v>
      </c>
      <c r="Q3230" t="s">
        <v>58</v>
      </c>
      <c r="R3230" t="str">
        <f>IFERROR(VLOOKUP(record[[#This Row],[PCUSTID]],廠商[],2,FALSE),"")</f>
        <v/>
      </c>
      <c r="S3230" t="str">
        <f>VLOOKUP(record[[#This Row],[employeeID]],員工[],2,FALSE)</f>
        <v>裴氏璧鳳</v>
      </c>
    </row>
    <row r="3231" spans="6:19" hidden="1" x14ac:dyDescent="0.25">
      <c r="F3231" t="s">
        <v>1602</v>
      </c>
      <c r="G3231" t="s">
        <v>470</v>
      </c>
      <c r="H3231" t="str">
        <f>VLOOKUP(record[[#This Row],[ProcessSN]],表格2_7[],2,FALSE)</f>
        <v>30-4118-018-XXX</v>
      </c>
      <c r="I3231" t="str">
        <f>VLOOKUP(record[[#This Row],[ProcessSN]],表格2_7[],3,FALSE)</f>
        <v>#02IQC</v>
      </c>
      <c r="J3231" t="s">
        <v>583</v>
      </c>
      <c r="K3231" s="195">
        <v>46098.687094907407</v>
      </c>
      <c r="L3231">
        <v>839</v>
      </c>
      <c r="M3231">
        <v>0</v>
      </c>
      <c r="N3231" s="98" t="str">
        <f>IF(record[[#This Row],[Memo]]="Browser:chrome os:android","平板報工",IF(record[[#This Row],[Memo]]=0,"委外",record[[#This Row],[Memo]]))</f>
        <v/>
      </c>
      <c r="O3231" t="s">
        <v>58</v>
      </c>
      <c r="P3231" t="s">
        <v>109</v>
      </c>
      <c r="Q3231" t="s">
        <v>58</v>
      </c>
      <c r="R3231" t="str">
        <f>IFERROR(VLOOKUP(record[[#This Row],[PCUSTID]],廠商[],2,FALSE),"")</f>
        <v/>
      </c>
      <c r="S3231" t="str">
        <f>VLOOKUP(record[[#This Row],[employeeID]],員工[],2,FALSE)</f>
        <v>裴氏璧鳳</v>
      </c>
    </row>
    <row r="3232" spans="6:19" hidden="1" x14ac:dyDescent="0.25">
      <c r="F3232" t="s">
        <v>1580</v>
      </c>
      <c r="G3232" t="s">
        <v>470</v>
      </c>
      <c r="H3232" t="str">
        <f>VLOOKUP(record[[#This Row],[ProcessSN]],表格2_7[],2,FALSE)</f>
        <v>30-4118-018-XXX</v>
      </c>
      <c r="I3232" t="str">
        <f>VLOOKUP(record[[#This Row],[ProcessSN]],表格2_7[],3,FALSE)</f>
        <v>#02IQC</v>
      </c>
      <c r="J3232" t="s">
        <v>583</v>
      </c>
      <c r="K3232" s="195">
        <v>46098.686967592592</v>
      </c>
      <c r="L3232">
        <v>168</v>
      </c>
      <c r="M3232">
        <v>0</v>
      </c>
      <c r="N3232" s="98" t="str">
        <f>IF(record[[#This Row],[Memo]]="Browser:chrome os:android","平板報工",IF(record[[#This Row],[Memo]]=0,"委外",record[[#This Row],[Memo]]))</f>
        <v/>
      </c>
      <c r="O3232" t="s">
        <v>58</v>
      </c>
      <c r="P3232" t="s">
        <v>109</v>
      </c>
      <c r="Q3232" t="s">
        <v>58</v>
      </c>
      <c r="R3232" t="str">
        <f>IFERROR(VLOOKUP(record[[#This Row],[PCUSTID]],廠商[],2,FALSE),"")</f>
        <v/>
      </c>
      <c r="S3232" t="str">
        <f>VLOOKUP(record[[#This Row],[employeeID]],員工[],2,FALSE)</f>
        <v>裴氏璧鳳</v>
      </c>
    </row>
    <row r="3233" spans="6:19" hidden="1" x14ac:dyDescent="0.25">
      <c r="F3233" t="s">
        <v>1589</v>
      </c>
      <c r="G3233" t="s">
        <v>417</v>
      </c>
      <c r="H3233" t="str">
        <f>VLOOKUP(record[[#This Row],[ProcessSN]],表格2_7[],2,FALSE)</f>
        <v>30-4118-018-5XX</v>
      </c>
      <c r="I3233" t="str">
        <f>VLOOKUP(record[[#This Row],[ProcessSN]],表格2_7[],3,FALSE)</f>
        <v>#06</v>
      </c>
      <c r="J3233" t="s">
        <v>593</v>
      </c>
      <c r="K3233" s="195">
        <v>46098.684976851851</v>
      </c>
      <c r="L3233">
        <v>6</v>
      </c>
      <c r="M3233">
        <v>0</v>
      </c>
      <c r="N3233" s="98" t="str">
        <f>IF(record[[#This Row],[Memo]]="Browser:chrome os:android","平板報工",IF(record[[#This Row],[Memo]]=0,"委外",record[[#This Row],[Memo]]))</f>
        <v/>
      </c>
      <c r="O3233" t="s">
        <v>58</v>
      </c>
      <c r="P3233" t="s">
        <v>123</v>
      </c>
      <c r="Q3233" t="s">
        <v>58</v>
      </c>
      <c r="R3233" t="str">
        <f>IFERROR(VLOOKUP(record[[#This Row],[PCUSTID]],廠商[],2,FALSE),"")</f>
        <v/>
      </c>
      <c r="S3233" t="str">
        <f>VLOOKUP(record[[#This Row],[employeeID]],員工[],2,FALSE)</f>
        <v>洪乙力</v>
      </c>
    </row>
    <row r="3234" spans="6:19" hidden="1" x14ac:dyDescent="0.25">
      <c r="F3234" t="s">
        <v>1587</v>
      </c>
      <c r="G3234" t="s">
        <v>375</v>
      </c>
      <c r="H3234" t="str">
        <f>VLOOKUP(record[[#This Row],[ProcessSN]],表格2_7[],2,FALSE)</f>
        <v>30-4118-018-4XX</v>
      </c>
      <c r="I3234" t="str">
        <f>VLOOKUP(record[[#This Row],[ProcessSN]],表格2_7[],3,FALSE)</f>
        <v>#05</v>
      </c>
      <c r="J3234" t="s">
        <v>588</v>
      </c>
      <c r="K3234" s="195">
        <v>46098.655509259261</v>
      </c>
      <c r="L3234">
        <v>33</v>
      </c>
      <c r="M3234">
        <v>0</v>
      </c>
      <c r="N3234" s="98" t="str">
        <f>IF(record[[#This Row],[Memo]]="Browser:chrome os:android","平板報工",IF(record[[#This Row],[Memo]]=0,"委外",record[[#This Row],[Memo]]))</f>
        <v>平板報工</v>
      </c>
      <c r="O3234" t="s">
        <v>643</v>
      </c>
      <c r="P3234" t="s">
        <v>145</v>
      </c>
      <c r="Q3234" t="s">
        <v>644</v>
      </c>
      <c r="R3234" t="str">
        <f>IFERROR(VLOOKUP(record[[#This Row],[PCUSTID]],廠商[],2,FALSE),"")</f>
        <v/>
      </c>
      <c r="S3234" t="str">
        <f>VLOOKUP(record[[#This Row],[employeeID]],員工[],2,FALSE)</f>
        <v>阮秋霞</v>
      </c>
    </row>
    <row r="3235" spans="6:19" hidden="1" x14ac:dyDescent="0.25">
      <c r="F3235" t="s">
        <v>1587</v>
      </c>
      <c r="G3235" t="s">
        <v>374</v>
      </c>
      <c r="H3235" t="str">
        <f>VLOOKUP(record[[#This Row],[ProcessSN]],表格2_7[],2,FALSE)</f>
        <v>30-4118-018-4XX</v>
      </c>
      <c r="I3235" t="str">
        <f>VLOOKUP(record[[#This Row],[ProcessSN]],表格2_7[],3,FALSE)</f>
        <v>#04</v>
      </c>
      <c r="J3235" t="s">
        <v>588</v>
      </c>
      <c r="K3235" s="195">
        <v>46098.654780092591</v>
      </c>
      <c r="L3235">
        <v>140</v>
      </c>
      <c r="M3235">
        <v>0</v>
      </c>
      <c r="N3235" s="98" t="str">
        <f>IF(record[[#This Row],[Memo]]="Browser:chrome os:android","平板報工",IF(record[[#This Row],[Memo]]=0,"委外",record[[#This Row],[Memo]]))</f>
        <v>平板報工</v>
      </c>
      <c r="O3235" t="s">
        <v>643</v>
      </c>
      <c r="P3235" t="s">
        <v>107</v>
      </c>
      <c r="Q3235" t="s">
        <v>644</v>
      </c>
      <c r="R3235" t="str">
        <f>IFERROR(VLOOKUP(record[[#This Row],[PCUSTID]],廠商[],2,FALSE),"")</f>
        <v/>
      </c>
      <c r="S3235" t="str">
        <f>VLOOKUP(record[[#This Row],[employeeID]],員工[],2,FALSE)</f>
        <v>黎氏順</v>
      </c>
    </row>
    <row r="3236" spans="6:19" hidden="1" x14ac:dyDescent="0.25">
      <c r="F3236" t="s">
        <v>1602</v>
      </c>
      <c r="G3236" t="s">
        <v>466</v>
      </c>
      <c r="H3236" t="str">
        <f>VLOOKUP(record[[#This Row],[ProcessSN]],表格2_7[],2,FALSE)</f>
        <v>30-4118-018-XXX</v>
      </c>
      <c r="I3236" t="str">
        <f>VLOOKUP(record[[#This Row],[ProcessSN]],表格2_7[],3,FALSE)</f>
        <v>#01-2</v>
      </c>
      <c r="J3236" t="s">
        <v>588</v>
      </c>
      <c r="K3236" s="195">
        <v>46098.654467592591</v>
      </c>
      <c r="L3236">
        <v>331</v>
      </c>
      <c r="M3236">
        <v>0</v>
      </c>
      <c r="N3236" s="98" t="str">
        <f>IF(record[[#This Row],[Memo]]="Browser:chrome os:android","平板報工",IF(record[[#This Row],[Memo]]=0,"委外",record[[#This Row],[Memo]]))</f>
        <v>平板報工</v>
      </c>
      <c r="O3236" t="s">
        <v>643</v>
      </c>
      <c r="P3236" t="s">
        <v>107</v>
      </c>
      <c r="Q3236" t="s">
        <v>644</v>
      </c>
      <c r="R3236" t="str">
        <f>IFERROR(VLOOKUP(record[[#This Row],[PCUSTID]],廠商[],2,FALSE),"")</f>
        <v/>
      </c>
      <c r="S3236" t="str">
        <f>VLOOKUP(record[[#This Row],[employeeID]],員工[],2,FALSE)</f>
        <v>黎氏順</v>
      </c>
    </row>
    <row r="3237" spans="6:19" hidden="1" x14ac:dyDescent="0.25">
      <c r="F3237" t="s">
        <v>1602</v>
      </c>
      <c r="G3237" t="s">
        <v>465</v>
      </c>
      <c r="H3237" t="str">
        <f>VLOOKUP(record[[#This Row],[ProcessSN]],表格2_7[],2,FALSE)</f>
        <v>30-4118-018-XXX</v>
      </c>
      <c r="I3237" t="str">
        <f>VLOOKUP(record[[#This Row],[ProcessSN]],表格2_7[],3,FALSE)</f>
        <v>#01-1</v>
      </c>
      <c r="J3237" t="s">
        <v>588</v>
      </c>
      <c r="K3237" s="195">
        <v>46098.653900462959</v>
      </c>
      <c r="L3237">
        <v>331</v>
      </c>
      <c r="M3237">
        <v>0</v>
      </c>
      <c r="N3237" s="98" t="str">
        <f>IF(record[[#This Row],[Memo]]="Browser:chrome os:android","平板報工",IF(record[[#This Row],[Memo]]=0,"委外",record[[#This Row],[Memo]]))</f>
        <v>平板報工</v>
      </c>
      <c r="O3237" t="s">
        <v>643</v>
      </c>
      <c r="P3237" t="s">
        <v>107</v>
      </c>
      <c r="Q3237" t="s">
        <v>644</v>
      </c>
      <c r="R3237" t="str">
        <f>IFERROR(VLOOKUP(record[[#This Row],[PCUSTID]],廠商[],2,FALSE),"")</f>
        <v/>
      </c>
      <c r="S3237" t="str">
        <f>VLOOKUP(record[[#This Row],[employeeID]],員工[],2,FALSE)</f>
        <v>黎氏順</v>
      </c>
    </row>
    <row r="3238" spans="6:19" hidden="1" x14ac:dyDescent="0.25">
      <c r="F3238" t="s">
        <v>1631</v>
      </c>
      <c r="G3238" t="s">
        <v>398</v>
      </c>
      <c r="H3238" t="str">
        <f>VLOOKUP(record[[#This Row],[ProcessSN]],表格2_7[],2,FALSE)</f>
        <v>30-4118-018-550</v>
      </c>
      <c r="I3238" t="str">
        <f>VLOOKUP(record[[#This Row],[ProcessSN]],表格2_7[],3,FALSE)</f>
        <v>#08RCV</v>
      </c>
      <c r="J3238" t="s">
        <v>591</v>
      </c>
      <c r="K3238" s="195">
        <v>46098.648344907408</v>
      </c>
      <c r="L3238">
        <v>0</v>
      </c>
      <c r="M3238">
        <v>1</v>
      </c>
      <c r="N3238" s="98" t="str">
        <f>IF(record[[#This Row],[Memo]]="Browser:chrome os:android","平板報工",IF(record[[#This Row],[Memo]]=0,"委外",record[[#This Row],[Memo]]))</f>
        <v/>
      </c>
      <c r="O3238" t="s">
        <v>58</v>
      </c>
      <c r="P3238" t="s">
        <v>186</v>
      </c>
      <c r="Q3238" t="s">
        <v>58</v>
      </c>
      <c r="R3238" t="str">
        <f>IFERROR(VLOOKUP(record[[#This Row],[PCUSTID]],廠商[],2,FALSE),"")</f>
        <v/>
      </c>
      <c r="S3238" t="str">
        <f>VLOOKUP(record[[#This Row],[employeeID]],員工[],2,FALSE)</f>
        <v>許文姍</v>
      </c>
    </row>
    <row r="3239" spans="6:19" hidden="1" x14ac:dyDescent="0.25">
      <c r="F3239" t="s">
        <v>1587</v>
      </c>
      <c r="G3239" t="s">
        <v>377</v>
      </c>
      <c r="H3239" t="str">
        <f>VLOOKUP(record[[#This Row],[ProcessSN]],表格2_7[],2,FALSE)</f>
        <v>30-4118-018-4XX</v>
      </c>
      <c r="I3239" t="str">
        <f>VLOOKUP(record[[#This Row],[ProcessSN]],表格2_7[],3,FALSE)</f>
        <v>#07</v>
      </c>
      <c r="J3239" t="s">
        <v>588</v>
      </c>
      <c r="K3239" s="195">
        <v>46098.648287037038</v>
      </c>
      <c r="L3239">
        <v>110</v>
      </c>
      <c r="M3239">
        <v>0</v>
      </c>
      <c r="N3239" s="98" t="str">
        <f>IF(record[[#This Row],[Memo]]="Browser:chrome os:android","平板報工",IF(record[[#This Row],[Memo]]=0,"委外",record[[#This Row],[Memo]]))</f>
        <v>平板報工</v>
      </c>
      <c r="O3239" t="s">
        <v>643</v>
      </c>
      <c r="P3239" t="s">
        <v>145</v>
      </c>
      <c r="Q3239" t="s">
        <v>644</v>
      </c>
      <c r="R3239" t="str">
        <f>IFERROR(VLOOKUP(record[[#This Row],[PCUSTID]],廠商[],2,FALSE),"")</f>
        <v/>
      </c>
      <c r="S3239" t="str">
        <f>VLOOKUP(record[[#This Row],[employeeID]],員工[],2,FALSE)</f>
        <v>阮秋霞</v>
      </c>
    </row>
    <row r="3240" spans="6:19" hidden="1" x14ac:dyDescent="0.25">
      <c r="F3240" t="s">
        <v>1631</v>
      </c>
      <c r="G3240" t="s">
        <v>398</v>
      </c>
      <c r="H3240" t="str">
        <f>VLOOKUP(record[[#This Row],[ProcessSN]],表格2_7[],2,FALSE)</f>
        <v>30-4118-018-550</v>
      </c>
      <c r="I3240" t="str">
        <f>VLOOKUP(record[[#This Row],[ProcessSN]],表格2_7[],3,FALSE)</f>
        <v>#08RCV</v>
      </c>
      <c r="J3240" t="s">
        <v>591</v>
      </c>
      <c r="K3240" s="195">
        <v>46098.648229166669</v>
      </c>
      <c r="L3240">
        <v>47</v>
      </c>
      <c r="M3240">
        <v>0</v>
      </c>
      <c r="N3240" s="98" t="str">
        <f>IF(record[[#This Row],[Memo]]="Browser:chrome os:android","平板報工",IF(record[[#This Row],[Memo]]=0,"委外",record[[#This Row],[Memo]]))</f>
        <v/>
      </c>
      <c r="O3240" t="s">
        <v>58</v>
      </c>
      <c r="P3240" t="s">
        <v>186</v>
      </c>
      <c r="Q3240" t="s">
        <v>58</v>
      </c>
      <c r="R3240" t="str">
        <f>IFERROR(VLOOKUP(record[[#This Row],[PCUSTID]],廠商[],2,FALSE),"")</f>
        <v/>
      </c>
      <c r="S3240" t="str">
        <f>VLOOKUP(record[[#This Row],[employeeID]],員工[],2,FALSE)</f>
        <v>許文姍</v>
      </c>
    </row>
    <row r="3241" spans="6:19" hidden="1" x14ac:dyDescent="0.25">
      <c r="F3241" t="s">
        <v>1630</v>
      </c>
      <c r="G3241" t="s">
        <v>357</v>
      </c>
      <c r="H3241" t="str">
        <f>VLOOKUP(record[[#This Row],[ProcessSN]],表格2_7[],2,FALSE)</f>
        <v>30-4118-018-450</v>
      </c>
      <c r="I3241" t="str">
        <f>VLOOKUP(record[[#This Row],[ProcessSN]],表格2_7[],3,FALSE)</f>
        <v>#08RCV</v>
      </c>
      <c r="J3241" t="s">
        <v>591</v>
      </c>
      <c r="K3241" s="195">
        <v>46098.648101851853</v>
      </c>
      <c r="L3241">
        <v>0</v>
      </c>
      <c r="M3241">
        <v>1</v>
      </c>
      <c r="N3241" s="98" t="str">
        <f>IF(record[[#This Row],[Memo]]="Browser:chrome os:android","平板報工",IF(record[[#This Row],[Memo]]=0,"委外",record[[#This Row],[Memo]]))</f>
        <v/>
      </c>
      <c r="O3241" t="s">
        <v>58</v>
      </c>
      <c r="P3241" t="s">
        <v>186</v>
      </c>
      <c r="Q3241" t="s">
        <v>58</v>
      </c>
      <c r="R3241" t="str">
        <f>IFERROR(VLOOKUP(record[[#This Row],[PCUSTID]],廠商[],2,FALSE),"")</f>
        <v/>
      </c>
      <c r="S3241" t="str">
        <f>VLOOKUP(record[[#This Row],[employeeID]],員工[],2,FALSE)</f>
        <v>許文姍</v>
      </c>
    </row>
    <row r="3242" spans="6:19" hidden="1" x14ac:dyDescent="0.25">
      <c r="F3242" t="s">
        <v>1630</v>
      </c>
      <c r="G3242" t="s">
        <v>357</v>
      </c>
      <c r="H3242" t="str">
        <f>VLOOKUP(record[[#This Row],[ProcessSN]],表格2_7[],2,FALSE)</f>
        <v>30-4118-018-450</v>
      </c>
      <c r="I3242" t="str">
        <f>VLOOKUP(record[[#This Row],[ProcessSN]],表格2_7[],3,FALSE)</f>
        <v>#08RCV</v>
      </c>
      <c r="J3242" t="s">
        <v>591</v>
      </c>
      <c r="K3242" s="195">
        <v>46098.647951388892</v>
      </c>
      <c r="L3242">
        <v>189</v>
      </c>
      <c r="M3242">
        <v>0</v>
      </c>
      <c r="N3242" s="98" t="str">
        <f>IF(record[[#This Row],[Memo]]="Browser:chrome os:android","平板報工",IF(record[[#This Row],[Memo]]=0,"委外",record[[#This Row],[Memo]]))</f>
        <v/>
      </c>
      <c r="O3242" t="s">
        <v>58</v>
      </c>
      <c r="P3242" t="s">
        <v>186</v>
      </c>
      <c r="Q3242" t="s">
        <v>58</v>
      </c>
      <c r="R3242" t="str">
        <f>IFERROR(VLOOKUP(record[[#This Row],[PCUSTID]],廠商[],2,FALSE),"")</f>
        <v/>
      </c>
      <c r="S3242" t="str">
        <f>VLOOKUP(record[[#This Row],[employeeID]],員工[],2,FALSE)</f>
        <v>許文姍</v>
      </c>
    </row>
    <row r="3243" spans="6:19" hidden="1" x14ac:dyDescent="0.25">
      <c r="F3243" t="s">
        <v>1587</v>
      </c>
      <c r="G3243" t="s">
        <v>376</v>
      </c>
      <c r="H3243" t="str">
        <f>VLOOKUP(record[[#This Row],[ProcessSN]],表格2_7[],2,FALSE)</f>
        <v>30-4118-018-4XX</v>
      </c>
      <c r="I3243" t="str">
        <f>VLOOKUP(record[[#This Row],[ProcessSN]],表格2_7[],3,FALSE)</f>
        <v>#06</v>
      </c>
      <c r="J3243" t="s">
        <v>593</v>
      </c>
      <c r="K3243" s="195">
        <v>46098.642465277779</v>
      </c>
      <c r="L3243">
        <v>110</v>
      </c>
      <c r="M3243">
        <v>0</v>
      </c>
      <c r="N3243" s="98" t="str">
        <f>IF(record[[#This Row],[Memo]]="Browser:chrome os:android","平板報工",IF(record[[#This Row],[Memo]]=0,"委外",record[[#This Row],[Memo]]))</f>
        <v>平板報工</v>
      </c>
      <c r="O3243" t="s">
        <v>643</v>
      </c>
      <c r="P3243" t="s">
        <v>145</v>
      </c>
      <c r="Q3243" t="s">
        <v>644</v>
      </c>
      <c r="R3243" t="str">
        <f>IFERROR(VLOOKUP(record[[#This Row],[PCUSTID]],廠商[],2,FALSE),"")</f>
        <v/>
      </c>
      <c r="S3243" t="str">
        <f>VLOOKUP(record[[#This Row],[employeeID]],員工[],2,FALSE)</f>
        <v>阮秋霞</v>
      </c>
    </row>
    <row r="3244" spans="6:19" hidden="1" x14ac:dyDescent="0.25">
      <c r="F3244" t="s">
        <v>1641</v>
      </c>
      <c r="G3244" t="s">
        <v>356</v>
      </c>
      <c r="H3244" t="str">
        <f>VLOOKUP(record[[#This Row],[ProcessSN]],表格2_7[],2,FALSE)</f>
        <v>30-4118-018-450</v>
      </c>
      <c r="I3244" t="str">
        <f>VLOOKUP(record[[#This Row],[ProcessSN]],表格2_7[],3,FALSE)</f>
        <v>#08</v>
      </c>
      <c r="J3244" t="s">
        <v>597</v>
      </c>
      <c r="K3244" s="195">
        <v>46098.612569444442</v>
      </c>
      <c r="L3244">
        <v>474</v>
      </c>
      <c r="M3244">
        <v>0</v>
      </c>
      <c r="N3244" s="98" t="str">
        <f>IF(record[[#This Row],[Memo]]="Browser:chrome os:android","平板報工",IF(record[[#This Row],[Memo]]=0,"委外",record[[#This Row],[Memo]]))</f>
        <v>委外</v>
      </c>
      <c r="P3244" t="s">
        <v>186</v>
      </c>
      <c r="Q3244" t="s">
        <v>287</v>
      </c>
      <c r="R3244" t="str">
        <f>IFERROR(VLOOKUP(record[[#This Row],[PCUSTID]],廠商[],2,FALSE),"")</f>
        <v>泉盛</v>
      </c>
      <c r="S3244" t="str">
        <f>VLOOKUP(record[[#This Row],[employeeID]],員工[],2,FALSE)</f>
        <v>許文姍</v>
      </c>
    </row>
    <row r="3245" spans="6:19" hidden="1" x14ac:dyDescent="0.25">
      <c r="F3245" t="s">
        <v>1640</v>
      </c>
      <c r="G3245" t="s">
        <v>397</v>
      </c>
      <c r="H3245" t="str">
        <f>VLOOKUP(record[[#This Row],[ProcessSN]],表格2_7[],2,FALSE)</f>
        <v>30-4118-018-550</v>
      </c>
      <c r="I3245" t="str">
        <f>VLOOKUP(record[[#This Row],[ProcessSN]],表格2_7[],3,FALSE)</f>
        <v>#08</v>
      </c>
      <c r="J3245" t="s">
        <v>597</v>
      </c>
      <c r="K3245" s="195">
        <v>46098.61246527778</v>
      </c>
      <c r="L3245">
        <v>317</v>
      </c>
      <c r="M3245">
        <v>0</v>
      </c>
      <c r="N3245" s="98" t="str">
        <f>IF(record[[#This Row],[Memo]]="Browser:chrome os:android","平板報工",IF(record[[#This Row],[Memo]]=0,"委外",record[[#This Row],[Memo]]))</f>
        <v>委外</v>
      </c>
      <c r="P3245" t="s">
        <v>186</v>
      </c>
      <c r="Q3245" t="s">
        <v>287</v>
      </c>
      <c r="R3245" t="str">
        <f>IFERROR(VLOOKUP(record[[#This Row],[PCUSTID]],廠商[],2,FALSE),"")</f>
        <v>泉盛</v>
      </c>
      <c r="S3245" t="str">
        <f>VLOOKUP(record[[#This Row],[employeeID]],員工[],2,FALSE)</f>
        <v>許文姍</v>
      </c>
    </row>
    <row r="3246" spans="6:19" hidden="1" x14ac:dyDescent="0.25">
      <c r="F3246" t="s">
        <v>1639</v>
      </c>
      <c r="G3246" t="s">
        <v>422</v>
      </c>
      <c r="H3246" t="str">
        <f>VLOOKUP(record[[#This Row],[ProcessSN]],表格2_7[],2,FALSE)</f>
        <v>30-4118-018-600</v>
      </c>
      <c r="I3246" t="str">
        <f>VLOOKUP(record[[#This Row],[ProcessSN]],表格2_7[],3,FALSE)</f>
        <v>#08</v>
      </c>
      <c r="J3246" t="s">
        <v>597</v>
      </c>
      <c r="K3246" s="195">
        <v>46098.612349537034</v>
      </c>
      <c r="L3246">
        <v>197</v>
      </c>
      <c r="M3246">
        <v>0</v>
      </c>
      <c r="N3246" s="98" t="str">
        <f>IF(record[[#This Row],[Memo]]="Browser:chrome os:android","平板報工",IF(record[[#This Row],[Memo]]=0,"委外",record[[#This Row],[Memo]]))</f>
        <v>委外</v>
      </c>
      <c r="P3246" t="s">
        <v>186</v>
      </c>
      <c r="Q3246" t="s">
        <v>287</v>
      </c>
      <c r="R3246" t="str">
        <f>IFERROR(VLOOKUP(record[[#This Row],[PCUSTID]],廠商[],2,FALSE),"")</f>
        <v>泉盛</v>
      </c>
      <c r="S3246" t="str">
        <f>VLOOKUP(record[[#This Row],[employeeID]],員工[],2,FALSE)</f>
        <v>許文姍</v>
      </c>
    </row>
    <row r="3247" spans="6:19" hidden="1" x14ac:dyDescent="0.25">
      <c r="F3247" t="s">
        <v>1637</v>
      </c>
      <c r="G3247" t="s">
        <v>446</v>
      </c>
      <c r="H3247" t="str">
        <f>VLOOKUP(record[[#This Row],[ProcessSN]],表格2_7[],2,FALSE)</f>
        <v>30-4118-018-6XX</v>
      </c>
      <c r="I3247" t="str">
        <f>VLOOKUP(record[[#This Row],[ProcessSN]],表格2_7[],3,FALSE)</f>
        <v>#03GIVE</v>
      </c>
      <c r="J3247" t="s">
        <v>587</v>
      </c>
      <c r="K3247" s="195">
        <v>46098.601134259261</v>
      </c>
      <c r="L3247">
        <v>2228</v>
      </c>
      <c r="M3247">
        <v>0</v>
      </c>
      <c r="N3247" s="98" t="str">
        <f>IF(record[[#This Row],[Memo]]="Browser:chrome os:android","平板報工",IF(record[[#This Row],[Memo]]=0,"委外",record[[#This Row],[Memo]]))</f>
        <v/>
      </c>
      <c r="O3247" t="s">
        <v>58</v>
      </c>
      <c r="P3247" t="s">
        <v>208</v>
      </c>
      <c r="Q3247" t="s">
        <v>58</v>
      </c>
      <c r="R3247" t="str">
        <f>IFERROR(VLOOKUP(record[[#This Row],[PCUSTID]],廠商[],2,FALSE),"")</f>
        <v/>
      </c>
      <c r="S3247" t="str">
        <f>VLOOKUP(record[[#This Row],[employeeID]],員工[],2,FALSE)</f>
        <v>陳治宏</v>
      </c>
    </row>
    <row r="3248" spans="6:19" hidden="1" x14ac:dyDescent="0.25">
      <c r="F3248" t="s">
        <v>1602</v>
      </c>
      <c r="G3248" t="s">
        <v>469</v>
      </c>
      <c r="H3248" t="str">
        <f>VLOOKUP(record[[#This Row],[ProcessSN]],表格2_7[],2,FALSE)</f>
        <v>30-4118-018-XXX</v>
      </c>
      <c r="I3248" t="str">
        <f>VLOOKUP(record[[#This Row],[ProcessSN]],表格2_7[],3,FALSE)</f>
        <v>#02RCV</v>
      </c>
      <c r="J3248" t="s">
        <v>591</v>
      </c>
      <c r="K3248" s="195">
        <v>46098.552337962959</v>
      </c>
      <c r="L3248">
        <v>0</v>
      </c>
      <c r="M3248">
        <v>1</v>
      </c>
      <c r="N3248" s="98" t="str">
        <f>IF(record[[#This Row],[Memo]]="Browser:chrome os:android","平板報工",IF(record[[#This Row],[Memo]]=0,"委外",record[[#This Row],[Memo]]))</f>
        <v/>
      </c>
      <c r="O3248" t="s">
        <v>58</v>
      </c>
      <c r="P3248" t="s">
        <v>186</v>
      </c>
      <c r="Q3248" t="s">
        <v>58</v>
      </c>
      <c r="R3248" t="str">
        <f>IFERROR(VLOOKUP(record[[#This Row],[PCUSTID]],廠商[],2,FALSE),"")</f>
        <v/>
      </c>
      <c r="S3248" t="str">
        <f>VLOOKUP(record[[#This Row],[employeeID]],員工[],2,FALSE)</f>
        <v>許文姍</v>
      </c>
    </row>
    <row r="3249" spans="6:19" hidden="1" x14ac:dyDescent="0.25">
      <c r="F3249" t="s">
        <v>1602</v>
      </c>
      <c r="G3249" t="s">
        <v>469</v>
      </c>
      <c r="H3249" t="str">
        <f>VLOOKUP(record[[#This Row],[ProcessSN]],表格2_7[],2,FALSE)</f>
        <v>30-4118-018-XXX</v>
      </c>
      <c r="I3249" t="str">
        <f>VLOOKUP(record[[#This Row],[ProcessSN]],表格2_7[],3,FALSE)</f>
        <v>#02RCV</v>
      </c>
      <c r="J3249" t="s">
        <v>591</v>
      </c>
      <c r="K3249" s="195">
        <v>46098.551412037035</v>
      </c>
      <c r="L3249">
        <v>839</v>
      </c>
      <c r="M3249">
        <v>0</v>
      </c>
      <c r="N3249" s="98" t="str">
        <f>IF(record[[#This Row],[Memo]]="Browser:chrome os:android","平板報工",IF(record[[#This Row],[Memo]]=0,"委外",record[[#This Row],[Memo]]))</f>
        <v/>
      </c>
      <c r="O3249" t="s">
        <v>58</v>
      </c>
      <c r="P3249" t="s">
        <v>186</v>
      </c>
      <c r="Q3249" t="s">
        <v>58</v>
      </c>
      <c r="R3249" t="str">
        <f>IFERROR(VLOOKUP(record[[#This Row],[PCUSTID]],廠商[],2,FALSE),"")</f>
        <v/>
      </c>
      <c r="S3249" t="str">
        <f>VLOOKUP(record[[#This Row],[employeeID]],員工[],2,FALSE)</f>
        <v>許文姍</v>
      </c>
    </row>
    <row r="3250" spans="6:19" hidden="1" x14ac:dyDescent="0.25">
      <c r="F3250" t="s">
        <v>1580</v>
      </c>
      <c r="G3250" t="s">
        <v>469</v>
      </c>
      <c r="H3250" t="str">
        <f>VLOOKUP(record[[#This Row],[ProcessSN]],表格2_7[],2,FALSE)</f>
        <v>30-4118-018-XXX</v>
      </c>
      <c r="I3250" t="str">
        <f>VLOOKUP(record[[#This Row],[ProcessSN]],表格2_7[],3,FALSE)</f>
        <v>#02RCV</v>
      </c>
      <c r="J3250" t="s">
        <v>591</v>
      </c>
      <c r="K3250" s="195">
        <v>46098.550509259258</v>
      </c>
      <c r="L3250">
        <v>168</v>
      </c>
      <c r="M3250">
        <v>0</v>
      </c>
      <c r="N3250" s="98" t="str">
        <f>IF(record[[#This Row],[Memo]]="Browser:chrome os:android","平板報工",IF(record[[#This Row],[Memo]]=0,"委外",record[[#This Row],[Memo]]))</f>
        <v/>
      </c>
      <c r="O3250" t="s">
        <v>58</v>
      </c>
      <c r="P3250" t="s">
        <v>186</v>
      </c>
      <c r="Q3250" t="s">
        <v>58</v>
      </c>
      <c r="R3250" t="str">
        <f>IFERROR(VLOOKUP(record[[#This Row],[PCUSTID]],廠商[],2,FALSE),"")</f>
        <v/>
      </c>
      <c r="S3250" t="str">
        <f>VLOOKUP(record[[#This Row],[employeeID]],員工[],2,FALSE)</f>
        <v>許文姍</v>
      </c>
    </row>
    <row r="3251" spans="6:19" hidden="1" x14ac:dyDescent="0.25">
      <c r="F3251" t="s">
        <v>1641</v>
      </c>
      <c r="G3251" t="s">
        <v>355</v>
      </c>
      <c r="H3251" t="str">
        <f>VLOOKUP(record[[#This Row],[ProcessSN]],表格2_7[],2,FALSE)</f>
        <v>30-4118-018-450</v>
      </c>
      <c r="I3251" t="str">
        <f>VLOOKUP(record[[#This Row],[ProcessSN]],表格2_7[],3,FALSE)</f>
        <v>#08PICK</v>
      </c>
      <c r="J3251" t="s">
        <v>582</v>
      </c>
      <c r="K3251" s="195">
        <v>46098.480069444442</v>
      </c>
      <c r="L3251">
        <v>474</v>
      </c>
      <c r="M3251">
        <v>0</v>
      </c>
      <c r="N3251" s="98" t="str">
        <f>IF(record[[#This Row],[Memo]]="Browser:chrome os:android","平板報工",IF(record[[#This Row],[Memo]]=0,"委外",record[[#This Row],[Memo]]))</f>
        <v/>
      </c>
      <c r="O3251" t="s">
        <v>58</v>
      </c>
      <c r="P3251" t="s">
        <v>186</v>
      </c>
      <c r="Q3251" t="s">
        <v>58</v>
      </c>
      <c r="R3251" t="str">
        <f>IFERROR(VLOOKUP(record[[#This Row],[PCUSTID]],廠商[],2,FALSE),"")</f>
        <v/>
      </c>
      <c r="S3251" t="str">
        <f>VLOOKUP(record[[#This Row],[employeeID]],員工[],2,FALSE)</f>
        <v>許文姍</v>
      </c>
    </row>
    <row r="3252" spans="6:19" hidden="1" x14ac:dyDescent="0.25">
      <c r="F3252" t="s">
        <v>1640</v>
      </c>
      <c r="G3252" t="s">
        <v>396</v>
      </c>
      <c r="H3252" t="str">
        <f>VLOOKUP(record[[#This Row],[ProcessSN]],表格2_7[],2,FALSE)</f>
        <v>30-4118-018-550</v>
      </c>
      <c r="I3252" t="str">
        <f>VLOOKUP(record[[#This Row],[ProcessSN]],表格2_7[],3,FALSE)</f>
        <v>#08PICK</v>
      </c>
      <c r="J3252" t="s">
        <v>582</v>
      </c>
      <c r="K3252" s="195">
        <v>46098.47997685185</v>
      </c>
      <c r="L3252">
        <v>317</v>
      </c>
      <c r="M3252">
        <v>0</v>
      </c>
      <c r="N3252" s="98" t="str">
        <f>IF(record[[#This Row],[Memo]]="Browser:chrome os:android","平板報工",IF(record[[#This Row],[Memo]]=0,"委外",record[[#This Row],[Memo]]))</f>
        <v/>
      </c>
      <c r="O3252" t="s">
        <v>58</v>
      </c>
      <c r="P3252" t="s">
        <v>186</v>
      </c>
      <c r="Q3252" t="s">
        <v>58</v>
      </c>
      <c r="R3252" t="str">
        <f>IFERROR(VLOOKUP(record[[#This Row],[PCUSTID]],廠商[],2,FALSE),"")</f>
        <v/>
      </c>
      <c r="S3252" t="str">
        <f>VLOOKUP(record[[#This Row],[employeeID]],員工[],2,FALSE)</f>
        <v>許文姍</v>
      </c>
    </row>
    <row r="3253" spans="6:19" hidden="1" x14ac:dyDescent="0.25">
      <c r="F3253" t="s">
        <v>1639</v>
      </c>
      <c r="G3253" t="s">
        <v>421</v>
      </c>
      <c r="H3253" t="str">
        <f>VLOOKUP(record[[#This Row],[ProcessSN]],表格2_7[],2,FALSE)</f>
        <v>30-4118-018-600</v>
      </c>
      <c r="I3253" t="str">
        <f>VLOOKUP(record[[#This Row],[ProcessSN]],表格2_7[],3,FALSE)</f>
        <v>#08PICK</v>
      </c>
      <c r="J3253" t="s">
        <v>582</v>
      </c>
      <c r="K3253" s="195">
        <v>46098.479872685188</v>
      </c>
      <c r="L3253">
        <v>197</v>
      </c>
      <c r="M3253">
        <v>0</v>
      </c>
      <c r="N3253" s="98" t="str">
        <f>IF(record[[#This Row],[Memo]]="Browser:chrome os:android","平板報工",IF(record[[#This Row],[Memo]]=0,"委外",record[[#This Row],[Memo]]))</f>
        <v/>
      </c>
      <c r="O3253" t="s">
        <v>58</v>
      </c>
      <c r="P3253" t="s">
        <v>186</v>
      </c>
      <c r="Q3253" t="s">
        <v>58</v>
      </c>
      <c r="R3253" t="str">
        <f>IFERROR(VLOOKUP(record[[#This Row],[PCUSTID]],廠商[],2,FALSE),"")</f>
        <v/>
      </c>
      <c r="S3253" t="str">
        <f>VLOOKUP(record[[#This Row],[employeeID]],員工[],2,FALSE)</f>
        <v>許文姍</v>
      </c>
    </row>
    <row r="3254" spans="6:19" hidden="1" x14ac:dyDescent="0.25">
      <c r="F3254" t="s">
        <v>1589</v>
      </c>
      <c r="G3254" t="s">
        <v>420</v>
      </c>
      <c r="H3254" t="str">
        <f>VLOOKUP(record[[#This Row],[ProcessSN]],表格2_7[],2,FALSE)</f>
        <v>30-4118-018-5XX</v>
      </c>
      <c r="I3254" t="str">
        <f>VLOOKUP(record[[#This Row],[ProcessSN]],表格2_7[],3,FALSE)</f>
        <v>#07STOCK</v>
      </c>
      <c r="J3254" t="s">
        <v>592</v>
      </c>
      <c r="K3254" s="195">
        <v>46098.477812500001</v>
      </c>
      <c r="L3254">
        <v>317</v>
      </c>
      <c r="M3254">
        <v>0</v>
      </c>
      <c r="N3254" s="98" t="str">
        <f>IF(record[[#This Row],[Memo]]="Browser:chrome os:android","平板報工",IF(record[[#This Row],[Memo]]=0,"委外",record[[#This Row],[Memo]]))</f>
        <v/>
      </c>
      <c r="O3254" t="s">
        <v>58</v>
      </c>
      <c r="P3254" t="s">
        <v>186</v>
      </c>
      <c r="Q3254" t="s">
        <v>58</v>
      </c>
      <c r="R3254" t="str">
        <f>IFERROR(VLOOKUP(record[[#This Row],[PCUSTID]],廠商[],2,FALSE),"")</f>
        <v/>
      </c>
      <c r="S3254" t="str">
        <f>VLOOKUP(record[[#This Row],[employeeID]],員工[],2,FALSE)</f>
        <v>許文姍</v>
      </c>
    </row>
    <row r="3255" spans="6:19" hidden="1" x14ac:dyDescent="0.25">
      <c r="F3255" t="s">
        <v>1570</v>
      </c>
      <c r="G3255" t="s">
        <v>379</v>
      </c>
      <c r="H3255" t="str">
        <f>VLOOKUP(record[[#This Row],[ProcessSN]],表格2_7[],2,FALSE)</f>
        <v>30-4118-018-4XX</v>
      </c>
      <c r="I3255" t="str">
        <f>VLOOKUP(record[[#This Row],[ProcessSN]],表格2_7[],3,FALSE)</f>
        <v>#07STOCK</v>
      </c>
      <c r="J3255" t="s">
        <v>592</v>
      </c>
      <c r="K3255" s="195">
        <v>46098.477083333331</v>
      </c>
      <c r="L3255">
        <v>6</v>
      </c>
      <c r="M3255">
        <v>0</v>
      </c>
      <c r="N3255" s="98" t="str">
        <f>IF(record[[#This Row],[Memo]]="Browser:chrome os:android","平板報工",IF(record[[#This Row],[Memo]]=0,"委外",record[[#This Row],[Memo]]))</f>
        <v/>
      </c>
      <c r="O3255" t="s">
        <v>58</v>
      </c>
      <c r="P3255" t="s">
        <v>186</v>
      </c>
      <c r="Q3255" t="s">
        <v>58</v>
      </c>
      <c r="R3255" t="str">
        <f>IFERROR(VLOOKUP(record[[#This Row],[PCUSTID]],廠商[],2,FALSE),"")</f>
        <v/>
      </c>
      <c r="S3255" t="str">
        <f>VLOOKUP(record[[#This Row],[employeeID]],員工[],2,FALSE)</f>
        <v>許文姍</v>
      </c>
    </row>
    <row r="3256" spans="6:19" hidden="1" x14ac:dyDescent="0.25">
      <c r="F3256" t="s">
        <v>1587</v>
      </c>
      <c r="G3256" t="s">
        <v>379</v>
      </c>
      <c r="H3256" t="str">
        <f>VLOOKUP(record[[#This Row],[ProcessSN]],表格2_7[],2,FALSE)</f>
        <v>30-4118-018-4XX</v>
      </c>
      <c r="I3256" t="str">
        <f>VLOOKUP(record[[#This Row],[ProcessSN]],表格2_7[],3,FALSE)</f>
        <v>#07STOCK</v>
      </c>
      <c r="J3256" t="s">
        <v>592</v>
      </c>
      <c r="K3256" s="195">
        <v>46098.476851851854</v>
      </c>
      <c r="L3256">
        <v>468</v>
      </c>
      <c r="M3256">
        <v>0</v>
      </c>
      <c r="N3256" s="98" t="str">
        <f>IF(record[[#This Row],[Memo]]="Browser:chrome os:android","平板報工",IF(record[[#This Row],[Memo]]=0,"委外",record[[#This Row],[Memo]]))</f>
        <v/>
      </c>
      <c r="O3256" t="s">
        <v>58</v>
      </c>
      <c r="P3256" t="s">
        <v>186</v>
      </c>
      <c r="Q3256" t="s">
        <v>58</v>
      </c>
      <c r="R3256" t="str">
        <f>IFERROR(VLOOKUP(record[[#This Row],[PCUSTID]],廠商[],2,FALSE),"")</f>
        <v/>
      </c>
      <c r="S3256" t="str">
        <f>VLOOKUP(record[[#This Row],[employeeID]],員工[],2,FALSE)</f>
        <v>許文姍</v>
      </c>
    </row>
    <row r="3257" spans="6:19" hidden="1" x14ac:dyDescent="0.25">
      <c r="F3257" t="s">
        <v>1569</v>
      </c>
      <c r="G3257" t="s">
        <v>453</v>
      </c>
      <c r="H3257" t="str">
        <f>VLOOKUP(record[[#This Row],[ProcessSN]],表格2_7[],2,FALSE)</f>
        <v>30-4118-018-6XX</v>
      </c>
      <c r="I3257" t="str">
        <f>VLOOKUP(record[[#This Row],[ProcessSN]],表格2_7[],3,FALSE)</f>
        <v>#07STOCK</v>
      </c>
      <c r="J3257" t="s">
        <v>592</v>
      </c>
      <c r="K3257" s="195">
        <v>46098.476134259261</v>
      </c>
      <c r="L3257">
        <v>197</v>
      </c>
      <c r="M3257">
        <v>0</v>
      </c>
      <c r="N3257" s="98" t="str">
        <f>IF(record[[#This Row],[Memo]]="Browser:chrome os:android","平板報工",IF(record[[#This Row],[Memo]]=0,"委外",record[[#This Row],[Memo]]))</f>
        <v/>
      </c>
      <c r="O3257" t="s">
        <v>58</v>
      </c>
      <c r="P3257" t="s">
        <v>186</v>
      </c>
      <c r="Q3257" t="s">
        <v>58</v>
      </c>
      <c r="R3257" t="str">
        <f>IFERROR(VLOOKUP(record[[#This Row],[PCUSTID]],廠商[],2,FALSE),"")</f>
        <v/>
      </c>
      <c r="S3257" t="str">
        <f>VLOOKUP(record[[#This Row],[employeeID]],員工[],2,FALSE)</f>
        <v>許文姍</v>
      </c>
    </row>
    <row r="3258" spans="6:19" hidden="1" x14ac:dyDescent="0.25">
      <c r="F3258" t="s">
        <v>1587</v>
      </c>
      <c r="G3258" t="s">
        <v>378</v>
      </c>
      <c r="H3258" t="str">
        <f>VLOOKUP(record[[#This Row],[ProcessSN]],表格2_7[],2,FALSE)</f>
        <v>30-4118-018-4XX</v>
      </c>
      <c r="I3258" t="str">
        <f>VLOOKUP(record[[#This Row],[ProcessSN]],表格2_7[],3,FALSE)</f>
        <v>#07QC</v>
      </c>
      <c r="J3258" t="s">
        <v>589</v>
      </c>
      <c r="K3258" s="195">
        <v>46098.414710648147</v>
      </c>
      <c r="L3258">
        <v>0</v>
      </c>
      <c r="M3258">
        <v>2</v>
      </c>
      <c r="N3258" s="98" t="str">
        <f>IF(record[[#This Row],[Memo]]="Browser:chrome os:android","平板報工",IF(record[[#This Row],[Memo]]=0,"委外",record[[#This Row],[Memo]]))</f>
        <v/>
      </c>
      <c r="O3258" t="s">
        <v>58</v>
      </c>
      <c r="P3258" t="s">
        <v>141</v>
      </c>
      <c r="Q3258" t="s">
        <v>58</v>
      </c>
      <c r="R3258" t="str">
        <f>IFERROR(VLOOKUP(record[[#This Row],[PCUSTID]],廠商[],2,FALSE),"")</f>
        <v/>
      </c>
      <c r="S3258" t="str">
        <f>VLOOKUP(record[[#This Row],[employeeID]],員工[],2,FALSE)</f>
        <v>蔣梅</v>
      </c>
    </row>
    <row r="3259" spans="6:19" hidden="1" x14ac:dyDescent="0.25">
      <c r="F3259" t="s">
        <v>1587</v>
      </c>
      <c r="G3259" t="s">
        <v>378</v>
      </c>
      <c r="H3259" t="str">
        <f>VLOOKUP(record[[#This Row],[ProcessSN]],表格2_7[],2,FALSE)</f>
        <v>30-4118-018-4XX</v>
      </c>
      <c r="I3259" t="str">
        <f>VLOOKUP(record[[#This Row],[ProcessSN]],表格2_7[],3,FALSE)</f>
        <v>#07QC</v>
      </c>
      <c r="J3259" t="s">
        <v>589</v>
      </c>
      <c r="K3259" s="195">
        <v>46098.414537037039</v>
      </c>
      <c r="L3259">
        <v>309</v>
      </c>
      <c r="M3259">
        <v>0</v>
      </c>
      <c r="N3259" s="98" t="str">
        <f>IF(record[[#This Row],[Memo]]="Browser:chrome os:android","平板報工",IF(record[[#This Row],[Memo]]=0,"委外",record[[#This Row],[Memo]]))</f>
        <v/>
      </c>
      <c r="O3259" t="s">
        <v>58</v>
      </c>
      <c r="P3259" t="s">
        <v>141</v>
      </c>
      <c r="Q3259" t="s">
        <v>58</v>
      </c>
      <c r="R3259" t="str">
        <f>IFERROR(VLOOKUP(record[[#This Row],[PCUSTID]],廠商[],2,FALSE),"")</f>
        <v/>
      </c>
      <c r="S3259" t="str">
        <f>VLOOKUP(record[[#This Row],[employeeID]],員工[],2,FALSE)</f>
        <v>蔣梅</v>
      </c>
    </row>
    <row r="3260" spans="6:19" hidden="1" x14ac:dyDescent="0.25">
      <c r="F3260" t="s">
        <v>1593</v>
      </c>
      <c r="G3260" t="s">
        <v>428</v>
      </c>
      <c r="H3260" t="str">
        <f>VLOOKUP(record[[#This Row],[ProcessSN]],表格2_7[],2,FALSE)</f>
        <v>30-4118-018-600</v>
      </c>
      <c r="I3260" t="str">
        <f>VLOOKUP(record[[#This Row],[ProcessSN]],表格2_7[],3,FALSE)</f>
        <v>#100SHIP</v>
      </c>
      <c r="J3260" t="s">
        <v>600</v>
      </c>
      <c r="K3260" s="195">
        <v>46098.386180555557</v>
      </c>
      <c r="L3260">
        <v>10</v>
      </c>
      <c r="M3260">
        <v>0</v>
      </c>
      <c r="N3260" s="98" t="str">
        <f>IF(record[[#This Row],[Memo]]="Browser:chrome os:android","平板報工",IF(record[[#This Row],[Memo]]=0,"委外",record[[#This Row],[Memo]]))</f>
        <v/>
      </c>
      <c r="O3260" t="s">
        <v>58</v>
      </c>
      <c r="P3260" t="s">
        <v>886</v>
      </c>
      <c r="Q3260" t="s">
        <v>58</v>
      </c>
      <c r="R3260" t="str">
        <f>IFERROR(VLOOKUP(record[[#This Row],[PCUSTID]],廠商[],2,FALSE),"")</f>
        <v/>
      </c>
      <c r="S3260" t="str">
        <f>VLOOKUP(record[[#This Row],[employeeID]],員工[],2,FALSE)</f>
        <v>謝蓁薰</v>
      </c>
    </row>
    <row r="3261" spans="6:19" hidden="1" x14ac:dyDescent="0.25">
      <c r="F3261" t="s">
        <v>1593</v>
      </c>
      <c r="G3261" t="s">
        <v>427</v>
      </c>
      <c r="H3261" t="str">
        <f>VLOOKUP(record[[#This Row],[ProcessSN]],表格2_7[],2,FALSE)</f>
        <v>30-4118-018-600</v>
      </c>
      <c r="I3261" t="str">
        <f>VLOOKUP(record[[#This Row],[ProcessSN]],表格2_7[],3,FALSE)</f>
        <v>#100STOCK</v>
      </c>
      <c r="J3261" t="s">
        <v>592</v>
      </c>
      <c r="K3261" s="195">
        <v>46098.386076388888</v>
      </c>
      <c r="L3261">
        <v>10</v>
      </c>
      <c r="M3261">
        <v>0</v>
      </c>
      <c r="N3261" s="98" t="str">
        <f>IF(record[[#This Row],[Memo]]="Browser:chrome os:android","平板報工",IF(record[[#This Row],[Memo]]=0,"委外",record[[#This Row],[Memo]]))</f>
        <v/>
      </c>
      <c r="O3261" t="s">
        <v>58</v>
      </c>
      <c r="P3261" t="s">
        <v>886</v>
      </c>
      <c r="Q3261" t="s">
        <v>58</v>
      </c>
      <c r="R3261" t="str">
        <f>IFERROR(VLOOKUP(record[[#This Row],[PCUSTID]],廠商[],2,FALSE),"")</f>
        <v/>
      </c>
      <c r="S3261" t="str">
        <f>VLOOKUP(record[[#This Row],[employeeID]],員工[],2,FALSE)</f>
        <v>謝蓁薰</v>
      </c>
    </row>
    <row r="3262" spans="6:19" hidden="1" x14ac:dyDescent="0.25">
      <c r="F3262" t="s">
        <v>1618</v>
      </c>
      <c r="G3262" t="s">
        <v>403</v>
      </c>
      <c r="H3262" t="str">
        <f>VLOOKUP(record[[#This Row],[ProcessSN]],表格2_7[],2,FALSE)</f>
        <v>30-4118-018-550</v>
      </c>
      <c r="I3262" t="str">
        <f>VLOOKUP(record[[#This Row],[ProcessSN]],表格2_7[],3,FALSE)</f>
        <v>#100SHIP</v>
      </c>
      <c r="J3262" t="s">
        <v>600</v>
      </c>
      <c r="K3262" s="195">
        <v>46098.385844907411</v>
      </c>
      <c r="L3262">
        <v>144</v>
      </c>
      <c r="M3262">
        <v>0</v>
      </c>
      <c r="N3262" s="98" t="str">
        <f>IF(record[[#This Row],[Memo]]="Browser:chrome os:android","平板報工",IF(record[[#This Row],[Memo]]=0,"委外",record[[#This Row],[Memo]]))</f>
        <v/>
      </c>
      <c r="O3262" t="s">
        <v>58</v>
      </c>
      <c r="P3262" t="s">
        <v>886</v>
      </c>
      <c r="Q3262" t="s">
        <v>58</v>
      </c>
      <c r="R3262" t="str">
        <f>IFERROR(VLOOKUP(record[[#This Row],[PCUSTID]],廠商[],2,FALSE),"")</f>
        <v/>
      </c>
      <c r="S3262" t="str">
        <f>VLOOKUP(record[[#This Row],[employeeID]],員工[],2,FALSE)</f>
        <v>謝蓁薰</v>
      </c>
    </row>
    <row r="3263" spans="6:19" hidden="1" x14ac:dyDescent="0.25">
      <c r="F3263" t="s">
        <v>1618</v>
      </c>
      <c r="G3263" t="s">
        <v>402</v>
      </c>
      <c r="H3263" t="str">
        <f>VLOOKUP(record[[#This Row],[ProcessSN]],表格2_7[],2,FALSE)</f>
        <v>30-4118-018-550</v>
      </c>
      <c r="I3263" t="str">
        <f>VLOOKUP(record[[#This Row],[ProcessSN]],表格2_7[],3,FALSE)</f>
        <v>#100STOCK</v>
      </c>
      <c r="J3263" t="s">
        <v>592</v>
      </c>
      <c r="K3263" s="195">
        <v>46098.385740740741</v>
      </c>
      <c r="L3263">
        <v>144</v>
      </c>
      <c r="M3263">
        <v>0</v>
      </c>
      <c r="N3263" s="98" t="str">
        <f>IF(record[[#This Row],[Memo]]="Browser:chrome os:android","平板報工",IF(record[[#This Row],[Memo]]=0,"委外",record[[#This Row],[Memo]]))</f>
        <v/>
      </c>
      <c r="O3263" t="s">
        <v>58</v>
      </c>
      <c r="P3263" t="s">
        <v>886</v>
      </c>
      <c r="Q3263" t="s">
        <v>58</v>
      </c>
      <c r="R3263" t="str">
        <f>IFERROR(VLOOKUP(record[[#This Row],[PCUSTID]],廠商[],2,FALSE),"")</f>
        <v/>
      </c>
      <c r="S3263" t="str">
        <f>VLOOKUP(record[[#This Row],[employeeID]],員工[],2,FALSE)</f>
        <v>謝蓁薰</v>
      </c>
    </row>
    <row r="3264" spans="6:19" hidden="1" x14ac:dyDescent="0.25">
      <c r="F3264" t="s">
        <v>1605</v>
      </c>
      <c r="G3264" t="s">
        <v>403</v>
      </c>
      <c r="H3264" t="str">
        <f>VLOOKUP(record[[#This Row],[ProcessSN]],表格2_7[],2,FALSE)</f>
        <v>30-4118-018-550</v>
      </c>
      <c r="I3264" t="str">
        <f>VLOOKUP(record[[#This Row],[ProcessSN]],表格2_7[],3,FALSE)</f>
        <v>#100SHIP</v>
      </c>
      <c r="J3264" t="s">
        <v>600</v>
      </c>
      <c r="K3264" s="195">
        <v>46098.385312500002</v>
      </c>
      <c r="L3264">
        <v>68</v>
      </c>
      <c r="M3264">
        <v>0</v>
      </c>
      <c r="N3264" s="98" t="str">
        <f>IF(record[[#This Row],[Memo]]="Browser:chrome os:android","平板報工",IF(record[[#This Row],[Memo]]=0,"委外",record[[#This Row],[Memo]]))</f>
        <v/>
      </c>
      <c r="O3264" t="s">
        <v>58</v>
      </c>
      <c r="P3264" t="s">
        <v>886</v>
      </c>
      <c r="Q3264" t="s">
        <v>58</v>
      </c>
      <c r="R3264" t="str">
        <f>IFERROR(VLOOKUP(record[[#This Row],[PCUSTID]],廠商[],2,FALSE),"")</f>
        <v/>
      </c>
      <c r="S3264" t="str">
        <f>VLOOKUP(record[[#This Row],[employeeID]],員工[],2,FALSE)</f>
        <v>謝蓁薰</v>
      </c>
    </row>
    <row r="3265" spans="6:19" hidden="1" x14ac:dyDescent="0.25">
      <c r="F3265" t="s">
        <v>1617</v>
      </c>
      <c r="G3265" t="s">
        <v>362</v>
      </c>
      <c r="H3265" t="str">
        <f>VLOOKUP(record[[#This Row],[ProcessSN]],表格2_7[],2,FALSE)</f>
        <v>30-4118-018-450</v>
      </c>
      <c r="I3265" t="str">
        <f>VLOOKUP(record[[#This Row],[ProcessSN]],表格2_7[],3,FALSE)</f>
        <v>#100SHIP</v>
      </c>
      <c r="J3265" t="s">
        <v>600</v>
      </c>
      <c r="K3265" s="195">
        <v>46098.384988425925</v>
      </c>
      <c r="L3265">
        <v>4</v>
      </c>
      <c r="M3265">
        <v>0</v>
      </c>
      <c r="N3265" s="98" t="str">
        <f>IF(record[[#This Row],[Memo]]="Browser:chrome os:android","平板報工",IF(record[[#This Row],[Memo]]=0,"委外",record[[#This Row],[Memo]]))</f>
        <v/>
      </c>
      <c r="O3265" t="s">
        <v>58</v>
      </c>
      <c r="P3265" t="s">
        <v>886</v>
      </c>
      <c r="Q3265" t="s">
        <v>58</v>
      </c>
      <c r="R3265" t="str">
        <f>IFERROR(VLOOKUP(record[[#This Row],[PCUSTID]],廠商[],2,FALSE),"")</f>
        <v/>
      </c>
      <c r="S3265" t="str">
        <f>VLOOKUP(record[[#This Row],[employeeID]],員工[],2,FALSE)</f>
        <v>謝蓁薰</v>
      </c>
    </row>
    <row r="3266" spans="6:19" hidden="1" x14ac:dyDescent="0.25">
      <c r="F3266" t="s">
        <v>1617</v>
      </c>
      <c r="G3266" t="s">
        <v>361</v>
      </c>
      <c r="H3266" t="str">
        <f>VLOOKUP(record[[#This Row],[ProcessSN]],表格2_7[],2,FALSE)</f>
        <v>30-4118-018-450</v>
      </c>
      <c r="I3266" t="str">
        <f>VLOOKUP(record[[#This Row],[ProcessSN]],表格2_7[],3,FALSE)</f>
        <v>#100STOCK</v>
      </c>
      <c r="J3266" t="s">
        <v>592</v>
      </c>
      <c r="K3266" s="195">
        <v>46098.384837962964</v>
      </c>
      <c r="L3266">
        <v>195</v>
      </c>
      <c r="M3266">
        <v>0</v>
      </c>
      <c r="N3266" s="98" t="str">
        <f>IF(record[[#This Row],[Memo]]="Browser:chrome os:android","平板報工",IF(record[[#This Row],[Memo]]=0,"委外",record[[#This Row],[Memo]]))</f>
        <v/>
      </c>
      <c r="O3266" t="s">
        <v>58</v>
      </c>
      <c r="P3266" t="s">
        <v>886</v>
      </c>
      <c r="Q3266" t="s">
        <v>58</v>
      </c>
      <c r="R3266" t="str">
        <f>IFERROR(VLOOKUP(record[[#This Row],[PCUSTID]],廠商[],2,FALSE),"")</f>
        <v/>
      </c>
      <c r="S3266" t="str">
        <f>VLOOKUP(record[[#This Row],[employeeID]],員工[],2,FALSE)</f>
        <v>謝蓁薰</v>
      </c>
    </row>
    <row r="3267" spans="6:19" hidden="1" x14ac:dyDescent="0.25">
      <c r="F3267" t="s">
        <v>1580</v>
      </c>
      <c r="G3267" t="s">
        <v>471</v>
      </c>
      <c r="H3267" t="str">
        <f>VLOOKUP(record[[#This Row],[ProcessSN]],表格2_7[],2,FALSE)</f>
        <v>30-4118-018-XXX</v>
      </c>
      <c r="I3267" t="str">
        <f>VLOOKUP(record[[#This Row],[ProcessSN]],表格2_7[],3,FALSE)</f>
        <v>#02STOCK</v>
      </c>
      <c r="J3267" t="s">
        <v>592</v>
      </c>
      <c r="K3267" s="195">
        <v>46098.382384259261</v>
      </c>
      <c r="L3267">
        <v>2228</v>
      </c>
      <c r="M3267">
        <v>0</v>
      </c>
      <c r="N3267" s="98" t="str">
        <f>IF(record[[#This Row],[Memo]]="Browser:chrome os:android","平板報工",IF(record[[#This Row],[Memo]]=0,"委外",record[[#This Row],[Memo]]))</f>
        <v/>
      </c>
      <c r="O3267" t="s">
        <v>58</v>
      </c>
      <c r="P3267" t="s">
        <v>125</v>
      </c>
      <c r="Q3267" t="s">
        <v>58</v>
      </c>
      <c r="R3267" t="str">
        <f>IFERROR(VLOOKUP(record[[#This Row],[PCUSTID]],廠商[],2,FALSE),"")</f>
        <v/>
      </c>
      <c r="S3267" t="str">
        <f>VLOOKUP(record[[#This Row],[employeeID]],員工[],2,FALSE)</f>
        <v>黃瓈巧</v>
      </c>
    </row>
    <row r="3268" spans="6:19" hidden="1" x14ac:dyDescent="0.25">
      <c r="F3268" t="s">
        <v>1637</v>
      </c>
      <c r="G3268" t="s">
        <v>445</v>
      </c>
      <c r="H3268" t="str">
        <f>VLOOKUP(record[[#This Row],[ProcessSN]],表格2_7[],2,FALSE)</f>
        <v>30-4118-018-6XX</v>
      </c>
      <c r="I3268" t="str">
        <f>VLOOKUP(record[[#This Row],[ProcessSN]],表格2_7[],3,FALSE)</f>
        <v>#03PICK</v>
      </c>
      <c r="J3268" t="s">
        <v>582</v>
      </c>
      <c r="K3268" s="195">
        <v>46098.381504629629</v>
      </c>
      <c r="L3268">
        <v>2228</v>
      </c>
      <c r="M3268">
        <v>0</v>
      </c>
      <c r="N3268" s="98" t="str">
        <f>IF(record[[#This Row],[Memo]]="Browser:chrome os:android","平板報工",IF(record[[#This Row],[Memo]]=0,"委外",record[[#This Row],[Memo]]))</f>
        <v/>
      </c>
      <c r="O3268" t="s">
        <v>58</v>
      </c>
      <c r="P3268" t="s">
        <v>125</v>
      </c>
      <c r="Q3268" t="s">
        <v>58</v>
      </c>
      <c r="R3268" t="str">
        <f>IFERROR(VLOOKUP(record[[#This Row],[PCUSTID]],廠商[],2,FALSE),"")</f>
        <v/>
      </c>
      <c r="S3268" t="str">
        <f>VLOOKUP(record[[#This Row],[employeeID]],員工[],2,FALSE)</f>
        <v>黃瓈巧</v>
      </c>
    </row>
    <row r="3269" spans="6:19" hidden="1" x14ac:dyDescent="0.25">
      <c r="F3269" t="s">
        <v>1602</v>
      </c>
      <c r="G3269" t="s">
        <v>468</v>
      </c>
      <c r="H3269" t="str">
        <f>VLOOKUP(record[[#This Row],[ProcessSN]],表格2_7[],2,FALSE)</f>
        <v>30-4118-018-XXX</v>
      </c>
      <c r="I3269" t="str">
        <f>VLOOKUP(record[[#This Row],[ProcessSN]],表格2_7[],3,FALSE)</f>
        <v>#02</v>
      </c>
      <c r="J3269" t="s">
        <v>590</v>
      </c>
      <c r="K3269" s="195">
        <v>46098.365219907406</v>
      </c>
      <c r="L3269">
        <v>1008</v>
      </c>
      <c r="M3269">
        <v>0</v>
      </c>
      <c r="N3269" s="98" t="str">
        <f>IF(record[[#This Row],[Memo]]="Browser:chrome os:android","平板報工",IF(record[[#This Row],[Memo]]=0,"委外",record[[#This Row],[Memo]]))</f>
        <v>委外</v>
      </c>
      <c r="P3269" t="s">
        <v>186</v>
      </c>
      <c r="Q3269" t="s">
        <v>216</v>
      </c>
      <c r="R3269" t="str">
        <f>IFERROR(VLOOKUP(record[[#This Row],[PCUSTID]],廠商[],2,FALSE),"")</f>
        <v>俊杰</v>
      </c>
      <c r="S3269" t="str">
        <f>VLOOKUP(record[[#This Row],[employeeID]],員工[],2,FALSE)</f>
        <v>許文姍</v>
      </c>
    </row>
    <row r="3270" spans="6:19" hidden="1" x14ac:dyDescent="0.25">
      <c r="F3270" t="s">
        <v>1602</v>
      </c>
      <c r="G3270" t="s">
        <v>467</v>
      </c>
      <c r="H3270" t="str">
        <f>VLOOKUP(record[[#This Row],[ProcessSN]],表格2_7[],2,FALSE)</f>
        <v>30-4118-018-XXX</v>
      </c>
      <c r="I3270" t="str">
        <f>VLOOKUP(record[[#This Row],[ProcessSN]],表格2_7[],3,FALSE)</f>
        <v>#01QC</v>
      </c>
      <c r="J3270" t="s">
        <v>589</v>
      </c>
      <c r="K3270" s="195">
        <v>46098.352708333332</v>
      </c>
      <c r="L3270">
        <v>1008</v>
      </c>
      <c r="M3270">
        <v>0</v>
      </c>
      <c r="N3270" s="98" t="str">
        <f>IF(record[[#This Row],[Memo]]="Browser:chrome os:android","平板報工",IF(record[[#This Row],[Memo]]=0,"委外",record[[#This Row],[Memo]]))</f>
        <v>平板報工</v>
      </c>
      <c r="O3270" t="s">
        <v>643</v>
      </c>
      <c r="P3270" t="s">
        <v>182</v>
      </c>
      <c r="Q3270" t="s">
        <v>644</v>
      </c>
      <c r="R3270" t="str">
        <f>IFERROR(VLOOKUP(record[[#This Row],[PCUSTID]],廠商[],2,FALSE),"")</f>
        <v/>
      </c>
      <c r="S3270" t="str">
        <f>VLOOKUP(record[[#This Row],[employeeID]],員工[],2,FALSE)</f>
        <v>梅氏和</v>
      </c>
    </row>
    <row r="3271" spans="6:19" hidden="1" x14ac:dyDescent="0.25">
      <c r="F3271" t="s">
        <v>1589</v>
      </c>
      <c r="G3271" t="s">
        <v>419</v>
      </c>
      <c r="H3271" t="str">
        <f>VLOOKUP(record[[#This Row],[ProcessSN]],表格2_7[],2,FALSE)</f>
        <v>30-4118-018-5XX</v>
      </c>
      <c r="I3271" t="str">
        <f>VLOOKUP(record[[#This Row],[ProcessSN]],表格2_7[],3,FALSE)</f>
        <v>#07QC</v>
      </c>
      <c r="J3271" t="s">
        <v>589</v>
      </c>
      <c r="K3271" s="195">
        <v>46098.344594907408</v>
      </c>
      <c r="L3271">
        <v>0</v>
      </c>
      <c r="M3271">
        <v>4</v>
      </c>
      <c r="N3271" s="98" t="str">
        <f>IF(record[[#This Row],[Memo]]="Browser:chrome os:android","平板報工",IF(record[[#This Row],[Memo]]=0,"委外",record[[#This Row],[Memo]]))</f>
        <v/>
      </c>
      <c r="O3271" t="s">
        <v>58</v>
      </c>
      <c r="P3271" t="s">
        <v>141</v>
      </c>
      <c r="Q3271" t="s">
        <v>58</v>
      </c>
      <c r="R3271" t="str">
        <f>IFERROR(VLOOKUP(record[[#This Row],[PCUSTID]],廠商[],2,FALSE),"")</f>
        <v/>
      </c>
      <c r="S3271" t="str">
        <f>VLOOKUP(record[[#This Row],[employeeID]],員工[],2,FALSE)</f>
        <v>蔣梅</v>
      </c>
    </row>
    <row r="3272" spans="6:19" hidden="1" x14ac:dyDescent="0.25">
      <c r="F3272" t="s">
        <v>1589</v>
      </c>
      <c r="G3272" t="s">
        <v>419</v>
      </c>
      <c r="H3272" t="str">
        <f>VLOOKUP(record[[#This Row],[ProcessSN]],表格2_7[],2,FALSE)</f>
        <v>30-4118-018-5XX</v>
      </c>
      <c r="I3272" t="str">
        <f>VLOOKUP(record[[#This Row],[ProcessSN]],表格2_7[],3,FALSE)</f>
        <v>#07QC</v>
      </c>
      <c r="J3272" t="s">
        <v>589</v>
      </c>
      <c r="K3272" s="195">
        <v>46098.344409722224</v>
      </c>
      <c r="L3272">
        <v>317</v>
      </c>
      <c r="M3272">
        <v>0</v>
      </c>
      <c r="N3272" s="98" t="str">
        <f>IF(record[[#This Row],[Memo]]="Browser:chrome os:android","平板報工",IF(record[[#This Row],[Memo]]=0,"委外",record[[#This Row],[Memo]]))</f>
        <v/>
      </c>
      <c r="O3272" t="s">
        <v>58</v>
      </c>
      <c r="P3272" t="s">
        <v>141</v>
      </c>
      <c r="Q3272" t="s">
        <v>58</v>
      </c>
      <c r="R3272" t="str">
        <f>IFERROR(VLOOKUP(record[[#This Row],[PCUSTID]],廠商[],2,FALSE),"")</f>
        <v/>
      </c>
      <c r="S3272" t="str">
        <f>VLOOKUP(record[[#This Row],[employeeID]],員工[],2,FALSE)</f>
        <v>蔣梅</v>
      </c>
    </row>
    <row r="3273" spans="6:19" hidden="1" x14ac:dyDescent="0.25">
      <c r="F3273" t="s">
        <v>1587</v>
      </c>
      <c r="G3273" t="s">
        <v>378</v>
      </c>
      <c r="H3273" t="str">
        <f>VLOOKUP(record[[#This Row],[ProcessSN]],表格2_7[],2,FALSE)</f>
        <v>30-4118-018-4XX</v>
      </c>
      <c r="I3273" t="str">
        <f>VLOOKUP(record[[#This Row],[ProcessSN]],表格2_7[],3,FALSE)</f>
        <v>#07QC</v>
      </c>
      <c r="J3273" t="s">
        <v>589</v>
      </c>
      <c r="K3273" s="195">
        <v>46098.342303240737</v>
      </c>
      <c r="L3273">
        <v>50</v>
      </c>
      <c r="M3273">
        <v>0</v>
      </c>
      <c r="N3273" s="98" t="str">
        <f>IF(record[[#This Row],[Memo]]="Browser:chrome os:android","平板報工",IF(record[[#This Row],[Memo]]=0,"委外",record[[#This Row],[Memo]]))</f>
        <v/>
      </c>
      <c r="O3273" t="s">
        <v>58</v>
      </c>
      <c r="P3273" t="s">
        <v>141</v>
      </c>
      <c r="Q3273" t="s">
        <v>58</v>
      </c>
      <c r="R3273" t="str">
        <f>IFERROR(VLOOKUP(record[[#This Row],[PCUSTID]],廠商[],2,FALSE),"")</f>
        <v/>
      </c>
      <c r="S3273" t="str">
        <f>VLOOKUP(record[[#This Row],[employeeID]],員工[],2,FALSE)</f>
        <v>蔣梅</v>
      </c>
    </row>
    <row r="3274" spans="6:19" hidden="1" x14ac:dyDescent="0.25">
      <c r="F3274" t="s">
        <v>1618</v>
      </c>
      <c r="G3274" t="s">
        <v>401</v>
      </c>
      <c r="H3274" t="str">
        <f>VLOOKUP(record[[#This Row],[ProcessSN]],表格2_7[],2,FALSE)</f>
        <v>30-4118-018-550</v>
      </c>
      <c r="I3274" t="str">
        <f>VLOOKUP(record[[#This Row],[ProcessSN]],表格2_7[],3,FALSE)</f>
        <v>#100OQC</v>
      </c>
      <c r="J3274" t="s">
        <v>599</v>
      </c>
      <c r="K3274" s="195">
        <v>46098.34175925926</v>
      </c>
      <c r="L3274">
        <v>452</v>
      </c>
      <c r="M3274">
        <v>0</v>
      </c>
      <c r="N3274" s="98" t="str">
        <f>IF(record[[#This Row],[Memo]]="Browser:chrome os:android","平板報工",IF(record[[#This Row],[Memo]]=0,"委外",record[[#This Row],[Memo]]))</f>
        <v/>
      </c>
      <c r="O3274" t="s">
        <v>58</v>
      </c>
      <c r="P3274" t="s">
        <v>121</v>
      </c>
      <c r="Q3274" t="s">
        <v>58</v>
      </c>
      <c r="R3274" t="str">
        <f>IFERROR(VLOOKUP(record[[#This Row],[PCUSTID]],廠商[],2,FALSE),"")</f>
        <v/>
      </c>
      <c r="S3274" t="str">
        <f>VLOOKUP(record[[#This Row],[employeeID]],員工[],2,FALSE)</f>
        <v>謝素卿</v>
      </c>
    </row>
    <row r="3275" spans="6:19" hidden="1" x14ac:dyDescent="0.25">
      <c r="F3275" t="s">
        <v>1587</v>
      </c>
      <c r="G3275" t="s">
        <v>377</v>
      </c>
      <c r="H3275" t="str">
        <f>VLOOKUP(record[[#This Row],[ProcessSN]],表格2_7[],2,FALSE)</f>
        <v>30-4118-018-4XX</v>
      </c>
      <c r="I3275" t="str">
        <f>VLOOKUP(record[[#This Row],[ProcessSN]],表格2_7[],3,FALSE)</f>
        <v>#07</v>
      </c>
      <c r="J3275" t="s">
        <v>588</v>
      </c>
      <c r="K3275" s="195">
        <v>46098.304629629631</v>
      </c>
      <c r="L3275">
        <v>133</v>
      </c>
      <c r="M3275">
        <v>0</v>
      </c>
      <c r="N3275" s="98" t="str">
        <f>IF(record[[#This Row],[Memo]]="Browser:chrome os:android","平板報工",IF(record[[#This Row],[Memo]]=0,"委外",record[[#This Row],[Memo]]))</f>
        <v/>
      </c>
      <c r="O3275" t="s">
        <v>58</v>
      </c>
      <c r="P3275" t="s">
        <v>843</v>
      </c>
      <c r="Q3275" t="s">
        <v>58</v>
      </c>
      <c r="R3275" t="str">
        <f>IFERROR(VLOOKUP(record[[#This Row],[PCUSTID]],廠商[],2,FALSE),"")</f>
        <v/>
      </c>
      <c r="S3275" t="str">
        <f>VLOOKUP(record[[#This Row],[employeeID]],員工[],2,FALSE)</f>
        <v>張楚承</v>
      </c>
    </row>
    <row r="3276" spans="6:19" hidden="1" x14ac:dyDescent="0.25">
      <c r="F3276" t="s">
        <v>1587</v>
      </c>
      <c r="G3276" t="s">
        <v>376</v>
      </c>
      <c r="H3276" t="str">
        <f>VLOOKUP(record[[#This Row],[ProcessSN]],表格2_7[],2,FALSE)</f>
        <v>30-4118-018-4XX</v>
      </c>
      <c r="I3276" t="str">
        <f>VLOOKUP(record[[#This Row],[ProcessSN]],表格2_7[],3,FALSE)</f>
        <v>#06</v>
      </c>
      <c r="J3276" t="s">
        <v>593</v>
      </c>
      <c r="K3276" s="195">
        <v>46098.302986111114</v>
      </c>
      <c r="L3276">
        <v>133</v>
      </c>
      <c r="M3276">
        <v>0</v>
      </c>
      <c r="N3276" s="98" t="str">
        <f>IF(record[[#This Row],[Memo]]="Browser:chrome os:android","平板報工",IF(record[[#This Row],[Memo]]=0,"委外",record[[#This Row],[Memo]]))</f>
        <v/>
      </c>
      <c r="O3276" t="s">
        <v>58</v>
      </c>
      <c r="P3276" t="s">
        <v>806</v>
      </c>
      <c r="Q3276" t="s">
        <v>58</v>
      </c>
      <c r="R3276" t="str">
        <f>IFERROR(VLOOKUP(record[[#This Row],[PCUSTID]],廠商[],2,FALSE),"")</f>
        <v/>
      </c>
      <c r="S3276" t="str">
        <f>VLOOKUP(record[[#This Row],[employeeID]],員工[],2,FALSE)</f>
        <v>方思緯</v>
      </c>
    </row>
    <row r="3277" spans="6:19" hidden="1" x14ac:dyDescent="0.25">
      <c r="F3277" t="s">
        <v>1602</v>
      </c>
      <c r="G3277" t="s">
        <v>466</v>
      </c>
      <c r="H3277" t="str">
        <f>VLOOKUP(record[[#This Row],[ProcessSN]],表格2_7[],2,FALSE)</f>
        <v>30-4118-018-XXX</v>
      </c>
      <c r="I3277" t="str">
        <f>VLOOKUP(record[[#This Row],[ProcessSN]],表格2_7[],3,FALSE)</f>
        <v>#01-2</v>
      </c>
      <c r="J3277" t="s">
        <v>588</v>
      </c>
      <c r="K3277" s="195">
        <v>46098.302106481482</v>
      </c>
      <c r="L3277">
        <v>260</v>
      </c>
      <c r="M3277">
        <v>0</v>
      </c>
      <c r="N3277" s="98" t="str">
        <f>IF(record[[#This Row],[Memo]]="Browser:chrome os:android","平板報工",IF(record[[#This Row],[Memo]]=0,"委外",record[[#This Row],[Memo]]))</f>
        <v/>
      </c>
      <c r="O3277" t="s">
        <v>58</v>
      </c>
      <c r="P3277" t="s">
        <v>1098</v>
      </c>
      <c r="Q3277" t="s">
        <v>58</v>
      </c>
      <c r="R3277" t="str">
        <f>IFERROR(VLOOKUP(record[[#This Row],[PCUSTID]],廠商[],2,FALSE),"")</f>
        <v/>
      </c>
      <c r="S3277" t="str">
        <f>VLOOKUP(record[[#This Row],[employeeID]],員工[],2,FALSE)</f>
        <v>阮氏芳英(英)</v>
      </c>
    </row>
    <row r="3278" spans="6:19" hidden="1" x14ac:dyDescent="0.25">
      <c r="F3278" t="s">
        <v>1602</v>
      </c>
      <c r="G3278" t="s">
        <v>465</v>
      </c>
      <c r="H3278" t="str">
        <f>VLOOKUP(record[[#This Row],[ProcessSN]],表格2_7[],2,FALSE)</f>
        <v>30-4118-018-XXX</v>
      </c>
      <c r="I3278" t="str">
        <f>VLOOKUP(record[[#This Row],[ProcessSN]],表格2_7[],3,FALSE)</f>
        <v>#01-1</v>
      </c>
      <c r="J3278" t="s">
        <v>588</v>
      </c>
      <c r="K3278" s="195">
        <v>46098.30196759259</v>
      </c>
      <c r="L3278">
        <v>260</v>
      </c>
      <c r="M3278">
        <v>0</v>
      </c>
      <c r="N3278" s="98" t="str">
        <f>IF(record[[#This Row],[Memo]]="Browser:chrome os:android","平板報工",IF(record[[#This Row],[Memo]]=0,"委外",record[[#This Row],[Memo]]))</f>
        <v/>
      </c>
      <c r="O3278" t="s">
        <v>58</v>
      </c>
      <c r="P3278" t="s">
        <v>1098</v>
      </c>
      <c r="Q3278" t="s">
        <v>58</v>
      </c>
      <c r="R3278" t="str">
        <f>IFERROR(VLOOKUP(record[[#This Row],[PCUSTID]],廠商[],2,FALSE),"")</f>
        <v/>
      </c>
      <c r="S3278" t="str">
        <f>VLOOKUP(record[[#This Row],[employeeID]],員工[],2,FALSE)</f>
        <v>阮氏芳英(英)</v>
      </c>
    </row>
    <row r="3279" spans="6:19" hidden="1" x14ac:dyDescent="0.25">
      <c r="F3279" t="s">
        <v>1587</v>
      </c>
      <c r="G3279" t="s">
        <v>375</v>
      </c>
      <c r="H3279" t="str">
        <f>VLOOKUP(record[[#This Row],[ProcessSN]],表格2_7[],2,FALSE)</f>
        <v>30-4118-018-4XX</v>
      </c>
      <c r="I3279" t="str">
        <f>VLOOKUP(record[[#This Row],[ProcessSN]],表格2_7[],3,FALSE)</f>
        <v>#05</v>
      </c>
      <c r="J3279" t="s">
        <v>588</v>
      </c>
      <c r="K3279" s="195">
        <v>46098.300219907411</v>
      </c>
      <c r="L3279">
        <v>135</v>
      </c>
      <c r="M3279">
        <v>0</v>
      </c>
      <c r="N3279" s="98" t="str">
        <f>IF(record[[#This Row],[Memo]]="Browser:chrome os:android","平板報工",IF(record[[#This Row],[Memo]]=0,"委外",record[[#This Row],[Memo]]))</f>
        <v/>
      </c>
      <c r="O3279" t="s">
        <v>58</v>
      </c>
      <c r="P3279" t="s">
        <v>843</v>
      </c>
      <c r="Q3279" t="s">
        <v>58</v>
      </c>
      <c r="R3279" t="str">
        <f>IFERROR(VLOOKUP(record[[#This Row],[PCUSTID]],廠商[],2,FALSE),"")</f>
        <v/>
      </c>
      <c r="S3279" t="str">
        <f>VLOOKUP(record[[#This Row],[employeeID]],員工[],2,FALSE)</f>
        <v>張楚承</v>
      </c>
    </row>
    <row r="3280" spans="6:19" hidden="1" x14ac:dyDescent="0.25">
      <c r="F3280" t="s">
        <v>1587</v>
      </c>
      <c r="G3280" t="s">
        <v>374</v>
      </c>
      <c r="H3280" t="str">
        <f>VLOOKUP(record[[#This Row],[ProcessSN]],表格2_7[],2,FALSE)</f>
        <v>30-4118-018-4XX</v>
      </c>
      <c r="I3280" t="str">
        <f>VLOOKUP(record[[#This Row],[ProcessSN]],表格2_7[],3,FALSE)</f>
        <v>#04</v>
      </c>
      <c r="J3280" t="s">
        <v>588</v>
      </c>
      <c r="K3280" s="195">
        <v>46098.299907407411</v>
      </c>
      <c r="L3280">
        <v>130</v>
      </c>
      <c r="M3280">
        <v>0</v>
      </c>
      <c r="N3280" s="98" t="str">
        <f>IF(record[[#This Row],[Memo]]="Browser:chrome os:android","平板報工",IF(record[[#This Row],[Memo]]=0,"委外",record[[#This Row],[Memo]]))</f>
        <v/>
      </c>
      <c r="O3280" t="s">
        <v>58</v>
      </c>
      <c r="P3280" t="s">
        <v>843</v>
      </c>
      <c r="Q3280" t="s">
        <v>58</v>
      </c>
      <c r="R3280" t="str">
        <f>IFERROR(VLOOKUP(record[[#This Row],[PCUSTID]],廠商[],2,FALSE),"")</f>
        <v/>
      </c>
      <c r="S3280" t="str">
        <f>VLOOKUP(record[[#This Row],[employeeID]],員工[],2,FALSE)</f>
        <v>張楚承</v>
      </c>
    </row>
    <row r="3281" spans="6:19" hidden="1" x14ac:dyDescent="0.25">
      <c r="F3281" t="s">
        <v>1589</v>
      </c>
      <c r="G3281" t="s">
        <v>417</v>
      </c>
      <c r="H3281" t="str">
        <f>VLOOKUP(record[[#This Row],[ProcessSN]],表格2_7[],2,FALSE)</f>
        <v>30-4118-018-5XX</v>
      </c>
      <c r="I3281" t="str">
        <f>VLOOKUP(record[[#This Row],[ProcessSN]],表格2_7[],3,FALSE)</f>
        <v>#06</v>
      </c>
      <c r="J3281" t="s">
        <v>593</v>
      </c>
      <c r="K3281" s="195">
        <v>46098.26871527778</v>
      </c>
      <c r="L3281">
        <v>66</v>
      </c>
      <c r="M3281">
        <v>0</v>
      </c>
      <c r="N3281" s="98" t="str">
        <f>IF(record[[#This Row],[Memo]]="Browser:chrome os:android","平板報工",IF(record[[#This Row],[Memo]]=0,"委外",record[[#This Row],[Memo]]))</f>
        <v>平板報工</v>
      </c>
      <c r="O3281" t="s">
        <v>643</v>
      </c>
      <c r="P3281" t="s">
        <v>170</v>
      </c>
      <c r="Q3281" t="s">
        <v>644</v>
      </c>
      <c r="R3281" t="str">
        <f>IFERROR(VLOOKUP(record[[#This Row],[PCUSTID]],廠商[],2,FALSE),"")</f>
        <v/>
      </c>
      <c r="S3281" t="str">
        <f>VLOOKUP(record[[#This Row],[employeeID]],員工[],2,FALSE)</f>
        <v>黃清宇</v>
      </c>
    </row>
    <row r="3282" spans="6:19" hidden="1" x14ac:dyDescent="0.25">
      <c r="F3282" t="s">
        <v>1589</v>
      </c>
      <c r="G3282" t="s">
        <v>417</v>
      </c>
      <c r="H3282" t="str">
        <f>VLOOKUP(record[[#This Row],[ProcessSN]],表格2_7[],2,FALSE)</f>
        <v>30-4118-018-5XX</v>
      </c>
      <c r="I3282" t="str">
        <f>VLOOKUP(record[[#This Row],[ProcessSN]],表格2_7[],3,FALSE)</f>
        <v>#06</v>
      </c>
      <c r="J3282" t="s">
        <v>593</v>
      </c>
      <c r="K3282" s="195">
        <v>46098.164027777777</v>
      </c>
      <c r="L3282">
        <v>67</v>
      </c>
      <c r="M3282">
        <v>0</v>
      </c>
      <c r="N3282" s="98" t="str">
        <f>IF(record[[#This Row],[Memo]]="Browser:chrome os:android","平板報工",IF(record[[#This Row],[Memo]]=0,"委外",record[[#This Row],[Memo]]))</f>
        <v/>
      </c>
      <c r="O3282" t="s">
        <v>58</v>
      </c>
      <c r="P3282" t="s">
        <v>188</v>
      </c>
      <c r="Q3282" t="s">
        <v>58</v>
      </c>
      <c r="R3282" t="str">
        <f>IFERROR(VLOOKUP(record[[#This Row],[PCUSTID]],廠商[],2,FALSE),"")</f>
        <v/>
      </c>
      <c r="S3282" t="str">
        <f>VLOOKUP(record[[#This Row],[employeeID]],員工[],2,FALSE)</f>
        <v>阮氏璧紅</v>
      </c>
    </row>
    <row r="3283" spans="6:19" hidden="1" x14ac:dyDescent="0.25">
      <c r="F3283" t="s">
        <v>1587</v>
      </c>
      <c r="G3283" t="s">
        <v>377</v>
      </c>
      <c r="H3283" t="str">
        <f>VLOOKUP(record[[#This Row],[ProcessSN]],表格2_7[],2,FALSE)</f>
        <v>30-4118-018-4XX</v>
      </c>
      <c r="I3283" t="str">
        <f>VLOOKUP(record[[#This Row],[ProcessSN]],表格2_7[],3,FALSE)</f>
        <v>#07</v>
      </c>
      <c r="J3283" t="s">
        <v>588</v>
      </c>
      <c r="K3283" s="195">
        <v>46097.977743055555</v>
      </c>
      <c r="L3283">
        <v>171</v>
      </c>
      <c r="M3283">
        <v>1</v>
      </c>
      <c r="N3283" s="98" t="str">
        <f>IF(record[[#This Row],[Memo]]="Browser:chrome os:android","平板報工",IF(record[[#This Row],[Memo]]=0,"委外",record[[#This Row],[Memo]]))</f>
        <v/>
      </c>
      <c r="O3283" t="s">
        <v>58</v>
      </c>
      <c r="P3283" t="s">
        <v>1098</v>
      </c>
      <c r="Q3283" t="s">
        <v>58</v>
      </c>
      <c r="R3283" t="str">
        <f>IFERROR(VLOOKUP(record[[#This Row],[PCUSTID]],廠商[],2,FALSE),"")</f>
        <v/>
      </c>
      <c r="S3283" t="str">
        <f>VLOOKUP(record[[#This Row],[employeeID]],員工[],2,FALSE)</f>
        <v>阮氏芳英(英)</v>
      </c>
    </row>
    <row r="3284" spans="6:19" hidden="1" x14ac:dyDescent="0.25">
      <c r="F3284" t="s">
        <v>1587</v>
      </c>
      <c r="G3284" t="s">
        <v>375</v>
      </c>
      <c r="H3284" t="str">
        <f>VLOOKUP(record[[#This Row],[ProcessSN]],表格2_7[],2,FALSE)</f>
        <v>30-4118-018-4XX</v>
      </c>
      <c r="I3284" t="str">
        <f>VLOOKUP(record[[#This Row],[ProcessSN]],表格2_7[],3,FALSE)</f>
        <v>#05</v>
      </c>
      <c r="J3284" t="s">
        <v>588</v>
      </c>
      <c r="K3284" s="195">
        <v>46097.977303240739</v>
      </c>
      <c r="L3284">
        <v>133</v>
      </c>
      <c r="M3284">
        <v>0</v>
      </c>
      <c r="N3284" s="98" t="str">
        <f>IF(record[[#This Row],[Memo]]="Browser:chrome os:android","平板報工",IF(record[[#This Row],[Memo]]=0,"委外",record[[#This Row],[Memo]]))</f>
        <v/>
      </c>
      <c r="O3284" t="s">
        <v>58</v>
      </c>
      <c r="P3284" t="s">
        <v>1098</v>
      </c>
      <c r="Q3284" t="s">
        <v>58</v>
      </c>
      <c r="R3284" t="str">
        <f>IFERROR(VLOOKUP(record[[#This Row],[PCUSTID]],廠商[],2,FALSE),"")</f>
        <v/>
      </c>
      <c r="S3284" t="str">
        <f>VLOOKUP(record[[#This Row],[employeeID]],員工[],2,FALSE)</f>
        <v>阮氏芳英(英)</v>
      </c>
    </row>
    <row r="3285" spans="6:19" hidden="1" x14ac:dyDescent="0.25">
      <c r="F3285" t="s">
        <v>1587</v>
      </c>
      <c r="G3285" t="s">
        <v>376</v>
      </c>
      <c r="H3285" t="str">
        <f>VLOOKUP(record[[#This Row],[ProcessSN]],表格2_7[],2,FALSE)</f>
        <v>30-4118-018-4XX</v>
      </c>
      <c r="I3285" t="str">
        <f>VLOOKUP(record[[#This Row],[ProcessSN]],表格2_7[],3,FALSE)</f>
        <v>#06</v>
      </c>
      <c r="J3285" t="s">
        <v>593</v>
      </c>
      <c r="K3285" s="195">
        <v>46097.977013888885</v>
      </c>
      <c r="L3285">
        <v>65</v>
      </c>
      <c r="M3285">
        <v>0</v>
      </c>
      <c r="N3285" s="98" t="str">
        <f>IF(record[[#This Row],[Memo]]="Browser:chrome os:android","平板報工",IF(record[[#This Row],[Memo]]=0,"委外",record[[#This Row],[Memo]]))</f>
        <v/>
      </c>
      <c r="O3285" t="s">
        <v>58</v>
      </c>
      <c r="P3285" t="s">
        <v>841</v>
      </c>
      <c r="Q3285" t="s">
        <v>58</v>
      </c>
      <c r="R3285" t="str">
        <f>IFERROR(VLOOKUP(record[[#This Row],[PCUSTID]],廠商[],2,FALSE),"")</f>
        <v/>
      </c>
      <c r="S3285" t="str">
        <f>VLOOKUP(record[[#This Row],[employeeID]],員工[],2,FALSE)</f>
        <v>范氏香</v>
      </c>
    </row>
    <row r="3286" spans="6:19" hidden="1" x14ac:dyDescent="0.25">
      <c r="F3286" t="s">
        <v>1602</v>
      </c>
      <c r="G3286" t="s">
        <v>466</v>
      </c>
      <c r="H3286" t="str">
        <f>VLOOKUP(record[[#This Row],[ProcessSN]],表格2_7[],2,FALSE)</f>
        <v>30-4118-018-XXX</v>
      </c>
      <c r="I3286" t="str">
        <f>VLOOKUP(record[[#This Row],[ProcessSN]],表格2_7[],3,FALSE)</f>
        <v>#01-2</v>
      </c>
      <c r="J3286" t="s">
        <v>588</v>
      </c>
      <c r="K3286" s="195">
        <v>46097.975798611114</v>
      </c>
      <c r="L3286">
        <v>335</v>
      </c>
      <c r="M3286">
        <v>0</v>
      </c>
      <c r="N3286" s="98" t="str">
        <f>IF(record[[#This Row],[Memo]]="Browser:chrome os:android","平板報工",IF(record[[#This Row],[Memo]]=0,"委外",record[[#This Row],[Memo]]))</f>
        <v/>
      </c>
      <c r="O3286" t="s">
        <v>58</v>
      </c>
      <c r="P3286" t="s">
        <v>89</v>
      </c>
      <c r="Q3286" t="s">
        <v>58</v>
      </c>
      <c r="R3286" t="str">
        <f>IFERROR(VLOOKUP(record[[#This Row],[PCUSTID]],廠商[],2,FALSE),"")</f>
        <v/>
      </c>
      <c r="S3286" t="str">
        <f>VLOOKUP(record[[#This Row],[employeeID]],員工[],2,FALSE)</f>
        <v>李美蓮</v>
      </c>
    </row>
    <row r="3287" spans="6:19" hidden="1" x14ac:dyDescent="0.25">
      <c r="F3287" t="s">
        <v>1602</v>
      </c>
      <c r="G3287" t="s">
        <v>465</v>
      </c>
      <c r="H3287" t="str">
        <f>VLOOKUP(record[[#This Row],[ProcessSN]],表格2_7[],2,FALSE)</f>
        <v>30-4118-018-XXX</v>
      </c>
      <c r="I3287" t="str">
        <f>VLOOKUP(record[[#This Row],[ProcessSN]],表格2_7[],3,FALSE)</f>
        <v>#01-1</v>
      </c>
      <c r="J3287" t="s">
        <v>588</v>
      </c>
      <c r="K3287" s="195">
        <v>46097.975451388891</v>
      </c>
      <c r="L3287">
        <v>335</v>
      </c>
      <c r="M3287">
        <v>0</v>
      </c>
      <c r="N3287" s="98" t="str">
        <f>IF(record[[#This Row],[Memo]]="Browser:chrome os:android","平板報工",IF(record[[#This Row],[Memo]]=0,"委外",record[[#This Row],[Memo]]))</f>
        <v/>
      </c>
      <c r="O3287" t="s">
        <v>58</v>
      </c>
      <c r="P3287" t="s">
        <v>89</v>
      </c>
      <c r="Q3287" t="s">
        <v>58</v>
      </c>
      <c r="R3287" t="str">
        <f>IFERROR(VLOOKUP(record[[#This Row],[PCUSTID]],廠商[],2,FALSE),"")</f>
        <v/>
      </c>
      <c r="S3287" t="str">
        <f>VLOOKUP(record[[#This Row],[employeeID]],員工[],2,FALSE)</f>
        <v>李美蓮</v>
      </c>
    </row>
    <row r="3288" spans="6:19" hidden="1" x14ac:dyDescent="0.25">
      <c r="F3288" t="s">
        <v>1587</v>
      </c>
      <c r="G3288" t="s">
        <v>374</v>
      </c>
      <c r="H3288" t="str">
        <f>VLOOKUP(record[[#This Row],[ProcessSN]],表格2_7[],2,FALSE)</f>
        <v>30-4118-018-4XX</v>
      </c>
      <c r="I3288" t="str">
        <f>VLOOKUP(record[[#This Row],[ProcessSN]],表格2_7[],3,FALSE)</f>
        <v>#04</v>
      </c>
      <c r="J3288" t="s">
        <v>588</v>
      </c>
      <c r="K3288" s="195">
        <v>46097.975254629629</v>
      </c>
      <c r="L3288">
        <v>123</v>
      </c>
      <c r="M3288">
        <v>0</v>
      </c>
      <c r="N3288" s="98" t="str">
        <f>IF(record[[#This Row],[Memo]]="Browser:chrome os:android","平板報工",IF(record[[#This Row],[Memo]]=0,"委外",record[[#This Row],[Memo]]))</f>
        <v/>
      </c>
      <c r="O3288" t="s">
        <v>58</v>
      </c>
      <c r="P3288" t="s">
        <v>89</v>
      </c>
      <c r="Q3288" t="s">
        <v>58</v>
      </c>
      <c r="R3288" t="str">
        <f>IFERROR(VLOOKUP(record[[#This Row],[PCUSTID]],廠商[],2,FALSE),"")</f>
        <v/>
      </c>
      <c r="S3288" t="str">
        <f>VLOOKUP(record[[#This Row],[employeeID]],員工[],2,FALSE)</f>
        <v>李美蓮</v>
      </c>
    </row>
    <row r="3289" spans="6:19" hidden="1" x14ac:dyDescent="0.25">
      <c r="F3289" t="s">
        <v>1589</v>
      </c>
      <c r="G3289" t="s">
        <v>417</v>
      </c>
      <c r="H3289" t="str">
        <f>VLOOKUP(record[[#This Row],[ProcessSN]],表格2_7[],2,FALSE)</f>
        <v>30-4118-018-5XX</v>
      </c>
      <c r="I3289" t="str">
        <f>VLOOKUP(record[[#This Row],[ProcessSN]],表格2_7[],3,FALSE)</f>
        <v>#06</v>
      </c>
      <c r="J3289" t="s">
        <v>593</v>
      </c>
      <c r="K3289" s="195">
        <v>46097.929201388892</v>
      </c>
      <c r="L3289">
        <v>65</v>
      </c>
      <c r="M3289">
        <v>0</v>
      </c>
      <c r="N3289" s="98" t="str">
        <f>IF(record[[#This Row],[Memo]]="Browser:chrome os:android","平板報工",IF(record[[#This Row],[Memo]]=0,"委外",record[[#This Row],[Memo]]))</f>
        <v>平板報工</v>
      </c>
      <c r="O3289" t="s">
        <v>643</v>
      </c>
      <c r="P3289" t="s">
        <v>170</v>
      </c>
      <c r="Q3289" t="s">
        <v>644</v>
      </c>
      <c r="R3289" t="str">
        <f>IFERROR(VLOOKUP(record[[#This Row],[PCUSTID]],廠商[],2,FALSE),"")</f>
        <v/>
      </c>
      <c r="S3289" t="str">
        <f>VLOOKUP(record[[#This Row],[employeeID]],員工[],2,FALSE)</f>
        <v>黃清宇</v>
      </c>
    </row>
    <row r="3290" spans="6:19" hidden="1" x14ac:dyDescent="0.25">
      <c r="F3290" t="s">
        <v>1587</v>
      </c>
      <c r="G3290" t="s">
        <v>376</v>
      </c>
      <c r="H3290" t="str">
        <f>VLOOKUP(record[[#This Row],[ProcessSN]],表格2_7[],2,FALSE)</f>
        <v>30-4118-018-4XX</v>
      </c>
      <c r="I3290" t="str">
        <f>VLOOKUP(record[[#This Row],[ProcessSN]],表格2_7[],3,FALSE)</f>
        <v>#06</v>
      </c>
      <c r="J3290" t="s">
        <v>593</v>
      </c>
      <c r="K3290" s="195">
        <v>46097.818495370368</v>
      </c>
      <c r="L3290">
        <v>60</v>
      </c>
      <c r="M3290">
        <v>0</v>
      </c>
      <c r="N3290" s="98" t="str">
        <f>IF(record[[#This Row],[Memo]]="Browser:chrome os:android","平板報工",IF(record[[#This Row],[Memo]]=0,"委外",record[[#This Row],[Memo]]))</f>
        <v>平板報工</v>
      </c>
      <c r="O3290" t="s">
        <v>643</v>
      </c>
      <c r="P3290" t="s">
        <v>1413</v>
      </c>
      <c r="Q3290" t="s">
        <v>644</v>
      </c>
      <c r="R3290" t="str">
        <f>IFERROR(VLOOKUP(record[[#This Row],[PCUSTID]],廠商[],2,FALSE),"")</f>
        <v/>
      </c>
      <c r="S3290" t="str">
        <f>VLOOKUP(record[[#This Row],[employeeID]],員工[],2,FALSE)</f>
        <v>阮氏芳英(芳)</v>
      </c>
    </row>
    <row r="3291" spans="6:19" hidden="1" x14ac:dyDescent="0.25">
      <c r="F3291" t="s">
        <v>1602</v>
      </c>
      <c r="G3291" t="s">
        <v>465</v>
      </c>
      <c r="H3291" t="str">
        <f>VLOOKUP(record[[#This Row],[ProcessSN]],表格2_7[],2,FALSE)</f>
        <v>30-4118-018-XXX</v>
      </c>
      <c r="I3291" t="str">
        <f>VLOOKUP(record[[#This Row],[ProcessSN]],表格2_7[],3,FALSE)</f>
        <v>#01-1</v>
      </c>
      <c r="J3291" t="s">
        <v>588</v>
      </c>
      <c r="K3291" s="195">
        <v>46097.720173611109</v>
      </c>
      <c r="L3291">
        <v>296</v>
      </c>
      <c r="M3291">
        <v>0</v>
      </c>
      <c r="N3291" s="98" t="str">
        <f>IF(record[[#This Row],[Memo]]="Browser:chrome os:android","平板報工",IF(record[[#This Row],[Memo]]=0,"委外",record[[#This Row],[Memo]]))</f>
        <v/>
      </c>
      <c r="O3291" t="s">
        <v>58</v>
      </c>
      <c r="P3291" t="s">
        <v>107</v>
      </c>
      <c r="Q3291" t="s">
        <v>58</v>
      </c>
      <c r="R3291" t="str">
        <f>IFERROR(VLOOKUP(record[[#This Row],[PCUSTID]],廠商[],2,FALSE),"")</f>
        <v/>
      </c>
      <c r="S3291" t="str">
        <f>VLOOKUP(record[[#This Row],[employeeID]],員工[],2,FALSE)</f>
        <v>黎氏順</v>
      </c>
    </row>
    <row r="3292" spans="6:19" hidden="1" x14ac:dyDescent="0.25">
      <c r="F3292" t="s">
        <v>1587</v>
      </c>
      <c r="G3292" t="s">
        <v>377</v>
      </c>
      <c r="H3292" t="str">
        <f>VLOOKUP(record[[#This Row],[ProcessSN]],表格2_7[],2,FALSE)</f>
        <v>30-4118-018-4XX</v>
      </c>
      <c r="I3292" t="str">
        <f>VLOOKUP(record[[#This Row],[ProcessSN]],表格2_7[],3,FALSE)</f>
        <v>#07</v>
      </c>
      <c r="J3292" t="s">
        <v>588</v>
      </c>
      <c r="K3292" s="195">
        <v>46097.706412037034</v>
      </c>
      <c r="L3292">
        <v>30</v>
      </c>
      <c r="M3292">
        <v>0</v>
      </c>
      <c r="N3292" s="98" t="str">
        <f>IF(record[[#This Row],[Memo]]="Browser:chrome os:android","平板報工",IF(record[[#This Row],[Memo]]=0,"委外",record[[#This Row],[Memo]]))</f>
        <v/>
      </c>
      <c r="O3292" t="s">
        <v>58</v>
      </c>
      <c r="P3292" t="s">
        <v>145</v>
      </c>
      <c r="Q3292" t="s">
        <v>58</v>
      </c>
      <c r="R3292" t="str">
        <f>IFERROR(VLOOKUP(record[[#This Row],[PCUSTID]],廠商[],2,FALSE),"")</f>
        <v/>
      </c>
      <c r="S3292" t="str">
        <f>VLOOKUP(record[[#This Row],[employeeID]],員工[],2,FALSE)</f>
        <v>阮秋霞</v>
      </c>
    </row>
    <row r="3293" spans="6:19" hidden="1" x14ac:dyDescent="0.25">
      <c r="F3293" t="s">
        <v>1622</v>
      </c>
      <c r="G3293" t="s">
        <v>399</v>
      </c>
      <c r="H3293" t="str">
        <f>VLOOKUP(record[[#This Row],[ProcessSN]],表格2_7[],2,FALSE)</f>
        <v>30-4118-018-550</v>
      </c>
      <c r="I3293" t="str">
        <f>VLOOKUP(record[[#This Row],[ProcessSN]],表格2_7[],3,FALSE)</f>
        <v>#08IQC</v>
      </c>
      <c r="J3293" t="s">
        <v>583</v>
      </c>
      <c r="K3293" s="195">
        <v>46097.697708333333</v>
      </c>
      <c r="L3293">
        <v>380</v>
      </c>
      <c r="M3293">
        <v>0</v>
      </c>
      <c r="N3293" s="98" t="str">
        <f>IF(record[[#This Row],[Memo]]="Browser:chrome os:android","平板報工",IF(record[[#This Row],[Memo]]=0,"委外",record[[#This Row],[Memo]]))</f>
        <v/>
      </c>
      <c r="O3293" t="s">
        <v>58</v>
      </c>
      <c r="P3293" t="s">
        <v>109</v>
      </c>
      <c r="Q3293" t="s">
        <v>58</v>
      </c>
      <c r="R3293" t="str">
        <f>IFERROR(VLOOKUP(record[[#This Row],[PCUSTID]],廠商[],2,FALSE),"")</f>
        <v/>
      </c>
      <c r="S3293" t="str">
        <f>VLOOKUP(record[[#This Row],[employeeID]],員工[],2,FALSE)</f>
        <v>裴氏璧鳳</v>
      </c>
    </row>
    <row r="3294" spans="6:19" hidden="1" x14ac:dyDescent="0.25">
      <c r="F3294" t="s">
        <v>1623</v>
      </c>
      <c r="G3294" t="s">
        <v>358</v>
      </c>
      <c r="H3294" t="str">
        <f>VLOOKUP(record[[#This Row],[ProcessSN]],表格2_7[],2,FALSE)</f>
        <v>30-4118-018-450</v>
      </c>
      <c r="I3294" t="str">
        <f>VLOOKUP(record[[#This Row],[ProcessSN]],表格2_7[],3,FALSE)</f>
        <v>#08IQC</v>
      </c>
      <c r="J3294" t="s">
        <v>583</v>
      </c>
      <c r="K3294" s="195">
        <v>46097.695520833331</v>
      </c>
      <c r="L3294">
        <v>273</v>
      </c>
      <c r="M3294">
        <v>0</v>
      </c>
      <c r="N3294" s="98" t="str">
        <f>IF(record[[#This Row],[Memo]]="Browser:chrome os:android","平板報工",IF(record[[#This Row],[Memo]]=0,"委外",record[[#This Row],[Memo]]))</f>
        <v/>
      </c>
      <c r="O3294" t="s">
        <v>58</v>
      </c>
      <c r="P3294" t="s">
        <v>109</v>
      </c>
      <c r="Q3294" t="s">
        <v>58</v>
      </c>
      <c r="R3294" t="str">
        <f>IFERROR(VLOOKUP(record[[#This Row],[PCUSTID]],廠商[],2,FALSE),"")</f>
        <v/>
      </c>
      <c r="S3294" t="str">
        <f>VLOOKUP(record[[#This Row],[employeeID]],員工[],2,FALSE)</f>
        <v>裴氏璧鳳</v>
      </c>
    </row>
    <row r="3295" spans="6:19" hidden="1" x14ac:dyDescent="0.25">
      <c r="F3295" t="s">
        <v>1589</v>
      </c>
      <c r="G3295" t="s">
        <v>417</v>
      </c>
      <c r="H3295" t="str">
        <f>VLOOKUP(record[[#This Row],[ProcessSN]],表格2_7[],2,FALSE)</f>
        <v>30-4118-018-5XX</v>
      </c>
      <c r="I3295" t="str">
        <f>VLOOKUP(record[[#This Row],[ProcessSN]],表格2_7[],3,FALSE)</f>
        <v>#06</v>
      </c>
      <c r="J3295" t="s">
        <v>593</v>
      </c>
      <c r="K3295" s="195">
        <v>46097.687847222223</v>
      </c>
      <c r="L3295">
        <v>80</v>
      </c>
      <c r="M3295">
        <v>1</v>
      </c>
      <c r="N3295" s="98" t="str">
        <f>IF(record[[#This Row],[Memo]]="Browser:chrome os:android","平板報工",IF(record[[#This Row],[Memo]]=0,"委外",record[[#This Row],[Memo]]))</f>
        <v/>
      </c>
      <c r="O3295" t="s">
        <v>58</v>
      </c>
      <c r="P3295" t="s">
        <v>123</v>
      </c>
      <c r="Q3295" t="s">
        <v>58</v>
      </c>
      <c r="R3295" t="str">
        <f>IFERROR(VLOOKUP(record[[#This Row],[PCUSTID]],廠商[],2,FALSE),"")</f>
        <v/>
      </c>
      <c r="S3295" t="str">
        <f>VLOOKUP(record[[#This Row],[employeeID]],員工[],2,FALSE)</f>
        <v>洪乙力</v>
      </c>
    </row>
    <row r="3296" spans="6:19" hidden="1" x14ac:dyDescent="0.25">
      <c r="F3296" t="s">
        <v>1580</v>
      </c>
      <c r="G3296" t="s">
        <v>470</v>
      </c>
      <c r="H3296" t="str">
        <f>VLOOKUP(record[[#This Row],[ProcessSN]],表格2_7[],2,FALSE)</f>
        <v>30-4118-018-XXX</v>
      </c>
      <c r="I3296" t="str">
        <f>VLOOKUP(record[[#This Row],[ProcessSN]],表格2_7[],3,FALSE)</f>
        <v>#02IQC</v>
      </c>
      <c r="J3296" t="s">
        <v>583</v>
      </c>
      <c r="K3296" s="195">
        <v>46097.686180555553</v>
      </c>
      <c r="L3296">
        <v>1556</v>
      </c>
      <c r="M3296">
        <v>0</v>
      </c>
      <c r="N3296" s="98" t="str">
        <f>IF(record[[#This Row],[Memo]]="Browser:chrome os:android","平板報工",IF(record[[#This Row],[Memo]]=0,"委外",record[[#This Row],[Memo]]))</f>
        <v/>
      </c>
      <c r="O3296" t="s">
        <v>58</v>
      </c>
      <c r="P3296" t="s">
        <v>109</v>
      </c>
      <c r="Q3296" t="s">
        <v>58</v>
      </c>
      <c r="R3296" t="str">
        <f>IFERROR(VLOOKUP(record[[#This Row],[PCUSTID]],廠商[],2,FALSE),"")</f>
        <v/>
      </c>
      <c r="S3296" t="str">
        <f>VLOOKUP(record[[#This Row],[employeeID]],員工[],2,FALSE)</f>
        <v>裴氏璧鳳</v>
      </c>
    </row>
    <row r="3297" spans="6:19" hidden="1" x14ac:dyDescent="0.25">
      <c r="F3297" t="s">
        <v>1602</v>
      </c>
      <c r="G3297" t="s">
        <v>466</v>
      </c>
      <c r="H3297" t="str">
        <f>VLOOKUP(record[[#This Row],[ProcessSN]],表格2_7[],2,FALSE)</f>
        <v>30-4118-018-XXX</v>
      </c>
      <c r="I3297" t="str">
        <f>VLOOKUP(record[[#This Row],[ProcessSN]],表格2_7[],3,FALSE)</f>
        <v>#01-2</v>
      </c>
      <c r="J3297" t="s">
        <v>588</v>
      </c>
      <c r="K3297" s="195">
        <v>46097.662858796299</v>
      </c>
      <c r="L3297">
        <v>296</v>
      </c>
      <c r="M3297">
        <v>0</v>
      </c>
      <c r="N3297" s="98" t="str">
        <f>IF(record[[#This Row],[Memo]]="Browser:chrome os:android","平板報工",IF(record[[#This Row],[Memo]]=0,"委外",record[[#This Row],[Memo]]))</f>
        <v>平板報工</v>
      </c>
      <c r="O3297" t="s">
        <v>643</v>
      </c>
      <c r="P3297" t="s">
        <v>107</v>
      </c>
      <c r="Q3297" t="s">
        <v>644</v>
      </c>
      <c r="R3297" t="str">
        <f>IFERROR(VLOOKUP(record[[#This Row],[PCUSTID]],廠商[],2,FALSE),"")</f>
        <v/>
      </c>
      <c r="S3297" t="str">
        <f>VLOOKUP(record[[#This Row],[employeeID]],員工[],2,FALSE)</f>
        <v>黎氏順</v>
      </c>
    </row>
    <row r="3298" spans="6:19" hidden="1" x14ac:dyDescent="0.25">
      <c r="F3298" t="s">
        <v>1587</v>
      </c>
      <c r="G3298" t="s">
        <v>374</v>
      </c>
      <c r="H3298" t="str">
        <f>VLOOKUP(record[[#This Row],[ProcessSN]],表格2_7[],2,FALSE)</f>
        <v>30-4118-018-4XX</v>
      </c>
      <c r="I3298" t="str">
        <f>VLOOKUP(record[[#This Row],[ProcessSN]],表格2_7[],3,FALSE)</f>
        <v>#04</v>
      </c>
      <c r="J3298" t="s">
        <v>588</v>
      </c>
      <c r="K3298" s="195">
        <v>46097.661423611113</v>
      </c>
      <c r="L3298">
        <v>110</v>
      </c>
      <c r="M3298">
        <v>5</v>
      </c>
      <c r="N3298" s="98" t="str">
        <f>IF(record[[#This Row],[Memo]]="Browser:chrome os:android","平板報工",IF(record[[#This Row],[Memo]]=0,"委外",record[[#This Row],[Memo]]))</f>
        <v>平板報工</v>
      </c>
      <c r="O3298" t="s">
        <v>643</v>
      </c>
      <c r="P3298" t="s">
        <v>107</v>
      </c>
      <c r="Q3298" t="s">
        <v>644</v>
      </c>
      <c r="R3298" t="str">
        <f>IFERROR(VLOOKUP(record[[#This Row],[PCUSTID]],廠商[],2,FALSE),"")</f>
        <v/>
      </c>
      <c r="S3298" t="str">
        <f>VLOOKUP(record[[#This Row],[employeeID]],員工[],2,FALSE)</f>
        <v>黎氏順</v>
      </c>
    </row>
    <row r="3299" spans="6:19" hidden="1" x14ac:dyDescent="0.25">
      <c r="F3299" t="s">
        <v>1587</v>
      </c>
      <c r="G3299" t="s">
        <v>377</v>
      </c>
      <c r="H3299" t="str">
        <f>VLOOKUP(record[[#This Row],[ProcessSN]],表格2_7[],2,FALSE)</f>
        <v>30-4118-018-4XX</v>
      </c>
      <c r="I3299" t="str">
        <f>VLOOKUP(record[[#This Row],[ProcessSN]],表格2_7[],3,FALSE)</f>
        <v>#07</v>
      </c>
      <c r="J3299" t="s">
        <v>588</v>
      </c>
      <c r="K3299" s="195">
        <v>46097.657743055555</v>
      </c>
      <c r="L3299">
        <v>30</v>
      </c>
      <c r="M3299">
        <v>0</v>
      </c>
      <c r="N3299" s="98" t="str">
        <f>IF(record[[#This Row],[Memo]]="Browser:chrome os:android","平板報工",IF(record[[#This Row],[Memo]]=0,"委外",record[[#This Row],[Memo]]))</f>
        <v>平板報工</v>
      </c>
      <c r="O3299" t="s">
        <v>643</v>
      </c>
      <c r="P3299" t="s">
        <v>145</v>
      </c>
      <c r="Q3299" t="s">
        <v>644</v>
      </c>
      <c r="R3299" t="str">
        <f>IFERROR(VLOOKUP(record[[#This Row],[PCUSTID]],廠商[],2,FALSE),"")</f>
        <v/>
      </c>
      <c r="S3299" t="str">
        <f>VLOOKUP(record[[#This Row],[employeeID]],員工[],2,FALSE)</f>
        <v>阮秋霞</v>
      </c>
    </row>
    <row r="3300" spans="6:19" hidden="1" x14ac:dyDescent="0.25">
      <c r="F3300" t="s">
        <v>1587</v>
      </c>
      <c r="G3300" t="s">
        <v>375</v>
      </c>
      <c r="H3300" t="str">
        <f>VLOOKUP(record[[#This Row],[ProcessSN]],表格2_7[],2,FALSE)</f>
        <v>30-4118-018-4XX</v>
      </c>
      <c r="I3300" t="str">
        <f>VLOOKUP(record[[#This Row],[ProcessSN]],表格2_7[],3,FALSE)</f>
        <v>#05</v>
      </c>
      <c r="J3300" t="s">
        <v>588</v>
      </c>
      <c r="K3300" s="195">
        <v>46097.656944444447</v>
      </c>
      <c r="L3300">
        <v>90</v>
      </c>
      <c r="M3300">
        <v>0</v>
      </c>
      <c r="N3300" s="98" t="str">
        <f>IF(record[[#This Row],[Memo]]="Browser:chrome os:android","平板報工",IF(record[[#This Row],[Memo]]=0,"委外",record[[#This Row],[Memo]]))</f>
        <v>平板報工</v>
      </c>
      <c r="O3300" t="s">
        <v>643</v>
      </c>
      <c r="P3300" t="s">
        <v>145</v>
      </c>
      <c r="Q3300" t="s">
        <v>644</v>
      </c>
      <c r="R3300" t="str">
        <f>IFERROR(VLOOKUP(record[[#This Row],[PCUSTID]],廠商[],2,FALSE),"")</f>
        <v/>
      </c>
      <c r="S3300" t="str">
        <f>VLOOKUP(record[[#This Row],[employeeID]],員工[],2,FALSE)</f>
        <v>阮秋霞</v>
      </c>
    </row>
    <row r="3301" spans="6:19" hidden="1" x14ac:dyDescent="0.25">
      <c r="F3301" t="s">
        <v>1587</v>
      </c>
      <c r="G3301" t="s">
        <v>376</v>
      </c>
      <c r="H3301" t="str">
        <f>VLOOKUP(record[[#This Row],[ProcessSN]],表格2_7[],2,FALSE)</f>
        <v>30-4118-018-4XX</v>
      </c>
      <c r="I3301" t="str">
        <f>VLOOKUP(record[[#This Row],[ProcessSN]],表格2_7[],3,FALSE)</f>
        <v>#06</v>
      </c>
      <c r="J3301" t="s">
        <v>593</v>
      </c>
      <c r="K3301" s="195">
        <v>46097.652766203704</v>
      </c>
      <c r="L3301">
        <v>96</v>
      </c>
      <c r="M3301">
        <v>0</v>
      </c>
      <c r="N3301" s="98" t="str">
        <f>IF(record[[#This Row],[Memo]]="Browser:chrome os:android","平板報工",IF(record[[#This Row],[Memo]]=0,"委外",record[[#This Row],[Memo]]))</f>
        <v>平板報工</v>
      </c>
      <c r="O3301" t="s">
        <v>643</v>
      </c>
      <c r="P3301" t="s">
        <v>1413</v>
      </c>
      <c r="Q3301" t="s">
        <v>644</v>
      </c>
      <c r="R3301" t="str">
        <f>IFERROR(VLOOKUP(record[[#This Row],[PCUSTID]],廠商[],2,FALSE),"")</f>
        <v/>
      </c>
      <c r="S3301" t="str">
        <f>VLOOKUP(record[[#This Row],[employeeID]],員工[],2,FALSE)</f>
        <v>阮氏芳英(芳)</v>
      </c>
    </row>
    <row r="3302" spans="6:19" hidden="1" x14ac:dyDescent="0.25">
      <c r="F3302" t="s">
        <v>1618</v>
      </c>
      <c r="G3302" t="s">
        <v>400</v>
      </c>
      <c r="H3302" t="str">
        <f>VLOOKUP(record[[#This Row],[ProcessSN]],表格2_7[],2,FALSE)</f>
        <v>30-4118-018-550</v>
      </c>
      <c r="I3302" t="str">
        <f>VLOOKUP(record[[#This Row],[ProcessSN]],表格2_7[],3,FALSE)</f>
        <v>#100</v>
      </c>
      <c r="J3302" t="s">
        <v>598</v>
      </c>
      <c r="K3302" s="195">
        <v>46097.639432870368</v>
      </c>
      <c r="L3302">
        <v>0</v>
      </c>
      <c r="M3302">
        <v>3</v>
      </c>
      <c r="N3302" s="98" t="str">
        <f>IF(record[[#This Row],[Memo]]="Browser:chrome os:android","平板報工",IF(record[[#This Row],[Memo]]=0,"委外",record[[#This Row],[Memo]]))</f>
        <v/>
      </c>
      <c r="O3302" t="s">
        <v>58</v>
      </c>
      <c r="P3302" t="s">
        <v>141</v>
      </c>
      <c r="Q3302" t="s">
        <v>58</v>
      </c>
      <c r="R3302" t="str">
        <f>IFERROR(VLOOKUP(record[[#This Row],[PCUSTID]],廠商[],2,FALSE),"")</f>
        <v/>
      </c>
      <c r="S3302" t="str">
        <f>VLOOKUP(record[[#This Row],[employeeID]],員工[],2,FALSE)</f>
        <v>蔣梅</v>
      </c>
    </row>
    <row r="3303" spans="6:19" hidden="1" x14ac:dyDescent="0.25">
      <c r="F3303" t="s">
        <v>1618</v>
      </c>
      <c r="G3303" t="s">
        <v>400</v>
      </c>
      <c r="H3303" t="str">
        <f>VLOOKUP(record[[#This Row],[ProcessSN]],表格2_7[],2,FALSE)</f>
        <v>30-4118-018-550</v>
      </c>
      <c r="I3303" t="str">
        <f>VLOOKUP(record[[#This Row],[ProcessSN]],表格2_7[],3,FALSE)</f>
        <v>#100</v>
      </c>
      <c r="J3303" t="s">
        <v>598</v>
      </c>
      <c r="K3303" s="195">
        <v>46097.639293981483</v>
      </c>
      <c r="L3303">
        <v>140</v>
      </c>
      <c r="M3303">
        <v>0</v>
      </c>
      <c r="N3303" s="98" t="str">
        <f>IF(record[[#This Row],[Memo]]="Browser:chrome os:android","平板報工",IF(record[[#This Row],[Memo]]=0,"委外",record[[#This Row],[Memo]]))</f>
        <v/>
      </c>
      <c r="O3303" t="s">
        <v>58</v>
      </c>
      <c r="P3303" t="s">
        <v>141</v>
      </c>
      <c r="Q3303" t="s">
        <v>58</v>
      </c>
      <c r="R3303" t="str">
        <f>IFERROR(VLOOKUP(record[[#This Row],[PCUSTID]],廠商[],2,FALSE),"")</f>
        <v/>
      </c>
      <c r="S3303" t="str">
        <f>VLOOKUP(record[[#This Row],[employeeID]],員工[],2,FALSE)</f>
        <v>蔣梅</v>
      </c>
    </row>
    <row r="3304" spans="6:19" hidden="1" x14ac:dyDescent="0.25">
      <c r="F3304" t="s">
        <v>1569</v>
      </c>
      <c r="G3304" t="s">
        <v>452</v>
      </c>
      <c r="H3304" t="str">
        <f>VLOOKUP(record[[#This Row],[ProcessSN]],表格2_7[],2,FALSE)</f>
        <v>30-4118-018-6XX</v>
      </c>
      <c r="I3304" t="str">
        <f>VLOOKUP(record[[#This Row],[ProcessSN]],表格2_7[],3,FALSE)</f>
        <v>#07QC</v>
      </c>
      <c r="J3304" t="s">
        <v>589</v>
      </c>
      <c r="K3304" s="195">
        <v>46097.57608796296</v>
      </c>
      <c r="L3304">
        <v>0</v>
      </c>
      <c r="M3304">
        <v>1</v>
      </c>
      <c r="N3304" s="98" t="str">
        <f>IF(record[[#This Row],[Memo]]="Browser:chrome os:android","平板報工",IF(record[[#This Row],[Memo]]=0,"委外",record[[#This Row],[Memo]]))</f>
        <v/>
      </c>
      <c r="O3304" t="s">
        <v>58</v>
      </c>
      <c r="P3304" t="s">
        <v>141</v>
      </c>
      <c r="Q3304" t="s">
        <v>58</v>
      </c>
      <c r="R3304" t="str">
        <f>IFERROR(VLOOKUP(record[[#This Row],[PCUSTID]],廠商[],2,FALSE),"")</f>
        <v/>
      </c>
      <c r="S3304" t="str">
        <f>VLOOKUP(record[[#This Row],[employeeID]],員工[],2,FALSE)</f>
        <v>蔣梅</v>
      </c>
    </row>
    <row r="3305" spans="6:19" hidden="1" x14ac:dyDescent="0.25">
      <c r="F3305" t="s">
        <v>1569</v>
      </c>
      <c r="G3305" t="s">
        <v>452</v>
      </c>
      <c r="H3305" t="str">
        <f>VLOOKUP(record[[#This Row],[ProcessSN]],表格2_7[],2,FALSE)</f>
        <v>30-4118-018-6XX</v>
      </c>
      <c r="I3305" t="str">
        <f>VLOOKUP(record[[#This Row],[ProcessSN]],表格2_7[],3,FALSE)</f>
        <v>#07QC</v>
      </c>
      <c r="J3305" t="s">
        <v>589</v>
      </c>
      <c r="K3305" s="195">
        <v>46097.575902777775</v>
      </c>
      <c r="L3305">
        <v>197</v>
      </c>
      <c r="M3305">
        <v>0</v>
      </c>
      <c r="N3305" s="98" t="str">
        <f>IF(record[[#This Row],[Memo]]="Browser:chrome os:android","平板報工",IF(record[[#This Row],[Memo]]=0,"委外",record[[#This Row],[Memo]]))</f>
        <v/>
      </c>
      <c r="O3305" t="s">
        <v>58</v>
      </c>
      <c r="P3305" t="s">
        <v>141</v>
      </c>
      <c r="Q3305" t="s">
        <v>58</v>
      </c>
      <c r="R3305" t="str">
        <f>IFERROR(VLOOKUP(record[[#This Row],[PCUSTID]],廠商[],2,FALSE),"")</f>
        <v/>
      </c>
      <c r="S3305" t="str">
        <f>VLOOKUP(record[[#This Row],[employeeID]],員工[],2,FALSE)</f>
        <v>蔣梅</v>
      </c>
    </row>
    <row r="3306" spans="6:19" hidden="1" x14ac:dyDescent="0.25">
      <c r="F3306" t="s">
        <v>1587</v>
      </c>
      <c r="G3306" t="s">
        <v>378</v>
      </c>
      <c r="H3306" t="str">
        <f>VLOOKUP(record[[#This Row],[ProcessSN]],表格2_7[],2,FALSE)</f>
        <v>30-4118-018-4XX</v>
      </c>
      <c r="I3306" t="str">
        <f>VLOOKUP(record[[#This Row],[ProcessSN]],表格2_7[],3,FALSE)</f>
        <v>#07QC</v>
      </c>
      <c r="J3306" t="s">
        <v>589</v>
      </c>
      <c r="K3306" s="195">
        <v>46097.574918981481</v>
      </c>
      <c r="L3306">
        <v>109</v>
      </c>
      <c r="M3306">
        <v>0</v>
      </c>
      <c r="N3306" s="98" t="str">
        <f>IF(record[[#This Row],[Memo]]="Browser:chrome os:android","平板報工",IF(record[[#This Row],[Memo]]=0,"委外",record[[#This Row],[Memo]]))</f>
        <v/>
      </c>
      <c r="O3306" t="s">
        <v>58</v>
      </c>
      <c r="P3306" t="s">
        <v>141</v>
      </c>
      <c r="Q3306" t="s">
        <v>58</v>
      </c>
      <c r="R3306" t="str">
        <f>IFERROR(VLOOKUP(record[[#This Row],[PCUSTID]],廠商[],2,FALSE),"")</f>
        <v/>
      </c>
      <c r="S3306" t="str">
        <f>VLOOKUP(record[[#This Row],[employeeID]],員工[],2,FALSE)</f>
        <v>蔣梅</v>
      </c>
    </row>
    <row r="3307" spans="6:19" hidden="1" x14ac:dyDescent="0.25">
      <c r="F3307" t="s">
        <v>1570</v>
      </c>
      <c r="G3307" t="s">
        <v>378</v>
      </c>
      <c r="H3307" t="str">
        <f>VLOOKUP(record[[#This Row],[ProcessSN]],表格2_7[],2,FALSE)</f>
        <v>30-4118-018-4XX</v>
      </c>
      <c r="I3307" t="str">
        <f>VLOOKUP(record[[#This Row],[ProcessSN]],表格2_7[],3,FALSE)</f>
        <v>#07QC</v>
      </c>
      <c r="J3307" t="s">
        <v>589</v>
      </c>
      <c r="K3307" s="195">
        <v>46097.574675925927</v>
      </c>
      <c r="L3307">
        <v>6</v>
      </c>
      <c r="M3307">
        <v>0</v>
      </c>
      <c r="N3307" s="98" t="str">
        <f>IF(record[[#This Row],[Memo]]="Browser:chrome os:android","平板報工",IF(record[[#This Row],[Memo]]=0,"委外",record[[#This Row],[Memo]]))</f>
        <v/>
      </c>
      <c r="O3307" t="s">
        <v>58</v>
      </c>
      <c r="P3307" t="s">
        <v>141</v>
      </c>
      <c r="Q3307" t="s">
        <v>58</v>
      </c>
      <c r="R3307" t="str">
        <f>IFERROR(VLOOKUP(record[[#This Row],[PCUSTID]],廠商[],2,FALSE),"")</f>
        <v/>
      </c>
      <c r="S3307" t="str">
        <f>VLOOKUP(record[[#This Row],[employeeID]],員工[],2,FALSE)</f>
        <v>蔣梅</v>
      </c>
    </row>
    <row r="3308" spans="6:19" hidden="1" x14ac:dyDescent="0.25">
      <c r="F3308" t="s">
        <v>1623</v>
      </c>
      <c r="G3308" t="s">
        <v>357</v>
      </c>
      <c r="H3308" t="str">
        <f>VLOOKUP(record[[#This Row],[ProcessSN]],表格2_7[],2,FALSE)</f>
        <v>30-4118-018-450</v>
      </c>
      <c r="I3308" t="str">
        <f>VLOOKUP(record[[#This Row],[ProcessSN]],表格2_7[],3,FALSE)</f>
        <v>#08RCV</v>
      </c>
      <c r="J3308" t="s">
        <v>591</v>
      </c>
      <c r="K3308" s="195">
        <v>46097.565185185187</v>
      </c>
      <c r="L3308">
        <v>273</v>
      </c>
      <c r="M3308">
        <v>0</v>
      </c>
      <c r="N3308" s="98" t="str">
        <f>IF(record[[#This Row],[Memo]]="Browser:chrome os:android","平板報工",IF(record[[#This Row],[Memo]]=0,"委外",record[[#This Row],[Memo]]))</f>
        <v/>
      </c>
      <c r="O3308" t="s">
        <v>58</v>
      </c>
      <c r="P3308" t="s">
        <v>186</v>
      </c>
      <c r="Q3308" t="s">
        <v>58</v>
      </c>
      <c r="R3308" t="str">
        <f>IFERROR(VLOOKUP(record[[#This Row],[PCUSTID]],廠商[],2,FALSE),"")</f>
        <v/>
      </c>
      <c r="S3308" t="str">
        <f>VLOOKUP(record[[#This Row],[employeeID]],員工[],2,FALSE)</f>
        <v>許文姍</v>
      </c>
    </row>
    <row r="3309" spans="6:19" hidden="1" x14ac:dyDescent="0.25">
      <c r="F3309" t="s">
        <v>1622</v>
      </c>
      <c r="G3309" t="s">
        <v>398</v>
      </c>
      <c r="H3309" t="str">
        <f>VLOOKUP(record[[#This Row],[ProcessSN]],表格2_7[],2,FALSE)</f>
        <v>30-4118-018-550</v>
      </c>
      <c r="I3309" t="str">
        <f>VLOOKUP(record[[#This Row],[ProcessSN]],表格2_7[],3,FALSE)</f>
        <v>#08RCV</v>
      </c>
      <c r="J3309" t="s">
        <v>591</v>
      </c>
      <c r="K3309" s="195">
        <v>46097.549907407411</v>
      </c>
      <c r="L3309">
        <v>380</v>
      </c>
      <c r="M3309">
        <v>0</v>
      </c>
      <c r="N3309" s="98" t="str">
        <f>IF(record[[#This Row],[Memo]]="Browser:chrome os:android","平板報工",IF(record[[#This Row],[Memo]]=0,"委外",record[[#This Row],[Memo]]))</f>
        <v/>
      </c>
      <c r="O3309" t="s">
        <v>58</v>
      </c>
      <c r="P3309" t="s">
        <v>186</v>
      </c>
      <c r="Q3309" t="s">
        <v>58</v>
      </c>
      <c r="R3309" t="str">
        <f>IFERROR(VLOOKUP(record[[#This Row],[PCUSTID]],廠商[],2,FALSE),"")</f>
        <v/>
      </c>
      <c r="S3309" t="str">
        <f>VLOOKUP(record[[#This Row],[employeeID]],員工[],2,FALSE)</f>
        <v>許文姍</v>
      </c>
    </row>
    <row r="3310" spans="6:19" hidden="1" x14ac:dyDescent="0.25">
      <c r="F3310" t="s">
        <v>1596</v>
      </c>
      <c r="G3310" t="s">
        <v>428</v>
      </c>
      <c r="H3310" t="str">
        <f>VLOOKUP(record[[#This Row],[ProcessSN]],表格2_7[],2,FALSE)</f>
        <v>30-4118-018-600</v>
      </c>
      <c r="I3310" t="str">
        <f>VLOOKUP(record[[#This Row],[ProcessSN]],表格2_7[],3,FALSE)</f>
        <v>#100SHIP</v>
      </c>
      <c r="J3310" t="s">
        <v>600</v>
      </c>
      <c r="K3310" s="195">
        <v>46097.477453703701</v>
      </c>
      <c r="L3310">
        <v>13</v>
      </c>
      <c r="M3310">
        <v>0</v>
      </c>
      <c r="N3310" s="98" t="str">
        <f>IF(record[[#This Row],[Memo]]="Browser:chrome os:android","平板報工",IF(record[[#This Row],[Memo]]=0,"委外",record[[#This Row],[Memo]]))</f>
        <v/>
      </c>
      <c r="O3310" t="s">
        <v>58</v>
      </c>
      <c r="P3310" t="s">
        <v>886</v>
      </c>
      <c r="Q3310" t="s">
        <v>58</v>
      </c>
      <c r="R3310" t="str">
        <f>IFERROR(VLOOKUP(record[[#This Row],[PCUSTID]],廠商[],2,FALSE),"")</f>
        <v/>
      </c>
      <c r="S3310" t="str">
        <f>VLOOKUP(record[[#This Row],[employeeID]],員工[],2,FALSE)</f>
        <v>謝蓁薰</v>
      </c>
    </row>
    <row r="3311" spans="6:19" hidden="1" x14ac:dyDescent="0.25">
      <c r="F3311" t="s">
        <v>1596</v>
      </c>
      <c r="G3311" t="s">
        <v>427</v>
      </c>
      <c r="H3311" t="str">
        <f>VLOOKUP(record[[#This Row],[ProcessSN]],表格2_7[],2,FALSE)</f>
        <v>30-4118-018-600</v>
      </c>
      <c r="I3311" t="str">
        <f>VLOOKUP(record[[#This Row],[ProcessSN]],表格2_7[],3,FALSE)</f>
        <v>#100STOCK</v>
      </c>
      <c r="J3311" t="s">
        <v>592</v>
      </c>
      <c r="K3311" s="195">
        <v>46097.477337962962</v>
      </c>
      <c r="L3311">
        <v>13</v>
      </c>
      <c r="M3311">
        <v>0</v>
      </c>
      <c r="N3311" s="98" t="str">
        <f>IF(record[[#This Row],[Memo]]="Browser:chrome os:android","平板報工",IF(record[[#This Row],[Memo]]=0,"委外",record[[#This Row],[Memo]]))</f>
        <v/>
      </c>
      <c r="O3311" t="s">
        <v>58</v>
      </c>
      <c r="P3311" t="s">
        <v>886</v>
      </c>
      <c r="Q3311" t="s">
        <v>58</v>
      </c>
      <c r="R3311" t="str">
        <f>IFERROR(VLOOKUP(record[[#This Row],[PCUSTID]],廠商[],2,FALSE),"")</f>
        <v/>
      </c>
      <c r="S3311" t="str">
        <f>VLOOKUP(record[[#This Row],[employeeID]],員工[],2,FALSE)</f>
        <v>謝蓁薰</v>
      </c>
    </row>
    <row r="3312" spans="6:19" hidden="1" x14ac:dyDescent="0.25">
      <c r="F3312" t="s">
        <v>1605</v>
      </c>
      <c r="G3312" t="s">
        <v>403</v>
      </c>
      <c r="H3312" t="str">
        <f>VLOOKUP(record[[#This Row],[ProcessSN]],表格2_7[],2,FALSE)</f>
        <v>30-4118-018-550</v>
      </c>
      <c r="I3312" t="str">
        <f>VLOOKUP(record[[#This Row],[ProcessSN]],表格2_7[],3,FALSE)</f>
        <v>#100SHIP</v>
      </c>
      <c r="J3312" t="s">
        <v>600</v>
      </c>
      <c r="K3312" s="195">
        <v>46097.477037037039</v>
      </c>
      <c r="L3312">
        <v>37</v>
      </c>
      <c r="M3312">
        <v>0</v>
      </c>
      <c r="N3312" s="98" t="str">
        <f>IF(record[[#This Row],[Memo]]="Browser:chrome os:android","平板報工",IF(record[[#This Row],[Memo]]=0,"委外",record[[#This Row],[Memo]]))</f>
        <v/>
      </c>
      <c r="O3312" t="s">
        <v>58</v>
      </c>
      <c r="P3312" t="s">
        <v>886</v>
      </c>
      <c r="Q3312" t="s">
        <v>58</v>
      </c>
      <c r="R3312" t="str">
        <f>IFERROR(VLOOKUP(record[[#This Row],[PCUSTID]],廠商[],2,FALSE),"")</f>
        <v/>
      </c>
      <c r="S3312" t="str">
        <f>VLOOKUP(record[[#This Row],[employeeID]],員工[],2,FALSE)</f>
        <v>謝蓁薰</v>
      </c>
    </row>
    <row r="3313" spans="6:19" hidden="1" x14ac:dyDescent="0.25">
      <c r="F3313" t="s">
        <v>1605</v>
      </c>
      <c r="G3313" t="s">
        <v>402</v>
      </c>
      <c r="H3313" t="str">
        <f>VLOOKUP(record[[#This Row],[ProcessSN]],表格2_7[],2,FALSE)</f>
        <v>30-4118-018-550</v>
      </c>
      <c r="I3313" t="str">
        <f>VLOOKUP(record[[#This Row],[ProcessSN]],表格2_7[],3,FALSE)</f>
        <v>#100STOCK</v>
      </c>
      <c r="J3313" t="s">
        <v>592</v>
      </c>
      <c r="K3313" s="195">
        <v>46097.476805555554</v>
      </c>
      <c r="L3313">
        <v>129</v>
      </c>
      <c r="M3313">
        <v>0</v>
      </c>
      <c r="N3313" s="98" t="str">
        <f>IF(record[[#This Row],[Memo]]="Browser:chrome os:android","平板報工",IF(record[[#This Row],[Memo]]=0,"委外",record[[#This Row],[Memo]]))</f>
        <v/>
      </c>
      <c r="O3313" t="s">
        <v>58</v>
      </c>
      <c r="P3313" t="s">
        <v>886</v>
      </c>
      <c r="Q3313" t="s">
        <v>58</v>
      </c>
      <c r="R3313" t="str">
        <f>IFERROR(VLOOKUP(record[[#This Row],[PCUSTID]],廠商[],2,FALSE),"")</f>
        <v/>
      </c>
      <c r="S3313" t="str">
        <f>VLOOKUP(record[[#This Row],[employeeID]],員工[],2,FALSE)</f>
        <v>謝蓁薰</v>
      </c>
    </row>
    <row r="3314" spans="6:19" hidden="1" x14ac:dyDescent="0.25">
      <c r="F3314" t="s">
        <v>1580</v>
      </c>
      <c r="G3314" t="s">
        <v>469</v>
      </c>
      <c r="H3314" t="str">
        <f>VLOOKUP(record[[#This Row],[ProcessSN]],表格2_7[],2,FALSE)</f>
        <v>30-4118-018-XXX</v>
      </c>
      <c r="I3314" t="str">
        <f>VLOOKUP(record[[#This Row],[ProcessSN]],表格2_7[],3,FALSE)</f>
        <v>#02RCV</v>
      </c>
      <c r="J3314" t="s">
        <v>591</v>
      </c>
      <c r="K3314" s="195">
        <v>46097.381203703706</v>
      </c>
      <c r="L3314">
        <v>1556</v>
      </c>
      <c r="M3314">
        <v>0</v>
      </c>
      <c r="N3314" s="98" t="str">
        <f>IF(record[[#This Row],[Memo]]="Browser:chrome os:android","平板報工",IF(record[[#This Row],[Memo]]=0,"委外",record[[#This Row],[Memo]]))</f>
        <v/>
      </c>
      <c r="O3314" t="s">
        <v>58</v>
      </c>
      <c r="P3314" t="s">
        <v>186</v>
      </c>
      <c r="Q3314" t="s">
        <v>58</v>
      </c>
      <c r="R3314" t="str">
        <f>IFERROR(VLOOKUP(record[[#This Row],[PCUSTID]],廠商[],2,FALSE),"")</f>
        <v/>
      </c>
      <c r="S3314" t="str">
        <f>VLOOKUP(record[[#This Row],[employeeID]],員工[],2,FALSE)</f>
        <v>許文姍</v>
      </c>
    </row>
    <row r="3315" spans="6:19" hidden="1" x14ac:dyDescent="0.25">
      <c r="F3315" t="s">
        <v>1602</v>
      </c>
      <c r="G3315" t="s">
        <v>468</v>
      </c>
      <c r="H3315" t="str">
        <f>VLOOKUP(record[[#This Row],[ProcessSN]],表格2_7[],2,FALSE)</f>
        <v>30-4118-018-XXX</v>
      </c>
      <c r="I3315" t="str">
        <f>VLOOKUP(record[[#This Row],[ProcessSN]],表格2_7[],3,FALSE)</f>
        <v>#02</v>
      </c>
      <c r="J3315" t="s">
        <v>590</v>
      </c>
      <c r="K3315" s="195">
        <v>46097.3671412037</v>
      </c>
      <c r="L3315">
        <v>1008</v>
      </c>
      <c r="M3315">
        <v>0</v>
      </c>
      <c r="N3315" s="98" t="str">
        <f>IF(record[[#This Row],[Memo]]="Browser:chrome os:android","平板報工",IF(record[[#This Row],[Memo]]=0,"委外",record[[#This Row],[Memo]]))</f>
        <v>委外</v>
      </c>
      <c r="P3315" t="s">
        <v>186</v>
      </c>
      <c r="Q3315" t="s">
        <v>216</v>
      </c>
      <c r="R3315" t="str">
        <f>IFERROR(VLOOKUP(record[[#This Row],[PCUSTID]],廠商[],2,FALSE),"")</f>
        <v>俊杰</v>
      </c>
      <c r="S3315" t="str">
        <f>VLOOKUP(record[[#This Row],[employeeID]],員工[],2,FALSE)</f>
        <v>許文姍</v>
      </c>
    </row>
    <row r="3316" spans="6:19" hidden="1" x14ac:dyDescent="0.25">
      <c r="F3316" t="s">
        <v>1602</v>
      </c>
      <c r="G3316" t="s">
        <v>467</v>
      </c>
      <c r="H3316" t="str">
        <f>VLOOKUP(record[[#This Row],[ProcessSN]],表格2_7[],2,FALSE)</f>
        <v>30-4118-018-XXX</v>
      </c>
      <c r="I3316" t="str">
        <f>VLOOKUP(record[[#This Row],[ProcessSN]],表格2_7[],3,FALSE)</f>
        <v>#01QC</v>
      </c>
      <c r="J3316" t="s">
        <v>589</v>
      </c>
      <c r="K3316" s="195">
        <v>46097.366736111115</v>
      </c>
      <c r="L3316">
        <v>1008</v>
      </c>
      <c r="M3316">
        <v>0</v>
      </c>
      <c r="N3316" s="98" t="str">
        <f>IF(record[[#This Row],[Memo]]="Browser:chrome os:android","平板報工",IF(record[[#This Row],[Memo]]=0,"委外",record[[#This Row],[Memo]]))</f>
        <v>平板報工</v>
      </c>
      <c r="O3316" t="s">
        <v>643</v>
      </c>
      <c r="P3316" t="s">
        <v>182</v>
      </c>
      <c r="Q3316" t="s">
        <v>644</v>
      </c>
      <c r="R3316" t="str">
        <f>IFERROR(VLOOKUP(record[[#This Row],[PCUSTID]],廠商[],2,FALSE),"")</f>
        <v/>
      </c>
      <c r="S3316" t="str">
        <f>VLOOKUP(record[[#This Row],[employeeID]],員工[],2,FALSE)</f>
        <v>梅氏和</v>
      </c>
    </row>
    <row r="3317" spans="6:19" hidden="1" x14ac:dyDescent="0.25">
      <c r="F3317" t="s">
        <v>1617</v>
      </c>
      <c r="G3317" t="s">
        <v>360</v>
      </c>
      <c r="H3317" t="str">
        <f>VLOOKUP(record[[#This Row],[ProcessSN]],表格2_7[],2,FALSE)</f>
        <v>30-4118-018-450</v>
      </c>
      <c r="I3317" t="str">
        <f>VLOOKUP(record[[#This Row],[ProcessSN]],表格2_7[],3,FALSE)</f>
        <v>#100OQC</v>
      </c>
      <c r="J3317" t="s">
        <v>599</v>
      </c>
      <c r="K3317" s="195">
        <v>46097.338865740741</v>
      </c>
      <c r="L3317">
        <v>195</v>
      </c>
      <c r="M3317">
        <v>0</v>
      </c>
      <c r="N3317" s="98" t="str">
        <f>IF(record[[#This Row],[Memo]]="Browser:chrome os:android","平板報工",IF(record[[#This Row],[Memo]]=0,"委外",record[[#This Row],[Memo]]))</f>
        <v/>
      </c>
      <c r="O3317" t="s">
        <v>58</v>
      </c>
      <c r="P3317" t="s">
        <v>121</v>
      </c>
      <c r="Q3317" t="s">
        <v>58</v>
      </c>
      <c r="R3317" t="str">
        <f>IFERROR(VLOOKUP(record[[#This Row],[PCUSTID]],廠商[],2,FALSE),"")</f>
        <v/>
      </c>
      <c r="S3317" t="str">
        <f>VLOOKUP(record[[#This Row],[employeeID]],員工[],2,FALSE)</f>
        <v>謝素卿</v>
      </c>
    </row>
    <row r="3318" spans="6:19" hidden="1" x14ac:dyDescent="0.25">
      <c r="F3318" t="s">
        <v>1587</v>
      </c>
      <c r="G3318" t="s">
        <v>377</v>
      </c>
      <c r="H3318" t="str">
        <f>VLOOKUP(record[[#This Row],[ProcessSN]],表格2_7[],2,FALSE)</f>
        <v>30-4118-018-4XX</v>
      </c>
      <c r="I3318" t="str">
        <f>VLOOKUP(record[[#This Row],[ProcessSN]],表格2_7[],3,FALSE)</f>
        <v>#07</v>
      </c>
      <c r="J3318" t="s">
        <v>588</v>
      </c>
      <c r="K3318" s="195">
        <v>46095.970405092594</v>
      </c>
      <c r="L3318">
        <v>191</v>
      </c>
      <c r="M3318">
        <v>3</v>
      </c>
      <c r="N3318" s="98" t="str">
        <f>IF(record[[#This Row],[Memo]]="Browser:chrome os:android","平板報工",IF(record[[#This Row],[Memo]]=0,"委外",record[[#This Row],[Memo]]))</f>
        <v/>
      </c>
      <c r="O3318" t="s">
        <v>58</v>
      </c>
      <c r="P3318" t="s">
        <v>89</v>
      </c>
      <c r="Q3318" t="s">
        <v>58</v>
      </c>
      <c r="R3318" t="str">
        <f>IFERROR(VLOOKUP(record[[#This Row],[PCUSTID]],廠商[],2,FALSE),"")</f>
        <v/>
      </c>
      <c r="S3318" t="str">
        <f>VLOOKUP(record[[#This Row],[employeeID]],員工[],2,FALSE)</f>
        <v>李美蓮</v>
      </c>
    </row>
    <row r="3319" spans="6:19" hidden="1" x14ac:dyDescent="0.25">
      <c r="F3319" t="s">
        <v>1587</v>
      </c>
      <c r="G3319" t="s">
        <v>376</v>
      </c>
      <c r="H3319" t="str">
        <f>VLOOKUP(record[[#This Row],[ProcessSN]],表格2_7[],2,FALSE)</f>
        <v>30-4118-018-4XX</v>
      </c>
      <c r="I3319" t="str">
        <f>VLOOKUP(record[[#This Row],[ProcessSN]],表格2_7[],3,FALSE)</f>
        <v>#06</v>
      </c>
      <c r="J3319" t="s">
        <v>593</v>
      </c>
      <c r="K3319" s="195">
        <v>46095.967418981483</v>
      </c>
      <c r="L3319">
        <v>30</v>
      </c>
      <c r="M3319">
        <v>0</v>
      </c>
      <c r="N3319" s="98" t="str">
        <f>IF(record[[#This Row],[Memo]]="Browser:chrome os:android","平板報工",IF(record[[#This Row],[Memo]]=0,"委外",record[[#This Row],[Memo]]))</f>
        <v/>
      </c>
      <c r="O3319" t="s">
        <v>58</v>
      </c>
      <c r="P3319" t="s">
        <v>691</v>
      </c>
      <c r="Q3319" t="s">
        <v>58</v>
      </c>
      <c r="R3319" t="str">
        <f>IFERROR(VLOOKUP(record[[#This Row],[PCUSTID]],廠商[],2,FALSE),"")</f>
        <v/>
      </c>
      <c r="S3319" t="str">
        <f>VLOOKUP(record[[#This Row],[employeeID]],員工[],2,FALSE)</f>
        <v>武氏賢</v>
      </c>
    </row>
    <row r="3320" spans="6:19" hidden="1" x14ac:dyDescent="0.25">
      <c r="F3320" t="s">
        <v>1602</v>
      </c>
      <c r="G3320" t="s">
        <v>466</v>
      </c>
      <c r="H3320" t="str">
        <f>VLOOKUP(record[[#This Row],[ProcessSN]],表格2_7[],2,FALSE)</f>
        <v>30-4118-018-XXX</v>
      </c>
      <c r="I3320" t="str">
        <f>VLOOKUP(record[[#This Row],[ProcessSN]],表格2_7[],3,FALSE)</f>
        <v>#01-2</v>
      </c>
      <c r="J3320" t="s">
        <v>588</v>
      </c>
      <c r="K3320" s="195">
        <v>46095.965949074074</v>
      </c>
      <c r="L3320">
        <v>131</v>
      </c>
      <c r="M3320">
        <v>0</v>
      </c>
      <c r="N3320" s="98" t="str">
        <f>IF(record[[#This Row],[Memo]]="Browser:chrome os:android","平板報工",IF(record[[#This Row],[Memo]]=0,"委外",record[[#This Row],[Memo]]))</f>
        <v/>
      </c>
      <c r="O3320" t="s">
        <v>58</v>
      </c>
      <c r="P3320" t="s">
        <v>89</v>
      </c>
      <c r="Q3320" t="s">
        <v>58</v>
      </c>
      <c r="R3320" t="str">
        <f>IFERROR(VLOOKUP(record[[#This Row],[PCUSTID]],廠商[],2,FALSE),"")</f>
        <v/>
      </c>
      <c r="S3320" t="str">
        <f>VLOOKUP(record[[#This Row],[employeeID]],員工[],2,FALSE)</f>
        <v>李美蓮</v>
      </c>
    </row>
    <row r="3321" spans="6:19" hidden="1" x14ac:dyDescent="0.25">
      <c r="F3321" t="s">
        <v>1602</v>
      </c>
      <c r="G3321" t="s">
        <v>465</v>
      </c>
      <c r="H3321" t="str">
        <f>VLOOKUP(record[[#This Row],[ProcessSN]],表格2_7[],2,FALSE)</f>
        <v>30-4118-018-XXX</v>
      </c>
      <c r="I3321" t="str">
        <f>VLOOKUP(record[[#This Row],[ProcessSN]],表格2_7[],3,FALSE)</f>
        <v>#01-1</v>
      </c>
      <c r="J3321" t="s">
        <v>588</v>
      </c>
      <c r="K3321" s="195">
        <v>46095.965810185182</v>
      </c>
      <c r="L3321">
        <v>131</v>
      </c>
      <c r="M3321">
        <v>0</v>
      </c>
      <c r="N3321" s="98" t="str">
        <f>IF(record[[#This Row],[Memo]]="Browser:chrome os:android","平板報工",IF(record[[#This Row],[Memo]]=0,"委外",record[[#This Row],[Memo]]))</f>
        <v/>
      </c>
      <c r="O3321" t="s">
        <v>58</v>
      </c>
      <c r="P3321" t="s">
        <v>89</v>
      </c>
      <c r="Q3321" t="s">
        <v>58</v>
      </c>
      <c r="R3321" t="str">
        <f>IFERROR(VLOOKUP(record[[#This Row],[PCUSTID]],廠商[],2,FALSE),"")</f>
        <v/>
      </c>
      <c r="S3321" t="str">
        <f>VLOOKUP(record[[#This Row],[employeeID]],員工[],2,FALSE)</f>
        <v>李美蓮</v>
      </c>
    </row>
    <row r="3322" spans="6:19" hidden="1" x14ac:dyDescent="0.25">
      <c r="F3322" t="s">
        <v>1587</v>
      </c>
      <c r="G3322" t="s">
        <v>374</v>
      </c>
      <c r="H3322" t="str">
        <f>VLOOKUP(record[[#This Row],[ProcessSN]],表格2_7[],2,FALSE)</f>
        <v>30-4118-018-4XX</v>
      </c>
      <c r="I3322" t="str">
        <f>VLOOKUP(record[[#This Row],[ProcessSN]],表格2_7[],3,FALSE)</f>
        <v>#04</v>
      </c>
      <c r="J3322" t="s">
        <v>588</v>
      </c>
      <c r="K3322" s="195">
        <v>46095.965138888889</v>
      </c>
      <c r="L3322">
        <v>0</v>
      </c>
      <c r="M3322">
        <v>10</v>
      </c>
      <c r="N3322" s="98" t="str">
        <f>IF(record[[#This Row],[Memo]]="Browser:chrome os:android","平板報工",IF(record[[#This Row],[Memo]]=0,"委外",record[[#This Row],[Memo]]))</f>
        <v/>
      </c>
      <c r="O3322" t="s">
        <v>58</v>
      </c>
      <c r="P3322" t="s">
        <v>89</v>
      </c>
      <c r="Q3322" t="s">
        <v>58</v>
      </c>
      <c r="R3322" t="str">
        <f>IFERROR(VLOOKUP(record[[#This Row],[PCUSTID]],廠商[],2,FALSE),"")</f>
        <v/>
      </c>
      <c r="S3322" t="str">
        <f>VLOOKUP(record[[#This Row],[employeeID]],員工[],2,FALSE)</f>
        <v>李美蓮</v>
      </c>
    </row>
    <row r="3323" spans="6:19" hidden="1" x14ac:dyDescent="0.25">
      <c r="F3323" t="s">
        <v>1587</v>
      </c>
      <c r="G3323" t="s">
        <v>374</v>
      </c>
      <c r="H3323" t="str">
        <f>VLOOKUP(record[[#This Row],[ProcessSN]],表格2_7[],2,FALSE)</f>
        <v>30-4118-018-4XX</v>
      </c>
      <c r="I3323" t="str">
        <f>VLOOKUP(record[[#This Row],[ProcessSN]],表格2_7[],3,FALSE)</f>
        <v>#04</v>
      </c>
      <c r="J3323" t="s">
        <v>588</v>
      </c>
      <c r="K3323" s="195">
        <v>46095.964803240742</v>
      </c>
      <c r="L3323">
        <v>37</v>
      </c>
      <c r="M3323">
        <v>0</v>
      </c>
      <c r="N3323" s="98" t="str">
        <f>IF(record[[#This Row],[Memo]]="Browser:chrome os:android","平板報工",IF(record[[#This Row],[Memo]]=0,"委外",record[[#This Row],[Memo]]))</f>
        <v/>
      </c>
      <c r="O3323" t="s">
        <v>58</v>
      </c>
      <c r="P3323" t="s">
        <v>89</v>
      </c>
      <c r="Q3323" t="s">
        <v>58</v>
      </c>
      <c r="R3323" t="str">
        <f>IFERROR(VLOOKUP(record[[#This Row],[PCUSTID]],廠商[],2,FALSE),"")</f>
        <v/>
      </c>
      <c r="S3323" t="str">
        <f>VLOOKUP(record[[#This Row],[employeeID]],員工[],2,FALSE)</f>
        <v>李美蓮</v>
      </c>
    </row>
    <row r="3324" spans="6:19" hidden="1" x14ac:dyDescent="0.25">
      <c r="F3324" t="s">
        <v>1587</v>
      </c>
      <c r="G3324" t="s">
        <v>376</v>
      </c>
      <c r="H3324" t="str">
        <f>VLOOKUP(record[[#This Row],[ProcessSN]],表格2_7[],2,FALSE)</f>
        <v>30-4118-018-4XX</v>
      </c>
      <c r="I3324" t="str">
        <f>VLOOKUP(record[[#This Row],[ProcessSN]],表格2_7[],3,FALSE)</f>
        <v>#06</v>
      </c>
      <c r="J3324" t="s">
        <v>593</v>
      </c>
      <c r="K3324" s="195">
        <v>46095.688101851854</v>
      </c>
      <c r="L3324">
        <v>115</v>
      </c>
      <c r="M3324">
        <v>0</v>
      </c>
      <c r="N3324" s="98" t="str">
        <f>IF(record[[#This Row],[Memo]]="Browser:chrome os:android","平板報工",IF(record[[#This Row],[Memo]]=0,"委外",record[[#This Row],[Memo]]))</f>
        <v/>
      </c>
      <c r="O3324" t="s">
        <v>58</v>
      </c>
      <c r="P3324" t="s">
        <v>188</v>
      </c>
      <c r="Q3324" t="s">
        <v>58</v>
      </c>
      <c r="R3324" t="str">
        <f>IFERROR(VLOOKUP(record[[#This Row],[PCUSTID]],廠商[],2,FALSE),"")</f>
        <v/>
      </c>
      <c r="S3324" t="str">
        <f>VLOOKUP(record[[#This Row],[employeeID]],員工[],2,FALSE)</f>
        <v>阮氏璧紅</v>
      </c>
    </row>
    <row r="3325" spans="6:19" hidden="1" x14ac:dyDescent="0.25">
      <c r="F3325" t="s">
        <v>1587</v>
      </c>
      <c r="G3325" t="s">
        <v>374</v>
      </c>
      <c r="H3325" t="str">
        <f>VLOOKUP(record[[#This Row],[ProcessSN]],表格2_7[],2,FALSE)</f>
        <v>30-4118-018-4XX</v>
      </c>
      <c r="I3325" t="str">
        <f>VLOOKUP(record[[#This Row],[ProcessSN]],表格2_7[],3,FALSE)</f>
        <v>#04</v>
      </c>
      <c r="J3325" t="s">
        <v>588</v>
      </c>
      <c r="K3325" s="195">
        <v>46095.686342592591</v>
      </c>
      <c r="L3325">
        <v>60</v>
      </c>
      <c r="M3325">
        <v>0</v>
      </c>
      <c r="N3325" s="98" t="str">
        <f>IF(record[[#This Row],[Memo]]="Browser:chrome os:android","平板報工",IF(record[[#This Row],[Memo]]=0,"委外",record[[#This Row],[Memo]]))</f>
        <v/>
      </c>
      <c r="O3325" t="s">
        <v>58</v>
      </c>
      <c r="P3325" t="s">
        <v>101</v>
      </c>
      <c r="Q3325" t="s">
        <v>58</v>
      </c>
      <c r="R3325" t="str">
        <f>IFERROR(VLOOKUP(record[[#This Row],[PCUSTID]],廠商[],2,FALSE),"")</f>
        <v/>
      </c>
      <c r="S3325" t="str">
        <f>VLOOKUP(record[[#This Row],[employeeID]],員工[],2,FALSE)</f>
        <v>陳氏絨</v>
      </c>
    </row>
    <row r="3326" spans="6:19" hidden="1" x14ac:dyDescent="0.25">
      <c r="F3326" t="s">
        <v>1587</v>
      </c>
      <c r="G3326" t="s">
        <v>377</v>
      </c>
      <c r="H3326" t="str">
        <f>VLOOKUP(record[[#This Row],[ProcessSN]],表格2_7[],2,FALSE)</f>
        <v>30-4118-018-4XX</v>
      </c>
      <c r="I3326" t="str">
        <f>VLOOKUP(record[[#This Row],[ProcessSN]],表格2_7[],3,FALSE)</f>
        <v>#07</v>
      </c>
      <c r="J3326" t="s">
        <v>588</v>
      </c>
      <c r="K3326" s="195">
        <v>46095.685208333336</v>
      </c>
      <c r="L3326">
        <v>58</v>
      </c>
      <c r="M3326">
        <v>2</v>
      </c>
      <c r="N3326" s="98" t="str">
        <f>IF(record[[#This Row],[Memo]]="Browser:chrome os:android","平板報工",IF(record[[#This Row],[Memo]]=0,"委外",record[[#This Row],[Memo]]))</f>
        <v/>
      </c>
      <c r="O3326" t="s">
        <v>58</v>
      </c>
      <c r="P3326" t="s">
        <v>101</v>
      </c>
      <c r="Q3326" t="s">
        <v>58</v>
      </c>
      <c r="R3326" t="str">
        <f>IFERROR(VLOOKUP(record[[#This Row],[PCUSTID]],廠商[],2,FALSE),"")</f>
        <v/>
      </c>
      <c r="S3326" t="str">
        <f>VLOOKUP(record[[#This Row],[employeeID]],員工[],2,FALSE)</f>
        <v>陳氏絨</v>
      </c>
    </row>
    <row r="3327" spans="6:19" hidden="1" x14ac:dyDescent="0.25">
      <c r="F3327" t="s">
        <v>1602</v>
      </c>
      <c r="G3327" t="s">
        <v>466</v>
      </c>
      <c r="H3327" t="str">
        <f>VLOOKUP(record[[#This Row],[ProcessSN]],表格2_7[],2,FALSE)</f>
        <v>30-4118-018-XXX</v>
      </c>
      <c r="I3327" t="str">
        <f>VLOOKUP(record[[#This Row],[ProcessSN]],表格2_7[],3,FALSE)</f>
        <v>#01-2</v>
      </c>
      <c r="J3327" t="s">
        <v>588</v>
      </c>
      <c r="K3327" s="195">
        <v>46095.623773148145</v>
      </c>
      <c r="L3327">
        <v>340</v>
      </c>
      <c r="M3327">
        <v>0</v>
      </c>
      <c r="N3327" s="98" t="str">
        <f>IF(record[[#This Row],[Memo]]="Browser:chrome os:android","平板報工",IF(record[[#This Row],[Memo]]=0,"委外",record[[#This Row],[Memo]]))</f>
        <v>平板報工</v>
      </c>
      <c r="O3327" t="s">
        <v>643</v>
      </c>
      <c r="P3327" t="s">
        <v>107</v>
      </c>
      <c r="Q3327" t="s">
        <v>644</v>
      </c>
      <c r="R3327" t="str">
        <f>IFERROR(VLOOKUP(record[[#This Row],[PCUSTID]],廠商[],2,FALSE),"")</f>
        <v/>
      </c>
      <c r="S3327" t="str">
        <f>VLOOKUP(record[[#This Row],[employeeID]],員工[],2,FALSE)</f>
        <v>黎氏順</v>
      </c>
    </row>
    <row r="3328" spans="6:19" hidden="1" x14ac:dyDescent="0.25">
      <c r="F3328" t="s">
        <v>1602</v>
      </c>
      <c r="G3328" t="s">
        <v>465</v>
      </c>
      <c r="H3328" t="str">
        <f>VLOOKUP(record[[#This Row],[ProcessSN]],表格2_7[],2,FALSE)</f>
        <v>30-4118-018-XXX</v>
      </c>
      <c r="I3328" t="str">
        <f>VLOOKUP(record[[#This Row],[ProcessSN]],表格2_7[],3,FALSE)</f>
        <v>#01-1</v>
      </c>
      <c r="J3328" t="s">
        <v>588</v>
      </c>
      <c r="K3328" s="195">
        <v>46095.62327546296</v>
      </c>
      <c r="L3328">
        <v>340</v>
      </c>
      <c r="M3328">
        <v>0</v>
      </c>
      <c r="N3328" s="98" t="str">
        <f>IF(record[[#This Row],[Memo]]="Browser:chrome os:android","平板報工",IF(record[[#This Row],[Memo]]=0,"委外",record[[#This Row],[Memo]]))</f>
        <v>平板報工</v>
      </c>
      <c r="O3328" t="s">
        <v>643</v>
      </c>
      <c r="P3328" t="s">
        <v>107</v>
      </c>
      <c r="Q3328" t="s">
        <v>644</v>
      </c>
      <c r="R3328" t="str">
        <f>IFERROR(VLOOKUP(record[[#This Row],[PCUSTID]],廠商[],2,FALSE),"")</f>
        <v/>
      </c>
      <c r="S3328" t="str">
        <f>VLOOKUP(record[[#This Row],[employeeID]],員工[],2,FALSE)</f>
        <v>黎氏順</v>
      </c>
    </row>
    <row r="3329" spans="6:19" hidden="1" x14ac:dyDescent="0.25">
      <c r="F3329" t="s">
        <v>1587</v>
      </c>
      <c r="G3329" t="s">
        <v>375</v>
      </c>
      <c r="H3329" t="str">
        <f>VLOOKUP(record[[#This Row],[ProcessSN]],表格2_7[],2,FALSE)</f>
        <v>30-4118-018-4XX</v>
      </c>
      <c r="I3329" t="str">
        <f>VLOOKUP(record[[#This Row],[ProcessSN]],表格2_7[],3,FALSE)</f>
        <v>#05</v>
      </c>
      <c r="J3329" t="s">
        <v>588</v>
      </c>
      <c r="K3329" s="195">
        <v>46095.622372685182</v>
      </c>
      <c r="L3329">
        <v>200</v>
      </c>
      <c r="M3329">
        <v>0</v>
      </c>
      <c r="N3329" s="98" t="str">
        <f>IF(record[[#This Row],[Memo]]="Browser:chrome os:android","平板報工",IF(record[[#This Row],[Memo]]=0,"委外",record[[#This Row],[Memo]]))</f>
        <v>平板報工</v>
      </c>
      <c r="O3329" t="s">
        <v>643</v>
      </c>
      <c r="P3329" t="s">
        <v>107</v>
      </c>
      <c r="Q3329" t="s">
        <v>644</v>
      </c>
      <c r="R3329" t="str">
        <f>IFERROR(VLOOKUP(record[[#This Row],[PCUSTID]],廠商[],2,FALSE),"")</f>
        <v/>
      </c>
      <c r="S3329" t="str">
        <f>VLOOKUP(record[[#This Row],[employeeID]],員工[],2,FALSE)</f>
        <v>黎氏順</v>
      </c>
    </row>
    <row r="3330" spans="6:19" hidden="1" x14ac:dyDescent="0.25">
      <c r="F3330" t="s">
        <v>1587</v>
      </c>
      <c r="G3330" t="s">
        <v>376</v>
      </c>
      <c r="H3330" t="str">
        <f>VLOOKUP(record[[#This Row],[ProcessSN]],表格2_7[],2,FALSE)</f>
        <v>30-4118-018-4XX</v>
      </c>
      <c r="I3330" t="str">
        <f>VLOOKUP(record[[#This Row],[ProcessSN]],表格2_7[],3,FALSE)</f>
        <v>#06</v>
      </c>
      <c r="J3330" t="s">
        <v>593</v>
      </c>
      <c r="K3330" s="195">
        <v>46095.297164351854</v>
      </c>
      <c r="L3330">
        <v>120</v>
      </c>
      <c r="M3330">
        <v>0</v>
      </c>
      <c r="N3330" s="98" t="str">
        <f>IF(record[[#This Row],[Memo]]="Browser:chrome os:android","平板報工",IF(record[[#This Row],[Memo]]=0,"委外",record[[#This Row],[Memo]]))</f>
        <v/>
      </c>
      <c r="O3330" t="s">
        <v>58</v>
      </c>
      <c r="P3330" t="s">
        <v>806</v>
      </c>
      <c r="Q3330" t="s">
        <v>58</v>
      </c>
      <c r="R3330" t="str">
        <f>IFERROR(VLOOKUP(record[[#This Row],[PCUSTID]],廠商[],2,FALSE),"")</f>
        <v/>
      </c>
      <c r="S3330" t="str">
        <f>VLOOKUP(record[[#This Row],[employeeID]],員工[],2,FALSE)</f>
        <v>方思緯</v>
      </c>
    </row>
    <row r="3331" spans="6:19" hidden="1" x14ac:dyDescent="0.25">
      <c r="F3331" t="s">
        <v>1587</v>
      </c>
      <c r="G3331" t="s">
        <v>375</v>
      </c>
      <c r="H3331" t="str">
        <f>VLOOKUP(record[[#This Row],[ProcessSN]],表格2_7[],2,FALSE)</f>
        <v>30-4118-018-4XX</v>
      </c>
      <c r="I3331" t="str">
        <f>VLOOKUP(record[[#This Row],[ProcessSN]],表格2_7[],3,FALSE)</f>
        <v>#05</v>
      </c>
      <c r="J3331" t="s">
        <v>588</v>
      </c>
      <c r="K3331" s="195">
        <v>46095.296284722222</v>
      </c>
      <c r="L3331">
        <v>233</v>
      </c>
      <c r="M3331">
        <v>0</v>
      </c>
      <c r="N3331" s="98" t="str">
        <f>IF(record[[#This Row],[Memo]]="Browser:chrome os:android","平板報工",IF(record[[#This Row],[Memo]]=0,"委外",record[[#This Row],[Memo]]))</f>
        <v/>
      </c>
      <c r="O3331" t="s">
        <v>58</v>
      </c>
      <c r="P3331" t="s">
        <v>843</v>
      </c>
      <c r="Q3331" t="s">
        <v>58</v>
      </c>
      <c r="R3331" t="str">
        <f>IFERROR(VLOOKUP(record[[#This Row],[PCUSTID]],廠商[],2,FALSE),"")</f>
        <v/>
      </c>
      <c r="S3331" t="str">
        <f>VLOOKUP(record[[#This Row],[employeeID]],員工[],2,FALSE)</f>
        <v>張楚承</v>
      </c>
    </row>
    <row r="3332" spans="6:19" hidden="1" x14ac:dyDescent="0.25">
      <c r="F3332" t="s">
        <v>1587</v>
      </c>
      <c r="G3332" t="s">
        <v>374</v>
      </c>
      <c r="H3332" t="str">
        <f>VLOOKUP(record[[#This Row],[ProcessSN]],表格2_7[],2,FALSE)</f>
        <v>30-4118-018-4XX</v>
      </c>
      <c r="I3332" t="str">
        <f>VLOOKUP(record[[#This Row],[ProcessSN]],表格2_7[],3,FALSE)</f>
        <v>#04</v>
      </c>
      <c r="J3332" t="s">
        <v>588</v>
      </c>
      <c r="K3332" s="195">
        <v>46095.29614583333</v>
      </c>
      <c r="L3332">
        <v>133</v>
      </c>
      <c r="M3332">
        <v>0</v>
      </c>
      <c r="N3332" s="98" t="str">
        <f>IF(record[[#This Row],[Memo]]="Browser:chrome os:android","平板報工",IF(record[[#This Row],[Memo]]=0,"委外",record[[#This Row],[Memo]]))</f>
        <v/>
      </c>
      <c r="O3332" t="s">
        <v>58</v>
      </c>
      <c r="P3332" t="s">
        <v>843</v>
      </c>
      <c r="Q3332" t="s">
        <v>58</v>
      </c>
      <c r="R3332" t="str">
        <f>IFERROR(VLOOKUP(record[[#This Row],[PCUSTID]],廠商[],2,FALSE),"")</f>
        <v/>
      </c>
      <c r="S3332" t="str">
        <f>VLOOKUP(record[[#This Row],[employeeID]],員工[],2,FALSE)</f>
        <v>張楚承</v>
      </c>
    </row>
    <row r="3333" spans="6:19" hidden="1" x14ac:dyDescent="0.25">
      <c r="F3333" t="s">
        <v>1569</v>
      </c>
      <c r="G3333" t="s">
        <v>450</v>
      </c>
      <c r="H3333" t="str">
        <f>VLOOKUP(record[[#This Row],[ProcessSN]],表格2_7[],2,FALSE)</f>
        <v>30-4118-018-6XX</v>
      </c>
      <c r="I3333" t="str">
        <f>VLOOKUP(record[[#This Row],[ProcessSN]],表格2_7[],3,FALSE)</f>
        <v>#06</v>
      </c>
      <c r="J3333" t="s">
        <v>593</v>
      </c>
      <c r="K3333" s="195">
        <v>46094.980682870373</v>
      </c>
      <c r="L3333">
        <v>65</v>
      </c>
      <c r="M3333">
        <v>0</v>
      </c>
      <c r="N3333" s="98" t="str">
        <f>IF(record[[#This Row],[Memo]]="Browser:chrome os:android","平板報工",IF(record[[#This Row],[Memo]]=0,"委外",record[[#This Row],[Memo]]))</f>
        <v/>
      </c>
      <c r="O3333" t="s">
        <v>58</v>
      </c>
      <c r="P3333" t="s">
        <v>841</v>
      </c>
      <c r="Q3333" t="s">
        <v>58</v>
      </c>
      <c r="R3333" t="str">
        <f>IFERROR(VLOOKUP(record[[#This Row],[PCUSTID]],廠商[],2,FALSE),"")</f>
        <v/>
      </c>
      <c r="S3333" t="str">
        <f>VLOOKUP(record[[#This Row],[employeeID]],員工[],2,FALSE)</f>
        <v>范氏香</v>
      </c>
    </row>
    <row r="3334" spans="6:19" hidden="1" x14ac:dyDescent="0.25">
      <c r="F3334" t="s">
        <v>1587</v>
      </c>
      <c r="G3334" t="s">
        <v>374</v>
      </c>
      <c r="H3334" t="str">
        <f>VLOOKUP(record[[#This Row],[ProcessSN]],表格2_7[],2,FALSE)</f>
        <v>30-4118-018-4XX</v>
      </c>
      <c r="I3334" t="str">
        <f>VLOOKUP(record[[#This Row],[ProcessSN]],表格2_7[],3,FALSE)</f>
        <v>#04</v>
      </c>
      <c r="J3334" t="s">
        <v>588</v>
      </c>
      <c r="K3334" s="195">
        <v>46094.97996527778</v>
      </c>
      <c r="L3334">
        <v>62</v>
      </c>
      <c r="M3334">
        <v>0</v>
      </c>
      <c r="N3334" s="98" t="str">
        <f>IF(record[[#This Row],[Memo]]="Browser:chrome os:android","平板報工",IF(record[[#This Row],[Memo]]=0,"委外",record[[#This Row],[Memo]]))</f>
        <v/>
      </c>
      <c r="O3334" t="s">
        <v>58</v>
      </c>
      <c r="P3334" t="s">
        <v>1098</v>
      </c>
      <c r="Q3334" t="s">
        <v>58</v>
      </c>
      <c r="R3334" t="str">
        <f>IFERROR(VLOOKUP(record[[#This Row],[PCUSTID]],廠商[],2,FALSE),"")</f>
        <v/>
      </c>
      <c r="S3334" t="str">
        <f>VLOOKUP(record[[#This Row],[employeeID]],員工[],2,FALSE)</f>
        <v>阮氏芳英(英)</v>
      </c>
    </row>
    <row r="3335" spans="6:19" hidden="1" x14ac:dyDescent="0.25">
      <c r="F3335" t="s">
        <v>1569</v>
      </c>
      <c r="G3335" t="s">
        <v>451</v>
      </c>
      <c r="H3335" t="str">
        <f>VLOOKUP(record[[#This Row],[ProcessSN]],表格2_7[],2,FALSE)</f>
        <v>30-4118-018-6XX</v>
      </c>
      <c r="I3335" t="str">
        <f>VLOOKUP(record[[#This Row],[ProcessSN]],表格2_7[],3,FALSE)</f>
        <v>#07</v>
      </c>
      <c r="J3335" t="s">
        <v>588</v>
      </c>
      <c r="K3335" s="195">
        <v>46094.979247685187</v>
      </c>
      <c r="L3335">
        <v>178</v>
      </c>
      <c r="M3335">
        <v>6</v>
      </c>
      <c r="N3335" s="98" t="str">
        <f>IF(record[[#This Row],[Memo]]="Browser:chrome os:android","平板報工",IF(record[[#This Row],[Memo]]=0,"委外",record[[#This Row],[Memo]]))</f>
        <v/>
      </c>
      <c r="O3335" t="s">
        <v>58</v>
      </c>
      <c r="P3335" t="s">
        <v>1098</v>
      </c>
      <c r="Q3335" t="s">
        <v>58</v>
      </c>
      <c r="R3335" t="str">
        <f>IFERROR(VLOOKUP(record[[#This Row],[PCUSTID]],廠商[],2,FALSE),"")</f>
        <v/>
      </c>
      <c r="S3335" t="str">
        <f>VLOOKUP(record[[#This Row],[employeeID]],員工[],2,FALSE)</f>
        <v>阮氏芳英(英)</v>
      </c>
    </row>
    <row r="3336" spans="6:19" hidden="1" x14ac:dyDescent="0.25">
      <c r="F3336" t="s">
        <v>1569</v>
      </c>
      <c r="G3336" t="s">
        <v>449</v>
      </c>
      <c r="H3336" t="str">
        <f>VLOOKUP(record[[#This Row],[ProcessSN]],表格2_7[],2,FALSE)</f>
        <v>30-4118-018-6XX</v>
      </c>
      <c r="I3336" t="str">
        <f>VLOOKUP(record[[#This Row],[ProcessSN]],表格2_7[],3,FALSE)</f>
        <v>#05</v>
      </c>
      <c r="J3336" t="s">
        <v>588</v>
      </c>
      <c r="K3336" s="195">
        <v>46094.979004629633</v>
      </c>
      <c r="L3336">
        <v>184</v>
      </c>
      <c r="M3336">
        <v>0</v>
      </c>
      <c r="N3336" s="98" t="str">
        <f>IF(record[[#This Row],[Memo]]="Browser:chrome os:android","平板報工",IF(record[[#This Row],[Memo]]=0,"委外",record[[#This Row],[Memo]]))</f>
        <v/>
      </c>
      <c r="O3336" t="s">
        <v>58</v>
      </c>
      <c r="P3336" t="s">
        <v>1098</v>
      </c>
      <c r="Q3336" t="s">
        <v>58</v>
      </c>
      <c r="R3336" t="str">
        <f>IFERROR(VLOOKUP(record[[#This Row],[PCUSTID]],廠商[],2,FALSE),"")</f>
        <v/>
      </c>
      <c r="S3336" t="str">
        <f>VLOOKUP(record[[#This Row],[employeeID]],員工[],2,FALSE)</f>
        <v>阮氏芳英(英)</v>
      </c>
    </row>
    <row r="3337" spans="6:19" hidden="1" x14ac:dyDescent="0.25">
      <c r="F3337" t="s">
        <v>1587</v>
      </c>
      <c r="G3337" t="s">
        <v>374</v>
      </c>
      <c r="H3337" t="str">
        <f>VLOOKUP(record[[#This Row],[ProcessSN]],表格2_7[],2,FALSE)</f>
        <v>30-4118-018-4XX</v>
      </c>
      <c r="I3337" t="str">
        <f>VLOOKUP(record[[#This Row],[ProcessSN]],表格2_7[],3,FALSE)</f>
        <v>#04</v>
      </c>
      <c r="J3337" t="s">
        <v>588</v>
      </c>
      <c r="K3337" s="195">
        <v>46094.97824074074</v>
      </c>
      <c r="L3337">
        <v>60</v>
      </c>
      <c r="M3337">
        <v>0</v>
      </c>
      <c r="N3337" s="98" t="str">
        <f>IF(record[[#This Row],[Memo]]="Browser:chrome os:android","平板報工",IF(record[[#This Row],[Memo]]=0,"委外",record[[#This Row],[Memo]]))</f>
        <v/>
      </c>
      <c r="O3337" t="s">
        <v>58</v>
      </c>
      <c r="P3337" t="s">
        <v>89</v>
      </c>
      <c r="Q3337" t="s">
        <v>58</v>
      </c>
      <c r="R3337" t="str">
        <f>IFERROR(VLOOKUP(record[[#This Row],[PCUSTID]],廠商[],2,FALSE),"")</f>
        <v/>
      </c>
      <c r="S3337" t="str">
        <f>VLOOKUP(record[[#This Row],[employeeID]],員工[],2,FALSE)</f>
        <v>李美蓮</v>
      </c>
    </row>
    <row r="3338" spans="6:19" hidden="1" x14ac:dyDescent="0.25">
      <c r="F3338" t="s">
        <v>1602</v>
      </c>
      <c r="G3338" t="s">
        <v>466</v>
      </c>
      <c r="H3338" t="str">
        <f>VLOOKUP(record[[#This Row],[ProcessSN]],表格2_7[],2,FALSE)</f>
        <v>30-4118-018-XXX</v>
      </c>
      <c r="I3338" t="str">
        <f>VLOOKUP(record[[#This Row],[ProcessSN]],表格2_7[],3,FALSE)</f>
        <v>#01-2</v>
      </c>
      <c r="J3338" t="s">
        <v>588</v>
      </c>
      <c r="K3338" s="195">
        <v>46094.978043981479</v>
      </c>
      <c r="L3338">
        <v>349</v>
      </c>
      <c r="M3338">
        <v>0</v>
      </c>
      <c r="N3338" s="98" t="str">
        <f>IF(record[[#This Row],[Memo]]="Browser:chrome os:android","平板報工",IF(record[[#This Row],[Memo]]=0,"委外",record[[#This Row],[Memo]]))</f>
        <v/>
      </c>
      <c r="O3338" t="s">
        <v>58</v>
      </c>
      <c r="P3338" t="s">
        <v>89</v>
      </c>
      <c r="Q3338" t="s">
        <v>58</v>
      </c>
      <c r="R3338" t="str">
        <f>IFERROR(VLOOKUP(record[[#This Row],[PCUSTID]],廠商[],2,FALSE),"")</f>
        <v/>
      </c>
      <c r="S3338" t="str">
        <f>VLOOKUP(record[[#This Row],[employeeID]],員工[],2,FALSE)</f>
        <v>李美蓮</v>
      </c>
    </row>
    <row r="3339" spans="6:19" hidden="1" x14ac:dyDescent="0.25">
      <c r="F3339" t="s">
        <v>1602</v>
      </c>
      <c r="G3339" t="s">
        <v>465</v>
      </c>
      <c r="H3339" t="str">
        <f>VLOOKUP(record[[#This Row],[ProcessSN]],表格2_7[],2,FALSE)</f>
        <v>30-4118-018-XXX</v>
      </c>
      <c r="I3339" t="str">
        <f>VLOOKUP(record[[#This Row],[ProcessSN]],表格2_7[],3,FALSE)</f>
        <v>#01-1</v>
      </c>
      <c r="J3339" t="s">
        <v>588</v>
      </c>
      <c r="K3339" s="195">
        <v>46094.977893518517</v>
      </c>
      <c r="L3339">
        <v>349</v>
      </c>
      <c r="M3339">
        <v>0</v>
      </c>
      <c r="N3339" s="98" t="str">
        <f>IF(record[[#This Row],[Memo]]="Browser:chrome os:android","平板報工",IF(record[[#This Row],[Memo]]=0,"委外",record[[#This Row],[Memo]]))</f>
        <v/>
      </c>
      <c r="O3339" t="s">
        <v>58</v>
      </c>
      <c r="P3339" t="s">
        <v>89</v>
      </c>
      <c r="Q3339" t="s">
        <v>58</v>
      </c>
      <c r="R3339" t="str">
        <f>IFERROR(VLOOKUP(record[[#This Row],[PCUSTID]],廠商[],2,FALSE),"")</f>
        <v/>
      </c>
      <c r="S3339" t="str">
        <f>VLOOKUP(record[[#This Row],[employeeID]],員工[],2,FALSE)</f>
        <v>李美蓮</v>
      </c>
    </row>
    <row r="3340" spans="6:19" hidden="1" x14ac:dyDescent="0.25">
      <c r="F3340" t="s">
        <v>1589</v>
      </c>
      <c r="G3340" t="s">
        <v>417</v>
      </c>
      <c r="H3340" t="str">
        <f>VLOOKUP(record[[#This Row],[ProcessSN]],表格2_7[],2,FALSE)</f>
        <v>30-4118-018-5XX</v>
      </c>
      <c r="I3340" t="str">
        <f>VLOOKUP(record[[#This Row],[ProcessSN]],表格2_7[],3,FALSE)</f>
        <v>#06</v>
      </c>
      <c r="J3340" t="s">
        <v>593</v>
      </c>
      <c r="K3340" s="195">
        <v>46094.944062499999</v>
      </c>
      <c r="L3340">
        <v>67</v>
      </c>
      <c r="M3340">
        <v>0</v>
      </c>
      <c r="N3340" s="98" t="str">
        <f>IF(record[[#This Row],[Memo]]="Browser:chrome os:android","平板報工",IF(record[[#This Row],[Memo]]=0,"委外",record[[#This Row],[Memo]]))</f>
        <v>平板報工</v>
      </c>
      <c r="O3340" t="s">
        <v>643</v>
      </c>
      <c r="P3340" t="s">
        <v>170</v>
      </c>
      <c r="Q3340" t="s">
        <v>644</v>
      </c>
      <c r="R3340" t="str">
        <f>IFERROR(VLOOKUP(record[[#This Row],[PCUSTID]],廠商[],2,FALSE),"")</f>
        <v/>
      </c>
      <c r="S3340" t="str">
        <f>VLOOKUP(record[[#This Row],[employeeID]],員工[],2,FALSE)</f>
        <v>黃清宇</v>
      </c>
    </row>
    <row r="3341" spans="6:19" hidden="1" x14ac:dyDescent="0.25">
      <c r="F3341" t="s">
        <v>1569</v>
      </c>
      <c r="G3341" t="s">
        <v>450</v>
      </c>
      <c r="H3341" t="str">
        <f>VLOOKUP(record[[#This Row],[ProcessSN]],表格2_7[],2,FALSE)</f>
        <v>30-4118-018-6XX</v>
      </c>
      <c r="I3341" t="str">
        <f>VLOOKUP(record[[#This Row],[ProcessSN]],表格2_7[],3,FALSE)</f>
        <v>#06</v>
      </c>
      <c r="J3341" t="s">
        <v>593</v>
      </c>
      <c r="K3341" s="195">
        <v>46094.825567129628</v>
      </c>
      <c r="L3341">
        <v>67</v>
      </c>
      <c r="M3341">
        <v>0</v>
      </c>
      <c r="N3341" s="98" t="str">
        <f>IF(record[[#This Row],[Memo]]="Browser:chrome os:android","平板報工",IF(record[[#This Row],[Memo]]=0,"委外",record[[#This Row],[Memo]]))</f>
        <v>平板報工</v>
      </c>
      <c r="O3341" t="s">
        <v>643</v>
      </c>
      <c r="P3341" t="s">
        <v>1413</v>
      </c>
      <c r="Q3341" t="s">
        <v>644</v>
      </c>
      <c r="R3341" t="str">
        <f>IFERROR(VLOOKUP(record[[#This Row],[PCUSTID]],廠商[],2,FALSE),"")</f>
        <v/>
      </c>
      <c r="S3341" t="str">
        <f>VLOOKUP(record[[#This Row],[employeeID]],員工[],2,FALSE)</f>
        <v>阮氏芳英(芳)</v>
      </c>
    </row>
    <row r="3342" spans="6:19" hidden="1" x14ac:dyDescent="0.25">
      <c r="F3342" t="s">
        <v>1618</v>
      </c>
      <c r="G3342" t="s">
        <v>400</v>
      </c>
      <c r="H3342" t="str">
        <f>VLOOKUP(record[[#This Row],[ProcessSN]],表格2_7[],2,FALSE)</f>
        <v>30-4118-018-550</v>
      </c>
      <c r="I3342" t="str">
        <f>VLOOKUP(record[[#This Row],[ProcessSN]],表格2_7[],3,FALSE)</f>
        <v>#100</v>
      </c>
      <c r="J3342" t="s">
        <v>598</v>
      </c>
      <c r="K3342" s="195">
        <v>46094.820833333331</v>
      </c>
      <c r="L3342">
        <v>312</v>
      </c>
      <c r="M3342">
        <v>0</v>
      </c>
      <c r="N3342" s="98" t="str">
        <f>IF(record[[#This Row],[Memo]]="Browser:chrome os:android","平板報工",IF(record[[#This Row],[Memo]]=0,"委外",record[[#This Row],[Memo]]))</f>
        <v>平板報工</v>
      </c>
      <c r="O3342" t="s">
        <v>643</v>
      </c>
      <c r="P3342" t="s">
        <v>141</v>
      </c>
      <c r="Q3342" t="s">
        <v>644</v>
      </c>
      <c r="R3342" t="str">
        <f>IFERROR(VLOOKUP(record[[#This Row],[PCUSTID]],廠商[],2,FALSE),"")</f>
        <v/>
      </c>
      <c r="S3342" t="str">
        <f>VLOOKUP(record[[#This Row],[employeeID]],員工[],2,FALSE)</f>
        <v>蔣梅</v>
      </c>
    </row>
    <row r="3343" spans="6:19" hidden="1" x14ac:dyDescent="0.25">
      <c r="F3343" t="s">
        <v>1617</v>
      </c>
      <c r="G3343" t="s">
        <v>359</v>
      </c>
      <c r="H3343" t="str">
        <f>VLOOKUP(record[[#This Row],[ProcessSN]],表格2_7[],2,FALSE)</f>
        <v>30-4118-018-450</v>
      </c>
      <c r="I3343" t="str">
        <f>VLOOKUP(record[[#This Row],[ProcessSN]],表格2_7[],3,FALSE)</f>
        <v>#100</v>
      </c>
      <c r="J3343" t="s">
        <v>598</v>
      </c>
      <c r="K3343" s="195">
        <v>46094.715451388889</v>
      </c>
      <c r="L3343">
        <v>0</v>
      </c>
      <c r="M3343">
        <v>9</v>
      </c>
      <c r="N3343" s="98" t="str">
        <f>IF(record[[#This Row],[Memo]]="Browser:chrome os:android","平板報工",IF(record[[#This Row],[Memo]]=0,"委外",record[[#This Row],[Memo]]))</f>
        <v>平板報工</v>
      </c>
      <c r="O3343" t="s">
        <v>643</v>
      </c>
      <c r="P3343" t="s">
        <v>141</v>
      </c>
      <c r="Q3343" t="s">
        <v>644</v>
      </c>
      <c r="R3343" t="str">
        <f>IFERROR(VLOOKUP(record[[#This Row],[PCUSTID]],廠商[],2,FALSE),"")</f>
        <v/>
      </c>
      <c r="S3343" t="str">
        <f>VLOOKUP(record[[#This Row],[employeeID]],員工[],2,FALSE)</f>
        <v>蔣梅</v>
      </c>
    </row>
    <row r="3344" spans="6:19" hidden="1" x14ac:dyDescent="0.25">
      <c r="F3344" t="s">
        <v>1617</v>
      </c>
      <c r="G3344" t="s">
        <v>359</v>
      </c>
      <c r="H3344" t="str">
        <f>VLOOKUP(record[[#This Row],[ProcessSN]],表格2_7[],2,FALSE)</f>
        <v>30-4118-018-450</v>
      </c>
      <c r="I3344" t="str">
        <f>VLOOKUP(record[[#This Row],[ProcessSN]],表格2_7[],3,FALSE)</f>
        <v>#100</v>
      </c>
      <c r="J3344" t="s">
        <v>598</v>
      </c>
      <c r="K3344" s="195">
        <v>46094.715208333335</v>
      </c>
      <c r="L3344">
        <v>195</v>
      </c>
      <c r="M3344">
        <v>0</v>
      </c>
      <c r="N3344" s="98" t="str">
        <f>IF(record[[#This Row],[Memo]]="Browser:chrome os:android","平板報工",IF(record[[#This Row],[Memo]]=0,"委外",record[[#This Row],[Memo]]))</f>
        <v>平板報工</v>
      </c>
      <c r="O3344" t="s">
        <v>643</v>
      </c>
      <c r="P3344" t="s">
        <v>141</v>
      </c>
      <c r="Q3344" t="s">
        <v>644</v>
      </c>
      <c r="R3344" t="str">
        <f>IFERROR(VLOOKUP(record[[#This Row],[PCUSTID]],廠商[],2,FALSE),"")</f>
        <v/>
      </c>
      <c r="S3344" t="str">
        <f>VLOOKUP(record[[#This Row],[employeeID]],員工[],2,FALSE)</f>
        <v>蔣梅</v>
      </c>
    </row>
    <row r="3345" spans="6:19" hidden="1" x14ac:dyDescent="0.25">
      <c r="F3345" t="s">
        <v>1602</v>
      </c>
      <c r="G3345" t="s">
        <v>466</v>
      </c>
      <c r="H3345" t="str">
        <f>VLOOKUP(record[[#This Row],[ProcessSN]],表格2_7[],2,FALSE)</f>
        <v>30-4118-018-XXX</v>
      </c>
      <c r="I3345" t="str">
        <f>VLOOKUP(record[[#This Row],[ProcessSN]],表格2_7[],3,FALSE)</f>
        <v>#01-2</v>
      </c>
      <c r="J3345" t="s">
        <v>588</v>
      </c>
      <c r="K3345" s="195">
        <v>46094.691284722219</v>
      </c>
      <c r="L3345">
        <v>310</v>
      </c>
      <c r="M3345">
        <v>0</v>
      </c>
      <c r="N3345" s="98" t="str">
        <f>IF(record[[#This Row],[Memo]]="Browser:chrome os:android","平板報工",IF(record[[#This Row],[Memo]]=0,"委外",record[[#This Row],[Memo]]))</f>
        <v/>
      </c>
      <c r="O3345" t="s">
        <v>58</v>
      </c>
      <c r="P3345" t="s">
        <v>107</v>
      </c>
      <c r="Q3345" t="s">
        <v>58</v>
      </c>
      <c r="R3345" t="str">
        <f>IFERROR(VLOOKUP(record[[#This Row],[PCUSTID]],廠商[],2,FALSE),"")</f>
        <v/>
      </c>
      <c r="S3345" t="str">
        <f>VLOOKUP(record[[#This Row],[employeeID]],員工[],2,FALSE)</f>
        <v>黎氏順</v>
      </c>
    </row>
    <row r="3346" spans="6:19" hidden="1" x14ac:dyDescent="0.25">
      <c r="F3346" t="s">
        <v>1580</v>
      </c>
      <c r="G3346" t="s">
        <v>470</v>
      </c>
      <c r="H3346" t="str">
        <f>VLOOKUP(record[[#This Row],[ProcessSN]],表格2_7[],2,FALSE)</f>
        <v>30-4118-018-XXX</v>
      </c>
      <c r="I3346" t="str">
        <f>VLOOKUP(record[[#This Row],[ProcessSN]],表格2_7[],3,FALSE)</f>
        <v>#02IQC</v>
      </c>
      <c r="J3346" t="s">
        <v>583</v>
      </c>
      <c r="K3346" s="195">
        <v>46094.683819444443</v>
      </c>
      <c r="L3346">
        <v>672</v>
      </c>
      <c r="M3346">
        <v>0</v>
      </c>
      <c r="N3346" s="98" t="str">
        <f>IF(record[[#This Row],[Memo]]="Browser:chrome os:android","平板報工",IF(record[[#This Row],[Memo]]=0,"委外",record[[#This Row],[Memo]]))</f>
        <v/>
      </c>
      <c r="O3346" t="s">
        <v>58</v>
      </c>
      <c r="P3346" t="s">
        <v>109</v>
      </c>
      <c r="Q3346" t="s">
        <v>58</v>
      </c>
      <c r="R3346" t="str">
        <f>IFERROR(VLOOKUP(record[[#This Row],[PCUSTID]],廠商[],2,FALSE),"")</f>
        <v/>
      </c>
      <c r="S3346" t="str">
        <f>VLOOKUP(record[[#This Row],[employeeID]],員工[],2,FALSE)</f>
        <v>裴氏璧鳳</v>
      </c>
    </row>
    <row r="3347" spans="6:19" hidden="1" x14ac:dyDescent="0.25">
      <c r="F3347" t="s">
        <v>1617</v>
      </c>
      <c r="G3347" t="s">
        <v>362</v>
      </c>
      <c r="H3347" t="str">
        <f>VLOOKUP(record[[#This Row],[ProcessSN]],表格2_7[],2,FALSE)</f>
        <v>30-4118-018-450</v>
      </c>
      <c r="I3347" t="str">
        <f>VLOOKUP(record[[#This Row],[ProcessSN]],表格2_7[],3,FALSE)</f>
        <v>#100SHIP</v>
      </c>
      <c r="J3347" t="s">
        <v>600</v>
      </c>
      <c r="K3347" s="195">
        <v>46094.676087962966</v>
      </c>
      <c r="L3347">
        <v>33</v>
      </c>
      <c r="M3347">
        <v>0</v>
      </c>
      <c r="N3347" s="98" t="str">
        <f>IF(record[[#This Row],[Memo]]="Browser:chrome os:android","平板報工",IF(record[[#This Row],[Memo]]=0,"委外",record[[#This Row],[Memo]]))</f>
        <v/>
      </c>
      <c r="O3347" t="s">
        <v>58</v>
      </c>
      <c r="P3347" t="s">
        <v>886</v>
      </c>
      <c r="Q3347" t="s">
        <v>58</v>
      </c>
      <c r="R3347" t="str">
        <f>IFERROR(VLOOKUP(record[[#This Row],[PCUSTID]],廠商[],2,FALSE),"")</f>
        <v/>
      </c>
      <c r="S3347" t="str">
        <f>VLOOKUP(record[[#This Row],[employeeID]],員工[],2,FALSE)</f>
        <v>謝蓁薰</v>
      </c>
    </row>
    <row r="3348" spans="6:19" hidden="1" x14ac:dyDescent="0.25">
      <c r="F3348" t="s">
        <v>1617</v>
      </c>
      <c r="G3348" t="s">
        <v>361</v>
      </c>
      <c r="H3348" t="str">
        <f>VLOOKUP(record[[#This Row],[ProcessSN]],表格2_7[],2,FALSE)</f>
        <v>30-4118-018-450</v>
      </c>
      <c r="I3348" t="str">
        <f>VLOOKUP(record[[#This Row],[ProcessSN]],表格2_7[],3,FALSE)</f>
        <v>#100STOCK</v>
      </c>
      <c r="J3348" t="s">
        <v>592</v>
      </c>
      <c r="K3348" s="195">
        <v>46094.675983796296</v>
      </c>
      <c r="L3348">
        <v>33</v>
      </c>
      <c r="M3348">
        <v>0</v>
      </c>
      <c r="N3348" s="98" t="str">
        <f>IF(record[[#This Row],[Memo]]="Browser:chrome os:android","平板報工",IF(record[[#This Row],[Memo]]=0,"委外",record[[#This Row],[Memo]]))</f>
        <v/>
      </c>
      <c r="O3348" t="s">
        <v>58</v>
      </c>
      <c r="P3348" t="s">
        <v>886</v>
      </c>
      <c r="Q3348" t="s">
        <v>58</v>
      </c>
      <c r="R3348" t="str">
        <f>IFERROR(VLOOKUP(record[[#This Row],[PCUSTID]],廠商[],2,FALSE),"")</f>
        <v/>
      </c>
      <c r="S3348" t="str">
        <f>VLOOKUP(record[[#This Row],[employeeID]],員工[],2,FALSE)</f>
        <v>謝蓁薰</v>
      </c>
    </row>
    <row r="3349" spans="6:19" hidden="1" x14ac:dyDescent="0.25">
      <c r="F3349" t="s">
        <v>1602</v>
      </c>
      <c r="G3349" t="s">
        <v>465</v>
      </c>
      <c r="H3349" t="str">
        <f>VLOOKUP(record[[#This Row],[ProcessSN]],表格2_7[],2,FALSE)</f>
        <v>30-4118-018-XXX</v>
      </c>
      <c r="I3349" t="str">
        <f>VLOOKUP(record[[#This Row],[ProcessSN]],表格2_7[],3,FALSE)</f>
        <v>#01-1</v>
      </c>
      <c r="J3349" t="s">
        <v>588</v>
      </c>
      <c r="K3349" s="195">
        <v>46094.659120370372</v>
      </c>
      <c r="L3349">
        <v>310</v>
      </c>
      <c r="M3349">
        <v>0</v>
      </c>
      <c r="N3349" s="98" t="str">
        <f>IF(record[[#This Row],[Memo]]="Browser:chrome os:android","平板報工",IF(record[[#This Row],[Memo]]=0,"委外",record[[#This Row],[Memo]]))</f>
        <v>平板報工</v>
      </c>
      <c r="O3349" t="s">
        <v>643</v>
      </c>
      <c r="P3349" t="s">
        <v>107</v>
      </c>
      <c r="Q3349" t="s">
        <v>644</v>
      </c>
      <c r="R3349" t="str">
        <f>IFERROR(VLOOKUP(record[[#This Row],[PCUSTID]],廠商[],2,FALSE),"")</f>
        <v/>
      </c>
      <c r="S3349" t="str">
        <f>VLOOKUP(record[[#This Row],[employeeID]],員工[],2,FALSE)</f>
        <v>黎氏順</v>
      </c>
    </row>
    <row r="3350" spans="6:19" hidden="1" x14ac:dyDescent="0.25">
      <c r="F3350" t="s">
        <v>1587</v>
      </c>
      <c r="G3350" t="s">
        <v>374</v>
      </c>
      <c r="H3350" t="str">
        <f>VLOOKUP(record[[#This Row],[ProcessSN]],表格2_7[],2,FALSE)</f>
        <v>30-4118-018-4XX</v>
      </c>
      <c r="I3350" t="str">
        <f>VLOOKUP(record[[#This Row],[ProcessSN]],表格2_7[],3,FALSE)</f>
        <v>#04</v>
      </c>
      <c r="J3350" t="s">
        <v>588</v>
      </c>
      <c r="K3350" s="195">
        <v>46094.658055555556</v>
      </c>
      <c r="L3350">
        <v>131</v>
      </c>
      <c r="M3350">
        <v>0</v>
      </c>
      <c r="N3350" s="98" t="str">
        <f>IF(record[[#This Row],[Memo]]="Browser:chrome os:android","平板報工",IF(record[[#This Row],[Memo]]=0,"委外",record[[#This Row],[Memo]]))</f>
        <v>平板報工</v>
      </c>
      <c r="O3350" t="s">
        <v>643</v>
      </c>
      <c r="P3350" t="s">
        <v>107</v>
      </c>
      <c r="Q3350" t="s">
        <v>644</v>
      </c>
      <c r="R3350" t="str">
        <f>IFERROR(VLOOKUP(record[[#This Row],[PCUSTID]],廠商[],2,FALSE),"")</f>
        <v/>
      </c>
      <c r="S3350" t="str">
        <f>VLOOKUP(record[[#This Row],[employeeID]],員工[],2,FALSE)</f>
        <v>黎氏順</v>
      </c>
    </row>
    <row r="3351" spans="6:19" hidden="1" x14ac:dyDescent="0.25">
      <c r="F3351" t="s">
        <v>1589</v>
      </c>
      <c r="G3351" t="s">
        <v>417</v>
      </c>
      <c r="H3351" t="str">
        <f>VLOOKUP(record[[#This Row],[ProcessSN]],表格2_7[],2,FALSE)</f>
        <v>30-4118-018-5XX</v>
      </c>
      <c r="I3351" t="str">
        <f>VLOOKUP(record[[#This Row],[ProcessSN]],表格2_7[],3,FALSE)</f>
        <v>#06</v>
      </c>
      <c r="J3351" t="s">
        <v>593</v>
      </c>
      <c r="K3351" s="195">
        <v>46094.652268518519</v>
      </c>
      <c r="L3351">
        <v>105</v>
      </c>
      <c r="M3351">
        <v>0</v>
      </c>
      <c r="N3351" s="98" t="str">
        <f>IF(record[[#This Row],[Memo]]="Browser:chrome os:android","平板報工",IF(record[[#This Row],[Memo]]=0,"委外",record[[#This Row],[Memo]]))</f>
        <v>平板報工</v>
      </c>
      <c r="O3351" t="s">
        <v>643</v>
      </c>
      <c r="P3351" t="s">
        <v>111</v>
      </c>
      <c r="Q3351" t="s">
        <v>644</v>
      </c>
      <c r="R3351" t="str">
        <f>IFERROR(VLOOKUP(record[[#This Row],[PCUSTID]],廠商[],2,FALSE),"")</f>
        <v/>
      </c>
      <c r="S3351" t="str">
        <f>VLOOKUP(record[[#This Row],[employeeID]],員工[],2,FALSE)</f>
        <v>江栩妘</v>
      </c>
    </row>
    <row r="3352" spans="6:19" hidden="1" x14ac:dyDescent="0.25">
      <c r="F3352" t="s">
        <v>1569</v>
      </c>
      <c r="G3352" t="s">
        <v>450</v>
      </c>
      <c r="H3352" t="str">
        <f>VLOOKUP(record[[#This Row],[ProcessSN]],表格2_7[],2,FALSE)</f>
        <v>30-4118-018-6XX</v>
      </c>
      <c r="I3352" t="str">
        <f>VLOOKUP(record[[#This Row],[ProcessSN]],表格2_7[],3,FALSE)</f>
        <v>#06</v>
      </c>
      <c r="J3352" t="s">
        <v>593</v>
      </c>
      <c r="K3352" s="195">
        <v>46094.648449074077</v>
      </c>
      <c r="L3352">
        <v>76</v>
      </c>
      <c r="M3352">
        <v>0</v>
      </c>
      <c r="N3352" s="98" t="str">
        <f>IF(record[[#This Row],[Memo]]="Browser:chrome os:android","平板報工",IF(record[[#This Row],[Memo]]=0,"委外",record[[#This Row],[Memo]]))</f>
        <v>平板報工</v>
      </c>
      <c r="O3352" t="s">
        <v>643</v>
      </c>
      <c r="P3352" t="s">
        <v>145</v>
      </c>
      <c r="Q3352" t="s">
        <v>644</v>
      </c>
      <c r="R3352" t="str">
        <f>IFERROR(VLOOKUP(record[[#This Row],[PCUSTID]],廠商[],2,FALSE),"")</f>
        <v/>
      </c>
      <c r="S3352" t="str">
        <f>VLOOKUP(record[[#This Row],[employeeID]],員工[],2,FALSE)</f>
        <v>阮秋霞</v>
      </c>
    </row>
    <row r="3353" spans="6:19" hidden="1" x14ac:dyDescent="0.25">
      <c r="F3353" t="s">
        <v>1569</v>
      </c>
      <c r="G3353" t="s">
        <v>449</v>
      </c>
      <c r="H3353" t="str">
        <f>VLOOKUP(record[[#This Row],[ProcessSN]],表格2_7[],2,FALSE)</f>
        <v>30-4118-018-6XX</v>
      </c>
      <c r="I3353" t="str">
        <f>VLOOKUP(record[[#This Row],[ProcessSN]],表格2_7[],3,FALSE)</f>
        <v>#05</v>
      </c>
      <c r="J3353" t="s">
        <v>588</v>
      </c>
      <c r="K3353" s="195">
        <v>46094.648113425923</v>
      </c>
      <c r="L3353">
        <v>147</v>
      </c>
      <c r="M3353">
        <v>0</v>
      </c>
      <c r="N3353" s="98" t="str">
        <f>IF(record[[#This Row],[Memo]]="Browser:chrome os:android","平板報工",IF(record[[#This Row],[Memo]]=0,"委外",record[[#This Row],[Memo]]))</f>
        <v>平板報工</v>
      </c>
      <c r="O3353" t="s">
        <v>643</v>
      </c>
      <c r="P3353" t="s">
        <v>145</v>
      </c>
      <c r="Q3353" t="s">
        <v>644</v>
      </c>
      <c r="R3353" t="str">
        <f>IFERROR(VLOOKUP(record[[#This Row],[PCUSTID]],廠商[],2,FALSE),"")</f>
        <v/>
      </c>
      <c r="S3353" t="str">
        <f>VLOOKUP(record[[#This Row],[employeeID]],員工[],2,FALSE)</f>
        <v>阮秋霞</v>
      </c>
    </row>
    <row r="3354" spans="6:19" hidden="1" x14ac:dyDescent="0.25">
      <c r="F3354" t="s">
        <v>1589</v>
      </c>
      <c r="G3354" t="s">
        <v>417</v>
      </c>
      <c r="H3354" t="str">
        <f>VLOOKUP(record[[#This Row],[ProcessSN]],表格2_7[],2,FALSE)</f>
        <v>30-4118-018-5XX</v>
      </c>
      <c r="I3354" t="str">
        <f>VLOOKUP(record[[#This Row],[ProcessSN]],表格2_7[],3,FALSE)</f>
        <v>#06</v>
      </c>
      <c r="J3354" t="s">
        <v>593</v>
      </c>
      <c r="K3354" s="195">
        <v>46094.645057870373</v>
      </c>
      <c r="L3354">
        <v>34</v>
      </c>
      <c r="M3354">
        <v>0</v>
      </c>
      <c r="N3354" s="98" t="str">
        <f>IF(record[[#This Row],[Memo]]="Browser:chrome os:android","平板報工",IF(record[[#This Row],[Memo]]=0,"委外",record[[#This Row],[Memo]]))</f>
        <v>平板報工</v>
      </c>
      <c r="O3354" t="s">
        <v>643</v>
      </c>
      <c r="P3354" t="s">
        <v>1413</v>
      </c>
      <c r="Q3354" t="s">
        <v>644</v>
      </c>
      <c r="R3354" t="str">
        <f>IFERROR(VLOOKUP(record[[#This Row],[PCUSTID]],廠商[],2,FALSE),"")</f>
        <v/>
      </c>
      <c r="S3354" t="str">
        <f>VLOOKUP(record[[#This Row],[employeeID]],員工[],2,FALSE)</f>
        <v>阮氏芳英(芳)</v>
      </c>
    </row>
    <row r="3355" spans="6:19" hidden="1" x14ac:dyDescent="0.25">
      <c r="F3355" t="s">
        <v>1617</v>
      </c>
      <c r="G3355" t="s">
        <v>360</v>
      </c>
      <c r="H3355" t="str">
        <f>VLOOKUP(record[[#This Row],[ProcessSN]],表格2_7[],2,FALSE)</f>
        <v>30-4118-018-450</v>
      </c>
      <c r="I3355" t="str">
        <f>VLOOKUP(record[[#This Row],[ProcessSN]],表格2_7[],3,FALSE)</f>
        <v>#100OQC</v>
      </c>
      <c r="J3355" t="s">
        <v>599</v>
      </c>
      <c r="K3355" s="195">
        <v>46094.643935185188</v>
      </c>
      <c r="L3355">
        <v>33</v>
      </c>
      <c r="M3355">
        <v>0</v>
      </c>
      <c r="N3355" s="98" t="str">
        <f>IF(record[[#This Row],[Memo]]="Browser:chrome os:android","平板報工",IF(record[[#This Row],[Memo]]=0,"委外",record[[#This Row],[Memo]]))</f>
        <v/>
      </c>
      <c r="O3355" t="s">
        <v>58</v>
      </c>
      <c r="P3355" t="s">
        <v>121</v>
      </c>
      <c r="Q3355" t="s">
        <v>58</v>
      </c>
      <c r="R3355" t="str">
        <f>IFERROR(VLOOKUP(record[[#This Row],[PCUSTID]],廠商[],2,FALSE),"")</f>
        <v/>
      </c>
      <c r="S3355" t="str">
        <f>VLOOKUP(record[[#This Row],[employeeID]],員工[],2,FALSE)</f>
        <v>謝素卿</v>
      </c>
    </row>
    <row r="3356" spans="6:19" hidden="1" x14ac:dyDescent="0.25">
      <c r="F3356" t="s">
        <v>1596</v>
      </c>
      <c r="G3356" t="s">
        <v>428</v>
      </c>
      <c r="H3356" t="str">
        <f>VLOOKUP(record[[#This Row],[ProcessSN]],表格2_7[],2,FALSE)</f>
        <v>30-4118-018-600</v>
      </c>
      <c r="I3356" t="str">
        <f>VLOOKUP(record[[#This Row],[ProcessSN]],表格2_7[],3,FALSE)</f>
        <v>#100SHIP</v>
      </c>
      <c r="J3356" t="s">
        <v>600</v>
      </c>
      <c r="K3356" s="195">
        <v>46094.564687500002</v>
      </c>
      <c r="L3356">
        <v>1</v>
      </c>
      <c r="M3356">
        <v>0</v>
      </c>
      <c r="N3356" s="98" t="str">
        <f>IF(record[[#This Row],[Memo]]="Browser:chrome os:android","平板報工",IF(record[[#This Row],[Memo]]=0,"委外",record[[#This Row],[Memo]]))</f>
        <v/>
      </c>
      <c r="O3356" t="s">
        <v>58</v>
      </c>
      <c r="P3356" t="s">
        <v>886</v>
      </c>
      <c r="Q3356" t="s">
        <v>58</v>
      </c>
      <c r="R3356" t="str">
        <f>IFERROR(VLOOKUP(record[[#This Row],[PCUSTID]],廠商[],2,FALSE),"")</f>
        <v/>
      </c>
      <c r="S3356" t="str">
        <f>VLOOKUP(record[[#This Row],[employeeID]],員工[],2,FALSE)</f>
        <v>謝蓁薰</v>
      </c>
    </row>
    <row r="3357" spans="6:19" hidden="1" x14ac:dyDescent="0.25">
      <c r="F3357" t="s">
        <v>1596</v>
      </c>
      <c r="G3357" t="s">
        <v>427</v>
      </c>
      <c r="H3357" t="str">
        <f>VLOOKUP(record[[#This Row],[ProcessSN]],表格2_7[],2,FALSE)</f>
        <v>30-4118-018-600</v>
      </c>
      <c r="I3357" t="str">
        <f>VLOOKUP(record[[#This Row],[ProcessSN]],表格2_7[],3,FALSE)</f>
        <v>#100STOCK</v>
      </c>
      <c r="J3357" t="s">
        <v>592</v>
      </c>
      <c r="K3357" s="195">
        <v>46094.56459490741</v>
      </c>
      <c r="L3357">
        <v>1</v>
      </c>
      <c r="M3357">
        <v>0</v>
      </c>
      <c r="N3357" s="98" t="str">
        <f>IF(record[[#This Row],[Memo]]="Browser:chrome os:android","平板報工",IF(record[[#This Row],[Memo]]=0,"委外",record[[#This Row],[Memo]]))</f>
        <v/>
      </c>
      <c r="O3357" t="s">
        <v>58</v>
      </c>
      <c r="P3357" t="s">
        <v>886</v>
      </c>
      <c r="Q3357" t="s">
        <v>58</v>
      </c>
      <c r="R3357" t="str">
        <f>IFERROR(VLOOKUP(record[[#This Row],[PCUSTID]],廠商[],2,FALSE),"")</f>
        <v/>
      </c>
      <c r="S3357" t="str">
        <f>VLOOKUP(record[[#This Row],[employeeID]],員工[],2,FALSE)</f>
        <v>謝蓁薰</v>
      </c>
    </row>
    <row r="3358" spans="6:19" hidden="1" x14ac:dyDescent="0.25">
      <c r="F3358" t="s">
        <v>1605</v>
      </c>
      <c r="G3358" t="s">
        <v>403</v>
      </c>
      <c r="H3358" t="str">
        <f>VLOOKUP(record[[#This Row],[ProcessSN]],表格2_7[],2,FALSE)</f>
        <v>30-4118-018-550</v>
      </c>
      <c r="I3358" t="str">
        <f>VLOOKUP(record[[#This Row],[ProcessSN]],表格2_7[],3,FALSE)</f>
        <v>#100SHIP</v>
      </c>
      <c r="J3358" t="s">
        <v>600</v>
      </c>
      <c r="K3358" s="195">
        <v>46094.564363425925</v>
      </c>
      <c r="L3358">
        <v>222</v>
      </c>
      <c r="M3358">
        <v>0</v>
      </c>
      <c r="N3358" s="98" t="str">
        <f>IF(record[[#This Row],[Memo]]="Browser:chrome os:android","平板報工",IF(record[[#This Row],[Memo]]=0,"委外",record[[#This Row],[Memo]]))</f>
        <v/>
      </c>
      <c r="O3358" t="s">
        <v>58</v>
      </c>
      <c r="P3358" t="s">
        <v>886</v>
      </c>
      <c r="Q3358" t="s">
        <v>58</v>
      </c>
      <c r="R3358" t="str">
        <f>IFERROR(VLOOKUP(record[[#This Row],[PCUSTID]],廠商[],2,FALSE),"")</f>
        <v/>
      </c>
      <c r="S3358" t="str">
        <f>VLOOKUP(record[[#This Row],[employeeID]],員工[],2,FALSE)</f>
        <v>謝蓁薰</v>
      </c>
    </row>
    <row r="3359" spans="6:19" hidden="1" x14ac:dyDescent="0.25">
      <c r="F3359" t="s">
        <v>1605</v>
      </c>
      <c r="G3359" t="s">
        <v>402</v>
      </c>
      <c r="H3359" t="str">
        <f>VLOOKUP(record[[#This Row],[ProcessSN]],表格2_7[],2,FALSE)</f>
        <v>30-4118-018-550</v>
      </c>
      <c r="I3359" t="str">
        <f>VLOOKUP(record[[#This Row],[ProcessSN]],表格2_7[],3,FALSE)</f>
        <v>#100STOCK</v>
      </c>
      <c r="J3359" t="s">
        <v>592</v>
      </c>
      <c r="K3359" s="195">
        <v>46094.564212962963</v>
      </c>
      <c r="L3359">
        <v>3</v>
      </c>
      <c r="M3359">
        <v>0</v>
      </c>
      <c r="N3359" s="98" t="str">
        <f>IF(record[[#This Row],[Memo]]="Browser:chrome os:android","平板報工",IF(record[[#This Row],[Memo]]=0,"委外",record[[#This Row],[Memo]]))</f>
        <v/>
      </c>
      <c r="O3359" t="s">
        <v>58</v>
      </c>
      <c r="P3359" t="s">
        <v>886</v>
      </c>
      <c r="Q3359" t="s">
        <v>58</v>
      </c>
      <c r="R3359" t="str">
        <f>IFERROR(VLOOKUP(record[[#This Row],[PCUSTID]],廠商[],2,FALSE),"")</f>
        <v/>
      </c>
      <c r="S3359" t="str">
        <f>VLOOKUP(record[[#This Row],[employeeID]],員工[],2,FALSE)</f>
        <v>謝蓁薰</v>
      </c>
    </row>
    <row r="3360" spans="6:19" hidden="1" x14ac:dyDescent="0.25">
      <c r="F3360" t="s">
        <v>1603</v>
      </c>
      <c r="G3360" t="s">
        <v>403</v>
      </c>
      <c r="H3360" t="str">
        <f>VLOOKUP(record[[#This Row],[ProcessSN]],表格2_7[],2,FALSE)</f>
        <v>30-4118-018-550</v>
      </c>
      <c r="I3360" t="str">
        <f>VLOOKUP(record[[#This Row],[ProcessSN]],表格2_7[],3,FALSE)</f>
        <v>#100SHIP</v>
      </c>
      <c r="J3360" t="s">
        <v>600</v>
      </c>
      <c r="K3360" s="195">
        <v>46094.563240740739</v>
      </c>
      <c r="L3360">
        <v>233</v>
      </c>
      <c r="M3360">
        <v>0</v>
      </c>
      <c r="N3360" s="98" t="str">
        <f>IF(record[[#This Row],[Memo]]="Browser:chrome os:android","平板報工",IF(record[[#This Row],[Memo]]=0,"委外",record[[#This Row],[Memo]]))</f>
        <v/>
      </c>
      <c r="O3360" t="s">
        <v>58</v>
      </c>
      <c r="P3360" t="s">
        <v>886</v>
      </c>
      <c r="Q3360" t="s">
        <v>58</v>
      </c>
      <c r="R3360" t="str">
        <f>IFERROR(VLOOKUP(record[[#This Row],[PCUSTID]],廠商[],2,FALSE),"")</f>
        <v/>
      </c>
      <c r="S3360" t="str">
        <f>VLOOKUP(record[[#This Row],[employeeID]],員工[],2,FALSE)</f>
        <v>謝蓁薰</v>
      </c>
    </row>
    <row r="3361" spans="6:19" hidden="1" x14ac:dyDescent="0.25">
      <c r="F3361" t="s">
        <v>1605</v>
      </c>
      <c r="G3361" t="s">
        <v>402</v>
      </c>
      <c r="H3361" t="str">
        <f>VLOOKUP(record[[#This Row],[ProcessSN]],表格2_7[],2,FALSE)</f>
        <v>30-4118-018-550</v>
      </c>
      <c r="I3361" t="str">
        <f>VLOOKUP(record[[#This Row],[ProcessSN]],表格2_7[],3,FALSE)</f>
        <v>#100STOCK</v>
      </c>
      <c r="J3361" t="s">
        <v>592</v>
      </c>
      <c r="K3361" s="195">
        <v>46094.563136574077</v>
      </c>
      <c r="L3361">
        <v>219</v>
      </c>
      <c r="M3361">
        <v>0</v>
      </c>
      <c r="N3361" s="98" t="str">
        <f>IF(record[[#This Row],[Memo]]="Browser:chrome os:android","平板報工",IF(record[[#This Row],[Memo]]=0,"委外",record[[#This Row],[Memo]]))</f>
        <v/>
      </c>
      <c r="O3361" t="s">
        <v>58</v>
      </c>
      <c r="P3361" t="s">
        <v>886</v>
      </c>
      <c r="Q3361" t="s">
        <v>58</v>
      </c>
      <c r="R3361" t="str">
        <f>IFERROR(VLOOKUP(record[[#This Row],[PCUSTID]],廠商[],2,FALSE),"")</f>
        <v/>
      </c>
      <c r="S3361" t="str">
        <f>VLOOKUP(record[[#This Row],[employeeID]],員工[],2,FALSE)</f>
        <v>謝蓁薰</v>
      </c>
    </row>
    <row r="3362" spans="6:19" hidden="1" x14ac:dyDescent="0.25">
      <c r="F3362" t="s">
        <v>1603</v>
      </c>
      <c r="G3362" t="s">
        <v>402</v>
      </c>
      <c r="H3362" t="str">
        <f>VLOOKUP(record[[#This Row],[ProcessSN]],表格2_7[],2,FALSE)</f>
        <v>30-4118-018-550</v>
      </c>
      <c r="I3362" t="str">
        <f>VLOOKUP(record[[#This Row],[ProcessSN]],表格2_7[],3,FALSE)</f>
        <v>#100STOCK</v>
      </c>
      <c r="J3362" t="s">
        <v>592</v>
      </c>
      <c r="K3362" s="195">
        <v>46094.562986111108</v>
      </c>
      <c r="L3362">
        <v>233</v>
      </c>
      <c r="M3362">
        <v>0</v>
      </c>
      <c r="N3362" s="98" t="str">
        <f>IF(record[[#This Row],[Memo]]="Browser:chrome os:android","平板報工",IF(record[[#This Row],[Memo]]=0,"委外",record[[#This Row],[Memo]]))</f>
        <v/>
      </c>
      <c r="O3362" t="s">
        <v>58</v>
      </c>
      <c r="P3362" t="s">
        <v>886</v>
      </c>
      <c r="Q3362" t="s">
        <v>58</v>
      </c>
      <c r="R3362" t="str">
        <f>IFERROR(VLOOKUP(record[[#This Row],[PCUSTID]],廠商[],2,FALSE),"")</f>
        <v/>
      </c>
      <c r="S3362" t="str">
        <f>VLOOKUP(record[[#This Row],[employeeID]],員工[],2,FALSE)</f>
        <v>謝蓁薰</v>
      </c>
    </row>
    <row r="3363" spans="6:19" hidden="1" x14ac:dyDescent="0.25">
      <c r="F3363" t="s">
        <v>1580</v>
      </c>
      <c r="G3363" t="s">
        <v>469</v>
      </c>
      <c r="H3363" t="str">
        <f>VLOOKUP(record[[#This Row],[ProcessSN]],表格2_7[],2,FALSE)</f>
        <v>30-4118-018-XXX</v>
      </c>
      <c r="I3363" t="str">
        <f>VLOOKUP(record[[#This Row],[ProcessSN]],表格2_7[],3,FALSE)</f>
        <v>#02RCV</v>
      </c>
      <c r="J3363" t="s">
        <v>591</v>
      </c>
      <c r="K3363" s="195">
        <v>46094.410856481481</v>
      </c>
      <c r="L3363">
        <v>672</v>
      </c>
      <c r="M3363">
        <v>0</v>
      </c>
      <c r="N3363" s="98" t="str">
        <f>IF(record[[#This Row],[Memo]]="Browser:chrome os:android","平板報工",IF(record[[#This Row],[Memo]]=0,"委外",record[[#This Row],[Memo]]))</f>
        <v/>
      </c>
      <c r="O3363" t="s">
        <v>58</v>
      </c>
      <c r="P3363" t="s">
        <v>1611</v>
      </c>
      <c r="Q3363" t="s">
        <v>58</v>
      </c>
      <c r="R3363" t="str">
        <f>IFERROR(VLOOKUP(record[[#This Row],[PCUSTID]],廠商[],2,FALSE),"")</f>
        <v/>
      </c>
      <c r="S3363" t="str">
        <f>VLOOKUP(record[[#This Row],[employeeID]],員工[],2,FALSE)</f>
        <v>林沛瑄</v>
      </c>
    </row>
    <row r="3364" spans="6:19" hidden="1" x14ac:dyDescent="0.25">
      <c r="F3364" t="s">
        <v>1602</v>
      </c>
      <c r="G3364" t="s">
        <v>468</v>
      </c>
      <c r="H3364" t="str">
        <f>VLOOKUP(record[[#This Row],[ProcessSN]],表格2_7[],2,FALSE)</f>
        <v>30-4118-018-XXX</v>
      </c>
      <c r="I3364" t="str">
        <f>VLOOKUP(record[[#This Row],[ProcessSN]],表格2_7[],3,FALSE)</f>
        <v>#02</v>
      </c>
      <c r="J3364" t="s">
        <v>590</v>
      </c>
      <c r="K3364" s="195">
        <v>46094.379189814812</v>
      </c>
      <c r="L3364">
        <v>840</v>
      </c>
      <c r="M3364">
        <v>0</v>
      </c>
      <c r="N3364" s="98" t="str">
        <f>IF(record[[#This Row],[Memo]]="Browser:chrome os:android","平板報工",IF(record[[#This Row],[Memo]]=0,"委外",record[[#This Row],[Memo]]))</f>
        <v>委外</v>
      </c>
      <c r="P3364" t="s">
        <v>113</v>
      </c>
      <c r="Q3364" t="s">
        <v>216</v>
      </c>
      <c r="R3364" t="str">
        <f>IFERROR(VLOOKUP(record[[#This Row],[PCUSTID]],廠商[],2,FALSE),"")</f>
        <v>俊杰</v>
      </c>
      <c r="S3364" t="str">
        <f>VLOOKUP(record[[#This Row],[employeeID]],員工[],2,FALSE)</f>
        <v>王奕蓁</v>
      </c>
    </row>
    <row r="3365" spans="6:19" hidden="1" x14ac:dyDescent="0.25">
      <c r="F3365" t="s">
        <v>1602</v>
      </c>
      <c r="G3365" t="s">
        <v>467</v>
      </c>
      <c r="H3365" t="str">
        <f>VLOOKUP(record[[#This Row],[ProcessSN]],表格2_7[],2,FALSE)</f>
        <v>30-4118-018-XXX</v>
      </c>
      <c r="I3365" t="str">
        <f>VLOOKUP(record[[#This Row],[ProcessSN]],表格2_7[],3,FALSE)</f>
        <v>#01QC</v>
      </c>
      <c r="J3365" t="s">
        <v>589</v>
      </c>
      <c r="K3365" s="195">
        <v>46094.376423611109</v>
      </c>
      <c r="L3365">
        <v>840</v>
      </c>
      <c r="M3365">
        <v>0</v>
      </c>
      <c r="N3365" s="98" t="str">
        <f>IF(record[[#This Row],[Memo]]="Browser:chrome os:android","平板報工",IF(record[[#This Row],[Memo]]=0,"委外",record[[#This Row],[Memo]]))</f>
        <v>平板報工</v>
      </c>
      <c r="O3365" t="s">
        <v>643</v>
      </c>
      <c r="P3365" t="s">
        <v>182</v>
      </c>
      <c r="Q3365" t="s">
        <v>644</v>
      </c>
      <c r="R3365" t="str">
        <f>IFERROR(VLOOKUP(record[[#This Row],[PCUSTID]],廠商[],2,FALSE),"")</f>
        <v/>
      </c>
      <c r="S3365" t="str">
        <f>VLOOKUP(record[[#This Row],[employeeID]],員工[],2,FALSE)</f>
        <v>梅氏和</v>
      </c>
    </row>
    <row r="3366" spans="6:19" hidden="1" x14ac:dyDescent="0.25">
      <c r="F3366" t="s">
        <v>1617</v>
      </c>
      <c r="G3366" t="s">
        <v>359</v>
      </c>
      <c r="H3366" t="str">
        <f>VLOOKUP(record[[#This Row],[ProcessSN]],表格2_7[],2,FALSE)</f>
        <v>30-4118-018-450</v>
      </c>
      <c r="I3366" t="str">
        <f>VLOOKUP(record[[#This Row],[ProcessSN]],表格2_7[],3,FALSE)</f>
        <v>#100</v>
      </c>
      <c r="J3366" t="s">
        <v>598</v>
      </c>
      <c r="K3366" s="195">
        <v>46094.351041666669</v>
      </c>
      <c r="L3366">
        <v>33</v>
      </c>
      <c r="M3366">
        <v>0</v>
      </c>
      <c r="N3366" s="98" t="str">
        <f>IF(record[[#This Row],[Memo]]="Browser:chrome os:android","平板報工",IF(record[[#This Row],[Memo]]=0,"委外",record[[#This Row],[Memo]]))</f>
        <v/>
      </c>
      <c r="O3366" t="s">
        <v>58</v>
      </c>
      <c r="P3366" t="s">
        <v>141</v>
      </c>
      <c r="Q3366" t="s">
        <v>58</v>
      </c>
      <c r="R3366" t="str">
        <f>IFERROR(VLOOKUP(record[[#This Row],[PCUSTID]],廠商[],2,FALSE),"")</f>
        <v/>
      </c>
      <c r="S3366" t="str">
        <f>VLOOKUP(record[[#This Row],[employeeID]],員工[],2,FALSE)</f>
        <v>蔣梅</v>
      </c>
    </row>
    <row r="3367" spans="6:19" hidden="1" x14ac:dyDescent="0.25">
      <c r="F3367" t="s">
        <v>1589</v>
      </c>
      <c r="G3367" t="s">
        <v>417</v>
      </c>
      <c r="H3367" t="str">
        <f>VLOOKUP(record[[#This Row],[ProcessSN]],表格2_7[],2,FALSE)</f>
        <v>30-4118-018-5XX</v>
      </c>
      <c r="I3367" t="str">
        <f>VLOOKUP(record[[#This Row],[ProcessSN]],表格2_7[],3,FALSE)</f>
        <v>#06</v>
      </c>
      <c r="J3367" t="s">
        <v>593</v>
      </c>
      <c r="K3367" s="195">
        <v>46094.299988425926</v>
      </c>
      <c r="L3367">
        <v>65</v>
      </c>
      <c r="M3367">
        <v>0</v>
      </c>
      <c r="N3367" s="98" t="str">
        <f>IF(record[[#This Row],[Memo]]="Browser:chrome os:android","平板報工",IF(record[[#This Row],[Memo]]=0,"委外",record[[#This Row],[Memo]]))</f>
        <v/>
      </c>
      <c r="O3367" t="s">
        <v>58</v>
      </c>
      <c r="P3367" t="s">
        <v>115</v>
      </c>
      <c r="Q3367" t="s">
        <v>58</v>
      </c>
      <c r="R3367" t="str">
        <f>IFERROR(VLOOKUP(record[[#This Row],[PCUSTID]],廠商[],2,FALSE),"")</f>
        <v/>
      </c>
      <c r="S3367" t="str">
        <f>VLOOKUP(record[[#This Row],[employeeID]],員工[],2,FALSE)</f>
        <v>溫智淵</v>
      </c>
    </row>
    <row r="3368" spans="6:19" hidden="1" x14ac:dyDescent="0.25">
      <c r="F3368" t="s">
        <v>1568</v>
      </c>
      <c r="G3368" t="s">
        <v>418</v>
      </c>
      <c r="H3368" t="str">
        <f>VLOOKUP(record[[#This Row],[ProcessSN]],表格2_7[],2,FALSE)</f>
        <v>30-4118-018-5XX</v>
      </c>
      <c r="I3368" t="str">
        <f>VLOOKUP(record[[#This Row],[ProcessSN]],表格2_7[],3,FALSE)</f>
        <v>#07</v>
      </c>
      <c r="J3368" t="s">
        <v>588</v>
      </c>
      <c r="K3368" s="195">
        <v>46094.299525462964</v>
      </c>
      <c r="L3368">
        <v>80</v>
      </c>
      <c r="M3368">
        <v>0</v>
      </c>
      <c r="N3368" s="98" t="str">
        <f>IF(record[[#This Row],[Memo]]="Browser:chrome os:android","平板報工",IF(record[[#This Row],[Memo]]=0,"委外",record[[#This Row],[Memo]]))</f>
        <v/>
      </c>
      <c r="O3368" t="s">
        <v>58</v>
      </c>
      <c r="P3368" t="s">
        <v>843</v>
      </c>
      <c r="Q3368" t="s">
        <v>58</v>
      </c>
      <c r="R3368" t="str">
        <f>IFERROR(VLOOKUP(record[[#This Row],[PCUSTID]],廠商[],2,FALSE),"")</f>
        <v/>
      </c>
      <c r="S3368" t="str">
        <f>VLOOKUP(record[[#This Row],[employeeID]],員工[],2,FALSE)</f>
        <v>張楚承</v>
      </c>
    </row>
    <row r="3369" spans="6:19" hidden="1" x14ac:dyDescent="0.25">
      <c r="F3369" t="s">
        <v>1589</v>
      </c>
      <c r="G3369" t="s">
        <v>418</v>
      </c>
      <c r="H3369" t="str">
        <f>VLOOKUP(record[[#This Row],[ProcessSN]],表格2_7[],2,FALSE)</f>
        <v>30-4118-018-5XX</v>
      </c>
      <c r="I3369" t="str">
        <f>VLOOKUP(record[[#This Row],[ProcessSN]],表格2_7[],3,FALSE)</f>
        <v>#07</v>
      </c>
      <c r="J3369" t="s">
        <v>588</v>
      </c>
      <c r="K3369" s="195">
        <v>46094.299386574072</v>
      </c>
      <c r="L3369">
        <v>17</v>
      </c>
      <c r="M3369">
        <v>0</v>
      </c>
      <c r="N3369" s="98" t="str">
        <f>IF(record[[#This Row],[Memo]]="Browser:chrome os:android","平板報工",IF(record[[#This Row],[Memo]]=0,"委外",record[[#This Row],[Memo]]))</f>
        <v/>
      </c>
      <c r="O3369" t="s">
        <v>58</v>
      </c>
      <c r="P3369" t="s">
        <v>843</v>
      </c>
      <c r="Q3369" t="s">
        <v>58</v>
      </c>
      <c r="R3369" t="str">
        <f>IFERROR(VLOOKUP(record[[#This Row],[PCUSTID]],廠商[],2,FALSE),"")</f>
        <v/>
      </c>
      <c r="S3369" t="str">
        <f>VLOOKUP(record[[#This Row],[employeeID]],員工[],2,FALSE)</f>
        <v>張楚承</v>
      </c>
    </row>
    <row r="3370" spans="6:19" hidden="1" x14ac:dyDescent="0.25">
      <c r="F3370" t="s">
        <v>1589</v>
      </c>
      <c r="G3370" t="s">
        <v>416</v>
      </c>
      <c r="H3370" t="str">
        <f>VLOOKUP(record[[#This Row],[ProcessSN]],表格2_7[],2,FALSE)</f>
        <v>30-4118-018-5XX</v>
      </c>
      <c r="I3370" t="str">
        <f>VLOOKUP(record[[#This Row],[ProcessSN]],表格2_7[],3,FALSE)</f>
        <v>#05</v>
      </c>
      <c r="J3370" t="s">
        <v>588</v>
      </c>
      <c r="K3370" s="195">
        <v>46094.298900462964</v>
      </c>
      <c r="L3370">
        <v>152</v>
      </c>
      <c r="M3370">
        <v>0</v>
      </c>
      <c r="N3370" s="98" t="str">
        <f>IF(record[[#This Row],[Memo]]="Browser:chrome os:android","平板報工",IF(record[[#This Row],[Memo]]=0,"委外",record[[#This Row],[Memo]]))</f>
        <v/>
      </c>
      <c r="O3370" t="s">
        <v>58</v>
      </c>
      <c r="P3370" t="s">
        <v>843</v>
      </c>
      <c r="Q3370" t="s">
        <v>58</v>
      </c>
      <c r="R3370" t="str">
        <f>IFERROR(VLOOKUP(record[[#This Row],[PCUSTID]],廠商[],2,FALSE),"")</f>
        <v/>
      </c>
      <c r="S3370" t="str">
        <f>VLOOKUP(record[[#This Row],[employeeID]],員工[],2,FALSE)</f>
        <v>張楚承</v>
      </c>
    </row>
    <row r="3371" spans="6:19" hidden="1" x14ac:dyDescent="0.25">
      <c r="F3371" t="s">
        <v>1589</v>
      </c>
      <c r="G3371" t="s">
        <v>417</v>
      </c>
      <c r="H3371" t="str">
        <f>VLOOKUP(record[[#This Row],[ProcessSN]],表格2_7[],2,FALSE)</f>
        <v>30-4118-018-5XX</v>
      </c>
      <c r="I3371" t="str">
        <f>VLOOKUP(record[[#This Row],[ProcessSN]],表格2_7[],3,FALSE)</f>
        <v>#06</v>
      </c>
      <c r="J3371" t="s">
        <v>593</v>
      </c>
      <c r="K3371" s="195">
        <v>46094.298784722225</v>
      </c>
      <c r="L3371">
        <v>133</v>
      </c>
      <c r="M3371">
        <v>0</v>
      </c>
      <c r="N3371" s="98" t="str">
        <f>IF(record[[#This Row],[Memo]]="Browser:chrome os:android","平板報工",IF(record[[#This Row],[Memo]]=0,"委外",record[[#This Row],[Memo]]))</f>
        <v>平板報工</v>
      </c>
      <c r="O3371" t="s">
        <v>643</v>
      </c>
      <c r="P3371" t="s">
        <v>170</v>
      </c>
      <c r="Q3371" t="s">
        <v>644</v>
      </c>
      <c r="R3371" t="str">
        <f>IFERROR(VLOOKUP(record[[#This Row],[PCUSTID]],廠商[],2,FALSE),"")</f>
        <v/>
      </c>
      <c r="S3371" t="str">
        <f>VLOOKUP(record[[#This Row],[employeeID]],員工[],2,FALSE)</f>
        <v>黃清宇</v>
      </c>
    </row>
    <row r="3372" spans="6:19" hidden="1" x14ac:dyDescent="0.25">
      <c r="F3372" t="s">
        <v>1587</v>
      </c>
      <c r="G3372" t="s">
        <v>374</v>
      </c>
      <c r="H3372" t="str">
        <f>VLOOKUP(record[[#This Row],[ProcessSN]],表格2_7[],2,FALSE)</f>
        <v>30-4118-018-4XX</v>
      </c>
      <c r="I3372" t="str">
        <f>VLOOKUP(record[[#This Row],[ProcessSN]],表格2_7[],3,FALSE)</f>
        <v>#04</v>
      </c>
      <c r="J3372" t="s">
        <v>588</v>
      </c>
      <c r="K3372" s="195">
        <v>46094.298437500001</v>
      </c>
      <c r="L3372">
        <v>48</v>
      </c>
      <c r="M3372">
        <v>7</v>
      </c>
      <c r="N3372" s="98" t="str">
        <f>IF(record[[#This Row],[Memo]]="Browser:chrome os:android","平板報工",IF(record[[#This Row],[Memo]]=0,"委外",record[[#This Row],[Memo]]))</f>
        <v/>
      </c>
      <c r="O3372" t="s">
        <v>58</v>
      </c>
      <c r="P3372" t="s">
        <v>843</v>
      </c>
      <c r="Q3372" t="s">
        <v>58</v>
      </c>
      <c r="R3372" t="str">
        <f>IFERROR(VLOOKUP(record[[#This Row],[PCUSTID]],廠商[],2,FALSE),"")</f>
        <v/>
      </c>
      <c r="S3372" t="str">
        <f>VLOOKUP(record[[#This Row],[employeeID]],員工[],2,FALSE)</f>
        <v>張楚承</v>
      </c>
    </row>
    <row r="3373" spans="6:19" hidden="1" x14ac:dyDescent="0.25">
      <c r="F3373" t="s">
        <v>1589</v>
      </c>
      <c r="G3373" t="s">
        <v>415</v>
      </c>
      <c r="H3373" t="str">
        <f>VLOOKUP(record[[#This Row],[ProcessSN]],表格2_7[],2,FALSE)</f>
        <v>30-4118-018-5XX</v>
      </c>
      <c r="I3373" t="str">
        <f>VLOOKUP(record[[#This Row],[ProcessSN]],表格2_7[],3,FALSE)</f>
        <v>#04</v>
      </c>
      <c r="J3373" t="s">
        <v>588</v>
      </c>
      <c r="K3373" s="195">
        <v>46094.298252314817</v>
      </c>
      <c r="L3373">
        <v>74</v>
      </c>
      <c r="M3373">
        <v>0</v>
      </c>
      <c r="N3373" s="98" t="str">
        <f>IF(record[[#This Row],[Memo]]="Browser:chrome os:android","平板報工",IF(record[[#This Row],[Memo]]=0,"委外",record[[#This Row],[Memo]]))</f>
        <v/>
      </c>
      <c r="O3373" t="s">
        <v>58</v>
      </c>
      <c r="P3373" t="s">
        <v>843</v>
      </c>
      <c r="Q3373" t="s">
        <v>58</v>
      </c>
      <c r="R3373" t="str">
        <f>IFERROR(VLOOKUP(record[[#This Row],[PCUSTID]],廠商[],2,FALSE),"")</f>
        <v/>
      </c>
      <c r="S3373" t="str">
        <f>VLOOKUP(record[[#This Row],[employeeID]],員工[],2,FALSE)</f>
        <v>張楚承</v>
      </c>
    </row>
    <row r="3374" spans="6:19" hidden="1" x14ac:dyDescent="0.25">
      <c r="F3374" t="s">
        <v>1589</v>
      </c>
      <c r="G3374" t="s">
        <v>417</v>
      </c>
      <c r="H3374" t="str">
        <f>VLOOKUP(record[[#This Row],[ProcessSN]],表格2_7[],2,FALSE)</f>
        <v>30-4118-018-5XX</v>
      </c>
      <c r="I3374" t="str">
        <f>VLOOKUP(record[[#This Row],[ProcessSN]],表格2_7[],3,FALSE)</f>
        <v>#06</v>
      </c>
      <c r="J3374" t="s">
        <v>593</v>
      </c>
      <c r="K3374" s="195">
        <v>46093.981562499997</v>
      </c>
      <c r="L3374">
        <v>60</v>
      </c>
      <c r="M3374">
        <v>0</v>
      </c>
      <c r="N3374" s="98" t="str">
        <f>IF(record[[#This Row],[Memo]]="Browser:chrome os:android","平板報工",IF(record[[#This Row],[Memo]]=0,"委外",record[[#This Row],[Memo]]))</f>
        <v/>
      </c>
      <c r="O3374" t="s">
        <v>58</v>
      </c>
      <c r="P3374" t="s">
        <v>841</v>
      </c>
      <c r="Q3374" t="s">
        <v>58</v>
      </c>
      <c r="R3374" t="str">
        <f>IFERROR(VLOOKUP(record[[#This Row],[PCUSTID]],廠商[],2,FALSE),"")</f>
        <v/>
      </c>
      <c r="S3374" t="str">
        <f>VLOOKUP(record[[#This Row],[employeeID]],員工[],2,FALSE)</f>
        <v>范氏香</v>
      </c>
    </row>
    <row r="3375" spans="6:19" hidden="1" x14ac:dyDescent="0.25">
      <c r="F3375" t="s">
        <v>1589</v>
      </c>
      <c r="G3375" t="s">
        <v>416</v>
      </c>
      <c r="H3375" t="str">
        <f>VLOOKUP(record[[#This Row],[ProcessSN]],表格2_7[],2,FALSE)</f>
        <v>30-4118-018-5XX</v>
      </c>
      <c r="I3375" t="str">
        <f>VLOOKUP(record[[#This Row],[ProcessSN]],表格2_7[],3,FALSE)</f>
        <v>#05</v>
      </c>
      <c r="J3375" t="s">
        <v>588</v>
      </c>
      <c r="K3375" s="195">
        <v>46093.980682870373</v>
      </c>
      <c r="L3375">
        <v>168</v>
      </c>
      <c r="M3375">
        <v>0</v>
      </c>
      <c r="N3375" s="98" t="str">
        <f>IF(record[[#This Row],[Memo]]="Browser:chrome os:android","平板報工",IF(record[[#This Row],[Memo]]=0,"委外",record[[#This Row],[Memo]]))</f>
        <v/>
      </c>
      <c r="O3375" t="s">
        <v>58</v>
      </c>
      <c r="P3375" t="s">
        <v>1098</v>
      </c>
      <c r="Q3375" t="s">
        <v>58</v>
      </c>
      <c r="R3375" t="str">
        <f>IFERROR(VLOOKUP(record[[#This Row],[PCUSTID]],廠商[],2,FALSE),"")</f>
        <v/>
      </c>
      <c r="S3375" t="str">
        <f>VLOOKUP(record[[#This Row],[employeeID]],員工[],2,FALSE)</f>
        <v>阮氏芳英(英)</v>
      </c>
    </row>
    <row r="3376" spans="6:19" hidden="1" x14ac:dyDescent="0.25">
      <c r="F3376" t="s">
        <v>1589</v>
      </c>
      <c r="G3376" t="s">
        <v>415</v>
      </c>
      <c r="H3376" t="str">
        <f>VLOOKUP(record[[#This Row],[ProcessSN]],表格2_7[],2,FALSE)</f>
        <v>30-4118-018-5XX</v>
      </c>
      <c r="I3376" t="str">
        <f>VLOOKUP(record[[#This Row],[ProcessSN]],表格2_7[],3,FALSE)</f>
        <v>#04</v>
      </c>
      <c r="J3376" t="s">
        <v>588</v>
      </c>
      <c r="K3376" s="195">
        <v>46093.978449074071</v>
      </c>
      <c r="L3376">
        <v>131</v>
      </c>
      <c r="M3376">
        <v>0</v>
      </c>
      <c r="N3376" s="98" t="str">
        <f>IF(record[[#This Row],[Memo]]="Browser:chrome os:android","平板報工",IF(record[[#This Row],[Memo]]=0,"委外",record[[#This Row],[Memo]]))</f>
        <v/>
      </c>
      <c r="O3376" t="s">
        <v>58</v>
      </c>
      <c r="P3376" t="s">
        <v>89</v>
      </c>
      <c r="Q3376" t="s">
        <v>58</v>
      </c>
      <c r="R3376" t="str">
        <f>IFERROR(VLOOKUP(record[[#This Row],[PCUSTID]],廠商[],2,FALSE),"")</f>
        <v/>
      </c>
      <c r="S3376" t="str">
        <f>VLOOKUP(record[[#This Row],[employeeID]],員工[],2,FALSE)</f>
        <v>李美蓮</v>
      </c>
    </row>
    <row r="3377" spans="6:19" hidden="1" x14ac:dyDescent="0.25">
      <c r="F3377" t="s">
        <v>1602</v>
      </c>
      <c r="G3377" t="s">
        <v>466</v>
      </c>
      <c r="H3377" t="str">
        <f>VLOOKUP(record[[#This Row],[ProcessSN]],表格2_7[],2,FALSE)</f>
        <v>30-4118-018-XXX</v>
      </c>
      <c r="I3377" t="str">
        <f>VLOOKUP(record[[#This Row],[ProcessSN]],表格2_7[],3,FALSE)</f>
        <v>#01-2</v>
      </c>
      <c r="J3377" t="s">
        <v>588</v>
      </c>
      <c r="K3377" s="195">
        <v>46093.978182870371</v>
      </c>
      <c r="L3377">
        <v>385</v>
      </c>
      <c r="M3377">
        <v>0</v>
      </c>
      <c r="N3377" s="98" t="str">
        <f>IF(record[[#This Row],[Memo]]="Browser:chrome os:android","平板報工",IF(record[[#This Row],[Memo]]=0,"委外",record[[#This Row],[Memo]]))</f>
        <v/>
      </c>
      <c r="O3377" t="s">
        <v>58</v>
      </c>
      <c r="P3377" t="s">
        <v>89</v>
      </c>
      <c r="Q3377" t="s">
        <v>58</v>
      </c>
      <c r="R3377" t="str">
        <f>IFERROR(VLOOKUP(record[[#This Row],[PCUSTID]],廠商[],2,FALSE),"")</f>
        <v/>
      </c>
      <c r="S3377" t="str">
        <f>VLOOKUP(record[[#This Row],[employeeID]],員工[],2,FALSE)</f>
        <v>李美蓮</v>
      </c>
    </row>
    <row r="3378" spans="6:19" hidden="1" x14ac:dyDescent="0.25">
      <c r="F3378" t="s">
        <v>1602</v>
      </c>
      <c r="G3378" t="s">
        <v>465</v>
      </c>
      <c r="H3378" t="str">
        <f>VLOOKUP(record[[#This Row],[ProcessSN]],表格2_7[],2,FALSE)</f>
        <v>30-4118-018-XXX</v>
      </c>
      <c r="I3378" t="str">
        <f>VLOOKUP(record[[#This Row],[ProcessSN]],表格2_7[],3,FALSE)</f>
        <v>#01-1</v>
      </c>
      <c r="J3378" t="s">
        <v>588</v>
      </c>
      <c r="K3378" s="195">
        <v>46093.977303240739</v>
      </c>
      <c r="L3378">
        <v>294</v>
      </c>
      <c r="M3378">
        <v>0</v>
      </c>
      <c r="N3378" s="98" t="str">
        <f>IF(record[[#This Row],[Memo]]="Browser:chrome os:android","平板報工",IF(record[[#This Row],[Memo]]=0,"委外",record[[#This Row],[Memo]]))</f>
        <v/>
      </c>
      <c r="O3378" t="s">
        <v>58</v>
      </c>
      <c r="P3378" t="s">
        <v>89</v>
      </c>
      <c r="Q3378" t="s">
        <v>58</v>
      </c>
      <c r="R3378" t="str">
        <f>IFERROR(VLOOKUP(record[[#This Row],[PCUSTID]],廠商[],2,FALSE),"")</f>
        <v/>
      </c>
      <c r="S3378" t="str">
        <f>VLOOKUP(record[[#This Row],[employeeID]],員工[],2,FALSE)</f>
        <v>李美蓮</v>
      </c>
    </row>
    <row r="3379" spans="6:19" hidden="1" x14ac:dyDescent="0.25">
      <c r="F3379" t="s">
        <v>1589</v>
      </c>
      <c r="G3379" t="s">
        <v>417</v>
      </c>
      <c r="H3379" t="str">
        <f>VLOOKUP(record[[#This Row],[ProcessSN]],表格2_7[],2,FALSE)</f>
        <v>30-4118-018-5XX</v>
      </c>
      <c r="I3379" t="str">
        <f>VLOOKUP(record[[#This Row],[ProcessSN]],表格2_7[],3,FALSE)</f>
        <v>#06</v>
      </c>
      <c r="J3379" t="s">
        <v>593</v>
      </c>
      <c r="K3379" s="195">
        <v>46093.967442129629</v>
      </c>
      <c r="L3379">
        <v>120</v>
      </c>
      <c r="M3379">
        <v>0</v>
      </c>
      <c r="N3379" s="98" t="str">
        <f>IF(record[[#This Row],[Memo]]="Browser:chrome os:android","平板報工",IF(record[[#This Row],[Memo]]=0,"委外",record[[#This Row],[Memo]]))</f>
        <v>平板報工</v>
      </c>
      <c r="O3379" t="s">
        <v>643</v>
      </c>
      <c r="P3379" t="s">
        <v>149</v>
      </c>
      <c r="Q3379" t="s">
        <v>644</v>
      </c>
      <c r="R3379" t="str">
        <f>IFERROR(VLOOKUP(record[[#This Row],[PCUSTID]],廠商[],2,FALSE),"")</f>
        <v/>
      </c>
      <c r="S3379" t="str">
        <f>VLOOKUP(record[[#This Row],[employeeID]],員工[],2,FALSE)</f>
        <v>阮淑蓉</v>
      </c>
    </row>
    <row r="3380" spans="6:19" hidden="1" x14ac:dyDescent="0.25">
      <c r="F3380" t="s">
        <v>1589</v>
      </c>
      <c r="G3380" t="s">
        <v>417</v>
      </c>
      <c r="H3380" t="str">
        <f>VLOOKUP(record[[#This Row],[ProcessSN]],表格2_7[],2,FALSE)</f>
        <v>30-4118-018-5XX</v>
      </c>
      <c r="I3380" t="str">
        <f>VLOOKUP(record[[#This Row],[ProcessSN]],表格2_7[],3,FALSE)</f>
        <v>#06</v>
      </c>
      <c r="J3380" t="s">
        <v>593</v>
      </c>
      <c r="K3380" s="195">
        <v>46093.823321759257</v>
      </c>
      <c r="L3380">
        <v>8</v>
      </c>
      <c r="M3380">
        <v>0</v>
      </c>
      <c r="N3380" s="98" t="str">
        <f>IF(record[[#This Row],[Memo]]="Browser:chrome os:android","平板報工",IF(record[[#This Row],[Memo]]=0,"委外",record[[#This Row],[Memo]]))</f>
        <v>平板報工</v>
      </c>
      <c r="O3380" t="s">
        <v>643</v>
      </c>
      <c r="P3380" t="s">
        <v>1413</v>
      </c>
      <c r="Q3380" t="s">
        <v>644</v>
      </c>
      <c r="R3380" t="str">
        <f>IFERROR(VLOOKUP(record[[#This Row],[PCUSTID]],廠商[],2,FALSE),"")</f>
        <v/>
      </c>
      <c r="S3380" t="str">
        <f>VLOOKUP(record[[#This Row],[employeeID]],員工[],2,FALSE)</f>
        <v>阮氏芳英(芳)</v>
      </c>
    </row>
    <row r="3381" spans="6:19" hidden="1" x14ac:dyDescent="0.25">
      <c r="F3381" t="s">
        <v>1568</v>
      </c>
      <c r="G3381" t="s">
        <v>417</v>
      </c>
      <c r="H3381" t="str">
        <f>VLOOKUP(record[[#This Row],[ProcessSN]],表格2_7[],2,FALSE)</f>
        <v>30-4118-018-5XX</v>
      </c>
      <c r="I3381" t="str">
        <f>VLOOKUP(record[[#This Row],[ProcessSN]],表格2_7[],3,FALSE)</f>
        <v>#06</v>
      </c>
      <c r="J3381" t="s">
        <v>593</v>
      </c>
      <c r="K3381" s="195">
        <v>46093.822847222225</v>
      </c>
      <c r="L3381">
        <v>52</v>
      </c>
      <c r="M3381">
        <v>0</v>
      </c>
      <c r="N3381" s="98" t="str">
        <f>IF(record[[#This Row],[Memo]]="Browser:chrome os:android","平板報工",IF(record[[#This Row],[Memo]]=0,"委外",record[[#This Row],[Memo]]))</f>
        <v>平板報工</v>
      </c>
      <c r="O3381" t="s">
        <v>643</v>
      </c>
      <c r="P3381" t="s">
        <v>1413</v>
      </c>
      <c r="Q3381" t="s">
        <v>644</v>
      </c>
      <c r="R3381" t="str">
        <f>IFERROR(VLOOKUP(record[[#This Row],[PCUSTID]],廠商[],2,FALSE),"")</f>
        <v/>
      </c>
      <c r="S3381" t="str">
        <f>VLOOKUP(record[[#This Row],[employeeID]],員工[],2,FALSE)</f>
        <v>阮氏芳英(芳)</v>
      </c>
    </row>
    <row r="3382" spans="6:19" hidden="1" x14ac:dyDescent="0.25">
      <c r="F3382" t="s">
        <v>1589</v>
      </c>
      <c r="G3382" t="s">
        <v>416</v>
      </c>
      <c r="H3382" t="str">
        <f>VLOOKUP(record[[#This Row],[ProcessSN]],表格2_7[],2,FALSE)</f>
        <v>30-4118-018-5XX</v>
      </c>
      <c r="I3382" t="str">
        <f>VLOOKUP(record[[#This Row],[ProcessSN]],表格2_7[],3,FALSE)</f>
        <v>#05</v>
      </c>
      <c r="J3382" t="s">
        <v>588</v>
      </c>
      <c r="K3382" s="195">
        <v>46093.683333333334</v>
      </c>
      <c r="L3382">
        <v>155</v>
      </c>
      <c r="M3382">
        <v>0</v>
      </c>
      <c r="N3382" s="98" t="str">
        <f>IF(record[[#This Row],[Memo]]="Browser:chrome os:android","平板報工",IF(record[[#This Row],[Memo]]=0,"委外",record[[#This Row],[Memo]]))</f>
        <v/>
      </c>
      <c r="O3382" t="s">
        <v>58</v>
      </c>
      <c r="P3382" t="s">
        <v>145</v>
      </c>
      <c r="Q3382" t="s">
        <v>58</v>
      </c>
      <c r="R3382" t="str">
        <f>IFERROR(VLOOKUP(record[[#This Row],[PCUSTID]],廠商[],2,FALSE),"")</f>
        <v/>
      </c>
      <c r="S3382" t="str">
        <f>VLOOKUP(record[[#This Row],[employeeID]],員工[],2,FALSE)</f>
        <v>阮秋霞</v>
      </c>
    </row>
    <row r="3383" spans="6:19" hidden="1" x14ac:dyDescent="0.25">
      <c r="F3383" t="s">
        <v>1602</v>
      </c>
      <c r="G3383" t="s">
        <v>466</v>
      </c>
      <c r="H3383" t="str">
        <f>VLOOKUP(record[[#This Row],[ProcessSN]],表格2_7[],2,FALSE)</f>
        <v>30-4118-018-XXX</v>
      </c>
      <c r="I3383" t="str">
        <f>VLOOKUP(record[[#This Row],[ProcessSN]],表格2_7[],3,FALSE)</f>
        <v>#01-2</v>
      </c>
      <c r="J3383" t="s">
        <v>588</v>
      </c>
      <c r="K3383" s="195">
        <v>46093.656678240739</v>
      </c>
      <c r="L3383">
        <v>338</v>
      </c>
      <c r="M3383">
        <v>0</v>
      </c>
      <c r="N3383" s="98" t="str">
        <f>IF(record[[#This Row],[Memo]]="Browser:chrome os:android","平板報工",IF(record[[#This Row],[Memo]]=0,"委外",record[[#This Row],[Memo]]))</f>
        <v>平板報工</v>
      </c>
      <c r="O3383" t="s">
        <v>643</v>
      </c>
      <c r="P3383" t="s">
        <v>107</v>
      </c>
      <c r="Q3383" t="s">
        <v>644</v>
      </c>
      <c r="R3383" t="str">
        <f>IFERROR(VLOOKUP(record[[#This Row],[PCUSTID]],廠商[],2,FALSE),"")</f>
        <v/>
      </c>
      <c r="S3383" t="str">
        <f>VLOOKUP(record[[#This Row],[employeeID]],員工[],2,FALSE)</f>
        <v>黎氏順</v>
      </c>
    </row>
    <row r="3384" spans="6:19" hidden="1" x14ac:dyDescent="0.25">
      <c r="F3384" t="s">
        <v>1602</v>
      </c>
      <c r="G3384" t="s">
        <v>465</v>
      </c>
      <c r="H3384" t="str">
        <f>VLOOKUP(record[[#This Row],[ProcessSN]],表格2_7[],2,FALSE)</f>
        <v>30-4118-018-XXX</v>
      </c>
      <c r="I3384" t="str">
        <f>VLOOKUP(record[[#This Row],[ProcessSN]],表格2_7[],3,FALSE)</f>
        <v>#01-1</v>
      </c>
      <c r="J3384" t="s">
        <v>588</v>
      </c>
      <c r="K3384" s="195">
        <v>46093.656388888892</v>
      </c>
      <c r="L3384">
        <v>338</v>
      </c>
      <c r="M3384">
        <v>0</v>
      </c>
      <c r="N3384" s="98" t="str">
        <f>IF(record[[#This Row],[Memo]]="Browser:chrome os:android","平板報工",IF(record[[#This Row],[Memo]]=0,"委外",record[[#This Row],[Memo]]))</f>
        <v>平板報工</v>
      </c>
      <c r="O3384" t="s">
        <v>643</v>
      </c>
      <c r="P3384" t="s">
        <v>107</v>
      </c>
      <c r="Q3384" t="s">
        <v>644</v>
      </c>
      <c r="R3384" t="str">
        <f>IFERROR(VLOOKUP(record[[#This Row],[PCUSTID]],廠商[],2,FALSE),"")</f>
        <v/>
      </c>
      <c r="S3384" t="str">
        <f>VLOOKUP(record[[#This Row],[employeeID]],員工[],2,FALSE)</f>
        <v>黎氏順</v>
      </c>
    </row>
    <row r="3385" spans="6:19" hidden="1" x14ac:dyDescent="0.25">
      <c r="F3385" t="s">
        <v>1589</v>
      </c>
      <c r="G3385" t="s">
        <v>415</v>
      </c>
      <c r="H3385" t="str">
        <f>VLOOKUP(record[[#This Row],[ProcessSN]],表格2_7[],2,FALSE)</f>
        <v>30-4118-018-5XX</v>
      </c>
      <c r="I3385" t="str">
        <f>VLOOKUP(record[[#This Row],[ProcessSN]],表格2_7[],3,FALSE)</f>
        <v>#04</v>
      </c>
      <c r="J3385" t="s">
        <v>588</v>
      </c>
      <c r="K3385" s="195">
        <v>46093.652858796297</v>
      </c>
      <c r="L3385">
        <v>136</v>
      </c>
      <c r="M3385">
        <v>0</v>
      </c>
      <c r="N3385" s="98" t="str">
        <f>IF(record[[#This Row],[Memo]]="Browser:chrome os:android","平板報工",IF(record[[#This Row],[Memo]]=0,"委外",record[[#This Row],[Memo]]))</f>
        <v>平板報工</v>
      </c>
      <c r="O3385" t="s">
        <v>643</v>
      </c>
      <c r="P3385" t="s">
        <v>107</v>
      </c>
      <c r="Q3385" t="s">
        <v>644</v>
      </c>
      <c r="R3385" t="str">
        <f>IFERROR(VLOOKUP(record[[#This Row],[PCUSTID]],廠商[],2,FALSE),"")</f>
        <v/>
      </c>
      <c r="S3385" t="str">
        <f>VLOOKUP(record[[#This Row],[employeeID]],員工[],2,FALSE)</f>
        <v>黎氏順</v>
      </c>
    </row>
    <row r="3386" spans="6:19" hidden="1" x14ac:dyDescent="0.25">
      <c r="F3386" t="s">
        <v>1589</v>
      </c>
      <c r="G3386" t="s">
        <v>417</v>
      </c>
      <c r="H3386" t="str">
        <f>VLOOKUP(record[[#This Row],[ProcessSN]],表格2_7[],2,FALSE)</f>
        <v>30-4118-018-5XX</v>
      </c>
      <c r="I3386" t="str">
        <f>VLOOKUP(record[[#This Row],[ProcessSN]],表格2_7[],3,FALSE)</f>
        <v>#06</v>
      </c>
      <c r="J3386" t="s">
        <v>593</v>
      </c>
      <c r="K3386" s="195">
        <v>46093.652557870373</v>
      </c>
      <c r="L3386">
        <v>105</v>
      </c>
      <c r="M3386">
        <v>0</v>
      </c>
      <c r="N3386" s="98" t="str">
        <f>IF(record[[#This Row],[Memo]]="Browser:chrome os:android","平板報工",IF(record[[#This Row],[Memo]]=0,"委外",record[[#This Row],[Memo]]))</f>
        <v>平板報工</v>
      </c>
      <c r="O3386" t="s">
        <v>643</v>
      </c>
      <c r="P3386" t="s">
        <v>111</v>
      </c>
      <c r="Q3386" t="s">
        <v>644</v>
      </c>
      <c r="R3386" t="str">
        <f>IFERROR(VLOOKUP(record[[#This Row],[PCUSTID]],廠商[],2,FALSE),"")</f>
        <v/>
      </c>
      <c r="S3386" t="str">
        <f>VLOOKUP(record[[#This Row],[employeeID]],員工[],2,FALSE)</f>
        <v>江栩妘</v>
      </c>
    </row>
    <row r="3387" spans="6:19" hidden="1" x14ac:dyDescent="0.25">
      <c r="F3387" t="s">
        <v>1618</v>
      </c>
      <c r="G3387" t="s">
        <v>399</v>
      </c>
      <c r="H3387" t="str">
        <f>VLOOKUP(record[[#This Row],[ProcessSN]],表格2_7[],2,FALSE)</f>
        <v>30-4118-018-550</v>
      </c>
      <c r="I3387" t="str">
        <f>VLOOKUP(record[[#This Row],[ProcessSN]],表格2_7[],3,FALSE)</f>
        <v>#08IQC</v>
      </c>
      <c r="J3387" t="s">
        <v>583</v>
      </c>
      <c r="K3387" s="195">
        <v>46093.649409722224</v>
      </c>
      <c r="L3387">
        <v>455</v>
      </c>
      <c r="M3387">
        <v>0</v>
      </c>
      <c r="N3387" s="98" t="str">
        <f>IF(record[[#This Row],[Memo]]="Browser:chrome os:android","平板報工",IF(record[[#This Row],[Memo]]=0,"委外",record[[#This Row],[Memo]]))</f>
        <v/>
      </c>
      <c r="O3387" t="s">
        <v>58</v>
      </c>
      <c r="P3387" t="s">
        <v>109</v>
      </c>
      <c r="Q3387" t="s">
        <v>58</v>
      </c>
      <c r="R3387" t="str">
        <f>IFERROR(VLOOKUP(record[[#This Row],[PCUSTID]],廠商[],2,FALSE),"")</f>
        <v/>
      </c>
      <c r="S3387" t="str">
        <f>VLOOKUP(record[[#This Row],[employeeID]],員工[],2,FALSE)</f>
        <v>裴氏璧鳳</v>
      </c>
    </row>
    <row r="3388" spans="6:19" hidden="1" x14ac:dyDescent="0.25">
      <c r="F3388" t="s">
        <v>1617</v>
      </c>
      <c r="G3388" t="s">
        <v>358</v>
      </c>
      <c r="H3388" t="str">
        <f>VLOOKUP(record[[#This Row],[ProcessSN]],表格2_7[],2,FALSE)</f>
        <v>30-4118-018-450</v>
      </c>
      <c r="I3388" t="str">
        <f>VLOOKUP(record[[#This Row],[ProcessSN]],表格2_7[],3,FALSE)</f>
        <v>#08IQC</v>
      </c>
      <c r="J3388" t="s">
        <v>583</v>
      </c>
      <c r="K3388" s="195">
        <v>46093.647013888891</v>
      </c>
      <c r="L3388">
        <v>237</v>
      </c>
      <c r="M3388">
        <v>0</v>
      </c>
      <c r="N3388" s="98" t="str">
        <f>IF(record[[#This Row],[Memo]]="Browser:chrome os:android","平板報工",IF(record[[#This Row],[Memo]]=0,"委外",record[[#This Row],[Memo]]))</f>
        <v/>
      </c>
      <c r="O3388" t="s">
        <v>58</v>
      </c>
      <c r="P3388" t="s">
        <v>109</v>
      </c>
      <c r="Q3388" t="s">
        <v>58</v>
      </c>
      <c r="R3388" t="str">
        <f>IFERROR(VLOOKUP(record[[#This Row],[PCUSTID]],廠商[],2,FALSE),"")</f>
        <v/>
      </c>
      <c r="S3388" t="str">
        <f>VLOOKUP(record[[#This Row],[employeeID]],員工[],2,FALSE)</f>
        <v>裴氏璧鳳</v>
      </c>
    </row>
    <row r="3389" spans="6:19" hidden="1" x14ac:dyDescent="0.25">
      <c r="F3389" t="s">
        <v>1568</v>
      </c>
      <c r="G3389" t="s">
        <v>417</v>
      </c>
      <c r="H3389" t="str">
        <f>VLOOKUP(record[[#This Row],[ProcessSN]],表格2_7[],2,FALSE)</f>
        <v>30-4118-018-5XX</v>
      </c>
      <c r="I3389" t="str">
        <f>VLOOKUP(record[[#This Row],[ProcessSN]],表格2_7[],3,FALSE)</f>
        <v>#06</v>
      </c>
      <c r="J3389" t="s">
        <v>593</v>
      </c>
      <c r="K3389" s="195">
        <v>46093.641631944447</v>
      </c>
      <c r="L3389">
        <v>76</v>
      </c>
      <c r="M3389">
        <v>0</v>
      </c>
      <c r="N3389" s="98" t="str">
        <f>IF(record[[#This Row],[Memo]]="Browser:chrome os:android","平板報工",IF(record[[#This Row],[Memo]]=0,"委外",record[[#This Row],[Memo]]))</f>
        <v>平板報工</v>
      </c>
      <c r="O3389" t="s">
        <v>643</v>
      </c>
      <c r="P3389" t="s">
        <v>1413</v>
      </c>
      <c r="Q3389" t="s">
        <v>644</v>
      </c>
      <c r="R3389" t="str">
        <f>IFERROR(VLOOKUP(record[[#This Row],[PCUSTID]],廠商[],2,FALSE),"")</f>
        <v/>
      </c>
      <c r="S3389" t="str">
        <f>VLOOKUP(record[[#This Row],[employeeID]],員工[],2,FALSE)</f>
        <v>阮氏芳英(芳)</v>
      </c>
    </row>
    <row r="3390" spans="6:19" hidden="1" x14ac:dyDescent="0.25">
      <c r="F3390" t="s">
        <v>1589</v>
      </c>
      <c r="G3390" t="s">
        <v>417</v>
      </c>
      <c r="H3390" t="str">
        <f>VLOOKUP(record[[#This Row],[ProcessSN]],表格2_7[],2,FALSE)</f>
        <v>30-4118-018-5XX</v>
      </c>
      <c r="I3390" t="str">
        <f>VLOOKUP(record[[#This Row],[ProcessSN]],表格2_7[],3,FALSE)</f>
        <v>#06</v>
      </c>
      <c r="J3390" t="s">
        <v>593</v>
      </c>
      <c r="K3390" s="195">
        <v>46093.64135416667</v>
      </c>
      <c r="L3390">
        <v>24</v>
      </c>
      <c r="M3390">
        <v>0</v>
      </c>
      <c r="N3390" s="98" t="str">
        <f>IF(record[[#This Row],[Memo]]="Browser:chrome os:android","平板報工",IF(record[[#This Row],[Memo]]=0,"委外",record[[#This Row],[Memo]]))</f>
        <v>平板報工</v>
      </c>
      <c r="O3390" t="s">
        <v>643</v>
      </c>
      <c r="P3390" t="s">
        <v>1413</v>
      </c>
      <c r="Q3390" t="s">
        <v>644</v>
      </c>
      <c r="R3390" t="str">
        <f>IFERROR(VLOOKUP(record[[#This Row],[PCUSTID]],廠商[],2,FALSE),"")</f>
        <v/>
      </c>
      <c r="S3390" t="str">
        <f>VLOOKUP(record[[#This Row],[employeeID]],員工[],2,FALSE)</f>
        <v>阮氏芳英(芳)</v>
      </c>
    </row>
    <row r="3391" spans="6:19" hidden="1" x14ac:dyDescent="0.25">
      <c r="F3391" t="s">
        <v>1618</v>
      </c>
      <c r="G3391" t="s">
        <v>398</v>
      </c>
      <c r="H3391" t="str">
        <f>VLOOKUP(record[[#This Row],[ProcessSN]],表格2_7[],2,FALSE)</f>
        <v>30-4118-018-550</v>
      </c>
      <c r="I3391" t="str">
        <f>VLOOKUP(record[[#This Row],[ProcessSN]],表格2_7[],3,FALSE)</f>
        <v>#08RCV</v>
      </c>
      <c r="J3391" t="s">
        <v>591</v>
      </c>
      <c r="K3391" s="195">
        <v>46093.629444444443</v>
      </c>
      <c r="L3391">
        <v>0</v>
      </c>
      <c r="M3391">
        <v>2</v>
      </c>
      <c r="N3391" s="98" t="str">
        <f>IF(record[[#This Row],[Memo]]="Browser:chrome os:android","平板報工",IF(record[[#This Row],[Memo]]=0,"委外",record[[#This Row],[Memo]]))</f>
        <v/>
      </c>
      <c r="O3391" t="s">
        <v>58</v>
      </c>
      <c r="P3391" t="s">
        <v>1611</v>
      </c>
      <c r="Q3391" t="s">
        <v>58</v>
      </c>
      <c r="R3391" t="str">
        <f>IFERROR(VLOOKUP(record[[#This Row],[PCUSTID]],廠商[],2,FALSE),"")</f>
        <v/>
      </c>
      <c r="S3391" t="str">
        <f>VLOOKUP(record[[#This Row],[employeeID]],員工[],2,FALSE)</f>
        <v>林沛瑄</v>
      </c>
    </row>
    <row r="3392" spans="6:19" hidden="1" x14ac:dyDescent="0.25">
      <c r="F3392" t="s">
        <v>1617</v>
      </c>
      <c r="G3392" t="s">
        <v>357</v>
      </c>
      <c r="H3392" t="str">
        <f>VLOOKUP(record[[#This Row],[ProcessSN]],表格2_7[],2,FALSE)</f>
        <v>30-4118-018-450</v>
      </c>
      <c r="I3392" t="str">
        <f>VLOOKUP(record[[#This Row],[ProcessSN]],表格2_7[],3,FALSE)</f>
        <v>#08RCV</v>
      </c>
      <c r="J3392" t="s">
        <v>591</v>
      </c>
      <c r="K3392" s="195">
        <v>46093.629074074073</v>
      </c>
      <c r="L3392">
        <v>0</v>
      </c>
      <c r="M3392">
        <v>2</v>
      </c>
      <c r="N3392" s="98" t="str">
        <f>IF(record[[#This Row],[Memo]]="Browser:chrome os:android","平板報工",IF(record[[#This Row],[Memo]]=0,"委外",record[[#This Row],[Memo]]))</f>
        <v/>
      </c>
      <c r="O3392" t="s">
        <v>58</v>
      </c>
      <c r="P3392" t="s">
        <v>1611</v>
      </c>
      <c r="Q3392" t="s">
        <v>58</v>
      </c>
      <c r="R3392" t="str">
        <f>IFERROR(VLOOKUP(record[[#This Row],[PCUSTID]],廠商[],2,FALSE),"")</f>
        <v/>
      </c>
      <c r="S3392" t="str">
        <f>VLOOKUP(record[[#This Row],[employeeID]],員工[],2,FALSE)</f>
        <v>林沛瑄</v>
      </c>
    </row>
    <row r="3393" spans="6:19" hidden="1" x14ac:dyDescent="0.25">
      <c r="F3393" t="s">
        <v>1618</v>
      </c>
      <c r="G3393" t="s">
        <v>398</v>
      </c>
      <c r="H3393" t="str">
        <f>VLOOKUP(record[[#This Row],[ProcessSN]],表格2_7[],2,FALSE)</f>
        <v>30-4118-018-550</v>
      </c>
      <c r="I3393" t="str">
        <f>VLOOKUP(record[[#This Row],[ProcessSN]],表格2_7[],3,FALSE)</f>
        <v>#08RCV</v>
      </c>
      <c r="J3393" t="s">
        <v>591</v>
      </c>
      <c r="K3393" s="195">
        <v>46093.62872685185</v>
      </c>
      <c r="L3393">
        <v>455</v>
      </c>
      <c r="M3393">
        <v>0</v>
      </c>
      <c r="N3393" s="98" t="str">
        <f>IF(record[[#This Row],[Memo]]="Browser:chrome os:android","平板報工",IF(record[[#This Row],[Memo]]=0,"委外",record[[#This Row],[Memo]]))</f>
        <v/>
      </c>
      <c r="O3393" t="s">
        <v>58</v>
      </c>
      <c r="P3393" t="s">
        <v>1611</v>
      </c>
      <c r="Q3393" t="s">
        <v>58</v>
      </c>
      <c r="R3393" t="str">
        <f>IFERROR(VLOOKUP(record[[#This Row],[PCUSTID]],廠商[],2,FALSE),"")</f>
        <v/>
      </c>
      <c r="S3393" t="str">
        <f>VLOOKUP(record[[#This Row],[employeeID]],員工[],2,FALSE)</f>
        <v>林沛瑄</v>
      </c>
    </row>
    <row r="3394" spans="6:19" hidden="1" x14ac:dyDescent="0.25">
      <c r="F3394" t="s">
        <v>1617</v>
      </c>
      <c r="G3394" t="s">
        <v>357</v>
      </c>
      <c r="H3394" t="str">
        <f>VLOOKUP(record[[#This Row],[ProcessSN]],表格2_7[],2,FALSE)</f>
        <v>30-4118-018-450</v>
      </c>
      <c r="I3394" t="str">
        <f>VLOOKUP(record[[#This Row],[ProcessSN]],表格2_7[],3,FALSE)</f>
        <v>#08RCV</v>
      </c>
      <c r="J3394" t="s">
        <v>591</v>
      </c>
      <c r="K3394" s="195">
        <v>46093.628483796296</v>
      </c>
      <c r="L3394">
        <v>237</v>
      </c>
      <c r="M3394">
        <v>0</v>
      </c>
      <c r="N3394" s="98" t="str">
        <f>IF(record[[#This Row],[Memo]]="Browser:chrome os:android","平板報工",IF(record[[#This Row],[Memo]]=0,"委外",record[[#This Row],[Memo]]))</f>
        <v/>
      </c>
      <c r="O3394" t="s">
        <v>58</v>
      </c>
      <c r="P3394" t="s">
        <v>1611</v>
      </c>
      <c r="Q3394" t="s">
        <v>58</v>
      </c>
      <c r="R3394" t="str">
        <f>IFERROR(VLOOKUP(record[[#This Row],[PCUSTID]],廠商[],2,FALSE),"")</f>
        <v/>
      </c>
      <c r="S3394" t="str">
        <f>VLOOKUP(record[[#This Row],[employeeID]],員工[],2,FALSE)</f>
        <v>林沛瑄</v>
      </c>
    </row>
    <row r="3395" spans="6:19" hidden="1" x14ac:dyDescent="0.25">
      <c r="F3395" t="s">
        <v>1605</v>
      </c>
      <c r="G3395" t="s">
        <v>401</v>
      </c>
      <c r="H3395" t="str">
        <f>VLOOKUP(record[[#This Row],[ProcessSN]],表格2_7[],2,FALSE)</f>
        <v>30-4118-018-550</v>
      </c>
      <c r="I3395" t="str">
        <f>VLOOKUP(record[[#This Row],[ProcessSN]],表格2_7[],3,FALSE)</f>
        <v>#100OQC</v>
      </c>
      <c r="J3395" t="s">
        <v>599</v>
      </c>
      <c r="K3395" s="195">
        <v>46093.619004629632</v>
      </c>
      <c r="L3395">
        <v>351</v>
      </c>
      <c r="M3395">
        <v>0</v>
      </c>
      <c r="N3395" s="98" t="str">
        <f>IF(record[[#This Row],[Memo]]="Browser:chrome os:android","平板報工",IF(record[[#This Row],[Memo]]=0,"委外",record[[#This Row],[Memo]]))</f>
        <v/>
      </c>
      <c r="O3395" t="s">
        <v>58</v>
      </c>
      <c r="P3395" t="s">
        <v>121</v>
      </c>
      <c r="Q3395" t="s">
        <v>58</v>
      </c>
      <c r="R3395" t="str">
        <f>IFERROR(VLOOKUP(record[[#This Row],[PCUSTID]],廠商[],2,FALSE),"")</f>
        <v/>
      </c>
      <c r="S3395" t="str">
        <f>VLOOKUP(record[[#This Row],[employeeID]],員工[],2,FALSE)</f>
        <v>謝素卿</v>
      </c>
    </row>
    <row r="3396" spans="6:19" hidden="1" x14ac:dyDescent="0.25">
      <c r="F3396" t="s">
        <v>1603</v>
      </c>
      <c r="G3396" t="s">
        <v>401</v>
      </c>
      <c r="H3396" t="str">
        <f>VLOOKUP(record[[#This Row],[ProcessSN]],表格2_7[],2,FALSE)</f>
        <v>30-4118-018-550</v>
      </c>
      <c r="I3396" t="str">
        <f>VLOOKUP(record[[#This Row],[ProcessSN]],表格2_7[],3,FALSE)</f>
        <v>#100OQC</v>
      </c>
      <c r="J3396" t="s">
        <v>599</v>
      </c>
      <c r="K3396" s="195">
        <v>46093.61886574074</v>
      </c>
      <c r="L3396">
        <v>44</v>
      </c>
      <c r="M3396">
        <v>0</v>
      </c>
      <c r="N3396" s="98" t="str">
        <f>IF(record[[#This Row],[Memo]]="Browser:chrome os:android","平板報工",IF(record[[#This Row],[Memo]]=0,"委外",record[[#This Row],[Memo]]))</f>
        <v/>
      </c>
      <c r="O3396" t="s">
        <v>58</v>
      </c>
      <c r="P3396" t="s">
        <v>121</v>
      </c>
      <c r="Q3396" t="s">
        <v>58</v>
      </c>
      <c r="R3396" t="str">
        <f>IFERROR(VLOOKUP(record[[#This Row],[PCUSTID]],廠商[],2,FALSE),"")</f>
        <v/>
      </c>
      <c r="S3396" t="str">
        <f>VLOOKUP(record[[#This Row],[employeeID]],員工[],2,FALSE)</f>
        <v>謝素卿</v>
      </c>
    </row>
    <row r="3397" spans="6:19" hidden="1" x14ac:dyDescent="0.25">
      <c r="F3397" t="s">
        <v>1630</v>
      </c>
      <c r="G3397" t="s">
        <v>356</v>
      </c>
      <c r="H3397" t="str">
        <f>VLOOKUP(record[[#This Row],[ProcessSN]],表格2_7[],2,FALSE)</f>
        <v>30-4118-018-450</v>
      </c>
      <c r="I3397" t="str">
        <f>VLOOKUP(record[[#This Row],[ProcessSN]],表格2_7[],3,FALSE)</f>
        <v>#08</v>
      </c>
      <c r="J3397" t="s">
        <v>597</v>
      </c>
      <c r="K3397" s="195">
        <v>46093.607106481482</v>
      </c>
      <c r="L3397">
        <v>190</v>
      </c>
      <c r="M3397">
        <v>0</v>
      </c>
      <c r="N3397" s="98" t="str">
        <f>IF(record[[#This Row],[Memo]]="Browser:chrome os:android","平板報工",IF(record[[#This Row],[Memo]]=0,"委外",record[[#This Row],[Memo]]))</f>
        <v>委外</v>
      </c>
      <c r="P3397" t="s">
        <v>186</v>
      </c>
      <c r="Q3397" t="s">
        <v>287</v>
      </c>
      <c r="R3397" t="str">
        <f>IFERROR(VLOOKUP(record[[#This Row],[PCUSTID]],廠商[],2,FALSE),"")</f>
        <v>泉盛</v>
      </c>
      <c r="S3397" t="str">
        <f>VLOOKUP(record[[#This Row],[employeeID]],員工[],2,FALSE)</f>
        <v>許文姍</v>
      </c>
    </row>
    <row r="3398" spans="6:19" hidden="1" x14ac:dyDescent="0.25">
      <c r="F3398" t="s">
        <v>1631</v>
      </c>
      <c r="G3398" t="s">
        <v>397</v>
      </c>
      <c r="H3398" t="str">
        <f>VLOOKUP(record[[#This Row],[ProcessSN]],表格2_7[],2,FALSE)</f>
        <v>30-4118-018-550</v>
      </c>
      <c r="I3398" t="str">
        <f>VLOOKUP(record[[#This Row],[ProcessSN]],表格2_7[],3,FALSE)</f>
        <v>#08</v>
      </c>
      <c r="J3398" t="s">
        <v>597</v>
      </c>
      <c r="K3398" s="195">
        <v>46093.606921296298</v>
      </c>
      <c r="L3398">
        <v>48</v>
      </c>
      <c r="M3398">
        <v>0</v>
      </c>
      <c r="N3398" s="98" t="str">
        <f>IF(record[[#This Row],[Memo]]="Browser:chrome os:android","平板報工",IF(record[[#This Row],[Memo]]=0,"委外",record[[#This Row],[Memo]]))</f>
        <v>委外</v>
      </c>
      <c r="P3398" t="s">
        <v>186</v>
      </c>
      <c r="Q3398" t="s">
        <v>287</v>
      </c>
      <c r="R3398" t="str">
        <f>IFERROR(VLOOKUP(record[[#This Row],[PCUSTID]],廠商[],2,FALSE),"")</f>
        <v>泉盛</v>
      </c>
      <c r="S3398" t="str">
        <f>VLOOKUP(record[[#This Row],[employeeID]],員工[],2,FALSE)</f>
        <v>許文姍</v>
      </c>
    </row>
    <row r="3399" spans="6:19" hidden="1" x14ac:dyDescent="0.25">
      <c r="F3399" t="s">
        <v>1630</v>
      </c>
      <c r="G3399" t="s">
        <v>355</v>
      </c>
      <c r="H3399" t="str">
        <f>VLOOKUP(record[[#This Row],[ProcessSN]],表格2_7[],2,FALSE)</f>
        <v>30-4118-018-450</v>
      </c>
      <c r="I3399" t="str">
        <f>VLOOKUP(record[[#This Row],[ProcessSN]],表格2_7[],3,FALSE)</f>
        <v>#08PICK</v>
      </c>
      <c r="J3399" t="s">
        <v>582</v>
      </c>
      <c r="K3399" s="195">
        <v>46093.606840277775</v>
      </c>
      <c r="L3399">
        <v>190</v>
      </c>
      <c r="M3399">
        <v>0</v>
      </c>
      <c r="N3399" s="98" t="str">
        <f>IF(record[[#This Row],[Memo]]="Browser:chrome os:android","平板報工",IF(record[[#This Row],[Memo]]=0,"委外",record[[#This Row],[Memo]]))</f>
        <v/>
      </c>
      <c r="O3399" t="s">
        <v>58</v>
      </c>
      <c r="P3399" t="s">
        <v>186</v>
      </c>
      <c r="Q3399" t="s">
        <v>58</v>
      </c>
      <c r="R3399" t="str">
        <f>IFERROR(VLOOKUP(record[[#This Row],[PCUSTID]],廠商[],2,FALSE),"")</f>
        <v/>
      </c>
      <c r="S3399" t="str">
        <f>VLOOKUP(record[[#This Row],[employeeID]],員工[],2,FALSE)</f>
        <v>許文姍</v>
      </c>
    </row>
    <row r="3400" spans="6:19" hidden="1" x14ac:dyDescent="0.25">
      <c r="F3400" t="s">
        <v>1631</v>
      </c>
      <c r="G3400" t="s">
        <v>396</v>
      </c>
      <c r="H3400" t="str">
        <f>VLOOKUP(record[[#This Row],[ProcessSN]],表格2_7[],2,FALSE)</f>
        <v>30-4118-018-550</v>
      </c>
      <c r="I3400" t="str">
        <f>VLOOKUP(record[[#This Row],[ProcessSN]],表格2_7[],3,FALSE)</f>
        <v>#08PICK</v>
      </c>
      <c r="J3400" t="s">
        <v>582</v>
      </c>
      <c r="K3400" s="195">
        <v>46093.606747685182</v>
      </c>
      <c r="L3400">
        <v>48</v>
      </c>
      <c r="M3400">
        <v>0</v>
      </c>
      <c r="N3400" s="98" t="str">
        <f>IF(record[[#This Row],[Memo]]="Browser:chrome os:android","平板報工",IF(record[[#This Row],[Memo]]=0,"委外",record[[#This Row],[Memo]]))</f>
        <v/>
      </c>
      <c r="O3400" t="s">
        <v>58</v>
      </c>
      <c r="P3400" t="s">
        <v>186</v>
      </c>
      <c r="Q3400" t="s">
        <v>58</v>
      </c>
      <c r="R3400" t="str">
        <f>IFERROR(VLOOKUP(record[[#This Row],[PCUSTID]],廠商[],2,FALSE),"")</f>
        <v/>
      </c>
      <c r="S3400" t="str">
        <f>VLOOKUP(record[[#This Row],[employeeID]],員工[],2,FALSE)</f>
        <v>許文姍</v>
      </c>
    </row>
    <row r="3401" spans="6:19" hidden="1" x14ac:dyDescent="0.25">
      <c r="F3401" t="s">
        <v>1605</v>
      </c>
      <c r="G3401" t="s">
        <v>400</v>
      </c>
      <c r="H3401" t="str">
        <f>VLOOKUP(record[[#This Row],[ProcessSN]],表格2_7[],2,FALSE)</f>
        <v>30-4118-018-550</v>
      </c>
      <c r="I3401" t="str">
        <f>VLOOKUP(record[[#This Row],[ProcessSN]],表格2_7[],3,FALSE)</f>
        <v>#100</v>
      </c>
      <c r="J3401" t="s">
        <v>598</v>
      </c>
      <c r="K3401" s="195">
        <v>46093.592905092592</v>
      </c>
      <c r="L3401">
        <v>351</v>
      </c>
      <c r="M3401">
        <v>0</v>
      </c>
      <c r="N3401" s="98" t="str">
        <f>IF(record[[#This Row],[Memo]]="Browser:chrome os:android","平板報工",IF(record[[#This Row],[Memo]]=0,"委外",record[[#This Row],[Memo]]))</f>
        <v/>
      </c>
      <c r="O3401" t="s">
        <v>58</v>
      </c>
      <c r="P3401" t="s">
        <v>141</v>
      </c>
      <c r="Q3401" t="s">
        <v>58</v>
      </c>
      <c r="R3401" t="str">
        <f>IFERROR(VLOOKUP(record[[#This Row],[PCUSTID]],廠商[],2,FALSE),"")</f>
        <v/>
      </c>
      <c r="S3401" t="str">
        <f>VLOOKUP(record[[#This Row],[employeeID]],員工[],2,FALSE)</f>
        <v>蔣梅</v>
      </c>
    </row>
    <row r="3402" spans="6:19" hidden="1" x14ac:dyDescent="0.25">
      <c r="F3402" t="s">
        <v>1603</v>
      </c>
      <c r="G3402" t="s">
        <v>400</v>
      </c>
      <c r="H3402" t="str">
        <f>VLOOKUP(record[[#This Row],[ProcessSN]],表格2_7[],2,FALSE)</f>
        <v>30-4118-018-550</v>
      </c>
      <c r="I3402" t="str">
        <f>VLOOKUP(record[[#This Row],[ProcessSN]],表格2_7[],3,FALSE)</f>
        <v>#100</v>
      </c>
      <c r="J3402" t="s">
        <v>598</v>
      </c>
      <c r="K3402" s="195">
        <v>46093.592731481483</v>
      </c>
      <c r="L3402">
        <v>44</v>
      </c>
      <c r="M3402">
        <v>0</v>
      </c>
      <c r="N3402" s="98" t="str">
        <f>IF(record[[#This Row],[Memo]]="Browser:chrome os:android","平板報工",IF(record[[#This Row],[Memo]]=0,"委外",record[[#This Row],[Memo]]))</f>
        <v/>
      </c>
      <c r="O3402" t="s">
        <v>58</v>
      </c>
      <c r="P3402" t="s">
        <v>141</v>
      </c>
      <c r="Q3402" t="s">
        <v>58</v>
      </c>
      <c r="R3402" t="str">
        <f>IFERROR(VLOOKUP(record[[#This Row],[PCUSTID]],廠商[],2,FALSE),"")</f>
        <v/>
      </c>
      <c r="S3402" t="str">
        <f>VLOOKUP(record[[#This Row],[employeeID]],員工[],2,FALSE)</f>
        <v>蔣梅</v>
      </c>
    </row>
    <row r="3403" spans="6:19" hidden="1" x14ac:dyDescent="0.25">
      <c r="F3403" t="s">
        <v>1603</v>
      </c>
      <c r="G3403" t="s">
        <v>399</v>
      </c>
      <c r="H3403" t="str">
        <f>VLOOKUP(record[[#This Row],[ProcessSN]],表格2_7[],2,FALSE)</f>
        <v>30-4118-018-550</v>
      </c>
      <c r="I3403" t="str">
        <f>VLOOKUP(record[[#This Row],[ProcessSN]],表格2_7[],3,FALSE)</f>
        <v>#08IQC</v>
      </c>
      <c r="J3403" t="s">
        <v>583</v>
      </c>
      <c r="K3403" s="195">
        <v>46093.592245370368</v>
      </c>
      <c r="L3403">
        <v>4</v>
      </c>
      <c r="M3403">
        <v>0</v>
      </c>
      <c r="N3403" s="98" t="str">
        <f>IF(record[[#This Row],[Memo]]="Browser:chrome os:android","平板報工",IF(record[[#This Row],[Memo]]=0,"委外",record[[#This Row],[Memo]]))</f>
        <v>覆回</v>
      </c>
      <c r="O3403" t="s">
        <v>682</v>
      </c>
      <c r="P3403" t="s">
        <v>141</v>
      </c>
      <c r="Q3403" t="s">
        <v>58</v>
      </c>
      <c r="R3403" t="str">
        <f>IFERROR(VLOOKUP(record[[#This Row],[PCUSTID]],廠商[],2,FALSE),"")</f>
        <v/>
      </c>
      <c r="S3403" t="str">
        <f>VLOOKUP(record[[#This Row],[employeeID]],員工[],2,FALSE)</f>
        <v>蔣梅</v>
      </c>
    </row>
    <row r="3404" spans="6:19" hidden="1" x14ac:dyDescent="0.25">
      <c r="F3404" t="s">
        <v>1603</v>
      </c>
      <c r="G3404" t="s">
        <v>398</v>
      </c>
      <c r="H3404" t="str">
        <f>VLOOKUP(record[[#This Row],[ProcessSN]],表格2_7[],2,FALSE)</f>
        <v>30-4118-018-550</v>
      </c>
      <c r="I3404" t="str">
        <f>VLOOKUP(record[[#This Row],[ProcessSN]],表格2_7[],3,FALSE)</f>
        <v>#08RCV</v>
      </c>
      <c r="J3404" t="s">
        <v>591</v>
      </c>
      <c r="K3404" s="195">
        <v>46093.592048611114</v>
      </c>
      <c r="L3404">
        <v>0</v>
      </c>
      <c r="M3404">
        <v>16</v>
      </c>
      <c r="N3404" s="98" t="str">
        <f>IF(record[[#This Row],[Memo]]="Browser:chrome os:android","平板報工",IF(record[[#This Row],[Memo]]=0,"委外",record[[#This Row],[Memo]]))</f>
        <v/>
      </c>
      <c r="O3404" t="s">
        <v>58</v>
      </c>
      <c r="P3404" t="s">
        <v>141</v>
      </c>
      <c r="Q3404" t="s">
        <v>58</v>
      </c>
      <c r="R3404" t="str">
        <f>IFERROR(VLOOKUP(record[[#This Row],[PCUSTID]],廠商[],2,FALSE),"")</f>
        <v/>
      </c>
      <c r="S3404" t="str">
        <f>VLOOKUP(record[[#This Row],[employeeID]],員工[],2,FALSE)</f>
        <v>蔣梅</v>
      </c>
    </row>
    <row r="3405" spans="6:19" hidden="1" x14ac:dyDescent="0.25">
      <c r="F3405" t="s">
        <v>1603</v>
      </c>
      <c r="G3405" t="s">
        <v>398</v>
      </c>
      <c r="H3405" t="str">
        <f>VLOOKUP(record[[#This Row],[ProcessSN]],表格2_7[],2,FALSE)</f>
        <v>30-4118-018-550</v>
      </c>
      <c r="I3405" t="str">
        <f>VLOOKUP(record[[#This Row],[ProcessSN]],表格2_7[],3,FALSE)</f>
        <v>#08RCV</v>
      </c>
      <c r="J3405" t="s">
        <v>591</v>
      </c>
      <c r="K3405" s="195">
        <v>46093.591793981483</v>
      </c>
      <c r="L3405">
        <v>4</v>
      </c>
      <c r="M3405">
        <v>0</v>
      </c>
      <c r="N3405" s="98" t="str">
        <f>IF(record[[#This Row],[Memo]]="Browser:chrome os:android","平板報工",IF(record[[#This Row],[Memo]]=0,"委外",record[[#This Row],[Memo]]))</f>
        <v>覆回</v>
      </c>
      <c r="O3405" t="s">
        <v>682</v>
      </c>
      <c r="P3405" t="s">
        <v>141</v>
      </c>
      <c r="Q3405" t="s">
        <v>58</v>
      </c>
      <c r="R3405" t="str">
        <f>IFERROR(VLOOKUP(record[[#This Row],[PCUSTID]],廠商[],2,FALSE),"")</f>
        <v/>
      </c>
      <c r="S3405" t="str">
        <f>VLOOKUP(record[[#This Row],[employeeID]],員工[],2,FALSE)</f>
        <v>蔣梅</v>
      </c>
    </row>
    <row r="3406" spans="6:19" hidden="1" x14ac:dyDescent="0.25">
      <c r="F3406" t="s">
        <v>1570</v>
      </c>
      <c r="G3406" t="s">
        <v>379</v>
      </c>
      <c r="H3406" t="str">
        <f>VLOOKUP(record[[#This Row],[ProcessSN]],表格2_7[],2,FALSE)</f>
        <v>30-4118-018-4XX</v>
      </c>
      <c r="I3406" t="str">
        <f>VLOOKUP(record[[#This Row],[ProcessSN]],表格2_7[],3,FALSE)</f>
        <v>#07STOCK</v>
      </c>
      <c r="J3406" t="s">
        <v>592</v>
      </c>
      <c r="K3406" s="195">
        <v>46093.585370370369</v>
      </c>
      <c r="L3406">
        <v>22</v>
      </c>
      <c r="M3406">
        <v>0</v>
      </c>
      <c r="N3406" s="98" t="str">
        <f>IF(record[[#This Row],[Memo]]="Browser:chrome os:android","平板報工",IF(record[[#This Row],[Memo]]=0,"委外",record[[#This Row],[Memo]]))</f>
        <v/>
      </c>
      <c r="O3406" t="s">
        <v>58</v>
      </c>
      <c r="P3406" t="s">
        <v>186</v>
      </c>
      <c r="Q3406" t="s">
        <v>58</v>
      </c>
      <c r="R3406" t="str">
        <f>IFERROR(VLOOKUP(record[[#This Row],[PCUSTID]],廠商[],2,FALSE),"")</f>
        <v/>
      </c>
      <c r="S3406" t="str">
        <f>VLOOKUP(record[[#This Row],[employeeID]],員工[],2,FALSE)</f>
        <v>許文姍</v>
      </c>
    </row>
    <row r="3407" spans="6:19" hidden="1" x14ac:dyDescent="0.25">
      <c r="F3407" t="s">
        <v>1570</v>
      </c>
      <c r="G3407" t="s">
        <v>378</v>
      </c>
      <c r="H3407" t="str">
        <f>VLOOKUP(record[[#This Row],[ProcessSN]],表格2_7[],2,FALSE)</f>
        <v>30-4118-018-4XX</v>
      </c>
      <c r="I3407" t="str">
        <f>VLOOKUP(record[[#This Row],[ProcessSN]],表格2_7[],3,FALSE)</f>
        <v>#07QC</v>
      </c>
      <c r="J3407" t="s">
        <v>589</v>
      </c>
      <c r="K3407" s="195">
        <v>46093.481412037036</v>
      </c>
      <c r="L3407">
        <v>0</v>
      </c>
      <c r="M3407">
        <v>10</v>
      </c>
      <c r="N3407" s="98" t="str">
        <f>IF(record[[#This Row],[Memo]]="Browser:chrome os:android","平板報工",IF(record[[#This Row],[Memo]]=0,"委外",record[[#This Row],[Memo]]))</f>
        <v/>
      </c>
      <c r="O3407" t="s">
        <v>58</v>
      </c>
      <c r="P3407" t="s">
        <v>141</v>
      </c>
      <c r="Q3407" t="s">
        <v>58</v>
      </c>
      <c r="R3407" t="str">
        <f>IFERROR(VLOOKUP(record[[#This Row],[PCUSTID]],廠商[],2,FALSE),"")</f>
        <v/>
      </c>
      <c r="S3407" t="str">
        <f>VLOOKUP(record[[#This Row],[employeeID]],員工[],2,FALSE)</f>
        <v>蔣梅</v>
      </c>
    </row>
    <row r="3408" spans="6:19" hidden="1" x14ac:dyDescent="0.25">
      <c r="F3408" t="s">
        <v>1570</v>
      </c>
      <c r="G3408" t="s">
        <v>378</v>
      </c>
      <c r="H3408" t="str">
        <f>VLOOKUP(record[[#This Row],[ProcessSN]],表格2_7[],2,FALSE)</f>
        <v>30-4118-018-4XX</v>
      </c>
      <c r="I3408" t="str">
        <f>VLOOKUP(record[[#This Row],[ProcessSN]],表格2_7[],3,FALSE)</f>
        <v>#07QC</v>
      </c>
      <c r="J3408" t="s">
        <v>589</v>
      </c>
      <c r="K3408" s="195">
        <v>46093.481249999997</v>
      </c>
      <c r="L3408">
        <v>22</v>
      </c>
      <c r="M3408">
        <v>0</v>
      </c>
      <c r="N3408" s="98" t="str">
        <f>IF(record[[#This Row],[Memo]]="Browser:chrome os:android","平板報工",IF(record[[#This Row],[Memo]]=0,"委外",record[[#This Row],[Memo]]))</f>
        <v/>
      </c>
      <c r="O3408" t="s">
        <v>58</v>
      </c>
      <c r="P3408" t="s">
        <v>141</v>
      </c>
      <c r="Q3408" t="s">
        <v>58</v>
      </c>
      <c r="R3408" t="str">
        <f>IFERROR(VLOOKUP(record[[#This Row],[PCUSTID]],廠商[],2,FALSE),"")</f>
        <v/>
      </c>
      <c r="S3408" t="str">
        <f>VLOOKUP(record[[#This Row],[employeeID]],員工[],2,FALSE)</f>
        <v>蔣梅</v>
      </c>
    </row>
    <row r="3409" spans="6:19" hidden="1" x14ac:dyDescent="0.25">
      <c r="F3409" t="s">
        <v>1540</v>
      </c>
      <c r="G3409" t="s">
        <v>420</v>
      </c>
      <c r="H3409" t="str">
        <f>VLOOKUP(record[[#This Row],[ProcessSN]],表格2_7[],2,FALSE)</f>
        <v>30-4118-018-5XX</v>
      </c>
      <c r="I3409" t="str">
        <f>VLOOKUP(record[[#This Row],[ProcessSN]],表格2_7[],3,FALSE)</f>
        <v>#07STOCK</v>
      </c>
      <c r="J3409" t="s">
        <v>592</v>
      </c>
      <c r="K3409" s="195">
        <v>46093.474363425928</v>
      </c>
      <c r="L3409">
        <v>48</v>
      </c>
      <c r="M3409">
        <v>0</v>
      </c>
      <c r="N3409" s="98" t="str">
        <f>IF(record[[#This Row],[Memo]]="Browser:chrome os:android","平板報工",IF(record[[#This Row],[Memo]]=0,"委外",record[[#This Row],[Memo]]))</f>
        <v/>
      </c>
      <c r="O3409" t="s">
        <v>58</v>
      </c>
      <c r="P3409" t="s">
        <v>186</v>
      </c>
      <c r="Q3409" t="s">
        <v>58</v>
      </c>
      <c r="R3409" t="str">
        <f>IFERROR(VLOOKUP(record[[#This Row],[PCUSTID]],廠商[],2,FALSE),"")</f>
        <v/>
      </c>
      <c r="S3409" t="str">
        <f>VLOOKUP(record[[#This Row],[employeeID]],員工[],2,FALSE)</f>
        <v>許文姍</v>
      </c>
    </row>
    <row r="3410" spans="6:19" hidden="1" x14ac:dyDescent="0.25">
      <c r="F3410" t="s">
        <v>1570</v>
      </c>
      <c r="G3410" t="s">
        <v>379</v>
      </c>
      <c r="H3410" t="str">
        <f>VLOOKUP(record[[#This Row],[ProcessSN]],表格2_7[],2,FALSE)</f>
        <v>30-4118-018-4XX</v>
      </c>
      <c r="I3410" t="str">
        <f>VLOOKUP(record[[#This Row],[ProcessSN]],表格2_7[],3,FALSE)</f>
        <v>#07STOCK</v>
      </c>
      <c r="J3410" t="s">
        <v>592</v>
      </c>
      <c r="K3410" s="195">
        <v>46093.474236111113</v>
      </c>
      <c r="L3410">
        <v>168</v>
      </c>
      <c r="M3410">
        <v>0</v>
      </c>
      <c r="N3410" s="98" t="str">
        <f>IF(record[[#This Row],[Memo]]="Browser:chrome os:android","平板報工",IF(record[[#This Row],[Memo]]=0,"委外",record[[#This Row],[Memo]]))</f>
        <v/>
      </c>
      <c r="O3410" t="s">
        <v>58</v>
      </c>
      <c r="P3410" t="s">
        <v>186</v>
      </c>
      <c r="Q3410" t="s">
        <v>58</v>
      </c>
      <c r="R3410" t="str">
        <f>IFERROR(VLOOKUP(record[[#This Row],[PCUSTID]],廠商[],2,FALSE),"")</f>
        <v/>
      </c>
      <c r="S3410" t="str">
        <f>VLOOKUP(record[[#This Row],[employeeID]],員工[],2,FALSE)</f>
        <v>許文姍</v>
      </c>
    </row>
    <row r="3411" spans="6:19" hidden="1" x14ac:dyDescent="0.25">
      <c r="F3411" t="s">
        <v>1570</v>
      </c>
      <c r="G3411" t="s">
        <v>378</v>
      </c>
      <c r="H3411" t="str">
        <f>VLOOKUP(record[[#This Row],[ProcessSN]],表格2_7[],2,FALSE)</f>
        <v>30-4118-018-4XX</v>
      </c>
      <c r="I3411" t="str">
        <f>VLOOKUP(record[[#This Row],[ProcessSN]],表格2_7[],3,FALSE)</f>
        <v>#07QC</v>
      </c>
      <c r="J3411" t="s">
        <v>589</v>
      </c>
      <c r="K3411" s="195">
        <v>46093.442256944443</v>
      </c>
      <c r="L3411">
        <v>168</v>
      </c>
      <c r="M3411">
        <v>0</v>
      </c>
      <c r="N3411" s="98" t="str">
        <f>IF(record[[#This Row],[Memo]]="Browser:chrome os:android","平板報工",IF(record[[#This Row],[Memo]]=0,"委外",record[[#This Row],[Memo]]))</f>
        <v>平板報工</v>
      </c>
      <c r="O3411" t="s">
        <v>643</v>
      </c>
      <c r="P3411" t="s">
        <v>141</v>
      </c>
      <c r="Q3411" t="s">
        <v>644</v>
      </c>
      <c r="R3411" t="str">
        <f>IFERROR(VLOOKUP(record[[#This Row],[PCUSTID]],廠商[],2,FALSE),"")</f>
        <v/>
      </c>
      <c r="S3411" t="str">
        <f>VLOOKUP(record[[#This Row],[employeeID]],員工[],2,FALSE)</f>
        <v>蔣梅</v>
      </c>
    </row>
    <row r="3412" spans="6:19" hidden="1" x14ac:dyDescent="0.25">
      <c r="F3412" t="s">
        <v>1540</v>
      </c>
      <c r="G3412" t="s">
        <v>419</v>
      </c>
      <c r="H3412" t="str">
        <f>VLOOKUP(record[[#This Row],[ProcessSN]],表格2_7[],2,FALSE)</f>
        <v>30-4118-018-5XX</v>
      </c>
      <c r="I3412" t="str">
        <f>VLOOKUP(record[[#This Row],[ProcessSN]],表格2_7[],3,FALSE)</f>
        <v>#07QC</v>
      </c>
      <c r="J3412" t="s">
        <v>589</v>
      </c>
      <c r="K3412" s="195">
        <v>46093.441990740743</v>
      </c>
      <c r="L3412">
        <v>48</v>
      </c>
      <c r="M3412">
        <v>0</v>
      </c>
      <c r="N3412" s="98" t="str">
        <f>IF(record[[#This Row],[Memo]]="Browser:chrome os:android","平板報工",IF(record[[#This Row],[Memo]]=0,"委外",record[[#This Row],[Memo]]))</f>
        <v>平板報工</v>
      </c>
      <c r="O3412" t="s">
        <v>643</v>
      </c>
      <c r="P3412" t="s">
        <v>141</v>
      </c>
      <c r="Q3412" t="s">
        <v>644</v>
      </c>
      <c r="R3412" t="str">
        <f>IFERROR(VLOOKUP(record[[#This Row],[PCUSTID]],廠商[],2,FALSE),"")</f>
        <v/>
      </c>
      <c r="S3412" t="str">
        <f>VLOOKUP(record[[#This Row],[employeeID]],員工[],2,FALSE)</f>
        <v>蔣梅</v>
      </c>
    </row>
    <row r="3413" spans="6:19" hidden="1" x14ac:dyDescent="0.25">
      <c r="F3413" t="s">
        <v>1540</v>
      </c>
      <c r="G3413" t="s">
        <v>418</v>
      </c>
      <c r="H3413" t="str">
        <f>VLOOKUP(record[[#This Row],[ProcessSN]],表格2_7[],2,FALSE)</f>
        <v>30-4118-018-5XX</v>
      </c>
      <c r="I3413" t="str">
        <f>VLOOKUP(record[[#This Row],[ProcessSN]],表格2_7[],3,FALSE)</f>
        <v>#07</v>
      </c>
      <c r="J3413" t="s">
        <v>588</v>
      </c>
      <c r="K3413" s="195">
        <v>46093.4299537037</v>
      </c>
      <c r="L3413">
        <v>14</v>
      </c>
      <c r="M3413">
        <v>0</v>
      </c>
      <c r="N3413" s="98" t="str">
        <f>IF(record[[#This Row],[Memo]]="Browser:chrome os:android","平板報工",IF(record[[#This Row],[Memo]]=0,"委外",record[[#This Row],[Memo]]))</f>
        <v>3/12協助漏報工</v>
      </c>
      <c r="O3413" t="s">
        <v>1629</v>
      </c>
      <c r="P3413" t="s">
        <v>1075</v>
      </c>
      <c r="Q3413" t="s">
        <v>58</v>
      </c>
      <c r="R3413" t="str">
        <f>IFERROR(VLOOKUP(record[[#This Row],[PCUSTID]],廠商[],2,FALSE),"")</f>
        <v/>
      </c>
      <c r="S3413" t="str">
        <f>VLOOKUP(record[[#This Row],[employeeID]],員工[],2,FALSE)</f>
        <v>吳宥叡</v>
      </c>
    </row>
    <row r="3414" spans="6:19" hidden="1" x14ac:dyDescent="0.25">
      <c r="F3414" t="s">
        <v>1580</v>
      </c>
      <c r="G3414" t="s">
        <v>468</v>
      </c>
      <c r="H3414" t="str">
        <f>VLOOKUP(record[[#This Row],[ProcessSN]],表格2_7[],2,FALSE)</f>
        <v>30-4118-018-XXX</v>
      </c>
      <c r="I3414" t="str">
        <f>VLOOKUP(record[[#This Row],[ProcessSN]],表格2_7[],3,FALSE)</f>
        <v>#02</v>
      </c>
      <c r="J3414" t="s">
        <v>590</v>
      </c>
      <c r="K3414" s="195">
        <v>46093.375474537039</v>
      </c>
      <c r="L3414">
        <v>884</v>
      </c>
      <c r="M3414">
        <v>0</v>
      </c>
      <c r="N3414" s="98" t="str">
        <f>IF(record[[#This Row],[Memo]]="Browser:chrome os:android","平板報工",IF(record[[#This Row],[Memo]]=0,"委外",record[[#This Row],[Memo]]))</f>
        <v>委外</v>
      </c>
      <c r="P3414" t="s">
        <v>186</v>
      </c>
      <c r="Q3414" t="s">
        <v>216</v>
      </c>
      <c r="R3414" t="str">
        <f>IFERROR(VLOOKUP(record[[#This Row],[PCUSTID]],廠商[],2,FALSE),"")</f>
        <v>俊杰</v>
      </c>
      <c r="S3414" t="str">
        <f>VLOOKUP(record[[#This Row],[employeeID]],員工[],2,FALSE)</f>
        <v>許文姍</v>
      </c>
    </row>
    <row r="3415" spans="6:19" hidden="1" x14ac:dyDescent="0.25">
      <c r="F3415" t="s">
        <v>1580</v>
      </c>
      <c r="G3415" t="s">
        <v>467</v>
      </c>
      <c r="H3415" t="str">
        <f>VLOOKUP(record[[#This Row],[ProcessSN]],表格2_7[],2,FALSE)</f>
        <v>30-4118-018-XXX</v>
      </c>
      <c r="I3415" t="str">
        <f>VLOOKUP(record[[#This Row],[ProcessSN]],表格2_7[],3,FALSE)</f>
        <v>#01QC</v>
      </c>
      <c r="J3415" t="s">
        <v>589</v>
      </c>
      <c r="K3415" s="195">
        <v>46093.370775462965</v>
      </c>
      <c r="L3415">
        <v>4</v>
      </c>
      <c r="M3415">
        <v>0</v>
      </c>
      <c r="N3415" s="98" t="str">
        <f>IF(record[[#This Row],[Memo]]="Browser:chrome os:android","平板報工",IF(record[[#This Row],[Memo]]=0,"委外",record[[#This Row],[Memo]]))</f>
        <v>平板報工</v>
      </c>
      <c r="O3415" t="s">
        <v>643</v>
      </c>
      <c r="P3415" t="s">
        <v>182</v>
      </c>
      <c r="Q3415" t="s">
        <v>644</v>
      </c>
      <c r="R3415" t="str">
        <f>IFERROR(VLOOKUP(record[[#This Row],[PCUSTID]],廠商[],2,FALSE),"")</f>
        <v/>
      </c>
      <c r="S3415" t="str">
        <f>VLOOKUP(record[[#This Row],[employeeID]],員工[],2,FALSE)</f>
        <v>梅氏和</v>
      </c>
    </row>
    <row r="3416" spans="6:19" hidden="1" x14ac:dyDescent="0.25">
      <c r="F3416" t="s">
        <v>1589</v>
      </c>
      <c r="G3416" t="s">
        <v>417</v>
      </c>
      <c r="H3416" t="str">
        <f>VLOOKUP(record[[#This Row],[ProcessSN]],表格2_7[],2,FALSE)</f>
        <v>30-4118-018-5XX</v>
      </c>
      <c r="I3416" t="str">
        <f>VLOOKUP(record[[#This Row],[ProcessSN]],表格2_7[],3,FALSE)</f>
        <v>#06</v>
      </c>
      <c r="J3416" t="s">
        <v>593</v>
      </c>
      <c r="K3416" s="195">
        <v>46093.310763888891</v>
      </c>
      <c r="L3416">
        <v>65</v>
      </c>
      <c r="M3416">
        <v>0</v>
      </c>
      <c r="N3416" s="98" t="str">
        <f>IF(record[[#This Row],[Memo]]="Browser:chrome os:android","平板報工",IF(record[[#This Row],[Memo]]=0,"委外",record[[#This Row],[Memo]]))</f>
        <v/>
      </c>
      <c r="O3416" t="s">
        <v>58</v>
      </c>
      <c r="P3416" t="s">
        <v>115</v>
      </c>
      <c r="Q3416" t="s">
        <v>58</v>
      </c>
      <c r="R3416" t="str">
        <f>IFERROR(VLOOKUP(record[[#This Row],[PCUSTID]],廠商[],2,FALSE),"")</f>
        <v/>
      </c>
      <c r="S3416" t="str">
        <f>VLOOKUP(record[[#This Row],[employeeID]],員工[],2,FALSE)</f>
        <v>溫智淵</v>
      </c>
    </row>
    <row r="3417" spans="6:19" hidden="1" x14ac:dyDescent="0.25">
      <c r="F3417" t="s">
        <v>1589</v>
      </c>
      <c r="G3417" t="s">
        <v>416</v>
      </c>
      <c r="H3417" t="str">
        <f>VLOOKUP(record[[#This Row],[ProcessSN]],表格2_7[],2,FALSE)</f>
        <v>30-4118-018-5XX</v>
      </c>
      <c r="I3417" t="str">
        <f>VLOOKUP(record[[#This Row],[ProcessSN]],表格2_7[],3,FALSE)</f>
        <v>#05</v>
      </c>
      <c r="J3417" t="s">
        <v>588</v>
      </c>
      <c r="K3417" s="195">
        <v>46093.309386574074</v>
      </c>
      <c r="L3417">
        <v>168</v>
      </c>
      <c r="M3417">
        <v>0</v>
      </c>
      <c r="N3417" s="98" t="str">
        <f>IF(record[[#This Row],[Memo]]="Browser:chrome os:android","平板報工",IF(record[[#This Row],[Memo]]=0,"委外",record[[#This Row],[Memo]]))</f>
        <v/>
      </c>
      <c r="O3417" t="s">
        <v>58</v>
      </c>
      <c r="P3417" t="s">
        <v>843</v>
      </c>
      <c r="Q3417" t="s">
        <v>58</v>
      </c>
      <c r="R3417" t="str">
        <f>IFERROR(VLOOKUP(record[[#This Row],[PCUSTID]],廠商[],2,FALSE),"")</f>
        <v/>
      </c>
      <c r="S3417" t="str">
        <f>VLOOKUP(record[[#This Row],[employeeID]],員工[],2,FALSE)</f>
        <v>張楚承</v>
      </c>
    </row>
    <row r="3418" spans="6:19" hidden="1" x14ac:dyDescent="0.25">
      <c r="F3418" t="s">
        <v>1589</v>
      </c>
      <c r="G3418" t="s">
        <v>415</v>
      </c>
      <c r="H3418" t="str">
        <f>VLOOKUP(record[[#This Row],[ProcessSN]],表格2_7[],2,FALSE)</f>
        <v>30-4118-018-5XX</v>
      </c>
      <c r="I3418" t="str">
        <f>VLOOKUP(record[[#This Row],[ProcessSN]],表格2_7[],3,FALSE)</f>
        <v>#04</v>
      </c>
      <c r="J3418" t="s">
        <v>588</v>
      </c>
      <c r="K3418" s="195">
        <v>46093.308888888889</v>
      </c>
      <c r="L3418">
        <v>110</v>
      </c>
      <c r="M3418">
        <v>1</v>
      </c>
      <c r="N3418" s="98" t="str">
        <f>IF(record[[#This Row],[Memo]]="Browser:chrome os:android","平板報工",IF(record[[#This Row],[Memo]]=0,"委外",record[[#This Row],[Memo]]))</f>
        <v/>
      </c>
      <c r="O3418" t="s">
        <v>58</v>
      </c>
      <c r="P3418" t="s">
        <v>843</v>
      </c>
      <c r="Q3418" t="s">
        <v>58</v>
      </c>
      <c r="R3418" t="str">
        <f>IFERROR(VLOOKUP(record[[#This Row],[PCUSTID]],廠商[],2,FALSE),"")</f>
        <v/>
      </c>
      <c r="S3418" t="str">
        <f>VLOOKUP(record[[#This Row],[employeeID]],員工[],2,FALSE)</f>
        <v>張楚承</v>
      </c>
    </row>
    <row r="3419" spans="6:19" hidden="1" x14ac:dyDescent="0.25">
      <c r="F3419" t="s">
        <v>1589</v>
      </c>
      <c r="G3419" t="s">
        <v>417</v>
      </c>
      <c r="H3419" t="str">
        <f>VLOOKUP(record[[#This Row],[ProcessSN]],表格2_7[],2,FALSE)</f>
        <v>30-4118-018-5XX</v>
      </c>
      <c r="I3419" t="str">
        <f>VLOOKUP(record[[#This Row],[ProcessSN]],表格2_7[],3,FALSE)</f>
        <v>#06</v>
      </c>
      <c r="J3419" t="s">
        <v>593</v>
      </c>
      <c r="K3419" s="195">
        <v>46093.304803240739</v>
      </c>
      <c r="L3419">
        <v>68</v>
      </c>
      <c r="M3419">
        <v>0</v>
      </c>
      <c r="N3419" s="98" t="str">
        <f>IF(record[[#This Row],[Memo]]="Browser:chrome os:android","平板報工",IF(record[[#This Row],[Memo]]=0,"委外",record[[#This Row],[Memo]]))</f>
        <v>平板報工</v>
      </c>
      <c r="O3419" t="s">
        <v>643</v>
      </c>
      <c r="P3419" t="s">
        <v>170</v>
      </c>
      <c r="Q3419" t="s">
        <v>644</v>
      </c>
      <c r="R3419" t="str">
        <f>IFERROR(VLOOKUP(record[[#This Row],[PCUSTID]],廠商[],2,FALSE),"")</f>
        <v/>
      </c>
      <c r="S3419" t="str">
        <f>VLOOKUP(record[[#This Row],[employeeID]],員工[],2,FALSE)</f>
        <v>黃清宇</v>
      </c>
    </row>
    <row r="3420" spans="6:19" hidden="1" x14ac:dyDescent="0.25">
      <c r="F3420" t="s">
        <v>1589</v>
      </c>
      <c r="G3420" t="s">
        <v>417</v>
      </c>
      <c r="H3420" t="str">
        <f>VLOOKUP(record[[#This Row],[ProcessSN]],表格2_7[],2,FALSE)</f>
        <v>30-4118-018-5XX</v>
      </c>
      <c r="I3420" t="str">
        <f>VLOOKUP(record[[#This Row],[ProcessSN]],表格2_7[],3,FALSE)</f>
        <v>#06</v>
      </c>
      <c r="J3420" t="s">
        <v>593</v>
      </c>
      <c r="K3420" s="195">
        <v>46093.150891203702</v>
      </c>
      <c r="L3420">
        <v>65</v>
      </c>
      <c r="M3420">
        <v>3</v>
      </c>
      <c r="N3420" s="98" t="str">
        <f>IF(record[[#This Row],[Memo]]="Browser:chrome os:android","平板報工",IF(record[[#This Row],[Memo]]=0,"委外",record[[#This Row],[Memo]]))</f>
        <v/>
      </c>
      <c r="O3420" t="s">
        <v>58</v>
      </c>
      <c r="P3420" t="s">
        <v>188</v>
      </c>
      <c r="Q3420" t="s">
        <v>58</v>
      </c>
      <c r="R3420" t="str">
        <f>IFERROR(VLOOKUP(record[[#This Row],[PCUSTID]],廠商[],2,FALSE),"")</f>
        <v/>
      </c>
      <c r="S3420" t="str">
        <f>VLOOKUP(record[[#This Row],[employeeID]],員工[],2,FALSE)</f>
        <v>阮氏璧紅</v>
      </c>
    </row>
    <row r="3421" spans="6:19" hidden="1" x14ac:dyDescent="0.25">
      <c r="F3421" t="s">
        <v>1589</v>
      </c>
      <c r="G3421" t="s">
        <v>417</v>
      </c>
      <c r="H3421" t="str">
        <f>VLOOKUP(record[[#This Row],[ProcessSN]],表格2_7[],2,FALSE)</f>
        <v>30-4118-018-5XX</v>
      </c>
      <c r="I3421" t="str">
        <f>VLOOKUP(record[[#This Row],[ProcessSN]],表格2_7[],3,FALSE)</f>
        <v>#06</v>
      </c>
      <c r="J3421" t="s">
        <v>593</v>
      </c>
      <c r="K3421" s="195">
        <v>46093.022106481483</v>
      </c>
      <c r="L3421">
        <v>32</v>
      </c>
      <c r="M3421">
        <v>0</v>
      </c>
      <c r="N3421" s="98" t="str">
        <f>IF(record[[#This Row],[Memo]]="Browser:chrome os:android","平板報工",IF(record[[#This Row],[Memo]]=0,"委外",record[[#This Row],[Memo]]))</f>
        <v>中3/11</v>
      </c>
      <c r="O3421" t="s">
        <v>1628</v>
      </c>
      <c r="P3421" t="s">
        <v>135</v>
      </c>
      <c r="Q3421" t="s">
        <v>58</v>
      </c>
      <c r="R3421" t="str">
        <f>IFERROR(VLOOKUP(record[[#This Row],[PCUSTID]],廠商[],2,FALSE),"")</f>
        <v/>
      </c>
      <c r="S3421" t="str">
        <f>VLOOKUP(record[[#This Row],[employeeID]],員工[],2,FALSE)</f>
        <v>阮士文</v>
      </c>
    </row>
    <row r="3422" spans="6:19" hidden="1" x14ac:dyDescent="0.25">
      <c r="F3422" t="s">
        <v>1540</v>
      </c>
      <c r="G3422" t="s">
        <v>417</v>
      </c>
      <c r="H3422" t="str">
        <f>VLOOKUP(record[[#This Row],[ProcessSN]],表格2_7[],2,FALSE)</f>
        <v>30-4118-018-5XX</v>
      </c>
      <c r="I3422" t="str">
        <f>VLOOKUP(record[[#This Row],[ProcessSN]],表格2_7[],3,FALSE)</f>
        <v>#06</v>
      </c>
      <c r="J3422" t="s">
        <v>593</v>
      </c>
      <c r="K3422" s="195">
        <v>46093.021782407406</v>
      </c>
      <c r="L3422">
        <v>82</v>
      </c>
      <c r="M3422">
        <v>1</v>
      </c>
      <c r="N3422" s="98" t="str">
        <f>IF(record[[#This Row],[Memo]]="Browser:chrome os:android","平板報工",IF(record[[#This Row],[Memo]]=0,"委外",record[[#This Row],[Memo]]))</f>
        <v>中3/11</v>
      </c>
      <c r="O3422" t="s">
        <v>1628</v>
      </c>
      <c r="P3422" t="s">
        <v>135</v>
      </c>
      <c r="Q3422" t="s">
        <v>58</v>
      </c>
      <c r="R3422" t="str">
        <f>IFERROR(VLOOKUP(record[[#This Row],[PCUSTID]],廠商[],2,FALSE),"")</f>
        <v/>
      </c>
      <c r="S3422" t="str">
        <f>VLOOKUP(record[[#This Row],[employeeID]],員工[],2,FALSE)</f>
        <v>阮士文</v>
      </c>
    </row>
    <row r="3423" spans="6:19" hidden="1" x14ac:dyDescent="0.25">
      <c r="F3423" t="s">
        <v>1589</v>
      </c>
      <c r="G3423" t="s">
        <v>416</v>
      </c>
      <c r="H3423" t="str">
        <f>VLOOKUP(record[[#This Row],[ProcessSN]],表格2_7[],2,FALSE)</f>
        <v>30-4118-018-5XX</v>
      </c>
      <c r="I3423" t="str">
        <f>VLOOKUP(record[[#This Row],[ProcessSN]],表格2_7[],3,FALSE)</f>
        <v>#05</v>
      </c>
      <c r="J3423" t="s">
        <v>588</v>
      </c>
      <c r="K3423" s="195">
        <v>46092.973935185182</v>
      </c>
      <c r="L3423">
        <v>264</v>
      </c>
      <c r="M3423">
        <v>0</v>
      </c>
      <c r="N3423" s="98" t="str">
        <f>IF(record[[#This Row],[Memo]]="Browser:chrome os:android","平板報工",IF(record[[#This Row],[Memo]]=0,"委外",record[[#This Row],[Memo]]))</f>
        <v/>
      </c>
      <c r="O3423" t="s">
        <v>58</v>
      </c>
      <c r="P3423" t="s">
        <v>1098</v>
      </c>
      <c r="Q3423" t="s">
        <v>58</v>
      </c>
      <c r="R3423" t="str">
        <f>IFERROR(VLOOKUP(record[[#This Row],[PCUSTID]],廠商[],2,FALSE),"")</f>
        <v/>
      </c>
      <c r="S3423" t="str">
        <f>VLOOKUP(record[[#This Row],[employeeID]],員工[],2,FALSE)</f>
        <v>阮氏芳英(英)</v>
      </c>
    </row>
    <row r="3424" spans="6:19" hidden="1" x14ac:dyDescent="0.25">
      <c r="F3424" t="s">
        <v>1589</v>
      </c>
      <c r="G3424" t="s">
        <v>417</v>
      </c>
      <c r="H3424" t="str">
        <f>VLOOKUP(record[[#This Row],[ProcessSN]],表格2_7[],2,FALSE)</f>
        <v>30-4118-018-5XX</v>
      </c>
      <c r="I3424" t="str">
        <f>VLOOKUP(record[[#This Row],[ProcessSN]],表格2_7[],3,FALSE)</f>
        <v>#06</v>
      </c>
      <c r="J3424" t="s">
        <v>593</v>
      </c>
      <c r="K3424" s="195">
        <v>46092.972002314818</v>
      </c>
      <c r="L3424">
        <v>67</v>
      </c>
      <c r="M3424">
        <v>0</v>
      </c>
      <c r="N3424" s="98" t="str">
        <f>IF(record[[#This Row],[Memo]]="Browser:chrome os:android","平板報工",IF(record[[#This Row],[Memo]]=0,"委外",record[[#This Row],[Memo]]))</f>
        <v/>
      </c>
      <c r="O3424" t="s">
        <v>58</v>
      </c>
      <c r="P3424" t="s">
        <v>841</v>
      </c>
      <c r="Q3424" t="s">
        <v>58</v>
      </c>
      <c r="R3424" t="str">
        <f>IFERROR(VLOOKUP(record[[#This Row],[PCUSTID]],廠商[],2,FALSE),"")</f>
        <v/>
      </c>
      <c r="S3424" t="str">
        <f>VLOOKUP(record[[#This Row],[employeeID]],員工[],2,FALSE)</f>
        <v>范氏香</v>
      </c>
    </row>
    <row r="3425" spans="6:19" hidden="1" x14ac:dyDescent="0.25">
      <c r="F3425" t="s">
        <v>1589</v>
      </c>
      <c r="G3425" t="s">
        <v>415</v>
      </c>
      <c r="H3425" t="str">
        <f>VLOOKUP(record[[#This Row],[ProcessSN]],表格2_7[],2,FALSE)</f>
        <v>30-4118-018-5XX</v>
      </c>
      <c r="I3425" t="str">
        <f>VLOOKUP(record[[#This Row],[ProcessSN]],表格2_7[],3,FALSE)</f>
        <v>#04</v>
      </c>
      <c r="J3425" t="s">
        <v>588</v>
      </c>
      <c r="K3425" s="195">
        <v>46092.971273148149</v>
      </c>
      <c r="L3425">
        <v>137</v>
      </c>
      <c r="M3425">
        <v>0</v>
      </c>
      <c r="N3425" s="98" t="str">
        <f>IF(record[[#This Row],[Memo]]="Browser:chrome os:android","平板報工",IF(record[[#This Row],[Memo]]=0,"委外",record[[#This Row],[Memo]]))</f>
        <v/>
      </c>
      <c r="O3425" t="s">
        <v>58</v>
      </c>
      <c r="P3425" t="s">
        <v>89</v>
      </c>
      <c r="Q3425" t="s">
        <v>58</v>
      </c>
      <c r="R3425" t="str">
        <f>IFERROR(VLOOKUP(record[[#This Row],[PCUSTID]],廠商[],2,FALSE),"")</f>
        <v/>
      </c>
      <c r="S3425" t="str">
        <f>VLOOKUP(record[[#This Row],[employeeID]],員工[],2,FALSE)</f>
        <v>李美蓮</v>
      </c>
    </row>
    <row r="3426" spans="6:19" hidden="1" x14ac:dyDescent="0.25">
      <c r="F3426" t="s">
        <v>1602</v>
      </c>
      <c r="G3426" t="s">
        <v>466</v>
      </c>
      <c r="H3426" t="str">
        <f>VLOOKUP(record[[#This Row],[ProcessSN]],表格2_7[],2,FALSE)</f>
        <v>30-4118-018-XXX</v>
      </c>
      <c r="I3426" t="str">
        <f>VLOOKUP(record[[#This Row],[ProcessSN]],表格2_7[],3,FALSE)</f>
        <v>#01-2</v>
      </c>
      <c r="J3426" t="s">
        <v>588</v>
      </c>
      <c r="K3426" s="195">
        <v>46092.971053240741</v>
      </c>
      <c r="L3426">
        <v>301</v>
      </c>
      <c r="M3426">
        <v>0</v>
      </c>
      <c r="N3426" s="98" t="str">
        <f>IF(record[[#This Row],[Memo]]="Browser:chrome os:android","平板報工",IF(record[[#This Row],[Memo]]=0,"委外",record[[#This Row],[Memo]]))</f>
        <v/>
      </c>
      <c r="O3426" t="s">
        <v>58</v>
      </c>
      <c r="P3426" t="s">
        <v>89</v>
      </c>
      <c r="Q3426" t="s">
        <v>58</v>
      </c>
      <c r="R3426" t="str">
        <f>IFERROR(VLOOKUP(record[[#This Row],[PCUSTID]],廠商[],2,FALSE),"")</f>
        <v/>
      </c>
      <c r="S3426" t="str">
        <f>VLOOKUP(record[[#This Row],[employeeID]],員工[],2,FALSE)</f>
        <v>李美蓮</v>
      </c>
    </row>
    <row r="3427" spans="6:19" hidden="1" x14ac:dyDescent="0.25">
      <c r="F3427" t="s">
        <v>1602</v>
      </c>
      <c r="G3427" t="s">
        <v>465</v>
      </c>
      <c r="H3427" t="str">
        <f>VLOOKUP(record[[#This Row],[ProcessSN]],表格2_7[],2,FALSE)</f>
        <v>30-4118-018-XXX</v>
      </c>
      <c r="I3427" t="str">
        <f>VLOOKUP(record[[#This Row],[ProcessSN]],表格2_7[],3,FALSE)</f>
        <v>#01-1</v>
      </c>
      <c r="J3427" t="s">
        <v>588</v>
      </c>
      <c r="K3427" s="195">
        <v>46092.970775462964</v>
      </c>
      <c r="L3427">
        <v>392</v>
      </c>
      <c r="M3427">
        <v>0</v>
      </c>
      <c r="N3427" s="98" t="str">
        <f>IF(record[[#This Row],[Memo]]="Browser:chrome os:android","平板報工",IF(record[[#This Row],[Memo]]=0,"委外",record[[#This Row],[Memo]]))</f>
        <v/>
      </c>
      <c r="O3427" t="s">
        <v>58</v>
      </c>
      <c r="P3427" t="s">
        <v>89</v>
      </c>
      <c r="Q3427" t="s">
        <v>58</v>
      </c>
      <c r="R3427" t="str">
        <f>IFERROR(VLOOKUP(record[[#This Row],[PCUSTID]],廠商[],2,FALSE),"")</f>
        <v/>
      </c>
      <c r="S3427" t="str">
        <f>VLOOKUP(record[[#This Row],[employeeID]],員工[],2,FALSE)</f>
        <v>李美蓮</v>
      </c>
    </row>
    <row r="3428" spans="6:19" hidden="1" x14ac:dyDescent="0.25">
      <c r="F3428" t="s">
        <v>1589</v>
      </c>
      <c r="G3428" t="s">
        <v>417</v>
      </c>
      <c r="H3428" t="str">
        <f>VLOOKUP(record[[#This Row],[ProcessSN]],表格2_7[],2,FALSE)</f>
        <v>30-4118-018-5XX</v>
      </c>
      <c r="I3428" t="str">
        <f>VLOOKUP(record[[#This Row],[ProcessSN]],表格2_7[],3,FALSE)</f>
        <v>#06</v>
      </c>
      <c r="J3428" t="s">
        <v>593</v>
      </c>
      <c r="K3428" s="195">
        <v>46092.823206018518</v>
      </c>
      <c r="L3428">
        <v>67</v>
      </c>
      <c r="M3428">
        <v>0</v>
      </c>
      <c r="N3428" s="98" t="str">
        <f>IF(record[[#This Row],[Memo]]="Browser:chrome os:android","平板報工",IF(record[[#This Row],[Memo]]=0,"委外",record[[#This Row],[Memo]]))</f>
        <v>平板報工</v>
      </c>
      <c r="O3428" t="s">
        <v>643</v>
      </c>
      <c r="P3428" t="s">
        <v>1413</v>
      </c>
      <c r="Q3428" t="s">
        <v>644</v>
      </c>
      <c r="R3428" t="str">
        <f>IFERROR(VLOOKUP(record[[#This Row],[PCUSTID]],廠商[],2,FALSE),"")</f>
        <v/>
      </c>
      <c r="S3428" t="str">
        <f>VLOOKUP(record[[#This Row],[employeeID]],員工[],2,FALSE)</f>
        <v>阮氏芳英(芳)</v>
      </c>
    </row>
    <row r="3429" spans="6:19" hidden="1" x14ac:dyDescent="0.25">
      <c r="F3429" t="s">
        <v>1580</v>
      </c>
      <c r="G3429" t="s">
        <v>467</v>
      </c>
      <c r="H3429" t="str">
        <f>VLOOKUP(record[[#This Row],[ProcessSN]],表格2_7[],2,FALSE)</f>
        <v>30-4118-018-XXX</v>
      </c>
      <c r="I3429" t="str">
        <f>VLOOKUP(record[[#This Row],[ProcessSN]],表格2_7[],3,FALSE)</f>
        <v>#01QC</v>
      </c>
      <c r="J3429" t="s">
        <v>589</v>
      </c>
      <c r="K3429" s="195">
        <v>46092.818935185183</v>
      </c>
      <c r="L3429">
        <v>880</v>
      </c>
      <c r="M3429">
        <v>0</v>
      </c>
      <c r="N3429" s="98" t="str">
        <f>IF(record[[#This Row],[Memo]]="Browser:chrome os:android","平板報工",IF(record[[#This Row],[Memo]]=0,"委外",record[[#This Row],[Memo]]))</f>
        <v>平板報工</v>
      </c>
      <c r="O3429" t="s">
        <v>643</v>
      </c>
      <c r="P3429" t="s">
        <v>182</v>
      </c>
      <c r="Q3429" t="s">
        <v>644</v>
      </c>
      <c r="R3429" t="str">
        <f>IFERROR(VLOOKUP(record[[#This Row],[PCUSTID]],廠商[],2,FALSE),"")</f>
        <v/>
      </c>
      <c r="S3429" t="str">
        <f>VLOOKUP(record[[#This Row],[employeeID]],員工[],2,FALSE)</f>
        <v>梅氏和</v>
      </c>
    </row>
    <row r="3430" spans="6:19" hidden="1" x14ac:dyDescent="0.25">
      <c r="F3430" t="s">
        <v>1580</v>
      </c>
      <c r="G3430" t="s">
        <v>466</v>
      </c>
      <c r="H3430" t="str">
        <f>VLOOKUP(record[[#This Row],[ProcessSN]],表格2_7[],2,FALSE)</f>
        <v>30-4118-018-XXX</v>
      </c>
      <c r="I3430" t="str">
        <f>VLOOKUP(record[[#This Row],[ProcessSN]],表格2_7[],3,FALSE)</f>
        <v>#01-2</v>
      </c>
      <c r="J3430" t="s">
        <v>588</v>
      </c>
      <c r="K3430" s="195">
        <v>46092.770254629628</v>
      </c>
      <c r="L3430">
        <v>90</v>
      </c>
      <c r="M3430">
        <v>0</v>
      </c>
      <c r="N3430" s="98" t="str">
        <f>IF(record[[#This Row],[Memo]]="Browser:chrome os:android","平板報工",IF(record[[#This Row],[Memo]]=0,"委外",record[[#This Row],[Memo]]))</f>
        <v/>
      </c>
      <c r="O3430" t="s">
        <v>58</v>
      </c>
      <c r="P3430" t="s">
        <v>89</v>
      </c>
      <c r="Q3430" t="s">
        <v>58</v>
      </c>
      <c r="R3430" t="str">
        <f>IFERROR(VLOOKUP(record[[#This Row],[PCUSTID]],廠商[],2,FALSE),"")</f>
        <v/>
      </c>
      <c r="S3430" t="str">
        <f>VLOOKUP(record[[#This Row],[employeeID]],員工[],2,FALSE)</f>
        <v>李美蓮</v>
      </c>
    </row>
    <row r="3431" spans="6:19" hidden="1" x14ac:dyDescent="0.25">
      <c r="F3431" t="s">
        <v>1603</v>
      </c>
      <c r="G3431" t="s">
        <v>403</v>
      </c>
      <c r="H3431" t="str">
        <f>VLOOKUP(record[[#This Row],[ProcessSN]],表格2_7[],2,FALSE)</f>
        <v>30-4118-018-550</v>
      </c>
      <c r="I3431" t="str">
        <f>VLOOKUP(record[[#This Row],[ProcessSN]],表格2_7[],3,FALSE)</f>
        <v>#100SHIP</v>
      </c>
      <c r="J3431" t="s">
        <v>600</v>
      </c>
      <c r="K3431" s="195">
        <v>46092.691666666666</v>
      </c>
      <c r="L3431">
        <v>147</v>
      </c>
      <c r="M3431">
        <v>0</v>
      </c>
      <c r="N3431" s="98" t="str">
        <f>IF(record[[#This Row],[Memo]]="Browser:chrome os:android","平板報工",IF(record[[#This Row],[Memo]]=0,"委外",record[[#This Row],[Memo]]))</f>
        <v/>
      </c>
      <c r="O3431" t="s">
        <v>58</v>
      </c>
      <c r="P3431" t="s">
        <v>886</v>
      </c>
      <c r="Q3431" t="s">
        <v>58</v>
      </c>
      <c r="R3431" t="str">
        <f>IFERROR(VLOOKUP(record[[#This Row],[PCUSTID]],廠商[],2,FALSE),"")</f>
        <v/>
      </c>
      <c r="S3431" t="str">
        <f>VLOOKUP(record[[#This Row],[employeeID]],員工[],2,FALSE)</f>
        <v>謝蓁薰</v>
      </c>
    </row>
    <row r="3432" spans="6:19" hidden="1" x14ac:dyDescent="0.25">
      <c r="F3432" t="s">
        <v>1603</v>
      </c>
      <c r="G3432" t="s">
        <v>402</v>
      </c>
      <c r="H3432" t="str">
        <f>VLOOKUP(record[[#This Row],[ProcessSN]],表格2_7[],2,FALSE)</f>
        <v>30-4118-018-550</v>
      </c>
      <c r="I3432" t="str">
        <f>VLOOKUP(record[[#This Row],[ProcessSN]],表格2_7[],3,FALSE)</f>
        <v>#100STOCK</v>
      </c>
      <c r="J3432" t="s">
        <v>592</v>
      </c>
      <c r="K3432" s="195">
        <v>46092.691550925927</v>
      </c>
      <c r="L3432">
        <v>147</v>
      </c>
      <c r="M3432">
        <v>0</v>
      </c>
      <c r="N3432" s="98" t="str">
        <f>IF(record[[#This Row],[Memo]]="Browser:chrome os:android","平板報工",IF(record[[#This Row],[Memo]]=0,"委外",record[[#This Row],[Memo]]))</f>
        <v/>
      </c>
      <c r="O3432" t="s">
        <v>58</v>
      </c>
      <c r="P3432" t="s">
        <v>886</v>
      </c>
      <c r="Q3432" t="s">
        <v>58</v>
      </c>
      <c r="R3432" t="str">
        <f>IFERROR(VLOOKUP(record[[#This Row],[PCUSTID]],廠商[],2,FALSE),"")</f>
        <v/>
      </c>
      <c r="S3432" t="str">
        <f>VLOOKUP(record[[#This Row],[employeeID]],員工[],2,FALSE)</f>
        <v>謝蓁薰</v>
      </c>
    </row>
    <row r="3433" spans="6:19" hidden="1" x14ac:dyDescent="0.25">
      <c r="F3433" t="s">
        <v>1613</v>
      </c>
      <c r="G3433" t="s">
        <v>362</v>
      </c>
      <c r="H3433" t="str">
        <f>VLOOKUP(record[[#This Row],[ProcessSN]],表格2_7[],2,FALSE)</f>
        <v>30-4118-018-450</v>
      </c>
      <c r="I3433" t="str">
        <f>VLOOKUP(record[[#This Row],[ProcessSN]],表格2_7[],3,FALSE)</f>
        <v>#100SHIP</v>
      </c>
      <c r="J3433" t="s">
        <v>600</v>
      </c>
      <c r="K3433" s="195">
        <v>46092.691319444442</v>
      </c>
      <c r="L3433">
        <v>232</v>
      </c>
      <c r="M3433">
        <v>0</v>
      </c>
      <c r="N3433" s="98" t="str">
        <f>IF(record[[#This Row],[Memo]]="Browser:chrome os:android","平板報工",IF(record[[#This Row],[Memo]]=0,"委外",record[[#This Row],[Memo]]))</f>
        <v/>
      </c>
      <c r="O3433" t="s">
        <v>58</v>
      </c>
      <c r="P3433" t="s">
        <v>886</v>
      </c>
      <c r="Q3433" t="s">
        <v>58</v>
      </c>
      <c r="R3433" t="str">
        <f>IFERROR(VLOOKUP(record[[#This Row],[PCUSTID]],廠商[],2,FALSE),"")</f>
        <v/>
      </c>
      <c r="S3433" t="str">
        <f>VLOOKUP(record[[#This Row],[employeeID]],員工[],2,FALSE)</f>
        <v>謝蓁薰</v>
      </c>
    </row>
    <row r="3434" spans="6:19" hidden="1" x14ac:dyDescent="0.25">
      <c r="F3434" t="s">
        <v>1613</v>
      </c>
      <c r="G3434" t="s">
        <v>361</v>
      </c>
      <c r="H3434" t="str">
        <f>VLOOKUP(record[[#This Row],[ProcessSN]],表格2_7[],2,FALSE)</f>
        <v>30-4118-018-450</v>
      </c>
      <c r="I3434" t="str">
        <f>VLOOKUP(record[[#This Row],[ProcessSN]],表格2_7[],3,FALSE)</f>
        <v>#100STOCK</v>
      </c>
      <c r="J3434" t="s">
        <v>592</v>
      </c>
      <c r="K3434" s="195">
        <v>46092.691180555557</v>
      </c>
      <c r="L3434">
        <v>232</v>
      </c>
      <c r="M3434">
        <v>0</v>
      </c>
      <c r="N3434" s="98" t="str">
        <f>IF(record[[#This Row],[Memo]]="Browser:chrome os:android","平板報工",IF(record[[#This Row],[Memo]]=0,"委外",record[[#This Row],[Memo]]))</f>
        <v/>
      </c>
      <c r="O3434" t="s">
        <v>58</v>
      </c>
      <c r="P3434" t="s">
        <v>886</v>
      </c>
      <c r="Q3434" t="s">
        <v>58</v>
      </c>
      <c r="R3434" t="str">
        <f>IFERROR(VLOOKUP(record[[#This Row],[PCUSTID]],廠商[],2,FALSE),"")</f>
        <v/>
      </c>
      <c r="S3434" t="str">
        <f>VLOOKUP(record[[#This Row],[employeeID]],員工[],2,FALSE)</f>
        <v>謝蓁薰</v>
      </c>
    </row>
    <row r="3435" spans="6:19" hidden="1" x14ac:dyDescent="0.25">
      <c r="F3435" t="s">
        <v>1603</v>
      </c>
      <c r="G3435" t="s">
        <v>401</v>
      </c>
      <c r="H3435" t="str">
        <f>VLOOKUP(record[[#This Row],[ProcessSN]],表格2_7[],2,FALSE)</f>
        <v>30-4118-018-550</v>
      </c>
      <c r="I3435" t="str">
        <f>VLOOKUP(record[[#This Row],[ProcessSN]],表格2_7[],3,FALSE)</f>
        <v>#100OQC</v>
      </c>
      <c r="J3435" t="s">
        <v>599</v>
      </c>
      <c r="K3435" s="195">
        <v>46092.685277777775</v>
      </c>
      <c r="L3435">
        <v>336</v>
      </c>
      <c r="M3435">
        <v>0</v>
      </c>
      <c r="N3435" s="98" t="str">
        <f>IF(record[[#This Row],[Memo]]="Browser:chrome os:android","平板報工",IF(record[[#This Row],[Memo]]=0,"委外",record[[#This Row],[Memo]]))</f>
        <v/>
      </c>
      <c r="O3435" t="s">
        <v>58</v>
      </c>
      <c r="P3435" t="s">
        <v>121</v>
      </c>
      <c r="Q3435" t="s">
        <v>58</v>
      </c>
      <c r="R3435" t="str">
        <f>IFERROR(VLOOKUP(record[[#This Row],[PCUSTID]],廠商[],2,FALSE),"")</f>
        <v/>
      </c>
      <c r="S3435" t="str">
        <f>VLOOKUP(record[[#This Row],[employeeID]],員工[],2,FALSE)</f>
        <v>謝素卿</v>
      </c>
    </row>
    <row r="3436" spans="6:19" hidden="1" x14ac:dyDescent="0.25">
      <c r="F3436" t="s">
        <v>1613</v>
      </c>
      <c r="G3436" t="s">
        <v>360</v>
      </c>
      <c r="H3436" t="str">
        <f>VLOOKUP(record[[#This Row],[ProcessSN]],表格2_7[],2,FALSE)</f>
        <v>30-4118-018-450</v>
      </c>
      <c r="I3436" t="str">
        <f>VLOOKUP(record[[#This Row],[ProcessSN]],表格2_7[],3,FALSE)</f>
        <v>#100OQC</v>
      </c>
      <c r="J3436" t="s">
        <v>599</v>
      </c>
      <c r="K3436" s="195">
        <v>46092.68482638889</v>
      </c>
      <c r="L3436">
        <v>232</v>
      </c>
      <c r="M3436">
        <v>0</v>
      </c>
      <c r="N3436" s="98" t="str">
        <f>IF(record[[#This Row],[Memo]]="Browser:chrome os:android","平板報工",IF(record[[#This Row],[Memo]]=0,"委外",record[[#This Row],[Memo]]))</f>
        <v/>
      </c>
      <c r="O3436" t="s">
        <v>58</v>
      </c>
      <c r="P3436" t="s">
        <v>121</v>
      </c>
      <c r="Q3436" t="s">
        <v>58</v>
      </c>
      <c r="R3436" t="str">
        <f>IFERROR(VLOOKUP(record[[#This Row],[PCUSTID]],廠商[],2,FALSE),"")</f>
        <v/>
      </c>
      <c r="S3436" t="str">
        <f>VLOOKUP(record[[#This Row],[employeeID]],員工[],2,FALSE)</f>
        <v>謝素卿</v>
      </c>
    </row>
    <row r="3437" spans="6:19" hidden="1" x14ac:dyDescent="0.25">
      <c r="F3437" t="s">
        <v>1589</v>
      </c>
      <c r="G3437" t="s">
        <v>415</v>
      </c>
      <c r="H3437" t="str">
        <f>VLOOKUP(record[[#This Row],[ProcessSN]],表格2_7[],2,FALSE)</f>
        <v>30-4118-018-5XX</v>
      </c>
      <c r="I3437" t="str">
        <f>VLOOKUP(record[[#This Row],[ProcessSN]],表格2_7[],3,FALSE)</f>
        <v>#04</v>
      </c>
      <c r="J3437" t="s">
        <v>588</v>
      </c>
      <c r="K3437" s="195">
        <v>46092.674432870372</v>
      </c>
      <c r="L3437">
        <v>150</v>
      </c>
      <c r="M3437">
        <v>0</v>
      </c>
      <c r="N3437" s="98" t="str">
        <f>IF(record[[#This Row],[Memo]]="Browser:chrome os:android","平板報工",IF(record[[#This Row],[Memo]]=0,"委外",record[[#This Row],[Memo]]))</f>
        <v>平板報工</v>
      </c>
      <c r="O3437" t="s">
        <v>643</v>
      </c>
      <c r="P3437" t="s">
        <v>107</v>
      </c>
      <c r="Q3437" t="s">
        <v>644</v>
      </c>
      <c r="R3437" t="str">
        <f>IFERROR(VLOOKUP(record[[#This Row],[PCUSTID]],廠商[],2,FALSE),"")</f>
        <v/>
      </c>
      <c r="S3437" t="str">
        <f>VLOOKUP(record[[#This Row],[employeeID]],員工[],2,FALSE)</f>
        <v>黎氏順</v>
      </c>
    </row>
    <row r="3438" spans="6:19" hidden="1" x14ac:dyDescent="0.25">
      <c r="F3438" t="s">
        <v>1580</v>
      </c>
      <c r="G3438" t="s">
        <v>466</v>
      </c>
      <c r="H3438" t="str">
        <f>VLOOKUP(record[[#This Row],[ProcessSN]],表格2_7[],2,FALSE)</f>
        <v>30-4118-018-XXX</v>
      </c>
      <c r="I3438" t="str">
        <f>VLOOKUP(record[[#This Row],[ProcessSN]],表格2_7[],3,FALSE)</f>
        <v>#01-2</v>
      </c>
      <c r="J3438" t="s">
        <v>588</v>
      </c>
      <c r="K3438" s="195">
        <v>46092.672905092593</v>
      </c>
      <c r="L3438">
        <v>305</v>
      </c>
      <c r="M3438">
        <v>0</v>
      </c>
      <c r="N3438" s="98" t="str">
        <f>IF(record[[#This Row],[Memo]]="Browser:chrome os:android","平板報工",IF(record[[#This Row],[Memo]]=0,"委外",record[[#This Row],[Memo]]))</f>
        <v>平板報工</v>
      </c>
      <c r="O3438" t="s">
        <v>643</v>
      </c>
      <c r="P3438" t="s">
        <v>107</v>
      </c>
      <c r="Q3438" t="s">
        <v>644</v>
      </c>
      <c r="R3438" t="str">
        <f>IFERROR(VLOOKUP(record[[#This Row],[PCUSTID]],廠商[],2,FALSE),"")</f>
        <v/>
      </c>
      <c r="S3438" t="str">
        <f>VLOOKUP(record[[#This Row],[employeeID]],員工[],2,FALSE)</f>
        <v>黎氏順</v>
      </c>
    </row>
    <row r="3439" spans="6:19" hidden="1" x14ac:dyDescent="0.25">
      <c r="F3439" t="s">
        <v>1580</v>
      </c>
      <c r="G3439" t="s">
        <v>465</v>
      </c>
      <c r="H3439" t="str">
        <f>VLOOKUP(record[[#This Row],[ProcessSN]],表格2_7[],2,FALSE)</f>
        <v>30-4118-018-XXX</v>
      </c>
      <c r="I3439" t="str">
        <f>VLOOKUP(record[[#This Row],[ProcessSN]],表格2_7[],3,FALSE)</f>
        <v>#01-1</v>
      </c>
      <c r="J3439" t="s">
        <v>588</v>
      </c>
      <c r="K3439" s="195">
        <v>46092.67255787037</v>
      </c>
      <c r="L3439">
        <v>316</v>
      </c>
      <c r="M3439">
        <v>0</v>
      </c>
      <c r="N3439" s="98" t="str">
        <f>IF(record[[#This Row],[Memo]]="Browser:chrome os:android","平板報工",IF(record[[#This Row],[Memo]]=0,"委外",record[[#This Row],[Memo]]))</f>
        <v>平板報工</v>
      </c>
      <c r="O3439" t="s">
        <v>643</v>
      </c>
      <c r="P3439" t="s">
        <v>107</v>
      </c>
      <c r="Q3439" t="s">
        <v>644</v>
      </c>
      <c r="R3439" t="str">
        <f>IFERROR(VLOOKUP(record[[#This Row],[PCUSTID]],廠商[],2,FALSE),"")</f>
        <v/>
      </c>
      <c r="S3439" t="str">
        <f>VLOOKUP(record[[#This Row],[employeeID]],員工[],2,FALSE)</f>
        <v>黎氏順</v>
      </c>
    </row>
    <row r="3440" spans="6:19" hidden="1" x14ac:dyDescent="0.25">
      <c r="F3440" t="s">
        <v>1589</v>
      </c>
      <c r="G3440" t="s">
        <v>416</v>
      </c>
      <c r="H3440" t="str">
        <f>VLOOKUP(record[[#This Row],[ProcessSN]],表格2_7[],2,FALSE)</f>
        <v>30-4118-018-5XX</v>
      </c>
      <c r="I3440" t="str">
        <f>VLOOKUP(record[[#This Row],[ProcessSN]],表格2_7[],3,FALSE)</f>
        <v>#05</v>
      </c>
      <c r="J3440" t="s">
        <v>588</v>
      </c>
      <c r="K3440" s="195">
        <v>46092.666076388887</v>
      </c>
      <c r="L3440">
        <v>82</v>
      </c>
      <c r="M3440">
        <v>0</v>
      </c>
      <c r="N3440" s="98" t="str">
        <f>IF(record[[#This Row],[Memo]]="Browser:chrome os:android","平板報工",IF(record[[#This Row],[Memo]]=0,"委外",record[[#This Row],[Memo]]))</f>
        <v>平板報工</v>
      </c>
      <c r="O3440" t="s">
        <v>643</v>
      </c>
      <c r="P3440" t="s">
        <v>145</v>
      </c>
      <c r="Q3440" t="s">
        <v>644</v>
      </c>
      <c r="R3440" t="str">
        <f>IFERROR(VLOOKUP(record[[#This Row],[PCUSTID]],廠商[],2,FALSE),"")</f>
        <v/>
      </c>
      <c r="S3440" t="str">
        <f>VLOOKUP(record[[#This Row],[employeeID]],員工[],2,FALSE)</f>
        <v>阮秋霞</v>
      </c>
    </row>
    <row r="3441" spans="6:19" hidden="1" x14ac:dyDescent="0.25">
      <c r="F3441" t="s">
        <v>1589</v>
      </c>
      <c r="G3441" t="s">
        <v>418</v>
      </c>
      <c r="H3441" t="str">
        <f>VLOOKUP(record[[#This Row],[ProcessSN]],表格2_7[],2,FALSE)</f>
        <v>30-4118-018-5XX</v>
      </c>
      <c r="I3441" t="str">
        <f>VLOOKUP(record[[#This Row],[ProcessSN]],表格2_7[],3,FALSE)</f>
        <v>#07</v>
      </c>
      <c r="J3441" t="s">
        <v>588</v>
      </c>
      <c r="K3441" s="195">
        <v>46092.6640162037</v>
      </c>
      <c r="L3441">
        <v>91</v>
      </c>
      <c r="M3441">
        <v>0</v>
      </c>
      <c r="N3441" s="98" t="str">
        <f>IF(record[[#This Row],[Memo]]="Browser:chrome os:android","平板報工",IF(record[[#This Row],[Memo]]=0,"委外",record[[#This Row],[Memo]]))</f>
        <v>平板報工</v>
      </c>
      <c r="O3441" t="s">
        <v>643</v>
      </c>
      <c r="P3441" t="s">
        <v>145</v>
      </c>
      <c r="Q3441" t="s">
        <v>644</v>
      </c>
      <c r="R3441" t="str">
        <f>IFERROR(VLOOKUP(record[[#This Row],[PCUSTID]],廠商[],2,FALSE),"")</f>
        <v/>
      </c>
      <c r="S3441" t="str">
        <f>VLOOKUP(record[[#This Row],[employeeID]],員工[],2,FALSE)</f>
        <v>阮秋霞</v>
      </c>
    </row>
    <row r="3442" spans="6:19" hidden="1" x14ac:dyDescent="0.25">
      <c r="F3442" t="s">
        <v>1540</v>
      </c>
      <c r="G3442" t="s">
        <v>418</v>
      </c>
      <c r="H3442" t="str">
        <f>VLOOKUP(record[[#This Row],[ProcessSN]],表格2_7[],2,FALSE)</f>
        <v>30-4118-018-5XX</v>
      </c>
      <c r="I3442" t="str">
        <f>VLOOKUP(record[[#This Row],[ProcessSN]],表格2_7[],3,FALSE)</f>
        <v>#07</v>
      </c>
      <c r="J3442" t="s">
        <v>588</v>
      </c>
      <c r="K3442" s="195">
        <v>46092.663622685184</v>
      </c>
      <c r="L3442">
        <v>16</v>
      </c>
      <c r="M3442">
        <v>0</v>
      </c>
      <c r="N3442" s="98" t="str">
        <f>IF(record[[#This Row],[Memo]]="Browser:chrome os:android","平板報工",IF(record[[#This Row],[Memo]]=0,"委外",record[[#This Row],[Memo]]))</f>
        <v>平板報工</v>
      </c>
      <c r="O3442" t="s">
        <v>643</v>
      </c>
      <c r="P3442" t="s">
        <v>145</v>
      </c>
      <c r="Q3442" t="s">
        <v>644</v>
      </c>
      <c r="R3442" t="str">
        <f>IFERROR(VLOOKUP(record[[#This Row],[PCUSTID]],廠商[],2,FALSE),"")</f>
        <v/>
      </c>
      <c r="S3442" t="str">
        <f>VLOOKUP(record[[#This Row],[employeeID]],員工[],2,FALSE)</f>
        <v>阮秋霞</v>
      </c>
    </row>
    <row r="3443" spans="6:19" hidden="1" x14ac:dyDescent="0.25">
      <c r="F3443" t="s">
        <v>1540</v>
      </c>
      <c r="G3443" t="s">
        <v>417</v>
      </c>
      <c r="H3443" t="str">
        <f>VLOOKUP(record[[#This Row],[ProcessSN]],表格2_7[],2,FALSE)</f>
        <v>30-4118-018-5XX</v>
      </c>
      <c r="I3443" t="str">
        <f>VLOOKUP(record[[#This Row],[ProcessSN]],表格2_7[],3,FALSE)</f>
        <v>#06</v>
      </c>
      <c r="J3443" t="s">
        <v>593</v>
      </c>
      <c r="K3443" s="195">
        <v>46092.653090277781</v>
      </c>
      <c r="L3443">
        <v>86</v>
      </c>
      <c r="M3443">
        <v>0</v>
      </c>
      <c r="N3443" s="98" t="str">
        <f>IF(record[[#This Row],[Memo]]="Browser:chrome os:android","平板報工",IF(record[[#This Row],[Memo]]=0,"委外",record[[#This Row],[Memo]]))</f>
        <v>平板報工</v>
      </c>
      <c r="O3443" t="s">
        <v>643</v>
      </c>
      <c r="P3443" t="s">
        <v>111</v>
      </c>
      <c r="Q3443" t="s">
        <v>644</v>
      </c>
      <c r="R3443" t="str">
        <f>IFERROR(VLOOKUP(record[[#This Row],[PCUSTID]],廠商[],2,FALSE),"")</f>
        <v/>
      </c>
      <c r="S3443" t="str">
        <f>VLOOKUP(record[[#This Row],[employeeID]],員工[],2,FALSE)</f>
        <v>江栩妘</v>
      </c>
    </row>
    <row r="3444" spans="6:19" hidden="1" x14ac:dyDescent="0.25">
      <c r="F3444" t="s">
        <v>1582</v>
      </c>
      <c r="G3444" t="s">
        <v>403</v>
      </c>
      <c r="H3444" t="str">
        <f>VLOOKUP(record[[#This Row],[ProcessSN]],表格2_7[],2,FALSE)</f>
        <v>30-4118-018-550</v>
      </c>
      <c r="I3444" t="str">
        <f>VLOOKUP(record[[#This Row],[ProcessSN]],表格2_7[],3,FALSE)</f>
        <v>#100SHIP</v>
      </c>
      <c r="J3444" t="s">
        <v>600</v>
      </c>
      <c r="K3444" s="195">
        <v>46092.642280092594</v>
      </c>
      <c r="L3444">
        <v>22</v>
      </c>
      <c r="M3444">
        <v>0</v>
      </c>
      <c r="N3444" s="98" t="str">
        <f>IF(record[[#This Row],[Memo]]="Browser:chrome os:android","平板報工",IF(record[[#This Row],[Memo]]=0,"委外",record[[#This Row],[Memo]]))</f>
        <v/>
      </c>
      <c r="O3444" t="s">
        <v>58</v>
      </c>
      <c r="P3444" t="s">
        <v>886</v>
      </c>
      <c r="Q3444" t="s">
        <v>58</v>
      </c>
      <c r="R3444" t="str">
        <f>IFERROR(VLOOKUP(record[[#This Row],[PCUSTID]],廠商[],2,FALSE),"")</f>
        <v/>
      </c>
      <c r="S3444" t="str">
        <f>VLOOKUP(record[[#This Row],[employeeID]],員工[],2,FALSE)</f>
        <v>謝蓁薰</v>
      </c>
    </row>
    <row r="3445" spans="6:19" hidden="1" x14ac:dyDescent="0.25">
      <c r="F3445" t="s">
        <v>1556</v>
      </c>
      <c r="G3445" t="s">
        <v>403</v>
      </c>
      <c r="H3445" t="str">
        <f>VLOOKUP(record[[#This Row],[ProcessSN]],表格2_7[],2,FALSE)</f>
        <v>30-4118-018-550</v>
      </c>
      <c r="I3445" t="str">
        <f>VLOOKUP(record[[#This Row],[ProcessSN]],表格2_7[],3,FALSE)</f>
        <v>#100SHIP</v>
      </c>
      <c r="J3445" t="s">
        <v>600</v>
      </c>
      <c r="K3445" s="195">
        <v>46092.641956018517</v>
      </c>
      <c r="L3445">
        <v>12</v>
      </c>
      <c r="M3445">
        <v>0</v>
      </c>
      <c r="N3445" s="98" t="str">
        <f>IF(record[[#This Row],[Memo]]="Browser:chrome os:android","平板報工",IF(record[[#This Row],[Memo]]=0,"委外",record[[#This Row],[Memo]]))</f>
        <v/>
      </c>
      <c r="O3445" t="s">
        <v>58</v>
      </c>
      <c r="P3445" t="s">
        <v>886</v>
      </c>
      <c r="Q3445" t="s">
        <v>58</v>
      </c>
      <c r="R3445" t="str">
        <f>IFERROR(VLOOKUP(record[[#This Row],[PCUSTID]],廠商[],2,FALSE),"")</f>
        <v/>
      </c>
      <c r="S3445" t="str">
        <f>VLOOKUP(record[[#This Row],[employeeID]],員工[],2,FALSE)</f>
        <v>謝蓁薰</v>
      </c>
    </row>
    <row r="3446" spans="6:19" hidden="1" x14ac:dyDescent="0.25">
      <c r="F3446" t="s">
        <v>1432</v>
      </c>
      <c r="G3446" t="s">
        <v>362</v>
      </c>
      <c r="H3446" t="str">
        <f>VLOOKUP(record[[#This Row],[ProcessSN]],表格2_7[],2,FALSE)</f>
        <v>30-4118-018-450</v>
      </c>
      <c r="I3446" t="str">
        <f>VLOOKUP(record[[#This Row],[ProcessSN]],表格2_7[],3,FALSE)</f>
        <v>#100SHIP</v>
      </c>
      <c r="J3446" t="s">
        <v>600</v>
      </c>
      <c r="K3446" s="195">
        <v>46092.641805555555</v>
      </c>
      <c r="L3446">
        <v>84</v>
      </c>
      <c r="M3446">
        <v>0</v>
      </c>
      <c r="N3446" s="98" t="str">
        <f>IF(record[[#This Row],[Memo]]="Browser:chrome os:android","平板報工",IF(record[[#This Row],[Memo]]=0,"委外",record[[#This Row],[Memo]]))</f>
        <v/>
      </c>
      <c r="O3446" t="s">
        <v>58</v>
      </c>
      <c r="P3446" t="s">
        <v>886</v>
      </c>
      <c r="Q3446" t="s">
        <v>58</v>
      </c>
      <c r="R3446" t="str">
        <f>IFERROR(VLOOKUP(record[[#This Row],[PCUSTID]],廠商[],2,FALSE),"")</f>
        <v/>
      </c>
      <c r="S3446" t="str">
        <f>VLOOKUP(record[[#This Row],[employeeID]],員工[],2,FALSE)</f>
        <v>謝蓁薰</v>
      </c>
    </row>
    <row r="3447" spans="6:19" hidden="1" x14ac:dyDescent="0.25">
      <c r="F3447" t="s">
        <v>1589</v>
      </c>
      <c r="G3447" t="s">
        <v>417</v>
      </c>
      <c r="H3447" t="str">
        <f>VLOOKUP(record[[#This Row],[ProcessSN]],表格2_7[],2,FALSE)</f>
        <v>30-4118-018-5XX</v>
      </c>
      <c r="I3447" t="str">
        <f>VLOOKUP(record[[#This Row],[ProcessSN]],表格2_7[],3,FALSE)</f>
        <v>#06</v>
      </c>
      <c r="J3447" t="s">
        <v>593</v>
      </c>
      <c r="K3447" s="195">
        <v>46092.6408912037</v>
      </c>
      <c r="L3447">
        <v>100</v>
      </c>
      <c r="M3447">
        <v>1</v>
      </c>
      <c r="N3447" s="98" t="str">
        <f>IF(record[[#This Row],[Memo]]="Browser:chrome os:android","平板報工",IF(record[[#This Row],[Memo]]=0,"委外",record[[#This Row],[Memo]]))</f>
        <v>平板報工</v>
      </c>
      <c r="O3447" t="s">
        <v>643</v>
      </c>
      <c r="P3447" t="s">
        <v>1413</v>
      </c>
      <c r="Q3447" t="s">
        <v>644</v>
      </c>
      <c r="R3447" t="str">
        <f>IFERROR(VLOOKUP(record[[#This Row],[PCUSTID]],廠商[],2,FALSE),"")</f>
        <v/>
      </c>
      <c r="S3447" t="str">
        <f>VLOOKUP(record[[#This Row],[employeeID]],員工[],2,FALSE)</f>
        <v>阮氏芳英(芳)</v>
      </c>
    </row>
    <row r="3448" spans="6:19" hidden="1" x14ac:dyDescent="0.25">
      <c r="F3448" t="s">
        <v>1540</v>
      </c>
      <c r="G3448" t="s">
        <v>417</v>
      </c>
      <c r="H3448" t="str">
        <f>VLOOKUP(record[[#This Row],[ProcessSN]],表格2_7[],2,FALSE)</f>
        <v>30-4118-018-5XX</v>
      </c>
      <c r="I3448" t="str">
        <f>VLOOKUP(record[[#This Row],[ProcessSN]],表格2_7[],3,FALSE)</f>
        <v>#06</v>
      </c>
      <c r="J3448" t="s">
        <v>593</v>
      </c>
      <c r="K3448" s="195">
        <v>46092.640300925923</v>
      </c>
      <c r="L3448">
        <v>16</v>
      </c>
      <c r="M3448">
        <v>0</v>
      </c>
      <c r="N3448" s="98" t="str">
        <f>IF(record[[#This Row],[Memo]]="Browser:chrome os:android","平板報工",IF(record[[#This Row],[Memo]]=0,"委外",record[[#This Row],[Memo]]))</f>
        <v>平板報工</v>
      </c>
      <c r="O3448" t="s">
        <v>643</v>
      </c>
      <c r="P3448" t="s">
        <v>1413</v>
      </c>
      <c r="Q3448" t="s">
        <v>644</v>
      </c>
      <c r="R3448" t="str">
        <f>IFERROR(VLOOKUP(record[[#This Row],[PCUSTID]],廠商[],2,FALSE),"")</f>
        <v/>
      </c>
      <c r="S3448" t="str">
        <f>VLOOKUP(record[[#This Row],[employeeID]],員工[],2,FALSE)</f>
        <v>阮氏芳英(芳)</v>
      </c>
    </row>
    <row r="3449" spans="6:19" hidden="1" x14ac:dyDescent="0.25">
      <c r="F3449" t="s">
        <v>1613</v>
      </c>
      <c r="G3449" t="s">
        <v>359</v>
      </c>
      <c r="H3449" t="str">
        <f>VLOOKUP(record[[#This Row],[ProcessSN]],表格2_7[],2,FALSE)</f>
        <v>30-4118-018-450</v>
      </c>
      <c r="I3449" t="str">
        <f>VLOOKUP(record[[#This Row],[ProcessSN]],表格2_7[],3,FALSE)</f>
        <v>#100</v>
      </c>
      <c r="J3449" t="s">
        <v>598</v>
      </c>
      <c r="K3449" s="195">
        <v>46092.635023148148</v>
      </c>
      <c r="L3449">
        <v>0</v>
      </c>
      <c r="M3449">
        <v>1</v>
      </c>
      <c r="N3449" s="98" t="str">
        <f>IF(record[[#This Row],[Memo]]="Browser:chrome os:android","平板報工",IF(record[[#This Row],[Memo]]=0,"委外",record[[#This Row],[Memo]]))</f>
        <v/>
      </c>
      <c r="O3449" t="s">
        <v>58</v>
      </c>
      <c r="P3449" t="s">
        <v>141</v>
      </c>
      <c r="Q3449" t="s">
        <v>58</v>
      </c>
      <c r="R3449" t="str">
        <f>IFERROR(VLOOKUP(record[[#This Row],[PCUSTID]],廠商[],2,FALSE),"")</f>
        <v/>
      </c>
      <c r="S3449" t="str">
        <f>VLOOKUP(record[[#This Row],[employeeID]],員工[],2,FALSE)</f>
        <v>蔣梅</v>
      </c>
    </row>
    <row r="3450" spans="6:19" hidden="1" x14ac:dyDescent="0.25">
      <c r="F3450" t="s">
        <v>1613</v>
      </c>
      <c r="G3450" t="s">
        <v>359</v>
      </c>
      <c r="H3450" t="str">
        <f>VLOOKUP(record[[#This Row],[ProcessSN]],表格2_7[],2,FALSE)</f>
        <v>30-4118-018-450</v>
      </c>
      <c r="I3450" t="str">
        <f>VLOOKUP(record[[#This Row],[ProcessSN]],表格2_7[],3,FALSE)</f>
        <v>#100</v>
      </c>
      <c r="J3450" t="s">
        <v>598</v>
      </c>
      <c r="K3450" s="195">
        <v>46092.634618055556</v>
      </c>
      <c r="L3450">
        <v>232</v>
      </c>
      <c r="M3450">
        <v>0</v>
      </c>
      <c r="N3450" s="98" t="str">
        <f>IF(record[[#This Row],[Memo]]="Browser:chrome os:android","平板報工",IF(record[[#This Row],[Memo]]=0,"委外",record[[#This Row],[Memo]]))</f>
        <v/>
      </c>
      <c r="O3450" t="s">
        <v>58</v>
      </c>
      <c r="P3450" t="s">
        <v>141</v>
      </c>
      <c r="Q3450" t="s">
        <v>58</v>
      </c>
      <c r="R3450" t="str">
        <f>IFERROR(VLOOKUP(record[[#This Row],[PCUSTID]],廠商[],2,FALSE),"")</f>
        <v/>
      </c>
      <c r="S3450" t="str">
        <f>VLOOKUP(record[[#This Row],[employeeID]],員工[],2,FALSE)</f>
        <v>蔣梅</v>
      </c>
    </row>
    <row r="3451" spans="6:19" hidden="1" x14ac:dyDescent="0.25">
      <c r="F3451" t="s">
        <v>1613</v>
      </c>
      <c r="G3451" t="s">
        <v>358</v>
      </c>
      <c r="H3451" t="str">
        <f>VLOOKUP(record[[#This Row],[ProcessSN]],表格2_7[],2,FALSE)</f>
        <v>30-4118-018-450</v>
      </c>
      <c r="I3451" t="str">
        <f>VLOOKUP(record[[#This Row],[ProcessSN]],表格2_7[],3,FALSE)</f>
        <v>#08IQC</v>
      </c>
      <c r="J3451" t="s">
        <v>583</v>
      </c>
      <c r="K3451" s="195">
        <v>46092.615162037036</v>
      </c>
      <c r="L3451">
        <v>7</v>
      </c>
      <c r="M3451">
        <v>0</v>
      </c>
      <c r="N3451" s="98" t="str">
        <f>IF(record[[#This Row],[Memo]]="Browser:chrome os:android","平板報工",IF(record[[#This Row],[Memo]]=0,"委外",record[[#This Row],[Memo]]))</f>
        <v>覆回頭部露白</v>
      </c>
      <c r="O3451" t="s">
        <v>1627</v>
      </c>
      <c r="P3451" t="s">
        <v>141</v>
      </c>
      <c r="Q3451" t="s">
        <v>58</v>
      </c>
      <c r="R3451" t="str">
        <f>IFERROR(VLOOKUP(record[[#This Row],[PCUSTID]],廠商[],2,FALSE),"")</f>
        <v/>
      </c>
      <c r="S3451" t="str">
        <f>VLOOKUP(record[[#This Row],[employeeID]],員工[],2,FALSE)</f>
        <v>蔣梅</v>
      </c>
    </row>
    <row r="3452" spans="6:19" hidden="1" x14ac:dyDescent="0.25">
      <c r="F3452" t="s">
        <v>1613</v>
      </c>
      <c r="G3452" t="s">
        <v>357</v>
      </c>
      <c r="H3452" t="str">
        <f>VLOOKUP(record[[#This Row],[ProcessSN]],表格2_7[],2,FALSE)</f>
        <v>30-4118-018-450</v>
      </c>
      <c r="I3452" t="str">
        <f>VLOOKUP(record[[#This Row],[ProcessSN]],表格2_7[],3,FALSE)</f>
        <v>#08RCV</v>
      </c>
      <c r="J3452" t="s">
        <v>591</v>
      </c>
      <c r="K3452" s="195">
        <v>46092.615011574075</v>
      </c>
      <c r="L3452">
        <v>0</v>
      </c>
      <c r="M3452">
        <v>7</v>
      </c>
      <c r="N3452" s="98" t="str">
        <f>IF(record[[#This Row],[Memo]]="Browser:chrome os:android","平板報工",IF(record[[#This Row],[Memo]]=0,"委外",record[[#This Row],[Memo]]))</f>
        <v/>
      </c>
      <c r="O3452" t="s">
        <v>58</v>
      </c>
      <c r="P3452" t="s">
        <v>141</v>
      </c>
      <c r="Q3452" t="s">
        <v>58</v>
      </c>
      <c r="R3452" t="str">
        <f>IFERROR(VLOOKUP(record[[#This Row],[PCUSTID]],廠商[],2,FALSE),"")</f>
        <v/>
      </c>
      <c r="S3452" t="str">
        <f>VLOOKUP(record[[#This Row],[employeeID]],員工[],2,FALSE)</f>
        <v>蔣梅</v>
      </c>
    </row>
    <row r="3453" spans="6:19" hidden="1" x14ac:dyDescent="0.25">
      <c r="F3453" t="s">
        <v>1613</v>
      </c>
      <c r="G3453" t="s">
        <v>357</v>
      </c>
      <c r="H3453" t="str">
        <f>VLOOKUP(record[[#This Row],[ProcessSN]],表格2_7[],2,FALSE)</f>
        <v>30-4118-018-450</v>
      </c>
      <c r="I3453" t="str">
        <f>VLOOKUP(record[[#This Row],[ProcessSN]],表格2_7[],3,FALSE)</f>
        <v>#08RCV</v>
      </c>
      <c r="J3453" t="s">
        <v>591</v>
      </c>
      <c r="K3453" s="195">
        <v>46092.614849537036</v>
      </c>
      <c r="L3453">
        <v>7</v>
      </c>
      <c r="M3453">
        <v>0</v>
      </c>
      <c r="N3453" s="98" t="str">
        <f>IF(record[[#This Row],[Memo]]="Browser:chrome os:android","平板報工",IF(record[[#This Row],[Memo]]=0,"委外",record[[#This Row],[Memo]]))</f>
        <v>覆回頭部露白</v>
      </c>
      <c r="O3453" t="s">
        <v>1627</v>
      </c>
      <c r="P3453" t="s">
        <v>141</v>
      </c>
      <c r="Q3453" t="s">
        <v>58</v>
      </c>
      <c r="R3453" t="str">
        <f>IFERROR(VLOOKUP(record[[#This Row],[PCUSTID]],廠商[],2,FALSE),"")</f>
        <v/>
      </c>
      <c r="S3453" t="str">
        <f>VLOOKUP(record[[#This Row],[employeeID]],員工[],2,FALSE)</f>
        <v>蔣梅</v>
      </c>
    </row>
    <row r="3454" spans="6:19" hidden="1" x14ac:dyDescent="0.25">
      <c r="F3454" t="s">
        <v>1540</v>
      </c>
      <c r="G3454" t="s">
        <v>417</v>
      </c>
      <c r="H3454" t="str">
        <f>VLOOKUP(record[[#This Row],[ProcessSN]],表格2_7[],2,FALSE)</f>
        <v>30-4118-018-5XX</v>
      </c>
      <c r="I3454" t="str">
        <f>VLOOKUP(record[[#This Row],[ProcessSN]],表格2_7[],3,FALSE)</f>
        <v>#06</v>
      </c>
      <c r="J3454" t="s">
        <v>593</v>
      </c>
      <c r="K3454" s="195">
        <v>46092.573518518519</v>
      </c>
      <c r="L3454">
        <v>0</v>
      </c>
      <c r="M3454">
        <v>1</v>
      </c>
      <c r="N3454" s="98" t="str">
        <f>IF(record[[#This Row],[Memo]]="Browser:chrome os:android","平板報工",IF(record[[#This Row],[Memo]]=0,"委外",record[[#This Row],[Memo]]))</f>
        <v/>
      </c>
      <c r="O3454" t="s">
        <v>58</v>
      </c>
      <c r="P3454" t="s">
        <v>1626</v>
      </c>
      <c r="Q3454" t="s">
        <v>58</v>
      </c>
      <c r="R3454" t="str">
        <f>IFERROR(VLOOKUP(record[[#This Row],[PCUSTID]],廠商[],2,FALSE),"")</f>
        <v/>
      </c>
      <c r="S3454" t="e">
        <f>VLOOKUP(record[[#This Row],[employeeID]],員工[],2,FALSE)</f>
        <v>#N/A</v>
      </c>
    </row>
    <row r="3455" spans="6:19" hidden="1" x14ac:dyDescent="0.25">
      <c r="F3455" t="s">
        <v>1570</v>
      </c>
      <c r="G3455" t="s">
        <v>379</v>
      </c>
      <c r="H3455" t="str">
        <f>VLOOKUP(record[[#This Row],[ProcessSN]],表格2_7[],2,FALSE)</f>
        <v>30-4118-018-4XX</v>
      </c>
      <c r="I3455" t="str">
        <f>VLOOKUP(record[[#This Row],[ProcessSN]],表格2_7[],3,FALSE)</f>
        <v>#07STOCK</v>
      </c>
      <c r="J3455" t="s">
        <v>592</v>
      </c>
      <c r="K3455" s="195">
        <v>46092.463796296295</v>
      </c>
      <c r="L3455">
        <v>288</v>
      </c>
      <c r="M3455">
        <v>0</v>
      </c>
      <c r="N3455" s="98" t="str">
        <f>IF(record[[#This Row],[Memo]]="Browser:chrome os:android","平板報工",IF(record[[#This Row],[Memo]]=0,"委外",record[[#This Row],[Memo]]))</f>
        <v/>
      </c>
      <c r="O3455" t="s">
        <v>58</v>
      </c>
      <c r="P3455" t="s">
        <v>186</v>
      </c>
      <c r="Q3455" t="s">
        <v>58</v>
      </c>
      <c r="R3455" t="str">
        <f>IFERROR(VLOOKUP(record[[#This Row],[PCUSTID]],廠商[],2,FALSE),"")</f>
        <v/>
      </c>
      <c r="S3455" t="str">
        <f>VLOOKUP(record[[#This Row],[employeeID]],員工[],2,FALSE)</f>
        <v>許文姍</v>
      </c>
    </row>
    <row r="3456" spans="6:19" hidden="1" x14ac:dyDescent="0.25">
      <c r="F3456" t="s">
        <v>1568</v>
      </c>
      <c r="G3456" t="s">
        <v>420</v>
      </c>
      <c r="H3456" t="str">
        <f>VLOOKUP(record[[#This Row],[ProcessSN]],表格2_7[],2,FALSE)</f>
        <v>30-4118-018-5XX</v>
      </c>
      <c r="I3456" t="str">
        <f>VLOOKUP(record[[#This Row],[ProcessSN]],表格2_7[],3,FALSE)</f>
        <v>#07STOCK</v>
      </c>
      <c r="J3456" t="s">
        <v>592</v>
      </c>
      <c r="K3456" s="195">
        <v>46092.461377314816</v>
      </c>
      <c r="L3456">
        <v>349</v>
      </c>
      <c r="M3456">
        <v>0</v>
      </c>
      <c r="N3456" s="98" t="str">
        <f>IF(record[[#This Row],[Memo]]="Browser:chrome os:android","平板報工",IF(record[[#This Row],[Memo]]=0,"委外",record[[#This Row],[Memo]]))</f>
        <v/>
      </c>
      <c r="O3456" t="s">
        <v>58</v>
      </c>
      <c r="P3456" t="s">
        <v>186</v>
      </c>
      <c r="Q3456" t="s">
        <v>58</v>
      </c>
      <c r="R3456" t="str">
        <f>IFERROR(VLOOKUP(record[[#This Row],[PCUSTID]],廠商[],2,FALSE),"")</f>
        <v/>
      </c>
      <c r="S3456" t="str">
        <f>VLOOKUP(record[[#This Row],[employeeID]],員工[],2,FALSE)</f>
        <v>許文姍</v>
      </c>
    </row>
    <row r="3457" spans="6:19" hidden="1" x14ac:dyDescent="0.25">
      <c r="F3457" t="s">
        <v>1540</v>
      </c>
      <c r="G3457" t="s">
        <v>420</v>
      </c>
      <c r="H3457" t="str">
        <f>VLOOKUP(record[[#This Row],[ProcessSN]],表格2_7[],2,FALSE)</f>
        <v>30-4118-018-5XX</v>
      </c>
      <c r="I3457" t="str">
        <f>VLOOKUP(record[[#This Row],[ProcessSN]],表格2_7[],3,FALSE)</f>
        <v>#07STOCK</v>
      </c>
      <c r="J3457" t="s">
        <v>592</v>
      </c>
      <c r="K3457" s="195">
        <v>46092.4612037037</v>
      </c>
      <c r="L3457">
        <v>60</v>
      </c>
      <c r="M3457">
        <v>0</v>
      </c>
      <c r="N3457" s="98" t="str">
        <f>IF(record[[#This Row],[Memo]]="Browser:chrome os:android","平板報工",IF(record[[#This Row],[Memo]]=0,"委外",record[[#This Row],[Memo]]))</f>
        <v/>
      </c>
      <c r="O3457" t="s">
        <v>58</v>
      </c>
      <c r="P3457" t="s">
        <v>186</v>
      </c>
      <c r="Q3457" t="s">
        <v>58</v>
      </c>
      <c r="R3457" t="str">
        <f>IFERROR(VLOOKUP(record[[#This Row],[PCUSTID]],廠商[],2,FALSE),"")</f>
        <v/>
      </c>
      <c r="S3457" t="str">
        <f>VLOOKUP(record[[#This Row],[employeeID]],員工[],2,FALSE)</f>
        <v>許文姍</v>
      </c>
    </row>
    <row r="3458" spans="6:19" hidden="1" x14ac:dyDescent="0.25">
      <c r="F3458" t="s">
        <v>1613</v>
      </c>
      <c r="G3458" t="s">
        <v>358</v>
      </c>
      <c r="H3458" t="str">
        <f>VLOOKUP(record[[#This Row],[ProcessSN]],表格2_7[],2,FALSE)</f>
        <v>30-4118-018-450</v>
      </c>
      <c r="I3458" t="str">
        <f>VLOOKUP(record[[#This Row],[ProcessSN]],表格2_7[],3,FALSE)</f>
        <v>#08IQC</v>
      </c>
      <c r="J3458" t="s">
        <v>583</v>
      </c>
      <c r="K3458" s="195">
        <v>46092.448865740742</v>
      </c>
      <c r="L3458">
        <v>226</v>
      </c>
      <c r="M3458">
        <v>0</v>
      </c>
      <c r="N3458" s="98" t="str">
        <f>IF(record[[#This Row],[Memo]]="Browser:chrome os:android","平板報工",IF(record[[#This Row],[Memo]]=0,"委外",record[[#This Row],[Memo]]))</f>
        <v/>
      </c>
      <c r="O3458" t="s">
        <v>58</v>
      </c>
      <c r="P3458" t="s">
        <v>109</v>
      </c>
      <c r="Q3458" t="s">
        <v>58</v>
      </c>
      <c r="R3458" t="str">
        <f>IFERROR(VLOOKUP(record[[#This Row],[PCUSTID]],廠商[],2,FALSE),"")</f>
        <v/>
      </c>
      <c r="S3458" t="str">
        <f>VLOOKUP(record[[#This Row],[employeeID]],員工[],2,FALSE)</f>
        <v>裴氏璧鳳</v>
      </c>
    </row>
    <row r="3459" spans="6:19" hidden="1" x14ac:dyDescent="0.25">
      <c r="F3459" t="s">
        <v>1613</v>
      </c>
      <c r="G3459" t="s">
        <v>357</v>
      </c>
      <c r="H3459" t="str">
        <f>VLOOKUP(record[[#This Row],[ProcessSN]],表格2_7[],2,FALSE)</f>
        <v>30-4118-018-450</v>
      </c>
      <c r="I3459" t="str">
        <f>VLOOKUP(record[[#This Row],[ProcessSN]],表格2_7[],3,FALSE)</f>
        <v>#08RCV</v>
      </c>
      <c r="J3459" t="s">
        <v>591</v>
      </c>
      <c r="K3459" s="195">
        <v>46092.446539351855</v>
      </c>
      <c r="L3459">
        <v>226</v>
      </c>
      <c r="M3459">
        <v>0</v>
      </c>
      <c r="N3459" s="98" t="str">
        <f>IF(record[[#This Row],[Memo]]="Browser:chrome os:android","平板報工",IF(record[[#This Row],[Memo]]=0,"委外",record[[#This Row],[Memo]]))</f>
        <v/>
      </c>
      <c r="O3459" t="s">
        <v>58</v>
      </c>
      <c r="P3459" t="s">
        <v>186</v>
      </c>
      <c r="Q3459" t="s">
        <v>58</v>
      </c>
      <c r="R3459" t="str">
        <f>IFERROR(VLOOKUP(record[[#This Row],[PCUSTID]],廠商[],2,FALSE),"")</f>
        <v/>
      </c>
      <c r="S3459" t="str">
        <f>VLOOKUP(record[[#This Row],[employeeID]],員工[],2,FALSE)</f>
        <v>許文姍</v>
      </c>
    </row>
    <row r="3460" spans="6:19" hidden="1" x14ac:dyDescent="0.25">
      <c r="F3460" t="s">
        <v>1540</v>
      </c>
      <c r="G3460" t="s">
        <v>419</v>
      </c>
      <c r="H3460" t="str">
        <f>VLOOKUP(record[[#This Row],[ProcessSN]],表格2_7[],2,FALSE)</f>
        <v>30-4118-018-5XX</v>
      </c>
      <c r="I3460" t="str">
        <f>VLOOKUP(record[[#This Row],[ProcessSN]],表格2_7[],3,FALSE)</f>
        <v>#07QC</v>
      </c>
      <c r="J3460" t="s">
        <v>589</v>
      </c>
      <c r="K3460" s="195">
        <v>46092.437824074077</v>
      </c>
      <c r="L3460">
        <v>30</v>
      </c>
      <c r="M3460">
        <v>0</v>
      </c>
      <c r="N3460" s="98" t="str">
        <f>IF(record[[#This Row],[Memo]]="Browser:chrome os:android","平板報工",IF(record[[#This Row],[Memo]]=0,"委外",record[[#This Row],[Memo]]))</f>
        <v/>
      </c>
      <c r="O3460" t="s">
        <v>58</v>
      </c>
      <c r="P3460" t="s">
        <v>141</v>
      </c>
      <c r="Q3460" t="s">
        <v>58</v>
      </c>
      <c r="R3460" t="str">
        <f>IFERROR(VLOOKUP(record[[#This Row],[PCUSTID]],廠商[],2,FALSE),"")</f>
        <v/>
      </c>
      <c r="S3460" t="str">
        <f>VLOOKUP(record[[#This Row],[employeeID]],員工[],2,FALSE)</f>
        <v>蔣梅</v>
      </c>
    </row>
    <row r="3461" spans="6:19" hidden="1" x14ac:dyDescent="0.25">
      <c r="F3461" t="s">
        <v>1568</v>
      </c>
      <c r="G3461" t="s">
        <v>419</v>
      </c>
      <c r="H3461" t="str">
        <f>VLOOKUP(record[[#This Row],[ProcessSN]],表格2_7[],2,FALSE)</f>
        <v>30-4118-018-5XX</v>
      </c>
      <c r="I3461" t="str">
        <f>VLOOKUP(record[[#This Row],[ProcessSN]],表格2_7[],3,FALSE)</f>
        <v>#07QC</v>
      </c>
      <c r="J3461" t="s">
        <v>589</v>
      </c>
      <c r="K3461" s="195">
        <v>46092.4375</v>
      </c>
      <c r="L3461">
        <v>43</v>
      </c>
      <c r="M3461">
        <v>0</v>
      </c>
      <c r="N3461" s="98" t="str">
        <f>IF(record[[#This Row],[Memo]]="Browser:chrome os:android","平板報工",IF(record[[#This Row],[Memo]]=0,"委外",record[[#This Row],[Memo]]))</f>
        <v/>
      </c>
      <c r="O3461" t="s">
        <v>58</v>
      </c>
      <c r="P3461" t="s">
        <v>141</v>
      </c>
      <c r="Q3461" t="s">
        <v>58</v>
      </c>
      <c r="R3461" t="str">
        <f>IFERROR(VLOOKUP(record[[#This Row],[PCUSTID]],廠商[],2,FALSE),"")</f>
        <v/>
      </c>
      <c r="S3461" t="str">
        <f>VLOOKUP(record[[#This Row],[employeeID]],員工[],2,FALSE)</f>
        <v>蔣梅</v>
      </c>
    </row>
    <row r="3462" spans="6:19" hidden="1" x14ac:dyDescent="0.25">
      <c r="F3462" t="s">
        <v>1623</v>
      </c>
      <c r="G3462" t="s">
        <v>356</v>
      </c>
      <c r="H3462" t="str">
        <f>VLOOKUP(record[[#This Row],[ProcessSN]],表格2_7[],2,FALSE)</f>
        <v>30-4118-018-450</v>
      </c>
      <c r="I3462" t="str">
        <f>VLOOKUP(record[[#This Row],[ProcessSN]],表格2_7[],3,FALSE)</f>
        <v>#08</v>
      </c>
      <c r="J3462" t="s">
        <v>597</v>
      </c>
      <c r="K3462" s="195">
        <v>46092.436886574076</v>
      </c>
      <c r="L3462">
        <v>288</v>
      </c>
      <c r="M3462">
        <v>0</v>
      </c>
      <c r="N3462" s="98" t="str">
        <f>IF(record[[#This Row],[Memo]]="Browser:chrome os:android","平板報工",IF(record[[#This Row],[Memo]]=0,"委外",record[[#This Row],[Memo]]))</f>
        <v>委外</v>
      </c>
      <c r="P3462" t="s">
        <v>186</v>
      </c>
      <c r="Q3462" t="s">
        <v>287</v>
      </c>
      <c r="R3462" t="str">
        <f>IFERROR(VLOOKUP(record[[#This Row],[PCUSTID]],廠商[],2,FALSE),"")</f>
        <v>泉盛</v>
      </c>
      <c r="S3462" t="str">
        <f>VLOOKUP(record[[#This Row],[employeeID]],員工[],2,FALSE)</f>
        <v>許文姍</v>
      </c>
    </row>
    <row r="3463" spans="6:19" hidden="1" x14ac:dyDescent="0.25">
      <c r="F3463" t="s">
        <v>1570</v>
      </c>
      <c r="G3463" t="s">
        <v>378</v>
      </c>
      <c r="H3463" t="str">
        <f>VLOOKUP(record[[#This Row],[ProcessSN]],表格2_7[],2,FALSE)</f>
        <v>30-4118-018-4XX</v>
      </c>
      <c r="I3463" t="str">
        <f>VLOOKUP(record[[#This Row],[ProcessSN]],表格2_7[],3,FALSE)</f>
        <v>#07QC</v>
      </c>
      <c r="J3463" t="s">
        <v>589</v>
      </c>
      <c r="K3463" s="195">
        <v>46092.436759259261</v>
      </c>
      <c r="L3463">
        <v>288</v>
      </c>
      <c r="M3463">
        <v>0</v>
      </c>
      <c r="N3463" s="98" t="str">
        <f>IF(record[[#This Row],[Memo]]="Browser:chrome os:android","平板報工",IF(record[[#This Row],[Memo]]=0,"委外",record[[#This Row],[Memo]]))</f>
        <v/>
      </c>
      <c r="O3463" t="s">
        <v>58</v>
      </c>
      <c r="P3463" t="s">
        <v>141</v>
      </c>
      <c r="Q3463" t="s">
        <v>58</v>
      </c>
      <c r="R3463" t="str">
        <f>IFERROR(VLOOKUP(record[[#This Row],[PCUSTID]],廠商[],2,FALSE),"")</f>
        <v/>
      </c>
      <c r="S3463" t="str">
        <f>VLOOKUP(record[[#This Row],[employeeID]],員工[],2,FALSE)</f>
        <v>蔣梅</v>
      </c>
    </row>
    <row r="3464" spans="6:19" hidden="1" x14ac:dyDescent="0.25">
      <c r="F3464" t="s">
        <v>1623</v>
      </c>
      <c r="G3464" t="s">
        <v>355</v>
      </c>
      <c r="H3464" t="str">
        <f>VLOOKUP(record[[#This Row],[ProcessSN]],表格2_7[],2,FALSE)</f>
        <v>30-4118-018-450</v>
      </c>
      <c r="I3464" t="str">
        <f>VLOOKUP(record[[#This Row],[ProcessSN]],表格2_7[],3,FALSE)</f>
        <v>#08PICK</v>
      </c>
      <c r="J3464" t="s">
        <v>582</v>
      </c>
      <c r="K3464" s="195">
        <v>46092.436712962961</v>
      </c>
      <c r="L3464">
        <v>288</v>
      </c>
      <c r="M3464">
        <v>0</v>
      </c>
      <c r="N3464" s="98" t="str">
        <f>IF(record[[#This Row],[Memo]]="Browser:chrome os:android","平板報工",IF(record[[#This Row],[Memo]]=0,"委外",record[[#This Row],[Memo]]))</f>
        <v/>
      </c>
      <c r="O3464" t="s">
        <v>58</v>
      </c>
      <c r="P3464" t="s">
        <v>186</v>
      </c>
      <c r="Q3464" t="s">
        <v>58</v>
      </c>
      <c r="R3464" t="str">
        <f>IFERROR(VLOOKUP(record[[#This Row],[PCUSTID]],廠商[],2,FALSE),"")</f>
        <v/>
      </c>
      <c r="S3464" t="str">
        <f>VLOOKUP(record[[#This Row],[employeeID]],員工[],2,FALSE)</f>
        <v>許文姍</v>
      </c>
    </row>
    <row r="3465" spans="6:19" hidden="1" x14ac:dyDescent="0.25">
      <c r="F3465" t="s">
        <v>1622</v>
      </c>
      <c r="G3465" t="s">
        <v>397</v>
      </c>
      <c r="H3465" t="str">
        <f>VLOOKUP(record[[#This Row],[ProcessSN]],表格2_7[],2,FALSE)</f>
        <v>30-4118-018-550</v>
      </c>
      <c r="I3465" t="str">
        <f>VLOOKUP(record[[#This Row],[ProcessSN]],表格2_7[],3,FALSE)</f>
        <v>#08</v>
      </c>
      <c r="J3465" t="s">
        <v>597</v>
      </c>
      <c r="K3465" s="195">
        <v>46092.432858796295</v>
      </c>
      <c r="L3465">
        <v>409</v>
      </c>
      <c r="M3465">
        <v>0</v>
      </c>
      <c r="N3465" s="98" t="str">
        <f>IF(record[[#This Row],[Memo]]="Browser:chrome os:android","平板報工",IF(record[[#This Row],[Memo]]=0,"委外",record[[#This Row],[Memo]]))</f>
        <v>委外</v>
      </c>
      <c r="P3465" t="s">
        <v>186</v>
      </c>
      <c r="Q3465" t="s">
        <v>287</v>
      </c>
      <c r="R3465" t="str">
        <f>IFERROR(VLOOKUP(record[[#This Row],[PCUSTID]],廠商[],2,FALSE),"")</f>
        <v>泉盛</v>
      </c>
      <c r="S3465" t="str">
        <f>VLOOKUP(record[[#This Row],[employeeID]],員工[],2,FALSE)</f>
        <v>許文姍</v>
      </c>
    </row>
    <row r="3466" spans="6:19" hidden="1" x14ac:dyDescent="0.25">
      <c r="F3466" t="s">
        <v>1622</v>
      </c>
      <c r="G3466" t="s">
        <v>396</v>
      </c>
      <c r="H3466" t="str">
        <f>VLOOKUP(record[[#This Row],[ProcessSN]],表格2_7[],2,FALSE)</f>
        <v>30-4118-018-550</v>
      </c>
      <c r="I3466" t="str">
        <f>VLOOKUP(record[[#This Row],[ProcessSN]],表格2_7[],3,FALSE)</f>
        <v>#08PICK</v>
      </c>
      <c r="J3466" t="s">
        <v>582</v>
      </c>
      <c r="K3466" s="195">
        <v>46092.432627314818</v>
      </c>
      <c r="L3466">
        <v>409</v>
      </c>
      <c r="M3466">
        <v>0</v>
      </c>
      <c r="N3466" s="98" t="str">
        <f>IF(record[[#This Row],[Memo]]="Browser:chrome os:android","平板報工",IF(record[[#This Row],[Memo]]=0,"委外",record[[#This Row],[Memo]]))</f>
        <v/>
      </c>
      <c r="O3466" t="s">
        <v>58</v>
      </c>
      <c r="P3466" t="s">
        <v>186</v>
      </c>
      <c r="Q3466" t="s">
        <v>58</v>
      </c>
      <c r="R3466" t="str">
        <f>IFERROR(VLOOKUP(record[[#This Row],[PCUSTID]],廠商[],2,FALSE),"")</f>
        <v/>
      </c>
      <c r="S3466" t="str">
        <f>VLOOKUP(record[[#This Row],[employeeID]],員工[],2,FALSE)</f>
        <v>許文姍</v>
      </c>
    </row>
    <row r="3467" spans="6:19" hidden="1" x14ac:dyDescent="0.25">
      <c r="F3467" t="s">
        <v>1580</v>
      </c>
      <c r="G3467" t="s">
        <v>468</v>
      </c>
      <c r="H3467" t="str">
        <f>VLOOKUP(record[[#This Row],[ProcessSN]],表格2_7[],2,FALSE)</f>
        <v>30-4118-018-XXX</v>
      </c>
      <c r="I3467" t="str">
        <f>VLOOKUP(record[[#This Row],[ProcessSN]],表格2_7[],3,FALSE)</f>
        <v>#02</v>
      </c>
      <c r="J3467" t="s">
        <v>590</v>
      </c>
      <c r="K3467" s="195">
        <v>46092.363865740743</v>
      </c>
      <c r="L3467">
        <v>840</v>
      </c>
      <c r="M3467">
        <v>0</v>
      </c>
      <c r="N3467" s="98" t="str">
        <f>IF(record[[#This Row],[Memo]]="Browser:chrome os:android","平板報工",IF(record[[#This Row],[Memo]]=0,"委外",record[[#This Row],[Memo]]))</f>
        <v>委外</v>
      </c>
      <c r="P3467" t="s">
        <v>186</v>
      </c>
      <c r="Q3467" t="s">
        <v>216</v>
      </c>
      <c r="R3467" t="str">
        <f>IFERROR(VLOOKUP(record[[#This Row],[PCUSTID]],廠商[],2,FALSE),"")</f>
        <v>俊杰</v>
      </c>
      <c r="S3467" t="str">
        <f>VLOOKUP(record[[#This Row],[employeeID]],員工[],2,FALSE)</f>
        <v>許文姍</v>
      </c>
    </row>
    <row r="3468" spans="6:19" hidden="1" x14ac:dyDescent="0.25">
      <c r="F3468" t="s">
        <v>1580</v>
      </c>
      <c r="G3468" t="s">
        <v>467</v>
      </c>
      <c r="H3468" t="str">
        <f>VLOOKUP(record[[#This Row],[ProcessSN]],表格2_7[],2,FALSE)</f>
        <v>30-4118-018-XXX</v>
      </c>
      <c r="I3468" t="str">
        <f>VLOOKUP(record[[#This Row],[ProcessSN]],表格2_7[],3,FALSE)</f>
        <v>#01QC</v>
      </c>
      <c r="J3468" t="s">
        <v>589</v>
      </c>
      <c r="K3468" s="195">
        <v>46092.352893518517</v>
      </c>
      <c r="L3468">
        <v>840</v>
      </c>
      <c r="M3468">
        <v>0</v>
      </c>
      <c r="N3468" s="98" t="str">
        <f>IF(record[[#This Row],[Memo]]="Browser:chrome os:android","平板報工",IF(record[[#This Row],[Memo]]=0,"委外",record[[#This Row],[Memo]]))</f>
        <v>平板報工</v>
      </c>
      <c r="O3468" t="s">
        <v>643</v>
      </c>
      <c r="P3468" t="s">
        <v>182</v>
      </c>
      <c r="Q3468" t="s">
        <v>644</v>
      </c>
      <c r="R3468" t="str">
        <f>IFERROR(VLOOKUP(record[[#This Row],[PCUSTID]],廠商[],2,FALSE),"")</f>
        <v/>
      </c>
      <c r="S3468" t="str">
        <f>VLOOKUP(record[[#This Row],[employeeID]],員工[],2,FALSE)</f>
        <v>梅氏和</v>
      </c>
    </row>
    <row r="3469" spans="6:19" hidden="1" x14ac:dyDescent="0.25">
      <c r="F3469" t="s">
        <v>1589</v>
      </c>
      <c r="G3469" t="s">
        <v>415</v>
      </c>
      <c r="H3469" t="str">
        <f>VLOOKUP(record[[#This Row],[ProcessSN]],表格2_7[],2,FALSE)</f>
        <v>30-4118-018-5XX</v>
      </c>
      <c r="I3469" t="str">
        <f>VLOOKUP(record[[#This Row],[ProcessSN]],表格2_7[],3,FALSE)</f>
        <v>#04</v>
      </c>
      <c r="J3469" t="s">
        <v>588</v>
      </c>
      <c r="K3469" s="195">
        <v>46092.306620370371</v>
      </c>
      <c r="L3469">
        <v>141</v>
      </c>
      <c r="M3469">
        <v>0</v>
      </c>
      <c r="N3469" s="98" t="str">
        <f>IF(record[[#This Row],[Memo]]="Browser:chrome os:android","平板報工",IF(record[[#This Row],[Memo]]=0,"委外",record[[#This Row],[Memo]]))</f>
        <v/>
      </c>
      <c r="O3469" t="s">
        <v>58</v>
      </c>
      <c r="P3469" t="s">
        <v>843</v>
      </c>
      <c r="Q3469" t="s">
        <v>58</v>
      </c>
      <c r="R3469" t="str">
        <f>IFERROR(VLOOKUP(record[[#This Row],[PCUSTID]],廠商[],2,FALSE),"")</f>
        <v/>
      </c>
      <c r="S3469" t="str">
        <f>VLOOKUP(record[[#This Row],[employeeID]],員工[],2,FALSE)</f>
        <v>張楚承</v>
      </c>
    </row>
    <row r="3470" spans="6:19" hidden="1" x14ac:dyDescent="0.25">
      <c r="F3470" t="s">
        <v>1540</v>
      </c>
      <c r="G3470" t="s">
        <v>418</v>
      </c>
      <c r="H3470" t="str">
        <f>VLOOKUP(record[[#This Row],[ProcessSN]],表格2_7[],2,FALSE)</f>
        <v>30-4118-018-5XX</v>
      </c>
      <c r="I3470" t="str">
        <f>VLOOKUP(record[[#This Row],[ProcessSN]],表格2_7[],3,FALSE)</f>
        <v>#07</v>
      </c>
      <c r="J3470" t="s">
        <v>588</v>
      </c>
      <c r="K3470" s="195">
        <v>46092.306435185186</v>
      </c>
      <c r="L3470">
        <v>32</v>
      </c>
      <c r="M3470">
        <v>0</v>
      </c>
      <c r="N3470" s="98" t="str">
        <f>IF(record[[#This Row],[Memo]]="Browser:chrome os:android","平板報工",IF(record[[#This Row],[Memo]]=0,"委外",record[[#This Row],[Memo]]))</f>
        <v/>
      </c>
      <c r="O3470" t="s">
        <v>58</v>
      </c>
      <c r="P3470" t="s">
        <v>843</v>
      </c>
      <c r="Q3470" t="s">
        <v>58</v>
      </c>
      <c r="R3470" t="str">
        <f>IFERROR(VLOOKUP(record[[#This Row],[PCUSTID]],廠商[],2,FALSE),"")</f>
        <v/>
      </c>
      <c r="S3470" t="str">
        <f>VLOOKUP(record[[#This Row],[employeeID]],員工[],2,FALSE)</f>
        <v>張楚承</v>
      </c>
    </row>
    <row r="3471" spans="6:19" hidden="1" x14ac:dyDescent="0.25">
      <c r="F3471" t="s">
        <v>1570</v>
      </c>
      <c r="G3471" t="s">
        <v>377</v>
      </c>
      <c r="H3471" t="str">
        <f>VLOOKUP(record[[#This Row],[ProcessSN]],表格2_7[],2,FALSE)</f>
        <v>30-4118-018-4XX</v>
      </c>
      <c r="I3471" t="str">
        <f>VLOOKUP(record[[#This Row],[ProcessSN]],表格2_7[],3,FALSE)</f>
        <v>#07</v>
      </c>
      <c r="J3471" t="s">
        <v>588</v>
      </c>
      <c r="K3471" s="195">
        <v>46092.306250000001</v>
      </c>
      <c r="L3471">
        <v>103</v>
      </c>
      <c r="M3471">
        <v>0</v>
      </c>
      <c r="N3471" s="98" t="str">
        <f>IF(record[[#This Row],[Memo]]="Browser:chrome os:android","平板報工",IF(record[[#This Row],[Memo]]=0,"委外",record[[#This Row],[Memo]]))</f>
        <v/>
      </c>
      <c r="O3471" t="s">
        <v>58</v>
      </c>
      <c r="P3471" t="s">
        <v>843</v>
      </c>
      <c r="Q3471" t="s">
        <v>58</v>
      </c>
      <c r="R3471" t="str">
        <f>IFERROR(VLOOKUP(record[[#This Row],[PCUSTID]],廠商[],2,FALSE),"")</f>
        <v/>
      </c>
      <c r="S3471" t="str">
        <f>VLOOKUP(record[[#This Row],[employeeID]],員工[],2,FALSE)</f>
        <v>張楚承</v>
      </c>
    </row>
    <row r="3472" spans="6:19" hidden="1" x14ac:dyDescent="0.25">
      <c r="F3472" t="s">
        <v>1587</v>
      </c>
      <c r="G3472" t="s">
        <v>373</v>
      </c>
      <c r="H3472" t="str">
        <f>VLOOKUP(record[[#This Row],[ProcessSN]],表格2_7[],2,FALSE)</f>
        <v>30-4118-018-4XX</v>
      </c>
      <c r="I3472" t="str">
        <f>VLOOKUP(record[[#This Row],[ProcessSN]],表格2_7[],3,FALSE)</f>
        <v>#03</v>
      </c>
      <c r="J3472" t="s">
        <v>588</v>
      </c>
      <c r="K3472" s="195">
        <v>46092.305925925924</v>
      </c>
      <c r="L3472">
        <v>195</v>
      </c>
      <c r="M3472">
        <v>0</v>
      </c>
      <c r="N3472" s="98" t="str">
        <f>IF(record[[#This Row],[Memo]]="Browser:chrome os:android","平板報工",IF(record[[#This Row],[Memo]]=0,"委外",record[[#This Row],[Memo]]))</f>
        <v/>
      </c>
      <c r="O3472" t="s">
        <v>58</v>
      </c>
      <c r="P3472" t="s">
        <v>843</v>
      </c>
      <c r="Q3472" t="s">
        <v>58</v>
      </c>
      <c r="R3472" t="str">
        <f>IFERROR(VLOOKUP(record[[#This Row],[PCUSTID]],廠商[],2,FALSE),"")</f>
        <v/>
      </c>
      <c r="S3472" t="str">
        <f>VLOOKUP(record[[#This Row],[employeeID]],員工[],2,FALSE)</f>
        <v>張楚承</v>
      </c>
    </row>
    <row r="3473" spans="6:19" hidden="1" x14ac:dyDescent="0.25">
      <c r="F3473" t="s">
        <v>1589</v>
      </c>
      <c r="G3473" t="s">
        <v>416</v>
      </c>
      <c r="H3473" t="str">
        <f>VLOOKUP(record[[#This Row],[ProcessSN]],表格2_7[],2,FALSE)</f>
        <v>30-4118-018-5XX</v>
      </c>
      <c r="I3473" t="str">
        <f>VLOOKUP(record[[#This Row],[ProcessSN]],表格2_7[],3,FALSE)</f>
        <v>#05</v>
      </c>
      <c r="J3473" t="s">
        <v>588</v>
      </c>
      <c r="K3473" s="195">
        <v>46092.305567129632</v>
      </c>
      <c r="L3473">
        <v>185</v>
      </c>
      <c r="M3473">
        <v>0</v>
      </c>
      <c r="N3473" s="98" t="str">
        <f>IF(record[[#This Row],[Memo]]="Browser:chrome os:android","平板報工",IF(record[[#This Row],[Memo]]=0,"委外",record[[#This Row],[Memo]]))</f>
        <v/>
      </c>
      <c r="O3473" t="s">
        <v>58</v>
      </c>
      <c r="P3473" t="s">
        <v>843</v>
      </c>
      <c r="Q3473" t="s">
        <v>58</v>
      </c>
      <c r="R3473" t="str">
        <f>IFERROR(VLOOKUP(record[[#This Row],[PCUSTID]],廠商[],2,FALSE),"")</f>
        <v/>
      </c>
      <c r="S3473" t="str">
        <f>VLOOKUP(record[[#This Row],[employeeID]],員工[],2,FALSE)</f>
        <v>張楚承</v>
      </c>
    </row>
    <row r="3474" spans="6:19" hidden="1" x14ac:dyDescent="0.25">
      <c r="F3474" t="s">
        <v>1540</v>
      </c>
      <c r="G3474" t="s">
        <v>417</v>
      </c>
      <c r="H3474" t="str">
        <f>VLOOKUP(record[[#This Row],[ProcessSN]],表格2_7[],2,FALSE)</f>
        <v>30-4118-018-5XX</v>
      </c>
      <c r="I3474" t="str">
        <f>VLOOKUP(record[[#This Row],[ProcessSN]],表格2_7[],3,FALSE)</f>
        <v>#06</v>
      </c>
      <c r="J3474" t="s">
        <v>593</v>
      </c>
      <c r="K3474" s="195">
        <v>46092.304259259261</v>
      </c>
      <c r="L3474">
        <v>32</v>
      </c>
      <c r="M3474">
        <v>0</v>
      </c>
      <c r="N3474" s="98" t="str">
        <f>IF(record[[#This Row],[Memo]]="Browser:chrome os:android","平板報工",IF(record[[#This Row],[Memo]]=0,"委外",record[[#This Row],[Memo]]))</f>
        <v/>
      </c>
      <c r="O3474" t="s">
        <v>58</v>
      </c>
      <c r="P3474" t="s">
        <v>806</v>
      </c>
      <c r="Q3474" t="s">
        <v>58</v>
      </c>
      <c r="R3474" t="str">
        <f>IFERROR(VLOOKUP(record[[#This Row],[PCUSTID]],廠商[],2,FALSE),"")</f>
        <v/>
      </c>
      <c r="S3474" t="str">
        <f>VLOOKUP(record[[#This Row],[employeeID]],員工[],2,FALSE)</f>
        <v>方思緯</v>
      </c>
    </row>
    <row r="3475" spans="6:19" hidden="1" x14ac:dyDescent="0.25">
      <c r="F3475" t="s">
        <v>1540</v>
      </c>
      <c r="G3475" t="s">
        <v>416</v>
      </c>
      <c r="H3475" t="str">
        <f>VLOOKUP(record[[#This Row],[ProcessSN]],表格2_7[],2,FALSE)</f>
        <v>30-4118-018-5XX</v>
      </c>
      <c r="I3475" t="str">
        <f>VLOOKUP(record[[#This Row],[ProcessSN]],表格2_7[],3,FALSE)</f>
        <v>#05</v>
      </c>
      <c r="J3475" t="s">
        <v>588</v>
      </c>
      <c r="K3475" s="195">
        <v>46092.303981481484</v>
      </c>
      <c r="L3475">
        <v>48</v>
      </c>
      <c r="M3475">
        <v>0</v>
      </c>
      <c r="N3475" s="98" t="str">
        <f>IF(record[[#This Row],[Memo]]="Browser:chrome os:android","平板報工",IF(record[[#This Row],[Memo]]=0,"委外",record[[#This Row],[Memo]]))</f>
        <v/>
      </c>
      <c r="O3475" t="s">
        <v>58</v>
      </c>
      <c r="P3475" t="s">
        <v>843</v>
      </c>
      <c r="Q3475" t="s">
        <v>58</v>
      </c>
      <c r="R3475" t="str">
        <f>IFERROR(VLOOKUP(record[[#This Row],[PCUSTID]],廠商[],2,FALSE),"")</f>
        <v/>
      </c>
      <c r="S3475" t="str">
        <f>VLOOKUP(record[[#This Row],[employeeID]],員工[],2,FALSE)</f>
        <v>張楚承</v>
      </c>
    </row>
    <row r="3476" spans="6:19" hidden="1" x14ac:dyDescent="0.25">
      <c r="F3476" t="s">
        <v>1570</v>
      </c>
      <c r="G3476" t="s">
        <v>376</v>
      </c>
      <c r="H3476" t="str">
        <f>VLOOKUP(record[[#This Row],[ProcessSN]],表格2_7[],2,FALSE)</f>
        <v>30-4118-018-4XX</v>
      </c>
      <c r="I3476" t="str">
        <f>VLOOKUP(record[[#This Row],[ProcessSN]],表格2_7[],3,FALSE)</f>
        <v>#06</v>
      </c>
      <c r="J3476" t="s">
        <v>593</v>
      </c>
      <c r="K3476" s="195">
        <v>46092.303680555553</v>
      </c>
      <c r="L3476">
        <v>94</v>
      </c>
      <c r="M3476">
        <v>0</v>
      </c>
      <c r="N3476" s="98" t="str">
        <f>IF(record[[#This Row],[Memo]]="Browser:chrome os:android","平板報工",IF(record[[#This Row],[Memo]]=0,"委外",record[[#This Row],[Memo]]))</f>
        <v/>
      </c>
      <c r="O3476" t="s">
        <v>58</v>
      </c>
      <c r="P3476" t="s">
        <v>806</v>
      </c>
      <c r="Q3476" t="s">
        <v>58</v>
      </c>
      <c r="R3476" t="str">
        <f>IFERROR(VLOOKUP(record[[#This Row],[PCUSTID]],廠商[],2,FALSE),"")</f>
        <v/>
      </c>
      <c r="S3476" t="str">
        <f>VLOOKUP(record[[#This Row],[employeeID]],員工[],2,FALSE)</f>
        <v>方思緯</v>
      </c>
    </row>
    <row r="3477" spans="6:19" hidden="1" x14ac:dyDescent="0.25">
      <c r="F3477" t="s">
        <v>1540</v>
      </c>
      <c r="G3477" t="s">
        <v>417</v>
      </c>
      <c r="H3477" t="str">
        <f>VLOOKUP(record[[#This Row],[ProcessSN]],表格2_7[],2,FALSE)</f>
        <v>30-4118-018-5XX</v>
      </c>
      <c r="I3477" t="str">
        <f>VLOOKUP(record[[#This Row],[ProcessSN]],表格2_7[],3,FALSE)</f>
        <v>#06</v>
      </c>
      <c r="J3477" t="s">
        <v>593</v>
      </c>
      <c r="K3477" s="195">
        <v>46092.293935185182</v>
      </c>
      <c r="L3477">
        <v>50</v>
      </c>
      <c r="M3477">
        <v>0</v>
      </c>
      <c r="N3477" s="98" t="str">
        <f>IF(record[[#This Row],[Memo]]="Browser:chrome os:android","平板報工",IF(record[[#This Row],[Memo]]=0,"委外",record[[#This Row],[Memo]]))</f>
        <v>平板報工</v>
      </c>
      <c r="O3477" t="s">
        <v>643</v>
      </c>
      <c r="P3477" t="s">
        <v>170</v>
      </c>
      <c r="Q3477" t="s">
        <v>644</v>
      </c>
      <c r="R3477" t="str">
        <f>IFERROR(VLOOKUP(record[[#This Row],[PCUSTID]],廠商[],2,FALSE),"")</f>
        <v/>
      </c>
      <c r="S3477" t="str">
        <f>VLOOKUP(record[[#This Row],[employeeID]],員工[],2,FALSE)</f>
        <v>黃清宇</v>
      </c>
    </row>
    <row r="3478" spans="6:19" hidden="1" x14ac:dyDescent="0.25">
      <c r="F3478" t="s">
        <v>1570</v>
      </c>
      <c r="G3478" t="s">
        <v>377</v>
      </c>
      <c r="H3478" t="str">
        <f>VLOOKUP(record[[#This Row],[ProcessSN]],表格2_7[],2,FALSE)</f>
        <v>30-4118-018-4XX</v>
      </c>
      <c r="I3478" t="str">
        <f>VLOOKUP(record[[#This Row],[ProcessSN]],表格2_7[],3,FALSE)</f>
        <v>#07</v>
      </c>
      <c r="J3478" t="s">
        <v>588</v>
      </c>
      <c r="K3478" s="195">
        <v>46091.984120370369</v>
      </c>
      <c r="L3478">
        <v>185</v>
      </c>
      <c r="M3478">
        <v>1</v>
      </c>
      <c r="N3478" s="98" t="str">
        <f>IF(record[[#This Row],[Memo]]="Browser:chrome os:android","平板報工",IF(record[[#This Row],[Memo]]=0,"委外",record[[#This Row],[Memo]]))</f>
        <v/>
      </c>
      <c r="O3478" t="s">
        <v>58</v>
      </c>
      <c r="P3478" t="s">
        <v>1098</v>
      </c>
      <c r="Q3478" t="s">
        <v>58</v>
      </c>
      <c r="R3478" t="str">
        <f>IFERROR(VLOOKUP(record[[#This Row],[PCUSTID]],廠商[],2,FALSE),"")</f>
        <v/>
      </c>
      <c r="S3478" t="str">
        <f>VLOOKUP(record[[#This Row],[employeeID]],員工[],2,FALSE)</f>
        <v>阮氏芳英(英)</v>
      </c>
    </row>
    <row r="3479" spans="6:19" hidden="1" x14ac:dyDescent="0.25">
      <c r="F3479" t="s">
        <v>1570</v>
      </c>
      <c r="G3479" t="s">
        <v>376</v>
      </c>
      <c r="H3479" t="str">
        <f>VLOOKUP(record[[#This Row],[ProcessSN]],表格2_7[],2,FALSE)</f>
        <v>30-4118-018-4XX</v>
      </c>
      <c r="I3479" t="str">
        <f>VLOOKUP(record[[#This Row],[ProcessSN]],表格2_7[],3,FALSE)</f>
        <v>#06</v>
      </c>
      <c r="J3479" t="s">
        <v>593</v>
      </c>
      <c r="K3479" s="195">
        <v>46091.983449074076</v>
      </c>
      <c r="L3479">
        <v>67</v>
      </c>
      <c r="M3479">
        <v>0</v>
      </c>
      <c r="N3479" s="98" t="str">
        <f>IF(record[[#This Row],[Memo]]="Browser:chrome os:android","平板報工",IF(record[[#This Row],[Memo]]=0,"委外",record[[#This Row],[Memo]]))</f>
        <v/>
      </c>
      <c r="O3479" t="s">
        <v>58</v>
      </c>
      <c r="P3479" t="s">
        <v>806</v>
      </c>
      <c r="Q3479" t="s">
        <v>58</v>
      </c>
      <c r="R3479" t="str">
        <f>IFERROR(VLOOKUP(record[[#This Row],[PCUSTID]],廠商[],2,FALSE),"")</f>
        <v/>
      </c>
      <c r="S3479" t="str">
        <f>VLOOKUP(record[[#This Row],[employeeID]],員工[],2,FALSE)</f>
        <v>方思緯</v>
      </c>
    </row>
    <row r="3480" spans="6:19" hidden="1" x14ac:dyDescent="0.25">
      <c r="F3480" t="s">
        <v>1589</v>
      </c>
      <c r="G3480" t="s">
        <v>415</v>
      </c>
      <c r="H3480" t="str">
        <f>VLOOKUP(record[[#This Row],[ProcessSN]],表格2_7[],2,FALSE)</f>
        <v>30-4118-018-5XX</v>
      </c>
      <c r="I3480" t="str">
        <f>VLOOKUP(record[[#This Row],[ProcessSN]],表格2_7[],3,FALSE)</f>
        <v>#04</v>
      </c>
      <c r="J3480" t="s">
        <v>588</v>
      </c>
      <c r="K3480" s="195">
        <v>46091.982349537036</v>
      </c>
      <c r="L3480">
        <v>127</v>
      </c>
      <c r="M3480">
        <v>2</v>
      </c>
      <c r="N3480" s="98" t="str">
        <f>IF(record[[#This Row],[Memo]]="Browser:chrome os:android","平板報工",IF(record[[#This Row],[Memo]]=0,"委外",record[[#This Row],[Memo]]))</f>
        <v/>
      </c>
      <c r="O3480" t="s">
        <v>58</v>
      </c>
      <c r="P3480" t="s">
        <v>89</v>
      </c>
      <c r="Q3480" t="s">
        <v>58</v>
      </c>
      <c r="R3480" t="str">
        <f>IFERROR(VLOOKUP(record[[#This Row],[PCUSTID]],廠商[],2,FALSE),"")</f>
        <v/>
      </c>
      <c r="S3480" t="str">
        <f>VLOOKUP(record[[#This Row],[employeeID]],員工[],2,FALSE)</f>
        <v>李美蓮</v>
      </c>
    </row>
    <row r="3481" spans="6:19" hidden="1" x14ac:dyDescent="0.25">
      <c r="F3481" t="s">
        <v>1580</v>
      </c>
      <c r="G3481" t="s">
        <v>466</v>
      </c>
      <c r="H3481" t="str">
        <f>VLOOKUP(record[[#This Row],[ProcessSN]],表格2_7[],2,FALSE)</f>
        <v>30-4118-018-XXX</v>
      </c>
      <c r="I3481" t="str">
        <f>VLOOKUP(record[[#This Row],[ProcessSN]],表格2_7[],3,FALSE)</f>
        <v>#01-2</v>
      </c>
      <c r="J3481" t="s">
        <v>588</v>
      </c>
      <c r="K3481" s="195">
        <v>46091.98201388889</v>
      </c>
      <c r="L3481">
        <v>368</v>
      </c>
      <c r="M3481">
        <v>0</v>
      </c>
      <c r="N3481" s="98" t="str">
        <f>IF(record[[#This Row],[Memo]]="Browser:chrome os:android","平板報工",IF(record[[#This Row],[Memo]]=0,"委外",record[[#This Row],[Memo]]))</f>
        <v/>
      </c>
      <c r="O3481" t="s">
        <v>58</v>
      </c>
      <c r="P3481" t="s">
        <v>89</v>
      </c>
      <c r="Q3481" t="s">
        <v>58</v>
      </c>
      <c r="R3481" t="str">
        <f>IFERROR(VLOOKUP(record[[#This Row],[PCUSTID]],廠商[],2,FALSE),"")</f>
        <v/>
      </c>
      <c r="S3481" t="str">
        <f>VLOOKUP(record[[#This Row],[employeeID]],員工[],2,FALSE)</f>
        <v>李美蓮</v>
      </c>
    </row>
    <row r="3482" spans="6:19" hidden="1" x14ac:dyDescent="0.25">
      <c r="F3482" t="s">
        <v>1580</v>
      </c>
      <c r="G3482" t="s">
        <v>465</v>
      </c>
      <c r="H3482" t="str">
        <f>VLOOKUP(record[[#This Row],[ProcessSN]],表格2_7[],2,FALSE)</f>
        <v>30-4118-018-XXX</v>
      </c>
      <c r="I3482" t="str">
        <f>VLOOKUP(record[[#This Row],[ProcessSN]],表格2_7[],3,FALSE)</f>
        <v>#01-1</v>
      </c>
      <c r="J3482" t="s">
        <v>588</v>
      </c>
      <c r="K3482" s="195">
        <v>46091.98159722222</v>
      </c>
      <c r="L3482">
        <v>368</v>
      </c>
      <c r="M3482">
        <v>0</v>
      </c>
      <c r="N3482" s="98" t="str">
        <f>IF(record[[#This Row],[Memo]]="Browser:chrome os:android","平板報工",IF(record[[#This Row],[Memo]]=0,"委外",record[[#This Row],[Memo]]))</f>
        <v/>
      </c>
      <c r="O3482" t="s">
        <v>58</v>
      </c>
      <c r="P3482" t="s">
        <v>89</v>
      </c>
      <c r="Q3482" t="s">
        <v>58</v>
      </c>
      <c r="R3482" t="str">
        <f>IFERROR(VLOOKUP(record[[#This Row],[PCUSTID]],廠商[],2,FALSE),"")</f>
        <v/>
      </c>
      <c r="S3482" t="str">
        <f>VLOOKUP(record[[#This Row],[employeeID]],員工[],2,FALSE)</f>
        <v>李美蓮</v>
      </c>
    </row>
    <row r="3483" spans="6:19" hidden="1" x14ac:dyDescent="0.25">
      <c r="F3483" t="s">
        <v>1587</v>
      </c>
      <c r="G3483" t="s">
        <v>373</v>
      </c>
      <c r="H3483" t="str">
        <f>VLOOKUP(record[[#This Row],[ProcessSN]],表格2_7[],2,FALSE)</f>
        <v>30-4118-018-4XX</v>
      </c>
      <c r="I3483" t="str">
        <f>VLOOKUP(record[[#This Row],[ProcessSN]],表格2_7[],3,FALSE)</f>
        <v>#03</v>
      </c>
      <c r="J3483" t="s">
        <v>588</v>
      </c>
      <c r="K3483" s="195">
        <v>46091.980752314812</v>
      </c>
      <c r="L3483">
        <v>504</v>
      </c>
      <c r="M3483">
        <v>0</v>
      </c>
      <c r="N3483" s="98" t="str">
        <f>IF(record[[#This Row],[Memo]]="Browser:chrome os:android","平板報工",IF(record[[#This Row],[Memo]]=0,"委外",record[[#This Row],[Memo]]))</f>
        <v/>
      </c>
      <c r="O3483" t="s">
        <v>58</v>
      </c>
      <c r="P3483" t="s">
        <v>1098</v>
      </c>
      <c r="Q3483" t="s">
        <v>58</v>
      </c>
      <c r="R3483" t="str">
        <f>IFERROR(VLOOKUP(record[[#This Row],[PCUSTID]],廠商[],2,FALSE),"")</f>
        <v/>
      </c>
      <c r="S3483" t="str">
        <f>VLOOKUP(record[[#This Row],[employeeID]],員工[],2,FALSE)</f>
        <v>阮氏芳英(英)</v>
      </c>
    </row>
    <row r="3484" spans="6:19" hidden="1" x14ac:dyDescent="0.25">
      <c r="F3484" t="s">
        <v>1589</v>
      </c>
      <c r="G3484" t="s">
        <v>416</v>
      </c>
      <c r="H3484" t="str">
        <f>VLOOKUP(record[[#This Row],[ProcessSN]],表格2_7[],2,FALSE)</f>
        <v>30-4118-018-5XX</v>
      </c>
      <c r="I3484" t="str">
        <f>VLOOKUP(record[[#This Row],[ProcessSN]],表格2_7[],3,FALSE)</f>
        <v>#05</v>
      </c>
      <c r="J3484" t="s">
        <v>588</v>
      </c>
      <c r="K3484" s="195">
        <v>46091.980567129627</v>
      </c>
      <c r="L3484">
        <v>234</v>
      </c>
      <c r="M3484">
        <v>0</v>
      </c>
      <c r="N3484" s="98" t="str">
        <f>IF(record[[#This Row],[Memo]]="Browser:chrome os:android","平板報工",IF(record[[#This Row],[Memo]]=0,"委外",record[[#This Row],[Memo]]))</f>
        <v/>
      </c>
      <c r="O3484" t="s">
        <v>58</v>
      </c>
      <c r="P3484" t="s">
        <v>1098</v>
      </c>
      <c r="Q3484" t="s">
        <v>58</v>
      </c>
      <c r="R3484" t="str">
        <f>IFERROR(VLOOKUP(record[[#This Row],[PCUSTID]],廠商[],2,FALSE),"")</f>
        <v/>
      </c>
      <c r="S3484" t="str">
        <f>VLOOKUP(record[[#This Row],[employeeID]],員工[],2,FALSE)</f>
        <v>阮氏芳英(英)</v>
      </c>
    </row>
    <row r="3485" spans="6:19" hidden="1" x14ac:dyDescent="0.25">
      <c r="F3485" t="s">
        <v>1540</v>
      </c>
      <c r="G3485" t="s">
        <v>417</v>
      </c>
      <c r="H3485" t="str">
        <f>VLOOKUP(record[[#This Row],[ProcessSN]],表格2_7[],2,FALSE)</f>
        <v>30-4118-018-5XX</v>
      </c>
      <c r="I3485" t="str">
        <f>VLOOKUP(record[[#This Row],[ProcessSN]],表格2_7[],3,FALSE)</f>
        <v>#06</v>
      </c>
      <c r="J3485" t="s">
        <v>593</v>
      </c>
      <c r="K3485" s="195">
        <v>46091.850578703707</v>
      </c>
      <c r="L3485">
        <v>0</v>
      </c>
      <c r="M3485">
        <v>6</v>
      </c>
      <c r="N3485" s="98" t="str">
        <f>IF(record[[#This Row],[Memo]]="Browser:chrome os:android","平板報工",IF(record[[#This Row],[Memo]]=0,"委外",record[[#This Row],[Memo]]))</f>
        <v>嘉鴻架機不良</v>
      </c>
      <c r="O3485" t="s">
        <v>1621</v>
      </c>
      <c r="P3485" t="s">
        <v>176</v>
      </c>
      <c r="Q3485" t="s">
        <v>58</v>
      </c>
      <c r="R3485" t="str">
        <f>IFERROR(VLOOKUP(record[[#This Row],[PCUSTID]],廠商[],2,FALSE),"")</f>
        <v/>
      </c>
      <c r="S3485" t="str">
        <f>VLOOKUP(record[[#This Row],[employeeID]],員工[],2,FALSE)</f>
        <v>郭政雄</v>
      </c>
    </row>
    <row r="3486" spans="6:19" hidden="1" x14ac:dyDescent="0.25">
      <c r="F3486" t="s">
        <v>1603</v>
      </c>
      <c r="G3486" t="s">
        <v>400</v>
      </c>
      <c r="H3486" t="str">
        <f>VLOOKUP(record[[#This Row],[ProcessSN]],表格2_7[],2,FALSE)</f>
        <v>30-4118-018-550</v>
      </c>
      <c r="I3486" t="str">
        <f>VLOOKUP(record[[#This Row],[ProcessSN]],表格2_7[],3,FALSE)</f>
        <v>#100</v>
      </c>
      <c r="J3486" t="s">
        <v>598</v>
      </c>
      <c r="K3486" s="195">
        <v>46091.823252314818</v>
      </c>
      <c r="L3486">
        <v>336</v>
      </c>
      <c r="M3486">
        <v>0</v>
      </c>
      <c r="N3486" s="98" t="str">
        <f>IF(record[[#This Row],[Memo]]="Browser:chrome os:android","平板報工",IF(record[[#This Row],[Memo]]=0,"委外",record[[#This Row],[Memo]]))</f>
        <v>平板報工</v>
      </c>
      <c r="O3486" t="s">
        <v>643</v>
      </c>
      <c r="P3486" t="s">
        <v>141</v>
      </c>
      <c r="Q3486" t="s">
        <v>644</v>
      </c>
      <c r="R3486" t="str">
        <f>IFERROR(VLOOKUP(record[[#This Row],[PCUSTID]],廠商[],2,FALSE),"")</f>
        <v/>
      </c>
      <c r="S3486" t="str">
        <f>VLOOKUP(record[[#This Row],[employeeID]],員工[],2,FALSE)</f>
        <v>蔣梅</v>
      </c>
    </row>
    <row r="3487" spans="6:19" hidden="1" x14ac:dyDescent="0.25">
      <c r="F3487" t="s">
        <v>1570</v>
      </c>
      <c r="G3487" t="s">
        <v>376</v>
      </c>
      <c r="H3487" t="str">
        <f>VLOOKUP(record[[#This Row],[ProcessSN]],表格2_7[],2,FALSE)</f>
        <v>30-4118-018-4XX</v>
      </c>
      <c r="I3487" t="str">
        <f>VLOOKUP(record[[#This Row],[ProcessSN]],表格2_7[],3,FALSE)</f>
        <v>#06</v>
      </c>
      <c r="J3487" t="s">
        <v>593</v>
      </c>
      <c r="K3487" s="195">
        <v>46091.822465277779</v>
      </c>
      <c r="L3487">
        <v>67</v>
      </c>
      <c r="M3487">
        <v>0</v>
      </c>
      <c r="N3487" s="98" t="str">
        <f>IF(record[[#This Row],[Memo]]="Browser:chrome os:android","平板報工",IF(record[[#This Row],[Memo]]=0,"委外",record[[#This Row],[Memo]]))</f>
        <v>平板報工</v>
      </c>
      <c r="O3487" t="s">
        <v>643</v>
      </c>
      <c r="P3487" t="s">
        <v>1413</v>
      </c>
      <c r="Q3487" t="s">
        <v>644</v>
      </c>
      <c r="R3487" t="str">
        <f>IFERROR(VLOOKUP(record[[#This Row],[PCUSTID]],廠商[],2,FALSE),"")</f>
        <v/>
      </c>
      <c r="S3487" t="str">
        <f>VLOOKUP(record[[#This Row],[employeeID]],員工[],2,FALSE)</f>
        <v>阮氏芳英(芳)</v>
      </c>
    </row>
    <row r="3488" spans="6:19" hidden="1" x14ac:dyDescent="0.25">
      <c r="F3488" t="s">
        <v>1605</v>
      </c>
      <c r="G3488" t="s">
        <v>399</v>
      </c>
      <c r="H3488" t="str">
        <f>VLOOKUP(record[[#This Row],[ProcessSN]],表格2_7[],2,FALSE)</f>
        <v>30-4118-018-550</v>
      </c>
      <c r="I3488" t="str">
        <f>VLOOKUP(record[[#This Row],[ProcessSN]],表格2_7[],3,FALSE)</f>
        <v>#08IQC</v>
      </c>
      <c r="J3488" t="s">
        <v>583</v>
      </c>
      <c r="K3488" s="195">
        <v>46091.794791666667</v>
      </c>
      <c r="L3488">
        <v>351</v>
      </c>
      <c r="M3488">
        <v>0</v>
      </c>
      <c r="N3488" s="98" t="str">
        <f>IF(record[[#This Row],[Memo]]="Browser:chrome os:android","平板報工",IF(record[[#This Row],[Memo]]=0,"委外",record[[#This Row],[Memo]]))</f>
        <v/>
      </c>
      <c r="O3488" t="s">
        <v>58</v>
      </c>
      <c r="P3488" t="s">
        <v>109</v>
      </c>
      <c r="Q3488" t="s">
        <v>58</v>
      </c>
      <c r="R3488" t="str">
        <f>IFERROR(VLOOKUP(record[[#This Row],[PCUSTID]],廠商[],2,FALSE),"")</f>
        <v/>
      </c>
      <c r="S3488" t="str">
        <f>VLOOKUP(record[[#This Row],[employeeID]],員工[],2,FALSE)</f>
        <v>裴氏璧鳳</v>
      </c>
    </row>
    <row r="3489" spans="6:19" hidden="1" x14ac:dyDescent="0.25">
      <c r="F3489" t="s">
        <v>1605</v>
      </c>
      <c r="G3489" t="s">
        <v>398</v>
      </c>
      <c r="H3489" t="str">
        <f>VLOOKUP(record[[#This Row],[ProcessSN]],表格2_7[],2,FALSE)</f>
        <v>30-4118-018-550</v>
      </c>
      <c r="I3489" t="str">
        <f>VLOOKUP(record[[#This Row],[ProcessSN]],表格2_7[],3,FALSE)</f>
        <v>#08RCV</v>
      </c>
      <c r="J3489" t="s">
        <v>591</v>
      </c>
      <c r="K3489" s="195">
        <v>46091.670729166668</v>
      </c>
      <c r="L3489">
        <v>0</v>
      </c>
      <c r="M3489">
        <v>1</v>
      </c>
      <c r="N3489" s="98" t="str">
        <f>IF(record[[#This Row],[Memo]]="Browser:chrome os:android","平板報工",IF(record[[#This Row],[Memo]]=0,"委外",record[[#This Row],[Memo]]))</f>
        <v/>
      </c>
      <c r="O3489" t="s">
        <v>58</v>
      </c>
      <c r="P3489" t="s">
        <v>186</v>
      </c>
      <c r="Q3489" t="s">
        <v>58</v>
      </c>
      <c r="R3489" t="str">
        <f>IFERROR(VLOOKUP(record[[#This Row],[PCUSTID]],廠商[],2,FALSE),"")</f>
        <v/>
      </c>
      <c r="S3489" t="str">
        <f>VLOOKUP(record[[#This Row],[employeeID]],員工[],2,FALSE)</f>
        <v>許文姍</v>
      </c>
    </row>
    <row r="3490" spans="6:19" hidden="1" x14ac:dyDescent="0.25">
      <c r="F3490" t="s">
        <v>1605</v>
      </c>
      <c r="G3490" t="s">
        <v>398</v>
      </c>
      <c r="H3490" t="str">
        <f>VLOOKUP(record[[#This Row],[ProcessSN]],表格2_7[],2,FALSE)</f>
        <v>30-4118-018-550</v>
      </c>
      <c r="I3490" t="str">
        <f>VLOOKUP(record[[#This Row],[ProcessSN]],表格2_7[],3,FALSE)</f>
        <v>#08RCV</v>
      </c>
      <c r="J3490" t="s">
        <v>591</v>
      </c>
      <c r="K3490" s="195">
        <v>46091.670520833337</v>
      </c>
      <c r="L3490">
        <v>351</v>
      </c>
      <c r="M3490">
        <v>0</v>
      </c>
      <c r="N3490" s="98" t="str">
        <f>IF(record[[#This Row],[Memo]]="Browser:chrome os:android","平板報工",IF(record[[#This Row],[Memo]]=0,"委外",record[[#This Row],[Memo]]))</f>
        <v/>
      </c>
      <c r="O3490" t="s">
        <v>58</v>
      </c>
      <c r="P3490" t="s">
        <v>186</v>
      </c>
      <c r="Q3490" t="s">
        <v>58</v>
      </c>
      <c r="R3490" t="str">
        <f>IFERROR(VLOOKUP(record[[#This Row],[PCUSTID]],廠商[],2,FALSE),"")</f>
        <v/>
      </c>
      <c r="S3490" t="str">
        <f>VLOOKUP(record[[#This Row],[employeeID]],員工[],2,FALSE)</f>
        <v>許文姍</v>
      </c>
    </row>
    <row r="3491" spans="6:19" hidden="1" x14ac:dyDescent="0.25">
      <c r="F3491" t="s">
        <v>1580</v>
      </c>
      <c r="G3491" t="s">
        <v>466</v>
      </c>
      <c r="H3491" t="str">
        <f>VLOOKUP(record[[#This Row],[ProcessSN]],表格2_7[],2,FALSE)</f>
        <v>30-4118-018-XXX</v>
      </c>
      <c r="I3491" t="str">
        <f>VLOOKUP(record[[#This Row],[ProcessSN]],表格2_7[],3,FALSE)</f>
        <v>#01-2</v>
      </c>
      <c r="J3491" t="s">
        <v>588</v>
      </c>
      <c r="K3491" s="195">
        <v>46091.663078703707</v>
      </c>
      <c r="L3491">
        <v>440</v>
      </c>
      <c r="M3491">
        <v>0</v>
      </c>
      <c r="N3491" s="98" t="str">
        <f>IF(record[[#This Row],[Memo]]="Browser:chrome os:android","平板報工",IF(record[[#This Row],[Memo]]=0,"委外",record[[#This Row],[Memo]]))</f>
        <v>平板報工</v>
      </c>
      <c r="O3491" t="s">
        <v>643</v>
      </c>
      <c r="P3491" t="s">
        <v>107</v>
      </c>
      <c r="Q3491" t="s">
        <v>644</v>
      </c>
      <c r="R3491" t="str">
        <f>IFERROR(VLOOKUP(record[[#This Row],[PCUSTID]],廠商[],2,FALSE),"")</f>
        <v/>
      </c>
      <c r="S3491" t="str">
        <f>VLOOKUP(record[[#This Row],[employeeID]],員工[],2,FALSE)</f>
        <v>黎氏順</v>
      </c>
    </row>
    <row r="3492" spans="6:19" hidden="1" x14ac:dyDescent="0.25">
      <c r="F3492" t="s">
        <v>1580</v>
      </c>
      <c r="G3492" t="s">
        <v>465</v>
      </c>
      <c r="H3492" t="str">
        <f>VLOOKUP(record[[#This Row],[ProcessSN]],表格2_7[],2,FALSE)</f>
        <v>30-4118-018-XXX</v>
      </c>
      <c r="I3492" t="str">
        <f>VLOOKUP(record[[#This Row],[ProcessSN]],表格2_7[],3,FALSE)</f>
        <v>#01-1</v>
      </c>
      <c r="J3492" t="s">
        <v>588</v>
      </c>
      <c r="K3492" s="195">
        <v>46091.662881944445</v>
      </c>
      <c r="L3492">
        <v>440</v>
      </c>
      <c r="M3492">
        <v>0</v>
      </c>
      <c r="N3492" s="98" t="str">
        <f>IF(record[[#This Row],[Memo]]="Browser:chrome os:android","平板報工",IF(record[[#This Row],[Memo]]=0,"委外",record[[#This Row],[Memo]]))</f>
        <v>平板報工</v>
      </c>
      <c r="O3492" t="s">
        <v>643</v>
      </c>
      <c r="P3492" t="s">
        <v>107</v>
      </c>
      <c r="Q3492" t="s">
        <v>644</v>
      </c>
      <c r="R3492" t="str">
        <f>IFERROR(VLOOKUP(record[[#This Row],[PCUSTID]],廠商[],2,FALSE),"")</f>
        <v/>
      </c>
      <c r="S3492" t="str">
        <f>VLOOKUP(record[[#This Row],[employeeID]],員工[],2,FALSE)</f>
        <v>黎氏順</v>
      </c>
    </row>
    <row r="3493" spans="6:19" hidden="1" x14ac:dyDescent="0.25">
      <c r="F3493" t="s">
        <v>1540</v>
      </c>
      <c r="G3493" t="s">
        <v>417</v>
      </c>
      <c r="H3493" t="str">
        <f>VLOOKUP(record[[#This Row],[ProcessSN]],表格2_7[],2,FALSE)</f>
        <v>30-4118-018-5XX</v>
      </c>
      <c r="I3493" t="str">
        <f>VLOOKUP(record[[#This Row],[ProcessSN]],表格2_7[],3,FALSE)</f>
        <v>#06</v>
      </c>
      <c r="J3493" t="s">
        <v>593</v>
      </c>
      <c r="K3493" s="195">
        <v>46091.658391203702</v>
      </c>
      <c r="L3493">
        <v>35</v>
      </c>
      <c r="M3493">
        <v>0</v>
      </c>
      <c r="N3493" s="98" t="str">
        <f>IF(record[[#This Row],[Memo]]="Browser:chrome os:android","平板報工",IF(record[[#This Row],[Memo]]=0,"委外",record[[#This Row],[Memo]]))</f>
        <v>平板報工</v>
      </c>
      <c r="O3493" t="s">
        <v>643</v>
      </c>
      <c r="P3493" t="s">
        <v>111</v>
      </c>
      <c r="Q3493" t="s">
        <v>644</v>
      </c>
      <c r="R3493" t="str">
        <f>IFERROR(VLOOKUP(record[[#This Row],[PCUSTID]],廠商[],2,FALSE),"")</f>
        <v/>
      </c>
      <c r="S3493" t="str">
        <f>VLOOKUP(record[[#This Row],[employeeID]],員工[],2,FALSE)</f>
        <v>江栩妘</v>
      </c>
    </row>
    <row r="3494" spans="6:19" hidden="1" x14ac:dyDescent="0.25">
      <c r="F3494" t="s">
        <v>1589</v>
      </c>
      <c r="G3494" t="s">
        <v>415</v>
      </c>
      <c r="H3494" t="str">
        <f>VLOOKUP(record[[#This Row],[ProcessSN]],表格2_7[],2,FALSE)</f>
        <v>30-4118-018-5XX</v>
      </c>
      <c r="I3494" t="str">
        <f>VLOOKUP(record[[#This Row],[ProcessSN]],表格2_7[],3,FALSE)</f>
        <v>#04</v>
      </c>
      <c r="J3494" t="s">
        <v>588</v>
      </c>
      <c r="K3494" s="195">
        <v>46091.656875000001</v>
      </c>
      <c r="L3494">
        <v>150</v>
      </c>
      <c r="M3494">
        <v>1</v>
      </c>
      <c r="N3494" s="98" t="str">
        <f>IF(record[[#This Row],[Memo]]="Browser:chrome os:android","平板報工",IF(record[[#This Row],[Memo]]=0,"委外",record[[#This Row],[Memo]]))</f>
        <v>平板報工</v>
      </c>
      <c r="O3494" t="s">
        <v>643</v>
      </c>
      <c r="P3494" t="s">
        <v>107</v>
      </c>
      <c r="Q3494" t="s">
        <v>644</v>
      </c>
      <c r="R3494" t="str">
        <f>IFERROR(VLOOKUP(record[[#This Row],[PCUSTID]],廠商[],2,FALSE),"")</f>
        <v/>
      </c>
      <c r="S3494" t="str">
        <f>VLOOKUP(record[[#This Row],[employeeID]],員工[],2,FALSE)</f>
        <v>黎氏順</v>
      </c>
    </row>
    <row r="3495" spans="6:19" hidden="1" x14ac:dyDescent="0.25">
      <c r="F3495" t="s">
        <v>1589</v>
      </c>
      <c r="G3495" t="s">
        <v>416</v>
      </c>
      <c r="H3495" t="str">
        <f>VLOOKUP(record[[#This Row],[ProcessSN]],表格2_7[],2,FALSE)</f>
        <v>30-4118-018-5XX</v>
      </c>
      <c r="I3495" t="str">
        <f>VLOOKUP(record[[#This Row],[ProcessSN]],表格2_7[],3,FALSE)</f>
        <v>#05</v>
      </c>
      <c r="J3495" t="s">
        <v>588</v>
      </c>
      <c r="K3495" s="195">
        <v>46091.650104166663</v>
      </c>
      <c r="L3495">
        <v>211</v>
      </c>
      <c r="M3495">
        <v>0</v>
      </c>
      <c r="N3495" s="98" t="str">
        <f>IF(record[[#This Row],[Memo]]="Browser:chrome os:android","平板報工",IF(record[[#This Row],[Memo]]=0,"委外",record[[#This Row],[Memo]]))</f>
        <v>平板報工</v>
      </c>
      <c r="O3495" t="s">
        <v>643</v>
      </c>
      <c r="P3495" t="s">
        <v>145</v>
      </c>
      <c r="Q3495" t="s">
        <v>644</v>
      </c>
      <c r="R3495" t="str">
        <f>IFERROR(VLOOKUP(record[[#This Row],[PCUSTID]],廠商[],2,FALSE),"")</f>
        <v/>
      </c>
      <c r="S3495" t="str">
        <f>VLOOKUP(record[[#This Row],[employeeID]],員工[],2,FALSE)</f>
        <v>阮秋霞</v>
      </c>
    </row>
    <row r="3496" spans="6:19" hidden="1" x14ac:dyDescent="0.25">
      <c r="F3496" t="s">
        <v>1570</v>
      </c>
      <c r="G3496" t="s">
        <v>377</v>
      </c>
      <c r="H3496" t="str">
        <f>VLOOKUP(record[[#This Row],[ProcessSN]],表格2_7[],2,FALSE)</f>
        <v>30-4118-018-4XX</v>
      </c>
      <c r="I3496" t="str">
        <f>VLOOKUP(record[[#This Row],[ProcessSN]],表格2_7[],3,FALSE)</f>
        <v>#07</v>
      </c>
      <c r="J3496" t="s">
        <v>588</v>
      </c>
      <c r="K3496" s="195">
        <v>46091.649814814817</v>
      </c>
      <c r="L3496">
        <v>206</v>
      </c>
      <c r="M3496">
        <v>0</v>
      </c>
      <c r="N3496" s="98" t="str">
        <f>IF(record[[#This Row],[Memo]]="Browser:chrome os:android","平板報工",IF(record[[#This Row],[Memo]]=0,"委外",record[[#This Row],[Memo]]))</f>
        <v>平板報工</v>
      </c>
      <c r="O3496" t="s">
        <v>643</v>
      </c>
      <c r="P3496" t="s">
        <v>145</v>
      </c>
      <c r="Q3496" t="s">
        <v>644</v>
      </c>
      <c r="R3496" t="str">
        <f>IFERROR(VLOOKUP(record[[#This Row],[PCUSTID]],廠商[],2,FALSE),"")</f>
        <v/>
      </c>
      <c r="S3496" t="str">
        <f>VLOOKUP(record[[#This Row],[employeeID]],員工[],2,FALSE)</f>
        <v>阮秋霞</v>
      </c>
    </row>
    <row r="3497" spans="6:19" hidden="1" x14ac:dyDescent="0.25">
      <c r="F3497" t="s">
        <v>1587</v>
      </c>
      <c r="G3497" t="s">
        <v>373</v>
      </c>
      <c r="H3497" t="str">
        <f>VLOOKUP(record[[#This Row],[ProcessSN]],表格2_7[],2,FALSE)</f>
        <v>30-4118-018-4XX</v>
      </c>
      <c r="I3497" t="str">
        <f>VLOOKUP(record[[#This Row],[ProcessSN]],表格2_7[],3,FALSE)</f>
        <v>#03</v>
      </c>
      <c r="J3497" t="s">
        <v>588</v>
      </c>
      <c r="K3497" s="195">
        <v>46091.649039351854</v>
      </c>
      <c r="L3497">
        <v>336</v>
      </c>
      <c r="M3497">
        <v>0</v>
      </c>
      <c r="N3497" s="98" t="str">
        <f>IF(record[[#This Row],[Memo]]="Browser:chrome os:android","平板報工",IF(record[[#This Row],[Memo]]=0,"委外",record[[#This Row],[Memo]]))</f>
        <v>平板報工</v>
      </c>
      <c r="O3497" t="s">
        <v>643</v>
      </c>
      <c r="P3497" t="s">
        <v>145</v>
      </c>
      <c r="Q3497" t="s">
        <v>644</v>
      </c>
      <c r="R3497" t="str">
        <f>IFERROR(VLOOKUP(record[[#This Row],[PCUSTID]],廠商[],2,FALSE),"")</f>
        <v/>
      </c>
      <c r="S3497" t="str">
        <f>VLOOKUP(record[[#This Row],[employeeID]],員工[],2,FALSE)</f>
        <v>阮秋霞</v>
      </c>
    </row>
    <row r="3498" spans="6:19" hidden="1" x14ac:dyDescent="0.25">
      <c r="F3498" t="s">
        <v>1570</v>
      </c>
      <c r="G3498" t="s">
        <v>376</v>
      </c>
      <c r="H3498" t="str">
        <f>VLOOKUP(record[[#This Row],[ProcessSN]],表格2_7[],2,FALSE)</f>
        <v>30-4118-018-4XX</v>
      </c>
      <c r="I3498" t="str">
        <f>VLOOKUP(record[[#This Row],[ProcessSN]],表格2_7[],3,FALSE)</f>
        <v>#06</v>
      </c>
      <c r="J3498" t="s">
        <v>593</v>
      </c>
      <c r="K3498" s="195">
        <v>46091.635289351849</v>
      </c>
      <c r="L3498">
        <v>100</v>
      </c>
      <c r="M3498">
        <v>0</v>
      </c>
      <c r="N3498" s="98" t="str">
        <f>IF(record[[#This Row],[Memo]]="Browser:chrome os:android","平板報工",IF(record[[#This Row],[Memo]]=0,"委外",record[[#This Row],[Memo]]))</f>
        <v>平板報工</v>
      </c>
      <c r="O3498" t="s">
        <v>643</v>
      </c>
      <c r="P3498" t="s">
        <v>1413</v>
      </c>
      <c r="Q3498" t="s">
        <v>644</v>
      </c>
      <c r="R3498" t="str">
        <f>IFERROR(VLOOKUP(record[[#This Row],[PCUSTID]],廠商[],2,FALSE),"")</f>
        <v/>
      </c>
      <c r="S3498" t="str">
        <f>VLOOKUP(record[[#This Row],[employeeID]],員工[],2,FALSE)</f>
        <v>阮氏芳英(芳)</v>
      </c>
    </row>
    <row r="3499" spans="6:19" hidden="1" x14ac:dyDescent="0.25">
      <c r="F3499" t="s">
        <v>1540</v>
      </c>
      <c r="G3499" t="s">
        <v>420</v>
      </c>
      <c r="H3499" t="str">
        <f>VLOOKUP(record[[#This Row],[ProcessSN]],表格2_7[],2,FALSE)</f>
        <v>30-4118-018-5XX</v>
      </c>
      <c r="I3499" t="str">
        <f>VLOOKUP(record[[#This Row],[ProcessSN]],表格2_7[],3,FALSE)</f>
        <v>#07STOCK</v>
      </c>
      <c r="J3499" t="s">
        <v>592</v>
      </c>
      <c r="K3499" s="195">
        <v>46091.620405092595</v>
      </c>
      <c r="L3499">
        <v>457</v>
      </c>
      <c r="M3499">
        <v>0</v>
      </c>
      <c r="N3499" s="98" t="str">
        <f>IF(record[[#This Row],[Memo]]="Browser:chrome os:android","平板報工",IF(record[[#This Row],[Memo]]=0,"委外",record[[#This Row],[Memo]]))</f>
        <v/>
      </c>
      <c r="O3499" t="s">
        <v>58</v>
      </c>
      <c r="P3499" t="s">
        <v>186</v>
      </c>
      <c r="Q3499" t="s">
        <v>58</v>
      </c>
      <c r="R3499" t="str">
        <f>IFERROR(VLOOKUP(record[[#This Row],[PCUSTID]],廠商[],2,FALSE),"")</f>
        <v/>
      </c>
      <c r="S3499" t="str">
        <f>VLOOKUP(record[[#This Row],[employeeID]],員工[],2,FALSE)</f>
        <v>許文姍</v>
      </c>
    </row>
    <row r="3500" spans="6:19" hidden="1" x14ac:dyDescent="0.25">
      <c r="F3500" t="s">
        <v>1618</v>
      </c>
      <c r="G3500" t="s">
        <v>397</v>
      </c>
      <c r="H3500" t="str">
        <f>VLOOKUP(record[[#This Row],[ProcessSN]],表格2_7[],2,FALSE)</f>
        <v>30-4118-018-550</v>
      </c>
      <c r="I3500" t="str">
        <f>VLOOKUP(record[[#This Row],[ProcessSN]],表格2_7[],3,FALSE)</f>
        <v>#08</v>
      </c>
      <c r="J3500" t="s">
        <v>597</v>
      </c>
      <c r="K3500" s="195">
        <v>46091.6174537037</v>
      </c>
      <c r="L3500">
        <v>457</v>
      </c>
      <c r="M3500">
        <v>0</v>
      </c>
      <c r="N3500" s="98" t="str">
        <f>IF(record[[#This Row],[Memo]]="Browser:chrome os:android","平板報工",IF(record[[#This Row],[Memo]]=0,"委外",record[[#This Row],[Memo]]))</f>
        <v>委外</v>
      </c>
      <c r="P3500" t="s">
        <v>186</v>
      </c>
      <c r="Q3500" t="s">
        <v>287</v>
      </c>
      <c r="R3500" t="str">
        <f>IFERROR(VLOOKUP(record[[#This Row],[PCUSTID]],廠商[],2,FALSE),"")</f>
        <v>泉盛</v>
      </c>
      <c r="S3500" t="str">
        <f>VLOOKUP(record[[#This Row],[employeeID]],員工[],2,FALSE)</f>
        <v>許文姍</v>
      </c>
    </row>
    <row r="3501" spans="6:19" hidden="1" x14ac:dyDescent="0.25">
      <c r="F3501" t="s">
        <v>1618</v>
      </c>
      <c r="G3501" t="s">
        <v>396</v>
      </c>
      <c r="H3501" t="str">
        <f>VLOOKUP(record[[#This Row],[ProcessSN]],表格2_7[],2,FALSE)</f>
        <v>30-4118-018-550</v>
      </c>
      <c r="I3501" t="str">
        <f>VLOOKUP(record[[#This Row],[ProcessSN]],表格2_7[],3,FALSE)</f>
        <v>#08PICK</v>
      </c>
      <c r="J3501" t="s">
        <v>582</v>
      </c>
      <c r="K3501" s="195">
        <v>46091.617210648146</v>
      </c>
      <c r="L3501">
        <v>457</v>
      </c>
      <c r="M3501">
        <v>0</v>
      </c>
      <c r="N3501" s="98" t="str">
        <f>IF(record[[#This Row],[Memo]]="Browser:chrome os:android","平板報工",IF(record[[#This Row],[Memo]]=0,"委外",record[[#This Row],[Memo]]))</f>
        <v/>
      </c>
      <c r="O3501" t="s">
        <v>58</v>
      </c>
      <c r="P3501" t="s">
        <v>186</v>
      </c>
      <c r="Q3501" t="s">
        <v>58</v>
      </c>
      <c r="R3501" t="str">
        <f>IFERROR(VLOOKUP(record[[#This Row],[PCUSTID]],廠商[],2,FALSE),"")</f>
        <v/>
      </c>
      <c r="S3501" t="str">
        <f>VLOOKUP(record[[#This Row],[employeeID]],員工[],2,FALSE)</f>
        <v>許文姍</v>
      </c>
    </row>
    <row r="3502" spans="6:19" hidden="1" x14ac:dyDescent="0.25">
      <c r="F3502" t="s">
        <v>1617</v>
      </c>
      <c r="G3502" t="s">
        <v>356</v>
      </c>
      <c r="H3502" t="str">
        <f>VLOOKUP(record[[#This Row],[ProcessSN]],表格2_7[],2,FALSE)</f>
        <v>30-4118-018-450</v>
      </c>
      <c r="I3502" t="str">
        <f>VLOOKUP(record[[#This Row],[ProcessSN]],表格2_7[],3,FALSE)</f>
        <v>#08</v>
      </c>
      <c r="J3502" t="s">
        <v>597</v>
      </c>
      <c r="K3502" s="195">
        <v>46091.598657407405</v>
      </c>
      <c r="L3502">
        <v>239</v>
      </c>
      <c r="M3502">
        <v>0</v>
      </c>
      <c r="N3502" s="98" t="str">
        <f>IF(record[[#This Row],[Memo]]="Browser:chrome os:android","平板報工",IF(record[[#This Row],[Memo]]=0,"委外",record[[#This Row],[Memo]]))</f>
        <v>委外</v>
      </c>
      <c r="P3502" t="s">
        <v>186</v>
      </c>
      <c r="Q3502" t="s">
        <v>287</v>
      </c>
      <c r="R3502" t="str">
        <f>IFERROR(VLOOKUP(record[[#This Row],[PCUSTID]],廠商[],2,FALSE),"")</f>
        <v>泉盛</v>
      </c>
      <c r="S3502" t="str">
        <f>VLOOKUP(record[[#This Row],[employeeID]],員工[],2,FALSE)</f>
        <v>許文姍</v>
      </c>
    </row>
    <row r="3503" spans="6:19" hidden="1" x14ac:dyDescent="0.25">
      <c r="F3503" t="s">
        <v>1617</v>
      </c>
      <c r="G3503" t="s">
        <v>355</v>
      </c>
      <c r="H3503" t="str">
        <f>VLOOKUP(record[[#This Row],[ProcessSN]],表格2_7[],2,FALSE)</f>
        <v>30-4118-018-450</v>
      </c>
      <c r="I3503" t="str">
        <f>VLOOKUP(record[[#This Row],[ProcessSN]],表格2_7[],3,FALSE)</f>
        <v>#08PICK</v>
      </c>
      <c r="J3503" t="s">
        <v>582</v>
      </c>
      <c r="K3503" s="195">
        <v>46091.598402777781</v>
      </c>
      <c r="L3503">
        <v>239</v>
      </c>
      <c r="M3503">
        <v>0</v>
      </c>
      <c r="N3503" s="98" t="str">
        <f>IF(record[[#This Row],[Memo]]="Browser:chrome os:android","平板報工",IF(record[[#This Row],[Memo]]=0,"委外",record[[#This Row],[Memo]]))</f>
        <v/>
      </c>
      <c r="O3503" t="s">
        <v>58</v>
      </c>
      <c r="P3503" t="s">
        <v>186</v>
      </c>
      <c r="Q3503" t="s">
        <v>58</v>
      </c>
      <c r="R3503" t="str">
        <f>IFERROR(VLOOKUP(record[[#This Row],[PCUSTID]],廠商[],2,FALSE),"")</f>
        <v/>
      </c>
      <c r="S3503" t="str">
        <f>VLOOKUP(record[[#This Row],[employeeID]],員工[],2,FALSE)</f>
        <v>許文姍</v>
      </c>
    </row>
    <row r="3504" spans="6:19" hidden="1" x14ac:dyDescent="0.25">
      <c r="F3504" t="s">
        <v>1380</v>
      </c>
      <c r="G3504" t="s">
        <v>379</v>
      </c>
      <c r="H3504" t="str">
        <f>VLOOKUP(record[[#This Row],[ProcessSN]],表格2_7[],2,FALSE)</f>
        <v>30-4118-018-4XX</v>
      </c>
      <c r="I3504" t="str">
        <f>VLOOKUP(record[[#This Row],[ProcessSN]],表格2_7[],3,FALSE)</f>
        <v>#07STOCK</v>
      </c>
      <c r="J3504" t="s">
        <v>592</v>
      </c>
      <c r="K3504" s="195">
        <v>46091.596122685187</v>
      </c>
      <c r="L3504">
        <v>58</v>
      </c>
      <c r="M3504">
        <v>0</v>
      </c>
      <c r="N3504" s="98" t="str">
        <f>IF(record[[#This Row],[Memo]]="Browser:chrome os:android","平板報工",IF(record[[#This Row],[Memo]]=0,"委外",record[[#This Row],[Memo]]))</f>
        <v/>
      </c>
      <c r="O3504" t="s">
        <v>58</v>
      </c>
      <c r="P3504" t="s">
        <v>186</v>
      </c>
      <c r="Q3504" t="s">
        <v>58</v>
      </c>
      <c r="R3504" t="str">
        <f>IFERROR(VLOOKUP(record[[#This Row],[PCUSTID]],廠商[],2,FALSE),"")</f>
        <v/>
      </c>
      <c r="S3504" t="str">
        <f>VLOOKUP(record[[#This Row],[employeeID]],員工[],2,FALSE)</f>
        <v>許文姍</v>
      </c>
    </row>
    <row r="3505" spans="6:19" hidden="1" x14ac:dyDescent="0.25">
      <c r="F3505" t="s">
        <v>1570</v>
      </c>
      <c r="G3505" t="s">
        <v>379</v>
      </c>
      <c r="H3505" t="str">
        <f>VLOOKUP(record[[#This Row],[ProcessSN]],表格2_7[],2,FALSE)</f>
        <v>30-4118-018-4XX</v>
      </c>
      <c r="I3505" t="str">
        <f>VLOOKUP(record[[#This Row],[ProcessSN]],表格2_7[],3,FALSE)</f>
        <v>#07STOCK</v>
      </c>
      <c r="J3505" t="s">
        <v>592</v>
      </c>
      <c r="K3505" s="195">
        <v>46091.596006944441</v>
      </c>
      <c r="L3505">
        <v>181</v>
      </c>
      <c r="M3505">
        <v>0</v>
      </c>
      <c r="N3505" s="98" t="str">
        <f>IF(record[[#This Row],[Memo]]="Browser:chrome os:android","平板報工",IF(record[[#This Row],[Memo]]=0,"委外",record[[#This Row],[Memo]]))</f>
        <v/>
      </c>
      <c r="O3505" t="s">
        <v>58</v>
      </c>
      <c r="P3505" t="s">
        <v>186</v>
      </c>
      <c r="Q3505" t="s">
        <v>58</v>
      </c>
      <c r="R3505" t="str">
        <f>IFERROR(VLOOKUP(record[[#This Row],[PCUSTID]],廠商[],2,FALSE),"")</f>
        <v/>
      </c>
      <c r="S3505" t="str">
        <f>VLOOKUP(record[[#This Row],[employeeID]],員工[],2,FALSE)</f>
        <v>許文姍</v>
      </c>
    </row>
    <row r="3506" spans="6:19" hidden="1" x14ac:dyDescent="0.25">
      <c r="F3506" t="s">
        <v>1602</v>
      </c>
      <c r="G3506" t="s">
        <v>464</v>
      </c>
      <c r="H3506" t="str">
        <f>VLOOKUP(record[[#This Row],[ProcessSN]],表格2_7[],2,FALSE)</f>
        <v>30-4118-018-XXX</v>
      </c>
      <c r="I3506" t="str">
        <f>VLOOKUP(record[[#This Row],[ProcessSN]],表格2_7[],3,FALSE)</f>
        <v>#01GIVE</v>
      </c>
      <c r="J3506" t="s">
        <v>587</v>
      </c>
      <c r="K3506" s="195">
        <v>46091.574108796296</v>
      </c>
      <c r="L3506">
        <v>5000</v>
      </c>
      <c r="M3506">
        <v>0</v>
      </c>
      <c r="N3506" s="98" t="str">
        <f>IF(record[[#This Row],[Memo]]="Browser:chrome os:android","平板報工",IF(record[[#This Row],[Memo]]=0,"委外",record[[#This Row],[Memo]]))</f>
        <v/>
      </c>
      <c r="O3506" t="s">
        <v>58</v>
      </c>
      <c r="P3506" t="s">
        <v>1070</v>
      </c>
      <c r="Q3506" t="s">
        <v>58</v>
      </c>
      <c r="R3506" t="str">
        <f>IFERROR(VLOOKUP(record[[#This Row],[PCUSTID]],廠商[],2,FALSE),"")</f>
        <v/>
      </c>
      <c r="S3506" t="str">
        <f>VLOOKUP(record[[#This Row],[employeeID]],員工[],2,FALSE)</f>
        <v>陳昱佑</v>
      </c>
    </row>
    <row r="3507" spans="6:19" hidden="1" x14ac:dyDescent="0.25">
      <c r="F3507" t="s">
        <v>1540</v>
      </c>
      <c r="G3507" t="s">
        <v>417</v>
      </c>
      <c r="H3507" t="str">
        <f>VLOOKUP(record[[#This Row],[ProcessSN]],表格2_7[],2,FALSE)</f>
        <v>30-4118-018-5XX</v>
      </c>
      <c r="I3507" t="str">
        <f>VLOOKUP(record[[#This Row],[ProcessSN]],表格2_7[],3,FALSE)</f>
        <v>#06</v>
      </c>
      <c r="J3507" t="s">
        <v>593</v>
      </c>
      <c r="K3507" s="195">
        <v>46091.573194444441</v>
      </c>
      <c r="L3507">
        <v>0</v>
      </c>
      <c r="M3507">
        <v>1</v>
      </c>
      <c r="N3507" s="98" t="str">
        <f>IF(record[[#This Row],[Memo]]="Browser:chrome os:android","平板報工",IF(record[[#This Row],[Memo]]=0,"委外",record[[#This Row],[Memo]]))</f>
        <v>剖切件 品管留樣</v>
      </c>
      <c r="O3507" t="s">
        <v>1616</v>
      </c>
      <c r="P3507" t="s">
        <v>769</v>
      </c>
      <c r="Q3507" t="s">
        <v>58</v>
      </c>
      <c r="R3507" t="str">
        <f>IFERROR(VLOOKUP(record[[#This Row],[PCUSTID]],廠商[],2,FALSE),"")</f>
        <v/>
      </c>
      <c r="S3507" t="str">
        <f>VLOOKUP(record[[#This Row],[employeeID]],員工[],2,FALSE)</f>
        <v>徐嘉鴻</v>
      </c>
    </row>
    <row r="3508" spans="6:19" hidden="1" x14ac:dyDescent="0.25">
      <c r="F3508" t="s">
        <v>1540</v>
      </c>
      <c r="G3508" t="s">
        <v>419</v>
      </c>
      <c r="H3508" t="str">
        <f>VLOOKUP(record[[#This Row],[ProcessSN]],表格2_7[],2,FALSE)</f>
        <v>30-4118-018-5XX</v>
      </c>
      <c r="I3508" t="str">
        <f>VLOOKUP(record[[#This Row],[ProcessSN]],表格2_7[],3,FALSE)</f>
        <v>#07QC</v>
      </c>
      <c r="J3508" t="s">
        <v>589</v>
      </c>
      <c r="K3508" s="195">
        <v>46091.570590277777</v>
      </c>
      <c r="L3508">
        <v>319</v>
      </c>
      <c r="M3508">
        <v>0</v>
      </c>
      <c r="N3508" s="98" t="str">
        <f>IF(record[[#This Row],[Memo]]="Browser:chrome os:android","平板報工",IF(record[[#This Row],[Memo]]=0,"委外",record[[#This Row],[Memo]]))</f>
        <v>平板報工</v>
      </c>
      <c r="O3508" t="s">
        <v>643</v>
      </c>
      <c r="P3508" t="s">
        <v>141</v>
      </c>
      <c r="Q3508" t="s">
        <v>644</v>
      </c>
      <c r="R3508" t="str">
        <f>IFERROR(VLOOKUP(record[[#This Row],[PCUSTID]],廠商[],2,FALSE),"")</f>
        <v/>
      </c>
      <c r="S3508" t="str">
        <f>VLOOKUP(record[[#This Row],[employeeID]],員工[],2,FALSE)</f>
        <v>蔣梅</v>
      </c>
    </row>
    <row r="3509" spans="6:19" hidden="1" x14ac:dyDescent="0.25">
      <c r="F3509" t="s">
        <v>1585</v>
      </c>
      <c r="G3509" t="s">
        <v>428</v>
      </c>
      <c r="H3509" t="str">
        <f>VLOOKUP(record[[#This Row],[ProcessSN]],表格2_7[],2,FALSE)</f>
        <v>30-4118-018-600</v>
      </c>
      <c r="I3509" t="str">
        <f>VLOOKUP(record[[#This Row],[ProcessSN]],表格2_7[],3,FALSE)</f>
        <v>#100SHIP</v>
      </c>
      <c r="J3509" t="s">
        <v>600</v>
      </c>
      <c r="K3509" s="195">
        <v>46091.461354166669</v>
      </c>
      <c r="L3509">
        <v>23</v>
      </c>
      <c r="M3509">
        <v>0</v>
      </c>
      <c r="N3509" s="98" t="str">
        <f>IF(record[[#This Row],[Memo]]="Browser:chrome os:android","平板報工",IF(record[[#This Row],[Memo]]=0,"委外",record[[#This Row],[Memo]]))</f>
        <v>1.5露白 出組裝</v>
      </c>
      <c r="O3509" t="s">
        <v>1282</v>
      </c>
      <c r="P3509" t="s">
        <v>886</v>
      </c>
      <c r="Q3509" t="s">
        <v>58</v>
      </c>
      <c r="R3509" t="str">
        <f>IFERROR(VLOOKUP(record[[#This Row],[PCUSTID]],廠商[],2,FALSE),"")</f>
        <v/>
      </c>
      <c r="S3509" t="str">
        <f>VLOOKUP(record[[#This Row],[employeeID]],員工[],2,FALSE)</f>
        <v>謝蓁薰</v>
      </c>
    </row>
    <row r="3510" spans="6:19" hidden="1" x14ac:dyDescent="0.25">
      <c r="F3510" t="s">
        <v>1457</v>
      </c>
      <c r="G3510" t="s">
        <v>428</v>
      </c>
      <c r="H3510" t="str">
        <f>VLOOKUP(record[[#This Row],[ProcessSN]],表格2_7[],2,FALSE)</f>
        <v>30-4118-018-600</v>
      </c>
      <c r="I3510" t="str">
        <f>VLOOKUP(record[[#This Row],[ProcessSN]],表格2_7[],3,FALSE)</f>
        <v>#100SHIP</v>
      </c>
      <c r="J3510" t="s">
        <v>600</v>
      </c>
      <c r="K3510" s="195">
        <v>46091.461192129631</v>
      </c>
      <c r="L3510">
        <v>2</v>
      </c>
      <c r="M3510">
        <v>0</v>
      </c>
      <c r="N3510" s="98" t="str">
        <f>IF(record[[#This Row],[Memo]]="Browser:chrome os:android","平板報工",IF(record[[#This Row],[Memo]]=0,"委外",record[[#This Row],[Memo]]))</f>
        <v>1.5露白 出組裝</v>
      </c>
      <c r="O3510" t="s">
        <v>1282</v>
      </c>
      <c r="P3510" t="s">
        <v>886</v>
      </c>
      <c r="Q3510" t="s">
        <v>58</v>
      </c>
      <c r="R3510" t="str">
        <f>IFERROR(VLOOKUP(record[[#This Row],[PCUSTID]],廠商[],2,FALSE),"")</f>
        <v/>
      </c>
      <c r="S3510" t="str">
        <f>VLOOKUP(record[[#This Row],[employeeID]],員工[],2,FALSE)</f>
        <v>謝蓁薰</v>
      </c>
    </row>
    <row r="3511" spans="6:19" hidden="1" x14ac:dyDescent="0.25">
      <c r="F3511" t="s">
        <v>1484</v>
      </c>
      <c r="G3511" t="s">
        <v>428</v>
      </c>
      <c r="H3511" t="str">
        <f>VLOOKUP(record[[#This Row],[ProcessSN]],表格2_7[],2,FALSE)</f>
        <v>30-4118-018-600</v>
      </c>
      <c r="I3511" t="str">
        <f>VLOOKUP(record[[#This Row],[ProcessSN]],表格2_7[],3,FALSE)</f>
        <v>#100SHIP</v>
      </c>
      <c r="J3511" t="s">
        <v>600</v>
      </c>
      <c r="K3511" s="195">
        <v>46091.460995370369</v>
      </c>
      <c r="L3511">
        <v>3</v>
      </c>
      <c r="M3511">
        <v>0</v>
      </c>
      <c r="N3511" s="98" t="str">
        <f>IF(record[[#This Row],[Memo]]="Browser:chrome os:android","平板報工",IF(record[[#This Row],[Memo]]=0,"委外",record[[#This Row],[Memo]]))</f>
        <v>1.5露白 出組裝</v>
      </c>
      <c r="O3511" t="s">
        <v>1282</v>
      </c>
      <c r="P3511" t="s">
        <v>886</v>
      </c>
      <c r="Q3511" t="s">
        <v>58</v>
      </c>
      <c r="R3511" t="str">
        <f>IFERROR(VLOOKUP(record[[#This Row],[PCUSTID]],廠商[],2,FALSE),"")</f>
        <v/>
      </c>
      <c r="S3511" t="str">
        <f>VLOOKUP(record[[#This Row],[employeeID]],員工[],2,FALSE)</f>
        <v>謝蓁薰</v>
      </c>
    </row>
    <row r="3512" spans="6:19" hidden="1" x14ac:dyDescent="0.25">
      <c r="F3512" t="s">
        <v>1596</v>
      </c>
      <c r="G3512" t="s">
        <v>428</v>
      </c>
      <c r="H3512" t="str">
        <f>VLOOKUP(record[[#This Row],[ProcessSN]],表格2_7[],2,FALSE)</f>
        <v>30-4118-018-600</v>
      </c>
      <c r="I3512" t="str">
        <f>VLOOKUP(record[[#This Row],[ProcessSN]],表格2_7[],3,FALSE)</f>
        <v>#100SHIP</v>
      </c>
      <c r="J3512" t="s">
        <v>600</v>
      </c>
      <c r="K3512" s="195">
        <v>46091.455648148149</v>
      </c>
      <c r="L3512">
        <v>239</v>
      </c>
      <c r="M3512">
        <v>0</v>
      </c>
      <c r="N3512" s="98" t="str">
        <f>IF(record[[#This Row],[Memo]]="Browser:chrome os:android","平板報工",IF(record[[#This Row],[Memo]]=0,"委外",record[[#This Row],[Memo]]))</f>
        <v/>
      </c>
      <c r="O3512" t="s">
        <v>58</v>
      </c>
      <c r="P3512" t="s">
        <v>886</v>
      </c>
      <c r="Q3512" t="s">
        <v>58</v>
      </c>
      <c r="R3512" t="str">
        <f>IFERROR(VLOOKUP(record[[#This Row],[PCUSTID]],廠商[],2,FALSE),"")</f>
        <v/>
      </c>
      <c r="S3512" t="str">
        <f>VLOOKUP(record[[#This Row],[employeeID]],員工[],2,FALSE)</f>
        <v>謝蓁薰</v>
      </c>
    </row>
    <row r="3513" spans="6:19" hidden="1" x14ac:dyDescent="0.25">
      <c r="F3513" t="s">
        <v>1596</v>
      </c>
      <c r="G3513" t="s">
        <v>427</v>
      </c>
      <c r="H3513" t="str">
        <f>VLOOKUP(record[[#This Row],[ProcessSN]],表格2_7[],2,FALSE)</f>
        <v>30-4118-018-600</v>
      </c>
      <c r="I3513" t="str">
        <f>VLOOKUP(record[[#This Row],[ProcessSN]],表格2_7[],3,FALSE)</f>
        <v>#100STOCK</v>
      </c>
      <c r="J3513" t="s">
        <v>592</v>
      </c>
      <c r="K3513" s="195">
        <v>46091.454733796294</v>
      </c>
      <c r="L3513">
        <v>239</v>
      </c>
      <c r="M3513">
        <v>0</v>
      </c>
      <c r="N3513" s="98" t="str">
        <f>IF(record[[#This Row],[Memo]]="Browser:chrome os:android","平板報工",IF(record[[#This Row],[Memo]]=0,"委外",record[[#This Row],[Memo]]))</f>
        <v/>
      </c>
      <c r="O3513" t="s">
        <v>58</v>
      </c>
      <c r="P3513" t="s">
        <v>886</v>
      </c>
      <c r="Q3513" t="s">
        <v>58</v>
      </c>
      <c r="R3513" t="str">
        <f>IFERROR(VLOOKUP(record[[#This Row],[PCUSTID]],廠商[],2,FALSE),"")</f>
        <v/>
      </c>
      <c r="S3513" t="str">
        <f>VLOOKUP(record[[#This Row],[employeeID]],員工[],2,FALSE)</f>
        <v>謝蓁薰</v>
      </c>
    </row>
    <row r="3514" spans="6:19" hidden="1" x14ac:dyDescent="0.25">
      <c r="F3514" t="s">
        <v>1570</v>
      </c>
      <c r="G3514" t="s">
        <v>378</v>
      </c>
      <c r="H3514" t="str">
        <f>VLOOKUP(record[[#This Row],[ProcessSN]],表格2_7[],2,FALSE)</f>
        <v>30-4118-018-4XX</v>
      </c>
      <c r="I3514" t="str">
        <f>VLOOKUP(record[[#This Row],[ProcessSN]],表格2_7[],3,FALSE)</f>
        <v>#07QC</v>
      </c>
      <c r="J3514" t="s">
        <v>589</v>
      </c>
      <c r="K3514" s="195">
        <v>46091.435162037036</v>
      </c>
      <c r="L3514">
        <v>0</v>
      </c>
      <c r="M3514">
        <v>73</v>
      </c>
      <c r="N3514" s="98" t="str">
        <f>IF(record[[#This Row],[Memo]]="Browser:chrome os:android","平板報工",IF(record[[#This Row],[Memo]]=0,"委外",record[[#This Row],[Memo]]))</f>
        <v/>
      </c>
      <c r="O3514" t="s">
        <v>58</v>
      </c>
      <c r="P3514" t="s">
        <v>141</v>
      </c>
      <c r="Q3514" t="s">
        <v>58</v>
      </c>
      <c r="R3514" t="str">
        <f>IFERROR(VLOOKUP(record[[#This Row],[PCUSTID]],廠商[],2,FALSE),"")</f>
        <v/>
      </c>
      <c r="S3514" t="str">
        <f>VLOOKUP(record[[#This Row],[employeeID]],員工[],2,FALSE)</f>
        <v>蔣梅</v>
      </c>
    </row>
    <row r="3515" spans="6:19" hidden="1" x14ac:dyDescent="0.25">
      <c r="F3515" t="s">
        <v>1570</v>
      </c>
      <c r="G3515" t="s">
        <v>378</v>
      </c>
      <c r="H3515" t="str">
        <f>VLOOKUP(record[[#This Row],[ProcessSN]],表格2_7[],2,FALSE)</f>
        <v>30-4118-018-4XX</v>
      </c>
      <c r="I3515" t="str">
        <f>VLOOKUP(record[[#This Row],[ProcessSN]],表格2_7[],3,FALSE)</f>
        <v>#07QC</v>
      </c>
      <c r="J3515" t="s">
        <v>589</v>
      </c>
      <c r="K3515" s="195">
        <v>46091.434930555559</v>
      </c>
      <c r="L3515">
        <v>181</v>
      </c>
      <c r="M3515">
        <v>0</v>
      </c>
      <c r="N3515" s="98" t="str">
        <f>IF(record[[#This Row],[Memo]]="Browser:chrome os:android","平板報工",IF(record[[#This Row],[Memo]]=0,"委外",record[[#This Row],[Memo]]))</f>
        <v/>
      </c>
      <c r="O3515" t="s">
        <v>58</v>
      </c>
      <c r="P3515" t="s">
        <v>141</v>
      </c>
      <c r="Q3515" t="s">
        <v>58</v>
      </c>
      <c r="R3515" t="str">
        <f>IFERROR(VLOOKUP(record[[#This Row],[PCUSTID]],廠商[],2,FALSE),"")</f>
        <v/>
      </c>
      <c r="S3515" t="str">
        <f>VLOOKUP(record[[#This Row],[employeeID]],員工[],2,FALSE)</f>
        <v>蔣梅</v>
      </c>
    </row>
    <row r="3516" spans="6:19" hidden="1" x14ac:dyDescent="0.25">
      <c r="F3516" t="s">
        <v>1380</v>
      </c>
      <c r="G3516" t="s">
        <v>378</v>
      </c>
      <c r="H3516" t="str">
        <f>VLOOKUP(record[[#This Row],[ProcessSN]],表格2_7[],2,FALSE)</f>
        <v>30-4118-018-4XX</v>
      </c>
      <c r="I3516" t="str">
        <f>VLOOKUP(record[[#This Row],[ProcessSN]],表格2_7[],3,FALSE)</f>
        <v>#07QC</v>
      </c>
      <c r="J3516" t="s">
        <v>589</v>
      </c>
      <c r="K3516" s="195">
        <v>46091.434537037036</v>
      </c>
      <c r="L3516">
        <v>58</v>
      </c>
      <c r="M3516">
        <v>0</v>
      </c>
      <c r="N3516" s="98" t="str">
        <f>IF(record[[#This Row],[Memo]]="Browser:chrome os:android","平板報工",IF(record[[#This Row],[Memo]]=0,"委外",record[[#This Row],[Memo]]))</f>
        <v/>
      </c>
      <c r="O3516" t="s">
        <v>58</v>
      </c>
      <c r="P3516" t="s">
        <v>141</v>
      </c>
      <c r="Q3516" t="s">
        <v>58</v>
      </c>
      <c r="R3516" t="str">
        <f>IFERROR(VLOOKUP(record[[#This Row],[PCUSTID]],廠商[],2,FALSE),"")</f>
        <v/>
      </c>
      <c r="S3516" t="str">
        <f>VLOOKUP(record[[#This Row],[employeeID]],員工[],2,FALSE)</f>
        <v>蔣梅</v>
      </c>
    </row>
    <row r="3517" spans="6:19" hidden="1" x14ac:dyDescent="0.25">
      <c r="F3517" t="s">
        <v>1580</v>
      </c>
      <c r="G3517" t="s">
        <v>466</v>
      </c>
      <c r="H3517" t="str">
        <f>VLOOKUP(record[[#This Row],[ProcessSN]],表格2_7[],2,FALSE)</f>
        <v>30-4118-018-XXX</v>
      </c>
      <c r="I3517" t="str">
        <f>VLOOKUP(record[[#This Row],[ProcessSN]],表格2_7[],3,FALSE)</f>
        <v>#01-2</v>
      </c>
      <c r="J3517" t="s">
        <v>588</v>
      </c>
      <c r="K3517" s="195">
        <v>46091.397835648146</v>
      </c>
      <c r="L3517">
        <v>260</v>
      </c>
      <c r="M3517">
        <v>0</v>
      </c>
      <c r="N3517" s="98" t="str">
        <f>IF(record[[#This Row],[Memo]]="Browser:chrome os:android","平板報工",IF(record[[#This Row],[Memo]]=0,"委外",record[[#This Row],[Memo]]))</f>
        <v/>
      </c>
      <c r="O3517" t="s">
        <v>58</v>
      </c>
      <c r="P3517" t="s">
        <v>89</v>
      </c>
      <c r="Q3517" t="s">
        <v>58</v>
      </c>
      <c r="R3517" t="str">
        <f>IFERROR(VLOOKUP(record[[#This Row],[PCUSTID]],廠商[],2,FALSE),"")</f>
        <v/>
      </c>
      <c r="S3517" t="str">
        <f>VLOOKUP(record[[#This Row],[employeeID]],員工[],2,FALSE)</f>
        <v>李美蓮</v>
      </c>
    </row>
    <row r="3518" spans="6:19" hidden="1" x14ac:dyDescent="0.25">
      <c r="F3518" t="s">
        <v>1580</v>
      </c>
      <c r="G3518" t="s">
        <v>465</v>
      </c>
      <c r="H3518" t="str">
        <f>VLOOKUP(record[[#This Row],[ProcessSN]],表格2_7[],2,FALSE)</f>
        <v>30-4118-018-XXX</v>
      </c>
      <c r="I3518" t="str">
        <f>VLOOKUP(record[[#This Row],[ProcessSN]],表格2_7[],3,FALSE)</f>
        <v>#01-1</v>
      </c>
      <c r="J3518" t="s">
        <v>588</v>
      </c>
      <c r="K3518" s="195">
        <v>46091.397685185184</v>
      </c>
      <c r="L3518">
        <v>260</v>
      </c>
      <c r="M3518">
        <v>0</v>
      </c>
      <c r="N3518" s="98" t="str">
        <f>IF(record[[#This Row],[Memo]]="Browser:chrome os:android","平板報工",IF(record[[#This Row],[Memo]]=0,"委外",record[[#This Row],[Memo]]))</f>
        <v/>
      </c>
      <c r="O3518" t="s">
        <v>58</v>
      </c>
      <c r="P3518" t="s">
        <v>89</v>
      </c>
      <c r="Q3518" t="s">
        <v>58</v>
      </c>
      <c r="R3518" t="str">
        <f>IFERROR(VLOOKUP(record[[#This Row],[PCUSTID]],廠商[],2,FALSE),"")</f>
        <v/>
      </c>
      <c r="S3518" t="str">
        <f>VLOOKUP(record[[#This Row],[employeeID]],員工[],2,FALSE)</f>
        <v>李美蓮</v>
      </c>
    </row>
    <row r="3519" spans="6:19" hidden="1" x14ac:dyDescent="0.25">
      <c r="F3519" t="s">
        <v>1580</v>
      </c>
      <c r="G3519" t="s">
        <v>468</v>
      </c>
      <c r="H3519" t="str">
        <f>VLOOKUP(record[[#This Row],[ProcessSN]],表格2_7[],2,FALSE)</f>
        <v>30-4118-018-XXX</v>
      </c>
      <c r="I3519" t="str">
        <f>VLOOKUP(record[[#This Row],[ProcessSN]],表格2_7[],3,FALSE)</f>
        <v>#02</v>
      </c>
      <c r="J3519" t="s">
        <v>590</v>
      </c>
      <c r="K3519" s="195">
        <v>46091.376087962963</v>
      </c>
      <c r="L3519">
        <v>672</v>
      </c>
      <c r="M3519">
        <v>0</v>
      </c>
      <c r="N3519" s="98" t="str">
        <f>IF(record[[#This Row],[Memo]]="Browser:chrome os:android","平板報工",IF(record[[#This Row],[Memo]]=0,"委外",record[[#This Row],[Memo]]))</f>
        <v>委外</v>
      </c>
      <c r="P3519" t="s">
        <v>186</v>
      </c>
      <c r="Q3519" t="s">
        <v>216</v>
      </c>
      <c r="R3519" t="str">
        <f>IFERROR(VLOOKUP(record[[#This Row],[PCUSTID]],廠商[],2,FALSE),"")</f>
        <v>俊杰</v>
      </c>
      <c r="S3519" t="str">
        <f>VLOOKUP(record[[#This Row],[employeeID]],員工[],2,FALSE)</f>
        <v>許文姍</v>
      </c>
    </row>
    <row r="3520" spans="6:19" hidden="1" x14ac:dyDescent="0.25">
      <c r="F3520" t="s">
        <v>1580</v>
      </c>
      <c r="G3520" t="s">
        <v>467</v>
      </c>
      <c r="H3520" t="str">
        <f>VLOOKUP(record[[#This Row],[ProcessSN]],表格2_7[],2,FALSE)</f>
        <v>30-4118-018-XXX</v>
      </c>
      <c r="I3520" t="str">
        <f>VLOOKUP(record[[#This Row],[ProcessSN]],表格2_7[],3,FALSE)</f>
        <v>#01QC</v>
      </c>
      <c r="J3520" t="s">
        <v>589</v>
      </c>
      <c r="K3520" s="195">
        <v>46091.356122685182</v>
      </c>
      <c r="L3520">
        <v>672</v>
      </c>
      <c r="M3520">
        <v>0</v>
      </c>
      <c r="N3520" s="98" t="str">
        <f>IF(record[[#This Row],[Memo]]="Browser:chrome os:android","平板報工",IF(record[[#This Row],[Memo]]=0,"委外",record[[#This Row],[Memo]]))</f>
        <v>平板報工</v>
      </c>
      <c r="O3520" t="s">
        <v>643</v>
      </c>
      <c r="P3520" t="s">
        <v>182</v>
      </c>
      <c r="Q3520" t="s">
        <v>644</v>
      </c>
      <c r="R3520" t="str">
        <f>IFERROR(VLOOKUP(record[[#This Row],[PCUSTID]],廠商[],2,FALSE),"")</f>
        <v/>
      </c>
      <c r="S3520" t="str">
        <f>VLOOKUP(record[[#This Row],[employeeID]],員工[],2,FALSE)</f>
        <v>梅氏和</v>
      </c>
    </row>
    <row r="3521" spans="6:19" hidden="1" x14ac:dyDescent="0.25">
      <c r="F3521" t="s">
        <v>1570</v>
      </c>
      <c r="G3521" t="s">
        <v>375</v>
      </c>
      <c r="H3521" t="str">
        <f>VLOOKUP(record[[#This Row],[ProcessSN]],表格2_7[],2,FALSE)</f>
        <v>30-4118-018-4XX</v>
      </c>
      <c r="I3521" t="str">
        <f>VLOOKUP(record[[#This Row],[ProcessSN]],表格2_7[],3,FALSE)</f>
        <v>#05</v>
      </c>
      <c r="J3521" t="s">
        <v>588</v>
      </c>
      <c r="K3521" s="195">
        <v>46091.310312499998</v>
      </c>
      <c r="L3521">
        <v>6</v>
      </c>
      <c r="M3521">
        <v>0</v>
      </c>
      <c r="N3521" s="98" t="str">
        <f>IF(record[[#This Row],[Memo]]="Browser:chrome os:android","平板報工",IF(record[[#This Row],[Memo]]=0,"委外",record[[#This Row],[Memo]]))</f>
        <v/>
      </c>
      <c r="O3521" t="s">
        <v>58</v>
      </c>
      <c r="P3521" t="s">
        <v>101</v>
      </c>
      <c r="Q3521" t="s">
        <v>58</v>
      </c>
      <c r="R3521" t="str">
        <f>IFERROR(VLOOKUP(record[[#This Row],[PCUSTID]],廠商[],2,FALSE),"")</f>
        <v/>
      </c>
      <c r="S3521" t="str">
        <f>VLOOKUP(record[[#This Row],[employeeID]],員工[],2,FALSE)</f>
        <v>陳氏絨</v>
      </c>
    </row>
    <row r="3522" spans="6:19" hidden="1" x14ac:dyDescent="0.25">
      <c r="F3522" t="s">
        <v>1570</v>
      </c>
      <c r="G3522" t="s">
        <v>376</v>
      </c>
      <c r="H3522" t="str">
        <f>VLOOKUP(record[[#This Row],[ProcessSN]],表格2_7[],2,FALSE)</f>
        <v>30-4118-018-4XX</v>
      </c>
      <c r="I3522" t="str">
        <f>VLOOKUP(record[[#This Row],[ProcessSN]],表格2_7[],3,FALSE)</f>
        <v>#06</v>
      </c>
      <c r="J3522" t="s">
        <v>593</v>
      </c>
      <c r="K3522" s="195">
        <v>46091.290266203701</v>
      </c>
      <c r="L3522">
        <v>130</v>
      </c>
      <c r="M3522">
        <v>1</v>
      </c>
      <c r="N3522" s="98" t="str">
        <f>IF(record[[#This Row],[Memo]]="Browser:chrome os:android","平板報工",IF(record[[#This Row],[Memo]]=0,"委外",record[[#This Row],[Memo]]))</f>
        <v/>
      </c>
      <c r="O3522" t="s">
        <v>58</v>
      </c>
      <c r="P3522" t="s">
        <v>806</v>
      </c>
      <c r="Q3522" t="s">
        <v>58</v>
      </c>
      <c r="R3522" t="str">
        <f>IFERROR(VLOOKUP(record[[#This Row],[PCUSTID]],廠商[],2,FALSE),"")</f>
        <v/>
      </c>
      <c r="S3522" t="str">
        <f>VLOOKUP(record[[#This Row],[employeeID]],員工[],2,FALSE)</f>
        <v>方思緯</v>
      </c>
    </row>
    <row r="3523" spans="6:19" hidden="1" x14ac:dyDescent="0.25">
      <c r="F3523" t="s">
        <v>1540</v>
      </c>
      <c r="G3523" t="s">
        <v>415</v>
      </c>
      <c r="H3523" t="str">
        <f>VLOOKUP(record[[#This Row],[ProcessSN]],表格2_7[],2,FALSE)</f>
        <v>30-4118-018-5XX</v>
      </c>
      <c r="I3523" t="str">
        <f>VLOOKUP(record[[#This Row],[ProcessSN]],表格2_7[],3,FALSE)</f>
        <v>#04</v>
      </c>
      <c r="J3523" t="s">
        <v>588</v>
      </c>
      <c r="K3523" s="195">
        <v>46091.289664351854</v>
      </c>
      <c r="L3523">
        <v>48</v>
      </c>
      <c r="M3523">
        <v>0</v>
      </c>
      <c r="N3523" s="98" t="str">
        <f>IF(record[[#This Row],[Memo]]="Browser:chrome os:android","平板報工",IF(record[[#This Row],[Memo]]=0,"委外",record[[#This Row],[Memo]]))</f>
        <v/>
      </c>
      <c r="O3523" t="s">
        <v>58</v>
      </c>
      <c r="P3523" t="s">
        <v>843</v>
      </c>
      <c r="Q3523" t="s">
        <v>58</v>
      </c>
      <c r="R3523" t="str">
        <f>IFERROR(VLOOKUP(record[[#This Row],[PCUSTID]],廠商[],2,FALSE),"")</f>
        <v/>
      </c>
      <c r="S3523" t="str">
        <f>VLOOKUP(record[[#This Row],[employeeID]],員工[],2,FALSE)</f>
        <v>張楚承</v>
      </c>
    </row>
    <row r="3524" spans="6:19" hidden="1" x14ac:dyDescent="0.25">
      <c r="F3524" t="s">
        <v>1540</v>
      </c>
      <c r="G3524" t="s">
        <v>414</v>
      </c>
      <c r="H3524" t="str">
        <f>VLOOKUP(record[[#This Row],[ProcessSN]],表格2_7[],2,FALSE)</f>
        <v>30-4118-018-5XX</v>
      </c>
      <c r="I3524" t="str">
        <f>VLOOKUP(record[[#This Row],[ProcessSN]],表格2_7[],3,FALSE)</f>
        <v>#03</v>
      </c>
      <c r="J3524" t="s">
        <v>588</v>
      </c>
      <c r="K3524" s="195">
        <v>46091.289513888885</v>
      </c>
      <c r="L3524">
        <v>48</v>
      </c>
      <c r="M3524">
        <v>0</v>
      </c>
      <c r="N3524" s="98" t="str">
        <f>IF(record[[#This Row],[Memo]]="Browser:chrome os:android","平板報工",IF(record[[#This Row],[Memo]]=0,"委外",record[[#This Row],[Memo]]))</f>
        <v/>
      </c>
      <c r="O3524" t="s">
        <v>58</v>
      </c>
      <c r="P3524" t="s">
        <v>135</v>
      </c>
      <c r="Q3524" t="s">
        <v>58</v>
      </c>
      <c r="R3524" t="str">
        <f>IFERROR(VLOOKUP(record[[#This Row],[PCUSTID]],廠商[],2,FALSE),"")</f>
        <v/>
      </c>
      <c r="S3524" t="str">
        <f>VLOOKUP(record[[#This Row],[employeeID]],員工[],2,FALSE)</f>
        <v>阮士文</v>
      </c>
    </row>
    <row r="3525" spans="6:19" hidden="1" x14ac:dyDescent="0.25">
      <c r="F3525" t="s">
        <v>1589</v>
      </c>
      <c r="G3525" t="s">
        <v>415</v>
      </c>
      <c r="H3525" t="str">
        <f>VLOOKUP(record[[#This Row],[ProcessSN]],表格2_7[],2,FALSE)</f>
        <v>30-4118-018-5XX</v>
      </c>
      <c r="I3525" t="str">
        <f>VLOOKUP(record[[#This Row],[ProcessSN]],表格2_7[],3,FALSE)</f>
        <v>#04</v>
      </c>
      <c r="J3525" t="s">
        <v>588</v>
      </c>
      <c r="K3525" s="195">
        <v>46091.289212962962</v>
      </c>
      <c r="L3525">
        <v>96</v>
      </c>
      <c r="M3525">
        <v>0</v>
      </c>
      <c r="N3525" s="98" t="str">
        <f>IF(record[[#This Row],[Memo]]="Browser:chrome os:android","平板報工",IF(record[[#This Row],[Memo]]=0,"委外",record[[#This Row],[Memo]]))</f>
        <v/>
      </c>
      <c r="O3525" t="s">
        <v>58</v>
      </c>
      <c r="P3525" t="s">
        <v>843</v>
      </c>
      <c r="Q3525" t="s">
        <v>58</v>
      </c>
      <c r="R3525" t="str">
        <f>IFERROR(VLOOKUP(record[[#This Row],[PCUSTID]],廠商[],2,FALSE),"")</f>
        <v/>
      </c>
      <c r="S3525" t="str">
        <f>VLOOKUP(record[[#This Row],[employeeID]],員工[],2,FALSE)</f>
        <v>張楚承</v>
      </c>
    </row>
    <row r="3526" spans="6:19" hidden="1" x14ac:dyDescent="0.25">
      <c r="F3526" t="s">
        <v>1540</v>
      </c>
      <c r="G3526" t="s">
        <v>418</v>
      </c>
      <c r="H3526" t="str">
        <f>VLOOKUP(record[[#This Row],[ProcessSN]],表格2_7[],2,FALSE)</f>
        <v>30-4118-018-5XX</v>
      </c>
      <c r="I3526" t="str">
        <f>VLOOKUP(record[[#This Row],[ProcessSN]],表格2_7[],3,FALSE)</f>
        <v>#07</v>
      </c>
      <c r="J3526" t="s">
        <v>588</v>
      </c>
      <c r="K3526" s="195">
        <v>46091.288981481484</v>
      </c>
      <c r="L3526">
        <v>113</v>
      </c>
      <c r="M3526">
        <v>0</v>
      </c>
      <c r="N3526" s="98" t="str">
        <f>IF(record[[#This Row],[Memo]]="Browser:chrome os:android","平板報工",IF(record[[#This Row],[Memo]]=0,"委外",record[[#This Row],[Memo]]))</f>
        <v/>
      </c>
      <c r="O3526" t="s">
        <v>58</v>
      </c>
      <c r="P3526" t="s">
        <v>843</v>
      </c>
      <c r="Q3526" t="s">
        <v>58</v>
      </c>
      <c r="R3526" t="str">
        <f>IFERROR(VLOOKUP(record[[#This Row],[PCUSTID]],廠商[],2,FALSE),"")</f>
        <v/>
      </c>
      <c r="S3526" t="str">
        <f>VLOOKUP(record[[#This Row],[employeeID]],員工[],2,FALSE)</f>
        <v>張楚承</v>
      </c>
    </row>
    <row r="3527" spans="6:19" hidden="1" x14ac:dyDescent="0.25">
      <c r="F3527" t="s">
        <v>1587</v>
      </c>
      <c r="G3527" t="s">
        <v>373</v>
      </c>
      <c r="H3527" t="str">
        <f>VLOOKUP(record[[#This Row],[ProcessSN]],表格2_7[],2,FALSE)</f>
        <v>30-4118-018-4XX</v>
      </c>
      <c r="I3527" t="str">
        <f>VLOOKUP(record[[#This Row],[ProcessSN]],表格2_7[],3,FALSE)</f>
        <v>#03</v>
      </c>
      <c r="J3527" t="s">
        <v>588</v>
      </c>
      <c r="K3527" s="195">
        <v>46091.288668981484</v>
      </c>
      <c r="L3527">
        <v>216</v>
      </c>
      <c r="M3527">
        <v>0</v>
      </c>
      <c r="N3527" s="98" t="str">
        <f>IF(record[[#This Row],[Memo]]="Browser:chrome os:android","平板報工",IF(record[[#This Row],[Memo]]=0,"委外",record[[#This Row],[Memo]]))</f>
        <v/>
      </c>
      <c r="O3527" t="s">
        <v>58</v>
      </c>
      <c r="P3527" t="s">
        <v>843</v>
      </c>
      <c r="Q3527" t="s">
        <v>58</v>
      </c>
      <c r="R3527" t="str">
        <f>IFERROR(VLOOKUP(record[[#This Row],[PCUSTID]],廠商[],2,FALSE),"")</f>
        <v/>
      </c>
      <c r="S3527" t="str">
        <f>VLOOKUP(record[[#This Row],[employeeID]],員工[],2,FALSE)</f>
        <v>張楚承</v>
      </c>
    </row>
    <row r="3528" spans="6:19" hidden="1" x14ac:dyDescent="0.25">
      <c r="F3528" t="s">
        <v>1589</v>
      </c>
      <c r="G3528" t="s">
        <v>416</v>
      </c>
      <c r="H3528" t="str">
        <f>VLOOKUP(record[[#This Row],[ProcessSN]],表格2_7[],2,FALSE)</f>
        <v>30-4118-018-5XX</v>
      </c>
      <c r="I3528" t="str">
        <f>VLOOKUP(record[[#This Row],[ProcessSN]],表格2_7[],3,FALSE)</f>
        <v>#05</v>
      </c>
      <c r="J3528" t="s">
        <v>588</v>
      </c>
      <c r="K3528" s="195">
        <v>46091.288391203707</v>
      </c>
      <c r="L3528">
        <v>211</v>
      </c>
      <c r="M3528">
        <v>0</v>
      </c>
      <c r="N3528" s="98" t="str">
        <f>IF(record[[#This Row],[Memo]]="Browser:chrome os:android","平板報工",IF(record[[#This Row],[Memo]]=0,"委外",record[[#This Row],[Memo]]))</f>
        <v/>
      </c>
      <c r="O3528" t="s">
        <v>58</v>
      </c>
      <c r="P3528" t="s">
        <v>843</v>
      </c>
      <c r="Q3528" t="s">
        <v>58</v>
      </c>
      <c r="R3528" t="str">
        <f>IFERROR(VLOOKUP(record[[#This Row],[PCUSTID]],廠商[],2,FALSE),"")</f>
        <v/>
      </c>
      <c r="S3528" t="str">
        <f>VLOOKUP(record[[#This Row],[employeeID]],員工[],2,FALSE)</f>
        <v>張楚承</v>
      </c>
    </row>
    <row r="3529" spans="6:19" hidden="1" x14ac:dyDescent="0.25">
      <c r="F3529" t="s">
        <v>1589</v>
      </c>
      <c r="G3529" t="s">
        <v>415</v>
      </c>
      <c r="H3529" t="str">
        <f>VLOOKUP(record[[#This Row],[ProcessSN]],表格2_7[],2,FALSE)</f>
        <v>30-4118-018-5XX</v>
      </c>
      <c r="I3529" t="str">
        <f>VLOOKUP(record[[#This Row],[ProcessSN]],表格2_7[],3,FALSE)</f>
        <v>#04</v>
      </c>
      <c r="J3529" t="s">
        <v>588</v>
      </c>
      <c r="K3529" s="195">
        <v>46090.984317129631</v>
      </c>
      <c r="L3529">
        <v>109</v>
      </c>
      <c r="M3529">
        <v>0</v>
      </c>
      <c r="N3529" s="98" t="str">
        <f>IF(record[[#This Row],[Memo]]="Browser:chrome os:android","平板報工",IF(record[[#This Row],[Memo]]=0,"委外",record[[#This Row],[Memo]]))</f>
        <v/>
      </c>
      <c r="O3529" t="s">
        <v>58</v>
      </c>
      <c r="P3529" t="s">
        <v>89</v>
      </c>
      <c r="Q3529" t="s">
        <v>58</v>
      </c>
      <c r="R3529" t="str">
        <f>IFERROR(VLOOKUP(record[[#This Row],[PCUSTID]],廠商[],2,FALSE),"")</f>
        <v/>
      </c>
      <c r="S3529" t="str">
        <f>VLOOKUP(record[[#This Row],[employeeID]],員工[],2,FALSE)</f>
        <v>李美蓮</v>
      </c>
    </row>
    <row r="3530" spans="6:19" hidden="1" x14ac:dyDescent="0.25">
      <c r="F3530" t="s">
        <v>1570</v>
      </c>
      <c r="G3530" t="s">
        <v>377</v>
      </c>
      <c r="H3530" t="str">
        <f>VLOOKUP(record[[#This Row],[ProcessSN]],表格2_7[],2,FALSE)</f>
        <v>30-4118-018-4XX</v>
      </c>
      <c r="I3530" t="str">
        <f>VLOOKUP(record[[#This Row],[ProcessSN]],表格2_7[],3,FALSE)</f>
        <v>#07</v>
      </c>
      <c r="J3530" t="s">
        <v>588</v>
      </c>
      <c r="K3530" s="195">
        <v>46090.983101851853</v>
      </c>
      <c r="L3530">
        <v>47</v>
      </c>
      <c r="M3530">
        <v>1</v>
      </c>
      <c r="N3530" s="98" t="str">
        <f>IF(record[[#This Row],[Memo]]="Browser:chrome os:android","平板報工",IF(record[[#This Row],[Memo]]=0,"委外",record[[#This Row],[Memo]]))</f>
        <v/>
      </c>
      <c r="O3530" t="s">
        <v>58</v>
      </c>
      <c r="P3530" t="s">
        <v>1098</v>
      </c>
      <c r="Q3530" t="s">
        <v>58</v>
      </c>
      <c r="R3530" t="str">
        <f>IFERROR(VLOOKUP(record[[#This Row],[PCUSTID]],廠商[],2,FALSE),"")</f>
        <v/>
      </c>
      <c r="S3530" t="str">
        <f>VLOOKUP(record[[#This Row],[employeeID]],員工[],2,FALSE)</f>
        <v>阮氏芳英(英)</v>
      </c>
    </row>
    <row r="3531" spans="6:19" hidden="1" x14ac:dyDescent="0.25">
      <c r="F3531" t="s">
        <v>1540</v>
      </c>
      <c r="G3531" t="s">
        <v>418</v>
      </c>
      <c r="H3531" t="str">
        <f>VLOOKUP(record[[#This Row],[ProcessSN]],表格2_7[],2,FALSE)</f>
        <v>30-4118-018-5XX</v>
      </c>
      <c r="I3531" t="str">
        <f>VLOOKUP(record[[#This Row],[ProcessSN]],表格2_7[],3,FALSE)</f>
        <v>#07</v>
      </c>
      <c r="J3531" t="s">
        <v>588</v>
      </c>
      <c r="K3531" s="195">
        <v>46090.982858796298</v>
      </c>
      <c r="L3531">
        <v>173</v>
      </c>
      <c r="M3531">
        <v>0</v>
      </c>
      <c r="N3531" s="98" t="str">
        <f>IF(record[[#This Row],[Memo]]="Browser:chrome os:android","平板報工",IF(record[[#This Row],[Memo]]=0,"委外",record[[#This Row],[Memo]]))</f>
        <v/>
      </c>
      <c r="O3531" t="s">
        <v>58</v>
      </c>
      <c r="P3531" t="s">
        <v>1098</v>
      </c>
      <c r="Q3531" t="s">
        <v>58</v>
      </c>
      <c r="R3531" t="str">
        <f>IFERROR(VLOOKUP(record[[#This Row],[PCUSTID]],廠商[],2,FALSE),"")</f>
        <v/>
      </c>
      <c r="S3531" t="str">
        <f>VLOOKUP(record[[#This Row],[employeeID]],員工[],2,FALSE)</f>
        <v>阮氏芳英(英)</v>
      </c>
    </row>
    <row r="3532" spans="6:19" hidden="1" x14ac:dyDescent="0.25">
      <c r="F3532" t="s">
        <v>1587</v>
      </c>
      <c r="G3532" t="s">
        <v>373</v>
      </c>
      <c r="H3532" t="str">
        <f>VLOOKUP(record[[#This Row],[ProcessSN]],表格2_7[],2,FALSE)</f>
        <v>30-4118-018-4XX</v>
      </c>
      <c r="I3532" t="str">
        <f>VLOOKUP(record[[#This Row],[ProcessSN]],表格2_7[],3,FALSE)</f>
        <v>#03</v>
      </c>
      <c r="J3532" t="s">
        <v>588</v>
      </c>
      <c r="K3532" s="195">
        <v>46090.982407407406</v>
      </c>
      <c r="L3532">
        <v>504</v>
      </c>
      <c r="M3532">
        <v>0</v>
      </c>
      <c r="N3532" s="98" t="str">
        <f>IF(record[[#This Row],[Memo]]="Browser:chrome os:android","平板報工",IF(record[[#This Row],[Memo]]=0,"委外",record[[#This Row],[Memo]]))</f>
        <v/>
      </c>
      <c r="O3532" t="s">
        <v>58</v>
      </c>
      <c r="P3532" t="s">
        <v>1098</v>
      </c>
      <c r="Q3532" t="s">
        <v>58</v>
      </c>
      <c r="R3532" t="str">
        <f>IFERROR(VLOOKUP(record[[#This Row],[PCUSTID]],廠商[],2,FALSE),"")</f>
        <v/>
      </c>
      <c r="S3532" t="str">
        <f>VLOOKUP(record[[#This Row],[employeeID]],員工[],2,FALSE)</f>
        <v>阮氏芳英(英)</v>
      </c>
    </row>
    <row r="3533" spans="6:19" hidden="1" x14ac:dyDescent="0.25">
      <c r="F3533" t="s">
        <v>1589</v>
      </c>
      <c r="G3533" t="s">
        <v>416</v>
      </c>
      <c r="H3533" t="str">
        <f>VLOOKUP(record[[#This Row],[ProcessSN]],表格2_7[],2,FALSE)</f>
        <v>30-4118-018-5XX</v>
      </c>
      <c r="I3533" t="str">
        <f>VLOOKUP(record[[#This Row],[ProcessSN]],表格2_7[],3,FALSE)</f>
        <v>#05</v>
      </c>
      <c r="J3533" t="s">
        <v>588</v>
      </c>
      <c r="K3533" s="195">
        <v>46090.977210648147</v>
      </c>
      <c r="L3533">
        <v>152</v>
      </c>
      <c r="M3533">
        <v>0</v>
      </c>
      <c r="N3533" s="98" t="str">
        <f>IF(record[[#This Row],[Memo]]="Browser:chrome os:android","平板報工",IF(record[[#This Row],[Memo]]=0,"委外",record[[#This Row],[Memo]]))</f>
        <v/>
      </c>
      <c r="O3533" t="s">
        <v>58</v>
      </c>
      <c r="P3533" t="s">
        <v>1098</v>
      </c>
      <c r="Q3533" t="s">
        <v>58</v>
      </c>
      <c r="R3533" t="str">
        <f>IFERROR(VLOOKUP(record[[#This Row],[PCUSTID]],廠商[],2,FALSE),"")</f>
        <v/>
      </c>
      <c r="S3533" t="str">
        <f>VLOOKUP(record[[#This Row],[employeeID]],員工[],2,FALSE)</f>
        <v>阮氏芳英(英)</v>
      </c>
    </row>
    <row r="3534" spans="6:19" hidden="1" x14ac:dyDescent="0.25">
      <c r="F3534" t="s">
        <v>1568</v>
      </c>
      <c r="G3534" t="s">
        <v>416</v>
      </c>
      <c r="H3534" t="str">
        <f>VLOOKUP(record[[#This Row],[ProcessSN]],表格2_7[],2,FALSE)</f>
        <v>30-4118-018-5XX</v>
      </c>
      <c r="I3534" t="str">
        <f>VLOOKUP(record[[#This Row],[ProcessSN]],表格2_7[],3,FALSE)</f>
        <v>#05</v>
      </c>
      <c r="J3534" t="s">
        <v>588</v>
      </c>
      <c r="K3534" s="195">
        <v>46090.977037037039</v>
      </c>
      <c r="L3534">
        <v>78</v>
      </c>
      <c r="M3534">
        <v>0</v>
      </c>
      <c r="N3534" s="98" t="str">
        <f>IF(record[[#This Row],[Memo]]="Browser:chrome os:android","平板報工",IF(record[[#This Row],[Memo]]=0,"委外",record[[#This Row],[Memo]]))</f>
        <v/>
      </c>
      <c r="O3534" t="s">
        <v>58</v>
      </c>
      <c r="P3534" t="s">
        <v>1098</v>
      </c>
      <c r="Q3534" t="s">
        <v>58</v>
      </c>
      <c r="R3534" t="str">
        <f>IFERROR(VLOOKUP(record[[#This Row],[PCUSTID]],廠商[],2,FALSE),"")</f>
        <v/>
      </c>
      <c r="S3534" t="str">
        <f>VLOOKUP(record[[#This Row],[employeeID]],員工[],2,FALSE)</f>
        <v>阮氏芳英(英)</v>
      </c>
    </row>
    <row r="3535" spans="6:19" hidden="1" x14ac:dyDescent="0.25">
      <c r="F3535" t="s">
        <v>1570</v>
      </c>
      <c r="G3535" t="s">
        <v>376</v>
      </c>
      <c r="H3535" t="str">
        <f>VLOOKUP(record[[#This Row],[ProcessSN]],表格2_7[],2,FALSE)</f>
        <v>30-4118-018-4XX</v>
      </c>
      <c r="I3535" t="str">
        <f>VLOOKUP(record[[#This Row],[ProcessSN]],表格2_7[],3,FALSE)</f>
        <v>#06</v>
      </c>
      <c r="J3535" t="s">
        <v>593</v>
      </c>
      <c r="K3535" s="195">
        <v>46090.822465277779</v>
      </c>
      <c r="L3535">
        <v>67</v>
      </c>
      <c r="M3535">
        <v>0</v>
      </c>
      <c r="N3535" s="98" t="str">
        <f>IF(record[[#This Row],[Memo]]="Browser:chrome os:android","平板報工",IF(record[[#This Row],[Memo]]=0,"委外",record[[#This Row],[Memo]]))</f>
        <v>平板報工</v>
      </c>
      <c r="O3535" t="s">
        <v>643</v>
      </c>
      <c r="P3535" t="s">
        <v>1413</v>
      </c>
      <c r="Q3535" t="s">
        <v>644</v>
      </c>
      <c r="R3535" t="str">
        <f>IFERROR(VLOOKUP(record[[#This Row],[PCUSTID]],廠商[],2,FALSE),"")</f>
        <v/>
      </c>
      <c r="S3535" t="str">
        <f>VLOOKUP(record[[#This Row],[employeeID]],員工[],2,FALSE)</f>
        <v>阮氏芳英(芳)</v>
      </c>
    </row>
    <row r="3536" spans="6:19" hidden="1" x14ac:dyDescent="0.25">
      <c r="F3536" t="s">
        <v>1570</v>
      </c>
      <c r="G3536" t="s">
        <v>377</v>
      </c>
      <c r="H3536" t="str">
        <f>VLOOKUP(record[[#This Row],[ProcessSN]],表格2_7[],2,FALSE)</f>
        <v>30-4118-018-4XX</v>
      </c>
      <c r="I3536" t="str">
        <f>VLOOKUP(record[[#This Row],[ProcessSN]],表格2_7[],3,FALSE)</f>
        <v>#07</v>
      </c>
      <c r="J3536" t="s">
        <v>588</v>
      </c>
      <c r="K3536" s="195">
        <v>46090.817465277774</v>
      </c>
      <c r="L3536">
        <v>66</v>
      </c>
      <c r="M3536">
        <v>0</v>
      </c>
      <c r="N3536" s="98" t="str">
        <f>IF(record[[#This Row],[Memo]]="Browser:chrome os:android","平板報工",IF(record[[#This Row],[Memo]]=0,"委外",record[[#This Row],[Memo]]))</f>
        <v>補報工3/7</v>
      </c>
      <c r="O3536" t="s">
        <v>1615</v>
      </c>
      <c r="P3536" t="s">
        <v>89</v>
      </c>
      <c r="Q3536" t="s">
        <v>58</v>
      </c>
      <c r="R3536" t="str">
        <f>IFERROR(VLOOKUP(record[[#This Row],[PCUSTID]],廠商[],2,FALSE),"")</f>
        <v/>
      </c>
      <c r="S3536" t="str">
        <f>VLOOKUP(record[[#This Row],[employeeID]],員工[],2,FALSE)</f>
        <v>李美蓮</v>
      </c>
    </row>
    <row r="3537" spans="6:19" hidden="1" x14ac:dyDescent="0.25">
      <c r="F3537" t="s">
        <v>1603</v>
      </c>
      <c r="G3537" t="s">
        <v>399</v>
      </c>
      <c r="H3537" t="str">
        <f>VLOOKUP(record[[#This Row],[ProcessSN]],表格2_7[],2,FALSE)</f>
        <v>30-4118-018-550</v>
      </c>
      <c r="I3537" t="str">
        <f>VLOOKUP(record[[#This Row],[ProcessSN]],表格2_7[],3,FALSE)</f>
        <v>#08IQC</v>
      </c>
      <c r="J3537" t="s">
        <v>583</v>
      </c>
      <c r="K3537" s="195">
        <v>46090.77103009259</v>
      </c>
      <c r="L3537">
        <v>376</v>
      </c>
      <c r="M3537">
        <v>0</v>
      </c>
      <c r="N3537" s="98" t="str">
        <f>IF(record[[#This Row],[Memo]]="Browser:chrome os:android","平板報工",IF(record[[#This Row],[Memo]]=0,"委外",record[[#This Row],[Memo]]))</f>
        <v/>
      </c>
      <c r="O3537" t="s">
        <v>58</v>
      </c>
      <c r="P3537" t="s">
        <v>109</v>
      </c>
      <c r="Q3537" t="s">
        <v>58</v>
      </c>
      <c r="R3537" t="str">
        <f>IFERROR(VLOOKUP(record[[#This Row],[PCUSTID]],廠商[],2,FALSE),"")</f>
        <v/>
      </c>
      <c r="S3537" t="str">
        <f>VLOOKUP(record[[#This Row],[employeeID]],員工[],2,FALSE)</f>
        <v>裴氏璧鳳</v>
      </c>
    </row>
    <row r="3538" spans="6:19" hidden="1" x14ac:dyDescent="0.25">
      <c r="F3538" t="s">
        <v>1570</v>
      </c>
      <c r="G3538" t="s">
        <v>379</v>
      </c>
      <c r="H3538" t="str">
        <f>VLOOKUP(record[[#This Row],[ProcessSN]],表格2_7[],2,FALSE)</f>
        <v>30-4118-018-4XX</v>
      </c>
      <c r="I3538" t="str">
        <f>VLOOKUP(record[[#This Row],[ProcessSN]],表格2_7[],3,FALSE)</f>
        <v>#07STOCK</v>
      </c>
      <c r="J3538" t="s">
        <v>592</v>
      </c>
      <c r="K3538" s="195">
        <v>46090.675671296296</v>
      </c>
      <c r="L3538">
        <v>240</v>
      </c>
      <c r="M3538">
        <v>0</v>
      </c>
      <c r="N3538" s="98" t="str">
        <f>IF(record[[#This Row],[Memo]]="Browser:chrome os:android","平板報工",IF(record[[#This Row],[Memo]]=0,"委外",record[[#This Row],[Memo]]))</f>
        <v/>
      </c>
      <c r="O3538" t="s">
        <v>58</v>
      </c>
      <c r="P3538" t="s">
        <v>186</v>
      </c>
      <c r="Q3538" t="s">
        <v>58</v>
      </c>
      <c r="R3538" t="str">
        <f>IFERROR(VLOOKUP(record[[#This Row],[PCUSTID]],廠商[],2,FALSE),"")</f>
        <v/>
      </c>
      <c r="S3538" t="str">
        <f>VLOOKUP(record[[#This Row],[employeeID]],員工[],2,FALSE)</f>
        <v>許文姍</v>
      </c>
    </row>
    <row r="3539" spans="6:19" hidden="1" x14ac:dyDescent="0.25">
      <c r="F3539" t="s">
        <v>1580</v>
      </c>
      <c r="G3539" t="s">
        <v>466</v>
      </c>
      <c r="H3539" t="str">
        <f>VLOOKUP(record[[#This Row],[ProcessSN]],表格2_7[],2,FALSE)</f>
        <v>30-4118-018-XXX</v>
      </c>
      <c r="I3539" t="str">
        <f>VLOOKUP(record[[#This Row],[ProcessSN]],表格2_7[],3,FALSE)</f>
        <v>#01-2</v>
      </c>
      <c r="J3539" t="s">
        <v>588</v>
      </c>
      <c r="K3539" s="195">
        <v>46090.671932870369</v>
      </c>
      <c r="L3539">
        <v>188</v>
      </c>
      <c r="M3539">
        <v>0</v>
      </c>
      <c r="N3539" s="98" t="str">
        <f>IF(record[[#This Row],[Memo]]="Browser:chrome os:android","平板報工",IF(record[[#This Row],[Memo]]=0,"委外",record[[#This Row],[Memo]]))</f>
        <v/>
      </c>
      <c r="O3539" t="s">
        <v>58</v>
      </c>
      <c r="P3539" t="s">
        <v>107</v>
      </c>
      <c r="Q3539" t="s">
        <v>58</v>
      </c>
      <c r="R3539" t="str">
        <f>IFERROR(VLOOKUP(record[[#This Row],[PCUSTID]],廠商[],2,FALSE),"")</f>
        <v/>
      </c>
      <c r="S3539" t="str">
        <f>VLOOKUP(record[[#This Row],[employeeID]],員工[],2,FALSE)</f>
        <v>黎氏順</v>
      </c>
    </row>
    <row r="3540" spans="6:19" hidden="1" x14ac:dyDescent="0.25">
      <c r="F3540" t="s">
        <v>1580</v>
      </c>
      <c r="G3540" t="s">
        <v>465</v>
      </c>
      <c r="H3540" t="str">
        <f>VLOOKUP(record[[#This Row],[ProcessSN]],表格2_7[],2,FALSE)</f>
        <v>30-4118-018-XXX</v>
      </c>
      <c r="I3540" t="str">
        <f>VLOOKUP(record[[#This Row],[ProcessSN]],表格2_7[],3,FALSE)</f>
        <v>#01-1</v>
      </c>
      <c r="J3540" t="s">
        <v>588</v>
      </c>
      <c r="K3540" s="195">
        <v>46090.671689814815</v>
      </c>
      <c r="L3540">
        <v>267</v>
      </c>
      <c r="M3540">
        <v>0</v>
      </c>
      <c r="N3540" s="98" t="str">
        <f>IF(record[[#This Row],[Memo]]="Browser:chrome os:android","平板報工",IF(record[[#This Row],[Memo]]=0,"委外",record[[#This Row],[Memo]]))</f>
        <v/>
      </c>
      <c r="O3540" t="s">
        <v>58</v>
      </c>
      <c r="P3540" t="s">
        <v>107</v>
      </c>
      <c r="Q3540" t="s">
        <v>58</v>
      </c>
      <c r="R3540" t="str">
        <f>IFERROR(VLOOKUP(record[[#This Row],[PCUSTID]],廠商[],2,FALSE),"")</f>
        <v/>
      </c>
      <c r="S3540" t="str">
        <f>VLOOKUP(record[[#This Row],[employeeID]],員工[],2,FALSE)</f>
        <v>黎氏順</v>
      </c>
    </row>
    <row r="3541" spans="6:19" hidden="1" x14ac:dyDescent="0.25">
      <c r="F3541" t="s">
        <v>1603</v>
      </c>
      <c r="G3541" t="s">
        <v>398</v>
      </c>
      <c r="H3541" t="str">
        <f>VLOOKUP(record[[#This Row],[ProcessSN]],表格2_7[],2,FALSE)</f>
        <v>30-4118-018-550</v>
      </c>
      <c r="I3541" t="str">
        <f>VLOOKUP(record[[#This Row],[ProcessSN]],表格2_7[],3,FALSE)</f>
        <v>#08RCV</v>
      </c>
      <c r="J3541" t="s">
        <v>591</v>
      </c>
      <c r="K3541" s="195">
        <v>46090.65792824074</v>
      </c>
      <c r="L3541">
        <v>376</v>
      </c>
      <c r="M3541">
        <v>0</v>
      </c>
      <c r="N3541" s="98" t="str">
        <f>IF(record[[#This Row],[Memo]]="Browser:chrome os:android","平板報工",IF(record[[#This Row],[Memo]]=0,"委外",record[[#This Row],[Memo]]))</f>
        <v/>
      </c>
      <c r="O3541" t="s">
        <v>58</v>
      </c>
      <c r="P3541" t="s">
        <v>186</v>
      </c>
      <c r="Q3541" t="s">
        <v>58</v>
      </c>
      <c r="R3541" t="str">
        <f>IFERROR(VLOOKUP(record[[#This Row],[PCUSTID]],廠商[],2,FALSE),"")</f>
        <v/>
      </c>
      <c r="S3541" t="str">
        <f>VLOOKUP(record[[#This Row],[employeeID]],員工[],2,FALSE)</f>
        <v>許文姍</v>
      </c>
    </row>
    <row r="3542" spans="6:19" hidden="1" x14ac:dyDescent="0.25">
      <c r="F3542" t="s">
        <v>1587</v>
      </c>
      <c r="G3542" t="s">
        <v>373</v>
      </c>
      <c r="H3542" t="str">
        <f>VLOOKUP(record[[#This Row],[ProcessSN]],表格2_7[],2,FALSE)</f>
        <v>30-4118-018-4XX</v>
      </c>
      <c r="I3542" t="str">
        <f>VLOOKUP(record[[#This Row],[ProcessSN]],表格2_7[],3,FALSE)</f>
        <v>#03</v>
      </c>
      <c r="J3542" t="s">
        <v>588</v>
      </c>
      <c r="K3542" s="195">
        <v>46090.655706018515</v>
      </c>
      <c r="L3542">
        <v>323</v>
      </c>
      <c r="M3542">
        <v>0</v>
      </c>
      <c r="N3542" s="98" t="str">
        <f>IF(record[[#This Row],[Memo]]="Browser:chrome os:android","平板報工",IF(record[[#This Row],[Memo]]=0,"委外",record[[#This Row],[Memo]]))</f>
        <v>平板報工</v>
      </c>
      <c r="O3542" t="s">
        <v>643</v>
      </c>
      <c r="P3542" t="s">
        <v>145</v>
      </c>
      <c r="Q3542" t="s">
        <v>644</v>
      </c>
      <c r="R3542" t="str">
        <f>IFERROR(VLOOKUP(record[[#This Row],[PCUSTID]],廠商[],2,FALSE),"")</f>
        <v/>
      </c>
      <c r="S3542" t="str">
        <f>VLOOKUP(record[[#This Row],[employeeID]],員工[],2,FALSE)</f>
        <v>阮秋霞</v>
      </c>
    </row>
    <row r="3543" spans="6:19" hidden="1" x14ac:dyDescent="0.25">
      <c r="F3543" t="s">
        <v>1589</v>
      </c>
      <c r="G3543" t="s">
        <v>415</v>
      </c>
      <c r="H3543" t="str">
        <f>VLOOKUP(record[[#This Row],[ProcessSN]],表格2_7[],2,FALSE)</f>
        <v>30-4118-018-5XX</v>
      </c>
      <c r="I3543" t="str">
        <f>VLOOKUP(record[[#This Row],[ProcessSN]],表格2_7[],3,FALSE)</f>
        <v>#04</v>
      </c>
      <c r="J3543" t="s">
        <v>588</v>
      </c>
      <c r="K3543" s="195">
        <v>46090.655428240738</v>
      </c>
      <c r="L3543">
        <v>130</v>
      </c>
      <c r="M3543">
        <v>1</v>
      </c>
      <c r="N3543" s="98" t="str">
        <f>IF(record[[#This Row],[Memo]]="Browser:chrome os:android","平板報工",IF(record[[#This Row],[Memo]]=0,"委外",record[[#This Row],[Memo]]))</f>
        <v>平板報工</v>
      </c>
      <c r="O3543" t="s">
        <v>643</v>
      </c>
      <c r="P3543" t="s">
        <v>107</v>
      </c>
      <c r="Q3543" t="s">
        <v>644</v>
      </c>
      <c r="R3543" t="str">
        <f>IFERROR(VLOOKUP(record[[#This Row],[PCUSTID]],廠商[],2,FALSE),"")</f>
        <v/>
      </c>
      <c r="S3543" t="str">
        <f>VLOOKUP(record[[#This Row],[employeeID]],員工[],2,FALSE)</f>
        <v>黎氏順</v>
      </c>
    </row>
    <row r="3544" spans="6:19" hidden="1" x14ac:dyDescent="0.25">
      <c r="F3544" t="s">
        <v>1570</v>
      </c>
      <c r="G3544" t="s">
        <v>377</v>
      </c>
      <c r="H3544" t="str">
        <f>VLOOKUP(record[[#This Row],[ProcessSN]],表格2_7[],2,FALSE)</f>
        <v>30-4118-018-4XX</v>
      </c>
      <c r="I3544" t="str">
        <f>VLOOKUP(record[[#This Row],[ProcessSN]],表格2_7[],3,FALSE)</f>
        <v>#07</v>
      </c>
      <c r="J3544" t="s">
        <v>588</v>
      </c>
      <c r="K3544" s="195">
        <v>46090.655243055553</v>
      </c>
      <c r="L3544">
        <v>120</v>
      </c>
      <c r="M3544">
        <v>0</v>
      </c>
      <c r="N3544" s="98" t="str">
        <f>IF(record[[#This Row],[Memo]]="Browser:chrome os:android","平板報工",IF(record[[#This Row],[Memo]]=0,"委外",record[[#This Row],[Memo]]))</f>
        <v>平板報工</v>
      </c>
      <c r="O3544" t="s">
        <v>643</v>
      </c>
      <c r="P3544" t="s">
        <v>145</v>
      </c>
      <c r="Q3544" t="s">
        <v>644</v>
      </c>
      <c r="R3544" t="str">
        <f>IFERROR(VLOOKUP(record[[#This Row],[PCUSTID]],廠商[],2,FALSE),"")</f>
        <v/>
      </c>
      <c r="S3544" t="str">
        <f>VLOOKUP(record[[#This Row],[employeeID]],員工[],2,FALSE)</f>
        <v>阮秋霞</v>
      </c>
    </row>
    <row r="3545" spans="6:19" hidden="1" x14ac:dyDescent="0.25">
      <c r="F3545" t="s">
        <v>1568</v>
      </c>
      <c r="G3545" t="s">
        <v>416</v>
      </c>
      <c r="H3545" t="str">
        <f>VLOOKUP(record[[#This Row],[ProcessSN]],表格2_7[],2,FALSE)</f>
        <v>30-4118-018-5XX</v>
      </c>
      <c r="I3545" t="str">
        <f>VLOOKUP(record[[#This Row],[ProcessSN]],表格2_7[],3,FALSE)</f>
        <v>#05</v>
      </c>
      <c r="J3545" t="s">
        <v>588</v>
      </c>
      <c r="K3545" s="195">
        <v>46090.654942129629</v>
      </c>
      <c r="L3545">
        <v>30</v>
      </c>
      <c r="M3545">
        <v>0</v>
      </c>
      <c r="N3545" s="98" t="str">
        <f>IF(record[[#This Row],[Memo]]="Browser:chrome os:android","平板報工",IF(record[[#This Row],[Memo]]=0,"委外",record[[#This Row],[Memo]]))</f>
        <v>平板報工</v>
      </c>
      <c r="O3545" t="s">
        <v>643</v>
      </c>
      <c r="P3545" t="s">
        <v>145</v>
      </c>
      <c r="Q3545" t="s">
        <v>644</v>
      </c>
      <c r="R3545" t="str">
        <f>IFERROR(VLOOKUP(record[[#This Row],[PCUSTID]],廠商[],2,FALSE),"")</f>
        <v/>
      </c>
      <c r="S3545" t="str">
        <f>VLOOKUP(record[[#This Row],[employeeID]],員工[],2,FALSE)</f>
        <v>阮秋霞</v>
      </c>
    </row>
    <row r="3546" spans="6:19" hidden="1" x14ac:dyDescent="0.25">
      <c r="F3546" t="s">
        <v>1570</v>
      </c>
      <c r="G3546" t="s">
        <v>375</v>
      </c>
      <c r="H3546" t="str">
        <f>VLOOKUP(record[[#This Row],[ProcessSN]],表格2_7[],2,FALSE)</f>
        <v>30-4118-018-4XX</v>
      </c>
      <c r="I3546" t="str">
        <f>VLOOKUP(record[[#This Row],[ProcessSN]],表格2_7[],3,FALSE)</f>
        <v>#05</v>
      </c>
      <c r="J3546" t="s">
        <v>588</v>
      </c>
      <c r="K3546" s="195">
        <v>46090.654467592591</v>
      </c>
      <c r="L3546">
        <v>146</v>
      </c>
      <c r="M3546">
        <v>1</v>
      </c>
      <c r="N3546" s="98" t="str">
        <f>IF(record[[#This Row],[Memo]]="Browser:chrome os:android","平板報工",IF(record[[#This Row],[Memo]]=0,"委外",record[[#This Row],[Memo]]))</f>
        <v>平板報工</v>
      </c>
      <c r="O3546" t="s">
        <v>643</v>
      </c>
      <c r="P3546" t="s">
        <v>145</v>
      </c>
      <c r="Q3546" t="s">
        <v>644</v>
      </c>
      <c r="R3546" t="str">
        <f>IFERROR(VLOOKUP(record[[#This Row],[PCUSTID]],廠商[],2,FALSE),"")</f>
        <v/>
      </c>
      <c r="S3546" t="str">
        <f>VLOOKUP(record[[#This Row],[employeeID]],員工[],2,FALSE)</f>
        <v>阮秋霞</v>
      </c>
    </row>
    <row r="3547" spans="6:19" hidden="1" x14ac:dyDescent="0.25">
      <c r="F3547" t="s">
        <v>1456</v>
      </c>
      <c r="G3547" t="s">
        <v>403</v>
      </c>
      <c r="H3547" t="str">
        <f>VLOOKUP(record[[#This Row],[ProcessSN]],表格2_7[],2,FALSE)</f>
        <v>30-4118-018-550</v>
      </c>
      <c r="I3547" t="str">
        <f>VLOOKUP(record[[#This Row],[ProcessSN]],表格2_7[],3,FALSE)</f>
        <v>#100SHIP</v>
      </c>
      <c r="J3547" t="s">
        <v>600</v>
      </c>
      <c r="K3547" s="195">
        <v>46090.638414351852</v>
      </c>
      <c r="L3547">
        <v>2</v>
      </c>
      <c r="M3547">
        <v>0</v>
      </c>
      <c r="N3547" s="98" t="str">
        <f>IF(record[[#This Row],[Memo]]="Browser:chrome os:android","平板報工",IF(record[[#This Row],[Memo]]=0,"委外",record[[#This Row],[Memo]]))</f>
        <v/>
      </c>
      <c r="O3547" t="s">
        <v>58</v>
      </c>
      <c r="P3547" t="s">
        <v>886</v>
      </c>
      <c r="Q3547" t="s">
        <v>58</v>
      </c>
      <c r="R3547" t="str">
        <f>IFERROR(VLOOKUP(record[[#This Row],[PCUSTID]],廠商[],2,FALSE),"")</f>
        <v/>
      </c>
      <c r="S3547" t="str">
        <f>VLOOKUP(record[[#This Row],[employeeID]],員工[],2,FALSE)</f>
        <v>謝蓁薰</v>
      </c>
    </row>
    <row r="3548" spans="6:19" hidden="1" x14ac:dyDescent="0.25">
      <c r="F3548" t="s">
        <v>1480</v>
      </c>
      <c r="G3548" t="s">
        <v>403</v>
      </c>
      <c r="H3548" t="str">
        <f>VLOOKUP(record[[#This Row],[ProcessSN]],表格2_7[],2,FALSE)</f>
        <v>30-4118-018-550</v>
      </c>
      <c r="I3548" t="str">
        <f>VLOOKUP(record[[#This Row],[ProcessSN]],表格2_7[],3,FALSE)</f>
        <v>#100SHIP</v>
      </c>
      <c r="J3548" t="s">
        <v>600</v>
      </c>
      <c r="K3548" s="195">
        <v>46090.638287037036</v>
      </c>
      <c r="L3548">
        <v>11</v>
      </c>
      <c r="M3548">
        <v>0</v>
      </c>
      <c r="N3548" s="98" t="str">
        <f>IF(record[[#This Row],[Memo]]="Browser:chrome os:android","平板報工",IF(record[[#This Row],[Memo]]=0,"委外",record[[#This Row],[Memo]]))</f>
        <v/>
      </c>
      <c r="O3548" t="s">
        <v>58</v>
      </c>
      <c r="P3548" t="s">
        <v>886</v>
      </c>
      <c r="Q3548" t="s">
        <v>58</v>
      </c>
      <c r="R3548" t="str">
        <f>IFERROR(VLOOKUP(record[[#This Row],[PCUSTID]],廠商[],2,FALSE),"")</f>
        <v/>
      </c>
      <c r="S3548" t="str">
        <f>VLOOKUP(record[[#This Row],[employeeID]],員工[],2,FALSE)</f>
        <v>謝蓁薰</v>
      </c>
    </row>
    <row r="3549" spans="6:19" hidden="1" x14ac:dyDescent="0.25">
      <c r="F3549" t="s">
        <v>1476</v>
      </c>
      <c r="G3549" t="s">
        <v>403</v>
      </c>
      <c r="H3549" t="str">
        <f>VLOOKUP(record[[#This Row],[ProcessSN]],表格2_7[],2,FALSE)</f>
        <v>30-4118-018-550</v>
      </c>
      <c r="I3549" t="str">
        <f>VLOOKUP(record[[#This Row],[ProcessSN]],表格2_7[],3,FALSE)</f>
        <v>#100SHIP</v>
      </c>
      <c r="J3549" t="s">
        <v>600</v>
      </c>
      <c r="K3549" s="195">
        <v>46090.638124999998</v>
      </c>
      <c r="L3549">
        <v>1</v>
      </c>
      <c r="M3549">
        <v>0</v>
      </c>
      <c r="N3549" s="98" t="str">
        <f>IF(record[[#This Row],[Memo]]="Browser:chrome os:android","平板報工",IF(record[[#This Row],[Memo]]=0,"委外",record[[#This Row],[Memo]]))</f>
        <v/>
      </c>
      <c r="O3549" t="s">
        <v>58</v>
      </c>
      <c r="P3549" t="s">
        <v>886</v>
      </c>
      <c r="Q3549" t="s">
        <v>58</v>
      </c>
      <c r="R3549" t="str">
        <f>IFERROR(VLOOKUP(record[[#This Row],[PCUSTID]],廠商[],2,FALSE),"")</f>
        <v/>
      </c>
      <c r="S3549" t="str">
        <f>VLOOKUP(record[[#This Row],[employeeID]],員工[],2,FALSE)</f>
        <v>謝蓁薰</v>
      </c>
    </row>
    <row r="3550" spans="6:19" hidden="1" x14ac:dyDescent="0.25">
      <c r="F3550" t="s">
        <v>1451</v>
      </c>
      <c r="G3550" t="s">
        <v>403</v>
      </c>
      <c r="H3550" t="str">
        <f>VLOOKUP(record[[#This Row],[ProcessSN]],表格2_7[],2,FALSE)</f>
        <v>30-4118-018-550</v>
      </c>
      <c r="I3550" t="str">
        <f>VLOOKUP(record[[#This Row],[ProcessSN]],表格2_7[],3,FALSE)</f>
        <v>#100SHIP</v>
      </c>
      <c r="J3550" t="s">
        <v>600</v>
      </c>
      <c r="K3550" s="195">
        <v>46090.637997685182</v>
      </c>
      <c r="L3550">
        <v>2</v>
      </c>
      <c r="M3550">
        <v>0</v>
      </c>
      <c r="N3550" s="98" t="str">
        <f>IF(record[[#This Row],[Memo]]="Browser:chrome os:android","平板報工",IF(record[[#This Row],[Memo]]=0,"委外",record[[#This Row],[Memo]]))</f>
        <v/>
      </c>
      <c r="O3550" t="s">
        <v>58</v>
      </c>
      <c r="P3550" t="s">
        <v>886</v>
      </c>
      <c r="Q3550" t="s">
        <v>58</v>
      </c>
      <c r="R3550" t="str">
        <f>IFERROR(VLOOKUP(record[[#This Row],[PCUSTID]],廠商[],2,FALSE),"")</f>
        <v/>
      </c>
      <c r="S3550" t="str">
        <f>VLOOKUP(record[[#This Row],[employeeID]],員工[],2,FALSE)</f>
        <v>謝蓁薰</v>
      </c>
    </row>
    <row r="3551" spans="6:19" hidden="1" x14ac:dyDescent="0.25">
      <c r="F3551" t="s">
        <v>1444</v>
      </c>
      <c r="G3551" t="s">
        <v>403</v>
      </c>
      <c r="H3551" t="str">
        <f>VLOOKUP(record[[#This Row],[ProcessSN]],表格2_7[],2,FALSE)</f>
        <v>30-4118-018-550</v>
      </c>
      <c r="I3551" t="str">
        <f>VLOOKUP(record[[#This Row],[ProcessSN]],表格2_7[],3,FALSE)</f>
        <v>#100SHIP</v>
      </c>
      <c r="J3551" t="s">
        <v>600</v>
      </c>
      <c r="K3551" s="195">
        <v>46090.637569444443</v>
      </c>
      <c r="L3551">
        <v>1</v>
      </c>
      <c r="M3551">
        <v>0</v>
      </c>
      <c r="N3551" s="98" t="str">
        <f>IF(record[[#This Row],[Memo]]="Browser:chrome os:android","平板報工",IF(record[[#This Row],[Memo]]=0,"委外",record[[#This Row],[Memo]]))</f>
        <v/>
      </c>
      <c r="O3551" t="s">
        <v>58</v>
      </c>
      <c r="P3551" t="s">
        <v>886</v>
      </c>
      <c r="Q3551" t="s">
        <v>58</v>
      </c>
      <c r="R3551" t="str">
        <f>IFERROR(VLOOKUP(record[[#This Row],[PCUSTID]],廠商[],2,FALSE),"")</f>
        <v/>
      </c>
      <c r="S3551" t="str">
        <f>VLOOKUP(record[[#This Row],[employeeID]],員工[],2,FALSE)</f>
        <v>謝蓁薰</v>
      </c>
    </row>
    <row r="3552" spans="6:19" hidden="1" x14ac:dyDescent="0.25">
      <c r="F3552" t="s">
        <v>1415</v>
      </c>
      <c r="G3552" t="s">
        <v>403</v>
      </c>
      <c r="H3552" t="str">
        <f>VLOOKUP(record[[#This Row],[ProcessSN]],表格2_7[],2,FALSE)</f>
        <v>30-4118-018-550</v>
      </c>
      <c r="I3552" t="str">
        <f>VLOOKUP(record[[#This Row],[ProcessSN]],表格2_7[],3,FALSE)</f>
        <v>#100SHIP</v>
      </c>
      <c r="J3552" t="s">
        <v>600</v>
      </c>
      <c r="K3552" s="195">
        <v>46090.637442129628</v>
      </c>
      <c r="L3552">
        <v>1</v>
      </c>
      <c r="M3552">
        <v>0</v>
      </c>
      <c r="N3552" s="98" t="str">
        <f>IF(record[[#This Row],[Memo]]="Browser:chrome os:android","平板報工",IF(record[[#This Row],[Memo]]=0,"委外",record[[#This Row],[Memo]]))</f>
        <v/>
      </c>
      <c r="O3552" t="s">
        <v>58</v>
      </c>
      <c r="P3552" t="s">
        <v>886</v>
      </c>
      <c r="Q3552" t="s">
        <v>58</v>
      </c>
      <c r="R3552" t="str">
        <f>IFERROR(VLOOKUP(record[[#This Row],[PCUSTID]],廠商[],2,FALSE),"")</f>
        <v/>
      </c>
      <c r="S3552" t="str">
        <f>VLOOKUP(record[[#This Row],[employeeID]],員工[],2,FALSE)</f>
        <v>謝蓁薰</v>
      </c>
    </row>
    <row r="3553" spans="6:19" hidden="1" x14ac:dyDescent="0.25">
      <c r="F3553" t="s">
        <v>1497</v>
      </c>
      <c r="G3553" t="s">
        <v>403</v>
      </c>
      <c r="H3553" t="str">
        <f>VLOOKUP(record[[#This Row],[ProcessSN]],表格2_7[],2,FALSE)</f>
        <v>30-4118-018-550</v>
      </c>
      <c r="I3553" t="str">
        <f>VLOOKUP(record[[#This Row],[ProcessSN]],表格2_7[],3,FALSE)</f>
        <v>#100SHIP</v>
      </c>
      <c r="J3553" t="s">
        <v>600</v>
      </c>
      <c r="K3553" s="195">
        <v>46090.637291666666</v>
      </c>
      <c r="L3553">
        <v>10</v>
      </c>
      <c r="M3553">
        <v>0</v>
      </c>
      <c r="N3553" s="98" t="str">
        <f>IF(record[[#This Row],[Memo]]="Browser:chrome os:android","平板報工",IF(record[[#This Row],[Memo]]=0,"委外",record[[#This Row],[Memo]]))</f>
        <v/>
      </c>
      <c r="O3553" t="s">
        <v>58</v>
      </c>
      <c r="P3553" t="s">
        <v>886</v>
      </c>
      <c r="Q3553" t="s">
        <v>58</v>
      </c>
      <c r="R3553" t="str">
        <f>IFERROR(VLOOKUP(record[[#This Row],[PCUSTID]],廠商[],2,FALSE),"")</f>
        <v/>
      </c>
      <c r="S3553" t="str">
        <f>VLOOKUP(record[[#This Row],[employeeID]],員工[],2,FALSE)</f>
        <v>謝蓁薰</v>
      </c>
    </row>
    <row r="3554" spans="6:19" hidden="1" x14ac:dyDescent="0.25">
      <c r="F3554" t="s">
        <v>1570</v>
      </c>
      <c r="G3554" t="s">
        <v>376</v>
      </c>
      <c r="H3554" t="str">
        <f>VLOOKUP(record[[#This Row],[ProcessSN]],表格2_7[],2,FALSE)</f>
        <v>30-4118-018-4XX</v>
      </c>
      <c r="I3554" t="str">
        <f>VLOOKUP(record[[#This Row],[ProcessSN]],表格2_7[],3,FALSE)</f>
        <v>#06</v>
      </c>
      <c r="J3554" t="s">
        <v>593</v>
      </c>
      <c r="K3554" s="195">
        <v>46090.635115740741</v>
      </c>
      <c r="L3554">
        <v>105</v>
      </c>
      <c r="M3554">
        <v>0</v>
      </c>
      <c r="N3554" s="98" t="str">
        <f>IF(record[[#This Row],[Memo]]="Browser:chrome os:android","平板報工",IF(record[[#This Row],[Memo]]=0,"委外",record[[#This Row],[Memo]]))</f>
        <v>平板報工</v>
      </c>
      <c r="O3554" t="s">
        <v>643</v>
      </c>
      <c r="P3554" t="s">
        <v>1413</v>
      </c>
      <c r="Q3554" t="s">
        <v>644</v>
      </c>
      <c r="R3554" t="str">
        <f>IFERROR(VLOOKUP(record[[#This Row],[PCUSTID]],廠商[],2,FALSE),"")</f>
        <v/>
      </c>
      <c r="S3554" t="str">
        <f>VLOOKUP(record[[#This Row],[employeeID]],員工[],2,FALSE)</f>
        <v>阮氏芳英(芳)</v>
      </c>
    </row>
    <row r="3555" spans="6:19" hidden="1" x14ac:dyDescent="0.25">
      <c r="F3555" t="s">
        <v>1570</v>
      </c>
      <c r="G3555" t="s">
        <v>378</v>
      </c>
      <c r="H3555" t="str">
        <f>VLOOKUP(record[[#This Row],[ProcessSN]],表格2_7[],2,FALSE)</f>
        <v>30-4118-018-4XX</v>
      </c>
      <c r="I3555" t="str">
        <f>VLOOKUP(record[[#This Row],[ProcessSN]],表格2_7[],3,FALSE)</f>
        <v>#07QC</v>
      </c>
      <c r="J3555" t="s">
        <v>589</v>
      </c>
      <c r="K3555" s="195">
        <v>46090.618506944447</v>
      </c>
      <c r="L3555">
        <v>11</v>
      </c>
      <c r="M3555">
        <v>0</v>
      </c>
      <c r="N3555" s="98" t="str">
        <f>IF(record[[#This Row],[Memo]]="Browser:chrome os:android","平板報工",IF(record[[#This Row],[Memo]]=0,"委外",record[[#This Row],[Memo]]))</f>
        <v/>
      </c>
      <c r="O3555" t="s">
        <v>58</v>
      </c>
      <c r="P3555" t="s">
        <v>141</v>
      </c>
      <c r="Q3555" t="s">
        <v>58</v>
      </c>
      <c r="R3555" t="str">
        <f>IFERROR(VLOOKUP(record[[#This Row],[PCUSTID]],廠商[],2,FALSE),"")</f>
        <v/>
      </c>
      <c r="S3555" t="str">
        <f>VLOOKUP(record[[#This Row],[employeeID]],員工[],2,FALSE)</f>
        <v>蔣梅</v>
      </c>
    </row>
    <row r="3556" spans="6:19" hidden="1" x14ac:dyDescent="0.25">
      <c r="F3556" t="s">
        <v>1613</v>
      </c>
      <c r="G3556" t="s">
        <v>356</v>
      </c>
      <c r="H3556" t="str">
        <f>VLOOKUP(record[[#This Row],[ProcessSN]],表格2_7[],2,FALSE)</f>
        <v>30-4118-018-450</v>
      </c>
      <c r="I3556" t="str">
        <f>VLOOKUP(record[[#This Row],[ProcessSN]],表格2_7[],3,FALSE)</f>
        <v>#08</v>
      </c>
      <c r="J3556" t="s">
        <v>597</v>
      </c>
      <c r="K3556" s="195">
        <v>46090.616018518522</v>
      </c>
      <c r="L3556">
        <v>240</v>
      </c>
      <c r="M3556">
        <v>0</v>
      </c>
      <c r="N3556" s="98" t="str">
        <f>IF(record[[#This Row],[Memo]]="Browser:chrome os:android","平板報工",IF(record[[#This Row],[Memo]]=0,"委外",record[[#This Row],[Memo]]))</f>
        <v>委外</v>
      </c>
      <c r="P3556" t="s">
        <v>186</v>
      </c>
      <c r="Q3556" t="s">
        <v>287</v>
      </c>
      <c r="R3556" t="str">
        <f>IFERROR(VLOOKUP(record[[#This Row],[PCUSTID]],廠商[],2,FALSE),"")</f>
        <v>泉盛</v>
      </c>
      <c r="S3556" t="str">
        <f>VLOOKUP(record[[#This Row],[employeeID]],員工[],2,FALSE)</f>
        <v>許文姍</v>
      </c>
    </row>
    <row r="3557" spans="6:19" hidden="1" x14ac:dyDescent="0.25">
      <c r="F3557" t="s">
        <v>1613</v>
      </c>
      <c r="G3557" t="s">
        <v>355</v>
      </c>
      <c r="H3557" t="str">
        <f>VLOOKUP(record[[#This Row],[ProcessSN]],表格2_7[],2,FALSE)</f>
        <v>30-4118-018-450</v>
      </c>
      <c r="I3557" t="str">
        <f>VLOOKUP(record[[#This Row],[ProcessSN]],表格2_7[],3,FALSE)</f>
        <v>#08PICK</v>
      </c>
      <c r="J3557" t="s">
        <v>582</v>
      </c>
      <c r="K3557" s="195">
        <v>46090.61582175926</v>
      </c>
      <c r="L3557">
        <v>240</v>
      </c>
      <c r="M3557">
        <v>0</v>
      </c>
      <c r="N3557" s="98" t="str">
        <f>IF(record[[#This Row],[Memo]]="Browser:chrome os:android","平板報工",IF(record[[#This Row],[Memo]]=0,"委外",record[[#This Row],[Memo]]))</f>
        <v/>
      </c>
      <c r="O3557" t="s">
        <v>58</v>
      </c>
      <c r="P3557" t="s">
        <v>186</v>
      </c>
      <c r="Q3557" t="s">
        <v>58</v>
      </c>
      <c r="R3557" t="str">
        <f>IFERROR(VLOOKUP(record[[#This Row],[PCUSTID]],廠商[],2,FALSE),"")</f>
        <v/>
      </c>
      <c r="S3557" t="str">
        <f>VLOOKUP(record[[#This Row],[employeeID]],員工[],2,FALSE)</f>
        <v>許文姍</v>
      </c>
    </row>
    <row r="3558" spans="6:19" hidden="1" x14ac:dyDescent="0.25">
      <c r="F3558" t="s">
        <v>1570</v>
      </c>
      <c r="G3558" t="s">
        <v>378</v>
      </c>
      <c r="H3558" t="str">
        <f>VLOOKUP(record[[#This Row],[ProcessSN]],表格2_7[],2,FALSE)</f>
        <v>30-4118-018-4XX</v>
      </c>
      <c r="I3558" t="str">
        <f>VLOOKUP(record[[#This Row],[ProcessSN]],表格2_7[],3,FALSE)</f>
        <v>#07QC</v>
      </c>
      <c r="J3558" t="s">
        <v>589</v>
      </c>
      <c r="K3558" s="195">
        <v>46090.611134259256</v>
      </c>
      <c r="L3558">
        <v>72</v>
      </c>
      <c r="M3558">
        <v>0</v>
      </c>
      <c r="N3558" s="98" t="str">
        <f>IF(record[[#This Row],[Memo]]="Browser:chrome os:android","平板報工",IF(record[[#This Row],[Memo]]=0,"委外",record[[#This Row],[Memo]]))</f>
        <v/>
      </c>
      <c r="O3558" t="s">
        <v>58</v>
      </c>
      <c r="P3558" t="s">
        <v>141</v>
      </c>
      <c r="Q3558" t="s">
        <v>58</v>
      </c>
      <c r="R3558" t="str">
        <f>IFERROR(VLOOKUP(record[[#This Row],[PCUSTID]],廠商[],2,FALSE),"")</f>
        <v/>
      </c>
      <c r="S3558" t="str">
        <f>VLOOKUP(record[[#This Row],[employeeID]],員工[],2,FALSE)</f>
        <v>蔣梅</v>
      </c>
    </row>
    <row r="3559" spans="6:19" hidden="1" x14ac:dyDescent="0.25">
      <c r="F3559" t="s">
        <v>1497</v>
      </c>
      <c r="G3559" t="s">
        <v>398</v>
      </c>
      <c r="H3559" t="str">
        <f>VLOOKUP(record[[#This Row],[ProcessSN]],表格2_7[],2,FALSE)</f>
        <v>30-4118-018-550</v>
      </c>
      <c r="I3559" t="str">
        <f>VLOOKUP(record[[#This Row],[ProcessSN]],表格2_7[],3,FALSE)</f>
        <v>#08RCV</v>
      </c>
      <c r="J3559" t="s">
        <v>591</v>
      </c>
      <c r="K3559" s="195">
        <v>46090.603090277778</v>
      </c>
      <c r="L3559">
        <v>10</v>
      </c>
      <c r="M3559">
        <v>-10</v>
      </c>
      <c r="N3559" s="98" t="str">
        <f>IF(record[[#This Row],[Memo]]="Browser:chrome os:android","平板報工",IF(record[[#This Row],[Memo]]=0,"委外",record[[#This Row],[Memo]]))</f>
        <v>1.5覆回</v>
      </c>
      <c r="O3559" t="s">
        <v>1411</v>
      </c>
      <c r="P3559" t="s">
        <v>65</v>
      </c>
      <c r="R3559" t="str">
        <f>IFERROR(VLOOKUP(record[[#This Row],[PCUSTID]],廠商[],2,FALSE),"")</f>
        <v/>
      </c>
      <c r="S3559" t="str">
        <f>VLOOKUP(record[[#This Row],[employeeID]],員工[],2,FALSE)</f>
        <v>蘇進昌</v>
      </c>
    </row>
    <row r="3560" spans="6:19" hidden="1" x14ac:dyDescent="0.25">
      <c r="F3560" t="s">
        <v>1497</v>
      </c>
      <c r="G3560" t="s">
        <v>399</v>
      </c>
      <c r="H3560" t="str">
        <f>VLOOKUP(record[[#This Row],[ProcessSN]],表格2_7[],2,FALSE)</f>
        <v>30-4118-018-550</v>
      </c>
      <c r="I3560" t="str">
        <f>VLOOKUP(record[[#This Row],[ProcessSN]],表格2_7[],3,FALSE)</f>
        <v>#08IQC</v>
      </c>
      <c r="J3560" t="s">
        <v>583</v>
      </c>
      <c r="K3560" s="195">
        <v>46090.603090277778</v>
      </c>
      <c r="L3560">
        <v>10</v>
      </c>
      <c r="M3560">
        <v>0</v>
      </c>
      <c r="N3560" s="98" t="str">
        <f>IF(record[[#This Row],[Memo]]="Browser:chrome os:android","平板報工",IF(record[[#This Row],[Memo]]=0,"委外",record[[#This Row],[Memo]]))</f>
        <v>1.5覆回</v>
      </c>
      <c r="O3560" t="s">
        <v>1411</v>
      </c>
      <c r="P3560" t="s">
        <v>65</v>
      </c>
      <c r="R3560" t="str">
        <f>IFERROR(VLOOKUP(record[[#This Row],[PCUSTID]],廠商[],2,FALSE),"")</f>
        <v/>
      </c>
      <c r="S3560" t="str">
        <f>VLOOKUP(record[[#This Row],[employeeID]],員工[],2,FALSE)</f>
        <v>蘇進昌</v>
      </c>
    </row>
    <row r="3561" spans="6:19" hidden="1" x14ac:dyDescent="0.25">
      <c r="F3561" t="s">
        <v>1497</v>
      </c>
      <c r="G3561" t="s">
        <v>400</v>
      </c>
      <c r="H3561" t="str">
        <f>VLOOKUP(record[[#This Row],[ProcessSN]],表格2_7[],2,FALSE)</f>
        <v>30-4118-018-550</v>
      </c>
      <c r="I3561" t="str">
        <f>VLOOKUP(record[[#This Row],[ProcessSN]],表格2_7[],3,FALSE)</f>
        <v>#100</v>
      </c>
      <c r="J3561" t="s">
        <v>598</v>
      </c>
      <c r="K3561" s="195">
        <v>46090.603090277778</v>
      </c>
      <c r="L3561">
        <v>10</v>
      </c>
      <c r="M3561">
        <v>0</v>
      </c>
      <c r="N3561" s="98" t="str">
        <f>IF(record[[#This Row],[Memo]]="Browser:chrome os:android","平板報工",IF(record[[#This Row],[Memo]]=0,"委外",record[[#This Row],[Memo]]))</f>
        <v>1.5覆回</v>
      </c>
      <c r="O3561" t="s">
        <v>1411</v>
      </c>
      <c r="P3561" t="s">
        <v>65</v>
      </c>
      <c r="R3561" t="str">
        <f>IFERROR(VLOOKUP(record[[#This Row],[PCUSTID]],廠商[],2,FALSE),"")</f>
        <v/>
      </c>
      <c r="S3561" t="str">
        <f>VLOOKUP(record[[#This Row],[employeeID]],員工[],2,FALSE)</f>
        <v>蘇進昌</v>
      </c>
    </row>
    <row r="3562" spans="6:19" hidden="1" x14ac:dyDescent="0.25">
      <c r="F3562" t="s">
        <v>1497</v>
      </c>
      <c r="G3562" t="s">
        <v>401</v>
      </c>
      <c r="H3562" t="str">
        <f>VLOOKUP(record[[#This Row],[ProcessSN]],表格2_7[],2,FALSE)</f>
        <v>30-4118-018-550</v>
      </c>
      <c r="I3562" t="str">
        <f>VLOOKUP(record[[#This Row],[ProcessSN]],表格2_7[],3,FALSE)</f>
        <v>#100OQC</v>
      </c>
      <c r="J3562" t="s">
        <v>599</v>
      </c>
      <c r="K3562" s="195">
        <v>46090.603090277778</v>
      </c>
      <c r="L3562">
        <v>10</v>
      </c>
      <c r="M3562">
        <v>0</v>
      </c>
      <c r="N3562" s="98" t="str">
        <f>IF(record[[#This Row],[Memo]]="Browser:chrome os:android","平板報工",IF(record[[#This Row],[Memo]]=0,"委外",record[[#This Row],[Memo]]))</f>
        <v>1.5覆回</v>
      </c>
      <c r="O3562" t="s">
        <v>1411</v>
      </c>
      <c r="P3562" t="s">
        <v>65</v>
      </c>
      <c r="R3562" t="str">
        <f>IFERROR(VLOOKUP(record[[#This Row],[PCUSTID]],廠商[],2,FALSE),"")</f>
        <v/>
      </c>
      <c r="S3562" t="str">
        <f>VLOOKUP(record[[#This Row],[employeeID]],員工[],2,FALSE)</f>
        <v>蘇進昌</v>
      </c>
    </row>
    <row r="3563" spans="6:19" hidden="1" x14ac:dyDescent="0.25">
      <c r="F3563" t="s">
        <v>1497</v>
      </c>
      <c r="G3563" t="s">
        <v>402</v>
      </c>
      <c r="H3563" t="str">
        <f>VLOOKUP(record[[#This Row],[ProcessSN]],表格2_7[],2,FALSE)</f>
        <v>30-4118-018-550</v>
      </c>
      <c r="I3563" t="str">
        <f>VLOOKUP(record[[#This Row],[ProcessSN]],表格2_7[],3,FALSE)</f>
        <v>#100STOCK</v>
      </c>
      <c r="J3563" t="s">
        <v>592</v>
      </c>
      <c r="K3563" s="195">
        <v>46090.603090277778</v>
      </c>
      <c r="L3563">
        <v>10</v>
      </c>
      <c r="M3563">
        <v>0</v>
      </c>
      <c r="N3563" s="98" t="str">
        <f>IF(record[[#This Row],[Memo]]="Browser:chrome os:android","平板報工",IF(record[[#This Row],[Memo]]=0,"委外",record[[#This Row],[Memo]]))</f>
        <v>1.5覆回</v>
      </c>
      <c r="O3563" t="s">
        <v>1411</v>
      </c>
      <c r="P3563" t="s">
        <v>65</v>
      </c>
      <c r="R3563" t="str">
        <f>IFERROR(VLOOKUP(record[[#This Row],[PCUSTID]],廠商[],2,FALSE),"")</f>
        <v/>
      </c>
      <c r="S3563" t="str">
        <f>VLOOKUP(record[[#This Row],[employeeID]],員工[],2,FALSE)</f>
        <v>蘇進昌</v>
      </c>
    </row>
    <row r="3564" spans="6:19" hidden="1" x14ac:dyDescent="0.25">
      <c r="F3564" t="s">
        <v>1415</v>
      </c>
      <c r="G3564" t="s">
        <v>398</v>
      </c>
      <c r="H3564" t="str">
        <f>VLOOKUP(record[[#This Row],[ProcessSN]],表格2_7[],2,FALSE)</f>
        <v>30-4118-018-550</v>
      </c>
      <c r="I3564" t="str">
        <f>VLOOKUP(record[[#This Row],[ProcessSN]],表格2_7[],3,FALSE)</f>
        <v>#08RCV</v>
      </c>
      <c r="J3564" t="s">
        <v>591</v>
      </c>
      <c r="K3564" s="195">
        <v>46090.603090277778</v>
      </c>
      <c r="L3564">
        <v>1</v>
      </c>
      <c r="M3564">
        <v>-1</v>
      </c>
      <c r="N3564" s="98" t="str">
        <f>IF(record[[#This Row],[Memo]]="Browser:chrome os:android","平板報工",IF(record[[#This Row],[Memo]]=0,"委外",record[[#This Row],[Memo]]))</f>
        <v>1.5覆回</v>
      </c>
      <c r="O3564" t="s">
        <v>1411</v>
      </c>
      <c r="P3564" t="s">
        <v>65</v>
      </c>
      <c r="R3564" t="str">
        <f>IFERROR(VLOOKUP(record[[#This Row],[PCUSTID]],廠商[],2,FALSE),"")</f>
        <v/>
      </c>
      <c r="S3564" t="str">
        <f>VLOOKUP(record[[#This Row],[employeeID]],員工[],2,FALSE)</f>
        <v>蘇進昌</v>
      </c>
    </row>
    <row r="3565" spans="6:19" hidden="1" x14ac:dyDescent="0.25">
      <c r="F3565" t="s">
        <v>1415</v>
      </c>
      <c r="G3565" t="s">
        <v>399</v>
      </c>
      <c r="H3565" t="str">
        <f>VLOOKUP(record[[#This Row],[ProcessSN]],表格2_7[],2,FALSE)</f>
        <v>30-4118-018-550</v>
      </c>
      <c r="I3565" t="str">
        <f>VLOOKUP(record[[#This Row],[ProcessSN]],表格2_7[],3,FALSE)</f>
        <v>#08IQC</v>
      </c>
      <c r="J3565" t="s">
        <v>583</v>
      </c>
      <c r="K3565" s="195">
        <v>46090.603090277778</v>
      </c>
      <c r="L3565">
        <v>1</v>
      </c>
      <c r="M3565">
        <v>0</v>
      </c>
      <c r="N3565" s="98" t="str">
        <f>IF(record[[#This Row],[Memo]]="Browser:chrome os:android","平板報工",IF(record[[#This Row],[Memo]]=0,"委外",record[[#This Row],[Memo]]))</f>
        <v>1.5覆回</v>
      </c>
      <c r="O3565" t="s">
        <v>1411</v>
      </c>
      <c r="P3565" t="s">
        <v>65</v>
      </c>
      <c r="R3565" t="str">
        <f>IFERROR(VLOOKUP(record[[#This Row],[PCUSTID]],廠商[],2,FALSE),"")</f>
        <v/>
      </c>
      <c r="S3565" t="str">
        <f>VLOOKUP(record[[#This Row],[employeeID]],員工[],2,FALSE)</f>
        <v>蘇進昌</v>
      </c>
    </row>
    <row r="3566" spans="6:19" hidden="1" x14ac:dyDescent="0.25">
      <c r="F3566" t="s">
        <v>1415</v>
      </c>
      <c r="G3566" t="s">
        <v>400</v>
      </c>
      <c r="H3566" t="str">
        <f>VLOOKUP(record[[#This Row],[ProcessSN]],表格2_7[],2,FALSE)</f>
        <v>30-4118-018-550</v>
      </c>
      <c r="I3566" t="str">
        <f>VLOOKUP(record[[#This Row],[ProcessSN]],表格2_7[],3,FALSE)</f>
        <v>#100</v>
      </c>
      <c r="J3566" t="s">
        <v>598</v>
      </c>
      <c r="K3566" s="195">
        <v>46090.603090277778</v>
      </c>
      <c r="L3566">
        <v>1</v>
      </c>
      <c r="M3566">
        <v>0</v>
      </c>
      <c r="N3566" s="98" t="str">
        <f>IF(record[[#This Row],[Memo]]="Browser:chrome os:android","平板報工",IF(record[[#This Row],[Memo]]=0,"委外",record[[#This Row],[Memo]]))</f>
        <v>1.5覆回</v>
      </c>
      <c r="O3566" t="s">
        <v>1411</v>
      </c>
      <c r="P3566" t="s">
        <v>65</v>
      </c>
      <c r="R3566" t="str">
        <f>IFERROR(VLOOKUP(record[[#This Row],[PCUSTID]],廠商[],2,FALSE),"")</f>
        <v/>
      </c>
      <c r="S3566" t="str">
        <f>VLOOKUP(record[[#This Row],[employeeID]],員工[],2,FALSE)</f>
        <v>蘇進昌</v>
      </c>
    </row>
    <row r="3567" spans="6:19" hidden="1" x14ac:dyDescent="0.25">
      <c r="F3567" t="s">
        <v>1415</v>
      </c>
      <c r="G3567" t="s">
        <v>401</v>
      </c>
      <c r="H3567" t="str">
        <f>VLOOKUP(record[[#This Row],[ProcessSN]],表格2_7[],2,FALSE)</f>
        <v>30-4118-018-550</v>
      </c>
      <c r="I3567" t="str">
        <f>VLOOKUP(record[[#This Row],[ProcessSN]],表格2_7[],3,FALSE)</f>
        <v>#100OQC</v>
      </c>
      <c r="J3567" t="s">
        <v>599</v>
      </c>
      <c r="K3567" s="195">
        <v>46090.603090277778</v>
      </c>
      <c r="L3567">
        <v>1</v>
      </c>
      <c r="M3567">
        <v>0</v>
      </c>
      <c r="N3567" s="98" t="str">
        <f>IF(record[[#This Row],[Memo]]="Browser:chrome os:android","平板報工",IF(record[[#This Row],[Memo]]=0,"委外",record[[#This Row],[Memo]]))</f>
        <v>1.5覆回</v>
      </c>
      <c r="O3567" t="s">
        <v>1411</v>
      </c>
      <c r="P3567" t="s">
        <v>65</v>
      </c>
      <c r="R3567" t="str">
        <f>IFERROR(VLOOKUP(record[[#This Row],[PCUSTID]],廠商[],2,FALSE),"")</f>
        <v/>
      </c>
      <c r="S3567" t="str">
        <f>VLOOKUP(record[[#This Row],[employeeID]],員工[],2,FALSE)</f>
        <v>蘇進昌</v>
      </c>
    </row>
    <row r="3568" spans="6:19" hidden="1" x14ac:dyDescent="0.25">
      <c r="F3568" t="s">
        <v>1415</v>
      </c>
      <c r="G3568" t="s">
        <v>402</v>
      </c>
      <c r="H3568" t="str">
        <f>VLOOKUP(record[[#This Row],[ProcessSN]],表格2_7[],2,FALSE)</f>
        <v>30-4118-018-550</v>
      </c>
      <c r="I3568" t="str">
        <f>VLOOKUP(record[[#This Row],[ProcessSN]],表格2_7[],3,FALSE)</f>
        <v>#100STOCK</v>
      </c>
      <c r="J3568" t="s">
        <v>592</v>
      </c>
      <c r="K3568" s="195">
        <v>46090.603090277778</v>
      </c>
      <c r="L3568">
        <v>1</v>
      </c>
      <c r="M3568">
        <v>0</v>
      </c>
      <c r="N3568" s="98" t="str">
        <f>IF(record[[#This Row],[Memo]]="Browser:chrome os:android","平板報工",IF(record[[#This Row],[Memo]]=0,"委外",record[[#This Row],[Memo]]))</f>
        <v>1.5覆回</v>
      </c>
      <c r="O3568" t="s">
        <v>1411</v>
      </c>
      <c r="P3568" t="s">
        <v>65</v>
      </c>
      <c r="R3568" t="str">
        <f>IFERROR(VLOOKUP(record[[#This Row],[PCUSTID]],廠商[],2,FALSE),"")</f>
        <v/>
      </c>
      <c r="S3568" t="str">
        <f>VLOOKUP(record[[#This Row],[employeeID]],員工[],2,FALSE)</f>
        <v>蘇進昌</v>
      </c>
    </row>
    <row r="3569" spans="6:19" hidden="1" x14ac:dyDescent="0.25">
      <c r="F3569" t="s">
        <v>1444</v>
      </c>
      <c r="G3569" t="s">
        <v>398</v>
      </c>
      <c r="H3569" t="str">
        <f>VLOOKUP(record[[#This Row],[ProcessSN]],表格2_7[],2,FALSE)</f>
        <v>30-4118-018-550</v>
      </c>
      <c r="I3569" t="str">
        <f>VLOOKUP(record[[#This Row],[ProcessSN]],表格2_7[],3,FALSE)</f>
        <v>#08RCV</v>
      </c>
      <c r="J3569" t="s">
        <v>591</v>
      </c>
      <c r="K3569" s="195">
        <v>46090.603090277778</v>
      </c>
      <c r="L3569">
        <v>1</v>
      </c>
      <c r="M3569">
        <v>-1</v>
      </c>
      <c r="N3569" s="98" t="str">
        <f>IF(record[[#This Row],[Memo]]="Browser:chrome os:android","平板報工",IF(record[[#This Row],[Memo]]=0,"委外",record[[#This Row],[Memo]]))</f>
        <v>1.5覆回</v>
      </c>
      <c r="O3569" t="s">
        <v>1411</v>
      </c>
      <c r="P3569" t="s">
        <v>65</v>
      </c>
      <c r="R3569" t="str">
        <f>IFERROR(VLOOKUP(record[[#This Row],[PCUSTID]],廠商[],2,FALSE),"")</f>
        <v/>
      </c>
      <c r="S3569" t="str">
        <f>VLOOKUP(record[[#This Row],[employeeID]],員工[],2,FALSE)</f>
        <v>蘇進昌</v>
      </c>
    </row>
    <row r="3570" spans="6:19" hidden="1" x14ac:dyDescent="0.25">
      <c r="F3570" t="s">
        <v>1444</v>
      </c>
      <c r="G3570" t="s">
        <v>399</v>
      </c>
      <c r="H3570" t="str">
        <f>VLOOKUP(record[[#This Row],[ProcessSN]],表格2_7[],2,FALSE)</f>
        <v>30-4118-018-550</v>
      </c>
      <c r="I3570" t="str">
        <f>VLOOKUP(record[[#This Row],[ProcessSN]],表格2_7[],3,FALSE)</f>
        <v>#08IQC</v>
      </c>
      <c r="J3570" t="s">
        <v>583</v>
      </c>
      <c r="K3570" s="195">
        <v>46090.603090277778</v>
      </c>
      <c r="L3570">
        <v>1</v>
      </c>
      <c r="M3570">
        <v>0</v>
      </c>
      <c r="N3570" s="98" t="str">
        <f>IF(record[[#This Row],[Memo]]="Browser:chrome os:android","平板報工",IF(record[[#This Row],[Memo]]=0,"委外",record[[#This Row],[Memo]]))</f>
        <v>1.5覆回</v>
      </c>
      <c r="O3570" t="s">
        <v>1411</v>
      </c>
      <c r="P3570" t="s">
        <v>65</v>
      </c>
      <c r="R3570" t="str">
        <f>IFERROR(VLOOKUP(record[[#This Row],[PCUSTID]],廠商[],2,FALSE),"")</f>
        <v/>
      </c>
      <c r="S3570" t="str">
        <f>VLOOKUP(record[[#This Row],[employeeID]],員工[],2,FALSE)</f>
        <v>蘇進昌</v>
      </c>
    </row>
    <row r="3571" spans="6:19" hidden="1" x14ac:dyDescent="0.25">
      <c r="F3571" t="s">
        <v>1444</v>
      </c>
      <c r="G3571" t="s">
        <v>400</v>
      </c>
      <c r="H3571" t="str">
        <f>VLOOKUP(record[[#This Row],[ProcessSN]],表格2_7[],2,FALSE)</f>
        <v>30-4118-018-550</v>
      </c>
      <c r="I3571" t="str">
        <f>VLOOKUP(record[[#This Row],[ProcessSN]],表格2_7[],3,FALSE)</f>
        <v>#100</v>
      </c>
      <c r="J3571" t="s">
        <v>598</v>
      </c>
      <c r="K3571" s="195">
        <v>46090.603090277778</v>
      </c>
      <c r="L3571">
        <v>1</v>
      </c>
      <c r="M3571">
        <v>0</v>
      </c>
      <c r="N3571" s="98" t="str">
        <f>IF(record[[#This Row],[Memo]]="Browser:chrome os:android","平板報工",IF(record[[#This Row],[Memo]]=0,"委外",record[[#This Row],[Memo]]))</f>
        <v>1.5覆回</v>
      </c>
      <c r="O3571" t="s">
        <v>1411</v>
      </c>
      <c r="P3571" t="s">
        <v>65</v>
      </c>
      <c r="R3571" t="str">
        <f>IFERROR(VLOOKUP(record[[#This Row],[PCUSTID]],廠商[],2,FALSE),"")</f>
        <v/>
      </c>
      <c r="S3571" t="str">
        <f>VLOOKUP(record[[#This Row],[employeeID]],員工[],2,FALSE)</f>
        <v>蘇進昌</v>
      </c>
    </row>
    <row r="3572" spans="6:19" hidden="1" x14ac:dyDescent="0.25">
      <c r="F3572" t="s">
        <v>1444</v>
      </c>
      <c r="G3572" t="s">
        <v>401</v>
      </c>
      <c r="H3572" t="str">
        <f>VLOOKUP(record[[#This Row],[ProcessSN]],表格2_7[],2,FALSE)</f>
        <v>30-4118-018-550</v>
      </c>
      <c r="I3572" t="str">
        <f>VLOOKUP(record[[#This Row],[ProcessSN]],表格2_7[],3,FALSE)</f>
        <v>#100OQC</v>
      </c>
      <c r="J3572" t="s">
        <v>599</v>
      </c>
      <c r="K3572" s="195">
        <v>46090.603090277778</v>
      </c>
      <c r="L3572">
        <v>1</v>
      </c>
      <c r="M3572">
        <v>0</v>
      </c>
      <c r="N3572" s="98" t="str">
        <f>IF(record[[#This Row],[Memo]]="Browser:chrome os:android","平板報工",IF(record[[#This Row],[Memo]]=0,"委外",record[[#This Row],[Memo]]))</f>
        <v>1.5覆回</v>
      </c>
      <c r="O3572" t="s">
        <v>1411</v>
      </c>
      <c r="P3572" t="s">
        <v>65</v>
      </c>
      <c r="R3572" t="str">
        <f>IFERROR(VLOOKUP(record[[#This Row],[PCUSTID]],廠商[],2,FALSE),"")</f>
        <v/>
      </c>
      <c r="S3572" t="str">
        <f>VLOOKUP(record[[#This Row],[employeeID]],員工[],2,FALSE)</f>
        <v>蘇進昌</v>
      </c>
    </row>
    <row r="3573" spans="6:19" hidden="1" x14ac:dyDescent="0.25">
      <c r="F3573" t="s">
        <v>1444</v>
      </c>
      <c r="G3573" t="s">
        <v>402</v>
      </c>
      <c r="H3573" t="str">
        <f>VLOOKUP(record[[#This Row],[ProcessSN]],表格2_7[],2,FALSE)</f>
        <v>30-4118-018-550</v>
      </c>
      <c r="I3573" t="str">
        <f>VLOOKUP(record[[#This Row],[ProcessSN]],表格2_7[],3,FALSE)</f>
        <v>#100STOCK</v>
      </c>
      <c r="J3573" t="s">
        <v>592</v>
      </c>
      <c r="K3573" s="195">
        <v>46090.603090277778</v>
      </c>
      <c r="L3573">
        <v>1</v>
      </c>
      <c r="M3573">
        <v>0</v>
      </c>
      <c r="N3573" s="98" t="str">
        <f>IF(record[[#This Row],[Memo]]="Browser:chrome os:android","平板報工",IF(record[[#This Row],[Memo]]=0,"委外",record[[#This Row],[Memo]]))</f>
        <v>1.5覆回</v>
      </c>
      <c r="O3573" t="s">
        <v>1411</v>
      </c>
      <c r="P3573" t="s">
        <v>65</v>
      </c>
      <c r="R3573" t="str">
        <f>IFERROR(VLOOKUP(record[[#This Row],[PCUSTID]],廠商[],2,FALSE),"")</f>
        <v/>
      </c>
      <c r="S3573" t="str">
        <f>VLOOKUP(record[[#This Row],[employeeID]],員工[],2,FALSE)</f>
        <v>蘇進昌</v>
      </c>
    </row>
    <row r="3574" spans="6:19" hidden="1" x14ac:dyDescent="0.25">
      <c r="F3574" t="s">
        <v>1451</v>
      </c>
      <c r="G3574" t="s">
        <v>398</v>
      </c>
      <c r="H3574" t="str">
        <f>VLOOKUP(record[[#This Row],[ProcessSN]],表格2_7[],2,FALSE)</f>
        <v>30-4118-018-550</v>
      </c>
      <c r="I3574" t="str">
        <f>VLOOKUP(record[[#This Row],[ProcessSN]],表格2_7[],3,FALSE)</f>
        <v>#08RCV</v>
      </c>
      <c r="J3574" t="s">
        <v>591</v>
      </c>
      <c r="K3574" s="195">
        <v>46090.603090277778</v>
      </c>
      <c r="L3574">
        <v>2</v>
      </c>
      <c r="M3574">
        <v>-2</v>
      </c>
      <c r="N3574" s="98" t="str">
        <f>IF(record[[#This Row],[Memo]]="Browser:chrome os:android","平板報工",IF(record[[#This Row],[Memo]]=0,"委外",record[[#This Row],[Memo]]))</f>
        <v>1.5覆回</v>
      </c>
      <c r="O3574" t="s">
        <v>1411</v>
      </c>
      <c r="P3574" t="s">
        <v>65</v>
      </c>
      <c r="R3574" t="str">
        <f>IFERROR(VLOOKUP(record[[#This Row],[PCUSTID]],廠商[],2,FALSE),"")</f>
        <v/>
      </c>
      <c r="S3574" t="str">
        <f>VLOOKUP(record[[#This Row],[employeeID]],員工[],2,FALSE)</f>
        <v>蘇進昌</v>
      </c>
    </row>
    <row r="3575" spans="6:19" hidden="1" x14ac:dyDescent="0.25">
      <c r="F3575" t="s">
        <v>1451</v>
      </c>
      <c r="G3575" t="s">
        <v>399</v>
      </c>
      <c r="H3575" t="str">
        <f>VLOOKUP(record[[#This Row],[ProcessSN]],表格2_7[],2,FALSE)</f>
        <v>30-4118-018-550</v>
      </c>
      <c r="I3575" t="str">
        <f>VLOOKUP(record[[#This Row],[ProcessSN]],表格2_7[],3,FALSE)</f>
        <v>#08IQC</v>
      </c>
      <c r="J3575" t="s">
        <v>583</v>
      </c>
      <c r="K3575" s="195">
        <v>46090.603090277778</v>
      </c>
      <c r="L3575">
        <v>2</v>
      </c>
      <c r="M3575">
        <v>0</v>
      </c>
      <c r="N3575" s="98" t="str">
        <f>IF(record[[#This Row],[Memo]]="Browser:chrome os:android","平板報工",IF(record[[#This Row],[Memo]]=0,"委外",record[[#This Row],[Memo]]))</f>
        <v>1.5覆回</v>
      </c>
      <c r="O3575" t="s">
        <v>1411</v>
      </c>
      <c r="P3575" t="s">
        <v>65</v>
      </c>
      <c r="R3575" t="str">
        <f>IFERROR(VLOOKUP(record[[#This Row],[PCUSTID]],廠商[],2,FALSE),"")</f>
        <v/>
      </c>
      <c r="S3575" t="str">
        <f>VLOOKUP(record[[#This Row],[employeeID]],員工[],2,FALSE)</f>
        <v>蘇進昌</v>
      </c>
    </row>
    <row r="3576" spans="6:19" hidden="1" x14ac:dyDescent="0.25">
      <c r="F3576" t="s">
        <v>1451</v>
      </c>
      <c r="G3576" t="s">
        <v>400</v>
      </c>
      <c r="H3576" t="str">
        <f>VLOOKUP(record[[#This Row],[ProcessSN]],表格2_7[],2,FALSE)</f>
        <v>30-4118-018-550</v>
      </c>
      <c r="I3576" t="str">
        <f>VLOOKUP(record[[#This Row],[ProcessSN]],表格2_7[],3,FALSE)</f>
        <v>#100</v>
      </c>
      <c r="J3576" t="s">
        <v>598</v>
      </c>
      <c r="K3576" s="195">
        <v>46090.603090277778</v>
      </c>
      <c r="L3576">
        <v>2</v>
      </c>
      <c r="M3576">
        <v>0</v>
      </c>
      <c r="N3576" s="98" t="str">
        <f>IF(record[[#This Row],[Memo]]="Browser:chrome os:android","平板報工",IF(record[[#This Row],[Memo]]=0,"委外",record[[#This Row],[Memo]]))</f>
        <v>1.5覆回</v>
      </c>
      <c r="O3576" t="s">
        <v>1411</v>
      </c>
      <c r="P3576" t="s">
        <v>65</v>
      </c>
      <c r="R3576" t="str">
        <f>IFERROR(VLOOKUP(record[[#This Row],[PCUSTID]],廠商[],2,FALSE),"")</f>
        <v/>
      </c>
      <c r="S3576" t="str">
        <f>VLOOKUP(record[[#This Row],[employeeID]],員工[],2,FALSE)</f>
        <v>蘇進昌</v>
      </c>
    </row>
    <row r="3577" spans="6:19" hidden="1" x14ac:dyDescent="0.25">
      <c r="F3577" t="s">
        <v>1451</v>
      </c>
      <c r="G3577" t="s">
        <v>401</v>
      </c>
      <c r="H3577" t="str">
        <f>VLOOKUP(record[[#This Row],[ProcessSN]],表格2_7[],2,FALSE)</f>
        <v>30-4118-018-550</v>
      </c>
      <c r="I3577" t="str">
        <f>VLOOKUP(record[[#This Row],[ProcessSN]],表格2_7[],3,FALSE)</f>
        <v>#100OQC</v>
      </c>
      <c r="J3577" t="s">
        <v>599</v>
      </c>
      <c r="K3577" s="195">
        <v>46090.603090277778</v>
      </c>
      <c r="L3577">
        <v>2</v>
      </c>
      <c r="M3577">
        <v>0</v>
      </c>
      <c r="N3577" s="98" t="str">
        <f>IF(record[[#This Row],[Memo]]="Browser:chrome os:android","平板報工",IF(record[[#This Row],[Memo]]=0,"委外",record[[#This Row],[Memo]]))</f>
        <v>1.5覆回</v>
      </c>
      <c r="O3577" t="s">
        <v>1411</v>
      </c>
      <c r="P3577" t="s">
        <v>65</v>
      </c>
      <c r="R3577" t="str">
        <f>IFERROR(VLOOKUP(record[[#This Row],[PCUSTID]],廠商[],2,FALSE),"")</f>
        <v/>
      </c>
      <c r="S3577" t="str">
        <f>VLOOKUP(record[[#This Row],[employeeID]],員工[],2,FALSE)</f>
        <v>蘇進昌</v>
      </c>
    </row>
    <row r="3578" spans="6:19" hidden="1" x14ac:dyDescent="0.25">
      <c r="F3578" t="s">
        <v>1451</v>
      </c>
      <c r="G3578" t="s">
        <v>402</v>
      </c>
      <c r="H3578" t="str">
        <f>VLOOKUP(record[[#This Row],[ProcessSN]],表格2_7[],2,FALSE)</f>
        <v>30-4118-018-550</v>
      </c>
      <c r="I3578" t="str">
        <f>VLOOKUP(record[[#This Row],[ProcessSN]],表格2_7[],3,FALSE)</f>
        <v>#100STOCK</v>
      </c>
      <c r="J3578" t="s">
        <v>592</v>
      </c>
      <c r="K3578" s="195">
        <v>46090.603090277778</v>
      </c>
      <c r="L3578">
        <v>2</v>
      </c>
      <c r="M3578">
        <v>0</v>
      </c>
      <c r="N3578" s="98" t="str">
        <f>IF(record[[#This Row],[Memo]]="Browser:chrome os:android","平板報工",IF(record[[#This Row],[Memo]]=0,"委外",record[[#This Row],[Memo]]))</f>
        <v>1.5覆回</v>
      </c>
      <c r="O3578" t="s">
        <v>1411</v>
      </c>
      <c r="P3578" t="s">
        <v>65</v>
      </c>
      <c r="R3578" t="str">
        <f>IFERROR(VLOOKUP(record[[#This Row],[PCUSTID]],廠商[],2,FALSE),"")</f>
        <v/>
      </c>
      <c r="S3578" t="str">
        <f>VLOOKUP(record[[#This Row],[employeeID]],員工[],2,FALSE)</f>
        <v>蘇進昌</v>
      </c>
    </row>
    <row r="3579" spans="6:19" hidden="1" x14ac:dyDescent="0.25">
      <c r="F3579" t="s">
        <v>1480</v>
      </c>
      <c r="G3579" t="s">
        <v>398</v>
      </c>
      <c r="H3579" t="str">
        <f>VLOOKUP(record[[#This Row],[ProcessSN]],表格2_7[],2,FALSE)</f>
        <v>30-4118-018-550</v>
      </c>
      <c r="I3579" t="str">
        <f>VLOOKUP(record[[#This Row],[ProcessSN]],表格2_7[],3,FALSE)</f>
        <v>#08RCV</v>
      </c>
      <c r="J3579" t="s">
        <v>591</v>
      </c>
      <c r="K3579" s="195">
        <v>46090.603090277778</v>
      </c>
      <c r="L3579">
        <v>11</v>
      </c>
      <c r="M3579">
        <v>-11</v>
      </c>
      <c r="N3579" s="98" t="str">
        <f>IF(record[[#This Row],[Memo]]="Browser:chrome os:android","平板報工",IF(record[[#This Row],[Memo]]=0,"委外",record[[#This Row],[Memo]]))</f>
        <v>1.5覆回</v>
      </c>
      <c r="O3579" t="s">
        <v>1411</v>
      </c>
      <c r="P3579" t="s">
        <v>65</v>
      </c>
      <c r="R3579" t="str">
        <f>IFERROR(VLOOKUP(record[[#This Row],[PCUSTID]],廠商[],2,FALSE),"")</f>
        <v/>
      </c>
      <c r="S3579" t="str">
        <f>VLOOKUP(record[[#This Row],[employeeID]],員工[],2,FALSE)</f>
        <v>蘇進昌</v>
      </c>
    </row>
    <row r="3580" spans="6:19" hidden="1" x14ac:dyDescent="0.25">
      <c r="F3580" t="s">
        <v>1480</v>
      </c>
      <c r="G3580" t="s">
        <v>399</v>
      </c>
      <c r="H3580" t="str">
        <f>VLOOKUP(record[[#This Row],[ProcessSN]],表格2_7[],2,FALSE)</f>
        <v>30-4118-018-550</v>
      </c>
      <c r="I3580" t="str">
        <f>VLOOKUP(record[[#This Row],[ProcessSN]],表格2_7[],3,FALSE)</f>
        <v>#08IQC</v>
      </c>
      <c r="J3580" t="s">
        <v>583</v>
      </c>
      <c r="K3580" s="195">
        <v>46090.603090277778</v>
      </c>
      <c r="L3580">
        <v>11</v>
      </c>
      <c r="M3580">
        <v>0</v>
      </c>
      <c r="N3580" s="98" t="str">
        <f>IF(record[[#This Row],[Memo]]="Browser:chrome os:android","平板報工",IF(record[[#This Row],[Memo]]=0,"委外",record[[#This Row],[Memo]]))</f>
        <v>1.5覆回</v>
      </c>
      <c r="O3580" t="s">
        <v>1411</v>
      </c>
      <c r="P3580" t="s">
        <v>65</v>
      </c>
      <c r="R3580" t="str">
        <f>IFERROR(VLOOKUP(record[[#This Row],[PCUSTID]],廠商[],2,FALSE),"")</f>
        <v/>
      </c>
      <c r="S3580" t="str">
        <f>VLOOKUP(record[[#This Row],[employeeID]],員工[],2,FALSE)</f>
        <v>蘇進昌</v>
      </c>
    </row>
    <row r="3581" spans="6:19" hidden="1" x14ac:dyDescent="0.25">
      <c r="F3581" t="s">
        <v>1480</v>
      </c>
      <c r="G3581" t="s">
        <v>400</v>
      </c>
      <c r="H3581" t="str">
        <f>VLOOKUP(record[[#This Row],[ProcessSN]],表格2_7[],2,FALSE)</f>
        <v>30-4118-018-550</v>
      </c>
      <c r="I3581" t="str">
        <f>VLOOKUP(record[[#This Row],[ProcessSN]],表格2_7[],3,FALSE)</f>
        <v>#100</v>
      </c>
      <c r="J3581" t="s">
        <v>598</v>
      </c>
      <c r="K3581" s="195">
        <v>46090.603090277778</v>
      </c>
      <c r="L3581">
        <v>11</v>
      </c>
      <c r="M3581">
        <v>0</v>
      </c>
      <c r="N3581" s="98" t="str">
        <f>IF(record[[#This Row],[Memo]]="Browser:chrome os:android","平板報工",IF(record[[#This Row],[Memo]]=0,"委外",record[[#This Row],[Memo]]))</f>
        <v>1.5覆回</v>
      </c>
      <c r="O3581" t="s">
        <v>1411</v>
      </c>
      <c r="P3581" t="s">
        <v>65</v>
      </c>
      <c r="R3581" t="str">
        <f>IFERROR(VLOOKUP(record[[#This Row],[PCUSTID]],廠商[],2,FALSE),"")</f>
        <v/>
      </c>
      <c r="S3581" t="str">
        <f>VLOOKUP(record[[#This Row],[employeeID]],員工[],2,FALSE)</f>
        <v>蘇進昌</v>
      </c>
    </row>
    <row r="3582" spans="6:19" hidden="1" x14ac:dyDescent="0.25">
      <c r="F3582" t="s">
        <v>1480</v>
      </c>
      <c r="G3582" t="s">
        <v>401</v>
      </c>
      <c r="H3582" t="str">
        <f>VLOOKUP(record[[#This Row],[ProcessSN]],表格2_7[],2,FALSE)</f>
        <v>30-4118-018-550</v>
      </c>
      <c r="I3582" t="str">
        <f>VLOOKUP(record[[#This Row],[ProcessSN]],表格2_7[],3,FALSE)</f>
        <v>#100OQC</v>
      </c>
      <c r="J3582" t="s">
        <v>599</v>
      </c>
      <c r="K3582" s="195">
        <v>46090.603090277778</v>
      </c>
      <c r="L3582">
        <v>11</v>
      </c>
      <c r="M3582">
        <v>0</v>
      </c>
      <c r="N3582" s="98" t="str">
        <f>IF(record[[#This Row],[Memo]]="Browser:chrome os:android","平板報工",IF(record[[#This Row],[Memo]]=0,"委外",record[[#This Row],[Memo]]))</f>
        <v>1.5覆回</v>
      </c>
      <c r="O3582" t="s">
        <v>1411</v>
      </c>
      <c r="P3582" t="s">
        <v>65</v>
      </c>
      <c r="R3582" t="str">
        <f>IFERROR(VLOOKUP(record[[#This Row],[PCUSTID]],廠商[],2,FALSE),"")</f>
        <v/>
      </c>
      <c r="S3582" t="str">
        <f>VLOOKUP(record[[#This Row],[employeeID]],員工[],2,FALSE)</f>
        <v>蘇進昌</v>
      </c>
    </row>
    <row r="3583" spans="6:19" hidden="1" x14ac:dyDescent="0.25">
      <c r="F3583" t="s">
        <v>1480</v>
      </c>
      <c r="G3583" t="s">
        <v>402</v>
      </c>
      <c r="H3583" t="str">
        <f>VLOOKUP(record[[#This Row],[ProcessSN]],表格2_7[],2,FALSE)</f>
        <v>30-4118-018-550</v>
      </c>
      <c r="I3583" t="str">
        <f>VLOOKUP(record[[#This Row],[ProcessSN]],表格2_7[],3,FALSE)</f>
        <v>#100STOCK</v>
      </c>
      <c r="J3583" t="s">
        <v>592</v>
      </c>
      <c r="K3583" s="195">
        <v>46090.603090277778</v>
      </c>
      <c r="L3583">
        <v>11</v>
      </c>
      <c r="M3583">
        <v>0</v>
      </c>
      <c r="N3583" s="98" t="str">
        <f>IF(record[[#This Row],[Memo]]="Browser:chrome os:android","平板報工",IF(record[[#This Row],[Memo]]=0,"委外",record[[#This Row],[Memo]]))</f>
        <v>1.5覆回</v>
      </c>
      <c r="O3583" t="s">
        <v>1411</v>
      </c>
      <c r="P3583" t="s">
        <v>65</v>
      </c>
      <c r="R3583" t="str">
        <f>IFERROR(VLOOKUP(record[[#This Row],[PCUSTID]],廠商[],2,FALSE),"")</f>
        <v/>
      </c>
      <c r="S3583" t="str">
        <f>VLOOKUP(record[[#This Row],[employeeID]],員工[],2,FALSE)</f>
        <v>蘇進昌</v>
      </c>
    </row>
    <row r="3584" spans="6:19" hidden="1" x14ac:dyDescent="0.25">
      <c r="F3584" t="s">
        <v>1476</v>
      </c>
      <c r="G3584" t="s">
        <v>398</v>
      </c>
      <c r="H3584" t="str">
        <f>VLOOKUP(record[[#This Row],[ProcessSN]],表格2_7[],2,FALSE)</f>
        <v>30-4118-018-550</v>
      </c>
      <c r="I3584" t="str">
        <f>VLOOKUP(record[[#This Row],[ProcessSN]],表格2_7[],3,FALSE)</f>
        <v>#08RCV</v>
      </c>
      <c r="J3584" t="s">
        <v>591</v>
      </c>
      <c r="K3584" s="195">
        <v>46090.603090277778</v>
      </c>
      <c r="L3584">
        <v>1</v>
      </c>
      <c r="M3584">
        <v>-1</v>
      </c>
      <c r="N3584" s="98" t="str">
        <f>IF(record[[#This Row],[Memo]]="Browser:chrome os:android","平板報工",IF(record[[#This Row],[Memo]]=0,"委外",record[[#This Row],[Memo]]))</f>
        <v>1.5覆回</v>
      </c>
      <c r="O3584" t="s">
        <v>1411</v>
      </c>
      <c r="P3584" t="s">
        <v>65</v>
      </c>
      <c r="R3584" t="str">
        <f>IFERROR(VLOOKUP(record[[#This Row],[PCUSTID]],廠商[],2,FALSE),"")</f>
        <v/>
      </c>
      <c r="S3584" t="str">
        <f>VLOOKUP(record[[#This Row],[employeeID]],員工[],2,FALSE)</f>
        <v>蘇進昌</v>
      </c>
    </row>
    <row r="3585" spans="6:19" hidden="1" x14ac:dyDescent="0.25">
      <c r="F3585" t="s">
        <v>1476</v>
      </c>
      <c r="G3585" t="s">
        <v>399</v>
      </c>
      <c r="H3585" t="str">
        <f>VLOOKUP(record[[#This Row],[ProcessSN]],表格2_7[],2,FALSE)</f>
        <v>30-4118-018-550</v>
      </c>
      <c r="I3585" t="str">
        <f>VLOOKUP(record[[#This Row],[ProcessSN]],表格2_7[],3,FALSE)</f>
        <v>#08IQC</v>
      </c>
      <c r="J3585" t="s">
        <v>583</v>
      </c>
      <c r="K3585" s="195">
        <v>46090.603090277778</v>
      </c>
      <c r="L3585">
        <v>1</v>
      </c>
      <c r="M3585">
        <v>0</v>
      </c>
      <c r="N3585" s="98" t="str">
        <f>IF(record[[#This Row],[Memo]]="Browser:chrome os:android","平板報工",IF(record[[#This Row],[Memo]]=0,"委外",record[[#This Row],[Memo]]))</f>
        <v>1.5覆回</v>
      </c>
      <c r="O3585" t="s">
        <v>1411</v>
      </c>
      <c r="P3585" t="s">
        <v>65</v>
      </c>
      <c r="R3585" t="str">
        <f>IFERROR(VLOOKUP(record[[#This Row],[PCUSTID]],廠商[],2,FALSE),"")</f>
        <v/>
      </c>
      <c r="S3585" t="str">
        <f>VLOOKUP(record[[#This Row],[employeeID]],員工[],2,FALSE)</f>
        <v>蘇進昌</v>
      </c>
    </row>
    <row r="3586" spans="6:19" hidden="1" x14ac:dyDescent="0.25">
      <c r="F3586" t="s">
        <v>1476</v>
      </c>
      <c r="G3586" t="s">
        <v>400</v>
      </c>
      <c r="H3586" t="str">
        <f>VLOOKUP(record[[#This Row],[ProcessSN]],表格2_7[],2,FALSE)</f>
        <v>30-4118-018-550</v>
      </c>
      <c r="I3586" t="str">
        <f>VLOOKUP(record[[#This Row],[ProcessSN]],表格2_7[],3,FALSE)</f>
        <v>#100</v>
      </c>
      <c r="J3586" t="s">
        <v>598</v>
      </c>
      <c r="K3586" s="195">
        <v>46090.603090277778</v>
      </c>
      <c r="L3586">
        <v>1</v>
      </c>
      <c r="M3586">
        <v>0</v>
      </c>
      <c r="N3586" s="98" t="str">
        <f>IF(record[[#This Row],[Memo]]="Browser:chrome os:android","平板報工",IF(record[[#This Row],[Memo]]=0,"委外",record[[#This Row],[Memo]]))</f>
        <v>1.5覆回</v>
      </c>
      <c r="O3586" t="s">
        <v>1411</v>
      </c>
      <c r="P3586" t="s">
        <v>65</v>
      </c>
      <c r="R3586" t="str">
        <f>IFERROR(VLOOKUP(record[[#This Row],[PCUSTID]],廠商[],2,FALSE),"")</f>
        <v/>
      </c>
      <c r="S3586" t="str">
        <f>VLOOKUP(record[[#This Row],[employeeID]],員工[],2,FALSE)</f>
        <v>蘇進昌</v>
      </c>
    </row>
    <row r="3587" spans="6:19" hidden="1" x14ac:dyDescent="0.25">
      <c r="F3587" t="s">
        <v>1476</v>
      </c>
      <c r="G3587" t="s">
        <v>401</v>
      </c>
      <c r="H3587" t="str">
        <f>VLOOKUP(record[[#This Row],[ProcessSN]],表格2_7[],2,FALSE)</f>
        <v>30-4118-018-550</v>
      </c>
      <c r="I3587" t="str">
        <f>VLOOKUP(record[[#This Row],[ProcessSN]],表格2_7[],3,FALSE)</f>
        <v>#100OQC</v>
      </c>
      <c r="J3587" t="s">
        <v>599</v>
      </c>
      <c r="K3587" s="195">
        <v>46090.603090277778</v>
      </c>
      <c r="L3587">
        <v>1</v>
      </c>
      <c r="M3587">
        <v>0</v>
      </c>
      <c r="N3587" s="98" t="str">
        <f>IF(record[[#This Row],[Memo]]="Browser:chrome os:android","平板報工",IF(record[[#This Row],[Memo]]=0,"委外",record[[#This Row],[Memo]]))</f>
        <v>1.5覆回</v>
      </c>
      <c r="O3587" t="s">
        <v>1411</v>
      </c>
      <c r="P3587" t="s">
        <v>65</v>
      </c>
      <c r="R3587" t="str">
        <f>IFERROR(VLOOKUP(record[[#This Row],[PCUSTID]],廠商[],2,FALSE),"")</f>
        <v/>
      </c>
      <c r="S3587" t="str">
        <f>VLOOKUP(record[[#This Row],[employeeID]],員工[],2,FALSE)</f>
        <v>蘇進昌</v>
      </c>
    </row>
    <row r="3588" spans="6:19" hidden="1" x14ac:dyDescent="0.25">
      <c r="F3588" t="s">
        <v>1476</v>
      </c>
      <c r="G3588" t="s">
        <v>402</v>
      </c>
      <c r="H3588" t="str">
        <f>VLOOKUP(record[[#This Row],[ProcessSN]],表格2_7[],2,FALSE)</f>
        <v>30-4118-018-550</v>
      </c>
      <c r="I3588" t="str">
        <f>VLOOKUP(record[[#This Row],[ProcessSN]],表格2_7[],3,FALSE)</f>
        <v>#100STOCK</v>
      </c>
      <c r="J3588" t="s">
        <v>592</v>
      </c>
      <c r="K3588" s="195">
        <v>46090.603090277778</v>
      </c>
      <c r="L3588">
        <v>1</v>
      </c>
      <c r="M3588">
        <v>0</v>
      </c>
      <c r="N3588" s="98" t="str">
        <f>IF(record[[#This Row],[Memo]]="Browser:chrome os:android","平板報工",IF(record[[#This Row],[Memo]]=0,"委外",record[[#This Row],[Memo]]))</f>
        <v>1.5覆回</v>
      </c>
      <c r="O3588" t="s">
        <v>1411</v>
      </c>
      <c r="P3588" t="s">
        <v>65</v>
      </c>
      <c r="R3588" t="str">
        <f>IFERROR(VLOOKUP(record[[#This Row],[PCUSTID]],廠商[],2,FALSE),"")</f>
        <v/>
      </c>
      <c r="S3588" t="str">
        <f>VLOOKUP(record[[#This Row],[employeeID]],員工[],2,FALSE)</f>
        <v>蘇進昌</v>
      </c>
    </row>
    <row r="3589" spans="6:19" hidden="1" x14ac:dyDescent="0.25">
      <c r="F3589" t="s">
        <v>1456</v>
      </c>
      <c r="G3589" t="s">
        <v>398</v>
      </c>
      <c r="H3589" t="str">
        <f>VLOOKUP(record[[#This Row],[ProcessSN]],表格2_7[],2,FALSE)</f>
        <v>30-4118-018-550</v>
      </c>
      <c r="I3589" t="str">
        <f>VLOOKUP(record[[#This Row],[ProcessSN]],表格2_7[],3,FALSE)</f>
        <v>#08RCV</v>
      </c>
      <c r="J3589" t="s">
        <v>591</v>
      </c>
      <c r="K3589" s="195">
        <v>46090.603090277778</v>
      </c>
      <c r="L3589">
        <v>2</v>
      </c>
      <c r="M3589">
        <v>-2</v>
      </c>
      <c r="N3589" s="98" t="str">
        <f>IF(record[[#This Row],[Memo]]="Browser:chrome os:android","平板報工",IF(record[[#This Row],[Memo]]=0,"委外",record[[#This Row],[Memo]]))</f>
        <v>1.5覆回</v>
      </c>
      <c r="O3589" t="s">
        <v>1411</v>
      </c>
      <c r="P3589" t="s">
        <v>65</v>
      </c>
      <c r="R3589" t="str">
        <f>IFERROR(VLOOKUP(record[[#This Row],[PCUSTID]],廠商[],2,FALSE),"")</f>
        <v/>
      </c>
      <c r="S3589" t="str">
        <f>VLOOKUP(record[[#This Row],[employeeID]],員工[],2,FALSE)</f>
        <v>蘇進昌</v>
      </c>
    </row>
    <row r="3590" spans="6:19" hidden="1" x14ac:dyDescent="0.25">
      <c r="F3590" t="s">
        <v>1456</v>
      </c>
      <c r="G3590" t="s">
        <v>399</v>
      </c>
      <c r="H3590" t="str">
        <f>VLOOKUP(record[[#This Row],[ProcessSN]],表格2_7[],2,FALSE)</f>
        <v>30-4118-018-550</v>
      </c>
      <c r="I3590" t="str">
        <f>VLOOKUP(record[[#This Row],[ProcessSN]],表格2_7[],3,FALSE)</f>
        <v>#08IQC</v>
      </c>
      <c r="J3590" t="s">
        <v>583</v>
      </c>
      <c r="K3590" s="195">
        <v>46090.603090277778</v>
      </c>
      <c r="L3590">
        <v>2</v>
      </c>
      <c r="M3590">
        <v>0</v>
      </c>
      <c r="N3590" s="98" t="str">
        <f>IF(record[[#This Row],[Memo]]="Browser:chrome os:android","平板報工",IF(record[[#This Row],[Memo]]=0,"委外",record[[#This Row],[Memo]]))</f>
        <v>1.5覆回</v>
      </c>
      <c r="O3590" t="s">
        <v>1411</v>
      </c>
      <c r="P3590" t="s">
        <v>65</v>
      </c>
      <c r="R3590" t="str">
        <f>IFERROR(VLOOKUP(record[[#This Row],[PCUSTID]],廠商[],2,FALSE),"")</f>
        <v/>
      </c>
      <c r="S3590" t="str">
        <f>VLOOKUP(record[[#This Row],[employeeID]],員工[],2,FALSE)</f>
        <v>蘇進昌</v>
      </c>
    </row>
    <row r="3591" spans="6:19" hidden="1" x14ac:dyDescent="0.25">
      <c r="F3591" t="s">
        <v>1456</v>
      </c>
      <c r="G3591" t="s">
        <v>400</v>
      </c>
      <c r="H3591" t="str">
        <f>VLOOKUP(record[[#This Row],[ProcessSN]],表格2_7[],2,FALSE)</f>
        <v>30-4118-018-550</v>
      </c>
      <c r="I3591" t="str">
        <f>VLOOKUP(record[[#This Row],[ProcessSN]],表格2_7[],3,FALSE)</f>
        <v>#100</v>
      </c>
      <c r="J3591" t="s">
        <v>598</v>
      </c>
      <c r="K3591" s="195">
        <v>46090.603090277778</v>
      </c>
      <c r="L3591">
        <v>2</v>
      </c>
      <c r="M3591">
        <v>0</v>
      </c>
      <c r="N3591" s="98" t="str">
        <f>IF(record[[#This Row],[Memo]]="Browser:chrome os:android","平板報工",IF(record[[#This Row],[Memo]]=0,"委外",record[[#This Row],[Memo]]))</f>
        <v>1.5覆回</v>
      </c>
      <c r="O3591" t="s">
        <v>1411</v>
      </c>
      <c r="P3591" t="s">
        <v>65</v>
      </c>
      <c r="R3591" t="str">
        <f>IFERROR(VLOOKUP(record[[#This Row],[PCUSTID]],廠商[],2,FALSE),"")</f>
        <v/>
      </c>
      <c r="S3591" t="str">
        <f>VLOOKUP(record[[#This Row],[employeeID]],員工[],2,FALSE)</f>
        <v>蘇進昌</v>
      </c>
    </row>
    <row r="3592" spans="6:19" hidden="1" x14ac:dyDescent="0.25">
      <c r="F3592" t="s">
        <v>1456</v>
      </c>
      <c r="G3592" t="s">
        <v>401</v>
      </c>
      <c r="H3592" t="str">
        <f>VLOOKUP(record[[#This Row],[ProcessSN]],表格2_7[],2,FALSE)</f>
        <v>30-4118-018-550</v>
      </c>
      <c r="I3592" t="str">
        <f>VLOOKUP(record[[#This Row],[ProcessSN]],表格2_7[],3,FALSE)</f>
        <v>#100OQC</v>
      </c>
      <c r="J3592" t="s">
        <v>599</v>
      </c>
      <c r="K3592" s="195">
        <v>46090.603090277778</v>
      </c>
      <c r="L3592">
        <v>2</v>
      </c>
      <c r="M3592">
        <v>0</v>
      </c>
      <c r="N3592" s="98" t="str">
        <f>IF(record[[#This Row],[Memo]]="Browser:chrome os:android","平板報工",IF(record[[#This Row],[Memo]]=0,"委外",record[[#This Row],[Memo]]))</f>
        <v>1.5覆回</v>
      </c>
      <c r="O3592" t="s">
        <v>1411</v>
      </c>
      <c r="P3592" t="s">
        <v>65</v>
      </c>
      <c r="R3592" t="str">
        <f>IFERROR(VLOOKUP(record[[#This Row],[PCUSTID]],廠商[],2,FALSE),"")</f>
        <v/>
      </c>
      <c r="S3592" t="str">
        <f>VLOOKUP(record[[#This Row],[employeeID]],員工[],2,FALSE)</f>
        <v>蘇進昌</v>
      </c>
    </row>
    <row r="3593" spans="6:19" hidden="1" x14ac:dyDescent="0.25">
      <c r="F3593" t="s">
        <v>1456</v>
      </c>
      <c r="G3593" t="s">
        <v>402</v>
      </c>
      <c r="H3593" t="str">
        <f>VLOOKUP(record[[#This Row],[ProcessSN]],表格2_7[],2,FALSE)</f>
        <v>30-4118-018-550</v>
      </c>
      <c r="I3593" t="str">
        <f>VLOOKUP(record[[#This Row],[ProcessSN]],表格2_7[],3,FALSE)</f>
        <v>#100STOCK</v>
      </c>
      <c r="J3593" t="s">
        <v>592</v>
      </c>
      <c r="K3593" s="195">
        <v>46090.603090277778</v>
      </c>
      <c r="L3593">
        <v>2</v>
      </c>
      <c r="M3593">
        <v>0</v>
      </c>
      <c r="N3593" s="98" t="str">
        <f>IF(record[[#This Row],[Memo]]="Browser:chrome os:android","平板報工",IF(record[[#This Row],[Memo]]=0,"委外",record[[#This Row],[Memo]]))</f>
        <v>1.5覆回</v>
      </c>
      <c r="O3593" t="s">
        <v>1411</v>
      </c>
      <c r="P3593" t="s">
        <v>65</v>
      </c>
      <c r="R3593" t="str">
        <f>IFERROR(VLOOKUP(record[[#This Row],[PCUSTID]],廠商[],2,FALSE),"")</f>
        <v/>
      </c>
      <c r="S3593" t="str">
        <f>VLOOKUP(record[[#This Row],[employeeID]],員工[],2,FALSE)</f>
        <v>蘇進昌</v>
      </c>
    </row>
    <row r="3594" spans="6:19" hidden="1" x14ac:dyDescent="0.25">
      <c r="F3594" t="s">
        <v>1484</v>
      </c>
      <c r="G3594" t="s">
        <v>423</v>
      </c>
      <c r="H3594" t="str">
        <f>VLOOKUP(record[[#This Row],[ProcessSN]],表格2_7[],2,FALSE)</f>
        <v>30-4118-018-600</v>
      </c>
      <c r="I3594" t="str">
        <f>VLOOKUP(record[[#This Row],[ProcessSN]],表格2_7[],3,FALSE)</f>
        <v>#08RCV</v>
      </c>
      <c r="J3594" t="s">
        <v>591</v>
      </c>
      <c r="K3594" s="195">
        <v>46090.603090277778</v>
      </c>
      <c r="L3594">
        <v>3</v>
      </c>
      <c r="M3594">
        <v>-3</v>
      </c>
      <c r="N3594" s="98" t="str">
        <f>IF(record[[#This Row],[Memo]]="Browser:chrome os:android","平板報工",IF(record[[#This Row],[Memo]]=0,"委外",record[[#This Row],[Memo]]))</f>
        <v>1.5覆回</v>
      </c>
      <c r="O3594" t="s">
        <v>1411</v>
      </c>
      <c r="P3594" t="s">
        <v>65</v>
      </c>
      <c r="R3594" t="str">
        <f>IFERROR(VLOOKUP(record[[#This Row],[PCUSTID]],廠商[],2,FALSE),"")</f>
        <v/>
      </c>
      <c r="S3594" t="str">
        <f>VLOOKUP(record[[#This Row],[employeeID]],員工[],2,FALSE)</f>
        <v>蘇進昌</v>
      </c>
    </row>
    <row r="3595" spans="6:19" hidden="1" x14ac:dyDescent="0.25">
      <c r="F3595" t="s">
        <v>1484</v>
      </c>
      <c r="G3595" t="s">
        <v>424</v>
      </c>
      <c r="H3595" t="str">
        <f>VLOOKUP(record[[#This Row],[ProcessSN]],表格2_7[],2,FALSE)</f>
        <v>30-4118-018-600</v>
      </c>
      <c r="I3595" t="str">
        <f>VLOOKUP(record[[#This Row],[ProcessSN]],表格2_7[],3,FALSE)</f>
        <v>#08IQC</v>
      </c>
      <c r="J3595" t="s">
        <v>583</v>
      </c>
      <c r="K3595" s="195">
        <v>46090.603090277778</v>
      </c>
      <c r="L3595">
        <v>3</v>
      </c>
      <c r="M3595">
        <v>0</v>
      </c>
      <c r="N3595" s="98" t="str">
        <f>IF(record[[#This Row],[Memo]]="Browser:chrome os:android","平板報工",IF(record[[#This Row],[Memo]]=0,"委外",record[[#This Row],[Memo]]))</f>
        <v>1.5覆回</v>
      </c>
      <c r="O3595" t="s">
        <v>1411</v>
      </c>
      <c r="P3595" t="s">
        <v>65</v>
      </c>
      <c r="R3595" t="str">
        <f>IFERROR(VLOOKUP(record[[#This Row],[PCUSTID]],廠商[],2,FALSE),"")</f>
        <v/>
      </c>
      <c r="S3595" t="str">
        <f>VLOOKUP(record[[#This Row],[employeeID]],員工[],2,FALSE)</f>
        <v>蘇進昌</v>
      </c>
    </row>
    <row r="3596" spans="6:19" hidden="1" x14ac:dyDescent="0.25">
      <c r="F3596" t="s">
        <v>1484</v>
      </c>
      <c r="G3596" t="s">
        <v>425</v>
      </c>
      <c r="H3596" t="str">
        <f>VLOOKUP(record[[#This Row],[ProcessSN]],表格2_7[],2,FALSE)</f>
        <v>30-4118-018-600</v>
      </c>
      <c r="I3596" t="str">
        <f>VLOOKUP(record[[#This Row],[ProcessSN]],表格2_7[],3,FALSE)</f>
        <v>#100</v>
      </c>
      <c r="J3596" t="s">
        <v>598</v>
      </c>
      <c r="K3596" s="195">
        <v>46090.603090277778</v>
      </c>
      <c r="L3596">
        <v>3</v>
      </c>
      <c r="M3596">
        <v>0</v>
      </c>
      <c r="N3596" s="98" t="str">
        <f>IF(record[[#This Row],[Memo]]="Browser:chrome os:android","平板報工",IF(record[[#This Row],[Memo]]=0,"委外",record[[#This Row],[Memo]]))</f>
        <v>1.5覆回</v>
      </c>
      <c r="O3596" t="s">
        <v>1411</v>
      </c>
      <c r="P3596" t="s">
        <v>65</v>
      </c>
      <c r="R3596" t="str">
        <f>IFERROR(VLOOKUP(record[[#This Row],[PCUSTID]],廠商[],2,FALSE),"")</f>
        <v/>
      </c>
      <c r="S3596" t="str">
        <f>VLOOKUP(record[[#This Row],[employeeID]],員工[],2,FALSE)</f>
        <v>蘇進昌</v>
      </c>
    </row>
    <row r="3597" spans="6:19" hidden="1" x14ac:dyDescent="0.25">
      <c r="F3597" t="s">
        <v>1484</v>
      </c>
      <c r="G3597" t="s">
        <v>426</v>
      </c>
      <c r="H3597" t="str">
        <f>VLOOKUP(record[[#This Row],[ProcessSN]],表格2_7[],2,FALSE)</f>
        <v>30-4118-018-600</v>
      </c>
      <c r="I3597" t="str">
        <f>VLOOKUP(record[[#This Row],[ProcessSN]],表格2_7[],3,FALSE)</f>
        <v>#100OQC</v>
      </c>
      <c r="J3597" t="s">
        <v>599</v>
      </c>
      <c r="K3597" s="195">
        <v>46090.603090277778</v>
      </c>
      <c r="L3597">
        <v>3</v>
      </c>
      <c r="M3597">
        <v>0</v>
      </c>
      <c r="N3597" s="98" t="str">
        <f>IF(record[[#This Row],[Memo]]="Browser:chrome os:android","平板報工",IF(record[[#This Row],[Memo]]=0,"委外",record[[#This Row],[Memo]]))</f>
        <v>1.5覆回</v>
      </c>
      <c r="O3597" t="s">
        <v>1411</v>
      </c>
      <c r="P3597" t="s">
        <v>65</v>
      </c>
      <c r="R3597" t="str">
        <f>IFERROR(VLOOKUP(record[[#This Row],[PCUSTID]],廠商[],2,FALSE),"")</f>
        <v/>
      </c>
      <c r="S3597" t="str">
        <f>VLOOKUP(record[[#This Row],[employeeID]],員工[],2,FALSE)</f>
        <v>蘇進昌</v>
      </c>
    </row>
    <row r="3598" spans="6:19" hidden="1" x14ac:dyDescent="0.25">
      <c r="F3598" t="s">
        <v>1484</v>
      </c>
      <c r="G3598" t="s">
        <v>427</v>
      </c>
      <c r="H3598" t="str">
        <f>VLOOKUP(record[[#This Row],[ProcessSN]],表格2_7[],2,FALSE)</f>
        <v>30-4118-018-600</v>
      </c>
      <c r="I3598" t="str">
        <f>VLOOKUP(record[[#This Row],[ProcessSN]],表格2_7[],3,FALSE)</f>
        <v>#100STOCK</v>
      </c>
      <c r="J3598" t="s">
        <v>592</v>
      </c>
      <c r="K3598" s="195">
        <v>46090.603090277778</v>
      </c>
      <c r="L3598">
        <v>3</v>
      </c>
      <c r="M3598">
        <v>0</v>
      </c>
      <c r="N3598" s="98" t="str">
        <f>IF(record[[#This Row],[Memo]]="Browser:chrome os:android","平板報工",IF(record[[#This Row],[Memo]]=0,"委外",record[[#This Row],[Memo]]))</f>
        <v>1.5覆回</v>
      </c>
      <c r="O3598" t="s">
        <v>1411</v>
      </c>
      <c r="P3598" t="s">
        <v>65</v>
      </c>
      <c r="R3598" t="str">
        <f>IFERROR(VLOOKUP(record[[#This Row],[PCUSTID]],廠商[],2,FALSE),"")</f>
        <v/>
      </c>
      <c r="S3598" t="str">
        <f>VLOOKUP(record[[#This Row],[employeeID]],員工[],2,FALSE)</f>
        <v>蘇進昌</v>
      </c>
    </row>
    <row r="3599" spans="6:19" hidden="1" x14ac:dyDescent="0.25">
      <c r="F3599" t="s">
        <v>1457</v>
      </c>
      <c r="G3599" t="s">
        <v>423</v>
      </c>
      <c r="H3599" t="str">
        <f>VLOOKUP(record[[#This Row],[ProcessSN]],表格2_7[],2,FALSE)</f>
        <v>30-4118-018-600</v>
      </c>
      <c r="I3599" t="str">
        <f>VLOOKUP(record[[#This Row],[ProcessSN]],表格2_7[],3,FALSE)</f>
        <v>#08RCV</v>
      </c>
      <c r="J3599" t="s">
        <v>591</v>
      </c>
      <c r="K3599" s="195">
        <v>46090.603090277778</v>
      </c>
      <c r="L3599">
        <v>2</v>
      </c>
      <c r="M3599">
        <v>-2</v>
      </c>
      <c r="N3599" s="98" t="str">
        <f>IF(record[[#This Row],[Memo]]="Browser:chrome os:android","平板報工",IF(record[[#This Row],[Memo]]=0,"委外",record[[#This Row],[Memo]]))</f>
        <v>1.5覆回</v>
      </c>
      <c r="O3599" t="s">
        <v>1411</v>
      </c>
      <c r="P3599" t="s">
        <v>65</v>
      </c>
      <c r="R3599" t="str">
        <f>IFERROR(VLOOKUP(record[[#This Row],[PCUSTID]],廠商[],2,FALSE),"")</f>
        <v/>
      </c>
      <c r="S3599" t="str">
        <f>VLOOKUP(record[[#This Row],[employeeID]],員工[],2,FALSE)</f>
        <v>蘇進昌</v>
      </c>
    </row>
    <row r="3600" spans="6:19" hidden="1" x14ac:dyDescent="0.25">
      <c r="F3600" t="s">
        <v>1457</v>
      </c>
      <c r="G3600" t="s">
        <v>424</v>
      </c>
      <c r="H3600" t="str">
        <f>VLOOKUP(record[[#This Row],[ProcessSN]],表格2_7[],2,FALSE)</f>
        <v>30-4118-018-600</v>
      </c>
      <c r="I3600" t="str">
        <f>VLOOKUP(record[[#This Row],[ProcessSN]],表格2_7[],3,FALSE)</f>
        <v>#08IQC</v>
      </c>
      <c r="J3600" t="s">
        <v>583</v>
      </c>
      <c r="K3600" s="195">
        <v>46090.603090277778</v>
      </c>
      <c r="L3600">
        <v>2</v>
      </c>
      <c r="M3600">
        <v>0</v>
      </c>
      <c r="N3600" s="98" t="str">
        <f>IF(record[[#This Row],[Memo]]="Browser:chrome os:android","平板報工",IF(record[[#This Row],[Memo]]=0,"委外",record[[#This Row],[Memo]]))</f>
        <v>1.5覆回</v>
      </c>
      <c r="O3600" t="s">
        <v>1411</v>
      </c>
      <c r="P3600" t="s">
        <v>65</v>
      </c>
      <c r="R3600" t="str">
        <f>IFERROR(VLOOKUP(record[[#This Row],[PCUSTID]],廠商[],2,FALSE),"")</f>
        <v/>
      </c>
      <c r="S3600" t="str">
        <f>VLOOKUP(record[[#This Row],[employeeID]],員工[],2,FALSE)</f>
        <v>蘇進昌</v>
      </c>
    </row>
    <row r="3601" spans="6:19" hidden="1" x14ac:dyDescent="0.25">
      <c r="F3601" t="s">
        <v>1457</v>
      </c>
      <c r="G3601" t="s">
        <v>425</v>
      </c>
      <c r="H3601" t="str">
        <f>VLOOKUP(record[[#This Row],[ProcessSN]],表格2_7[],2,FALSE)</f>
        <v>30-4118-018-600</v>
      </c>
      <c r="I3601" t="str">
        <f>VLOOKUP(record[[#This Row],[ProcessSN]],表格2_7[],3,FALSE)</f>
        <v>#100</v>
      </c>
      <c r="J3601" t="s">
        <v>598</v>
      </c>
      <c r="K3601" s="195">
        <v>46090.603090277778</v>
      </c>
      <c r="L3601">
        <v>2</v>
      </c>
      <c r="M3601">
        <v>0</v>
      </c>
      <c r="N3601" s="98" t="str">
        <f>IF(record[[#This Row],[Memo]]="Browser:chrome os:android","平板報工",IF(record[[#This Row],[Memo]]=0,"委外",record[[#This Row],[Memo]]))</f>
        <v>1.5覆回</v>
      </c>
      <c r="O3601" t="s">
        <v>1411</v>
      </c>
      <c r="P3601" t="s">
        <v>65</v>
      </c>
      <c r="R3601" t="str">
        <f>IFERROR(VLOOKUP(record[[#This Row],[PCUSTID]],廠商[],2,FALSE),"")</f>
        <v/>
      </c>
      <c r="S3601" t="str">
        <f>VLOOKUP(record[[#This Row],[employeeID]],員工[],2,FALSE)</f>
        <v>蘇進昌</v>
      </c>
    </row>
    <row r="3602" spans="6:19" hidden="1" x14ac:dyDescent="0.25">
      <c r="F3602" t="s">
        <v>1457</v>
      </c>
      <c r="G3602" t="s">
        <v>426</v>
      </c>
      <c r="H3602" t="str">
        <f>VLOOKUP(record[[#This Row],[ProcessSN]],表格2_7[],2,FALSE)</f>
        <v>30-4118-018-600</v>
      </c>
      <c r="I3602" t="str">
        <f>VLOOKUP(record[[#This Row],[ProcessSN]],表格2_7[],3,FALSE)</f>
        <v>#100OQC</v>
      </c>
      <c r="J3602" t="s">
        <v>599</v>
      </c>
      <c r="K3602" s="195">
        <v>46090.603090277778</v>
      </c>
      <c r="L3602">
        <v>2</v>
      </c>
      <c r="M3602">
        <v>0</v>
      </c>
      <c r="N3602" s="98" t="str">
        <f>IF(record[[#This Row],[Memo]]="Browser:chrome os:android","平板報工",IF(record[[#This Row],[Memo]]=0,"委外",record[[#This Row],[Memo]]))</f>
        <v>1.5覆回</v>
      </c>
      <c r="O3602" t="s">
        <v>1411</v>
      </c>
      <c r="P3602" t="s">
        <v>65</v>
      </c>
      <c r="R3602" t="str">
        <f>IFERROR(VLOOKUP(record[[#This Row],[PCUSTID]],廠商[],2,FALSE),"")</f>
        <v/>
      </c>
      <c r="S3602" t="str">
        <f>VLOOKUP(record[[#This Row],[employeeID]],員工[],2,FALSE)</f>
        <v>蘇進昌</v>
      </c>
    </row>
    <row r="3603" spans="6:19" hidden="1" x14ac:dyDescent="0.25">
      <c r="F3603" t="s">
        <v>1457</v>
      </c>
      <c r="G3603" t="s">
        <v>427</v>
      </c>
      <c r="H3603" t="str">
        <f>VLOOKUP(record[[#This Row],[ProcessSN]],表格2_7[],2,FALSE)</f>
        <v>30-4118-018-600</v>
      </c>
      <c r="I3603" t="str">
        <f>VLOOKUP(record[[#This Row],[ProcessSN]],表格2_7[],3,FALSE)</f>
        <v>#100STOCK</v>
      </c>
      <c r="J3603" t="s">
        <v>592</v>
      </c>
      <c r="K3603" s="195">
        <v>46090.603090277778</v>
      </c>
      <c r="L3603">
        <v>2</v>
      </c>
      <c r="M3603">
        <v>0</v>
      </c>
      <c r="N3603" s="98" t="str">
        <f>IF(record[[#This Row],[Memo]]="Browser:chrome os:android","平板報工",IF(record[[#This Row],[Memo]]=0,"委外",record[[#This Row],[Memo]]))</f>
        <v>1.5覆回</v>
      </c>
      <c r="O3603" t="s">
        <v>1411</v>
      </c>
      <c r="P3603" t="s">
        <v>65</v>
      </c>
      <c r="R3603" t="str">
        <f>IFERROR(VLOOKUP(record[[#This Row],[PCUSTID]],廠商[],2,FALSE),"")</f>
        <v/>
      </c>
      <c r="S3603" t="str">
        <f>VLOOKUP(record[[#This Row],[employeeID]],員工[],2,FALSE)</f>
        <v>蘇進昌</v>
      </c>
    </row>
    <row r="3604" spans="6:19" hidden="1" x14ac:dyDescent="0.25">
      <c r="F3604" t="s">
        <v>1585</v>
      </c>
      <c r="G3604" t="s">
        <v>423</v>
      </c>
      <c r="H3604" t="str">
        <f>VLOOKUP(record[[#This Row],[ProcessSN]],表格2_7[],2,FALSE)</f>
        <v>30-4118-018-600</v>
      </c>
      <c r="I3604" t="str">
        <f>VLOOKUP(record[[#This Row],[ProcessSN]],表格2_7[],3,FALSE)</f>
        <v>#08RCV</v>
      </c>
      <c r="J3604" t="s">
        <v>591</v>
      </c>
      <c r="K3604" s="195">
        <v>46090.603090277778</v>
      </c>
      <c r="L3604">
        <v>23</v>
      </c>
      <c r="M3604">
        <v>-23</v>
      </c>
      <c r="N3604" s="98" t="str">
        <f>IF(record[[#This Row],[Memo]]="Browser:chrome os:android","平板報工",IF(record[[#This Row],[Memo]]=0,"委外",record[[#This Row],[Memo]]))</f>
        <v>1.5覆回</v>
      </c>
      <c r="O3604" t="s">
        <v>1411</v>
      </c>
      <c r="P3604" t="s">
        <v>65</v>
      </c>
      <c r="R3604" t="str">
        <f>IFERROR(VLOOKUP(record[[#This Row],[PCUSTID]],廠商[],2,FALSE),"")</f>
        <v/>
      </c>
      <c r="S3604" t="str">
        <f>VLOOKUP(record[[#This Row],[employeeID]],員工[],2,FALSE)</f>
        <v>蘇進昌</v>
      </c>
    </row>
    <row r="3605" spans="6:19" hidden="1" x14ac:dyDescent="0.25">
      <c r="F3605" t="s">
        <v>1585</v>
      </c>
      <c r="G3605" t="s">
        <v>424</v>
      </c>
      <c r="H3605" t="str">
        <f>VLOOKUP(record[[#This Row],[ProcessSN]],表格2_7[],2,FALSE)</f>
        <v>30-4118-018-600</v>
      </c>
      <c r="I3605" t="str">
        <f>VLOOKUP(record[[#This Row],[ProcessSN]],表格2_7[],3,FALSE)</f>
        <v>#08IQC</v>
      </c>
      <c r="J3605" t="s">
        <v>583</v>
      </c>
      <c r="K3605" s="195">
        <v>46090.603090277778</v>
      </c>
      <c r="L3605">
        <v>23</v>
      </c>
      <c r="M3605">
        <v>0</v>
      </c>
      <c r="N3605" s="98" t="str">
        <f>IF(record[[#This Row],[Memo]]="Browser:chrome os:android","平板報工",IF(record[[#This Row],[Memo]]=0,"委外",record[[#This Row],[Memo]]))</f>
        <v>1.5覆回</v>
      </c>
      <c r="O3605" t="s">
        <v>1411</v>
      </c>
      <c r="P3605" t="s">
        <v>65</v>
      </c>
      <c r="R3605" t="str">
        <f>IFERROR(VLOOKUP(record[[#This Row],[PCUSTID]],廠商[],2,FALSE),"")</f>
        <v/>
      </c>
      <c r="S3605" t="str">
        <f>VLOOKUP(record[[#This Row],[employeeID]],員工[],2,FALSE)</f>
        <v>蘇進昌</v>
      </c>
    </row>
    <row r="3606" spans="6:19" hidden="1" x14ac:dyDescent="0.25">
      <c r="F3606" t="s">
        <v>1585</v>
      </c>
      <c r="G3606" t="s">
        <v>425</v>
      </c>
      <c r="H3606" t="str">
        <f>VLOOKUP(record[[#This Row],[ProcessSN]],表格2_7[],2,FALSE)</f>
        <v>30-4118-018-600</v>
      </c>
      <c r="I3606" t="str">
        <f>VLOOKUP(record[[#This Row],[ProcessSN]],表格2_7[],3,FALSE)</f>
        <v>#100</v>
      </c>
      <c r="J3606" t="s">
        <v>598</v>
      </c>
      <c r="K3606" s="195">
        <v>46090.603090277778</v>
      </c>
      <c r="L3606">
        <v>23</v>
      </c>
      <c r="M3606">
        <v>0</v>
      </c>
      <c r="N3606" s="98" t="str">
        <f>IF(record[[#This Row],[Memo]]="Browser:chrome os:android","平板報工",IF(record[[#This Row],[Memo]]=0,"委外",record[[#This Row],[Memo]]))</f>
        <v>1.5覆回</v>
      </c>
      <c r="O3606" t="s">
        <v>1411</v>
      </c>
      <c r="P3606" t="s">
        <v>65</v>
      </c>
      <c r="R3606" t="str">
        <f>IFERROR(VLOOKUP(record[[#This Row],[PCUSTID]],廠商[],2,FALSE),"")</f>
        <v/>
      </c>
      <c r="S3606" t="str">
        <f>VLOOKUP(record[[#This Row],[employeeID]],員工[],2,FALSE)</f>
        <v>蘇進昌</v>
      </c>
    </row>
    <row r="3607" spans="6:19" hidden="1" x14ac:dyDescent="0.25">
      <c r="F3607" t="s">
        <v>1585</v>
      </c>
      <c r="G3607" t="s">
        <v>426</v>
      </c>
      <c r="H3607" t="str">
        <f>VLOOKUP(record[[#This Row],[ProcessSN]],表格2_7[],2,FALSE)</f>
        <v>30-4118-018-600</v>
      </c>
      <c r="I3607" t="str">
        <f>VLOOKUP(record[[#This Row],[ProcessSN]],表格2_7[],3,FALSE)</f>
        <v>#100OQC</v>
      </c>
      <c r="J3607" t="s">
        <v>599</v>
      </c>
      <c r="K3607" s="195">
        <v>46090.603090277778</v>
      </c>
      <c r="L3607">
        <v>23</v>
      </c>
      <c r="M3607">
        <v>0</v>
      </c>
      <c r="N3607" s="98" t="str">
        <f>IF(record[[#This Row],[Memo]]="Browser:chrome os:android","平板報工",IF(record[[#This Row],[Memo]]=0,"委外",record[[#This Row],[Memo]]))</f>
        <v>1.5覆回</v>
      </c>
      <c r="O3607" t="s">
        <v>1411</v>
      </c>
      <c r="P3607" t="s">
        <v>65</v>
      </c>
      <c r="R3607" t="str">
        <f>IFERROR(VLOOKUP(record[[#This Row],[PCUSTID]],廠商[],2,FALSE),"")</f>
        <v/>
      </c>
      <c r="S3607" t="str">
        <f>VLOOKUP(record[[#This Row],[employeeID]],員工[],2,FALSE)</f>
        <v>蘇進昌</v>
      </c>
    </row>
    <row r="3608" spans="6:19" hidden="1" x14ac:dyDescent="0.25">
      <c r="F3608" t="s">
        <v>1585</v>
      </c>
      <c r="G3608" t="s">
        <v>427</v>
      </c>
      <c r="H3608" t="str">
        <f>VLOOKUP(record[[#This Row],[ProcessSN]],表格2_7[],2,FALSE)</f>
        <v>30-4118-018-600</v>
      </c>
      <c r="I3608" t="str">
        <f>VLOOKUP(record[[#This Row],[ProcessSN]],表格2_7[],3,FALSE)</f>
        <v>#100STOCK</v>
      </c>
      <c r="J3608" t="s">
        <v>592</v>
      </c>
      <c r="K3608" s="195">
        <v>46090.603090277778</v>
      </c>
      <c r="L3608">
        <v>23</v>
      </c>
      <c r="M3608">
        <v>0</v>
      </c>
      <c r="N3608" s="98" t="str">
        <f>IF(record[[#This Row],[Memo]]="Browser:chrome os:android","平板報工",IF(record[[#This Row],[Memo]]=0,"委外",record[[#This Row],[Memo]]))</f>
        <v>1.5覆回</v>
      </c>
      <c r="O3608" t="s">
        <v>1411</v>
      </c>
      <c r="P3608" t="s">
        <v>65</v>
      </c>
      <c r="R3608" t="str">
        <f>IFERROR(VLOOKUP(record[[#This Row],[PCUSTID]],廠商[],2,FALSE),"")</f>
        <v/>
      </c>
      <c r="S3608" t="str">
        <f>VLOOKUP(record[[#This Row],[employeeID]],員工[],2,FALSE)</f>
        <v>蘇進昌</v>
      </c>
    </row>
    <row r="3609" spans="6:19" hidden="1" x14ac:dyDescent="0.25">
      <c r="F3609" t="s">
        <v>1570</v>
      </c>
      <c r="G3609" t="s">
        <v>378</v>
      </c>
      <c r="H3609" t="str">
        <f>VLOOKUP(record[[#This Row],[ProcessSN]],表格2_7[],2,FALSE)</f>
        <v>30-4118-018-4XX</v>
      </c>
      <c r="I3609" t="str">
        <f>VLOOKUP(record[[#This Row],[ProcessSN]],表格2_7[],3,FALSE)</f>
        <v>#07QC</v>
      </c>
      <c r="J3609" t="s">
        <v>589</v>
      </c>
      <c r="K3609" s="195">
        <v>46090.470937500002</v>
      </c>
      <c r="L3609">
        <v>157</v>
      </c>
      <c r="M3609">
        <v>0</v>
      </c>
      <c r="N3609" s="98" t="str">
        <f>IF(record[[#This Row],[Memo]]="Browser:chrome os:android","平板報工",IF(record[[#This Row],[Memo]]=0,"委外",record[[#This Row],[Memo]]))</f>
        <v/>
      </c>
      <c r="O3609" t="s">
        <v>58</v>
      </c>
      <c r="P3609" t="s">
        <v>141</v>
      </c>
      <c r="Q3609" t="s">
        <v>58</v>
      </c>
      <c r="R3609" t="str">
        <f>IFERROR(VLOOKUP(record[[#This Row],[PCUSTID]],廠商[],2,FALSE),"")</f>
        <v/>
      </c>
      <c r="S3609" t="str">
        <f>VLOOKUP(record[[#This Row],[employeeID]],員工[],2,FALSE)</f>
        <v>蔣梅</v>
      </c>
    </row>
    <row r="3610" spans="6:19" hidden="1" x14ac:dyDescent="0.25">
      <c r="F3610" t="s">
        <v>1556</v>
      </c>
      <c r="G3610" t="s">
        <v>403</v>
      </c>
      <c r="H3610" t="str">
        <f>VLOOKUP(record[[#This Row],[ProcessSN]],表格2_7[],2,FALSE)</f>
        <v>30-4118-018-550</v>
      </c>
      <c r="I3610" t="str">
        <f>VLOOKUP(record[[#This Row],[ProcessSN]],表格2_7[],3,FALSE)</f>
        <v>#100SHIP</v>
      </c>
      <c r="J3610" t="s">
        <v>600</v>
      </c>
      <c r="K3610" s="195">
        <v>46090.429305555554</v>
      </c>
      <c r="L3610">
        <v>18</v>
      </c>
      <c r="M3610">
        <v>0</v>
      </c>
      <c r="N3610" s="98" t="str">
        <f>IF(record[[#This Row],[Memo]]="Browser:chrome os:android","平板報工",IF(record[[#This Row],[Memo]]=0,"委外",record[[#This Row],[Memo]]))</f>
        <v/>
      </c>
      <c r="O3610" t="s">
        <v>58</v>
      </c>
      <c r="P3610" t="s">
        <v>886</v>
      </c>
      <c r="Q3610" t="s">
        <v>58</v>
      </c>
      <c r="R3610" t="str">
        <f>IFERROR(VLOOKUP(record[[#This Row],[PCUSTID]],廠商[],2,FALSE),"")</f>
        <v/>
      </c>
      <c r="S3610" t="str">
        <f>VLOOKUP(record[[#This Row],[employeeID]],員工[],2,FALSE)</f>
        <v>謝蓁薰</v>
      </c>
    </row>
    <row r="3611" spans="6:19" hidden="1" x14ac:dyDescent="0.25">
      <c r="F3611" t="s">
        <v>1600</v>
      </c>
      <c r="G3611" t="s">
        <v>426</v>
      </c>
      <c r="H3611" t="str">
        <f>VLOOKUP(record[[#This Row],[ProcessSN]],表格2_7[],2,FALSE)</f>
        <v>30-4118-018-600</v>
      </c>
      <c r="I3611" t="str">
        <f>VLOOKUP(record[[#This Row],[ProcessSN]],表格2_7[],3,FALSE)</f>
        <v>#100OQC</v>
      </c>
      <c r="J3611" t="s">
        <v>599</v>
      </c>
      <c r="K3611" s="195">
        <v>46090.420578703706</v>
      </c>
      <c r="L3611">
        <v>183</v>
      </c>
      <c r="M3611">
        <v>0</v>
      </c>
      <c r="N3611" s="98" t="str">
        <f>IF(record[[#This Row],[Memo]]="Browser:chrome os:android","平板報工",IF(record[[#This Row],[Memo]]=0,"委外",record[[#This Row],[Memo]]))</f>
        <v/>
      </c>
      <c r="O3611" t="s">
        <v>58</v>
      </c>
      <c r="P3611" t="s">
        <v>121</v>
      </c>
      <c r="Q3611" t="s">
        <v>58</v>
      </c>
      <c r="R3611" t="str">
        <f>IFERROR(VLOOKUP(record[[#This Row],[PCUSTID]],廠商[],2,FALSE),"")</f>
        <v/>
      </c>
      <c r="S3611" t="str">
        <f>VLOOKUP(record[[#This Row],[employeeID]],員工[],2,FALSE)</f>
        <v>謝素卿</v>
      </c>
    </row>
    <row r="3612" spans="6:19" hidden="1" x14ac:dyDescent="0.25">
      <c r="F3612" t="s">
        <v>1552</v>
      </c>
      <c r="G3612" t="s">
        <v>403</v>
      </c>
      <c r="H3612" t="str">
        <f>VLOOKUP(record[[#This Row],[ProcessSN]],表格2_7[],2,FALSE)</f>
        <v>30-4118-018-550</v>
      </c>
      <c r="I3612" t="str">
        <f>VLOOKUP(record[[#This Row],[ProcessSN]],表格2_7[],3,FALSE)</f>
        <v>#100SHIP</v>
      </c>
      <c r="J3612" t="s">
        <v>600</v>
      </c>
      <c r="K3612" s="195">
        <v>46090.347037037034</v>
      </c>
      <c r="L3612">
        <v>77</v>
      </c>
      <c r="M3612">
        <v>0</v>
      </c>
      <c r="N3612" s="98" t="str">
        <f>IF(record[[#This Row],[Memo]]="Browser:chrome os:android","平板報工",IF(record[[#This Row],[Memo]]=0,"委外",record[[#This Row],[Memo]]))</f>
        <v/>
      </c>
      <c r="O3612" t="s">
        <v>58</v>
      </c>
      <c r="P3612" t="s">
        <v>886</v>
      </c>
      <c r="Q3612" t="s">
        <v>58</v>
      </c>
      <c r="R3612" t="str">
        <f>IFERROR(VLOOKUP(record[[#This Row],[PCUSTID]],廠商[],2,FALSE),"")</f>
        <v/>
      </c>
      <c r="S3612" t="str">
        <f>VLOOKUP(record[[#This Row],[employeeID]],員工[],2,FALSE)</f>
        <v>謝蓁薰</v>
      </c>
    </row>
    <row r="3613" spans="6:19" hidden="1" x14ac:dyDescent="0.25">
      <c r="F3613" t="s">
        <v>1549</v>
      </c>
      <c r="G3613" t="s">
        <v>403</v>
      </c>
      <c r="H3613" t="str">
        <f>VLOOKUP(record[[#This Row],[ProcessSN]],表格2_7[],2,FALSE)</f>
        <v>30-4118-018-550</v>
      </c>
      <c r="I3613" t="str">
        <f>VLOOKUP(record[[#This Row],[ProcessSN]],表格2_7[],3,FALSE)</f>
        <v>#100SHIP</v>
      </c>
      <c r="J3613" t="s">
        <v>600</v>
      </c>
      <c r="K3613" s="195">
        <v>46090.346886574072</v>
      </c>
      <c r="L3613">
        <v>26</v>
      </c>
      <c r="M3613">
        <v>0</v>
      </c>
      <c r="N3613" s="98" t="str">
        <f>IF(record[[#This Row],[Memo]]="Browser:chrome os:android","平板報工",IF(record[[#This Row],[Memo]]=0,"委外",record[[#This Row],[Memo]]))</f>
        <v/>
      </c>
      <c r="O3613" t="s">
        <v>58</v>
      </c>
      <c r="P3613" t="s">
        <v>886</v>
      </c>
      <c r="Q3613" t="s">
        <v>58</v>
      </c>
      <c r="R3613" t="str">
        <f>IFERROR(VLOOKUP(record[[#This Row],[PCUSTID]],廠商[],2,FALSE),"")</f>
        <v/>
      </c>
      <c r="S3613" t="str">
        <f>VLOOKUP(record[[#This Row],[employeeID]],員工[],2,FALSE)</f>
        <v>謝蓁薰</v>
      </c>
    </row>
    <row r="3614" spans="6:19" hidden="1" x14ac:dyDescent="0.25">
      <c r="F3614" t="s">
        <v>1570</v>
      </c>
      <c r="G3614" t="s">
        <v>377</v>
      </c>
      <c r="H3614" t="str">
        <f>VLOOKUP(record[[#This Row],[ProcessSN]],表格2_7[],2,FALSE)</f>
        <v>30-4118-018-4XX</v>
      </c>
      <c r="I3614" t="str">
        <f>VLOOKUP(record[[#This Row],[ProcessSN]],表格2_7[],3,FALSE)</f>
        <v>#07</v>
      </c>
      <c r="J3614" t="s">
        <v>588</v>
      </c>
      <c r="K3614" s="195">
        <v>46088.971863425926</v>
      </c>
      <c r="L3614">
        <v>159</v>
      </c>
      <c r="M3614">
        <v>3</v>
      </c>
      <c r="N3614" s="98" t="str">
        <f>IF(record[[#This Row],[Memo]]="Browser:chrome os:android","平板報工",IF(record[[#This Row],[Memo]]=0,"委外",record[[#This Row],[Memo]]))</f>
        <v/>
      </c>
      <c r="O3614" t="s">
        <v>58</v>
      </c>
      <c r="P3614" t="s">
        <v>89</v>
      </c>
      <c r="Q3614" t="s">
        <v>58</v>
      </c>
      <c r="R3614" t="str">
        <f>IFERROR(VLOOKUP(record[[#This Row],[PCUSTID]],廠商[],2,FALSE),"")</f>
        <v/>
      </c>
      <c r="S3614" t="str">
        <f>VLOOKUP(record[[#This Row],[employeeID]],員工[],2,FALSE)</f>
        <v>李美蓮</v>
      </c>
    </row>
    <row r="3615" spans="6:19" hidden="1" x14ac:dyDescent="0.25">
      <c r="F3615" t="s">
        <v>1570</v>
      </c>
      <c r="G3615" t="s">
        <v>376</v>
      </c>
      <c r="H3615" t="str">
        <f>VLOOKUP(record[[#This Row],[ProcessSN]],表格2_7[],2,FALSE)</f>
        <v>30-4118-018-4XX</v>
      </c>
      <c r="I3615" t="str">
        <f>VLOOKUP(record[[#This Row],[ProcessSN]],表格2_7[],3,FALSE)</f>
        <v>#06</v>
      </c>
      <c r="J3615" t="s">
        <v>593</v>
      </c>
      <c r="K3615" s="195">
        <v>46088.971284722225</v>
      </c>
      <c r="L3615">
        <v>133</v>
      </c>
      <c r="M3615">
        <v>0</v>
      </c>
      <c r="N3615" s="98" t="str">
        <f>IF(record[[#This Row],[Memo]]="Browser:chrome os:android","平板報工",IF(record[[#This Row],[Memo]]=0,"委外",record[[#This Row],[Memo]]))</f>
        <v/>
      </c>
      <c r="O3615" t="s">
        <v>58</v>
      </c>
      <c r="P3615" t="s">
        <v>841</v>
      </c>
      <c r="Q3615" t="s">
        <v>58</v>
      </c>
      <c r="R3615" t="str">
        <f>IFERROR(VLOOKUP(record[[#This Row],[PCUSTID]],廠商[],2,FALSE),"")</f>
        <v/>
      </c>
      <c r="S3615" t="str">
        <f>VLOOKUP(record[[#This Row],[employeeID]],員工[],2,FALSE)</f>
        <v>范氏香</v>
      </c>
    </row>
    <row r="3616" spans="6:19" hidden="1" x14ac:dyDescent="0.25">
      <c r="F3616" t="s">
        <v>1589</v>
      </c>
      <c r="G3616" t="s">
        <v>415</v>
      </c>
      <c r="H3616" t="str">
        <f>VLOOKUP(record[[#This Row],[ProcessSN]],表格2_7[],2,FALSE)</f>
        <v>30-4118-018-5XX</v>
      </c>
      <c r="I3616" t="str">
        <f>VLOOKUP(record[[#This Row],[ProcessSN]],表格2_7[],3,FALSE)</f>
        <v>#04</v>
      </c>
      <c r="J3616" t="s">
        <v>588</v>
      </c>
      <c r="K3616" s="195">
        <v>46088.970312500001</v>
      </c>
      <c r="L3616">
        <v>134</v>
      </c>
      <c r="M3616">
        <v>0</v>
      </c>
      <c r="N3616" s="98" t="str">
        <f>IF(record[[#This Row],[Memo]]="Browser:chrome os:android","平板報工",IF(record[[#This Row],[Memo]]=0,"委外",record[[#This Row],[Memo]]))</f>
        <v/>
      </c>
      <c r="O3616" t="s">
        <v>58</v>
      </c>
      <c r="P3616" t="s">
        <v>89</v>
      </c>
      <c r="Q3616" t="s">
        <v>58</v>
      </c>
      <c r="R3616" t="str">
        <f>IFERROR(VLOOKUP(record[[#This Row],[PCUSTID]],廠商[],2,FALSE),"")</f>
        <v/>
      </c>
      <c r="S3616" t="str">
        <f>VLOOKUP(record[[#This Row],[employeeID]],員工[],2,FALSE)</f>
        <v>李美蓮</v>
      </c>
    </row>
    <row r="3617" spans="6:19" hidden="1" x14ac:dyDescent="0.25">
      <c r="F3617" t="s">
        <v>1570</v>
      </c>
      <c r="G3617" t="s">
        <v>375</v>
      </c>
      <c r="H3617" t="str">
        <f>VLOOKUP(record[[#This Row],[ProcessSN]],表格2_7[],2,FALSE)</f>
        <v>30-4118-018-4XX</v>
      </c>
      <c r="I3617" t="str">
        <f>VLOOKUP(record[[#This Row],[ProcessSN]],表格2_7[],3,FALSE)</f>
        <v>#05</v>
      </c>
      <c r="J3617" t="s">
        <v>588</v>
      </c>
      <c r="K3617" s="195">
        <v>46088.969710648147</v>
      </c>
      <c r="L3617">
        <v>230</v>
      </c>
      <c r="M3617">
        <v>1</v>
      </c>
      <c r="N3617" s="98" t="str">
        <f>IF(record[[#This Row],[Memo]]="Browser:chrome os:android","平板報工",IF(record[[#This Row],[Memo]]=0,"委外",record[[#This Row],[Memo]]))</f>
        <v/>
      </c>
      <c r="O3617" t="s">
        <v>58</v>
      </c>
      <c r="P3617" t="s">
        <v>89</v>
      </c>
      <c r="Q3617" t="s">
        <v>58</v>
      </c>
      <c r="R3617" t="str">
        <f>IFERROR(VLOOKUP(record[[#This Row],[PCUSTID]],廠商[],2,FALSE),"")</f>
        <v/>
      </c>
      <c r="S3617" t="str">
        <f>VLOOKUP(record[[#This Row],[employeeID]],員工[],2,FALSE)</f>
        <v>李美蓮</v>
      </c>
    </row>
    <row r="3618" spans="6:19" hidden="1" x14ac:dyDescent="0.25">
      <c r="F3618" t="s">
        <v>1600</v>
      </c>
      <c r="G3618" t="s">
        <v>425</v>
      </c>
      <c r="H3618" t="str">
        <f>VLOOKUP(record[[#This Row],[ProcessSN]],表格2_7[],2,FALSE)</f>
        <v>30-4118-018-600</v>
      </c>
      <c r="I3618" t="str">
        <f>VLOOKUP(record[[#This Row],[ProcessSN]],表格2_7[],3,FALSE)</f>
        <v>#100</v>
      </c>
      <c r="J3618" t="s">
        <v>598</v>
      </c>
      <c r="K3618" s="195">
        <v>46088.694085648145</v>
      </c>
      <c r="L3618">
        <v>183</v>
      </c>
      <c r="M3618">
        <v>0</v>
      </c>
      <c r="N3618" s="98" t="str">
        <f>IF(record[[#This Row],[Memo]]="Browser:chrome os:android","平板報工",IF(record[[#This Row],[Memo]]=0,"委外",record[[#This Row],[Memo]]))</f>
        <v/>
      </c>
      <c r="O3618" t="s">
        <v>58</v>
      </c>
      <c r="P3618" t="s">
        <v>141</v>
      </c>
      <c r="Q3618" t="s">
        <v>58</v>
      </c>
      <c r="R3618" t="str">
        <f>IFERROR(VLOOKUP(record[[#This Row],[PCUSTID]],廠商[],2,FALSE),"")</f>
        <v/>
      </c>
      <c r="S3618" t="str">
        <f>VLOOKUP(record[[#This Row],[employeeID]],員工[],2,FALSE)</f>
        <v>蔣梅</v>
      </c>
    </row>
    <row r="3619" spans="6:19" hidden="1" x14ac:dyDescent="0.25">
      <c r="F3619" t="s">
        <v>1600</v>
      </c>
      <c r="G3619" t="s">
        <v>423</v>
      </c>
      <c r="H3619" t="str">
        <f>VLOOKUP(record[[#This Row],[ProcessSN]],表格2_7[],2,FALSE)</f>
        <v>30-4118-018-600</v>
      </c>
      <c r="I3619" t="str">
        <f>VLOOKUP(record[[#This Row],[ProcessSN]],表格2_7[],3,FALSE)</f>
        <v>#08RCV</v>
      </c>
      <c r="J3619" t="s">
        <v>591</v>
      </c>
      <c r="K3619" s="195">
        <v>46088.693923611114</v>
      </c>
      <c r="L3619">
        <v>0</v>
      </c>
      <c r="M3619">
        <v>10</v>
      </c>
      <c r="N3619" s="98" t="str">
        <f>IF(record[[#This Row],[Memo]]="Browser:chrome os:android","平板報工",IF(record[[#This Row],[Memo]]=0,"委外",record[[#This Row],[Memo]]))</f>
        <v/>
      </c>
      <c r="O3619" t="s">
        <v>58</v>
      </c>
      <c r="P3619" t="s">
        <v>141</v>
      </c>
      <c r="Q3619" t="s">
        <v>58</v>
      </c>
      <c r="R3619" t="str">
        <f>IFERROR(VLOOKUP(record[[#This Row],[PCUSTID]],廠商[],2,FALSE),"")</f>
        <v/>
      </c>
      <c r="S3619" t="str">
        <f>VLOOKUP(record[[#This Row],[employeeID]],員工[],2,FALSE)</f>
        <v>蔣梅</v>
      </c>
    </row>
    <row r="3620" spans="6:19" hidden="1" x14ac:dyDescent="0.25">
      <c r="F3620" t="s">
        <v>1600</v>
      </c>
      <c r="G3620" t="s">
        <v>424</v>
      </c>
      <c r="H3620" t="str">
        <f>VLOOKUP(record[[#This Row],[ProcessSN]],表格2_7[],2,FALSE)</f>
        <v>30-4118-018-600</v>
      </c>
      <c r="I3620" t="str">
        <f>VLOOKUP(record[[#This Row],[ProcessSN]],表格2_7[],3,FALSE)</f>
        <v>#08IQC</v>
      </c>
      <c r="J3620" t="s">
        <v>583</v>
      </c>
      <c r="K3620" s="195">
        <v>46088.693749999999</v>
      </c>
      <c r="L3620">
        <v>5</v>
      </c>
      <c r="M3620">
        <v>0</v>
      </c>
      <c r="N3620" s="98" t="str">
        <f>IF(record[[#This Row],[Memo]]="Browser:chrome os:android","平板報工",IF(record[[#This Row],[Memo]]=0,"委外",record[[#This Row],[Memo]]))</f>
        <v>覆回</v>
      </c>
      <c r="O3620" t="s">
        <v>682</v>
      </c>
      <c r="P3620" t="s">
        <v>141</v>
      </c>
      <c r="Q3620" t="s">
        <v>58</v>
      </c>
      <c r="R3620" t="str">
        <f>IFERROR(VLOOKUP(record[[#This Row],[PCUSTID]],廠商[],2,FALSE),"")</f>
        <v/>
      </c>
      <c r="S3620" t="str">
        <f>VLOOKUP(record[[#This Row],[employeeID]],員工[],2,FALSE)</f>
        <v>蔣梅</v>
      </c>
    </row>
    <row r="3621" spans="6:19" hidden="1" x14ac:dyDescent="0.25">
      <c r="F3621" t="s">
        <v>1600</v>
      </c>
      <c r="G3621" t="s">
        <v>423</v>
      </c>
      <c r="H3621" t="str">
        <f>VLOOKUP(record[[#This Row],[ProcessSN]],表格2_7[],2,FALSE)</f>
        <v>30-4118-018-600</v>
      </c>
      <c r="I3621" t="str">
        <f>VLOOKUP(record[[#This Row],[ProcessSN]],表格2_7[],3,FALSE)</f>
        <v>#08RCV</v>
      </c>
      <c r="J3621" t="s">
        <v>591</v>
      </c>
      <c r="K3621" s="195">
        <v>46088.693518518521</v>
      </c>
      <c r="L3621">
        <v>5</v>
      </c>
      <c r="M3621">
        <v>0</v>
      </c>
      <c r="N3621" s="98" t="str">
        <f>IF(record[[#This Row],[Memo]]="Browser:chrome os:android","平板報工",IF(record[[#This Row],[Memo]]=0,"委外",record[[#This Row],[Memo]]))</f>
        <v>覆回</v>
      </c>
      <c r="O3621" t="s">
        <v>682</v>
      </c>
      <c r="P3621" t="s">
        <v>141</v>
      </c>
      <c r="Q3621" t="s">
        <v>58</v>
      </c>
      <c r="R3621" t="str">
        <f>IFERROR(VLOOKUP(record[[#This Row],[PCUSTID]],廠商[],2,FALSE),"")</f>
        <v/>
      </c>
      <c r="S3621" t="str">
        <f>VLOOKUP(record[[#This Row],[employeeID]],員工[],2,FALSE)</f>
        <v>蔣梅</v>
      </c>
    </row>
    <row r="3622" spans="6:19" hidden="1" x14ac:dyDescent="0.25">
      <c r="F3622" t="s">
        <v>1570</v>
      </c>
      <c r="G3622" t="s">
        <v>376</v>
      </c>
      <c r="H3622" t="str">
        <f>VLOOKUP(record[[#This Row],[ProcessSN]],表格2_7[],2,FALSE)</f>
        <v>30-4118-018-4XX</v>
      </c>
      <c r="I3622" t="str">
        <f>VLOOKUP(record[[#This Row],[ProcessSN]],表格2_7[],3,FALSE)</f>
        <v>#06</v>
      </c>
      <c r="J3622" t="s">
        <v>593</v>
      </c>
      <c r="K3622" s="195">
        <v>46088.665821759256</v>
      </c>
      <c r="L3622">
        <v>125</v>
      </c>
      <c r="M3622">
        <v>0</v>
      </c>
      <c r="N3622" s="98" t="str">
        <f>IF(record[[#This Row],[Memo]]="Browser:chrome os:android","平板報工",IF(record[[#This Row],[Memo]]=0,"委外",record[[#This Row],[Memo]]))</f>
        <v>平板報工</v>
      </c>
      <c r="O3622" t="s">
        <v>643</v>
      </c>
      <c r="P3622" t="s">
        <v>1098</v>
      </c>
      <c r="Q3622" t="s">
        <v>644</v>
      </c>
      <c r="R3622" t="str">
        <f>IFERROR(VLOOKUP(record[[#This Row],[PCUSTID]],廠商[],2,FALSE),"")</f>
        <v/>
      </c>
      <c r="S3622" t="str">
        <f>VLOOKUP(record[[#This Row],[employeeID]],員工[],2,FALSE)</f>
        <v>阮氏芳英(英)</v>
      </c>
    </row>
    <row r="3623" spans="6:19" hidden="1" x14ac:dyDescent="0.25">
      <c r="F3623" t="s">
        <v>1589</v>
      </c>
      <c r="G3623" t="s">
        <v>415</v>
      </c>
      <c r="H3623" t="str">
        <f>VLOOKUP(record[[#This Row],[ProcessSN]],表格2_7[],2,FALSE)</f>
        <v>30-4118-018-5XX</v>
      </c>
      <c r="I3623" t="str">
        <f>VLOOKUP(record[[#This Row],[ProcessSN]],表格2_7[],3,FALSE)</f>
        <v>#04</v>
      </c>
      <c r="J3623" t="s">
        <v>588</v>
      </c>
      <c r="K3623" s="195">
        <v>46088.664907407408</v>
      </c>
      <c r="L3623">
        <v>91</v>
      </c>
      <c r="M3623">
        <v>13</v>
      </c>
      <c r="N3623" s="98" t="str">
        <f>IF(record[[#This Row],[Memo]]="Browser:chrome os:android","平板報工",IF(record[[#This Row],[Memo]]=0,"委外",record[[#This Row],[Memo]]))</f>
        <v/>
      </c>
      <c r="O3623" t="s">
        <v>58</v>
      </c>
      <c r="P3623" t="s">
        <v>101</v>
      </c>
      <c r="Q3623" t="s">
        <v>58</v>
      </c>
      <c r="R3623" t="str">
        <f>IFERROR(VLOOKUP(record[[#This Row],[PCUSTID]],廠商[],2,FALSE),"")</f>
        <v/>
      </c>
      <c r="S3623" t="str">
        <f>VLOOKUP(record[[#This Row],[employeeID]],員工[],2,FALSE)</f>
        <v>陳氏絨</v>
      </c>
    </row>
    <row r="3624" spans="6:19" hidden="1" x14ac:dyDescent="0.25">
      <c r="F3624" t="s">
        <v>1587</v>
      </c>
      <c r="G3624" t="s">
        <v>373</v>
      </c>
      <c r="H3624" t="str">
        <f>VLOOKUP(record[[#This Row],[ProcessSN]],表格2_7[],2,FALSE)</f>
        <v>30-4118-018-4XX</v>
      </c>
      <c r="I3624" t="str">
        <f>VLOOKUP(record[[#This Row],[ProcessSN]],表格2_7[],3,FALSE)</f>
        <v>#03</v>
      </c>
      <c r="J3624" t="s">
        <v>588</v>
      </c>
      <c r="K3624" s="195">
        <v>46088.647430555553</v>
      </c>
      <c r="L3624">
        <v>300</v>
      </c>
      <c r="M3624">
        <v>1</v>
      </c>
      <c r="N3624" s="98" t="str">
        <f>IF(record[[#This Row],[Memo]]="Browser:chrome os:android","平板報工",IF(record[[#This Row],[Memo]]=0,"委外",record[[#This Row],[Memo]]))</f>
        <v>平板報工</v>
      </c>
      <c r="O3624" t="s">
        <v>643</v>
      </c>
      <c r="P3624" t="s">
        <v>107</v>
      </c>
      <c r="Q3624" t="s">
        <v>644</v>
      </c>
      <c r="R3624" t="str">
        <f>IFERROR(VLOOKUP(record[[#This Row],[PCUSTID]],廠商[],2,FALSE),"")</f>
        <v/>
      </c>
      <c r="S3624" t="str">
        <f>VLOOKUP(record[[#This Row],[employeeID]],員工[],2,FALSE)</f>
        <v>黎氏順</v>
      </c>
    </row>
    <row r="3625" spans="6:19" hidden="1" x14ac:dyDescent="0.25">
      <c r="F3625" t="s">
        <v>1540</v>
      </c>
      <c r="G3625" t="s">
        <v>418</v>
      </c>
      <c r="H3625" t="str">
        <f>VLOOKUP(record[[#This Row],[ProcessSN]],表格2_7[],2,FALSE)</f>
        <v>30-4118-018-5XX</v>
      </c>
      <c r="I3625" t="str">
        <f>VLOOKUP(record[[#This Row],[ProcessSN]],表格2_7[],3,FALSE)</f>
        <v>#07</v>
      </c>
      <c r="J3625" t="s">
        <v>588</v>
      </c>
      <c r="K3625" s="195">
        <v>46088.646122685182</v>
      </c>
      <c r="L3625">
        <v>17</v>
      </c>
      <c r="M3625">
        <v>0</v>
      </c>
      <c r="N3625" s="98" t="str">
        <f>IF(record[[#This Row],[Memo]]="Browser:chrome os:android","平板報工",IF(record[[#This Row],[Memo]]=0,"委外",record[[#This Row],[Memo]]))</f>
        <v>平板報工</v>
      </c>
      <c r="O3625" t="s">
        <v>643</v>
      </c>
      <c r="P3625" t="s">
        <v>107</v>
      </c>
      <c r="Q3625" t="s">
        <v>644</v>
      </c>
      <c r="R3625" t="str">
        <f>IFERROR(VLOOKUP(record[[#This Row],[PCUSTID]],廠商[],2,FALSE),"")</f>
        <v/>
      </c>
      <c r="S3625" t="str">
        <f>VLOOKUP(record[[#This Row],[employeeID]],員工[],2,FALSE)</f>
        <v>黎氏順</v>
      </c>
    </row>
    <row r="3626" spans="6:19" hidden="1" x14ac:dyDescent="0.25">
      <c r="F3626" t="s">
        <v>1570</v>
      </c>
      <c r="G3626" t="s">
        <v>377</v>
      </c>
      <c r="H3626" t="str">
        <f>VLOOKUP(record[[#This Row],[ProcessSN]],表格2_7[],2,FALSE)</f>
        <v>30-4118-018-4XX</v>
      </c>
      <c r="I3626" t="str">
        <f>VLOOKUP(record[[#This Row],[ProcessSN]],表格2_7[],3,FALSE)</f>
        <v>#07</v>
      </c>
      <c r="J3626" t="s">
        <v>588</v>
      </c>
      <c r="K3626" s="195">
        <v>46088.645856481482</v>
      </c>
      <c r="L3626">
        <v>102</v>
      </c>
      <c r="M3626">
        <v>0</v>
      </c>
      <c r="N3626" s="98" t="str">
        <f>IF(record[[#This Row],[Memo]]="Browser:chrome os:android","平板報工",IF(record[[#This Row],[Memo]]=0,"委外",record[[#This Row],[Memo]]))</f>
        <v>平板報工</v>
      </c>
      <c r="O3626" t="s">
        <v>643</v>
      </c>
      <c r="P3626" t="s">
        <v>107</v>
      </c>
      <c r="Q3626" t="s">
        <v>644</v>
      </c>
      <c r="R3626" t="str">
        <f>IFERROR(VLOOKUP(record[[#This Row],[PCUSTID]],廠商[],2,FALSE),"")</f>
        <v/>
      </c>
      <c r="S3626" t="str">
        <f>VLOOKUP(record[[#This Row],[employeeID]],員工[],2,FALSE)</f>
        <v>黎氏順</v>
      </c>
    </row>
    <row r="3627" spans="6:19" hidden="1" x14ac:dyDescent="0.25">
      <c r="F3627" t="s">
        <v>1380</v>
      </c>
      <c r="G3627" t="s">
        <v>377</v>
      </c>
      <c r="H3627" t="str">
        <f>VLOOKUP(record[[#This Row],[ProcessSN]],表格2_7[],2,FALSE)</f>
        <v>30-4118-018-4XX</v>
      </c>
      <c r="I3627" t="str">
        <f>VLOOKUP(record[[#This Row],[ProcessSN]],表格2_7[],3,FALSE)</f>
        <v>#07</v>
      </c>
      <c r="J3627" t="s">
        <v>588</v>
      </c>
      <c r="K3627" s="195">
        <v>46088.645543981482</v>
      </c>
      <c r="L3627">
        <v>58</v>
      </c>
      <c r="M3627">
        <v>0</v>
      </c>
      <c r="N3627" s="98" t="str">
        <f>IF(record[[#This Row],[Memo]]="Browser:chrome os:android","平板報工",IF(record[[#This Row],[Memo]]=0,"委外",record[[#This Row],[Memo]]))</f>
        <v>平板報工</v>
      </c>
      <c r="O3627" t="s">
        <v>643</v>
      </c>
      <c r="P3627" t="s">
        <v>107</v>
      </c>
      <c r="Q3627" t="s">
        <v>644</v>
      </c>
      <c r="R3627" t="str">
        <f>IFERROR(VLOOKUP(record[[#This Row],[PCUSTID]],廠商[],2,FALSE),"")</f>
        <v/>
      </c>
      <c r="S3627" t="str">
        <f>VLOOKUP(record[[#This Row],[employeeID]],員工[],2,FALSE)</f>
        <v>黎氏順</v>
      </c>
    </row>
    <row r="3628" spans="6:19" hidden="1" x14ac:dyDescent="0.25">
      <c r="F3628" t="s">
        <v>1570</v>
      </c>
      <c r="G3628" t="s">
        <v>375</v>
      </c>
      <c r="H3628" t="str">
        <f>VLOOKUP(record[[#This Row],[ProcessSN]],表格2_7[],2,FALSE)</f>
        <v>30-4118-018-4XX</v>
      </c>
      <c r="I3628" t="str">
        <f>VLOOKUP(record[[#This Row],[ProcessSN]],表格2_7[],3,FALSE)</f>
        <v>#05</v>
      </c>
      <c r="J3628" t="s">
        <v>588</v>
      </c>
      <c r="K3628" s="195">
        <v>46088.645173611112</v>
      </c>
      <c r="L3628">
        <v>250</v>
      </c>
      <c r="M3628">
        <v>0</v>
      </c>
      <c r="N3628" s="98" t="str">
        <f>IF(record[[#This Row],[Memo]]="Browser:chrome os:android","平板報工",IF(record[[#This Row],[Memo]]=0,"委外",record[[#This Row],[Memo]]))</f>
        <v>平板報工</v>
      </c>
      <c r="O3628" t="s">
        <v>643</v>
      </c>
      <c r="P3628" t="s">
        <v>107</v>
      </c>
      <c r="Q3628" t="s">
        <v>644</v>
      </c>
      <c r="R3628" t="str">
        <f>IFERROR(VLOOKUP(record[[#This Row],[PCUSTID]],廠商[],2,FALSE),"")</f>
        <v/>
      </c>
      <c r="S3628" t="str">
        <f>VLOOKUP(record[[#This Row],[employeeID]],員工[],2,FALSE)</f>
        <v>黎氏順</v>
      </c>
    </row>
    <row r="3629" spans="6:19" hidden="1" x14ac:dyDescent="0.25">
      <c r="F3629" t="s">
        <v>1568</v>
      </c>
      <c r="G3629" t="s">
        <v>419</v>
      </c>
      <c r="H3629" t="str">
        <f>VLOOKUP(record[[#This Row],[ProcessSN]],表格2_7[],2,FALSE)</f>
        <v>30-4118-018-5XX</v>
      </c>
      <c r="I3629" t="str">
        <f>VLOOKUP(record[[#This Row],[ProcessSN]],表格2_7[],3,FALSE)</f>
        <v>#07QC</v>
      </c>
      <c r="J3629" t="s">
        <v>589</v>
      </c>
      <c r="K3629" s="195">
        <v>46088.596597222226</v>
      </c>
      <c r="L3629">
        <v>0</v>
      </c>
      <c r="M3629">
        <v>1</v>
      </c>
      <c r="N3629" s="98" t="str">
        <f>IF(record[[#This Row],[Memo]]="Browser:chrome os:android","平板報工",IF(record[[#This Row],[Memo]]=0,"委外",record[[#This Row],[Memo]]))</f>
        <v/>
      </c>
      <c r="O3629" t="s">
        <v>58</v>
      </c>
      <c r="P3629" t="s">
        <v>141</v>
      </c>
      <c r="Q3629" t="s">
        <v>58</v>
      </c>
      <c r="R3629" t="str">
        <f>IFERROR(VLOOKUP(record[[#This Row],[PCUSTID]],廠商[],2,FALSE),"")</f>
        <v/>
      </c>
      <c r="S3629" t="str">
        <f>VLOOKUP(record[[#This Row],[employeeID]],員工[],2,FALSE)</f>
        <v>蔣梅</v>
      </c>
    </row>
    <row r="3630" spans="6:19" hidden="1" x14ac:dyDescent="0.25">
      <c r="F3630" t="s">
        <v>1568</v>
      </c>
      <c r="G3630" t="s">
        <v>419</v>
      </c>
      <c r="H3630" t="str">
        <f>VLOOKUP(record[[#This Row],[ProcessSN]],表格2_7[],2,FALSE)</f>
        <v>30-4118-018-5XX</v>
      </c>
      <c r="I3630" t="str">
        <f>VLOOKUP(record[[#This Row],[ProcessSN]],表格2_7[],3,FALSE)</f>
        <v>#07QC</v>
      </c>
      <c r="J3630" t="s">
        <v>589</v>
      </c>
      <c r="K3630" s="195">
        <v>46088.474953703706</v>
      </c>
      <c r="L3630">
        <v>306</v>
      </c>
      <c r="M3630">
        <v>0</v>
      </c>
      <c r="N3630" s="98" t="str">
        <f>IF(record[[#This Row],[Memo]]="Browser:chrome os:android","平板報工",IF(record[[#This Row],[Memo]]=0,"委外",record[[#This Row],[Memo]]))</f>
        <v>平板報工</v>
      </c>
      <c r="O3630" t="s">
        <v>643</v>
      </c>
      <c r="P3630" t="s">
        <v>141</v>
      </c>
      <c r="Q3630" t="s">
        <v>644</v>
      </c>
      <c r="R3630" t="str">
        <f>IFERROR(VLOOKUP(record[[#This Row],[PCUSTID]],廠商[],2,FALSE),"")</f>
        <v/>
      </c>
      <c r="S3630" t="str">
        <f>VLOOKUP(record[[#This Row],[employeeID]],員工[],2,FALSE)</f>
        <v>蔣梅</v>
      </c>
    </row>
    <row r="3631" spans="6:19" hidden="1" x14ac:dyDescent="0.25">
      <c r="F3631" t="s">
        <v>1540</v>
      </c>
      <c r="G3631" t="s">
        <v>419</v>
      </c>
      <c r="H3631" t="str">
        <f>VLOOKUP(record[[#This Row],[ProcessSN]],表格2_7[],2,FALSE)</f>
        <v>30-4118-018-5XX</v>
      </c>
      <c r="I3631" t="str">
        <f>VLOOKUP(record[[#This Row],[ProcessSN]],表格2_7[],3,FALSE)</f>
        <v>#07QC</v>
      </c>
      <c r="J3631" t="s">
        <v>589</v>
      </c>
      <c r="K3631" s="195">
        <v>46088.472916666666</v>
      </c>
      <c r="L3631">
        <v>168</v>
      </c>
      <c r="M3631">
        <v>0</v>
      </c>
      <c r="N3631" s="98" t="str">
        <f>IF(record[[#This Row],[Memo]]="Browser:chrome os:android","平板報工",IF(record[[#This Row],[Memo]]=0,"委外",record[[#This Row],[Memo]]))</f>
        <v>平板報工</v>
      </c>
      <c r="O3631" t="s">
        <v>643</v>
      </c>
      <c r="P3631" t="s">
        <v>141</v>
      </c>
      <c r="Q3631" t="s">
        <v>644</v>
      </c>
      <c r="R3631" t="str">
        <f>IFERROR(VLOOKUP(record[[#This Row],[PCUSTID]],廠商[],2,FALSE),"")</f>
        <v/>
      </c>
      <c r="S3631" t="str">
        <f>VLOOKUP(record[[#This Row],[employeeID]],員工[],2,FALSE)</f>
        <v>蔣梅</v>
      </c>
    </row>
    <row r="3632" spans="6:19" hidden="1" x14ac:dyDescent="0.25">
      <c r="F3632" t="s">
        <v>1587</v>
      </c>
      <c r="G3632" t="s">
        <v>372</v>
      </c>
      <c r="H3632" t="str">
        <f>VLOOKUP(record[[#This Row],[ProcessSN]],表格2_7[],2,FALSE)</f>
        <v>30-4118-018-4XX</v>
      </c>
      <c r="I3632" t="str">
        <f>VLOOKUP(record[[#This Row],[ProcessSN]],表格2_7[],3,FALSE)</f>
        <v>#03GIVE</v>
      </c>
      <c r="J3632" t="s">
        <v>587</v>
      </c>
      <c r="K3632" s="195">
        <v>46088.377372685187</v>
      </c>
      <c r="L3632">
        <v>2379</v>
      </c>
      <c r="M3632">
        <v>0</v>
      </c>
      <c r="N3632" s="98" t="str">
        <f>IF(record[[#This Row],[Memo]]="Browser:chrome os:android","平板報工",IF(record[[#This Row],[Memo]]=0,"委外",record[[#This Row],[Memo]]))</f>
        <v/>
      </c>
      <c r="O3632" t="s">
        <v>58</v>
      </c>
      <c r="P3632" t="s">
        <v>1070</v>
      </c>
      <c r="Q3632" t="s">
        <v>58</v>
      </c>
      <c r="R3632" t="str">
        <f>IFERROR(VLOOKUP(record[[#This Row],[PCUSTID]],廠商[],2,FALSE),"")</f>
        <v/>
      </c>
      <c r="S3632" t="str">
        <f>VLOOKUP(record[[#This Row],[employeeID]],員工[],2,FALSE)</f>
        <v>陳昱佑</v>
      </c>
    </row>
    <row r="3633" spans="6:19" hidden="1" x14ac:dyDescent="0.25">
      <c r="F3633" t="s">
        <v>1587</v>
      </c>
      <c r="G3633" t="s">
        <v>371</v>
      </c>
      <c r="H3633" t="str">
        <f>VLOOKUP(record[[#This Row],[ProcessSN]],表格2_7[],2,FALSE)</f>
        <v>30-4118-018-4XX</v>
      </c>
      <c r="I3633" t="str">
        <f>VLOOKUP(record[[#This Row],[ProcessSN]],表格2_7[],3,FALSE)</f>
        <v>#03PICK</v>
      </c>
      <c r="J3633" t="s">
        <v>582</v>
      </c>
      <c r="K3633" s="195">
        <v>46088.377222222225</v>
      </c>
      <c r="L3633">
        <v>2379</v>
      </c>
      <c r="M3633">
        <v>0</v>
      </c>
      <c r="N3633" s="98" t="str">
        <f>IF(record[[#This Row],[Memo]]="Browser:chrome os:android","平板報工",IF(record[[#This Row],[Memo]]=0,"委外",record[[#This Row],[Memo]]))</f>
        <v/>
      </c>
      <c r="O3633" t="s">
        <v>58</v>
      </c>
      <c r="P3633" t="s">
        <v>1070</v>
      </c>
      <c r="Q3633" t="s">
        <v>58</v>
      </c>
      <c r="R3633" t="str">
        <f>IFERROR(VLOOKUP(record[[#This Row],[PCUSTID]],廠商[],2,FALSE),"")</f>
        <v/>
      </c>
      <c r="S3633" t="str">
        <f>VLOOKUP(record[[#This Row],[employeeID]],員工[],2,FALSE)</f>
        <v>陳昱佑</v>
      </c>
    </row>
    <row r="3634" spans="6:19" hidden="1" x14ac:dyDescent="0.25">
      <c r="F3634" t="s">
        <v>1596</v>
      </c>
      <c r="G3634" t="s">
        <v>426</v>
      </c>
      <c r="H3634" t="str">
        <f>VLOOKUP(record[[#This Row],[ProcessSN]],表格2_7[],2,FALSE)</f>
        <v>30-4118-018-600</v>
      </c>
      <c r="I3634" t="str">
        <f>VLOOKUP(record[[#This Row],[ProcessSN]],表格2_7[],3,FALSE)</f>
        <v>#100OQC</v>
      </c>
      <c r="J3634" t="s">
        <v>599</v>
      </c>
      <c r="K3634" s="195">
        <v>46088.348958333336</v>
      </c>
      <c r="L3634">
        <v>354</v>
      </c>
      <c r="M3634">
        <v>0</v>
      </c>
      <c r="N3634" s="98" t="str">
        <f>IF(record[[#This Row],[Memo]]="Browser:chrome os:android","平板報工",IF(record[[#This Row],[Memo]]=0,"委外",record[[#This Row],[Memo]]))</f>
        <v/>
      </c>
      <c r="O3634" t="s">
        <v>58</v>
      </c>
      <c r="P3634" t="s">
        <v>121</v>
      </c>
      <c r="Q3634" t="s">
        <v>58</v>
      </c>
      <c r="R3634" t="str">
        <f>IFERROR(VLOOKUP(record[[#This Row],[PCUSTID]],廠商[],2,FALSE),"")</f>
        <v/>
      </c>
      <c r="S3634" t="str">
        <f>VLOOKUP(record[[#This Row],[employeeID]],員工[],2,FALSE)</f>
        <v>謝素卿</v>
      </c>
    </row>
    <row r="3635" spans="6:19" hidden="1" x14ac:dyDescent="0.25">
      <c r="F3635" t="s">
        <v>1580</v>
      </c>
      <c r="G3635" t="s">
        <v>465</v>
      </c>
      <c r="H3635" t="str">
        <f>VLOOKUP(record[[#This Row],[ProcessSN]],表格2_7[],2,FALSE)</f>
        <v>30-4118-018-XXX</v>
      </c>
      <c r="I3635" t="str">
        <f>VLOOKUP(record[[#This Row],[ProcessSN]],表格2_7[],3,FALSE)</f>
        <v>#01-1</v>
      </c>
      <c r="J3635" t="s">
        <v>588</v>
      </c>
      <c r="K3635" s="195">
        <v>46088.322569444441</v>
      </c>
      <c r="L3635">
        <v>0</v>
      </c>
      <c r="M3635">
        <v>4</v>
      </c>
      <c r="N3635" s="98" t="str">
        <f>IF(record[[#This Row],[Memo]]="Browser:chrome os:android","平板報工",IF(record[[#This Row],[Memo]]=0,"委外",record[[#This Row],[Memo]]))</f>
        <v/>
      </c>
      <c r="O3635" t="s">
        <v>58</v>
      </c>
      <c r="P3635" t="s">
        <v>843</v>
      </c>
      <c r="Q3635" t="s">
        <v>58</v>
      </c>
      <c r="R3635" t="str">
        <f>IFERROR(VLOOKUP(record[[#This Row],[PCUSTID]],廠商[],2,FALSE),"")</f>
        <v/>
      </c>
      <c r="S3635" t="str">
        <f>VLOOKUP(record[[#This Row],[employeeID]],員工[],2,FALSE)</f>
        <v>張楚承</v>
      </c>
    </row>
    <row r="3636" spans="6:19" hidden="1" x14ac:dyDescent="0.25">
      <c r="F3636" t="s">
        <v>1589</v>
      </c>
      <c r="G3636" t="s">
        <v>415</v>
      </c>
      <c r="H3636" t="str">
        <f>VLOOKUP(record[[#This Row],[ProcessSN]],表格2_7[],2,FALSE)</f>
        <v>30-4118-018-5XX</v>
      </c>
      <c r="I3636" t="str">
        <f>VLOOKUP(record[[#This Row],[ProcessSN]],表格2_7[],3,FALSE)</f>
        <v>#04</v>
      </c>
      <c r="J3636" t="s">
        <v>588</v>
      </c>
      <c r="K3636" s="195">
        <v>46088.310474537036</v>
      </c>
      <c r="L3636">
        <v>48</v>
      </c>
      <c r="M3636">
        <v>0</v>
      </c>
      <c r="N3636" s="98" t="str">
        <f>IF(record[[#This Row],[Memo]]="Browser:chrome os:android","平板報工",IF(record[[#This Row],[Memo]]=0,"委外",record[[#This Row],[Memo]]))</f>
        <v/>
      </c>
      <c r="O3636" t="s">
        <v>58</v>
      </c>
      <c r="P3636" t="s">
        <v>843</v>
      </c>
      <c r="Q3636" t="s">
        <v>58</v>
      </c>
      <c r="R3636" t="str">
        <f>IFERROR(VLOOKUP(record[[#This Row],[PCUSTID]],廠商[],2,FALSE),"")</f>
        <v/>
      </c>
      <c r="S3636" t="str">
        <f>VLOOKUP(record[[#This Row],[employeeID]],員工[],2,FALSE)</f>
        <v>張楚承</v>
      </c>
    </row>
    <row r="3637" spans="6:19" hidden="1" x14ac:dyDescent="0.25">
      <c r="F3637" t="s">
        <v>1580</v>
      </c>
      <c r="G3637" t="s">
        <v>466</v>
      </c>
      <c r="H3637" t="str">
        <f>VLOOKUP(record[[#This Row],[ProcessSN]],表格2_7[],2,FALSE)</f>
        <v>30-4118-018-XXX</v>
      </c>
      <c r="I3637" t="str">
        <f>VLOOKUP(record[[#This Row],[ProcessSN]],表格2_7[],3,FALSE)</f>
        <v>#01-2</v>
      </c>
      <c r="J3637" t="s">
        <v>588</v>
      </c>
      <c r="K3637" s="195">
        <v>46088.310300925928</v>
      </c>
      <c r="L3637">
        <v>395</v>
      </c>
      <c r="M3637">
        <v>0</v>
      </c>
      <c r="N3637" s="98" t="str">
        <f>IF(record[[#This Row],[Memo]]="Browser:chrome os:android","平板報工",IF(record[[#This Row],[Memo]]=0,"委外",record[[#This Row],[Memo]]))</f>
        <v/>
      </c>
      <c r="O3637" t="s">
        <v>58</v>
      </c>
      <c r="P3637" t="s">
        <v>843</v>
      </c>
      <c r="Q3637" t="s">
        <v>58</v>
      </c>
      <c r="R3637" t="str">
        <f>IFERROR(VLOOKUP(record[[#This Row],[PCUSTID]],廠商[],2,FALSE),"")</f>
        <v/>
      </c>
      <c r="S3637" t="str">
        <f>VLOOKUP(record[[#This Row],[employeeID]],員工[],2,FALSE)</f>
        <v>張楚承</v>
      </c>
    </row>
    <row r="3638" spans="6:19" hidden="1" x14ac:dyDescent="0.25">
      <c r="F3638" t="s">
        <v>1580</v>
      </c>
      <c r="G3638" t="s">
        <v>465</v>
      </c>
      <c r="H3638" t="str">
        <f>VLOOKUP(record[[#This Row],[ProcessSN]],表格2_7[],2,FALSE)</f>
        <v>30-4118-018-XXX</v>
      </c>
      <c r="I3638" t="str">
        <f>VLOOKUP(record[[#This Row],[ProcessSN]],表格2_7[],3,FALSE)</f>
        <v>#01-1</v>
      </c>
      <c r="J3638" t="s">
        <v>588</v>
      </c>
      <c r="K3638" s="195">
        <v>46088.310173611113</v>
      </c>
      <c r="L3638">
        <v>395</v>
      </c>
      <c r="M3638">
        <v>0</v>
      </c>
      <c r="N3638" s="98" t="str">
        <f>IF(record[[#This Row],[Memo]]="Browser:chrome os:android","平板報工",IF(record[[#This Row],[Memo]]=0,"委外",record[[#This Row],[Memo]]))</f>
        <v/>
      </c>
      <c r="O3638" t="s">
        <v>58</v>
      </c>
      <c r="P3638" t="s">
        <v>843</v>
      </c>
      <c r="Q3638" t="s">
        <v>58</v>
      </c>
      <c r="R3638" t="str">
        <f>IFERROR(VLOOKUP(record[[#This Row],[PCUSTID]],廠商[],2,FALSE),"")</f>
        <v/>
      </c>
      <c r="S3638" t="str">
        <f>VLOOKUP(record[[#This Row],[employeeID]],員工[],2,FALSE)</f>
        <v>張楚承</v>
      </c>
    </row>
    <row r="3639" spans="6:19" hidden="1" x14ac:dyDescent="0.25">
      <c r="F3639" t="s">
        <v>1570</v>
      </c>
      <c r="G3639" t="s">
        <v>376</v>
      </c>
      <c r="H3639" t="str">
        <f>VLOOKUP(record[[#This Row],[ProcessSN]],表格2_7[],2,FALSE)</f>
        <v>30-4118-018-4XX</v>
      </c>
      <c r="I3639" t="str">
        <f>VLOOKUP(record[[#This Row],[ProcessSN]],表格2_7[],3,FALSE)</f>
        <v>#06</v>
      </c>
      <c r="J3639" t="s">
        <v>593</v>
      </c>
      <c r="K3639" s="195">
        <v>46087.985543981478</v>
      </c>
      <c r="L3639">
        <v>105</v>
      </c>
      <c r="M3639">
        <v>0</v>
      </c>
      <c r="N3639" s="98" t="str">
        <f>IF(record[[#This Row],[Memo]]="Browser:chrome os:android","平板報工",IF(record[[#This Row],[Memo]]=0,"委外",record[[#This Row],[Memo]]))</f>
        <v/>
      </c>
      <c r="O3639" t="s">
        <v>58</v>
      </c>
      <c r="P3639" t="s">
        <v>133</v>
      </c>
      <c r="Q3639" t="s">
        <v>58</v>
      </c>
      <c r="R3639" t="str">
        <f>IFERROR(VLOOKUP(record[[#This Row],[PCUSTID]],廠商[],2,FALSE),"")</f>
        <v/>
      </c>
      <c r="S3639" t="str">
        <f>VLOOKUP(record[[#This Row],[employeeID]],員工[],2,FALSE)</f>
        <v>黎長維</v>
      </c>
    </row>
    <row r="3640" spans="6:19" hidden="1" x14ac:dyDescent="0.25">
      <c r="F3640" t="s">
        <v>1540</v>
      </c>
      <c r="G3640" t="s">
        <v>418</v>
      </c>
      <c r="H3640" t="str">
        <f>VLOOKUP(record[[#This Row],[ProcessSN]],表格2_7[],2,FALSE)</f>
        <v>30-4118-018-5XX</v>
      </c>
      <c r="I3640" t="str">
        <f>VLOOKUP(record[[#This Row],[ProcessSN]],表格2_7[],3,FALSE)</f>
        <v>#07</v>
      </c>
      <c r="J3640" t="s">
        <v>588</v>
      </c>
      <c r="K3640" s="195">
        <v>46087.983287037037</v>
      </c>
      <c r="L3640">
        <v>200</v>
      </c>
      <c r="M3640">
        <v>1</v>
      </c>
      <c r="N3640" s="98" t="str">
        <f>IF(record[[#This Row],[Memo]]="Browser:chrome os:android","平板報工",IF(record[[#This Row],[Memo]]=0,"委外",record[[#This Row],[Memo]]))</f>
        <v/>
      </c>
      <c r="O3640" t="s">
        <v>58</v>
      </c>
      <c r="P3640" t="s">
        <v>89</v>
      </c>
      <c r="Q3640" t="s">
        <v>58</v>
      </c>
      <c r="R3640" t="str">
        <f>IFERROR(VLOOKUP(record[[#This Row],[PCUSTID]],廠商[],2,FALSE),"")</f>
        <v/>
      </c>
      <c r="S3640" t="str">
        <f>VLOOKUP(record[[#This Row],[employeeID]],員工[],2,FALSE)</f>
        <v>李美蓮</v>
      </c>
    </row>
    <row r="3641" spans="6:19" hidden="1" x14ac:dyDescent="0.25">
      <c r="F3641" t="s">
        <v>1580</v>
      </c>
      <c r="G3641" t="s">
        <v>466</v>
      </c>
      <c r="H3641" t="str">
        <f>VLOOKUP(record[[#This Row],[ProcessSN]],表格2_7[],2,FALSE)</f>
        <v>30-4118-018-XXX</v>
      </c>
      <c r="I3641" t="str">
        <f>VLOOKUP(record[[#This Row],[ProcessSN]],表格2_7[],3,FALSE)</f>
        <v>#01-2</v>
      </c>
      <c r="J3641" t="s">
        <v>588</v>
      </c>
      <c r="K3641" s="195">
        <v>46087.982974537037</v>
      </c>
      <c r="L3641">
        <v>326</v>
      </c>
      <c r="M3641">
        <v>0</v>
      </c>
      <c r="N3641" s="98" t="str">
        <f>IF(record[[#This Row],[Memo]]="Browser:chrome os:android","平板報工",IF(record[[#This Row],[Memo]]=0,"委外",record[[#This Row],[Memo]]))</f>
        <v/>
      </c>
      <c r="O3641" t="s">
        <v>58</v>
      </c>
      <c r="P3641" t="s">
        <v>89</v>
      </c>
      <c r="Q3641" t="s">
        <v>58</v>
      </c>
      <c r="R3641" t="str">
        <f>IFERROR(VLOOKUP(record[[#This Row],[PCUSTID]],廠商[],2,FALSE),"")</f>
        <v/>
      </c>
      <c r="S3641" t="str">
        <f>VLOOKUP(record[[#This Row],[employeeID]],員工[],2,FALSE)</f>
        <v>李美蓮</v>
      </c>
    </row>
    <row r="3642" spans="6:19" hidden="1" x14ac:dyDescent="0.25">
      <c r="F3642" t="s">
        <v>1580</v>
      </c>
      <c r="G3642" t="s">
        <v>465</v>
      </c>
      <c r="H3642" t="str">
        <f>VLOOKUP(record[[#This Row],[ProcessSN]],表格2_7[],2,FALSE)</f>
        <v>30-4118-018-XXX</v>
      </c>
      <c r="I3642" t="str">
        <f>VLOOKUP(record[[#This Row],[ProcessSN]],表格2_7[],3,FALSE)</f>
        <v>#01-1</v>
      </c>
      <c r="J3642" t="s">
        <v>588</v>
      </c>
      <c r="K3642" s="195">
        <v>46087.982824074075</v>
      </c>
      <c r="L3642">
        <v>326</v>
      </c>
      <c r="M3642">
        <v>0</v>
      </c>
      <c r="N3642" s="98" t="str">
        <f>IF(record[[#This Row],[Memo]]="Browser:chrome os:android","平板報工",IF(record[[#This Row],[Memo]]=0,"委外",record[[#This Row],[Memo]]))</f>
        <v/>
      </c>
      <c r="O3642" t="s">
        <v>58</v>
      </c>
      <c r="P3642" t="s">
        <v>89</v>
      </c>
      <c r="Q3642" t="s">
        <v>58</v>
      </c>
      <c r="R3642" t="str">
        <f>IFERROR(VLOOKUP(record[[#This Row],[PCUSTID]],廠商[],2,FALSE),"")</f>
        <v/>
      </c>
      <c r="S3642" t="str">
        <f>VLOOKUP(record[[#This Row],[employeeID]],員工[],2,FALSE)</f>
        <v>李美蓮</v>
      </c>
    </row>
    <row r="3643" spans="6:19" hidden="1" x14ac:dyDescent="0.25">
      <c r="F3643" t="s">
        <v>1589</v>
      </c>
      <c r="G3643" t="s">
        <v>415</v>
      </c>
      <c r="H3643" t="str">
        <f>VLOOKUP(record[[#This Row],[ProcessSN]],表格2_7[],2,FALSE)</f>
        <v>30-4118-018-5XX</v>
      </c>
      <c r="I3643" t="str">
        <f>VLOOKUP(record[[#This Row],[ProcessSN]],表格2_7[],3,FALSE)</f>
        <v>#04</v>
      </c>
      <c r="J3643" t="s">
        <v>588</v>
      </c>
      <c r="K3643" s="195">
        <v>46087.982291666667</v>
      </c>
      <c r="L3643">
        <v>128</v>
      </c>
      <c r="M3643">
        <v>0</v>
      </c>
      <c r="N3643" s="98" t="str">
        <f>IF(record[[#This Row],[Memo]]="Browser:chrome os:android","平板報工",IF(record[[#This Row],[Memo]]=0,"委外",record[[#This Row],[Memo]]))</f>
        <v/>
      </c>
      <c r="O3643" t="s">
        <v>58</v>
      </c>
      <c r="P3643" t="s">
        <v>1098</v>
      </c>
      <c r="Q3643" t="s">
        <v>58</v>
      </c>
      <c r="R3643" t="str">
        <f>IFERROR(VLOOKUP(record[[#This Row],[PCUSTID]],廠商[],2,FALSE),"")</f>
        <v/>
      </c>
      <c r="S3643" t="str">
        <f>VLOOKUP(record[[#This Row],[employeeID]],員工[],2,FALSE)</f>
        <v>阮氏芳英(英)</v>
      </c>
    </row>
    <row r="3644" spans="6:19" hidden="1" x14ac:dyDescent="0.25">
      <c r="F3644" t="s">
        <v>1589</v>
      </c>
      <c r="G3644" t="s">
        <v>414</v>
      </c>
      <c r="H3644" t="str">
        <f>VLOOKUP(record[[#This Row],[ProcessSN]],表格2_7[],2,FALSE)</f>
        <v>30-4118-018-5XX</v>
      </c>
      <c r="I3644" t="str">
        <f>VLOOKUP(record[[#This Row],[ProcessSN]],表格2_7[],3,FALSE)</f>
        <v>#03</v>
      </c>
      <c r="J3644" t="s">
        <v>588</v>
      </c>
      <c r="K3644" s="195">
        <v>46087.981527777774</v>
      </c>
      <c r="L3644">
        <v>376</v>
      </c>
      <c r="M3644">
        <v>0</v>
      </c>
      <c r="N3644" s="98" t="str">
        <f>IF(record[[#This Row],[Memo]]="Browser:chrome os:android","平板報工",IF(record[[#This Row],[Memo]]=0,"委外",record[[#This Row],[Memo]]))</f>
        <v/>
      </c>
      <c r="O3644" t="s">
        <v>58</v>
      </c>
      <c r="P3644" t="s">
        <v>1098</v>
      </c>
      <c r="Q3644" t="s">
        <v>58</v>
      </c>
      <c r="R3644" t="str">
        <f>IFERROR(VLOOKUP(record[[#This Row],[PCUSTID]],廠商[],2,FALSE),"")</f>
        <v/>
      </c>
      <c r="S3644" t="str">
        <f>VLOOKUP(record[[#This Row],[employeeID]],員工[],2,FALSE)</f>
        <v>阮氏芳英(英)</v>
      </c>
    </row>
    <row r="3645" spans="6:19" hidden="1" x14ac:dyDescent="0.25">
      <c r="F3645" t="s">
        <v>1570</v>
      </c>
      <c r="G3645" t="s">
        <v>375</v>
      </c>
      <c r="H3645" t="str">
        <f>VLOOKUP(record[[#This Row],[ProcessSN]],表格2_7[],2,FALSE)</f>
        <v>30-4118-018-4XX</v>
      </c>
      <c r="I3645" t="str">
        <f>VLOOKUP(record[[#This Row],[ProcessSN]],表格2_7[],3,FALSE)</f>
        <v>#05</v>
      </c>
      <c r="J3645" t="s">
        <v>588</v>
      </c>
      <c r="K3645" s="195">
        <v>46087.980937499997</v>
      </c>
      <c r="L3645">
        <v>290</v>
      </c>
      <c r="M3645">
        <v>1</v>
      </c>
      <c r="N3645" s="98" t="str">
        <f>IF(record[[#This Row],[Memo]]="Browser:chrome os:android","平板報工",IF(record[[#This Row],[Memo]]=0,"委外",record[[#This Row],[Memo]]))</f>
        <v/>
      </c>
      <c r="O3645" t="s">
        <v>58</v>
      </c>
      <c r="P3645" t="s">
        <v>1098</v>
      </c>
      <c r="Q3645" t="s">
        <v>58</v>
      </c>
      <c r="R3645" t="str">
        <f>IFERROR(VLOOKUP(record[[#This Row],[PCUSTID]],廠商[],2,FALSE),"")</f>
        <v/>
      </c>
      <c r="S3645" t="str">
        <f>VLOOKUP(record[[#This Row],[employeeID]],員工[],2,FALSE)</f>
        <v>阮氏芳英(英)</v>
      </c>
    </row>
    <row r="3646" spans="6:19" hidden="1" x14ac:dyDescent="0.25">
      <c r="F3646" t="s">
        <v>1380</v>
      </c>
      <c r="G3646" t="s">
        <v>376</v>
      </c>
      <c r="H3646" t="str">
        <f>VLOOKUP(record[[#This Row],[ProcessSN]],表格2_7[],2,FALSE)</f>
        <v>30-4118-018-4XX</v>
      </c>
      <c r="I3646" t="str">
        <f>VLOOKUP(record[[#This Row],[ProcessSN]],表格2_7[],3,FALSE)</f>
        <v>#06</v>
      </c>
      <c r="J3646" t="s">
        <v>593</v>
      </c>
      <c r="K3646" s="195">
        <v>46087.926504629628</v>
      </c>
      <c r="L3646">
        <v>28</v>
      </c>
      <c r="M3646">
        <v>0</v>
      </c>
      <c r="N3646" s="98" t="str">
        <f>IF(record[[#This Row],[Memo]]="Browser:chrome os:android","平板報工",IF(record[[#This Row],[Memo]]=0,"委外",record[[#This Row],[Memo]]))</f>
        <v/>
      </c>
      <c r="O3646" t="s">
        <v>58</v>
      </c>
      <c r="P3646" t="s">
        <v>133</v>
      </c>
      <c r="Q3646" t="s">
        <v>58</v>
      </c>
      <c r="R3646" t="str">
        <f>IFERROR(VLOOKUP(record[[#This Row],[PCUSTID]],廠商[],2,FALSE),"")</f>
        <v/>
      </c>
      <c r="S3646" t="str">
        <f>VLOOKUP(record[[#This Row],[employeeID]],員工[],2,FALSE)</f>
        <v>黎長維</v>
      </c>
    </row>
    <row r="3647" spans="6:19" hidden="1" x14ac:dyDescent="0.25">
      <c r="F3647" t="s">
        <v>1600</v>
      </c>
      <c r="G3647" t="s">
        <v>424</v>
      </c>
      <c r="H3647" t="str">
        <f>VLOOKUP(record[[#This Row],[ProcessSN]],表格2_7[],2,FALSE)</f>
        <v>30-4118-018-600</v>
      </c>
      <c r="I3647" t="str">
        <f>VLOOKUP(record[[#This Row],[ProcessSN]],表格2_7[],3,FALSE)</f>
        <v>#08IQC</v>
      </c>
      <c r="J3647" t="s">
        <v>583</v>
      </c>
      <c r="K3647" s="195">
        <v>46087.728900462964</v>
      </c>
      <c r="L3647">
        <v>178</v>
      </c>
      <c r="M3647">
        <v>0</v>
      </c>
      <c r="N3647" s="98" t="str">
        <f>IF(record[[#This Row],[Memo]]="Browser:chrome os:android","平板報工",IF(record[[#This Row],[Memo]]=0,"委外",record[[#This Row],[Memo]]))</f>
        <v/>
      </c>
      <c r="O3647" t="s">
        <v>58</v>
      </c>
      <c r="P3647" t="s">
        <v>172</v>
      </c>
      <c r="Q3647" t="s">
        <v>58</v>
      </c>
      <c r="R3647" t="str">
        <f>IFERROR(VLOOKUP(record[[#This Row],[PCUSTID]],廠商[],2,FALSE),"")</f>
        <v/>
      </c>
      <c r="S3647" t="str">
        <f>VLOOKUP(record[[#This Row],[employeeID]],員工[],2,FALSE)</f>
        <v>李采玲</v>
      </c>
    </row>
    <row r="3648" spans="6:19" hidden="1" x14ac:dyDescent="0.25">
      <c r="F3648" t="s">
        <v>1568</v>
      </c>
      <c r="G3648" t="s">
        <v>420</v>
      </c>
      <c r="H3648" t="str">
        <f>VLOOKUP(record[[#This Row],[ProcessSN]],表格2_7[],2,FALSE)</f>
        <v>30-4118-018-5XX</v>
      </c>
      <c r="I3648" t="str">
        <f>VLOOKUP(record[[#This Row],[ProcessSN]],表格2_7[],3,FALSE)</f>
        <v>#07STOCK</v>
      </c>
      <c r="J3648" t="s">
        <v>592</v>
      </c>
      <c r="K3648" s="195">
        <v>46087.688680555555</v>
      </c>
      <c r="L3648">
        <v>277</v>
      </c>
      <c r="M3648">
        <v>0</v>
      </c>
      <c r="N3648" s="98" t="str">
        <f>IF(record[[#This Row],[Memo]]="Browser:chrome os:android","平板報工",IF(record[[#This Row],[Memo]]=0,"委外",record[[#This Row],[Memo]]))</f>
        <v/>
      </c>
      <c r="O3648" t="s">
        <v>58</v>
      </c>
      <c r="P3648" t="s">
        <v>186</v>
      </c>
      <c r="Q3648" t="s">
        <v>58</v>
      </c>
      <c r="R3648" t="str">
        <f>IFERROR(VLOOKUP(record[[#This Row],[PCUSTID]],廠商[],2,FALSE),"")</f>
        <v/>
      </c>
      <c r="S3648" t="str">
        <f>VLOOKUP(record[[#This Row],[employeeID]],員工[],2,FALSE)</f>
        <v>許文姍</v>
      </c>
    </row>
    <row r="3649" spans="6:19" hidden="1" x14ac:dyDescent="0.25">
      <c r="F3649" t="s">
        <v>1526</v>
      </c>
      <c r="G3649" t="s">
        <v>420</v>
      </c>
      <c r="H3649" t="str">
        <f>VLOOKUP(record[[#This Row],[ProcessSN]],表格2_7[],2,FALSE)</f>
        <v>30-4118-018-5XX</v>
      </c>
      <c r="I3649" t="str">
        <f>VLOOKUP(record[[#This Row],[ProcessSN]],表格2_7[],3,FALSE)</f>
        <v>#07STOCK</v>
      </c>
      <c r="J3649" t="s">
        <v>592</v>
      </c>
      <c r="K3649" s="195">
        <v>46087.68849537037</v>
      </c>
      <c r="L3649">
        <v>35</v>
      </c>
      <c r="M3649">
        <v>0</v>
      </c>
      <c r="N3649" s="98" t="str">
        <f>IF(record[[#This Row],[Memo]]="Browser:chrome os:android","平板報工",IF(record[[#This Row],[Memo]]=0,"委外",record[[#This Row],[Memo]]))</f>
        <v/>
      </c>
      <c r="O3649" t="s">
        <v>58</v>
      </c>
      <c r="P3649" t="s">
        <v>186</v>
      </c>
      <c r="Q3649" t="s">
        <v>58</v>
      </c>
      <c r="R3649" t="str">
        <f>IFERROR(VLOOKUP(record[[#This Row],[PCUSTID]],廠商[],2,FALSE),"")</f>
        <v/>
      </c>
      <c r="S3649" t="str">
        <f>VLOOKUP(record[[#This Row],[employeeID]],員工[],2,FALSE)</f>
        <v>許文姍</v>
      </c>
    </row>
    <row r="3650" spans="6:19" hidden="1" x14ac:dyDescent="0.25">
      <c r="F3650" t="s">
        <v>1516</v>
      </c>
      <c r="G3650" t="s">
        <v>420</v>
      </c>
      <c r="H3650" t="str">
        <f>VLOOKUP(record[[#This Row],[ProcessSN]],表格2_7[],2,FALSE)</f>
        <v>30-4118-018-5XX</v>
      </c>
      <c r="I3650" t="str">
        <f>VLOOKUP(record[[#This Row],[ProcessSN]],表格2_7[],3,FALSE)</f>
        <v>#07STOCK</v>
      </c>
      <c r="J3650" t="s">
        <v>592</v>
      </c>
      <c r="K3650" s="195">
        <v>46087.685648148145</v>
      </c>
      <c r="L3650">
        <v>40</v>
      </c>
      <c r="M3650">
        <v>0</v>
      </c>
      <c r="N3650" s="98" t="str">
        <f>IF(record[[#This Row],[Memo]]="Browser:chrome os:android","平板報工",IF(record[[#This Row],[Memo]]=0,"委外",record[[#This Row],[Memo]]))</f>
        <v/>
      </c>
      <c r="O3650" t="s">
        <v>58</v>
      </c>
      <c r="P3650" t="s">
        <v>186</v>
      </c>
      <c r="Q3650" t="s">
        <v>58</v>
      </c>
      <c r="R3650" t="str">
        <f>IFERROR(VLOOKUP(record[[#This Row],[PCUSTID]],廠商[],2,FALSE),"")</f>
        <v/>
      </c>
      <c r="S3650" t="str">
        <f>VLOOKUP(record[[#This Row],[employeeID]],員工[],2,FALSE)</f>
        <v>許文姍</v>
      </c>
    </row>
    <row r="3651" spans="6:19" hidden="1" x14ac:dyDescent="0.25">
      <c r="F3651" t="s">
        <v>1600</v>
      </c>
      <c r="G3651" t="s">
        <v>423</v>
      </c>
      <c r="H3651" t="str">
        <f>VLOOKUP(record[[#This Row],[ProcessSN]],表格2_7[],2,FALSE)</f>
        <v>30-4118-018-600</v>
      </c>
      <c r="I3651" t="str">
        <f>VLOOKUP(record[[#This Row],[ProcessSN]],表格2_7[],3,FALSE)</f>
        <v>#08RCV</v>
      </c>
      <c r="J3651" t="s">
        <v>591</v>
      </c>
      <c r="K3651" s="195">
        <v>46087.676412037035</v>
      </c>
      <c r="L3651">
        <v>178</v>
      </c>
      <c r="M3651">
        <v>0</v>
      </c>
      <c r="N3651" s="98" t="str">
        <f>IF(record[[#This Row],[Memo]]="Browser:chrome os:android","平板報工",IF(record[[#This Row],[Memo]]=0,"委外",record[[#This Row],[Memo]]))</f>
        <v/>
      </c>
      <c r="O3651" t="s">
        <v>58</v>
      </c>
      <c r="P3651" t="s">
        <v>186</v>
      </c>
      <c r="Q3651" t="s">
        <v>58</v>
      </c>
      <c r="R3651" t="str">
        <f>IFERROR(VLOOKUP(record[[#This Row],[PCUSTID]],廠商[],2,FALSE),"")</f>
        <v/>
      </c>
      <c r="S3651" t="str">
        <f>VLOOKUP(record[[#This Row],[employeeID]],員工[],2,FALSE)</f>
        <v>許文姍</v>
      </c>
    </row>
    <row r="3652" spans="6:19" hidden="1" x14ac:dyDescent="0.25">
      <c r="F3652" t="s">
        <v>1580</v>
      </c>
      <c r="G3652" t="s">
        <v>466</v>
      </c>
      <c r="H3652" t="str">
        <f>VLOOKUP(record[[#This Row],[ProcessSN]],表格2_7[],2,FALSE)</f>
        <v>30-4118-018-XXX</v>
      </c>
      <c r="I3652" t="str">
        <f>VLOOKUP(record[[#This Row],[ProcessSN]],表格2_7[],3,FALSE)</f>
        <v>#01-2</v>
      </c>
      <c r="J3652" t="s">
        <v>588</v>
      </c>
      <c r="K3652" s="195">
        <v>46087.653796296298</v>
      </c>
      <c r="L3652">
        <v>24</v>
      </c>
      <c r="M3652">
        <v>0</v>
      </c>
      <c r="N3652" s="98" t="str">
        <f>IF(record[[#This Row],[Memo]]="Browser:chrome os:android","平板報工",IF(record[[#This Row],[Memo]]=0,"委外",record[[#This Row],[Memo]]))</f>
        <v>平板報工</v>
      </c>
      <c r="O3652" t="s">
        <v>643</v>
      </c>
      <c r="P3652" t="s">
        <v>145</v>
      </c>
      <c r="Q3652" t="s">
        <v>644</v>
      </c>
      <c r="R3652" t="str">
        <f>IFERROR(VLOOKUP(record[[#This Row],[PCUSTID]],廠商[],2,FALSE),"")</f>
        <v/>
      </c>
      <c r="S3652" t="str">
        <f>VLOOKUP(record[[#This Row],[employeeID]],員工[],2,FALSE)</f>
        <v>阮秋霞</v>
      </c>
    </row>
    <row r="3653" spans="6:19" hidden="1" x14ac:dyDescent="0.25">
      <c r="F3653" t="s">
        <v>1580</v>
      </c>
      <c r="G3653" t="s">
        <v>465</v>
      </c>
      <c r="H3653" t="str">
        <f>VLOOKUP(record[[#This Row],[ProcessSN]],表格2_7[],2,FALSE)</f>
        <v>30-4118-018-XXX</v>
      </c>
      <c r="I3653" t="str">
        <f>VLOOKUP(record[[#This Row],[ProcessSN]],表格2_7[],3,FALSE)</f>
        <v>#01-1</v>
      </c>
      <c r="J3653" t="s">
        <v>588</v>
      </c>
      <c r="K3653" s="195">
        <v>46087.653611111113</v>
      </c>
      <c r="L3653">
        <v>24</v>
      </c>
      <c r="M3653">
        <v>0</v>
      </c>
      <c r="N3653" s="98" t="str">
        <f>IF(record[[#This Row],[Memo]]="Browser:chrome os:android","平板報工",IF(record[[#This Row],[Memo]]=0,"委外",record[[#This Row],[Memo]]))</f>
        <v>平板報工</v>
      </c>
      <c r="O3653" t="s">
        <v>643</v>
      </c>
      <c r="P3653" t="s">
        <v>145</v>
      </c>
      <c r="Q3653" t="s">
        <v>644</v>
      </c>
      <c r="R3653" t="str">
        <f>IFERROR(VLOOKUP(record[[#This Row],[PCUSTID]],廠商[],2,FALSE),"")</f>
        <v/>
      </c>
      <c r="S3653" t="str">
        <f>VLOOKUP(record[[#This Row],[employeeID]],員工[],2,FALSE)</f>
        <v>阮秋霞</v>
      </c>
    </row>
    <row r="3654" spans="6:19" hidden="1" x14ac:dyDescent="0.25">
      <c r="F3654" t="s">
        <v>1589</v>
      </c>
      <c r="G3654" t="s">
        <v>415</v>
      </c>
      <c r="H3654" t="str">
        <f>VLOOKUP(record[[#This Row],[ProcessSN]],表格2_7[],2,FALSE)</f>
        <v>30-4118-018-5XX</v>
      </c>
      <c r="I3654" t="str">
        <f>VLOOKUP(record[[#This Row],[ProcessSN]],表格2_7[],3,FALSE)</f>
        <v>#04</v>
      </c>
      <c r="J3654" t="s">
        <v>588</v>
      </c>
      <c r="K3654" s="195">
        <v>46087.653067129628</v>
      </c>
      <c r="L3654">
        <v>90</v>
      </c>
      <c r="M3654">
        <v>0</v>
      </c>
      <c r="N3654" s="98" t="str">
        <f>IF(record[[#This Row],[Memo]]="Browser:chrome os:android","平板報工",IF(record[[#This Row],[Memo]]=0,"委外",record[[#This Row],[Memo]]))</f>
        <v>平板報工</v>
      </c>
      <c r="O3654" t="s">
        <v>643</v>
      </c>
      <c r="P3654" t="s">
        <v>145</v>
      </c>
      <c r="Q3654" t="s">
        <v>644</v>
      </c>
      <c r="R3654" t="str">
        <f>IFERROR(VLOOKUP(record[[#This Row],[PCUSTID]],廠商[],2,FALSE),"")</f>
        <v/>
      </c>
      <c r="S3654" t="str">
        <f>VLOOKUP(record[[#This Row],[employeeID]],員工[],2,FALSE)</f>
        <v>阮秋霞</v>
      </c>
    </row>
    <row r="3655" spans="6:19" hidden="1" x14ac:dyDescent="0.25">
      <c r="F3655" t="s">
        <v>1605</v>
      </c>
      <c r="G3655" t="s">
        <v>397</v>
      </c>
      <c r="H3655" t="str">
        <f>VLOOKUP(record[[#This Row],[ProcessSN]],表格2_7[],2,FALSE)</f>
        <v>30-4118-018-550</v>
      </c>
      <c r="I3655" t="str">
        <f>VLOOKUP(record[[#This Row],[ProcessSN]],表格2_7[],3,FALSE)</f>
        <v>#08</v>
      </c>
      <c r="J3655" t="s">
        <v>597</v>
      </c>
      <c r="K3655" s="195">
        <v>46087.649837962963</v>
      </c>
      <c r="L3655">
        <v>352</v>
      </c>
      <c r="M3655">
        <v>0</v>
      </c>
      <c r="N3655" s="98" t="str">
        <f>IF(record[[#This Row],[Memo]]="Browser:chrome os:android","平板報工",IF(record[[#This Row],[Memo]]=0,"委外",record[[#This Row],[Memo]]))</f>
        <v>委外</v>
      </c>
      <c r="P3655" t="s">
        <v>186</v>
      </c>
      <c r="Q3655" t="s">
        <v>287</v>
      </c>
      <c r="R3655" t="str">
        <f>IFERROR(VLOOKUP(record[[#This Row],[PCUSTID]],廠商[],2,FALSE),"")</f>
        <v>泉盛</v>
      </c>
      <c r="S3655" t="str">
        <f>VLOOKUP(record[[#This Row],[employeeID]],員工[],2,FALSE)</f>
        <v>許文姍</v>
      </c>
    </row>
    <row r="3656" spans="6:19" hidden="1" x14ac:dyDescent="0.25">
      <c r="F3656" t="s">
        <v>1605</v>
      </c>
      <c r="G3656" t="s">
        <v>396</v>
      </c>
      <c r="H3656" t="str">
        <f>VLOOKUP(record[[#This Row],[ProcessSN]],表格2_7[],2,FALSE)</f>
        <v>30-4118-018-550</v>
      </c>
      <c r="I3656" t="str">
        <f>VLOOKUP(record[[#This Row],[ProcessSN]],表格2_7[],3,FALSE)</f>
        <v>#08PICK</v>
      </c>
      <c r="J3656" t="s">
        <v>582</v>
      </c>
      <c r="K3656" s="195">
        <v>46087.649606481478</v>
      </c>
      <c r="L3656">
        <v>352</v>
      </c>
      <c r="M3656">
        <v>0</v>
      </c>
      <c r="N3656" s="98" t="str">
        <f>IF(record[[#This Row],[Memo]]="Browser:chrome os:android","平板報工",IF(record[[#This Row],[Memo]]=0,"委外",record[[#This Row],[Memo]]))</f>
        <v/>
      </c>
      <c r="O3656" t="s">
        <v>58</v>
      </c>
      <c r="P3656" t="s">
        <v>186</v>
      </c>
      <c r="Q3656" t="s">
        <v>58</v>
      </c>
      <c r="R3656" t="str">
        <f>IFERROR(VLOOKUP(record[[#This Row],[PCUSTID]],廠商[],2,FALSE),"")</f>
        <v/>
      </c>
      <c r="S3656" t="str">
        <f>VLOOKUP(record[[#This Row],[employeeID]],員工[],2,FALSE)</f>
        <v>許文姍</v>
      </c>
    </row>
    <row r="3657" spans="6:19" hidden="1" x14ac:dyDescent="0.25">
      <c r="F3657" t="s">
        <v>1596</v>
      </c>
      <c r="G3657" t="s">
        <v>423</v>
      </c>
      <c r="H3657" t="str">
        <f>VLOOKUP(record[[#This Row],[ProcessSN]],表格2_7[],2,FALSE)</f>
        <v>30-4118-018-600</v>
      </c>
      <c r="I3657" t="str">
        <f>VLOOKUP(record[[#This Row],[ProcessSN]],表格2_7[],3,FALSE)</f>
        <v>#08RCV</v>
      </c>
      <c r="J3657" t="s">
        <v>591</v>
      </c>
      <c r="K3657" s="195">
        <v>46087.646516203706</v>
      </c>
      <c r="L3657">
        <v>0</v>
      </c>
      <c r="M3657">
        <v>2</v>
      </c>
      <c r="N3657" s="98" t="str">
        <f>IF(record[[#This Row],[Memo]]="Browser:chrome os:android","平板報工",IF(record[[#This Row],[Memo]]=0,"委外",record[[#This Row],[Memo]]))</f>
        <v/>
      </c>
      <c r="O3657" t="s">
        <v>58</v>
      </c>
      <c r="P3657" t="s">
        <v>186</v>
      </c>
      <c r="Q3657" t="s">
        <v>58</v>
      </c>
      <c r="R3657" t="str">
        <f>IFERROR(VLOOKUP(record[[#This Row],[PCUSTID]],廠商[],2,FALSE),"")</f>
        <v/>
      </c>
      <c r="S3657" t="str">
        <f>VLOOKUP(record[[#This Row],[employeeID]],員工[],2,FALSE)</f>
        <v>許文姍</v>
      </c>
    </row>
    <row r="3658" spans="6:19" hidden="1" x14ac:dyDescent="0.25">
      <c r="F3658" t="s">
        <v>1380</v>
      </c>
      <c r="G3658" t="s">
        <v>376</v>
      </c>
      <c r="H3658" t="str">
        <f>VLOOKUP(record[[#This Row],[ProcessSN]],表格2_7[],2,FALSE)</f>
        <v>30-4118-018-4XX</v>
      </c>
      <c r="I3658" t="str">
        <f>VLOOKUP(record[[#This Row],[ProcessSN]],表格2_7[],3,FALSE)</f>
        <v>#06</v>
      </c>
      <c r="J3658" t="s">
        <v>593</v>
      </c>
      <c r="K3658" s="195">
        <v>46087.640925925924</v>
      </c>
      <c r="L3658">
        <v>30</v>
      </c>
      <c r="M3658">
        <v>0</v>
      </c>
      <c r="N3658" s="98" t="str">
        <f>IF(record[[#This Row],[Memo]]="Browser:chrome os:android","平板報工",IF(record[[#This Row],[Memo]]=0,"委外",record[[#This Row],[Memo]]))</f>
        <v>平板報工</v>
      </c>
      <c r="O3658" t="s">
        <v>643</v>
      </c>
      <c r="P3658" t="s">
        <v>1413</v>
      </c>
      <c r="Q3658" t="s">
        <v>644</v>
      </c>
      <c r="R3658" t="str">
        <f>IFERROR(VLOOKUP(record[[#This Row],[PCUSTID]],廠商[],2,FALSE),"")</f>
        <v/>
      </c>
      <c r="S3658" t="str">
        <f>VLOOKUP(record[[#This Row],[employeeID]],員工[],2,FALSE)</f>
        <v>阮氏芳英(芳)</v>
      </c>
    </row>
    <row r="3659" spans="6:19" hidden="1" x14ac:dyDescent="0.25">
      <c r="F3659" t="s">
        <v>1540</v>
      </c>
      <c r="G3659" t="s">
        <v>417</v>
      </c>
      <c r="H3659" t="str">
        <f>VLOOKUP(record[[#This Row],[ProcessSN]],表格2_7[],2,FALSE)</f>
        <v>30-4118-018-5XX</v>
      </c>
      <c r="I3659" t="str">
        <f>VLOOKUP(record[[#This Row],[ProcessSN]],表格2_7[],3,FALSE)</f>
        <v>#06</v>
      </c>
      <c r="J3659" t="s">
        <v>593</v>
      </c>
      <c r="K3659" s="195">
        <v>46087.640659722223</v>
      </c>
      <c r="L3659">
        <v>82</v>
      </c>
      <c r="M3659">
        <v>0</v>
      </c>
      <c r="N3659" s="98" t="str">
        <f>IF(record[[#This Row],[Memo]]="Browser:chrome os:android","平板報工",IF(record[[#This Row],[Memo]]=0,"委外",record[[#This Row],[Memo]]))</f>
        <v>平板報工</v>
      </c>
      <c r="O3659" t="s">
        <v>643</v>
      </c>
      <c r="P3659" t="s">
        <v>1413</v>
      </c>
      <c r="Q3659" t="s">
        <v>644</v>
      </c>
      <c r="R3659" t="str">
        <f>IFERROR(VLOOKUP(record[[#This Row],[PCUSTID]],廠商[],2,FALSE),"")</f>
        <v/>
      </c>
      <c r="S3659" t="str">
        <f>VLOOKUP(record[[#This Row],[employeeID]],員工[],2,FALSE)</f>
        <v>阮氏芳英(芳)</v>
      </c>
    </row>
    <row r="3660" spans="6:19" hidden="1" x14ac:dyDescent="0.25">
      <c r="F3660" t="s">
        <v>1380</v>
      </c>
      <c r="G3660" t="s">
        <v>375</v>
      </c>
      <c r="H3660" t="str">
        <f>VLOOKUP(record[[#This Row],[ProcessSN]],表格2_7[],2,FALSE)</f>
        <v>30-4118-018-4XX</v>
      </c>
      <c r="I3660" t="str">
        <f>VLOOKUP(record[[#This Row],[ProcessSN]],表格2_7[],3,FALSE)</f>
        <v>#05</v>
      </c>
      <c r="J3660" t="s">
        <v>588</v>
      </c>
      <c r="K3660" s="195">
        <v>46087.639317129629</v>
      </c>
      <c r="L3660">
        <v>58</v>
      </c>
      <c r="M3660">
        <v>0</v>
      </c>
      <c r="N3660" s="98" t="str">
        <f>IF(record[[#This Row],[Memo]]="Browser:chrome os:android","平板報工",IF(record[[#This Row],[Memo]]=0,"委外",record[[#This Row],[Memo]]))</f>
        <v>平板報工</v>
      </c>
      <c r="O3660" t="s">
        <v>643</v>
      </c>
      <c r="P3660" t="s">
        <v>107</v>
      </c>
      <c r="Q3660" t="s">
        <v>644</v>
      </c>
      <c r="R3660" t="str">
        <f>IFERROR(VLOOKUP(record[[#This Row],[PCUSTID]],廠商[],2,FALSE),"")</f>
        <v/>
      </c>
      <c r="S3660" t="str">
        <f>VLOOKUP(record[[#This Row],[employeeID]],員工[],2,FALSE)</f>
        <v>黎氏順</v>
      </c>
    </row>
    <row r="3661" spans="6:19" hidden="1" x14ac:dyDescent="0.25">
      <c r="F3661" t="s">
        <v>1589</v>
      </c>
      <c r="G3661" t="s">
        <v>414</v>
      </c>
      <c r="H3661" t="str">
        <f>VLOOKUP(record[[#This Row],[ProcessSN]],表格2_7[],2,FALSE)</f>
        <v>30-4118-018-5XX</v>
      </c>
      <c r="I3661" t="str">
        <f>VLOOKUP(record[[#This Row],[ProcessSN]],表格2_7[],3,FALSE)</f>
        <v>#03</v>
      </c>
      <c r="J3661" t="s">
        <v>588</v>
      </c>
      <c r="K3661" s="195">
        <v>46087.638159722221</v>
      </c>
      <c r="L3661">
        <v>400</v>
      </c>
      <c r="M3661">
        <v>0</v>
      </c>
      <c r="N3661" s="98" t="str">
        <f>IF(record[[#This Row],[Memo]]="Browser:chrome os:android","平板報工",IF(record[[#This Row],[Memo]]=0,"委外",record[[#This Row],[Memo]]))</f>
        <v>平板報工</v>
      </c>
      <c r="O3661" t="s">
        <v>643</v>
      </c>
      <c r="P3661" t="s">
        <v>107</v>
      </c>
      <c r="Q3661" t="s">
        <v>644</v>
      </c>
      <c r="R3661" t="str">
        <f>IFERROR(VLOOKUP(record[[#This Row],[PCUSTID]],廠商[],2,FALSE),"")</f>
        <v/>
      </c>
      <c r="S3661" t="str">
        <f>VLOOKUP(record[[#This Row],[employeeID]],員工[],2,FALSE)</f>
        <v>黎氏順</v>
      </c>
    </row>
    <row r="3662" spans="6:19" hidden="1" x14ac:dyDescent="0.25">
      <c r="F3662" t="s">
        <v>1568</v>
      </c>
      <c r="G3662" t="s">
        <v>418</v>
      </c>
      <c r="H3662" t="str">
        <f>VLOOKUP(record[[#This Row],[ProcessSN]],表格2_7[],2,FALSE)</f>
        <v>30-4118-018-5XX</v>
      </c>
      <c r="I3662" t="str">
        <f>VLOOKUP(record[[#This Row],[ProcessSN]],表格2_7[],3,FALSE)</f>
        <v>#07</v>
      </c>
      <c r="J3662" t="s">
        <v>588</v>
      </c>
      <c r="K3662" s="195">
        <v>46087.637777777774</v>
      </c>
      <c r="L3662">
        <v>196</v>
      </c>
      <c r="M3662">
        <v>0</v>
      </c>
      <c r="N3662" s="98" t="str">
        <f>IF(record[[#This Row],[Memo]]="Browser:chrome os:android","平板報工",IF(record[[#This Row],[Memo]]=0,"委外",record[[#This Row],[Memo]]))</f>
        <v>平板報工</v>
      </c>
      <c r="O3662" t="s">
        <v>643</v>
      </c>
      <c r="P3662" t="s">
        <v>107</v>
      </c>
      <c r="Q3662" t="s">
        <v>644</v>
      </c>
      <c r="R3662" t="str">
        <f>IFERROR(VLOOKUP(record[[#This Row],[PCUSTID]],廠商[],2,FALSE),"")</f>
        <v/>
      </c>
      <c r="S3662" t="str">
        <f>VLOOKUP(record[[#This Row],[employeeID]],員工[],2,FALSE)</f>
        <v>黎氏順</v>
      </c>
    </row>
    <row r="3663" spans="6:19" hidden="1" x14ac:dyDescent="0.25">
      <c r="F3663" t="s">
        <v>1570</v>
      </c>
      <c r="G3663" t="s">
        <v>375</v>
      </c>
      <c r="H3663" t="str">
        <f>VLOOKUP(record[[#This Row],[ProcessSN]],表格2_7[],2,FALSE)</f>
        <v>30-4118-018-4XX</v>
      </c>
      <c r="I3663" t="str">
        <f>VLOOKUP(record[[#This Row],[ProcessSN]],表格2_7[],3,FALSE)</f>
        <v>#05</v>
      </c>
      <c r="J3663" t="s">
        <v>588</v>
      </c>
      <c r="K3663" s="195">
        <v>46087.636377314811</v>
      </c>
      <c r="L3663">
        <v>72</v>
      </c>
      <c r="M3663">
        <v>0</v>
      </c>
      <c r="N3663" s="98" t="str">
        <f>IF(record[[#This Row],[Memo]]="Browser:chrome os:android","平板報工",IF(record[[#This Row],[Memo]]=0,"委外",record[[#This Row],[Memo]]))</f>
        <v>平板報工</v>
      </c>
      <c r="O3663" t="s">
        <v>643</v>
      </c>
      <c r="P3663" t="s">
        <v>107</v>
      </c>
      <c r="Q3663" t="s">
        <v>644</v>
      </c>
      <c r="R3663" t="str">
        <f>IFERROR(VLOOKUP(record[[#This Row],[PCUSTID]],廠商[],2,FALSE),"")</f>
        <v/>
      </c>
      <c r="S3663" t="str">
        <f>VLOOKUP(record[[#This Row],[employeeID]],員工[],2,FALSE)</f>
        <v>黎氏順</v>
      </c>
    </row>
    <row r="3664" spans="6:19" hidden="1" x14ac:dyDescent="0.25">
      <c r="F3664" t="s">
        <v>1596</v>
      </c>
      <c r="G3664" t="s">
        <v>425</v>
      </c>
      <c r="H3664" t="str">
        <f>VLOOKUP(record[[#This Row],[ProcessSN]],表格2_7[],2,FALSE)</f>
        <v>30-4118-018-600</v>
      </c>
      <c r="I3664" t="str">
        <f>VLOOKUP(record[[#This Row],[ProcessSN]],表格2_7[],3,FALSE)</f>
        <v>#100</v>
      </c>
      <c r="J3664" t="s">
        <v>598</v>
      </c>
      <c r="K3664" s="195">
        <v>46087.62327546296</v>
      </c>
      <c r="L3664">
        <v>0</v>
      </c>
      <c r="M3664">
        <v>6</v>
      </c>
      <c r="N3664" s="98" t="str">
        <f>IF(record[[#This Row],[Memo]]="Browser:chrome os:android","平板報工",IF(record[[#This Row],[Memo]]=0,"委外",record[[#This Row],[Memo]]))</f>
        <v/>
      </c>
      <c r="O3664" t="s">
        <v>58</v>
      </c>
      <c r="P3664" t="s">
        <v>141</v>
      </c>
      <c r="Q3664" t="s">
        <v>58</v>
      </c>
      <c r="R3664" t="str">
        <f>IFERROR(VLOOKUP(record[[#This Row],[PCUSTID]],廠商[],2,FALSE),"")</f>
        <v/>
      </c>
      <c r="S3664" t="str">
        <f>VLOOKUP(record[[#This Row],[employeeID]],員工[],2,FALSE)</f>
        <v>蔣梅</v>
      </c>
    </row>
    <row r="3665" spans="6:19" hidden="1" x14ac:dyDescent="0.25">
      <c r="F3665" t="s">
        <v>1596</v>
      </c>
      <c r="G3665" t="s">
        <v>425</v>
      </c>
      <c r="H3665" t="str">
        <f>VLOOKUP(record[[#This Row],[ProcessSN]],表格2_7[],2,FALSE)</f>
        <v>30-4118-018-600</v>
      </c>
      <c r="I3665" t="str">
        <f>VLOOKUP(record[[#This Row],[ProcessSN]],表格2_7[],3,FALSE)</f>
        <v>#100</v>
      </c>
      <c r="J3665" t="s">
        <v>598</v>
      </c>
      <c r="K3665" s="195">
        <v>46087.623124999998</v>
      </c>
      <c r="L3665">
        <v>354</v>
      </c>
      <c r="M3665">
        <v>0</v>
      </c>
      <c r="N3665" s="98" t="str">
        <f>IF(record[[#This Row],[Memo]]="Browser:chrome os:android","平板報工",IF(record[[#This Row],[Memo]]=0,"委外",record[[#This Row],[Memo]]))</f>
        <v/>
      </c>
      <c r="O3665" t="s">
        <v>58</v>
      </c>
      <c r="P3665" t="s">
        <v>141</v>
      </c>
      <c r="Q3665" t="s">
        <v>58</v>
      </c>
      <c r="R3665" t="str">
        <f>IFERROR(VLOOKUP(record[[#This Row],[PCUSTID]],廠商[],2,FALSE),"")</f>
        <v/>
      </c>
      <c r="S3665" t="str">
        <f>VLOOKUP(record[[#This Row],[employeeID]],員工[],2,FALSE)</f>
        <v>蔣梅</v>
      </c>
    </row>
    <row r="3666" spans="6:19" hidden="1" x14ac:dyDescent="0.25">
      <c r="F3666" t="s">
        <v>1568</v>
      </c>
      <c r="G3666" t="s">
        <v>419</v>
      </c>
      <c r="H3666" t="str">
        <f>VLOOKUP(record[[#This Row],[ProcessSN]],表格2_7[],2,FALSE)</f>
        <v>30-4118-018-5XX</v>
      </c>
      <c r="I3666" t="str">
        <f>VLOOKUP(record[[#This Row],[ProcessSN]],表格2_7[],3,FALSE)</f>
        <v>#07QC</v>
      </c>
      <c r="J3666" t="s">
        <v>589</v>
      </c>
      <c r="K3666" s="195">
        <v>46087.490833333337</v>
      </c>
      <c r="L3666">
        <v>277</v>
      </c>
      <c r="M3666">
        <v>0</v>
      </c>
      <c r="N3666" s="98" t="str">
        <f>IF(record[[#This Row],[Memo]]="Browser:chrome os:android","平板報工",IF(record[[#This Row],[Memo]]=0,"委外",record[[#This Row],[Memo]]))</f>
        <v/>
      </c>
      <c r="O3666" t="s">
        <v>58</v>
      </c>
      <c r="P3666" t="s">
        <v>141</v>
      </c>
      <c r="Q3666" t="s">
        <v>58</v>
      </c>
      <c r="R3666" t="str">
        <f>IFERROR(VLOOKUP(record[[#This Row],[PCUSTID]],廠商[],2,FALSE),"")</f>
        <v/>
      </c>
      <c r="S3666" t="str">
        <f>VLOOKUP(record[[#This Row],[employeeID]],員工[],2,FALSE)</f>
        <v>蔣梅</v>
      </c>
    </row>
    <row r="3667" spans="6:19" hidden="1" x14ac:dyDescent="0.25">
      <c r="F3667" t="s">
        <v>1526</v>
      </c>
      <c r="G3667" t="s">
        <v>419</v>
      </c>
      <c r="H3667" t="str">
        <f>VLOOKUP(record[[#This Row],[ProcessSN]],表格2_7[],2,FALSE)</f>
        <v>30-4118-018-5XX</v>
      </c>
      <c r="I3667" t="str">
        <f>VLOOKUP(record[[#This Row],[ProcessSN]],表格2_7[],3,FALSE)</f>
        <v>#07QC</v>
      </c>
      <c r="J3667" t="s">
        <v>589</v>
      </c>
      <c r="K3667" s="195">
        <v>46087.490567129629</v>
      </c>
      <c r="L3667">
        <v>35</v>
      </c>
      <c r="M3667">
        <v>0</v>
      </c>
      <c r="N3667" s="98" t="str">
        <f>IF(record[[#This Row],[Memo]]="Browser:chrome os:android","平板報工",IF(record[[#This Row],[Memo]]=0,"委外",record[[#This Row],[Memo]]))</f>
        <v/>
      </c>
      <c r="O3667" t="s">
        <v>58</v>
      </c>
      <c r="P3667" t="s">
        <v>141</v>
      </c>
      <c r="Q3667" t="s">
        <v>58</v>
      </c>
      <c r="R3667" t="str">
        <f>IFERROR(VLOOKUP(record[[#This Row],[PCUSTID]],廠商[],2,FALSE),"")</f>
        <v/>
      </c>
      <c r="S3667" t="str">
        <f>VLOOKUP(record[[#This Row],[employeeID]],員工[],2,FALSE)</f>
        <v>蔣梅</v>
      </c>
    </row>
    <row r="3668" spans="6:19" hidden="1" x14ac:dyDescent="0.25">
      <c r="F3668" t="s">
        <v>1516</v>
      </c>
      <c r="G3668" t="s">
        <v>419</v>
      </c>
      <c r="H3668" t="str">
        <f>VLOOKUP(record[[#This Row],[ProcessSN]],表格2_7[],2,FALSE)</f>
        <v>30-4118-018-5XX</v>
      </c>
      <c r="I3668" t="str">
        <f>VLOOKUP(record[[#This Row],[ProcessSN]],表格2_7[],3,FALSE)</f>
        <v>#07QC</v>
      </c>
      <c r="J3668" t="s">
        <v>589</v>
      </c>
      <c r="K3668" s="195">
        <v>46087.49019675926</v>
      </c>
      <c r="L3668">
        <v>0</v>
      </c>
      <c r="M3668">
        <v>3</v>
      </c>
      <c r="N3668" s="98" t="str">
        <f>IF(record[[#This Row],[Memo]]="Browser:chrome os:android","平板報工",IF(record[[#This Row],[Memo]]=0,"委外",record[[#This Row],[Memo]]))</f>
        <v/>
      </c>
      <c r="O3668" t="s">
        <v>58</v>
      </c>
      <c r="P3668" t="s">
        <v>141</v>
      </c>
      <c r="Q3668" t="s">
        <v>58</v>
      </c>
      <c r="R3668" t="str">
        <f>IFERROR(VLOOKUP(record[[#This Row],[PCUSTID]],廠商[],2,FALSE),"")</f>
        <v/>
      </c>
      <c r="S3668" t="str">
        <f>VLOOKUP(record[[#This Row],[employeeID]],員工[],2,FALSE)</f>
        <v>蔣梅</v>
      </c>
    </row>
    <row r="3669" spans="6:19" hidden="1" x14ac:dyDescent="0.25">
      <c r="F3669" t="s">
        <v>1516</v>
      </c>
      <c r="G3669" t="s">
        <v>419</v>
      </c>
      <c r="H3669" t="str">
        <f>VLOOKUP(record[[#This Row],[ProcessSN]],表格2_7[],2,FALSE)</f>
        <v>30-4118-018-5XX</v>
      </c>
      <c r="I3669" t="str">
        <f>VLOOKUP(record[[#This Row],[ProcessSN]],表格2_7[],3,FALSE)</f>
        <v>#07QC</v>
      </c>
      <c r="J3669" t="s">
        <v>589</v>
      </c>
      <c r="K3669" s="195">
        <v>46087.490046296298</v>
      </c>
      <c r="L3669">
        <v>40</v>
      </c>
      <c r="M3669">
        <v>0</v>
      </c>
      <c r="N3669" s="98" t="str">
        <f>IF(record[[#This Row],[Memo]]="Browser:chrome os:android","平板報工",IF(record[[#This Row],[Memo]]=0,"委外",record[[#This Row],[Memo]]))</f>
        <v>覆回</v>
      </c>
      <c r="O3669" t="s">
        <v>682</v>
      </c>
      <c r="P3669" t="s">
        <v>141</v>
      </c>
      <c r="Q3669" t="s">
        <v>58</v>
      </c>
      <c r="R3669" t="str">
        <f>IFERROR(VLOOKUP(record[[#This Row],[PCUSTID]],廠商[],2,FALSE),"")</f>
        <v/>
      </c>
      <c r="S3669" t="str">
        <f>VLOOKUP(record[[#This Row],[employeeID]],員工[],2,FALSE)</f>
        <v>蔣梅</v>
      </c>
    </row>
    <row r="3670" spans="6:19" hidden="1" x14ac:dyDescent="0.25">
      <c r="F3670" t="s">
        <v>1593</v>
      </c>
      <c r="G3670" t="s">
        <v>428</v>
      </c>
      <c r="H3670" t="str">
        <f>VLOOKUP(record[[#This Row],[ProcessSN]],表格2_7[],2,FALSE)</f>
        <v>30-4118-018-600</v>
      </c>
      <c r="I3670" t="str">
        <f>VLOOKUP(record[[#This Row],[ProcessSN]],表格2_7[],3,FALSE)</f>
        <v>#100SHIP</v>
      </c>
      <c r="J3670" t="s">
        <v>600</v>
      </c>
      <c r="K3670" s="195">
        <v>46087.374768518515</v>
      </c>
      <c r="L3670">
        <v>198</v>
      </c>
      <c r="M3670">
        <v>0</v>
      </c>
      <c r="N3670" s="98" t="str">
        <f>IF(record[[#This Row],[Memo]]="Browser:chrome os:android","平板報工",IF(record[[#This Row],[Memo]]=0,"委外",record[[#This Row],[Memo]]))</f>
        <v/>
      </c>
      <c r="O3670" t="s">
        <v>58</v>
      </c>
      <c r="P3670" t="s">
        <v>886</v>
      </c>
      <c r="Q3670" t="s">
        <v>58</v>
      </c>
      <c r="R3670" t="str">
        <f>IFERROR(VLOOKUP(record[[#This Row],[PCUSTID]],廠商[],2,FALSE),"")</f>
        <v/>
      </c>
      <c r="S3670" t="str">
        <f>VLOOKUP(record[[#This Row],[employeeID]],員工[],2,FALSE)</f>
        <v>謝蓁薰</v>
      </c>
    </row>
    <row r="3671" spans="6:19" hidden="1" x14ac:dyDescent="0.25">
      <c r="F3671" t="s">
        <v>1585</v>
      </c>
      <c r="G3671" t="s">
        <v>428</v>
      </c>
      <c r="H3671" t="str">
        <f>VLOOKUP(record[[#This Row],[ProcessSN]],表格2_7[],2,FALSE)</f>
        <v>30-4118-018-600</v>
      </c>
      <c r="I3671" t="str">
        <f>VLOOKUP(record[[#This Row],[ProcessSN]],表格2_7[],3,FALSE)</f>
        <v>#100SHIP</v>
      </c>
      <c r="J3671" t="s">
        <v>600</v>
      </c>
      <c r="K3671" s="195">
        <v>46087.374583333331</v>
      </c>
      <c r="L3671">
        <v>490</v>
      </c>
      <c r="M3671">
        <v>0</v>
      </c>
      <c r="N3671" s="98" t="str">
        <f>IF(record[[#This Row],[Memo]]="Browser:chrome os:android","平板報工",IF(record[[#This Row],[Memo]]=0,"委外",record[[#This Row],[Memo]]))</f>
        <v/>
      </c>
      <c r="O3671" t="s">
        <v>58</v>
      </c>
      <c r="P3671" t="s">
        <v>886</v>
      </c>
      <c r="Q3671" t="s">
        <v>58</v>
      </c>
      <c r="R3671" t="str">
        <f>IFERROR(VLOOKUP(record[[#This Row],[PCUSTID]],廠商[],2,FALSE),"")</f>
        <v/>
      </c>
      <c r="S3671" t="str">
        <f>VLOOKUP(record[[#This Row],[employeeID]],員工[],2,FALSE)</f>
        <v>謝蓁薰</v>
      </c>
    </row>
    <row r="3672" spans="6:19" hidden="1" x14ac:dyDescent="0.25">
      <c r="F3672" t="s">
        <v>1578</v>
      </c>
      <c r="G3672" t="s">
        <v>428</v>
      </c>
      <c r="H3672" t="str">
        <f>VLOOKUP(record[[#This Row],[ProcessSN]],表格2_7[],2,FALSE)</f>
        <v>30-4118-018-600</v>
      </c>
      <c r="I3672" t="str">
        <f>VLOOKUP(record[[#This Row],[ProcessSN]],表格2_7[],3,FALSE)</f>
        <v>#100SHIP</v>
      </c>
      <c r="J3672" t="s">
        <v>600</v>
      </c>
      <c r="K3672" s="195">
        <v>46087.374432870369</v>
      </c>
      <c r="L3672">
        <v>161</v>
      </c>
      <c r="M3672">
        <v>0</v>
      </c>
      <c r="N3672" s="98" t="str">
        <f>IF(record[[#This Row],[Memo]]="Browser:chrome os:android","平板報工",IF(record[[#This Row],[Memo]]=0,"委外",record[[#This Row],[Memo]]))</f>
        <v/>
      </c>
      <c r="O3672" t="s">
        <v>58</v>
      </c>
      <c r="P3672" t="s">
        <v>886</v>
      </c>
      <c r="Q3672" t="s">
        <v>58</v>
      </c>
      <c r="R3672" t="str">
        <f>IFERROR(VLOOKUP(record[[#This Row],[PCUSTID]],廠商[],2,FALSE),"")</f>
        <v/>
      </c>
      <c r="S3672" t="str">
        <f>VLOOKUP(record[[#This Row],[employeeID]],員工[],2,FALSE)</f>
        <v>謝蓁薰</v>
      </c>
    </row>
    <row r="3673" spans="6:19" hidden="1" x14ac:dyDescent="0.25">
      <c r="F3673" t="s">
        <v>1593</v>
      </c>
      <c r="G3673" t="s">
        <v>427</v>
      </c>
      <c r="H3673" t="str">
        <f>VLOOKUP(record[[#This Row],[ProcessSN]],表格2_7[],2,FALSE)</f>
        <v>30-4118-018-600</v>
      </c>
      <c r="I3673" t="str">
        <f>VLOOKUP(record[[#This Row],[ProcessSN]],表格2_7[],3,FALSE)</f>
        <v>#100STOCK</v>
      </c>
      <c r="J3673" t="s">
        <v>592</v>
      </c>
      <c r="K3673" s="195">
        <v>46087.37431712963</v>
      </c>
      <c r="L3673">
        <v>198</v>
      </c>
      <c r="M3673">
        <v>0</v>
      </c>
      <c r="N3673" s="98" t="str">
        <f>IF(record[[#This Row],[Memo]]="Browser:chrome os:android","平板報工",IF(record[[#This Row],[Memo]]=0,"委外",record[[#This Row],[Memo]]))</f>
        <v/>
      </c>
      <c r="O3673" t="s">
        <v>58</v>
      </c>
      <c r="P3673" t="s">
        <v>886</v>
      </c>
      <c r="Q3673" t="s">
        <v>58</v>
      </c>
      <c r="R3673" t="str">
        <f>IFERROR(VLOOKUP(record[[#This Row],[PCUSTID]],廠商[],2,FALSE),"")</f>
        <v/>
      </c>
      <c r="S3673" t="str">
        <f>VLOOKUP(record[[#This Row],[employeeID]],員工[],2,FALSE)</f>
        <v>謝蓁薰</v>
      </c>
    </row>
    <row r="3674" spans="6:19" hidden="1" x14ac:dyDescent="0.25">
      <c r="F3674" t="s">
        <v>1593</v>
      </c>
      <c r="G3674" t="s">
        <v>426</v>
      </c>
      <c r="H3674" t="str">
        <f>VLOOKUP(record[[#This Row],[ProcessSN]],表格2_7[],2,FALSE)</f>
        <v>30-4118-018-600</v>
      </c>
      <c r="I3674" t="str">
        <f>VLOOKUP(record[[#This Row],[ProcessSN]],表格2_7[],3,FALSE)</f>
        <v>#100OQC</v>
      </c>
      <c r="J3674" t="s">
        <v>599</v>
      </c>
      <c r="K3674" s="195">
        <v>46087.33966435185</v>
      </c>
      <c r="L3674">
        <v>370</v>
      </c>
      <c r="M3674">
        <v>0</v>
      </c>
      <c r="N3674" s="98" t="str">
        <f>IF(record[[#This Row],[Memo]]="Browser:chrome os:android","平板報工",IF(record[[#This Row],[Memo]]=0,"委外",record[[#This Row],[Memo]]))</f>
        <v/>
      </c>
      <c r="O3674" t="s">
        <v>58</v>
      </c>
      <c r="P3674" t="s">
        <v>121</v>
      </c>
      <c r="Q3674" t="s">
        <v>58</v>
      </c>
      <c r="R3674" t="str">
        <f>IFERROR(VLOOKUP(record[[#This Row],[PCUSTID]],廠商[],2,FALSE),"")</f>
        <v/>
      </c>
      <c r="S3674" t="str">
        <f>VLOOKUP(record[[#This Row],[employeeID]],員工[],2,FALSE)</f>
        <v>謝素卿</v>
      </c>
    </row>
    <row r="3675" spans="6:19" hidden="1" x14ac:dyDescent="0.25">
      <c r="F3675" t="s">
        <v>1568</v>
      </c>
      <c r="G3675" t="s">
        <v>418</v>
      </c>
      <c r="H3675" t="str">
        <f>VLOOKUP(record[[#This Row],[ProcessSN]],表格2_7[],2,FALSE)</f>
        <v>30-4118-018-5XX</v>
      </c>
      <c r="I3675" t="str">
        <f>VLOOKUP(record[[#This Row],[ProcessSN]],表格2_7[],3,FALSE)</f>
        <v>#07</v>
      </c>
      <c r="J3675" t="s">
        <v>588</v>
      </c>
      <c r="K3675" s="195">
        <v>46087.298993055556</v>
      </c>
      <c r="L3675">
        <v>218</v>
      </c>
      <c r="M3675">
        <v>0</v>
      </c>
      <c r="N3675" s="98" t="str">
        <f>IF(record[[#This Row],[Memo]]="Browser:chrome os:android","平板報工",IF(record[[#This Row],[Memo]]=0,"委外",record[[#This Row],[Memo]]))</f>
        <v/>
      </c>
      <c r="O3675" t="s">
        <v>58</v>
      </c>
      <c r="P3675" t="s">
        <v>843</v>
      </c>
      <c r="Q3675" t="s">
        <v>58</v>
      </c>
      <c r="R3675" t="str">
        <f>IFERROR(VLOOKUP(record[[#This Row],[PCUSTID]],廠商[],2,FALSE),"")</f>
        <v/>
      </c>
      <c r="S3675" t="str">
        <f>VLOOKUP(record[[#This Row],[employeeID]],員工[],2,FALSE)</f>
        <v>張楚承</v>
      </c>
    </row>
    <row r="3676" spans="6:19" hidden="1" x14ac:dyDescent="0.25">
      <c r="F3676" t="s">
        <v>1589</v>
      </c>
      <c r="G3676" t="s">
        <v>414</v>
      </c>
      <c r="H3676" t="str">
        <f>VLOOKUP(record[[#This Row],[ProcessSN]],表格2_7[],2,FALSE)</f>
        <v>30-4118-018-5XX</v>
      </c>
      <c r="I3676" t="str">
        <f>VLOOKUP(record[[#This Row],[ProcessSN]],表格2_7[],3,FALSE)</f>
        <v>#03</v>
      </c>
      <c r="J3676" t="s">
        <v>588</v>
      </c>
      <c r="K3676" s="195">
        <v>46087.297986111109</v>
      </c>
      <c r="L3676">
        <v>632</v>
      </c>
      <c r="M3676">
        <v>0</v>
      </c>
      <c r="N3676" s="98" t="str">
        <f>IF(record[[#This Row],[Memo]]="Browser:chrome os:android","平板報工",IF(record[[#This Row],[Memo]]=0,"委外",record[[#This Row],[Memo]]))</f>
        <v/>
      </c>
      <c r="O3676" t="s">
        <v>58</v>
      </c>
      <c r="P3676" t="s">
        <v>843</v>
      </c>
      <c r="Q3676" t="s">
        <v>58</v>
      </c>
      <c r="R3676" t="str">
        <f>IFERROR(VLOOKUP(record[[#This Row],[PCUSTID]],廠商[],2,FALSE),"")</f>
        <v/>
      </c>
      <c r="S3676" t="str">
        <f>VLOOKUP(record[[#This Row],[employeeID]],員工[],2,FALSE)</f>
        <v>張楚承</v>
      </c>
    </row>
    <row r="3677" spans="6:19" hidden="1" x14ac:dyDescent="0.25">
      <c r="F3677" t="s">
        <v>1540</v>
      </c>
      <c r="G3677" t="s">
        <v>417</v>
      </c>
      <c r="H3677" t="str">
        <f>VLOOKUP(record[[#This Row],[ProcessSN]],表格2_7[],2,FALSE)</f>
        <v>30-4118-018-5XX</v>
      </c>
      <c r="I3677" t="str">
        <f>VLOOKUP(record[[#This Row],[ProcessSN]],表格2_7[],3,FALSE)</f>
        <v>#06</v>
      </c>
      <c r="J3677" t="s">
        <v>593</v>
      </c>
      <c r="K3677" s="195">
        <v>46087.159641203703</v>
      </c>
      <c r="L3677">
        <v>60</v>
      </c>
      <c r="M3677">
        <v>0</v>
      </c>
      <c r="N3677" s="98" t="str">
        <f>IF(record[[#This Row],[Memo]]="Browser:chrome os:android","平板報工",IF(record[[#This Row],[Memo]]=0,"委外",record[[#This Row],[Memo]]))</f>
        <v/>
      </c>
      <c r="O3677" t="s">
        <v>58</v>
      </c>
      <c r="P3677" t="s">
        <v>188</v>
      </c>
      <c r="Q3677" t="s">
        <v>58</v>
      </c>
      <c r="R3677" t="str">
        <f>IFERROR(VLOOKUP(record[[#This Row],[PCUSTID]],廠商[],2,FALSE),"")</f>
        <v/>
      </c>
      <c r="S3677" t="str">
        <f>VLOOKUP(record[[#This Row],[employeeID]],員工[],2,FALSE)</f>
        <v>阮氏璧紅</v>
      </c>
    </row>
    <row r="3678" spans="6:19" hidden="1" x14ac:dyDescent="0.25">
      <c r="F3678" t="s">
        <v>1540</v>
      </c>
      <c r="G3678" t="s">
        <v>417</v>
      </c>
      <c r="H3678" t="str">
        <f>VLOOKUP(record[[#This Row],[ProcessSN]],表格2_7[],2,FALSE)</f>
        <v>30-4118-018-5XX</v>
      </c>
      <c r="I3678" t="str">
        <f>VLOOKUP(record[[#This Row],[ProcessSN]],表格2_7[],3,FALSE)</f>
        <v>#06</v>
      </c>
      <c r="J3678" t="s">
        <v>593</v>
      </c>
      <c r="K3678" s="195">
        <v>46086.985219907408</v>
      </c>
      <c r="L3678">
        <v>133</v>
      </c>
      <c r="M3678">
        <v>0</v>
      </c>
      <c r="N3678" s="98" t="str">
        <f>IF(record[[#This Row],[Memo]]="Browser:chrome os:android","平板報工",IF(record[[#This Row],[Memo]]=0,"委外",record[[#This Row],[Memo]]))</f>
        <v/>
      </c>
      <c r="O3678" t="s">
        <v>58</v>
      </c>
      <c r="P3678" t="s">
        <v>133</v>
      </c>
      <c r="Q3678" t="s">
        <v>58</v>
      </c>
      <c r="R3678" t="str">
        <f>IFERROR(VLOOKUP(record[[#This Row],[PCUSTID]],廠商[],2,FALSE),"")</f>
        <v/>
      </c>
      <c r="S3678" t="str">
        <f>VLOOKUP(record[[#This Row],[employeeID]],員工[],2,FALSE)</f>
        <v>黎長維</v>
      </c>
    </row>
    <row r="3679" spans="6:19" hidden="1" x14ac:dyDescent="0.25">
      <c r="F3679" t="s">
        <v>1589</v>
      </c>
      <c r="G3679" t="s">
        <v>414</v>
      </c>
      <c r="H3679" t="str">
        <f>VLOOKUP(record[[#This Row],[ProcessSN]],表格2_7[],2,FALSE)</f>
        <v>30-4118-018-5XX</v>
      </c>
      <c r="I3679" t="str">
        <f>VLOOKUP(record[[#This Row],[ProcessSN]],表格2_7[],3,FALSE)</f>
        <v>#03</v>
      </c>
      <c r="J3679" t="s">
        <v>588</v>
      </c>
      <c r="K3679" s="195">
        <v>46086.982118055559</v>
      </c>
      <c r="L3679">
        <v>592</v>
      </c>
      <c r="M3679">
        <v>0</v>
      </c>
      <c r="N3679" s="98" t="str">
        <f>IF(record[[#This Row],[Memo]]="Browser:chrome os:android","平板報工",IF(record[[#This Row],[Memo]]=0,"委外",record[[#This Row],[Memo]]))</f>
        <v/>
      </c>
      <c r="O3679" t="s">
        <v>58</v>
      </c>
      <c r="P3679" t="s">
        <v>1098</v>
      </c>
      <c r="Q3679" t="s">
        <v>58</v>
      </c>
      <c r="R3679" t="str">
        <f>IFERROR(VLOOKUP(record[[#This Row],[PCUSTID]],廠商[],2,FALSE),"")</f>
        <v/>
      </c>
      <c r="S3679" t="str">
        <f>VLOOKUP(record[[#This Row],[employeeID]],員工[],2,FALSE)</f>
        <v>阮氏芳英(英)</v>
      </c>
    </row>
    <row r="3680" spans="6:19" hidden="1" x14ac:dyDescent="0.25">
      <c r="F3680" t="s">
        <v>1568</v>
      </c>
      <c r="G3680" t="s">
        <v>418</v>
      </c>
      <c r="H3680" t="str">
        <f>VLOOKUP(record[[#This Row],[ProcessSN]],表格2_7[],2,FALSE)</f>
        <v>30-4118-018-5XX</v>
      </c>
      <c r="I3680" t="str">
        <f>VLOOKUP(record[[#This Row],[ProcessSN]],表格2_7[],3,FALSE)</f>
        <v>#07</v>
      </c>
      <c r="J3680" t="s">
        <v>588</v>
      </c>
      <c r="K3680" s="195">
        <v>46086.979155092595</v>
      </c>
      <c r="L3680">
        <v>93</v>
      </c>
      <c r="M3680">
        <v>2</v>
      </c>
      <c r="N3680" s="98" t="str">
        <f>IF(record[[#This Row],[Memo]]="Browser:chrome os:android","平板報工",IF(record[[#This Row],[Memo]]=0,"委外",record[[#This Row],[Memo]]))</f>
        <v/>
      </c>
      <c r="O3680" t="s">
        <v>58</v>
      </c>
      <c r="P3680" t="s">
        <v>89</v>
      </c>
      <c r="Q3680" t="s">
        <v>58</v>
      </c>
      <c r="R3680" t="str">
        <f>IFERROR(VLOOKUP(record[[#This Row],[PCUSTID]],廠商[],2,FALSE),"")</f>
        <v/>
      </c>
      <c r="S3680" t="str">
        <f>VLOOKUP(record[[#This Row],[employeeID]],員工[],2,FALSE)</f>
        <v>李美蓮</v>
      </c>
    </row>
    <row r="3681" spans="6:19" hidden="1" x14ac:dyDescent="0.25">
      <c r="F3681" t="s">
        <v>1570</v>
      </c>
      <c r="G3681" t="s">
        <v>374</v>
      </c>
      <c r="H3681" t="str">
        <f>VLOOKUP(record[[#This Row],[ProcessSN]],表格2_7[],2,FALSE)</f>
        <v>30-4118-018-4XX</v>
      </c>
      <c r="I3681" t="str">
        <f>VLOOKUP(record[[#This Row],[ProcessSN]],表格2_7[],3,FALSE)</f>
        <v>#04</v>
      </c>
      <c r="J3681" t="s">
        <v>588</v>
      </c>
      <c r="K3681" s="195">
        <v>46086.978761574072</v>
      </c>
      <c r="L3681">
        <v>60</v>
      </c>
      <c r="M3681">
        <v>0</v>
      </c>
      <c r="N3681" s="98" t="str">
        <f>IF(record[[#This Row],[Memo]]="Browser:chrome os:android","平板報工",IF(record[[#This Row],[Memo]]=0,"委外",record[[#This Row],[Memo]]))</f>
        <v/>
      </c>
      <c r="O3681" t="s">
        <v>58</v>
      </c>
      <c r="P3681" t="s">
        <v>89</v>
      </c>
      <c r="Q3681" t="s">
        <v>58</v>
      </c>
      <c r="R3681" t="str">
        <f>IFERROR(VLOOKUP(record[[#This Row],[PCUSTID]],廠商[],2,FALSE),"")</f>
        <v/>
      </c>
      <c r="S3681" t="str">
        <f>VLOOKUP(record[[#This Row],[employeeID]],員工[],2,FALSE)</f>
        <v>李美蓮</v>
      </c>
    </row>
    <row r="3682" spans="6:19" hidden="1" x14ac:dyDescent="0.25">
      <c r="F3682" t="s">
        <v>1593</v>
      </c>
      <c r="G3682" t="s">
        <v>425</v>
      </c>
      <c r="H3682" t="str">
        <f>VLOOKUP(record[[#This Row],[ProcessSN]],表格2_7[],2,FALSE)</f>
        <v>30-4118-018-600</v>
      </c>
      <c r="I3682" t="str">
        <f>VLOOKUP(record[[#This Row],[ProcessSN]],表格2_7[],3,FALSE)</f>
        <v>#100</v>
      </c>
      <c r="J3682" t="s">
        <v>598</v>
      </c>
      <c r="K3682" s="195">
        <v>46086.815949074073</v>
      </c>
      <c r="L3682">
        <v>370</v>
      </c>
      <c r="M3682">
        <v>0</v>
      </c>
      <c r="N3682" s="98" t="str">
        <f>IF(record[[#This Row],[Memo]]="Browser:chrome os:android","平板報工",IF(record[[#This Row],[Memo]]=0,"委外",record[[#This Row],[Memo]]))</f>
        <v>平板報工</v>
      </c>
      <c r="O3682" t="s">
        <v>643</v>
      </c>
      <c r="P3682" t="s">
        <v>141</v>
      </c>
      <c r="Q3682" t="s">
        <v>644</v>
      </c>
      <c r="R3682" t="str">
        <f>IFERROR(VLOOKUP(record[[#This Row],[PCUSTID]],廠商[],2,FALSE),"")</f>
        <v/>
      </c>
      <c r="S3682" t="str">
        <f>VLOOKUP(record[[#This Row],[employeeID]],員工[],2,FALSE)</f>
        <v>蔣梅</v>
      </c>
    </row>
    <row r="3683" spans="6:19" hidden="1" x14ac:dyDescent="0.25">
      <c r="F3683" t="s">
        <v>1570</v>
      </c>
      <c r="G3683" t="s">
        <v>374</v>
      </c>
      <c r="H3683" t="str">
        <f>VLOOKUP(record[[#This Row],[ProcessSN]],表格2_7[],2,FALSE)</f>
        <v>30-4118-018-4XX</v>
      </c>
      <c r="I3683" t="str">
        <f>VLOOKUP(record[[#This Row],[ProcessSN]],表格2_7[],3,FALSE)</f>
        <v>#04</v>
      </c>
      <c r="J3683" t="s">
        <v>588</v>
      </c>
      <c r="K3683" s="195">
        <v>46086.809490740743</v>
      </c>
      <c r="L3683">
        <v>56</v>
      </c>
      <c r="M3683">
        <v>0</v>
      </c>
      <c r="N3683" s="98" t="str">
        <f>IF(record[[#This Row],[Memo]]="Browser:chrome os:android","平板報工",IF(record[[#This Row],[Memo]]=0,"委外",record[[#This Row],[Memo]]))</f>
        <v>平板報工</v>
      </c>
      <c r="O3683" t="s">
        <v>643</v>
      </c>
      <c r="P3683" t="s">
        <v>785</v>
      </c>
      <c r="Q3683" t="s">
        <v>644</v>
      </c>
      <c r="R3683" t="str">
        <f>IFERROR(VLOOKUP(record[[#This Row],[PCUSTID]],廠商[],2,FALSE),"")</f>
        <v/>
      </c>
      <c r="S3683" t="str">
        <f>VLOOKUP(record[[#This Row],[employeeID]],員工[],2,FALSE)</f>
        <v>謝刻光</v>
      </c>
    </row>
    <row r="3684" spans="6:19" hidden="1" x14ac:dyDescent="0.25">
      <c r="F3684" t="s">
        <v>1602</v>
      </c>
      <c r="G3684" t="s">
        <v>463</v>
      </c>
      <c r="H3684" t="str">
        <f>VLOOKUP(record[[#This Row],[ProcessSN]],表格2_7[],2,FALSE)</f>
        <v>30-4118-018-XXX</v>
      </c>
      <c r="I3684" t="str">
        <f>VLOOKUP(record[[#This Row],[ProcessSN]],表格2_7[],3,FALSE)</f>
        <v>#00IQC</v>
      </c>
      <c r="J3684" t="s">
        <v>583</v>
      </c>
      <c r="K3684" s="195">
        <v>46086.793726851851</v>
      </c>
      <c r="L3684">
        <v>5000</v>
      </c>
      <c r="M3684">
        <v>0</v>
      </c>
      <c r="N3684" s="98" t="str">
        <f>IF(record[[#This Row],[Memo]]="Browser:chrome os:android","平板報工",IF(record[[#This Row],[Memo]]=0,"委外",record[[#This Row],[Memo]]))</f>
        <v/>
      </c>
      <c r="O3684" t="s">
        <v>58</v>
      </c>
      <c r="P3684" t="s">
        <v>172</v>
      </c>
      <c r="Q3684" t="s">
        <v>58</v>
      </c>
      <c r="R3684" t="str">
        <f>IFERROR(VLOOKUP(record[[#This Row],[PCUSTID]],廠商[],2,FALSE),"")</f>
        <v/>
      </c>
      <c r="S3684" t="str">
        <f>VLOOKUP(record[[#This Row],[employeeID]],員工[],2,FALSE)</f>
        <v>李采玲</v>
      </c>
    </row>
    <row r="3685" spans="6:19" hidden="1" x14ac:dyDescent="0.25">
      <c r="F3685" t="s">
        <v>1580</v>
      </c>
      <c r="G3685" t="s">
        <v>464</v>
      </c>
      <c r="H3685" t="str">
        <f>VLOOKUP(record[[#This Row],[ProcessSN]],表格2_7[],2,FALSE)</f>
        <v>30-4118-018-XXX</v>
      </c>
      <c r="I3685" t="str">
        <f>VLOOKUP(record[[#This Row],[ProcessSN]],表格2_7[],3,FALSE)</f>
        <v>#01GIVE</v>
      </c>
      <c r="J3685" t="s">
        <v>587</v>
      </c>
      <c r="K3685" s="195">
        <v>46086.716041666667</v>
      </c>
      <c r="L3685">
        <v>2400</v>
      </c>
      <c r="M3685">
        <v>0</v>
      </c>
      <c r="N3685" s="98" t="str">
        <f>IF(record[[#This Row],[Memo]]="Browser:chrome os:android","平板報工",IF(record[[#This Row],[Memo]]=0,"委外",record[[#This Row],[Memo]]))</f>
        <v/>
      </c>
      <c r="O3685" t="s">
        <v>58</v>
      </c>
      <c r="P3685" t="s">
        <v>1070</v>
      </c>
      <c r="Q3685" t="s">
        <v>58</v>
      </c>
      <c r="R3685" t="str">
        <f>IFERROR(VLOOKUP(record[[#This Row],[PCUSTID]],廠商[],2,FALSE),"")</f>
        <v/>
      </c>
      <c r="S3685" t="str">
        <f>VLOOKUP(record[[#This Row],[employeeID]],員工[],2,FALSE)</f>
        <v>陳昱佑</v>
      </c>
    </row>
    <row r="3686" spans="6:19" hidden="1" x14ac:dyDescent="0.25">
      <c r="F3686" t="s">
        <v>1570</v>
      </c>
      <c r="G3686" t="s">
        <v>374</v>
      </c>
      <c r="H3686" t="str">
        <f>VLOOKUP(record[[#This Row],[ProcessSN]],表格2_7[],2,FALSE)</f>
        <v>30-4118-018-4XX</v>
      </c>
      <c r="I3686" t="str">
        <f>VLOOKUP(record[[#This Row],[ProcessSN]],表格2_7[],3,FALSE)</f>
        <v>#04</v>
      </c>
      <c r="J3686" t="s">
        <v>588</v>
      </c>
      <c r="K3686" s="195">
        <v>46086.688506944447</v>
      </c>
      <c r="L3686">
        <v>115</v>
      </c>
      <c r="M3686">
        <v>0</v>
      </c>
      <c r="N3686" s="98" t="str">
        <f>IF(record[[#This Row],[Memo]]="Browser:chrome os:android","平板報工",IF(record[[#This Row],[Memo]]=0,"委外",record[[#This Row],[Memo]]))</f>
        <v/>
      </c>
      <c r="O3686" t="s">
        <v>58</v>
      </c>
      <c r="P3686" t="s">
        <v>145</v>
      </c>
      <c r="Q3686" t="s">
        <v>58</v>
      </c>
      <c r="R3686" t="str">
        <f>IFERROR(VLOOKUP(record[[#This Row],[PCUSTID]],廠商[],2,FALSE),"")</f>
        <v/>
      </c>
      <c r="S3686" t="str">
        <f>VLOOKUP(record[[#This Row],[employeeID]],員工[],2,FALSE)</f>
        <v>阮秋霞</v>
      </c>
    </row>
    <row r="3687" spans="6:19" hidden="1" x14ac:dyDescent="0.25">
      <c r="F3687" t="s">
        <v>1526</v>
      </c>
      <c r="G3687" t="s">
        <v>418</v>
      </c>
      <c r="H3687" t="str">
        <f>VLOOKUP(record[[#This Row],[ProcessSN]],表格2_7[],2,FALSE)</f>
        <v>30-4118-018-5XX</v>
      </c>
      <c r="I3687" t="str">
        <f>VLOOKUP(record[[#This Row],[ProcessSN]],表格2_7[],3,FALSE)</f>
        <v>#07</v>
      </c>
      <c r="J3687" t="s">
        <v>588</v>
      </c>
      <c r="K3687" s="195">
        <v>46086.659351851849</v>
      </c>
      <c r="L3687">
        <v>24</v>
      </c>
      <c r="M3687">
        <v>0</v>
      </c>
      <c r="N3687" s="98" t="str">
        <f>IF(record[[#This Row],[Memo]]="Browser:chrome os:android","平板報工",IF(record[[#This Row],[Memo]]=0,"委外",record[[#This Row],[Memo]]))</f>
        <v>平板報工</v>
      </c>
      <c r="O3687" t="s">
        <v>643</v>
      </c>
      <c r="P3687" t="s">
        <v>107</v>
      </c>
      <c r="Q3687" t="s">
        <v>644</v>
      </c>
      <c r="R3687" t="str">
        <f>IFERROR(VLOOKUP(record[[#This Row],[PCUSTID]],廠商[],2,FALSE),"")</f>
        <v/>
      </c>
      <c r="S3687" t="str">
        <f>VLOOKUP(record[[#This Row],[employeeID]],員工[],2,FALSE)</f>
        <v>黎氏順</v>
      </c>
    </row>
    <row r="3688" spans="6:19" hidden="1" x14ac:dyDescent="0.25">
      <c r="F3688" t="s">
        <v>1540</v>
      </c>
      <c r="G3688" t="s">
        <v>417</v>
      </c>
      <c r="H3688" t="str">
        <f>VLOOKUP(record[[#This Row],[ProcessSN]],表格2_7[],2,FALSE)</f>
        <v>30-4118-018-5XX</v>
      </c>
      <c r="I3688" t="str">
        <f>VLOOKUP(record[[#This Row],[ProcessSN]],表格2_7[],3,FALSE)</f>
        <v>#06</v>
      </c>
      <c r="J3688" t="s">
        <v>593</v>
      </c>
      <c r="K3688" s="195">
        <v>46086.633032407408</v>
      </c>
      <c r="L3688">
        <v>100</v>
      </c>
      <c r="M3688">
        <v>0</v>
      </c>
      <c r="N3688" s="98" t="str">
        <f>IF(record[[#This Row],[Memo]]="Browser:chrome os:android","平板報工",IF(record[[#This Row],[Memo]]=0,"委外",record[[#This Row],[Memo]]))</f>
        <v>平板報工</v>
      </c>
      <c r="O3688" t="s">
        <v>643</v>
      </c>
      <c r="P3688" t="s">
        <v>1413</v>
      </c>
      <c r="Q3688" t="s">
        <v>644</v>
      </c>
      <c r="R3688" t="str">
        <f>IFERROR(VLOOKUP(record[[#This Row],[PCUSTID]],廠商[],2,FALSE),"")</f>
        <v/>
      </c>
      <c r="S3688" t="str">
        <f>VLOOKUP(record[[#This Row],[employeeID]],員工[],2,FALSE)</f>
        <v>阮氏芳英(芳)</v>
      </c>
    </row>
    <row r="3689" spans="6:19" hidden="1" x14ac:dyDescent="0.25">
      <c r="F3689" t="s">
        <v>1585</v>
      </c>
      <c r="G3689" t="s">
        <v>427</v>
      </c>
      <c r="H3689" t="str">
        <f>VLOOKUP(record[[#This Row],[ProcessSN]],表格2_7[],2,FALSE)</f>
        <v>30-4118-018-600</v>
      </c>
      <c r="I3689" t="str">
        <f>VLOOKUP(record[[#This Row],[ProcessSN]],表格2_7[],3,FALSE)</f>
        <v>#100STOCK</v>
      </c>
      <c r="J3689" t="s">
        <v>592</v>
      </c>
      <c r="K3689" s="195">
        <v>46086.601435185185</v>
      </c>
      <c r="L3689">
        <v>490</v>
      </c>
      <c r="M3689">
        <v>0</v>
      </c>
      <c r="N3689" s="98" t="str">
        <f>IF(record[[#This Row],[Memo]]="Browser:chrome os:android","平板報工",IF(record[[#This Row],[Memo]]=0,"委外",record[[#This Row],[Memo]]))</f>
        <v/>
      </c>
      <c r="O3689" t="s">
        <v>58</v>
      </c>
      <c r="P3689" t="s">
        <v>886</v>
      </c>
      <c r="Q3689" t="s">
        <v>58</v>
      </c>
      <c r="R3689" t="str">
        <f>IFERROR(VLOOKUP(record[[#This Row],[PCUSTID]],廠商[],2,FALSE),"")</f>
        <v/>
      </c>
      <c r="S3689" t="str">
        <f>VLOOKUP(record[[#This Row],[employeeID]],員工[],2,FALSE)</f>
        <v>謝蓁薰</v>
      </c>
    </row>
    <row r="3690" spans="6:19" hidden="1" x14ac:dyDescent="0.25">
      <c r="F3690" t="s">
        <v>1549</v>
      </c>
      <c r="G3690" t="s">
        <v>402</v>
      </c>
      <c r="H3690" t="str">
        <f>VLOOKUP(record[[#This Row],[ProcessSN]],表格2_7[],2,FALSE)</f>
        <v>30-4118-018-550</v>
      </c>
      <c r="I3690" t="str">
        <f>VLOOKUP(record[[#This Row],[ProcessSN]],表格2_7[],3,FALSE)</f>
        <v>#100STOCK</v>
      </c>
      <c r="J3690" t="s">
        <v>592</v>
      </c>
      <c r="K3690" s="195">
        <v>46086.601053240738</v>
      </c>
      <c r="L3690">
        <v>1</v>
      </c>
      <c r="M3690">
        <v>0</v>
      </c>
      <c r="N3690" s="98" t="str">
        <f>IF(record[[#This Row],[Memo]]="Browser:chrome os:android","平板報工",IF(record[[#This Row],[Memo]]=0,"委外",record[[#This Row],[Memo]]))</f>
        <v/>
      </c>
      <c r="O3690" t="s">
        <v>58</v>
      </c>
      <c r="P3690" t="s">
        <v>886</v>
      </c>
      <c r="Q3690" t="s">
        <v>58</v>
      </c>
      <c r="R3690" t="str">
        <f>IFERROR(VLOOKUP(record[[#This Row],[PCUSTID]],廠商[],2,FALSE),"")</f>
        <v/>
      </c>
      <c r="S3690" t="str">
        <f>VLOOKUP(record[[#This Row],[employeeID]],員工[],2,FALSE)</f>
        <v>謝蓁薰</v>
      </c>
    </row>
    <row r="3691" spans="6:19" hidden="1" x14ac:dyDescent="0.25">
      <c r="F3691" t="s">
        <v>1556</v>
      </c>
      <c r="G3691" t="s">
        <v>402</v>
      </c>
      <c r="H3691" t="str">
        <f>VLOOKUP(record[[#This Row],[ProcessSN]],表格2_7[],2,FALSE)</f>
        <v>30-4118-018-550</v>
      </c>
      <c r="I3691" t="str">
        <f>VLOOKUP(record[[#This Row],[ProcessSN]],表格2_7[],3,FALSE)</f>
        <v>#100STOCK</v>
      </c>
      <c r="J3691" t="s">
        <v>592</v>
      </c>
      <c r="K3691" s="195">
        <v>46086.600949074076</v>
      </c>
      <c r="L3691">
        <v>30</v>
      </c>
      <c r="M3691">
        <v>0</v>
      </c>
      <c r="N3691" s="98" t="str">
        <f>IF(record[[#This Row],[Memo]]="Browser:chrome os:android","平板報工",IF(record[[#This Row],[Memo]]=0,"委外",record[[#This Row],[Memo]]))</f>
        <v/>
      </c>
      <c r="O3691" t="s">
        <v>58</v>
      </c>
      <c r="P3691" t="s">
        <v>886</v>
      </c>
      <c r="Q3691" t="s">
        <v>58</v>
      </c>
      <c r="R3691" t="str">
        <f>IFERROR(VLOOKUP(record[[#This Row],[PCUSTID]],廠商[],2,FALSE),"")</f>
        <v/>
      </c>
      <c r="S3691" t="str">
        <f>VLOOKUP(record[[#This Row],[employeeID]],員工[],2,FALSE)</f>
        <v>謝蓁薰</v>
      </c>
    </row>
    <row r="3692" spans="6:19" hidden="1" x14ac:dyDescent="0.25">
      <c r="F3692" t="s">
        <v>1582</v>
      </c>
      <c r="G3692" t="s">
        <v>402</v>
      </c>
      <c r="H3692" t="str">
        <f>VLOOKUP(record[[#This Row],[ProcessSN]],表格2_7[],2,FALSE)</f>
        <v>30-4118-018-550</v>
      </c>
      <c r="I3692" t="str">
        <f>VLOOKUP(record[[#This Row],[ProcessSN]],表格2_7[],3,FALSE)</f>
        <v>#100STOCK</v>
      </c>
      <c r="J3692" t="s">
        <v>592</v>
      </c>
      <c r="K3692" s="195">
        <v>46086.600810185184</v>
      </c>
      <c r="L3692">
        <v>22</v>
      </c>
      <c r="M3692">
        <v>0</v>
      </c>
      <c r="N3692" s="98" t="str">
        <f>IF(record[[#This Row],[Memo]]="Browser:chrome os:android","平板報工",IF(record[[#This Row],[Memo]]=0,"委外",record[[#This Row],[Memo]]))</f>
        <v/>
      </c>
      <c r="O3692" t="s">
        <v>58</v>
      </c>
      <c r="P3692" t="s">
        <v>886</v>
      </c>
      <c r="Q3692" t="s">
        <v>58</v>
      </c>
      <c r="R3692" t="str">
        <f>IFERROR(VLOOKUP(record[[#This Row],[PCUSTID]],廠商[],2,FALSE),"")</f>
        <v/>
      </c>
      <c r="S3692" t="str">
        <f>VLOOKUP(record[[#This Row],[employeeID]],員工[],2,FALSE)</f>
        <v>謝蓁薰</v>
      </c>
    </row>
    <row r="3693" spans="6:19" hidden="1" x14ac:dyDescent="0.25">
      <c r="F3693" t="s">
        <v>1603</v>
      </c>
      <c r="G3693" t="s">
        <v>397</v>
      </c>
      <c r="H3693" t="str">
        <f>VLOOKUP(record[[#This Row],[ProcessSN]],表格2_7[],2,FALSE)</f>
        <v>30-4118-018-550</v>
      </c>
      <c r="I3693" t="str">
        <f>VLOOKUP(record[[#This Row],[ProcessSN]],表格2_7[],3,FALSE)</f>
        <v>#08</v>
      </c>
      <c r="J3693" t="s">
        <v>597</v>
      </c>
      <c r="K3693" s="195">
        <v>46086.595312500001</v>
      </c>
      <c r="L3693">
        <v>396</v>
      </c>
      <c r="M3693">
        <v>0</v>
      </c>
      <c r="N3693" s="98" t="str">
        <f>IF(record[[#This Row],[Memo]]="Browser:chrome os:android","平板報工",IF(record[[#This Row],[Memo]]=0,"委外",record[[#This Row],[Memo]]))</f>
        <v>委外</v>
      </c>
      <c r="P3693" t="s">
        <v>186</v>
      </c>
      <c r="Q3693" t="s">
        <v>287</v>
      </c>
      <c r="R3693" t="str">
        <f>IFERROR(VLOOKUP(record[[#This Row],[PCUSTID]],廠商[],2,FALSE),"")</f>
        <v>泉盛</v>
      </c>
      <c r="S3693" t="str">
        <f>VLOOKUP(record[[#This Row],[employeeID]],員工[],2,FALSE)</f>
        <v>許文姍</v>
      </c>
    </row>
    <row r="3694" spans="6:19" hidden="1" x14ac:dyDescent="0.25">
      <c r="F3694" t="s">
        <v>1603</v>
      </c>
      <c r="G3694" t="s">
        <v>396</v>
      </c>
      <c r="H3694" t="str">
        <f>VLOOKUP(record[[#This Row],[ProcessSN]],表格2_7[],2,FALSE)</f>
        <v>30-4118-018-550</v>
      </c>
      <c r="I3694" t="str">
        <f>VLOOKUP(record[[#This Row],[ProcessSN]],表格2_7[],3,FALSE)</f>
        <v>#08PICK</v>
      </c>
      <c r="J3694" t="s">
        <v>582</v>
      </c>
      <c r="K3694" s="195">
        <v>46086.592939814815</v>
      </c>
      <c r="L3694">
        <v>396</v>
      </c>
      <c r="M3694">
        <v>0</v>
      </c>
      <c r="N3694" s="98" t="str">
        <f>IF(record[[#This Row],[Memo]]="Browser:chrome os:android","平板報工",IF(record[[#This Row],[Memo]]=0,"委外",record[[#This Row],[Memo]]))</f>
        <v/>
      </c>
      <c r="O3694" t="s">
        <v>58</v>
      </c>
      <c r="P3694" t="s">
        <v>186</v>
      </c>
      <c r="Q3694" t="s">
        <v>58</v>
      </c>
      <c r="R3694" t="str">
        <f>IFERROR(VLOOKUP(record[[#This Row],[PCUSTID]],廠商[],2,FALSE),"")</f>
        <v/>
      </c>
      <c r="S3694" t="str">
        <f>VLOOKUP(record[[#This Row],[employeeID]],員工[],2,FALSE)</f>
        <v>許文姍</v>
      </c>
    </row>
    <row r="3695" spans="6:19" hidden="1" x14ac:dyDescent="0.25">
      <c r="F3695" t="s">
        <v>1526</v>
      </c>
      <c r="G3695" t="s">
        <v>420</v>
      </c>
      <c r="H3695" t="str">
        <f>VLOOKUP(record[[#This Row],[ProcessSN]],表格2_7[],2,FALSE)</f>
        <v>30-4118-018-5XX</v>
      </c>
      <c r="I3695" t="str">
        <f>VLOOKUP(record[[#This Row],[ProcessSN]],表格2_7[],3,FALSE)</f>
        <v>#07STOCK</v>
      </c>
      <c r="J3695" t="s">
        <v>592</v>
      </c>
      <c r="K3695" s="195">
        <v>46086.591932870368</v>
      </c>
      <c r="L3695">
        <v>173</v>
      </c>
      <c r="M3695">
        <v>0</v>
      </c>
      <c r="N3695" s="98" t="str">
        <f>IF(record[[#This Row],[Memo]]="Browser:chrome os:android","平板報工",IF(record[[#This Row],[Memo]]=0,"委外",record[[#This Row],[Memo]]))</f>
        <v/>
      </c>
      <c r="O3695" t="s">
        <v>58</v>
      </c>
      <c r="P3695" t="s">
        <v>186</v>
      </c>
      <c r="Q3695" t="s">
        <v>58</v>
      </c>
      <c r="R3695" t="str">
        <f>IFERROR(VLOOKUP(record[[#This Row],[PCUSTID]],廠商[],2,FALSE),"")</f>
        <v/>
      </c>
      <c r="S3695" t="str">
        <f>VLOOKUP(record[[#This Row],[employeeID]],員工[],2,FALSE)</f>
        <v>許文姍</v>
      </c>
    </row>
    <row r="3696" spans="6:19" hidden="1" x14ac:dyDescent="0.25">
      <c r="F3696" t="s">
        <v>1516</v>
      </c>
      <c r="G3696" t="s">
        <v>420</v>
      </c>
      <c r="H3696" t="str">
        <f>VLOOKUP(record[[#This Row],[ProcessSN]],表格2_7[],2,FALSE)</f>
        <v>30-4118-018-5XX</v>
      </c>
      <c r="I3696" t="str">
        <f>VLOOKUP(record[[#This Row],[ProcessSN]],表格2_7[],3,FALSE)</f>
        <v>#07STOCK</v>
      </c>
      <c r="J3696" t="s">
        <v>592</v>
      </c>
      <c r="K3696" s="195">
        <v>46086.591458333336</v>
      </c>
      <c r="L3696">
        <v>223</v>
      </c>
      <c r="M3696">
        <v>0</v>
      </c>
      <c r="N3696" s="98" t="str">
        <f>IF(record[[#This Row],[Memo]]="Browser:chrome os:android","平板報工",IF(record[[#This Row],[Memo]]=0,"委外",record[[#This Row],[Memo]]))</f>
        <v/>
      </c>
      <c r="O3696" t="s">
        <v>58</v>
      </c>
      <c r="P3696" t="s">
        <v>186</v>
      </c>
      <c r="Q3696" t="s">
        <v>58</v>
      </c>
      <c r="R3696" t="str">
        <f>IFERROR(VLOOKUP(record[[#This Row],[PCUSTID]],廠商[],2,FALSE),"")</f>
        <v/>
      </c>
      <c r="S3696" t="str">
        <f>VLOOKUP(record[[#This Row],[employeeID]],員工[],2,FALSE)</f>
        <v>許文姍</v>
      </c>
    </row>
    <row r="3697" spans="6:19" hidden="1" x14ac:dyDescent="0.25">
      <c r="F3697" t="s">
        <v>1602</v>
      </c>
      <c r="G3697" t="s">
        <v>462</v>
      </c>
      <c r="H3697" t="str">
        <f>VLOOKUP(record[[#This Row],[ProcessSN]],表格2_7[],2,FALSE)</f>
        <v>30-4118-018-XXX</v>
      </c>
      <c r="I3697" t="str">
        <f>VLOOKUP(record[[#This Row],[ProcessSN]],表格2_7[],3,FALSE)</f>
        <v>#00PICK</v>
      </c>
      <c r="J3697" t="s">
        <v>582</v>
      </c>
      <c r="K3697" s="195">
        <v>46086.444224537037</v>
      </c>
      <c r="L3697">
        <v>5000</v>
      </c>
      <c r="M3697">
        <v>0</v>
      </c>
      <c r="N3697" s="98" t="str">
        <f>IF(record[[#This Row],[Memo]]="Browser:chrome os:android","平板報工",IF(record[[#This Row],[Memo]]=0,"委外",record[[#This Row],[Memo]]))</f>
        <v/>
      </c>
      <c r="O3697" t="s">
        <v>58</v>
      </c>
      <c r="P3697" t="s">
        <v>186</v>
      </c>
      <c r="Q3697" t="s">
        <v>58</v>
      </c>
      <c r="R3697" t="str">
        <f>IFERROR(VLOOKUP(record[[#This Row],[PCUSTID]],廠商[],2,FALSE),"")</f>
        <v/>
      </c>
      <c r="S3697" t="str">
        <f>VLOOKUP(record[[#This Row],[employeeID]],員工[],2,FALSE)</f>
        <v>許文姍</v>
      </c>
    </row>
    <row r="3698" spans="6:19" hidden="1" x14ac:dyDescent="0.25">
      <c r="F3698" t="s">
        <v>1526</v>
      </c>
      <c r="G3698" t="s">
        <v>419</v>
      </c>
      <c r="H3698" t="str">
        <f>VLOOKUP(record[[#This Row],[ProcessSN]],表格2_7[],2,FALSE)</f>
        <v>30-4118-018-5XX</v>
      </c>
      <c r="I3698" t="str">
        <f>VLOOKUP(record[[#This Row],[ProcessSN]],表格2_7[],3,FALSE)</f>
        <v>#07QC</v>
      </c>
      <c r="J3698" t="s">
        <v>589</v>
      </c>
      <c r="K3698" s="195">
        <v>46086.411458333336</v>
      </c>
      <c r="L3698">
        <v>173</v>
      </c>
      <c r="M3698">
        <v>0</v>
      </c>
      <c r="N3698" s="98" t="str">
        <f>IF(record[[#This Row],[Memo]]="Browser:chrome os:android","平板報工",IF(record[[#This Row],[Memo]]=0,"委外",record[[#This Row],[Memo]]))</f>
        <v>平板報工</v>
      </c>
      <c r="O3698" t="s">
        <v>643</v>
      </c>
      <c r="P3698" t="s">
        <v>141</v>
      </c>
      <c r="Q3698" t="s">
        <v>644</v>
      </c>
      <c r="R3698" t="str">
        <f>IFERROR(VLOOKUP(record[[#This Row],[PCUSTID]],廠商[],2,FALSE),"")</f>
        <v/>
      </c>
      <c r="S3698" t="str">
        <f>VLOOKUP(record[[#This Row],[employeeID]],員工[],2,FALSE)</f>
        <v>蔣梅</v>
      </c>
    </row>
    <row r="3699" spans="6:19" hidden="1" x14ac:dyDescent="0.25">
      <c r="F3699" t="s">
        <v>1516</v>
      </c>
      <c r="G3699" t="s">
        <v>419</v>
      </c>
      <c r="H3699" t="str">
        <f>VLOOKUP(record[[#This Row],[ProcessSN]],表格2_7[],2,FALSE)</f>
        <v>30-4118-018-5XX</v>
      </c>
      <c r="I3699" t="str">
        <f>VLOOKUP(record[[#This Row],[ProcessSN]],表格2_7[],3,FALSE)</f>
        <v>#07QC</v>
      </c>
      <c r="J3699" t="s">
        <v>589</v>
      </c>
      <c r="K3699" s="195">
        <v>46086.408726851849</v>
      </c>
      <c r="L3699">
        <v>56</v>
      </c>
      <c r="M3699">
        <v>0</v>
      </c>
      <c r="N3699" s="98" t="str">
        <f>IF(record[[#This Row],[Memo]]="Browser:chrome os:android","平板報工",IF(record[[#This Row],[Memo]]=0,"委外",record[[#This Row],[Memo]]))</f>
        <v>平板報工</v>
      </c>
      <c r="O3699" t="s">
        <v>643</v>
      </c>
      <c r="P3699" t="s">
        <v>141</v>
      </c>
      <c r="Q3699" t="s">
        <v>644</v>
      </c>
      <c r="R3699" t="str">
        <f>IFERROR(VLOOKUP(record[[#This Row],[PCUSTID]],廠商[],2,FALSE),"")</f>
        <v/>
      </c>
      <c r="S3699" t="str">
        <f>VLOOKUP(record[[#This Row],[employeeID]],員工[],2,FALSE)</f>
        <v>蔣梅</v>
      </c>
    </row>
    <row r="3700" spans="6:19" hidden="1" x14ac:dyDescent="0.25">
      <c r="F3700" t="s">
        <v>1578</v>
      </c>
      <c r="G3700" t="s">
        <v>428</v>
      </c>
      <c r="H3700" t="str">
        <f>VLOOKUP(record[[#This Row],[ProcessSN]],表格2_7[],2,FALSE)</f>
        <v>30-4118-018-600</v>
      </c>
      <c r="I3700" t="str">
        <f>VLOOKUP(record[[#This Row],[ProcessSN]],表格2_7[],3,FALSE)</f>
        <v>#100SHIP</v>
      </c>
      <c r="J3700" t="s">
        <v>600</v>
      </c>
      <c r="K3700" s="195">
        <v>46086.355624999997</v>
      </c>
      <c r="L3700">
        <v>1</v>
      </c>
      <c r="M3700">
        <v>0</v>
      </c>
      <c r="N3700" s="98" t="str">
        <f>IF(record[[#This Row],[Memo]]="Browser:chrome os:android","平板報工",IF(record[[#This Row],[Memo]]=0,"委外",record[[#This Row],[Memo]]))</f>
        <v/>
      </c>
      <c r="O3700" t="s">
        <v>58</v>
      </c>
      <c r="P3700" t="s">
        <v>886</v>
      </c>
      <c r="Q3700" t="s">
        <v>58</v>
      </c>
      <c r="R3700" t="str">
        <f>IFERROR(VLOOKUP(record[[#This Row],[PCUSTID]],廠商[],2,FALSE),"")</f>
        <v/>
      </c>
      <c r="S3700" t="str">
        <f>VLOOKUP(record[[#This Row],[employeeID]],員工[],2,FALSE)</f>
        <v>謝蓁薰</v>
      </c>
    </row>
    <row r="3701" spans="6:19" hidden="1" x14ac:dyDescent="0.25">
      <c r="F3701" t="s">
        <v>1574</v>
      </c>
      <c r="G3701" t="s">
        <v>428</v>
      </c>
      <c r="H3701" t="str">
        <f>VLOOKUP(record[[#This Row],[ProcessSN]],表格2_7[],2,FALSE)</f>
        <v>30-4118-018-600</v>
      </c>
      <c r="I3701" t="str">
        <f>VLOOKUP(record[[#This Row],[ProcessSN]],表格2_7[],3,FALSE)</f>
        <v>#100SHIP</v>
      </c>
      <c r="J3701" t="s">
        <v>600</v>
      </c>
      <c r="K3701" s="195">
        <v>46086.355393518519</v>
      </c>
      <c r="L3701">
        <v>221</v>
      </c>
      <c r="M3701">
        <v>0</v>
      </c>
      <c r="N3701" s="98" t="str">
        <f>IF(record[[#This Row],[Memo]]="Browser:chrome os:android","平板報工",IF(record[[#This Row],[Memo]]=0,"委外",record[[#This Row],[Memo]]))</f>
        <v/>
      </c>
      <c r="O3701" t="s">
        <v>58</v>
      </c>
      <c r="P3701" t="s">
        <v>886</v>
      </c>
      <c r="Q3701" t="s">
        <v>58</v>
      </c>
      <c r="R3701" t="str">
        <f>IFERROR(VLOOKUP(record[[#This Row],[PCUSTID]],廠商[],2,FALSE),"")</f>
        <v/>
      </c>
      <c r="S3701" t="str">
        <f>VLOOKUP(record[[#This Row],[employeeID]],員工[],2,FALSE)</f>
        <v>謝蓁薰</v>
      </c>
    </row>
    <row r="3702" spans="6:19" hidden="1" x14ac:dyDescent="0.25">
      <c r="F3702" t="s">
        <v>1571</v>
      </c>
      <c r="G3702" t="s">
        <v>428</v>
      </c>
      <c r="H3702" t="str">
        <f>VLOOKUP(record[[#This Row],[ProcessSN]],表格2_7[],2,FALSE)</f>
        <v>30-4118-018-600</v>
      </c>
      <c r="I3702" t="str">
        <f>VLOOKUP(record[[#This Row],[ProcessSN]],表格2_7[],3,FALSE)</f>
        <v>#100SHIP</v>
      </c>
      <c r="J3702" t="s">
        <v>600</v>
      </c>
      <c r="K3702" s="195">
        <v>46086.355231481481</v>
      </c>
      <c r="L3702">
        <v>238</v>
      </c>
      <c r="M3702">
        <v>0</v>
      </c>
      <c r="N3702" s="98" t="str">
        <f>IF(record[[#This Row],[Memo]]="Browser:chrome os:android","平板報工",IF(record[[#This Row],[Memo]]=0,"委外",record[[#This Row],[Memo]]))</f>
        <v/>
      </c>
      <c r="O3702" t="s">
        <v>58</v>
      </c>
      <c r="P3702" t="s">
        <v>886</v>
      </c>
      <c r="Q3702" t="s">
        <v>58</v>
      </c>
      <c r="R3702" t="str">
        <f>IFERROR(VLOOKUP(record[[#This Row],[PCUSTID]],廠商[],2,FALSE),"")</f>
        <v/>
      </c>
      <c r="S3702" t="str">
        <f>VLOOKUP(record[[#This Row],[employeeID]],員工[],2,FALSE)</f>
        <v>謝蓁薰</v>
      </c>
    </row>
    <row r="3703" spans="6:19" hidden="1" x14ac:dyDescent="0.25">
      <c r="F3703" t="s">
        <v>1526</v>
      </c>
      <c r="G3703" t="s">
        <v>418</v>
      </c>
      <c r="H3703" t="str">
        <f>VLOOKUP(record[[#This Row],[ProcessSN]],表格2_7[],2,FALSE)</f>
        <v>30-4118-018-5XX</v>
      </c>
      <c r="I3703" t="str">
        <f>VLOOKUP(record[[#This Row],[ProcessSN]],表格2_7[],3,FALSE)</f>
        <v>#07</v>
      </c>
      <c r="J3703" t="s">
        <v>588</v>
      </c>
      <c r="K3703" s="195">
        <v>46086.312048611115</v>
      </c>
      <c r="L3703">
        <v>122</v>
      </c>
      <c r="M3703">
        <v>0</v>
      </c>
      <c r="N3703" s="98" t="str">
        <f>IF(record[[#This Row],[Memo]]="Browser:chrome os:android","平板報工",IF(record[[#This Row],[Memo]]=0,"委外",record[[#This Row],[Memo]]))</f>
        <v/>
      </c>
      <c r="O3703" t="s">
        <v>58</v>
      </c>
      <c r="P3703" t="s">
        <v>843</v>
      </c>
      <c r="Q3703" t="s">
        <v>58</v>
      </c>
      <c r="R3703" t="str">
        <f>IFERROR(VLOOKUP(record[[#This Row],[PCUSTID]],廠商[],2,FALSE),"")</f>
        <v/>
      </c>
      <c r="S3703" t="str">
        <f>VLOOKUP(record[[#This Row],[employeeID]],員工[],2,FALSE)</f>
        <v>張楚承</v>
      </c>
    </row>
    <row r="3704" spans="6:19" hidden="1" x14ac:dyDescent="0.25">
      <c r="F3704" t="s">
        <v>1540</v>
      </c>
      <c r="G3704" t="s">
        <v>417</v>
      </c>
      <c r="H3704" t="str">
        <f>VLOOKUP(record[[#This Row],[ProcessSN]],表格2_7[],2,FALSE)</f>
        <v>30-4118-018-5XX</v>
      </c>
      <c r="I3704" t="str">
        <f>VLOOKUP(record[[#This Row],[ProcessSN]],表格2_7[],3,FALSE)</f>
        <v>#06</v>
      </c>
      <c r="J3704" t="s">
        <v>593</v>
      </c>
      <c r="K3704" s="195">
        <v>46085.97515046296</v>
      </c>
      <c r="L3704">
        <v>133</v>
      </c>
      <c r="M3704">
        <v>0</v>
      </c>
      <c r="N3704" s="98" t="str">
        <f>IF(record[[#This Row],[Memo]]="Browser:chrome os:android","平板報工",IF(record[[#This Row],[Memo]]=0,"委外",record[[#This Row],[Memo]]))</f>
        <v/>
      </c>
      <c r="O3704" t="s">
        <v>58</v>
      </c>
      <c r="P3704" t="s">
        <v>133</v>
      </c>
      <c r="Q3704" t="s">
        <v>58</v>
      </c>
      <c r="R3704" t="str">
        <f>IFERROR(VLOOKUP(record[[#This Row],[PCUSTID]],廠商[],2,FALSE),"")</f>
        <v/>
      </c>
      <c r="S3704" t="str">
        <f>VLOOKUP(record[[#This Row],[employeeID]],員工[],2,FALSE)</f>
        <v>黎長維</v>
      </c>
    </row>
    <row r="3705" spans="6:19" hidden="1" x14ac:dyDescent="0.25">
      <c r="F3705" t="s">
        <v>1570</v>
      </c>
      <c r="G3705" t="s">
        <v>374</v>
      </c>
      <c r="H3705" t="str">
        <f>VLOOKUP(record[[#This Row],[ProcessSN]],表格2_7[],2,FALSE)</f>
        <v>30-4118-018-4XX</v>
      </c>
      <c r="I3705" t="str">
        <f>VLOOKUP(record[[#This Row],[ProcessSN]],表格2_7[],3,FALSE)</f>
        <v>#04</v>
      </c>
      <c r="J3705" t="s">
        <v>588</v>
      </c>
      <c r="K3705" s="195">
        <v>46085.973425925928</v>
      </c>
      <c r="L3705">
        <v>72</v>
      </c>
      <c r="M3705">
        <v>0</v>
      </c>
      <c r="N3705" s="98" t="str">
        <f>IF(record[[#This Row],[Memo]]="Browser:chrome os:android","平板報工",IF(record[[#This Row],[Memo]]=0,"委外",record[[#This Row],[Memo]]))</f>
        <v/>
      </c>
      <c r="O3705" t="s">
        <v>58</v>
      </c>
      <c r="P3705" t="s">
        <v>841</v>
      </c>
      <c r="Q3705" t="s">
        <v>58</v>
      </c>
      <c r="R3705" t="str">
        <f>IFERROR(VLOOKUP(record[[#This Row],[PCUSTID]],廠商[],2,FALSE),"")</f>
        <v/>
      </c>
      <c r="S3705" t="str">
        <f>VLOOKUP(record[[#This Row],[employeeID]],員工[],2,FALSE)</f>
        <v>范氏香</v>
      </c>
    </row>
    <row r="3706" spans="6:19" hidden="1" x14ac:dyDescent="0.25">
      <c r="F3706" t="s">
        <v>1526</v>
      </c>
      <c r="G3706" t="s">
        <v>418</v>
      </c>
      <c r="H3706" t="str">
        <f>VLOOKUP(record[[#This Row],[ProcessSN]],表格2_7[],2,FALSE)</f>
        <v>30-4118-018-5XX</v>
      </c>
      <c r="I3706" t="str">
        <f>VLOOKUP(record[[#This Row],[ProcessSN]],表格2_7[],3,FALSE)</f>
        <v>#07</v>
      </c>
      <c r="J3706" t="s">
        <v>588</v>
      </c>
      <c r="K3706" s="195">
        <v>46085.896053240744</v>
      </c>
      <c r="L3706">
        <v>62</v>
      </c>
      <c r="M3706">
        <v>1</v>
      </c>
      <c r="N3706" s="98" t="str">
        <f>IF(record[[#This Row],[Memo]]="Browser:chrome os:android","平板報工",IF(record[[#This Row],[Memo]]=0,"委外",record[[#This Row],[Memo]]))</f>
        <v/>
      </c>
      <c r="O3706" t="s">
        <v>58</v>
      </c>
      <c r="P3706" t="s">
        <v>89</v>
      </c>
      <c r="Q3706" t="s">
        <v>58</v>
      </c>
      <c r="R3706" t="str">
        <f>IFERROR(VLOOKUP(record[[#This Row],[PCUSTID]],廠商[],2,FALSE),"")</f>
        <v/>
      </c>
      <c r="S3706" t="str">
        <f>VLOOKUP(record[[#This Row],[employeeID]],員工[],2,FALSE)</f>
        <v>李美蓮</v>
      </c>
    </row>
    <row r="3707" spans="6:19" hidden="1" x14ac:dyDescent="0.25">
      <c r="F3707" t="s">
        <v>1570</v>
      </c>
      <c r="G3707" t="s">
        <v>374</v>
      </c>
      <c r="H3707" t="str">
        <f>VLOOKUP(record[[#This Row],[ProcessSN]],表格2_7[],2,FALSE)</f>
        <v>30-4118-018-4XX</v>
      </c>
      <c r="I3707" t="str">
        <f>VLOOKUP(record[[#This Row],[ProcessSN]],表格2_7[],3,FALSE)</f>
        <v>#04</v>
      </c>
      <c r="J3707" t="s">
        <v>588</v>
      </c>
      <c r="K3707" s="195">
        <v>46085.832094907404</v>
      </c>
      <c r="L3707">
        <v>70</v>
      </c>
      <c r="M3707">
        <v>0</v>
      </c>
      <c r="N3707" s="98" t="str">
        <f>IF(record[[#This Row],[Memo]]="Browser:chrome os:android","平板報工",IF(record[[#This Row],[Memo]]=0,"委外",record[[#This Row],[Memo]]))</f>
        <v>平板報工</v>
      </c>
      <c r="O3707" t="s">
        <v>643</v>
      </c>
      <c r="P3707" t="s">
        <v>785</v>
      </c>
      <c r="Q3707" t="s">
        <v>644</v>
      </c>
      <c r="R3707" t="str">
        <f>IFERROR(VLOOKUP(record[[#This Row],[PCUSTID]],廠商[],2,FALSE),"")</f>
        <v/>
      </c>
      <c r="S3707" t="str">
        <f>VLOOKUP(record[[#This Row],[employeeID]],員工[],2,FALSE)</f>
        <v>謝刻光</v>
      </c>
    </row>
    <row r="3708" spans="6:19" hidden="1" x14ac:dyDescent="0.25">
      <c r="F3708" t="s">
        <v>1516</v>
      </c>
      <c r="G3708" t="s">
        <v>419</v>
      </c>
      <c r="H3708" t="str">
        <f>VLOOKUP(record[[#This Row],[ProcessSN]],表格2_7[],2,FALSE)</f>
        <v>30-4118-018-5XX</v>
      </c>
      <c r="I3708" t="str">
        <f>VLOOKUP(record[[#This Row],[ProcessSN]],表格2_7[],3,FALSE)</f>
        <v>#07QC</v>
      </c>
      <c r="J3708" t="s">
        <v>589</v>
      </c>
      <c r="K3708" s="195">
        <v>46085.805543981478</v>
      </c>
      <c r="L3708">
        <v>42</v>
      </c>
      <c r="M3708">
        <v>0</v>
      </c>
      <c r="N3708" s="98" t="str">
        <f>IF(record[[#This Row],[Memo]]="Browser:chrome os:android","平板報工",IF(record[[#This Row],[Memo]]=0,"委外",record[[#This Row],[Memo]]))</f>
        <v/>
      </c>
      <c r="O3708" t="s">
        <v>58</v>
      </c>
      <c r="P3708" t="s">
        <v>141</v>
      </c>
      <c r="Q3708" t="s">
        <v>58</v>
      </c>
      <c r="R3708" t="str">
        <f>IFERROR(VLOOKUP(record[[#This Row],[PCUSTID]],廠商[],2,FALSE),"")</f>
        <v/>
      </c>
      <c r="S3708" t="str">
        <f>VLOOKUP(record[[#This Row],[employeeID]],員工[],2,FALSE)</f>
        <v>蔣梅</v>
      </c>
    </row>
    <row r="3709" spans="6:19" hidden="1" x14ac:dyDescent="0.25">
      <c r="F3709" t="s">
        <v>1569</v>
      </c>
      <c r="G3709" t="s">
        <v>452</v>
      </c>
      <c r="H3709" t="str">
        <f>VLOOKUP(record[[#This Row],[ProcessSN]],表格2_7[],2,FALSE)</f>
        <v>30-4118-018-6XX</v>
      </c>
      <c r="I3709" t="str">
        <f>VLOOKUP(record[[#This Row],[ProcessSN]],表格2_7[],3,FALSE)</f>
        <v>#07QC</v>
      </c>
      <c r="J3709" t="s">
        <v>589</v>
      </c>
      <c r="K3709" s="195">
        <v>46085.80431712963</v>
      </c>
      <c r="L3709">
        <v>0</v>
      </c>
      <c r="M3709">
        <v>5</v>
      </c>
      <c r="N3709" s="98" t="str">
        <f>IF(record[[#This Row],[Memo]]="Browser:chrome os:android","平板報工",IF(record[[#This Row],[Memo]]=0,"委外",record[[#This Row],[Memo]]))</f>
        <v/>
      </c>
      <c r="O3709" t="s">
        <v>58</v>
      </c>
      <c r="P3709" t="s">
        <v>141</v>
      </c>
      <c r="Q3709" t="s">
        <v>58</v>
      </c>
      <c r="R3709" t="str">
        <f>IFERROR(VLOOKUP(record[[#This Row],[PCUSTID]],廠商[],2,FALSE),"")</f>
        <v/>
      </c>
      <c r="S3709" t="str">
        <f>VLOOKUP(record[[#This Row],[employeeID]],員工[],2,FALSE)</f>
        <v>蔣梅</v>
      </c>
    </row>
    <row r="3710" spans="6:19" hidden="1" x14ac:dyDescent="0.25">
      <c r="F3710" t="s">
        <v>1596</v>
      </c>
      <c r="G3710" t="s">
        <v>424</v>
      </c>
      <c r="H3710" t="str">
        <f>VLOOKUP(record[[#This Row],[ProcessSN]],表格2_7[],2,FALSE)</f>
        <v>30-4118-018-600</v>
      </c>
      <c r="I3710" t="str">
        <f>VLOOKUP(record[[#This Row],[ProcessSN]],表格2_7[],3,FALSE)</f>
        <v>#08IQC</v>
      </c>
      <c r="J3710" t="s">
        <v>583</v>
      </c>
      <c r="K3710" s="195">
        <v>46085.701770833337</v>
      </c>
      <c r="L3710">
        <v>360</v>
      </c>
      <c r="M3710">
        <v>0</v>
      </c>
      <c r="N3710" s="98" t="str">
        <f>IF(record[[#This Row],[Memo]]="Browser:chrome os:android","平板報工",IF(record[[#This Row],[Memo]]=0,"委外",record[[#This Row],[Memo]]))</f>
        <v/>
      </c>
      <c r="O3710" t="s">
        <v>58</v>
      </c>
      <c r="P3710" t="s">
        <v>172</v>
      </c>
      <c r="Q3710" t="s">
        <v>58</v>
      </c>
      <c r="R3710" t="str">
        <f>IFERROR(VLOOKUP(record[[#This Row],[PCUSTID]],廠商[],2,FALSE),"")</f>
        <v/>
      </c>
      <c r="S3710" t="str">
        <f>VLOOKUP(record[[#This Row],[employeeID]],員工[],2,FALSE)</f>
        <v>李采玲</v>
      </c>
    </row>
    <row r="3711" spans="6:19" hidden="1" x14ac:dyDescent="0.25">
      <c r="F3711" t="s">
        <v>1516</v>
      </c>
      <c r="G3711" t="s">
        <v>418</v>
      </c>
      <c r="H3711" t="str">
        <f>VLOOKUP(record[[#This Row],[ProcessSN]],表格2_7[],2,FALSE)</f>
        <v>30-4118-018-5XX</v>
      </c>
      <c r="I3711" t="str">
        <f>VLOOKUP(record[[#This Row],[ProcessSN]],表格2_7[],3,FALSE)</f>
        <v>#07</v>
      </c>
      <c r="J3711" t="s">
        <v>588</v>
      </c>
      <c r="K3711" s="195">
        <v>46085.643726851849</v>
      </c>
      <c r="L3711">
        <v>123</v>
      </c>
      <c r="M3711">
        <v>2</v>
      </c>
      <c r="N3711" s="98" t="str">
        <f>IF(record[[#This Row],[Memo]]="Browser:chrome os:android","平板報工",IF(record[[#This Row],[Memo]]=0,"委外",record[[#This Row],[Memo]]))</f>
        <v>平板報工</v>
      </c>
      <c r="O3711" t="s">
        <v>643</v>
      </c>
      <c r="P3711" t="s">
        <v>145</v>
      </c>
      <c r="Q3711" t="s">
        <v>644</v>
      </c>
      <c r="R3711" t="str">
        <f>IFERROR(VLOOKUP(record[[#This Row],[PCUSTID]],廠商[],2,FALSE),"")</f>
        <v/>
      </c>
      <c r="S3711" t="str">
        <f>VLOOKUP(record[[#This Row],[employeeID]],員工[],2,FALSE)</f>
        <v>阮秋霞</v>
      </c>
    </row>
    <row r="3712" spans="6:19" hidden="1" x14ac:dyDescent="0.25">
      <c r="F3712" t="s">
        <v>1570</v>
      </c>
      <c r="G3712" t="s">
        <v>374</v>
      </c>
      <c r="H3712" t="str">
        <f>VLOOKUP(record[[#This Row],[ProcessSN]],表格2_7[],2,FALSE)</f>
        <v>30-4118-018-4XX</v>
      </c>
      <c r="I3712" t="str">
        <f>VLOOKUP(record[[#This Row],[ProcessSN]],表格2_7[],3,FALSE)</f>
        <v>#04</v>
      </c>
      <c r="J3712" t="s">
        <v>588</v>
      </c>
      <c r="K3712" s="195">
        <v>46085.637164351851</v>
      </c>
      <c r="L3712">
        <v>40</v>
      </c>
      <c r="M3712">
        <v>3</v>
      </c>
      <c r="N3712" s="98" t="str">
        <f>IF(record[[#This Row],[Memo]]="Browser:chrome os:android","平板報工",IF(record[[#This Row],[Memo]]=0,"委外",record[[#This Row],[Memo]]))</f>
        <v>平板報工</v>
      </c>
      <c r="O3712" t="s">
        <v>643</v>
      </c>
      <c r="P3712" t="s">
        <v>785</v>
      </c>
      <c r="Q3712" t="s">
        <v>644</v>
      </c>
      <c r="R3712" t="str">
        <f>IFERROR(VLOOKUP(record[[#This Row],[PCUSTID]],廠商[],2,FALSE),"")</f>
        <v/>
      </c>
      <c r="S3712" t="str">
        <f>VLOOKUP(record[[#This Row],[employeeID]],員工[],2,FALSE)</f>
        <v>謝刻光</v>
      </c>
    </row>
    <row r="3713" spans="6:19" hidden="1" x14ac:dyDescent="0.25">
      <c r="F3713" t="s">
        <v>1540</v>
      </c>
      <c r="G3713" t="s">
        <v>417</v>
      </c>
      <c r="H3713" t="str">
        <f>VLOOKUP(record[[#This Row],[ProcessSN]],表格2_7[],2,FALSE)</f>
        <v>30-4118-018-5XX</v>
      </c>
      <c r="I3713" t="str">
        <f>VLOOKUP(record[[#This Row],[ProcessSN]],表格2_7[],3,FALSE)</f>
        <v>#06</v>
      </c>
      <c r="J3713" t="s">
        <v>593</v>
      </c>
      <c r="K3713" s="195">
        <v>46085.622476851851</v>
      </c>
      <c r="L3713">
        <v>14</v>
      </c>
      <c r="M3713">
        <v>0</v>
      </c>
      <c r="N3713" s="98" t="str">
        <f>IF(record[[#This Row],[Memo]]="Browser:chrome os:android","平板報工",IF(record[[#This Row],[Memo]]=0,"委外",record[[#This Row],[Memo]]))</f>
        <v>平板報工</v>
      </c>
      <c r="O3713" t="s">
        <v>643</v>
      </c>
      <c r="P3713" t="s">
        <v>1413</v>
      </c>
      <c r="Q3713" t="s">
        <v>644</v>
      </c>
      <c r="R3713" t="str">
        <f>IFERROR(VLOOKUP(record[[#This Row],[PCUSTID]],廠商[],2,FALSE),"")</f>
        <v/>
      </c>
      <c r="S3713" t="str">
        <f>VLOOKUP(record[[#This Row],[employeeID]],員工[],2,FALSE)</f>
        <v>阮氏芳英(芳)</v>
      </c>
    </row>
    <row r="3714" spans="6:19" hidden="1" x14ac:dyDescent="0.25">
      <c r="F3714" t="s">
        <v>1568</v>
      </c>
      <c r="G3714" t="s">
        <v>417</v>
      </c>
      <c r="H3714" t="str">
        <f>VLOOKUP(record[[#This Row],[ProcessSN]],表格2_7[],2,FALSE)</f>
        <v>30-4118-018-5XX</v>
      </c>
      <c r="I3714" t="str">
        <f>VLOOKUP(record[[#This Row],[ProcessSN]],表格2_7[],3,FALSE)</f>
        <v>#06</v>
      </c>
      <c r="J3714" t="s">
        <v>593</v>
      </c>
      <c r="K3714" s="195">
        <v>46085.616041666668</v>
      </c>
      <c r="L3714">
        <v>116</v>
      </c>
      <c r="M3714">
        <v>0</v>
      </c>
      <c r="N3714" s="98" t="str">
        <f>IF(record[[#This Row],[Memo]]="Browser:chrome os:android","平板報工",IF(record[[#This Row],[Memo]]=0,"委外",record[[#This Row],[Memo]]))</f>
        <v>平板報工</v>
      </c>
      <c r="O3714" t="s">
        <v>643</v>
      </c>
      <c r="P3714" t="s">
        <v>1413</v>
      </c>
      <c r="Q3714" t="s">
        <v>644</v>
      </c>
      <c r="R3714" t="str">
        <f>IFERROR(VLOOKUP(record[[#This Row],[PCUSTID]],廠商[],2,FALSE),"")</f>
        <v/>
      </c>
      <c r="S3714" t="str">
        <f>VLOOKUP(record[[#This Row],[employeeID]],員工[],2,FALSE)</f>
        <v>阮氏芳英(芳)</v>
      </c>
    </row>
    <row r="3715" spans="6:19" hidden="1" x14ac:dyDescent="0.25">
      <c r="F3715" t="s">
        <v>1517</v>
      </c>
      <c r="G3715" t="s">
        <v>451</v>
      </c>
      <c r="H3715" t="str">
        <f>VLOOKUP(record[[#This Row],[ProcessSN]],表格2_7[],2,FALSE)</f>
        <v>30-4118-018-6XX</v>
      </c>
      <c r="I3715" t="str">
        <f>VLOOKUP(record[[#This Row],[ProcessSN]],表格2_7[],3,FALSE)</f>
        <v>#07</v>
      </c>
      <c r="J3715" t="s">
        <v>588</v>
      </c>
      <c r="K3715" s="195">
        <v>46085.537407407406</v>
      </c>
      <c r="L3715">
        <v>49</v>
      </c>
      <c r="M3715">
        <v>0</v>
      </c>
      <c r="N3715" s="98" t="str">
        <f>IF(record[[#This Row],[Memo]]="Browser:chrome os:android","平板報工",IF(record[[#This Row],[Memo]]=0,"委外",record[[#This Row],[Memo]]))</f>
        <v/>
      </c>
      <c r="O3715" t="s">
        <v>58</v>
      </c>
      <c r="P3715" t="s">
        <v>145</v>
      </c>
      <c r="Q3715" t="s">
        <v>58</v>
      </c>
      <c r="R3715" t="str">
        <f>IFERROR(VLOOKUP(record[[#This Row],[PCUSTID]],廠商[],2,FALSE),"")</f>
        <v/>
      </c>
      <c r="S3715" t="str">
        <f>VLOOKUP(record[[#This Row],[employeeID]],員工[],2,FALSE)</f>
        <v>阮秋霞</v>
      </c>
    </row>
    <row r="3716" spans="6:19" hidden="1" x14ac:dyDescent="0.25">
      <c r="F3716" t="s">
        <v>1517</v>
      </c>
      <c r="G3716" t="s">
        <v>453</v>
      </c>
      <c r="H3716" t="str">
        <f>VLOOKUP(record[[#This Row],[ProcessSN]],表格2_7[],2,FALSE)</f>
        <v>30-4118-018-6XX</v>
      </c>
      <c r="I3716" t="str">
        <f>VLOOKUP(record[[#This Row],[ProcessSN]],表格2_7[],3,FALSE)</f>
        <v>#07STOCK</v>
      </c>
      <c r="J3716" t="s">
        <v>592</v>
      </c>
      <c r="K3716" s="195">
        <v>46085.50372685185</v>
      </c>
      <c r="L3716">
        <v>62</v>
      </c>
      <c r="M3716">
        <v>0</v>
      </c>
      <c r="N3716" s="98" t="str">
        <f>IF(record[[#This Row],[Memo]]="Browser:chrome os:android","平板報工",IF(record[[#This Row],[Memo]]=0,"委外",record[[#This Row],[Memo]]))</f>
        <v/>
      </c>
      <c r="O3716" t="s">
        <v>58</v>
      </c>
      <c r="P3716" t="s">
        <v>113</v>
      </c>
      <c r="Q3716" t="s">
        <v>58</v>
      </c>
      <c r="R3716" t="str">
        <f>IFERROR(VLOOKUP(record[[#This Row],[PCUSTID]],廠商[],2,FALSE),"")</f>
        <v/>
      </c>
      <c r="S3716" t="str">
        <f>VLOOKUP(record[[#This Row],[employeeID]],員工[],2,FALSE)</f>
        <v>王奕蓁</v>
      </c>
    </row>
    <row r="3717" spans="6:19" hidden="1" x14ac:dyDescent="0.25">
      <c r="F3717" t="s">
        <v>1569</v>
      </c>
      <c r="G3717" t="s">
        <v>453</v>
      </c>
      <c r="H3717" t="str">
        <f>VLOOKUP(record[[#This Row],[ProcessSN]],表格2_7[],2,FALSE)</f>
        <v>30-4118-018-6XX</v>
      </c>
      <c r="I3717" t="str">
        <f>VLOOKUP(record[[#This Row],[ProcessSN]],表格2_7[],3,FALSE)</f>
        <v>#07STOCK</v>
      </c>
      <c r="J3717" t="s">
        <v>592</v>
      </c>
      <c r="K3717" s="195">
        <v>46085.503599537034</v>
      </c>
      <c r="L3717">
        <v>131</v>
      </c>
      <c r="M3717">
        <v>0</v>
      </c>
      <c r="N3717" s="98" t="str">
        <f>IF(record[[#This Row],[Memo]]="Browser:chrome os:android","平板報工",IF(record[[#This Row],[Memo]]=0,"委外",record[[#This Row],[Memo]]))</f>
        <v/>
      </c>
      <c r="O3717" t="s">
        <v>58</v>
      </c>
      <c r="P3717" t="s">
        <v>113</v>
      </c>
      <c r="Q3717" t="s">
        <v>58</v>
      </c>
      <c r="R3717" t="str">
        <f>IFERROR(VLOOKUP(record[[#This Row],[PCUSTID]],廠商[],2,FALSE),"")</f>
        <v/>
      </c>
      <c r="S3717" t="str">
        <f>VLOOKUP(record[[#This Row],[employeeID]],員工[],2,FALSE)</f>
        <v>王奕蓁</v>
      </c>
    </row>
    <row r="3718" spans="6:19" hidden="1" x14ac:dyDescent="0.25">
      <c r="F3718" t="s">
        <v>1596</v>
      </c>
      <c r="G3718" t="s">
        <v>423</v>
      </c>
      <c r="H3718" t="str">
        <f>VLOOKUP(record[[#This Row],[ProcessSN]],表格2_7[],2,FALSE)</f>
        <v>30-4118-018-600</v>
      </c>
      <c r="I3718" t="str">
        <f>VLOOKUP(record[[#This Row],[ProcessSN]],表格2_7[],3,FALSE)</f>
        <v>#08RCV</v>
      </c>
      <c r="J3718" t="s">
        <v>591</v>
      </c>
      <c r="K3718" s="195">
        <v>46085.485810185186</v>
      </c>
      <c r="L3718">
        <v>0</v>
      </c>
      <c r="M3718">
        <v>14</v>
      </c>
      <c r="N3718" s="98" t="str">
        <f>IF(record[[#This Row],[Memo]]="Browser:chrome os:android","平板報工",IF(record[[#This Row],[Memo]]=0,"委外",record[[#This Row],[Memo]]))</f>
        <v/>
      </c>
      <c r="O3718" t="s">
        <v>58</v>
      </c>
      <c r="P3718" t="s">
        <v>186</v>
      </c>
      <c r="Q3718" t="s">
        <v>58</v>
      </c>
      <c r="R3718" t="str">
        <f>IFERROR(VLOOKUP(record[[#This Row],[PCUSTID]],廠商[],2,FALSE),"")</f>
        <v/>
      </c>
      <c r="S3718" t="str">
        <f>VLOOKUP(record[[#This Row],[employeeID]],員工[],2,FALSE)</f>
        <v>許文姍</v>
      </c>
    </row>
    <row r="3719" spans="6:19" hidden="1" x14ac:dyDescent="0.25">
      <c r="F3719" t="s">
        <v>1516</v>
      </c>
      <c r="G3719" t="s">
        <v>419</v>
      </c>
      <c r="H3719" t="str">
        <f>VLOOKUP(record[[#This Row],[ProcessSN]],表格2_7[],2,FALSE)</f>
        <v>30-4118-018-5XX</v>
      </c>
      <c r="I3719" t="str">
        <f>VLOOKUP(record[[#This Row],[ProcessSN]],表格2_7[],3,FALSE)</f>
        <v>#07QC</v>
      </c>
      <c r="J3719" t="s">
        <v>589</v>
      </c>
      <c r="K3719" s="195">
        <v>46085.485486111109</v>
      </c>
      <c r="L3719">
        <v>125</v>
      </c>
      <c r="M3719">
        <v>0</v>
      </c>
      <c r="N3719" s="98" t="str">
        <f>IF(record[[#This Row],[Memo]]="Browser:chrome os:android","平板報工",IF(record[[#This Row],[Memo]]=0,"委外",record[[#This Row],[Memo]]))</f>
        <v>平板報工</v>
      </c>
      <c r="O3719" t="s">
        <v>643</v>
      </c>
      <c r="P3719" t="s">
        <v>141</v>
      </c>
      <c r="Q3719" t="s">
        <v>644</v>
      </c>
      <c r="R3719" t="str">
        <f>IFERROR(VLOOKUP(record[[#This Row],[PCUSTID]],廠商[],2,FALSE),"")</f>
        <v/>
      </c>
      <c r="S3719" t="str">
        <f>VLOOKUP(record[[#This Row],[employeeID]],員工[],2,FALSE)</f>
        <v>蔣梅</v>
      </c>
    </row>
    <row r="3720" spans="6:19" hidden="1" x14ac:dyDescent="0.25">
      <c r="F3720" t="s">
        <v>1596</v>
      </c>
      <c r="G3720" t="s">
        <v>423</v>
      </c>
      <c r="H3720" t="str">
        <f>VLOOKUP(record[[#This Row],[ProcessSN]],表格2_7[],2,FALSE)</f>
        <v>30-4118-018-600</v>
      </c>
      <c r="I3720" t="str">
        <f>VLOOKUP(record[[#This Row],[ProcessSN]],表格2_7[],3,FALSE)</f>
        <v>#08RCV</v>
      </c>
      <c r="J3720" t="s">
        <v>591</v>
      </c>
      <c r="K3720" s="195">
        <v>46085.484907407408</v>
      </c>
      <c r="L3720">
        <v>360</v>
      </c>
      <c r="M3720">
        <v>0</v>
      </c>
      <c r="N3720" s="98" t="str">
        <f>IF(record[[#This Row],[Memo]]="Browser:chrome os:android","平板報工",IF(record[[#This Row],[Memo]]=0,"委外",record[[#This Row],[Memo]]))</f>
        <v/>
      </c>
      <c r="O3720" t="s">
        <v>58</v>
      </c>
      <c r="P3720" t="s">
        <v>186</v>
      </c>
      <c r="Q3720" t="s">
        <v>58</v>
      </c>
      <c r="R3720" t="str">
        <f>IFERROR(VLOOKUP(record[[#This Row],[PCUSTID]],廠商[],2,FALSE),"")</f>
        <v/>
      </c>
      <c r="S3720" t="str">
        <f>VLOOKUP(record[[#This Row],[employeeID]],員工[],2,FALSE)</f>
        <v>許文姍</v>
      </c>
    </row>
    <row r="3721" spans="6:19" hidden="1" x14ac:dyDescent="0.25">
      <c r="F3721" t="s">
        <v>1600</v>
      </c>
      <c r="G3721" t="s">
        <v>422</v>
      </c>
      <c r="H3721" t="str">
        <f>VLOOKUP(record[[#This Row],[ProcessSN]],表格2_7[],2,FALSE)</f>
        <v>30-4118-018-600</v>
      </c>
      <c r="I3721" t="str">
        <f>VLOOKUP(record[[#This Row],[ProcessSN]],表格2_7[],3,FALSE)</f>
        <v>#08</v>
      </c>
      <c r="J3721" t="s">
        <v>597</v>
      </c>
      <c r="K3721" s="195">
        <v>46085.432662037034</v>
      </c>
      <c r="L3721">
        <v>193</v>
      </c>
      <c r="M3721">
        <v>0</v>
      </c>
      <c r="N3721" s="98" t="str">
        <f>IF(record[[#This Row],[Memo]]="Browser:chrome os:android","平板報工",IF(record[[#This Row],[Memo]]=0,"委外",record[[#This Row],[Memo]]))</f>
        <v>委外</v>
      </c>
      <c r="P3721" t="s">
        <v>186</v>
      </c>
      <c r="Q3721" t="s">
        <v>287</v>
      </c>
      <c r="R3721" t="str">
        <f>IFERROR(VLOOKUP(record[[#This Row],[PCUSTID]],廠商[],2,FALSE),"")</f>
        <v>泉盛</v>
      </c>
      <c r="S3721" t="str">
        <f>VLOOKUP(record[[#This Row],[employeeID]],員工[],2,FALSE)</f>
        <v>許文姍</v>
      </c>
    </row>
    <row r="3722" spans="6:19" hidden="1" x14ac:dyDescent="0.25">
      <c r="F3722" t="s">
        <v>1599</v>
      </c>
      <c r="G3722" t="s">
        <v>421</v>
      </c>
      <c r="H3722" t="str">
        <f>VLOOKUP(record[[#This Row],[ProcessSN]],表格2_7[],2,FALSE)</f>
        <v>30-4118-018-600</v>
      </c>
      <c r="I3722" t="str">
        <f>VLOOKUP(record[[#This Row],[ProcessSN]],表格2_7[],3,FALSE)</f>
        <v>#08PICK</v>
      </c>
      <c r="J3722" t="s">
        <v>582</v>
      </c>
      <c r="K3722" s="195">
        <v>46085.432268518518</v>
      </c>
      <c r="L3722">
        <v>193</v>
      </c>
      <c r="M3722">
        <v>0</v>
      </c>
      <c r="N3722" s="98" t="str">
        <f>IF(record[[#This Row],[Memo]]="Browser:chrome os:android","平板報工",IF(record[[#This Row],[Memo]]=0,"委外",record[[#This Row],[Memo]]))</f>
        <v/>
      </c>
      <c r="O3722" t="s">
        <v>58</v>
      </c>
      <c r="P3722" t="s">
        <v>113</v>
      </c>
      <c r="Q3722" t="s">
        <v>58</v>
      </c>
      <c r="R3722" t="str">
        <f>IFERROR(VLOOKUP(record[[#This Row],[PCUSTID]],廠商[],2,FALSE),"")</f>
        <v/>
      </c>
      <c r="S3722" t="str">
        <f>VLOOKUP(record[[#This Row],[employeeID]],員工[],2,FALSE)</f>
        <v>王奕蓁</v>
      </c>
    </row>
    <row r="3723" spans="6:19" hidden="1" x14ac:dyDescent="0.25">
      <c r="F3723" t="s">
        <v>1569</v>
      </c>
      <c r="G3723" t="s">
        <v>452</v>
      </c>
      <c r="H3723" t="str">
        <f>VLOOKUP(record[[#This Row],[ProcessSN]],表格2_7[],2,FALSE)</f>
        <v>30-4118-018-6XX</v>
      </c>
      <c r="I3723" t="str">
        <f>VLOOKUP(record[[#This Row],[ProcessSN]],表格2_7[],3,FALSE)</f>
        <v>#07QC</v>
      </c>
      <c r="J3723" t="s">
        <v>589</v>
      </c>
      <c r="K3723" s="195">
        <v>46085.418414351851</v>
      </c>
      <c r="L3723">
        <v>131</v>
      </c>
      <c r="M3723">
        <v>0</v>
      </c>
      <c r="N3723" s="98" t="str">
        <f>IF(record[[#This Row],[Memo]]="Browser:chrome os:android","平板報工",IF(record[[#This Row],[Memo]]=0,"委外",record[[#This Row],[Memo]]))</f>
        <v/>
      </c>
      <c r="O3723" t="s">
        <v>58</v>
      </c>
      <c r="P3723" t="s">
        <v>141</v>
      </c>
      <c r="Q3723" t="s">
        <v>58</v>
      </c>
      <c r="R3723" t="str">
        <f>IFERROR(VLOOKUP(record[[#This Row],[PCUSTID]],廠商[],2,FALSE),"")</f>
        <v/>
      </c>
      <c r="S3723" t="str">
        <f>VLOOKUP(record[[#This Row],[employeeID]],員工[],2,FALSE)</f>
        <v>蔣梅</v>
      </c>
    </row>
    <row r="3724" spans="6:19" hidden="1" x14ac:dyDescent="0.25">
      <c r="F3724" t="s">
        <v>1517</v>
      </c>
      <c r="G3724" t="s">
        <v>452</v>
      </c>
      <c r="H3724" t="str">
        <f>VLOOKUP(record[[#This Row],[ProcessSN]],表格2_7[],2,FALSE)</f>
        <v>30-4118-018-6XX</v>
      </c>
      <c r="I3724" t="str">
        <f>VLOOKUP(record[[#This Row],[ProcessSN]],表格2_7[],3,FALSE)</f>
        <v>#07QC</v>
      </c>
      <c r="J3724" t="s">
        <v>589</v>
      </c>
      <c r="K3724" s="195">
        <v>46085.418194444443</v>
      </c>
      <c r="L3724">
        <v>62</v>
      </c>
      <c r="M3724">
        <v>0</v>
      </c>
      <c r="N3724" s="98" t="str">
        <f>IF(record[[#This Row],[Memo]]="Browser:chrome os:android","平板報工",IF(record[[#This Row],[Memo]]=0,"委外",record[[#This Row],[Memo]]))</f>
        <v/>
      </c>
      <c r="O3724" t="s">
        <v>58</v>
      </c>
      <c r="P3724" t="s">
        <v>141</v>
      </c>
      <c r="Q3724" t="s">
        <v>58</v>
      </c>
      <c r="R3724" t="str">
        <f>IFERROR(VLOOKUP(record[[#This Row],[PCUSTID]],廠商[],2,FALSE),"")</f>
        <v/>
      </c>
      <c r="S3724" t="str">
        <f>VLOOKUP(record[[#This Row],[employeeID]],員工[],2,FALSE)</f>
        <v>蔣梅</v>
      </c>
    </row>
    <row r="3725" spans="6:19" hidden="1" x14ac:dyDescent="0.25">
      <c r="F3725" t="s">
        <v>1549</v>
      </c>
      <c r="G3725" t="s">
        <v>403</v>
      </c>
      <c r="H3725" t="str">
        <f>VLOOKUP(record[[#This Row],[ProcessSN]],表格2_7[],2,FALSE)</f>
        <v>30-4118-018-550</v>
      </c>
      <c r="I3725" t="str">
        <f>VLOOKUP(record[[#This Row],[ProcessSN]],表格2_7[],3,FALSE)</f>
        <v>#100SHIP</v>
      </c>
      <c r="J3725" t="s">
        <v>600</v>
      </c>
      <c r="K3725" s="195">
        <v>46085.33929398148</v>
      </c>
      <c r="L3725">
        <v>323</v>
      </c>
      <c r="M3725">
        <v>0</v>
      </c>
      <c r="N3725" s="98" t="str">
        <f>IF(record[[#This Row],[Memo]]="Browser:chrome os:android","平板報工",IF(record[[#This Row],[Memo]]=0,"委外",record[[#This Row],[Memo]]))</f>
        <v/>
      </c>
      <c r="O3725" t="s">
        <v>58</v>
      </c>
      <c r="P3725" t="s">
        <v>886</v>
      </c>
      <c r="Q3725" t="s">
        <v>58</v>
      </c>
      <c r="R3725" t="str">
        <f>IFERROR(VLOOKUP(record[[#This Row],[PCUSTID]],廠商[],2,FALSE),"")</f>
        <v/>
      </c>
      <c r="S3725" t="str">
        <f>VLOOKUP(record[[#This Row],[employeeID]],員工[],2,FALSE)</f>
        <v>謝蓁薰</v>
      </c>
    </row>
    <row r="3726" spans="6:19" hidden="1" x14ac:dyDescent="0.25">
      <c r="F3726" t="s">
        <v>1585</v>
      </c>
      <c r="G3726" t="s">
        <v>426</v>
      </c>
      <c r="H3726" t="str">
        <f>VLOOKUP(record[[#This Row],[ProcessSN]],表格2_7[],2,FALSE)</f>
        <v>30-4118-018-600</v>
      </c>
      <c r="I3726" t="str">
        <f>VLOOKUP(record[[#This Row],[ProcessSN]],表格2_7[],3,FALSE)</f>
        <v>#100OQC</v>
      </c>
      <c r="J3726" t="s">
        <v>599</v>
      </c>
      <c r="K3726" s="195">
        <v>46085.337696759256</v>
      </c>
      <c r="L3726">
        <v>490</v>
      </c>
      <c r="M3726">
        <v>0</v>
      </c>
      <c r="N3726" s="98" t="str">
        <f>IF(record[[#This Row],[Memo]]="Browser:chrome os:android","平板報工",IF(record[[#This Row],[Memo]]=0,"委外",record[[#This Row],[Memo]]))</f>
        <v/>
      </c>
      <c r="O3726" t="s">
        <v>58</v>
      </c>
      <c r="P3726" t="s">
        <v>121</v>
      </c>
      <c r="Q3726" t="s">
        <v>58</v>
      </c>
      <c r="R3726" t="str">
        <f>IFERROR(VLOOKUP(record[[#This Row],[PCUSTID]],廠商[],2,FALSE),"")</f>
        <v/>
      </c>
      <c r="S3726" t="str">
        <f>VLOOKUP(record[[#This Row],[employeeID]],員工[],2,FALSE)</f>
        <v>謝素卿</v>
      </c>
    </row>
    <row r="3727" spans="6:19" hidden="1" x14ac:dyDescent="0.25">
      <c r="F3727" t="s">
        <v>1549</v>
      </c>
      <c r="G3727" t="s">
        <v>401</v>
      </c>
      <c r="H3727" t="str">
        <f>VLOOKUP(record[[#This Row],[ProcessSN]],表格2_7[],2,FALSE)</f>
        <v>30-4118-018-550</v>
      </c>
      <c r="I3727" t="str">
        <f>VLOOKUP(record[[#This Row],[ProcessSN]],表格2_7[],3,FALSE)</f>
        <v>#100OQC</v>
      </c>
      <c r="J3727" t="s">
        <v>599</v>
      </c>
      <c r="K3727" s="195">
        <v>46085.337384259263</v>
      </c>
      <c r="L3727">
        <v>1</v>
      </c>
      <c r="M3727">
        <v>0</v>
      </c>
      <c r="N3727" s="98" t="str">
        <f>IF(record[[#This Row],[Memo]]="Browser:chrome os:android","平板報工",IF(record[[#This Row],[Memo]]=0,"委外",record[[#This Row],[Memo]]))</f>
        <v/>
      </c>
      <c r="O3727" t="s">
        <v>58</v>
      </c>
      <c r="P3727" t="s">
        <v>121</v>
      </c>
      <c r="Q3727" t="s">
        <v>58</v>
      </c>
      <c r="R3727" t="str">
        <f>IFERROR(VLOOKUP(record[[#This Row],[PCUSTID]],廠商[],2,FALSE),"")</f>
        <v/>
      </c>
      <c r="S3727" t="str">
        <f>VLOOKUP(record[[#This Row],[employeeID]],員工[],2,FALSE)</f>
        <v>謝素卿</v>
      </c>
    </row>
    <row r="3728" spans="6:19" hidden="1" x14ac:dyDescent="0.25">
      <c r="F3728" t="s">
        <v>1582</v>
      </c>
      <c r="G3728" t="s">
        <v>401</v>
      </c>
      <c r="H3728" t="str">
        <f>VLOOKUP(record[[#This Row],[ProcessSN]],表格2_7[],2,FALSE)</f>
        <v>30-4118-018-550</v>
      </c>
      <c r="I3728" t="str">
        <f>VLOOKUP(record[[#This Row],[ProcessSN]],表格2_7[],3,FALSE)</f>
        <v>#100OQC</v>
      </c>
      <c r="J3728" t="s">
        <v>599</v>
      </c>
      <c r="K3728" s="195">
        <v>46085.337222222224</v>
      </c>
      <c r="L3728">
        <v>22</v>
      </c>
      <c r="M3728">
        <v>0</v>
      </c>
      <c r="N3728" s="98" t="str">
        <f>IF(record[[#This Row],[Memo]]="Browser:chrome os:android","平板報工",IF(record[[#This Row],[Memo]]=0,"委外",record[[#This Row],[Memo]]))</f>
        <v/>
      </c>
      <c r="O3728" t="s">
        <v>58</v>
      </c>
      <c r="P3728" t="s">
        <v>121</v>
      </c>
      <c r="Q3728" t="s">
        <v>58</v>
      </c>
      <c r="R3728" t="str">
        <f>IFERROR(VLOOKUP(record[[#This Row],[PCUSTID]],廠商[],2,FALSE),"")</f>
        <v/>
      </c>
      <c r="S3728" t="str">
        <f>VLOOKUP(record[[#This Row],[employeeID]],員工[],2,FALSE)</f>
        <v>謝素卿</v>
      </c>
    </row>
    <row r="3729" spans="6:19" hidden="1" x14ac:dyDescent="0.25">
      <c r="F3729" t="s">
        <v>1556</v>
      </c>
      <c r="G3729" t="s">
        <v>401</v>
      </c>
      <c r="H3729" t="str">
        <f>VLOOKUP(record[[#This Row],[ProcessSN]],表格2_7[],2,FALSE)</f>
        <v>30-4118-018-550</v>
      </c>
      <c r="I3729" t="str">
        <f>VLOOKUP(record[[#This Row],[ProcessSN]],表格2_7[],3,FALSE)</f>
        <v>#100OQC</v>
      </c>
      <c r="J3729" t="s">
        <v>599</v>
      </c>
      <c r="K3729" s="195">
        <v>46085.337094907409</v>
      </c>
      <c r="L3729">
        <v>30</v>
      </c>
      <c r="M3729">
        <v>0</v>
      </c>
      <c r="N3729" s="98" t="str">
        <f>IF(record[[#This Row],[Memo]]="Browser:chrome os:android","平板報工",IF(record[[#This Row],[Memo]]=0,"委外",record[[#This Row],[Memo]]))</f>
        <v/>
      </c>
      <c r="O3729" t="s">
        <v>58</v>
      </c>
      <c r="P3729" t="s">
        <v>121</v>
      </c>
      <c r="Q3729" t="s">
        <v>58</v>
      </c>
      <c r="R3729" t="str">
        <f>IFERROR(VLOOKUP(record[[#This Row],[PCUSTID]],廠商[],2,FALSE),"")</f>
        <v/>
      </c>
      <c r="S3729" t="str">
        <f>VLOOKUP(record[[#This Row],[employeeID]],員工[],2,FALSE)</f>
        <v>謝素卿</v>
      </c>
    </row>
    <row r="3730" spans="6:19" hidden="1" x14ac:dyDescent="0.25">
      <c r="F3730" t="s">
        <v>1570</v>
      </c>
      <c r="G3730" t="s">
        <v>374</v>
      </c>
      <c r="H3730" t="str">
        <f>VLOOKUP(record[[#This Row],[ProcessSN]],表格2_7[],2,FALSE)</f>
        <v>30-4118-018-4XX</v>
      </c>
      <c r="I3730" t="str">
        <f>VLOOKUP(record[[#This Row],[ProcessSN]],表格2_7[],3,FALSE)</f>
        <v>#04</v>
      </c>
      <c r="J3730" t="s">
        <v>588</v>
      </c>
      <c r="K3730" s="195">
        <v>46085.304675925923</v>
      </c>
      <c r="L3730">
        <v>134</v>
      </c>
      <c r="M3730">
        <v>0</v>
      </c>
      <c r="N3730" s="98" t="str">
        <f>IF(record[[#This Row],[Memo]]="Browser:chrome os:android","平板報工",IF(record[[#This Row],[Memo]]=0,"委外",record[[#This Row],[Memo]]))</f>
        <v/>
      </c>
      <c r="O3730" t="s">
        <v>58</v>
      </c>
      <c r="P3730" t="s">
        <v>843</v>
      </c>
      <c r="Q3730" t="s">
        <v>58</v>
      </c>
      <c r="R3730" t="str">
        <f>IFERROR(VLOOKUP(record[[#This Row],[PCUSTID]],廠商[],2,FALSE),"")</f>
        <v/>
      </c>
      <c r="S3730" t="str">
        <f>VLOOKUP(record[[#This Row],[employeeID]],員工[],2,FALSE)</f>
        <v>張楚承</v>
      </c>
    </row>
    <row r="3731" spans="6:19" hidden="1" x14ac:dyDescent="0.25">
      <c r="F3731" t="s">
        <v>1568</v>
      </c>
      <c r="G3731" t="s">
        <v>417</v>
      </c>
      <c r="H3731" t="str">
        <f>VLOOKUP(record[[#This Row],[ProcessSN]],表格2_7[],2,FALSE)</f>
        <v>30-4118-018-5XX</v>
      </c>
      <c r="I3731" t="str">
        <f>VLOOKUP(record[[#This Row],[ProcessSN]],表格2_7[],3,FALSE)</f>
        <v>#06</v>
      </c>
      <c r="J3731" t="s">
        <v>593</v>
      </c>
      <c r="K3731" s="195">
        <v>46085.301516203705</v>
      </c>
      <c r="L3731">
        <v>110</v>
      </c>
      <c r="M3731">
        <v>0</v>
      </c>
      <c r="N3731" s="98" t="str">
        <f>IF(record[[#This Row],[Memo]]="Browser:chrome os:android","平板報工",IF(record[[#This Row],[Memo]]=0,"委外",record[[#This Row],[Memo]]))</f>
        <v/>
      </c>
      <c r="O3731" t="s">
        <v>58</v>
      </c>
      <c r="P3731" t="s">
        <v>806</v>
      </c>
      <c r="Q3731" t="s">
        <v>58</v>
      </c>
      <c r="R3731" t="str">
        <f>IFERROR(VLOOKUP(record[[#This Row],[PCUSTID]],廠商[],2,FALSE),"")</f>
        <v/>
      </c>
      <c r="S3731" t="str">
        <f>VLOOKUP(record[[#This Row],[employeeID]],員工[],2,FALSE)</f>
        <v>方思緯</v>
      </c>
    </row>
    <row r="3732" spans="6:19" hidden="1" x14ac:dyDescent="0.25">
      <c r="F3732" t="s">
        <v>1568</v>
      </c>
      <c r="G3732" t="s">
        <v>417</v>
      </c>
      <c r="H3732" t="str">
        <f>VLOOKUP(record[[#This Row],[ProcessSN]],表格2_7[],2,FALSE)</f>
        <v>30-4118-018-5XX</v>
      </c>
      <c r="I3732" t="str">
        <f>VLOOKUP(record[[#This Row],[ProcessSN]],表格2_7[],3,FALSE)</f>
        <v>#06</v>
      </c>
      <c r="J3732" t="s">
        <v>593</v>
      </c>
      <c r="K3732" s="195">
        <v>46084.983472222222</v>
      </c>
      <c r="L3732">
        <v>133</v>
      </c>
      <c r="M3732">
        <v>0</v>
      </c>
      <c r="N3732" s="98" t="str">
        <f>IF(record[[#This Row],[Memo]]="Browser:chrome os:android","平板報工",IF(record[[#This Row],[Memo]]=0,"委外",record[[#This Row],[Memo]]))</f>
        <v/>
      </c>
      <c r="O3732" t="s">
        <v>58</v>
      </c>
      <c r="P3732" t="s">
        <v>133</v>
      </c>
      <c r="Q3732" t="s">
        <v>58</v>
      </c>
      <c r="R3732" t="str">
        <f>IFERROR(VLOOKUP(record[[#This Row],[PCUSTID]],廠商[],2,FALSE),"")</f>
        <v/>
      </c>
      <c r="S3732" t="str">
        <f>VLOOKUP(record[[#This Row],[employeeID]],員工[],2,FALSE)</f>
        <v>黎長維</v>
      </c>
    </row>
    <row r="3733" spans="6:19" hidden="1" x14ac:dyDescent="0.25">
      <c r="F3733" t="s">
        <v>1516</v>
      </c>
      <c r="G3733" t="s">
        <v>418</v>
      </c>
      <c r="H3733" t="str">
        <f>VLOOKUP(record[[#This Row],[ProcessSN]],表格2_7[],2,FALSE)</f>
        <v>30-4118-018-5XX</v>
      </c>
      <c r="I3733" t="str">
        <f>VLOOKUP(record[[#This Row],[ProcessSN]],表格2_7[],3,FALSE)</f>
        <v>#07</v>
      </c>
      <c r="J3733" t="s">
        <v>588</v>
      </c>
      <c r="K3733" s="195">
        <v>46084.980243055557</v>
      </c>
      <c r="L3733">
        <v>113</v>
      </c>
      <c r="M3733">
        <v>0</v>
      </c>
      <c r="N3733" s="98" t="str">
        <f>IF(record[[#This Row],[Memo]]="Browser:chrome os:android","平板報工",IF(record[[#This Row],[Memo]]=0,"委外",record[[#This Row],[Memo]]))</f>
        <v/>
      </c>
      <c r="O3733" t="s">
        <v>58</v>
      </c>
      <c r="P3733" t="s">
        <v>806</v>
      </c>
      <c r="Q3733" t="s">
        <v>58</v>
      </c>
      <c r="R3733" t="str">
        <f>IFERROR(VLOOKUP(record[[#This Row],[PCUSTID]],廠商[],2,FALSE),"")</f>
        <v/>
      </c>
      <c r="S3733" t="str">
        <f>VLOOKUP(record[[#This Row],[employeeID]],員工[],2,FALSE)</f>
        <v>方思緯</v>
      </c>
    </row>
    <row r="3734" spans="6:19" hidden="1" x14ac:dyDescent="0.25">
      <c r="F3734" t="s">
        <v>1516</v>
      </c>
      <c r="G3734" t="s">
        <v>418</v>
      </c>
      <c r="H3734" t="str">
        <f>VLOOKUP(record[[#This Row],[ProcessSN]],表格2_7[],2,FALSE)</f>
        <v>30-4118-018-5XX</v>
      </c>
      <c r="I3734" t="str">
        <f>VLOOKUP(record[[#This Row],[ProcessSN]],表格2_7[],3,FALSE)</f>
        <v>#07</v>
      </c>
      <c r="J3734" t="s">
        <v>588</v>
      </c>
      <c r="K3734" s="195">
        <v>46084.979467592595</v>
      </c>
      <c r="L3734">
        <v>30</v>
      </c>
      <c r="M3734">
        <v>0</v>
      </c>
      <c r="N3734" s="98" t="str">
        <f>IF(record[[#This Row],[Memo]]="Browser:chrome os:android","平板報工",IF(record[[#This Row],[Memo]]=0,"委外",record[[#This Row],[Memo]]))</f>
        <v/>
      </c>
      <c r="O3734" t="s">
        <v>58</v>
      </c>
      <c r="P3734" t="s">
        <v>89</v>
      </c>
      <c r="Q3734" t="s">
        <v>58</v>
      </c>
      <c r="R3734" t="str">
        <f>IFERROR(VLOOKUP(record[[#This Row],[PCUSTID]],廠商[],2,FALSE),"")</f>
        <v/>
      </c>
      <c r="S3734" t="str">
        <f>VLOOKUP(record[[#This Row],[employeeID]],員工[],2,FALSE)</f>
        <v>李美蓮</v>
      </c>
    </row>
    <row r="3735" spans="6:19" hidden="1" x14ac:dyDescent="0.25">
      <c r="F3735" t="s">
        <v>1569</v>
      </c>
      <c r="G3735" t="s">
        <v>451</v>
      </c>
      <c r="H3735" t="str">
        <f>VLOOKUP(record[[#This Row],[ProcessSN]],表格2_7[],2,FALSE)</f>
        <v>30-4118-018-6XX</v>
      </c>
      <c r="I3735" t="str">
        <f>VLOOKUP(record[[#This Row],[ProcessSN]],表格2_7[],3,FALSE)</f>
        <v>#07</v>
      </c>
      <c r="J3735" t="s">
        <v>588</v>
      </c>
      <c r="K3735" s="195">
        <v>46084.97923611111</v>
      </c>
      <c r="L3735">
        <v>48</v>
      </c>
      <c r="M3735">
        <v>0</v>
      </c>
      <c r="N3735" s="98" t="str">
        <f>IF(record[[#This Row],[Memo]]="Browser:chrome os:android","平板報工",IF(record[[#This Row],[Memo]]=0,"委外",record[[#This Row],[Memo]]))</f>
        <v/>
      </c>
      <c r="O3735" t="s">
        <v>58</v>
      </c>
      <c r="P3735" t="s">
        <v>89</v>
      </c>
      <c r="Q3735" t="s">
        <v>58</v>
      </c>
      <c r="R3735" t="str">
        <f>IFERROR(VLOOKUP(record[[#This Row],[PCUSTID]],廠商[],2,FALSE),"")</f>
        <v/>
      </c>
      <c r="S3735" t="str">
        <f>VLOOKUP(record[[#This Row],[employeeID]],員工[],2,FALSE)</f>
        <v>李美蓮</v>
      </c>
    </row>
    <row r="3736" spans="6:19" hidden="1" x14ac:dyDescent="0.25">
      <c r="F3736" t="s">
        <v>1570</v>
      </c>
      <c r="G3736" t="s">
        <v>374</v>
      </c>
      <c r="H3736" t="str">
        <f>VLOOKUP(record[[#This Row],[ProcessSN]],表格2_7[],2,FALSE)</f>
        <v>30-4118-018-4XX</v>
      </c>
      <c r="I3736" t="str">
        <f>VLOOKUP(record[[#This Row],[ProcessSN]],表格2_7[],3,FALSE)</f>
        <v>#04</v>
      </c>
      <c r="J3736" t="s">
        <v>588</v>
      </c>
      <c r="K3736" s="195">
        <v>46084.978622685187</v>
      </c>
      <c r="L3736">
        <v>138</v>
      </c>
      <c r="M3736">
        <v>0</v>
      </c>
      <c r="N3736" s="98" t="str">
        <f>IF(record[[#This Row],[Memo]]="Browser:chrome os:android","平板報工",IF(record[[#This Row],[Memo]]=0,"委外",record[[#This Row],[Memo]]))</f>
        <v/>
      </c>
      <c r="O3736" t="s">
        <v>58</v>
      </c>
      <c r="P3736" t="s">
        <v>89</v>
      </c>
      <c r="Q3736" t="s">
        <v>58</v>
      </c>
      <c r="R3736" t="str">
        <f>IFERROR(VLOOKUP(record[[#This Row],[PCUSTID]],廠商[],2,FALSE),"")</f>
        <v/>
      </c>
      <c r="S3736" t="str">
        <f>VLOOKUP(record[[#This Row],[employeeID]],員工[],2,FALSE)</f>
        <v>李美蓮</v>
      </c>
    </row>
    <row r="3737" spans="6:19" hidden="1" x14ac:dyDescent="0.25">
      <c r="F3737" t="s">
        <v>1593</v>
      </c>
      <c r="G3737" t="s">
        <v>424</v>
      </c>
      <c r="H3737" t="str">
        <f>VLOOKUP(record[[#This Row],[ProcessSN]],表格2_7[],2,FALSE)</f>
        <v>30-4118-018-600</v>
      </c>
      <c r="I3737" t="str">
        <f>VLOOKUP(record[[#This Row],[ProcessSN]],表格2_7[],3,FALSE)</f>
        <v>#08IQC</v>
      </c>
      <c r="J3737" t="s">
        <v>583</v>
      </c>
      <c r="K3737" s="195">
        <v>46084.740659722222</v>
      </c>
      <c r="L3737">
        <v>370</v>
      </c>
      <c r="M3737">
        <v>0</v>
      </c>
      <c r="N3737" s="98" t="str">
        <f>IF(record[[#This Row],[Memo]]="Browser:chrome os:android","平板報工",IF(record[[#This Row],[Memo]]=0,"委外",record[[#This Row],[Memo]]))</f>
        <v/>
      </c>
      <c r="O3737" t="s">
        <v>58</v>
      </c>
      <c r="P3737" t="s">
        <v>172</v>
      </c>
      <c r="Q3737" t="s">
        <v>58</v>
      </c>
      <c r="R3737" t="str">
        <f>IFERROR(VLOOKUP(record[[#This Row],[PCUSTID]],廠商[],2,FALSE),"")</f>
        <v/>
      </c>
      <c r="S3737" t="str">
        <f>VLOOKUP(record[[#This Row],[employeeID]],員工[],2,FALSE)</f>
        <v>李采玲</v>
      </c>
    </row>
    <row r="3738" spans="6:19" hidden="1" x14ac:dyDescent="0.25">
      <c r="F3738" t="s">
        <v>1569</v>
      </c>
      <c r="G3738" t="s">
        <v>451</v>
      </c>
      <c r="H3738" t="str">
        <f>VLOOKUP(record[[#This Row],[ProcessSN]],表格2_7[],2,FALSE)</f>
        <v>30-4118-018-6XX</v>
      </c>
      <c r="I3738" t="str">
        <f>VLOOKUP(record[[#This Row],[ProcessSN]],表格2_7[],3,FALSE)</f>
        <v>#07</v>
      </c>
      <c r="J3738" t="s">
        <v>588</v>
      </c>
      <c r="K3738" s="195">
        <v>46084.660555555558</v>
      </c>
      <c r="L3738">
        <v>0</v>
      </c>
      <c r="M3738">
        <v>1</v>
      </c>
      <c r="N3738" s="98" t="str">
        <f>IF(record[[#This Row],[Memo]]="Browser:chrome os:android","平板報工",IF(record[[#This Row],[Memo]]=0,"委外",record[[#This Row],[Memo]]))</f>
        <v/>
      </c>
      <c r="O3738" t="s">
        <v>58</v>
      </c>
      <c r="P3738" t="s">
        <v>145</v>
      </c>
      <c r="Q3738" t="s">
        <v>58</v>
      </c>
      <c r="R3738" t="str">
        <f>IFERROR(VLOOKUP(record[[#This Row],[PCUSTID]],廠商[],2,FALSE),"")</f>
        <v/>
      </c>
      <c r="S3738" t="str">
        <f>VLOOKUP(record[[#This Row],[employeeID]],員工[],2,FALSE)</f>
        <v>阮秋霞</v>
      </c>
    </row>
    <row r="3739" spans="6:19" hidden="1" x14ac:dyDescent="0.25">
      <c r="F3739" t="s">
        <v>1569</v>
      </c>
      <c r="G3739" t="s">
        <v>451</v>
      </c>
      <c r="H3739" t="str">
        <f>VLOOKUP(record[[#This Row],[ProcessSN]],表格2_7[],2,FALSE)</f>
        <v>30-4118-018-6XX</v>
      </c>
      <c r="I3739" t="str">
        <f>VLOOKUP(record[[#This Row],[ProcessSN]],表格2_7[],3,FALSE)</f>
        <v>#07</v>
      </c>
      <c r="J3739" t="s">
        <v>588</v>
      </c>
      <c r="K3739" s="195">
        <v>46084.660451388889</v>
      </c>
      <c r="L3739">
        <v>119</v>
      </c>
      <c r="M3739">
        <v>0</v>
      </c>
      <c r="N3739" s="98" t="str">
        <f>IF(record[[#This Row],[Memo]]="Browser:chrome os:android","平板報工",IF(record[[#This Row],[Memo]]=0,"委外",record[[#This Row],[Memo]]))</f>
        <v/>
      </c>
      <c r="O3739" t="s">
        <v>58</v>
      </c>
      <c r="P3739" t="s">
        <v>145</v>
      </c>
      <c r="Q3739" t="s">
        <v>58</v>
      </c>
      <c r="R3739" t="str">
        <f>IFERROR(VLOOKUP(record[[#This Row],[PCUSTID]],廠商[],2,FALSE),"")</f>
        <v/>
      </c>
      <c r="S3739" t="str">
        <f>VLOOKUP(record[[#This Row],[employeeID]],員工[],2,FALSE)</f>
        <v>阮秋霞</v>
      </c>
    </row>
    <row r="3740" spans="6:19" hidden="1" x14ac:dyDescent="0.25">
      <c r="F3740" t="s">
        <v>1593</v>
      </c>
      <c r="G3740" t="s">
        <v>423</v>
      </c>
      <c r="H3740" t="str">
        <f>VLOOKUP(record[[#This Row],[ProcessSN]],表格2_7[],2,FALSE)</f>
        <v>30-4118-018-600</v>
      </c>
      <c r="I3740" t="str">
        <f>VLOOKUP(record[[#This Row],[ProcessSN]],表格2_7[],3,FALSE)</f>
        <v>#08RCV</v>
      </c>
      <c r="J3740" t="s">
        <v>591</v>
      </c>
      <c r="K3740" s="195">
        <v>46084.649826388886</v>
      </c>
      <c r="L3740">
        <v>0</v>
      </c>
      <c r="M3740">
        <v>9</v>
      </c>
      <c r="N3740" s="98" t="str">
        <f>IF(record[[#This Row],[Memo]]="Browser:chrome os:android","平板報工",IF(record[[#This Row],[Memo]]=0,"委外",record[[#This Row],[Memo]]))</f>
        <v/>
      </c>
      <c r="O3740" t="s">
        <v>58</v>
      </c>
      <c r="P3740" t="s">
        <v>186</v>
      </c>
      <c r="Q3740" t="s">
        <v>58</v>
      </c>
      <c r="R3740" t="str">
        <f>IFERROR(VLOOKUP(record[[#This Row],[PCUSTID]],廠商[],2,FALSE),"")</f>
        <v/>
      </c>
      <c r="S3740" t="str">
        <f>VLOOKUP(record[[#This Row],[employeeID]],員工[],2,FALSE)</f>
        <v>許文姍</v>
      </c>
    </row>
    <row r="3741" spans="6:19" hidden="1" x14ac:dyDescent="0.25">
      <c r="F3741" t="s">
        <v>1593</v>
      </c>
      <c r="G3741" t="s">
        <v>423</v>
      </c>
      <c r="H3741" t="str">
        <f>VLOOKUP(record[[#This Row],[ProcessSN]],表格2_7[],2,FALSE)</f>
        <v>30-4118-018-600</v>
      </c>
      <c r="I3741" t="str">
        <f>VLOOKUP(record[[#This Row],[ProcessSN]],表格2_7[],3,FALSE)</f>
        <v>#08RCV</v>
      </c>
      <c r="J3741" t="s">
        <v>591</v>
      </c>
      <c r="K3741" s="195">
        <v>46084.649340277778</v>
      </c>
      <c r="L3741">
        <v>370</v>
      </c>
      <c r="M3741">
        <v>0</v>
      </c>
      <c r="N3741" s="98" t="str">
        <f>IF(record[[#This Row],[Memo]]="Browser:chrome os:android","平板報工",IF(record[[#This Row],[Memo]]=0,"委外",record[[#This Row],[Memo]]))</f>
        <v/>
      </c>
      <c r="O3741" t="s">
        <v>58</v>
      </c>
      <c r="P3741" t="s">
        <v>186</v>
      </c>
      <c r="Q3741" t="s">
        <v>58</v>
      </c>
      <c r="R3741" t="str">
        <f>IFERROR(VLOOKUP(record[[#This Row],[PCUSTID]],廠商[],2,FALSE),"")</f>
        <v/>
      </c>
      <c r="S3741" t="str">
        <f>VLOOKUP(record[[#This Row],[employeeID]],員工[],2,FALSE)</f>
        <v>許文姍</v>
      </c>
    </row>
    <row r="3742" spans="6:19" hidden="1" x14ac:dyDescent="0.25">
      <c r="F3742" t="s">
        <v>1570</v>
      </c>
      <c r="G3742" t="s">
        <v>374</v>
      </c>
      <c r="H3742" t="str">
        <f>VLOOKUP(record[[#This Row],[ProcessSN]],表格2_7[],2,FALSE)</f>
        <v>30-4118-018-4XX</v>
      </c>
      <c r="I3742" t="str">
        <f>VLOOKUP(record[[#This Row],[ProcessSN]],表格2_7[],3,FALSE)</f>
        <v>#04</v>
      </c>
      <c r="J3742" t="s">
        <v>588</v>
      </c>
      <c r="K3742" s="195">
        <v>46084.639976851853</v>
      </c>
      <c r="L3742">
        <v>69</v>
      </c>
      <c r="M3742">
        <v>0</v>
      </c>
      <c r="N3742" s="98" t="str">
        <f>IF(record[[#This Row],[Memo]]="Browser:chrome os:android","平板報工",IF(record[[#This Row],[Memo]]=0,"委外",record[[#This Row],[Memo]]))</f>
        <v>平板報工</v>
      </c>
      <c r="O3742" t="s">
        <v>643</v>
      </c>
      <c r="P3742" t="s">
        <v>785</v>
      </c>
      <c r="Q3742" t="s">
        <v>644</v>
      </c>
      <c r="R3742" t="str">
        <f>IFERROR(VLOOKUP(record[[#This Row],[PCUSTID]],廠商[],2,FALSE),"")</f>
        <v/>
      </c>
      <c r="S3742" t="str">
        <f>VLOOKUP(record[[#This Row],[employeeID]],員工[],2,FALSE)</f>
        <v>謝刻光</v>
      </c>
    </row>
    <row r="3743" spans="6:19" hidden="1" x14ac:dyDescent="0.25">
      <c r="F3743" t="s">
        <v>1568</v>
      </c>
      <c r="G3743" t="s">
        <v>417</v>
      </c>
      <c r="H3743" t="str">
        <f>VLOOKUP(record[[#This Row],[ProcessSN]],表格2_7[],2,FALSE)</f>
        <v>30-4118-018-5XX</v>
      </c>
      <c r="I3743" t="str">
        <f>VLOOKUP(record[[#This Row],[ProcessSN]],表格2_7[],3,FALSE)</f>
        <v>#06</v>
      </c>
      <c r="J3743" t="s">
        <v>593</v>
      </c>
      <c r="K3743" s="195">
        <v>46084.624560185184</v>
      </c>
      <c r="L3743">
        <v>120</v>
      </c>
      <c r="M3743">
        <v>0</v>
      </c>
      <c r="N3743" s="98" t="str">
        <f>IF(record[[#This Row],[Memo]]="Browser:chrome os:android","平板報工",IF(record[[#This Row],[Memo]]=0,"委外",record[[#This Row],[Memo]]))</f>
        <v>平板報工</v>
      </c>
      <c r="O3743" t="s">
        <v>643</v>
      </c>
      <c r="P3743" t="s">
        <v>1413</v>
      </c>
      <c r="Q3743" t="s">
        <v>644</v>
      </c>
      <c r="R3743" t="str">
        <f>IFERROR(VLOOKUP(record[[#This Row],[PCUSTID]],廠商[],2,FALSE),"")</f>
        <v/>
      </c>
      <c r="S3743" t="str">
        <f>VLOOKUP(record[[#This Row],[employeeID]],員工[],2,FALSE)</f>
        <v>阮氏芳英(芳)</v>
      </c>
    </row>
    <row r="3744" spans="6:19" hidden="1" x14ac:dyDescent="0.25">
      <c r="F3744" t="s">
        <v>1574</v>
      </c>
      <c r="G3744" t="s">
        <v>427</v>
      </c>
      <c r="H3744" t="str">
        <f>VLOOKUP(record[[#This Row],[ProcessSN]],表格2_7[],2,FALSE)</f>
        <v>30-4118-018-600</v>
      </c>
      <c r="I3744" t="str">
        <f>VLOOKUP(record[[#This Row],[ProcessSN]],表格2_7[],3,FALSE)</f>
        <v>#100STOCK</v>
      </c>
      <c r="J3744" t="s">
        <v>592</v>
      </c>
      <c r="K3744" s="195">
        <v>46084.564791666664</v>
      </c>
      <c r="L3744">
        <v>221</v>
      </c>
      <c r="M3744">
        <v>0</v>
      </c>
      <c r="N3744" s="98" t="str">
        <f>IF(record[[#This Row],[Memo]]="Browser:chrome os:android","平板報工",IF(record[[#This Row],[Memo]]=0,"委外",record[[#This Row],[Memo]]))</f>
        <v/>
      </c>
      <c r="O3744" t="s">
        <v>58</v>
      </c>
      <c r="P3744" t="s">
        <v>886</v>
      </c>
      <c r="Q3744" t="s">
        <v>58</v>
      </c>
      <c r="R3744" t="str">
        <f>IFERROR(VLOOKUP(record[[#This Row],[PCUSTID]],廠商[],2,FALSE),"")</f>
        <v/>
      </c>
      <c r="S3744" t="str">
        <f>VLOOKUP(record[[#This Row],[employeeID]],員工[],2,FALSE)</f>
        <v>謝蓁薰</v>
      </c>
    </row>
    <row r="3745" spans="6:19" hidden="1" x14ac:dyDescent="0.25">
      <c r="F3745" t="s">
        <v>1578</v>
      </c>
      <c r="G3745" t="s">
        <v>427</v>
      </c>
      <c r="H3745" t="str">
        <f>VLOOKUP(record[[#This Row],[ProcessSN]],表格2_7[],2,FALSE)</f>
        <v>30-4118-018-600</v>
      </c>
      <c r="I3745" t="str">
        <f>VLOOKUP(record[[#This Row],[ProcessSN]],表格2_7[],3,FALSE)</f>
        <v>#100STOCK</v>
      </c>
      <c r="J3745" t="s">
        <v>592</v>
      </c>
      <c r="K3745" s="195">
        <v>46084.563645833332</v>
      </c>
      <c r="L3745">
        <v>162</v>
      </c>
      <c r="M3745">
        <v>0</v>
      </c>
      <c r="N3745" s="98" t="str">
        <f>IF(record[[#This Row],[Memo]]="Browser:chrome os:android","平板報工",IF(record[[#This Row],[Memo]]=0,"委外",record[[#This Row],[Memo]]))</f>
        <v/>
      </c>
      <c r="O3745" t="s">
        <v>58</v>
      </c>
      <c r="P3745" t="s">
        <v>886</v>
      </c>
      <c r="Q3745" t="s">
        <v>58</v>
      </c>
      <c r="R3745" t="str">
        <f>IFERROR(VLOOKUP(record[[#This Row],[PCUSTID]],廠商[],2,FALSE),"")</f>
        <v/>
      </c>
      <c r="S3745" t="str">
        <f>VLOOKUP(record[[#This Row],[employeeID]],員工[],2,FALSE)</f>
        <v>謝蓁薰</v>
      </c>
    </row>
    <row r="3746" spans="6:19" hidden="1" x14ac:dyDescent="0.25">
      <c r="F3746" t="s">
        <v>1570</v>
      </c>
      <c r="G3746" t="s">
        <v>374</v>
      </c>
      <c r="H3746" t="str">
        <f>VLOOKUP(record[[#This Row],[ProcessSN]],表格2_7[],2,FALSE)</f>
        <v>30-4118-018-4XX</v>
      </c>
      <c r="I3746" t="str">
        <f>VLOOKUP(record[[#This Row],[ProcessSN]],表格2_7[],3,FALSE)</f>
        <v>#04</v>
      </c>
      <c r="J3746" t="s">
        <v>588</v>
      </c>
      <c r="K3746" s="195">
        <v>46084.435706018521</v>
      </c>
      <c r="L3746">
        <v>8</v>
      </c>
      <c r="M3746">
        <v>0</v>
      </c>
      <c r="N3746" s="98" t="str">
        <f>IF(record[[#This Row],[Memo]]="Browser:chrome os:android","平板報工",IF(record[[#This Row],[Memo]]=0,"委外",record[[#This Row],[Memo]]))</f>
        <v/>
      </c>
      <c r="O3746" t="s">
        <v>58</v>
      </c>
      <c r="P3746" t="s">
        <v>843</v>
      </c>
      <c r="Q3746" t="s">
        <v>58</v>
      </c>
      <c r="R3746" t="str">
        <f>IFERROR(VLOOKUP(record[[#This Row],[PCUSTID]],廠商[],2,FALSE),"")</f>
        <v/>
      </c>
      <c r="S3746" t="str">
        <f>VLOOKUP(record[[#This Row],[employeeID]],員工[],2,FALSE)</f>
        <v>張楚承</v>
      </c>
    </row>
    <row r="3747" spans="6:19" hidden="1" x14ac:dyDescent="0.25">
      <c r="F3747" t="s">
        <v>1571</v>
      </c>
      <c r="G3747" t="s">
        <v>428</v>
      </c>
      <c r="H3747" t="str">
        <f>VLOOKUP(record[[#This Row],[ProcessSN]],表格2_7[],2,FALSE)</f>
        <v>30-4118-018-600</v>
      </c>
      <c r="I3747" t="str">
        <f>VLOOKUP(record[[#This Row],[ProcessSN]],表格2_7[],3,FALSE)</f>
        <v>#100SHIP</v>
      </c>
      <c r="J3747" t="s">
        <v>600</v>
      </c>
      <c r="K3747" s="195">
        <v>46084.349583333336</v>
      </c>
      <c r="L3747">
        <v>50</v>
      </c>
      <c r="M3747">
        <v>0</v>
      </c>
      <c r="N3747" s="98" t="str">
        <f>IF(record[[#This Row],[Memo]]="Browser:chrome os:android","平板報工",IF(record[[#This Row],[Memo]]=0,"委外",record[[#This Row],[Memo]]))</f>
        <v/>
      </c>
      <c r="O3747" t="s">
        <v>58</v>
      </c>
      <c r="P3747" t="s">
        <v>886</v>
      </c>
      <c r="Q3747" t="s">
        <v>58</v>
      </c>
      <c r="R3747" t="str">
        <f>IFERROR(VLOOKUP(record[[#This Row],[PCUSTID]],廠商[],2,FALSE),"")</f>
        <v/>
      </c>
      <c r="S3747" t="str">
        <f>VLOOKUP(record[[#This Row],[employeeID]],員工[],2,FALSE)</f>
        <v>謝蓁薰</v>
      </c>
    </row>
    <row r="3748" spans="6:19" hidden="1" x14ac:dyDescent="0.25">
      <c r="F3748" t="s">
        <v>1571</v>
      </c>
      <c r="G3748" t="s">
        <v>427</v>
      </c>
      <c r="H3748" t="str">
        <f>VLOOKUP(record[[#This Row],[ProcessSN]],表格2_7[],2,FALSE)</f>
        <v>30-4118-018-600</v>
      </c>
      <c r="I3748" t="str">
        <f>VLOOKUP(record[[#This Row],[ProcessSN]],表格2_7[],3,FALSE)</f>
        <v>#100STOCK</v>
      </c>
      <c r="J3748" t="s">
        <v>592</v>
      </c>
      <c r="K3748" s="195">
        <v>46084.349456018521</v>
      </c>
      <c r="L3748">
        <v>288</v>
      </c>
      <c r="M3748">
        <v>0</v>
      </c>
      <c r="N3748" s="98" t="str">
        <f>IF(record[[#This Row],[Memo]]="Browser:chrome os:android","平板報工",IF(record[[#This Row],[Memo]]=0,"委外",record[[#This Row],[Memo]]))</f>
        <v/>
      </c>
      <c r="O3748" t="s">
        <v>58</v>
      </c>
      <c r="P3748" t="s">
        <v>886</v>
      </c>
      <c r="Q3748" t="s">
        <v>58</v>
      </c>
      <c r="R3748" t="str">
        <f>IFERROR(VLOOKUP(record[[#This Row],[PCUSTID]],廠商[],2,FALSE),"")</f>
        <v/>
      </c>
      <c r="S3748" t="str">
        <f>VLOOKUP(record[[#This Row],[employeeID]],員工[],2,FALSE)</f>
        <v>謝蓁薰</v>
      </c>
    </row>
    <row r="3749" spans="6:19" hidden="1" x14ac:dyDescent="0.25">
      <c r="F3749" t="s">
        <v>1557</v>
      </c>
      <c r="G3749" t="s">
        <v>428</v>
      </c>
      <c r="H3749" t="str">
        <f>VLOOKUP(record[[#This Row],[ProcessSN]],表格2_7[],2,FALSE)</f>
        <v>30-4118-018-600</v>
      </c>
      <c r="I3749" t="str">
        <f>VLOOKUP(record[[#This Row],[ProcessSN]],表格2_7[],3,FALSE)</f>
        <v>#100SHIP</v>
      </c>
      <c r="J3749" t="s">
        <v>600</v>
      </c>
      <c r="K3749" s="195">
        <v>46084.349189814813</v>
      </c>
      <c r="L3749">
        <v>345</v>
      </c>
      <c r="M3749">
        <v>0</v>
      </c>
      <c r="N3749" s="98" t="str">
        <f>IF(record[[#This Row],[Memo]]="Browser:chrome os:android","平板報工",IF(record[[#This Row],[Memo]]=0,"委外",record[[#This Row],[Memo]]))</f>
        <v/>
      </c>
      <c r="O3749" t="s">
        <v>58</v>
      </c>
      <c r="P3749" t="s">
        <v>886</v>
      </c>
      <c r="Q3749" t="s">
        <v>58</v>
      </c>
      <c r="R3749" t="str">
        <f>IFERROR(VLOOKUP(record[[#This Row],[PCUSTID]],廠商[],2,FALSE),"")</f>
        <v/>
      </c>
      <c r="S3749" t="str">
        <f>VLOOKUP(record[[#This Row],[employeeID]],員工[],2,FALSE)</f>
        <v>謝蓁薰</v>
      </c>
    </row>
    <row r="3750" spans="6:19" hidden="1" x14ac:dyDescent="0.25">
      <c r="F3750" t="s">
        <v>1553</v>
      </c>
      <c r="G3750" t="s">
        <v>428</v>
      </c>
      <c r="H3750" t="str">
        <f>VLOOKUP(record[[#This Row],[ProcessSN]],表格2_7[],2,FALSE)</f>
        <v>30-4118-018-600</v>
      </c>
      <c r="I3750" t="str">
        <f>VLOOKUP(record[[#This Row],[ProcessSN]],表格2_7[],3,FALSE)</f>
        <v>#100SHIP</v>
      </c>
      <c r="J3750" t="s">
        <v>600</v>
      </c>
      <c r="K3750" s="195">
        <v>46084.349039351851</v>
      </c>
      <c r="L3750">
        <v>3</v>
      </c>
      <c r="M3750">
        <v>0</v>
      </c>
      <c r="N3750" s="98" t="str">
        <f>IF(record[[#This Row],[Memo]]="Browser:chrome os:android","平板報工",IF(record[[#This Row],[Memo]]=0,"委外",record[[#This Row],[Memo]]))</f>
        <v/>
      </c>
      <c r="O3750" t="s">
        <v>58</v>
      </c>
      <c r="P3750" t="s">
        <v>886</v>
      </c>
      <c r="Q3750" t="s">
        <v>58</v>
      </c>
      <c r="R3750" t="str">
        <f>IFERROR(VLOOKUP(record[[#This Row],[PCUSTID]],廠商[],2,FALSE),"")</f>
        <v/>
      </c>
      <c r="S3750" t="str">
        <f>VLOOKUP(record[[#This Row],[employeeID]],員工[],2,FALSE)</f>
        <v>謝蓁薰</v>
      </c>
    </row>
    <row r="3751" spans="6:19" hidden="1" x14ac:dyDescent="0.25">
      <c r="F3751" t="s">
        <v>1549</v>
      </c>
      <c r="G3751" t="s">
        <v>403</v>
      </c>
      <c r="H3751" t="str">
        <f>VLOOKUP(record[[#This Row],[ProcessSN]],表格2_7[],2,FALSE)</f>
        <v>30-4118-018-550</v>
      </c>
      <c r="I3751" t="str">
        <f>VLOOKUP(record[[#This Row],[ProcessSN]],表格2_7[],3,FALSE)</f>
        <v>#100SHIP</v>
      </c>
      <c r="J3751" t="s">
        <v>600</v>
      </c>
      <c r="K3751" s="195">
        <v>46084.348900462966</v>
      </c>
      <c r="L3751">
        <v>92</v>
      </c>
      <c r="M3751">
        <v>0</v>
      </c>
      <c r="N3751" s="98" t="str">
        <f>IF(record[[#This Row],[Memo]]="Browser:chrome os:android","平板報工",IF(record[[#This Row],[Memo]]=0,"委外",record[[#This Row],[Memo]]))</f>
        <v/>
      </c>
      <c r="O3751" t="s">
        <v>58</v>
      </c>
      <c r="P3751" t="s">
        <v>886</v>
      </c>
      <c r="Q3751" t="s">
        <v>58</v>
      </c>
      <c r="R3751" t="str">
        <f>IFERROR(VLOOKUP(record[[#This Row],[PCUSTID]],廠商[],2,FALSE),"")</f>
        <v/>
      </c>
      <c r="S3751" t="str">
        <f>VLOOKUP(record[[#This Row],[employeeID]],員工[],2,FALSE)</f>
        <v>謝蓁薰</v>
      </c>
    </row>
    <row r="3752" spans="6:19" hidden="1" x14ac:dyDescent="0.25">
      <c r="F3752" t="s">
        <v>1432</v>
      </c>
      <c r="G3752" t="s">
        <v>362</v>
      </c>
      <c r="H3752" t="str">
        <f>VLOOKUP(record[[#This Row],[ProcessSN]],表格2_7[],2,FALSE)</f>
        <v>30-4118-018-450</v>
      </c>
      <c r="I3752" t="str">
        <f>VLOOKUP(record[[#This Row],[ProcessSN]],表格2_7[],3,FALSE)</f>
        <v>#100SHIP</v>
      </c>
      <c r="J3752" t="s">
        <v>600</v>
      </c>
      <c r="K3752" s="195">
        <v>46084.348622685182</v>
      </c>
      <c r="L3752">
        <v>74</v>
      </c>
      <c r="M3752">
        <v>0</v>
      </c>
      <c r="N3752" s="98" t="str">
        <f>IF(record[[#This Row],[Memo]]="Browser:chrome os:android","平板報工",IF(record[[#This Row],[Memo]]=0,"委外",record[[#This Row],[Memo]]))</f>
        <v/>
      </c>
      <c r="O3752" t="s">
        <v>58</v>
      </c>
      <c r="P3752" t="s">
        <v>886</v>
      </c>
      <c r="Q3752" t="s">
        <v>58</v>
      </c>
      <c r="R3752" t="str">
        <f>IFERROR(VLOOKUP(record[[#This Row],[PCUSTID]],廠商[],2,FALSE),"")</f>
        <v/>
      </c>
      <c r="S3752" t="str">
        <f>VLOOKUP(record[[#This Row],[employeeID]],員工[],2,FALSE)</f>
        <v>謝蓁薰</v>
      </c>
    </row>
    <row r="3753" spans="6:19" hidden="1" x14ac:dyDescent="0.25">
      <c r="F3753" t="s">
        <v>1568</v>
      </c>
      <c r="G3753" t="s">
        <v>417</v>
      </c>
      <c r="H3753" t="str">
        <f>VLOOKUP(record[[#This Row],[ProcessSN]],表格2_7[],2,FALSE)</f>
        <v>30-4118-018-5XX</v>
      </c>
      <c r="I3753" t="str">
        <f>VLOOKUP(record[[#This Row],[ProcessSN]],表格2_7[],3,FALSE)</f>
        <v>#06</v>
      </c>
      <c r="J3753" t="s">
        <v>593</v>
      </c>
      <c r="K3753" s="195">
        <v>46084.312407407408</v>
      </c>
      <c r="L3753">
        <v>67</v>
      </c>
      <c r="M3753">
        <v>0</v>
      </c>
      <c r="N3753" s="98" t="str">
        <f>IF(record[[#This Row],[Memo]]="Browser:chrome os:android","平板報工",IF(record[[#This Row],[Memo]]=0,"委外",record[[#This Row],[Memo]]))</f>
        <v/>
      </c>
      <c r="O3753" t="s">
        <v>58</v>
      </c>
      <c r="P3753" t="s">
        <v>115</v>
      </c>
      <c r="Q3753" t="s">
        <v>58</v>
      </c>
      <c r="R3753" t="str">
        <f>IFERROR(VLOOKUP(record[[#This Row],[PCUSTID]],廠商[],2,FALSE),"")</f>
        <v/>
      </c>
      <c r="S3753" t="str">
        <f>VLOOKUP(record[[#This Row],[employeeID]],員工[],2,FALSE)</f>
        <v>溫智淵</v>
      </c>
    </row>
    <row r="3754" spans="6:19" hidden="1" x14ac:dyDescent="0.25">
      <c r="F3754" t="s">
        <v>1568</v>
      </c>
      <c r="G3754" t="s">
        <v>417</v>
      </c>
      <c r="H3754" t="str">
        <f>VLOOKUP(record[[#This Row],[ProcessSN]],表格2_7[],2,FALSE)</f>
        <v>30-4118-018-5XX</v>
      </c>
      <c r="I3754" t="str">
        <f>VLOOKUP(record[[#This Row],[ProcessSN]],表格2_7[],3,FALSE)</f>
        <v>#06</v>
      </c>
      <c r="J3754" t="s">
        <v>593</v>
      </c>
      <c r="K3754" s="195">
        <v>46083.976655092592</v>
      </c>
      <c r="L3754">
        <v>120</v>
      </c>
      <c r="M3754">
        <v>0</v>
      </c>
      <c r="N3754" s="98" t="str">
        <f>IF(record[[#This Row],[Memo]]="Browser:chrome os:android","平板報工",IF(record[[#This Row],[Memo]]=0,"委外",record[[#This Row],[Memo]]))</f>
        <v/>
      </c>
      <c r="O3754" t="s">
        <v>58</v>
      </c>
      <c r="P3754" t="s">
        <v>133</v>
      </c>
      <c r="Q3754" t="s">
        <v>58</v>
      </c>
      <c r="R3754" t="str">
        <f>IFERROR(VLOOKUP(record[[#This Row],[PCUSTID]],廠商[],2,FALSE),"")</f>
        <v/>
      </c>
      <c r="S3754" t="str">
        <f>VLOOKUP(record[[#This Row],[employeeID]],員工[],2,FALSE)</f>
        <v>黎長維</v>
      </c>
    </row>
    <row r="3755" spans="6:19" hidden="1" x14ac:dyDescent="0.25">
      <c r="F3755" t="s">
        <v>1570</v>
      </c>
      <c r="G3755" t="s">
        <v>374</v>
      </c>
      <c r="H3755" t="str">
        <f>VLOOKUP(record[[#This Row],[ProcessSN]],表格2_7[],2,FALSE)</f>
        <v>30-4118-018-4XX</v>
      </c>
      <c r="I3755" t="str">
        <f>VLOOKUP(record[[#This Row],[ProcessSN]],表格2_7[],3,FALSE)</f>
        <v>#04</v>
      </c>
      <c r="J3755" t="s">
        <v>588</v>
      </c>
      <c r="K3755" s="195">
        <v>46083.975451388891</v>
      </c>
      <c r="L3755">
        <v>55</v>
      </c>
      <c r="M3755">
        <v>0</v>
      </c>
      <c r="N3755" s="98" t="str">
        <f>IF(record[[#This Row],[Memo]]="Browser:chrome os:android","平板報工",IF(record[[#This Row],[Memo]]=0,"委外",record[[#This Row],[Memo]]))</f>
        <v/>
      </c>
      <c r="O3755" t="s">
        <v>58</v>
      </c>
      <c r="P3755" t="s">
        <v>1098</v>
      </c>
      <c r="Q3755" t="s">
        <v>58</v>
      </c>
      <c r="R3755" t="str">
        <f>IFERROR(VLOOKUP(record[[#This Row],[PCUSTID]],廠商[],2,FALSE),"")</f>
        <v/>
      </c>
      <c r="S3755" t="str">
        <f>VLOOKUP(record[[#This Row],[employeeID]],員工[],2,FALSE)</f>
        <v>阮氏芳英(英)</v>
      </c>
    </row>
    <row r="3756" spans="6:19" hidden="1" x14ac:dyDescent="0.25">
      <c r="F3756" t="s">
        <v>1570</v>
      </c>
      <c r="G3756" t="s">
        <v>374</v>
      </c>
      <c r="H3756" t="str">
        <f>VLOOKUP(record[[#This Row],[ProcessSN]],表格2_7[],2,FALSE)</f>
        <v>30-4118-018-4XX</v>
      </c>
      <c r="I3756" t="str">
        <f>VLOOKUP(record[[#This Row],[ProcessSN]],表格2_7[],3,FALSE)</f>
        <v>#04</v>
      </c>
      <c r="J3756" t="s">
        <v>588</v>
      </c>
      <c r="K3756" s="195">
        <v>46083.917025462964</v>
      </c>
      <c r="L3756">
        <v>70</v>
      </c>
      <c r="M3756">
        <v>0</v>
      </c>
      <c r="N3756" s="98" t="str">
        <f>IF(record[[#This Row],[Memo]]="Browser:chrome os:android","平板報工",IF(record[[#This Row],[Memo]]=0,"委外",record[[#This Row],[Memo]]))</f>
        <v/>
      </c>
      <c r="O3756" t="s">
        <v>58</v>
      </c>
      <c r="P3756" t="s">
        <v>89</v>
      </c>
      <c r="Q3756" t="s">
        <v>58</v>
      </c>
      <c r="R3756" t="str">
        <f>IFERROR(VLOOKUP(record[[#This Row],[PCUSTID]],廠商[],2,FALSE),"")</f>
        <v/>
      </c>
      <c r="S3756" t="str">
        <f>VLOOKUP(record[[#This Row],[employeeID]],員工[],2,FALSE)</f>
        <v>李美蓮</v>
      </c>
    </row>
    <row r="3757" spans="6:19" hidden="1" x14ac:dyDescent="0.25">
      <c r="F3757" t="s">
        <v>1569</v>
      </c>
      <c r="G3757" t="s">
        <v>448</v>
      </c>
      <c r="H3757" t="str">
        <f>VLOOKUP(record[[#This Row],[ProcessSN]],表格2_7[],2,FALSE)</f>
        <v>30-4118-018-6XX</v>
      </c>
      <c r="I3757" t="str">
        <f>VLOOKUP(record[[#This Row],[ProcessSN]],表格2_7[],3,FALSE)</f>
        <v>#04</v>
      </c>
      <c r="J3757" t="s">
        <v>588</v>
      </c>
      <c r="K3757" s="195">
        <v>46083.731087962966</v>
      </c>
      <c r="L3757">
        <v>66</v>
      </c>
      <c r="M3757">
        <v>0</v>
      </c>
      <c r="N3757" s="98" t="str">
        <f>IF(record[[#This Row],[Memo]]="Browser:chrome os:android","平板報工",IF(record[[#This Row],[Memo]]=0,"委外",record[[#This Row],[Memo]]))</f>
        <v/>
      </c>
      <c r="O3757" t="s">
        <v>58</v>
      </c>
      <c r="P3757" t="s">
        <v>1598</v>
      </c>
      <c r="Q3757" t="s">
        <v>58</v>
      </c>
      <c r="R3757" t="str">
        <f>IFERROR(VLOOKUP(record[[#This Row],[PCUSTID]],廠商[],2,FALSE),"")</f>
        <v/>
      </c>
      <c r="S3757" t="e">
        <f>VLOOKUP(record[[#This Row],[employeeID]],員工[],2,FALSE)</f>
        <v>#N/A</v>
      </c>
    </row>
    <row r="3758" spans="6:19" hidden="1" x14ac:dyDescent="0.25">
      <c r="F3758" t="s">
        <v>1549</v>
      </c>
      <c r="G3758" t="s">
        <v>400</v>
      </c>
      <c r="H3758" t="str">
        <f>VLOOKUP(record[[#This Row],[ProcessSN]],表格2_7[],2,FALSE)</f>
        <v>30-4118-018-550</v>
      </c>
      <c r="I3758" t="str">
        <f>VLOOKUP(record[[#This Row],[ProcessSN]],表格2_7[],3,FALSE)</f>
        <v>#100</v>
      </c>
      <c r="J3758" t="s">
        <v>598</v>
      </c>
      <c r="K3758" s="195">
        <v>46083.724479166667</v>
      </c>
      <c r="L3758">
        <v>1</v>
      </c>
      <c r="M3758">
        <v>0</v>
      </c>
      <c r="N3758" s="98" t="str">
        <f>IF(record[[#This Row],[Memo]]="Browser:chrome os:android","平板報工",IF(record[[#This Row],[Memo]]=0,"委外",record[[#This Row],[Memo]]))</f>
        <v>覆回</v>
      </c>
      <c r="O3758" t="s">
        <v>682</v>
      </c>
      <c r="P3758" t="s">
        <v>141</v>
      </c>
      <c r="Q3758" t="s">
        <v>58</v>
      </c>
      <c r="R3758" t="str">
        <f>IFERROR(VLOOKUP(record[[#This Row],[PCUSTID]],廠商[],2,FALSE),"")</f>
        <v/>
      </c>
      <c r="S3758" t="str">
        <f>VLOOKUP(record[[#This Row],[employeeID]],員工[],2,FALSE)</f>
        <v>蔣梅</v>
      </c>
    </row>
    <row r="3759" spans="6:19" hidden="1" x14ac:dyDescent="0.25">
      <c r="F3759" t="s">
        <v>1549</v>
      </c>
      <c r="G3759" t="s">
        <v>399</v>
      </c>
      <c r="H3759" t="str">
        <f>VLOOKUP(record[[#This Row],[ProcessSN]],表格2_7[],2,FALSE)</f>
        <v>30-4118-018-550</v>
      </c>
      <c r="I3759" t="str">
        <f>VLOOKUP(record[[#This Row],[ProcessSN]],表格2_7[],3,FALSE)</f>
        <v>#08IQC</v>
      </c>
      <c r="J3759" t="s">
        <v>583</v>
      </c>
      <c r="K3759" s="195">
        <v>46083.724270833336</v>
      </c>
      <c r="L3759">
        <v>1</v>
      </c>
      <c r="M3759">
        <v>0</v>
      </c>
      <c r="N3759" s="98" t="str">
        <f>IF(record[[#This Row],[Memo]]="Browser:chrome os:android","平板報工",IF(record[[#This Row],[Memo]]=0,"委外",record[[#This Row],[Memo]]))</f>
        <v>覆回</v>
      </c>
      <c r="O3759" t="s">
        <v>682</v>
      </c>
      <c r="P3759" t="s">
        <v>141</v>
      </c>
      <c r="Q3759" t="s">
        <v>58</v>
      </c>
      <c r="R3759" t="str">
        <f>IFERROR(VLOOKUP(record[[#This Row],[PCUSTID]],廠商[],2,FALSE),"")</f>
        <v/>
      </c>
      <c r="S3759" t="str">
        <f>VLOOKUP(record[[#This Row],[employeeID]],員工[],2,FALSE)</f>
        <v>蔣梅</v>
      </c>
    </row>
    <row r="3760" spans="6:19" hidden="1" x14ac:dyDescent="0.25">
      <c r="F3760" t="s">
        <v>1549</v>
      </c>
      <c r="G3760" t="s">
        <v>398</v>
      </c>
      <c r="H3760" t="str">
        <f>VLOOKUP(record[[#This Row],[ProcessSN]],表格2_7[],2,FALSE)</f>
        <v>30-4118-018-550</v>
      </c>
      <c r="I3760" t="str">
        <f>VLOOKUP(record[[#This Row],[ProcessSN]],表格2_7[],3,FALSE)</f>
        <v>#08RCV</v>
      </c>
      <c r="J3760" t="s">
        <v>591</v>
      </c>
      <c r="K3760" s="195">
        <v>46083.724062499998</v>
      </c>
      <c r="L3760">
        <v>0</v>
      </c>
      <c r="M3760">
        <v>20</v>
      </c>
      <c r="N3760" s="98" t="str">
        <f>IF(record[[#This Row],[Memo]]="Browser:chrome os:android","平板報工",IF(record[[#This Row],[Memo]]=0,"委外",record[[#This Row],[Memo]]))</f>
        <v/>
      </c>
      <c r="O3760" t="s">
        <v>58</v>
      </c>
      <c r="P3760" t="s">
        <v>141</v>
      </c>
      <c r="Q3760" t="s">
        <v>58</v>
      </c>
      <c r="R3760" t="str">
        <f>IFERROR(VLOOKUP(record[[#This Row],[PCUSTID]],廠商[],2,FALSE),"")</f>
        <v/>
      </c>
      <c r="S3760" t="str">
        <f>VLOOKUP(record[[#This Row],[employeeID]],員工[],2,FALSE)</f>
        <v>蔣梅</v>
      </c>
    </row>
    <row r="3761" spans="6:19" hidden="1" x14ac:dyDescent="0.25">
      <c r="F3761" t="s">
        <v>1549</v>
      </c>
      <c r="G3761" t="s">
        <v>398</v>
      </c>
      <c r="H3761" t="str">
        <f>VLOOKUP(record[[#This Row],[ProcessSN]],表格2_7[],2,FALSE)</f>
        <v>30-4118-018-550</v>
      </c>
      <c r="I3761" t="str">
        <f>VLOOKUP(record[[#This Row],[ProcessSN]],表格2_7[],3,FALSE)</f>
        <v>#08RCV</v>
      </c>
      <c r="J3761" t="s">
        <v>591</v>
      </c>
      <c r="K3761" s="195">
        <v>46083.723900462966</v>
      </c>
      <c r="L3761">
        <v>1</v>
      </c>
      <c r="M3761">
        <v>0</v>
      </c>
      <c r="N3761" s="98" t="str">
        <f>IF(record[[#This Row],[Memo]]="Browser:chrome os:android","平板報工",IF(record[[#This Row],[Memo]]=0,"委外",record[[#This Row],[Memo]]))</f>
        <v>覆回</v>
      </c>
      <c r="O3761" t="s">
        <v>682</v>
      </c>
      <c r="P3761" t="s">
        <v>141</v>
      </c>
      <c r="Q3761" t="s">
        <v>58</v>
      </c>
      <c r="R3761" t="str">
        <f>IFERROR(VLOOKUP(record[[#This Row],[PCUSTID]],廠商[],2,FALSE),"")</f>
        <v/>
      </c>
      <c r="S3761" t="str">
        <f>VLOOKUP(record[[#This Row],[employeeID]],員工[],2,FALSE)</f>
        <v>蔣梅</v>
      </c>
    </row>
    <row r="3762" spans="6:19" hidden="1" x14ac:dyDescent="0.25">
      <c r="F3762" t="s">
        <v>1582</v>
      </c>
      <c r="G3762" t="s">
        <v>400</v>
      </c>
      <c r="H3762" t="str">
        <f>VLOOKUP(record[[#This Row],[ProcessSN]],表格2_7[],2,FALSE)</f>
        <v>30-4118-018-550</v>
      </c>
      <c r="I3762" t="str">
        <f>VLOOKUP(record[[#This Row],[ProcessSN]],表格2_7[],3,FALSE)</f>
        <v>#100</v>
      </c>
      <c r="J3762" t="s">
        <v>598</v>
      </c>
      <c r="K3762" s="195">
        <v>46083.722881944443</v>
      </c>
      <c r="L3762">
        <v>22</v>
      </c>
      <c r="M3762">
        <v>0</v>
      </c>
      <c r="N3762" s="98" t="str">
        <f>IF(record[[#This Row],[Memo]]="Browser:chrome os:android","平板報工",IF(record[[#This Row],[Memo]]=0,"委外",record[[#This Row],[Memo]]))</f>
        <v/>
      </c>
      <c r="O3762" t="s">
        <v>58</v>
      </c>
      <c r="P3762" t="s">
        <v>141</v>
      </c>
      <c r="Q3762" t="s">
        <v>58</v>
      </c>
      <c r="R3762" t="str">
        <f>IFERROR(VLOOKUP(record[[#This Row],[PCUSTID]],廠商[],2,FALSE),"")</f>
        <v/>
      </c>
      <c r="S3762" t="str">
        <f>VLOOKUP(record[[#This Row],[employeeID]],員工[],2,FALSE)</f>
        <v>蔣梅</v>
      </c>
    </row>
    <row r="3763" spans="6:19" hidden="1" x14ac:dyDescent="0.25">
      <c r="F3763" t="s">
        <v>1556</v>
      </c>
      <c r="G3763" t="s">
        <v>400</v>
      </c>
      <c r="H3763" t="str">
        <f>VLOOKUP(record[[#This Row],[ProcessSN]],表格2_7[],2,FALSE)</f>
        <v>30-4118-018-550</v>
      </c>
      <c r="I3763" t="str">
        <f>VLOOKUP(record[[#This Row],[ProcessSN]],表格2_7[],3,FALSE)</f>
        <v>#100</v>
      </c>
      <c r="J3763" t="s">
        <v>598</v>
      </c>
      <c r="K3763" s="195">
        <v>46083.722650462965</v>
      </c>
      <c r="L3763">
        <v>30</v>
      </c>
      <c r="M3763">
        <v>0</v>
      </c>
      <c r="N3763" s="98" t="str">
        <f>IF(record[[#This Row],[Memo]]="Browser:chrome os:android","平板報工",IF(record[[#This Row],[Memo]]=0,"委外",record[[#This Row],[Memo]]))</f>
        <v/>
      </c>
      <c r="O3763" t="s">
        <v>58</v>
      </c>
      <c r="P3763" t="s">
        <v>141</v>
      </c>
      <c r="Q3763" t="s">
        <v>58</v>
      </c>
      <c r="R3763" t="str">
        <f>IFERROR(VLOOKUP(record[[#This Row],[PCUSTID]],廠商[],2,FALSE),"")</f>
        <v/>
      </c>
      <c r="S3763" t="str">
        <f>VLOOKUP(record[[#This Row],[employeeID]],員工[],2,FALSE)</f>
        <v>蔣梅</v>
      </c>
    </row>
    <row r="3764" spans="6:19" hidden="1" x14ac:dyDescent="0.25">
      <c r="F3764" t="s">
        <v>1570</v>
      </c>
      <c r="G3764" t="s">
        <v>374</v>
      </c>
      <c r="H3764" t="str">
        <f>VLOOKUP(record[[#This Row],[ProcessSN]],表格2_7[],2,FALSE)</f>
        <v>30-4118-018-4XX</v>
      </c>
      <c r="I3764" t="str">
        <f>VLOOKUP(record[[#This Row],[ProcessSN]],表格2_7[],3,FALSE)</f>
        <v>#04</v>
      </c>
      <c r="J3764" t="s">
        <v>588</v>
      </c>
      <c r="K3764" s="195">
        <v>46083.647013888891</v>
      </c>
      <c r="L3764">
        <v>40</v>
      </c>
      <c r="M3764">
        <v>0</v>
      </c>
      <c r="N3764" s="98" t="str">
        <f>IF(record[[#This Row],[Memo]]="Browser:chrome os:android","平板報工",IF(record[[#This Row],[Memo]]=0,"委外",record[[#This Row],[Memo]]))</f>
        <v>平板報工</v>
      </c>
      <c r="O3764" t="s">
        <v>643</v>
      </c>
      <c r="P3764" t="s">
        <v>785</v>
      </c>
      <c r="Q3764" t="s">
        <v>644</v>
      </c>
      <c r="R3764" t="str">
        <f>IFERROR(VLOOKUP(record[[#This Row],[PCUSTID]],廠商[],2,FALSE),"")</f>
        <v/>
      </c>
      <c r="S3764" t="str">
        <f>VLOOKUP(record[[#This Row],[employeeID]],員工[],2,FALSE)</f>
        <v>謝刻光</v>
      </c>
    </row>
    <row r="3765" spans="6:19" hidden="1" x14ac:dyDescent="0.25">
      <c r="F3765" t="s">
        <v>1380</v>
      </c>
      <c r="G3765" t="s">
        <v>374</v>
      </c>
      <c r="H3765" t="str">
        <f>VLOOKUP(record[[#This Row],[ProcessSN]],表格2_7[],2,FALSE)</f>
        <v>30-4118-018-4XX</v>
      </c>
      <c r="I3765" t="str">
        <f>VLOOKUP(record[[#This Row],[ProcessSN]],表格2_7[],3,FALSE)</f>
        <v>#04</v>
      </c>
      <c r="J3765" t="s">
        <v>588</v>
      </c>
      <c r="K3765" s="195">
        <v>46083.646562499998</v>
      </c>
      <c r="L3765">
        <v>0</v>
      </c>
      <c r="M3765">
        <v>2</v>
      </c>
      <c r="N3765" s="98" t="str">
        <f>IF(record[[#This Row],[Memo]]="Browser:chrome os:android","平板報工",IF(record[[#This Row],[Memo]]=0,"委外",record[[#This Row],[Memo]]))</f>
        <v>平板報工</v>
      </c>
      <c r="O3765" t="s">
        <v>643</v>
      </c>
      <c r="P3765" t="s">
        <v>785</v>
      </c>
      <c r="Q3765" t="s">
        <v>644</v>
      </c>
      <c r="R3765" t="str">
        <f>IFERROR(VLOOKUP(record[[#This Row],[PCUSTID]],廠商[],2,FALSE),"")</f>
        <v/>
      </c>
      <c r="S3765" t="str">
        <f>VLOOKUP(record[[#This Row],[employeeID]],員工[],2,FALSE)</f>
        <v>謝刻光</v>
      </c>
    </row>
    <row r="3766" spans="6:19" hidden="1" x14ac:dyDescent="0.25">
      <c r="F3766" t="s">
        <v>1380</v>
      </c>
      <c r="G3766" t="s">
        <v>374</v>
      </c>
      <c r="H3766" t="str">
        <f>VLOOKUP(record[[#This Row],[ProcessSN]],表格2_7[],2,FALSE)</f>
        <v>30-4118-018-4XX</v>
      </c>
      <c r="I3766" t="str">
        <f>VLOOKUP(record[[#This Row],[ProcessSN]],表格2_7[],3,FALSE)</f>
        <v>#04</v>
      </c>
      <c r="J3766" t="s">
        <v>588</v>
      </c>
      <c r="K3766" s="195">
        <v>46083.645983796298</v>
      </c>
      <c r="L3766">
        <v>58</v>
      </c>
      <c r="M3766">
        <v>0</v>
      </c>
      <c r="N3766" s="98" t="str">
        <f>IF(record[[#This Row],[Memo]]="Browser:chrome os:android","平板報工",IF(record[[#This Row],[Memo]]=0,"委外",record[[#This Row],[Memo]]))</f>
        <v>平板報工</v>
      </c>
      <c r="O3766" t="s">
        <v>643</v>
      </c>
      <c r="P3766" t="s">
        <v>785</v>
      </c>
      <c r="Q3766" t="s">
        <v>644</v>
      </c>
      <c r="R3766" t="str">
        <f>IFERROR(VLOOKUP(record[[#This Row],[PCUSTID]],廠商[],2,FALSE),"")</f>
        <v/>
      </c>
      <c r="S3766" t="str">
        <f>VLOOKUP(record[[#This Row],[employeeID]],員工[],2,FALSE)</f>
        <v>謝刻光</v>
      </c>
    </row>
    <row r="3767" spans="6:19" hidden="1" x14ac:dyDescent="0.25">
      <c r="F3767" t="s">
        <v>1568</v>
      </c>
      <c r="G3767" t="s">
        <v>417</v>
      </c>
      <c r="H3767" t="str">
        <f>VLOOKUP(record[[#This Row],[ProcessSN]],表格2_7[],2,FALSE)</f>
        <v>30-4118-018-5XX</v>
      </c>
      <c r="I3767" t="str">
        <f>VLOOKUP(record[[#This Row],[ProcessSN]],表格2_7[],3,FALSE)</f>
        <v>#06</v>
      </c>
      <c r="J3767" t="s">
        <v>593</v>
      </c>
      <c r="K3767" s="195">
        <v>46083.636099537034</v>
      </c>
      <c r="L3767">
        <v>5</v>
      </c>
      <c r="M3767">
        <v>0</v>
      </c>
      <c r="N3767" s="98" t="str">
        <f>IF(record[[#This Row],[Memo]]="Browser:chrome os:android","平板報工",IF(record[[#This Row],[Memo]]=0,"委外",record[[#This Row],[Memo]]))</f>
        <v>平板報工</v>
      </c>
      <c r="O3767" t="s">
        <v>643</v>
      </c>
      <c r="P3767" t="s">
        <v>166</v>
      </c>
      <c r="Q3767" t="s">
        <v>644</v>
      </c>
      <c r="R3767" t="str">
        <f>IFERROR(VLOOKUP(record[[#This Row],[PCUSTID]],廠商[],2,FALSE),"")</f>
        <v/>
      </c>
      <c r="S3767" t="str">
        <f>VLOOKUP(record[[#This Row],[employeeID]],員工[],2,FALSE)</f>
        <v>阮懷香</v>
      </c>
    </row>
    <row r="3768" spans="6:19" hidden="1" x14ac:dyDescent="0.25">
      <c r="F3768" t="s">
        <v>1516</v>
      </c>
      <c r="G3768" t="s">
        <v>417</v>
      </c>
      <c r="H3768" t="str">
        <f>VLOOKUP(record[[#This Row],[ProcessSN]],表格2_7[],2,FALSE)</f>
        <v>30-4118-018-5XX</v>
      </c>
      <c r="I3768" t="str">
        <f>VLOOKUP(record[[#This Row],[ProcessSN]],表格2_7[],3,FALSE)</f>
        <v>#06</v>
      </c>
      <c r="J3768" t="s">
        <v>593</v>
      </c>
      <c r="K3768" s="195">
        <v>46083.635844907411</v>
      </c>
      <c r="L3768">
        <v>100</v>
      </c>
      <c r="M3768">
        <v>0</v>
      </c>
      <c r="N3768" s="98" t="str">
        <f>IF(record[[#This Row],[Memo]]="Browser:chrome os:android","平板報工",IF(record[[#This Row],[Memo]]=0,"委外",record[[#This Row],[Memo]]))</f>
        <v>平板報工</v>
      </c>
      <c r="O3768" t="s">
        <v>643</v>
      </c>
      <c r="P3768" t="s">
        <v>166</v>
      </c>
      <c r="Q3768" t="s">
        <v>644</v>
      </c>
      <c r="R3768" t="str">
        <f>IFERROR(VLOOKUP(record[[#This Row],[PCUSTID]],廠商[],2,FALSE),"")</f>
        <v/>
      </c>
      <c r="S3768" t="str">
        <f>VLOOKUP(record[[#This Row],[employeeID]],員工[],2,FALSE)</f>
        <v>阮懷香</v>
      </c>
    </row>
    <row r="3769" spans="6:19" hidden="1" x14ac:dyDescent="0.25">
      <c r="F3769" t="s">
        <v>1549</v>
      </c>
      <c r="G3769" t="s">
        <v>403</v>
      </c>
      <c r="H3769" t="str">
        <f>VLOOKUP(record[[#This Row],[ProcessSN]],表格2_7[],2,FALSE)</f>
        <v>30-4118-018-550</v>
      </c>
      <c r="I3769" t="str">
        <f>VLOOKUP(record[[#This Row],[ProcessSN]],表格2_7[],3,FALSE)</f>
        <v>#100SHIP</v>
      </c>
      <c r="J3769" t="s">
        <v>600</v>
      </c>
      <c r="K3769" s="195">
        <v>46083.493009259262</v>
      </c>
      <c r="L3769">
        <v>22</v>
      </c>
      <c r="M3769">
        <v>0</v>
      </c>
      <c r="N3769" s="98" t="str">
        <f>IF(record[[#This Row],[Memo]]="Browser:chrome os:android","平板報工",IF(record[[#This Row],[Memo]]=0,"委外",record[[#This Row],[Memo]]))</f>
        <v/>
      </c>
      <c r="O3769" t="s">
        <v>58</v>
      </c>
      <c r="P3769" t="s">
        <v>886</v>
      </c>
      <c r="Q3769" t="s">
        <v>58</v>
      </c>
      <c r="R3769" t="str">
        <f>IFERROR(VLOOKUP(record[[#This Row],[PCUSTID]],廠商[],2,FALSE),"")</f>
        <v/>
      </c>
      <c r="S3769" t="str">
        <f>VLOOKUP(record[[#This Row],[employeeID]],員工[],2,FALSE)</f>
        <v>謝蓁薰</v>
      </c>
    </row>
    <row r="3770" spans="6:19" hidden="1" x14ac:dyDescent="0.25">
      <c r="F3770" t="s">
        <v>1432</v>
      </c>
      <c r="G3770" t="s">
        <v>362</v>
      </c>
      <c r="H3770" t="str">
        <f>VLOOKUP(record[[#This Row],[ProcessSN]],表格2_7[],2,FALSE)</f>
        <v>30-4118-018-450</v>
      </c>
      <c r="I3770" t="str">
        <f>VLOOKUP(record[[#This Row],[ProcessSN]],表格2_7[],3,FALSE)</f>
        <v>#100SHIP</v>
      </c>
      <c r="J3770" t="s">
        <v>600</v>
      </c>
      <c r="K3770" s="195">
        <v>46083.492731481485</v>
      </c>
      <c r="L3770">
        <v>7</v>
      </c>
      <c r="M3770">
        <v>0</v>
      </c>
      <c r="N3770" s="98" t="str">
        <f>IF(record[[#This Row],[Memo]]="Browser:chrome os:android","平板報工",IF(record[[#This Row],[Memo]]=0,"委外",record[[#This Row],[Memo]]))</f>
        <v/>
      </c>
      <c r="O3770" t="s">
        <v>58</v>
      </c>
      <c r="P3770" t="s">
        <v>886</v>
      </c>
      <c r="Q3770" t="s">
        <v>58</v>
      </c>
      <c r="R3770" t="str">
        <f>IFERROR(VLOOKUP(record[[#This Row],[PCUSTID]],廠商[],2,FALSE),"")</f>
        <v/>
      </c>
      <c r="S3770" t="str">
        <f>VLOOKUP(record[[#This Row],[employeeID]],員工[],2,FALSE)</f>
        <v>謝蓁薰</v>
      </c>
    </row>
    <row r="3771" spans="6:19" hidden="1" x14ac:dyDescent="0.25">
      <c r="F3771" t="s">
        <v>1585</v>
      </c>
      <c r="G3771" t="s">
        <v>425</v>
      </c>
      <c r="H3771" t="str">
        <f>VLOOKUP(record[[#This Row],[ProcessSN]],表格2_7[],2,FALSE)</f>
        <v>30-4118-018-600</v>
      </c>
      <c r="I3771" t="str">
        <f>VLOOKUP(record[[#This Row],[ProcessSN]],表格2_7[],3,FALSE)</f>
        <v>#100</v>
      </c>
      <c r="J3771" t="s">
        <v>598</v>
      </c>
      <c r="K3771" s="195">
        <v>46083.4922337963</v>
      </c>
      <c r="L3771">
        <v>490</v>
      </c>
      <c r="M3771">
        <v>0</v>
      </c>
      <c r="N3771" s="98" t="str">
        <f>IF(record[[#This Row],[Memo]]="Browser:chrome os:android","平板報工",IF(record[[#This Row],[Memo]]=0,"委外",record[[#This Row],[Memo]]))</f>
        <v>平板報工</v>
      </c>
      <c r="O3771" t="s">
        <v>643</v>
      </c>
      <c r="P3771" t="s">
        <v>141</v>
      </c>
      <c r="Q3771" t="s">
        <v>644</v>
      </c>
      <c r="R3771" t="str">
        <f>IFERROR(VLOOKUP(record[[#This Row],[PCUSTID]],廠商[],2,FALSE),"")</f>
        <v/>
      </c>
      <c r="S3771" t="str">
        <f>VLOOKUP(record[[#This Row],[employeeID]],員工[],2,FALSE)</f>
        <v>蔣梅</v>
      </c>
    </row>
    <row r="3772" spans="6:19" hidden="1" x14ac:dyDescent="0.25">
      <c r="F3772" t="s">
        <v>1596</v>
      </c>
      <c r="G3772" t="s">
        <v>422</v>
      </c>
      <c r="H3772" t="str">
        <f>VLOOKUP(record[[#This Row],[ProcessSN]],表格2_7[],2,FALSE)</f>
        <v>30-4118-018-600</v>
      </c>
      <c r="I3772" t="str">
        <f>VLOOKUP(record[[#This Row],[ProcessSN]],表格2_7[],3,FALSE)</f>
        <v>#08</v>
      </c>
      <c r="J3772" t="s">
        <v>597</v>
      </c>
      <c r="K3772" s="195">
        <v>46083.394675925927</v>
      </c>
      <c r="L3772">
        <v>376</v>
      </c>
      <c r="M3772">
        <v>0</v>
      </c>
      <c r="N3772" s="98" t="str">
        <f>IF(record[[#This Row],[Memo]]="Browser:chrome os:android","平板報工",IF(record[[#This Row],[Memo]]=0,"委外",record[[#This Row],[Memo]]))</f>
        <v>委外</v>
      </c>
      <c r="P3772" t="s">
        <v>186</v>
      </c>
      <c r="Q3772" t="s">
        <v>287</v>
      </c>
      <c r="R3772" t="str">
        <f>IFERROR(VLOOKUP(record[[#This Row],[PCUSTID]],廠商[],2,FALSE),"")</f>
        <v>泉盛</v>
      </c>
      <c r="S3772" t="str">
        <f>VLOOKUP(record[[#This Row],[employeeID]],員工[],2,FALSE)</f>
        <v>許文姍</v>
      </c>
    </row>
    <row r="3773" spans="6:19" hidden="1" x14ac:dyDescent="0.25">
      <c r="F3773" t="s">
        <v>1596</v>
      </c>
      <c r="G3773" t="s">
        <v>421</v>
      </c>
      <c r="H3773" t="str">
        <f>VLOOKUP(record[[#This Row],[ProcessSN]],表格2_7[],2,FALSE)</f>
        <v>30-4118-018-600</v>
      </c>
      <c r="I3773" t="str">
        <f>VLOOKUP(record[[#This Row],[ProcessSN]],表格2_7[],3,FALSE)</f>
        <v>#08PICK</v>
      </c>
      <c r="J3773" t="s">
        <v>582</v>
      </c>
      <c r="K3773" s="195">
        <v>46083.394201388888</v>
      </c>
      <c r="L3773">
        <v>376</v>
      </c>
      <c r="M3773">
        <v>0</v>
      </c>
      <c r="N3773" s="98" t="str">
        <f>IF(record[[#This Row],[Memo]]="Browser:chrome os:android","平板報工",IF(record[[#This Row],[Memo]]=0,"委外",record[[#This Row],[Memo]]))</f>
        <v/>
      </c>
      <c r="O3773" t="s">
        <v>58</v>
      </c>
      <c r="P3773" t="s">
        <v>186</v>
      </c>
      <c r="Q3773" t="s">
        <v>58</v>
      </c>
      <c r="R3773" t="str">
        <f>IFERROR(VLOOKUP(record[[#This Row],[PCUSTID]],廠商[],2,FALSE),"")</f>
        <v/>
      </c>
      <c r="S3773" t="str">
        <f>VLOOKUP(record[[#This Row],[employeeID]],員工[],2,FALSE)</f>
        <v>許文姍</v>
      </c>
    </row>
    <row r="3774" spans="6:19" hidden="1" x14ac:dyDescent="0.25">
      <c r="F3774" t="s">
        <v>1517</v>
      </c>
      <c r="G3774" t="s">
        <v>453</v>
      </c>
      <c r="H3774" t="str">
        <f>VLOOKUP(record[[#This Row],[ProcessSN]],表格2_7[],2,FALSE)</f>
        <v>30-4118-018-6XX</v>
      </c>
      <c r="I3774" t="str">
        <f>VLOOKUP(record[[#This Row],[ProcessSN]],表格2_7[],3,FALSE)</f>
        <v>#07STOCK</v>
      </c>
      <c r="J3774" t="s">
        <v>592</v>
      </c>
      <c r="K3774" s="195">
        <v>46083.350624999999</v>
      </c>
      <c r="L3774">
        <v>376</v>
      </c>
      <c r="M3774">
        <v>0</v>
      </c>
      <c r="N3774" s="98" t="str">
        <f>IF(record[[#This Row],[Memo]]="Browser:chrome os:android","平板報工",IF(record[[#This Row],[Memo]]=0,"委外",record[[#This Row],[Memo]]))</f>
        <v/>
      </c>
      <c r="O3774" t="s">
        <v>58</v>
      </c>
      <c r="P3774" t="s">
        <v>186</v>
      </c>
      <c r="Q3774" t="s">
        <v>58</v>
      </c>
      <c r="R3774" t="str">
        <f>IFERROR(VLOOKUP(record[[#This Row],[PCUSTID]],廠商[],2,FALSE),"")</f>
        <v/>
      </c>
      <c r="S3774" t="str">
        <f>VLOOKUP(record[[#This Row],[employeeID]],員工[],2,FALSE)</f>
        <v>許文姍</v>
      </c>
    </row>
    <row r="3775" spans="6:19" hidden="1" x14ac:dyDescent="0.25">
      <c r="F3775" t="s">
        <v>1516</v>
      </c>
      <c r="G3775" t="s">
        <v>417</v>
      </c>
      <c r="H3775" t="str">
        <f>VLOOKUP(record[[#This Row],[ProcessSN]],表格2_7[],2,FALSE)</f>
        <v>30-4118-018-5XX</v>
      </c>
      <c r="I3775" t="str">
        <f>VLOOKUP(record[[#This Row],[ProcessSN]],表格2_7[],3,FALSE)</f>
        <v>#06</v>
      </c>
      <c r="J3775" t="s">
        <v>593</v>
      </c>
      <c r="K3775" s="195">
        <v>46081.979884259257</v>
      </c>
      <c r="L3775">
        <v>133</v>
      </c>
      <c r="M3775">
        <v>0</v>
      </c>
      <c r="N3775" s="98" t="str">
        <f>IF(record[[#This Row],[Memo]]="Browser:chrome os:android","平板報工",IF(record[[#This Row],[Memo]]=0,"委外",record[[#This Row],[Memo]]))</f>
        <v/>
      </c>
      <c r="O3775" t="s">
        <v>58</v>
      </c>
      <c r="P3775" t="s">
        <v>188</v>
      </c>
      <c r="Q3775" t="s">
        <v>58</v>
      </c>
      <c r="R3775" t="str">
        <f>IFERROR(VLOOKUP(record[[#This Row],[PCUSTID]],廠商[],2,FALSE),"")</f>
        <v/>
      </c>
      <c r="S3775" t="str">
        <f>VLOOKUP(record[[#This Row],[employeeID]],員工[],2,FALSE)</f>
        <v>阮氏璧紅</v>
      </c>
    </row>
    <row r="3776" spans="6:19" hidden="1" x14ac:dyDescent="0.25">
      <c r="F3776" t="s">
        <v>1570</v>
      </c>
      <c r="G3776" t="s">
        <v>374</v>
      </c>
      <c r="H3776" t="str">
        <f>VLOOKUP(record[[#This Row],[ProcessSN]],表格2_7[],2,FALSE)</f>
        <v>30-4118-018-4XX</v>
      </c>
      <c r="I3776" t="str">
        <f>VLOOKUP(record[[#This Row],[ProcessSN]],表格2_7[],3,FALSE)</f>
        <v>#04</v>
      </c>
      <c r="J3776" t="s">
        <v>588</v>
      </c>
      <c r="K3776" s="195">
        <v>46081.979212962964</v>
      </c>
      <c r="L3776">
        <v>70</v>
      </c>
      <c r="M3776">
        <v>0</v>
      </c>
      <c r="N3776" s="98" t="str">
        <f>IF(record[[#This Row],[Memo]]="Browser:chrome os:android","平板報工",IF(record[[#This Row],[Memo]]=0,"委外",record[[#This Row],[Memo]]))</f>
        <v/>
      </c>
      <c r="O3776" t="s">
        <v>58</v>
      </c>
      <c r="P3776" t="s">
        <v>691</v>
      </c>
      <c r="Q3776" t="s">
        <v>58</v>
      </c>
      <c r="R3776" t="str">
        <f>IFERROR(VLOOKUP(record[[#This Row],[PCUSTID]],廠商[],2,FALSE),"")</f>
        <v/>
      </c>
      <c r="S3776" t="str">
        <f>VLOOKUP(record[[#This Row],[employeeID]],員工[],2,FALSE)</f>
        <v>武氏賢</v>
      </c>
    </row>
    <row r="3777" spans="6:19" hidden="1" x14ac:dyDescent="0.25">
      <c r="F3777" t="s">
        <v>1517</v>
      </c>
      <c r="G3777" t="s">
        <v>452</v>
      </c>
      <c r="H3777" t="str">
        <f>VLOOKUP(record[[#This Row],[ProcessSN]],表格2_7[],2,FALSE)</f>
        <v>30-4118-018-6XX</v>
      </c>
      <c r="I3777" t="str">
        <f>VLOOKUP(record[[#This Row],[ProcessSN]],表格2_7[],3,FALSE)</f>
        <v>#07QC</v>
      </c>
      <c r="J3777" t="s">
        <v>589</v>
      </c>
      <c r="K3777" s="195">
        <v>46081.694282407407</v>
      </c>
      <c r="L3777">
        <v>213</v>
      </c>
      <c r="M3777">
        <v>0</v>
      </c>
      <c r="N3777" s="98" t="str">
        <f>IF(record[[#This Row],[Memo]]="Browser:chrome os:android","平板報工",IF(record[[#This Row],[Memo]]=0,"委外",record[[#This Row],[Memo]]))</f>
        <v/>
      </c>
      <c r="O3777" t="s">
        <v>58</v>
      </c>
      <c r="P3777" t="s">
        <v>141</v>
      </c>
      <c r="Q3777" t="s">
        <v>58</v>
      </c>
      <c r="R3777" t="str">
        <f>IFERROR(VLOOKUP(record[[#This Row],[PCUSTID]],廠商[],2,FALSE),"")</f>
        <v/>
      </c>
      <c r="S3777" t="str">
        <f>VLOOKUP(record[[#This Row],[employeeID]],員工[],2,FALSE)</f>
        <v>蔣梅</v>
      </c>
    </row>
    <row r="3778" spans="6:19" hidden="1" x14ac:dyDescent="0.25">
      <c r="F3778" t="s">
        <v>1516</v>
      </c>
      <c r="G3778" t="s">
        <v>417</v>
      </c>
      <c r="H3778" t="str">
        <f>VLOOKUP(record[[#This Row],[ProcessSN]],表格2_7[],2,FALSE)</f>
        <v>30-4118-018-5XX</v>
      </c>
      <c r="I3778" t="str">
        <f>VLOOKUP(record[[#This Row],[ProcessSN]],表格2_7[],3,FALSE)</f>
        <v>#06</v>
      </c>
      <c r="J3778" t="s">
        <v>593</v>
      </c>
      <c r="K3778" s="195">
        <v>46081.683738425927</v>
      </c>
      <c r="L3778">
        <v>35</v>
      </c>
      <c r="M3778">
        <v>0</v>
      </c>
      <c r="N3778" s="98" t="str">
        <f>IF(record[[#This Row],[Memo]]="Browser:chrome os:android","平板報工",IF(record[[#This Row],[Memo]]=0,"委外",record[[#This Row],[Memo]]))</f>
        <v/>
      </c>
      <c r="O3778" t="s">
        <v>58</v>
      </c>
      <c r="P3778" t="s">
        <v>1098</v>
      </c>
      <c r="Q3778" t="s">
        <v>58</v>
      </c>
      <c r="R3778" t="str">
        <f>IFERROR(VLOOKUP(record[[#This Row],[PCUSTID]],廠商[],2,FALSE),"")</f>
        <v/>
      </c>
      <c r="S3778" t="str">
        <f>VLOOKUP(record[[#This Row],[employeeID]],員工[],2,FALSE)</f>
        <v>阮氏芳英(英)</v>
      </c>
    </row>
    <row r="3779" spans="6:19" hidden="1" x14ac:dyDescent="0.25">
      <c r="F3779" t="s">
        <v>1526</v>
      </c>
      <c r="G3779" t="s">
        <v>417</v>
      </c>
      <c r="H3779" t="str">
        <f>VLOOKUP(record[[#This Row],[ProcessSN]],表格2_7[],2,FALSE)</f>
        <v>30-4118-018-5XX</v>
      </c>
      <c r="I3779" t="str">
        <f>VLOOKUP(record[[#This Row],[ProcessSN]],表格2_7[],3,FALSE)</f>
        <v>#06</v>
      </c>
      <c r="J3779" t="s">
        <v>593</v>
      </c>
      <c r="K3779" s="195">
        <v>46081.674803240741</v>
      </c>
      <c r="L3779">
        <v>96</v>
      </c>
      <c r="M3779">
        <v>0</v>
      </c>
      <c r="N3779" s="98" t="str">
        <f>IF(record[[#This Row],[Memo]]="Browser:chrome os:android","平板報工",IF(record[[#This Row],[Memo]]=0,"委外",record[[#This Row],[Memo]]))</f>
        <v/>
      </c>
      <c r="O3779" t="s">
        <v>58</v>
      </c>
      <c r="P3779" t="s">
        <v>1098</v>
      </c>
      <c r="Q3779" t="s">
        <v>58</v>
      </c>
      <c r="R3779" t="str">
        <f>IFERROR(VLOOKUP(record[[#This Row],[PCUSTID]],廠商[],2,FALSE),"")</f>
        <v/>
      </c>
      <c r="S3779" t="str">
        <f>VLOOKUP(record[[#This Row],[employeeID]],員工[],2,FALSE)</f>
        <v>阮氏芳英(英)</v>
      </c>
    </row>
    <row r="3780" spans="6:19" hidden="1" x14ac:dyDescent="0.25">
      <c r="F3780" t="s">
        <v>1569</v>
      </c>
      <c r="G3780" t="s">
        <v>448</v>
      </c>
      <c r="H3780" t="str">
        <f>VLOOKUP(record[[#This Row],[ProcessSN]],表格2_7[],2,FALSE)</f>
        <v>30-4118-018-6XX</v>
      </c>
      <c r="I3780" t="str">
        <f>VLOOKUP(record[[#This Row],[ProcessSN]],表格2_7[],3,FALSE)</f>
        <v>#04</v>
      </c>
      <c r="J3780" t="s">
        <v>588</v>
      </c>
      <c r="K3780" s="195">
        <v>46081.670081018521</v>
      </c>
      <c r="L3780">
        <v>93</v>
      </c>
      <c r="M3780">
        <v>1</v>
      </c>
      <c r="N3780" s="98" t="str">
        <f>IF(record[[#This Row],[Memo]]="Browser:chrome os:android","平板報工",IF(record[[#This Row],[Memo]]=0,"委外",record[[#This Row],[Memo]]))</f>
        <v/>
      </c>
      <c r="O3780" t="s">
        <v>58</v>
      </c>
      <c r="P3780" t="s">
        <v>101</v>
      </c>
      <c r="Q3780" t="s">
        <v>58</v>
      </c>
      <c r="R3780" t="str">
        <f>IFERROR(VLOOKUP(record[[#This Row],[PCUSTID]],廠商[],2,FALSE),"")</f>
        <v/>
      </c>
      <c r="S3780" t="str">
        <f>VLOOKUP(record[[#This Row],[employeeID]],員工[],2,FALSE)</f>
        <v>陳氏絨</v>
      </c>
    </row>
    <row r="3781" spans="6:19" hidden="1" x14ac:dyDescent="0.25">
      <c r="F3781" t="s">
        <v>1517</v>
      </c>
      <c r="G3781" t="s">
        <v>451</v>
      </c>
      <c r="H3781" t="str">
        <f>VLOOKUP(record[[#This Row],[ProcessSN]],表格2_7[],2,FALSE)</f>
        <v>30-4118-018-6XX</v>
      </c>
      <c r="I3781" t="str">
        <f>VLOOKUP(record[[#This Row],[ProcessSN]],表格2_7[],3,FALSE)</f>
        <v>#07</v>
      </c>
      <c r="J3781" t="s">
        <v>588</v>
      </c>
      <c r="K3781" s="195">
        <v>46081.658055555556</v>
      </c>
      <c r="L3781">
        <v>223</v>
      </c>
      <c r="M3781">
        <v>1</v>
      </c>
      <c r="N3781" s="98" t="str">
        <f>IF(record[[#This Row],[Memo]]="Browser:chrome os:android","平板報工",IF(record[[#This Row],[Memo]]=0,"委外",record[[#This Row],[Memo]]))</f>
        <v/>
      </c>
      <c r="O3781" t="s">
        <v>58</v>
      </c>
      <c r="P3781" t="s">
        <v>785</v>
      </c>
      <c r="Q3781" t="s">
        <v>58</v>
      </c>
      <c r="R3781" t="str">
        <f>IFERROR(VLOOKUP(record[[#This Row],[PCUSTID]],廠商[],2,FALSE),"")</f>
        <v/>
      </c>
      <c r="S3781" t="str">
        <f>VLOOKUP(record[[#This Row],[employeeID]],員工[],2,FALSE)</f>
        <v>謝刻光</v>
      </c>
    </row>
    <row r="3782" spans="6:19" hidden="1" x14ac:dyDescent="0.25">
      <c r="F3782" t="s">
        <v>1517</v>
      </c>
      <c r="G3782" t="s">
        <v>452</v>
      </c>
      <c r="H3782" t="str">
        <f>VLOOKUP(record[[#This Row],[ProcessSN]],表格2_7[],2,FALSE)</f>
        <v>30-4118-018-6XX</v>
      </c>
      <c r="I3782" t="str">
        <f>VLOOKUP(record[[#This Row],[ProcessSN]],表格2_7[],3,FALSE)</f>
        <v>#07QC</v>
      </c>
      <c r="J3782" t="s">
        <v>589</v>
      </c>
      <c r="K3782" s="195">
        <v>46081.411770833336</v>
      </c>
      <c r="L3782">
        <v>0</v>
      </c>
      <c r="M3782">
        <v>3</v>
      </c>
      <c r="N3782" s="98" t="str">
        <f>IF(record[[#This Row],[Memo]]="Browser:chrome os:android","平板報工",IF(record[[#This Row],[Memo]]=0,"委外",record[[#This Row],[Memo]]))</f>
        <v/>
      </c>
      <c r="O3782" t="s">
        <v>58</v>
      </c>
      <c r="P3782" t="s">
        <v>141</v>
      </c>
      <c r="Q3782" t="s">
        <v>58</v>
      </c>
      <c r="R3782" t="str">
        <f>IFERROR(VLOOKUP(record[[#This Row],[PCUSTID]],廠商[],2,FALSE),"")</f>
        <v/>
      </c>
      <c r="S3782" t="str">
        <f>VLOOKUP(record[[#This Row],[employeeID]],員工[],2,FALSE)</f>
        <v>蔣梅</v>
      </c>
    </row>
    <row r="3783" spans="6:19" hidden="1" x14ac:dyDescent="0.25">
      <c r="F3783" t="s">
        <v>1517</v>
      </c>
      <c r="G3783" t="s">
        <v>452</v>
      </c>
      <c r="H3783" t="str">
        <f>VLOOKUP(record[[#This Row],[ProcessSN]],表格2_7[],2,FALSE)</f>
        <v>30-4118-018-6XX</v>
      </c>
      <c r="I3783" t="str">
        <f>VLOOKUP(record[[#This Row],[ProcessSN]],表格2_7[],3,FALSE)</f>
        <v>#07QC</v>
      </c>
      <c r="J3783" t="s">
        <v>589</v>
      </c>
      <c r="K3783" s="195">
        <v>46081.411238425928</v>
      </c>
      <c r="L3783">
        <v>16</v>
      </c>
      <c r="M3783">
        <v>0</v>
      </c>
      <c r="N3783" s="98" t="str">
        <f>IF(record[[#This Row],[Memo]]="Browser:chrome os:android","平板報工",IF(record[[#This Row],[Memo]]=0,"委外",record[[#This Row],[Memo]]))</f>
        <v/>
      </c>
      <c r="O3783" t="s">
        <v>58</v>
      </c>
      <c r="P3783" t="s">
        <v>141</v>
      </c>
      <c r="Q3783" t="s">
        <v>58</v>
      </c>
      <c r="R3783" t="str">
        <f>IFERROR(VLOOKUP(record[[#This Row],[PCUSTID]],廠商[],2,FALSE),"")</f>
        <v/>
      </c>
      <c r="S3783" t="str">
        <f>VLOOKUP(record[[#This Row],[employeeID]],員工[],2,FALSE)</f>
        <v>蔣梅</v>
      </c>
    </row>
    <row r="3784" spans="6:19" hidden="1" x14ac:dyDescent="0.25">
      <c r="F3784" t="s">
        <v>1569</v>
      </c>
      <c r="G3784" t="s">
        <v>448</v>
      </c>
      <c r="H3784" t="str">
        <f>VLOOKUP(record[[#This Row],[ProcessSN]],表格2_7[],2,FALSE)</f>
        <v>30-4118-018-6XX</v>
      </c>
      <c r="I3784" t="str">
        <f>VLOOKUP(record[[#This Row],[ProcessSN]],表格2_7[],3,FALSE)</f>
        <v>#04</v>
      </c>
      <c r="J3784" t="s">
        <v>588</v>
      </c>
      <c r="K3784" s="195">
        <v>46081.302662037036</v>
      </c>
      <c r="L3784">
        <v>100</v>
      </c>
      <c r="M3784">
        <v>0</v>
      </c>
      <c r="N3784" s="98" t="str">
        <f>IF(record[[#This Row],[Memo]]="Browser:chrome os:android","平板報工",IF(record[[#This Row],[Memo]]=0,"委外",record[[#This Row],[Memo]]))</f>
        <v/>
      </c>
      <c r="O3784" t="s">
        <v>58</v>
      </c>
      <c r="P3784" t="s">
        <v>843</v>
      </c>
      <c r="Q3784" t="s">
        <v>58</v>
      </c>
      <c r="R3784" t="str">
        <f>IFERROR(VLOOKUP(record[[#This Row],[PCUSTID]],廠商[],2,FALSE),"")</f>
        <v/>
      </c>
      <c r="S3784" t="str">
        <f>VLOOKUP(record[[#This Row],[employeeID]],員工[],2,FALSE)</f>
        <v>張楚承</v>
      </c>
    </row>
    <row r="3785" spans="6:19" hidden="1" x14ac:dyDescent="0.25">
      <c r="F3785" t="s">
        <v>1526</v>
      </c>
      <c r="G3785" t="s">
        <v>417</v>
      </c>
      <c r="H3785" t="str">
        <f>VLOOKUP(record[[#This Row],[ProcessSN]],表格2_7[],2,FALSE)</f>
        <v>30-4118-018-5XX</v>
      </c>
      <c r="I3785" t="str">
        <f>VLOOKUP(record[[#This Row],[ProcessSN]],表格2_7[],3,FALSE)</f>
        <v>#06</v>
      </c>
      <c r="J3785" t="s">
        <v>593</v>
      </c>
      <c r="K3785" s="195">
        <v>46080.985497685186</v>
      </c>
      <c r="L3785">
        <v>65</v>
      </c>
      <c r="M3785">
        <v>0</v>
      </c>
      <c r="N3785" s="98" t="str">
        <f>IF(record[[#This Row],[Memo]]="Browser:chrome os:android","平板報工",IF(record[[#This Row],[Memo]]=0,"委外",record[[#This Row],[Memo]]))</f>
        <v/>
      </c>
      <c r="O3785" t="s">
        <v>58</v>
      </c>
      <c r="P3785" t="s">
        <v>841</v>
      </c>
      <c r="Q3785" t="s">
        <v>58</v>
      </c>
      <c r="R3785" t="str">
        <f>IFERROR(VLOOKUP(record[[#This Row],[PCUSTID]],廠商[],2,FALSE),"")</f>
        <v/>
      </c>
      <c r="S3785" t="str">
        <f>VLOOKUP(record[[#This Row],[employeeID]],員工[],2,FALSE)</f>
        <v>范氏香</v>
      </c>
    </row>
    <row r="3786" spans="6:19" hidden="1" x14ac:dyDescent="0.25">
      <c r="F3786" t="s">
        <v>1569</v>
      </c>
      <c r="G3786" t="s">
        <v>448</v>
      </c>
      <c r="H3786" t="str">
        <f>VLOOKUP(record[[#This Row],[ProcessSN]],表格2_7[],2,FALSE)</f>
        <v>30-4118-018-6XX</v>
      </c>
      <c r="I3786" t="str">
        <f>VLOOKUP(record[[#This Row],[ProcessSN]],表格2_7[],3,FALSE)</f>
        <v>#04</v>
      </c>
      <c r="J3786" t="s">
        <v>588</v>
      </c>
      <c r="K3786" s="195">
        <v>46080.966516203705</v>
      </c>
      <c r="L3786">
        <v>108</v>
      </c>
      <c r="M3786">
        <v>0</v>
      </c>
      <c r="N3786" s="98" t="str">
        <f>IF(record[[#This Row],[Memo]]="Browser:chrome os:android","平板報工",IF(record[[#This Row],[Memo]]=0,"委外",record[[#This Row],[Memo]]))</f>
        <v/>
      </c>
      <c r="O3786" t="s">
        <v>58</v>
      </c>
      <c r="P3786" t="s">
        <v>89</v>
      </c>
      <c r="Q3786" t="s">
        <v>58</v>
      </c>
      <c r="R3786" t="str">
        <f>IFERROR(VLOOKUP(record[[#This Row],[PCUSTID]],廠商[],2,FALSE),"")</f>
        <v/>
      </c>
      <c r="S3786" t="str">
        <f>VLOOKUP(record[[#This Row],[employeeID]],員工[],2,FALSE)</f>
        <v>李美蓮</v>
      </c>
    </row>
    <row r="3787" spans="6:19" hidden="1" x14ac:dyDescent="0.25">
      <c r="F3787" t="s">
        <v>1569</v>
      </c>
      <c r="G3787" t="s">
        <v>450</v>
      </c>
      <c r="H3787" t="str">
        <f>VLOOKUP(record[[#This Row],[ProcessSN]],表格2_7[],2,FALSE)</f>
        <v>30-4118-018-6XX</v>
      </c>
      <c r="I3787" t="str">
        <f>VLOOKUP(record[[#This Row],[ProcessSN]],表格2_7[],3,FALSE)</f>
        <v>#06</v>
      </c>
      <c r="J3787" t="s">
        <v>593</v>
      </c>
      <c r="K3787" s="195">
        <v>46080.82403935185</v>
      </c>
      <c r="L3787">
        <v>19</v>
      </c>
      <c r="M3787">
        <v>0</v>
      </c>
      <c r="N3787" s="98" t="str">
        <f>IF(record[[#This Row],[Memo]]="Browser:chrome os:android","平板報工",IF(record[[#This Row],[Memo]]=0,"委外",record[[#This Row],[Memo]]))</f>
        <v/>
      </c>
      <c r="O3787" t="s">
        <v>58</v>
      </c>
      <c r="P3787" t="s">
        <v>785</v>
      </c>
      <c r="Q3787" t="s">
        <v>58</v>
      </c>
      <c r="R3787" t="str">
        <f>IFERROR(VLOOKUP(record[[#This Row],[PCUSTID]],廠商[],2,FALSE),"")</f>
        <v/>
      </c>
      <c r="S3787" t="str">
        <f>VLOOKUP(record[[#This Row],[employeeID]],員工[],2,FALSE)</f>
        <v>謝刻光</v>
      </c>
    </row>
    <row r="3788" spans="6:19" hidden="1" x14ac:dyDescent="0.25">
      <c r="F3788" t="s">
        <v>1526</v>
      </c>
      <c r="G3788" t="s">
        <v>417</v>
      </c>
      <c r="H3788" t="str">
        <f>VLOOKUP(record[[#This Row],[ProcessSN]],表格2_7[],2,FALSE)</f>
        <v>30-4118-018-5XX</v>
      </c>
      <c r="I3788" t="str">
        <f>VLOOKUP(record[[#This Row],[ProcessSN]],表格2_7[],3,FALSE)</f>
        <v>#06</v>
      </c>
      <c r="J3788" t="s">
        <v>593</v>
      </c>
      <c r="K3788" s="195">
        <v>46080.823391203703</v>
      </c>
      <c r="L3788">
        <v>48</v>
      </c>
      <c r="M3788">
        <v>0</v>
      </c>
      <c r="N3788" s="98" t="str">
        <f>IF(record[[#This Row],[Memo]]="Browser:chrome os:android","平板報工",IF(record[[#This Row],[Memo]]=0,"委外",record[[#This Row],[Memo]]))</f>
        <v/>
      </c>
      <c r="O3788" t="s">
        <v>58</v>
      </c>
      <c r="P3788" t="s">
        <v>785</v>
      </c>
      <c r="Q3788" t="s">
        <v>58</v>
      </c>
      <c r="R3788" t="str">
        <f>IFERROR(VLOOKUP(record[[#This Row],[PCUSTID]],廠商[],2,FALSE),"")</f>
        <v/>
      </c>
      <c r="S3788" t="str">
        <f>VLOOKUP(record[[#This Row],[employeeID]],員工[],2,FALSE)</f>
        <v>謝刻光</v>
      </c>
    </row>
    <row r="3789" spans="6:19" hidden="1" x14ac:dyDescent="0.25">
      <c r="F3789" t="s">
        <v>1569</v>
      </c>
      <c r="G3789" t="s">
        <v>448</v>
      </c>
      <c r="H3789" t="str">
        <f>VLOOKUP(record[[#This Row],[ProcessSN]],表格2_7[],2,FALSE)</f>
        <v>30-4118-018-6XX</v>
      </c>
      <c r="I3789" t="str">
        <f>VLOOKUP(record[[#This Row],[ProcessSN]],表格2_7[],3,FALSE)</f>
        <v>#04</v>
      </c>
      <c r="J3789" t="s">
        <v>588</v>
      </c>
      <c r="K3789" s="195">
        <v>46080.753680555557</v>
      </c>
      <c r="L3789">
        <v>139</v>
      </c>
      <c r="M3789">
        <v>0</v>
      </c>
      <c r="N3789" s="98" t="str">
        <f>IF(record[[#This Row],[Memo]]="Browser:chrome os:android","平板報工",IF(record[[#This Row],[Memo]]=0,"委外",record[[#This Row],[Memo]]))</f>
        <v>更改2/26生產數量</v>
      </c>
      <c r="O3789" t="s">
        <v>1595</v>
      </c>
      <c r="P3789" t="s">
        <v>89</v>
      </c>
      <c r="Q3789" t="s">
        <v>58</v>
      </c>
      <c r="R3789" t="str">
        <f>IFERROR(VLOOKUP(record[[#This Row],[PCUSTID]],廠商[],2,FALSE),"")</f>
        <v/>
      </c>
      <c r="S3789" t="str">
        <f>VLOOKUP(record[[#This Row],[employeeID]],員工[],2,FALSE)</f>
        <v>李美蓮</v>
      </c>
    </row>
    <row r="3790" spans="6:19" hidden="1" x14ac:dyDescent="0.25">
      <c r="F3790" t="s">
        <v>1568</v>
      </c>
      <c r="G3790" t="s">
        <v>416</v>
      </c>
      <c r="H3790" t="str">
        <f>VLOOKUP(record[[#This Row],[ProcessSN]],表格2_7[],2,FALSE)</f>
        <v>30-4118-018-5XX</v>
      </c>
      <c r="I3790" t="str">
        <f>VLOOKUP(record[[#This Row],[ProcessSN]],表格2_7[],3,FALSE)</f>
        <v>#05</v>
      </c>
      <c r="J3790" t="s">
        <v>588</v>
      </c>
      <c r="K3790" s="195">
        <v>46080.655347222222</v>
      </c>
      <c r="L3790">
        <v>10</v>
      </c>
      <c r="M3790">
        <v>0</v>
      </c>
      <c r="N3790" s="98" t="str">
        <f>IF(record[[#This Row],[Memo]]="Browser:chrome os:android","平板報工",IF(record[[#This Row],[Memo]]=0,"委外",record[[#This Row],[Memo]]))</f>
        <v>平板報工</v>
      </c>
      <c r="O3790" t="s">
        <v>643</v>
      </c>
      <c r="P3790" t="s">
        <v>107</v>
      </c>
      <c r="Q3790" t="s">
        <v>644</v>
      </c>
      <c r="R3790" t="str">
        <f>IFERROR(VLOOKUP(record[[#This Row],[PCUSTID]],廠商[],2,FALSE),"")</f>
        <v/>
      </c>
      <c r="S3790" t="str">
        <f>VLOOKUP(record[[#This Row],[employeeID]],員工[],2,FALSE)</f>
        <v>黎氏順</v>
      </c>
    </row>
    <row r="3791" spans="6:19" hidden="1" x14ac:dyDescent="0.25">
      <c r="F3791" t="s">
        <v>1569</v>
      </c>
      <c r="G3791" t="s">
        <v>450</v>
      </c>
      <c r="H3791" t="str">
        <f>VLOOKUP(record[[#This Row],[ProcessSN]],表格2_7[],2,FALSE)</f>
        <v>30-4118-018-6XX</v>
      </c>
      <c r="I3791" t="str">
        <f>VLOOKUP(record[[#This Row],[ProcessSN]],表格2_7[],3,FALSE)</f>
        <v>#06</v>
      </c>
      <c r="J3791" t="s">
        <v>593</v>
      </c>
      <c r="K3791" s="195">
        <v>46080.654270833336</v>
      </c>
      <c r="L3791">
        <v>115</v>
      </c>
      <c r="M3791">
        <v>0</v>
      </c>
      <c r="N3791" s="98" t="str">
        <f>IF(record[[#This Row],[Memo]]="Browser:chrome os:android","平板報工",IF(record[[#This Row],[Memo]]=0,"委外",record[[#This Row],[Memo]]))</f>
        <v>平板報工</v>
      </c>
      <c r="O3791" t="s">
        <v>643</v>
      </c>
      <c r="P3791" t="s">
        <v>785</v>
      </c>
      <c r="Q3791" t="s">
        <v>644</v>
      </c>
      <c r="R3791" t="str">
        <f>IFERROR(VLOOKUP(record[[#This Row],[PCUSTID]],廠商[],2,FALSE),"")</f>
        <v/>
      </c>
      <c r="S3791" t="str">
        <f>VLOOKUP(record[[#This Row],[employeeID]],員工[],2,FALSE)</f>
        <v>謝刻光</v>
      </c>
    </row>
    <row r="3792" spans="6:19" hidden="1" x14ac:dyDescent="0.25">
      <c r="F3792" t="s">
        <v>1569</v>
      </c>
      <c r="G3792" t="s">
        <v>448</v>
      </c>
      <c r="H3792" t="str">
        <f>VLOOKUP(record[[#This Row],[ProcessSN]],表格2_7[],2,FALSE)</f>
        <v>30-4118-018-6XX</v>
      </c>
      <c r="I3792" t="str">
        <f>VLOOKUP(record[[#This Row],[ProcessSN]],表格2_7[],3,FALSE)</f>
        <v>#04</v>
      </c>
      <c r="J3792" t="s">
        <v>588</v>
      </c>
      <c r="K3792" s="195">
        <v>46080.653333333335</v>
      </c>
      <c r="L3792">
        <v>102</v>
      </c>
      <c r="M3792">
        <v>0</v>
      </c>
      <c r="N3792" s="98" t="str">
        <f>IF(record[[#This Row],[Memo]]="Browser:chrome os:android","平板報工",IF(record[[#This Row],[Memo]]=0,"委外",record[[#This Row],[Memo]]))</f>
        <v>平板報工</v>
      </c>
      <c r="O3792" t="s">
        <v>643</v>
      </c>
      <c r="P3792" t="s">
        <v>785</v>
      </c>
      <c r="Q3792" t="s">
        <v>644</v>
      </c>
      <c r="R3792" t="str">
        <f>IFERROR(VLOOKUP(record[[#This Row],[PCUSTID]],廠商[],2,FALSE),"")</f>
        <v/>
      </c>
      <c r="S3792" t="str">
        <f>VLOOKUP(record[[#This Row],[employeeID]],員工[],2,FALSE)</f>
        <v>謝刻光</v>
      </c>
    </row>
    <row r="3793" spans="6:19" hidden="1" x14ac:dyDescent="0.25">
      <c r="F3793" t="s">
        <v>1517</v>
      </c>
      <c r="G3793" t="s">
        <v>452</v>
      </c>
      <c r="H3793" t="str">
        <f>VLOOKUP(record[[#This Row],[ProcessSN]],表格2_7[],2,FALSE)</f>
        <v>30-4118-018-6XX</v>
      </c>
      <c r="I3793" t="str">
        <f>VLOOKUP(record[[#This Row],[ProcessSN]],表格2_7[],3,FALSE)</f>
        <v>#07QC</v>
      </c>
      <c r="J3793" t="s">
        <v>589</v>
      </c>
      <c r="K3793" s="195">
        <v>46080.405601851853</v>
      </c>
      <c r="L3793">
        <v>147</v>
      </c>
      <c r="M3793">
        <v>0</v>
      </c>
      <c r="N3793" s="98" t="str">
        <f>IF(record[[#This Row],[Memo]]="Browser:chrome os:android","平板報工",IF(record[[#This Row],[Memo]]=0,"委外",record[[#This Row],[Memo]]))</f>
        <v>平板報工</v>
      </c>
      <c r="O3793" t="s">
        <v>643</v>
      </c>
      <c r="P3793" t="s">
        <v>141</v>
      </c>
      <c r="Q3793" t="s">
        <v>644</v>
      </c>
      <c r="R3793" t="str">
        <f>IFERROR(VLOOKUP(record[[#This Row],[PCUSTID]],廠商[],2,FALSE),"")</f>
        <v/>
      </c>
      <c r="S3793" t="str">
        <f>VLOOKUP(record[[#This Row],[employeeID]],員工[],2,FALSE)</f>
        <v>蔣梅</v>
      </c>
    </row>
    <row r="3794" spans="6:19" hidden="1" x14ac:dyDescent="0.25">
      <c r="F3794" t="s">
        <v>1568</v>
      </c>
      <c r="G3794" t="s">
        <v>416</v>
      </c>
      <c r="H3794" t="str">
        <f>VLOOKUP(record[[#This Row],[ProcessSN]],表格2_7[],2,FALSE)</f>
        <v>30-4118-018-5XX</v>
      </c>
      <c r="I3794" t="str">
        <f>VLOOKUP(record[[#This Row],[ProcessSN]],表格2_7[],3,FALSE)</f>
        <v>#05</v>
      </c>
      <c r="J3794" t="s">
        <v>588</v>
      </c>
      <c r="K3794" s="195">
        <v>46080.310624999998</v>
      </c>
      <c r="L3794">
        <v>253</v>
      </c>
      <c r="M3794">
        <v>0</v>
      </c>
      <c r="N3794" s="98" t="str">
        <f>IF(record[[#This Row],[Memo]]="Browser:chrome os:android","平板報工",IF(record[[#This Row],[Memo]]=0,"委外",record[[#This Row],[Memo]]))</f>
        <v/>
      </c>
      <c r="O3794" t="s">
        <v>58</v>
      </c>
      <c r="P3794" t="s">
        <v>843</v>
      </c>
      <c r="Q3794" t="s">
        <v>58</v>
      </c>
      <c r="R3794" t="str">
        <f>IFERROR(VLOOKUP(record[[#This Row],[PCUSTID]],廠商[],2,FALSE),"")</f>
        <v/>
      </c>
      <c r="S3794" t="str">
        <f>VLOOKUP(record[[#This Row],[employeeID]],員工[],2,FALSE)</f>
        <v>張楚承</v>
      </c>
    </row>
    <row r="3795" spans="6:19" hidden="1" x14ac:dyDescent="0.25">
      <c r="F3795" t="s">
        <v>1569</v>
      </c>
      <c r="G3795" t="s">
        <v>450</v>
      </c>
      <c r="H3795" t="str">
        <f>VLOOKUP(record[[#This Row],[ProcessSN]],表格2_7[],2,FALSE)</f>
        <v>30-4118-018-6XX</v>
      </c>
      <c r="I3795" t="str">
        <f>VLOOKUP(record[[#This Row],[ProcessSN]],表格2_7[],3,FALSE)</f>
        <v>#06</v>
      </c>
      <c r="J3795" t="s">
        <v>593</v>
      </c>
      <c r="K3795" s="195">
        <v>46079.993391203701</v>
      </c>
      <c r="L3795">
        <v>67</v>
      </c>
      <c r="M3795">
        <v>0</v>
      </c>
      <c r="N3795" s="98" t="str">
        <f>IF(record[[#This Row],[Memo]]="Browser:chrome os:android","平板報工",IF(record[[#This Row],[Memo]]=0,"委外",record[[#This Row],[Memo]]))</f>
        <v/>
      </c>
      <c r="O3795" t="s">
        <v>58</v>
      </c>
      <c r="P3795" t="s">
        <v>841</v>
      </c>
      <c r="Q3795" t="s">
        <v>58</v>
      </c>
      <c r="R3795" t="str">
        <f>IFERROR(VLOOKUP(record[[#This Row],[PCUSTID]],廠商[],2,FALSE),"")</f>
        <v/>
      </c>
      <c r="S3795" t="str">
        <f>VLOOKUP(record[[#This Row],[employeeID]],員工[],2,FALSE)</f>
        <v>范氏香</v>
      </c>
    </row>
    <row r="3796" spans="6:19" hidden="1" x14ac:dyDescent="0.25">
      <c r="F3796" t="s">
        <v>1568</v>
      </c>
      <c r="G3796" t="s">
        <v>416</v>
      </c>
      <c r="H3796" t="str">
        <f>VLOOKUP(record[[#This Row],[ProcessSN]],表格2_7[],2,FALSE)</f>
        <v>30-4118-018-5XX</v>
      </c>
      <c r="I3796" t="str">
        <f>VLOOKUP(record[[#This Row],[ProcessSN]],表格2_7[],3,FALSE)</f>
        <v>#05</v>
      </c>
      <c r="J3796" t="s">
        <v>588</v>
      </c>
      <c r="K3796" s="195">
        <v>46079.985196759262</v>
      </c>
      <c r="L3796">
        <v>260</v>
      </c>
      <c r="M3796">
        <v>0</v>
      </c>
      <c r="N3796" s="98" t="str">
        <f>IF(record[[#This Row],[Memo]]="Browser:chrome os:android","平板報工",IF(record[[#This Row],[Memo]]=0,"委外",record[[#This Row],[Memo]]))</f>
        <v/>
      </c>
      <c r="O3796" t="s">
        <v>58</v>
      </c>
      <c r="P3796" t="s">
        <v>1098</v>
      </c>
      <c r="Q3796" t="s">
        <v>58</v>
      </c>
      <c r="R3796" t="str">
        <f>IFERROR(VLOOKUP(record[[#This Row],[PCUSTID]],廠商[],2,FALSE),"")</f>
        <v/>
      </c>
      <c r="S3796" t="str">
        <f>VLOOKUP(record[[#This Row],[employeeID]],員工[],2,FALSE)</f>
        <v>阮氏芳英(英)</v>
      </c>
    </row>
    <row r="3797" spans="6:19" hidden="1" x14ac:dyDescent="0.25">
      <c r="F3797" t="s">
        <v>1517</v>
      </c>
      <c r="G3797" t="s">
        <v>450</v>
      </c>
      <c r="H3797" t="str">
        <f>VLOOKUP(record[[#This Row],[ProcessSN]],表格2_7[],2,FALSE)</f>
        <v>30-4118-018-6XX</v>
      </c>
      <c r="I3797" t="str">
        <f>VLOOKUP(record[[#This Row],[ProcessSN]],表格2_7[],3,FALSE)</f>
        <v>#06</v>
      </c>
      <c r="J3797" t="s">
        <v>593</v>
      </c>
      <c r="K3797" s="195">
        <v>46079.829085648147</v>
      </c>
      <c r="L3797">
        <v>31</v>
      </c>
      <c r="M3797">
        <v>0</v>
      </c>
      <c r="N3797" s="98" t="str">
        <f>IF(record[[#This Row],[Memo]]="Browser:chrome os:android","平板報工",IF(record[[#This Row],[Memo]]=0,"委外",record[[#This Row],[Memo]]))</f>
        <v>平板報工</v>
      </c>
      <c r="O3797" t="s">
        <v>643</v>
      </c>
      <c r="P3797" t="s">
        <v>785</v>
      </c>
      <c r="Q3797" t="s">
        <v>644</v>
      </c>
      <c r="R3797" t="str">
        <f>IFERROR(VLOOKUP(record[[#This Row],[PCUSTID]],廠商[],2,FALSE),"")</f>
        <v/>
      </c>
      <c r="S3797" t="str">
        <f>VLOOKUP(record[[#This Row],[employeeID]],員工[],2,FALSE)</f>
        <v>謝刻光</v>
      </c>
    </row>
    <row r="3798" spans="6:19" hidden="1" x14ac:dyDescent="0.25">
      <c r="F3798" t="s">
        <v>1569</v>
      </c>
      <c r="G3798" t="s">
        <v>450</v>
      </c>
      <c r="H3798" t="str">
        <f>VLOOKUP(record[[#This Row],[ProcessSN]],表格2_7[],2,FALSE)</f>
        <v>30-4118-018-6XX</v>
      </c>
      <c r="I3798" t="str">
        <f>VLOOKUP(record[[#This Row],[ProcessSN]],表格2_7[],3,FALSE)</f>
        <v>#06</v>
      </c>
      <c r="J3798" t="s">
        <v>593</v>
      </c>
      <c r="K3798" s="195">
        <v>46079.827916666669</v>
      </c>
      <c r="L3798">
        <v>37</v>
      </c>
      <c r="M3798">
        <v>0</v>
      </c>
      <c r="N3798" s="98" t="str">
        <f>IF(record[[#This Row],[Memo]]="Browser:chrome os:android","平板報工",IF(record[[#This Row],[Memo]]=0,"委外",record[[#This Row],[Memo]]))</f>
        <v>平板報工</v>
      </c>
      <c r="O3798" t="s">
        <v>643</v>
      </c>
      <c r="P3798" t="s">
        <v>785</v>
      </c>
      <c r="Q3798" t="s">
        <v>644</v>
      </c>
      <c r="R3798" t="str">
        <f>IFERROR(VLOOKUP(record[[#This Row],[PCUSTID]],廠商[],2,FALSE),"")</f>
        <v/>
      </c>
      <c r="S3798" t="str">
        <f>VLOOKUP(record[[#This Row],[employeeID]],員工[],2,FALSE)</f>
        <v>謝刻光</v>
      </c>
    </row>
    <row r="3799" spans="6:19" hidden="1" x14ac:dyDescent="0.25">
      <c r="F3799" t="s">
        <v>1557</v>
      </c>
      <c r="G3799" t="s">
        <v>427</v>
      </c>
      <c r="H3799" t="str">
        <f>VLOOKUP(record[[#This Row],[ProcessSN]],表格2_7[],2,FALSE)</f>
        <v>30-4118-018-600</v>
      </c>
      <c r="I3799" t="str">
        <f>VLOOKUP(record[[#This Row],[ProcessSN]],表格2_7[],3,FALSE)</f>
        <v>#100STOCK</v>
      </c>
      <c r="J3799" t="s">
        <v>592</v>
      </c>
      <c r="K3799" s="195">
        <v>46079.737685185188</v>
      </c>
      <c r="L3799">
        <v>345</v>
      </c>
      <c r="M3799">
        <v>0</v>
      </c>
      <c r="N3799" s="98" t="str">
        <f>IF(record[[#This Row],[Memo]]="Browser:chrome os:android","平板報工",IF(record[[#This Row],[Memo]]=0,"委外",record[[#This Row],[Memo]]))</f>
        <v/>
      </c>
      <c r="O3799" t="s">
        <v>58</v>
      </c>
      <c r="P3799" t="s">
        <v>886</v>
      </c>
      <c r="Q3799" t="s">
        <v>58</v>
      </c>
      <c r="R3799" t="str">
        <f>IFERROR(VLOOKUP(record[[#This Row],[PCUSTID]],廠商[],2,FALSE),"")</f>
        <v/>
      </c>
      <c r="S3799" t="str">
        <f>VLOOKUP(record[[#This Row],[employeeID]],員工[],2,FALSE)</f>
        <v>謝蓁薰</v>
      </c>
    </row>
    <row r="3800" spans="6:19" hidden="1" x14ac:dyDescent="0.25">
      <c r="F3800" t="s">
        <v>1568</v>
      </c>
      <c r="G3800" t="s">
        <v>416</v>
      </c>
      <c r="H3800" t="str">
        <f>VLOOKUP(record[[#This Row],[ProcessSN]],表格2_7[],2,FALSE)</f>
        <v>30-4118-018-5XX</v>
      </c>
      <c r="I3800" t="str">
        <f>VLOOKUP(record[[#This Row],[ProcessSN]],表格2_7[],3,FALSE)</f>
        <v>#05</v>
      </c>
      <c r="J3800" t="s">
        <v>588</v>
      </c>
      <c r="K3800" s="195">
        <v>46079.682337962964</v>
      </c>
      <c r="L3800">
        <v>168</v>
      </c>
      <c r="M3800">
        <v>0</v>
      </c>
      <c r="N3800" s="98" t="str">
        <f>IF(record[[#This Row],[Memo]]="Browser:chrome os:android","平板報工",IF(record[[#This Row],[Memo]]=0,"委外",record[[#This Row],[Memo]]))</f>
        <v/>
      </c>
      <c r="O3800" t="s">
        <v>58</v>
      </c>
      <c r="P3800" t="s">
        <v>107</v>
      </c>
      <c r="Q3800" t="s">
        <v>58</v>
      </c>
      <c r="R3800" t="str">
        <f>IFERROR(VLOOKUP(record[[#This Row],[PCUSTID]],廠商[],2,FALSE),"")</f>
        <v/>
      </c>
      <c r="S3800" t="str">
        <f>VLOOKUP(record[[#This Row],[employeeID]],員工[],2,FALSE)</f>
        <v>黎氏順</v>
      </c>
    </row>
    <row r="3801" spans="6:19" hidden="1" x14ac:dyDescent="0.25">
      <c r="F3801" t="s">
        <v>1540</v>
      </c>
      <c r="G3801" t="s">
        <v>416</v>
      </c>
      <c r="H3801" t="str">
        <f>VLOOKUP(record[[#This Row],[ProcessSN]],表格2_7[],2,FALSE)</f>
        <v>30-4118-018-5XX</v>
      </c>
      <c r="I3801" t="str">
        <f>VLOOKUP(record[[#This Row],[ProcessSN]],表格2_7[],3,FALSE)</f>
        <v>#05</v>
      </c>
      <c r="J3801" t="s">
        <v>588</v>
      </c>
      <c r="K3801" s="195">
        <v>46079.657442129632</v>
      </c>
      <c r="L3801">
        <v>74</v>
      </c>
      <c r="M3801">
        <v>0</v>
      </c>
      <c r="N3801" s="98" t="str">
        <f>IF(record[[#This Row],[Memo]]="Browser:chrome os:android","平板報工",IF(record[[#This Row],[Memo]]=0,"委外",record[[#This Row],[Memo]]))</f>
        <v>平板報工</v>
      </c>
      <c r="O3801" t="s">
        <v>643</v>
      </c>
      <c r="P3801" t="s">
        <v>107</v>
      </c>
      <c r="Q3801" t="s">
        <v>644</v>
      </c>
      <c r="R3801" t="str">
        <f>IFERROR(VLOOKUP(record[[#This Row],[PCUSTID]],廠商[],2,FALSE),"")</f>
        <v/>
      </c>
      <c r="S3801" t="str">
        <f>VLOOKUP(record[[#This Row],[employeeID]],員工[],2,FALSE)</f>
        <v>黎氏順</v>
      </c>
    </row>
    <row r="3802" spans="6:19" hidden="1" x14ac:dyDescent="0.25">
      <c r="F3802" t="s">
        <v>1517</v>
      </c>
      <c r="G3802" t="s">
        <v>451</v>
      </c>
      <c r="H3802" t="str">
        <f>VLOOKUP(record[[#This Row],[ProcessSN]],表格2_7[],2,FALSE)</f>
        <v>30-4118-018-6XX</v>
      </c>
      <c r="I3802" t="str">
        <f>VLOOKUP(record[[#This Row],[ProcessSN]],表格2_7[],3,FALSE)</f>
        <v>#07</v>
      </c>
      <c r="J3802" t="s">
        <v>588</v>
      </c>
      <c r="K3802" s="195">
        <v>46079.654768518521</v>
      </c>
      <c r="L3802">
        <v>113</v>
      </c>
      <c r="M3802">
        <v>2</v>
      </c>
      <c r="N3802" s="98" t="str">
        <f>IF(record[[#This Row],[Memo]]="Browser:chrome os:android","平板報工",IF(record[[#This Row],[Memo]]=0,"委外",record[[#This Row],[Memo]]))</f>
        <v>平板報工</v>
      </c>
      <c r="O3802" t="s">
        <v>643</v>
      </c>
      <c r="P3802" t="s">
        <v>107</v>
      </c>
      <c r="Q3802" t="s">
        <v>644</v>
      </c>
      <c r="R3802" t="str">
        <f>IFERROR(VLOOKUP(record[[#This Row],[PCUSTID]],廠商[],2,FALSE),"")</f>
        <v/>
      </c>
      <c r="S3802" t="str">
        <f>VLOOKUP(record[[#This Row],[employeeID]],員工[],2,FALSE)</f>
        <v>黎氏順</v>
      </c>
    </row>
    <row r="3803" spans="6:19" hidden="1" x14ac:dyDescent="0.25">
      <c r="F3803" t="s">
        <v>1569</v>
      </c>
      <c r="G3803" t="s">
        <v>448</v>
      </c>
      <c r="H3803" t="str">
        <f>VLOOKUP(record[[#This Row],[ProcessSN]],表格2_7[],2,FALSE)</f>
        <v>30-4118-018-6XX</v>
      </c>
      <c r="I3803" t="str">
        <f>VLOOKUP(record[[#This Row],[ProcessSN]],表格2_7[],3,FALSE)</f>
        <v>#04</v>
      </c>
      <c r="J3803" t="s">
        <v>588</v>
      </c>
      <c r="K3803" s="195">
        <v>46079.644050925926</v>
      </c>
      <c r="L3803">
        <v>98</v>
      </c>
      <c r="M3803">
        <v>0</v>
      </c>
      <c r="N3803" s="98" t="str">
        <f>IF(record[[#This Row],[Memo]]="Browser:chrome os:android","平板報工",IF(record[[#This Row],[Memo]]=0,"委外",record[[#This Row],[Memo]]))</f>
        <v>平板報工</v>
      </c>
      <c r="O3803" t="s">
        <v>643</v>
      </c>
      <c r="P3803" t="s">
        <v>785</v>
      </c>
      <c r="Q3803" t="s">
        <v>644</v>
      </c>
      <c r="R3803" t="str">
        <f>IFERROR(VLOOKUP(record[[#This Row],[PCUSTID]],廠商[],2,FALSE),"")</f>
        <v/>
      </c>
      <c r="S3803" t="str">
        <f>VLOOKUP(record[[#This Row],[employeeID]],員工[],2,FALSE)</f>
        <v>謝刻光</v>
      </c>
    </row>
    <row r="3804" spans="6:19" hidden="1" x14ac:dyDescent="0.25">
      <c r="F3804" t="s">
        <v>1517</v>
      </c>
      <c r="G3804" t="s">
        <v>450</v>
      </c>
      <c r="H3804" t="str">
        <f>VLOOKUP(record[[#This Row],[ProcessSN]],表格2_7[],2,FALSE)</f>
        <v>30-4118-018-6XX</v>
      </c>
      <c r="I3804" t="str">
        <f>VLOOKUP(record[[#This Row],[ProcessSN]],表格2_7[],3,FALSE)</f>
        <v>#06</v>
      </c>
      <c r="J3804" t="s">
        <v>593</v>
      </c>
      <c r="K3804" s="195">
        <v>46079.608090277776</v>
      </c>
      <c r="L3804">
        <v>115</v>
      </c>
      <c r="M3804">
        <v>0</v>
      </c>
      <c r="N3804" s="98" t="str">
        <f>IF(record[[#This Row],[Memo]]="Browser:chrome os:android","平板報工",IF(record[[#This Row],[Memo]]=0,"委外",record[[#This Row],[Memo]]))</f>
        <v>平板報工</v>
      </c>
      <c r="O3804" t="s">
        <v>643</v>
      </c>
      <c r="P3804" t="s">
        <v>1413</v>
      </c>
      <c r="Q3804" t="s">
        <v>644</v>
      </c>
      <c r="R3804" t="str">
        <f>IFERROR(VLOOKUP(record[[#This Row],[PCUSTID]],廠商[],2,FALSE),"")</f>
        <v/>
      </c>
      <c r="S3804" t="str">
        <f>VLOOKUP(record[[#This Row],[employeeID]],員工[],2,FALSE)</f>
        <v>阮氏芳英(芳)</v>
      </c>
    </row>
    <row r="3805" spans="6:19" hidden="1" x14ac:dyDescent="0.25">
      <c r="F3805" t="s">
        <v>1593</v>
      </c>
      <c r="G3805" t="s">
        <v>422</v>
      </c>
      <c r="H3805" t="str">
        <f>VLOOKUP(record[[#This Row],[ProcessSN]],表格2_7[],2,FALSE)</f>
        <v>30-4118-018-600</v>
      </c>
      <c r="I3805" t="str">
        <f>VLOOKUP(record[[#This Row],[ProcessSN]],表格2_7[],3,FALSE)</f>
        <v>#08</v>
      </c>
      <c r="J3805" t="s">
        <v>597</v>
      </c>
      <c r="K3805" s="195">
        <v>46079.571226851855</v>
      </c>
      <c r="L3805">
        <v>379</v>
      </c>
      <c r="M3805">
        <v>0</v>
      </c>
      <c r="N3805" s="98" t="str">
        <f>IF(record[[#This Row],[Memo]]="Browser:chrome os:android","平板報工",IF(record[[#This Row],[Memo]]=0,"委外",record[[#This Row],[Memo]]))</f>
        <v>委外</v>
      </c>
      <c r="P3805" t="s">
        <v>186</v>
      </c>
      <c r="Q3805" t="s">
        <v>287</v>
      </c>
      <c r="R3805" t="str">
        <f>IFERROR(VLOOKUP(record[[#This Row],[PCUSTID]],廠商[],2,FALSE),"")</f>
        <v>泉盛</v>
      </c>
      <c r="S3805" t="str">
        <f>VLOOKUP(record[[#This Row],[employeeID]],員工[],2,FALSE)</f>
        <v>許文姍</v>
      </c>
    </row>
    <row r="3806" spans="6:19" hidden="1" x14ac:dyDescent="0.25">
      <c r="F3806" t="s">
        <v>1593</v>
      </c>
      <c r="G3806" t="s">
        <v>421</v>
      </c>
      <c r="H3806" t="str">
        <f>VLOOKUP(record[[#This Row],[ProcessSN]],表格2_7[],2,FALSE)</f>
        <v>30-4118-018-600</v>
      </c>
      <c r="I3806" t="str">
        <f>VLOOKUP(record[[#This Row],[ProcessSN]],表格2_7[],3,FALSE)</f>
        <v>#08PICK</v>
      </c>
      <c r="J3806" t="s">
        <v>582</v>
      </c>
      <c r="K3806" s="195">
        <v>46079.557395833333</v>
      </c>
      <c r="L3806">
        <v>379</v>
      </c>
      <c r="M3806">
        <v>0</v>
      </c>
      <c r="N3806" s="98" t="str">
        <f>IF(record[[#This Row],[Memo]]="Browser:chrome os:android","平板報工",IF(record[[#This Row],[Memo]]=0,"委外",record[[#This Row],[Memo]]))</f>
        <v/>
      </c>
      <c r="O3806" t="s">
        <v>58</v>
      </c>
      <c r="P3806" t="s">
        <v>186</v>
      </c>
      <c r="Q3806" t="s">
        <v>58</v>
      </c>
      <c r="R3806" t="str">
        <f>IFERROR(VLOOKUP(record[[#This Row],[PCUSTID]],廠商[],2,FALSE),"")</f>
        <v/>
      </c>
      <c r="S3806" t="str">
        <f>VLOOKUP(record[[#This Row],[employeeID]],員工[],2,FALSE)</f>
        <v>許文姍</v>
      </c>
    </row>
    <row r="3807" spans="6:19" hidden="1" x14ac:dyDescent="0.25">
      <c r="F3807" t="s">
        <v>1527</v>
      </c>
      <c r="G3807" t="s">
        <v>453</v>
      </c>
      <c r="H3807" t="str">
        <f>VLOOKUP(record[[#This Row],[ProcessSN]],表格2_7[],2,FALSE)</f>
        <v>30-4118-018-6XX</v>
      </c>
      <c r="I3807" t="str">
        <f>VLOOKUP(record[[#This Row],[ProcessSN]],表格2_7[],3,FALSE)</f>
        <v>#07STOCK</v>
      </c>
      <c r="J3807" t="s">
        <v>592</v>
      </c>
      <c r="K3807" s="195">
        <v>46079.471805555557</v>
      </c>
      <c r="L3807">
        <v>332</v>
      </c>
      <c r="M3807">
        <v>0</v>
      </c>
      <c r="N3807" s="98" t="str">
        <f>IF(record[[#This Row],[Memo]]="Browser:chrome os:android","平板報工",IF(record[[#This Row],[Memo]]=0,"委外",record[[#This Row],[Memo]]))</f>
        <v/>
      </c>
      <c r="O3807" t="s">
        <v>58</v>
      </c>
      <c r="P3807" t="s">
        <v>186</v>
      </c>
      <c r="Q3807" t="s">
        <v>58</v>
      </c>
      <c r="R3807" t="str">
        <f>IFERROR(VLOOKUP(record[[#This Row],[PCUSTID]],廠商[],2,FALSE),"")</f>
        <v/>
      </c>
      <c r="S3807" t="str">
        <f>VLOOKUP(record[[#This Row],[employeeID]],員工[],2,FALSE)</f>
        <v>許文姍</v>
      </c>
    </row>
    <row r="3808" spans="6:19" hidden="1" x14ac:dyDescent="0.25">
      <c r="F3808" t="s">
        <v>1527</v>
      </c>
      <c r="G3808" t="s">
        <v>452</v>
      </c>
      <c r="H3808" t="str">
        <f>VLOOKUP(record[[#This Row],[ProcessSN]],表格2_7[],2,FALSE)</f>
        <v>30-4118-018-6XX</v>
      </c>
      <c r="I3808" t="str">
        <f>VLOOKUP(record[[#This Row],[ProcessSN]],表格2_7[],3,FALSE)</f>
        <v>#07QC</v>
      </c>
      <c r="J3808" t="s">
        <v>589</v>
      </c>
      <c r="K3808" s="195">
        <v>46079.461412037039</v>
      </c>
      <c r="L3808">
        <v>29</v>
      </c>
      <c r="M3808">
        <v>0</v>
      </c>
      <c r="N3808" s="98" t="str">
        <f>IF(record[[#This Row],[Memo]]="Browser:chrome os:android","平板報工",IF(record[[#This Row],[Memo]]=0,"委外",record[[#This Row],[Memo]]))</f>
        <v/>
      </c>
      <c r="O3808" t="s">
        <v>58</v>
      </c>
      <c r="P3808" t="s">
        <v>141</v>
      </c>
      <c r="Q3808" t="s">
        <v>58</v>
      </c>
      <c r="R3808" t="str">
        <f>IFERROR(VLOOKUP(record[[#This Row],[PCUSTID]],廠商[],2,FALSE),"")</f>
        <v/>
      </c>
      <c r="S3808" t="str">
        <f>VLOOKUP(record[[#This Row],[employeeID]],員工[],2,FALSE)</f>
        <v>蔣梅</v>
      </c>
    </row>
    <row r="3809" spans="6:19" hidden="1" x14ac:dyDescent="0.25">
      <c r="F3809" t="s">
        <v>1527</v>
      </c>
      <c r="G3809" t="s">
        <v>452</v>
      </c>
      <c r="H3809" t="str">
        <f>VLOOKUP(record[[#This Row],[ProcessSN]],表格2_7[],2,FALSE)</f>
        <v>30-4118-018-6XX</v>
      </c>
      <c r="I3809" t="str">
        <f>VLOOKUP(record[[#This Row],[ProcessSN]],表格2_7[],3,FALSE)</f>
        <v>#07QC</v>
      </c>
      <c r="J3809" t="s">
        <v>589</v>
      </c>
      <c r="K3809" s="195">
        <v>46079.410439814812</v>
      </c>
      <c r="L3809">
        <v>303</v>
      </c>
      <c r="M3809">
        <v>0</v>
      </c>
      <c r="N3809" s="98" t="str">
        <f>IF(record[[#This Row],[Memo]]="Browser:chrome os:android","平板報工",IF(record[[#This Row],[Memo]]=0,"委外",record[[#This Row],[Memo]]))</f>
        <v>平板報工</v>
      </c>
      <c r="O3809" t="s">
        <v>643</v>
      </c>
      <c r="P3809" t="s">
        <v>141</v>
      </c>
      <c r="Q3809" t="s">
        <v>644</v>
      </c>
      <c r="R3809" t="str">
        <f>IFERROR(VLOOKUP(record[[#This Row],[PCUSTID]],廠商[],2,FALSE),"")</f>
        <v/>
      </c>
      <c r="S3809" t="str">
        <f>VLOOKUP(record[[#This Row],[employeeID]],員工[],2,FALSE)</f>
        <v>蔣梅</v>
      </c>
    </row>
    <row r="3810" spans="6:19" hidden="1" x14ac:dyDescent="0.25">
      <c r="F3810" t="s">
        <v>1553</v>
      </c>
      <c r="G3810" t="s">
        <v>428</v>
      </c>
      <c r="H3810" t="str">
        <f>VLOOKUP(record[[#This Row],[ProcessSN]],表格2_7[],2,FALSE)</f>
        <v>30-4118-018-600</v>
      </c>
      <c r="I3810" t="str">
        <f>VLOOKUP(record[[#This Row],[ProcessSN]],表格2_7[],3,FALSE)</f>
        <v>#100SHIP</v>
      </c>
      <c r="J3810" t="s">
        <v>600</v>
      </c>
      <c r="K3810" s="195">
        <v>46079.352256944447</v>
      </c>
      <c r="L3810">
        <v>241</v>
      </c>
      <c r="M3810">
        <v>0</v>
      </c>
      <c r="N3810" s="98" t="str">
        <f>IF(record[[#This Row],[Memo]]="Browser:chrome os:android","平板報工",IF(record[[#This Row],[Memo]]=0,"委外",record[[#This Row],[Memo]]))</f>
        <v/>
      </c>
      <c r="O3810" t="s">
        <v>58</v>
      </c>
      <c r="P3810" t="s">
        <v>886</v>
      </c>
      <c r="Q3810" t="s">
        <v>58</v>
      </c>
      <c r="R3810" t="str">
        <f>IFERROR(VLOOKUP(record[[#This Row],[PCUSTID]],廠商[],2,FALSE),"")</f>
        <v/>
      </c>
      <c r="S3810" t="str">
        <f>VLOOKUP(record[[#This Row],[employeeID]],員工[],2,FALSE)</f>
        <v>謝蓁薰</v>
      </c>
    </row>
    <row r="3811" spans="6:19" hidden="1" x14ac:dyDescent="0.25">
      <c r="F3811" t="s">
        <v>1553</v>
      </c>
      <c r="G3811" t="s">
        <v>427</v>
      </c>
      <c r="H3811" t="str">
        <f>VLOOKUP(record[[#This Row],[ProcessSN]],表格2_7[],2,FALSE)</f>
        <v>30-4118-018-600</v>
      </c>
      <c r="I3811" t="str">
        <f>VLOOKUP(record[[#This Row],[ProcessSN]],表格2_7[],3,FALSE)</f>
        <v>#100STOCK</v>
      </c>
      <c r="J3811" t="s">
        <v>592</v>
      </c>
      <c r="K3811" s="195">
        <v>46079.351689814815</v>
      </c>
      <c r="L3811">
        <v>168</v>
      </c>
      <c r="M3811">
        <v>0</v>
      </c>
      <c r="N3811" s="98" t="str">
        <f>IF(record[[#This Row],[Memo]]="Browser:chrome os:android","平板報工",IF(record[[#This Row],[Memo]]=0,"委外",record[[#This Row],[Memo]]))</f>
        <v/>
      </c>
      <c r="O3811" t="s">
        <v>58</v>
      </c>
      <c r="P3811" t="s">
        <v>886</v>
      </c>
      <c r="Q3811" t="s">
        <v>58</v>
      </c>
      <c r="R3811" t="str">
        <f>IFERROR(VLOOKUP(record[[#This Row],[PCUSTID]],廠商[],2,FALSE),"")</f>
        <v/>
      </c>
      <c r="S3811" t="str">
        <f>VLOOKUP(record[[#This Row],[employeeID]],員工[],2,FALSE)</f>
        <v>謝蓁薰</v>
      </c>
    </row>
    <row r="3812" spans="6:19" hidden="1" x14ac:dyDescent="0.25">
      <c r="F3812" t="s">
        <v>1534</v>
      </c>
      <c r="G3812" t="s">
        <v>428</v>
      </c>
      <c r="H3812" t="str">
        <f>VLOOKUP(record[[#This Row],[ProcessSN]],表格2_7[],2,FALSE)</f>
        <v>30-4118-018-600</v>
      </c>
      <c r="I3812" t="str">
        <f>VLOOKUP(record[[#This Row],[ProcessSN]],表格2_7[],3,FALSE)</f>
        <v>#100SHIP</v>
      </c>
      <c r="J3812" t="s">
        <v>600</v>
      </c>
      <c r="K3812" s="195">
        <v>46079.351400462961</v>
      </c>
      <c r="L3812">
        <v>336</v>
      </c>
      <c r="M3812">
        <v>0</v>
      </c>
      <c r="N3812" s="98" t="str">
        <f>IF(record[[#This Row],[Memo]]="Browser:chrome os:android","平板報工",IF(record[[#This Row],[Memo]]=0,"委外",record[[#This Row],[Memo]]))</f>
        <v/>
      </c>
      <c r="O3812" t="s">
        <v>58</v>
      </c>
      <c r="P3812" t="s">
        <v>886</v>
      </c>
      <c r="Q3812" t="s">
        <v>58</v>
      </c>
      <c r="R3812" t="str">
        <f>IFERROR(VLOOKUP(record[[#This Row],[PCUSTID]],廠商[],2,FALSE),"")</f>
        <v/>
      </c>
      <c r="S3812" t="str">
        <f>VLOOKUP(record[[#This Row],[employeeID]],員工[],2,FALSE)</f>
        <v>謝蓁薰</v>
      </c>
    </row>
    <row r="3813" spans="6:19" hidden="1" x14ac:dyDescent="0.25">
      <c r="F3813" t="s">
        <v>1549</v>
      </c>
      <c r="G3813" t="s">
        <v>403</v>
      </c>
      <c r="H3813" t="str">
        <f>VLOOKUP(record[[#This Row],[ProcessSN]],表格2_7[],2,FALSE)</f>
        <v>30-4118-018-550</v>
      </c>
      <c r="I3813" t="str">
        <f>VLOOKUP(record[[#This Row],[ProcessSN]],表格2_7[],3,FALSE)</f>
        <v>#100SHIP</v>
      </c>
      <c r="J3813" t="s">
        <v>600</v>
      </c>
      <c r="K3813" s="195">
        <v>46079.351226851853</v>
      </c>
      <c r="L3813">
        <v>86</v>
      </c>
      <c r="M3813">
        <v>0</v>
      </c>
      <c r="N3813" s="98" t="str">
        <f>IF(record[[#This Row],[Memo]]="Browser:chrome os:android","平板報工",IF(record[[#This Row],[Memo]]=0,"委外",record[[#This Row],[Memo]]))</f>
        <v/>
      </c>
      <c r="O3813" t="s">
        <v>58</v>
      </c>
      <c r="P3813" t="s">
        <v>886</v>
      </c>
      <c r="Q3813" t="s">
        <v>58</v>
      </c>
      <c r="R3813" t="str">
        <f>IFERROR(VLOOKUP(record[[#This Row],[PCUSTID]],廠商[],2,FALSE),"")</f>
        <v/>
      </c>
      <c r="S3813" t="str">
        <f>VLOOKUP(record[[#This Row],[employeeID]],員工[],2,FALSE)</f>
        <v>謝蓁薰</v>
      </c>
    </row>
    <row r="3814" spans="6:19" hidden="1" x14ac:dyDescent="0.25">
      <c r="F3814" t="s">
        <v>1517</v>
      </c>
      <c r="G3814" t="s">
        <v>450</v>
      </c>
      <c r="H3814" t="str">
        <f>VLOOKUP(record[[#This Row],[ProcessSN]],表格2_7[],2,FALSE)</f>
        <v>30-4118-018-6XX</v>
      </c>
      <c r="I3814" t="str">
        <f>VLOOKUP(record[[#This Row],[ProcessSN]],表格2_7[],3,FALSE)</f>
        <v>#06</v>
      </c>
      <c r="J3814" t="s">
        <v>593</v>
      </c>
      <c r="K3814" s="195">
        <v>46078.980138888888</v>
      </c>
      <c r="L3814">
        <v>60</v>
      </c>
      <c r="M3814">
        <v>0</v>
      </c>
      <c r="N3814" s="98" t="str">
        <f>IF(record[[#This Row],[Memo]]="Browser:chrome os:android","平板報工",IF(record[[#This Row],[Memo]]=0,"委外",record[[#This Row],[Memo]]))</f>
        <v/>
      </c>
      <c r="O3814" t="s">
        <v>58</v>
      </c>
      <c r="P3814" t="s">
        <v>841</v>
      </c>
      <c r="Q3814" t="s">
        <v>58</v>
      </c>
      <c r="R3814" t="str">
        <f>IFERROR(VLOOKUP(record[[#This Row],[PCUSTID]],廠商[],2,FALSE),"")</f>
        <v/>
      </c>
      <c r="S3814" t="str">
        <f>VLOOKUP(record[[#This Row],[employeeID]],員工[],2,FALSE)</f>
        <v>范氏香</v>
      </c>
    </row>
    <row r="3815" spans="6:19" hidden="1" x14ac:dyDescent="0.25">
      <c r="F3815" t="s">
        <v>1569</v>
      </c>
      <c r="G3815" t="s">
        <v>448</v>
      </c>
      <c r="H3815" t="str">
        <f>VLOOKUP(record[[#This Row],[ProcessSN]],表格2_7[],2,FALSE)</f>
        <v>30-4118-018-6XX</v>
      </c>
      <c r="I3815" t="str">
        <f>VLOOKUP(record[[#This Row],[ProcessSN]],表格2_7[],3,FALSE)</f>
        <v>#04</v>
      </c>
      <c r="J3815" t="s">
        <v>588</v>
      </c>
      <c r="K3815" s="195">
        <v>46078.978877314818</v>
      </c>
      <c r="L3815">
        <v>126</v>
      </c>
      <c r="M3815">
        <v>0</v>
      </c>
      <c r="N3815" s="98" t="str">
        <f>IF(record[[#This Row],[Memo]]="Browser:chrome os:android","平板報工",IF(record[[#This Row],[Memo]]=0,"委外",record[[#This Row],[Memo]]))</f>
        <v/>
      </c>
      <c r="O3815" t="s">
        <v>58</v>
      </c>
      <c r="P3815" t="s">
        <v>89</v>
      </c>
      <c r="Q3815" t="s">
        <v>58</v>
      </c>
      <c r="R3815" t="str">
        <f>IFERROR(VLOOKUP(record[[#This Row],[PCUSTID]],廠商[],2,FALSE),"")</f>
        <v/>
      </c>
      <c r="S3815" t="str">
        <f>VLOOKUP(record[[#This Row],[employeeID]],員工[],2,FALSE)</f>
        <v>李美蓮</v>
      </c>
    </row>
    <row r="3816" spans="6:19" hidden="1" x14ac:dyDescent="0.25">
      <c r="F3816" t="s">
        <v>1517</v>
      </c>
      <c r="G3816" t="s">
        <v>451</v>
      </c>
      <c r="H3816" t="str">
        <f>VLOOKUP(record[[#This Row],[ProcessSN]],表格2_7[],2,FALSE)</f>
        <v>30-4118-018-6XX</v>
      </c>
      <c r="I3816" t="str">
        <f>VLOOKUP(record[[#This Row],[ProcessSN]],表格2_7[],3,FALSE)</f>
        <v>#07</v>
      </c>
      <c r="J3816" t="s">
        <v>588</v>
      </c>
      <c r="K3816" s="195">
        <v>46078.978541666664</v>
      </c>
      <c r="L3816">
        <v>56</v>
      </c>
      <c r="M3816">
        <v>1</v>
      </c>
      <c r="N3816" s="98" t="str">
        <f>IF(record[[#This Row],[Memo]]="Browser:chrome os:android","平板報工",IF(record[[#This Row],[Memo]]=0,"委外",record[[#This Row],[Memo]]))</f>
        <v/>
      </c>
      <c r="O3816" t="s">
        <v>58</v>
      </c>
      <c r="P3816" t="s">
        <v>89</v>
      </c>
      <c r="Q3816" t="s">
        <v>58</v>
      </c>
      <c r="R3816" t="str">
        <f>IFERROR(VLOOKUP(record[[#This Row],[PCUSTID]],廠商[],2,FALSE),"")</f>
        <v/>
      </c>
      <c r="S3816" t="str">
        <f>VLOOKUP(record[[#This Row],[employeeID]],員工[],2,FALSE)</f>
        <v>李美蓮</v>
      </c>
    </row>
    <row r="3817" spans="6:19" hidden="1" x14ac:dyDescent="0.25">
      <c r="F3817" t="s">
        <v>1527</v>
      </c>
      <c r="G3817" t="s">
        <v>451</v>
      </c>
      <c r="H3817" t="str">
        <f>VLOOKUP(record[[#This Row],[ProcessSN]],表格2_7[],2,FALSE)</f>
        <v>30-4118-018-6XX</v>
      </c>
      <c r="I3817" t="str">
        <f>VLOOKUP(record[[#This Row],[ProcessSN]],表格2_7[],3,FALSE)</f>
        <v>#07</v>
      </c>
      <c r="J3817" t="s">
        <v>588</v>
      </c>
      <c r="K3817" s="195">
        <v>46078.978275462963</v>
      </c>
      <c r="L3817">
        <v>74</v>
      </c>
      <c r="M3817">
        <v>0</v>
      </c>
      <c r="N3817" s="98" t="str">
        <f>IF(record[[#This Row],[Memo]]="Browser:chrome os:android","平板報工",IF(record[[#This Row],[Memo]]=0,"委外",record[[#This Row],[Memo]]))</f>
        <v/>
      </c>
      <c r="O3817" t="s">
        <v>58</v>
      </c>
      <c r="P3817" t="s">
        <v>89</v>
      </c>
      <c r="Q3817" t="s">
        <v>58</v>
      </c>
      <c r="R3817" t="str">
        <f>IFERROR(VLOOKUP(record[[#This Row],[PCUSTID]],廠商[],2,FALSE),"")</f>
        <v/>
      </c>
      <c r="S3817" t="str">
        <f>VLOOKUP(record[[#This Row],[employeeID]],員工[],2,FALSE)</f>
        <v>李美蓮</v>
      </c>
    </row>
    <row r="3818" spans="6:19" hidden="1" x14ac:dyDescent="0.25">
      <c r="F3818" t="s">
        <v>1540</v>
      </c>
      <c r="G3818" t="s">
        <v>416</v>
      </c>
      <c r="H3818" t="str">
        <f>VLOOKUP(record[[#This Row],[ProcessSN]],表格2_7[],2,FALSE)</f>
        <v>30-4118-018-5XX</v>
      </c>
      <c r="I3818" t="str">
        <f>VLOOKUP(record[[#This Row],[ProcessSN]],表格2_7[],3,FALSE)</f>
        <v>#05</v>
      </c>
      <c r="J3818" t="s">
        <v>588</v>
      </c>
      <c r="K3818" s="195">
        <v>46078.976180555554</v>
      </c>
      <c r="L3818">
        <v>284</v>
      </c>
      <c r="M3818">
        <v>0</v>
      </c>
      <c r="N3818" s="98" t="str">
        <f>IF(record[[#This Row],[Memo]]="Browser:chrome os:android","平板報工",IF(record[[#This Row],[Memo]]=0,"委外",record[[#This Row],[Memo]]))</f>
        <v/>
      </c>
      <c r="O3818" t="s">
        <v>58</v>
      </c>
      <c r="P3818" t="s">
        <v>1098</v>
      </c>
      <c r="Q3818" t="s">
        <v>58</v>
      </c>
      <c r="R3818" t="str">
        <f>IFERROR(VLOOKUP(record[[#This Row],[PCUSTID]],廠商[],2,FALSE),"")</f>
        <v/>
      </c>
      <c r="S3818" t="str">
        <f>VLOOKUP(record[[#This Row],[employeeID]],員工[],2,FALSE)</f>
        <v>阮氏芳英(英)</v>
      </c>
    </row>
    <row r="3819" spans="6:19" hidden="1" x14ac:dyDescent="0.25">
      <c r="F3819" t="s">
        <v>1517</v>
      </c>
      <c r="G3819" t="s">
        <v>450</v>
      </c>
      <c r="H3819" t="str">
        <f>VLOOKUP(record[[#This Row],[ProcessSN]],表格2_7[],2,FALSE)</f>
        <v>30-4118-018-6XX</v>
      </c>
      <c r="I3819" t="str">
        <f>VLOOKUP(record[[#This Row],[ProcessSN]],表格2_7[],3,FALSE)</f>
        <v>#06</v>
      </c>
      <c r="J3819" t="s">
        <v>593</v>
      </c>
      <c r="K3819" s="195">
        <v>46078.821099537039</v>
      </c>
      <c r="L3819">
        <v>60</v>
      </c>
      <c r="M3819">
        <v>0</v>
      </c>
      <c r="N3819" s="98" t="str">
        <f>IF(record[[#This Row],[Memo]]="Browser:chrome os:android","平板報工",IF(record[[#This Row],[Memo]]=0,"委外",record[[#This Row],[Memo]]))</f>
        <v/>
      </c>
      <c r="O3819" t="s">
        <v>58</v>
      </c>
      <c r="P3819" t="s">
        <v>785</v>
      </c>
      <c r="Q3819" t="s">
        <v>58</v>
      </c>
      <c r="R3819" t="str">
        <f>IFERROR(VLOOKUP(record[[#This Row],[PCUSTID]],廠商[],2,FALSE),"")</f>
        <v/>
      </c>
      <c r="S3819" t="str">
        <f>VLOOKUP(record[[#This Row],[employeeID]],員工[],2,FALSE)</f>
        <v>謝刻光</v>
      </c>
    </row>
    <row r="3820" spans="6:19" hidden="1" x14ac:dyDescent="0.25">
      <c r="F3820" t="s">
        <v>1569</v>
      </c>
      <c r="G3820" t="s">
        <v>448</v>
      </c>
      <c r="H3820" t="str">
        <f>VLOOKUP(record[[#This Row],[ProcessSN]],表格2_7[],2,FALSE)</f>
        <v>30-4118-018-6XX</v>
      </c>
      <c r="I3820" t="str">
        <f>VLOOKUP(record[[#This Row],[ProcessSN]],表格2_7[],3,FALSE)</f>
        <v>#04</v>
      </c>
      <c r="J3820" t="s">
        <v>588</v>
      </c>
      <c r="K3820" s="195">
        <v>46078.649953703702</v>
      </c>
      <c r="L3820">
        <v>115</v>
      </c>
      <c r="M3820">
        <v>0</v>
      </c>
      <c r="N3820" s="98" t="str">
        <f>IF(record[[#This Row],[Memo]]="Browser:chrome os:android","平板報工",IF(record[[#This Row],[Memo]]=0,"委外",record[[#This Row],[Memo]]))</f>
        <v>平板報工</v>
      </c>
      <c r="O3820" t="s">
        <v>643</v>
      </c>
      <c r="P3820" t="s">
        <v>107</v>
      </c>
      <c r="Q3820" t="s">
        <v>644</v>
      </c>
      <c r="R3820" t="str">
        <f>IFERROR(VLOOKUP(record[[#This Row],[PCUSTID]],廠商[],2,FALSE),"")</f>
        <v/>
      </c>
      <c r="S3820" t="str">
        <f>VLOOKUP(record[[#This Row],[employeeID]],員工[],2,FALSE)</f>
        <v>黎氏順</v>
      </c>
    </row>
    <row r="3821" spans="6:19" hidden="1" x14ac:dyDescent="0.25">
      <c r="F3821" t="s">
        <v>1540</v>
      </c>
      <c r="G3821" t="s">
        <v>416</v>
      </c>
      <c r="H3821" t="str">
        <f>VLOOKUP(record[[#This Row],[ProcessSN]],表格2_7[],2,FALSE)</f>
        <v>30-4118-018-5XX</v>
      </c>
      <c r="I3821" t="str">
        <f>VLOOKUP(record[[#This Row],[ProcessSN]],表格2_7[],3,FALSE)</f>
        <v>#05</v>
      </c>
      <c r="J3821" t="s">
        <v>588</v>
      </c>
      <c r="K3821" s="195">
        <v>46078.646331018521</v>
      </c>
      <c r="L3821">
        <v>222</v>
      </c>
      <c r="M3821">
        <v>0</v>
      </c>
      <c r="N3821" s="98" t="str">
        <f>IF(record[[#This Row],[Memo]]="Browser:chrome os:android","平板報工",IF(record[[#This Row],[Memo]]=0,"委外",record[[#This Row],[Memo]]))</f>
        <v>平板報工</v>
      </c>
      <c r="O3821" t="s">
        <v>643</v>
      </c>
      <c r="P3821" t="s">
        <v>107</v>
      </c>
      <c r="Q3821" t="s">
        <v>644</v>
      </c>
      <c r="R3821" t="str">
        <f>IFERROR(VLOOKUP(record[[#This Row],[PCUSTID]],廠商[],2,FALSE),"")</f>
        <v/>
      </c>
      <c r="S3821" t="str">
        <f>VLOOKUP(record[[#This Row],[employeeID]],員工[],2,FALSE)</f>
        <v>黎氏順</v>
      </c>
    </row>
    <row r="3822" spans="6:19" hidden="1" x14ac:dyDescent="0.25">
      <c r="F3822" t="s">
        <v>1517</v>
      </c>
      <c r="G3822" t="s">
        <v>450</v>
      </c>
      <c r="H3822" t="str">
        <f>VLOOKUP(record[[#This Row],[ProcessSN]],表格2_7[],2,FALSE)</f>
        <v>30-4118-018-6XX</v>
      </c>
      <c r="I3822" t="str">
        <f>VLOOKUP(record[[#This Row],[ProcessSN]],表格2_7[],3,FALSE)</f>
        <v>#06</v>
      </c>
      <c r="J3822" t="s">
        <v>593</v>
      </c>
      <c r="K3822" s="195">
        <v>46078.628310185188</v>
      </c>
      <c r="L3822">
        <v>115</v>
      </c>
      <c r="M3822">
        <v>0</v>
      </c>
      <c r="N3822" s="98" t="str">
        <f>IF(record[[#This Row],[Memo]]="Browser:chrome os:android","平板報工",IF(record[[#This Row],[Memo]]=0,"委外",record[[#This Row],[Memo]]))</f>
        <v>平板報工</v>
      </c>
      <c r="O3822" t="s">
        <v>643</v>
      </c>
      <c r="P3822" t="s">
        <v>1413</v>
      </c>
      <c r="Q3822" t="s">
        <v>644</v>
      </c>
      <c r="R3822" t="str">
        <f>IFERROR(VLOOKUP(record[[#This Row],[PCUSTID]],廠商[],2,FALSE),"")</f>
        <v/>
      </c>
      <c r="S3822" t="str">
        <f>VLOOKUP(record[[#This Row],[employeeID]],員工[],2,FALSE)</f>
        <v>阮氏芳英(芳)</v>
      </c>
    </row>
    <row r="3823" spans="6:19" hidden="1" x14ac:dyDescent="0.25">
      <c r="F3823" t="s">
        <v>1589</v>
      </c>
      <c r="G3823" t="s">
        <v>413</v>
      </c>
      <c r="H3823" t="str">
        <f>VLOOKUP(record[[#This Row],[ProcessSN]],表格2_7[],2,FALSE)</f>
        <v>30-4118-018-5XX</v>
      </c>
      <c r="I3823" t="str">
        <f>VLOOKUP(record[[#This Row],[ProcessSN]],表格2_7[],3,FALSE)</f>
        <v>#03GIVE</v>
      </c>
      <c r="J3823" t="s">
        <v>587</v>
      </c>
      <c r="K3823" s="195">
        <v>46078.593263888892</v>
      </c>
      <c r="L3823">
        <v>2000</v>
      </c>
      <c r="M3823">
        <v>0</v>
      </c>
      <c r="N3823" s="98" t="str">
        <f>IF(record[[#This Row],[Memo]]="Browser:chrome os:android","平板報工",IF(record[[#This Row],[Memo]]=0,"委外",record[[#This Row],[Memo]]))</f>
        <v/>
      </c>
      <c r="O3823" t="s">
        <v>58</v>
      </c>
      <c r="P3823" t="s">
        <v>1070</v>
      </c>
      <c r="Q3823" t="s">
        <v>58</v>
      </c>
      <c r="R3823" t="str">
        <f>IFERROR(VLOOKUP(record[[#This Row],[PCUSTID]],廠商[],2,FALSE),"")</f>
        <v/>
      </c>
      <c r="S3823" t="str">
        <f>VLOOKUP(record[[#This Row],[employeeID]],員工[],2,FALSE)</f>
        <v>陳昱佑</v>
      </c>
    </row>
    <row r="3824" spans="6:19" hidden="1" x14ac:dyDescent="0.25">
      <c r="F3824" t="s">
        <v>1589</v>
      </c>
      <c r="G3824" t="s">
        <v>412</v>
      </c>
      <c r="H3824" t="str">
        <f>VLOOKUP(record[[#This Row],[ProcessSN]],表格2_7[],2,FALSE)</f>
        <v>30-4118-018-5XX</v>
      </c>
      <c r="I3824" t="str">
        <f>VLOOKUP(record[[#This Row],[ProcessSN]],表格2_7[],3,FALSE)</f>
        <v>#03PICK</v>
      </c>
      <c r="J3824" t="s">
        <v>582</v>
      </c>
      <c r="K3824" s="195">
        <v>46078.593159722222</v>
      </c>
      <c r="L3824">
        <v>2000</v>
      </c>
      <c r="M3824">
        <v>0</v>
      </c>
      <c r="N3824" s="98" t="str">
        <f>IF(record[[#This Row],[Memo]]="Browser:chrome os:android","平板報工",IF(record[[#This Row],[Memo]]=0,"委外",record[[#This Row],[Memo]]))</f>
        <v/>
      </c>
      <c r="O3824" t="s">
        <v>58</v>
      </c>
      <c r="P3824" t="s">
        <v>1070</v>
      </c>
      <c r="Q3824" t="s">
        <v>58</v>
      </c>
      <c r="R3824" t="str">
        <f>IFERROR(VLOOKUP(record[[#This Row],[PCUSTID]],廠商[],2,FALSE),"")</f>
        <v/>
      </c>
      <c r="S3824" t="str">
        <f>VLOOKUP(record[[#This Row],[employeeID]],員工[],2,FALSE)</f>
        <v>陳昱佑</v>
      </c>
    </row>
    <row r="3825" spans="6:19" hidden="1" x14ac:dyDescent="0.25">
      <c r="F3825" t="s">
        <v>1540</v>
      </c>
      <c r="G3825" t="s">
        <v>413</v>
      </c>
      <c r="H3825" t="str">
        <f>VLOOKUP(record[[#This Row],[ProcessSN]],表格2_7[],2,FALSE)</f>
        <v>30-4118-018-5XX</v>
      </c>
      <c r="I3825" t="str">
        <f>VLOOKUP(record[[#This Row],[ProcessSN]],表格2_7[],3,FALSE)</f>
        <v>#03GIVE</v>
      </c>
      <c r="J3825" t="s">
        <v>587</v>
      </c>
      <c r="K3825" s="195">
        <v>46078.592662037037</v>
      </c>
      <c r="L3825">
        <v>48</v>
      </c>
      <c r="M3825">
        <v>0</v>
      </c>
      <c r="N3825" s="98" t="str">
        <f>IF(record[[#This Row],[Memo]]="Browser:chrome os:android","平板報工",IF(record[[#This Row],[Memo]]=0,"委外",record[[#This Row],[Memo]]))</f>
        <v/>
      </c>
      <c r="O3825" t="s">
        <v>58</v>
      </c>
      <c r="P3825" t="s">
        <v>1070</v>
      </c>
      <c r="Q3825" t="s">
        <v>58</v>
      </c>
      <c r="R3825" t="str">
        <f>IFERROR(VLOOKUP(record[[#This Row],[PCUSTID]],廠商[],2,FALSE),"")</f>
        <v/>
      </c>
      <c r="S3825" t="str">
        <f>VLOOKUP(record[[#This Row],[employeeID]],員工[],2,FALSE)</f>
        <v>陳昱佑</v>
      </c>
    </row>
    <row r="3826" spans="6:19" hidden="1" x14ac:dyDescent="0.25">
      <c r="F3826" t="s">
        <v>1551</v>
      </c>
      <c r="G3826" t="s">
        <v>471</v>
      </c>
      <c r="H3826" t="str">
        <f>VLOOKUP(record[[#This Row],[ProcessSN]],表格2_7[],2,FALSE)</f>
        <v>30-4118-018-XXX</v>
      </c>
      <c r="I3826" t="str">
        <f>VLOOKUP(record[[#This Row],[ProcessSN]],表格2_7[],3,FALSE)</f>
        <v>#02STOCK</v>
      </c>
      <c r="J3826" t="s">
        <v>592</v>
      </c>
      <c r="K3826" s="195">
        <v>46078.592442129629</v>
      </c>
      <c r="L3826">
        <v>2718</v>
      </c>
      <c r="M3826">
        <v>0</v>
      </c>
      <c r="N3826" s="98" t="str">
        <f>IF(record[[#This Row],[Memo]]="Browser:chrome os:android","平板報工",IF(record[[#This Row],[Memo]]=0,"委外",record[[#This Row],[Memo]]))</f>
        <v/>
      </c>
      <c r="O3826" t="s">
        <v>58</v>
      </c>
      <c r="P3826" t="s">
        <v>1070</v>
      </c>
      <c r="Q3826" t="s">
        <v>58</v>
      </c>
      <c r="R3826" t="str">
        <f>IFERROR(VLOOKUP(record[[#This Row],[PCUSTID]],廠商[],2,FALSE),"")</f>
        <v/>
      </c>
      <c r="S3826" t="str">
        <f>VLOOKUP(record[[#This Row],[employeeID]],員工[],2,FALSE)</f>
        <v>陳昱佑</v>
      </c>
    </row>
    <row r="3827" spans="6:19" hidden="1" x14ac:dyDescent="0.25">
      <c r="F3827" t="s">
        <v>1542</v>
      </c>
      <c r="G3827" t="s">
        <v>471</v>
      </c>
      <c r="H3827" t="str">
        <f>VLOOKUP(record[[#This Row],[ProcessSN]],表格2_7[],2,FALSE)</f>
        <v>30-4118-018-XXX</v>
      </c>
      <c r="I3827" t="str">
        <f>VLOOKUP(record[[#This Row],[ProcessSN]],表格2_7[],3,FALSE)</f>
        <v>#02STOCK</v>
      </c>
      <c r="J3827" t="s">
        <v>592</v>
      </c>
      <c r="K3827" s="195">
        <v>46078.592152777775</v>
      </c>
      <c r="L3827">
        <v>1185</v>
      </c>
      <c r="M3827">
        <v>0</v>
      </c>
      <c r="N3827" s="98" t="str">
        <f>IF(record[[#This Row],[Memo]]="Browser:chrome os:android","平板報工",IF(record[[#This Row],[Memo]]=0,"委外",record[[#This Row],[Memo]]))</f>
        <v/>
      </c>
      <c r="O3827" t="s">
        <v>58</v>
      </c>
      <c r="P3827" t="s">
        <v>1070</v>
      </c>
      <c r="Q3827" t="s">
        <v>58</v>
      </c>
      <c r="R3827" t="str">
        <f>IFERROR(VLOOKUP(record[[#This Row],[PCUSTID]],廠商[],2,FALSE),"")</f>
        <v/>
      </c>
      <c r="S3827" t="str">
        <f>VLOOKUP(record[[#This Row],[employeeID]],員工[],2,FALSE)</f>
        <v>陳昱佑</v>
      </c>
    </row>
    <row r="3828" spans="6:19" hidden="1" x14ac:dyDescent="0.25">
      <c r="F3828" t="s">
        <v>1553</v>
      </c>
      <c r="G3828" t="s">
        <v>428</v>
      </c>
      <c r="H3828" t="str">
        <f>VLOOKUP(record[[#This Row],[ProcessSN]],表格2_7[],2,FALSE)</f>
        <v>30-4118-018-600</v>
      </c>
      <c r="I3828" t="str">
        <f>VLOOKUP(record[[#This Row],[ProcessSN]],表格2_7[],3,FALSE)</f>
        <v>#100SHIP</v>
      </c>
      <c r="J3828" t="s">
        <v>600</v>
      </c>
      <c r="K3828" s="195">
        <v>46078.357233796298</v>
      </c>
      <c r="L3828">
        <v>48</v>
      </c>
      <c r="M3828">
        <v>0</v>
      </c>
      <c r="N3828" s="98" t="str">
        <f>IF(record[[#This Row],[Memo]]="Browser:chrome os:android","平板報工",IF(record[[#This Row],[Memo]]=0,"委外",record[[#This Row],[Memo]]))</f>
        <v/>
      </c>
      <c r="O3828" t="s">
        <v>58</v>
      </c>
      <c r="P3828" t="s">
        <v>886</v>
      </c>
      <c r="Q3828" t="s">
        <v>58</v>
      </c>
      <c r="R3828" t="str">
        <f>IFERROR(VLOOKUP(record[[#This Row],[PCUSTID]],廠商[],2,FALSE),"")</f>
        <v/>
      </c>
      <c r="S3828" t="str">
        <f>VLOOKUP(record[[#This Row],[employeeID]],員工[],2,FALSE)</f>
        <v>謝蓁薰</v>
      </c>
    </row>
    <row r="3829" spans="6:19" hidden="1" x14ac:dyDescent="0.25">
      <c r="F3829" t="s">
        <v>1534</v>
      </c>
      <c r="G3829" t="s">
        <v>428</v>
      </c>
      <c r="H3829" t="str">
        <f>VLOOKUP(record[[#This Row],[ProcessSN]],表格2_7[],2,FALSE)</f>
        <v>30-4118-018-600</v>
      </c>
      <c r="I3829" t="str">
        <f>VLOOKUP(record[[#This Row],[ProcessSN]],表格2_7[],3,FALSE)</f>
        <v>#100SHIP</v>
      </c>
      <c r="J3829" t="s">
        <v>600</v>
      </c>
      <c r="K3829" s="195">
        <v>46078.356979166667</v>
      </c>
      <c r="L3829">
        <v>75</v>
      </c>
      <c r="M3829">
        <v>0</v>
      </c>
      <c r="N3829" s="98" t="str">
        <f>IF(record[[#This Row],[Memo]]="Browser:chrome os:android","平板報工",IF(record[[#This Row],[Memo]]=0,"委外",record[[#This Row],[Memo]]))</f>
        <v/>
      </c>
      <c r="O3829" t="s">
        <v>58</v>
      </c>
      <c r="P3829" t="s">
        <v>886</v>
      </c>
      <c r="Q3829" t="s">
        <v>58</v>
      </c>
      <c r="R3829" t="str">
        <f>IFERROR(VLOOKUP(record[[#This Row],[PCUSTID]],廠商[],2,FALSE),"")</f>
        <v/>
      </c>
      <c r="S3829" t="str">
        <f>VLOOKUP(record[[#This Row],[employeeID]],員工[],2,FALSE)</f>
        <v>謝蓁薰</v>
      </c>
    </row>
    <row r="3830" spans="6:19" hidden="1" x14ac:dyDescent="0.25">
      <c r="F3830" t="s">
        <v>1484</v>
      </c>
      <c r="G3830" t="s">
        <v>428</v>
      </c>
      <c r="H3830" t="str">
        <f>VLOOKUP(record[[#This Row],[ProcessSN]],表格2_7[],2,FALSE)</f>
        <v>30-4118-018-600</v>
      </c>
      <c r="I3830" t="str">
        <f>VLOOKUP(record[[#This Row],[ProcessSN]],表格2_7[],3,FALSE)</f>
        <v>#100SHIP</v>
      </c>
      <c r="J3830" t="s">
        <v>600</v>
      </c>
      <c r="K3830" s="195">
        <v>46078.356770833336</v>
      </c>
      <c r="L3830">
        <v>2</v>
      </c>
      <c r="M3830">
        <v>0</v>
      </c>
      <c r="N3830" s="98" t="str">
        <f>IF(record[[#This Row],[Memo]]="Browser:chrome os:android","平板報工",IF(record[[#This Row],[Memo]]=0,"委外",record[[#This Row],[Memo]]))</f>
        <v/>
      </c>
      <c r="O3830" t="s">
        <v>58</v>
      </c>
      <c r="P3830" t="s">
        <v>886</v>
      </c>
      <c r="Q3830" t="s">
        <v>58</v>
      </c>
      <c r="R3830" t="str">
        <f>IFERROR(VLOOKUP(record[[#This Row],[PCUSTID]],廠商[],2,FALSE),"")</f>
        <v/>
      </c>
      <c r="S3830" t="str">
        <f>VLOOKUP(record[[#This Row],[employeeID]],員工[],2,FALSE)</f>
        <v>謝蓁薰</v>
      </c>
    </row>
    <row r="3831" spans="6:19" hidden="1" x14ac:dyDescent="0.25">
      <c r="F3831" t="s">
        <v>1510</v>
      </c>
      <c r="G3831" t="s">
        <v>428</v>
      </c>
      <c r="H3831" t="str">
        <f>VLOOKUP(record[[#This Row],[ProcessSN]],表格2_7[],2,FALSE)</f>
        <v>30-4118-018-600</v>
      </c>
      <c r="I3831" t="str">
        <f>VLOOKUP(record[[#This Row],[ProcessSN]],表格2_7[],3,FALSE)</f>
        <v>#100SHIP</v>
      </c>
      <c r="J3831" t="s">
        <v>600</v>
      </c>
      <c r="K3831" s="195">
        <v>46078.356608796297</v>
      </c>
      <c r="L3831">
        <v>3</v>
      </c>
      <c r="M3831">
        <v>0</v>
      </c>
      <c r="N3831" s="98" t="str">
        <f>IF(record[[#This Row],[Memo]]="Browser:chrome os:android","平板報工",IF(record[[#This Row],[Memo]]=0,"委外",record[[#This Row],[Memo]]))</f>
        <v/>
      </c>
      <c r="O3831" t="s">
        <v>58</v>
      </c>
      <c r="P3831" t="s">
        <v>886</v>
      </c>
      <c r="Q3831" t="s">
        <v>58</v>
      </c>
      <c r="R3831" t="str">
        <f>IFERROR(VLOOKUP(record[[#This Row],[PCUSTID]],廠商[],2,FALSE),"")</f>
        <v/>
      </c>
      <c r="S3831" t="str">
        <f>VLOOKUP(record[[#This Row],[employeeID]],員工[],2,FALSE)</f>
        <v>謝蓁薰</v>
      </c>
    </row>
    <row r="3832" spans="6:19" hidden="1" x14ac:dyDescent="0.25">
      <c r="F3832" t="s">
        <v>1549</v>
      </c>
      <c r="G3832" t="s">
        <v>403</v>
      </c>
      <c r="H3832" t="str">
        <f>VLOOKUP(record[[#This Row],[ProcessSN]],表格2_7[],2,FALSE)</f>
        <v>30-4118-018-550</v>
      </c>
      <c r="I3832" t="str">
        <f>VLOOKUP(record[[#This Row],[ProcessSN]],表格2_7[],3,FALSE)</f>
        <v>#100SHIP</v>
      </c>
      <c r="J3832" t="s">
        <v>600</v>
      </c>
      <c r="K3832" s="195">
        <v>46078.356446759259</v>
      </c>
      <c r="L3832">
        <v>47</v>
      </c>
      <c r="M3832">
        <v>0</v>
      </c>
      <c r="N3832" s="98" t="str">
        <f>IF(record[[#This Row],[Memo]]="Browser:chrome os:android","平板報工",IF(record[[#This Row],[Memo]]=0,"委外",record[[#This Row],[Memo]]))</f>
        <v/>
      </c>
      <c r="O3832" t="s">
        <v>58</v>
      </c>
      <c r="P3832" t="s">
        <v>886</v>
      </c>
      <c r="Q3832" t="s">
        <v>58</v>
      </c>
      <c r="R3832" t="str">
        <f>IFERROR(VLOOKUP(record[[#This Row],[PCUSTID]],廠商[],2,FALSE),"")</f>
        <v/>
      </c>
      <c r="S3832" t="str">
        <f>VLOOKUP(record[[#This Row],[employeeID]],員工[],2,FALSE)</f>
        <v>謝蓁薰</v>
      </c>
    </row>
    <row r="3833" spans="6:19" hidden="1" x14ac:dyDescent="0.25">
      <c r="F3833" t="s">
        <v>1544</v>
      </c>
      <c r="G3833" t="s">
        <v>403</v>
      </c>
      <c r="H3833" t="str">
        <f>VLOOKUP(record[[#This Row],[ProcessSN]],表格2_7[],2,FALSE)</f>
        <v>30-4118-018-550</v>
      </c>
      <c r="I3833" t="str">
        <f>VLOOKUP(record[[#This Row],[ProcessSN]],表格2_7[],3,FALSE)</f>
        <v>#100SHIP</v>
      </c>
      <c r="J3833" t="s">
        <v>600</v>
      </c>
      <c r="K3833" s="195">
        <v>46078.356226851851</v>
      </c>
      <c r="L3833">
        <v>40</v>
      </c>
      <c r="M3833">
        <v>0</v>
      </c>
      <c r="N3833" s="98" t="str">
        <f>IF(record[[#This Row],[Memo]]="Browser:chrome os:android","平板報工",IF(record[[#This Row],[Memo]]=0,"委外",record[[#This Row],[Memo]]))</f>
        <v/>
      </c>
      <c r="O3833" t="s">
        <v>58</v>
      </c>
      <c r="P3833" t="s">
        <v>886</v>
      </c>
      <c r="Q3833" t="s">
        <v>58</v>
      </c>
      <c r="R3833" t="str">
        <f>IFERROR(VLOOKUP(record[[#This Row],[PCUSTID]],廠商[],2,FALSE),"")</f>
        <v/>
      </c>
      <c r="S3833" t="str">
        <f>VLOOKUP(record[[#This Row],[employeeID]],員工[],2,FALSE)</f>
        <v>謝蓁薰</v>
      </c>
    </row>
    <row r="3834" spans="6:19" hidden="1" x14ac:dyDescent="0.25">
      <c r="F3834" t="s">
        <v>1569</v>
      </c>
      <c r="G3834" t="s">
        <v>448</v>
      </c>
      <c r="H3834" t="str">
        <f>VLOOKUP(record[[#This Row],[ProcessSN]],表格2_7[],2,FALSE)</f>
        <v>30-4118-018-6XX</v>
      </c>
      <c r="I3834" t="str">
        <f>VLOOKUP(record[[#This Row],[ProcessSN]],表格2_7[],3,FALSE)</f>
        <v>#04</v>
      </c>
      <c r="J3834" t="s">
        <v>588</v>
      </c>
      <c r="K3834" s="195">
        <v>46078.293449074074</v>
      </c>
      <c r="L3834">
        <v>57</v>
      </c>
      <c r="M3834">
        <v>0</v>
      </c>
      <c r="N3834" s="98" t="str">
        <f>IF(record[[#This Row],[Memo]]="Browser:chrome os:android","平板報工",IF(record[[#This Row],[Memo]]=0,"委外",record[[#This Row],[Memo]]))</f>
        <v/>
      </c>
      <c r="O3834" t="s">
        <v>58</v>
      </c>
      <c r="P3834" t="s">
        <v>843</v>
      </c>
      <c r="Q3834" t="s">
        <v>58</v>
      </c>
      <c r="R3834" t="str">
        <f>IFERROR(VLOOKUP(record[[#This Row],[PCUSTID]],廠商[],2,FALSE),"")</f>
        <v/>
      </c>
      <c r="S3834" t="str">
        <f>VLOOKUP(record[[#This Row],[employeeID]],員工[],2,FALSE)</f>
        <v>張楚承</v>
      </c>
    </row>
    <row r="3835" spans="6:19" hidden="1" x14ac:dyDescent="0.25">
      <c r="F3835" t="s">
        <v>1517</v>
      </c>
      <c r="G3835" t="s">
        <v>450</v>
      </c>
      <c r="H3835" t="str">
        <f>VLOOKUP(record[[#This Row],[ProcessSN]],表格2_7[],2,FALSE)</f>
        <v>30-4118-018-6XX</v>
      </c>
      <c r="I3835" t="str">
        <f>VLOOKUP(record[[#This Row],[ProcessSN]],表格2_7[],3,FALSE)</f>
        <v>#06</v>
      </c>
      <c r="J3835" t="s">
        <v>593</v>
      </c>
      <c r="K3835" s="195">
        <v>46078.003854166665</v>
      </c>
      <c r="L3835">
        <v>65</v>
      </c>
      <c r="M3835">
        <v>0</v>
      </c>
      <c r="N3835" s="98" t="str">
        <f>IF(record[[#This Row],[Memo]]="Browser:chrome os:android","平板報工",IF(record[[#This Row],[Memo]]=0,"委外",record[[#This Row],[Memo]]))</f>
        <v/>
      </c>
      <c r="O3835" t="s">
        <v>58</v>
      </c>
      <c r="P3835" t="s">
        <v>841</v>
      </c>
      <c r="Q3835" t="s">
        <v>58</v>
      </c>
      <c r="R3835" t="str">
        <f>IFERROR(VLOOKUP(record[[#This Row],[PCUSTID]],廠商[],2,FALSE),"")</f>
        <v/>
      </c>
      <c r="S3835" t="str">
        <f>VLOOKUP(record[[#This Row],[employeeID]],員工[],2,FALSE)</f>
        <v>范氏香</v>
      </c>
    </row>
    <row r="3836" spans="6:19" hidden="1" x14ac:dyDescent="0.25">
      <c r="F3836" t="s">
        <v>1527</v>
      </c>
      <c r="G3836" t="s">
        <v>451</v>
      </c>
      <c r="H3836" t="str">
        <f>VLOOKUP(record[[#This Row],[ProcessSN]],表格2_7[],2,FALSE)</f>
        <v>30-4118-018-6XX</v>
      </c>
      <c r="I3836" t="str">
        <f>VLOOKUP(record[[#This Row],[ProcessSN]],表格2_7[],3,FALSE)</f>
        <v>#07</v>
      </c>
      <c r="J3836" t="s">
        <v>588</v>
      </c>
      <c r="K3836" s="195">
        <v>46077.997210648151</v>
      </c>
      <c r="L3836">
        <v>210</v>
      </c>
      <c r="M3836">
        <v>4</v>
      </c>
      <c r="N3836" s="98" t="str">
        <f>IF(record[[#This Row],[Memo]]="Browser:chrome os:android","平板報工",IF(record[[#This Row],[Memo]]=0,"委外",record[[#This Row],[Memo]]))</f>
        <v/>
      </c>
      <c r="O3836" t="s">
        <v>58</v>
      </c>
      <c r="P3836" t="s">
        <v>1098</v>
      </c>
      <c r="Q3836" t="s">
        <v>58</v>
      </c>
      <c r="R3836" t="str">
        <f>IFERROR(VLOOKUP(record[[#This Row],[PCUSTID]],廠商[],2,FALSE),"")</f>
        <v/>
      </c>
      <c r="S3836" t="str">
        <f>VLOOKUP(record[[#This Row],[employeeID]],員工[],2,FALSE)</f>
        <v>阮氏芳英(英)</v>
      </c>
    </row>
    <row r="3837" spans="6:19" hidden="1" x14ac:dyDescent="0.25">
      <c r="F3837" t="s">
        <v>1569</v>
      </c>
      <c r="G3837" t="s">
        <v>448</v>
      </c>
      <c r="H3837" t="str">
        <f>VLOOKUP(record[[#This Row],[ProcessSN]],表格2_7[],2,FALSE)</f>
        <v>30-4118-018-6XX</v>
      </c>
      <c r="I3837" t="str">
        <f>VLOOKUP(record[[#This Row],[ProcessSN]],表格2_7[],3,FALSE)</f>
        <v>#04</v>
      </c>
      <c r="J3837" t="s">
        <v>588</v>
      </c>
      <c r="K3837" s="195">
        <v>46077.987013888887</v>
      </c>
      <c r="L3837">
        <v>138</v>
      </c>
      <c r="M3837">
        <v>0</v>
      </c>
      <c r="N3837" s="98" t="str">
        <f>IF(record[[#This Row],[Memo]]="Browser:chrome os:android","平板報工",IF(record[[#This Row],[Memo]]=0,"委外",record[[#This Row],[Memo]]))</f>
        <v/>
      </c>
      <c r="O3837" t="s">
        <v>58</v>
      </c>
      <c r="P3837" t="s">
        <v>89</v>
      </c>
      <c r="Q3837" t="s">
        <v>58</v>
      </c>
      <c r="R3837" t="str">
        <f>IFERROR(VLOOKUP(record[[#This Row],[PCUSTID]],廠商[],2,FALSE),"")</f>
        <v/>
      </c>
      <c r="S3837" t="str">
        <f>VLOOKUP(record[[#This Row],[employeeID]],員工[],2,FALSE)</f>
        <v>李美蓮</v>
      </c>
    </row>
    <row r="3838" spans="6:19" hidden="1" x14ac:dyDescent="0.25">
      <c r="F3838" t="s">
        <v>1527</v>
      </c>
      <c r="G3838" t="s">
        <v>450</v>
      </c>
      <c r="H3838" t="str">
        <f>VLOOKUP(record[[#This Row],[ProcessSN]],表格2_7[],2,FALSE)</f>
        <v>30-4118-018-6XX</v>
      </c>
      <c r="I3838" t="str">
        <f>VLOOKUP(record[[#This Row],[ProcessSN]],表格2_7[],3,FALSE)</f>
        <v>#06</v>
      </c>
      <c r="J3838" t="s">
        <v>593</v>
      </c>
      <c r="K3838" s="195">
        <v>46077.819120370368</v>
      </c>
      <c r="L3838">
        <v>56</v>
      </c>
      <c r="M3838">
        <v>0</v>
      </c>
      <c r="N3838" s="98" t="str">
        <f>IF(record[[#This Row],[Memo]]="Browser:chrome os:android","平板報工",IF(record[[#This Row],[Memo]]=0,"委外",record[[#This Row],[Memo]]))</f>
        <v/>
      </c>
      <c r="O3838" t="s">
        <v>58</v>
      </c>
      <c r="P3838" t="s">
        <v>785</v>
      </c>
      <c r="Q3838" t="s">
        <v>58</v>
      </c>
      <c r="R3838" t="str">
        <f>IFERROR(VLOOKUP(record[[#This Row],[PCUSTID]],廠商[],2,FALSE),"")</f>
        <v/>
      </c>
      <c r="S3838" t="str">
        <f>VLOOKUP(record[[#This Row],[employeeID]],員工[],2,FALSE)</f>
        <v>謝刻光</v>
      </c>
    </row>
    <row r="3839" spans="6:19" hidden="1" x14ac:dyDescent="0.25">
      <c r="F3839" t="s">
        <v>1581</v>
      </c>
      <c r="G3839" t="s">
        <v>358</v>
      </c>
      <c r="H3839" t="str">
        <f>VLOOKUP(record[[#This Row],[ProcessSN]],表格2_7[],2,FALSE)</f>
        <v>30-4118-018-450</v>
      </c>
      <c r="I3839" t="str">
        <f>VLOOKUP(record[[#This Row],[ProcessSN]],表格2_7[],3,FALSE)</f>
        <v>#08IQC</v>
      </c>
      <c r="J3839" t="s">
        <v>583</v>
      </c>
      <c r="K3839" s="195">
        <v>46077.763124999998</v>
      </c>
      <c r="L3839">
        <v>0</v>
      </c>
      <c r="M3839">
        <v>31</v>
      </c>
      <c r="N3839" s="98" t="str">
        <f>IF(record[[#This Row],[Memo]]="Browser:chrome os:android","平板報工",IF(record[[#This Row],[Memo]]=0,"委外",record[[#This Row],[Memo]]))</f>
        <v>素材瘡孔露白,開立不合格品單</v>
      </c>
      <c r="O3839" t="s">
        <v>1592</v>
      </c>
      <c r="P3839" t="s">
        <v>172</v>
      </c>
      <c r="Q3839" t="s">
        <v>58</v>
      </c>
      <c r="R3839" t="str">
        <f>IFERROR(VLOOKUP(record[[#This Row],[PCUSTID]],廠商[],2,FALSE),"")</f>
        <v/>
      </c>
      <c r="S3839" t="str">
        <f>VLOOKUP(record[[#This Row],[employeeID]],員工[],2,FALSE)</f>
        <v>李采玲</v>
      </c>
    </row>
    <row r="3840" spans="6:19" hidden="1" x14ac:dyDescent="0.25">
      <c r="F3840" t="s">
        <v>1582</v>
      </c>
      <c r="G3840" t="s">
        <v>399</v>
      </c>
      <c r="H3840" t="str">
        <f>VLOOKUP(record[[#This Row],[ProcessSN]],表格2_7[],2,FALSE)</f>
        <v>30-4118-018-550</v>
      </c>
      <c r="I3840" t="str">
        <f>VLOOKUP(record[[#This Row],[ProcessSN]],表格2_7[],3,FALSE)</f>
        <v>#08IQC</v>
      </c>
      <c r="J3840" t="s">
        <v>583</v>
      </c>
      <c r="K3840" s="195">
        <v>46077.762858796297</v>
      </c>
      <c r="L3840">
        <v>22</v>
      </c>
      <c r="M3840">
        <v>0</v>
      </c>
      <c r="N3840" s="98" t="str">
        <f>IF(record[[#This Row],[Memo]]="Browser:chrome os:android","平板報工",IF(record[[#This Row],[Memo]]=0,"委外",record[[#This Row],[Memo]]))</f>
        <v/>
      </c>
      <c r="O3840" t="s">
        <v>58</v>
      </c>
      <c r="P3840" t="s">
        <v>172</v>
      </c>
      <c r="Q3840" t="s">
        <v>58</v>
      </c>
      <c r="R3840" t="str">
        <f>IFERROR(VLOOKUP(record[[#This Row],[PCUSTID]],廠商[],2,FALSE),"")</f>
        <v/>
      </c>
      <c r="S3840" t="str">
        <f>VLOOKUP(record[[#This Row],[employeeID]],員工[],2,FALSE)</f>
        <v>李采玲</v>
      </c>
    </row>
    <row r="3841" spans="6:19" hidden="1" x14ac:dyDescent="0.25">
      <c r="F3841" t="s">
        <v>1585</v>
      </c>
      <c r="G3841" t="s">
        <v>424</v>
      </c>
      <c r="H3841" t="str">
        <f>VLOOKUP(record[[#This Row],[ProcessSN]],表格2_7[],2,FALSE)</f>
        <v>30-4118-018-600</v>
      </c>
      <c r="I3841" t="str">
        <f>VLOOKUP(record[[#This Row],[ProcessSN]],表格2_7[],3,FALSE)</f>
        <v>#08IQC</v>
      </c>
      <c r="J3841" t="s">
        <v>583</v>
      </c>
      <c r="K3841" s="195">
        <v>46077.762569444443</v>
      </c>
      <c r="L3841">
        <v>493</v>
      </c>
      <c r="M3841">
        <v>0</v>
      </c>
      <c r="N3841" s="98" t="str">
        <f>IF(record[[#This Row],[Memo]]="Browser:chrome os:android","平板報工",IF(record[[#This Row],[Memo]]=0,"委外",record[[#This Row],[Memo]]))</f>
        <v/>
      </c>
      <c r="O3841" t="s">
        <v>58</v>
      </c>
      <c r="P3841" t="s">
        <v>172</v>
      </c>
      <c r="Q3841" t="s">
        <v>58</v>
      </c>
      <c r="R3841" t="str">
        <f>IFERROR(VLOOKUP(record[[#This Row],[PCUSTID]],廠商[],2,FALSE),"")</f>
        <v/>
      </c>
      <c r="S3841" t="str">
        <f>VLOOKUP(record[[#This Row],[employeeID]],員工[],2,FALSE)</f>
        <v>李采玲</v>
      </c>
    </row>
    <row r="3842" spans="6:19" hidden="1" x14ac:dyDescent="0.25">
      <c r="F3842" t="s">
        <v>1527</v>
      </c>
      <c r="G3842" t="s">
        <v>451</v>
      </c>
      <c r="H3842" t="str">
        <f>VLOOKUP(record[[#This Row],[ProcessSN]],表格2_7[],2,FALSE)</f>
        <v>30-4118-018-6XX</v>
      </c>
      <c r="I3842" t="str">
        <f>VLOOKUP(record[[#This Row],[ProcessSN]],表格2_7[],3,FALSE)</f>
        <v>#07</v>
      </c>
      <c r="J3842" t="s">
        <v>588</v>
      </c>
      <c r="K3842" s="195">
        <v>46077.654930555553</v>
      </c>
      <c r="L3842">
        <v>48</v>
      </c>
      <c r="M3842">
        <v>0</v>
      </c>
      <c r="N3842" s="98" t="str">
        <f>IF(record[[#This Row],[Memo]]="Browser:chrome os:android","平板報工",IF(record[[#This Row],[Memo]]=0,"委外",record[[#This Row],[Memo]]))</f>
        <v>平板報工</v>
      </c>
      <c r="O3842" t="s">
        <v>643</v>
      </c>
      <c r="P3842" t="s">
        <v>145</v>
      </c>
      <c r="Q3842" t="s">
        <v>644</v>
      </c>
      <c r="R3842" t="str">
        <f>IFERROR(VLOOKUP(record[[#This Row],[PCUSTID]],廠商[],2,FALSE),"")</f>
        <v/>
      </c>
      <c r="S3842" t="str">
        <f>VLOOKUP(record[[#This Row],[employeeID]],員工[],2,FALSE)</f>
        <v>阮秋霞</v>
      </c>
    </row>
    <row r="3843" spans="6:19" hidden="1" x14ac:dyDescent="0.25">
      <c r="F3843" t="s">
        <v>1585</v>
      </c>
      <c r="G3843" t="s">
        <v>423</v>
      </c>
      <c r="H3843" t="str">
        <f>VLOOKUP(record[[#This Row],[ProcessSN]],表格2_7[],2,FALSE)</f>
        <v>30-4118-018-600</v>
      </c>
      <c r="I3843" t="str">
        <f>VLOOKUP(record[[#This Row],[ProcessSN]],表格2_7[],3,FALSE)</f>
        <v>#08RCV</v>
      </c>
      <c r="J3843" t="s">
        <v>591</v>
      </c>
      <c r="K3843" s="195">
        <v>46077.65221064815</v>
      </c>
      <c r="L3843">
        <v>493</v>
      </c>
      <c r="M3843">
        <v>0</v>
      </c>
      <c r="N3843" s="98" t="str">
        <f>IF(record[[#This Row],[Memo]]="Browser:chrome os:android","平板報工",IF(record[[#This Row],[Memo]]=0,"委外",record[[#This Row],[Memo]]))</f>
        <v/>
      </c>
      <c r="O3843" t="s">
        <v>58</v>
      </c>
      <c r="P3843" t="s">
        <v>186</v>
      </c>
      <c r="Q3843" t="s">
        <v>58</v>
      </c>
      <c r="R3843" t="str">
        <f>IFERROR(VLOOKUP(record[[#This Row],[PCUSTID]],廠商[],2,FALSE),"")</f>
        <v/>
      </c>
      <c r="S3843" t="str">
        <f>VLOOKUP(record[[#This Row],[employeeID]],員工[],2,FALSE)</f>
        <v>許文姍</v>
      </c>
    </row>
    <row r="3844" spans="6:19" hidden="1" x14ac:dyDescent="0.25">
      <c r="F3844" t="s">
        <v>1581</v>
      </c>
      <c r="G3844" t="s">
        <v>357</v>
      </c>
      <c r="H3844" t="str">
        <f>VLOOKUP(record[[#This Row],[ProcessSN]],表格2_7[],2,FALSE)</f>
        <v>30-4118-018-450</v>
      </c>
      <c r="I3844" t="str">
        <f>VLOOKUP(record[[#This Row],[ProcessSN]],表格2_7[],3,FALSE)</f>
        <v>#08RCV</v>
      </c>
      <c r="J3844" t="s">
        <v>591</v>
      </c>
      <c r="K3844" s="195">
        <v>46077.652071759258</v>
      </c>
      <c r="L3844">
        <v>31</v>
      </c>
      <c r="M3844">
        <v>0</v>
      </c>
      <c r="N3844" s="98" t="str">
        <f>IF(record[[#This Row],[Memo]]="Browser:chrome os:android","平板報工",IF(record[[#This Row],[Memo]]=0,"委外",record[[#This Row],[Memo]]))</f>
        <v/>
      </c>
      <c r="O3844" t="s">
        <v>58</v>
      </c>
      <c r="P3844" t="s">
        <v>186</v>
      </c>
      <c r="Q3844" t="s">
        <v>58</v>
      </c>
      <c r="R3844" t="str">
        <f>IFERROR(VLOOKUP(record[[#This Row],[PCUSTID]],廠商[],2,FALSE),"")</f>
        <v/>
      </c>
      <c r="S3844" t="str">
        <f>VLOOKUP(record[[#This Row],[employeeID]],員工[],2,FALSE)</f>
        <v>許文姍</v>
      </c>
    </row>
    <row r="3845" spans="6:19" hidden="1" x14ac:dyDescent="0.25">
      <c r="F3845" t="s">
        <v>1582</v>
      </c>
      <c r="G3845" t="s">
        <v>398</v>
      </c>
      <c r="H3845" t="str">
        <f>VLOOKUP(record[[#This Row],[ProcessSN]],表格2_7[],2,FALSE)</f>
        <v>30-4118-018-550</v>
      </c>
      <c r="I3845" t="str">
        <f>VLOOKUP(record[[#This Row],[ProcessSN]],表格2_7[],3,FALSE)</f>
        <v>#08RCV</v>
      </c>
      <c r="J3845" t="s">
        <v>591</v>
      </c>
      <c r="K3845" s="195">
        <v>46077.651932870373</v>
      </c>
      <c r="L3845">
        <v>22</v>
      </c>
      <c r="M3845">
        <v>0</v>
      </c>
      <c r="N3845" s="98" t="str">
        <f>IF(record[[#This Row],[Memo]]="Browser:chrome os:android","平板報工",IF(record[[#This Row],[Memo]]=0,"委外",record[[#This Row],[Memo]]))</f>
        <v/>
      </c>
      <c r="O3845" t="s">
        <v>58</v>
      </c>
      <c r="P3845" t="s">
        <v>186</v>
      </c>
      <c r="Q3845" t="s">
        <v>58</v>
      </c>
      <c r="R3845" t="str">
        <f>IFERROR(VLOOKUP(record[[#This Row],[PCUSTID]],廠商[],2,FALSE),"")</f>
        <v/>
      </c>
      <c r="S3845" t="str">
        <f>VLOOKUP(record[[#This Row],[employeeID]],員工[],2,FALSE)</f>
        <v>許文姍</v>
      </c>
    </row>
    <row r="3846" spans="6:19" hidden="1" x14ac:dyDescent="0.25">
      <c r="F3846" t="s">
        <v>1569</v>
      </c>
      <c r="G3846" t="s">
        <v>448</v>
      </c>
      <c r="H3846" t="str">
        <f>VLOOKUP(record[[#This Row],[ProcessSN]],表格2_7[],2,FALSE)</f>
        <v>30-4118-018-6XX</v>
      </c>
      <c r="I3846" t="str">
        <f>VLOOKUP(record[[#This Row],[ProcessSN]],表格2_7[],3,FALSE)</f>
        <v>#04</v>
      </c>
      <c r="J3846" t="s">
        <v>588</v>
      </c>
      <c r="K3846" s="195">
        <v>46077.644768518519</v>
      </c>
      <c r="L3846">
        <v>20</v>
      </c>
      <c r="M3846">
        <v>0</v>
      </c>
      <c r="N3846" s="98" t="str">
        <f>IF(record[[#This Row],[Memo]]="Browser:chrome os:android","平板報工",IF(record[[#This Row],[Memo]]=0,"委外",record[[#This Row],[Memo]]))</f>
        <v>平板報工</v>
      </c>
      <c r="O3846" t="s">
        <v>643</v>
      </c>
      <c r="P3846" t="s">
        <v>107</v>
      </c>
      <c r="Q3846" t="s">
        <v>644</v>
      </c>
      <c r="R3846" t="str">
        <f>IFERROR(VLOOKUP(record[[#This Row],[PCUSTID]],廠商[],2,FALSE),"")</f>
        <v/>
      </c>
      <c r="S3846" t="str">
        <f>VLOOKUP(record[[#This Row],[employeeID]],員工[],2,FALSE)</f>
        <v>黎氏順</v>
      </c>
    </row>
    <row r="3847" spans="6:19" hidden="1" x14ac:dyDescent="0.25">
      <c r="F3847" t="s">
        <v>1527</v>
      </c>
      <c r="G3847" t="s">
        <v>450</v>
      </c>
      <c r="H3847" t="str">
        <f>VLOOKUP(record[[#This Row],[ProcessSN]],表格2_7[],2,FALSE)</f>
        <v>30-4118-018-6XX</v>
      </c>
      <c r="I3847" t="str">
        <f>VLOOKUP(record[[#This Row],[ProcessSN]],表格2_7[],3,FALSE)</f>
        <v>#06</v>
      </c>
      <c r="J3847" t="s">
        <v>593</v>
      </c>
      <c r="K3847" s="195">
        <v>46077.630127314813</v>
      </c>
      <c r="L3847">
        <v>110</v>
      </c>
      <c r="M3847">
        <v>0</v>
      </c>
      <c r="N3847" s="98" t="str">
        <f>IF(record[[#This Row],[Memo]]="Browser:chrome os:android","平板報工",IF(record[[#This Row],[Memo]]=0,"委外",record[[#This Row],[Memo]]))</f>
        <v>平板報工</v>
      </c>
      <c r="O3847" t="s">
        <v>643</v>
      </c>
      <c r="P3847" t="s">
        <v>1413</v>
      </c>
      <c r="Q3847" t="s">
        <v>644</v>
      </c>
      <c r="R3847" t="str">
        <f>IFERROR(VLOOKUP(record[[#This Row],[PCUSTID]],廠商[],2,FALSE),"")</f>
        <v/>
      </c>
      <c r="S3847" t="str">
        <f>VLOOKUP(record[[#This Row],[employeeID]],員工[],2,FALSE)</f>
        <v>阮氏芳英(芳)</v>
      </c>
    </row>
    <row r="3848" spans="6:19" hidden="1" x14ac:dyDescent="0.25">
      <c r="F3848" t="s">
        <v>1553</v>
      </c>
      <c r="G3848" t="s">
        <v>427</v>
      </c>
      <c r="H3848" t="str">
        <f>VLOOKUP(record[[#This Row],[ProcessSN]],表格2_7[],2,FALSE)</f>
        <v>30-4118-018-600</v>
      </c>
      <c r="I3848" t="str">
        <f>VLOOKUP(record[[#This Row],[ProcessSN]],表格2_7[],3,FALSE)</f>
        <v>#100STOCK</v>
      </c>
      <c r="J3848" t="s">
        <v>592</v>
      </c>
      <c r="K3848" s="195">
        <v>46077.479837962965</v>
      </c>
      <c r="L3848">
        <v>124</v>
      </c>
      <c r="M3848">
        <v>0</v>
      </c>
      <c r="N3848" s="98" t="str">
        <f>IF(record[[#This Row],[Memo]]="Browser:chrome os:android","平板報工",IF(record[[#This Row],[Memo]]=0,"委外",record[[#This Row],[Memo]]))</f>
        <v/>
      </c>
      <c r="O3848" t="s">
        <v>58</v>
      </c>
      <c r="P3848" t="s">
        <v>886</v>
      </c>
      <c r="Q3848" t="s">
        <v>58</v>
      </c>
      <c r="R3848" t="str">
        <f>IFERROR(VLOOKUP(record[[#This Row],[PCUSTID]],廠商[],2,FALSE),"")</f>
        <v/>
      </c>
      <c r="S3848" t="str">
        <f>VLOOKUP(record[[#This Row],[employeeID]],員工[],2,FALSE)</f>
        <v>謝蓁薰</v>
      </c>
    </row>
    <row r="3849" spans="6:19" hidden="1" x14ac:dyDescent="0.25">
      <c r="F3849" t="s">
        <v>1534</v>
      </c>
      <c r="G3849" t="s">
        <v>427</v>
      </c>
      <c r="H3849" t="str">
        <f>VLOOKUP(record[[#This Row],[ProcessSN]],表格2_7[],2,FALSE)</f>
        <v>30-4118-018-600</v>
      </c>
      <c r="I3849" t="str">
        <f>VLOOKUP(record[[#This Row],[ProcessSN]],表格2_7[],3,FALSE)</f>
        <v>#100STOCK</v>
      </c>
      <c r="J3849" t="s">
        <v>592</v>
      </c>
      <c r="K3849" s="195">
        <v>46077.479502314818</v>
      </c>
      <c r="L3849">
        <v>196</v>
      </c>
      <c r="M3849">
        <v>0</v>
      </c>
      <c r="N3849" s="98" t="str">
        <f>IF(record[[#This Row],[Memo]]="Browser:chrome os:android","平板報工",IF(record[[#This Row],[Memo]]=0,"委外",record[[#This Row],[Memo]]))</f>
        <v/>
      </c>
      <c r="O3849" t="s">
        <v>58</v>
      </c>
      <c r="P3849" t="s">
        <v>886</v>
      </c>
      <c r="Q3849" t="s">
        <v>58</v>
      </c>
      <c r="R3849" t="str">
        <f>IFERROR(VLOOKUP(record[[#This Row],[PCUSTID]],廠商[],2,FALSE),"")</f>
        <v/>
      </c>
      <c r="S3849" t="str">
        <f>VLOOKUP(record[[#This Row],[employeeID]],員工[],2,FALSE)</f>
        <v>謝蓁薰</v>
      </c>
    </row>
    <row r="3850" spans="6:19" hidden="1" x14ac:dyDescent="0.25">
      <c r="F3850" t="s">
        <v>1484</v>
      </c>
      <c r="G3850" t="s">
        <v>427</v>
      </c>
      <c r="H3850" t="str">
        <f>VLOOKUP(record[[#This Row],[ProcessSN]],表格2_7[],2,FALSE)</f>
        <v>30-4118-018-600</v>
      </c>
      <c r="I3850" t="str">
        <f>VLOOKUP(record[[#This Row],[ProcessSN]],表格2_7[],3,FALSE)</f>
        <v>#100STOCK</v>
      </c>
      <c r="J3850" t="s">
        <v>592</v>
      </c>
      <c r="K3850" s="195">
        <v>46077.478865740741</v>
      </c>
      <c r="L3850">
        <v>2</v>
      </c>
      <c r="M3850">
        <v>0</v>
      </c>
      <c r="N3850" s="98" t="str">
        <f>IF(record[[#This Row],[Memo]]="Browser:chrome os:android","平板報工",IF(record[[#This Row],[Memo]]=0,"委外",record[[#This Row],[Memo]]))</f>
        <v/>
      </c>
      <c r="O3850" t="s">
        <v>58</v>
      </c>
      <c r="P3850" t="s">
        <v>886</v>
      </c>
      <c r="Q3850" t="s">
        <v>58</v>
      </c>
      <c r="R3850" t="str">
        <f>IFERROR(VLOOKUP(record[[#This Row],[PCUSTID]],廠商[],2,FALSE),"")</f>
        <v/>
      </c>
      <c r="S3850" t="str">
        <f>VLOOKUP(record[[#This Row],[employeeID]],員工[],2,FALSE)</f>
        <v>謝蓁薰</v>
      </c>
    </row>
    <row r="3851" spans="6:19" hidden="1" x14ac:dyDescent="0.25">
      <c r="F3851" t="s">
        <v>1510</v>
      </c>
      <c r="G3851" t="s">
        <v>427</v>
      </c>
      <c r="H3851" t="str">
        <f>VLOOKUP(record[[#This Row],[ProcessSN]],表格2_7[],2,FALSE)</f>
        <v>30-4118-018-600</v>
      </c>
      <c r="I3851" t="str">
        <f>VLOOKUP(record[[#This Row],[ProcessSN]],表格2_7[],3,FALSE)</f>
        <v>#100STOCK</v>
      </c>
      <c r="J3851" t="s">
        <v>592</v>
      </c>
      <c r="K3851" s="195">
        <v>46077.478761574072</v>
      </c>
      <c r="L3851">
        <v>3</v>
      </c>
      <c r="M3851">
        <v>0</v>
      </c>
      <c r="N3851" s="98" t="str">
        <f>IF(record[[#This Row],[Memo]]="Browser:chrome os:android","平板報工",IF(record[[#This Row],[Memo]]=0,"委外",record[[#This Row],[Memo]]))</f>
        <v/>
      </c>
      <c r="O3851" t="s">
        <v>58</v>
      </c>
      <c r="P3851" t="s">
        <v>886</v>
      </c>
      <c r="Q3851" t="s">
        <v>58</v>
      </c>
      <c r="R3851" t="str">
        <f>IFERROR(VLOOKUP(record[[#This Row],[PCUSTID]],廠商[],2,FALSE),"")</f>
        <v/>
      </c>
      <c r="S3851" t="str">
        <f>VLOOKUP(record[[#This Row],[employeeID]],員工[],2,FALSE)</f>
        <v>謝蓁薰</v>
      </c>
    </row>
    <row r="3852" spans="6:19" hidden="1" x14ac:dyDescent="0.25">
      <c r="F3852" t="s">
        <v>1544</v>
      </c>
      <c r="G3852" t="s">
        <v>403</v>
      </c>
      <c r="H3852" t="str">
        <f>VLOOKUP(record[[#This Row],[ProcessSN]],表格2_7[],2,FALSE)</f>
        <v>30-4118-018-550</v>
      </c>
      <c r="I3852" t="str">
        <f>VLOOKUP(record[[#This Row],[ProcessSN]],表格2_7[],3,FALSE)</f>
        <v>#100SHIP</v>
      </c>
      <c r="J3852" t="s">
        <v>600</v>
      </c>
      <c r="K3852" s="195">
        <v>46077.446064814816</v>
      </c>
      <c r="L3852">
        <v>125</v>
      </c>
      <c r="M3852">
        <v>0</v>
      </c>
      <c r="N3852" s="98" t="str">
        <f>IF(record[[#This Row],[Memo]]="Browser:chrome os:android","平板報工",IF(record[[#This Row],[Memo]]=0,"委外",record[[#This Row],[Memo]]))</f>
        <v/>
      </c>
      <c r="O3852" t="s">
        <v>58</v>
      </c>
      <c r="P3852" t="s">
        <v>886</v>
      </c>
      <c r="Q3852" t="s">
        <v>58</v>
      </c>
      <c r="R3852" t="str">
        <f>IFERROR(VLOOKUP(record[[#This Row],[PCUSTID]],廠商[],2,FALSE),"")</f>
        <v/>
      </c>
      <c r="S3852" t="str">
        <f>VLOOKUP(record[[#This Row],[employeeID]],員工[],2,FALSE)</f>
        <v>謝蓁薰</v>
      </c>
    </row>
    <row r="3853" spans="6:19" hidden="1" x14ac:dyDescent="0.25">
      <c r="F3853" t="s">
        <v>1432</v>
      </c>
      <c r="G3853" t="s">
        <v>362</v>
      </c>
      <c r="H3853" t="str">
        <f>VLOOKUP(record[[#This Row],[ProcessSN]],表格2_7[],2,FALSE)</f>
        <v>30-4118-018-450</v>
      </c>
      <c r="I3853" t="str">
        <f>VLOOKUP(record[[#This Row],[ProcessSN]],表格2_7[],3,FALSE)</f>
        <v>#100SHIP</v>
      </c>
      <c r="J3853" t="s">
        <v>600</v>
      </c>
      <c r="K3853" s="195">
        <v>46077.445810185185</v>
      </c>
      <c r="L3853">
        <v>44</v>
      </c>
      <c r="M3853">
        <v>0</v>
      </c>
      <c r="N3853" s="98" t="str">
        <f>IF(record[[#This Row],[Memo]]="Browser:chrome os:android","平板報工",IF(record[[#This Row],[Memo]]=0,"委外",record[[#This Row],[Memo]]))</f>
        <v/>
      </c>
      <c r="O3853" t="s">
        <v>58</v>
      </c>
      <c r="P3853" t="s">
        <v>886</v>
      </c>
      <c r="Q3853" t="s">
        <v>58</v>
      </c>
      <c r="R3853" t="str">
        <f>IFERROR(VLOOKUP(record[[#This Row],[PCUSTID]],廠商[],2,FALSE),"")</f>
        <v/>
      </c>
      <c r="S3853" t="str">
        <f>VLOOKUP(record[[#This Row],[employeeID]],員工[],2,FALSE)</f>
        <v>謝蓁薰</v>
      </c>
    </row>
    <row r="3854" spans="6:19" hidden="1" x14ac:dyDescent="0.25">
      <c r="F3854" t="s">
        <v>956</v>
      </c>
      <c r="G3854" t="s">
        <v>362</v>
      </c>
      <c r="H3854" t="str">
        <f>VLOOKUP(record[[#This Row],[ProcessSN]],表格2_7[],2,FALSE)</f>
        <v>30-4118-018-450</v>
      </c>
      <c r="I3854" t="str">
        <f>VLOOKUP(record[[#This Row],[ProcessSN]],表格2_7[],3,FALSE)</f>
        <v>#100SHIP</v>
      </c>
      <c r="J3854" t="s">
        <v>600</v>
      </c>
      <c r="K3854" s="195">
        <v>46077.445474537039</v>
      </c>
      <c r="L3854">
        <v>4</v>
      </c>
      <c r="M3854">
        <v>0</v>
      </c>
      <c r="N3854" s="98" t="str">
        <f>IF(record[[#This Row],[Memo]]="Browser:chrome os:android","平板報工",IF(record[[#This Row],[Memo]]=0,"委外",record[[#This Row],[Memo]]))</f>
        <v/>
      </c>
      <c r="O3854" t="s">
        <v>58</v>
      </c>
      <c r="P3854" t="s">
        <v>886</v>
      </c>
      <c r="Q3854" t="s">
        <v>58</v>
      </c>
      <c r="R3854" t="str">
        <f>IFERROR(VLOOKUP(record[[#This Row],[PCUSTID]],廠商[],2,FALSE),"")</f>
        <v/>
      </c>
      <c r="S3854" t="str">
        <f>VLOOKUP(record[[#This Row],[employeeID]],員工[],2,FALSE)</f>
        <v>謝蓁薰</v>
      </c>
    </row>
    <row r="3855" spans="6:19" hidden="1" x14ac:dyDescent="0.25">
      <c r="F3855" t="s">
        <v>1259</v>
      </c>
      <c r="G3855" t="s">
        <v>362</v>
      </c>
      <c r="H3855" t="str">
        <f>VLOOKUP(record[[#This Row],[ProcessSN]],表格2_7[],2,FALSE)</f>
        <v>30-4118-018-450</v>
      </c>
      <c r="I3855" t="str">
        <f>VLOOKUP(record[[#This Row],[ProcessSN]],表格2_7[],3,FALSE)</f>
        <v>#100SHIP</v>
      </c>
      <c r="J3855" t="s">
        <v>600</v>
      </c>
      <c r="K3855" s="195">
        <v>46077.445335648146</v>
      </c>
      <c r="L3855">
        <v>5</v>
      </c>
      <c r="M3855">
        <v>0</v>
      </c>
      <c r="N3855" s="98" t="str">
        <f>IF(record[[#This Row],[Memo]]="Browser:chrome os:android","平板報工",IF(record[[#This Row],[Memo]]=0,"委外",record[[#This Row],[Memo]]))</f>
        <v/>
      </c>
      <c r="O3855" t="s">
        <v>58</v>
      </c>
      <c r="P3855" t="s">
        <v>886</v>
      </c>
      <c r="Q3855" t="s">
        <v>58</v>
      </c>
      <c r="R3855" t="str">
        <f>IFERROR(VLOOKUP(record[[#This Row],[PCUSTID]],廠商[],2,FALSE),"")</f>
        <v/>
      </c>
      <c r="S3855" t="str">
        <f>VLOOKUP(record[[#This Row],[employeeID]],員工[],2,FALSE)</f>
        <v>謝蓁薰</v>
      </c>
    </row>
    <row r="3856" spans="6:19" hidden="1" x14ac:dyDescent="0.25">
      <c r="F3856" t="s">
        <v>1540</v>
      </c>
      <c r="G3856" t="s">
        <v>416</v>
      </c>
      <c r="H3856" t="str">
        <f>VLOOKUP(record[[#This Row],[ProcessSN]],表格2_7[],2,FALSE)</f>
        <v>30-4118-018-5XX</v>
      </c>
      <c r="I3856" t="str">
        <f>VLOOKUP(record[[#This Row],[ProcessSN]],表格2_7[],3,FALSE)</f>
        <v>#05</v>
      </c>
      <c r="J3856" t="s">
        <v>588</v>
      </c>
      <c r="K3856" s="195">
        <v>46077.316041666665</v>
      </c>
      <c r="L3856">
        <v>204</v>
      </c>
      <c r="M3856">
        <v>0</v>
      </c>
      <c r="N3856" s="98" t="str">
        <f>IF(record[[#This Row],[Memo]]="Browser:chrome os:android","平板報工",IF(record[[#This Row],[Memo]]=0,"委外",record[[#This Row],[Memo]]))</f>
        <v/>
      </c>
      <c r="O3856" t="s">
        <v>58</v>
      </c>
      <c r="P3856" t="s">
        <v>843</v>
      </c>
      <c r="Q3856" t="s">
        <v>58</v>
      </c>
      <c r="R3856" t="str">
        <f>IFERROR(VLOOKUP(record[[#This Row],[PCUSTID]],廠商[],2,FALSE),"")</f>
        <v/>
      </c>
      <c r="S3856" t="str">
        <f>VLOOKUP(record[[#This Row],[employeeID]],員工[],2,FALSE)</f>
        <v>張楚承</v>
      </c>
    </row>
    <row r="3857" spans="6:19" hidden="1" x14ac:dyDescent="0.25">
      <c r="F3857" t="s">
        <v>1516</v>
      </c>
      <c r="G3857" t="s">
        <v>416</v>
      </c>
      <c r="H3857" t="str">
        <f>VLOOKUP(record[[#This Row],[ProcessSN]],表格2_7[],2,FALSE)</f>
        <v>30-4118-018-5XX</v>
      </c>
      <c r="I3857" t="str">
        <f>VLOOKUP(record[[#This Row],[ProcessSN]],表格2_7[],3,FALSE)</f>
        <v>#05</v>
      </c>
      <c r="J3857" t="s">
        <v>588</v>
      </c>
      <c r="K3857" s="195">
        <v>46076.974085648151</v>
      </c>
      <c r="L3857">
        <v>227</v>
      </c>
      <c r="M3857">
        <v>0</v>
      </c>
      <c r="N3857" s="98" t="str">
        <f>IF(record[[#This Row],[Memo]]="Browser:chrome os:android","平板報工",IF(record[[#This Row],[Memo]]=0,"委外",record[[#This Row],[Memo]]))</f>
        <v/>
      </c>
      <c r="O3857" t="s">
        <v>58</v>
      </c>
      <c r="P3857" t="s">
        <v>1098</v>
      </c>
      <c r="Q3857" t="s">
        <v>58</v>
      </c>
      <c r="R3857" t="str">
        <f>IFERROR(VLOOKUP(record[[#This Row],[PCUSTID]],廠商[],2,FALSE),"")</f>
        <v/>
      </c>
      <c r="S3857" t="str">
        <f>VLOOKUP(record[[#This Row],[employeeID]],員工[],2,FALSE)</f>
        <v>阮氏芳英(英)</v>
      </c>
    </row>
    <row r="3858" spans="6:19" hidden="1" x14ac:dyDescent="0.25">
      <c r="F3858" t="s">
        <v>1569</v>
      </c>
      <c r="G3858" t="s">
        <v>449</v>
      </c>
      <c r="H3858" t="str">
        <f>VLOOKUP(record[[#This Row],[ProcessSN]],表格2_7[],2,FALSE)</f>
        <v>30-4118-018-6XX</v>
      </c>
      <c r="I3858" t="str">
        <f>VLOOKUP(record[[#This Row],[ProcessSN]],表格2_7[],3,FALSE)</f>
        <v>#05</v>
      </c>
      <c r="J3858" t="s">
        <v>588</v>
      </c>
      <c r="K3858" s="195">
        <v>46076.973020833335</v>
      </c>
      <c r="L3858">
        <v>43</v>
      </c>
      <c r="M3858">
        <v>0</v>
      </c>
      <c r="N3858" s="98" t="str">
        <f>IF(record[[#This Row],[Memo]]="Browser:chrome os:android","平板報工",IF(record[[#This Row],[Memo]]=0,"委外",record[[#This Row],[Memo]]))</f>
        <v/>
      </c>
      <c r="O3858" t="s">
        <v>58</v>
      </c>
      <c r="P3858" t="s">
        <v>1098</v>
      </c>
      <c r="Q3858" t="s">
        <v>58</v>
      </c>
      <c r="R3858" t="str">
        <f>IFERROR(VLOOKUP(record[[#This Row],[PCUSTID]],廠商[],2,FALSE),"")</f>
        <v/>
      </c>
      <c r="S3858" t="str">
        <f>VLOOKUP(record[[#This Row],[employeeID]],員工[],2,FALSE)</f>
        <v>阮氏芳英(英)</v>
      </c>
    </row>
    <row r="3859" spans="6:19" hidden="1" x14ac:dyDescent="0.25">
      <c r="F3859" t="s">
        <v>1527</v>
      </c>
      <c r="G3859" t="s">
        <v>450</v>
      </c>
      <c r="H3859" t="str">
        <f>VLOOKUP(record[[#This Row],[ProcessSN]],表格2_7[],2,FALSE)</f>
        <v>30-4118-018-6XX</v>
      </c>
      <c r="I3859" t="str">
        <f>VLOOKUP(record[[#This Row],[ProcessSN]],表格2_7[],3,FALSE)</f>
        <v>#06</v>
      </c>
      <c r="J3859" t="s">
        <v>593</v>
      </c>
      <c r="K3859" s="195">
        <v>46076.658263888887</v>
      </c>
      <c r="L3859">
        <v>60</v>
      </c>
      <c r="M3859">
        <v>0</v>
      </c>
      <c r="N3859" s="98" t="str">
        <f>IF(record[[#This Row],[Memo]]="Browser:chrome os:android","平板報工",IF(record[[#This Row],[Memo]]=0,"委外",record[[#This Row],[Memo]]))</f>
        <v>平板報工</v>
      </c>
      <c r="O3859" t="s">
        <v>643</v>
      </c>
      <c r="P3859" t="s">
        <v>1413</v>
      </c>
      <c r="Q3859" t="s">
        <v>644</v>
      </c>
      <c r="R3859" t="str">
        <f>IFERROR(VLOOKUP(record[[#This Row],[PCUSTID]],廠商[],2,FALSE),"")</f>
        <v/>
      </c>
      <c r="S3859" t="str">
        <f>VLOOKUP(record[[#This Row],[employeeID]],員工[],2,FALSE)</f>
        <v>阮氏芳英(芳)</v>
      </c>
    </row>
    <row r="3860" spans="6:19" hidden="1" x14ac:dyDescent="0.25">
      <c r="F3860" t="s">
        <v>1569</v>
      </c>
      <c r="G3860" t="s">
        <v>449</v>
      </c>
      <c r="H3860" t="str">
        <f>VLOOKUP(record[[#This Row],[ProcessSN]],表格2_7[],2,FALSE)</f>
        <v>30-4118-018-6XX</v>
      </c>
      <c r="I3860" t="str">
        <f>VLOOKUP(record[[#This Row],[ProcessSN]],表格2_7[],3,FALSE)</f>
        <v>#05</v>
      </c>
      <c r="J3860" t="s">
        <v>588</v>
      </c>
      <c r="K3860" s="195">
        <v>46076.655486111114</v>
      </c>
      <c r="L3860">
        <v>200</v>
      </c>
      <c r="M3860">
        <v>0</v>
      </c>
      <c r="N3860" s="98" t="str">
        <f>IF(record[[#This Row],[Memo]]="Browser:chrome os:android","平板報工",IF(record[[#This Row],[Memo]]=0,"委外",record[[#This Row],[Memo]]))</f>
        <v>平板報工</v>
      </c>
      <c r="O3860" t="s">
        <v>643</v>
      </c>
      <c r="P3860" t="s">
        <v>145</v>
      </c>
      <c r="Q3860" t="s">
        <v>644</v>
      </c>
      <c r="R3860" t="str">
        <f>IFERROR(VLOOKUP(record[[#This Row],[PCUSTID]],廠商[],2,FALSE),"")</f>
        <v/>
      </c>
      <c r="S3860" t="str">
        <f>VLOOKUP(record[[#This Row],[employeeID]],員工[],2,FALSE)</f>
        <v>阮秋霞</v>
      </c>
    </row>
    <row r="3861" spans="6:19" hidden="1" x14ac:dyDescent="0.25">
      <c r="F3861" t="s">
        <v>1259</v>
      </c>
      <c r="G3861" t="s">
        <v>362</v>
      </c>
      <c r="H3861" t="str">
        <f>VLOOKUP(record[[#This Row],[ProcessSN]],表格2_7[],2,FALSE)</f>
        <v>30-4118-018-450</v>
      </c>
      <c r="I3861" t="str">
        <f>VLOOKUP(record[[#This Row],[ProcessSN]],表格2_7[],3,FALSE)</f>
        <v>#100SHIP</v>
      </c>
      <c r="J3861" t="s">
        <v>600</v>
      </c>
      <c r="K3861" s="195">
        <v>46076.461053240739</v>
      </c>
      <c r="L3861">
        <v>2</v>
      </c>
      <c r="M3861">
        <v>0</v>
      </c>
      <c r="N3861" s="98" t="str">
        <f>IF(record[[#This Row],[Memo]]="Browser:chrome os:android","平板報工",IF(record[[#This Row],[Memo]]=0,"委外",record[[#This Row],[Memo]]))</f>
        <v/>
      </c>
      <c r="O3861" t="s">
        <v>58</v>
      </c>
      <c r="P3861" t="s">
        <v>886</v>
      </c>
      <c r="Q3861" t="s">
        <v>58</v>
      </c>
      <c r="R3861" t="str">
        <f>IFERROR(VLOOKUP(record[[#This Row],[PCUSTID]],廠商[],2,FALSE),"")</f>
        <v/>
      </c>
      <c r="S3861" t="str">
        <f>VLOOKUP(record[[#This Row],[employeeID]],員工[],2,FALSE)</f>
        <v>謝蓁薰</v>
      </c>
    </row>
    <row r="3862" spans="6:19" hidden="1" x14ac:dyDescent="0.25">
      <c r="F3862" t="s">
        <v>1516</v>
      </c>
      <c r="G3862" t="s">
        <v>416</v>
      </c>
      <c r="H3862" t="str">
        <f>VLOOKUP(record[[#This Row],[ProcessSN]],表格2_7[],2,FALSE)</f>
        <v>30-4118-018-5XX</v>
      </c>
      <c r="I3862" t="str">
        <f>VLOOKUP(record[[#This Row],[ProcessSN]],表格2_7[],3,FALSE)</f>
        <v>#05</v>
      </c>
      <c r="J3862" t="s">
        <v>588</v>
      </c>
      <c r="K3862" s="195">
        <v>46066.303020833337</v>
      </c>
      <c r="L3862">
        <v>40</v>
      </c>
      <c r="M3862">
        <v>0</v>
      </c>
      <c r="N3862" s="98" t="str">
        <f>IF(record[[#This Row],[Memo]]="Browser:chrome os:android","平板報工",IF(record[[#This Row],[Memo]]=0,"委外",record[[#This Row],[Memo]]))</f>
        <v/>
      </c>
      <c r="O3862" t="s">
        <v>58</v>
      </c>
      <c r="P3862" t="s">
        <v>843</v>
      </c>
      <c r="Q3862" t="s">
        <v>58</v>
      </c>
      <c r="R3862" t="str">
        <f>IFERROR(VLOOKUP(record[[#This Row],[PCUSTID]],廠商[],2,FALSE),"")</f>
        <v/>
      </c>
      <c r="S3862" t="str">
        <f>VLOOKUP(record[[#This Row],[employeeID]],員工[],2,FALSE)</f>
        <v>張楚承</v>
      </c>
    </row>
    <row r="3863" spans="6:19" hidden="1" x14ac:dyDescent="0.25">
      <c r="F3863" t="s">
        <v>1526</v>
      </c>
      <c r="G3863" t="s">
        <v>416</v>
      </c>
      <c r="H3863" t="str">
        <f>VLOOKUP(record[[#This Row],[ProcessSN]],表格2_7[],2,FALSE)</f>
        <v>30-4118-018-5XX</v>
      </c>
      <c r="I3863" t="str">
        <f>VLOOKUP(record[[#This Row],[ProcessSN]],表格2_7[],3,FALSE)</f>
        <v>#05</v>
      </c>
      <c r="J3863" t="s">
        <v>588</v>
      </c>
      <c r="K3863" s="195">
        <v>46066.302905092591</v>
      </c>
      <c r="L3863">
        <v>209</v>
      </c>
      <c r="M3863">
        <v>0</v>
      </c>
      <c r="N3863" s="98" t="str">
        <f>IF(record[[#This Row],[Memo]]="Browser:chrome os:android","平板報工",IF(record[[#This Row],[Memo]]=0,"委外",record[[#This Row],[Memo]]))</f>
        <v/>
      </c>
      <c r="O3863" t="s">
        <v>58</v>
      </c>
      <c r="P3863" t="s">
        <v>843</v>
      </c>
      <c r="Q3863" t="s">
        <v>58</v>
      </c>
      <c r="R3863" t="str">
        <f>IFERROR(VLOOKUP(record[[#This Row],[PCUSTID]],廠商[],2,FALSE),"")</f>
        <v/>
      </c>
      <c r="S3863" t="str">
        <f>VLOOKUP(record[[#This Row],[employeeID]],員工[],2,FALSE)</f>
        <v>張楚承</v>
      </c>
    </row>
    <row r="3864" spans="6:19" hidden="1" x14ac:dyDescent="0.25">
      <c r="F3864" t="s">
        <v>1517</v>
      </c>
      <c r="G3864" t="s">
        <v>449</v>
      </c>
      <c r="H3864" t="str">
        <f>VLOOKUP(record[[#This Row],[ProcessSN]],表格2_7[],2,FALSE)</f>
        <v>30-4118-018-6XX</v>
      </c>
      <c r="I3864" t="str">
        <f>VLOOKUP(record[[#This Row],[ProcessSN]],表格2_7[],3,FALSE)</f>
        <v>#05</v>
      </c>
      <c r="J3864" t="s">
        <v>588</v>
      </c>
      <c r="K3864" s="195">
        <v>46065.980162037034</v>
      </c>
      <c r="L3864">
        <v>208</v>
      </c>
      <c r="M3864">
        <v>0</v>
      </c>
      <c r="N3864" s="98" t="str">
        <f>IF(record[[#This Row],[Memo]]="Browser:chrome os:android","平板報工",IF(record[[#This Row],[Memo]]=0,"委外",record[[#This Row],[Memo]]))</f>
        <v/>
      </c>
      <c r="O3864" t="s">
        <v>58</v>
      </c>
      <c r="P3864" t="s">
        <v>1098</v>
      </c>
      <c r="Q3864" t="s">
        <v>58</v>
      </c>
      <c r="R3864" t="str">
        <f>IFERROR(VLOOKUP(record[[#This Row],[PCUSTID]],廠商[],2,FALSE),"")</f>
        <v/>
      </c>
      <c r="S3864" t="str">
        <f>VLOOKUP(record[[#This Row],[employeeID]],員工[],2,FALSE)</f>
        <v>阮氏芳英(英)</v>
      </c>
    </row>
    <row r="3865" spans="6:19" hidden="1" x14ac:dyDescent="0.25">
      <c r="F3865" t="s">
        <v>1556</v>
      </c>
      <c r="G3865" t="s">
        <v>399</v>
      </c>
      <c r="H3865" t="str">
        <f>VLOOKUP(record[[#This Row],[ProcessSN]],表格2_7[],2,FALSE)</f>
        <v>30-4118-018-550</v>
      </c>
      <c r="I3865" t="str">
        <f>VLOOKUP(record[[#This Row],[ProcessSN]],表格2_7[],3,FALSE)</f>
        <v>#08IQC</v>
      </c>
      <c r="J3865" t="s">
        <v>583</v>
      </c>
      <c r="K3865" s="195">
        <v>46065.736643518518</v>
      </c>
      <c r="L3865">
        <v>30</v>
      </c>
      <c r="M3865">
        <v>0</v>
      </c>
      <c r="N3865" s="98" t="str">
        <f>IF(record[[#This Row],[Memo]]="Browser:chrome os:android","平板報工",IF(record[[#This Row],[Memo]]=0,"委外",record[[#This Row],[Memo]]))</f>
        <v/>
      </c>
      <c r="O3865" t="s">
        <v>58</v>
      </c>
      <c r="P3865" t="s">
        <v>121</v>
      </c>
      <c r="Q3865" t="s">
        <v>58</v>
      </c>
      <c r="R3865" t="str">
        <f>IFERROR(VLOOKUP(record[[#This Row],[PCUSTID]],廠商[],2,FALSE),"")</f>
        <v/>
      </c>
      <c r="S3865" t="str">
        <f>VLOOKUP(record[[#This Row],[employeeID]],員工[],2,FALSE)</f>
        <v>謝素卿</v>
      </c>
    </row>
    <row r="3866" spans="6:19" hidden="1" x14ac:dyDescent="0.25">
      <c r="F3866" t="s">
        <v>1527</v>
      </c>
      <c r="G3866" t="s">
        <v>450</v>
      </c>
      <c r="H3866" t="str">
        <f>VLOOKUP(record[[#This Row],[ProcessSN]],表格2_7[],2,FALSE)</f>
        <v>30-4118-018-6XX</v>
      </c>
      <c r="I3866" t="str">
        <f>VLOOKUP(record[[#This Row],[ProcessSN]],表格2_7[],3,FALSE)</f>
        <v>#06</v>
      </c>
      <c r="J3866" t="s">
        <v>593</v>
      </c>
      <c r="K3866" s="195">
        <v>46065.651099537034</v>
      </c>
      <c r="L3866">
        <v>110</v>
      </c>
      <c r="M3866">
        <v>0</v>
      </c>
      <c r="N3866" s="98" t="str">
        <f>IF(record[[#This Row],[Memo]]="Browser:chrome os:android","平板報工",IF(record[[#This Row],[Memo]]=0,"委外",record[[#This Row],[Memo]]))</f>
        <v>平板報工</v>
      </c>
      <c r="O3866" t="s">
        <v>643</v>
      </c>
      <c r="P3866" t="s">
        <v>1413</v>
      </c>
      <c r="Q3866" t="s">
        <v>644</v>
      </c>
      <c r="R3866" t="str">
        <f>IFERROR(VLOOKUP(record[[#This Row],[PCUSTID]],廠商[],2,FALSE),"")</f>
        <v/>
      </c>
      <c r="S3866" t="str">
        <f>VLOOKUP(record[[#This Row],[employeeID]],員工[],2,FALSE)</f>
        <v>阮氏芳英(芳)</v>
      </c>
    </row>
    <row r="3867" spans="6:19" hidden="1" x14ac:dyDescent="0.25">
      <c r="F3867" t="s">
        <v>1517</v>
      </c>
      <c r="G3867" t="s">
        <v>449</v>
      </c>
      <c r="H3867" t="str">
        <f>VLOOKUP(record[[#This Row],[ProcessSN]],表格2_7[],2,FALSE)</f>
        <v>30-4118-018-6XX</v>
      </c>
      <c r="I3867" t="str">
        <f>VLOOKUP(record[[#This Row],[ProcessSN]],表格2_7[],3,FALSE)</f>
        <v>#05</v>
      </c>
      <c r="J3867" t="s">
        <v>588</v>
      </c>
      <c r="K3867" s="195">
        <v>46065.648148148146</v>
      </c>
      <c r="L3867">
        <v>20</v>
      </c>
      <c r="M3867">
        <v>0</v>
      </c>
      <c r="N3867" s="98" t="str">
        <f>IF(record[[#This Row],[Memo]]="Browser:chrome os:android","平板報工",IF(record[[#This Row],[Memo]]=0,"委外",record[[#This Row],[Memo]]))</f>
        <v>平板報工</v>
      </c>
      <c r="O3867" t="s">
        <v>643</v>
      </c>
      <c r="P3867" t="s">
        <v>145</v>
      </c>
      <c r="Q3867" t="s">
        <v>644</v>
      </c>
      <c r="R3867" t="str">
        <f>IFERROR(VLOOKUP(record[[#This Row],[PCUSTID]],廠商[],2,FALSE),"")</f>
        <v/>
      </c>
      <c r="S3867" t="str">
        <f>VLOOKUP(record[[#This Row],[employeeID]],員工[],2,FALSE)</f>
        <v>阮秋霞</v>
      </c>
    </row>
    <row r="3868" spans="6:19" hidden="1" x14ac:dyDescent="0.25">
      <c r="F3868" t="s">
        <v>1578</v>
      </c>
      <c r="G3868" t="s">
        <v>426</v>
      </c>
      <c r="H3868" t="str">
        <f>VLOOKUP(record[[#This Row],[ProcessSN]],表格2_7[],2,FALSE)</f>
        <v>30-4118-018-600</v>
      </c>
      <c r="I3868" t="str">
        <f>VLOOKUP(record[[#This Row],[ProcessSN]],表格2_7[],3,FALSE)</f>
        <v>#100OQC</v>
      </c>
      <c r="J3868" t="s">
        <v>599</v>
      </c>
      <c r="K3868" s="195">
        <v>46065.627708333333</v>
      </c>
      <c r="L3868">
        <v>162</v>
      </c>
      <c r="M3868">
        <v>0</v>
      </c>
      <c r="N3868" s="98" t="str">
        <f>IF(record[[#This Row],[Memo]]="Browser:chrome os:android","平板報工",IF(record[[#This Row],[Memo]]=0,"委外",record[[#This Row],[Memo]]))</f>
        <v/>
      </c>
      <c r="O3868" t="s">
        <v>58</v>
      </c>
      <c r="P3868" t="s">
        <v>121</v>
      </c>
      <c r="Q3868" t="s">
        <v>58</v>
      </c>
      <c r="R3868" t="str">
        <f>IFERROR(VLOOKUP(record[[#This Row],[PCUSTID]],廠商[],2,FALSE),"")</f>
        <v/>
      </c>
      <c r="S3868" t="str">
        <f>VLOOKUP(record[[#This Row],[employeeID]],員工[],2,FALSE)</f>
        <v>謝素卿</v>
      </c>
    </row>
    <row r="3869" spans="6:19" hidden="1" x14ac:dyDescent="0.25">
      <c r="F3869" t="s">
        <v>1534</v>
      </c>
      <c r="G3869" t="s">
        <v>427</v>
      </c>
      <c r="H3869" t="str">
        <f>VLOOKUP(record[[#This Row],[ProcessSN]],表格2_7[],2,FALSE)</f>
        <v>30-4118-018-600</v>
      </c>
      <c r="I3869" t="str">
        <f>VLOOKUP(record[[#This Row],[ProcessSN]],表格2_7[],3,FALSE)</f>
        <v>#100STOCK</v>
      </c>
      <c r="J3869" t="s">
        <v>592</v>
      </c>
      <c r="K3869" s="195">
        <v>46065.571805555555</v>
      </c>
      <c r="L3869">
        <v>47</v>
      </c>
      <c r="M3869">
        <v>0</v>
      </c>
      <c r="N3869" s="98" t="str">
        <f>IF(record[[#This Row],[Memo]]="Browser:chrome os:android","平板報工",IF(record[[#This Row],[Memo]]=0,"委外",record[[#This Row],[Memo]]))</f>
        <v/>
      </c>
      <c r="O3869" t="s">
        <v>58</v>
      </c>
      <c r="P3869" t="s">
        <v>886</v>
      </c>
      <c r="Q3869" t="s">
        <v>58</v>
      </c>
      <c r="R3869" t="str">
        <f>IFERROR(VLOOKUP(record[[#This Row],[PCUSTID]],廠商[],2,FALSE),"")</f>
        <v/>
      </c>
      <c r="S3869" t="str">
        <f>VLOOKUP(record[[#This Row],[employeeID]],員工[],2,FALSE)</f>
        <v>謝蓁薰</v>
      </c>
    </row>
    <row r="3870" spans="6:19" hidden="1" x14ac:dyDescent="0.25">
      <c r="F3870" t="s">
        <v>1534</v>
      </c>
      <c r="G3870" t="s">
        <v>427</v>
      </c>
      <c r="H3870" t="str">
        <f>VLOOKUP(record[[#This Row],[ProcessSN]],表格2_7[],2,FALSE)</f>
        <v>30-4118-018-600</v>
      </c>
      <c r="I3870" t="str">
        <f>VLOOKUP(record[[#This Row],[ProcessSN]],表格2_7[],3,FALSE)</f>
        <v>#100STOCK</v>
      </c>
      <c r="J3870" t="s">
        <v>592</v>
      </c>
      <c r="K3870" s="195">
        <v>46065.571666666663</v>
      </c>
      <c r="L3870">
        <v>168</v>
      </c>
      <c r="M3870">
        <v>0</v>
      </c>
      <c r="N3870" s="98" t="str">
        <f>IF(record[[#This Row],[Memo]]="Browser:chrome os:android","平板報工",IF(record[[#This Row],[Memo]]=0,"委外",record[[#This Row],[Memo]]))</f>
        <v/>
      </c>
      <c r="O3870" t="s">
        <v>58</v>
      </c>
      <c r="P3870" t="s">
        <v>886</v>
      </c>
      <c r="Q3870" t="s">
        <v>58</v>
      </c>
      <c r="R3870" t="str">
        <f>IFERROR(VLOOKUP(record[[#This Row],[PCUSTID]],廠商[],2,FALSE),"")</f>
        <v/>
      </c>
      <c r="S3870" t="str">
        <f>VLOOKUP(record[[#This Row],[employeeID]],員工[],2,FALSE)</f>
        <v>謝蓁薰</v>
      </c>
    </row>
    <row r="3871" spans="6:19" hidden="1" x14ac:dyDescent="0.25">
      <c r="F3871" t="s">
        <v>1544</v>
      </c>
      <c r="G3871" t="s">
        <v>402</v>
      </c>
      <c r="H3871" t="str">
        <f>VLOOKUP(record[[#This Row],[ProcessSN]],表格2_7[],2,FALSE)</f>
        <v>30-4118-018-550</v>
      </c>
      <c r="I3871" t="str">
        <f>VLOOKUP(record[[#This Row],[ProcessSN]],表格2_7[],3,FALSE)</f>
        <v>#100STOCK</v>
      </c>
      <c r="J3871" t="s">
        <v>592</v>
      </c>
      <c r="K3871" s="195">
        <v>46065.558333333334</v>
      </c>
      <c r="L3871">
        <v>165</v>
      </c>
      <c r="M3871">
        <v>0</v>
      </c>
      <c r="N3871" s="98" t="str">
        <f>IF(record[[#This Row],[Memo]]="Browser:chrome os:android","平板報工",IF(record[[#This Row],[Memo]]=0,"委外",record[[#This Row],[Memo]]))</f>
        <v/>
      </c>
      <c r="O3871" t="s">
        <v>58</v>
      </c>
      <c r="P3871" t="s">
        <v>886</v>
      </c>
      <c r="Q3871" t="s">
        <v>58</v>
      </c>
      <c r="R3871" t="str">
        <f>IFERROR(VLOOKUP(record[[#This Row],[PCUSTID]],廠商[],2,FALSE),"")</f>
        <v/>
      </c>
      <c r="S3871" t="str">
        <f>VLOOKUP(record[[#This Row],[employeeID]],員工[],2,FALSE)</f>
        <v>謝蓁薰</v>
      </c>
    </row>
    <row r="3872" spans="6:19" hidden="1" x14ac:dyDescent="0.25">
      <c r="F3872" t="s">
        <v>1552</v>
      </c>
      <c r="G3872" t="s">
        <v>402</v>
      </c>
      <c r="H3872" t="str">
        <f>VLOOKUP(record[[#This Row],[ProcessSN]],表格2_7[],2,FALSE)</f>
        <v>30-4118-018-550</v>
      </c>
      <c r="I3872" t="str">
        <f>VLOOKUP(record[[#This Row],[ProcessSN]],表格2_7[],3,FALSE)</f>
        <v>#100STOCK</v>
      </c>
      <c r="J3872" t="s">
        <v>592</v>
      </c>
      <c r="K3872" s="195">
        <v>46065.558020833334</v>
      </c>
      <c r="L3872">
        <v>77</v>
      </c>
      <c r="M3872">
        <v>0</v>
      </c>
      <c r="N3872" s="98" t="str">
        <f>IF(record[[#This Row],[Memo]]="Browser:chrome os:android","平板報工",IF(record[[#This Row],[Memo]]=0,"委外",record[[#This Row],[Memo]]))</f>
        <v/>
      </c>
      <c r="O3872" t="s">
        <v>58</v>
      </c>
      <c r="P3872" t="s">
        <v>886</v>
      </c>
      <c r="Q3872" t="s">
        <v>58</v>
      </c>
      <c r="R3872" t="str">
        <f>IFERROR(VLOOKUP(record[[#This Row],[PCUSTID]],廠商[],2,FALSE),"")</f>
        <v/>
      </c>
      <c r="S3872" t="str">
        <f>VLOOKUP(record[[#This Row],[employeeID]],員工[],2,FALSE)</f>
        <v>謝蓁薰</v>
      </c>
    </row>
    <row r="3873" spans="6:19" hidden="1" x14ac:dyDescent="0.25">
      <c r="F3873" t="s">
        <v>1549</v>
      </c>
      <c r="G3873" t="s">
        <v>402</v>
      </c>
      <c r="H3873" t="str">
        <f>VLOOKUP(record[[#This Row],[ProcessSN]],表格2_7[],2,FALSE)</f>
        <v>30-4118-018-550</v>
      </c>
      <c r="I3873" t="str">
        <f>VLOOKUP(record[[#This Row],[ProcessSN]],表格2_7[],3,FALSE)</f>
        <v>#100STOCK</v>
      </c>
      <c r="J3873" t="s">
        <v>592</v>
      </c>
      <c r="K3873" s="195">
        <v>46065.557650462964</v>
      </c>
      <c r="L3873">
        <v>595</v>
      </c>
      <c r="M3873">
        <v>0</v>
      </c>
      <c r="N3873" s="98" t="str">
        <f>IF(record[[#This Row],[Memo]]="Browser:chrome os:android","平板報工",IF(record[[#This Row],[Memo]]=0,"委外",record[[#This Row],[Memo]]))</f>
        <v/>
      </c>
      <c r="O3873" t="s">
        <v>58</v>
      </c>
      <c r="P3873" t="s">
        <v>886</v>
      </c>
      <c r="Q3873" t="s">
        <v>58</v>
      </c>
      <c r="R3873" t="str">
        <f>IFERROR(VLOOKUP(record[[#This Row],[PCUSTID]],廠商[],2,FALSE),"")</f>
        <v/>
      </c>
      <c r="S3873" t="str">
        <f>VLOOKUP(record[[#This Row],[employeeID]],員工[],2,FALSE)</f>
        <v>謝蓁薰</v>
      </c>
    </row>
    <row r="3874" spans="6:19" hidden="1" x14ac:dyDescent="0.25">
      <c r="F3874" t="s">
        <v>1578</v>
      </c>
      <c r="G3874" t="s">
        <v>425</v>
      </c>
      <c r="H3874" t="str">
        <f>VLOOKUP(record[[#This Row],[ProcessSN]],表格2_7[],2,FALSE)</f>
        <v>30-4118-018-600</v>
      </c>
      <c r="I3874" t="str">
        <f>VLOOKUP(record[[#This Row],[ProcessSN]],表格2_7[],3,FALSE)</f>
        <v>#100</v>
      </c>
      <c r="J3874" t="s">
        <v>598</v>
      </c>
      <c r="K3874" s="195">
        <v>46065.481898148151</v>
      </c>
      <c r="L3874">
        <v>162</v>
      </c>
      <c r="M3874">
        <v>0</v>
      </c>
      <c r="N3874" s="98" t="str">
        <f>IF(record[[#This Row],[Memo]]="Browser:chrome os:android","平板報工",IF(record[[#This Row],[Memo]]=0,"委外",record[[#This Row],[Memo]]))</f>
        <v/>
      </c>
      <c r="O3874" t="s">
        <v>58</v>
      </c>
      <c r="P3874" t="s">
        <v>141</v>
      </c>
      <c r="Q3874" t="s">
        <v>58</v>
      </c>
      <c r="R3874" t="str">
        <f>IFERROR(VLOOKUP(record[[#This Row],[PCUSTID]],廠商[],2,FALSE),"")</f>
        <v/>
      </c>
      <c r="S3874" t="str">
        <f>VLOOKUP(record[[#This Row],[employeeID]],員工[],2,FALSE)</f>
        <v>蔣梅</v>
      </c>
    </row>
    <row r="3875" spans="6:19" hidden="1" x14ac:dyDescent="0.25">
      <c r="F3875" t="s">
        <v>1527</v>
      </c>
      <c r="G3875" t="s">
        <v>453</v>
      </c>
      <c r="H3875" t="str">
        <f>VLOOKUP(record[[#This Row],[ProcessSN]],表格2_7[],2,FALSE)</f>
        <v>30-4118-018-6XX</v>
      </c>
      <c r="I3875" t="str">
        <f>VLOOKUP(record[[#This Row],[ProcessSN]],表格2_7[],3,FALSE)</f>
        <v>#07STOCK</v>
      </c>
      <c r="J3875" t="s">
        <v>592</v>
      </c>
      <c r="K3875" s="195">
        <v>46065.481145833335</v>
      </c>
      <c r="L3875">
        <v>47</v>
      </c>
      <c r="M3875">
        <v>0</v>
      </c>
      <c r="N3875" s="98" t="str">
        <f>IF(record[[#This Row],[Memo]]="Browser:chrome os:android","平板報工",IF(record[[#This Row],[Memo]]=0,"委外",record[[#This Row],[Memo]]))</f>
        <v/>
      </c>
      <c r="O3875" t="s">
        <v>58</v>
      </c>
      <c r="P3875" t="s">
        <v>186</v>
      </c>
      <c r="Q3875" t="s">
        <v>58</v>
      </c>
      <c r="R3875" t="str">
        <f>IFERROR(VLOOKUP(record[[#This Row],[PCUSTID]],廠商[],2,FALSE),"")</f>
        <v/>
      </c>
      <c r="S3875" t="str">
        <f>VLOOKUP(record[[#This Row],[employeeID]],員工[],2,FALSE)</f>
        <v>許文姍</v>
      </c>
    </row>
    <row r="3876" spans="6:19" hidden="1" x14ac:dyDescent="0.25">
      <c r="F3876" t="s">
        <v>1527</v>
      </c>
      <c r="G3876" t="s">
        <v>453</v>
      </c>
      <c r="H3876" t="str">
        <f>VLOOKUP(record[[#This Row],[ProcessSN]],表格2_7[],2,FALSE)</f>
        <v>30-4118-018-6XX</v>
      </c>
      <c r="I3876" t="str">
        <f>VLOOKUP(record[[#This Row],[ProcessSN]],表格2_7[],3,FALSE)</f>
        <v>#07STOCK</v>
      </c>
      <c r="J3876" t="s">
        <v>592</v>
      </c>
      <c r="K3876" s="195">
        <v>46065.475474537037</v>
      </c>
      <c r="L3876">
        <v>528</v>
      </c>
      <c r="M3876">
        <v>0</v>
      </c>
      <c r="N3876" s="98" t="str">
        <f>IF(record[[#This Row],[Memo]]="Browser:chrome os:android","平板報工",IF(record[[#This Row],[Memo]]=0,"委外",record[[#This Row],[Memo]]))</f>
        <v/>
      </c>
      <c r="O3876" t="s">
        <v>58</v>
      </c>
      <c r="P3876" t="s">
        <v>186</v>
      </c>
      <c r="Q3876" t="s">
        <v>58</v>
      </c>
      <c r="R3876" t="str">
        <f>IFERROR(VLOOKUP(record[[#This Row],[PCUSTID]],廠商[],2,FALSE),"")</f>
        <v/>
      </c>
      <c r="S3876" t="str">
        <f>VLOOKUP(record[[#This Row],[employeeID]],員工[],2,FALSE)</f>
        <v>許文姍</v>
      </c>
    </row>
    <row r="3877" spans="6:19" hidden="1" x14ac:dyDescent="0.25">
      <c r="F3877" t="s">
        <v>1556</v>
      </c>
      <c r="G3877" t="s">
        <v>398</v>
      </c>
      <c r="H3877" t="str">
        <f>VLOOKUP(record[[#This Row],[ProcessSN]],表格2_7[],2,FALSE)</f>
        <v>30-4118-018-550</v>
      </c>
      <c r="I3877" t="str">
        <f>VLOOKUP(record[[#This Row],[ProcessSN]],表格2_7[],3,FALSE)</f>
        <v>#08RCV</v>
      </c>
      <c r="J3877" t="s">
        <v>591</v>
      </c>
      <c r="K3877" s="195">
        <v>46065.472870370373</v>
      </c>
      <c r="L3877">
        <v>30</v>
      </c>
      <c r="M3877">
        <v>0</v>
      </c>
      <c r="N3877" s="98" t="str">
        <f>IF(record[[#This Row],[Memo]]="Browser:chrome os:android","平板報工",IF(record[[#This Row],[Memo]]=0,"委外",record[[#This Row],[Memo]]))</f>
        <v/>
      </c>
      <c r="O3877" t="s">
        <v>58</v>
      </c>
      <c r="P3877" t="s">
        <v>186</v>
      </c>
      <c r="Q3877" t="s">
        <v>58</v>
      </c>
      <c r="R3877" t="str">
        <f>IFERROR(VLOOKUP(record[[#This Row],[PCUSTID]],廠商[],2,FALSE),"")</f>
        <v/>
      </c>
      <c r="S3877" t="str">
        <f>VLOOKUP(record[[#This Row],[employeeID]],員工[],2,FALSE)</f>
        <v>許文姍</v>
      </c>
    </row>
    <row r="3878" spans="6:19" hidden="1" x14ac:dyDescent="0.25">
      <c r="F3878" t="s">
        <v>1527</v>
      </c>
      <c r="G3878" t="s">
        <v>452</v>
      </c>
      <c r="H3878" t="str">
        <f>VLOOKUP(record[[#This Row],[ProcessSN]],表格2_7[],2,FALSE)</f>
        <v>30-4118-018-6XX</v>
      </c>
      <c r="I3878" t="str">
        <f>VLOOKUP(record[[#This Row],[ProcessSN]],表格2_7[],3,FALSE)</f>
        <v>#07QC</v>
      </c>
      <c r="J3878" t="s">
        <v>589</v>
      </c>
      <c r="K3878" s="195">
        <v>46065.465763888889</v>
      </c>
      <c r="L3878">
        <v>47</v>
      </c>
      <c r="M3878">
        <v>0</v>
      </c>
      <c r="N3878" s="98" t="str">
        <f>IF(record[[#This Row],[Memo]]="Browser:chrome os:android","平板報工",IF(record[[#This Row],[Memo]]=0,"委外",record[[#This Row],[Memo]]))</f>
        <v>平板報工</v>
      </c>
      <c r="O3878" t="s">
        <v>643</v>
      </c>
      <c r="P3878" t="s">
        <v>99</v>
      </c>
      <c r="Q3878" t="s">
        <v>644</v>
      </c>
      <c r="R3878" t="str">
        <f>IFERROR(VLOOKUP(record[[#This Row],[PCUSTID]],廠商[],2,FALSE),"")</f>
        <v/>
      </c>
      <c r="S3878" t="str">
        <f>VLOOKUP(record[[#This Row],[employeeID]],員工[],2,FALSE)</f>
        <v>阮氏河</v>
      </c>
    </row>
    <row r="3879" spans="6:19" hidden="1" x14ac:dyDescent="0.25">
      <c r="F3879" t="s">
        <v>1527</v>
      </c>
      <c r="G3879" t="s">
        <v>452</v>
      </c>
      <c r="H3879" t="str">
        <f>VLOOKUP(record[[#This Row],[ProcessSN]],表格2_7[],2,FALSE)</f>
        <v>30-4118-018-6XX</v>
      </c>
      <c r="I3879" t="str">
        <f>VLOOKUP(record[[#This Row],[ProcessSN]],表格2_7[],3,FALSE)</f>
        <v>#07QC</v>
      </c>
      <c r="J3879" t="s">
        <v>589</v>
      </c>
      <c r="K3879" s="195">
        <v>46065.430405092593</v>
      </c>
      <c r="L3879">
        <v>60</v>
      </c>
      <c r="M3879">
        <v>0</v>
      </c>
      <c r="N3879" s="98" t="str">
        <f>IF(record[[#This Row],[Memo]]="Browser:chrome os:android","平板報工",IF(record[[#This Row],[Memo]]=0,"委外",record[[#This Row],[Memo]]))</f>
        <v>平板報工</v>
      </c>
      <c r="O3879" t="s">
        <v>643</v>
      </c>
      <c r="P3879" t="s">
        <v>99</v>
      </c>
      <c r="Q3879" t="s">
        <v>644</v>
      </c>
      <c r="R3879" t="str">
        <f>IFERROR(VLOOKUP(record[[#This Row],[PCUSTID]],廠商[],2,FALSE),"")</f>
        <v/>
      </c>
      <c r="S3879" t="str">
        <f>VLOOKUP(record[[#This Row],[employeeID]],員工[],2,FALSE)</f>
        <v>阮氏河</v>
      </c>
    </row>
    <row r="3880" spans="6:19" hidden="1" x14ac:dyDescent="0.25">
      <c r="F3880" t="s">
        <v>1527</v>
      </c>
      <c r="G3880" t="s">
        <v>452</v>
      </c>
      <c r="H3880" t="str">
        <f>VLOOKUP(record[[#This Row],[ProcessSN]],表格2_7[],2,FALSE)</f>
        <v>30-4118-018-6XX</v>
      </c>
      <c r="I3880" t="str">
        <f>VLOOKUP(record[[#This Row],[ProcessSN]],表格2_7[],3,FALSE)</f>
        <v>#07QC</v>
      </c>
      <c r="J3880" t="s">
        <v>589</v>
      </c>
      <c r="K3880" s="195">
        <v>46065.426342592589</v>
      </c>
      <c r="L3880">
        <v>168</v>
      </c>
      <c r="M3880">
        <v>0</v>
      </c>
      <c r="N3880" s="98" t="str">
        <f>IF(record[[#This Row],[Memo]]="Browser:chrome os:android","平板報工",IF(record[[#This Row],[Memo]]=0,"委外",record[[#This Row],[Memo]]))</f>
        <v>平板報工</v>
      </c>
      <c r="O3880" t="s">
        <v>643</v>
      </c>
      <c r="P3880" t="s">
        <v>99</v>
      </c>
      <c r="Q3880" t="s">
        <v>644</v>
      </c>
      <c r="R3880" t="str">
        <f>IFERROR(VLOOKUP(record[[#This Row],[PCUSTID]],廠商[],2,FALSE),"")</f>
        <v/>
      </c>
      <c r="S3880" t="str">
        <f>VLOOKUP(record[[#This Row],[employeeID]],員工[],2,FALSE)</f>
        <v>阮氏河</v>
      </c>
    </row>
    <row r="3881" spans="6:19" hidden="1" x14ac:dyDescent="0.25">
      <c r="F3881" t="s">
        <v>1527</v>
      </c>
      <c r="G3881" t="s">
        <v>452</v>
      </c>
      <c r="H3881" t="str">
        <f>VLOOKUP(record[[#This Row],[ProcessSN]],表格2_7[],2,FALSE)</f>
        <v>30-4118-018-6XX</v>
      </c>
      <c r="I3881" t="str">
        <f>VLOOKUP(record[[#This Row],[ProcessSN]],表格2_7[],3,FALSE)</f>
        <v>#07QC</v>
      </c>
      <c r="J3881" t="s">
        <v>589</v>
      </c>
      <c r="K3881" s="195">
        <v>46065.425694444442</v>
      </c>
      <c r="L3881">
        <v>300</v>
      </c>
      <c r="M3881">
        <v>0</v>
      </c>
      <c r="N3881" s="98" t="str">
        <f>IF(record[[#This Row],[Memo]]="Browser:chrome os:android","平板報工",IF(record[[#This Row],[Memo]]=0,"委外",record[[#This Row],[Memo]]))</f>
        <v>平板報工</v>
      </c>
      <c r="O3881" t="s">
        <v>643</v>
      </c>
      <c r="P3881" t="s">
        <v>141</v>
      </c>
      <c r="Q3881" t="s">
        <v>644</v>
      </c>
      <c r="R3881" t="str">
        <f>IFERROR(VLOOKUP(record[[#This Row],[PCUSTID]],廠商[],2,FALSE),"")</f>
        <v/>
      </c>
      <c r="S3881" t="str">
        <f>VLOOKUP(record[[#This Row],[employeeID]],員工[],2,FALSE)</f>
        <v>蔣梅</v>
      </c>
    </row>
    <row r="3882" spans="6:19" hidden="1" x14ac:dyDescent="0.25">
      <c r="F3882" t="s">
        <v>1585</v>
      </c>
      <c r="G3882" t="s">
        <v>422</v>
      </c>
      <c r="H3882" t="str">
        <f>VLOOKUP(record[[#This Row],[ProcessSN]],表格2_7[],2,FALSE)</f>
        <v>30-4118-018-600</v>
      </c>
      <c r="I3882" t="str">
        <f>VLOOKUP(record[[#This Row],[ProcessSN]],表格2_7[],3,FALSE)</f>
        <v>#08</v>
      </c>
      <c r="J3882" t="s">
        <v>597</v>
      </c>
      <c r="K3882" s="195">
        <v>46065.418877314813</v>
      </c>
      <c r="L3882">
        <v>528</v>
      </c>
      <c r="M3882">
        <v>0</v>
      </c>
      <c r="N3882" s="98" t="str">
        <f>IF(record[[#This Row],[Memo]]="Browser:chrome os:android","平板報工",IF(record[[#This Row],[Memo]]=0,"委外",record[[#This Row],[Memo]]))</f>
        <v>委外</v>
      </c>
      <c r="P3882" t="s">
        <v>186</v>
      </c>
      <c r="Q3882" t="s">
        <v>287</v>
      </c>
      <c r="R3882" t="str">
        <f>IFERROR(VLOOKUP(record[[#This Row],[PCUSTID]],廠商[],2,FALSE),"")</f>
        <v>泉盛</v>
      </c>
      <c r="S3882" t="str">
        <f>VLOOKUP(record[[#This Row],[employeeID]],員工[],2,FALSE)</f>
        <v>許文姍</v>
      </c>
    </row>
    <row r="3883" spans="6:19" hidden="1" x14ac:dyDescent="0.25">
      <c r="F3883" t="s">
        <v>1585</v>
      </c>
      <c r="G3883" t="s">
        <v>421</v>
      </c>
      <c r="H3883" t="str">
        <f>VLOOKUP(record[[#This Row],[ProcessSN]],表格2_7[],2,FALSE)</f>
        <v>30-4118-018-600</v>
      </c>
      <c r="I3883" t="str">
        <f>VLOOKUP(record[[#This Row],[ProcessSN]],表格2_7[],3,FALSE)</f>
        <v>#08PICK</v>
      </c>
      <c r="J3883" t="s">
        <v>582</v>
      </c>
      <c r="K3883" s="195">
        <v>46065.418506944443</v>
      </c>
      <c r="L3883">
        <v>528</v>
      </c>
      <c r="M3883">
        <v>0</v>
      </c>
      <c r="N3883" s="98" t="str">
        <f>IF(record[[#This Row],[Memo]]="Browser:chrome os:android","平板報工",IF(record[[#This Row],[Memo]]=0,"委外",record[[#This Row],[Memo]]))</f>
        <v/>
      </c>
      <c r="O3883" t="s">
        <v>58</v>
      </c>
      <c r="P3883" t="s">
        <v>186</v>
      </c>
      <c r="Q3883" t="s">
        <v>58</v>
      </c>
      <c r="R3883" t="str">
        <f>IFERROR(VLOOKUP(record[[#This Row],[PCUSTID]],廠商[],2,FALSE),"")</f>
        <v/>
      </c>
      <c r="S3883" t="str">
        <f>VLOOKUP(record[[#This Row],[employeeID]],員工[],2,FALSE)</f>
        <v>許文姍</v>
      </c>
    </row>
    <row r="3884" spans="6:19" hidden="1" x14ac:dyDescent="0.25">
      <c r="F3884" t="s">
        <v>1534</v>
      </c>
      <c r="G3884" t="s">
        <v>428</v>
      </c>
      <c r="H3884" t="str">
        <f>VLOOKUP(record[[#This Row],[ProcessSN]],表格2_7[],2,FALSE)</f>
        <v>30-4118-018-600</v>
      </c>
      <c r="I3884" t="str">
        <f>VLOOKUP(record[[#This Row],[ProcessSN]],表格2_7[],3,FALSE)</f>
        <v>#100SHIP</v>
      </c>
      <c r="J3884" t="s">
        <v>600</v>
      </c>
      <c r="K3884" s="195">
        <v>46065.41847222222</v>
      </c>
      <c r="L3884">
        <v>286</v>
      </c>
      <c r="M3884">
        <v>0</v>
      </c>
      <c r="N3884" s="98" t="str">
        <f>IF(record[[#This Row],[Memo]]="Browser:chrome os:android","平板報工",IF(record[[#This Row],[Memo]]=0,"委外",record[[#This Row],[Memo]]))</f>
        <v/>
      </c>
      <c r="O3884" t="s">
        <v>58</v>
      </c>
      <c r="P3884" t="s">
        <v>886</v>
      </c>
      <c r="Q3884" t="s">
        <v>58</v>
      </c>
      <c r="R3884" t="str">
        <f>IFERROR(VLOOKUP(record[[#This Row],[PCUSTID]],廠商[],2,FALSE),"")</f>
        <v/>
      </c>
      <c r="S3884" t="str">
        <f>VLOOKUP(record[[#This Row],[employeeID]],員工[],2,FALSE)</f>
        <v>謝蓁薰</v>
      </c>
    </row>
    <row r="3885" spans="6:19" hidden="1" x14ac:dyDescent="0.25">
      <c r="F3885" t="s">
        <v>1549</v>
      </c>
      <c r="G3885" t="s">
        <v>403</v>
      </c>
      <c r="H3885" t="str">
        <f>VLOOKUP(record[[#This Row],[ProcessSN]],表格2_7[],2,FALSE)</f>
        <v>30-4118-018-550</v>
      </c>
      <c r="I3885" t="str">
        <f>VLOOKUP(record[[#This Row],[ProcessSN]],表格2_7[],3,FALSE)</f>
        <v>#100SHIP</v>
      </c>
      <c r="J3885" t="s">
        <v>600</v>
      </c>
      <c r="K3885" s="195">
        <v>46065.418321759258</v>
      </c>
      <c r="L3885">
        <v>3</v>
      </c>
      <c r="M3885">
        <v>0</v>
      </c>
      <c r="N3885" s="98" t="str">
        <f>IF(record[[#This Row],[Memo]]="Browser:chrome os:android","平板報工",IF(record[[#This Row],[Memo]]=0,"委外",record[[#This Row],[Memo]]))</f>
        <v/>
      </c>
      <c r="O3885" t="s">
        <v>58</v>
      </c>
      <c r="P3885" t="s">
        <v>886</v>
      </c>
      <c r="Q3885" t="s">
        <v>58</v>
      </c>
      <c r="R3885" t="str">
        <f>IFERROR(VLOOKUP(record[[#This Row],[PCUSTID]],廠商[],2,FALSE),"")</f>
        <v/>
      </c>
      <c r="S3885" t="str">
        <f>VLOOKUP(record[[#This Row],[employeeID]],員工[],2,FALSE)</f>
        <v>謝蓁薰</v>
      </c>
    </row>
    <row r="3886" spans="6:19" hidden="1" x14ac:dyDescent="0.25">
      <c r="F3886" t="s">
        <v>1544</v>
      </c>
      <c r="G3886" t="s">
        <v>403</v>
      </c>
      <c r="H3886" t="str">
        <f>VLOOKUP(record[[#This Row],[ProcessSN]],表格2_7[],2,FALSE)</f>
        <v>30-4118-018-550</v>
      </c>
      <c r="I3886" t="str">
        <f>VLOOKUP(record[[#This Row],[ProcessSN]],表格2_7[],3,FALSE)</f>
        <v>#100SHIP</v>
      </c>
      <c r="J3886" t="s">
        <v>600</v>
      </c>
      <c r="K3886" s="195">
        <v>46065.418171296296</v>
      </c>
      <c r="L3886">
        <v>335</v>
      </c>
      <c r="M3886">
        <v>0</v>
      </c>
      <c r="N3886" s="98" t="str">
        <f>IF(record[[#This Row],[Memo]]="Browser:chrome os:android","平板報工",IF(record[[#This Row],[Memo]]=0,"委外",record[[#This Row],[Memo]]))</f>
        <v/>
      </c>
      <c r="O3886" t="s">
        <v>58</v>
      </c>
      <c r="P3886" t="s">
        <v>886</v>
      </c>
      <c r="Q3886" t="s">
        <v>58</v>
      </c>
      <c r="R3886" t="str">
        <f>IFERROR(VLOOKUP(record[[#This Row],[PCUSTID]],廠商[],2,FALSE),"")</f>
        <v/>
      </c>
      <c r="S3886" t="str">
        <f>VLOOKUP(record[[#This Row],[employeeID]],員工[],2,FALSE)</f>
        <v>謝蓁薰</v>
      </c>
    </row>
    <row r="3887" spans="6:19" hidden="1" x14ac:dyDescent="0.25">
      <c r="F3887" t="s">
        <v>1536</v>
      </c>
      <c r="G3887" t="s">
        <v>403</v>
      </c>
      <c r="H3887" t="str">
        <f>VLOOKUP(record[[#This Row],[ProcessSN]],表格2_7[],2,FALSE)</f>
        <v>30-4118-018-550</v>
      </c>
      <c r="I3887" t="str">
        <f>VLOOKUP(record[[#This Row],[ProcessSN]],表格2_7[],3,FALSE)</f>
        <v>#100SHIP</v>
      </c>
      <c r="J3887" t="s">
        <v>600</v>
      </c>
      <c r="K3887" s="195">
        <v>46065.417939814812</v>
      </c>
      <c r="L3887">
        <v>24</v>
      </c>
      <c r="M3887">
        <v>0</v>
      </c>
      <c r="N3887" s="98" t="str">
        <f>IF(record[[#This Row],[Memo]]="Browser:chrome os:android","平板報工",IF(record[[#This Row],[Memo]]=0,"委外",record[[#This Row],[Memo]]))</f>
        <v/>
      </c>
      <c r="O3887" t="s">
        <v>58</v>
      </c>
      <c r="P3887" t="s">
        <v>886</v>
      </c>
      <c r="Q3887" t="s">
        <v>58</v>
      </c>
      <c r="R3887" t="str">
        <f>IFERROR(VLOOKUP(record[[#This Row],[PCUSTID]],廠商[],2,FALSE),"")</f>
        <v/>
      </c>
      <c r="S3887" t="str">
        <f>VLOOKUP(record[[#This Row],[employeeID]],員工[],2,FALSE)</f>
        <v>謝蓁薰</v>
      </c>
    </row>
    <row r="3888" spans="6:19" hidden="1" x14ac:dyDescent="0.25">
      <c r="F3888" t="s">
        <v>1549</v>
      </c>
      <c r="G3888" t="s">
        <v>402</v>
      </c>
      <c r="H3888" t="str">
        <f>VLOOKUP(record[[#This Row],[ProcessSN]],表格2_7[],2,FALSE)</f>
        <v>30-4118-018-550</v>
      </c>
      <c r="I3888" t="str">
        <f>VLOOKUP(record[[#This Row],[ProcessSN]],表格2_7[],3,FALSE)</f>
        <v>#100STOCK</v>
      </c>
      <c r="J3888" t="s">
        <v>592</v>
      </c>
      <c r="K3888" s="195">
        <v>46065.417800925927</v>
      </c>
      <c r="L3888">
        <v>3</v>
      </c>
      <c r="M3888">
        <v>0</v>
      </c>
      <c r="N3888" s="98" t="str">
        <f>IF(record[[#This Row],[Memo]]="Browser:chrome os:android","平板報工",IF(record[[#This Row],[Memo]]=0,"委外",record[[#This Row],[Memo]]))</f>
        <v/>
      </c>
      <c r="O3888" t="s">
        <v>58</v>
      </c>
      <c r="P3888" t="s">
        <v>886</v>
      </c>
      <c r="Q3888" t="s">
        <v>58</v>
      </c>
      <c r="R3888" t="str">
        <f>IFERROR(VLOOKUP(record[[#This Row],[PCUSTID]],廠商[],2,FALSE),"")</f>
        <v/>
      </c>
      <c r="S3888" t="str">
        <f>VLOOKUP(record[[#This Row],[employeeID]],員工[],2,FALSE)</f>
        <v>謝蓁薰</v>
      </c>
    </row>
    <row r="3889" spans="6:19" hidden="1" x14ac:dyDescent="0.25">
      <c r="F3889" t="s">
        <v>1544</v>
      </c>
      <c r="G3889" t="s">
        <v>402</v>
      </c>
      <c r="H3889" t="str">
        <f>VLOOKUP(record[[#This Row],[ProcessSN]],表格2_7[],2,FALSE)</f>
        <v>30-4118-018-550</v>
      </c>
      <c r="I3889" t="str">
        <f>VLOOKUP(record[[#This Row],[ProcessSN]],表格2_7[],3,FALSE)</f>
        <v>#100STOCK</v>
      </c>
      <c r="J3889" t="s">
        <v>592</v>
      </c>
      <c r="K3889" s="195">
        <v>46065.417615740742</v>
      </c>
      <c r="L3889">
        <v>335</v>
      </c>
      <c r="M3889">
        <v>0</v>
      </c>
      <c r="N3889" s="98" t="str">
        <f>IF(record[[#This Row],[Memo]]="Browser:chrome os:android","平板報工",IF(record[[#This Row],[Memo]]=0,"委外",record[[#This Row],[Memo]]))</f>
        <v/>
      </c>
      <c r="O3889" t="s">
        <v>58</v>
      </c>
      <c r="P3889" t="s">
        <v>886</v>
      </c>
      <c r="Q3889" t="s">
        <v>58</v>
      </c>
      <c r="R3889" t="str">
        <f>IFERROR(VLOOKUP(record[[#This Row],[PCUSTID]],廠商[],2,FALSE),"")</f>
        <v/>
      </c>
      <c r="S3889" t="str">
        <f>VLOOKUP(record[[#This Row],[employeeID]],員工[],2,FALSE)</f>
        <v>謝蓁薰</v>
      </c>
    </row>
    <row r="3890" spans="6:19" hidden="1" x14ac:dyDescent="0.25">
      <c r="F3890" t="s">
        <v>1536</v>
      </c>
      <c r="G3890" t="s">
        <v>402</v>
      </c>
      <c r="H3890" t="str">
        <f>VLOOKUP(record[[#This Row],[ProcessSN]],表格2_7[],2,FALSE)</f>
        <v>30-4118-018-550</v>
      </c>
      <c r="I3890" t="str">
        <f>VLOOKUP(record[[#This Row],[ProcessSN]],表格2_7[],3,FALSE)</f>
        <v>#100STOCK</v>
      </c>
      <c r="J3890" t="s">
        <v>592</v>
      </c>
      <c r="K3890" s="195">
        <v>46065.41679398148</v>
      </c>
      <c r="L3890">
        <v>24</v>
      </c>
      <c r="M3890">
        <v>0</v>
      </c>
      <c r="N3890" s="98" t="str">
        <f>IF(record[[#This Row],[Memo]]="Browser:chrome os:android","平板報工",IF(record[[#This Row],[Memo]]=0,"委外",record[[#This Row],[Memo]]))</f>
        <v/>
      </c>
      <c r="O3890" t="s">
        <v>58</v>
      </c>
      <c r="P3890" t="s">
        <v>886</v>
      </c>
      <c r="Q3890" t="s">
        <v>58</v>
      </c>
      <c r="R3890" t="str">
        <f>IFERROR(VLOOKUP(record[[#This Row],[PCUSTID]],廠商[],2,FALSE),"")</f>
        <v/>
      </c>
      <c r="S3890" t="str">
        <f>VLOOKUP(record[[#This Row],[employeeID]],員工[],2,FALSE)</f>
        <v>謝蓁薰</v>
      </c>
    </row>
    <row r="3891" spans="6:19" hidden="1" x14ac:dyDescent="0.25">
      <c r="F3891" t="s">
        <v>1444</v>
      </c>
      <c r="G3891" t="s">
        <v>403</v>
      </c>
      <c r="H3891" t="str">
        <f>VLOOKUP(record[[#This Row],[ProcessSN]],表格2_7[],2,FALSE)</f>
        <v>30-4118-018-550</v>
      </c>
      <c r="I3891" t="str">
        <f>VLOOKUP(record[[#This Row],[ProcessSN]],表格2_7[],3,FALSE)</f>
        <v>#100SHIP</v>
      </c>
      <c r="J3891" t="s">
        <v>600</v>
      </c>
      <c r="K3891" s="195">
        <v>46065.416608796295</v>
      </c>
      <c r="L3891">
        <v>7</v>
      </c>
      <c r="M3891">
        <v>0</v>
      </c>
      <c r="N3891" s="98" t="str">
        <f>IF(record[[#This Row],[Memo]]="Browser:chrome os:android","平板報工",IF(record[[#This Row],[Memo]]=0,"委外",record[[#This Row],[Memo]]))</f>
        <v/>
      </c>
      <c r="O3891" t="s">
        <v>58</v>
      </c>
      <c r="P3891" t="s">
        <v>886</v>
      </c>
      <c r="Q3891" t="s">
        <v>58</v>
      </c>
      <c r="R3891" t="str">
        <f>IFERROR(VLOOKUP(record[[#This Row],[PCUSTID]],廠商[],2,FALSE),"")</f>
        <v/>
      </c>
      <c r="S3891" t="str">
        <f>VLOOKUP(record[[#This Row],[employeeID]],員工[],2,FALSE)</f>
        <v>謝蓁薰</v>
      </c>
    </row>
    <row r="3892" spans="6:19" hidden="1" x14ac:dyDescent="0.25">
      <c r="F3892" t="s">
        <v>1534</v>
      </c>
      <c r="G3892" t="s">
        <v>428</v>
      </c>
      <c r="H3892" t="str">
        <f>VLOOKUP(record[[#This Row],[ProcessSN]],表格2_7[],2,FALSE)</f>
        <v>30-4118-018-600</v>
      </c>
      <c r="I3892" t="str">
        <f>VLOOKUP(record[[#This Row],[ProcessSN]],表格2_7[],3,FALSE)</f>
        <v>#100SHIP</v>
      </c>
      <c r="J3892" t="s">
        <v>600</v>
      </c>
      <c r="K3892" s="195">
        <v>46065.409085648149</v>
      </c>
      <c r="L3892">
        <v>25</v>
      </c>
      <c r="M3892">
        <v>0</v>
      </c>
      <c r="N3892" s="98" t="str">
        <f>IF(record[[#This Row],[Memo]]="Browser:chrome os:android","平板報工",IF(record[[#This Row],[Memo]]=0,"委外",record[[#This Row],[Memo]]))</f>
        <v/>
      </c>
      <c r="O3892" t="s">
        <v>58</v>
      </c>
      <c r="P3892" t="s">
        <v>886</v>
      </c>
      <c r="Q3892" t="s">
        <v>58</v>
      </c>
      <c r="R3892" t="str">
        <f>IFERROR(VLOOKUP(record[[#This Row],[PCUSTID]],廠商[],2,FALSE),"")</f>
        <v/>
      </c>
      <c r="S3892" t="str">
        <f>VLOOKUP(record[[#This Row],[employeeID]],員工[],2,FALSE)</f>
        <v>謝蓁薰</v>
      </c>
    </row>
    <row r="3893" spans="6:19" hidden="1" x14ac:dyDescent="0.25">
      <c r="F3893" t="s">
        <v>1522</v>
      </c>
      <c r="G3893" t="s">
        <v>428</v>
      </c>
      <c r="H3893" t="str">
        <f>VLOOKUP(record[[#This Row],[ProcessSN]],表格2_7[],2,FALSE)</f>
        <v>30-4118-018-600</v>
      </c>
      <c r="I3893" t="str">
        <f>VLOOKUP(record[[#This Row],[ProcessSN]],表格2_7[],3,FALSE)</f>
        <v>#100SHIP</v>
      </c>
      <c r="J3893" t="s">
        <v>600</v>
      </c>
      <c r="K3893" s="195">
        <v>46065.408935185187</v>
      </c>
      <c r="L3893">
        <v>17</v>
      </c>
      <c r="M3893">
        <v>0</v>
      </c>
      <c r="N3893" s="98" t="str">
        <f>IF(record[[#This Row],[Memo]]="Browser:chrome os:android","平板報工",IF(record[[#This Row],[Memo]]=0,"委外",record[[#This Row],[Memo]]))</f>
        <v/>
      </c>
      <c r="O3893" t="s">
        <v>58</v>
      </c>
      <c r="P3893" t="s">
        <v>886</v>
      </c>
      <c r="Q3893" t="s">
        <v>58</v>
      </c>
      <c r="R3893" t="str">
        <f>IFERROR(VLOOKUP(record[[#This Row],[PCUSTID]],廠商[],2,FALSE),"")</f>
        <v/>
      </c>
      <c r="S3893" t="str">
        <f>VLOOKUP(record[[#This Row],[employeeID]],員工[],2,FALSE)</f>
        <v>謝蓁薰</v>
      </c>
    </row>
    <row r="3894" spans="6:19" hidden="1" x14ac:dyDescent="0.25">
      <c r="F3894" t="s">
        <v>1534</v>
      </c>
      <c r="G3894" t="s">
        <v>427</v>
      </c>
      <c r="H3894" t="str">
        <f>VLOOKUP(record[[#This Row],[ProcessSN]],表格2_7[],2,FALSE)</f>
        <v>30-4118-018-600</v>
      </c>
      <c r="I3894" t="str">
        <f>VLOOKUP(record[[#This Row],[ProcessSN]],表格2_7[],3,FALSE)</f>
        <v>#100STOCK</v>
      </c>
      <c r="J3894" t="s">
        <v>592</v>
      </c>
      <c r="K3894" s="195">
        <v>46065.408796296295</v>
      </c>
      <c r="L3894">
        <v>311</v>
      </c>
      <c r="M3894">
        <v>0</v>
      </c>
      <c r="N3894" s="98" t="str">
        <f>IF(record[[#This Row],[Memo]]="Browser:chrome os:android","平板報工",IF(record[[#This Row],[Memo]]=0,"委外",record[[#This Row],[Memo]]))</f>
        <v/>
      </c>
      <c r="O3894" t="s">
        <v>58</v>
      </c>
      <c r="P3894" t="s">
        <v>886</v>
      </c>
      <c r="Q3894" t="s">
        <v>58</v>
      </c>
      <c r="R3894" t="str">
        <f>IFERROR(VLOOKUP(record[[#This Row],[PCUSTID]],廠商[],2,FALSE),"")</f>
        <v/>
      </c>
      <c r="S3894" t="str">
        <f>VLOOKUP(record[[#This Row],[employeeID]],員工[],2,FALSE)</f>
        <v>謝蓁薰</v>
      </c>
    </row>
    <row r="3895" spans="6:19" hidden="1" x14ac:dyDescent="0.25">
      <c r="F3895" t="s">
        <v>1522</v>
      </c>
      <c r="G3895" t="s">
        <v>427</v>
      </c>
      <c r="H3895" t="str">
        <f>VLOOKUP(record[[#This Row],[ProcessSN]],表格2_7[],2,FALSE)</f>
        <v>30-4118-018-600</v>
      </c>
      <c r="I3895" t="str">
        <f>VLOOKUP(record[[#This Row],[ProcessSN]],表格2_7[],3,FALSE)</f>
        <v>#100STOCK</v>
      </c>
      <c r="J3895" t="s">
        <v>592</v>
      </c>
      <c r="K3895" s="195">
        <v>46065.408564814818</v>
      </c>
      <c r="L3895">
        <v>17</v>
      </c>
      <c r="M3895">
        <v>0</v>
      </c>
      <c r="N3895" s="98" t="str">
        <f>IF(record[[#This Row],[Memo]]="Browser:chrome os:android","平板報工",IF(record[[#This Row],[Memo]]=0,"委外",record[[#This Row],[Memo]]))</f>
        <v/>
      </c>
      <c r="O3895" t="s">
        <v>58</v>
      </c>
      <c r="P3895" t="s">
        <v>886</v>
      </c>
      <c r="Q3895" t="s">
        <v>58</v>
      </c>
      <c r="R3895" t="str">
        <f>IFERROR(VLOOKUP(record[[#This Row],[PCUSTID]],廠商[],2,FALSE),"")</f>
        <v/>
      </c>
      <c r="S3895" t="str">
        <f>VLOOKUP(record[[#This Row],[employeeID]],員工[],2,FALSE)</f>
        <v>謝蓁薰</v>
      </c>
    </row>
    <row r="3896" spans="6:19" hidden="1" x14ac:dyDescent="0.25">
      <c r="F3896" t="s">
        <v>1444</v>
      </c>
      <c r="G3896" t="s">
        <v>403</v>
      </c>
      <c r="H3896" t="str">
        <f>VLOOKUP(record[[#This Row],[ProcessSN]],表格2_7[],2,FALSE)</f>
        <v>30-4118-018-550</v>
      </c>
      <c r="I3896" t="str">
        <f>VLOOKUP(record[[#This Row],[ProcessSN]],表格2_7[],3,FALSE)</f>
        <v>#100SHIP</v>
      </c>
      <c r="J3896" t="s">
        <v>600</v>
      </c>
      <c r="K3896" s="195">
        <v>46065.408391203702</v>
      </c>
      <c r="L3896">
        <v>7</v>
      </c>
      <c r="M3896">
        <v>0</v>
      </c>
      <c r="N3896" s="98" t="str">
        <f>IF(record[[#This Row],[Memo]]="Browser:chrome os:android","平板報工",IF(record[[#This Row],[Memo]]=0,"委外",record[[#This Row],[Memo]]))</f>
        <v/>
      </c>
      <c r="O3896" t="s">
        <v>58</v>
      </c>
      <c r="P3896" t="s">
        <v>886</v>
      </c>
      <c r="Q3896" t="s">
        <v>58</v>
      </c>
      <c r="R3896" t="str">
        <f>IFERROR(VLOOKUP(record[[#This Row],[PCUSTID]],廠商[],2,FALSE),"")</f>
        <v/>
      </c>
      <c r="S3896" t="str">
        <f>VLOOKUP(record[[#This Row],[employeeID]],員工[],2,FALSE)</f>
        <v>謝蓁薰</v>
      </c>
    </row>
    <row r="3897" spans="6:19" hidden="1" x14ac:dyDescent="0.25">
      <c r="F3897" t="s">
        <v>1444</v>
      </c>
      <c r="G3897" t="s">
        <v>402</v>
      </c>
      <c r="H3897" t="str">
        <f>VLOOKUP(record[[#This Row],[ProcessSN]],表格2_7[],2,FALSE)</f>
        <v>30-4118-018-550</v>
      </c>
      <c r="I3897" t="str">
        <f>VLOOKUP(record[[#This Row],[ProcessSN]],表格2_7[],3,FALSE)</f>
        <v>#100STOCK</v>
      </c>
      <c r="J3897" t="s">
        <v>592</v>
      </c>
      <c r="K3897" s="195">
        <v>46065.408263888887</v>
      </c>
      <c r="L3897">
        <v>14</v>
      </c>
      <c r="M3897">
        <v>0</v>
      </c>
      <c r="N3897" s="98" t="str">
        <f>IF(record[[#This Row],[Memo]]="Browser:chrome os:android","平板報工",IF(record[[#This Row],[Memo]]=0,"委外",record[[#This Row],[Memo]]))</f>
        <v/>
      </c>
      <c r="O3897" t="s">
        <v>58</v>
      </c>
      <c r="P3897" t="s">
        <v>886</v>
      </c>
      <c r="Q3897" t="s">
        <v>58</v>
      </c>
      <c r="R3897" t="str">
        <f>IFERROR(VLOOKUP(record[[#This Row],[PCUSTID]],廠商[],2,FALSE),"")</f>
        <v/>
      </c>
      <c r="S3897" t="str">
        <f>VLOOKUP(record[[#This Row],[employeeID]],員工[],2,FALSE)</f>
        <v>謝蓁薰</v>
      </c>
    </row>
    <row r="3898" spans="6:19" hidden="1" x14ac:dyDescent="0.25">
      <c r="F3898" t="s">
        <v>1527</v>
      </c>
      <c r="G3898" t="s">
        <v>451</v>
      </c>
      <c r="H3898" t="str">
        <f>VLOOKUP(record[[#This Row],[ProcessSN]],表格2_7[],2,FALSE)</f>
        <v>30-4118-018-6XX</v>
      </c>
      <c r="I3898" t="str">
        <f>VLOOKUP(record[[#This Row],[ProcessSN]],表格2_7[],3,FALSE)</f>
        <v>#07</v>
      </c>
      <c r="J3898" t="s">
        <v>588</v>
      </c>
      <c r="K3898" s="195">
        <v>46065.377268518518</v>
      </c>
      <c r="L3898">
        <v>10</v>
      </c>
      <c r="M3898">
        <v>0</v>
      </c>
      <c r="N3898" s="98" t="str">
        <f>IF(record[[#This Row],[Memo]]="Browser:chrome os:android","平板報工",IF(record[[#This Row],[Memo]]=0,"委外",record[[#This Row],[Memo]]))</f>
        <v/>
      </c>
      <c r="O3898" t="s">
        <v>58</v>
      </c>
      <c r="P3898" t="s">
        <v>785</v>
      </c>
      <c r="Q3898" t="s">
        <v>58</v>
      </c>
      <c r="R3898" t="str">
        <f>IFERROR(VLOOKUP(record[[#This Row],[PCUSTID]],廠商[],2,FALSE),"")</f>
        <v/>
      </c>
      <c r="S3898" t="str">
        <f>VLOOKUP(record[[#This Row],[employeeID]],員工[],2,FALSE)</f>
        <v>謝刻光</v>
      </c>
    </row>
    <row r="3899" spans="6:19" hidden="1" x14ac:dyDescent="0.25">
      <c r="F3899" t="s">
        <v>1574</v>
      </c>
      <c r="G3899" t="s">
        <v>426</v>
      </c>
      <c r="H3899" t="str">
        <f>VLOOKUP(record[[#This Row],[ProcessSN]],表格2_7[],2,FALSE)</f>
        <v>30-4118-018-600</v>
      </c>
      <c r="I3899" t="str">
        <f>VLOOKUP(record[[#This Row],[ProcessSN]],表格2_7[],3,FALSE)</f>
        <v>#100OQC</v>
      </c>
      <c r="J3899" t="s">
        <v>599</v>
      </c>
      <c r="K3899" s="195">
        <v>46065.325856481482</v>
      </c>
      <c r="L3899">
        <v>221</v>
      </c>
      <c r="M3899">
        <v>0</v>
      </c>
      <c r="N3899" s="98" t="str">
        <f>IF(record[[#This Row],[Memo]]="Browser:chrome os:android","平板報工",IF(record[[#This Row],[Memo]]=0,"委外",record[[#This Row],[Memo]]))</f>
        <v/>
      </c>
      <c r="O3899" t="s">
        <v>58</v>
      </c>
      <c r="P3899" t="s">
        <v>121</v>
      </c>
      <c r="Q3899" t="s">
        <v>58</v>
      </c>
      <c r="R3899" t="str">
        <f>IFERROR(VLOOKUP(record[[#This Row],[PCUSTID]],廠商[],2,FALSE),"")</f>
        <v/>
      </c>
      <c r="S3899" t="str">
        <f>VLOOKUP(record[[#This Row],[employeeID]],員工[],2,FALSE)</f>
        <v>謝素卿</v>
      </c>
    </row>
    <row r="3900" spans="6:19" hidden="1" x14ac:dyDescent="0.25">
      <c r="F3900" t="s">
        <v>1527</v>
      </c>
      <c r="G3900" t="s">
        <v>451</v>
      </c>
      <c r="H3900" t="str">
        <f>VLOOKUP(record[[#This Row],[ProcessSN]],表格2_7[],2,FALSE)</f>
        <v>30-4118-018-6XX</v>
      </c>
      <c r="I3900" t="str">
        <f>VLOOKUP(record[[#This Row],[ProcessSN]],表格2_7[],3,FALSE)</f>
        <v>#07</v>
      </c>
      <c r="J3900" t="s">
        <v>588</v>
      </c>
      <c r="K3900" s="195">
        <v>46065.308576388888</v>
      </c>
      <c r="L3900">
        <v>183</v>
      </c>
      <c r="M3900">
        <v>2</v>
      </c>
      <c r="N3900" s="98" t="str">
        <f>IF(record[[#This Row],[Memo]]="Browser:chrome os:android","平板報工",IF(record[[#This Row],[Memo]]=0,"委外",record[[#This Row],[Memo]]))</f>
        <v/>
      </c>
      <c r="O3900" t="s">
        <v>58</v>
      </c>
      <c r="P3900" t="s">
        <v>806</v>
      </c>
      <c r="Q3900" t="s">
        <v>58</v>
      </c>
      <c r="R3900" t="str">
        <f>IFERROR(VLOOKUP(record[[#This Row],[PCUSTID]],廠商[],2,FALSE),"")</f>
        <v/>
      </c>
      <c r="S3900" t="str">
        <f>VLOOKUP(record[[#This Row],[employeeID]],員工[],2,FALSE)</f>
        <v>方思緯</v>
      </c>
    </row>
    <row r="3901" spans="6:19" hidden="1" x14ac:dyDescent="0.25">
      <c r="F3901" t="s">
        <v>1527</v>
      </c>
      <c r="G3901" t="s">
        <v>450</v>
      </c>
      <c r="H3901" t="str">
        <f>VLOOKUP(record[[#This Row],[ProcessSN]],表格2_7[],2,FALSE)</f>
        <v>30-4118-018-6XX</v>
      </c>
      <c r="I3901" t="str">
        <f>VLOOKUP(record[[#This Row],[ProcessSN]],表格2_7[],3,FALSE)</f>
        <v>#06</v>
      </c>
      <c r="J3901" t="s">
        <v>593</v>
      </c>
      <c r="K3901" s="195">
        <v>46065.308379629627</v>
      </c>
      <c r="L3901">
        <v>125</v>
      </c>
      <c r="M3901">
        <v>0</v>
      </c>
      <c r="N3901" s="98" t="str">
        <f>IF(record[[#This Row],[Memo]]="Browser:chrome os:android","平板報工",IF(record[[#This Row],[Memo]]=0,"委外",record[[#This Row],[Memo]]))</f>
        <v/>
      </c>
      <c r="O3901" t="s">
        <v>58</v>
      </c>
      <c r="P3901" t="s">
        <v>180</v>
      </c>
      <c r="Q3901" t="s">
        <v>58</v>
      </c>
      <c r="R3901" t="str">
        <f>IFERROR(VLOOKUP(record[[#This Row],[PCUSTID]],廠商[],2,FALSE),"")</f>
        <v/>
      </c>
      <c r="S3901" t="str">
        <f>VLOOKUP(record[[#This Row],[employeeID]],員工[],2,FALSE)</f>
        <v>黎功江</v>
      </c>
    </row>
    <row r="3902" spans="6:19" hidden="1" x14ac:dyDescent="0.25">
      <c r="F3902" t="s">
        <v>1517</v>
      </c>
      <c r="G3902" t="s">
        <v>449</v>
      </c>
      <c r="H3902" t="str">
        <f>VLOOKUP(record[[#This Row],[ProcessSN]],表格2_7[],2,FALSE)</f>
        <v>30-4118-018-6XX</v>
      </c>
      <c r="I3902" t="str">
        <f>VLOOKUP(record[[#This Row],[ProcessSN]],表格2_7[],3,FALSE)</f>
        <v>#05</v>
      </c>
      <c r="J3902" t="s">
        <v>588</v>
      </c>
      <c r="K3902" s="195">
        <v>46065.306527777779</v>
      </c>
      <c r="L3902">
        <v>218</v>
      </c>
      <c r="M3902">
        <v>0</v>
      </c>
      <c r="N3902" s="98" t="str">
        <f>IF(record[[#This Row],[Memo]]="Browser:chrome os:android","平板報工",IF(record[[#This Row],[Memo]]=0,"委外",record[[#This Row],[Memo]]))</f>
        <v/>
      </c>
      <c r="O3902" t="s">
        <v>58</v>
      </c>
      <c r="P3902" t="s">
        <v>843</v>
      </c>
      <c r="Q3902" t="s">
        <v>58</v>
      </c>
      <c r="R3902" t="str">
        <f>IFERROR(VLOOKUP(record[[#This Row],[PCUSTID]],廠商[],2,FALSE),"")</f>
        <v/>
      </c>
      <c r="S3902" t="str">
        <f>VLOOKUP(record[[#This Row],[employeeID]],員工[],2,FALSE)</f>
        <v>張楚承</v>
      </c>
    </row>
    <row r="3903" spans="6:19" hidden="1" x14ac:dyDescent="0.25">
      <c r="F3903" t="s">
        <v>1527</v>
      </c>
      <c r="G3903" t="s">
        <v>451</v>
      </c>
      <c r="H3903" t="str">
        <f>VLOOKUP(record[[#This Row],[ProcessSN]],表格2_7[],2,FALSE)</f>
        <v>30-4118-018-6XX</v>
      </c>
      <c r="I3903" t="str">
        <f>VLOOKUP(record[[#This Row],[ProcessSN]],表格2_7[],3,FALSE)</f>
        <v>#07</v>
      </c>
      <c r="J3903" t="s">
        <v>588</v>
      </c>
      <c r="K3903" s="195">
        <v>46064.963877314818</v>
      </c>
      <c r="L3903">
        <v>202</v>
      </c>
      <c r="M3903">
        <v>0</v>
      </c>
      <c r="N3903" s="98" t="str">
        <f>IF(record[[#This Row],[Memo]]="Browser:chrome os:android","平板報工",IF(record[[#This Row],[Memo]]=0,"委外",record[[#This Row],[Memo]]))</f>
        <v/>
      </c>
      <c r="O3903" t="s">
        <v>58</v>
      </c>
      <c r="P3903" t="s">
        <v>89</v>
      </c>
      <c r="Q3903" t="s">
        <v>58</v>
      </c>
      <c r="R3903" t="str">
        <f>IFERROR(VLOOKUP(record[[#This Row],[PCUSTID]],廠商[],2,FALSE),"")</f>
        <v/>
      </c>
      <c r="S3903" t="str">
        <f>VLOOKUP(record[[#This Row],[employeeID]],員工[],2,FALSE)</f>
        <v>李美蓮</v>
      </c>
    </row>
    <row r="3904" spans="6:19" hidden="1" x14ac:dyDescent="0.25">
      <c r="F3904" t="s">
        <v>1527</v>
      </c>
      <c r="G3904" t="s">
        <v>450</v>
      </c>
      <c r="H3904" t="str">
        <f>VLOOKUP(record[[#This Row],[ProcessSN]],表格2_7[],2,FALSE)</f>
        <v>30-4118-018-6XX</v>
      </c>
      <c r="I3904" t="str">
        <f>VLOOKUP(record[[#This Row],[ProcessSN]],表格2_7[],3,FALSE)</f>
        <v>#06</v>
      </c>
      <c r="J3904" t="s">
        <v>593</v>
      </c>
      <c r="K3904" s="195">
        <v>46064.963634259257</v>
      </c>
      <c r="L3904">
        <v>133</v>
      </c>
      <c r="M3904">
        <v>0</v>
      </c>
      <c r="N3904" s="98" t="str">
        <f>IF(record[[#This Row],[Memo]]="Browser:chrome os:android","平板報工",IF(record[[#This Row],[Memo]]=0,"委外",record[[#This Row],[Memo]]))</f>
        <v/>
      </c>
      <c r="O3904" t="s">
        <v>58</v>
      </c>
      <c r="P3904" t="s">
        <v>133</v>
      </c>
      <c r="Q3904" t="s">
        <v>58</v>
      </c>
      <c r="R3904" t="str">
        <f>IFERROR(VLOOKUP(record[[#This Row],[PCUSTID]],廠商[],2,FALSE),"")</f>
        <v/>
      </c>
      <c r="S3904" t="str">
        <f>VLOOKUP(record[[#This Row],[employeeID]],員工[],2,FALSE)</f>
        <v>黎長維</v>
      </c>
    </row>
    <row r="3905" spans="6:19" hidden="1" x14ac:dyDescent="0.25">
      <c r="F3905" t="s">
        <v>1527</v>
      </c>
      <c r="G3905" t="s">
        <v>449</v>
      </c>
      <c r="H3905" t="str">
        <f>VLOOKUP(record[[#This Row],[ProcessSN]],表格2_7[],2,FALSE)</f>
        <v>30-4118-018-6XX</v>
      </c>
      <c r="I3905" t="str">
        <f>VLOOKUP(record[[#This Row],[ProcessSN]],表格2_7[],3,FALSE)</f>
        <v>#05</v>
      </c>
      <c r="J3905" t="s">
        <v>588</v>
      </c>
      <c r="K3905" s="195">
        <v>46064.961782407408</v>
      </c>
      <c r="L3905">
        <v>284</v>
      </c>
      <c r="M3905">
        <v>0</v>
      </c>
      <c r="N3905" s="98" t="str">
        <f>IF(record[[#This Row],[Memo]]="Browser:chrome os:android","平板報工",IF(record[[#This Row],[Memo]]=0,"委外",record[[#This Row],[Memo]]))</f>
        <v/>
      </c>
      <c r="O3905" t="s">
        <v>58</v>
      </c>
      <c r="P3905" t="s">
        <v>1098</v>
      </c>
      <c r="Q3905" t="s">
        <v>58</v>
      </c>
      <c r="R3905" t="str">
        <f>IFERROR(VLOOKUP(record[[#This Row],[PCUSTID]],廠商[],2,FALSE),"")</f>
        <v/>
      </c>
      <c r="S3905" t="str">
        <f>VLOOKUP(record[[#This Row],[employeeID]],員工[],2,FALSE)</f>
        <v>阮氏芳英(英)</v>
      </c>
    </row>
    <row r="3906" spans="6:19" hidden="1" x14ac:dyDescent="0.25">
      <c r="F3906" t="s">
        <v>1574</v>
      </c>
      <c r="G3906" t="s">
        <v>425</v>
      </c>
      <c r="H3906" t="str">
        <f>VLOOKUP(record[[#This Row],[ProcessSN]],表格2_7[],2,FALSE)</f>
        <v>30-4118-018-600</v>
      </c>
      <c r="I3906" t="str">
        <f>VLOOKUP(record[[#This Row],[ProcessSN]],表格2_7[],3,FALSE)</f>
        <v>#100</v>
      </c>
      <c r="J3906" t="s">
        <v>598</v>
      </c>
      <c r="K3906" s="195">
        <v>46064.821967592594</v>
      </c>
      <c r="L3906">
        <v>221</v>
      </c>
      <c r="M3906">
        <v>0</v>
      </c>
      <c r="N3906" s="98" t="str">
        <f>IF(record[[#This Row],[Memo]]="Browser:chrome os:android","平板報工",IF(record[[#This Row],[Memo]]=0,"委外",record[[#This Row],[Memo]]))</f>
        <v/>
      </c>
      <c r="O3906" t="s">
        <v>58</v>
      </c>
      <c r="P3906" t="s">
        <v>141</v>
      </c>
      <c r="Q3906" t="s">
        <v>58</v>
      </c>
      <c r="R3906" t="str">
        <f>IFERROR(VLOOKUP(record[[#This Row],[PCUSTID]],廠商[],2,FALSE),"")</f>
        <v/>
      </c>
      <c r="S3906" t="str">
        <f>VLOOKUP(record[[#This Row],[employeeID]],員工[],2,FALSE)</f>
        <v>蔣梅</v>
      </c>
    </row>
    <row r="3907" spans="6:19" hidden="1" x14ac:dyDescent="0.25">
      <c r="F3907" t="s">
        <v>1574</v>
      </c>
      <c r="G3907" t="s">
        <v>424</v>
      </c>
      <c r="H3907" t="str">
        <f>VLOOKUP(record[[#This Row],[ProcessSN]],表格2_7[],2,FALSE)</f>
        <v>30-4118-018-600</v>
      </c>
      <c r="I3907" t="str">
        <f>VLOOKUP(record[[#This Row],[ProcessSN]],表格2_7[],3,FALSE)</f>
        <v>#08IQC</v>
      </c>
      <c r="J3907" t="s">
        <v>583</v>
      </c>
      <c r="K3907" s="195">
        <v>46064.821712962963</v>
      </c>
      <c r="L3907">
        <v>1</v>
      </c>
      <c r="M3907">
        <v>0</v>
      </c>
      <c r="N3907" s="98" t="str">
        <f>IF(record[[#This Row],[Memo]]="Browser:chrome os:android","平板報工",IF(record[[#This Row],[Memo]]=0,"委外",record[[#This Row],[Memo]]))</f>
        <v>覆回</v>
      </c>
      <c r="O3907" t="s">
        <v>682</v>
      </c>
      <c r="P3907" t="s">
        <v>141</v>
      </c>
      <c r="Q3907" t="s">
        <v>58</v>
      </c>
      <c r="R3907" t="str">
        <f>IFERROR(VLOOKUP(record[[#This Row],[PCUSTID]],廠商[],2,FALSE),"")</f>
        <v/>
      </c>
      <c r="S3907" t="str">
        <f>VLOOKUP(record[[#This Row],[employeeID]],員工[],2,FALSE)</f>
        <v>蔣梅</v>
      </c>
    </row>
    <row r="3908" spans="6:19" hidden="1" x14ac:dyDescent="0.25">
      <c r="F3908" t="s">
        <v>1574</v>
      </c>
      <c r="G3908" t="s">
        <v>423</v>
      </c>
      <c r="H3908" t="str">
        <f>VLOOKUP(record[[#This Row],[ProcessSN]],表格2_7[],2,FALSE)</f>
        <v>30-4118-018-600</v>
      </c>
      <c r="I3908" t="str">
        <f>VLOOKUP(record[[#This Row],[ProcessSN]],表格2_7[],3,FALSE)</f>
        <v>#08RCV</v>
      </c>
      <c r="J3908" t="s">
        <v>591</v>
      </c>
      <c r="K3908" s="195">
        <v>46064.821377314816</v>
      </c>
      <c r="L3908">
        <v>1</v>
      </c>
      <c r="M3908">
        <v>0</v>
      </c>
      <c r="N3908" s="98" t="str">
        <f>IF(record[[#This Row],[Memo]]="Browser:chrome os:android","平板報工",IF(record[[#This Row],[Memo]]=0,"委外",record[[#This Row],[Memo]]))</f>
        <v>覆回</v>
      </c>
      <c r="O3908" t="s">
        <v>682</v>
      </c>
      <c r="P3908" t="s">
        <v>141</v>
      </c>
      <c r="Q3908" t="s">
        <v>58</v>
      </c>
      <c r="R3908" t="str">
        <f>IFERROR(VLOOKUP(record[[#This Row],[PCUSTID]],廠商[],2,FALSE),"")</f>
        <v/>
      </c>
      <c r="S3908" t="str">
        <f>VLOOKUP(record[[#This Row],[employeeID]],員工[],2,FALSE)</f>
        <v>蔣梅</v>
      </c>
    </row>
    <row r="3909" spans="6:19" hidden="1" x14ac:dyDescent="0.25">
      <c r="F3909" t="s">
        <v>1527</v>
      </c>
      <c r="G3909" t="s">
        <v>449</v>
      </c>
      <c r="H3909" t="str">
        <f>VLOOKUP(record[[#This Row],[ProcessSN]],表格2_7[],2,FALSE)</f>
        <v>30-4118-018-6XX</v>
      </c>
      <c r="I3909" t="str">
        <f>VLOOKUP(record[[#This Row],[ProcessSN]],表格2_7[],3,FALSE)</f>
        <v>#05</v>
      </c>
      <c r="J3909" t="s">
        <v>588</v>
      </c>
      <c r="K3909" s="195">
        <v>46064.724270833336</v>
      </c>
      <c r="L3909">
        <v>220</v>
      </c>
      <c r="M3909">
        <v>0</v>
      </c>
      <c r="N3909" s="98" t="str">
        <f>IF(record[[#This Row],[Memo]]="Browser:chrome os:android","平板報工",IF(record[[#This Row],[Memo]]=0,"委外",record[[#This Row],[Memo]]))</f>
        <v/>
      </c>
      <c r="O3909" t="s">
        <v>58</v>
      </c>
      <c r="P3909" t="s">
        <v>145</v>
      </c>
      <c r="Q3909" t="s">
        <v>58</v>
      </c>
      <c r="R3909" t="str">
        <f>IFERROR(VLOOKUP(record[[#This Row],[PCUSTID]],廠商[],2,FALSE),"")</f>
        <v/>
      </c>
      <c r="S3909" t="str">
        <f>VLOOKUP(record[[#This Row],[employeeID]],員工[],2,FALSE)</f>
        <v>阮秋霞</v>
      </c>
    </row>
    <row r="3910" spans="6:19" hidden="1" x14ac:dyDescent="0.25">
      <c r="F3910" t="s">
        <v>1527</v>
      </c>
      <c r="G3910" t="s">
        <v>451</v>
      </c>
      <c r="H3910" t="str">
        <f>VLOOKUP(record[[#This Row],[ProcessSN]],表格2_7[],2,FALSE)</f>
        <v>30-4118-018-6XX</v>
      </c>
      <c r="I3910" t="str">
        <f>VLOOKUP(record[[#This Row],[ProcessSN]],表格2_7[],3,FALSE)</f>
        <v>#07</v>
      </c>
      <c r="J3910" t="s">
        <v>588</v>
      </c>
      <c r="K3910" s="195">
        <v>46064.714166666665</v>
      </c>
      <c r="L3910">
        <v>0</v>
      </c>
      <c r="M3910">
        <v>1</v>
      </c>
      <c r="N3910" s="98" t="str">
        <f>IF(record[[#This Row],[Memo]]="Browser:chrome os:android","平板報工",IF(record[[#This Row],[Memo]]=0,"委外",record[[#This Row],[Memo]]))</f>
        <v/>
      </c>
      <c r="O3910" t="s">
        <v>58</v>
      </c>
      <c r="P3910" t="s">
        <v>101</v>
      </c>
      <c r="Q3910" t="s">
        <v>58</v>
      </c>
      <c r="R3910" t="str">
        <f>IFERROR(VLOOKUP(record[[#This Row],[PCUSTID]],廠商[],2,FALSE),"")</f>
        <v/>
      </c>
      <c r="S3910" t="str">
        <f>VLOOKUP(record[[#This Row],[employeeID]],員工[],2,FALSE)</f>
        <v>陳氏絨</v>
      </c>
    </row>
    <row r="3911" spans="6:19" hidden="1" x14ac:dyDescent="0.25">
      <c r="F3911" t="s">
        <v>1551</v>
      </c>
      <c r="G3911" t="s">
        <v>470</v>
      </c>
      <c r="H3911" t="str">
        <f>VLOOKUP(record[[#This Row],[ProcessSN]],表格2_7[],2,FALSE)</f>
        <v>30-4118-018-XXX</v>
      </c>
      <c r="I3911" t="str">
        <f>VLOOKUP(record[[#This Row],[ProcessSN]],表格2_7[],3,FALSE)</f>
        <v>#02IQC</v>
      </c>
      <c r="J3911" t="s">
        <v>583</v>
      </c>
      <c r="K3911" s="195">
        <v>46064.683159722219</v>
      </c>
      <c r="L3911">
        <v>840</v>
      </c>
      <c r="M3911">
        <v>0</v>
      </c>
      <c r="N3911" s="98" t="str">
        <f>IF(record[[#This Row],[Memo]]="Browser:chrome os:android","平板報工",IF(record[[#This Row],[Memo]]=0,"委外",record[[#This Row],[Memo]]))</f>
        <v/>
      </c>
      <c r="O3911" t="s">
        <v>58</v>
      </c>
      <c r="P3911" t="s">
        <v>172</v>
      </c>
      <c r="Q3911" t="s">
        <v>58</v>
      </c>
      <c r="R3911" t="str">
        <f>IFERROR(VLOOKUP(record[[#This Row],[PCUSTID]],廠商[],2,FALSE),"")</f>
        <v/>
      </c>
      <c r="S3911" t="str">
        <f>VLOOKUP(record[[#This Row],[employeeID]],員工[],2,FALSE)</f>
        <v>李采玲</v>
      </c>
    </row>
    <row r="3912" spans="6:19" hidden="1" x14ac:dyDescent="0.25">
      <c r="F3912" t="s">
        <v>1574</v>
      </c>
      <c r="G3912" t="s">
        <v>424</v>
      </c>
      <c r="H3912" t="str">
        <f>VLOOKUP(record[[#This Row],[ProcessSN]],表格2_7[],2,FALSE)</f>
        <v>30-4118-018-600</v>
      </c>
      <c r="I3912" t="str">
        <f>VLOOKUP(record[[#This Row],[ProcessSN]],表格2_7[],3,FALSE)</f>
        <v>#08IQC</v>
      </c>
      <c r="J3912" t="s">
        <v>583</v>
      </c>
      <c r="K3912" s="195">
        <v>46064.66883101852</v>
      </c>
      <c r="L3912">
        <v>160</v>
      </c>
      <c r="M3912">
        <v>0</v>
      </c>
      <c r="N3912" s="98" t="str">
        <f>IF(record[[#This Row],[Memo]]="Browser:chrome os:android","平板報工",IF(record[[#This Row],[Memo]]=0,"委外",record[[#This Row],[Memo]]))</f>
        <v/>
      </c>
      <c r="O3912" t="s">
        <v>58</v>
      </c>
      <c r="P3912" t="s">
        <v>172</v>
      </c>
      <c r="Q3912" t="s">
        <v>58</v>
      </c>
      <c r="R3912" t="str">
        <f>IFERROR(VLOOKUP(record[[#This Row],[PCUSTID]],廠商[],2,FALSE),"")</f>
        <v/>
      </c>
      <c r="S3912" t="str">
        <f>VLOOKUP(record[[#This Row],[employeeID]],員工[],2,FALSE)</f>
        <v>李采玲</v>
      </c>
    </row>
    <row r="3913" spans="6:19" hidden="1" x14ac:dyDescent="0.25">
      <c r="F3913" t="s">
        <v>1544</v>
      </c>
      <c r="G3913" t="s">
        <v>403</v>
      </c>
      <c r="H3913" t="str">
        <f>VLOOKUP(record[[#This Row],[ProcessSN]],表格2_7[],2,FALSE)</f>
        <v>30-4118-018-550</v>
      </c>
      <c r="I3913" t="str">
        <f>VLOOKUP(record[[#This Row],[ProcessSN]],表格2_7[],3,FALSE)</f>
        <v>#100SHIP</v>
      </c>
      <c r="J3913" t="s">
        <v>600</v>
      </c>
      <c r="K3913" s="195">
        <v>46064.666446759256</v>
      </c>
      <c r="L3913">
        <v>115</v>
      </c>
      <c r="M3913">
        <v>0</v>
      </c>
      <c r="N3913" s="98" t="str">
        <f>IF(record[[#This Row],[Memo]]="Browser:chrome os:android","平板報工",IF(record[[#This Row],[Memo]]=0,"委外",record[[#This Row],[Memo]]))</f>
        <v/>
      </c>
      <c r="O3913" t="s">
        <v>58</v>
      </c>
      <c r="P3913" t="s">
        <v>886</v>
      </c>
      <c r="Q3913" t="s">
        <v>58</v>
      </c>
      <c r="R3913" t="str">
        <f>IFERROR(VLOOKUP(record[[#This Row],[PCUSTID]],廠商[],2,FALSE),"")</f>
        <v/>
      </c>
      <c r="S3913" t="str">
        <f>VLOOKUP(record[[#This Row],[employeeID]],員工[],2,FALSE)</f>
        <v>謝蓁薰</v>
      </c>
    </row>
    <row r="3914" spans="6:19" hidden="1" x14ac:dyDescent="0.25">
      <c r="F3914" t="s">
        <v>1536</v>
      </c>
      <c r="G3914" t="s">
        <v>403</v>
      </c>
      <c r="H3914" t="str">
        <f>VLOOKUP(record[[#This Row],[ProcessSN]],表格2_7[],2,FALSE)</f>
        <v>30-4118-018-550</v>
      </c>
      <c r="I3914" t="str">
        <f>VLOOKUP(record[[#This Row],[ProcessSN]],表格2_7[],3,FALSE)</f>
        <v>#100SHIP</v>
      </c>
      <c r="J3914" t="s">
        <v>600</v>
      </c>
      <c r="K3914" s="195">
        <v>46064.666284722225</v>
      </c>
      <c r="L3914">
        <v>58</v>
      </c>
      <c r="M3914">
        <v>0</v>
      </c>
      <c r="N3914" s="98" t="str">
        <f>IF(record[[#This Row],[Memo]]="Browser:chrome os:android","平板報工",IF(record[[#This Row],[Memo]]=0,"委外",record[[#This Row],[Memo]]))</f>
        <v/>
      </c>
      <c r="O3914" t="s">
        <v>58</v>
      </c>
      <c r="P3914" t="s">
        <v>886</v>
      </c>
      <c r="Q3914" t="s">
        <v>58</v>
      </c>
      <c r="R3914" t="str">
        <f>IFERROR(VLOOKUP(record[[#This Row],[PCUSTID]],廠商[],2,FALSE),"")</f>
        <v/>
      </c>
      <c r="S3914" t="str">
        <f>VLOOKUP(record[[#This Row],[employeeID]],員工[],2,FALSE)</f>
        <v>謝蓁薰</v>
      </c>
    </row>
    <row r="3915" spans="6:19" hidden="1" x14ac:dyDescent="0.25">
      <c r="F3915" t="s">
        <v>1544</v>
      </c>
      <c r="G3915" t="s">
        <v>402</v>
      </c>
      <c r="H3915" t="str">
        <f>VLOOKUP(record[[#This Row],[ProcessSN]],表格2_7[],2,FALSE)</f>
        <v>30-4118-018-550</v>
      </c>
      <c r="I3915" t="str">
        <f>VLOOKUP(record[[#This Row],[ProcessSN]],表格2_7[],3,FALSE)</f>
        <v>#100STOCK</v>
      </c>
      <c r="J3915" t="s">
        <v>592</v>
      </c>
      <c r="K3915" s="195">
        <v>46064.665694444448</v>
      </c>
      <c r="L3915">
        <v>115</v>
      </c>
      <c r="M3915">
        <v>0</v>
      </c>
      <c r="N3915" s="98" t="str">
        <f>IF(record[[#This Row],[Memo]]="Browser:chrome os:android","平板報工",IF(record[[#This Row],[Memo]]=0,"委外",record[[#This Row],[Memo]]))</f>
        <v/>
      </c>
      <c r="O3915" t="s">
        <v>58</v>
      </c>
      <c r="P3915" t="s">
        <v>886</v>
      </c>
      <c r="Q3915" t="s">
        <v>58</v>
      </c>
      <c r="R3915" t="str">
        <f>IFERROR(VLOOKUP(record[[#This Row],[PCUSTID]],廠商[],2,FALSE),"")</f>
        <v/>
      </c>
      <c r="S3915" t="str">
        <f>VLOOKUP(record[[#This Row],[employeeID]],員工[],2,FALSE)</f>
        <v>謝蓁薰</v>
      </c>
    </row>
    <row r="3916" spans="6:19" hidden="1" x14ac:dyDescent="0.25">
      <c r="F3916" t="s">
        <v>1536</v>
      </c>
      <c r="G3916" t="s">
        <v>402</v>
      </c>
      <c r="H3916" t="str">
        <f>VLOOKUP(record[[#This Row],[ProcessSN]],表格2_7[],2,FALSE)</f>
        <v>30-4118-018-550</v>
      </c>
      <c r="I3916" t="str">
        <f>VLOOKUP(record[[#This Row],[ProcessSN]],表格2_7[],3,FALSE)</f>
        <v>#100STOCK</v>
      </c>
      <c r="J3916" t="s">
        <v>592</v>
      </c>
      <c r="K3916" s="195">
        <v>46064.665578703702</v>
      </c>
      <c r="L3916">
        <v>58</v>
      </c>
      <c r="M3916">
        <v>0</v>
      </c>
      <c r="N3916" s="98" t="str">
        <f>IF(record[[#This Row],[Memo]]="Browser:chrome os:android","平板報工",IF(record[[#This Row],[Memo]]=0,"委外",record[[#This Row],[Memo]]))</f>
        <v/>
      </c>
      <c r="O3916" t="s">
        <v>58</v>
      </c>
      <c r="P3916" t="s">
        <v>886</v>
      </c>
      <c r="Q3916" t="s">
        <v>58</v>
      </c>
      <c r="R3916" t="str">
        <f>IFERROR(VLOOKUP(record[[#This Row],[PCUSTID]],廠商[],2,FALSE),"")</f>
        <v/>
      </c>
      <c r="S3916" t="str">
        <f>VLOOKUP(record[[#This Row],[employeeID]],員工[],2,FALSE)</f>
        <v>謝蓁薰</v>
      </c>
    </row>
    <row r="3917" spans="6:19" hidden="1" x14ac:dyDescent="0.25">
      <c r="F3917" t="s">
        <v>1444</v>
      </c>
      <c r="G3917" t="s">
        <v>401</v>
      </c>
      <c r="H3917" t="str">
        <f>VLOOKUP(record[[#This Row],[ProcessSN]],表格2_7[],2,FALSE)</f>
        <v>30-4118-018-550</v>
      </c>
      <c r="I3917" t="str">
        <f>VLOOKUP(record[[#This Row],[ProcessSN]],表格2_7[],3,FALSE)</f>
        <v>#100OQC</v>
      </c>
      <c r="J3917" t="s">
        <v>599</v>
      </c>
      <c r="K3917" s="195">
        <v>46064.662199074075</v>
      </c>
      <c r="L3917">
        <v>14</v>
      </c>
      <c r="M3917">
        <v>0</v>
      </c>
      <c r="N3917" s="98" t="str">
        <f>IF(record[[#This Row],[Memo]]="Browser:chrome os:android","平板報工",IF(record[[#This Row],[Memo]]=0,"委外",record[[#This Row],[Memo]]))</f>
        <v/>
      </c>
      <c r="O3917" t="s">
        <v>58</v>
      </c>
      <c r="P3917" t="s">
        <v>121</v>
      </c>
      <c r="Q3917" t="s">
        <v>58</v>
      </c>
      <c r="R3917" t="str">
        <f>IFERROR(VLOOKUP(record[[#This Row],[PCUSTID]],廠商[],2,FALSE),"")</f>
        <v/>
      </c>
      <c r="S3917" t="str">
        <f>VLOOKUP(record[[#This Row],[employeeID]],員工[],2,FALSE)</f>
        <v>謝素卿</v>
      </c>
    </row>
    <row r="3918" spans="6:19" hidden="1" x14ac:dyDescent="0.25">
      <c r="F3918" t="s">
        <v>1552</v>
      </c>
      <c r="G3918" t="s">
        <v>401</v>
      </c>
      <c r="H3918" t="str">
        <f>VLOOKUP(record[[#This Row],[ProcessSN]],表格2_7[],2,FALSE)</f>
        <v>30-4118-018-550</v>
      </c>
      <c r="I3918" t="str">
        <f>VLOOKUP(record[[#This Row],[ProcessSN]],表格2_7[],3,FALSE)</f>
        <v>#100OQC</v>
      </c>
      <c r="J3918" t="s">
        <v>599</v>
      </c>
      <c r="K3918" s="195">
        <v>46064.662060185183</v>
      </c>
      <c r="L3918">
        <v>77</v>
      </c>
      <c r="M3918">
        <v>0</v>
      </c>
      <c r="N3918" s="98" t="str">
        <f>IF(record[[#This Row],[Memo]]="Browser:chrome os:android","平板報工",IF(record[[#This Row],[Memo]]=0,"委外",record[[#This Row],[Memo]]))</f>
        <v/>
      </c>
      <c r="O3918" t="s">
        <v>58</v>
      </c>
      <c r="P3918" t="s">
        <v>121</v>
      </c>
      <c r="Q3918" t="s">
        <v>58</v>
      </c>
      <c r="R3918" t="str">
        <f>IFERROR(VLOOKUP(record[[#This Row],[PCUSTID]],廠商[],2,FALSE),"")</f>
        <v/>
      </c>
      <c r="S3918" t="str">
        <f>VLOOKUP(record[[#This Row],[employeeID]],員工[],2,FALSE)</f>
        <v>謝素卿</v>
      </c>
    </row>
    <row r="3919" spans="6:19" hidden="1" x14ac:dyDescent="0.25">
      <c r="F3919" t="s">
        <v>1549</v>
      </c>
      <c r="G3919" t="s">
        <v>401</v>
      </c>
      <c r="H3919" t="str">
        <f>VLOOKUP(record[[#This Row],[ProcessSN]],表格2_7[],2,FALSE)</f>
        <v>30-4118-018-550</v>
      </c>
      <c r="I3919" t="str">
        <f>VLOOKUP(record[[#This Row],[ProcessSN]],表格2_7[],3,FALSE)</f>
        <v>#100OQC</v>
      </c>
      <c r="J3919" t="s">
        <v>599</v>
      </c>
      <c r="K3919" s="195">
        <v>46064.661932870367</v>
      </c>
      <c r="L3919">
        <v>598</v>
      </c>
      <c r="M3919">
        <v>0</v>
      </c>
      <c r="N3919" s="98" t="str">
        <f>IF(record[[#This Row],[Memo]]="Browser:chrome os:android","平板報工",IF(record[[#This Row],[Memo]]=0,"委外",record[[#This Row],[Memo]]))</f>
        <v/>
      </c>
      <c r="O3919" t="s">
        <v>58</v>
      </c>
      <c r="P3919" t="s">
        <v>121</v>
      </c>
      <c r="Q3919" t="s">
        <v>58</v>
      </c>
      <c r="R3919" t="str">
        <f>IFERROR(VLOOKUP(record[[#This Row],[PCUSTID]],廠商[],2,FALSE),"")</f>
        <v/>
      </c>
      <c r="S3919" t="str">
        <f>VLOOKUP(record[[#This Row],[employeeID]],員工[],2,FALSE)</f>
        <v>謝素卿</v>
      </c>
    </row>
    <row r="3920" spans="6:19" hidden="1" x14ac:dyDescent="0.25">
      <c r="F3920" t="s">
        <v>1544</v>
      </c>
      <c r="G3920" t="s">
        <v>401</v>
      </c>
      <c r="H3920" t="str">
        <f>VLOOKUP(record[[#This Row],[ProcessSN]],表格2_7[],2,FALSE)</f>
        <v>30-4118-018-550</v>
      </c>
      <c r="I3920" t="str">
        <f>VLOOKUP(record[[#This Row],[ProcessSN]],表格2_7[],3,FALSE)</f>
        <v>#100OQC</v>
      </c>
      <c r="J3920" t="s">
        <v>599</v>
      </c>
      <c r="K3920" s="195">
        <v>46064.661759259259</v>
      </c>
      <c r="L3920">
        <v>615</v>
      </c>
      <c r="M3920">
        <v>0</v>
      </c>
      <c r="N3920" s="98" t="str">
        <f>IF(record[[#This Row],[Memo]]="Browser:chrome os:android","平板報工",IF(record[[#This Row],[Memo]]=0,"委外",record[[#This Row],[Memo]]))</f>
        <v/>
      </c>
      <c r="O3920" t="s">
        <v>58</v>
      </c>
      <c r="P3920" t="s">
        <v>121</v>
      </c>
      <c r="Q3920" t="s">
        <v>58</v>
      </c>
      <c r="R3920" t="str">
        <f>IFERROR(VLOOKUP(record[[#This Row],[PCUSTID]],廠商[],2,FALSE),"")</f>
        <v/>
      </c>
      <c r="S3920" t="str">
        <f>VLOOKUP(record[[#This Row],[employeeID]],員工[],2,FALSE)</f>
        <v>謝素卿</v>
      </c>
    </row>
    <row r="3921" spans="6:19" hidden="1" x14ac:dyDescent="0.25">
      <c r="F3921" t="s">
        <v>1536</v>
      </c>
      <c r="G3921" t="s">
        <v>401</v>
      </c>
      <c r="H3921" t="str">
        <f>VLOOKUP(record[[#This Row],[ProcessSN]],表格2_7[],2,FALSE)</f>
        <v>30-4118-018-550</v>
      </c>
      <c r="I3921" t="str">
        <f>VLOOKUP(record[[#This Row],[ProcessSN]],表格2_7[],3,FALSE)</f>
        <v>#100OQC</v>
      </c>
      <c r="J3921" t="s">
        <v>599</v>
      </c>
      <c r="K3921" s="195">
        <v>46064.661574074074</v>
      </c>
      <c r="L3921">
        <v>82</v>
      </c>
      <c r="M3921">
        <v>0</v>
      </c>
      <c r="N3921" s="98" t="str">
        <f>IF(record[[#This Row],[Memo]]="Browser:chrome os:android","平板報工",IF(record[[#This Row],[Memo]]=0,"委外",record[[#This Row],[Memo]]))</f>
        <v/>
      </c>
      <c r="O3921" t="s">
        <v>58</v>
      </c>
      <c r="P3921" t="s">
        <v>121</v>
      </c>
      <c r="Q3921" t="s">
        <v>58</v>
      </c>
      <c r="R3921" t="str">
        <f>IFERROR(VLOOKUP(record[[#This Row],[PCUSTID]],廠商[],2,FALSE),"")</f>
        <v/>
      </c>
      <c r="S3921" t="str">
        <f>VLOOKUP(record[[#This Row],[employeeID]],員工[],2,FALSE)</f>
        <v>謝素卿</v>
      </c>
    </row>
    <row r="3922" spans="6:19" hidden="1" x14ac:dyDescent="0.25">
      <c r="F3922" t="s">
        <v>1527</v>
      </c>
      <c r="G3922" t="s">
        <v>450</v>
      </c>
      <c r="H3922" t="str">
        <f>VLOOKUP(record[[#This Row],[ProcessSN]],表格2_7[],2,FALSE)</f>
        <v>30-4118-018-6XX</v>
      </c>
      <c r="I3922" t="str">
        <f>VLOOKUP(record[[#This Row],[ProcessSN]],表格2_7[],3,FALSE)</f>
        <v>#06</v>
      </c>
      <c r="J3922" t="s">
        <v>593</v>
      </c>
      <c r="K3922" s="195">
        <v>46064.650381944448</v>
      </c>
      <c r="L3922">
        <v>96</v>
      </c>
      <c r="M3922">
        <v>0</v>
      </c>
      <c r="N3922" s="98" t="str">
        <f>IF(record[[#This Row],[Memo]]="Browser:chrome os:android","平板報工",IF(record[[#This Row],[Memo]]=0,"委外",record[[#This Row],[Memo]]))</f>
        <v>平板報工</v>
      </c>
      <c r="O3922" t="s">
        <v>643</v>
      </c>
      <c r="P3922" t="s">
        <v>1413</v>
      </c>
      <c r="Q3922" t="s">
        <v>644</v>
      </c>
      <c r="R3922" t="str">
        <f>IFERROR(VLOOKUP(record[[#This Row],[PCUSTID]],廠商[],2,FALSE),"")</f>
        <v/>
      </c>
      <c r="S3922" t="str">
        <f>VLOOKUP(record[[#This Row],[employeeID]],員工[],2,FALSE)</f>
        <v>阮氏芳英(芳)</v>
      </c>
    </row>
    <row r="3923" spans="6:19" hidden="1" x14ac:dyDescent="0.25">
      <c r="F3923" t="s">
        <v>1574</v>
      </c>
      <c r="G3923" t="s">
        <v>423</v>
      </c>
      <c r="H3923" t="str">
        <f>VLOOKUP(record[[#This Row],[ProcessSN]],表格2_7[],2,FALSE)</f>
        <v>30-4118-018-600</v>
      </c>
      <c r="I3923" t="str">
        <f>VLOOKUP(record[[#This Row],[ProcessSN]],表格2_7[],3,FALSE)</f>
        <v>#08RCV</v>
      </c>
      <c r="J3923" t="s">
        <v>591</v>
      </c>
      <c r="K3923" s="195">
        <v>46064.650370370371</v>
      </c>
      <c r="L3923">
        <v>0</v>
      </c>
      <c r="M3923">
        <v>5</v>
      </c>
      <c r="N3923" s="98" t="str">
        <f>IF(record[[#This Row],[Memo]]="Browser:chrome os:android","平板報工",IF(record[[#This Row],[Memo]]=0,"委外",record[[#This Row],[Memo]]))</f>
        <v/>
      </c>
      <c r="O3923" t="s">
        <v>58</v>
      </c>
      <c r="P3923" t="s">
        <v>186</v>
      </c>
      <c r="Q3923" t="s">
        <v>58</v>
      </c>
      <c r="R3923" t="str">
        <f>IFERROR(VLOOKUP(record[[#This Row],[PCUSTID]],廠商[],2,FALSE),"")</f>
        <v/>
      </c>
      <c r="S3923" t="str">
        <f>VLOOKUP(record[[#This Row],[employeeID]],員工[],2,FALSE)</f>
        <v>許文姍</v>
      </c>
    </row>
    <row r="3924" spans="6:19" hidden="1" x14ac:dyDescent="0.25">
      <c r="F3924" t="s">
        <v>1574</v>
      </c>
      <c r="G3924" t="s">
        <v>423</v>
      </c>
      <c r="H3924" t="str">
        <f>VLOOKUP(record[[#This Row],[ProcessSN]],表格2_7[],2,FALSE)</f>
        <v>30-4118-018-600</v>
      </c>
      <c r="I3924" t="str">
        <f>VLOOKUP(record[[#This Row],[ProcessSN]],表格2_7[],3,FALSE)</f>
        <v>#08RCV</v>
      </c>
      <c r="J3924" t="s">
        <v>591</v>
      </c>
      <c r="K3924" s="195">
        <v>46064.650208333333</v>
      </c>
      <c r="L3924">
        <v>160</v>
      </c>
      <c r="M3924">
        <v>0</v>
      </c>
      <c r="N3924" s="98" t="str">
        <f>IF(record[[#This Row],[Memo]]="Browser:chrome os:android","平板報工",IF(record[[#This Row],[Memo]]=0,"委外",record[[#This Row],[Memo]]))</f>
        <v/>
      </c>
      <c r="O3924" t="s">
        <v>58</v>
      </c>
      <c r="P3924" t="s">
        <v>186</v>
      </c>
      <c r="Q3924" t="s">
        <v>58</v>
      </c>
      <c r="R3924" t="str">
        <f>IFERROR(VLOOKUP(record[[#This Row],[PCUSTID]],廠商[],2,FALSE),"")</f>
        <v/>
      </c>
      <c r="S3924" t="str">
        <f>VLOOKUP(record[[#This Row],[employeeID]],員工[],2,FALSE)</f>
        <v>許文姍</v>
      </c>
    </row>
    <row r="3925" spans="6:19" hidden="1" x14ac:dyDescent="0.25">
      <c r="F3925" t="s">
        <v>1527</v>
      </c>
      <c r="G3925" t="s">
        <v>451</v>
      </c>
      <c r="H3925" t="str">
        <f>VLOOKUP(record[[#This Row],[ProcessSN]],表格2_7[],2,FALSE)</f>
        <v>30-4118-018-6XX</v>
      </c>
      <c r="I3925" t="str">
        <f>VLOOKUP(record[[#This Row],[ProcessSN]],表格2_7[],3,FALSE)</f>
        <v>#07</v>
      </c>
      <c r="J3925" t="s">
        <v>588</v>
      </c>
      <c r="K3925" s="195">
        <v>46064.636342592596</v>
      </c>
      <c r="L3925">
        <v>180</v>
      </c>
      <c r="M3925">
        <v>1</v>
      </c>
      <c r="N3925" s="98" t="str">
        <f>IF(record[[#This Row],[Memo]]="Browser:chrome os:android","平板報工",IF(record[[#This Row],[Memo]]=0,"委外",record[[#This Row],[Memo]]))</f>
        <v>平板報工</v>
      </c>
      <c r="O3925" t="s">
        <v>643</v>
      </c>
      <c r="P3925" t="s">
        <v>785</v>
      </c>
      <c r="Q3925" t="s">
        <v>644</v>
      </c>
      <c r="R3925" t="str">
        <f>IFERROR(VLOOKUP(record[[#This Row],[PCUSTID]],廠商[],2,FALSE),"")</f>
        <v/>
      </c>
      <c r="S3925" t="str">
        <f>VLOOKUP(record[[#This Row],[employeeID]],員工[],2,FALSE)</f>
        <v>謝刻光</v>
      </c>
    </row>
    <row r="3926" spans="6:19" hidden="1" x14ac:dyDescent="0.25">
      <c r="F3926" t="s">
        <v>1381</v>
      </c>
      <c r="G3926" t="s">
        <v>420</v>
      </c>
      <c r="H3926" t="str">
        <f>VLOOKUP(record[[#This Row],[ProcessSN]],表格2_7[],2,FALSE)</f>
        <v>30-4118-018-5XX</v>
      </c>
      <c r="I3926" t="str">
        <f>VLOOKUP(record[[#This Row],[ProcessSN]],表格2_7[],3,FALSE)</f>
        <v>#07STOCK</v>
      </c>
      <c r="J3926" t="s">
        <v>592</v>
      </c>
      <c r="K3926" s="195">
        <v>46064.591157407405</v>
      </c>
      <c r="L3926">
        <v>22</v>
      </c>
      <c r="M3926">
        <v>0</v>
      </c>
      <c r="N3926" s="98" t="str">
        <f>IF(record[[#This Row],[Memo]]="Browser:chrome os:android","平板報工",IF(record[[#This Row],[Memo]]=0,"委外",record[[#This Row],[Memo]]))</f>
        <v/>
      </c>
      <c r="O3926" t="s">
        <v>58</v>
      </c>
      <c r="P3926" t="s">
        <v>186</v>
      </c>
      <c r="Q3926" t="s">
        <v>58</v>
      </c>
      <c r="R3926" t="str">
        <f>IFERROR(VLOOKUP(record[[#This Row],[PCUSTID]],廠商[],2,FALSE),"")</f>
        <v/>
      </c>
      <c r="S3926" t="str">
        <f>VLOOKUP(record[[#This Row],[employeeID]],員工[],2,FALSE)</f>
        <v>許文姍</v>
      </c>
    </row>
    <row r="3927" spans="6:19" hidden="1" x14ac:dyDescent="0.25">
      <c r="F3927" t="s">
        <v>1582</v>
      </c>
      <c r="G3927" t="s">
        <v>397</v>
      </c>
      <c r="H3927" t="str">
        <f>VLOOKUP(record[[#This Row],[ProcessSN]],表格2_7[],2,FALSE)</f>
        <v>30-4118-018-550</v>
      </c>
      <c r="I3927" t="str">
        <f>VLOOKUP(record[[#This Row],[ProcessSN]],表格2_7[],3,FALSE)</f>
        <v>#08</v>
      </c>
      <c r="J3927" t="s">
        <v>597</v>
      </c>
      <c r="K3927" s="195">
        <v>46064.588634259257</v>
      </c>
      <c r="L3927">
        <v>22</v>
      </c>
      <c r="M3927">
        <v>0</v>
      </c>
      <c r="N3927" s="98" t="str">
        <f>IF(record[[#This Row],[Memo]]="Browser:chrome os:android","平板報工",IF(record[[#This Row],[Memo]]=0,"委外",record[[#This Row],[Memo]]))</f>
        <v>委外</v>
      </c>
      <c r="P3927" t="s">
        <v>186</v>
      </c>
      <c r="Q3927" t="s">
        <v>287</v>
      </c>
      <c r="R3927" t="str">
        <f>IFERROR(VLOOKUP(record[[#This Row],[PCUSTID]],廠商[],2,FALSE),"")</f>
        <v>泉盛</v>
      </c>
      <c r="S3927" t="str">
        <f>VLOOKUP(record[[#This Row],[employeeID]],員工[],2,FALSE)</f>
        <v>許文姍</v>
      </c>
    </row>
    <row r="3928" spans="6:19" hidden="1" x14ac:dyDescent="0.25">
      <c r="F3928" t="s">
        <v>1581</v>
      </c>
      <c r="G3928" t="s">
        <v>356</v>
      </c>
      <c r="H3928" t="str">
        <f>VLOOKUP(record[[#This Row],[ProcessSN]],表格2_7[],2,FALSE)</f>
        <v>30-4118-018-450</v>
      </c>
      <c r="I3928" t="str">
        <f>VLOOKUP(record[[#This Row],[ProcessSN]],表格2_7[],3,FALSE)</f>
        <v>#08</v>
      </c>
      <c r="J3928" t="s">
        <v>597</v>
      </c>
      <c r="K3928" s="195">
        <v>46064.588530092595</v>
      </c>
      <c r="L3928">
        <v>31</v>
      </c>
      <c r="M3928">
        <v>0</v>
      </c>
      <c r="N3928" s="98" t="str">
        <f>IF(record[[#This Row],[Memo]]="Browser:chrome os:android","平板報工",IF(record[[#This Row],[Memo]]=0,"委外",record[[#This Row],[Memo]]))</f>
        <v>委外</v>
      </c>
      <c r="P3928" t="s">
        <v>186</v>
      </c>
      <c r="Q3928" t="s">
        <v>287</v>
      </c>
      <c r="R3928" t="str">
        <f>IFERROR(VLOOKUP(record[[#This Row],[PCUSTID]],廠商[],2,FALSE),"")</f>
        <v>泉盛</v>
      </c>
      <c r="S3928" t="str">
        <f>VLOOKUP(record[[#This Row],[employeeID]],員工[],2,FALSE)</f>
        <v>許文姍</v>
      </c>
    </row>
    <row r="3929" spans="6:19" hidden="1" x14ac:dyDescent="0.25">
      <c r="F3929" t="s">
        <v>1582</v>
      </c>
      <c r="G3929" t="s">
        <v>396</v>
      </c>
      <c r="H3929" t="str">
        <f>VLOOKUP(record[[#This Row],[ProcessSN]],表格2_7[],2,FALSE)</f>
        <v>30-4118-018-550</v>
      </c>
      <c r="I3929" t="str">
        <f>VLOOKUP(record[[#This Row],[ProcessSN]],表格2_7[],3,FALSE)</f>
        <v>#08PICK</v>
      </c>
      <c r="J3929" t="s">
        <v>582</v>
      </c>
      <c r="K3929" s="195">
        <v>46064.587824074071</v>
      </c>
      <c r="L3929">
        <v>22</v>
      </c>
      <c r="M3929">
        <v>0</v>
      </c>
      <c r="N3929" s="98" t="str">
        <f>IF(record[[#This Row],[Memo]]="Browser:chrome os:android","平板報工",IF(record[[#This Row],[Memo]]=0,"委外",record[[#This Row],[Memo]]))</f>
        <v/>
      </c>
      <c r="O3929" t="s">
        <v>58</v>
      </c>
      <c r="P3929" t="s">
        <v>186</v>
      </c>
      <c r="Q3929" t="s">
        <v>58</v>
      </c>
      <c r="R3929" t="str">
        <f>IFERROR(VLOOKUP(record[[#This Row],[PCUSTID]],廠商[],2,FALSE),"")</f>
        <v/>
      </c>
      <c r="S3929" t="str">
        <f>VLOOKUP(record[[#This Row],[employeeID]],員工[],2,FALSE)</f>
        <v>許文姍</v>
      </c>
    </row>
    <row r="3930" spans="6:19" hidden="1" x14ac:dyDescent="0.25">
      <c r="F3930" t="s">
        <v>1581</v>
      </c>
      <c r="G3930" t="s">
        <v>355</v>
      </c>
      <c r="H3930" t="str">
        <f>VLOOKUP(record[[#This Row],[ProcessSN]],表格2_7[],2,FALSE)</f>
        <v>30-4118-018-450</v>
      </c>
      <c r="I3930" t="str">
        <f>VLOOKUP(record[[#This Row],[ProcessSN]],表格2_7[],3,FALSE)</f>
        <v>#08PICK</v>
      </c>
      <c r="J3930" t="s">
        <v>582</v>
      </c>
      <c r="K3930" s="195">
        <v>46064.587719907409</v>
      </c>
      <c r="L3930">
        <v>31</v>
      </c>
      <c r="M3930">
        <v>0</v>
      </c>
      <c r="N3930" s="98" t="str">
        <f>IF(record[[#This Row],[Memo]]="Browser:chrome os:android","平板報工",IF(record[[#This Row],[Memo]]=0,"委外",record[[#This Row],[Memo]]))</f>
        <v/>
      </c>
      <c r="O3930" t="s">
        <v>58</v>
      </c>
      <c r="P3930" t="s">
        <v>186</v>
      </c>
      <c r="Q3930" t="s">
        <v>58</v>
      </c>
      <c r="R3930" t="str">
        <f>IFERROR(VLOOKUP(record[[#This Row],[PCUSTID]],廠商[],2,FALSE),"")</f>
        <v/>
      </c>
      <c r="S3930" t="str">
        <f>VLOOKUP(record[[#This Row],[employeeID]],員工[],2,FALSE)</f>
        <v>許文姍</v>
      </c>
    </row>
    <row r="3931" spans="6:19" hidden="1" x14ac:dyDescent="0.25">
      <c r="F3931" t="s">
        <v>1339</v>
      </c>
      <c r="G3931" t="s">
        <v>379</v>
      </c>
      <c r="H3931" t="str">
        <f>VLOOKUP(record[[#This Row],[ProcessSN]],表格2_7[],2,FALSE)</f>
        <v>30-4118-018-4XX</v>
      </c>
      <c r="I3931" t="str">
        <f>VLOOKUP(record[[#This Row],[ProcessSN]],表格2_7[],3,FALSE)</f>
        <v>#07STOCK</v>
      </c>
      <c r="J3931" t="s">
        <v>592</v>
      </c>
      <c r="K3931" s="195">
        <v>46064.586041666669</v>
      </c>
      <c r="L3931">
        <v>31</v>
      </c>
      <c r="M3931">
        <v>0</v>
      </c>
      <c r="N3931" s="98" t="str">
        <f>IF(record[[#This Row],[Memo]]="Browser:chrome os:android","平板報工",IF(record[[#This Row],[Memo]]=0,"委外",record[[#This Row],[Memo]]))</f>
        <v/>
      </c>
      <c r="O3931" t="s">
        <v>58</v>
      </c>
      <c r="P3931" t="s">
        <v>186</v>
      </c>
      <c r="Q3931" t="s">
        <v>58</v>
      </c>
      <c r="R3931" t="str">
        <f>IFERROR(VLOOKUP(record[[#This Row],[PCUSTID]],廠商[],2,FALSE),"")</f>
        <v/>
      </c>
      <c r="S3931" t="str">
        <f>VLOOKUP(record[[#This Row],[employeeID]],員工[],2,FALSE)</f>
        <v>許文姍</v>
      </c>
    </row>
    <row r="3932" spans="6:19" hidden="1" x14ac:dyDescent="0.25">
      <c r="F3932" t="s">
        <v>1551</v>
      </c>
      <c r="G3932" t="s">
        <v>469</v>
      </c>
      <c r="H3932" t="str">
        <f>VLOOKUP(record[[#This Row],[ProcessSN]],表格2_7[],2,FALSE)</f>
        <v>30-4118-018-XXX</v>
      </c>
      <c r="I3932" t="str">
        <f>VLOOKUP(record[[#This Row],[ProcessSN]],表格2_7[],3,FALSE)</f>
        <v>#02RCV</v>
      </c>
      <c r="J3932" t="s">
        <v>591</v>
      </c>
      <c r="K3932" s="195">
        <v>46064.457094907404</v>
      </c>
      <c r="L3932">
        <v>840</v>
      </c>
      <c r="M3932">
        <v>0</v>
      </c>
      <c r="N3932" s="98" t="str">
        <f>IF(record[[#This Row],[Memo]]="Browser:chrome os:android","平板報工",IF(record[[#This Row],[Memo]]=0,"委外",record[[#This Row],[Memo]]))</f>
        <v/>
      </c>
      <c r="O3932" t="s">
        <v>58</v>
      </c>
      <c r="P3932" t="s">
        <v>186</v>
      </c>
      <c r="Q3932" t="s">
        <v>58</v>
      </c>
      <c r="R3932" t="str">
        <f>IFERROR(VLOOKUP(record[[#This Row],[PCUSTID]],廠商[],2,FALSE),"")</f>
        <v/>
      </c>
      <c r="S3932" t="str">
        <f>VLOOKUP(record[[#This Row],[employeeID]],員工[],2,FALSE)</f>
        <v>許文姍</v>
      </c>
    </row>
    <row r="3933" spans="6:19" hidden="1" x14ac:dyDescent="0.25">
      <c r="F3933" t="s">
        <v>1381</v>
      </c>
      <c r="G3933" t="s">
        <v>419</v>
      </c>
      <c r="H3933" t="str">
        <f>VLOOKUP(record[[#This Row],[ProcessSN]],表格2_7[],2,FALSE)</f>
        <v>30-4118-018-5XX</v>
      </c>
      <c r="I3933" t="str">
        <f>VLOOKUP(record[[#This Row],[ProcessSN]],表格2_7[],3,FALSE)</f>
        <v>#07QC</v>
      </c>
      <c r="J3933" t="s">
        <v>589</v>
      </c>
      <c r="K3933" s="195">
        <v>46064.41002314815</v>
      </c>
      <c r="L3933">
        <v>0</v>
      </c>
      <c r="M3933">
        <v>1</v>
      </c>
      <c r="N3933" s="98" t="str">
        <f>IF(record[[#This Row],[Memo]]="Browser:chrome os:android","平板報工",IF(record[[#This Row],[Memo]]=0,"委外",record[[#This Row],[Memo]]))</f>
        <v/>
      </c>
      <c r="O3933" t="s">
        <v>58</v>
      </c>
      <c r="P3933" t="s">
        <v>141</v>
      </c>
      <c r="Q3933" t="s">
        <v>58</v>
      </c>
      <c r="R3933" t="str">
        <f>IFERROR(VLOOKUP(record[[#This Row],[PCUSTID]],廠商[],2,FALSE),"")</f>
        <v/>
      </c>
      <c r="S3933" t="str">
        <f>VLOOKUP(record[[#This Row],[employeeID]],員工[],2,FALSE)</f>
        <v>蔣梅</v>
      </c>
    </row>
    <row r="3934" spans="6:19" hidden="1" x14ac:dyDescent="0.25">
      <c r="F3934" t="s">
        <v>1381</v>
      </c>
      <c r="G3934" t="s">
        <v>419</v>
      </c>
      <c r="H3934" t="str">
        <f>VLOOKUP(record[[#This Row],[ProcessSN]],表格2_7[],2,FALSE)</f>
        <v>30-4118-018-5XX</v>
      </c>
      <c r="I3934" t="str">
        <f>VLOOKUP(record[[#This Row],[ProcessSN]],表格2_7[],3,FALSE)</f>
        <v>#07QC</v>
      </c>
      <c r="J3934" t="s">
        <v>589</v>
      </c>
      <c r="K3934" s="195">
        <v>46064.409837962965</v>
      </c>
      <c r="L3934">
        <v>22</v>
      </c>
      <c r="M3934">
        <v>0</v>
      </c>
      <c r="N3934" s="98" t="str">
        <f>IF(record[[#This Row],[Memo]]="Browser:chrome os:android","平板報工",IF(record[[#This Row],[Memo]]=0,"委外",record[[#This Row],[Memo]]))</f>
        <v/>
      </c>
      <c r="O3934" t="s">
        <v>58</v>
      </c>
      <c r="P3934" t="s">
        <v>141</v>
      </c>
      <c r="Q3934" t="s">
        <v>58</v>
      </c>
      <c r="R3934" t="str">
        <f>IFERROR(VLOOKUP(record[[#This Row],[PCUSTID]],廠商[],2,FALSE),"")</f>
        <v/>
      </c>
      <c r="S3934" t="str">
        <f>VLOOKUP(record[[#This Row],[employeeID]],員工[],2,FALSE)</f>
        <v>蔣梅</v>
      </c>
    </row>
    <row r="3935" spans="6:19" hidden="1" x14ac:dyDescent="0.25">
      <c r="F3935" t="s">
        <v>1497</v>
      </c>
      <c r="G3935" t="s">
        <v>403</v>
      </c>
      <c r="H3935" t="str">
        <f>VLOOKUP(record[[#This Row],[ProcessSN]],表格2_7[],2,FALSE)</f>
        <v>30-4118-018-550</v>
      </c>
      <c r="I3935" t="str">
        <f>VLOOKUP(record[[#This Row],[ProcessSN]],表格2_7[],3,FALSE)</f>
        <v>#100SHIP</v>
      </c>
      <c r="J3935" t="s">
        <v>600</v>
      </c>
      <c r="K3935" s="195">
        <v>46064.38071759259</v>
      </c>
      <c r="L3935">
        <v>8</v>
      </c>
      <c r="M3935">
        <v>0</v>
      </c>
      <c r="N3935" s="98" t="str">
        <f>IF(record[[#This Row],[Memo]]="Browser:chrome os:android","平板報工",IF(record[[#This Row],[Memo]]=0,"委外",record[[#This Row],[Memo]]))</f>
        <v/>
      </c>
      <c r="O3935" t="s">
        <v>58</v>
      </c>
      <c r="P3935" t="s">
        <v>886</v>
      </c>
      <c r="Q3935" t="s">
        <v>58</v>
      </c>
      <c r="R3935" t="str">
        <f>IFERROR(VLOOKUP(record[[#This Row],[PCUSTID]],廠商[],2,FALSE),"")</f>
        <v/>
      </c>
      <c r="S3935" t="str">
        <f>VLOOKUP(record[[#This Row],[employeeID]],員工[],2,FALSE)</f>
        <v>謝蓁薰</v>
      </c>
    </row>
    <row r="3936" spans="6:19" hidden="1" x14ac:dyDescent="0.25">
      <c r="F3936" t="s">
        <v>1569</v>
      </c>
      <c r="G3936" t="s">
        <v>448</v>
      </c>
      <c r="H3936" t="str">
        <f>VLOOKUP(record[[#This Row],[ProcessSN]],表格2_7[],2,FALSE)</f>
        <v>30-4118-018-6XX</v>
      </c>
      <c r="I3936" t="str">
        <f>VLOOKUP(record[[#This Row],[ProcessSN]],表格2_7[],3,FALSE)</f>
        <v>#04</v>
      </c>
      <c r="J3936" t="s">
        <v>588</v>
      </c>
      <c r="K3936" s="195">
        <v>46063.828113425923</v>
      </c>
      <c r="L3936">
        <v>65</v>
      </c>
      <c r="M3936">
        <v>0</v>
      </c>
      <c r="N3936" s="98" t="str">
        <f>IF(record[[#This Row],[Memo]]="Browser:chrome os:android","平板報工",IF(record[[#This Row],[Memo]]=0,"委外",record[[#This Row],[Memo]]))</f>
        <v/>
      </c>
      <c r="O3936" t="s">
        <v>58</v>
      </c>
      <c r="P3936" t="s">
        <v>785</v>
      </c>
      <c r="Q3936" t="s">
        <v>58</v>
      </c>
      <c r="R3936" t="str">
        <f>IFERROR(VLOOKUP(record[[#This Row],[PCUSTID]],廠商[],2,FALSE),"")</f>
        <v/>
      </c>
      <c r="S3936" t="str">
        <f>VLOOKUP(record[[#This Row],[employeeID]],員工[],2,FALSE)</f>
        <v>謝刻光</v>
      </c>
    </row>
    <row r="3937" spans="6:19" hidden="1" x14ac:dyDescent="0.25">
      <c r="F3937" t="s">
        <v>1580</v>
      </c>
      <c r="G3937" t="s">
        <v>463</v>
      </c>
      <c r="H3937" t="str">
        <f>VLOOKUP(record[[#This Row],[ProcessSN]],表格2_7[],2,FALSE)</f>
        <v>30-4118-018-XXX</v>
      </c>
      <c r="I3937" t="str">
        <f>VLOOKUP(record[[#This Row],[ProcessSN]],表格2_7[],3,FALSE)</f>
        <v>#00IQC</v>
      </c>
      <c r="J3937" t="s">
        <v>583</v>
      </c>
      <c r="K3937" s="195">
        <v>46063.827743055554</v>
      </c>
      <c r="L3937">
        <v>2400</v>
      </c>
      <c r="M3937">
        <v>0</v>
      </c>
      <c r="N3937" s="98" t="str">
        <f>IF(record[[#This Row],[Memo]]="Browser:chrome os:android","平板報工",IF(record[[#This Row],[Memo]]=0,"委外",record[[#This Row],[Memo]]))</f>
        <v/>
      </c>
      <c r="O3937" t="s">
        <v>58</v>
      </c>
      <c r="P3937" t="s">
        <v>172</v>
      </c>
      <c r="Q3937" t="s">
        <v>58</v>
      </c>
      <c r="R3937" t="str">
        <f>IFERROR(VLOOKUP(record[[#This Row],[PCUSTID]],廠商[],2,FALSE),"")</f>
        <v/>
      </c>
      <c r="S3937" t="str">
        <f>VLOOKUP(record[[#This Row],[employeeID]],員工[],2,FALSE)</f>
        <v>李采玲</v>
      </c>
    </row>
    <row r="3938" spans="6:19" hidden="1" x14ac:dyDescent="0.25">
      <c r="F3938" t="s">
        <v>1574</v>
      </c>
      <c r="G3938" t="s">
        <v>424</v>
      </c>
      <c r="H3938" t="str">
        <f>VLOOKUP(record[[#This Row],[ProcessSN]],表格2_7[],2,FALSE)</f>
        <v>30-4118-018-600</v>
      </c>
      <c r="I3938" t="str">
        <f>VLOOKUP(record[[#This Row],[ProcessSN]],表格2_7[],3,FALSE)</f>
        <v>#08IQC</v>
      </c>
      <c r="J3938" t="s">
        <v>583</v>
      </c>
      <c r="K3938" s="195">
        <v>46063.819166666668</v>
      </c>
      <c r="L3938">
        <v>60</v>
      </c>
      <c r="M3938">
        <v>0</v>
      </c>
      <c r="N3938" s="98" t="str">
        <f>IF(record[[#This Row],[Memo]]="Browser:chrome os:android","平板報工",IF(record[[#This Row],[Memo]]=0,"委外",record[[#This Row],[Memo]]))</f>
        <v/>
      </c>
      <c r="O3938" t="s">
        <v>58</v>
      </c>
      <c r="P3938" t="s">
        <v>172</v>
      </c>
      <c r="Q3938" t="s">
        <v>58</v>
      </c>
      <c r="R3938" t="str">
        <f>IFERROR(VLOOKUP(record[[#This Row],[PCUSTID]],廠商[],2,FALSE),"")</f>
        <v/>
      </c>
      <c r="S3938" t="str">
        <f>VLOOKUP(record[[#This Row],[employeeID]],員工[],2,FALSE)</f>
        <v>李采玲</v>
      </c>
    </row>
    <row r="3939" spans="6:19" hidden="1" x14ac:dyDescent="0.25">
      <c r="F3939" t="s">
        <v>1578</v>
      </c>
      <c r="G3939" t="s">
        <v>424</v>
      </c>
      <c r="H3939" t="str">
        <f>VLOOKUP(record[[#This Row],[ProcessSN]],表格2_7[],2,FALSE)</f>
        <v>30-4118-018-600</v>
      </c>
      <c r="I3939" t="str">
        <f>VLOOKUP(record[[#This Row],[ProcessSN]],表格2_7[],3,FALSE)</f>
        <v>#08IQC</v>
      </c>
      <c r="J3939" t="s">
        <v>583</v>
      </c>
      <c r="K3939" s="195">
        <v>46063.819074074076</v>
      </c>
      <c r="L3939">
        <v>165</v>
      </c>
      <c r="M3939">
        <v>0</v>
      </c>
      <c r="N3939" s="98" t="str">
        <f>IF(record[[#This Row],[Memo]]="Browser:chrome os:android","平板報工",IF(record[[#This Row],[Memo]]=0,"委外",record[[#This Row],[Memo]]))</f>
        <v/>
      </c>
      <c r="O3939" t="s">
        <v>58</v>
      </c>
      <c r="P3939" t="s">
        <v>172</v>
      </c>
      <c r="Q3939" t="s">
        <v>58</v>
      </c>
      <c r="R3939" t="str">
        <f>IFERROR(VLOOKUP(record[[#This Row],[PCUSTID]],廠商[],2,FALSE),"")</f>
        <v/>
      </c>
      <c r="S3939" t="str">
        <f>VLOOKUP(record[[#This Row],[employeeID]],員工[],2,FALSE)</f>
        <v>李采玲</v>
      </c>
    </row>
    <row r="3940" spans="6:19" hidden="1" x14ac:dyDescent="0.25">
      <c r="F3940" t="s">
        <v>1551</v>
      </c>
      <c r="G3940" t="s">
        <v>470</v>
      </c>
      <c r="H3940" t="str">
        <f>VLOOKUP(record[[#This Row],[ProcessSN]],表格2_7[],2,FALSE)</f>
        <v>30-4118-018-XXX</v>
      </c>
      <c r="I3940" t="str">
        <f>VLOOKUP(record[[#This Row],[ProcessSN]],表格2_7[],3,FALSE)</f>
        <v>#02IQC</v>
      </c>
      <c r="J3940" t="s">
        <v>583</v>
      </c>
      <c r="K3940" s="195">
        <v>46063.801527777781</v>
      </c>
      <c r="L3940">
        <v>672</v>
      </c>
      <c r="M3940">
        <v>0</v>
      </c>
      <c r="N3940" s="98" t="str">
        <f>IF(record[[#This Row],[Memo]]="Browser:chrome os:android","平板報工",IF(record[[#This Row],[Memo]]=0,"委外",record[[#This Row],[Memo]]))</f>
        <v/>
      </c>
      <c r="O3940" t="s">
        <v>58</v>
      </c>
      <c r="P3940" t="s">
        <v>172</v>
      </c>
      <c r="Q3940" t="s">
        <v>58</v>
      </c>
      <c r="R3940" t="str">
        <f>IFERROR(VLOOKUP(record[[#This Row],[PCUSTID]],廠商[],2,FALSE),"")</f>
        <v/>
      </c>
      <c r="S3940" t="str">
        <f>VLOOKUP(record[[#This Row],[employeeID]],員工[],2,FALSE)</f>
        <v>李采玲</v>
      </c>
    </row>
    <row r="3941" spans="6:19" hidden="1" x14ac:dyDescent="0.25">
      <c r="F3941" t="s">
        <v>1259</v>
      </c>
      <c r="G3941" t="s">
        <v>361</v>
      </c>
      <c r="H3941" t="str">
        <f>VLOOKUP(record[[#This Row],[ProcessSN]],表格2_7[],2,FALSE)</f>
        <v>30-4118-018-450</v>
      </c>
      <c r="I3941" t="str">
        <f>VLOOKUP(record[[#This Row],[ProcessSN]],表格2_7[],3,FALSE)</f>
        <v>#100STOCK</v>
      </c>
      <c r="J3941" t="s">
        <v>592</v>
      </c>
      <c r="K3941" s="195">
        <v>46063.745069444441</v>
      </c>
      <c r="L3941">
        <v>7</v>
      </c>
      <c r="M3941">
        <v>0</v>
      </c>
      <c r="N3941" s="98" t="str">
        <f>IF(record[[#This Row],[Memo]]="Browser:chrome os:android","平板報工",IF(record[[#This Row],[Memo]]=0,"委外",record[[#This Row],[Memo]]))</f>
        <v/>
      </c>
      <c r="O3941" t="s">
        <v>58</v>
      </c>
      <c r="P3941" t="s">
        <v>886</v>
      </c>
      <c r="Q3941" t="s">
        <v>58</v>
      </c>
      <c r="R3941" t="str">
        <f>IFERROR(VLOOKUP(record[[#This Row],[PCUSTID]],廠商[],2,FALSE),"")</f>
        <v/>
      </c>
      <c r="S3941" t="str">
        <f>VLOOKUP(record[[#This Row],[employeeID]],員工[],2,FALSE)</f>
        <v>謝蓁薰</v>
      </c>
    </row>
    <row r="3942" spans="6:19" hidden="1" x14ac:dyDescent="0.25">
      <c r="F3942" t="s">
        <v>1571</v>
      </c>
      <c r="G3942" t="s">
        <v>426</v>
      </c>
      <c r="H3942" t="str">
        <f>VLOOKUP(record[[#This Row],[ProcessSN]],表格2_7[],2,FALSE)</f>
        <v>30-4118-018-600</v>
      </c>
      <c r="I3942" t="str">
        <f>VLOOKUP(record[[#This Row],[ProcessSN]],表格2_7[],3,FALSE)</f>
        <v>#100OQC</v>
      </c>
      <c r="J3942" t="s">
        <v>599</v>
      </c>
      <c r="K3942" s="195">
        <v>46063.73505787037</v>
      </c>
      <c r="L3942">
        <v>288</v>
      </c>
      <c r="M3942">
        <v>0</v>
      </c>
      <c r="N3942" s="98" t="str">
        <f>IF(record[[#This Row],[Memo]]="Browser:chrome os:android","平板報工",IF(record[[#This Row],[Memo]]=0,"委外",record[[#This Row],[Memo]]))</f>
        <v/>
      </c>
      <c r="O3942" t="s">
        <v>58</v>
      </c>
      <c r="P3942" t="s">
        <v>121</v>
      </c>
      <c r="Q3942" t="s">
        <v>58</v>
      </c>
      <c r="R3942" t="str">
        <f>IFERROR(VLOOKUP(record[[#This Row],[PCUSTID]],廠商[],2,FALSE),"")</f>
        <v/>
      </c>
      <c r="S3942" t="str">
        <f>VLOOKUP(record[[#This Row],[employeeID]],員工[],2,FALSE)</f>
        <v>謝素卿</v>
      </c>
    </row>
    <row r="3943" spans="6:19" hidden="1" x14ac:dyDescent="0.25">
      <c r="F3943" t="s">
        <v>1580</v>
      </c>
      <c r="G3943" t="s">
        <v>462</v>
      </c>
      <c r="H3943" t="str">
        <f>VLOOKUP(record[[#This Row],[ProcessSN]],表格2_7[],2,FALSE)</f>
        <v>30-4118-018-XXX</v>
      </c>
      <c r="I3943" t="str">
        <f>VLOOKUP(record[[#This Row],[ProcessSN]],表格2_7[],3,FALSE)</f>
        <v>#00PICK</v>
      </c>
      <c r="J3943" t="s">
        <v>582</v>
      </c>
      <c r="K3943" s="195">
        <v>46063.678599537037</v>
      </c>
      <c r="L3943">
        <v>2400</v>
      </c>
      <c r="M3943">
        <v>0</v>
      </c>
      <c r="N3943" s="98" t="str">
        <f>IF(record[[#This Row],[Memo]]="Browser:chrome os:android","平板報工",IF(record[[#This Row],[Memo]]=0,"委外",record[[#This Row],[Memo]]))</f>
        <v/>
      </c>
      <c r="O3943" t="s">
        <v>58</v>
      </c>
      <c r="P3943" t="s">
        <v>186</v>
      </c>
      <c r="Q3943" t="s">
        <v>58</v>
      </c>
      <c r="R3943" t="str">
        <f>IFERROR(VLOOKUP(record[[#This Row],[PCUSTID]],廠商[],2,FALSE),"")</f>
        <v/>
      </c>
      <c r="S3943" t="str">
        <f>VLOOKUP(record[[#This Row],[employeeID]],員工[],2,FALSE)</f>
        <v>許文姍</v>
      </c>
    </row>
    <row r="3944" spans="6:19" hidden="1" x14ac:dyDescent="0.25">
      <c r="F3944" t="s">
        <v>1569</v>
      </c>
      <c r="G3944" t="s">
        <v>448</v>
      </c>
      <c r="H3944" t="str">
        <f>VLOOKUP(record[[#This Row],[ProcessSN]],表格2_7[],2,FALSE)</f>
        <v>30-4118-018-6XX</v>
      </c>
      <c r="I3944" t="str">
        <f>VLOOKUP(record[[#This Row],[ProcessSN]],表格2_7[],3,FALSE)</f>
        <v>#04</v>
      </c>
      <c r="J3944" t="s">
        <v>588</v>
      </c>
      <c r="K3944" s="195">
        <v>46063.654270833336</v>
      </c>
      <c r="L3944">
        <v>121</v>
      </c>
      <c r="M3944">
        <v>0</v>
      </c>
      <c r="N3944" s="98" t="str">
        <f>IF(record[[#This Row],[Memo]]="Browser:chrome os:android","平板報工",IF(record[[#This Row],[Memo]]=0,"委外",record[[#This Row],[Memo]]))</f>
        <v>平板報工</v>
      </c>
      <c r="O3944" t="s">
        <v>643</v>
      </c>
      <c r="P3944" t="s">
        <v>145</v>
      </c>
      <c r="Q3944" t="s">
        <v>644</v>
      </c>
      <c r="R3944" t="str">
        <f>IFERROR(VLOOKUP(record[[#This Row],[PCUSTID]],廠商[],2,FALSE),"")</f>
        <v/>
      </c>
      <c r="S3944" t="str">
        <f>VLOOKUP(record[[#This Row],[employeeID]],員工[],2,FALSE)</f>
        <v>阮秋霞</v>
      </c>
    </row>
    <row r="3945" spans="6:19" hidden="1" x14ac:dyDescent="0.25">
      <c r="F3945" t="s">
        <v>1574</v>
      </c>
      <c r="G3945" t="s">
        <v>423</v>
      </c>
      <c r="H3945" t="str">
        <f>VLOOKUP(record[[#This Row],[ProcessSN]],表格2_7[],2,FALSE)</f>
        <v>30-4118-018-600</v>
      </c>
      <c r="I3945" t="str">
        <f>VLOOKUP(record[[#This Row],[ProcessSN]],表格2_7[],3,FALSE)</f>
        <v>#08RCV</v>
      </c>
      <c r="J3945" t="s">
        <v>591</v>
      </c>
      <c r="K3945" s="195">
        <v>46063.652175925927</v>
      </c>
      <c r="L3945">
        <v>60</v>
      </c>
      <c r="M3945">
        <v>0</v>
      </c>
      <c r="N3945" s="98" t="str">
        <f>IF(record[[#This Row],[Memo]]="Browser:chrome os:android","平板報工",IF(record[[#This Row],[Memo]]=0,"委外",record[[#This Row],[Memo]]))</f>
        <v/>
      </c>
      <c r="O3945" t="s">
        <v>58</v>
      </c>
      <c r="P3945" t="s">
        <v>186</v>
      </c>
      <c r="Q3945" t="s">
        <v>58</v>
      </c>
      <c r="R3945" t="str">
        <f>IFERROR(VLOOKUP(record[[#This Row],[PCUSTID]],廠商[],2,FALSE),"")</f>
        <v/>
      </c>
      <c r="S3945" t="str">
        <f>VLOOKUP(record[[#This Row],[employeeID]],員工[],2,FALSE)</f>
        <v>許文姍</v>
      </c>
    </row>
    <row r="3946" spans="6:19" hidden="1" x14ac:dyDescent="0.25">
      <c r="F3946" t="s">
        <v>1578</v>
      </c>
      <c r="G3946" t="s">
        <v>423</v>
      </c>
      <c r="H3946" t="str">
        <f>VLOOKUP(record[[#This Row],[ProcessSN]],表格2_7[],2,FALSE)</f>
        <v>30-4118-018-600</v>
      </c>
      <c r="I3946" t="str">
        <f>VLOOKUP(record[[#This Row],[ProcessSN]],表格2_7[],3,FALSE)</f>
        <v>#08RCV</v>
      </c>
      <c r="J3946" t="s">
        <v>591</v>
      </c>
      <c r="K3946" s="195">
        <v>46063.651944444442</v>
      </c>
      <c r="L3946">
        <v>165</v>
      </c>
      <c r="M3946">
        <v>0</v>
      </c>
      <c r="N3946" s="98" t="str">
        <f>IF(record[[#This Row],[Memo]]="Browser:chrome os:android","平板報工",IF(record[[#This Row],[Memo]]=0,"委外",record[[#This Row],[Memo]]))</f>
        <v/>
      </c>
      <c r="O3946" t="s">
        <v>58</v>
      </c>
      <c r="P3946" t="s">
        <v>186</v>
      </c>
      <c r="Q3946" t="s">
        <v>58</v>
      </c>
      <c r="R3946" t="str">
        <f>IFERROR(VLOOKUP(record[[#This Row],[PCUSTID]],廠商[],2,FALSE),"")</f>
        <v/>
      </c>
      <c r="S3946" t="str">
        <f>VLOOKUP(record[[#This Row],[employeeID]],員工[],2,FALSE)</f>
        <v>許文姍</v>
      </c>
    </row>
    <row r="3947" spans="6:19" hidden="1" x14ac:dyDescent="0.25">
      <c r="F3947" t="s">
        <v>1527</v>
      </c>
      <c r="G3947" t="s">
        <v>450</v>
      </c>
      <c r="H3947" t="str">
        <f>VLOOKUP(record[[#This Row],[ProcessSN]],表格2_7[],2,FALSE)</f>
        <v>30-4118-018-6XX</v>
      </c>
      <c r="I3947" t="str">
        <f>VLOOKUP(record[[#This Row],[ProcessSN]],表格2_7[],3,FALSE)</f>
        <v>#06</v>
      </c>
      <c r="J3947" t="s">
        <v>593</v>
      </c>
      <c r="K3947" s="195">
        <v>46063.644930555558</v>
      </c>
      <c r="L3947">
        <v>110</v>
      </c>
      <c r="M3947">
        <v>0</v>
      </c>
      <c r="N3947" s="98" t="str">
        <f>IF(record[[#This Row],[Memo]]="Browser:chrome os:android","平板報工",IF(record[[#This Row],[Memo]]=0,"委外",record[[#This Row],[Memo]]))</f>
        <v>平板報工</v>
      </c>
      <c r="O3947" t="s">
        <v>643</v>
      </c>
      <c r="P3947" t="s">
        <v>137</v>
      </c>
      <c r="Q3947" t="s">
        <v>644</v>
      </c>
      <c r="R3947" t="str">
        <f>IFERROR(VLOOKUP(record[[#This Row],[PCUSTID]],廠商[],2,FALSE),"")</f>
        <v/>
      </c>
      <c r="S3947" t="str">
        <f>VLOOKUP(record[[#This Row],[employeeID]],員工[],2,FALSE)</f>
        <v>鄭美華</v>
      </c>
    </row>
    <row r="3948" spans="6:19" hidden="1" x14ac:dyDescent="0.25">
      <c r="F3948" t="s">
        <v>1571</v>
      </c>
      <c r="G3948" t="s">
        <v>425</v>
      </c>
      <c r="H3948" t="str">
        <f>VLOOKUP(record[[#This Row],[ProcessSN]],表格2_7[],2,FALSE)</f>
        <v>30-4118-018-600</v>
      </c>
      <c r="I3948" t="str">
        <f>VLOOKUP(record[[#This Row],[ProcessSN]],表格2_7[],3,FALSE)</f>
        <v>#100</v>
      </c>
      <c r="J3948" t="s">
        <v>598</v>
      </c>
      <c r="K3948" s="195">
        <v>46063.60596064815</v>
      </c>
      <c r="L3948">
        <v>288</v>
      </c>
      <c r="M3948">
        <v>0</v>
      </c>
      <c r="N3948" s="98" t="str">
        <f>IF(record[[#This Row],[Memo]]="Browser:chrome os:android","平板報工",IF(record[[#This Row],[Memo]]=0,"委外",record[[#This Row],[Memo]]))</f>
        <v/>
      </c>
      <c r="O3948" t="s">
        <v>58</v>
      </c>
      <c r="P3948" t="s">
        <v>141</v>
      </c>
      <c r="Q3948" t="s">
        <v>58</v>
      </c>
      <c r="R3948" t="str">
        <f>IFERROR(VLOOKUP(record[[#This Row],[PCUSTID]],廠商[],2,FALSE),"")</f>
        <v/>
      </c>
      <c r="S3948" t="str">
        <f>VLOOKUP(record[[#This Row],[employeeID]],員工[],2,FALSE)</f>
        <v>蔣梅</v>
      </c>
    </row>
    <row r="3949" spans="6:19" hidden="1" x14ac:dyDescent="0.25">
      <c r="F3949" t="s">
        <v>1571</v>
      </c>
      <c r="G3949" t="s">
        <v>424</v>
      </c>
      <c r="H3949" t="str">
        <f>VLOOKUP(record[[#This Row],[ProcessSN]],表格2_7[],2,FALSE)</f>
        <v>30-4118-018-600</v>
      </c>
      <c r="I3949" t="str">
        <f>VLOOKUP(record[[#This Row],[ProcessSN]],表格2_7[],3,FALSE)</f>
        <v>#08IQC</v>
      </c>
      <c r="J3949" t="s">
        <v>583</v>
      </c>
      <c r="K3949" s="195">
        <v>46063.605810185189</v>
      </c>
      <c r="L3949">
        <v>2</v>
      </c>
      <c r="M3949">
        <v>0</v>
      </c>
      <c r="N3949" s="98" t="str">
        <f>IF(record[[#This Row],[Memo]]="Browser:chrome os:android","平板報工",IF(record[[#This Row],[Memo]]=0,"委外",record[[#This Row],[Memo]]))</f>
        <v>覆回</v>
      </c>
      <c r="O3949" t="s">
        <v>682</v>
      </c>
      <c r="P3949" t="s">
        <v>141</v>
      </c>
      <c r="Q3949" t="s">
        <v>58</v>
      </c>
      <c r="R3949" t="str">
        <f>IFERROR(VLOOKUP(record[[#This Row],[PCUSTID]],廠商[],2,FALSE),"")</f>
        <v/>
      </c>
      <c r="S3949" t="str">
        <f>VLOOKUP(record[[#This Row],[employeeID]],員工[],2,FALSE)</f>
        <v>蔣梅</v>
      </c>
    </row>
    <row r="3950" spans="6:19" hidden="1" x14ac:dyDescent="0.25">
      <c r="F3950" t="s">
        <v>1571</v>
      </c>
      <c r="G3950" t="s">
        <v>423</v>
      </c>
      <c r="H3950" t="str">
        <f>VLOOKUP(record[[#This Row],[ProcessSN]],表格2_7[],2,FALSE)</f>
        <v>30-4118-018-600</v>
      </c>
      <c r="I3950" t="str">
        <f>VLOOKUP(record[[#This Row],[ProcessSN]],表格2_7[],3,FALSE)</f>
        <v>#08RCV</v>
      </c>
      <c r="J3950" t="s">
        <v>591</v>
      </c>
      <c r="K3950" s="195">
        <v>46063.605671296296</v>
      </c>
      <c r="L3950">
        <v>0</v>
      </c>
      <c r="M3950">
        <v>16</v>
      </c>
      <c r="N3950" s="98" t="str">
        <f>IF(record[[#This Row],[Memo]]="Browser:chrome os:android","平板報工",IF(record[[#This Row],[Memo]]=0,"委外",record[[#This Row],[Memo]]))</f>
        <v/>
      </c>
      <c r="O3950" t="s">
        <v>58</v>
      </c>
      <c r="P3950" t="s">
        <v>141</v>
      </c>
      <c r="Q3950" t="s">
        <v>58</v>
      </c>
      <c r="R3950" t="str">
        <f>IFERROR(VLOOKUP(record[[#This Row],[PCUSTID]],廠商[],2,FALSE),"")</f>
        <v/>
      </c>
      <c r="S3950" t="str">
        <f>VLOOKUP(record[[#This Row],[employeeID]],員工[],2,FALSE)</f>
        <v>蔣梅</v>
      </c>
    </row>
    <row r="3951" spans="6:19" hidden="1" x14ac:dyDescent="0.25">
      <c r="F3951" t="s">
        <v>1571</v>
      </c>
      <c r="G3951" t="s">
        <v>423</v>
      </c>
      <c r="H3951" t="str">
        <f>VLOOKUP(record[[#This Row],[ProcessSN]],表格2_7[],2,FALSE)</f>
        <v>30-4118-018-600</v>
      </c>
      <c r="I3951" t="str">
        <f>VLOOKUP(record[[#This Row],[ProcessSN]],表格2_7[],3,FALSE)</f>
        <v>#08RCV</v>
      </c>
      <c r="J3951" t="s">
        <v>591</v>
      </c>
      <c r="K3951" s="195">
        <v>46063.605520833335</v>
      </c>
      <c r="L3951">
        <v>2</v>
      </c>
      <c r="M3951">
        <v>0</v>
      </c>
      <c r="N3951" s="98" t="str">
        <f>IF(record[[#This Row],[Memo]]="Browser:chrome os:android","平板報工",IF(record[[#This Row],[Memo]]=0,"委外",record[[#This Row],[Memo]]))</f>
        <v>覆回</v>
      </c>
      <c r="O3951" t="s">
        <v>682</v>
      </c>
      <c r="P3951" t="s">
        <v>141</v>
      </c>
      <c r="Q3951" t="s">
        <v>58</v>
      </c>
      <c r="R3951" t="str">
        <f>IFERROR(VLOOKUP(record[[#This Row],[PCUSTID]],廠商[],2,FALSE),"")</f>
        <v/>
      </c>
      <c r="S3951" t="str">
        <f>VLOOKUP(record[[#This Row],[employeeID]],員工[],2,FALSE)</f>
        <v>蔣梅</v>
      </c>
    </row>
    <row r="3952" spans="6:19" hidden="1" x14ac:dyDescent="0.25">
      <c r="F3952" t="s">
        <v>1497</v>
      </c>
      <c r="G3952" t="s">
        <v>403</v>
      </c>
      <c r="H3952" t="str">
        <f>VLOOKUP(record[[#This Row],[ProcessSN]],表格2_7[],2,FALSE)</f>
        <v>30-4118-018-550</v>
      </c>
      <c r="I3952" t="str">
        <f>VLOOKUP(record[[#This Row],[ProcessSN]],表格2_7[],3,FALSE)</f>
        <v>#100SHIP</v>
      </c>
      <c r="J3952" t="s">
        <v>600</v>
      </c>
      <c r="K3952" s="195">
        <v>46063.596932870372</v>
      </c>
      <c r="L3952">
        <v>1</v>
      </c>
      <c r="M3952">
        <v>0</v>
      </c>
      <c r="N3952" s="98" t="str">
        <f>IF(record[[#This Row],[Memo]]="Browser:chrome os:android","平板報工",IF(record[[#This Row],[Memo]]=0,"委外",record[[#This Row],[Memo]]))</f>
        <v/>
      </c>
      <c r="O3952" t="s">
        <v>58</v>
      </c>
      <c r="P3952" t="s">
        <v>886</v>
      </c>
      <c r="Q3952" t="s">
        <v>58</v>
      </c>
      <c r="R3952" t="str">
        <f>IFERROR(VLOOKUP(record[[#This Row],[PCUSTID]],廠商[],2,FALSE),"")</f>
        <v/>
      </c>
      <c r="S3952" t="str">
        <f>VLOOKUP(record[[#This Row],[employeeID]],員工[],2,FALSE)</f>
        <v>謝蓁薰</v>
      </c>
    </row>
    <row r="3953" spans="6:19" hidden="1" x14ac:dyDescent="0.25">
      <c r="F3953" t="s">
        <v>1381</v>
      </c>
      <c r="G3953" t="s">
        <v>419</v>
      </c>
      <c r="H3953" t="str">
        <f>VLOOKUP(record[[#This Row],[ProcessSN]],表格2_7[],2,FALSE)</f>
        <v>30-4118-018-5XX</v>
      </c>
      <c r="I3953" t="str">
        <f>VLOOKUP(record[[#This Row],[ProcessSN]],表格2_7[],3,FALSE)</f>
        <v>#07QC</v>
      </c>
      <c r="J3953" t="s">
        <v>589</v>
      </c>
      <c r="K3953" s="195">
        <v>46063.499745370369</v>
      </c>
      <c r="L3953">
        <v>0</v>
      </c>
      <c r="M3953">
        <v>-23</v>
      </c>
      <c r="N3953" s="98" t="str">
        <f>IF(record[[#This Row],[Memo]]="Browser:chrome os:android","平板報工",IF(record[[#This Row],[Memo]]=0,"委外",record[[#This Row],[Memo]]))</f>
        <v>覆回品</v>
      </c>
      <c r="O3953" t="s">
        <v>664</v>
      </c>
      <c r="P3953" t="s">
        <v>113</v>
      </c>
      <c r="Q3953" t="s">
        <v>644</v>
      </c>
      <c r="R3953" t="str">
        <f>IFERROR(VLOOKUP(record[[#This Row],[PCUSTID]],廠商[],2,FALSE),"")</f>
        <v/>
      </c>
      <c r="S3953" t="str">
        <f>VLOOKUP(record[[#This Row],[employeeID]],員工[],2,FALSE)</f>
        <v>王奕蓁</v>
      </c>
    </row>
    <row r="3954" spans="6:19" hidden="1" x14ac:dyDescent="0.25">
      <c r="F3954" t="s">
        <v>1551</v>
      </c>
      <c r="G3954" t="s">
        <v>469</v>
      </c>
      <c r="H3954" t="str">
        <f>VLOOKUP(record[[#This Row],[ProcessSN]],表格2_7[],2,FALSE)</f>
        <v>30-4118-018-XXX</v>
      </c>
      <c r="I3954" t="str">
        <f>VLOOKUP(record[[#This Row],[ProcessSN]],表格2_7[],3,FALSE)</f>
        <v>#02RCV</v>
      </c>
      <c r="J3954" t="s">
        <v>591</v>
      </c>
      <c r="K3954" s="195">
        <v>46063.393252314818</v>
      </c>
      <c r="L3954">
        <v>672</v>
      </c>
      <c r="M3954">
        <v>0</v>
      </c>
      <c r="N3954" s="98" t="str">
        <f>IF(record[[#This Row],[Memo]]="Browser:chrome os:android","平板報工",IF(record[[#This Row],[Memo]]=0,"委外",record[[#This Row],[Memo]]))</f>
        <v/>
      </c>
      <c r="O3954" t="s">
        <v>58</v>
      </c>
      <c r="P3954" t="s">
        <v>186</v>
      </c>
      <c r="Q3954" t="s">
        <v>58</v>
      </c>
      <c r="R3954" t="str">
        <f>IFERROR(VLOOKUP(record[[#This Row],[PCUSTID]],廠商[],2,FALSE),"")</f>
        <v/>
      </c>
      <c r="S3954" t="str">
        <f>VLOOKUP(record[[#This Row],[employeeID]],員工[],2,FALSE)</f>
        <v>許文姍</v>
      </c>
    </row>
    <row r="3955" spans="6:19" hidden="1" x14ac:dyDescent="0.25">
      <c r="F3955" t="s">
        <v>1484</v>
      </c>
      <c r="G3955" t="s">
        <v>426</v>
      </c>
      <c r="H3955" t="str">
        <f>VLOOKUP(record[[#This Row],[ProcessSN]],表格2_7[],2,FALSE)</f>
        <v>30-4118-018-600</v>
      </c>
      <c r="I3955" t="str">
        <f>VLOOKUP(record[[#This Row],[ProcessSN]],表格2_7[],3,FALSE)</f>
        <v>#100OQC</v>
      </c>
      <c r="J3955" t="s">
        <v>599</v>
      </c>
      <c r="K3955" s="195">
        <v>46063.325787037036</v>
      </c>
      <c r="L3955">
        <v>2</v>
      </c>
      <c r="M3955">
        <v>0</v>
      </c>
      <c r="N3955" s="98" t="str">
        <f>IF(record[[#This Row],[Memo]]="Browser:chrome os:android","平板報工",IF(record[[#This Row],[Memo]]=0,"委外",record[[#This Row],[Memo]]))</f>
        <v/>
      </c>
      <c r="O3955" t="s">
        <v>58</v>
      </c>
      <c r="P3955" t="s">
        <v>121</v>
      </c>
      <c r="Q3955" t="s">
        <v>58</v>
      </c>
      <c r="R3955" t="str">
        <f>IFERROR(VLOOKUP(record[[#This Row],[PCUSTID]],廠商[],2,FALSE),"")</f>
        <v/>
      </c>
      <c r="S3955" t="str">
        <f>VLOOKUP(record[[#This Row],[employeeID]],員工[],2,FALSE)</f>
        <v>謝素卿</v>
      </c>
    </row>
    <row r="3956" spans="6:19" hidden="1" x14ac:dyDescent="0.25">
      <c r="F3956" t="s">
        <v>1510</v>
      </c>
      <c r="G3956" t="s">
        <v>426</v>
      </c>
      <c r="H3956" t="str">
        <f>VLOOKUP(record[[#This Row],[ProcessSN]],表格2_7[],2,FALSE)</f>
        <v>30-4118-018-600</v>
      </c>
      <c r="I3956" t="str">
        <f>VLOOKUP(record[[#This Row],[ProcessSN]],表格2_7[],3,FALSE)</f>
        <v>#100OQC</v>
      </c>
      <c r="J3956" t="s">
        <v>599</v>
      </c>
      <c r="K3956" s="195">
        <v>46063.325648148151</v>
      </c>
      <c r="L3956">
        <v>3</v>
      </c>
      <c r="M3956">
        <v>0</v>
      </c>
      <c r="N3956" s="98" t="str">
        <f>IF(record[[#This Row],[Memo]]="Browser:chrome os:android","平板報工",IF(record[[#This Row],[Memo]]=0,"委外",record[[#This Row],[Memo]]))</f>
        <v/>
      </c>
      <c r="O3956" t="s">
        <v>58</v>
      </c>
      <c r="P3956" t="s">
        <v>121</v>
      </c>
      <c r="Q3956" t="s">
        <v>58</v>
      </c>
      <c r="R3956" t="str">
        <f>IFERROR(VLOOKUP(record[[#This Row],[PCUSTID]],廠商[],2,FALSE),"")</f>
        <v/>
      </c>
      <c r="S3956" t="str">
        <f>VLOOKUP(record[[#This Row],[employeeID]],員工[],2,FALSE)</f>
        <v>謝素卿</v>
      </c>
    </row>
    <row r="3957" spans="6:19" hidden="1" x14ac:dyDescent="0.25">
      <c r="F3957" t="s">
        <v>1557</v>
      </c>
      <c r="G3957" t="s">
        <v>426</v>
      </c>
      <c r="H3957" t="str">
        <f>VLOOKUP(record[[#This Row],[ProcessSN]],表格2_7[],2,FALSE)</f>
        <v>30-4118-018-600</v>
      </c>
      <c r="I3957" t="str">
        <f>VLOOKUP(record[[#This Row],[ProcessSN]],表格2_7[],3,FALSE)</f>
        <v>#100OQC</v>
      </c>
      <c r="J3957" t="s">
        <v>599</v>
      </c>
      <c r="K3957" s="195">
        <v>46063.325520833336</v>
      </c>
      <c r="L3957">
        <v>345</v>
      </c>
      <c r="M3957">
        <v>0</v>
      </c>
      <c r="N3957" s="98" t="str">
        <f>IF(record[[#This Row],[Memo]]="Browser:chrome os:android","平板報工",IF(record[[#This Row],[Memo]]=0,"委外",record[[#This Row],[Memo]]))</f>
        <v/>
      </c>
      <c r="O3957" t="s">
        <v>58</v>
      </c>
      <c r="P3957" t="s">
        <v>121</v>
      </c>
      <c r="Q3957" t="s">
        <v>58</v>
      </c>
      <c r="R3957" t="str">
        <f>IFERROR(VLOOKUP(record[[#This Row],[PCUSTID]],廠商[],2,FALSE),"")</f>
        <v/>
      </c>
      <c r="S3957" t="str">
        <f>VLOOKUP(record[[#This Row],[employeeID]],員工[],2,FALSE)</f>
        <v>謝素卿</v>
      </c>
    </row>
    <row r="3958" spans="6:19" hidden="1" x14ac:dyDescent="0.25">
      <c r="F3958" t="s">
        <v>1553</v>
      </c>
      <c r="G3958" t="s">
        <v>426</v>
      </c>
      <c r="H3958" t="str">
        <f>VLOOKUP(record[[#This Row],[ProcessSN]],表格2_7[],2,FALSE)</f>
        <v>30-4118-018-600</v>
      </c>
      <c r="I3958" t="str">
        <f>VLOOKUP(record[[#This Row],[ProcessSN]],表格2_7[],3,FALSE)</f>
        <v>#100OQC</v>
      </c>
      <c r="J3958" t="s">
        <v>599</v>
      </c>
      <c r="K3958" s="195">
        <v>46063.325370370374</v>
      </c>
      <c r="L3958">
        <v>124</v>
      </c>
      <c r="M3958">
        <v>0</v>
      </c>
      <c r="N3958" s="98" t="str">
        <f>IF(record[[#This Row],[Memo]]="Browser:chrome os:android","平板報工",IF(record[[#This Row],[Memo]]=0,"委外",record[[#This Row],[Memo]]))</f>
        <v/>
      </c>
      <c r="O3958" t="s">
        <v>58</v>
      </c>
      <c r="P3958" t="s">
        <v>121</v>
      </c>
      <c r="Q3958" t="s">
        <v>58</v>
      </c>
      <c r="R3958" t="str">
        <f>IFERROR(VLOOKUP(record[[#This Row],[PCUSTID]],廠商[],2,FALSE),"")</f>
        <v/>
      </c>
      <c r="S3958" t="str">
        <f>VLOOKUP(record[[#This Row],[employeeID]],員工[],2,FALSE)</f>
        <v>謝素卿</v>
      </c>
    </row>
    <row r="3959" spans="6:19" hidden="1" x14ac:dyDescent="0.25">
      <c r="F3959" t="s">
        <v>1534</v>
      </c>
      <c r="G3959" t="s">
        <v>426</v>
      </c>
      <c r="H3959" t="str">
        <f>VLOOKUP(record[[#This Row],[ProcessSN]],表格2_7[],2,FALSE)</f>
        <v>30-4118-018-600</v>
      </c>
      <c r="I3959" t="str">
        <f>VLOOKUP(record[[#This Row],[ProcessSN]],表格2_7[],3,FALSE)</f>
        <v>#100OQC</v>
      </c>
      <c r="J3959" t="s">
        <v>599</v>
      </c>
      <c r="K3959" s="195">
        <v>46063.325127314813</v>
      </c>
      <c r="L3959">
        <v>27</v>
      </c>
      <c r="M3959">
        <v>0</v>
      </c>
      <c r="N3959" s="98" t="str">
        <f>IF(record[[#This Row],[Memo]]="Browser:chrome os:android","平板報工",IF(record[[#This Row],[Memo]]=0,"委外",record[[#This Row],[Memo]]))</f>
        <v/>
      </c>
      <c r="O3959" t="s">
        <v>58</v>
      </c>
      <c r="P3959" t="s">
        <v>121</v>
      </c>
      <c r="Q3959" t="s">
        <v>58</v>
      </c>
      <c r="R3959" t="str">
        <f>IFERROR(VLOOKUP(record[[#This Row],[PCUSTID]],廠商[],2,FALSE),"")</f>
        <v/>
      </c>
      <c r="S3959" t="str">
        <f>VLOOKUP(record[[#This Row],[employeeID]],員工[],2,FALSE)</f>
        <v>謝素卿</v>
      </c>
    </row>
    <row r="3960" spans="6:19" hidden="1" x14ac:dyDescent="0.25">
      <c r="F3960" t="s">
        <v>1569</v>
      </c>
      <c r="G3960" t="s">
        <v>448</v>
      </c>
      <c r="H3960" t="str">
        <f>VLOOKUP(record[[#This Row],[ProcessSN]],表格2_7[],2,FALSE)</f>
        <v>30-4118-018-6XX</v>
      </c>
      <c r="I3960" t="str">
        <f>VLOOKUP(record[[#This Row],[ProcessSN]],表格2_7[],3,FALSE)</f>
        <v>#04</v>
      </c>
      <c r="J3960" t="s">
        <v>588</v>
      </c>
      <c r="K3960" s="195">
        <v>46063.323611111111</v>
      </c>
      <c r="L3960">
        <v>57</v>
      </c>
      <c r="M3960">
        <v>0</v>
      </c>
      <c r="N3960" s="98" t="str">
        <f>IF(record[[#This Row],[Memo]]="Browser:chrome os:android","平板報工",IF(record[[#This Row],[Memo]]=0,"委外",record[[#This Row],[Memo]]))</f>
        <v/>
      </c>
      <c r="O3960" t="s">
        <v>58</v>
      </c>
      <c r="P3960" t="s">
        <v>1098</v>
      </c>
      <c r="Q3960" t="s">
        <v>58</v>
      </c>
      <c r="R3960" t="str">
        <f>IFERROR(VLOOKUP(record[[#This Row],[PCUSTID]],廠商[],2,FALSE),"")</f>
        <v/>
      </c>
      <c r="S3960" t="str">
        <f>VLOOKUP(record[[#This Row],[employeeID]],員工[],2,FALSE)</f>
        <v>阮氏芳英(英)</v>
      </c>
    </row>
    <row r="3961" spans="6:19" hidden="1" x14ac:dyDescent="0.25">
      <c r="F3961" t="s">
        <v>1568</v>
      </c>
      <c r="G3961" t="s">
        <v>415</v>
      </c>
      <c r="H3961" t="str">
        <f>VLOOKUP(record[[#This Row],[ProcessSN]],表格2_7[],2,FALSE)</f>
        <v>30-4118-018-5XX</v>
      </c>
      <c r="I3961" t="str">
        <f>VLOOKUP(record[[#This Row],[ProcessSN]],表格2_7[],3,FALSE)</f>
        <v>#04</v>
      </c>
      <c r="J3961" t="s">
        <v>588</v>
      </c>
      <c r="K3961" s="195">
        <v>46063.323460648149</v>
      </c>
      <c r="L3961">
        <v>15</v>
      </c>
      <c r="M3961">
        <v>0</v>
      </c>
      <c r="N3961" s="98" t="str">
        <f>IF(record[[#This Row],[Memo]]="Browser:chrome os:android","平板報工",IF(record[[#This Row],[Memo]]=0,"委外",record[[#This Row],[Memo]]))</f>
        <v/>
      </c>
      <c r="O3961" t="s">
        <v>58</v>
      </c>
      <c r="P3961" t="s">
        <v>1098</v>
      </c>
      <c r="Q3961" t="s">
        <v>58</v>
      </c>
      <c r="R3961" t="str">
        <f>IFERROR(VLOOKUP(record[[#This Row],[PCUSTID]],廠商[],2,FALSE),"")</f>
        <v/>
      </c>
      <c r="S3961" t="str">
        <f>VLOOKUP(record[[#This Row],[employeeID]],員工[],2,FALSE)</f>
        <v>阮氏芳英(英)</v>
      </c>
    </row>
    <row r="3962" spans="6:19" hidden="1" x14ac:dyDescent="0.25">
      <c r="F3962" t="s">
        <v>1527</v>
      </c>
      <c r="G3962" t="s">
        <v>449</v>
      </c>
      <c r="H3962" t="str">
        <f>VLOOKUP(record[[#This Row],[ProcessSN]],表格2_7[],2,FALSE)</f>
        <v>30-4118-018-6XX</v>
      </c>
      <c r="I3962" t="str">
        <f>VLOOKUP(record[[#This Row],[ProcessSN]],表格2_7[],3,FALSE)</f>
        <v>#05</v>
      </c>
      <c r="J3962" t="s">
        <v>588</v>
      </c>
      <c r="K3962" s="195">
        <v>46063.320613425924</v>
      </c>
      <c r="L3962">
        <v>220</v>
      </c>
      <c r="M3962">
        <v>0</v>
      </c>
      <c r="N3962" s="98" t="str">
        <f>IF(record[[#This Row],[Memo]]="Browser:chrome os:android","平板報工",IF(record[[#This Row],[Memo]]=0,"委外",record[[#This Row],[Memo]]))</f>
        <v/>
      </c>
      <c r="O3962" t="s">
        <v>58</v>
      </c>
      <c r="P3962" t="s">
        <v>843</v>
      </c>
      <c r="Q3962" t="s">
        <v>58</v>
      </c>
      <c r="R3962" t="str">
        <f>IFERROR(VLOOKUP(record[[#This Row],[PCUSTID]],廠商[],2,FALSE),"")</f>
        <v/>
      </c>
      <c r="S3962" t="str">
        <f>VLOOKUP(record[[#This Row],[employeeID]],員工[],2,FALSE)</f>
        <v>張楚承</v>
      </c>
    </row>
    <row r="3963" spans="6:19" hidden="1" x14ac:dyDescent="0.25">
      <c r="F3963" t="s">
        <v>1527</v>
      </c>
      <c r="G3963" t="s">
        <v>450</v>
      </c>
      <c r="H3963" t="str">
        <f>VLOOKUP(record[[#This Row],[ProcessSN]],表格2_7[],2,FALSE)</f>
        <v>30-4118-018-6XX</v>
      </c>
      <c r="I3963" t="str">
        <f>VLOOKUP(record[[#This Row],[ProcessSN]],表格2_7[],3,FALSE)</f>
        <v>#06</v>
      </c>
      <c r="J3963" t="s">
        <v>593</v>
      </c>
      <c r="K3963" s="195">
        <v>46062.987951388888</v>
      </c>
      <c r="L3963">
        <v>50</v>
      </c>
      <c r="M3963">
        <v>0</v>
      </c>
      <c r="N3963" s="98" t="str">
        <f>IF(record[[#This Row],[Memo]]="Browser:chrome os:android","平板報工",IF(record[[#This Row],[Memo]]=0,"委外",record[[#This Row],[Memo]]))</f>
        <v/>
      </c>
      <c r="O3963" t="s">
        <v>58</v>
      </c>
      <c r="P3963" t="s">
        <v>841</v>
      </c>
      <c r="Q3963" t="s">
        <v>58</v>
      </c>
      <c r="R3963" t="str">
        <f>IFERROR(VLOOKUP(record[[#This Row],[PCUSTID]],廠商[],2,FALSE),"")</f>
        <v/>
      </c>
      <c r="S3963" t="str">
        <f>VLOOKUP(record[[#This Row],[employeeID]],員工[],2,FALSE)</f>
        <v>范氏香</v>
      </c>
    </row>
    <row r="3964" spans="6:19" hidden="1" x14ac:dyDescent="0.25">
      <c r="F3964" t="s">
        <v>1527</v>
      </c>
      <c r="G3964" t="s">
        <v>449</v>
      </c>
      <c r="H3964" t="str">
        <f>VLOOKUP(record[[#This Row],[ProcessSN]],表格2_7[],2,FALSE)</f>
        <v>30-4118-018-6XX</v>
      </c>
      <c r="I3964" t="str">
        <f>VLOOKUP(record[[#This Row],[ProcessSN]],表格2_7[],3,FALSE)</f>
        <v>#05</v>
      </c>
      <c r="J3964" t="s">
        <v>588</v>
      </c>
      <c r="K3964" s="195">
        <v>46062.985208333332</v>
      </c>
      <c r="L3964">
        <v>160</v>
      </c>
      <c r="M3964">
        <v>0</v>
      </c>
      <c r="N3964" s="98" t="str">
        <f>IF(record[[#This Row],[Memo]]="Browser:chrome os:android","平板報工",IF(record[[#This Row],[Memo]]=0,"委外",record[[#This Row],[Memo]]))</f>
        <v/>
      </c>
      <c r="O3964" t="s">
        <v>58</v>
      </c>
      <c r="P3964" t="s">
        <v>1098</v>
      </c>
      <c r="Q3964" t="s">
        <v>58</v>
      </c>
      <c r="R3964" t="str">
        <f>IFERROR(VLOOKUP(record[[#This Row],[PCUSTID]],廠商[],2,FALSE),"")</f>
        <v/>
      </c>
      <c r="S3964" t="str">
        <f>VLOOKUP(record[[#This Row],[employeeID]],員工[],2,FALSE)</f>
        <v>阮氏芳英(英)</v>
      </c>
    </row>
    <row r="3965" spans="6:19" hidden="1" x14ac:dyDescent="0.25">
      <c r="F3965" t="s">
        <v>1571</v>
      </c>
      <c r="G3965" t="s">
        <v>424</v>
      </c>
      <c r="H3965" t="str">
        <f>VLOOKUP(record[[#This Row],[ProcessSN]],表格2_7[],2,FALSE)</f>
        <v>30-4118-018-600</v>
      </c>
      <c r="I3965" t="str">
        <f>VLOOKUP(record[[#This Row],[ProcessSN]],表格2_7[],3,FALSE)</f>
        <v>#08IQC</v>
      </c>
      <c r="J3965" t="s">
        <v>583</v>
      </c>
      <c r="K3965" s="195">
        <v>46062.813877314817</v>
      </c>
      <c r="L3965">
        <v>286</v>
      </c>
      <c r="M3965">
        <v>0</v>
      </c>
      <c r="N3965" s="98" t="str">
        <f>IF(record[[#This Row],[Memo]]="Browser:chrome os:android","平板報工",IF(record[[#This Row],[Memo]]=0,"委外",record[[#This Row],[Memo]]))</f>
        <v/>
      </c>
      <c r="O3965" t="s">
        <v>58</v>
      </c>
      <c r="P3965" t="s">
        <v>172</v>
      </c>
      <c r="Q3965" t="s">
        <v>58</v>
      </c>
      <c r="R3965" t="str">
        <f>IFERROR(VLOOKUP(record[[#This Row],[PCUSTID]],廠商[],2,FALSE),"")</f>
        <v/>
      </c>
      <c r="S3965" t="str">
        <f>VLOOKUP(record[[#This Row],[employeeID]],員工[],2,FALSE)</f>
        <v>李采玲</v>
      </c>
    </row>
    <row r="3966" spans="6:19" hidden="1" x14ac:dyDescent="0.25">
      <c r="F3966" t="s">
        <v>1551</v>
      </c>
      <c r="G3966" t="s">
        <v>470</v>
      </c>
      <c r="H3966" t="str">
        <f>VLOOKUP(record[[#This Row],[ProcessSN]],表格2_7[],2,FALSE)</f>
        <v>30-4118-018-XXX</v>
      </c>
      <c r="I3966" t="str">
        <f>VLOOKUP(record[[#This Row],[ProcessSN]],表格2_7[],3,FALSE)</f>
        <v>#02IQC</v>
      </c>
      <c r="J3966" t="s">
        <v>583</v>
      </c>
      <c r="K3966" s="195">
        <v>46062.797731481478</v>
      </c>
      <c r="L3966">
        <v>1206</v>
      </c>
      <c r="M3966">
        <v>0</v>
      </c>
      <c r="N3966" s="98" t="str">
        <f>IF(record[[#This Row],[Memo]]="Browser:chrome os:android","平板報工",IF(record[[#This Row],[Memo]]=0,"委外",record[[#This Row],[Memo]]))</f>
        <v/>
      </c>
      <c r="O3966" t="s">
        <v>58</v>
      </c>
      <c r="P3966" t="s">
        <v>172</v>
      </c>
      <c r="Q3966" t="s">
        <v>58</v>
      </c>
      <c r="R3966" t="str">
        <f>IFERROR(VLOOKUP(record[[#This Row],[PCUSTID]],廠商[],2,FALSE),"")</f>
        <v/>
      </c>
      <c r="S3966" t="str">
        <f>VLOOKUP(record[[#This Row],[employeeID]],員工[],2,FALSE)</f>
        <v>李采玲</v>
      </c>
    </row>
    <row r="3967" spans="6:19" hidden="1" x14ac:dyDescent="0.25">
      <c r="F3967" t="s">
        <v>1542</v>
      </c>
      <c r="G3967" t="s">
        <v>470</v>
      </c>
      <c r="H3967" t="str">
        <f>VLOOKUP(record[[#This Row],[ProcessSN]],表格2_7[],2,FALSE)</f>
        <v>30-4118-018-XXX</v>
      </c>
      <c r="I3967" t="str">
        <f>VLOOKUP(record[[#This Row],[ProcessSN]],表格2_7[],3,FALSE)</f>
        <v>#02IQC</v>
      </c>
      <c r="J3967" t="s">
        <v>583</v>
      </c>
      <c r="K3967" s="195">
        <v>46062.797627314816</v>
      </c>
      <c r="L3967">
        <v>1185</v>
      </c>
      <c r="M3967">
        <v>0</v>
      </c>
      <c r="N3967" s="98" t="str">
        <f>IF(record[[#This Row],[Memo]]="Browser:chrome os:android","平板報工",IF(record[[#This Row],[Memo]]=0,"委外",record[[#This Row],[Memo]]))</f>
        <v/>
      </c>
      <c r="O3967" t="s">
        <v>58</v>
      </c>
      <c r="P3967" t="s">
        <v>172</v>
      </c>
      <c r="Q3967" t="s">
        <v>58</v>
      </c>
      <c r="R3967" t="str">
        <f>IFERROR(VLOOKUP(record[[#This Row],[PCUSTID]],廠商[],2,FALSE),"")</f>
        <v/>
      </c>
      <c r="S3967" t="str">
        <f>VLOOKUP(record[[#This Row],[employeeID]],員工[],2,FALSE)</f>
        <v>李采玲</v>
      </c>
    </row>
    <row r="3968" spans="6:19" hidden="1" x14ac:dyDescent="0.25">
      <c r="F3968" t="s">
        <v>1484</v>
      </c>
      <c r="G3968" t="s">
        <v>425</v>
      </c>
      <c r="H3968" t="str">
        <f>VLOOKUP(record[[#This Row],[ProcessSN]],表格2_7[],2,FALSE)</f>
        <v>30-4118-018-600</v>
      </c>
      <c r="I3968" t="str">
        <f>VLOOKUP(record[[#This Row],[ProcessSN]],表格2_7[],3,FALSE)</f>
        <v>#100</v>
      </c>
      <c r="J3968" t="s">
        <v>598</v>
      </c>
      <c r="K3968" s="195">
        <v>46062.717372685183</v>
      </c>
      <c r="L3968">
        <v>2</v>
      </c>
      <c r="M3968">
        <v>0</v>
      </c>
      <c r="N3968" s="98" t="str">
        <f>IF(record[[#This Row],[Memo]]="Browser:chrome os:android","平板報工",IF(record[[#This Row],[Memo]]=0,"委外",record[[#This Row],[Memo]]))</f>
        <v>覆回</v>
      </c>
      <c r="O3968" t="s">
        <v>682</v>
      </c>
      <c r="P3968" t="s">
        <v>141</v>
      </c>
      <c r="Q3968" t="s">
        <v>58</v>
      </c>
      <c r="R3968" t="str">
        <f>IFERROR(VLOOKUP(record[[#This Row],[PCUSTID]],廠商[],2,FALSE),"")</f>
        <v/>
      </c>
      <c r="S3968" t="str">
        <f>VLOOKUP(record[[#This Row],[employeeID]],員工[],2,FALSE)</f>
        <v>蔣梅</v>
      </c>
    </row>
    <row r="3969" spans="6:19" hidden="1" x14ac:dyDescent="0.25">
      <c r="F3969" t="s">
        <v>1510</v>
      </c>
      <c r="G3969" t="s">
        <v>425</v>
      </c>
      <c r="H3969" t="str">
        <f>VLOOKUP(record[[#This Row],[ProcessSN]],表格2_7[],2,FALSE)</f>
        <v>30-4118-018-600</v>
      </c>
      <c r="I3969" t="str">
        <f>VLOOKUP(record[[#This Row],[ProcessSN]],表格2_7[],3,FALSE)</f>
        <v>#100</v>
      </c>
      <c r="J3969" t="s">
        <v>598</v>
      </c>
      <c r="K3969" s="195">
        <v>46062.715150462966</v>
      </c>
      <c r="L3969">
        <v>3</v>
      </c>
      <c r="M3969">
        <v>0</v>
      </c>
      <c r="N3969" s="98" t="str">
        <f>IF(record[[#This Row],[Memo]]="Browser:chrome os:android","平板報工",IF(record[[#This Row],[Memo]]=0,"委外",record[[#This Row],[Memo]]))</f>
        <v>覆回</v>
      </c>
      <c r="O3969" t="s">
        <v>682</v>
      </c>
      <c r="P3969" t="s">
        <v>141</v>
      </c>
      <c r="Q3969" t="s">
        <v>58</v>
      </c>
      <c r="R3969" t="str">
        <f>IFERROR(VLOOKUP(record[[#This Row],[PCUSTID]],廠商[],2,FALSE),"")</f>
        <v/>
      </c>
      <c r="S3969" t="str">
        <f>VLOOKUP(record[[#This Row],[employeeID]],員工[],2,FALSE)</f>
        <v>蔣梅</v>
      </c>
    </row>
    <row r="3970" spans="6:19" hidden="1" x14ac:dyDescent="0.25">
      <c r="F3970" t="s">
        <v>1557</v>
      </c>
      <c r="G3970" t="s">
        <v>425</v>
      </c>
      <c r="H3970" t="str">
        <f>VLOOKUP(record[[#This Row],[ProcessSN]],表格2_7[],2,FALSE)</f>
        <v>30-4118-018-600</v>
      </c>
      <c r="I3970" t="str">
        <f>VLOOKUP(record[[#This Row],[ProcessSN]],表格2_7[],3,FALSE)</f>
        <v>#100</v>
      </c>
      <c r="J3970" t="s">
        <v>598</v>
      </c>
      <c r="K3970" s="195">
        <v>46062.712557870371</v>
      </c>
      <c r="L3970">
        <v>345</v>
      </c>
      <c r="M3970">
        <v>0</v>
      </c>
      <c r="N3970" s="98" t="str">
        <f>IF(record[[#This Row],[Memo]]="Browser:chrome os:android","平板報工",IF(record[[#This Row],[Memo]]=0,"委外",record[[#This Row],[Memo]]))</f>
        <v/>
      </c>
      <c r="O3970" t="s">
        <v>58</v>
      </c>
      <c r="P3970" t="s">
        <v>141</v>
      </c>
      <c r="Q3970" t="s">
        <v>58</v>
      </c>
      <c r="R3970" t="str">
        <f>IFERROR(VLOOKUP(record[[#This Row],[PCUSTID]],廠商[],2,FALSE),"")</f>
        <v/>
      </c>
      <c r="S3970" t="str">
        <f>VLOOKUP(record[[#This Row],[employeeID]],員工[],2,FALSE)</f>
        <v>蔣梅</v>
      </c>
    </row>
    <row r="3971" spans="6:19" hidden="1" x14ac:dyDescent="0.25">
      <c r="F3971" t="s">
        <v>1553</v>
      </c>
      <c r="G3971" t="s">
        <v>425</v>
      </c>
      <c r="H3971" t="str">
        <f>VLOOKUP(record[[#This Row],[ProcessSN]],表格2_7[],2,FALSE)</f>
        <v>30-4118-018-600</v>
      </c>
      <c r="I3971" t="str">
        <f>VLOOKUP(record[[#This Row],[ProcessSN]],表格2_7[],3,FALSE)</f>
        <v>#100</v>
      </c>
      <c r="J3971" t="s">
        <v>598</v>
      </c>
      <c r="K3971" s="195">
        <v>46062.712118055555</v>
      </c>
      <c r="L3971">
        <v>124</v>
      </c>
      <c r="M3971">
        <v>0</v>
      </c>
      <c r="N3971" s="98" t="str">
        <f>IF(record[[#This Row],[Memo]]="Browser:chrome os:android","平板報工",IF(record[[#This Row],[Memo]]=0,"委外",record[[#This Row],[Memo]]))</f>
        <v/>
      </c>
      <c r="O3971" t="s">
        <v>58</v>
      </c>
      <c r="P3971" t="s">
        <v>141</v>
      </c>
      <c r="Q3971" t="s">
        <v>58</v>
      </c>
      <c r="R3971" t="str">
        <f>IFERROR(VLOOKUP(record[[#This Row],[PCUSTID]],廠商[],2,FALSE),"")</f>
        <v/>
      </c>
      <c r="S3971" t="str">
        <f>VLOOKUP(record[[#This Row],[employeeID]],員工[],2,FALSE)</f>
        <v>蔣梅</v>
      </c>
    </row>
    <row r="3972" spans="6:19" hidden="1" x14ac:dyDescent="0.25">
      <c r="F3972" t="s">
        <v>1553</v>
      </c>
      <c r="G3972" t="s">
        <v>424</v>
      </c>
      <c r="H3972" t="str">
        <f>VLOOKUP(record[[#This Row],[ProcessSN]],表格2_7[],2,FALSE)</f>
        <v>30-4118-018-600</v>
      </c>
      <c r="I3972" t="str">
        <f>VLOOKUP(record[[#This Row],[ProcessSN]],表格2_7[],3,FALSE)</f>
        <v>#08IQC</v>
      </c>
      <c r="J3972" t="s">
        <v>583</v>
      </c>
      <c r="K3972" s="195">
        <v>46062.711736111109</v>
      </c>
      <c r="L3972">
        <v>6</v>
      </c>
      <c r="M3972">
        <v>0</v>
      </c>
      <c r="N3972" s="98" t="str">
        <f>IF(record[[#This Row],[Memo]]="Browser:chrome os:android","平板報工",IF(record[[#This Row],[Memo]]=0,"委外",record[[#This Row],[Memo]]))</f>
        <v>覆回</v>
      </c>
      <c r="O3972" t="s">
        <v>682</v>
      </c>
      <c r="P3972" t="s">
        <v>141</v>
      </c>
      <c r="Q3972" t="s">
        <v>58</v>
      </c>
      <c r="R3972" t="str">
        <f>IFERROR(VLOOKUP(record[[#This Row],[PCUSTID]],廠商[],2,FALSE),"")</f>
        <v/>
      </c>
      <c r="S3972" t="str">
        <f>VLOOKUP(record[[#This Row],[employeeID]],員工[],2,FALSE)</f>
        <v>蔣梅</v>
      </c>
    </row>
    <row r="3973" spans="6:19" hidden="1" x14ac:dyDescent="0.25">
      <c r="F3973" t="s">
        <v>1553</v>
      </c>
      <c r="G3973" t="s">
        <v>423</v>
      </c>
      <c r="H3973" t="str">
        <f>VLOOKUP(record[[#This Row],[ProcessSN]],表格2_7[],2,FALSE)</f>
        <v>30-4118-018-600</v>
      </c>
      <c r="I3973" t="str">
        <f>VLOOKUP(record[[#This Row],[ProcessSN]],表格2_7[],3,FALSE)</f>
        <v>#08RCV</v>
      </c>
      <c r="J3973" t="s">
        <v>591</v>
      </c>
      <c r="K3973" s="195">
        <v>46062.711527777778</v>
      </c>
      <c r="L3973">
        <v>0</v>
      </c>
      <c r="M3973">
        <v>32</v>
      </c>
      <c r="N3973" s="98" t="str">
        <f>IF(record[[#This Row],[Memo]]="Browser:chrome os:android","平板報工",IF(record[[#This Row],[Memo]]=0,"委外",record[[#This Row],[Memo]]))</f>
        <v/>
      </c>
      <c r="O3973" t="s">
        <v>58</v>
      </c>
      <c r="P3973" t="s">
        <v>141</v>
      </c>
      <c r="Q3973" t="s">
        <v>58</v>
      </c>
      <c r="R3973" t="str">
        <f>IFERROR(VLOOKUP(record[[#This Row],[PCUSTID]],廠商[],2,FALSE),"")</f>
        <v/>
      </c>
      <c r="S3973" t="str">
        <f>VLOOKUP(record[[#This Row],[employeeID]],員工[],2,FALSE)</f>
        <v>蔣梅</v>
      </c>
    </row>
    <row r="3974" spans="6:19" hidden="1" x14ac:dyDescent="0.25">
      <c r="F3974" t="s">
        <v>1553</v>
      </c>
      <c r="G3974" t="s">
        <v>423</v>
      </c>
      <c r="H3974" t="str">
        <f>VLOOKUP(record[[#This Row],[ProcessSN]],表格2_7[],2,FALSE)</f>
        <v>30-4118-018-600</v>
      </c>
      <c r="I3974" t="str">
        <f>VLOOKUP(record[[#This Row],[ProcessSN]],表格2_7[],3,FALSE)</f>
        <v>#08RCV</v>
      </c>
      <c r="J3974" t="s">
        <v>591</v>
      </c>
      <c r="K3974" s="195">
        <v>46062.711377314816</v>
      </c>
      <c r="L3974">
        <v>6</v>
      </c>
      <c r="M3974">
        <v>0</v>
      </c>
      <c r="N3974" s="98" t="str">
        <f>IF(record[[#This Row],[Memo]]="Browser:chrome os:android","平板報工",IF(record[[#This Row],[Memo]]=0,"委外",record[[#This Row],[Memo]]))</f>
        <v>覆回</v>
      </c>
      <c r="O3974" t="s">
        <v>682</v>
      </c>
      <c r="P3974" t="s">
        <v>141</v>
      </c>
      <c r="Q3974" t="s">
        <v>58</v>
      </c>
      <c r="R3974" t="str">
        <f>IFERROR(VLOOKUP(record[[#This Row],[PCUSTID]],廠商[],2,FALSE),"")</f>
        <v/>
      </c>
      <c r="S3974" t="str">
        <f>VLOOKUP(record[[#This Row],[employeeID]],員工[],2,FALSE)</f>
        <v>蔣梅</v>
      </c>
    </row>
    <row r="3975" spans="6:19" hidden="1" x14ac:dyDescent="0.25">
      <c r="F3975" t="s">
        <v>1534</v>
      </c>
      <c r="G3975" t="s">
        <v>425</v>
      </c>
      <c r="H3975" t="str">
        <f>VLOOKUP(record[[#This Row],[ProcessSN]],表格2_7[],2,FALSE)</f>
        <v>30-4118-018-600</v>
      </c>
      <c r="I3975" t="str">
        <f>VLOOKUP(record[[#This Row],[ProcessSN]],表格2_7[],3,FALSE)</f>
        <v>#100</v>
      </c>
      <c r="J3975" t="s">
        <v>598</v>
      </c>
      <c r="K3975" s="195">
        <v>46062.710428240738</v>
      </c>
      <c r="L3975">
        <v>27</v>
      </c>
      <c r="M3975">
        <v>0</v>
      </c>
      <c r="N3975" s="98" t="str">
        <f>IF(record[[#This Row],[Memo]]="Browser:chrome os:android","平板報工",IF(record[[#This Row],[Memo]]=0,"委外",record[[#This Row],[Memo]]))</f>
        <v>覆回</v>
      </c>
      <c r="O3975" t="s">
        <v>682</v>
      </c>
      <c r="P3975" t="s">
        <v>141</v>
      </c>
      <c r="Q3975" t="s">
        <v>58</v>
      </c>
      <c r="R3975" t="str">
        <f>IFERROR(VLOOKUP(record[[#This Row],[PCUSTID]],廠商[],2,FALSE),"")</f>
        <v/>
      </c>
      <c r="S3975" t="str">
        <f>VLOOKUP(record[[#This Row],[employeeID]],員工[],2,FALSE)</f>
        <v>蔣梅</v>
      </c>
    </row>
    <row r="3976" spans="6:19" hidden="1" x14ac:dyDescent="0.25">
      <c r="F3976" t="s">
        <v>1534</v>
      </c>
      <c r="G3976" t="s">
        <v>424</v>
      </c>
      <c r="H3976" t="str">
        <f>VLOOKUP(record[[#This Row],[ProcessSN]],表格2_7[],2,FALSE)</f>
        <v>30-4118-018-600</v>
      </c>
      <c r="I3976" t="str">
        <f>VLOOKUP(record[[#This Row],[ProcessSN]],表格2_7[],3,FALSE)</f>
        <v>#08IQC</v>
      </c>
      <c r="J3976" t="s">
        <v>583</v>
      </c>
      <c r="K3976" s="195">
        <v>46062.709826388891</v>
      </c>
      <c r="L3976">
        <v>27</v>
      </c>
      <c r="M3976">
        <v>0</v>
      </c>
      <c r="N3976" s="98" t="str">
        <f>IF(record[[#This Row],[Memo]]="Browser:chrome os:android","平板報工",IF(record[[#This Row],[Memo]]=0,"委外",record[[#This Row],[Memo]]))</f>
        <v>覆回</v>
      </c>
      <c r="O3976" t="s">
        <v>682</v>
      </c>
      <c r="P3976" t="s">
        <v>141</v>
      </c>
      <c r="Q3976" t="s">
        <v>58</v>
      </c>
      <c r="R3976" t="str">
        <f>IFERROR(VLOOKUP(record[[#This Row],[PCUSTID]],廠商[],2,FALSE),"")</f>
        <v/>
      </c>
      <c r="S3976" t="str">
        <f>VLOOKUP(record[[#This Row],[employeeID]],員工[],2,FALSE)</f>
        <v>蔣梅</v>
      </c>
    </row>
    <row r="3977" spans="6:19" hidden="1" x14ac:dyDescent="0.25">
      <c r="F3977" t="s">
        <v>1534</v>
      </c>
      <c r="G3977" t="s">
        <v>423</v>
      </c>
      <c r="H3977" t="str">
        <f>VLOOKUP(record[[#This Row],[ProcessSN]],表格2_7[],2,FALSE)</f>
        <v>30-4118-018-600</v>
      </c>
      <c r="I3977" t="str">
        <f>VLOOKUP(record[[#This Row],[ProcessSN]],表格2_7[],3,FALSE)</f>
        <v>#08RCV</v>
      </c>
      <c r="J3977" t="s">
        <v>591</v>
      </c>
      <c r="K3977" s="195">
        <v>46062.709606481483</v>
      </c>
      <c r="L3977">
        <v>0</v>
      </c>
      <c r="M3977">
        <v>21</v>
      </c>
      <c r="N3977" s="98" t="str">
        <f>IF(record[[#This Row],[Memo]]="Browser:chrome os:android","平板報工",IF(record[[#This Row],[Memo]]=0,"委外",record[[#This Row],[Memo]]))</f>
        <v/>
      </c>
      <c r="O3977" t="s">
        <v>58</v>
      </c>
      <c r="P3977" t="s">
        <v>141</v>
      </c>
      <c r="Q3977" t="s">
        <v>58</v>
      </c>
      <c r="R3977" t="str">
        <f>IFERROR(VLOOKUP(record[[#This Row],[PCUSTID]],廠商[],2,FALSE),"")</f>
        <v/>
      </c>
      <c r="S3977" t="str">
        <f>VLOOKUP(record[[#This Row],[employeeID]],員工[],2,FALSE)</f>
        <v>蔣梅</v>
      </c>
    </row>
    <row r="3978" spans="6:19" hidden="1" x14ac:dyDescent="0.25">
      <c r="F3978" t="s">
        <v>1534</v>
      </c>
      <c r="G3978" t="s">
        <v>423</v>
      </c>
      <c r="H3978" t="str">
        <f>VLOOKUP(record[[#This Row],[ProcessSN]],表格2_7[],2,FALSE)</f>
        <v>30-4118-018-600</v>
      </c>
      <c r="I3978" t="str">
        <f>VLOOKUP(record[[#This Row],[ProcessSN]],表格2_7[],3,FALSE)</f>
        <v>#08RCV</v>
      </c>
      <c r="J3978" t="s">
        <v>591</v>
      </c>
      <c r="K3978" s="195">
        <v>46062.709467592591</v>
      </c>
      <c r="L3978">
        <v>27</v>
      </c>
      <c r="M3978">
        <v>0</v>
      </c>
      <c r="N3978" s="98" t="str">
        <f>IF(record[[#This Row],[Memo]]="Browser:chrome os:android","平板報工",IF(record[[#This Row],[Memo]]=0,"委外",record[[#This Row],[Memo]]))</f>
        <v>覆回</v>
      </c>
      <c r="O3978" t="s">
        <v>682</v>
      </c>
      <c r="P3978" t="s">
        <v>141</v>
      </c>
      <c r="Q3978" t="s">
        <v>58</v>
      </c>
      <c r="R3978" t="str">
        <f>IFERROR(VLOOKUP(record[[#This Row],[PCUSTID]],廠商[],2,FALSE),"")</f>
        <v/>
      </c>
      <c r="S3978" t="str">
        <f>VLOOKUP(record[[#This Row],[employeeID]],員工[],2,FALSE)</f>
        <v>蔣梅</v>
      </c>
    </row>
    <row r="3979" spans="6:19" hidden="1" x14ac:dyDescent="0.25">
      <c r="F3979" t="s">
        <v>1444</v>
      </c>
      <c r="G3979" t="s">
        <v>400</v>
      </c>
      <c r="H3979" t="str">
        <f>VLOOKUP(record[[#This Row],[ProcessSN]],表格2_7[],2,FALSE)</f>
        <v>30-4118-018-550</v>
      </c>
      <c r="I3979" t="str">
        <f>VLOOKUP(record[[#This Row],[ProcessSN]],表格2_7[],3,FALSE)</f>
        <v>#100</v>
      </c>
      <c r="J3979" t="s">
        <v>598</v>
      </c>
      <c r="K3979" s="195">
        <v>46062.704212962963</v>
      </c>
      <c r="L3979">
        <v>0</v>
      </c>
      <c r="M3979">
        <v>4</v>
      </c>
      <c r="N3979" s="98" t="str">
        <f>IF(record[[#This Row],[Memo]]="Browser:chrome os:android","平板報工",IF(record[[#This Row],[Memo]]=0,"委外",record[[#This Row],[Memo]]))</f>
        <v/>
      </c>
      <c r="O3979" t="s">
        <v>58</v>
      </c>
      <c r="P3979" t="s">
        <v>141</v>
      </c>
      <c r="Q3979" t="s">
        <v>58</v>
      </c>
      <c r="R3979" t="str">
        <f>IFERROR(VLOOKUP(record[[#This Row],[PCUSTID]],廠商[],2,FALSE),"")</f>
        <v/>
      </c>
      <c r="S3979" t="str">
        <f>VLOOKUP(record[[#This Row],[employeeID]],員工[],2,FALSE)</f>
        <v>蔣梅</v>
      </c>
    </row>
    <row r="3980" spans="6:19" hidden="1" x14ac:dyDescent="0.25">
      <c r="F3980" t="s">
        <v>1444</v>
      </c>
      <c r="G3980" t="s">
        <v>400</v>
      </c>
      <c r="H3980" t="str">
        <f>VLOOKUP(record[[#This Row],[ProcessSN]],表格2_7[],2,FALSE)</f>
        <v>30-4118-018-550</v>
      </c>
      <c r="I3980" t="str">
        <f>VLOOKUP(record[[#This Row],[ProcessSN]],表格2_7[],3,FALSE)</f>
        <v>#100</v>
      </c>
      <c r="J3980" t="s">
        <v>598</v>
      </c>
      <c r="K3980" s="195">
        <v>46062.704062500001</v>
      </c>
      <c r="L3980">
        <v>14</v>
      </c>
      <c r="M3980">
        <v>0</v>
      </c>
      <c r="N3980" s="98" t="str">
        <f>IF(record[[#This Row],[Memo]]="Browser:chrome os:android","平板報工",IF(record[[#This Row],[Memo]]=0,"委外",record[[#This Row],[Memo]]))</f>
        <v>覆回</v>
      </c>
      <c r="O3980" t="s">
        <v>682</v>
      </c>
      <c r="P3980" t="s">
        <v>141</v>
      </c>
      <c r="Q3980" t="s">
        <v>58</v>
      </c>
      <c r="R3980" t="str">
        <f>IFERROR(VLOOKUP(record[[#This Row],[PCUSTID]],廠商[],2,FALSE),"")</f>
        <v/>
      </c>
      <c r="S3980" t="str">
        <f>VLOOKUP(record[[#This Row],[employeeID]],員工[],2,FALSE)</f>
        <v>蔣梅</v>
      </c>
    </row>
    <row r="3981" spans="6:19" hidden="1" x14ac:dyDescent="0.25">
      <c r="F3981" t="s">
        <v>1527</v>
      </c>
      <c r="G3981" t="s">
        <v>450</v>
      </c>
      <c r="H3981" t="str">
        <f>VLOOKUP(record[[#This Row],[ProcessSN]],表格2_7[],2,FALSE)</f>
        <v>30-4118-018-6XX</v>
      </c>
      <c r="I3981" t="str">
        <f>VLOOKUP(record[[#This Row],[ProcessSN]],表格2_7[],3,FALSE)</f>
        <v>#06</v>
      </c>
      <c r="J3981" t="s">
        <v>593</v>
      </c>
      <c r="K3981" s="195">
        <v>46062.661736111113</v>
      </c>
      <c r="L3981">
        <v>80</v>
      </c>
      <c r="M3981">
        <v>0</v>
      </c>
      <c r="N3981" s="98" t="str">
        <f>IF(record[[#This Row],[Memo]]="Browser:chrome os:android","平板報工",IF(record[[#This Row],[Memo]]=0,"委外",record[[#This Row],[Memo]]))</f>
        <v>平板報工</v>
      </c>
      <c r="O3981" t="s">
        <v>643</v>
      </c>
      <c r="P3981" t="s">
        <v>137</v>
      </c>
      <c r="Q3981" t="s">
        <v>644</v>
      </c>
      <c r="R3981" t="str">
        <f>IFERROR(VLOOKUP(record[[#This Row],[PCUSTID]],廠商[],2,FALSE),"")</f>
        <v/>
      </c>
      <c r="S3981" t="str">
        <f>VLOOKUP(record[[#This Row],[employeeID]],員工[],2,FALSE)</f>
        <v>鄭美華</v>
      </c>
    </row>
    <row r="3982" spans="6:19" hidden="1" x14ac:dyDescent="0.25">
      <c r="F3982" t="s">
        <v>1568</v>
      </c>
      <c r="G3982" t="s">
        <v>415</v>
      </c>
      <c r="H3982" t="str">
        <f>VLOOKUP(record[[#This Row],[ProcessSN]],表格2_7[],2,FALSE)</f>
        <v>30-4118-018-5XX</v>
      </c>
      <c r="I3982" t="str">
        <f>VLOOKUP(record[[#This Row],[ProcessSN]],表格2_7[],3,FALSE)</f>
        <v>#04</v>
      </c>
      <c r="J3982" t="s">
        <v>588</v>
      </c>
      <c r="K3982" s="195">
        <v>46062.6565625</v>
      </c>
      <c r="L3982">
        <v>130</v>
      </c>
      <c r="M3982">
        <v>0</v>
      </c>
      <c r="N3982" s="98" t="str">
        <f>IF(record[[#This Row],[Memo]]="Browser:chrome os:android","平板報工",IF(record[[#This Row],[Memo]]=0,"委外",record[[#This Row],[Memo]]))</f>
        <v>平板報工</v>
      </c>
      <c r="O3982" t="s">
        <v>643</v>
      </c>
      <c r="P3982" t="s">
        <v>145</v>
      </c>
      <c r="Q3982" t="s">
        <v>644</v>
      </c>
      <c r="R3982" t="str">
        <f>IFERROR(VLOOKUP(record[[#This Row],[PCUSTID]],廠商[],2,FALSE),"")</f>
        <v/>
      </c>
      <c r="S3982" t="str">
        <f>VLOOKUP(record[[#This Row],[employeeID]],員工[],2,FALSE)</f>
        <v>阮秋霞</v>
      </c>
    </row>
    <row r="3983" spans="6:19" hidden="1" x14ac:dyDescent="0.25">
      <c r="F3983" t="s">
        <v>1527</v>
      </c>
      <c r="G3983" t="s">
        <v>453</v>
      </c>
      <c r="H3983" t="str">
        <f>VLOOKUP(record[[#This Row],[ProcessSN]],表格2_7[],2,FALSE)</f>
        <v>30-4118-018-6XX</v>
      </c>
      <c r="I3983" t="str">
        <f>VLOOKUP(record[[#This Row],[ProcessSN]],表格2_7[],3,FALSE)</f>
        <v>#07STOCK</v>
      </c>
      <c r="J3983" t="s">
        <v>592</v>
      </c>
      <c r="K3983" s="195">
        <v>46062.631967592592</v>
      </c>
      <c r="L3983">
        <v>165</v>
      </c>
      <c r="M3983">
        <v>0</v>
      </c>
      <c r="N3983" s="98" t="str">
        <f>IF(record[[#This Row],[Memo]]="Browser:chrome os:android","平板報工",IF(record[[#This Row],[Memo]]=0,"委外",record[[#This Row],[Memo]]))</f>
        <v/>
      </c>
      <c r="O3983" t="s">
        <v>58</v>
      </c>
      <c r="P3983" t="s">
        <v>186</v>
      </c>
      <c r="Q3983" t="s">
        <v>58</v>
      </c>
      <c r="R3983" t="str">
        <f>IFERROR(VLOOKUP(record[[#This Row],[PCUSTID]],廠商[],2,FALSE),"")</f>
        <v/>
      </c>
      <c r="S3983" t="str">
        <f>VLOOKUP(record[[#This Row],[employeeID]],員工[],2,FALSE)</f>
        <v>許文姍</v>
      </c>
    </row>
    <row r="3984" spans="6:19" hidden="1" x14ac:dyDescent="0.25">
      <c r="F3984" t="s">
        <v>1571</v>
      </c>
      <c r="G3984" t="s">
        <v>423</v>
      </c>
      <c r="H3984" t="str">
        <f>VLOOKUP(record[[#This Row],[ProcessSN]],表格2_7[],2,FALSE)</f>
        <v>30-4118-018-600</v>
      </c>
      <c r="I3984" t="str">
        <f>VLOOKUP(record[[#This Row],[ProcessSN]],表格2_7[],3,FALSE)</f>
        <v>#08RCV</v>
      </c>
      <c r="J3984" t="s">
        <v>591</v>
      </c>
      <c r="K3984" s="195">
        <v>46062.622442129628</v>
      </c>
      <c r="L3984">
        <v>286</v>
      </c>
      <c r="M3984">
        <v>0</v>
      </c>
      <c r="N3984" s="98" t="str">
        <f>IF(record[[#This Row],[Memo]]="Browser:chrome os:android","平板報工",IF(record[[#This Row],[Memo]]=0,"委外",record[[#This Row],[Memo]]))</f>
        <v/>
      </c>
      <c r="O3984" t="s">
        <v>58</v>
      </c>
      <c r="P3984" t="s">
        <v>186</v>
      </c>
      <c r="Q3984" t="s">
        <v>58</v>
      </c>
      <c r="R3984" t="str">
        <f>IFERROR(VLOOKUP(record[[#This Row],[PCUSTID]],廠商[],2,FALSE),"")</f>
        <v/>
      </c>
      <c r="S3984" t="str">
        <f>VLOOKUP(record[[#This Row],[employeeID]],員工[],2,FALSE)</f>
        <v>許文姍</v>
      </c>
    </row>
    <row r="3985" spans="6:19" hidden="1" x14ac:dyDescent="0.25">
      <c r="F3985" t="s">
        <v>1432</v>
      </c>
      <c r="G3985" t="s">
        <v>362</v>
      </c>
      <c r="H3985" t="str">
        <f>VLOOKUP(record[[#This Row],[ProcessSN]],表格2_7[],2,FALSE)</f>
        <v>30-4118-018-450</v>
      </c>
      <c r="I3985" t="str">
        <f>VLOOKUP(record[[#This Row],[ProcessSN]],表格2_7[],3,FALSE)</f>
        <v>#100SHIP</v>
      </c>
      <c r="J3985" t="s">
        <v>600</v>
      </c>
      <c r="K3985" s="195">
        <v>46062.610335648147</v>
      </c>
      <c r="L3985">
        <v>117</v>
      </c>
      <c r="M3985">
        <v>0</v>
      </c>
      <c r="N3985" s="98" t="str">
        <f>IF(record[[#This Row],[Memo]]="Browser:chrome os:android","平板報工",IF(record[[#This Row],[Memo]]=0,"委外",record[[#This Row],[Memo]]))</f>
        <v/>
      </c>
      <c r="O3985" t="s">
        <v>58</v>
      </c>
      <c r="P3985" t="s">
        <v>886</v>
      </c>
      <c r="Q3985" t="s">
        <v>58</v>
      </c>
      <c r="R3985" t="str">
        <f>IFERROR(VLOOKUP(record[[#This Row],[PCUSTID]],廠商[],2,FALSE),"")</f>
        <v/>
      </c>
      <c r="S3985" t="str">
        <f>VLOOKUP(record[[#This Row],[employeeID]],員工[],2,FALSE)</f>
        <v>謝蓁薰</v>
      </c>
    </row>
    <row r="3986" spans="6:19" hidden="1" x14ac:dyDescent="0.25">
      <c r="F3986" t="s">
        <v>1407</v>
      </c>
      <c r="G3986" t="s">
        <v>362</v>
      </c>
      <c r="H3986" t="str">
        <f>VLOOKUP(record[[#This Row],[ProcessSN]],表格2_7[],2,FALSE)</f>
        <v>30-4118-018-450</v>
      </c>
      <c r="I3986" t="str">
        <f>VLOOKUP(record[[#This Row],[ProcessSN]],表格2_7[],3,FALSE)</f>
        <v>#100SHIP</v>
      </c>
      <c r="J3986" t="s">
        <v>600</v>
      </c>
      <c r="K3986" s="195">
        <v>46062.610150462962</v>
      </c>
      <c r="L3986">
        <v>62</v>
      </c>
      <c r="M3986">
        <v>0</v>
      </c>
      <c r="N3986" s="98" t="str">
        <f>IF(record[[#This Row],[Memo]]="Browser:chrome os:android","平板報工",IF(record[[#This Row],[Memo]]=0,"委外",record[[#This Row],[Memo]]))</f>
        <v/>
      </c>
      <c r="O3986" t="s">
        <v>58</v>
      </c>
      <c r="P3986" t="s">
        <v>886</v>
      </c>
      <c r="Q3986" t="s">
        <v>58</v>
      </c>
      <c r="R3986" t="str">
        <f>IFERROR(VLOOKUP(record[[#This Row],[PCUSTID]],廠商[],2,FALSE),"")</f>
        <v/>
      </c>
      <c r="S3986" t="str">
        <f>VLOOKUP(record[[#This Row],[employeeID]],員工[],2,FALSE)</f>
        <v>謝蓁薰</v>
      </c>
    </row>
    <row r="3987" spans="6:19" hidden="1" x14ac:dyDescent="0.25">
      <c r="F3987" t="s">
        <v>956</v>
      </c>
      <c r="G3987" t="s">
        <v>362</v>
      </c>
      <c r="H3987" t="str">
        <f>VLOOKUP(record[[#This Row],[ProcessSN]],表格2_7[],2,FALSE)</f>
        <v>30-4118-018-450</v>
      </c>
      <c r="I3987" t="str">
        <f>VLOOKUP(record[[#This Row],[ProcessSN]],表格2_7[],3,FALSE)</f>
        <v>#100SHIP</v>
      </c>
      <c r="J3987" t="s">
        <v>600</v>
      </c>
      <c r="K3987" s="195">
        <v>46062.609930555554</v>
      </c>
      <c r="L3987">
        <v>2</v>
      </c>
      <c r="M3987">
        <v>0</v>
      </c>
      <c r="N3987" s="98" t="str">
        <f>IF(record[[#This Row],[Memo]]="Browser:chrome os:android","平板報工",IF(record[[#This Row],[Memo]]=0,"委外",record[[#This Row],[Memo]]))</f>
        <v/>
      </c>
      <c r="O3987" t="s">
        <v>58</v>
      </c>
      <c r="P3987" t="s">
        <v>886</v>
      </c>
      <c r="Q3987" t="s">
        <v>58</v>
      </c>
      <c r="R3987" t="str">
        <f>IFERROR(VLOOKUP(record[[#This Row],[PCUSTID]],廠商[],2,FALSE),"")</f>
        <v/>
      </c>
      <c r="S3987" t="str">
        <f>VLOOKUP(record[[#This Row],[employeeID]],員工[],2,FALSE)</f>
        <v>謝蓁薰</v>
      </c>
    </row>
    <row r="3988" spans="6:19" hidden="1" x14ac:dyDescent="0.25">
      <c r="F3988" t="s">
        <v>1577</v>
      </c>
      <c r="G3988" t="s">
        <v>422</v>
      </c>
      <c r="H3988" t="str">
        <f>VLOOKUP(record[[#This Row],[ProcessSN]],表格2_7[],2,FALSE)</f>
        <v>30-4118-018-600</v>
      </c>
      <c r="I3988" t="str">
        <f>VLOOKUP(record[[#This Row],[ProcessSN]],表格2_7[],3,FALSE)</f>
        <v>#08</v>
      </c>
      <c r="J3988" t="s">
        <v>597</v>
      </c>
      <c r="K3988" s="195">
        <v>46062.607152777775</v>
      </c>
      <c r="L3988">
        <v>165</v>
      </c>
      <c r="M3988">
        <v>0</v>
      </c>
      <c r="N3988" s="98" t="str">
        <f>IF(record[[#This Row],[Memo]]="Browser:chrome os:android","平板報工",IF(record[[#This Row],[Memo]]=0,"委外",record[[#This Row],[Memo]]))</f>
        <v>委外</v>
      </c>
      <c r="P3988" t="s">
        <v>186</v>
      </c>
      <c r="Q3988" t="s">
        <v>702</v>
      </c>
      <c r="R3988" t="str">
        <f>IFERROR(VLOOKUP(record[[#This Row],[PCUSTID]],廠商[],2,FALSE),"")</f>
        <v>泉盛</v>
      </c>
      <c r="S3988" t="str">
        <f>VLOOKUP(record[[#This Row],[employeeID]],員工[],2,FALSE)</f>
        <v>許文姍</v>
      </c>
    </row>
    <row r="3989" spans="6:19" hidden="1" x14ac:dyDescent="0.25">
      <c r="F3989" t="s">
        <v>1577</v>
      </c>
      <c r="G3989" t="s">
        <v>421</v>
      </c>
      <c r="H3989" t="str">
        <f>VLOOKUP(record[[#This Row],[ProcessSN]],表格2_7[],2,FALSE)</f>
        <v>30-4118-018-600</v>
      </c>
      <c r="I3989" t="str">
        <f>VLOOKUP(record[[#This Row],[ProcessSN]],表格2_7[],3,FALSE)</f>
        <v>#08PICK</v>
      </c>
      <c r="J3989" t="s">
        <v>582</v>
      </c>
      <c r="K3989" s="195">
        <v>46062.606863425928</v>
      </c>
      <c r="L3989">
        <v>165</v>
      </c>
      <c r="M3989">
        <v>0</v>
      </c>
      <c r="N3989" s="98" t="str">
        <f>IF(record[[#This Row],[Memo]]="Browser:chrome os:android","平板報工",IF(record[[#This Row],[Memo]]=0,"委外",record[[#This Row],[Memo]]))</f>
        <v/>
      </c>
      <c r="O3989" t="s">
        <v>58</v>
      </c>
      <c r="P3989" t="s">
        <v>186</v>
      </c>
      <c r="Q3989" t="s">
        <v>58</v>
      </c>
      <c r="R3989" t="str">
        <f>IFERROR(VLOOKUP(record[[#This Row],[PCUSTID]],廠商[],2,FALSE),"")</f>
        <v/>
      </c>
      <c r="S3989" t="str">
        <f>VLOOKUP(record[[#This Row],[employeeID]],員工[],2,FALSE)</f>
        <v>許文姍</v>
      </c>
    </row>
    <row r="3990" spans="6:19" hidden="1" x14ac:dyDescent="0.25">
      <c r="F3990" t="s">
        <v>1551</v>
      </c>
      <c r="G3990" t="s">
        <v>469</v>
      </c>
      <c r="H3990" t="str">
        <f>VLOOKUP(record[[#This Row],[ProcessSN]],表格2_7[],2,FALSE)</f>
        <v>30-4118-018-XXX</v>
      </c>
      <c r="I3990" t="str">
        <f>VLOOKUP(record[[#This Row],[ProcessSN]],表格2_7[],3,FALSE)</f>
        <v>#02RCV</v>
      </c>
      <c r="J3990" t="s">
        <v>591</v>
      </c>
      <c r="K3990" s="195">
        <v>46062.391168981485</v>
      </c>
      <c r="L3990">
        <v>1206</v>
      </c>
      <c r="M3990">
        <v>0</v>
      </c>
      <c r="N3990" s="98" t="str">
        <f>IF(record[[#This Row],[Memo]]="Browser:chrome os:android","平板報工",IF(record[[#This Row],[Memo]]=0,"委外",record[[#This Row],[Memo]]))</f>
        <v/>
      </c>
      <c r="O3990" t="s">
        <v>58</v>
      </c>
      <c r="P3990" t="s">
        <v>186</v>
      </c>
      <c r="Q3990" t="s">
        <v>58</v>
      </c>
      <c r="R3990" t="str">
        <f>IFERROR(VLOOKUP(record[[#This Row],[PCUSTID]],廠商[],2,FALSE),"")</f>
        <v/>
      </c>
      <c r="S3990" t="str">
        <f>VLOOKUP(record[[#This Row],[employeeID]],員工[],2,FALSE)</f>
        <v>許文姍</v>
      </c>
    </row>
    <row r="3991" spans="6:19" hidden="1" x14ac:dyDescent="0.25">
      <c r="F3991" t="s">
        <v>1542</v>
      </c>
      <c r="G3991" t="s">
        <v>469</v>
      </c>
      <c r="H3991" t="str">
        <f>VLOOKUP(record[[#This Row],[ProcessSN]],表格2_7[],2,FALSE)</f>
        <v>30-4118-018-XXX</v>
      </c>
      <c r="I3991" t="str">
        <f>VLOOKUP(record[[#This Row],[ProcessSN]],表格2_7[],3,FALSE)</f>
        <v>#02RCV</v>
      </c>
      <c r="J3991" t="s">
        <v>591</v>
      </c>
      <c r="K3991" s="195">
        <v>46062.390972222223</v>
      </c>
      <c r="L3991">
        <v>1185</v>
      </c>
      <c r="M3991">
        <v>0</v>
      </c>
      <c r="N3991" s="98" t="str">
        <f>IF(record[[#This Row],[Memo]]="Browser:chrome os:android","平板報工",IF(record[[#This Row],[Memo]]=0,"委外",record[[#This Row],[Memo]]))</f>
        <v/>
      </c>
      <c r="O3991" t="s">
        <v>58</v>
      </c>
      <c r="P3991" t="s">
        <v>186</v>
      </c>
      <c r="Q3991" t="s">
        <v>58</v>
      </c>
      <c r="R3991" t="str">
        <f>IFERROR(VLOOKUP(record[[#This Row],[PCUSTID]],廠商[],2,FALSE),"")</f>
        <v/>
      </c>
      <c r="S3991" t="str">
        <f>VLOOKUP(record[[#This Row],[employeeID]],員工[],2,FALSE)</f>
        <v>許文姍</v>
      </c>
    </row>
    <row r="3992" spans="6:19" hidden="1" x14ac:dyDescent="0.25">
      <c r="F3992" t="s">
        <v>1553</v>
      </c>
      <c r="G3992" t="s">
        <v>426</v>
      </c>
      <c r="H3992" t="str">
        <f>VLOOKUP(record[[#This Row],[ProcessSN]],表格2_7[],2,FALSE)</f>
        <v>30-4118-018-600</v>
      </c>
      <c r="I3992" t="str">
        <f>VLOOKUP(record[[#This Row],[ProcessSN]],表格2_7[],3,FALSE)</f>
        <v>#100OQC</v>
      </c>
      <c r="J3992" t="s">
        <v>599</v>
      </c>
      <c r="K3992" s="195">
        <v>46062.332384259258</v>
      </c>
      <c r="L3992">
        <v>168</v>
      </c>
      <c r="M3992">
        <v>0</v>
      </c>
      <c r="N3992" s="98" t="str">
        <f>IF(record[[#This Row],[Memo]]="Browser:chrome os:android","平板報工",IF(record[[#This Row],[Memo]]=0,"委外",record[[#This Row],[Memo]]))</f>
        <v/>
      </c>
      <c r="O3992" t="s">
        <v>58</v>
      </c>
      <c r="P3992" t="s">
        <v>121</v>
      </c>
      <c r="Q3992" t="s">
        <v>58</v>
      </c>
      <c r="R3992" t="str">
        <f>IFERROR(VLOOKUP(record[[#This Row],[PCUSTID]],廠商[],2,FALSE),"")</f>
        <v/>
      </c>
      <c r="S3992" t="str">
        <f>VLOOKUP(record[[#This Row],[employeeID]],員工[],2,FALSE)</f>
        <v>謝素卿</v>
      </c>
    </row>
    <row r="3993" spans="6:19" hidden="1" x14ac:dyDescent="0.25">
      <c r="F3993" t="s">
        <v>1534</v>
      </c>
      <c r="G3993" t="s">
        <v>426</v>
      </c>
      <c r="H3993" t="str">
        <f>VLOOKUP(record[[#This Row],[ProcessSN]],表格2_7[],2,FALSE)</f>
        <v>30-4118-018-600</v>
      </c>
      <c r="I3993" t="str">
        <f>VLOOKUP(record[[#This Row],[ProcessSN]],表格2_7[],3,FALSE)</f>
        <v>#100OQC</v>
      </c>
      <c r="J3993" t="s">
        <v>599</v>
      </c>
      <c r="K3993" s="195">
        <v>46062.332233796296</v>
      </c>
      <c r="L3993">
        <v>169</v>
      </c>
      <c r="M3993">
        <v>0</v>
      </c>
      <c r="N3993" s="98" t="str">
        <f>IF(record[[#This Row],[Memo]]="Browser:chrome os:android","平板報工",IF(record[[#This Row],[Memo]]=0,"委外",record[[#This Row],[Memo]]))</f>
        <v/>
      </c>
      <c r="O3993" t="s">
        <v>58</v>
      </c>
      <c r="P3993" t="s">
        <v>121</v>
      </c>
      <c r="Q3993" t="s">
        <v>58</v>
      </c>
      <c r="R3993" t="str">
        <f>IFERROR(VLOOKUP(record[[#This Row],[PCUSTID]],廠商[],2,FALSE),"")</f>
        <v/>
      </c>
      <c r="S3993" t="str">
        <f>VLOOKUP(record[[#This Row],[employeeID]],員工[],2,FALSE)</f>
        <v>謝素卿</v>
      </c>
    </row>
    <row r="3994" spans="6:19" hidden="1" x14ac:dyDescent="0.25">
      <c r="F3994" t="s">
        <v>1553</v>
      </c>
      <c r="G3994" t="s">
        <v>425</v>
      </c>
      <c r="H3994" t="str">
        <f>VLOOKUP(record[[#This Row],[ProcessSN]],表格2_7[],2,FALSE)</f>
        <v>30-4118-018-600</v>
      </c>
      <c r="I3994" t="str">
        <f>VLOOKUP(record[[#This Row],[ProcessSN]],表格2_7[],3,FALSE)</f>
        <v>#100</v>
      </c>
      <c r="J3994" t="s">
        <v>598</v>
      </c>
      <c r="K3994" s="195">
        <v>46060.69798611111</v>
      </c>
      <c r="L3994">
        <v>168</v>
      </c>
      <c r="M3994">
        <v>0</v>
      </c>
      <c r="N3994" s="98" t="str">
        <f>IF(record[[#This Row],[Memo]]="Browser:chrome os:android","平板報工",IF(record[[#This Row],[Memo]]=0,"委外",record[[#This Row],[Memo]]))</f>
        <v>平板報工</v>
      </c>
      <c r="O3994" t="s">
        <v>643</v>
      </c>
      <c r="P3994" t="s">
        <v>141</v>
      </c>
      <c r="Q3994" t="s">
        <v>644</v>
      </c>
      <c r="R3994" t="str">
        <f>IFERROR(VLOOKUP(record[[#This Row],[PCUSTID]],廠商[],2,FALSE),"")</f>
        <v/>
      </c>
      <c r="S3994" t="str">
        <f>VLOOKUP(record[[#This Row],[employeeID]],員工[],2,FALSE)</f>
        <v>蔣梅</v>
      </c>
    </row>
    <row r="3995" spans="6:19" hidden="1" x14ac:dyDescent="0.25">
      <c r="F3995" t="s">
        <v>1534</v>
      </c>
      <c r="G3995" t="s">
        <v>425</v>
      </c>
      <c r="H3995" t="str">
        <f>VLOOKUP(record[[#This Row],[ProcessSN]],表格2_7[],2,FALSE)</f>
        <v>30-4118-018-600</v>
      </c>
      <c r="I3995" t="str">
        <f>VLOOKUP(record[[#This Row],[ProcessSN]],表格2_7[],3,FALSE)</f>
        <v>#100</v>
      </c>
      <c r="J3995" t="s">
        <v>598</v>
      </c>
      <c r="K3995" s="195">
        <v>46060.697048611109</v>
      </c>
      <c r="L3995">
        <v>169</v>
      </c>
      <c r="M3995">
        <v>0</v>
      </c>
      <c r="N3995" s="98" t="str">
        <f>IF(record[[#This Row],[Memo]]="Browser:chrome os:android","平板報工",IF(record[[#This Row],[Memo]]=0,"委外",record[[#This Row],[Memo]]))</f>
        <v>平板報工</v>
      </c>
      <c r="O3995" t="s">
        <v>643</v>
      </c>
      <c r="P3995" t="s">
        <v>141</v>
      </c>
      <c r="Q3995" t="s">
        <v>644</v>
      </c>
      <c r="R3995" t="str">
        <f>IFERROR(VLOOKUP(record[[#This Row],[PCUSTID]],廠商[],2,FALSE),"")</f>
        <v/>
      </c>
      <c r="S3995" t="str">
        <f>VLOOKUP(record[[#This Row],[employeeID]],員工[],2,FALSE)</f>
        <v>蔣梅</v>
      </c>
    </row>
    <row r="3996" spans="6:19" hidden="1" x14ac:dyDescent="0.25">
      <c r="F3996" t="s">
        <v>1568</v>
      </c>
      <c r="G3996" t="s">
        <v>415</v>
      </c>
      <c r="H3996" t="str">
        <f>VLOOKUP(record[[#This Row],[ProcessSN]],表格2_7[],2,FALSE)</f>
        <v>30-4118-018-5XX</v>
      </c>
      <c r="I3996" t="str">
        <f>VLOOKUP(record[[#This Row],[ProcessSN]],表格2_7[],3,FALSE)</f>
        <v>#04</v>
      </c>
      <c r="J3996" t="s">
        <v>588</v>
      </c>
      <c r="K3996" s="195">
        <v>46060.646655092591</v>
      </c>
      <c r="L3996">
        <v>130</v>
      </c>
      <c r="M3996">
        <v>0</v>
      </c>
      <c r="N3996" s="98" t="str">
        <f>IF(record[[#This Row],[Memo]]="Browser:chrome os:android","平板報工",IF(record[[#This Row],[Memo]]=0,"委外",record[[#This Row],[Memo]]))</f>
        <v>平板報工</v>
      </c>
      <c r="O3996" t="s">
        <v>643</v>
      </c>
      <c r="P3996" t="s">
        <v>107</v>
      </c>
      <c r="Q3996" t="s">
        <v>644</v>
      </c>
      <c r="R3996" t="str">
        <f>IFERROR(VLOOKUP(record[[#This Row],[PCUSTID]],廠商[],2,FALSE),"")</f>
        <v/>
      </c>
      <c r="S3996" t="str">
        <f>VLOOKUP(record[[#This Row],[employeeID]],員工[],2,FALSE)</f>
        <v>黎氏順</v>
      </c>
    </row>
    <row r="3997" spans="6:19" hidden="1" x14ac:dyDescent="0.25">
      <c r="F3997" t="s">
        <v>1339</v>
      </c>
      <c r="G3997" t="s">
        <v>378</v>
      </c>
      <c r="H3997" t="str">
        <f>VLOOKUP(record[[#This Row],[ProcessSN]],表格2_7[],2,FALSE)</f>
        <v>30-4118-018-4XX</v>
      </c>
      <c r="I3997" t="str">
        <f>VLOOKUP(record[[#This Row],[ProcessSN]],表格2_7[],3,FALSE)</f>
        <v>#07QC</v>
      </c>
      <c r="J3997" t="s">
        <v>589</v>
      </c>
      <c r="K3997" s="195">
        <v>46060.554085648146</v>
      </c>
      <c r="L3997">
        <v>0</v>
      </c>
      <c r="M3997">
        <v>12</v>
      </c>
      <c r="N3997" s="98" t="str">
        <f>IF(record[[#This Row],[Memo]]="Browser:chrome os:android","平板報工",IF(record[[#This Row],[Memo]]=0,"委外",record[[#This Row],[Memo]]))</f>
        <v/>
      </c>
      <c r="O3997" t="s">
        <v>58</v>
      </c>
      <c r="P3997" t="s">
        <v>141</v>
      </c>
      <c r="Q3997" t="s">
        <v>58</v>
      </c>
      <c r="R3997" t="str">
        <f>IFERROR(VLOOKUP(record[[#This Row],[PCUSTID]],廠商[],2,FALSE),"")</f>
        <v/>
      </c>
      <c r="S3997" t="str">
        <f>VLOOKUP(record[[#This Row],[employeeID]],員工[],2,FALSE)</f>
        <v>蔣梅</v>
      </c>
    </row>
    <row r="3998" spans="6:19" hidden="1" x14ac:dyDescent="0.25">
      <c r="F3998" t="s">
        <v>1339</v>
      </c>
      <c r="G3998" t="s">
        <v>378</v>
      </c>
      <c r="H3998" t="str">
        <f>VLOOKUP(record[[#This Row],[ProcessSN]],表格2_7[],2,FALSE)</f>
        <v>30-4118-018-4XX</v>
      </c>
      <c r="I3998" t="str">
        <f>VLOOKUP(record[[#This Row],[ProcessSN]],表格2_7[],3,FALSE)</f>
        <v>#07QC</v>
      </c>
      <c r="J3998" t="s">
        <v>589</v>
      </c>
      <c r="K3998" s="195">
        <v>46060.553912037038</v>
      </c>
      <c r="L3998">
        <v>31</v>
      </c>
      <c r="M3998">
        <v>0</v>
      </c>
      <c r="N3998" s="98" t="str">
        <f>IF(record[[#This Row],[Memo]]="Browser:chrome os:android","平板報工",IF(record[[#This Row],[Memo]]=0,"委外",record[[#This Row],[Memo]]))</f>
        <v>覆回</v>
      </c>
      <c r="O3998" t="s">
        <v>682</v>
      </c>
      <c r="P3998" t="s">
        <v>141</v>
      </c>
      <c r="Q3998" t="s">
        <v>58</v>
      </c>
      <c r="R3998" t="str">
        <f>IFERROR(VLOOKUP(record[[#This Row],[PCUSTID]],廠商[],2,FALSE),"")</f>
        <v/>
      </c>
      <c r="S3998" t="str">
        <f>VLOOKUP(record[[#This Row],[employeeID]],員工[],2,FALSE)</f>
        <v>蔣梅</v>
      </c>
    </row>
    <row r="3999" spans="6:19" hidden="1" x14ac:dyDescent="0.25">
      <c r="F3999" t="s">
        <v>1552</v>
      </c>
      <c r="G3999" t="s">
        <v>400</v>
      </c>
      <c r="H3999" t="str">
        <f>VLOOKUP(record[[#This Row],[ProcessSN]],表格2_7[],2,FALSE)</f>
        <v>30-4118-018-550</v>
      </c>
      <c r="I3999" t="str">
        <f>VLOOKUP(record[[#This Row],[ProcessSN]],表格2_7[],3,FALSE)</f>
        <v>#100</v>
      </c>
      <c r="J3999" t="s">
        <v>598</v>
      </c>
      <c r="K3999" s="195">
        <v>46060.552268518521</v>
      </c>
      <c r="L3999">
        <v>77</v>
      </c>
      <c r="M3999">
        <v>0</v>
      </c>
      <c r="N3999" s="98" t="str">
        <f>IF(record[[#This Row],[Memo]]="Browser:chrome os:android","平板報工",IF(record[[#This Row],[Memo]]=0,"委外",record[[#This Row],[Memo]]))</f>
        <v/>
      </c>
      <c r="O3999" t="s">
        <v>58</v>
      </c>
      <c r="P3999" t="s">
        <v>141</v>
      </c>
      <c r="Q3999" t="s">
        <v>58</v>
      </c>
      <c r="R3999" t="str">
        <f>IFERROR(VLOOKUP(record[[#This Row],[PCUSTID]],廠商[],2,FALSE),"")</f>
        <v/>
      </c>
      <c r="S3999" t="str">
        <f>VLOOKUP(record[[#This Row],[employeeID]],員工[],2,FALSE)</f>
        <v>蔣梅</v>
      </c>
    </row>
    <row r="4000" spans="6:19" hidden="1" x14ac:dyDescent="0.25">
      <c r="F4000" t="s">
        <v>1549</v>
      </c>
      <c r="G4000" t="s">
        <v>400</v>
      </c>
      <c r="H4000" t="str">
        <f>VLOOKUP(record[[#This Row],[ProcessSN]],表格2_7[],2,FALSE)</f>
        <v>30-4118-018-550</v>
      </c>
      <c r="I4000" t="str">
        <f>VLOOKUP(record[[#This Row],[ProcessSN]],表格2_7[],3,FALSE)</f>
        <v>#100</v>
      </c>
      <c r="J4000" t="s">
        <v>598</v>
      </c>
      <c r="K4000" s="195">
        <v>46060.552083333336</v>
      </c>
      <c r="L4000">
        <v>598</v>
      </c>
      <c r="M4000">
        <v>0</v>
      </c>
      <c r="N4000" s="98" t="str">
        <f>IF(record[[#This Row],[Memo]]="Browser:chrome os:android","平板報工",IF(record[[#This Row],[Memo]]=0,"委外",record[[#This Row],[Memo]]))</f>
        <v/>
      </c>
      <c r="O4000" t="s">
        <v>58</v>
      </c>
      <c r="P4000" t="s">
        <v>141</v>
      </c>
      <c r="Q4000" t="s">
        <v>58</v>
      </c>
      <c r="R4000" t="str">
        <f>IFERROR(VLOOKUP(record[[#This Row],[PCUSTID]],廠商[],2,FALSE),"")</f>
        <v/>
      </c>
      <c r="S4000" t="str">
        <f>VLOOKUP(record[[#This Row],[employeeID]],員工[],2,FALSE)</f>
        <v>蔣梅</v>
      </c>
    </row>
    <row r="4001" spans="6:19" hidden="1" x14ac:dyDescent="0.25">
      <c r="F4001" t="s">
        <v>1544</v>
      </c>
      <c r="G4001" t="s">
        <v>400</v>
      </c>
      <c r="H4001" t="str">
        <f>VLOOKUP(record[[#This Row],[ProcessSN]],表格2_7[],2,FALSE)</f>
        <v>30-4118-018-550</v>
      </c>
      <c r="I4001" t="str">
        <f>VLOOKUP(record[[#This Row],[ProcessSN]],表格2_7[],3,FALSE)</f>
        <v>#100</v>
      </c>
      <c r="J4001" t="s">
        <v>598</v>
      </c>
      <c r="K4001" s="195">
        <v>46060.551585648151</v>
      </c>
      <c r="L4001">
        <v>615</v>
      </c>
      <c r="M4001">
        <v>0</v>
      </c>
      <c r="N4001" s="98" t="str">
        <f>IF(record[[#This Row],[Memo]]="Browser:chrome os:android","平板報工",IF(record[[#This Row],[Memo]]=0,"委外",record[[#This Row],[Memo]]))</f>
        <v/>
      </c>
      <c r="O4001" t="s">
        <v>58</v>
      </c>
      <c r="P4001" t="s">
        <v>141</v>
      </c>
      <c r="Q4001" t="s">
        <v>58</v>
      </c>
      <c r="R4001" t="str">
        <f>IFERROR(VLOOKUP(record[[#This Row],[PCUSTID]],廠商[],2,FALSE),"")</f>
        <v/>
      </c>
      <c r="S4001" t="str">
        <f>VLOOKUP(record[[#This Row],[employeeID]],員工[],2,FALSE)</f>
        <v>蔣梅</v>
      </c>
    </row>
    <row r="4002" spans="6:19" hidden="1" x14ac:dyDescent="0.25">
      <c r="F4002" t="s">
        <v>1549</v>
      </c>
      <c r="G4002" t="s">
        <v>399</v>
      </c>
      <c r="H4002" t="str">
        <f>VLOOKUP(record[[#This Row],[ProcessSN]],表格2_7[],2,FALSE)</f>
        <v>30-4118-018-550</v>
      </c>
      <c r="I4002" t="str">
        <f>VLOOKUP(record[[#This Row],[ProcessSN]],表格2_7[],3,FALSE)</f>
        <v>#08IQC</v>
      </c>
      <c r="J4002" t="s">
        <v>583</v>
      </c>
      <c r="K4002" s="195">
        <v>46060.551134259258</v>
      </c>
      <c r="L4002">
        <v>30</v>
      </c>
      <c r="M4002">
        <v>0</v>
      </c>
      <c r="N4002" s="98" t="str">
        <f>IF(record[[#This Row],[Memo]]="Browser:chrome os:android","平板報工",IF(record[[#This Row],[Memo]]=0,"委外",record[[#This Row],[Memo]]))</f>
        <v>覆回</v>
      </c>
      <c r="O4002" t="s">
        <v>682</v>
      </c>
      <c r="P4002" t="s">
        <v>141</v>
      </c>
      <c r="Q4002" t="s">
        <v>58</v>
      </c>
      <c r="R4002" t="str">
        <f>IFERROR(VLOOKUP(record[[#This Row],[PCUSTID]],廠商[],2,FALSE),"")</f>
        <v/>
      </c>
      <c r="S4002" t="str">
        <f>VLOOKUP(record[[#This Row],[employeeID]],員工[],2,FALSE)</f>
        <v>蔣梅</v>
      </c>
    </row>
    <row r="4003" spans="6:19" hidden="1" x14ac:dyDescent="0.25">
      <c r="F4003" t="s">
        <v>1549</v>
      </c>
      <c r="G4003" t="s">
        <v>398</v>
      </c>
      <c r="H4003" t="str">
        <f>VLOOKUP(record[[#This Row],[ProcessSN]],表格2_7[],2,FALSE)</f>
        <v>30-4118-018-550</v>
      </c>
      <c r="I4003" t="str">
        <f>VLOOKUP(record[[#This Row],[ProcessSN]],表格2_7[],3,FALSE)</f>
        <v>#08RCV</v>
      </c>
      <c r="J4003" t="s">
        <v>591</v>
      </c>
      <c r="K4003" s="195">
        <v>46060.550763888888</v>
      </c>
      <c r="L4003">
        <v>30</v>
      </c>
      <c r="M4003">
        <v>0</v>
      </c>
      <c r="N4003" s="98" t="str">
        <f>IF(record[[#This Row],[Memo]]="Browser:chrome os:android","平板報工",IF(record[[#This Row],[Memo]]=0,"委外",record[[#This Row],[Memo]]))</f>
        <v>覆回</v>
      </c>
      <c r="O4003" t="s">
        <v>682</v>
      </c>
      <c r="P4003" t="s">
        <v>141</v>
      </c>
      <c r="Q4003" t="s">
        <v>58</v>
      </c>
      <c r="R4003" t="str">
        <f>IFERROR(VLOOKUP(record[[#This Row],[PCUSTID]],廠商[],2,FALSE),"")</f>
        <v/>
      </c>
      <c r="S4003" t="str">
        <f>VLOOKUP(record[[#This Row],[employeeID]],員工[],2,FALSE)</f>
        <v>蔣梅</v>
      </c>
    </row>
    <row r="4004" spans="6:19" hidden="1" x14ac:dyDescent="0.25">
      <c r="F4004" t="s">
        <v>1527</v>
      </c>
      <c r="G4004" t="s">
        <v>452</v>
      </c>
      <c r="H4004" t="str">
        <f>VLOOKUP(record[[#This Row],[ProcessSN]],表格2_7[],2,FALSE)</f>
        <v>30-4118-018-6XX</v>
      </c>
      <c r="I4004" t="str">
        <f>VLOOKUP(record[[#This Row],[ProcessSN]],表格2_7[],3,FALSE)</f>
        <v>#07QC</v>
      </c>
      <c r="J4004" t="s">
        <v>589</v>
      </c>
      <c r="K4004" s="195">
        <v>46060.401041666664</v>
      </c>
      <c r="L4004">
        <v>0</v>
      </c>
      <c r="M4004">
        <v>1</v>
      </c>
      <c r="N4004" s="98" t="str">
        <f>IF(record[[#This Row],[Memo]]="Browser:chrome os:android","平板報工",IF(record[[#This Row],[Memo]]=0,"委外",record[[#This Row],[Memo]]))</f>
        <v>平板報工</v>
      </c>
      <c r="O4004" t="s">
        <v>643</v>
      </c>
      <c r="P4004" t="s">
        <v>141</v>
      </c>
      <c r="Q4004" t="s">
        <v>644</v>
      </c>
      <c r="R4004" t="str">
        <f>IFERROR(VLOOKUP(record[[#This Row],[PCUSTID]],廠商[],2,FALSE),"")</f>
        <v/>
      </c>
      <c r="S4004" t="str">
        <f>VLOOKUP(record[[#This Row],[employeeID]],員工[],2,FALSE)</f>
        <v>蔣梅</v>
      </c>
    </row>
    <row r="4005" spans="6:19" hidden="1" x14ac:dyDescent="0.25">
      <c r="F4005" t="s">
        <v>1527</v>
      </c>
      <c r="G4005" t="s">
        <v>452</v>
      </c>
      <c r="H4005" t="str">
        <f>VLOOKUP(record[[#This Row],[ProcessSN]],表格2_7[],2,FALSE)</f>
        <v>30-4118-018-6XX</v>
      </c>
      <c r="I4005" t="str">
        <f>VLOOKUP(record[[#This Row],[ProcessSN]],表格2_7[],3,FALSE)</f>
        <v>#07QC</v>
      </c>
      <c r="J4005" t="s">
        <v>589</v>
      </c>
      <c r="K4005" s="195">
        <v>46060.400763888887</v>
      </c>
      <c r="L4005">
        <v>165</v>
      </c>
      <c r="M4005">
        <v>0</v>
      </c>
      <c r="N4005" s="98" t="str">
        <f>IF(record[[#This Row],[Memo]]="Browser:chrome os:android","平板報工",IF(record[[#This Row],[Memo]]=0,"委外",record[[#This Row],[Memo]]))</f>
        <v>平板報工</v>
      </c>
      <c r="O4005" t="s">
        <v>643</v>
      </c>
      <c r="P4005" t="s">
        <v>141</v>
      </c>
      <c r="Q4005" t="s">
        <v>644</v>
      </c>
      <c r="R4005" t="str">
        <f>IFERROR(VLOOKUP(record[[#This Row],[PCUSTID]],廠商[],2,FALSE),"")</f>
        <v/>
      </c>
      <c r="S4005" t="str">
        <f>VLOOKUP(record[[#This Row],[employeeID]],員工[],2,FALSE)</f>
        <v>蔣梅</v>
      </c>
    </row>
    <row r="4006" spans="6:19" hidden="1" x14ac:dyDescent="0.25">
      <c r="F4006" t="s">
        <v>1568</v>
      </c>
      <c r="G4006" t="s">
        <v>415</v>
      </c>
      <c r="H4006" t="str">
        <f>VLOOKUP(record[[#This Row],[ProcessSN]],表格2_7[],2,FALSE)</f>
        <v>30-4118-018-5XX</v>
      </c>
      <c r="I4006" t="str">
        <f>VLOOKUP(record[[#This Row],[ProcessSN]],表格2_7[],3,FALSE)</f>
        <v>#04</v>
      </c>
      <c r="J4006" t="s">
        <v>588</v>
      </c>
      <c r="K4006" s="195">
        <v>46060.30159722222</v>
      </c>
      <c r="L4006">
        <v>130</v>
      </c>
      <c r="M4006">
        <v>0</v>
      </c>
      <c r="N4006" s="98" t="str">
        <f>IF(record[[#This Row],[Memo]]="Browser:chrome os:android","平板報工",IF(record[[#This Row],[Memo]]=0,"委外",record[[#This Row],[Memo]]))</f>
        <v/>
      </c>
      <c r="O4006" t="s">
        <v>58</v>
      </c>
      <c r="P4006" t="s">
        <v>806</v>
      </c>
      <c r="Q4006" t="s">
        <v>58</v>
      </c>
      <c r="R4006" t="str">
        <f>IFERROR(VLOOKUP(record[[#This Row],[PCUSTID]],廠商[],2,FALSE),"")</f>
        <v/>
      </c>
      <c r="S4006" t="str">
        <f>VLOOKUP(record[[#This Row],[employeeID]],員工[],2,FALSE)</f>
        <v>方思緯</v>
      </c>
    </row>
    <row r="4007" spans="6:19" hidden="1" x14ac:dyDescent="0.25">
      <c r="F4007" t="s">
        <v>1568</v>
      </c>
      <c r="G4007" t="s">
        <v>415</v>
      </c>
      <c r="H4007" t="str">
        <f>VLOOKUP(record[[#This Row],[ProcessSN]],表格2_7[],2,FALSE)</f>
        <v>30-4118-018-5XX</v>
      </c>
      <c r="I4007" t="str">
        <f>VLOOKUP(record[[#This Row],[ProcessSN]],表格2_7[],3,FALSE)</f>
        <v>#04</v>
      </c>
      <c r="J4007" t="s">
        <v>588</v>
      </c>
      <c r="K4007" s="195">
        <v>46059.968472222223</v>
      </c>
      <c r="L4007">
        <v>129</v>
      </c>
      <c r="M4007">
        <v>0</v>
      </c>
      <c r="N4007" s="98" t="str">
        <f>IF(record[[#This Row],[Memo]]="Browser:chrome os:android","平板報工",IF(record[[#This Row],[Memo]]=0,"委外",record[[#This Row],[Memo]]))</f>
        <v/>
      </c>
      <c r="O4007" t="s">
        <v>58</v>
      </c>
      <c r="P4007" t="s">
        <v>115</v>
      </c>
      <c r="Q4007" t="s">
        <v>58</v>
      </c>
      <c r="R4007" t="str">
        <f>IFERROR(VLOOKUP(record[[#This Row],[PCUSTID]],廠商[],2,FALSE),"")</f>
        <v/>
      </c>
      <c r="S4007" t="str">
        <f>VLOOKUP(record[[#This Row],[employeeID]],員工[],2,FALSE)</f>
        <v>溫智淵</v>
      </c>
    </row>
    <row r="4008" spans="6:19" hidden="1" x14ac:dyDescent="0.25">
      <c r="F4008" t="s">
        <v>1527</v>
      </c>
      <c r="G4008" t="s">
        <v>451</v>
      </c>
      <c r="H4008" t="str">
        <f>VLOOKUP(record[[#This Row],[ProcessSN]],表格2_7[],2,FALSE)</f>
        <v>30-4118-018-6XX</v>
      </c>
      <c r="I4008" t="str">
        <f>VLOOKUP(record[[#This Row],[ProcessSN]],表格2_7[],3,FALSE)</f>
        <v>#07</v>
      </c>
      <c r="J4008" t="s">
        <v>588</v>
      </c>
      <c r="K4008" s="195">
        <v>46059.767071759263</v>
      </c>
      <c r="L4008">
        <v>56</v>
      </c>
      <c r="M4008">
        <v>0</v>
      </c>
      <c r="N4008" s="98" t="str">
        <f>IF(record[[#This Row],[Memo]]="Browser:chrome os:android","平板報工",IF(record[[#This Row],[Memo]]=0,"委外",record[[#This Row],[Memo]]))</f>
        <v/>
      </c>
      <c r="O4008" t="s">
        <v>58</v>
      </c>
      <c r="P4008" t="s">
        <v>1098</v>
      </c>
      <c r="Q4008" t="s">
        <v>58</v>
      </c>
      <c r="R4008" t="str">
        <f>IFERROR(VLOOKUP(record[[#This Row],[PCUSTID]],廠商[],2,FALSE),"")</f>
        <v/>
      </c>
      <c r="S4008" t="str">
        <f>VLOOKUP(record[[#This Row],[employeeID]],員工[],2,FALSE)</f>
        <v>阮氏芳英(英)</v>
      </c>
    </row>
    <row r="4009" spans="6:19" hidden="1" x14ac:dyDescent="0.25">
      <c r="F4009" t="s">
        <v>1527</v>
      </c>
      <c r="G4009" t="s">
        <v>450</v>
      </c>
      <c r="H4009" t="str">
        <f>VLOOKUP(record[[#This Row],[ProcessSN]],表格2_7[],2,FALSE)</f>
        <v>30-4118-018-6XX</v>
      </c>
      <c r="I4009" t="str">
        <f>VLOOKUP(record[[#This Row],[ProcessSN]],表格2_7[],3,FALSE)</f>
        <v>#06</v>
      </c>
      <c r="J4009" t="s">
        <v>593</v>
      </c>
      <c r="K4009" s="195">
        <v>46059.766770833332</v>
      </c>
      <c r="L4009">
        <v>56</v>
      </c>
      <c r="M4009">
        <v>0</v>
      </c>
      <c r="N4009" s="98" t="str">
        <f>IF(record[[#This Row],[Memo]]="Browser:chrome os:android","平板報工",IF(record[[#This Row],[Memo]]=0,"委外",record[[#This Row],[Memo]]))</f>
        <v/>
      </c>
      <c r="O4009" t="s">
        <v>58</v>
      </c>
      <c r="P4009" t="s">
        <v>1413</v>
      </c>
      <c r="Q4009" t="s">
        <v>58</v>
      </c>
      <c r="R4009" t="str">
        <f>IFERROR(VLOOKUP(record[[#This Row],[PCUSTID]],廠商[],2,FALSE),"")</f>
        <v/>
      </c>
      <c r="S4009" t="str">
        <f>VLOOKUP(record[[#This Row],[employeeID]],員工[],2,FALSE)</f>
        <v>阮氏芳英(芳)</v>
      </c>
    </row>
    <row r="4010" spans="6:19" hidden="1" x14ac:dyDescent="0.25">
      <c r="F4010" t="s">
        <v>1553</v>
      </c>
      <c r="G4010" t="s">
        <v>424</v>
      </c>
      <c r="H4010" t="str">
        <f>VLOOKUP(record[[#This Row],[ProcessSN]],表格2_7[],2,FALSE)</f>
        <v>30-4118-018-600</v>
      </c>
      <c r="I4010" t="str">
        <f>VLOOKUP(record[[#This Row],[ProcessSN]],表格2_7[],3,FALSE)</f>
        <v>#08IQC</v>
      </c>
      <c r="J4010" t="s">
        <v>583</v>
      </c>
      <c r="K4010" s="195">
        <v>46059.692557870374</v>
      </c>
      <c r="L4010">
        <v>9</v>
      </c>
      <c r="M4010">
        <v>0</v>
      </c>
      <c r="N4010" s="98" t="str">
        <f>IF(record[[#This Row],[Memo]]="Browser:chrome os:android","平板報工",IF(record[[#This Row],[Memo]]=0,"委外",record[[#This Row],[Memo]]))</f>
        <v/>
      </c>
      <c r="O4010" t="s">
        <v>58</v>
      </c>
      <c r="P4010" t="s">
        <v>172</v>
      </c>
      <c r="Q4010" t="s">
        <v>58</v>
      </c>
      <c r="R4010" t="str">
        <f>IFERROR(VLOOKUP(record[[#This Row],[PCUSTID]],廠商[],2,FALSE),"")</f>
        <v/>
      </c>
      <c r="S4010" t="str">
        <f>VLOOKUP(record[[#This Row],[employeeID]],員工[],2,FALSE)</f>
        <v>李采玲</v>
      </c>
    </row>
    <row r="4011" spans="6:19" hidden="1" x14ac:dyDescent="0.25">
      <c r="F4011" t="s">
        <v>1557</v>
      </c>
      <c r="G4011" t="s">
        <v>424</v>
      </c>
      <c r="H4011" t="str">
        <f>VLOOKUP(record[[#This Row],[ProcessSN]],表格2_7[],2,FALSE)</f>
        <v>30-4118-018-600</v>
      </c>
      <c r="I4011" t="str">
        <f>VLOOKUP(record[[#This Row],[ProcessSN]],表格2_7[],3,FALSE)</f>
        <v>#08IQC</v>
      </c>
      <c r="J4011" t="s">
        <v>583</v>
      </c>
      <c r="K4011" s="195">
        <v>46059.692453703705</v>
      </c>
      <c r="L4011">
        <v>345</v>
      </c>
      <c r="M4011">
        <v>0</v>
      </c>
      <c r="N4011" s="98" t="str">
        <f>IF(record[[#This Row],[Memo]]="Browser:chrome os:android","平板報工",IF(record[[#This Row],[Memo]]=0,"委外",record[[#This Row],[Memo]]))</f>
        <v/>
      </c>
      <c r="O4011" t="s">
        <v>58</v>
      </c>
      <c r="P4011" t="s">
        <v>172</v>
      </c>
      <c r="Q4011" t="s">
        <v>58</v>
      </c>
      <c r="R4011" t="str">
        <f>IFERROR(VLOOKUP(record[[#This Row],[PCUSTID]],廠商[],2,FALSE),"")</f>
        <v/>
      </c>
      <c r="S4011" t="str">
        <f>VLOOKUP(record[[#This Row],[employeeID]],員工[],2,FALSE)</f>
        <v>李采玲</v>
      </c>
    </row>
    <row r="4012" spans="6:19" hidden="1" x14ac:dyDescent="0.25">
      <c r="F4012" t="s">
        <v>1507</v>
      </c>
      <c r="G4012" t="s">
        <v>453</v>
      </c>
      <c r="H4012" t="str">
        <f>VLOOKUP(record[[#This Row],[ProcessSN]],表格2_7[],2,FALSE)</f>
        <v>30-4118-018-6XX</v>
      </c>
      <c r="I4012" t="str">
        <f>VLOOKUP(record[[#This Row],[ProcessSN]],表格2_7[],3,FALSE)</f>
        <v>#07STOCK</v>
      </c>
      <c r="J4012" t="s">
        <v>592</v>
      </c>
      <c r="K4012" s="195">
        <v>46059.65525462963</v>
      </c>
      <c r="L4012">
        <v>83</v>
      </c>
      <c r="M4012">
        <v>0</v>
      </c>
      <c r="N4012" s="98" t="str">
        <f>IF(record[[#This Row],[Memo]]="Browser:chrome os:android","平板報工",IF(record[[#This Row],[Memo]]=0,"委外",record[[#This Row],[Memo]]))</f>
        <v/>
      </c>
      <c r="O4012" t="s">
        <v>58</v>
      </c>
      <c r="P4012" t="s">
        <v>186</v>
      </c>
      <c r="Q4012" t="s">
        <v>58</v>
      </c>
      <c r="R4012" t="str">
        <f>IFERROR(VLOOKUP(record[[#This Row],[PCUSTID]],廠商[],2,FALSE),"")</f>
        <v/>
      </c>
      <c r="S4012" t="str">
        <f>VLOOKUP(record[[#This Row],[employeeID]],員工[],2,FALSE)</f>
        <v>許文姍</v>
      </c>
    </row>
    <row r="4013" spans="6:19" hidden="1" x14ac:dyDescent="0.25">
      <c r="F4013" t="s">
        <v>1527</v>
      </c>
      <c r="G4013" t="s">
        <v>453</v>
      </c>
      <c r="H4013" t="str">
        <f>VLOOKUP(record[[#This Row],[ProcessSN]],表格2_7[],2,FALSE)</f>
        <v>30-4118-018-6XX</v>
      </c>
      <c r="I4013" t="str">
        <f>VLOOKUP(record[[#This Row],[ProcessSN]],表格2_7[],3,FALSE)</f>
        <v>#07STOCK</v>
      </c>
      <c r="J4013" t="s">
        <v>592</v>
      </c>
      <c r="K4013" s="195">
        <v>46059.655115740738</v>
      </c>
      <c r="L4013">
        <v>160</v>
      </c>
      <c r="M4013">
        <v>0</v>
      </c>
      <c r="N4013" s="98" t="str">
        <f>IF(record[[#This Row],[Memo]]="Browser:chrome os:android","平板報工",IF(record[[#This Row],[Memo]]=0,"委外",record[[#This Row],[Memo]]))</f>
        <v/>
      </c>
      <c r="O4013" t="s">
        <v>58</v>
      </c>
      <c r="P4013" t="s">
        <v>186</v>
      </c>
      <c r="Q4013" t="s">
        <v>58</v>
      </c>
      <c r="R4013" t="str">
        <f>IFERROR(VLOOKUP(record[[#This Row],[PCUSTID]],廠商[],2,FALSE),"")</f>
        <v/>
      </c>
      <c r="S4013" t="str">
        <f>VLOOKUP(record[[#This Row],[employeeID]],員工[],2,FALSE)</f>
        <v>許文姍</v>
      </c>
    </row>
    <row r="4014" spans="6:19" hidden="1" x14ac:dyDescent="0.25">
      <c r="F4014" t="s">
        <v>1568</v>
      </c>
      <c r="G4014" t="s">
        <v>415</v>
      </c>
      <c r="H4014" t="str">
        <f>VLOOKUP(record[[#This Row],[ProcessSN]],表格2_7[],2,FALSE)</f>
        <v>30-4118-018-5XX</v>
      </c>
      <c r="I4014" t="str">
        <f>VLOOKUP(record[[#This Row],[ProcessSN]],表格2_7[],3,FALSE)</f>
        <v>#04</v>
      </c>
      <c r="J4014" t="s">
        <v>588</v>
      </c>
      <c r="K4014" s="195">
        <v>46059.644745370373</v>
      </c>
      <c r="L4014">
        <v>140</v>
      </c>
      <c r="M4014">
        <v>0</v>
      </c>
      <c r="N4014" s="98" t="str">
        <f>IF(record[[#This Row],[Memo]]="Browser:chrome os:android","平板報工",IF(record[[#This Row],[Memo]]=0,"委外",record[[#This Row],[Memo]]))</f>
        <v>平板報工</v>
      </c>
      <c r="O4014" t="s">
        <v>643</v>
      </c>
      <c r="P4014" t="s">
        <v>145</v>
      </c>
      <c r="Q4014" t="s">
        <v>644</v>
      </c>
      <c r="R4014" t="str">
        <f>IFERROR(VLOOKUP(record[[#This Row],[PCUSTID]],廠商[],2,FALSE),"")</f>
        <v/>
      </c>
      <c r="S4014" t="str">
        <f>VLOOKUP(record[[#This Row],[employeeID]],員工[],2,FALSE)</f>
        <v>阮秋霞</v>
      </c>
    </row>
    <row r="4015" spans="6:19" hidden="1" x14ac:dyDescent="0.25">
      <c r="F4015" t="s">
        <v>1527</v>
      </c>
      <c r="G4015" t="s">
        <v>451</v>
      </c>
      <c r="H4015" t="str">
        <f>VLOOKUP(record[[#This Row],[ProcessSN]],表格2_7[],2,FALSE)</f>
        <v>30-4118-018-6XX</v>
      </c>
      <c r="I4015" t="str">
        <f>VLOOKUP(record[[#This Row],[ProcessSN]],表格2_7[],3,FALSE)</f>
        <v>#07</v>
      </c>
      <c r="J4015" t="s">
        <v>588</v>
      </c>
      <c r="K4015" s="195">
        <v>46059.641111111108</v>
      </c>
      <c r="L4015">
        <v>110</v>
      </c>
      <c r="M4015">
        <v>0</v>
      </c>
      <c r="N4015" s="98" t="str">
        <f>IF(record[[#This Row],[Memo]]="Browser:chrome os:android","平板報工",IF(record[[#This Row],[Memo]]=0,"委外",record[[#This Row],[Memo]]))</f>
        <v>平板報工</v>
      </c>
      <c r="O4015" t="s">
        <v>643</v>
      </c>
      <c r="P4015" t="s">
        <v>785</v>
      </c>
      <c r="Q4015" t="s">
        <v>644</v>
      </c>
      <c r="R4015" t="str">
        <f>IFERROR(VLOOKUP(record[[#This Row],[PCUSTID]],廠商[],2,FALSE),"")</f>
        <v/>
      </c>
      <c r="S4015" t="str">
        <f>VLOOKUP(record[[#This Row],[employeeID]],員工[],2,FALSE)</f>
        <v>謝刻光</v>
      </c>
    </row>
    <row r="4016" spans="6:19" hidden="1" x14ac:dyDescent="0.25">
      <c r="F4016" t="s">
        <v>1527</v>
      </c>
      <c r="G4016" t="s">
        <v>450</v>
      </c>
      <c r="H4016" t="str">
        <f>VLOOKUP(record[[#This Row],[ProcessSN]],表格2_7[],2,FALSE)</f>
        <v>30-4118-018-6XX</v>
      </c>
      <c r="I4016" t="str">
        <f>VLOOKUP(record[[#This Row],[ProcessSN]],表格2_7[],3,FALSE)</f>
        <v>#06</v>
      </c>
      <c r="J4016" t="s">
        <v>593</v>
      </c>
      <c r="K4016" s="195">
        <v>46059.640682870369</v>
      </c>
      <c r="L4016">
        <v>110</v>
      </c>
      <c r="M4016">
        <v>0</v>
      </c>
      <c r="N4016" s="98" t="str">
        <f>IF(record[[#This Row],[Memo]]="Browser:chrome os:android","平板報工",IF(record[[#This Row],[Memo]]=0,"委外",record[[#This Row],[Memo]]))</f>
        <v>平板報工</v>
      </c>
      <c r="O4016" t="s">
        <v>643</v>
      </c>
      <c r="P4016" t="s">
        <v>1413</v>
      </c>
      <c r="Q4016" t="s">
        <v>644</v>
      </c>
      <c r="R4016" t="str">
        <f>IFERROR(VLOOKUP(record[[#This Row],[PCUSTID]],廠商[],2,FALSE),"")</f>
        <v/>
      </c>
      <c r="S4016" t="str">
        <f>VLOOKUP(record[[#This Row],[employeeID]],員工[],2,FALSE)</f>
        <v>阮氏芳英(芳)</v>
      </c>
    </row>
    <row r="4017" spans="6:19" hidden="1" x14ac:dyDescent="0.25">
      <c r="F4017" t="s">
        <v>1527</v>
      </c>
      <c r="G4017" t="s">
        <v>449</v>
      </c>
      <c r="H4017" t="str">
        <f>VLOOKUP(record[[#This Row],[ProcessSN]],表格2_7[],2,FALSE)</f>
        <v>30-4118-018-6XX</v>
      </c>
      <c r="I4017" t="str">
        <f>VLOOKUP(record[[#This Row],[ProcessSN]],表格2_7[],3,FALSE)</f>
        <v>#05</v>
      </c>
      <c r="J4017" t="s">
        <v>588</v>
      </c>
      <c r="K4017" s="195">
        <v>46059.639907407407</v>
      </c>
      <c r="L4017">
        <v>218</v>
      </c>
      <c r="M4017">
        <v>0</v>
      </c>
      <c r="N4017" s="98" t="str">
        <f>IF(record[[#This Row],[Memo]]="Browser:chrome os:android","平板報工",IF(record[[#This Row],[Memo]]=0,"委外",record[[#This Row],[Memo]]))</f>
        <v>平板報工</v>
      </c>
      <c r="O4017" t="s">
        <v>643</v>
      </c>
      <c r="P4017" t="s">
        <v>785</v>
      </c>
      <c r="Q4017" t="s">
        <v>644</v>
      </c>
      <c r="R4017" t="str">
        <f>IFERROR(VLOOKUP(record[[#This Row],[PCUSTID]],廠商[],2,FALSE),"")</f>
        <v/>
      </c>
      <c r="S4017" t="str">
        <f>VLOOKUP(record[[#This Row],[employeeID]],員工[],2,FALSE)</f>
        <v>謝刻光</v>
      </c>
    </row>
    <row r="4018" spans="6:19" hidden="1" x14ac:dyDescent="0.25">
      <c r="F4018" t="s">
        <v>1570</v>
      </c>
      <c r="G4018" t="s">
        <v>373</v>
      </c>
      <c r="H4018" t="str">
        <f>VLOOKUP(record[[#This Row],[ProcessSN]],表格2_7[],2,FALSE)</f>
        <v>30-4118-018-4XX</v>
      </c>
      <c r="I4018" t="str">
        <f>VLOOKUP(record[[#This Row],[ProcessSN]],表格2_7[],3,FALSE)</f>
        <v>#03</v>
      </c>
      <c r="J4018" t="s">
        <v>588</v>
      </c>
      <c r="K4018" s="195">
        <v>46059.62537037037</v>
      </c>
      <c r="L4018">
        <v>736</v>
      </c>
      <c r="M4018">
        <v>0</v>
      </c>
      <c r="N4018" s="98" t="str">
        <f>IF(record[[#This Row],[Memo]]="Browser:chrome os:android","平板報工",IF(record[[#This Row],[Memo]]=0,"委外",record[[#This Row],[Memo]]))</f>
        <v>平板報工</v>
      </c>
      <c r="O4018" t="s">
        <v>643</v>
      </c>
      <c r="P4018" t="s">
        <v>145</v>
      </c>
      <c r="Q4018" t="s">
        <v>644</v>
      </c>
      <c r="R4018" t="str">
        <f>IFERROR(VLOOKUP(record[[#This Row],[PCUSTID]],廠商[],2,FALSE),"")</f>
        <v/>
      </c>
      <c r="S4018" t="str">
        <f>VLOOKUP(record[[#This Row],[employeeID]],員工[],2,FALSE)</f>
        <v>阮秋霞</v>
      </c>
    </row>
    <row r="4019" spans="6:19" hidden="1" x14ac:dyDescent="0.25">
      <c r="F4019" t="s">
        <v>1553</v>
      </c>
      <c r="G4019" t="s">
        <v>423</v>
      </c>
      <c r="H4019" t="str">
        <f>VLOOKUP(record[[#This Row],[ProcessSN]],表格2_7[],2,FALSE)</f>
        <v>30-4118-018-600</v>
      </c>
      <c r="I4019" t="str">
        <f>VLOOKUP(record[[#This Row],[ProcessSN]],表格2_7[],3,FALSE)</f>
        <v>#08RCV</v>
      </c>
      <c r="J4019" t="s">
        <v>591</v>
      </c>
      <c r="K4019" s="195">
        <v>46059.618414351855</v>
      </c>
      <c r="L4019">
        <v>9</v>
      </c>
      <c r="M4019">
        <v>0</v>
      </c>
      <c r="N4019" s="98" t="str">
        <f>IF(record[[#This Row],[Memo]]="Browser:chrome os:android","平板報工",IF(record[[#This Row],[Memo]]=0,"委外",record[[#This Row],[Memo]]))</f>
        <v/>
      </c>
      <c r="O4019" t="s">
        <v>58</v>
      </c>
      <c r="P4019" t="s">
        <v>186</v>
      </c>
      <c r="Q4019" t="s">
        <v>58</v>
      </c>
      <c r="R4019" t="str">
        <f>IFERROR(VLOOKUP(record[[#This Row],[PCUSTID]],廠商[],2,FALSE),"")</f>
        <v/>
      </c>
      <c r="S4019" t="str">
        <f>VLOOKUP(record[[#This Row],[employeeID]],員工[],2,FALSE)</f>
        <v>許文姍</v>
      </c>
    </row>
    <row r="4020" spans="6:19" hidden="1" x14ac:dyDescent="0.25">
      <c r="F4020" t="s">
        <v>1557</v>
      </c>
      <c r="G4020" t="s">
        <v>423</v>
      </c>
      <c r="H4020" t="str">
        <f>VLOOKUP(record[[#This Row],[ProcessSN]],表格2_7[],2,FALSE)</f>
        <v>30-4118-018-600</v>
      </c>
      <c r="I4020" t="str">
        <f>VLOOKUP(record[[#This Row],[ProcessSN]],表格2_7[],3,FALSE)</f>
        <v>#08RCV</v>
      </c>
      <c r="J4020" t="s">
        <v>591</v>
      </c>
      <c r="K4020" s="195">
        <v>46059.618298611109</v>
      </c>
      <c r="L4020">
        <v>0</v>
      </c>
      <c r="M4020">
        <v>27</v>
      </c>
      <c r="N4020" s="98" t="str">
        <f>IF(record[[#This Row],[Memo]]="Browser:chrome os:android","平板報工",IF(record[[#This Row],[Memo]]=0,"委外",record[[#This Row],[Memo]]))</f>
        <v/>
      </c>
      <c r="O4020" t="s">
        <v>58</v>
      </c>
      <c r="P4020" t="s">
        <v>186</v>
      </c>
      <c r="Q4020" t="s">
        <v>58</v>
      </c>
      <c r="R4020" t="str">
        <f>IFERROR(VLOOKUP(record[[#This Row],[PCUSTID]],廠商[],2,FALSE),"")</f>
        <v/>
      </c>
      <c r="S4020" t="str">
        <f>VLOOKUP(record[[#This Row],[employeeID]],員工[],2,FALSE)</f>
        <v>許文姍</v>
      </c>
    </row>
    <row r="4021" spans="6:19" hidden="1" x14ac:dyDescent="0.25">
      <c r="F4021" t="s">
        <v>1557</v>
      </c>
      <c r="G4021" t="s">
        <v>423</v>
      </c>
      <c r="H4021" t="str">
        <f>VLOOKUP(record[[#This Row],[ProcessSN]],表格2_7[],2,FALSE)</f>
        <v>30-4118-018-600</v>
      </c>
      <c r="I4021" t="str">
        <f>VLOOKUP(record[[#This Row],[ProcessSN]],表格2_7[],3,FALSE)</f>
        <v>#08RCV</v>
      </c>
      <c r="J4021" t="s">
        <v>591</v>
      </c>
      <c r="K4021" s="195">
        <v>46059.618078703701</v>
      </c>
      <c r="L4021">
        <v>345</v>
      </c>
      <c r="M4021">
        <v>0</v>
      </c>
      <c r="N4021" s="98" t="str">
        <f>IF(record[[#This Row],[Memo]]="Browser:chrome os:android","平板報工",IF(record[[#This Row],[Memo]]=0,"委外",record[[#This Row],[Memo]]))</f>
        <v/>
      </c>
      <c r="O4021" t="s">
        <v>58</v>
      </c>
      <c r="P4021" t="s">
        <v>186</v>
      </c>
      <c r="Q4021" t="s">
        <v>58</v>
      </c>
      <c r="R4021" t="str">
        <f>IFERROR(VLOOKUP(record[[#This Row],[PCUSTID]],廠商[],2,FALSE),"")</f>
        <v/>
      </c>
      <c r="S4021" t="str">
        <f>VLOOKUP(record[[#This Row],[employeeID]],員工[],2,FALSE)</f>
        <v>許文姍</v>
      </c>
    </row>
    <row r="4022" spans="6:19" hidden="1" x14ac:dyDescent="0.25">
      <c r="F4022" t="s">
        <v>1574</v>
      </c>
      <c r="G4022" t="s">
        <v>422</v>
      </c>
      <c r="H4022" t="str">
        <f>VLOOKUP(record[[#This Row],[ProcessSN]],表格2_7[],2,FALSE)</f>
        <v>30-4118-018-600</v>
      </c>
      <c r="I4022" t="str">
        <f>VLOOKUP(record[[#This Row],[ProcessSN]],表格2_7[],3,FALSE)</f>
        <v>#08</v>
      </c>
      <c r="J4022" t="s">
        <v>597</v>
      </c>
      <c r="K4022" s="195">
        <v>46059.60533564815</v>
      </c>
      <c r="L4022">
        <v>243</v>
      </c>
      <c r="M4022">
        <v>0</v>
      </c>
      <c r="N4022" s="98" t="str">
        <f>IF(record[[#This Row],[Memo]]="Browser:chrome os:android","平板報工",IF(record[[#This Row],[Memo]]=0,"委外",record[[#This Row],[Memo]]))</f>
        <v>委外</v>
      </c>
      <c r="P4022" t="s">
        <v>186</v>
      </c>
      <c r="Q4022" t="s">
        <v>287</v>
      </c>
      <c r="R4022" t="str">
        <f>IFERROR(VLOOKUP(record[[#This Row],[PCUSTID]],廠商[],2,FALSE),"")</f>
        <v>泉盛</v>
      </c>
      <c r="S4022" t="str">
        <f>VLOOKUP(record[[#This Row],[employeeID]],員工[],2,FALSE)</f>
        <v>許文姍</v>
      </c>
    </row>
    <row r="4023" spans="6:19" hidden="1" x14ac:dyDescent="0.25">
      <c r="F4023" t="s">
        <v>1574</v>
      </c>
      <c r="G4023" t="s">
        <v>421</v>
      </c>
      <c r="H4023" t="str">
        <f>VLOOKUP(record[[#This Row],[ProcessSN]],表格2_7[],2,FALSE)</f>
        <v>30-4118-018-600</v>
      </c>
      <c r="I4023" t="str">
        <f>VLOOKUP(record[[#This Row],[ProcessSN]],表格2_7[],3,FALSE)</f>
        <v>#08PICK</v>
      </c>
      <c r="J4023" t="s">
        <v>582</v>
      </c>
      <c r="K4023" s="195">
        <v>46059.604791666665</v>
      </c>
      <c r="L4023">
        <v>243</v>
      </c>
      <c r="M4023">
        <v>0</v>
      </c>
      <c r="N4023" s="98" t="str">
        <f>IF(record[[#This Row],[Memo]]="Browser:chrome os:android","平板報工",IF(record[[#This Row],[Memo]]=0,"委外",record[[#This Row],[Memo]]))</f>
        <v/>
      </c>
      <c r="O4023" t="s">
        <v>58</v>
      </c>
      <c r="P4023" t="s">
        <v>186</v>
      </c>
      <c r="Q4023" t="s">
        <v>58</v>
      </c>
      <c r="R4023" t="str">
        <f>IFERROR(VLOOKUP(record[[#This Row],[PCUSTID]],廠商[],2,FALSE),"")</f>
        <v/>
      </c>
      <c r="S4023" t="str">
        <f>VLOOKUP(record[[#This Row],[employeeID]],員工[],2,FALSE)</f>
        <v>許文姍</v>
      </c>
    </row>
    <row r="4024" spans="6:19" hidden="1" x14ac:dyDescent="0.25">
      <c r="F4024" t="s">
        <v>1467</v>
      </c>
      <c r="G4024" t="s">
        <v>428</v>
      </c>
      <c r="H4024" t="str">
        <f>VLOOKUP(record[[#This Row],[ProcessSN]],表格2_7[],2,FALSE)</f>
        <v>30-4118-018-600</v>
      </c>
      <c r="I4024" t="str">
        <f>VLOOKUP(record[[#This Row],[ProcessSN]],表格2_7[],3,FALSE)</f>
        <v>#100SHIP</v>
      </c>
      <c r="J4024" t="s">
        <v>600</v>
      </c>
      <c r="K4024" s="195">
        <v>46059.454687500001</v>
      </c>
      <c r="L4024">
        <v>7</v>
      </c>
      <c r="M4024">
        <v>0</v>
      </c>
      <c r="N4024" s="98" t="str">
        <f>IF(record[[#This Row],[Memo]]="Browser:chrome os:android","平板報工",IF(record[[#This Row],[Memo]]=0,"委外",record[[#This Row],[Memo]]))</f>
        <v/>
      </c>
      <c r="O4024" t="s">
        <v>58</v>
      </c>
      <c r="P4024" t="s">
        <v>886</v>
      </c>
      <c r="Q4024" t="s">
        <v>58</v>
      </c>
      <c r="R4024" t="str">
        <f>IFERROR(VLOOKUP(record[[#This Row],[PCUSTID]],廠商[],2,FALSE),"")</f>
        <v/>
      </c>
      <c r="S4024" t="str">
        <f>VLOOKUP(record[[#This Row],[employeeID]],員工[],2,FALSE)</f>
        <v>謝蓁薰</v>
      </c>
    </row>
    <row r="4025" spans="6:19" hidden="1" x14ac:dyDescent="0.25">
      <c r="F4025" t="s">
        <v>1478</v>
      </c>
      <c r="G4025" t="s">
        <v>428</v>
      </c>
      <c r="H4025" t="str">
        <f>VLOOKUP(record[[#This Row],[ProcessSN]],表格2_7[],2,FALSE)</f>
        <v>30-4118-018-600</v>
      </c>
      <c r="I4025" t="str">
        <f>VLOOKUP(record[[#This Row],[ProcessSN]],表格2_7[],3,FALSE)</f>
        <v>#100SHIP</v>
      </c>
      <c r="J4025" t="s">
        <v>600</v>
      </c>
      <c r="K4025" s="195">
        <v>46059.454548611109</v>
      </c>
      <c r="L4025">
        <v>2</v>
      </c>
      <c r="M4025">
        <v>0</v>
      </c>
      <c r="N4025" s="98" t="str">
        <f>IF(record[[#This Row],[Memo]]="Browser:chrome os:android","平板報工",IF(record[[#This Row],[Memo]]=0,"委外",record[[#This Row],[Memo]]))</f>
        <v/>
      </c>
      <c r="O4025" t="s">
        <v>58</v>
      </c>
      <c r="P4025" t="s">
        <v>886</v>
      </c>
      <c r="Q4025" t="s">
        <v>58</v>
      </c>
      <c r="R4025" t="str">
        <f>IFERROR(VLOOKUP(record[[#This Row],[PCUSTID]],廠商[],2,FALSE),"")</f>
        <v/>
      </c>
      <c r="S4025" t="str">
        <f>VLOOKUP(record[[#This Row],[employeeID]],員工[],2,FALSE)</f>
        <v>謝蓁薰</v>
      </c>
    </row>
    <row r="4026" spans="6:19" hidden="1" x14ac:dyDescent="0.25">
      <c r="F4026" t="s">
        <v>1522</v>
      </c>
      <c r="G4026" t="s">
        <v>428</v>
      </c>
      <c r="H4026" t="str">
        <f>VLOOKUP(record[[#This Row],[ProcessSN]],表格2_7[],2,FALSE)</f>
        <v>30-4118-018-600</v>
      </c>
      <c r="I4026" t="str">
        <f>VLOOKUP(record[[#This Row],[ProcessSN]],表格2_7[],3,FALSE)</f>
        <v>#100SHIP</v>
      </c>
      <c r="J4026" t="s">
        <v>600</v>
      </c>
      <c r="K4026" s="195">
        <v>46059.454432870371</v>
      </c>
      <c r="L4026">
        <v>136</v>
      </c>
      <c r="M4026">
        <v>0</v>
      </c>
      <c r="N4026" s="98" t="str">
        <f>IF(record[[#This Row],[Memo]]="Browser:chrome os:android","平板報工",IF(record[[#This Row],[Memo]]=0,"委外",record[[#This Row],[Memo]]))</f>
        <v/>
      </c>
      <c r="O4026" t="s">
        <v>58</v>
      </c>
      <c r="P4026" t="s">
        <v>886</v>
      </c>
      <c r="Q4026" t="s">
        <v>58</v>
      </c>
      <c r="R4026" t="str">
        <f>IFERROR(VLOOKUP(record[[#This Row],[PCUSTID]],廠商[],2,FALSE),"")</f>
        <v/>
      </c>
      <c r="S4026" t="str">
        <f>VLOOKUP(record[[#This Row],[employeeID]],員工[],2,FALSE)</f>
        <v>謝蓁薰</v>
      </c>
    </row>
    <row r="4027" spans="6:19" hidden="1" x14ac:dyDescent="0.25">
      <c r="F4027" t="s">
        <v>1534</v>
      </c>
      <c r="G4027" t="s">
        <v>428</v>
      </c>
      <c r="H4027" t="str">
        <f>VLOOKUP(record[[#This Row],[ProcessSN]],表格2_7[],2,FALSE)</f>
        <v>30-4118-018-600</v>
      </c>
      <c r="I4027" t="str">
        <f>VLOOKUP(record[[#This Row],[ProcessSN]],表格2_7[],3,FALSE)</f>
        <v>#100SHIP</v>
      </c>
      <c r="J4027" t="s">
        <v>600</v>
      </c>
      <c r="K4027" s="195">
        <v>46059.454282407409</v>
      </c>
      <c r="L4027">
        <v>146</v>
      </c>
      <c r="M4027">
        <v>0</v>
      </c>
      <c r="N4027" s="98" t="str">
        <f>IF(record[[#This Row],[Memo]]="Browser:chrome os:android","平板報工",IF(record[[#This Row],[Memo]]=0,"委外",record[[#This Row],[Memo]]))</f>
        <v/>
      </c>
      <c r="O4027" t="s">
        <v>58</v>
      </c>
      <c r="P4027" t="s">
        <v>886</v>
      </c>
      <c r="Q4027" t="s">
        <v>58</v>
      </c>
      <c r="R4027" t="str">
        <f>IFERROR(VLOOKUP(record[[#This Row],[PCUSTID]],廠商[],2,FALSE),"")</f>
        <v/>
      </c>
      <c r="S4027" t="str">
        <f>VLOOKUP(record[[#This Row],[employeeID]],員工[],2,FALSE)</f>
        <v>謝蓁薰</v>
      </c>
    </row>
    <row r="4028" spans="6:19" hidden="1" x14ac:dyDescent="0.25">
      <c r="F4028" t="s">
        <v>1510</v>
      </c>
      <c r="G4028" t="s">
        <v>428</v>
      </c>
      <c r="H4028" t="str">
        <f>VLOOKUP(record[[#This Row],[ProcessSN]],表格2_7[],2,FALSE)</f>
        <v>30-4118-018-600</v>
      </c>
      <c r="I4028" t="str">
        <f>VLOOKUP(record[[#This Row],[ProcessSN]],表格2_7[],3,FALSE)</f>
        <v>#100SHIP</v>
      </c>
      <c r="J4028" t="s">
        <v>600</v>
      </c>
      <c r="K4028" s="195">
        <v>46059.454016203701</v>
      </c>
      <c r="L4028">
        <v>102</v>
      </c>
      <c r="M4028">
        <v>0</v>
      </c>
      <c r="N4028" s="98" t="str">
        <f>IF(record[[#This Row],[Memo]]="Browser:chrome os:android","平板報工",IF(record[[#This Row],[Memo]]=0,"委外",record[[#This Row],[Memo]]))</f>
        <v/>
      </c>
      <c r="O4028" t="s">
        <v>58</v>
      </c>
      <c r="P4028" t="s">
        <v>886</v>
      </c>
      <c r="Q4028" t="s">
        <v>58</v>
      </c>
      <c r="R4028" t="str">
        <f>IFERROR(VLOOKUP(record[[#This Row],[PCUSTID]],廠商[],2,FALSE),"")</f>
        <v/>
      </c>
      <c r="S4028" t="str">
        <f>VLOOKUP(record[[#This Row],[employeeID]],員工[],2,FALSE)</f>
        <v>謝蓁薰</v>
      </c>
    </row>
    <row r="4029" spans="6:19" hidden="1" x14ac:dyDescent="0.25">
      <c r="F4029" t="s">
        <v>1494</v>
      </c>
      <c r="G4029" t="s">
        <v>428</v>
      </c>
      <c r="H4029" t="str">
        <f>VLOOKUP(record[[#This Row],[ProcessSN]],表格2_7[],2,FALSE)</f>
        <v>30-4118-018-600</v>
      </c>
      <c r="I4029" t="str">
        <f>VLOOKUP(record[[#This Row],[ProcessSN]],表格2_7[],3,FALSE)</f>
        <v>#100SHIP</v>
      </c>
      <c r="J4029" t="s">
        <v>600</v>
      </c>
      <c r="K4029" s="195">
        <v>46059.453865740739</v>
      </c>
      <c r="L4029">
        <v>139</v>
      </c>
      <c r="M4029">
        <v>0</v>
      </c>
      <c r="N4029" s="98" t="str">
        <f>IF(record[[#This Row],[Memo]]="Browser:chrome os:android","平板報工",IF(record[[#This Row],[Memo]]=0,"委外",record[[#This Row],[Memo]]))</f>
        <v/>
      </c>
      <c r="O4029" t="s">
        <v>58</v>
      </c>
      <c r="P4029" t="s">
        <v>886</v>
      </c>
      <c r="Q4029" t="s">
        <v>58</v>
      </c>
      <c r="R4029" t="str">
        <f>IFERROR(VLOOKUP(record[[#This Row],[PCUSTID]],廠商[],2,FALSE),"")</f>
        <v/>
      </c>
      <c r="S4029" t="str">
        <f>VLOOKUP(record[[#This Row],[employeeID]],員工[],2,FALSE)</f>
        <v>謝蓁薰</v>
      </c>
    </row>
    <row r="4030" spans="6:19" hidden="1" x14ac:dyDescent="0.25">
      <c r="F4030" t="s">
        <v>1467</v>
      </c>
      <c r="G4030" t="s">
        <v>427</v>
      </c>
      <c r="H4030" t="str">
        <f>VLOOKUP(record[[#This Row],[ProcessSN]],表格2_7[],2,FALSE)</f>
        <v>30-4118-018-600</v>
      </c>
      <c r="I4030" t="str">
        <f>VLOOKUP(record[[#This Row],[ProcessSN]],表格2_7[],3,FALSE)</f>
        <v>#100STOCK</v>
      </c>
      <c r="J4030" t="s">
        <v>592</v>
      </c>
      <c r="K4030" s="195">
        <v>46059.453622685185</v>
      </c>
      <c r="L4030">
        <v>7</v>
      </c>
      <c r="M4030">
        <v>0</v>
      </c>
      <c r="N4030" s="98" t="str">
        <f>IF(record[[#This Row],[Memo]]="Browser:chrome os:android","平板報工",IF(record[[#This Row],[Memo]]=0,"委外",record[[#This Row],[Memo]]))</f>
        <v/>
      </c>
      <c r="O4030" t="s">
        <v>58</v>
      </c>
      <c r="P4030" t="s">
        <v>886</v>
      </c>
      <c r="Q4030" t="s">
        <v>58</v>
      </c>
      <c r="R4030" t="str">
        <f>IFERROR(VLOOKUP(record[[#This Row],[PCUSTID]],廠商[],2,FALSE),"")</f>
        <v/>
      </c>
      <c r="S4030" t="str">
        <f>VLOOKUP(record[[#This Row],[employeeID]],員工[],2,FALSE)</f>
        <v>謝蓁薰</v>
      </c>
    </row>
    <row r="4031" spans="6:19" hidden="1" x14ac:dyDescent="0.25">
      <c r="F4031" t="s">
        <v>1478</v>
      </c>
      <c r="G4031" t="s">
        <v>427</v>
      </c>
      <c r="H4031" t="str">
        <f>VLOOKUP(record[[#This Row],[ProcessSN]],表格2_7[],2,FALSE)</f>
        <v>30-4118-018-600</v>
      </c>
      <c r="I4031" t="str">
        <f>VLOOKUP(record[[#This Row],[ProcessSN]],表格2_7[],3,FALSE)</f>
        <v>#100STOCK</v>
      </c>
      <c r="J4031" t="s">
        <v>592</v>
      </c>
      <c r="K4031" s="195">
        <v>46059.453472222223</v>
      </c>
      <c r="L4031">
        <v>2</v>
      </c>
      <c r="M4031">
        <v>0</v>
      </c>
      <c r="N4031" s="98" t="str">
        <f>IF(record[[#This Row],[Memo]]="Browser:chrome os:android","平板報工",IF(record[[#This Row],[Memo]]=0,"委外",record[[#This Row],[Memo]]))</f>
        <v/>
      </c>
      <c r="O4031" t="s">
        <v>58</v>
      </c>
      <c r="P4031" t="s">
        <v>886</v>
      </c>
      <c r="Q4031" t="s">
        <v>58</v>
      </c>
      <c r="R4031" t="str">
        <f>IFERROR(VLOOKUP(record[[#This Row],[PCUSTID]],廠商[],2,FALSE),"")</f>
        <v/>
      </c>
      <c r="S4031" t="str">
        <f>VLOOKUP(record[[#This Row],[employeeID]],員工[],2,FALSE)</f>
        <v>謝蓁薰</v>
      </c>
    </row>
    <row r="4032" spans="6:19" hidden="1" x14ac:dyDescent="0.25">
      <c r="F4032" t="s">
        <v>1522</v>
      </c>
      <c r="G4032" t="s">
        <v>427</v>
      </c>
      <c r="H4032" t="str">
        <f>VLOOKUP(record[[#This Row],[ProcessSN]],表格2_7[],2,FALSE)</f>
        <v>30-4118-018-600</v>
      </c>
      <c r="I4032" t="str">
        <f>VLOOKUP(record[[#This Row],[ProcessSN]],表格2_7[],3,FALSE)</f>
        <v>#100STOCK</v>
      </c>
      <c r="J4032" t="s">
        <v>592</v>
      </c>
      <c r="K4032" s="195">
        <v>46059.453356481485</v>
      </c>
      <c r="L4032">
        <v>136</v>
      </c>
      <c r="M4032">
        <v>0</v>
      </c>
      <c r="N4032" s="98" t="str">
        <f>IF(record[[#This Row],[Memo]]="Browser:chrome os:android","平板報工",IF(record[[#This Row],[Memo]]=0,"委外",record[[#This Row],[Memo]]))</f>
        <v/>
      </c>
      <c r="O4032" t="s">
        <v>58</v>
      </c>
      <c r="P4032" t="s">
        <v>886</v>
      </c>
      <c r="Q4032" t="s">
        <v>58</v>
      </c>
      <c r="R4032" t="str">
        <f>IFERROR(VLOOKUP(record[[#This Row],[PCUSTID]],廠商[],2,FALSE),"")</f>
        <v/>
      </c>
      <c r="S4032" t="str">
        <f>VLOOKUP(record[[#This Row],[employeeID]],員工[],2,FALSE)</f>
        <v>謝蓁薰</v>
      </c>
    </row>
    <row r="4033" spans="6:19" hidden="1" x14ac:dyDescent="0.25">
      <c r="F4033" t="s">
        <v>1534</v>
      </c>
      <c r="G4033" t="s">
        <v>427</v>
      </c>
      <c r="H4033" t="str">
        <f>VLOOKUP(record[[#This Row],[ProcessSN]],表格2_7[],2,FALSE)</f>
        <v>30-4118-018-600</v>
      </c>
      <c r="I4033" t="str">
        <f>VLOOKUP(record[[#This Row],[ProcessSN]],表格2_7[],3,FALSE)</f>
        <v>#100STOCK</v>
      </c>
      <c r="J4033" t="s">
        <v>592</v>
      </c>
      <c r="K4033" s="195">
        <v>46059.453229166669</v>
      </c>
      <c r="L4033">
        <v>146</v>
      </c>
      <c r="M4033">
        <v>0</v>
      </c>
      <c r="N4033" s="98" t="str">
        <f>IF(record[[#This Row],[Memo]]="Browser:chrome os:android","平板報工",IF(record[[#This Row],[Memo]]=0,"委外",record[[#This Row],[Memo]]))</f>
        <v/>
      </c>
      <c r="O4033" t="s">
        <v>58</v>
      </c>
      <c r="P4033" t="s">
        <v>886</v>
      </c>
      <c r="Q4033" t="s">
        <v>58</v>
      </c>
      <c r="R4033" t="str">
        <f>IFERROR(VLOOKUP(record[[#This Row],[PCUSTID]],廠商[],2,FALSE),"")</f>
        <v/>
      </c>
      <c r="S4033" t="str">
        <f>VLOOKUP(record[[#This Row],[employeeID]],員工[],2,FALSE)</f>
        <v>謝蓁薰</v>
      </c>
    </row>
    <row r="4034" spans="6:19" hidden="1" x14ac:dyDescent="0.25">
      <c r="F4034" t="s">
        <v>1494</v>
      </c>
      <c r="G4034" t="s">
        <v>427</v>
      </c>
      <c r="H4034" t="str">
        <f>VLOOKUP(record[[#This Row],[ProcessSN]],表格2_7[],2,FALSE)</f>
        <v>30-4118-018-600</v>
      </c>
      <c r="I4034" t="str">
        <f>VLOOKUP(record[[#This Row],[ProcessSN]],表格2_7[],3,FALSE)</f>
        <v>#100STOCK</v>
      </c>
      <c r="J4034" t="s">
        <v>592</v>
      </c>
      <c r="K4034" s="195">
        <v>46059.452731481484</v>
      </c>
      <c r="L4034">
        <v>139</v>
      </c>
      <c r="M4034">
        <v>0</v>
      </c>
      <c r="N4034" s="98" t="str">
        <f>IF(record[[#This Row],[Memo]]="Browser:chrome os:android","平板報工",IF(record[[#This Row],[Memo]]=0,"委外",record[[#This Row],[Memo]]))</f>
        <v/>
      </c>
      <c r="O4034" t="s">
        <v>58</v>
      </c>
      <c r="P4034" t="s">
        <v>886</v>
      </c>
      <c r="Q4034" t="s">
        <v>58</v>
      </c>
      <c r="R4034" t="str">
        <f>IFERROR(VLOOKUP(record[[#This Row],[PCUSTID]],廠商[],2,FALSE),"")</f>
        <v/>
      </c>
      <c r="S4034" t="str">
        <f>VLOOKUP(record[[#This Row],[employeeID]],員工[],2,FALSE)</f>
        <v>謝蓁薰</v>
      </c>
    </row>
    <row r="4035" spans="6:19" hidden="1" x14ac:dyDescent="0.25">
      <c r="F4035" t="s">
        <v>1497</v>
      </c>
      <c r="G4035" t="s">
        <v>403</v>
      </c>
      <c r="H4035" t="str">
        <f>VLOOKUP(record[[#This Row],[ProcessSN]],表格2_7[],2,FALSE)</f>
        <v>30-4118-018-550</v>
      </c>
      <c r="I4035" t="str">
        <f>VLOOKUP(record[[#This Row],[ProcessSN]],表格2_7[],3,FALSE)</f>
        <v>#100SHIP</v>
      </c>
      <c r="J4035" t="s">
        <v>600</v>
      </c>
      <c r="K4035" s="195">
        <v>46059.452592592592</v>
      </c>
      <c r="L4035">
        <v>125</v>
      </c>
      <c r="M4035">
        <v>0</v>
      </c>
      <c r="N4035" s="98" t="str">
        <f>IF(record[[#This Row],[Memo]]="Browser:chrome os:android","平板報工",IF(record[[#This Row],[Memo]]=0,"委外",record[[#This Row],[Memo]]))</f>
        <v/>
      </c>
      <c r="O4035" t="s">
        <v>58</v>
      </c>
      <c r="P4035" t="s">
        <v>886</v>
      </c>
      <c r="Q4035" t="s">
        <v>58</v>
      </c>
      <c r="R4035" t="str">
        <f>IFERROR(VLOOKUP(record[[#This Row],[PCUSTID]],廠商[],2,FALSE),"")</f>
        <v/>
      </c>
      <c r="S4035" t="str">
        <f>VLOOKUP(record[[#This Row],[employeeID]],員工[],2,FALSE)</f>
        <v>謝蓁薰</v>
      </c>
    </row>
    <row r="4036" spans="6:19" hidden="1" x14ac:dyDescent="0.25">
      <c r="F4036" t="s">
        <v>1048</v>
      </c>
      <c r="G4036" t="s">
        <v>403</v>
      </c>
      <c r="H4036" t="str">
        <f>VLOOKUP(record[[#This Row],[ProcessSN]],表格2_7[],2,FALSE)</f>
        <v>30-4118-018-550</v>
      </c>
      <c r="I4036" t="str">
        <f>VLOOKUP(record[[#This Row],[ProcessSN]],表格2_7[],3,FALSE)</f>
        <v>#100SHIP</v>
      </c>
      <c r="J4036" t="s">
        <v>600</v>
      </c>
      <c r="K4036" s="195">
        <v>46059.45239583333</v>
      </c>
      <c r="L4036">
        <v>6</v>
      </c>
      <c r="M4036">
        <v>0</v>
      </c>
      <c r="N4036" s="98" t="str">
        <f>IF(record[[#This Row],[Memo]]="Browser:chrome os:android","平板報工",IF(record[[#This Row],[Memo]]=0,"委外",record[[#This Row],[Memo]]))</f>
        <v/>
      </c>
      <c r="O4036" t="s">
        <v>58</v>
      </c>
      <c r="P4036" t="s">
        <v>886</v>
      </c>
      <c r="Q4036" t="s">
        <v>58</v>
      </c>
      <c r="R4036" t="str">
        <f>IFERROR(VLOOKUP(record[[#This Row],[PCUSTID]],廠商[],2,FALSE),"")</f>
        <v/>
      </c>
      <c r="S4036" t="str">
        <f>VLOOKUP(record[[#This Row],[employeeID]],員工[],2,FALSE)</f>
        <v>謝蓁薰</v>
      </c>
    </row>
    <row r="4037" spans="6:19" hidden="1" x14ac:dyDescent="0.25">
      <c r="F4037" t="s">
        <v>1237</v>
      </c>
      <c r="G4037" t="s">
        <v>403</v>
      </c>
      <c r="H4037" t="str">
        <f>VLOOKUP(record[[#This Row],[ProcessSN]],表格2_7[],2,FALSE)</f>
        <v>30-4118-018-550</v>
      </c>
      <c r="I4037" t="str">
        <f>VLOOKUP(record[[#This Row],[ProcessSN]],表格2_7[],3,FALSE)</f>
        <v>#100SHIP</v>
      </c>
      <c r="J4037" t="s">
        <v>600</v>
      </c>
      <c r="K4037" s="195">
        <v>46059.452233796299</v>
      </c>
      <c r="L4037">
        <v>28</v>
      </c>
      <c r="M4037">
        <v>0</v>
      </c>
      <c r="N4037" s="98" t="str">
        <f>IF(record[[#This Row],[Memo]]="Browser:chrome os:android","平板報工",IF(record[[#This Row],[Memo]]=0,"委外",record[[#This Row],[Memo]]))</f>
        <v/>
      </c>
      <c r="O4037" t="s">
        <v>58</v>
      </c>
      <c r="P4037" t="s">
        <v>886</v>
      </c>
      <c r="Q4037" t="s">
        <v>58</v>
      </c>
      <c r="R4037" t="str">
        <f>IFERROR(VLOOKUP(record[[#This Row],[PCUSTID]],廠商[],2,FALSE),"")</f>
        <v/>
      </c>
      <c r="S4037" t="str">
        <f>VLOOKUP(record[[#This Row],[employeeID]],員工[],2,FALSE)</f>
        <v>謝蓁薰</v>
      </c>
    </row>
    <row r="4038" spans="6:19" hidden="1" x14ac:dyDescent="0.25">
      <c r="F4038" t="s">
        <v>1200</v>
      </c>
      <c r="G4038" t="s">
        <v>403</v>
      </c>
      <c r="H4038" t="str">
        <f>VLOOKUP(record[[#This Row],[ProcessSN]],表格2_7[],2,FALSE)</f>
        <v>30-4118-018-550</v>
      </c>
      <c r="I4038" t="str">
        <f>VLOOKUP(record[[#This Row],[ProcessSN]],表格2_7[],3,FALSE)</f>
        <v>#100SHIP</v>
      </c>
      <c r="J4038" t="s">
        <v>600</v>
      </c>
      <c r="K4038" s="195">
        <v>46059.452094907407</v>
      </c>
      <c r="L4038">
        <v>8</v>
      </c>
      <c r="M4038">
        <v>0</v>
      </c>
      <c r="N4038" s="98" t="str">
        <f>IF(record[[#This Row],[Memo]]="Browser:chrome os:android","平板報工",IF(record[[#This Row],[Memo]]=0,"委外",record[[#This Row],[Memo]]))</f>
        <v/>
      </c>
      <c r="O4038" t="s">
        <v>58</v>
      </c>
      <c r="P4038" t="s">
        <v>886</v>
      </c>
      <c r="Q4038" t="s">
        <v>58</v>
      </c>
      <c r="R4038" t="str">
        <f>IFERROR(VLOOKUP(record[[#This Row],[PCUSTID]],廠商[],2,FALSE),"")</f>
        <v/>
      </c>
      <c r="S4038" t="str">
        <f>VLOOKUP(record[[#This Row],[employeeID]],員工[],2,FALSE)</f>
        <v>謝蓁薰</v>
      </c>
    </row>
    <row r="4039" spans="6:19" hidden="1" x14ac:dyDescent="0.25">
      <c r="F4039" t="s">
        <v>1527</v>
      </c>
      <c r="G4039" t="s">
        <v>452</v>
      </c>
      <c r="H4039" t="str">
        <f>VLOOKUP(record[[#This Row],[ProcessSN]],表格2_7[],2,FALSE)</f>
        <v>30-4118-018-6XX</v>
      </c>
      <c r="I4039" t="str">
        <f>VLOOKUP(record[[#This Row],[ProcessSN]],表格2_7[],3,FALSE)</f>
        <v>#07QC</v>
      </c>
      <c r="J4039" t="s">
        <v>589</v>
      </c>
      <c r="K4039" s="195">
        <v>46059.41678240741</v>
      </c>
      <c r="L4039">
        <v>0</v>
      </c>
      <c r="M4039">
        <v>2</v>
      </c>
      <c r="N4039" s="98" t="str">
        <f>IF(record[[#This Row],[Memo]]="Browser:chrome os:android","平板報工",IF(record[[#This Row],[Memo]]=0,"委外",record[[#This Row],[Memo]]))</f>
        <v/>
      </c>
      <c r="O4039" t="s">
        <v>58</v>
      </c>
      <c r="P4039" t="s">
        <v>141</v>
      </c>
      <c r="Q4039" t="s">
        <v>58</v>
      </c>
      <c r="R4039" t="str">
        <f>IFERROR(VLOOKUP(record[[#This Row],[PCUSTID]],廠商[],2,FALSE),"")</f>
        <v/>
      </c>
      <c r="S4039" t="str">
        <f>VLOOKUP(record[[#This Row],[employeeID]],員工[],2,FALSE)</f>
        <v>蔣梅</v>
      </c>
    </row>
    <row r="4040" spans="6:19" hidden="1" x14ac:dyDescent="0.25">
      <c r="F4040" t="s">
        <v>1527</v>
      </c>
      <c r="G4040" t="s">
        <v>452</v>
      </c>
      <c r="H4040" t="str">
        <f>VLOOKUP(record[[#This Row],[ProcessSN]],表格2_7[],2,FALSE)</f>
        <v>30-4118-018-6XX</v>
      </c>
      <c r="I4040" t="str">
        <f>VLOOKUP(record[[#This Row],[ProcessSN]],表格2_7[],3,FALSE)</f>
        <v>#07QC</v>
      </c>
      <c r="J4040" t="s">
        <v>589</v>
      </c>
      <c r="K4040" s="195">
        <v>46059.416585648149</v>
      </c>
      <c r="L4040">
        <v>85</v>
      </c>
      <c r="M4040">
        <v>0</v>
      </c>
      <c r="N4040" s="98" t="str">
        <f>IF(record[[#This Row],[Memo]]="Browser:chrome os:android","平板報工",IF(record[[#This Row],[Memo]]=0,"委外",record[[#This Row],[Memo]]))</f>
        <v/>
      </c>
      <c r="O4040" t="s">
        <v>58</v>
      </c>
      <c r="P4040" t="s">
        <v>141</v>
      </c>
      <c r="Q4040" t="s">
        <v>58</v>
      </c>
      <c r="R4040" t="str">
        <f>IFERROR(VLOOKUP(record[[#This Row],[PCUSTID]],廠商[],2,FALSE),"")</f>
        <v/>
      </c>
      <c r="S4040" t="str">
        <f>VLOOKUP(record[[#This Row],[employeeID]],員工[],2,FALSE)</f>
        <v>蔣梅</v>
      </c>
    </row>
    <row r="4041" spans="6:19" hidden="1" x14ac:dyDescent="0.25">
      <c r="F4041" t="s">
        <v>1527</v>
      </c>
      <c r="G4041" t="s">
        <v>452</v>
      </c>
      <c r="H4041" t="str">
        <f>VLOOKUP(record[[#This Row],[ProcessSN]],表格2_7[],2,FALSE)</f>
        <v>30-4118-018-6XX</v>
      </c>
      <c r="I4041" t="str">
        <f>VLOOKUP(record[[#This Row],[ProcessSN]],表格2_7[],3,FALSE)</f>
        <v>#07QC</v>
      </c>
      <c r="J4041" t="s">
        <v>589</v>
      </c>
      <c r="K4041" s="195">
        <v>46059.382592592592</v>
      </c>
      <c r="L4041">
        <v>75</v>
      </c>
      <c r="M4041">
        <v>0</v>
      </c>
      <c r="N4041" s="98" t="str">
        <f>IF(record[[#This Row],[Memo]]="Browser:chrome os:android","平板報工",IF(record[[#This Row],[Memo]]=0,"委外",record[[#This Row],[Memo]]))</f>
        <v/>
      </c>
      <c r="O4041" t="s">
        <v>58</v>
      </c>
      <c r="P4041" t="s">
        <v>141</v>
      </c>
      <c r="Q4041" t="s">
        <v>58</v>
      </c>
      <c r="R4041" t="str">
        <f>IFERROR(VLOOKUP(record[[#This Row],[PCUSTID]],廠商[],2,FALSE),"")</f>
        <v/>
      </c>
      <c r="S4041" t="str">
        <f>VLOOKUP(record[[#This Row],[employeeID]],員工[],2,FALSE)</f>
        <v>蔣梅</v>
      </c>
    </row>
    <row r="4042" spans="6:19" hidden="1" x14ac:dyDescent="0.25">
      <c r="F4042" t="s">
        <v>1507</v>
      </c>
      <c r="G4042" t="s">
        <v>452</v>
      </c>
      <c r="H4042" t="str">
        <f>VLOOKUP(record[[#This Row],[ProcessSN]],表格2_7[],2,FALSE)</f>
        <v>30-4118-018-6XX</v>
      </c>
      <c r="I4042" t="str">
        <f>VLOOKUP(record[[#This Row],[ProcessSN]],表格2_7[],3,FALSE)</f>
        <v>#07QC</v>
      </c>
      <c r="J4042" t="s">
        <v>589</v>
      </c>
      <c r="K4042" s="195">
        <v>46059.382418981484</v>
      </c>
      <c r="L4042">
        <v>0</v>
      </c>
      <c r="M4042">
        <v>1</v>
      </c>
      <c r="N4042" s="98" t="str">
        <f>IF(record[[#This Row],[Memo]]="Browser:chrome os:android","平板報工",IF(record[[#This Row],[Memo]]=0,"委外",record[[#This Row],[Memo]]))</f>
        <v/>
      </c>
      <c r="O4042" t="s">
        <v>58</v>
      </c>
      <c r="P4042" t="s">
        <v>141</v>
      </c>
      <c r="Q4042" t="s">
        <v>58</v>
      </c>
      <c r="R4042" t="str">
        <f>IFERROR(VLOOKUP(record[[#This Row],[PCUSTID]],廠商[],2,FALSE),"")</f>
        <v/>
      </c>
      <c r="S4042" t="str">
        <f>VLOOKUP(record[[#This Row],[employeeID]],員工[],2,FALSE)</f>
        <v>蔣梅</v>
      </c>
    </row>
    <row r="4043" spans="6:19" hidden="1" x14ac:dyDescent="0.25">
      <c r="F4043" t="s">
        <v>1507</v>
      </c>
      <c r="G4043" t="s">
        <v>452</v>
      </c>
      <c r="H4043" t="str">
        <f>VLOOKUP(record[[#This Row],[ProcessSN]],表格2_7[],2,FALSE)</f>
        <v>30-4118-018-6XX</v>
      </c>
      <c r="I4043" t="str">
        <f>VLOOKUP(record[[#This Row],[ProcessSN]],表格2_7[],3,FALSE)</f>
        <v>#07QC</v>
      </c>
      <c r="J4043" t="s">
        <v>589</v>
      </c>
      <c r="K4043" s="195">
        <v>46059.382280092592</v>
      </c>
      <c r="L4043">
        <v>83</v>
      </c>
      <c r="M4043">
        <v>0</v>
      </c>
      <c r="N4043" s="98" t="str">
        <f>IF(record[[#This Row],[Memo]]="Browser:chrome os:android","平板報工",IF(record[[#This Row],[Memo]]=0,"委外",record[[#This Row],[Memo]]))</f>
        <v/>
      </c>
      <c r="O4043" t="s">
        <v>58</v>
      </c>
      <c r="P4043" t="s">
        <v>141</v>
      </c>
      <c r="Q4043" t="s">
        <v>58</v>
      </c>
      <c r="R4043" t="str">
        <f>IFERROR(VLOOKUP(record[[#This Row],[PCUSTID]],廠商[],2,FALSE),"")</f>
        <v/>
      </c>
      <c r="S4043" t="str">
        <f>VLOOKUP(record[[#This Row],[employeeID]],員工[],2,FALSE)</f>
        <v>蔣梅</v>
      </c>
    </row>
    <row r="4044" spans="6:19" hidden="1" x14ac:dyDescent="0.25">
      <c r="F4044" t="s">
        <v>1551</v>
      </c>
      <c r="G4044" t="s">
        <v>468</v>
      </c>
      <c r="H4044" t="str">
        <f>VLOOKUP(record[[#This Row],[ProcessSN]],表格2_7[],2,FALSE)</f>
        <v>30-4118-018-XXX</v>
      </c>
      <c r="I4044" t="str">
        <f>VLOOKUP(record[[#This Row],[ProcessSN]],表格2_7[],3,FALSE)</f>
        <v>#02</v>
      </c>
      <c r="J4044" t="s">
        <v>590</v>
      </c>
      <c r="K4044" s="195">
        <v>46059.378368055557</v>
      </c>
      <c r="L4044">
        <v>1206</v>
      </c>
      <c r="M4044">
        <v>0</v>
      </c>
      <c r="N4044" s="98" t="str">
        <f>IF(record[[#This Row],[Memo]]="Browser:chrome os:android","平板報工",IF(record[[#This Row],[Memo]]=0,"委外",record[[#This Row],[Memo]]))</f>
        <v>委外</v>
      </c>
      <c r="P4044" t="s">
        <v>186</v>
      </c>
      <c r="Q4044" t="s">
        <v>216</v>
      </c>
      <c r="R4044" t="str">
        <f>IFERROR(VLOOKUP(record[[#This Row],[PCUSTID]],廠商[],2,FALSE),"")</f>
        <v>俊杰</v>
      </c>
      <c r="S4044" t="str">
        <f>VLOOKUP(record[[#This Row],[employeeID]],員工[],2,FALSE)</f>
        <v>許文姍</v>
      </c>
    </row>
    <row r="4045" spans="6:19" hidden="1" x14ac:dyDescent="0.25">
      <c r="F4045" t="s">
        <v>1551</v>
      </c>
      <c r="G4045" t="s">
        <v>467</v>
      </c>
      <c r="H4045" t="str">
        <f>VLOOKUP(record[[#This Row],[ProcessSN]],表格2_7[],2,FALSE)</f>
        <v>30-4118-018-XXX</v>
      </c>
      <c r="I4045" t="str">
        <f>VLOOKUP(record[[#This Row],[ProcessSN]],表格2_7[],3,FALSE)</f>
        <v>#01QC</v>
      </c>
      <c r="J4045" t="s">
        <v>589</v>
      </c>
      <c r="K4045" s="195">
        <v>46059.363622685189</v>
      </c>
      <c r="L4045">
        <v>200</v>
      </c>
      <c r="M4045">
        <v>0</v>
      </c>
      <c r="N4045" s="98" t="str">
        <f>IF(record[[#This Row],[Memo]]="Browser:chrome os:android","平板報工",IF(record[[#This Row],[Memo]]=0,"委外",record[[#This Row],[Memo]]))</f>
        <v>平板報工</v>
      </c>
      <c r="O4045" t="s">
        <v>643</v>
      </c>
      <c r="P4045" t="s">
        <v>182</v>
      </c>
      <c r="Q4045" t="s">
        <v>644</v>
      </c>
      <c r="R4045" t="str">
        <f>IFERROR(VLOOKUP(record[[#This Row],[PCUSTID]],廠商[],2,FALSE),"")</f>
        <v/>
      </c>
      <c r="S4045" t="str">
        <f>VLOOKUP(record[[#This Row],[employeeID]],員工[],2,FALSE)</f>
        <v>梅氏和</v>
      </c>
    </row>
    <row r="4046" spans="6:19" hidden="1" x14ac:dyDescent="0.25">
      <c r="F4046" t="s">
        <v>1551</v>
      </c>
      <c r="G4046" t="s">
        <v>467</v>
      </c>
      <c r="H4046" t="str">
        <f>VLOOKUP(record[[#This Row],[ProcessSN]],表格2_7[],2,FALSE)</f>
        <v>30-4118-018-XXX</v>
      </c>
      <c r="I4046" t="str">
        <f>VLOOKUP(record[[#This Row],[ProcessSN]],表格2_7[],3,FALSE)</f>
        <v>#01QC</v>
      </c>
      <c r="J4046" t="s">
        <v>589</v>
      </c>
      <c r="K4046" s="195">
        <v>46059.361597222225</v>
      </c>
      <c r="L4046">
        <v>672</v>
      </c>
      <c r="M4046">
        <v>0</v>
      </c>
      <c r="N4046" s="98" t="str">
        <f>IF(record[[#This Row],[Memo]]="Browser:chrome os:android","平板報工",IF(record[[#This Row],[Memo]]=0,"委外",record[[#This Row],[Memo]]))</f>
        <v>平板報工</v>
      </c>
      <c r="O4046" t="s">
        <v>643</v>
      </c>
      <c r="P4046" t="s">
        <v>182</v>
      </c>
      <c r="Q4046" t="s">
        <v>644</v>
      </c>
      <c r="R4046" t="str">
        <f>IFERROR(VLOOKUP(record[[#This Row],[PCUSTID]],廠商[],2,FALSE),"")</f>
        <v/>
      </c>
      <c r="S4046" t="str">
        <f>VLOOKUP(record[[#This Row],[employeeID]],員工[],2,FALSE)</f>
        <v>梅氏和</v>
      </c>
    </row>
    <row r="4047" spans="6:19" hidden="1" x14ac:dyDescent="0.25">
      <c r="F4047" t="s">
        <v>1478</v>
      </c>
      <c r="G4047" t="s">
        <v>426</v>
      </c>
      <c r="H4047" t="str">
        <f>VLOOKUP(record[[#This Row],[ProcessSN]],表格2_7[],2,FALSE)</f>
        <v>30-4118-018-600</v>
      </c>
      <c r="I4047" t="str">
        <f>VLOOKUP(record[[#This Row],[ProcessSN]],表格2_7[],3,FALSE)</f>
        <v>#100OQC</v>
      </c>
      <c r="J4047" t="s">
        <v>599</v>
      </c>
      <c r="K4047" s="195">
        <v>46059.325069444443</v>
      </c>
      <c r="L4047">
        <v>2</v>
      </c>
      <c r="M4047">
        <v>0</v>
      </c>
      <c r="N4047" s="98" t="str">
        <f>IF(record[[#This Row],[Memo]]="Browser:chrome os:android","平板報工",IF(record[[#This Row],[Memo]]=0,"委外",record[[#This Row],[Memo]]))</f>
        <v/>
      </c>
      <c r="O4047" t="s">
        <v>58</v>
      </c>
      <c r="P4047" t="s">
        <v>121</v>
      </c>
      <c r="Q4047" t="s">
        <v>58</v>
      </c>
      <c r="R4047" t="str">
        <f>IFERROR(VLOOKUP(record[[#This Row],[PCUSTID]],廠商[],2,FALSE),"")</f>
        <v/>
      </c>
      <c r="S4047" t="str">
        <f>VLOOKUP(record[[#This Row],[employeeID]],員工[],2,FALSE)</f>
        <v>謝素卿</v>
      </c>
    </row>
    <row r="4048" spans="6:19" hidden="1" x14ac:dyDescent="0.25">
      <c r="F4048" t="s">
        <v>1467</v>
      </c>
      <c r="G4048" t="s">
        <v>426</v>
      </c>
      <c r="H4048" t="str">
        <f>VLOOKUP(record[[#This Row],[ProcessSN]],表格2_7[],2,FALSE)</f>
        <v>30-4118-018-600</v>
      </c>
      <c r="I4048" t="str">
        <f>VLOOKUP(record[[#This Row],[ProcessSN]],表格2_7[],3,FALSE)</f>
        <v>#100OQC</v>
      </c>
      <c r="J4048" t="s">
        <v>599</v>
      </c>
      <c r="K4048" s="195">
        <v>46059.32472222222</v>
      </c>
      <c r="L4048">
        <v>7</v>
      </c>
      <c r="M4048">
        <v>0</v>
      </c>
      <c r="N4048" s="98" t="str">
        <f>IF(record[[#This Row],[Memo]]="Browser:chrome os:android","平板報工",IF(record[[#This Row],[Memo]]=0,"委外",record[[#This Row],[Memo]]))</f>
        <v/>
      </c>
      <c r="O4048" t="s">
        <v>58</v>
      </c>
      <c r="P4048" t="s">
        <v>121</v>
      </c>
      <c r="Q4048" t="s">
        <v>58</v>
      </c>
      <c r="R4048" t="str">
        <f>IFERROR(VLOOKUP(record[[#This Row],[PCUSTID]],廠商[],2,FALSE),"")</f>
        <v/>
      </c>
      <c r="S4048" t="str">
        <f>VLOOKUP(record[[#This Row],[employeeID]],員工[],2,FALSE)</f>
        <v>謝素卿</v>
      </c>
    </row>
    <row r="4049" spans="6:19" hidden="1" x14ac:dyDescent="0.25">
      <c r="F4049" t="s">
        <v>1534</v>
      </c>
      <c r="G4049" t="s">
        <v>426</v>
      </c>
      <c r="H4049" t="str">
        <f>VLOOKUP(record[[#This Row],[ProcessSN]],表格2_7[],2,FALSE)</f>
        <v>30-4118-018-600</v>
      </c>
      <c r="I4049" t="str">
        <f>VLOOKUP(record[[#This Row],[ProcessSN]],表格2_7[],3,FALSE)</f>
        <v>#100OQC</v>
      </c>
      <c r="J4049" t="s">
        <v>599</v>
      </c>
      <c r="K4049" s="195">
        <v>46059.324386574073</v>
      </c>
      <c r="L4049">
        <v>672</v>
      </c>
      <c r="M4049">
        <v>0</v>
      </c>
      <c r="N4049" s="98" t="str">
        <f>IF(record[[#This Row],[Memo]]="Browser:chrome os:android","平板報工",IF(record[[#This Row],[Memo]]=0,"委外",record[[#This Row],[Memo]]))</f>
        <v/>
      </c>
      <c r="O4049" t="s">
        <v>58</v>
      </c>
      <c r="P4049" t="s">
        <v>121</v>
      </c>
      <c r="Q4049" t="s">
        <v>58</v>
      </c>
      <c r="R4049" t="str">
        <f>IFERROR(VLOOKUP(record[[#This Row],[PCUSTID]],廠商[],2,FALSE),"")</f>
        <v/>
      </c>
      <c r="S4049" t="str">
        <f>VLOOKUP(record[[#This Row],[employeeID]],員工[],2,FALSE)</f>
        <v>謝素卿</v>
      </c>
    </row>
    <row r="4050" spans="6:19" hidden="1" x14ac:dyDescent="0.25">
      <c r="F4050" t="s">
        <v>1522</v>
      </c>
      <c r="G4050" t="s">
        <v>426</v>
      </c>
      <c r="H4050" t="str">
        <f>VLOOKUP(record[[#This Row],[ProcessSN]],表格2_7[],2,FALSE)</f>
        <v>30-4118-018-600</v>
      </c>
      <c r="I4050" t="str">
        <f>VLOOKUP(record[[#This Row],[ProcessSN]],表格2_7[],3,FALSE)</f>
        <v>#100OQC</v>
      </c>
      <c r="J4050" t="s">
        <v>599</v>
      </c>
      <c r="K4050" s="195">
        <v>46059.324259259258</v>
      </c>
      <c r="L4050">
        <v>153</v>
      </c>
      <c r="M4050">
        <v>0</v>
      </c>
      <c r="N4050" s="98" t="str">
        <f>IF(record[[#This Row],[Memo]]="Browser:chrome os:android","平板報工",IF(record[[#This Row],[Memo]]=0,"委外",record[[#This Row],[Memo]]))</f>
        <v/>
      </c>
      <c r="O4050" t="s">
        <v>58</v>
      </c>
      <c r="P4050" t="s">
        <v>121</v>
      </c>
      <c r="Q4050" t="s">
        <v>58</v>
      </c>
      <c r="R4050" t="str">
        <f>IFERROR(VLOOKUP(record[[#This Row],[PCUSTID]],廠商[],2,FALSE),"")</f>
        <v/>
      </c>
      <c r="S4050" t="str">
        <f>VLOOKUP(record[[#This Row],[employeeID]],員工[],2,FALSE)</f>
        <v>謝素卿</v>
      </c>
    </row>
    <row r="4051" spans="6:19" hidden="1" x14ac:dyDescent="0.25">
      <c r="F4051" t="s">
        <v>1568</v>
      </c>
      <c r="G4051" t="s">
        <v>415</v>
      </c>
      <c r="H4051" t="str">
        <f>VLOOKUP(record[[#This Row],[ProcessSN]],表格2_7[],2,FALSE)</f>
        <v>30-4118-018-5XX</v>
      </c>
      <c r="I4051" t="str">
        <f>VLOOKUP(record[[#This Row],[ProcessSN]],表格2_7[],3,FALSE)</f>
        <v>#04</v>
      </c>
      <c r="J4051" t="s">
        <v>588</v>
      </c>
      <c r="K4051" s="195">
        <v>46059.322476851848</v>
      </c>
      <c r="L4051">
        <v>125</v>
      </c>
      <c r="M4051">
        <v>0</v>
      </c>
      <c r="N4051" s="98" t="str">
        <f>IF(record[[#This Row],[Memo]]="Browser:chrome os:android","平板報工",IF(record[[#This Row],[Memo]]=0,"委外",record[[#This Row],[Memo]]))</f>
        <v/>
      </c>
      <c r="O4051" t="s">
        <v>58</v>
      </c>
      <c r="P4051" t="s">
        <v>806</v>
      </c>
      <c r="Q4051" t="s">
        <v>58</v>
      </c>
      <c r="R4051" t="str">
        <f>IFERROR(VLOOKUP(record[[#This Row],[PCUSTID]],廠商[],2,FALSE),"")</f>
        <v/>
      </c>
      <c r="S4051" t="str">
        <f>VLOOKUP(record[[#This Row],[employeeID]],員工[],2,FALSE)</f>
        <v>方思緯</v>
      </c>
    </row>
    <row r="4052" spans="6:19" hidden="1" x14ac:dyDescent="0.25">
      <c r="F4052" t="s">
        <v>1540</v>
      </c>
      <c r="G4052" t="s">
        <v>415</v>
      </c>
      <c r="H4052" t="str">
        <f>VLOOKUP(record[[#This Row],[ProcessSN]],表格2_7[],2,FALSE)</f>
        <v>30-4118-018-5XX</v>
      </c>
      <c r="I4052" t="str">
        <f>VLOOKUP(record[[#This Row],[ProcessSN]],表格2_7[],3,FALSE)</f>
        <v>#04</v>
      </c>
      <c r="J4052" t="s">
        <v>588</v>
      </c>
      <c r="K4052" s="195">
        <v>46059.322326388887</v>
      </c>
      <c r="L4052">
        <v>12</v>
      </c>
      <c r="M4052">
        <v>0</v>
      </c>
      <c r="N4052" s="98" t="str">
        <f>IF(record[[#This Row],[Memo]]="Browser:chrome os:android","平板報工",IF(record[[#This Row],[Memo]]=0,"委外",record[[#This Row],[Memo]]))</f>
        <v/>
      </c>
      <c r="O4052" t="s">
        <v>58</v>
      </c>
      <c r="P4052" t="s">
        <v>806</v>
      </c>
      <c r="Q4052" t="s">
        <v>58</v>
      </c>
      <c r="R4052" t="str">
        <f>IFERROR(VLOOKUP(record[[#This Row],[PCUSTID]],廠商[],2,FALSE),"")</f>
        <v/>
      </c>
      <c r="S4052" t="str">
        <f>VLOOKUP(record[[#This Row],[employeeID]],員工[],2,FALSE)</f>
        <v>方思緯</v>
      </c>
    </row>
    <row r="4053" spans="6:19" hidden="1" x14ac:dyDescent="0.25">
      <c r="F4053" t="s">
        <v>1551</v>
      </c>
      <c r="G4053" t="s">
        <v>466</v>
      </c>
      <c r="H4053" t="str">
        <f>VLOOKUP(record[[#This Row],[ProcessSN]],表格2_7[],2,FALSE)</f>
        <v>30-4118-018-XXX</v>
      </c>
      <c r="I4053" t="str">
        <f>VLOOKUP(record[[#This Row],[ProcessSN]],表格2_7[],3,FALSE)</f>
        <v>#01-2</v>
      </c>
      <c r="J4053" t="s">
        <v>588</v>
      </c>
      <c r="K4053" s="195">
        <v>46059.321643518517</v>
      </c>
      <c r="L4053">
        <v>264</v>
      </c>
      <c r="M4053">
        <v>0</v>
      </c>
      <c r="N4053" s="98" t="str">
        <f>IF(record[[#This Row],[Memo]]="Browser:chrome os:android","平板報工",IF(record[[#This Row],[Memo]]=0,"委外",record[[#This Row],[Memo]]))</f>
        <v/>
      </c>
      <c r="O4053" t="s">
        <v>58</v>
      </c>
      <c r="P4053" t="s">
        <v>806</v>
      </c>
      <c r="Q4053" t="s">
        <v>58</v>
      </c>
      <c r="R4053" t="str">
        <f>IFERROR(VLOOKUP(record[[#This Row],[PCUSTID]],廠商[],2,FALSE),"")</f>
        <v/>
      </c>
      <c r="S4053" t="str">
        <f>VLOOKUP(record[[#This Row],[employeeID]],員工[],2,FALSE)</f>
        <v>方思緯</v>
      </c>
    </row>
    <row r="4054" spans="6:19" hidden="1" x14ac:dyDescent="0.25">
      <c r="F4054" t="s">
        <v>1570</v>
      </c>
      <c r="G4054" t="s">
        <v>373</v>
      </c>
      <c r="H4054" t="str">
        <f>VLOOKUP(record[[#This Row],[ProcessSN]],表格2_7[],2,FALSE)</f>
        <v>30-4118-018-4XX</v>
      </c>
      <c r="I4054" t="str">
        <f>VLOOKUP(record[[#This Row],[ProcessSN]],表格2_7[],3,FALSE)</f>
        <v>#03</v>
      </c>
      <c r="J4054" t="s">
        <v>588</v>
      </c>
      <c r="K4054" s="195">
        <v>46059.321018518516</v>
      </c>
      <c r="L4054">
        <v>264</v>
      </c>
      <c r="M4054">
        <v>0</v>
      </c>
      <c r="N4054" s="98" t="str">
        <f>IF(record[[#This Row],[Memo]]="Browser:chrome os:android","平板報工",IF(record[[#This Row],[Memo]]=0,"委外",record[[#This Row],[Memo]]))</f>
        <v/>
      </c>
      <c r="O4054" t="s">
        <v>58</v>
      </c>
      <c r="P4054" t="s">
        <v>843</v>
      </c>
      <c r="Q4054" t="s">
        <v>58</v>
      </c>
      <c r="R4054" t="str">
        <f>IFERROR(VLOOKUP(record[[#This Row],[PCUSTID]],廠商[],2,FALSE),"")</f>
        <v/>
      </c>
      <c r="S4054" t="str">
        <f>VLOOKUP(record[[#This Row],[employeeID]],員工[],2,FALSE)</f>
        <v>張楚承</v>
      </c>
    </row>
    <row r="4055" spans="6:19" hidden="1" x14ac:dyDescent="0.25">
      <c r="F4055" t="s">
        <v>1569</v>
      </c>
      <c r="G4055" t="s">
        <v>447</v>
      </c>
      <c r="H4055" t="str">
        <f>VLOOKUP(record[[#This Row],[ProcessSN]],表格2_7[],2,FALSE)</f>
        <v>30-4118-018-6XX</v>
      </c>
      <c r="I4055" t="str">
        <f>VLOOKUP(record[[#This Row],[ProcessSN]],表格2_7[],3,FALSE)</f>
        <v>#03</v>
      </c>
      <c r="J4055" t="s">
        <v>588</v>
      </c>
      <c r="K4055" s="195">
        <v>46059.320844907408</v>
      </c>
      <c r="L4055">
        <v>206</v>
      </c>
      <c r="M4055">
        <v>0</v>
      </c>
      <c r="N4055" s="98" t="str">
        <f>IF(record[[#This Row],[Memo]]="Browser:chrome os:android","平板報工",IF(record[[#This Row],[Memo]]=0,"委外",record[[#This Row],[Memo]]))</f>
        <v/>
      </c>
      <c r="O4055" t="s">
        <v>58</v>
      </c>
      <c r="P4055" t="s">
        <v>843</v>
      </c>
      <c r="Q4055" t="s">
        <v>58</v>
      </c>
      <c r="R4055" t="str">
        <f>IFERROR(VLOOKUP(record[[#This Row],[PCUSTID]],廠商[],2,FALSE),"")</f>
        <v/>
      </c>
      <c r="S4055" t="str">
        <f>VLOOKUP(record[[#This Row],[employeeID]],員工[],2,FALSE)</f>
        <v>張楚承</v>
      </c>
    </row>
    <row r="4056" spans="6:19" hidden="1" x14ac:dyDescent="0.25">
      <c r="F4056" t="s">
        <v>1540</v>
      </c>
      <c r="G4056" t="s">
        <v>415</v>
      </c>
      <c r="H4056" t="str">
        <f>VLOOKUP(record[[#This Row],[ProcessSN]],表格2_7[],2,FALSE)</f>
        <v>30-4118-018-5XX</v>
      </c>
      <c r="I4056" t="str">
        <f>VLOOKUP(record[[#This Row],[ProcessSN]],表格2_7[],3,FALSE)</f>
        <v>#04</v>
      </c>
      <c r="J4056" t="s">
        <v>588</v>
      </c>
      <c r="K4056" s="195">
        <v>46058.980185185188</v>
      </c>
      <c r="L4056">
        <v>128</v>
      </c>
      <c r="M4056">
        <v>0</v>
      </c>
      <c r="N4056" s="98" t="str">
        <f>IF(record[[#This Row],[Memo]]="Browser:chrome os:android","平板報工",IF(record[[#This Row],[Memo]]=0,"委外",record[[#This Row],[Memo]]))</f>
        <v/>
      </c>
      <c r="O4056" t="s">
        <v>58</v>
      </c>
      <c r="P4056" t="s">
        <v>115</v>
      </c>
      <c r="Q4056" t="s">
        <v>58</v>
      </c>
      <c r="R4056" t="str">
        <f>IFERROR(VLOOKUP(record[[#This Row],[PCUSTID]],廠商[],2,FALSE),"")</f>
        <v/>
      </c>
      <c r="S4056" t="str">
        <f>VLOOKUP(record[[#This Row],[employeeID]],員工[],2,FALSE)</f>
        <v>溫智淵</v>
      </c>
    </row>
    <row r="4057" spans="6:19" hidden="1" x14ac:dyDescent="0.25">
      <c r="F4057" t="s">
        <v>1527</v>
      </c>
      <c r="G4057" t="s">
        <v>451</v>
      </c>
      <c r="H4057" t="str">
        <f>VLOOKUP(record[[#This Row],[ProcessSN]],表格2_7[],2,FALSE)</f>
        <v>30-4118-018-6XX</v>
      </c>
      <c r="I4057" t="str">
        <f>VLOOKUP(record[[#This Row],[ProcessSN]],表格2_7[],3,FALSE)</f>
        <v>#07</v>
      </c>
      <c r="J4057" t="s">
        <v>588</v>
      </c>
      <c r="K4057" s="195">
        <v>46058.978437500002</v>
      </c>
      <c r="L4057">
        <v>87</v>
      </c>
      <c r="M4057">
        <v>5</v>
      </c>
      <c r="N4057" s="98" t="str">
        <f>IF(record[[#This Row],[Memo]]="Browser:chrome os:android","平板報工",IF(record[[#This Row],[Memo]]=0,"委外",record[[#This Row],[Memo]]))</f>
        <v/>
      </c>
      <c r="O4057" t="s">
        <v>58</v>
      </c>
      <c r="P4057" t="s">
        <v>1098</v>
      </c>
      <c r="Q4057" t="s">
        <v>58</v>
      </c>
      <c r="R4057" t="str">
        <f>IFERROR(VLOOKUP(record[[#This Row],[PCUSTID]],廠商[],2,FALSE),"")</f>
        <v/>
      </c>
      <c r="S4057" t="str">
        <f>VLOOKUP(record[[#This Row],[employeeID]],員工[],2,FALSE)</f>
        <v>阮氏芳英(英)</v>
      </c>
    </row>
    <row r="4058" spans="6:19" hidden="1" x14ac:dyDescent="0.25">
      <c r="F4058" t="s">
        <v>1527</v>
      </c>
      <c r="G4058" t="s">
        <v>450</v>
      </c>
      <c r="H4058" t="str">
        <f>VLOOKUP(record[[#This Row],[ProcessSN]],表格2_7[],2,FALSE)</f>
        <v>30-4118-018-6XX</v>
      </c>
      <c r="I4058" t="str">
        <f>VLOOKUP(record[[#This Row],[ProcessSN]],表格2_7[],3,FALSE)</f>
        <v>#06</v>
      </c>
      <c r="J4058" t="s">
        <v>593</v>
      </c>
      <c r="K4058" s="195">
        <v>46058.978171296294</v>
      </c>
      <c r="L4058">
        <v>92</v>
      </c>
      <c r="M4058">
        <v>0</v>
      </c>
      <c r="N4058" s="98" t="str">
        <f>IF(record[[#This Row],[Memo]]="Browser:chrome os:android","平板報工",IF(record[[#This Row],[Memo]]=0,"委外",record[[#This Row],[Memo]]))</f>
        <v/>
      </c>
      <c r="O4058" t="s">
        <v>58</v>
      </c>
      <c r="P4058" t="s">
        <v>841</v>
      </c>
      <c r="Q4058" t="s">
        <v>58</v>
      </c>
      <c r="R4058" t="str">
        <f>IFERROR(VLOOKUP(record[[#This Row],[PCUSTID]],廠商[],2,FALSE),"")</f>
        <v/>
      </c>
      <c r="S4058" t="str">
        <f>VLOOKUP(record[[#This Row],[employeeID]],員工[],2,FALSE)</f>
        <v>范氏香</v>
      </c>
    </row>
    <row r="4059" spans="6:19" hidden="1" x14ac:dyDescent="0.25">
      <c r="F4059" t="s">
        <v>1551</v>
      </c>
      <c r="G4059" t="s">
        <v>466</v>
      </c>
      <c r="H4059" t="str">
        <f>VLOOKUP(record[[#This Row],[ProcessSN]],表格2_7[],2,FALSE)</f>
        <v>30-4118-018-XXX</v>
      </c>
      <c r="I4059" t="str">
        <f>VLOOKUP(record[[#This Row],[ProcessSN]],表格2_7[],3,FALSE)</f>
        <v>#01-2</v>
      </c>
      <c r="J4059" t="s">
        <v>588</v>
      </c>
      <c r="K4059" s="195">
        <v>46058.977337962962</v>
      </c>
      <c r="L4059">
        <v>347</v>
      </c>
      <c r="M4059">
        <v>0</v>
      </c>
      <c r="N4059" s="98" t="str">
        <f>IF(record[[#This Row],[Memo]]="Browser:chrome os:android","平板報工",IF(record[[#This Row],[Memo]]=0,"委外",record[[#This Row],[Memo]]))</f>
        <v/>
      </c>
      <c r="O4059" t="s">
        <v>58</v>
      </c>
      <c r="P4059" t="s">
        <v>1098</v>
      </c>
      <c r="Q4059" t="s">
        <v>58</v>
      </c>
      <c r="R4059" t="str">
        <f>IFERROR(VLOOKUP(record[[#This Row],[PCUSTID]],廠商[],2,FALSE),"")</f>
        <v/>
      </c>
      <c r="S4059" t="str">
        <f>VLOOKUP(record[[#This Row],[employeeID]],員工[],2,FALSE)</f>
        <v>阮氏芳英(英)</v>
      </c>
    </row>
    <row r="4060" spans="6:19" hidden="1" x14ac:dyDescent="0.25">
      <c r="F4060" t="s">
        <v>1551</v>
      </c>
      <c r="G4060" t="s">
        <v>465</v>
      </c>
      <c r="H4060" t="str">
        <f>VLOOKUP(record[[#This Row],[ProcessSN]],表格2_7[],2,FALSE)</f>
        <v>30-4118-018-XXX</v>
      </c>
      <c r="I4060" t="str">
        <f>VLOOKUP(record[[#This Row],[ProcessSN]],表格2_7[],3,FALSE)</f>
        <v>#01-1</v>
      </c>
      <c r="J4060" t="s">
        <v>588</v>
      </c>
      <c r="K4060" s="195">
        <v>46058.977129629631</v>
      </c>
      <c r="L4060">
        <v>186</v>
      </c>
      <c r="M4060">
        <v>0</v>
      </c>
      <c r="N4060" s="98" t="str">
        <f>IF(record[[#This Row],[Memo]]="Browser:chrome os:android","平板報工",IF(record[[#This Row],[Memo]]=0,"委外",record[[#This Row],[Memo]]))</f>
        <v/>
      </c>
      <c r="O4060" t="s">
        <v>58</v>
      </c>
      <c r="P4060" t="s">
        <v>1098</v>
      </c>
      <c r="Q4060" t="s">
        <v>58</v>
      </c>
      <c r="R4060" t="str">
        <f>IFERROR(VLOOKUP(record[[#This Row],[PCUSTID]],廠商[],2,FALSE),"")</f>
        <v/>
      </c>
      <c r="S4060" t="str">
        <f>VLOOKUP(record[[#This Row],[employeeID]],員工[],2,FALSE)</f>
        <v>阮氏芳英(英)</v>
      </c>
    </row>
    <row r="4061" spans="6:19" hidden="1" x14ac:dyDescent="0.25">
      <c r="F4061" t="s">
        <v>1551</v>
      </c>
      <c r="G4061" t="s">
        <v>467</v>
      </c>
      <c r="H4061" t="str">
        <f>VLOOKUP(record[[#This Row],[ProcessSN]],表格2_7[],2,FALSE)</f>
        <v>30-4118-018-XXX</v>
      </c>
      <c r="I4061" t="str">
        <f>VLOOKUP(record[[#This Row],[ProcessSN]],表格2_7[],3,FALSE)</f>
        <v>#01QC</v>
      </c>
      <c r="J4061" t="s">
        <v>589</v>
      </c>
      <c r="K4061" s="195">
        <v>46058.896921296298</v>
      </c>
      <c r="L4061">
        <v>334</v>
      </c>
      <c r="M4061">
        <v>0</v>
      </c>
      <c r="N4061" s="98" t="str">
        <f>IF(record[[#This Row],[Memo]]="Browser:chrome os:android","平板報工",IF(record[[#This Row],[Memo]]=0,"委外",record[[#This Row],[Memo]]))</f>
        <v/>
      </c>
      <c r="O4061" t="s">
        <v>58</v>
      </c>
      <c r="P4061" t="s">
        <v>182</v>
      </c>
      <c r="Q4061" t="s">
        <v>58</v>
      </c>
      <c r="R4061" t="str">
        <f>IFERROR(VLOOKUP(record[[#This Row],[PCUSTID]],廠商[],2,FALSE),"")</f>
        <v/>
      </c>
      <c r="S4061" t="str">
        <f>VLOOKUP(record[[#This Row],[employeeID]],員工[],2,FALSE)</f>
        <v>梅氏和</v>
      </c>
    </row>
    <row r="4062" spans="6:19" hidden="1" x14ac:dyDescent="0.25">
      <c r="F4062" t="s">
        <v>1553</v>
      </c>
      <c r="G4062" t="s">
        <v>424</v>
      </c>
      <c r="H4062" t="str">
        <f>VLOOKUP(record[[#This Row],[ProcessSN]],表格2_7[],2,FALSE)</f>
        <v>30-4118-018-600</v>
      </c>
      <c r="I4062" t="str">
        <f>VLOOKUP(record[[#This Row],[ProcessSN]],表格2_7[],3,FALSE)</f>
        <v>#08IQC</v>
      </c>
      <c r="J4062" t="s">
        <v>583</v>
      </c>
      <c r="K4062" s="195">
        <v>46058.768240740741</v>
      </c>
      <c r="L4062">
        <v>277</v>
      </c>
      <c r="M4062">
        <v>0</v>
      </c>
      <c r="N4062" s="98" t="str">
        <f>IF(record[[#This Row],[Memo]]="Browser:chrome os:android","平板報工",IF(record[[#This Row],[Memo]]=0,"委外",record[[#This Row],[Memo]]))</f>
        <v/>
      </c>
      <c r="O4062" t="s">
        <v>58</v>
      </c>
      <c r="P4062" t="s">
        <v>121</v>
      </c>
      <c r="Q4062" t="s">
        <v>58</v>
      </c>
      <c r="R4062" t="str">
        <f>IFERROR(VLOOKUP(record[[#This Row],[PCUSTID]],廠商[],2,FALSE),"")</f>
        <v/>
      </c>
      <c r="S4062" t="str">
        <f>VLOOKUP(record[[#This Row],[employeeID]],員工[],2,FALSE)</f>
        <v>謝素卿</v>
      </c>
    </row>
    <row r="4063" spans="6:19" hidden="1" x14ac:dyDescent="0.25">
      <c r="F4063" t="s">
        <v>1549</v>
      </c>
      <c r="G4063" t="s">
        <v>399</v>
      </c>
      <c r="H4063" t="str">
        <f>VLOOKUP(record[[#This Row],[ProcessSN]],表格2_7[],2,FALSE)</f>
        <v>30-4118-018-550</v>
      </c>
      <c r="I4063" t="str">
        <f>VLOOKUP(record[[#This Row],[ProcessSN]],表格2_7[],3,FALSE)</f>
        <v>#08IQC</v>
      </c>
      <c r="J4063" t="s">
        <v>583</v>
      </c>
      <c r="K4063" s="195">
        <v>46058.767766203702</v>
      </c>
      <c r="L4063">
        <v>568</v>
      </c>
      <c r="M4063">
        <v>0</v>
      </c>
      <c r="N4063" s="98" t="str">
        <f>IF(record[[#This Row],[Memo]]="Browser:chrome os:android","平板報工",IF(record[[#This Row],[Memo]]=0,"委外",record[[#This Row],[Memo]]))</f>
        <v/>
      </c>
      <c r="O4063" t="s">
        <v>58</v>
      </c>
      <c r="P4063" t="s">
        <v>121</v>
      </c>
      <c r="Q4063" t="s">
        <v>58</v>
      </c>
      <c r="R4063" t="str">
        <f>IFERROR(VLOOKUP(record[[#This Row],[PCUSTID]],廠商[],2,FALSE),"")</f>
        <v/>
      </c>
      <c r="S4063" t="str">
        <f>VLOOKUP(record[[#This Row],[employeeID]],員工[],2,FALSE)</f>
        <v>謝素卿</v>
      </c>
    </row>
    <row r="4064" spans="6:19" hidden="1" x14ac:dyDescent="0.25">
      <c r="F4064" t="s">
        <v>1540</v>
      </c>
      <c r="G4064" t="s">
        <v>415</v>
      </c>
      <c r="H4064" t="str">
        <f>VLOOKUP(record[[#This Row],[ProcessSN]],表格2_7[],2,FALSE)</f>
        <v>30-4118-018-5XX</v>
      </c>
      <c r="I4064" t="str">
        <f>VLOOKUP(record[[#This Row],[ProcessSN]],表格2_7[],3,FALSE)</f>
        <v>#04</v>
      </c>
      <c r="J4064" t="s">
        <v>588</v>
      </c>
      <c r="K4064" s="195">
        <v>46058.65216435185</v>
      </c>
      <c r="L4064">
        <v>140</v>
      </c>
      <c r="M4064">
        <v>0</v>
      </c>
      <c r="N4064" s="98" t="str">
        <f>IF(record[[#This Row],[Memo]]="Browser:chrome os:android","平板報工",IF(record[[#This Row],[Memo]]=0,"委外",record[[#This Row],[Memo]]))</f>
        <v>平板報工</v>
      </c>
      <c r="O4064" t="s">
        <v>643</v>
      </c>
      <c r="P4064" t="s">
        <v>145</v>
      </c>
      <c r="Q4064" t="s">
        <v>644</v>
      </c>
      <c r="R4064" t="str">
        <f>IFERROR(VLOOKUP(record[[#This Row],[PCUSTID]],廠商[],2,FALSE),"")</f>
        <v/>
      </c>
      <c r="S4064" t="str">
        <f>VLOOKUP(record[[#This Row],[employeeID]],員工[],2,FALSE)</f>
        <v>阮秋霞</v>
      </c>
    </row>
    <row r="4065" spans="6:19" hidden="1" x14ac:dyDescent="0.25">
      <c r="F4065" t="s">
        <v>1568</v>
      </c>
      <c r="G4065" t="s">
        <v>414</v>
      </c>
      <c r="H4065" t="str">
        <f>VLOOKUP(record[[#This Row],[ProcessSN]],表格2_7[],2,FALSE)</f>
        <v>30-4118-018-5XX</v>
      </c>
      <c r="I4065" t="str">
        <f>VLOOKUP(record[[#This Row],[ProcessSN]],表格2_7[],3,FALSE)</f>
        <v>#03</v>
      </c>
      <c r="J4065" t="s">
        <v>588</v>
      </c>
      <c r="K4065" s="195">
        <v>46058.651400462964</v>
      </c>
      <c r="L4065">
        <v>127</v>
      </c>
      <c r="M4065">
        <v>0</v>
      </c>
      <c r="N4065" s="98" t="str">
        <f>IF(record[[#This Row],[Memo]]="Browser:chrome os:android","平板報工",IF(record[[#This Row],[Memo]]=0,"委外",record[[#This Row],[Memo]]))</f>
        <v>平板報工</v>
      </c>
      <c r="O4065" t="s">
        <v>643</v>
      </c>
      <c r="P4065" t="s">
        <v>145</v>
      </c>
      <c r="Q4065" t="s">
        <v>644</v>
      </c>
      <c r="R4065" t="str">
        <f>IFERROR(VLOOKUP(record[[#This Row],[PCUSTID]],廠商[],2,FALSE),"")</f>
        <v/>
      </c>
      <c r="S4065" t="str">
        <f>VLOOKUP(record[[#This Row],[employeeID]],員工[],2,FALSE)</f>
        <v>阮秋霞</v>
      </c>
    </row>
    <row r="4066" spans="6:19" hidden="1" x14ac:dyDescent="0.25">
      <c r="F4066" t="s">
        <v>1569</v>
      </c>
      <c r="G4066" t="s">
        <v>447</v>
      </c>
      <c r="H4066" t="str">
        <f>VLOOKUP(record[[#This Row],[ProcessSN]],表格2_7[],2,FALSE)</f>
        <v>30-4118-018-6XX</v>
      </c>
      <c r="I4066" t="str">
        <f>VLOOKUP(record[[#This Row],[ProcessSN]],表格2_7[],3,FALSE)</f>
        <v>#03</v>
      </c>
      <c r="J4066" t="s">
        <v>588</v>
      </c>
      <c r="K4066" s="195">
        <v>46058.650925925926</v>
      </c>
      <c r="L4066">
        <v>552</v>
      </c>
      <c r="M4066">
        <v>0</v>
      </c>
      <c r="N4066" s="98" t="str">
        <f>IF(record[[#This Row],[Memo]]="Browser:chrome os:android","平板報工",IF(record[[#This Row],[Memo]]=0,"委外",record[[#This Row],[Memo]]))</f>
        <v>平板報工</v>
      </c>
      <c r="O4066" t="s">
        <v>643</v>
      </c>
      <c r="P4066" t="s">
        <v>145</v>
      </c>
      <c r="Q4066" t="s">
        <v>644</v>
      </c>
      <c r="R4066" t="str">
        <f>IFERROR(VLOOKUP(record[[#This Row],[PCUSTID]],廠商[],2,FALSE),"")</f>
        <v/>
      </c>
      <c r="S4066" t="str">
        <f>VLOOKUP(record[[#This Row],[employeeID]],員工[],2,FALSE)</f>
        <v>阮秋霞</v>
      </c>
    </row>
    <row r="4067" spans="6:19" hidden="1" x14ac:dyDescent="0.25">
      <c r="F4067" t="s">
        <v>1551</v>
      </c>
      <c r="G4067" t="s">
        <v>466</v>
      </c>
      <c r="H4067" t="str">
        <f>VLOOKUP(record[[#This Row],[ProcessSN]],表格2_7[],2,FALSE)</f>
        <v>30-4118-018-XXX</v>
      </c>
      <c r="I4067" t="str">
        <f>VLOOKUP(record[[#This Row],[ProcessSN]],表格2_7[],3,FALSE)</f>
        <v>#01-2</v>
      </c>
      <c r="J4067" t="s">
        <v>588</v>
      </c>
      <c r="K4067" s="195">
        <v>46058.649942129632</v>
      </c>
      <c r="L4067">
        <v>403</v>
      </c>
      <c r="M4067">
        <v>0</v>
      </c>
      <c r="N4067" s="98" t="str">
        <f>IF(record[[#This Row],[Memo]]="Browser:chrome os:android","平板報工",IF(record[[#This Row],[Memo]]=0,"委外",record[[#This Row],[Memo]]))</f>
        <v>平板報工</v>
      </c>
      <c r="O4067" t="s">
        <v>643</v>
      </c>
      <c r="P4067" t="s">
        <v>107</v>
      </c>
      <c r="Q4067" t="s">
        <v>644</v>
      </c>
      <c r="R4067" t="str">
        <f>IFERROR(VLOOKUP(record[[#This Row],[PCUSTID]],廠商[],2,FALSE),"")</f>
        <v/>
      </c>
      <c r="S4067" t="str">
        <f>VLOOKUP(record[[#This Row],[employeeID]],員工[],2,FALSE)</f>
        <v>黎氏順</v>
      </c>
    </row>
    <row r="4068" spans="6:19" hidden="1" x14ac:dyDescent="0.25">
      <c r="F4068" t="s">
        <v>1551</v>
      </c>
      <c r="G4068" t="s">
        <v>465</v>
      </c>
      <c r="H4068" t="str">
        <f>VLOOKUP(record[[#This Row],[ProcessSN]],表格2_7[],2,FALSE)</f>
        <v>30-4118-018-XXX</v>
      </c>
      <c r="I4068" t="str">
        <f>VLOOKUP(record[[#This Row],[ProcessSN]],表格2_7[],3,FALSE)</f>
        <v>#01-1</v>
      </c>
      <c r="J4068" t="s">
        <v>588</v>
      </c>
      <c r="K4068" s="195">
        <v>46058.649699074071</v>
      </c>
      <c r="L4068">
        <v>350</v>
      </c>
      <c r="M4068">
        <v>0</v>
      </c>
      <c r="N4068" s="98" t="str">
        <f>IF(record[[#This Row],[Memo]]="Browser:chrome os:android","平板報工",IF(record[[#This Row],[Memo]]=0,"委外",record[[#This Row],[Memo]]))</f>
        <v>平板報工</v>
      </c>
      <c r="O4068" t="s">
        <v>643</v>
      </c>
      <c r="P4068" t="s">
        <v>107</v>
      </c>
      <c r="Q4068" t="s">
        <v>644</v>
      </c>
      <c r="R4068" t="str">
        <f>IFERROR(VLOOKUP(record[[#This Row],[PCUSTID]],廠商[],2,FALSE),"")</f>
        <v/>
      </c>
      <c r="S4068" t="str">
        <f>VLOOKUP(record[[#This Row],[employeeID]],員工[],2,FALSE)</f>
        <v>黎氏順</v>
      </c>
    </row>
    <row r="4069" spans="6:19" hidden="1" x14ac:dyDescent="0.25">
      <c r="F4069" t="s">
        <v>1527</v>
      </c>
      <c r="G4069" t="s">
        <v>451</v>
      </c>
      <c r="H4069" t="str">
        <f>VLOOKUP(record[[#This Row],[ProcessSN]],表格2_7[],2,FALSE)</f>
        <v>30-4118-018-6XX</v>
      </c>
      <c r="I4069" t="str">
        <f>VLOOKUP(record[[#This Row],[ProcessSN]],表格2_7[],3,FALSE)</f>
        <v>#07</v>
      </c>
      <c r="J4069" t="s">
        <v>588</v>
      </c>
      <c r="K4069" s="195">
        <v>46058.647696759261</v>
      </c>
      <c r="L4069">
        <v>75</v>
      </c>
      <c r="M4069">
        <v>1</v>
      </c>
      <c r="N4069" s="98" t="str">
        <f>IF(record[[#This Row],[Memo]]="Browser:chrome os:android","平板報工",IF(record[[#This Row],[Memo]]=0,"委外",record[[#This Row],[Memo]]))</f>
        <v>平板報工</v>
      </c>
      <c r="O4069" t="s">
        <v>643</v>
      </c>
      <c r="P4069" t="s">
        <v>785</v>
      </c>
      <c r="Q4069" t="s">
        <v>644</v>
      </c>
      <c r="R4069" t="str">
        <f>IFERROR(VLOOKUP(record[[#This Row],[PCUSTID]],廠商[],2,FALSE),"")</f>
        <v/>
      </c>
      <c r="S4069" t="str">
        <f>VLOOKUP(record[[#This Row],[employeeID]],員工[],2,FALSE)</f>
        <v>謝刻光</v>
      </c>
    </row>
    <row r="4070" spans="6:19" hidden="1" x14ac:dyDescent="0.25">
      <c r="F4070" t="s">
        <v>1507</v>
      </c>
      <c r="G4070" t="s">
        <v>451</v>
      </c>
      <c r="H4070" t="str">
        <f>VLOOKUP(record[[#This Row],[ProcessSN]],表格2_7[],2,FALSE)</f>
        <v>30-4118-018-6XX</v>
      </c>
      <c r="I4070" t="str">
        <f>VLOOKUP(record[[#This Row],[ProcessSN]],表格2_7[],3,FALSE)</f>
        <v>#07</v>
      </c>
      <c r="J4070" t="s">
        <v>588</v>
      </c>
      <c r="K4070" s="195">
        <v>46058.64744212963</v>
      </c>
      <c r="L4070">
        <v>34</v>
      </c>
      <c r="M4070">
        <v>0</v>
      </c>
      <c r="N4070" s="98" t="str">
        <f>IF(record[[#This Row],[Memo]]="Browser:chrome os:android","平板報工",IF(record[[#This Row],[Memo]]=0,"委外",record[[#This Row],[Memo]]))</f>
        <v>平板報工</v>
      </c>
      <c r="O4070" t="s">
        <v>643</v>
      </c>
      <c r="P4070" t="s">
        <v>785</v>
      </c>
      <c r="Q4070" t="s">
        <v>644</v>
      </c>
      <c r="R4070" t="str">
        <f>IFERROR(VLOOKUP(record[[#This Row],[PCUSTID]],廠商[],2,FALSE),"")</f>
        <v/>
      </c>
      <c r="S4070" t="str">
        <f>VLOOKUP(record[[#This Row],[employeeID]],員工[],2,FALSE)</f>
        <v>謝刻光</v>
      </c>
    </row>
    <row r="4071" spans="6:19" hidden="1" x14ac:dyDescent="0.25">
      <c r="F4071" t="s">
        <v>1527</v>
      </c>
      <c r="G4071" t="s">
        <v>450</v>
      </c>
      <c r="H4071" t="str">
        <f>VLOOKUP(record[[#This Row],[ProcessSN]],表格2_7[],2,FALSE)</f>
        <v>30-4118-018-6XX</v>
      </c>
      <c r="I4071" t="str">
        <f>VLOOKUP(record[[#This Row],[ProcessSN]],表格2_7[],3,FALSE)</f>
        <v>#06</v>
      </c>
      <c r="J4071" t="s">
        <v>593</v>
      </c>
      <c r="K4071" s="195">
        <v>46058.647048611114</v>
      </c>
      <c r="L4071">
        <v>76</v>
      </c>
      <c r="M4071">
        <v>0</v>
      </c>
      <c r="N4071" s="98" t="str">
        <f>IF(record[[#This Row],[Memo]]="Browser:chrome os:android","平板報工",IF(record[[#This Row],[Memo]]=0,"委外",record[[#This Row],[Memo]]))</f>
        <v>平板報工</v>
      </c>
      <c r="O4071" t="s">
        <v>643</v>
      </c>
      <c r="P4071" t="s">
        <v>1413</v>
      </c>
      <c r="Q4071" t="s">
        <v>644</v>
      </c>
      <c r="R4071" t="str">
        <f>IFERROR(VLOOKUP(record[[#This Row],[PCUSTID]],廠商[],2,FALSE),"")</f>
        <v/>
      </c>
      <c r="S4071" t="str">
        <f>VLOOKUP(record[[#This Row],[employeeID]],員工[],2,FALSE)</f>
        <v>阮氏芳英(芳)</v>
      </c>
    </row>
    <row r="4072" spans="6:19" hidden="1" x14ac:dyDescent="0.25">
      <c r="F4072" t="s">
        <v>1507</v>
      </c>
      <c r="G4072" t="s">
        <v>450</v>
      </c>
      <c r="H4072" t="str">
        <f>VLOOKUP(record[[#This Row],[ProcessSN]],表格2_7[],2,FALSE)</f>
        <v>30-4118-018-6XX</v>
      </c>
      <c r="I4072" t="str">
        <f>VLOOKUP(record[[#This Row],[ProcessSN]],表格2_7[],3,FALSE)</f>
        <v>#06</v>
      </c>
      <c r="J4072" t="s">
        <v>593</v>
      </c>
      <c r="K4072" s="195">
        <v>46058.646770833337</v>
      </c>
      <c r="L4072">
        <v>34</v>
      </c>
      <c r="M4072">
        <v>0</v>
      </c>
      <c r="N4072" s="98" t="str">
        <f>IF(record[[#This Row],[Memo]]="Browser:chrome os:android","平板報工",IF(record[[#This Row],[Memo]]=0,"委外",record[[#This Row],[Memo]]))</f>
        <v>平板報工</v>
      </c>
      <c r="O4072" t="s">
        <v>643</v>
      </c>
      <c r="P4072" t="s">
        <v>1413</v>
      </c>
      <c r="Q4072" t="s">
        <v>644</v>
      </c>
      <c r="R4072" t="str">
        <f>IFERROR(VLOOKUP(record[[#This Row],[PCUSTID]],廠商[],2,FALSE),"")</f>
        <v/>
      </c>
      <c r="S4072" t="str">
        <f>VLOOKUP(record[[#This Row],[employeeID]],員工[],2,FALSE)</f>
        <v>阮氏芳英(芳)</v>
      </c>
    </row>
    <row r="4073" spans="6:19" hidden="1" x14ac:dyDescent="0.25">
      <c r="F4073" t="s">
        <v>1527</v>
      </c>
      <c r="G4073" t="s">
        <v>449</v>
      </c>
      <c r="H4073" t="str">
        <f>VLOOKUP(record[[#This Row],[ProcessSN]],表格2_7[],2,FALSE)</f>
        <v>30-4118-018-6XX</v>
      </c>
      <c r="I4073" t="str">
        <f>VLOOKUP(record[[#This Row],[ProcessSN]],表格2_7[],3,FALSE)</f>
        <v>#05</v>
      </c>
      <c r="J4073" t="s">
        <v>588</v>
      </c>
      <c r="K4073" s="195">
        <v>46058.643067129633</v>
      </c>
      <c r="L4073">
        <v>174</v>
      </c>
      <c r="M4073">
        <v>0</v>
      </c>
      <c r="N4073" s="98" t="str">
        <f>IF(record[[#This Row],[Memo]]="Browser:chrome os:android","平板報工",IF(record[[#This Row],[Memo]]=0,"委外",record[[#This Row],[Memo]]))</f>
        <v>平板報工</v>
      </c>
      <c r="O4073" t="s">
        <v>643</v>
      </c>
      <c r="P4073" t="s">
        <v>785</v>
      </c>
      <c r="Q4073" t="s">
        <v>644</v>
      </c>
      <c r="R4073" t="str">
        <f>IFERROR(VLOOKUP(record[[#This Row],[PCUSTID]],廠商[],2,FALSE),"")</f>
        <v/>
      </c>
      <c r="S4073" t="str">
        <f>VLOOKUP(record[[#This Row],[employeeID]],員工[],2,FALSE)</f>
        <v>謝刻光</v>
      </c>
    </row>
    <row r="4074" spans="6:19" hidden="1" x14ac:dyDescent="0.25">
      <c r="F4074" t="s">
        <v>1553</v>
      </c>
      <c r="G4074" t="s">
        <v>423</v>
      </c>
      <c r="H4074" t="str">
        <f>VLOOKUP(record[[#This Row],[ProcessSN]],表格2_7[],2,FALSE)</f>
        <v>30-4118-018-600</v>
      </c>
      <c r="I4074" t="str">
        <f>VLOOKUP(record[[#This Row],[ProcessSN]],表格2_7[],3,FALSE)</f>
        <v>#08RCV</v>
      </c>
      <c r="J4074" t="s">
        <v>591</v>
      </c>
      <c r="K4074" s="195">
        <v>46058.616516203707</v>
      </c>
      <c r="L4074">
        <v>277</v>
      </c>
      <c r="M4074">
        <v>0</v>
      </c>
      <c r="N4074" s="98" t="str">
        <f>IF(record[[#This Row],[Memo]]="Browser:chrome os:android","平板報工",IF(record[[#This Row],[Memo]]=0,"委外",record[[#This Row],[Memo]]))</f>
        <v/>
      </c>
      <c r="O4074" t="s">
        <v>58</v>
      </c>
      <c r="P4074" t="s">
        <v>186</v>
      </c>
      <c r="Q4074" t="s">
        <v>58</v>
      </c>
      <c r="R4074" t="str">
        <f>IFERROR(VLOOKUP(record[[#This Row],[PCUSTID]],廠商[],2,FALSE),"")</f>
        <v/>
      </c>
      <c r="S4074" t="str">
        <f>VLOOKUP(record[[#This Row],[employeeID]],員工[],2,FALSE)</f>
        <v>許文姍</v>
      </c>
    </row>
    <row r="4075" spans="6:19" hidden="1" x14ac:dyDescent="0.25">
      <c r="F4075" t="s">
        <v>1549</v>
      </c>
      <c r="G4075" t="s">
        <v>398</v>
      </c>
      <c r="H4075" t="str">
        <f>VLOOKUP(record[[#This Row],[ProcessSN]],表格2_7[],2,FALSE)</f>
        <v>30-4118-018-550</v>
      </c>
      <c r="I4075" t="str">
        <f>VLOOKUP(record[[#This Row],[ProcessSN]],表格2_7[],3,FALSE)</f>
        <v>#08RCV</v>
      </c>
      <c r="J4075" t="s">
        <v>591</v>
      </c>
      <c r="K4075" s="195">
        <v>46058.616087962961</v>
      </c>
      <c r="L4075">
        <v>568</v>
      </c>
      <c r="M4075">
        <v>0</v>
      </c>
      <c r="N4075" s="98" t="str">
        <f>IF(record[[#This Row],[Memo]]="Browser:chrome os:android","平板報工",IF(record[[#This Row],[Memo]]=0,"委外",record[[#This Row],[Memo]]))</f>
        <v/>
      </c>
      <c r="O4075" t="s">
        <v>58</v>
      </c>
      <c r="P4075" t="s">
        <v>186</v>
      </c>
      <c r="Q4075" t="s">
        <v>58</v>
      </c>
      <c r="R4075" t="str">
        <f>IFERROR(VLOOKUP(record[[#This Row],[PCUSTID]],廠商[],2,FALSE),"")</f>
        <v/>
      </c>
      <c r="S4075" t="str">
        <f>VLOOKUP(record[[#This Row],[employeeID]],員工[],2,FALSE)</f>
        <v>許文姍</v>
      </c>
    </row>
    <row r="4076" spans="6:19" hidden="1" x14ac:dyDescent="0.25">
      <c r="F4076" t="s">
        <v>1571</v>
      </c>
      <c r="G4076" t="s">
        <v>422</v>
      </c>
      <c r="H4076" t="str">
        <f>VLOOKUP(record[[#This Row],[ProcessSN]],表格2_7[],2,FALSE)</f>
        <v>30-4118-018-600</v>
      </c>
      <c r="I4076" t="str">
        <f>VLOOKUP(record[[#This Row],[ProcessSN]],表格2_7[],3,FALSE)</f>
        <v>#08</v>
      </c>
      <c r="J4076" t="s">
        <v>597</v>
      </c>
      <c r="K4076" s="195">
        <v>46058.552546296298</v>
      </c>
      <c r="L4076">
        <v>304</v>
      </c>
      <c r="M4076">
        <v>0</v>
      </c>
      <c r="N4076" s="98" t="str">
        <f>IF(record[[#This Row],[Memo]]="Browser:chrome os:android","平板報工",IF(record[[#This Row],[Memo]]=0,"委外",record[[#This Row],[Memo]]))</f>
        <v>委外</v>
      </c>
      <c r="P4076" t="s">
        <v>186</v>
      </c>
      <c r="Q4076" t="s">
        <v>287</v>
      </c>
      <c r="R4076" t="str">
        <f>IFERROR(VLOOKUP(record[[#This Row],[PCUSTID]],廠商[],2,FALSE),"")</f>
        <v>泉盛</v>
      </c>
      <c r="S4076" t="str">
        <f>VLOOKUP(record[[#This Row],[employeeID]],員工[],2,FALSE)</f>
        <v>許文姍</v>
      </c>
    </row>
    <row r="4077" spans="6:19" hidden="1" x14ac:dyDescent="0.25">
      <c r="F4077" t="s">
        <v>1571</v>
      </c>
      <c r="G4077" t="s">
        <v>421</v>
      </c>
      <c r="H4077" t="str">
        <f>VLOOKUP(record[[#This Row],[ProcessSN]],表格2_7[],2,FALSE)</f>
        <v>30-4118-018-600</v>
      </c>
      <c r="I4077" t="str">
        <f>VLOOKUP(record[[#This Row],[ProcessSN]],表格2_7[],3,FALSE)</f>
        <v>#08PICK</v>
      </c>
      <c r="J4077" t="s">
        <v>582</v>
      </c>
      <c r="K4077" s="195">
        <v>46058.552141203705</v>
      </c>
      <c r="L4077">
        <v>304</v>
      </c>
      <c r="M4077">
        <v>0</v>
      </c>
      <c r="N4077" s="98" t="str">
        <f>IF(record[[#This Row],[Memo]]="Browser:chrome os:android","平板報工",IF(record[[#This Row],[Memo]]=0,"委外",record[[#This Row],[Memo]]))</f>
        <v/>
      </c>
      <c r="O4077" t="s">
        <v>58</v>
      </c>
      <c r="P4077" t="s">
        <v>186</v>
      </c>
      <c r="Q4077" t="s">
        <v>58</v>
      </c>
      <c r="R4077" t="str">
        <f>IFERROR(VLOOKUP(record[[#This Row],[PCUSTID]],廠商[],2,FALSE),"")</f>
        <v/>
      </c>
      <c r="S4077" t="str">
        <f>VLOOKUP(record[[#This Row],[employeeID]],員工[],2,FALSE)</f>
        <v>許文姍</v>
      </c>
    </row>
    <row r="4078" spans="6:19" hidden="1" x14ac:dyDescent="0.25">
      <c r="F4078" t="s">
        <v>1507</v>
      </c>
      <c r="G4078" t="s">
        <v>453</v>
      </c>
      <c r="H4078" t="str">
        <f>VLOOKUP(record[[#This Row],[ProcessSN]],表格2_7[],2,FALSE)</f>
        <v>30-4118-018-6XX</v>
      </c>
      <c r="I4078" t="str">
        <f>VLOOKUP(record[[#This Row],[ProcessSN]],表格2_7[],3,FALSE)</f>
        <v>#07STOCK</v>
      </c>
      <c r="J4078" t="s">
        <v>592</v>
      </c>
      <c r="K4078" s="195">
        <v>46058.548483796294</v>
      </c>
      <c r="L4078">
        <v>304</v>
      </c>
      <c r="M4078">
        <v>0</v>
      </c>
      <c r="N4078" s="98" t="str">
        <f>IF(record[[#This Row],[Memo]]="Browser:chrome os:android","平板報工",IF(record[[#This Row],[Memo]]=0,"委外",record[[#This Row],[Memo]]))</f>
        <v/>
      </c>
      <c r="O4078" t="s">
        <v>58</v>
      </c>
      <c r="P4078" t="s">
        <v>186</v>
      </c>
      <c r="Q4078" t="s">
        <v>58</v>
      </c>
      <c r="R4078" t="str">
        <f>IFERROR(VLOOKUP(record[[#This Row],[PCUSTID]],廠商[],2,FALSE),"")</f>
        <v/>
      </c>
      <c r="S4078" t="str">
        <f>VLOOKUP(record[[#This Row],[employeeID]],員工[],2,FALSE)</f>
        <v>許文姍</v>
      </c>
    </row>
    <row r="4079" spans="6:19" hidden="1" x14ac:dyDescent="0.25">
      <c r="F4079" t="s">
        <v>1507</v>
      </c>
      <c r="G4079" t="s">
        <v>452</v>
      </c>
      <c r="H4079" t="str">
        <f>VLOOKUP(record[[#This Row],[ProcessSN]],表格2_7[],2,FALSE)</f>
        <v>30-4118-018-6XX</v>
      </c>
      <c r="I4079" t="str">
        <f>VLOOKUP(record[[#This Row],[ProcessSN]],表格2_7[],3,FALSE)</f>
        <v>#07QC</v>
      </c>
      <c r="J4079" t="s">
        <v>589</v>
      </c>
      <c r="K4079" s="195">
        <v>46058.497060185182</v>
      </c>
      <c r="L4079">
        <v>0</v>
      </c>
      <c r="M4079">
        <v>19</v>
      </c>
      <c r="N4079" s="98" t="str">
        <f>IF(record[[#This Row],[Memo]]="Browser:chrome os:android","平板報工",IF(record[[#This Row],[Memo]]=0,"委外",record[[#This Row],[Memo]]))</f>
        <v/>
      </c>
      <c r="O4079" t="s">
        <v>58</v>
      </c>
      <c r="P4079" t="s">
        <v>141</v>
      </c>
      <c r="Q4079" t="s">
        <v>58</v>
      </c>
      <c r="R4079" t="str">
        <f>IFERROR(VLOOKUP(record[[#This Row],[PCUSTID]],廠商[],2,FALSE),"")</f>
        <v/>
      </c>
      <c r="S4079" t="str">
        <f>VLOOKUP(record[[#This Row],[employeeID]],員工[],2,FALSE)</f>
        <v>蔣梅</v>
      </c>
    </row>
    <row r="4080" spans="6:19" hidden="1" x14ac:dyDescent="0.25">
      <c r="F4080" t="s">
        <v>1507</v>
      </c>
      <c r="G4080" t="s">
        <v>452</v>
      </c>
      <c r="H4080" t="str">
        <f>VLOOKUP(record[[#This Row],[ProcessSN]],表格2_7[],2,FALSE)</f>
        <v>30-4118-018-6XX</v>
      </c>
      <c r="I4080" t="str">
        <f>VLOOKUP(record[[#This Row],[ProcessSN]],表格2_7[],3,FALSE)</f>
        <v>#07QC</v>
      </c>
      <c r="J4080" t="s">
        <v>589</v>
      </c>
      <c r="K4080" s="195">
        <v>46058.496666666666</v>
      </c>
      <c r="L4080">
        <v>304</v>
      </c>
      <c r="M4080">
        <v>0</v>
      </c>
      <c r="N4080" s="98" t="str">
        <f>IF(record[[#This Row],[Memo]]="Browser:chrome os:android","平板報工",IF(record[[#This Row],[Memo]]=0,"委外",record[[#This Row],[Memo]]))</f>
        <v/>
      </c>
      <c r="O4080" t="s">
        <v>58</v>
      </c>
      <c r="P4080" t="s">
        <v>141</v>
      </c>
      <c r="Q4080" t="s">
        <v>58</v>
      </c>
      <c r="R4080" t="str">
        <f>IFERROR(VLOOKUP(record[[#This Row],[PCUSTID]],廠商[],2,FALSE),"")</f>
        <v/>
      </c>
      <c r="S4080" t="str">
        <f>VLOOKUP(record[[#This Row],[employeeID]],員工[],2,FALSE)</f>
        <v>蔣梅</v>
      </c>
    </row>
    <row r="4081" spans="6:19" hidden="1" x14ac:dyDescent="0.25">
      <c r="F4081" t="s">
        <v>1507</v>
      </c>
      <c r="G4081" t="s">
        <v>451</v>
      </c>
      <c r="H4081" t="str">
        <f>VLOOKUP(record[[#This Row],[ProcessSN]],表格2_7[],2,FALSE)</f>
        <v>30-4118-018-6XX</v>
      </c>
      <c r="I4081" t="str">
        <f>VLOOKUP(record[[#This Row],[ProcessSN]],表格2_7[],3,FALSE)</f>
        <v>#07</v>
      </c>
      <c r="J4081" t="s">
        <v>588</v>
      </c>
      <c r="K4081" s="195">
        <v>46058.496331018519</v>
      </c>
      <c r="L4081">
        <v>1</v>
      </c>
      <c r="M4081">
        <v>0</v>
      </c>
      <c r="N4081" s="98" t="str">
        <f>IF(record[[#This Row],[Memo]]="Browser:chrome os:android","平板報工",IF(record[[#This Row],[Memo]]=0,"委外",record[[#This Row],[Memo]]))</f>
        <v/>
      </c>
      <c r="O4081" t="s">
        <v>58</v>
      </c>
      <c r="P4081" t="s">
        <v>1075</v>
      </c>
      <c r="Q4081" t="s">
        <v>58</v>
      </c>
      <c r="R4081" t="str">
        <f>IFERROR(VLOOKUP(record[[#This Row],[PCUSTID]],廠商[],2,FALSE),"")</f>
        <v/>
      </c>
      <c r="S4081" t="str">
        <f>VLOOKUP(record[[#This Row],[employeeID]],員工[],2,FALSE)</f>
        <v>吳宥叡</v>
      </c>
    </row>
    <row r="4082" spans="6:19" hidden="1" x14ac:dyDescent="0.25">
      <c r="F4082" t="s">
        <v>1507</v>
      </c>
      <c r="G4082" t="s">
        <v>450</v>
      </c>
      <c r="H4082" t="str">
        <f>VLOOKUP(record[[#This Row],[ProcessSN]],表格2_7[],2,FALSE)</f>
        <v>30-4118-018-6XX</v>
      </c>
      <c r="I4082" t="str">
        <f>VLOOKUP(record[[#This Row],[ProcessSN]],表格2_7[],3,FALSE)</f>
        <v>#06</v>
      </c>
      <c r="J4082" t="s">
        <v>593</v>
      </c>
      <c r="K4082" s="195">
        <v>46058.496168981481</v>
      </c>
      <c r="L4082">
        <v>1</v>
      </c>
      <c r="M4082">
        <v>0</v>
      </c>
      <c r="N4082" s="98" t="str">
        <f>IF(record[[#This Row],[Memo]]="Browser:chrome os:android","平板報工",IF(record[[#This Row],[Memo]]=0,"委外",record[[#This Row],[Memo]]))</f>
        <v/>
      </c>
      <c r="O4082" t="s">
        <v>58</v>
      </c>
      <c r="P4082" t="s">
        <v>1075</v>
      </c>
      <c r="Q4082" t="s">
        <v>58</v>
      </c>
      <c r="R4082" t="str">
        <f>IFERROR(VLOOKUP(record[[#This Row],[PCUSTID]],廠商[],2,FALSE),"")</f>
        <v/>
      </c>
      <c r="S4082" t="str">
        <f>VLOOKUP(record[[#This Row],[employeeID]],員工[],2,FALSE)</f>
        <v>吳宥叡</v>
      </c>
    </row>
    <row r="4083" spans="6:19" hidden="1" x14ac:dyDescent="0.25">
      <c r="F4083" t="s">
        <v>1510</v>
      </c>
      <c r="G4083" t="s">
        <v>428</v>
      </c>
      <c r="H4083" t="str">
        <f>VLOOKUP(record[[#This Row],[ProcessSN]],表格2_7[],2,FALSE)</f>
        <v>30-4118-018-600</v>
      </c>
      <c r="I4083" t="str">
        <f>VLOOKUP(record[[#This Row],[ProcessSN]],表格2_7[],3,FALSE)</f>
        <v>#100SHIP</v>
      </c>
      <c r="J4083" t="s">
        <v>600</v>
      </c>
      <c r="K4083" s="195">
        <v>46058.431354166663</v>
      </c>
      <c r="L4083">
        <v>45</v>
      </c>
      <c r="M4083">
        <v>0</v>
      </c>
      <c r="N4083" s="98" t="str">
        <f>IF(record[[#This Row],[Memo]]="Browser:chrome os:android","平板報工",IF(record[[#This Row],[Memo]]=0,"委外",record[[#This Row],[Memo]]))</f>
        <v/>
      </c>
      <c r="O4083" t="s">
        <v>58</v>
      </c>
      <c r="P4083" t="s">
        <v>886</v>
      </c>
      <c r="Q4083" t="s">
        <v>58</v>
      </c>
      <c r="R4083" t="str">
        <f>IFERROR(VLOOKUP(record[[#This Row],[PCUSTID]],廠商[],2,FALSE),"")</f>
        <v/>
      </c>
      <c r="S4083" t="str">
        <f>VLOOKUP(record[[#This Row],[employeeID]],員工[],2,FALSE)</f>
        <v>謝蓁薰</v>
      </c>
    </row>
    <row r="4084" spans="6:19" hidden="1" x14ac:dyDescent="0.25">
      <c r="F4084" t="s">
        <v>1510</v>
      </c>
      <c r="G4084" t="s">
        <v>427</v>
      </c>
      <c r="H4084" t="str">
        <f>VLOOKUP(record[[#This Row],[ProcessSN]],表格2_7[],2,FALSE)</f>
        <v>30-4118-018-600</v>
      </c>
      <c r="I4084" t="str">
        <f>VLOOKUP(record[[#This Row],[ProcessSN]],表格2_7[],3,FALSE)</f>
        <v>#100STOCK</v>
      </c>
      <c r="J4084" t="s">
        <v>592</v>
      </c>
      <c r="K4084" s="195">
        <v>46058.431157407409</v>
      </c>
      <c r="L4084">
        <v>147</v>
      </c>
      <c r="M4084">
        <v>0</v>
      </c>
      <c r="N4084" s="98" t="str">
        <f>IF(record[[#This Row],[Memo]]="Browser:chrome os:android","平板報工",IF(record[[#This Row],[Memo]]=0,"委外",record[[#This Row],[Memo]]))</f>
        <v/>
      </c>
      <c r="O4084" t="s">
        <v>58</v>
      </c>
      <c r="P4084" t="s">
        <v>886</v>
      </c>
      <c r="Q4084" t="s">
        <v>58</v>
      </c>
      <c r="R4084" t="str">
        <f>IFERROR(VLOOKUP(record[[#This Row],[PCUSTID]],廠商[],2,FALSE),"")</f>
        <v/>
      </c>
      <c r="S4084" t="str">
        <f>VLOOKUP(record[[#This Row],[employeeID]],員工[],2,FALSE)</f>
        <v>謝蓁薰</v>
      </c>
    </row>
    <row r="4085" spans="6:19" hidden="1" x14ac:dyDescent="0.25">
      <c r="F4085" t="s">
        <v>1484</v>
      </c>
      <c r="G4085" t="s">
        <v>428</v>
      </c>
      <c r="H4085" t="str">
        <f>VLOOKUP(record[[#This Row],[ProcessSN]],表格2_7[],2,FALSE)</f>
        <v>30-4118-018-600</v>
      </c>
      <c r="I4085" t="str">
        <f>VLOOKUP(record[[#This Row],[ProcessSN]],表格2_7[],3,FALSE)</f>
        <v>#100SHIP</v>
      </c>
      <c r="J4085" t="s">
        <v>600</v>
      </c>
      <c r="K4085" s="195">
        <v>46058.431006944447</v>
      </c>
      <c r="L4085">
        <v>11</v>
      </c>
      <c r="M4085">
        <v>0</v>
      </c>
      <c r="N4085" s="98" t="str">
        <f>IF(record[[#This Row],[Memo]]="Browser:chrome os:android","平板報工",IF(record[[#This Row],[Memo]]=0,"委外",record[[#This Row],[Memo]]))</f>
        <v/>
      </c>
      <c r="O4085" t="s">
        <v>58</v>
      </c>
      <c r="P4085" t="s">
        <v>886</v>
      </c>
      <c r="Q4085" t="s">
        <v>58</v>
      </c>
      <c r="R4085" t="str">
        <f>IFERROR(VLOOKUP(record[[#This Row],[PCUSTID]],廠商[],2,FALSE),"")</f>
        <v/>
      </c>
      <c r="S4085" t="str">
        <f>VLOOKUP(record[[#This Row],[employeeID]],員工[],2,FALSE)</f>
        <v>謝蓁薰</v>
      </c>
    </row>
    <row r="4086" spans="6:19" hidden="1" x14ac:dyDescent="0.25">
      <c r="F4086" t="s">
        <v>1484</v>
      </c>
      <c r="G4086" t="s">
        <v>428</v>
      </c>
      <c r="H4086" t="str">
        <f>VLOOKUP(record[[#This Row],[ProcessSN]],表格2_7[],2,FALSE)</f>
        <v>30-4118-018-600</v>
      </c>
      <c r="I4086" t="str">
        <f>VLOOKUP(record[[#This Row],[ProcessSN]],表格2_7[],3,FALSE)</f>
        <v>#100SHIP</v>
      </c>
      <c r="J4086" t="s">
        <v>600</v>
      </c>
      <c r="K4086" s="195">
        <v>46058.430879629632</v>
      </c>
      <c r="L4086">
        <v>1</v>
      </c>
      <c r="M4086">
        <v>0</v>
      </c>
      <c r="N4086" s="98" t="str">
        <f>IF(record[[#This Row],[Memo]]="Browser:chrome os:android","平板報工",IF(record[[#This Row],[Memo]]=0,"委外",record[[#This Row],[Memo]]))</f>
        <v/>
      </c>
      <c r="O4086" t="s">
        <v>58</v>
      </c>
      <c r="P4086" t="s">
        <v>886</v>
      </c>
      <c r="Q4086" t="s">
        <v>58</v>
      </c>
      <c r="R4086" t="str">
        <f>IFERROR(VLOOKUP(record[[#This Row],[PCUSTID]],廠商[],2,FALSE),"")</f>
        <v/>
      </c>
      <c r="S4086" t="str">
        <f>VLOOKUP(record[[#This Row],[employeeID]],員工[],2,FALSE)</f>
        <v>謝蓁薰</v>
      </c>
    </row>
    <row r="4087" spans="6:19" hidden="1" x14ac:dyDescent="0.25">
      <c r="F4087" t="s">
        <v>1407</v>
      </c>
      <c r="G4087" t="s">
        <v>362</v>
      </c>
      <c r="H4087" t="str">
        <f>VLOOKUP(record[[#This Row],[ProcessSN]],表格2_7[],2,FALSE)</f>
        <v>30-4118-018-450</v>
      </c>
      <c r="I4087" t="str">
        <f>VLOOKUP(record[[#This Row],[ProcessSN]],表格2_7[],3,FALSE)</f>
        <v>#100SHIP</v>
      </c>
      <c r="J4087" t="s">
        <v>600</v>
      </c>
      <c r="K4087" s="195">
        <v>46058.43072916667</v>
      </c>
      <c r="L4087">
        <v>105</v>
      </c>
      <c r="M4087">
        <v>0</v>
      </c>
      <c r="N4087" s="98" t="str">
        <f>IF(record[[#This Row],[Memo]]="Browser:chrome os:android","平板報工",IF(record[[#This Row],[Memo]]=0,"委外",record[[#This Row],[Memo]]))</f>
        <v/>
      </c>
      <c r="O4087" t="s">
        <v>58</v>
      </c>
      <c r="P4087" t="s">
        <v>886</v>
      </c>
      <c r="Q4087" t="s">
        <v>58</v>
      </c>
      <c r="R4087" t="str">
        <f>IFERROR(VLOOKUP(record[[#This Row],[PCUSTID]],廠商[],2,FALSE),"")</f>
        <v/>
      </c>
      <c r="S4087" t="str">
        <f>VLOOKUP(record[[#This Row],[employeeID]],員工[],2,FALSE)</f>
        <v>謝蓁薰</v>
      </c>
    </row>
    <row r="4088" spans="6:19" hidden="1" x14ac:dyDescent="0.25">
      <c r="F4088" t="s">
        <v>1570</v>
      </c>
      <c r="G4088" t="s">
        <v>372</v>
      </c>
      <c r="H4088" t="str">
        <f>VLOOKUP(record[[#This Row],[ProcessSN]],表格2_7[],2,FALSE)</f>
        <v>30-4118-018-4XX</v>
      </c>
      <c r="I4088" t="str">
        <f>VLOOKUP(record[[#This Row],[ProcessSN]],表格2_7[],3,FALSE)</f>
        <v>#03GIVE</v>
      </c>
      <c r="J4088" t="s">
        <v>587</v>
      </c>
      <c r="K4088" s="195">
        <v>46058.427870370368</v>
      </c>
      <c r="L4088">
        <v>1000</v>
      </c>
      <c r="M4088">
        <v>0</v>
      </c>
      <c r="N4088" s="98" t="str">
        <f>IF(record[[#This Row],[Memo]]="Browser:chrome os:android","平板報工",IF(record[[#This Row],[Memo]]=0,"委外",record[[#This Row],[Memo]]))</f>
        <v/>
      </c>
      <c r="O4088" t="s">
        <v>58</v>
      </c>
      <c r="P4088" t="s">
        <v>1070</v>
      </c>
      <c r="Q4088" t="s">
        <v>58</v>
      </c>
      <c r="R4088" t="str">
        <f>IFERROR(VLOOKUP(record[[#This Row],[PCUSTID]],廠商[],2,FALSE),"")</f>
        <v/>
      </c>
      <c r="S4088" t="str">
        <f>VLOOKUP(record[[#This Row],[employeeID]],員工[],2,FALSE)</f>
        <v>陳昱佑</v>
      </c>
    </row>
    <row r="4089" spans="6:19" hidden="1" x14ac:dyDescent="0.25">
      <c r="F4089" t="s">
        <v>1569</v>
      </c>
      <c r="G4089" t="s">
        <v>446</v>
      </c>
      <c r="H4089" t="str">
        <f>VLOOKUP(record[[#This Row],[ProcessSN]],表格2_7[],2,FALSE)</f>
        <v>30-4118-018-6XX</v>
      </c>
      <c r="I4089" t="str">
        <f>VLOOKUP(record[[#This Row],[ProcessSN]],表格2_7[],3,FALSE)</f>
        <v>#03GIVE</v>
      </c>
      <c r="J4089" t="s">
        <v>587</v>
      </c>
      <c r="K4089" s="195">
        <v>46058.427685185183</v>
      </c>
      <c r="L4089">
        <v>1500</v>
      </c>
      <c r="M4089">
        <v>0</v>
      </c>
      <c r="N4089" s="98" t="str">
        <f>IF(record[[#This Row],[Memo]]="Browser:chrome os:android","平板報工",IF(record[[#This Row],[Memo]]=0,"委外",record[[#This Row],[Memo]]))</f>
        <v/>
      </c>
      <c r="O4089" t="s">
        <v>58</v>
      </c>
      <c r="P4089" t="s">
        <v>1070</v>
      </c>
      <c r="Q4089" t="s">
        <v>58</v>
      </c>
      <c r="R4089" t="str">
        <f>IFERROR(VLOOKUP(record[[#This Row],[PCUSTID]],廠商[],2,FALSE),"")</f>
        <v/>
      </c>
      <c r="S4089" t="str">
        <f>VLOOKUP(record[[#This Row],[employeeID]],員工[],2,FALSE)</f>
        <v>陳昱佑</v>
      </c>
    </row>
    <row r="4090" spans="6:19" hidden="1" x14ac:dyDescent="0.25">
      <c r="F4090" t="s">
        <v>1542</v>
      </c>
      <c r="G4090" t="s">
        <v>471</v>
      </c>
      <c r="H4090" t="str">
        <f>VLOOKUP(record[[#This Row],[ProcessSN]],表格2_7[],2,FALSE)</f>
        <v>30-4118-018-XXX</v>
      </c>
      <c r="I4090" t="str">
        <f>VLOOKUP(record[[#This Row],[ProcessSN]],表格2_7[],3,FALSE)</f>
        <v>#02STOCK</v>
      </c>
      <c r="J4090" t="s">
        <v>592</v>
      </c>
      <c r="K4090" s="195">
        <v>46058.409282407411</v>
      </c>
      <c r="L4090">
        <v>614</v>
      </c>
      <c r="M4090">
        <v>0</v>
      </c>
      <c r="N4090" s="98" t="str">
        <f>IF(record[[#This Row],[Memo]]="Browser:chrome os:android","平板報工",IF(record[[#This Row],[Memo]]=0,"委外",record[[#This Row],[Memo]]))</f>
        <v/>
      </c>
      <c r="O4090" t="s">
        <v>58</v>
      </c>
      <c r="P4090" t="s">
        <v>1070</v>
      </c>
      <c r="Q4090" t="s">
        <v>58</v>
      </c>
      <c r="R4090" t="str">
        <f>IFERROR(VLOOKUP(record[[#This Row],[PCUSTID]],廠商[],2,FALSE),"")</f>
        <v/>
      </c>
      <c r="S4090" t="str">
        <f>VLOOKUP(record[[#This Row],[employeeID]],員工[],2,FALSE)</f>
        <v>陳昱佑</v>
      </c>
    </row>
    <row r="4091" spans="6:19" hidden="1" x14ac:dyDescent="0.25">
      <c r="F4091" t="s">
        <v>1531</v>
      </c>
      <c r="G4091" t="s">
        <v>471</v>
      </c>
      <c r="H4091" t="str">
        <f>VLOOKUP(record[[#This Row],[ProcessSN]],表格2_7[],2,FALSE)</f>
        <v>30-4118-018-XXX</v>
      </c>
      <c r="I4091" t="str">
        <f>VLOOKUP(record[[#This Row],[ProcessSN]],表格2_7[],3,FALSE)</f>
        <v>#02STOCK</v>
      </c>
      <c r="J4091" t="s">
        <v>592</v>
      </c>
      <c r="K4091" s="195">
        <v>46058.409085648149</v>
      </c>
      <c r="L4091">
        <v>2362</v>
      </c>
      <c r="M4091">
        <v>0</v>
      </c>
      <c r="N4091" s="98" t="str">
        <f>IF(record[[#This Row],[Memo]]="Browser:chrome os:android","平板報工",IF(record[[#This Row],[Memo]]=0,"委外",record[[#This Row],[Memo]]))</f>
        <v/>
      </c>
      <c r="O4091" t="s">
        <v>58</v>
      </c>
      <c r="P4091" t="s">
        <v>1070</v>
      </c>
      <c r="Q4091" t="s">
        <v>58</v>
      </c>
      <c r="R4091" t="str">
        <f>IFERROR(VLOOKUP(record[[#This Row],[PCUSTID]],廠商[],2,FALSE),"")</f>
        <v/>
      </c>
      <c r="S4091" t="str">
        <f>VLOOKUP(record[[#This Row],[employeeID]],員工[],2,FALSE)</f>
        <v>陳昱佑</v>
      </c>
    </row>
    <row r="4092" spans="6:19" hidden="1" x14ac:dyDescent="0.25">
      <c r="F4092" t="s">
        <v>1551</v>
      </c>
      <c r="G4092" t="s">
        <v>468</v>
      </c>
      <c r="H4092" t="str">
        <f>VLOOKUP(record[[#This Row],[ProcessSN]],表格2_7[],2,FALSE)</f>
        <v>30-4118-018-XXX</v>
      </c>
      <c r="I4092" t="str">
        <f>VLOOKUP(record[[#This Row],[ProcessSN]],表格2_7[],3,FALSE)</f>
        <v>#02</v>
      </c>
      <c r="J4092" t="s">
        <v>590</v>
      </c>
      <c r="K4092" s="195">
        <v>46058.366527777776</v>
      </c>
      <c r="L4092">
        <v>840</v>
      </c>
      <c r="M4092">
        <v>0</v>
      </c>
      <c r="N4092" s="98" t="str">
        <f>IF(record[[#This Row],[Memo]]="Browser:chrome os:android","平板報工",IF(record[[#This Row],[Memo]]=0,"委外",record[[#This Row],[Memo]]))</f>
        <v>委外</v>
      </c>
      <c r="P4092" t="s">
        <v>186</v>
      </c>
      <c r="Q4092" t="s">
        <v>216</v>
      </c>
      <c r="R4092" t="str">
        <f>IFERROR(VLOOKUP(record[[#This Row],[PCUSTID]],廠商[],2,FALSE),"")</f>
        <v>俊杰</v>
      </c>
      <c r="S4092" t="str">
        <f>VLOOKUP(record[[#This Row],[employeeID]],員工[],2,FALSE)</f>
        <v>許文姍</v>
      </c>
    </row>
    <row r="4093" spans="6:19" hidden="1" x14ac:dyDescent="0.25">
      <c r="F4093" t="s">
        <v>1551</v>
      </c>
      <c r="G4093" t="s">
        <v>467</v>
      </c>
      <c r="H4093" t="str">
        <f>VLOOKUP(record[[#This Row],[ProcessSN]],表格2_7[],2,FALSE)</f>
        <v>30-4118-018-XXX</v>
      </c>
      <c r="I4093" t="str">
        <f>VLOOKUP(record[[#This Row],[ProcessSN]],表格2_7[],3,FALSE)</f>
        <v>#01QC</v>
      </c>
      <c r="J4093" t="s">
        <v>589</v>
      </c>
      <c r="K4093" s="195">
        <v>46058.339583333334</v>
      </c>
      <c r="L4093">
        <v>504</v>
      </c>
      <c r="M4093">
        <v>0</v>
      </c>
      <c r="N4093" s="98" t="str">
        <f>IF(record[[#This Row],[Memo]]="Browser:chrome os:android","平板報工",IF(record[[#This Row],[Memo]]=0,"委外",record[[#This Row],[Memo]]))</f>
        <v>平板報工</v>
      </c>
      <c r="O4093" t="s">
        <v>643</v>
      </c>
      <c r="P4093" t="s">
        <v>182</v>
      </c>
      <c r="Q4093" t="s">
        <v>644</v>
      </c>
      <c r="R4093" t="str">
        <f>IFERROR(VLOOKUP(record[[#This Row],[PCUSTID]],廠商[],2,FALSE),"")</f>
        <v/>
      </c>
      <c r="S4093" t="str">
        <f>VLOOKUP(record[[#This Row],[employeeID]],員工[],2,FALSE)</f>
        <v>梅氏和</v>
      </c>
    </row>
    <row r="4094" spans="6:19" hidden="1" x14ac:dyDescent="0.25">
      <c r="F4094" t="s">
        <v>1540</v>
      </c>
      <c r="G4094" t="s">
        <v>415</v>
      </c>
      <c r="H4094" t="str">
        <f>VLOOKUP(record[[#This Row],[ProcessSN]],表格2_7[],2,FALSE)</f>
        <v>30-4118-018-5XX</v>
      </c>
      <c r="I4094" t="str">
        <f>VLOOKUP(record[[#This Row],[ProcessSN]],表格2_7[],3,FALSE)</f>
        <v>#04</v>
      </c>
      <c r="J4094" t="s">
        <v>588</v>
      </c>
      <c r="K4094" s="195">
        <v>46058.310486111113</v>
      </c>
      <c r="L4094">
        <v>128</v>
      </c>
      <c r="M4094">
        <v>0</v>
      </c>
      <c r="N4094" s="98" t="str">
        <f>IF(record[[#This Row],[Memo]]="Browser:chrome os:android","平板報工",IF(record[[#This Row],[Memo]]=0,"委外",record[[#This Row],[Memo]]))</f>
        <v/>
      </c>
      <c r="O4094" t="s">
        <v>58</v>
      </c>
      <c r="P4094" t="s">
        <v>180</v>
      </c>
      <c r="Q4094" t="s">
        <v>58</v>
      </c>
      <c r="R4094" t="str">
        <f>IFERROR(VLOOKUP(record[[#This Row],[PCUSTID]],廠商[],2,FALSE),"")</f>
        <v/>
      </c>
      <c r="S4094" t="str">
        <f>VLOOKUP(record[[#This Row],[employeeID]],員工[],2,FALSE)</f>
        <v>黎功江</v>
      </c>
    </row>
    <row r="4095" spans="6:19" hidden="1" x14ac:dyDescent="0.25">
      <c r="F4095" t="s">
        <v>1507</v>
      </c>
      <c r="G4095" t="s">
        <v>451</v>
      </c>
      <c r="H4095" t="str">
        <f>VLOOKUP(record[[#This Row],[ProcessSN]],表格2_7[],2,FALSE)</f>
        <v>30-4118-018-6XX</v>
      </c>
      <c r="I4095" t="str">
        <f>VLOOKUP(record[[#This Row],[ProcessSN]],表格2_7[],3,FALSE)</f>
        <v>#07</v>
      </c>
      <c r="J4095" t="s">
        <v>588</v>
      </c>
      <c r="K4095" s="195">
        <v>46058.308298611111</v>
      </c>
      <c r="L4095">
        <v>162</v>
      </c>
      <c r="M4095">
        <v>0</v>
      </c>
      <c r="N4095" s="98" t="str">
        <f>IF(record[[#This Row],[Memo]]="Browser:chrome os:android","平板報工",IF(record[[#This Row],[Memo]]=0,"委外",record[[#This Row],[Memo]]))</f>
        <v/>
      </c>
      <c r="O4095" t="s">
        <v>58</v>
      </c>
      <c r="P4095" t="s">
        <v>806</v>
      </c>
      <c r="Q4095" t="s">
        <v>58</v>
      </c>
      <c r="R4095" t="str">
        <f>IFERROR(VLOOKUP(record[[#This Row],[PCUSTID]],廠商[],2,FALSE),"")</f>
        <v/>
      </c>
      <c r="S4095" t="str">
        <f>VLOOKUP(record[[#This Row],[employeeID]],員工[],2,FALSE)</f>
        <v>方思緯</v>
      </c>
    </row>
    <row r="4096" spans="6:19" hidden="1" x14ac:dyDescent="0.25">
      <c r="F4096" t="s">
        <v>1507</v>
      </c>
      <c r="G4096" t="s">
        <v>450</v>
      </c>
      <c r="H4096" t="str">
        <f>VLOOKUP(record[[#This Row],[ProcessSN]],表格2_7[],2,FALSE)</f>
        <v>30-4118-018-6XX</v>
      </c>
      <c r="I4096" t="str">
        <f>VLOOKUP(record[[#This Row],[ProcessSN]],表格2_7[],3,FALSE)</f>
        <v>#06</v>
      </c>
      <c r="J4096" t="s">
        <v>593</v>
      </c>
      <c r="K4096" s="195">
        <v>46058.306875000002</v>
      </c>
      <c r="L4096">
        <v>136</v>
      </c>
      <c r="M4096">
        <v>0</v>
      </c>
      <c r="N4096" s="98" t="str">
        <f>IF(record[[#This Row],[Memo]]="Browser:chrome os:android","平板報工",IF(record[[#This Row],[Memo]]=0,"委外",record[[#This Row],[Memo]]))</f>
        <v/>
      </c>
      <c r="O4096" t="s">
        <v>58</v>
      </c>
      <c r="P4096" t="s">
        <v>180</v>
      </c>
      <c r="Q4096" t="s">
        <v>58</v>
      </c>
      <c r="R4096" t="str">
        <f>IFERROR(VLOOKUP(record[[#This Row],[PCUSTID]],廠商[],2,FALSE),"")</f>
        <v/>
      </c>
      <c r="S4096" t="str">
        <f>VLOOKUP(record[[#This Row],[employeeID]],員工[],2,FALSE)</f>
        <v>黎功江</v>
      </c>
    </row>
    <row r="4097" spans="6:19" hidden="1" x14ac:dyDescent="0.25">
      <c r="F4097" t="s">
        <v>1551</v>
      </c>
      <c r="G4097" t="s">
        <v>466</v>
      </c>
      <c r="H4097" t="str">
        <f>VLOOKUP(record[[#This Row],[ProcessSN]],表格2_7[],2,FALSE)</f>
        <v>30-4118-018-XXX</v>
      </c>
      <c r="I4097" t="str">
        <f>VLOOKUP(record[[#This Row],[ProcessSN]],表格2_7[],3,FALSE)</f>
        <v>#01-2</v>
      </c>
      <c r="J4097" t="s">
        <v>588</v>
      </c>
      <c r="K4097" s="195">
        <v>46058.306284722225</v>
      </c>
      <c r="L4097">
        <v>276</v>
      </c>
      <c r="M4097">
        <v>2</v>
      </c>
      <c r="N4097" s="98" t="str">
        <f>IF(record[[#This Row],[Memo]]="Browser:chrome os:android","平板報工",IF(record[[#This Row],[Memo]]=0,"委外",record[[#This Row],[Memo]]))</f>
        <v/>
      </c>
      <c r="O4097" t="s">
        <v>58</v>
      </c>
      <c r="P4097" t="s">
        <v>806</v>
      </c>
      <c r="Q4097" t="s">
        <v>58</v>
      </c>
      <c r="R4097" t="str">
        <f>IFERROR(VLOOKUP(record[[#This Row],[PCUSTID]],廠商[],2,FALSE),"")</f>
        <v/>
      </c>
      <c r="S4097" t="str">
        <f>VLOOKUP(record[[#This Row],[employeeID]],員工[],2,FALSE)</f>
        <v>方思緯</v>
      </c>
    </row>
    <row r="4098" spans="6:19" hidden="1" x14ac:dyDescent="0.25">
      <c r="F4098" t="s">
        <v>1551</v>
      </c>
      <c r="G4098" t="s">
        <v>465</v>
      </c>
      <c r="H4098" t="str">
        <f>VLOOKUP(record[[#This Row],[ProcessSN]],表格2_7[],2,FALSE)</f>
        <v>30-4118-018-XXX</v>
      </c>
      <c r="I4098" t="str">
        <f>VLOOKUP(record[[#This Row],[ProcessSN]],表格2_7[],3,FALSE)</f>
        <v>#01-1</v>
      </c>
      <c r="J4098" t="s">
        <v>588</v>
      </c>
      <c r="K4098" s="195">
        <v>46058.306076388886</v>
      </c>
      <c r="L4098">
        <v>336</v>
      </c>
      <c r="M4098">
        <v>0</v>
      </c>
      <c r="N4098" s="98" t="str">
        <f>IF(record[[#This Row],[Memo]]="Browser:chrome os:android","平板報工",IF(record[[#This Row],[Memo]]=0,"委外",record[[#This Row],[Memo]]))</f>
        <v/>
      </c>
      <c r="O4098" t="s">
        <v>58</v>
      </c>
      <c r="P4098" t="s">
        <v>806</v>
      </c>
      <c r="Q4098" t="s">
        <v>58</v>
      </c>
      <c r="R4098" t="str">
        <f>IFERROR(VLOOKUP(record[[#This Row],[PCUSTID]],廠商[],2,FALSE),"")</f>
        <v/>
      </c>
      <c r="S4098" t="str">
        <f>VLOOKUP(record[[#This Row],[employeeID]],員工[],2,FALSE)</f>
        <v>方思緯</v>
      </c>
    </row>
    <row r="4099" spans="6:19" hidden="1" x14ac:dyDescent="0.25">
      <c r="F4099" t="s">
        <v>1568</v>
      </c>
      <c r="G4099" t="s">
        <v>414</v>
      </c>
      <c r="H4099" t="str">
        <f>VLOOKUP(record[[#This Row],[ProcessSN]],表格2_7[],2,FALSE)</f>
        <v>30-4118-018-5XX</v>
      </c>
      <c r="I4099" t="str">
        <f>VLOOKUP(record[[#This Row],[ProcessSN]],表格2_7[],3,FALSE)</f>
        <v>#03</v>
      </c>
      <c r="J4099" t="s">
        <v>588</v>
      </c>
      <c r="K4099" s="195">
        <v>46058.305300925924</v>
      </c>
      <c r="L4099">
        <v>336</v>
      </c>
      <c r="M4099">
        <v>0</v>
      </c>
      <c r="N4099" s="98" t="str">
        <f>IF(record[[#This Row],[Memo]]="Browser:chrome os:android","平板報工",IF(record[[#This Row],[Memo]]=0,"委外",record[[#This Row],[Memo]]))</f>
        <v/>
      </c>
      <c r="O4099" t="s">
        <v>58</v>
      </c>
      <c r="P4099" t="s">
        <v>843</v>
      </c>
      <c r="Q4099" t="s">
        <v>58</v>
      </c>
      <c r="R4099" t="str">
        <f>IFERROR(VLOOKUP(record[[#This Row],[PCUSTID]],廠商[],2,FALSE),"")</f>
        <v/>
      </c>
      <c r="S4099" t="str">
        <f>VLOOKUP(record[[#This Row],[employeeID]],員工[],2,FALSE)</f>
        <v>張楚承</v>
      </c>
    </row>
    <row r="4100" spans="6:19" hidden="1" x14ac:dyDescent="0.25">
      <c r="F4100" t="s">
        <v>1507</v>
      </c>
      <c r="G4100" t="s">
        <v>451</v>
      </c>
      <c r="H4100" t="str">
        <f>VLOOKUP(record[[#This Row],[ProcessSN]],表格2_7[],2,FALSE)</f>
        <v>30-4118-018-6XX</v>
      </c>
      <c r="I4100" t="str">
        <f>VLOOKUP(record[[#This Row],[ProcessSN]],表格2_7[],3,FALSE)</f>
        <v>#07</v>
      </c>
      <c r="J4100" t="s">
        <v>588</v>
      </c>
      <c r="K4100" s="195">
        <v>46057.980937499997</v>
      </c>
      <c r="L4100">
        <v>101</v>
      </c>
      <c r="M4100">
        <v>6</v>
      </c>
      <c r="N4100" s="98" t="str">
        <f>IF(record[[#This Row],[Memo]]="Browser:chrome os:android","平板報工",IF(record[[#This Row],[Memo]]=0,"委外",record[[#This Row],[Memo]]))</f>
        <v/>
      </c>
      <c r="O4100" t="s">
        <v>58</v>
      </c>
      <c r="P4100" t="s">
        <v>1098</v>
      </c>
      <c r="Q4100" t="s">
        <v>58</v>
      </c>
      <c r="R4100" t="str">
        <f>IFERROR(VLOOKUP(record[[#This Row],[PCUSTID]],廠商[],2,FALSE),"")</f>
        <v/>
      </c>
      <c r="S4100" t="str">
        <f>VLOOKUP(record[[#This Row],[employeeID]],員工[],2,FALSE)</f>
        <v>阮氏芳英(英)</v>
      </c>
    </row>
    <row r="4101" spans="6:19" hidden="1" x14ac:dyDescent="0.25">
      <c r="F4101" t="s">
        <v>1551</v>
      </c>
      <c r="G4101" t="s">
        <v>466</v>
      </c>
      <c r="H4101" t="str">
        <f>VLOOKUP(record[[#This Row],[ProcessSN]],表格2_7[],2,FALSE)</f>
        <v>30-4118-018-XXX</v>
      </c>
      <c r="I4101" t="str">
        <f>VLOOKUP(record[[#This Row],[ProcessSN]],表格2_7[],3,FALSE)</f>
        <v>#01-2</v>
      </c>
      <c r="J4101" t="s">
        <v>588</v>
      </c>
      <c r="K4101" s="195">
        <v>46057.980636574073</v>
      </c>
      <c r="L4101">
        <v>356</v>
      </c>
      <c r="M4101">
        <v>0</v>
      </c>
      <c r="N4101" s="98" t="str">
        <f>IF(record[[#This Row],[Memo]]="Browser:chrome os:android","平板報工",IF(record[[#This Row],[Memo]]=0,"委外",record[[#This Row],[Memo]]))</f>
        <v/>
      </c>
      <c r="O4101" t="s">
        <v>58</v>
      </c>
      <c r="P4101" t="s">
        <v>1098</v>
      </c>
      <c r="Q4101" t="s">
        <v>58</v>
      </c>
      <c r="R4101" t="str">
        <f>IFERROR(VLOOKUP(record[[#This Row],[PCUSTID]],廠商[],2,FALSE),"")</f>
        <v/>
      </c>
      <c r="S4101" t="str">
        <f>VLOOKUP(record[[#This Row],[employeeID]],員工[],2,FALSE)</f>
        <v>阮氏芳英(英)</v>
      </c>
    </row>
    <row r="4102" spans="6:19" hidden="1" x14ac:dyDescent="0.25">
      <c r="F4102" t="s">
        <v>1551</v>
      </c>
      <c r="G4102" t="s">
        <v>465</v>
      </c>
      <c r="H4102" t="str">
        <f>VLOOKUP(record[[#This Row],[ProcessSN]],表格2_7[],2,FALSE)</f>
        <v>30-4118-018-XXX</v>
      </c>
      <c r="I4102" t="str">
        <f>VLOOKUP(record[[#This Row],[ProcessSN]],表格2_7[],3,FALSE)</f>
        <v>#01-1</v>
      </c>
      <c r="J4102" t="s">
        <v>588</v>
      </c>
      <c r="K4102" s="195">
        <v>46057.980347222219</v>
      </c>
      <c r="L4102">
        <v>454</v>
      </c>
      <c r="M4102">
        <v>0</v>
      </c>
      <c r="N4102" s="98" t="str">
        <f>IF(record[[#This Row],[Memo]]="Browser:chrome os:android","平板報工",IF(record[[#This Row],[Memo]]=0,"委外",record[[#This Row],[Memo]]))</f>
        <v/>
      </c>
      <c r="O4102" t="s">
        <v>58</v>
      </c>
      <c r="P4102" t="s">
        <v>1098</v>
      </c>
      <c r="Q4102" t="s">
        <v>58</v>
      </c>
      <c r="R4102" t="str">
        <f>IFERROR(VLOOKUP(record[[#This Row],[PCUSTID]],廠商[],2,FALSE),"")</f>
        <v/>
      </c>
      <c r="S4102" t="str">
        <f>VLOOKUP(record[[#This Row],[employeeID]],員工[],2,FALSE)</f>
        <v>阮氏芳英(英)</v>
      </c>
    </row>
    <row r="4103" spans="6:19" hidden="1" x14ac:dyDescent="0.25">
      <c r="F4103" t="s">
        <v>1540</v>
      </c>
      <c r="G4103" t="s">
        <v>415</v>
      </c>
      <c r="H4103" t="str">
        <f>VLOOKUP(record[[#This Row],[ProcessSN]],表格2_7[],2,FALSE)</f>
        <v>30-4118-018-5XX</v>
      </c>
      <c r="I4103" t="str">
        <f>VLOOKUP(record[[#This Row],[ProcessSN]],表格2_7[],3,FALSE)</f>
        <v>#04</v>
      </c>
      <c r="J4103" t="s">
        <v>588</v>
      </c>
      <c r="K4103" s="195">
        <v>46057.979710648149</v>
      </c>
      <c r="L4103">
        <v>130</v>
      </c>
      <c r="M4103">
        <v>0</v>
      </c>
      <c r="N4103" s="98" t="str">
        <f>IF(record[[#This Row],[Memo]]="Browser:chrome os:android","平板報工",IF(record[[#This Row],[Memo]]=0,"委外",record[[#This Row],[Memo]]))</f>
        <v/>
      </c>
      <c r="O4103" t="s">
        <v>58</v>
      </c>
      <c r="P4103" t="s">
        <v>115</v>
      </c>
      <c r="Q4103" t="s">
        <v>58</v>
      </c>
      <c r="R4103" t="str">
        <f>IFERROR(VLOOKUP(record[[#This Row],[PCUSTID]],廠商[],2,FALSE),"")</f>
        <v/>
      </c>
      <c r="S4103" t="str">
        <f>VLOOKUP(record[[#This Row],[employeeID]],員工[],2,FALSE)</f>
        <v>溫智淵</v>
      </c>
    </row>
    <row r="4104" spans="6:19" hidden="1" x14ac:dyDescent="0.25">
      <c r="F4104" t="s">
        <v>1507</v>
      </c>
      <c r="G4104" t="s">
        <v>450</v>
      </c>
      <c r="H4104" t="str">
        <f>VLOOKUP(record[[#This Row],[ProcessSN]],表格2_7[],2,FALSE)</f>
        <v>30-4118-018-6XX</v>
      </c>
      <c r="I4104" t="str">
        <f>VLOOKUP(record[[#This Row],[ProcessSN]],表格2_7[],3,FALSE)</f>
        <v>#06</v>
      </c>
      <c r="J4104" t="s">
        <v>593</v>
      </c>
      <c r="K4104" s="195">
        <v>46057.979375000003</v>
      </c>
      <c r="L4104">
        <v>133</v>
      </c>
      <c r="M4104">
        <v>0</v>
      </c>
      <c r="N4104" s="98" t="str">
        <f>IF(record[[#This Row],[Memo]]="Browser:chrome os:android","平板報工",IF(record[[#This Row],[Memo]]=0,"委外",record[[#This Row],[Memo]]))</f>
        <v/>
      </c>
      <c r="O4104" t="s">
        <v>58</v>
      </c>
      <c r="P4104" t="s">
        <v>115</v>
      </c>
      <c r="Q4104" t="s">
        <v>58</v>
      </c>
      <c r="R4104" t="str">
        <f>IFERROR(VLOOKUP(record[[#This Row],[PCUSTID]],廠商[],2,FALSE),"")</f>
        <v/>
      </c>
      <c r="S4104" t="str">
        <f>VLOOKUP(record[[#This Row],[employeeID]],員工[],2,FALSE)</f>
        <v>溫智淵</v>
      </c>
    </row>
    <row r="4105" spans="6:19" hidden="1" x14ac:dyDescent="0.25">
      <c r="F4105" t="s">
        <v>1568</v>
      </c>
      <c r="G4105" t="s">
        <v>414</v>
      </c>
      <c r="H4105" t="str">
        <f>VLOOKUP(record[[#This Row],[ProcessSN]],表格2_7[],2,FALSE)</f>
        <v>30-4118-018-5XX</v>
      </c>
      <c r="I4105" t="str">
        <f>VLOOKUP(record[[#This Row],[ProcessSN]],表格2_7[],3,FALSE)</f>
        <v>#03</v>
      </c>
      <c r="J4105" t="s">
        <v>588</v>
      </c>
      <c r="K4105" s="195">
        <v>46057.978807870371</v>
      </c>
      <c r="L4105">
        <v>336</v>
      </c>
      <c r="M4105">
        <v>1</v>
      </c>
      <c r="N4105" s="98" t="str">
        <f>IF(record[[#This Row],[Memo]]="Browser:chrome os:android","平板報工",IF(record[[#This Row],[Memo]]=0,"委外",record[[#This Row],[Memo]]))</f>
        <v/>
      </c>
      <c r="O4105" t="s">
        <v>58</v>
      </c>
      <c r="P4105" t="s">
        <v>89</v>
      </c>
      <c r="Q4105" t="s">
        <v>58</v>
      </c>
      <c r="R4105" t="str">
        <f>IFERROR(VLOOKUP(record[[#This Row],[PCUSTID]],廠商[],2,FALSE),"")</f>
        <v/>
      </c>
      <c r="S4105" t="str">
        <f>VLOOKUP(record[[#This Row],[employeeID]],員工[],2,FALSE)</f>
        <v>李美蓮</v>
      </c>
    </row>
    <row r="4106" spans="6:19" hidden="1" x14ac:dyDescent="0.25">
      <c r="F4106" t="s">
        <v>1507</v>
      </c>
      <c r="G4106" t="s">
        <v>449</v>
      </c>
      <c r="H4106" t="str">
        <f>VLOOKUP(record[[#This Row],[ProcessSN]],表格2_7[],2,FALSE)</f>
        <v>30-4118-018-6XX</v>
      </c>
      <c r="I4106" t="str">
        <f>VLOOKUP(record[[#This Row],[ProcessSN]],表格2_7[],3,FALSE)</f>
        <v>#05</v>
      </c>
      <c r="J4106" t="s">
        <v>588</v>
      </c>
      <c r="K4106" s="195">
        <v>46057.978171296294</v>
      </c>
      <c r="L4106">
        <v>146</v>
      </c>
      <c r="M4106">
        <v>0</v>
      </c>
      <c r="N4106" s="98" t="str">
        <f>IF(record[[#This Row],[Memo]]="Browser:chrome os:android","平板報工",IF(record[[#This Row],[Memo]]=0,"委外",record[[#This Row],[Memo]]))</f>
        <v/>
      </c>
      <c r="O4106" t="s">
        <v>58</v>
      </c>
      <c r="P4106" t="s">
        <v>89</v>
      </c>
      <c r="Q4106" t="s">
        <v>58</v>
      </c>
      <c r="R4106" t="str">
        <f>IFERROR(VLOOKUP(record[[#This Row],[PCUSTID]],廠商[],2,FALSE),"")</f>
        <v/>
      </c>
      <c r="S4106" t="str">
        <f>VLOOKUP(record[[#This Row],[employeeID]],員工[],2,FALSE)</f>
        <v>李美蓮</v>
      </c>
    </row>
    <row r="4107" spans="6:19" hidden="1" x14ac:dyDescent="0.25">
      <c r="F4107" t="s">
        <v>1527</v>
      </c>
      <c r="G4107" t="s">
        <v>449</v>
      </c>
      <c r="H4107" t="str">
        <f>VLOOKUP(record[[#This Row],[ProcessSN]],表格2_7[],2,FALSE)</f>
        <v>30-4118-018-6XX</v>
      </c>
      <c r="I4107" t="str">
        <f>VLOOKUP(record[[#This Row],[ProcessSN]],表格2_7[],3,FALSE)</f>
        <v>#05</v>
      </c>
      <c r="J4107" t="s">
        <v>588</v>
      </c>
      <c r="K4107" s="195">
        <v>46057.977824074071</v>
      </c>
      <c r="L4107">
        <v>24</v>
      </c>
      <c r="M4107">
        <v>0</v>
      </c>
      <c r="N4107" s="98" t="str">
        <f>IF(record[[#This Row],[Memo]]="Browser:chrome os:android","平板報工",IF(record[[#This Row],[Memo]]=0,"委外",record[[#This Row],[Memo]]))</f>
        <v/>
      </c>
      <c r="O4107" t="s">
        <v>58</v>
      </c>
      <c r="P4107" t="s">
        <v>89</v>
      </c>
      <c r="Q4107" t="s">
        <v>58</v>
      </c>
      <c r="R4107" t="str">
        <f>IFERROR(VLOOKUP(record[[#This Row],[PCUSTID]],廠商[],2,FALSE),"")</f>
        <v/>
      </c>
      <c r="S4107" t="str">
        <f>VLOOKUP(record[[#This Row],[employeeID]],員工[],2,FALSE)</f>
        <v>李美蓮</v>
      </c>
    </row>
    <row r="4108" spans="6:19" hidden="1" x14ac:dyDescent="0.25">
      <c r="F4108" t="s">
        <v>1551</v>
      </c>
      <c r="G4108" t="s">
        <v>467</v>
      </c>
      <c r="H4108" t="str">
        <f>VLOOKUP(record[[#This Row],[ProcessSN]],表格2_7[],2,FALSE)</f>
        <v>30-4118-018-XXX</v>
      </c>
      <c r="I4108" t="str">
        <f>VLOOKUP(record[[#This Row],[ProcessSN]],表格2_7[],3,FALSE)</f>
        <v>#01QC</v>
      </c>
      <c r="J4108" t="s">
        <v>589</v>
      </c>
      <c r="K4108" s="195">
        <v>46057.783622685187</v>
      </c>
      <c r="L4108">
        <v>336</v>
      </c>
      <c r="M4108">
        <v>0</v>
      </c>
      <c r="N4108" s="98" t="str">
        <f>IF(record[[#This Row],[Memo]]="Browser:chrome os:android","平板報工",IF(record[[#This Row],[Memo]]=0,"委外",record[[#This Row],[Memo]]))</f>
        <v>平板報工</v>
      </c>
      <c r="O4108" t="s">
        <v>643</v>
      </c>
      <c r="P4108" t="s">
        <v>182</v>
      </c>
      <c r="Q4108" t="s">
        <v>644</v>
      </c>
      <c r="R4108" t="str">
        <f>IFERROR(VLOOKUP(record[[#This Row],[PCUSTID]],廠商[],2,FALSE),"")</f>
        <v/>
      </c>
      <c r="S4108" t="str">
        <f>VLOOKUP(record[[#This Row],[employeeID]],員工[],2,FALSE)</f>
        <v>梅氏和</v>
      </c>
    </row>
    <row r="4109" spans="6:19" hidden="1" x14ac:dyDescent="0.25">
      <c r="F4109" t="s">
        <v>1552</v>
      </c>
      <c r="G4109" t="s">
        <v>399</v>
      </c>
      <c r="H4109" t="str">
        <f>VLOOKUP(record[[#This Row],[ProcessSN]],表格2_7[],2,FALSE)</f>
        <v>30-4118-018-550</v>
      </c>
      <c r="I4109" t="str">
        <f>VLOOKUP(record[[#This Row],[ProcessSN]],表格2_7[],3,FALSE)</f>
        <v>#08IQC</v>
      </c>
      <c r="J4109" t="s">
        <v>583</v>
      </c>
      <c r="K4109" s="195">
        <v>46057.69771990741</v>
      </c>
      <c r="L4109">
        <v>77</v>
      </c>
      <c r="M4109">
        <v>0</v>
      </c>
      <c r="N4109" s="98" t="str">
        <f>IF(record[[#This Row],[Memo]]="Browser:chrome os:android","平板報工",IF(record[[#This Row],[Memo]]=0,"委外",record[[#This Row],[Memo]]))</f>
        <v/>
      </c>
      <c r="O4109" t="s">
        <v>58</v>
      </c>
      <c r="P4109" t="s">
        <v>109</v>
      </c>
      <c r="Q4109" t="s">
        <v>58</v>
      </c>
      <c r="R4109" t="str">
        <f>IFERROR(VLOOKUP(record[[#This Row],[PCUSTID]],廠商[],2,FALSE),"")</f>
        <v/>
      </c>
      <c r="S4109" t="str">
        <f>VLOOKUP(record[[#This Row],[employeeID]],員工[],2,FALSE)</f>
        <v>裴氏璧鳳</v>
      </c>
    </row>
    <row r="4110" spans="6:19" hidden="1" x14ac:dyDescent="0.25">
      <c r="F4110" t="s">
        <v>1544</v>
      </c>
      <c r="G4110" t="s">
        <v>399</v>
      </c>
      <c r="H4110" t="str">
        <f>VLOOKUP(record[[#This Row],[ProcessSN]],表格2_7[],2,FALSE)</f>
        <v>30-4118-018-550</v>
      </c>
      <c r="I4110" t="str">
        <f>VLOOKUP(record[[#This Row],[ProcessSN]],表格2_7[],3,FALSE)</f>
        <v>#08IQC</v>
      </c>
      <c r="J4110" t="s">
        <v>583</v>
      </c>
      <c r="K4110" s="195">
        <v>46057.697615740741</v>
      </c>
      <c r="L4110">
        <v>615</v>
      </c>
      <c r="M4110">
        <v>0</v>
      </c>
      <c r="N4110" s="98" t="str">
        <f>IF(record[[#This Row],[Memo]]="Browser:chrome os:android","平板報工",IF(record[[#This Row],[Memo]]=0,"委外",record[[#This Row],[Memo]]))</f>
        <v/>
      </c>
      <c r="O4110" t="s">
        <v>58</v>
      </c>
      <c r="P4110" t="s">
        <v>109</v>
      </c>
      <c r="Q4110" t="s">
        <v>58</v>
      </c>
      <c r="R4110" t="str">
        <f>IFERROR(VLOOKUP(record[[#This Row],[PCUSTID]],廠商[],2,FALSE),"")</f>
        <v/>
      </c>
      <c r="S4110" t="str">
        <f>VLOOKUP(record[[#This Row],[employeeID]],員工[],2,FALSE)</f>
        <v>裴氏璧鳳</v>
      </c>
    </row>
    <row r="4111" spans="6:19" hidden="1" x14ac:dyDescent="0.25">
      <c r="F4111" t="s">
        <v>1534</v>
      </c>
      <c r="G4111" t="s">
        <v>424</v>
      </c>
      <c r="H4111" t="str">
        <f>VLOOKUP(record[[#This Row],[ProcessSN]],表格2_7[],2,FALSE)</f>
        <v>30-4118-018-600</v>
      </c>
      <c r="I4111" t="str">
        <f>VLOOKUP(record[[#This Row],[ProcessSN]],表格2_7[],3,FALSE)</f>
        <v>#08IQC</v>
      </c>
      <c r="J4111" t="s">
        <v>583</v>
      </c>
      <c r="K4111" s="195">
        <v>46057.697500000002</v>
      </c>
      <c r="L4111">
        <v>169</v>
      </c>
      <c r="M4111">
        <v>0</v>
      </c>
      <c r="N4111" s="98" t="str">
        <f>IF(record[[#This Row],[Memo]]="Browser:chrome os:android","平板報工",IF(record[[#This Row],[Memo]]=0,"委外",record[[#This Row],[Memo]]))</f>
        <v/>
      </c>
      <c r="O4111" t="s">
        <v>58</v>
      </c>
      <c r="P4111" t="s">
        <v>109</v>
      </c>
      <c r="Q4111" t="s">
        <v>58</v>
      </c>
      <c r="R4111" t="str">
        <f>IFERROR(VLOOKUP(record[[#This Row],[PCUSTID]],廠商[],2,FALSE),"")</f>
        <v/>
      </c>
      <c r="S4111" t="str">
        <f>VLOOKUP(record[[#This Row],[employeeID]],員工[],2,FALSE)</f>
        <v>裴氏璧鳳</v>
      </c>
    </row>
    <row r="4112" spans="6:19" hidden="1" x14ac:dyDescent="0.25">
      <c r="F4112" t="s">
        <v>1542</v>
      </c>
      <c r="G4112" t="s">
        <v>470</v>
      </c>
      <c r="H4112" t="str">
        <f>VLOOKUP(record[[#This Row],[ProcessSN]],表格2_7[],2,FALSE)</f>
        <v>30-4118-018-XXX</v>
      </c>
      <c r="I4112" t="str">
        <f>VLOOKUP(record[[#This Row],[ProcessSN]],表格2_7[],3,FALSE)</f>
        <v>#02IQC</v>
      </c>
      <c r="J4112" t="s">
        <v>583</v>
      </c>
      <c r="K4112" s="195">
        <v>46057.695034722223</v>
      </c>
      <c r="L4112">
        <v>614</v>
      </c>
      <c r="M4112">
        <v>0</v>
      </c>
      <c r="N4112" s="98" t="str">
        <f>IF(record[[#This Row],[Memo]]="Browser:chrome os:android","平板報工",IF(record[[#This Row],[Memo]]=0,"委外",record[[#This Row],[Memo]]))</f>
        <v/>
      </c>
      <c r="O4112" t="s">
        <v>58</v>
      </c>
      <c r="P4112" t="s">
        <v>109</v>
      </c>
      <c r="Q4112" t="s">
        <v>58</v>
      </c>
      <c r="R4112" t="str">
        <f>IFERROR(VLOOKUP(record[[#This Row],[PCUSTID]],廠商[],2,FALSE),"")</f>
        <v/>
      </c>
      <c r="S4112" t="str">
        <f>VLOOKUP(record[[#This Row],[employeeID]],員工[],2,FALSE)</f>
        <v>裴氏璧鳳</v>
      </c>
    </row>
    <row r="4113" spans="6:19" hidden="1" x14ac:dyDescent="0.25">
      <c r="F4113" t="s">
        <v>1531</v>
      </c>
      <c r="G4113" t="s">
        <v>470</v>
      </c>
      <c r="H4113" t="str">
        <f>VLOOKUP(record[[#This Row],[ProcessSN]],表格2_7[],2,FALSE)</f>
        <v>30-4118-018-XXX</v>
      </c>
      <c r="I4113" t="str">
        <f>VLOOKUP(record[[#This Row],[ProcessSN]],表格2_7[],3,FALSE)</f>
        <v>#02IQC</v>
      </c>
      <c r="J4113" t="s">
        <v>583</v>
      </c>
      <c r="K4113" s="195">
        <v>46057.694907407407</v>
      </c>
      <c r="L4113">
        <v>672</v>
      </c>
      <c r="M4113">
        <v>0</v>
      </c>
      <c r="N4113" s="98" t="str">
        <f>IF(record[[#This Row],[Memo]]="Browser:chrome os:android","平板報工",IF(record[[#This Row],[Memo]]=0,"委外",record[[#This Row],[Memo]]))</f>
        <v/>
      </c>
      <c r="O4113" t="s">
        <v>58</v>
      </c>
      <c r="P4113" t="s">
        <v>109</v>
      </c>
      <c r="Q4113" t="s">
        <v>58</v>
      </c>
      <c r="R4113" t="str">
        <f>IFERROR(VLOOKUP(record[[#This Row],[PCUSTID]],廠商[],2,FALSE),"")</f>
        <v/>
      </c>
      <c r="S4113" t="str">
        <f>VLOOKUP(record[[#This Row],[employeeID]],員工[],2,FALSE)</f>
        <v>裴氏璧鳳</v>
      </c>
    </row>
    <row r="4114" spans="6:19" hidden="1" x14ac:dyDescent="0.25">
      <c r="F4114" t="s">
        <v>1551</v>
      </c>
      <c r="G4114" t="s">
        <v>466</v>
      </c>
      <c r="H4114" t="str">
        <f>VLOOKUP(record[[#This Row],[ProcessSN]],表格2_7[],2,FALSE)</f>
        <v>30-4118-018-XXX</v>
      </c>
      <c r="I4114" t="str">
        <f>VLOOKUP(record[[#This Row],[ProcessSN]],表格2_7[],3,FALSE)</f>
        <v>#01-2</v>
      </c>
      <c r="J4114" t="s">
        <v>588</v>
      </c>
      <c r="K4114" s="195">
        <v>46057.654386574075</v>
      </c>
      <c r="L4114">
        <v>400</v>
      </c>
      <c r="M4114">
        <v>0</v>
      </c>
      <c r="N4114" s="98" t="str">
        <f>IF(record[[#This Row],[Memo]]="Browser:chrome os:android","平板報工",IF(record[[#This Row],[Memo]]=0,"委外",record[[#This Row],[Memo]]))</f>
        <v>平板報工</v>
      </c>
      <c r="O4114" t="s">
        <v>643</v>
      </c>
      <c r="P4114" t="s">
        <v>107</v>
      </c>
      <c r="Q4114" t="s">
        <v>644</v>
      </c>
      <c r="R4114" t="str">
        <f>IFERROR(VLOOKUP(record[[#This Row],[PCUSTID]],廠商[],2,FALSE),"")</f>
        <v/>
      </c>
      <c r="S4114" t="str">
        <f>VLOOKUP(record[[#This Row],[employeeID]],員工[],2,FALSE)</f>
        <v>黎氏順</v>
      </c>
    </row>
    <row r="4115" spans="6:19" hidden="1" x14ac:dyDescent="0.25">
      <c r="F4115" t="s">
        <v>1551</v>
      </c>
      <c r="G4115" t="s">
        <v>465</v>
      </c>
      <c r="H4115" t="str">
        <f>VLOOKUP(record[[#This Row],[ProcessSN]],表格2_7[],2,FALSE)</f>
        <v>30-4118-018-XXX</v>
      </c>
      <c r="I4115" t="str">
        <f>VLOOKUP(record[[#This Row],[ProcessSN]],表格2_7[],3,FALSE)</f>
        <v>#01-1</v>
      </c>
      <c r="J4115" t="s">
        <v>588</v>
      </c>
      <c r="K4115" s="195">
        <v>46057.65421296296</v>
      </c>
      <c r="L4115">
        <v>350</v>
      </c>
      <c r="M4115">
        <v>0</v>
      </c>
      <c r="N4115" s="98" t="str">
        <f>IF(record[[#This Row],[Memo]]="Browser:chrome os:android","平板報工",IF(record[[#This Row],[Memo]]=0,"委外",record[[#This Row],[Memo]]))</f>
        <v>平板報工</v>
      </c>
      <c r="O4115" t="s">
        <v>643</v>
      </c>
      <c r="P4115" t="s">
        <v>107</v>
      </c>
      <c r="Q4115" t="s">
        <v>644</v>
      </c>
      <c r="R4115" t="str">
        <f>IFERROR(VLOOKUP(record[[#This Row],[PCUSTID]],廠商[],2,FALSE),"")</f>
        <v/>
      </c>
      <c r="S4115" t="str">
        <f>VLOOKUP(record[[#This Row],[employeeID]],員工[],2,FALSE)</f>
        <v>黎氏順</v>
      </c>
    </row>
    <row r="4116" spans="6:19" hidden="1" x14ac:dyDescent="0.25">
      <c r="F4116" t="s">
        <v>1531</v>
      </c>
      <c r="G4116" t="s">
        <v>471</v>
      </c>
      <c r="H4116" t="str">
        <f>VLOOKUP(record[[#This Row],[ProcessSN]],表格2_7[],2,FALSE)</f>
        <v>30-4118-018-XXX</v>
      </c>
      <c r="I4116" t="str">
        <f>VLOOKUP(record[[#This Row],[ProcessSN]],表格2_7[],3,FALSE)</f>
        <v>#02STOCK</v>
      </c>
      <c r="J4116" t="s">
        <v>592</v>
      </c>
      <c r="K4116" s="195">
        <v>46057.652754629627</v>
      </c>
      <c r="L4116">
        <v>800</v>
      </c>
      <c r="M4116">
        <v>0</v>
      </c>
      <c r="N4116" s="98" t="str">
        <f>IF(record[[#This Row],[Memo]]="Browser:chrome os:android","平板報工",IF(record[[#This Row],[Memo]]=0,"委外",record[[#This Row],[Memo]]))</f>
        <v/>
      </c>
      <c r="O4116" t="s">
        <v>58</v>
      </c>
      <c r="P4116" t="s">
        <v>113</v>
      </c>
      <c r="Q4116" t="s">
        <v>58</v>
      </c>
      <c r="R4116" t="str">
        <f>IFERROR(VLOOKUP(record[[#This Row],[PCUSTID]],廠商[],2,FALSE),"")</f>
        <v/>
      </c>
      <c r="S4116" t="str">
        <f>VLOOKUP(record[[#This Row],[employeeID]],員工[],2,FALSE)</f>
        <v>王奕蓁</v>
      </c>
    </row>
    <row r="4117" spans="6:19" hidden="1" x14ac:dyDescent="0.25">
      <c r="F4117" t="s">
        <v>1507</v>
      </c>
      <c r="G4117" t="s">
        <v>451</v>
      </c>
      <c r="H4117" t="str">
        <f>VLOOKUP(record[[#This Row],[ProcessSN]],表格2_7[],2,FALSE)</f>
        <v>30-4118-018-6XX</v>
      </c>
      <c r="I4117" t="str">
        <f>VLOOKUP(record[[#This Row],[ProcessSN]],表格2_7[],3,FALSE)</f>
        <v>#07</v>
      </c>
      <c r="J4117" t="s">
        <v>588</v>
      </c>
      <c r="K4117" s="195">
        <v>46057.650601851848</v>
      </c>
      <c r="L4117">
        <v>109</v>
      </c>
      <c r="M4117">
        <v>1</v>
      </c>
      <c r="N4117" s="98" t="str">
        <f>IF(record[[#This Row],[Memo]]="Browser:chrome os:android","平板報工",IF(record[[#This Row],[Memo]]=0,"委外",record[[#This Row],[Memo]]))</f>
        <v>平板報工</v>
      </c>
      <c r="O4117" t="s">
        <v>643</v>
      </c>
      <c r="P4117" t="s">
        <v>785</v>
      </c>
      <c r="Q4117" t="s">
        <v>644</v>
      </c>
      <c r="R4117" t="str">
        <f>IFERROR(VLOOKUP(record[[#This Row],[PCUSTID]],廠商[],2,FALSE),"")</f>
        <v/>
      </c>
      <c r="S4117" t="str">
        <f>VLOOKUP(record[[#This Row],[employeeID]],員工[],2,FALSE)</f>
        <v>謝刻光</v>
      </c>
    </row>
    <row r="4118" spans="6:19" hidden="1" x14ac:dyDescent="0.25">
      <c r="F4118" t="s">
        <v>1507</v>
      </c>
      <c r="G4118" t="s">
        <v>450</v>
      </c>
      <c r="H4118" t="str">
        <f>VLOOKUP(record[[#This Row],[ProcessSN]],表格2_7[],2,FALSE)</f>
        <v>30-4118-018-6XX</v>
      </c>
      <c r="I4118" t="str">
        <f>VLOOKUP(record[[#This Row],[ProcessSN]],表格2_7[],3,FALSE)</f>
        <v>#06</v>
      </c>
      <c r="J4118" t="s">
        <v>593</v>
      </c>
      <c r="K4118" s="195">
        <v>46057.650324074071</v>
      </c>
      <c r="L4118">
        <v>110</v>
      </c>
      <c r="M4118">
        <v>0</v>
      </c>
      <c r="N4118" s="98" t="str">
        <f>IF(record[[#This Row],[Memo]]="Browser:chrome os:android","平板報工",IF(record[[#This Row],[Memo]]=0,"委外",record[[#This Row],[Memo]]))</f>
        <v>平板報工</v>
      </c>
      <c r="O4118" t="s">
        <v>643</v>
      </c>
      <c r="P4118" t="s">
        <v>1413</v>
      </c>
      <c r="Q4118" t="s">
        <v>644</v>
      </c>
      <c r="R4118" t="str">
        <f>IFERROR(VLOOKUP(record[[#This Row],[PCUSTID]],廠商[],2,FALSE),"")</f>
        <v/>
      </c>
      <c r="S4118" t="str">
        <f>VLOOKUP(record[[#This Row],[employeeID]],員工[],2,FALSE)</f>
        <v>阮氏芳英(芳)</v>
      </c>
    </row>
    <row r="4119" spans="6:19" hidden="1" x14ac:dyDescent="0.25">
      <c r="F4119" t="s">
        <v>1507</v>
      </c>
      <c r="G4119" t="s">
        <v>449</v>
      </c>
      <c r="H4119" t="str">
        <f>VLOOKUP(record[[#This Row],[ProcessSN]],表格2_7[],2,FALSE)</f>
        <v>30-4118-018-6XX</v>
      </c>
      <c r="I4119" t="str">
        <f>VLOOKUP(record[[#This Row],[ProcessSN]],表格2_7[],3,FALSE)</f>
        <v>#05</v>
      </c>
      <c r="J4119" t="s">
        <v>588</v>
      </c>
      <c r="K4119" s="195">
        <v>46057.649814814817</v>
      </c>
      <c r="L4119">
        <v>214</v>
      </c>
      <c r="M4119">
        <v>0</v>
      </c>
      <c r="N4119" s="98" t="str">
        <f>IF(record[[#This Row],[Memo]]="Browser:chrome os:android","平板報工",IF(record[[#This Row],[Memo]]=0,"委外",record[[#This Row],[Memo]]))</f>
        <v>平板報工</v>
      </c>
      <c r="O4119" t="s">
        <v>643</v>
      </c>
      <c r="P4119" t="s">
        <v>785</v>
      </c>
      <c r="Q4119" t="s">
        <v>644</v>
      </c>
      <c r="R4119" t="str">
        <f>IFERROR(VLOOKUP(record[[#This Row],[PCUSTID]],廠商[],2,FALSE),"")</f>
        <v/>
      </c>
      <c r="S4119" t="str">
        <f>VLOOKUP(record[[#This Row],[employeeID]],員工[],2,FALSE)</f>
        <v>謝刻光</v>
      </c>
    </row>
    <row r="4120" spans="6:19" hidden="1" x14ac:dyDescent="0.25">
      <c r="F4120" t="s">
        <v>1540</v>
      </c>
      <c r="G4120" t="s">
        <v>415</v>
      </c>
      <c r="H4120" t="str">
        <f>VLOOKUP(record[[#This Row],[ProcessSN]],表格2_7[],2,FALSE)</f>
        <v>30-4118-018-5XX</v>
      </c>
      <c r="I4120" t="str">
        <f>VLOOKUP(record[[#This Row],[ProcessSN]],表格2_7[],3,FALSE)</f>
        <v>#04</v>
      </c>
      <c r="J4120" t="s">
        <v>588</v>
      </c>
      <c r="K4120" s="195">
        <v>46057.646770833337</v>
      </c>
      <c r="L4120">
        <v>150</v>
      </c>
      <c r="M4120">
        <v>0</v>
      </c>
      <c r="N4120" s="98" t="str">
        <f>IF(record[[#This Row],[Memo]]="Browser:chrome os:android","平板報工",IF(record[[#This Row],[Memo]]=0,"委外",record[[#This Row],[Memo]]))</f>
        <v>平板報工</v>
      </c>
      <c r="O4120" t="s">
        <v>643</v>
      </c>
      <c r="P4120" t="s">
        <v>145</v>
      </c>
      <c r="Q4120" t="s">
        <v>644</v>
      </c>
      <c r="R4120" t="str">
        <f>IFERROR(VLOOKUP(record[[#This Row],[PCUSTID]],廠商[],2,FALSE),"")</f>
        <v/>
      </c>
      <c r="S4120" t="str">
        <f>VLOOKUP(record[[#This Row],[employeeID]],員工[],2,FALSE)</f>
        <v>阮秋霞</v>
      </c>
    </row>
    <row r="4121" spans="6:19" hidden="1" x14ac:dyDescent="0.25">
      <c r="F4121" t="s">
        <v>1540</v>
      </c>
      <c r="G4121" t="s">
        <v>414</v>
      </c>
      <c r="H4121" t="str">
        <f>VLOOKUP(record[[#This Row],[ProcessSN]],表格2_7[],2,FALSE)</f>
        <v>30-4118-018-5XX</v>
      </c>
      <c r="I4121" t="str">
        <f>VLOOKUP(record[[#This Row],[ProcessSN]],表格2_7[],3,FALSE)</f>
        <v>#03</v>
      </c>
      <c r="J4121" t="s">
        <v>588</v>
      </c>
      <c r="K4121" s="195">
        <v>46057.64603009259</v>
      </c>
      <c r="L4121">
        <v>112</v>
      </c>
      <c r="M4121">
        <v>16</v>
      </c>
      <c r="N4121" s="98" t="str">
        <f>IF(record[[#This Row],[Memo]]="Browser:chrome os:android","平板報工",IF(record[[#This Row],[Memo]]=0,"委外",record[[#This Row],[Memo]]))</f>
        <v>平板報工</v>
      </c>
      <c r="O4121" t="s">
        <v>643</v>
      </c>
      <c r="P4121" t="s">
        <v>145</v>
      </c>
      <c r="Q4121" t="s">
        <v>644</v>
      </c>
      <c r="R4121" t="str">
        <f>IFERROR(VLOOKUP(record[[#This Row],[PCUSTID]],廠商[],2,FALSE),"")</f>
        <v/>
      </c>
      <c r="S4121" t="str">
        <f>VLOOKUP(record[[#This Row],[employeeID]],員工[],2,FALSE)</f>
        <v>阮秋霞</v>
      </c>
    </row>
    <row r="4122" spans="6:19" hidden="1" x14ac:dyDescent="0.25">
      <c r="F4122" t="s">
        <v>1568</v>
      </c>
      <c r="G4122" t="s">
        <v>413</v>
      </c>
      <c r="H4122" t="str">
        <f>VLOOKUP(record[[#This Row],[ProcessSN]],表格2_7[],2,FALSE)</f>
        <v>30-4118-018-5XX</v>
      </c>
      <c r="I4122" t="str">
        <f>VLOOKUP(record[[#This Row],[ProcessSN]],表格2_7[],3,FALSE)</f>
        <v>#03GIVE</v>
      </c>
      <c r="J4122" t="s">
        <v>587</v>
      </c>
      <c r="K4122" s="195">
        <v>46057.609444444446</v>
      </c>
      <c r="L4122">
        <v>800</v>
      </c>
      <c r="M4122">
        <v>0</v>
      </c>
      <c r="N4122" s="98" t="str">
        <f>IF(record[[#This Row],[Memo]]="Browser:chrome os:android","平板報工",IF(record[[#This Row],[Memo]]=0,"委外",record[[#This Row],[Memo]]))</f>
        <v/>
      </c>
      <c r="O4122" t="s">
        <v>58</v>
      </c>
      <c r="P4122" t="s">
        <v>113</v>
      </c>
      <c r="Q4122" t="s">
        <v>58</v>
      </c>
      <c r="R4122" t="str">
        <f>IFERROR(VLOOKUP(record[[#This Row],[PCUSTID]],廠商[],2,FALSE),"")</f>
        <v/>
      </c>
      <c r="S4122" t="str">
        <f>VLOOKUP(record[[#This Row],[employeeID]],員工[],2,FALSE)</f>
        <v>王奕蓁</v>
      </c>
    </row>
    <row r="4123" spans="6:19" hidden="1" x14ac:dyDescent="0.25">
      <c r="F4123" t="s">
        <v>1570</v>
      </c>
      <c r="G4123" t="s">
        <v>371</v>
      </c>
      <c r="H4123" t="str">
        <f>VLOOKUP(record[[#This Row],[ProcessSN]],表格2_7[],2,FALSE)</f>
        <v>30-4118-018-4XX</v>
      </c>
      <c r="I4123" t="str">
        <f>VLOOKUP(record[[#This Row],[ProcessSN]],表格2_7[],3,FALSE)</f>
        <v>#03PICK</v>
      </c>
      <c r="J4123" t="s">
        <v>582</v>
      </c>
      <c r="K4123" s="195">
        <v>46057.605219907404</v>
      </c>
      <c r="L4123">
        <v>1000</v>
      </c>
      <c r="M4123">
        <v>0</v>
      </c>
      <c r="N4123" s="98" t="str">
        <f>IF(record[[#This Row],[Memo]]="Browser:chrome os:android","平板報工",IF(record[[#This Row],[Memo]]=0,"委外",record[[#This Row],[Memo]]))</f>
        <v/>
      </c>
      <c r="O4123" t="s">
        <v>58</v>
      </c>
      <c r="P4123" t="s">
        <v>186</v>
      </c>
      <c r="Q4123" t="s">
        <v>58</v>
      </c>
      <c r="R4123" t="str">
        <f>IFERROR(VLOOKUP(record[[#This Row],[PCUSTID]],廠商[],2,FALSE),"")</f>
        <v/>
      </c>
      <c r="S4123" t="str">
        <f>VLOOKUP(record[[#This Row],[employeeID]],員工[],2,FALSE)</f>
        <v>許文姍</v>
      </c>
    </row>
    <row r="4124" spans="6:19" hidden="1" x14ac:dyDescent="0.25">
      <c r="F4124" t="s">
        <v>1569</v>
      </c>
      <c r="G4124" t="s">
        <v>445</v>
      </c>
      <c r="H4124" t="str">
        <f>VLOOKUP(record[[#This Row],[ProcessSN]],表格2_7[],2,FALSE)</f>
        <v>30-4118-018-6XX</v>
      </c>
      <c r="I4124" t="str">
        <f>VLOOKUP(record[[#This Row],[ProcessSN]],表格2_7[],3,FALSE)</f>
        <v>#03PICK</v>
      </c>
      <c r="J4124" t="s">
        <v>582</v>
      </c>
      <c r="K4124" s="195">
        <v>46057.605057870373</v>
      </c>
      <c r="L4124">
        <v>1500</v>
      </c>
      <c r="M4124">
        <v>0</v>
      </c>
      <c r="N4124" s="98" t="str">
        <f>IF(record[[#This Row],[Memo]]="Browser:chrome os:android","平板報工",IF(record[[#This Row],[Memo]]=0,"委外",record[[#This Row],[Memo]]))</f>
        <v/>
      </c>
      <c r="O4124" t="s">
        <v>58</v>
      </c>
      <c r="P4124" t="s">
        <v>186</v>
      </c>
      <c r="Q4124" t="s">
        <v>58</v>
      </c>
      <c r="R4124" t="str">
        <f>IFERROR(VLOOKUP(record[[#This Row],[PCUSTID]],廠商[],2,FALSE),"")</f>
        <v/>
      </c>
      <c r="S4124" t="str">
        <f>VLOOKUP(record[[#This Row],[employeeID]],員工[],2,FALSE)</f>
        <v>許文姍</v>
      </c>
    </row>
    <row r="4125" spans="6:19" hidden="1" x14ac:dyDescent="0.25">
      <c r="F4125" t="s">
        <v>1568</v>
      </c>
      <c r="G4125" t="s">
        <v>412</v>
      </c>
      <c r="H4125" t="str">
        <f>VLOOKUP(record[[#This Row],[ProcessSN]],表格2_7[],2,FALSE)</f>
        <v>30-4118-018-5XX</v>
      </c>
      <c r="I4125" t="str">
        <f>VLOOKUP(record[[#This Row],[ProcessSN]],表格2_7[],3,FALSE)</f>
        <v>#03PICK</v>
      </c>
      <c r="J4125" t="s">
        <v>582</v>
      </c>
      <c r="K4125" s="195">
        <v>46057.604930555557</v>
      </c>
      <c r="L4125">
        <v>800</v>
      </c>
      <c r="M4125">
        <v>0</v>
      </c>
      <c r="N4125" s="98" t="str">
        <f>IF(record[[#This Row],[Memo]]="Browser:chrome os:android","平板報工",IF(record[[#This Row],[Memo]]=0,"委外",record[[#This Row],[Memo]]))</f>
        <v/>
      </c>
      <c r="O4125" t="s">
        <v>58</v>
      </c>
      <c r="P4125" t="s">
        <v>186</v>
      </c>
      <c r="Q4125" t="s">
        <v>58</v>
      </c>
      <c r="R4125" t="str">
        <f>IFERROR(VLOOKUP(record[[#This Row],[PCUSTID]],廠商[],2,FALSE),"")</f>
        <v/>
      </c>
      <c r="S4125" t="str">
        <f>VLOOKUP(record[[#This Row],[employeeID]],員工[],2,FALSE)</f>
        <v>許文姍</v>
      </c>
    </row>
    <row r="4126" spans="6:19" hidden="1" x14ac:dyDescent="0.25">
      <c r="F4126" t="s">
        <v>1531</v>
      </c>
      <c r="G4126" t="s">
        <v>471</v>
      </c>
      <c r="H4126" t="str">
        <f>VLOOKUP(record[[#This Row],[ProcessSN]],表格2_7[],2,FALSE)</f>
        <v>30-4118-018-XXX</v>
      </c>
      <c r="I4126" t="str">
        <f>VLOOKUP(record[[#This Row],[ProcessSN]],表格2_7[],3,FALSE)</f>
        <v>#02STOCK</v>
      </c>
      <c r="J4126" t="s">
        <v>592</v>
      </c>
      <c r="K4126" s="195">
        <v>46057.601412037038</v>
      </c>
      <c r="L4126">
        <v>24</v>
      </c>
      <c r="M4126">
        <v>0</v>
      </c>
      <c r="N4126" s="98" t="str">
        <f>IF(record[[#This Row],[Memo]]="Browser:chrome os:android","平板報工",IF(record[[#This Row],[Memo]]=0,"委外",record[[#This Row],[Memo]]))</f>
        <v/>
      </c>
      <c r="O4126" t="s">
        <v>58</v>
      </c>
      <c r="P4126" t="s">
        <v>186</v>
      </c>
      <c r="Q4126" t="s">
        <v>58</v>
      </c>
      <c r="R4126" t="str">
        <f>IFERROR(VLOOKUP(record[[#This Row],[PCUSTID]],廠商[],2,FALSE),"")</f>
        <v/>
      </c>
      <c r="S4126" t="str">
        <f>VLOOKUP(record[[#This Row],[employeeID]],員工[],2,FALSE)</f>
        <v>許文姍</v>
      </c>
    </row>
    <row r="4127" spans="6:19" hidden="1" x14ac:dyDescent="0.25">
      <c r="F4127" t="s">
        <v>1544</v>
      </c>
      <c r="G4127" t="s">
        <v>398</v>
      </c>
      <c r="H4127" t="str">
        <f>VLOOKUP(record[[#This Row],[ProcessSN]],表格2_7[],2,FALSE)</f>
        <v>30-4118-018-550</v>
      </c>
      <c r="I4127" t="str">
        <f>VLOOKUP(record[[#This Row],[ProcessSN]],表格2_7[],3,FALSE)</f>
        <v>#08RCV</v>
      </c>
      <c r="J4127" t="s">
        <v>591</v>
      </c>
      <c r="K4127" s="195">
        <v>46057.590451388889</v>
      </c>
      <c r="L4127">
        <v>0</v>
      </c>
      <c r="M4127">
        <v>24</v>
      </c>
      <c r="N4127" s="98" t="str">
        <f>IF(record[[#This Row],[Memo]]="Browser:chrome os:android","平板報工",IF(record[[#This Row],[Memo]]=0,"委外",record[[#This Row],[Memo]]))</f>
        <v/>
      </c>
      <c r="O4127" t="s">
        <v>58</v>
      </c>
      <c r="P4127" t="s">
        <v>186</v>
      </c>
      <c r="Q4127" t="s">
        <v>58</v>
      </c>
      <c r="R4127" t="str">
        <f>IFERROR(VLOOKUP(record[[#This Row],[PCUSTID]],廠商[],2,FALSE),"")</f>
        <v/>
      </c>
      <c r="S4127" t="str">
        <f>VLOOKUP(record[[#This Row],[employeeID]],員工[],2,FALSE)</f>
        <v>許文姍</v>
      </c>
    </row>
    <row r="4128" spans="6:19" hidden="1" x14ac:dyDescent="0.25">
      <c r="F4128" t="s">
        <v>1552</v>
      </c>
      <c r="G4128" t="s">
        <v>398</v>
      </c>
      <c r="H4128" t="str">
        <f>VLOOKUP(record[[#This Row],[ProcessSN]],表格2_7[],2,FALSE)</f>
        <v>30-4118-018-550</v>
      </c>
      <c r="I4128" t="str">
        <f>VLOOKUP(record[[#This Row],[ProcessSN]],表格2_7[],3,FALSE)</f>
        <v>#08RCV</v>
      </c>
      <c r="J4128" t="s">
        <v>591</v>
      </c>
      <c r="K4128" s="195">
        <v>46057.589062500003</v>
      </c>
      <c r="L4128">
        <v>77</v>
      </c>
      <c r="M4128">
        <v>0</v>
      </c>
      <c r="N4128" s="98" t="str">
        <f>IF(record[[#This Row],[Memo]]="Browser:chrome os:android","平板報工",IF(record[[#This Row],[Memo]]=0,"委外",record[[#This Row],[Memo]]))</f>
        <v/>
      </c>
      <c r="O4128" t="s">
        <v>58</v>
      </c>
      <c r="P4128" t="s">
        <v>186</v>
      </c>
      <c r="Q4128" t="s">
        <v>58</v>
      </c>
      <c r="R4128" t="str">
        <f>IFERROR(VLOOKUP(record[[#This Row],[PCUSTID]],廠商[],2,FALSE),"")</f>
        <v/>
      </c>
      <c r="S4128" t="str">
        <f>VLOOKUP(record[[#This Row],[employeeID]],員工[],2,FALSE)</f>
        <v>許文姍</v>
      </c>
    </row>
    <row r="4129" spans="6:19" hidden="1" x14ac:dyDescent="0.25">
      <c r="F4129" t="s">
        <v>1544</v>
      </c>
      <c r="G4129" t="s">
        <v>398</v>
      </c>
      <c r="H4129" t="str">
        <f>VLOOKUP(record[[#This Row],[ProcessSN]],表格2_7[],2,FALSE)</f>
        <v>30-4118-018-550</v>
      </c>
      <c r="I4129" t="str">
        <f>VLOOKUP(record[[#This Row],[ProcessSN]],表格2_7[],3,FALSE)</f>
        <v>#08RCV</v>
      </c>
      <c r="J4129" t="s">
        <v>591</v>
      </c>
      <c r="K4129" s="195">
        <v>46057.588819444441</v>
      </c>
      <c r="L4129">
        <v>615</v>
      </c>
      <c r="M4129">
        <v>0</v>
      </c>
      <c r="N4129" s="98" t="str">
        <f>IF(record[[#This Row],[Memo]]="Browser:chrome os:android","平板報工",IF(record[[#This Row],[Memo]]=0,"委外",record[[#This Row],[Memo]]))</f>
        <v/>
      </c>
      <c r="O4129" t="s">
        <v>58</v>
      </c>
      <c r="P4129" t="s">
        <v>186</v>
      </c>
      <c r="Q4129" t="s">
        <v>58</v>
      </c>
      <c r="R4129" t="str">
        <f>IFERROR(VLOOKUP(record[[#This Row],[PCUSTID]],廠商[],2,FALSE),"")</f>
        <v/>
      </c>
      <c r="S4129" t="str">
        <f>VLOOKUP(record[[#This Row],[employeeID]],員工[],2,FALSE)</f>
        <v>許文姍</v>
      </c>
    </row>
    <row r="4130" spans="6:19" hidden="1" x14ac:dyDescent="0.25">
      <c r="F4130" t="s">
        <v>1534</v>
      </c>
      <c r="G4130" t="s">
        <v>423</v>
      </c>
      <c r="H4130" t="str">
        <f>VLOOKUP(record[[#This Row],[ProcessSN]],表格2_7[],2,FALSE)</f>
        <v>30-4118-018-600</v>
      </c>
      <c r="I4130" t="str">
        <f>VLOOKUP(record[[#This Row],[ProcessSN]],表格2_7[],3,FALSE)</f>
        <v>#08RCV</v>
      </c>
      <c r="J4130" t="s">
        <v>591</v>
      </c>
      <c r="K4130" s="195">
        <v>46057.588275462964</v>
      </c>
      <c r="L4130">
        <v>169</v>
      </c>
      <c r="M4130">
        <v>0</v>
      </c>
      <c r="N4130" s="98" t="str">
        <f>IF(record[[#This Row],[Memo]]="Browser:chrome os:android","平板報工",IF(record[[#This Row],[Memo]]=0,"委外",record[[#This Row],[Memo]]))</f>
        <v/>
      </c>
      <c r="O4130" t="s">
        <v>58</v>
      </c>
      <c r="P4130" t="s">
        <v>186</v>
      </c>
      <c r="Q4130" t="s">
        <v>58</v>
      </c>
      <c r="R4130" t="str">
        <f>IFERROR(VLOOKUP(record[[#This Row],[PCUSTID]],廠商[],2,FALSE),"")</f>
        <v/>
      </c>
      <c r="S4130" t="str">
        <f>VLOOKUP(record[[#This Row],[employeeID]],員工[],2,FALSE)</f>
        <v>許文姍</v>
      </c>
    </row>
    <row r="4131" spans="6:19" hidden="1" x14ac:dyDescent="0.25">
      <c r="F4131" t="s">
        <v>1478</v>
      </c>
      <c r="G4131" t="s">
        <v>425</v>
      </c>
      <c r="H4131" t="str">
        <f>VLOOKUP(record[[#This Row],[ProcessSN]],表格2_7[],2,FALSE)</f>
        <v>30-4118-018-600</v>
      </c>
      <c r="I4131" t="str">
        <f>VLOOKUP(record[[#This Row],[ProcessSN]],表格2_7[],3,FALSE)</f>
        <v>#100</v>
      </c>
      <c r="J4131" t="s">
        <v>598</v>
      </c>
      <c r="K4131" s="195">
        <v>46057.581458333334</v>
      </c>
      <c r="L4131">
        <v>2</v>
      </c>
      <c r="M4131">
        <v>0</v>
      </c>
      <c r="N4131" s="98" t="str">
        <f>IF(record[[#This Row],[Memo]]="Browser:chrome os:android","平板報工",IF(record[[#This Row],[Memo]]=0,"委外",record[[#This Row],[Memo]]))</f>
        <v>覆回內徑面粗</v>
      </c>
      <c r="O4131" t="s">
        <v>1563</v>
      </c>
      <c r="P4131" t="s">
        <v>141</v>
      </c>
      <c r="Q4131" t="s">
        <v>58</v>
      </c>
      <c r="R4131" t="str">
        <f>IFERROR(VLOOKUP(record[[#This Row],[PCUSTID]],廠商[],2,FALSE),"")</f>
        <v/>
      </c>
      <c r="S4131" t="str">
        <f>VLOOKUP(record[[#This Row],[employeeID]],員工[],2,FALSE)</f>
        <v>蔣梅</v>
      </c>
    </row>
    <row r="4132" spans="6:19" hidden="1" x14ac:dyDescent="0.25">
      <c r="F4132" t="s">
        <v>1478</v>
      </c>
      <c r="G4132" t="s">
        <v>424</v>
      </c>
      <c r="H4132" t="str">
        <f>VLOOKUP(record[[#This Row],[ProcessSN]],表格2_7[],2,FALSE)</f>
        <v>30-4118-018-600</v>
      </c>
      <c r="I4132" t="str">
        <f>VLOOKUP(record[[#This Row],[ProcessSN]],表格2_7[],3,FALSE)</f>
        <v>#08IQC</v>
      </c>
      <c r="J4132" t="s">
        <v>583</v>
      </c>
      <c r="K4132" s="195">
        <v>46057.581307870372</v>
      </c>
      <c r="L4132">
        <v>2</v>
      </c>
      <c r="M4132">
        <v>0</v>
      </c>
      <c r="N4132" s="98" t="str">
        <f>IF(record[[#This Row],[Memo]]="Browser:chrome os:android","平板報工",IF(record[[#This Row],[Memo]]=0,"委外",record[[#This Row],[Memo]]))</f>
        <v>覆回內徑面粗</v>
      </c>
      <c r="O4132" t="s">
        <v>1563</v>
      </c>
      <c r="P4132" t="s">
        <v>141</v>
      </c>
      <c r="Q4132" t="s">
        <v>58</v>
      </c>
      <c r="R4132" t="str">
        <f>IFERROR(VLOOKUP(record[[#This Row],[PCUSTID]],廠商[],2,FALSE),"")</f>
        <v/>
      </c>
      <c r="S4132" t="str">
        <f>VLOOKUP(record[[#This Row],[employeeID]],員工[],2,FALSE)</f>
        <v>蔣梅</v>
      </c>
    </row>
    <row r="4133" spans="6:19" hidden="1" x14ac:dyDescent="0.25">
      <c r="F4133" t="s">
        <v>1478</v>
      </c>
      <c r="G4133" t="s">
        <v>423</v>
      </c>
      <c r="H4133" t="str">
        <f>VLOOKUP(record[[#This Row],[ProcessSN]],表格2_7[],2,FALSE)</f>
        <v>30-4118-018-600</v>
      </c>
      <c r="I4133" t="str">
        <f>VLOOKUP(record[[#This Row],[ProcessSN]],表格2_7[],3,FALSE)</f>
        <v>#08RCV</v>
      </c>
      <c r="J4133" t="s">
        <v>591</v>
      </c>
      <c r="K4133" s="195">
        <v>46057.581145833334</v>
      </c>
      <c r="L4133">
        <v>0</v>
      </c>
      <c r="M4133">
        <v>1</v>
      </c>
      <c r="N4133" s="98" t="str">
        <f>IF(record[[#This Row],[Memo]]="Browser:chrome os:android","平板報工",IF(record[[#This Row],[Memo]]=0,"委外",record[[#This Row],[Memo]]))</f>
        <v/>
      </c>
      <c r="O4133" t="s">
        <v>58</v>
      </c>
      <c r="P4133" t="s">
        <v>141</v>
      </c>
      <c r="Q4133" t="s">
        <v>58</v>
      </c>
      <c r="R4133" t="str">
        <f>IFERROR(VLOOKUP(record[[#This Row],[PCUSTID]],廠商[],2,FALSE),"")</f>
        <v/>
      </c>
      <c r="S4133" t="str">
        <f>VLOOKUP(record[[#This Row],[employeeID]],員工[],2,FALSE)</f>
        <v>蔣梅</v>
      </c>
    </row>
    <row r="4134" spans="6:19" hidden="1" x14ac:dyDescent="0.25">
      <c r="F4134" t="s">
        <v>1478</v>
      </c>
      <c r="G4134" t="s">
        <v>423</v>
      </c>
      <c r="H4134" t="str">
        <f>VLOOKUP(record[[#This Row],[ProcessSN]],表格2_7[],2,FALSE)</f>
        <v>30-4118-018-600</v>
      </c>
      <c r="I4134" t="str">
        <f>VLOOKUP(record[[#This Row],[ProcessSN]],表格2_7[],3,FALSE)</f>
        <v>#08RCV</v>
      </c>
      <c r="J4134" t="s">
        <v>591</v>
      </c>
      <c r="K4134" s="195">
        <v>46057.581006944441</v>
      </c>
      <c r="L4134">
        <v>2</v>
      </c>
      <c r="M4134">
        <v>0</v>
      </c>
      <c r="N4134" s="98" t="str">
        <f>IF(record[[#This Row],[Memo]]="Browser:chrome os:android","平板報工",IF(record[[#This Row],[Memo]]=0,"委外",record[[#This Row],[Memo]]))</f>
        <v>覆回內徑面粗</v>
      </c>
      <c r="O4134" t="s">
        <v>1563</v>
      </c>
      <c r="P4134" t="s">
        <v>141</v>
      </c>
      <c r="Q4134" t="s">
        <v>58</v>
      </c>
      <c r="R4134" t="str">
        <f>IFERROR(VLOOKUP(record[[#This Row],[PCUSTID]],廠商[],2,FALSE),"")</f>
        <v/>
      </c>
      <c r="S4134" t="str">
        <f>VLOOKUP(record[[#This Row],[employeeID]],員工[],2,FALSE)</f>
        <v>蔣梅</v>
      </c>
    </row>
    <row r="4135" spans="6:19" hidden="1" x14ac:dyDescent="0.25">
      <c r="F4135" t="s">
        <v>1467</v>
      </c>
      <c r="G4135" t="s">
        <v>425</v>
      </c>
      <c r="H4135" t="str">
        <f>VLOOKUP(record[[#This Row],[ProcessSN]],表格2_7[],2,FALSE)</f>
        <v>30-4118-018-600</v>
      </c>
      <c r="I4135" t="str">
        <f>VLOOKUP(record[[#This Row],[ProcessSN]],表格2_7[],3,FALSE)</f>
        <v>#100</v>
      </c>
      <c r="J4135" t="s">
        <v>598</v>
      </c>
      <c r="K4135" s="195">
        <v>46057.580497685187</v>
      </c>
      <c r="L4135">
        <v>7</v>
      </c>
      <c r="M4135">
        <v>0</v>
      </c>
      <c r="N4135" s="98" t="str">
        <f>IF(record[[#This Row],[Memo]]="Browser:chrome os:android","平板報工",IF(record[[#This Row],[Memo]]=0,"委外",record[[#This Row],[Memo]]))</f>
        <v>覆回內徑面粗</v>
      </c>
      <c r="O4135" t="s">
        <v>1563</v>
      </c>
      <c r="P4135" t="s">
        <v>141</v>
      </c>
      <c r="Q4135" t="s">
        <v>58</v>
      </c>
      <c r="R4135" t="str">
        <f>IFERROR(VLOOKUP(record[[#This Row],[PCUSTID]],廠商[],2,FALSE),"")</f>
        <v/>
      </c>
      <c r="S4135" t="str">
        <f>VLOOKUP(record[[#This Row],[employeeID]],員工[],2,FALSE)</f>
        <v>蔣梅</v>
      </c>
    </row>
    <row r="4136" spans="6:19" hidden="1" x14ac:dyDescent="0.25">
      <c r="F4136" t="s">
        <v>1467</v>
      </c>
      <c r="G4136" t="s">
        <v>424</v>
      </c>
      <c r="H4136" t="str">
        <f>VLOOKUP(record[[#This Row],[ProcessSN]],表格2_7[],2,FALSE)</f>
        <v>30-4118-018-600</v>
      </c>
      <c r="I4136" t="str">
        <f>VLOOKUP(record[[#This Row],[ProcessSN]],表格2_7[],3,FALSE)</f>
        <v>#08IQC</v>
      </c>
      <c r="J4136" t="s">
        <v>583</v>
      </c>
      <c r="K4136" s="195">
        <v>46057.580324074072</v>
      </c>
      <c r="L4136">
        <v>7</v>
      </c>
      <c r="M4136">
        <v>0</v>
      </c>
      <c r="N4136" s="98" t="str">
        <f>IF(record[[#This Row],[Memo]]="Browser:chrome os:android","平板報工",IF(record[[#This Row],[Memo]]=0,"委外",record[[#This Row],[Memo]]))</f>
        <v>覆回內徑面粗</v>
      </c>
      <c r="O4136" t="s">
        <v>1563</v>
      </c>
      <c r="P4136" t="s">
        <v>141</v>
      </c>
      <c r="Q4136" t="s">
        <v>58</v>
      </c>
      <c r="R4136" t="str">
        <f>IFERROR(VLOOKUP(record[[#This Row],[PCUSTID]],廠商[],2,FALSE),"")</f>
        <v/>
      </c>
      <c r="S4136" t="str">
        <f>VLOOKUP(record[[#This Row],[employeeID]],員工[],2,FALSE)</f>
        <v>蔣梅</v>
      </c>
    </row>
    <row r="4137" spans="6:19" hidden="1" x14ac:dyDescent="0.25">
      <c r="F4137" t="s">
        <v>1467</v>
      </c>
      <c r="G4137" t="s">
        <v>423</v>
      </c>
      <c r="H4137" t="str">
        <f>VLOOKUP(record[[#This Row],[ProcessSN]],表格2_7[],2,FALSE)</f>
        <v>30-4118-018-600</v>
      </c>
      <c r="I4137" t="str">
        <f>VLOOKUP(record[[#This Row],[ProcessSN]],表格2_7[],3,FALSE)</f>
        <v>#08RCV</v>
      </c>
      <c r="J4137" t="s">
        <v>591</v>
      </c>
      <c r="K4137" s="195">
        <v>46057.580150462964</v>
      </c>
      <c r="L4137">
        <v>7</v>
      </c>
      <c r="M4137">
        <v>0</v>
      </c>
      <c r="N4137" s="98" t="str">
        <f>IF(record[[#This Row],[Memo]]="Browser:chrome os:android","平板報工",IF(record[[#This Row],[Memo]]=0,"委外",record[[#This Row],[Memo]]))</f>
        <v>覆回內徑面粗</v>
      </c>
      <c r="O4137" t="s">
        <v>1563</v>
      </c>
      <c r="P4137" t="s">
        <v>141</v>
      </c>
      <c r="Q4137" t="s">
        <v>58</v>
      </c>
      <c r="R4137" t="str">
        <f>IFERROR(VLOOKUP(record[[#This Row],[PCUSTID]],廠商[],2,FALSE),"")</f>
        <v/>
      </c>
      <c r="S4137" t="str">
        <f>VLOOKUP(record[[#This Row],[employeeID]],員工[],2,FALSE)</f>
        <v>蔣梅</v>
      </c>
    </row>
    <row r="4138" spans="6:19" hidden="1" x14ac:dyDescent="0.25">
      <c r="F4138" t="s">
        <v>1536</v>
      </c>
      <c r="G4138" t="s">
        <v>400</v>
      </c>
      <c r="H4138" t="str">
        <f>VLOOKUP(record[[#This Row],[ProcessSN]],表格2_7[],2,FALSE)</f>
        <v>30-4118-018-550</v>
      </c>
      <c r="I4138" t="str">
        <f>VLOOKUP(record[[#This Row],[ProcessSN]],表格2_7[],3,FALSE)</f>
        <v>#100</v>
      </c>
      <c r="J4138" t="s">
        <v>598</v>
      </c>
      <c r="K4138" s="195">
        <v>46057.577824074076</v>
      </c>
      <c r="L4138">
        <v>82</v>
      </c>
      <c r="M4138">
        <v>0</v>
      </c>
      <c r="N4138" s="98" t="str">
        <f>IF(record[[#This Row],[Memo]]="Browser:chrome os:android","平板報工",IF(record[[#This Row],[Memo]]=0,"委外",record[[#This Row],[Memo]]))</f>
        <v/>
      </c>
      <c r="O4138" t="s">
        <v>58</v>
      </c>
      <c r="P4138" t="s">
        <v>141</v>
      </c>
      <c r="Q4138" t="s">
        <v>58</v>
      </c>
      <c r="R4138" t="str">
        <f>IFERROR(VLOOKUP(record[[#This Row],[PCUSTID]],廠商[],2,FALSE),"")</f>
        <v/>
      </c>
      <c r="S4138" t="str">
        <f>VLOOKUP(record[[#This Row],[employeeID]],員工[],2,FALSE)</f>
        <v>蔣梅</v>
      </c>
    </row>
    <row r="4139" spans="6:19" hidden="1" x14ac:dyDescent="0.25">
      <c r="F4139" t="s">
        <v>1536</v>
      </c>
      <c r="G4139" t="s">
        <v>399</v>
      </c>
      <c r="H4139" t="str">
        <f>VLOOKUP(record[[#This Row],[ProcessSN]],表格2_7[],2,FALSE)</f>
        <v>30-4118-018-550</v>
      </c>
      <c r="I4139" t="str">
        <f>VLOOKUP(record[[#This Row],[ProcessSN]],表格2_7[],3,FALSE)</f>
        <v>#08IQC</v>
      </c>
      <c r="J4139" t="s">
        <v>583</v>
      </c>
      <c r="K4139" s="195">
        <v>46057.577662037038</v>
      </c>
      <c r="L4139">
        <v>3</v>
      </c>
      <c r="M4139">
        <v>0</v>
      </c>
      <c r="N4139" s="98" t="str">
        <f>IF(record[[#This Row],[Memo]]="Browser:chrome os:android","平板報工",IF(record[[#This Row],[Memo]]=0,"委外",record[[#This Row],[Memo]]))</f>
        <v>覆回</v>
      </c>
      <c r="O4139" t="s">
        <v>682</v>
      </c>
      <c r="P4139" t="s">
        <v>141</v>
      </c>
      <c r="Q4139" t="s">
        <v>58</v>
      </c>
      <c r="R4139" t="str">
        <f>IFERROR(VLOOKUP(record[[#This Row],[PCUSTID]],廠商[],2,FALSE),"")</f>
        <v/>
      </c>
      <c r="S4139" t="str">
        <f>VLOOKUP(record[[#This Row],[employeeID]],員工[],2,FALSE)</f>
        <v>蔣梅</v>
      </c>
    </row>
    <row r="4140" spans="6:19" hidden="1" x14ac:dyDescent="0.25">
      <c r="F4140" t="s">
        <v>1536</v>
      </c>
      <c r="G4140" t="s">
        <v>398</v>
      </c>
      <c r="H4140" t="str">
        <f>VLOOKUP(record[[#This Row],[ProcessSN]],表格2_7[],2,FALSE)</f>
        <v>30-4118-018-550</v>
      </c>
      <c r="I4140" t="str">
        <f>VLOOKUP(record[[#This Row],[ProcessSN]],表格2_7[],3,FALSE)</f>
        <v>#08RCV</v>
      </c>
      <c r="J4140" t="s">
        <v>591</v>
      </c>
      <c r="K4140" s="195">
        <v>46057.577430555553</v>
      </c>
      <c r="L4140">
        <v>0</v>
      </c>
      <c r="M4140">
        <v>14</v>
      </c>
      <c r="N4140" s="98" t="str">
        <f>IF(record[[#This Row],[Memo]]="Browser:chrome os:android","平板報工",IF(record[[#This Row],[Memo]]=0,"委外",record[[#This Row],[Memo]]))</f>
        <v/>
      </c>
      <c r="O4140" t="s">
        <v>58</v>
      </c>
      <c r="P4140" t="s">
        <v>141</v>
      </c>
      <c r="Q4140" t="s">
        <v>58</v>
      </c>
      <c r="R4140" t="str">
        <f>IFERROR(VLOOKUP(record[[#This Row],[PCUSTID]],廠商[],2,FALSE),"")</f>
        <v/>
      </c>
      <c r="S4140" t="str">
        <f>VLOOKUP(record[[#This Row],[employeeID]],員工[],2,FALSE)</f>
        <v>蔣梅</v>
      </c>
    </row>
    <row r="4141" spans="6:19" hidden="1" x14ac:dyDescent="0.25">
      <c r="F4141" t="s">
        <v>1536</v>
      </c>
      <c r="G4141" t="s">
        <v>398</v>
      </c>
      <c r="H4141" t="str">
        <f>VLOOKUP(record[[#This Row],[ProcessSN]],表格2_7[],2,FALSE)</f>
        <v>30-4118-018-550</v>
      </c>
      <c r="I4141" t="str">
        <f>VLOOKUP(record[[#This Row],[ProcessSN]],表格2_7[],3,FALSE)</f>
        <v>#08RCV</v>
      </c>
      <c r="J4141" t="s">
        <v>591</v>
      </c>
      <c r="K4141" s="195">
        <v>46057.577256944445</v>
      </c>
      <c r="L4141">
        <v>3</v>
      </c>
      <c r="M4141">
        <v>0</v>
      </c>
      <c r="N4141" s="98" t="str">
        <f>IF(record[[#This Row],[Memo]]="Browser:chrome os:android","平板報工",IF(record[[#This Row],[Memo]]=0,"委外",record[[#This Row],[Memo]]))</f>
        <v>覆回</v>
      </c>
      <c r="O4141" t="s">
        <v>682</v>
      </c>
      <c r="P4141" t="s">
        <v>141</v>
      </c>
      <c r="Q4141" t="s">
        <v>58</v>
      </c>
      <c r="R4141" t="str">
        <f>IFERROR(VLOOKUP(record[[#This Row],[PCUSTID]],廠商[],2,FALSE),"")</f>
        <v/>
      </c>
      <c r="S4141" t="str">
        <f>VLOOKUP(record[[#This Row],[employeeID]],員工[],2,FALSE)</f>
        <v>蔣梅</v>
      </c>
    </row>
    <row r="4142" spans="6:19" hidden="1" x14ac:dyDescent="0.25">
      <c r="F4142" t="s">
        <v>1557</v>
      </c>
      <c r="G4142" t="s">
        <v>422</v>
      </c>
      <c r="H4142" t="str">
        <f>VLOOKUP(record[[#This Row],[ProcessSN]],表格2_7[],2,FALSE)</f>
        <v>30-4118-018-600</v>
      </c>
      <c r="I4142" t="str">
        <f>VLOOKUP(record[[#This Row],[ProcessSN]],表格2_7[],3,FALSE)</f>
        <v>#08</v>
      </c>
      <c r="J4142" t="s">
        <v>597</v>
      </c>
      <c r="K4142" s="195">
        <v>46057.49287037037</v>
      </c>
      <c r="L4142">
        <v>372</v>
      </c>
      <c r="M4142">
        <v>0</v>
      </c>
      <c r="N4142" s="98" t="str">
        <f>IF(record[[#This Row],[Memo]]="Browser:chrome os:android","平板報工",IF(record[[#This Row],[Memo]]=0,"委外",record[[#This Row],[Memo]]))</f>
        <v>委外</v>
      </c>
      <c r="P4142" t="s">
        <v>186</v>
      </c>
      <c r="Q4142" t="s">
        <v>287</v>
      </c>
      <c r="R4142" t="str">
        <f>IFERROR(VLOOKUP(record[[#This Row],[PCUSTID]],廠商[],2,FALSE),"")</f>
        <v>泉盛</v>
      </c>
      <c r="S4142" t="str">
        <f>VLOOKUP(record[[#This Row],[employeeID]],員工[],2,FALSE)</f>
        <v>許文姍</v>
      </c>
    </row>
    <row r="4143" spans="6:19" hidden="1" x14ac:dyDescent="0.25">
      <c r="F4143" t="s">
        <v>1556</v>
      </c>
      <c r="G4143" t="s">
        <v>397</v>
      </c>
      <c r="H4143" t="str">
        <f>VLOOKUP(record[[#This Row],[ProcessSN]],表格2_7[],2,FALSE)</f>
        <v>30-4118-018-550</v>
      </c>
      <c r="I4143" t="str">
        <f>VLOOKUP(record[[#This Row],[ProcessSN]],表格2_7[],3,FALSE)</f>
        <v>#08</v>
      </c>
      <c r="J4143" t="s">
        <v>597</v>
      </c>
      <c r="K4143" s="195">
        <v>46057.492766203701</v>
      </c>
      <c r="L4143">
        <v>30</v>
      </c>
      <c r="M4143">
        <v>0</v>
      </c>
      <c r="N4143" s="98" t="str">
        <f>IF(record[[#This Row],[Memo]]="Browser:chrome os:android","平板報工",IF(record[[#This Row],[Memo]]=0,"委外",record[[#This Row],[Memo]]))</f>
        <v>委外</v>
      </c>
      <c r="P4143" t="s">
        <v>186</v>
      </c>
      <c r="Q4143" t="s">
        <v>287</v>
      </c>
      <c r="R4143" t="str">
        <f>IFERROR(VLOOKUP(record[[#This Row],[PCUSTID]],廠商[],2,FALSE),"")</f>
        <v>泉盛</v>
      </c>
      <c r="S4143" t="str">
        <f>VLOOKUP(record[[#This Row],[employeeID]],員工[],2,FALSE)</f>
        <v>許文姍</v>
      </c>
    </row>
    <row r="4144" spans="6:19" hidden="1" x14ac:dyDescent="0.25">
      <c r="F4144" t="s">
        <v>1557</v>
      </c>
      <c r="G4144" t="s">
        <v>421</v>
      </c>
      <c r="H4144" t="str">
        <f>VLOOKUP(record[[#This Row],[ProcessSN]],表格2_7[],2,FALSE)</f>
        <v>30-4118-018-600</v>
      </c>
      <c r="I4144" t="str">
        <f>VLOOKUP(record[[#This Row],[ProcessSN]],表格2_7[],3,FALSE)</f>
        <v>#08PICK</v>
      </c>
      <c r="J4144" t="s">
        <v>582</v>
      </c>
      <c r="K4144" s="195">
        <v>46057.490995370368</v>
      </c>
      <c r="L4144">
        <v>372</v>
      </c>
      <c r="M4144">
        <v>0</v>
      </c>
      <c r="N4144" s="98" t="str">
        <f>IF(record[[#This Row],[Memo]]="Browser:chrome os:android","平板報工",IF(record[[#This Row],[Memo]]=0,"委外",record[[#This Row],[Memo]]))</f>
        <v/>
      </c>
      <c r="O4144" t="s">
        <v>58</v>
      </c>
      <c r="P4144" t="s">
        <v>186</v>
      </c>
      <c r="Q4144" t="s">
        <v>58</v>
      </c>
      <c r="R4144" t="str">
        <f>IFERROR(VLOOKUP(record[[#This Row],[PCUSTID]],廠商[],2,FALSE),"")</f>
        <v/>
      </c>
      <c r="S4144" t="str">
        <f>VLOOKUP(record[[#This Row],[employeeID]],員工[],2,FALSE)</f>
        <v>許文姍</v>
      </c>
    </row>
    <row r="4145" spans="6:19" hidden="1" x14ac:dyDescent="0.25">
      <c r="F4145" t="s">
        <v>1556</v>
      </c>
      <c r="G4145" t="s">
        <v>396</v>
      </c>
      <c r="H4145" t="str">
        <f>VLOOKUP(record[[#This Row],[ProcessSN]],表格2_7[],2,FALSE)</f>
        <v>30-4118-018-550</v>
      </c>
      <c r="I4145" t="str">
        <f>VLOOKUP(record[[#This Row],[ProcessSN]],表格2_7[],3,FALSE)</f>
        <v>#08PICK</v>
      </c>
      <c r="J4145" t="s">
        <v>582</v>
      </c>
      <c r="K4145" s="195">
        <v>46057.490879629629</v>
      </c>
      <c r="L4145">
        <v>30</v>
      </c>
      <c r="M4145">
        <v>0</v>
      </c>
      <c r="N4145" s="98" t="str">
        <f>IF(record[[#This Row],[Memo]]="Browser:chrome os:android","平板報工",IF(record[[#This Row],[Memo]]=0,"委外",record[[#This Row],[Memo]]))</f>
        <v/>
      </c>
      <c r="O4145" t="s">
        <v>58</v>
      </c>
      <c r="P4145" t="s">
        <v>186</v>
      </c>
      <c r="Q4145" t="s">
        <v>58</v>
      </c>
      <c r="R4145" t="str">
        <f>IFERROR(VLOOKUP(record[[#This Row],[PCUSTID]],廠商[],2,FALSE),"")</f>
        <v/>
      </c>
      <c r="S4145" t="str">
        <f>VLOOKUP(record[[#This Row],[employeeID]],員工[],2,FALSE)</f>
        <v>許文姍</v>
      </c>
    </row>
    <row r="4146" spans="6:19" hidden="1" x14ac:dyDescent="0.25">
      <c r="F4146" t="s">
        <v>1503</v>
      </c>
      <c r="G4146" t="s">
        <v>420</v>
      </c>
      <c r="H4146" t="str">
        <f>VLOOKUP(record[[#This Row],[ProcessSN]],表格2_7[],2,FALSE)</f>
        <v>30-4118-018-5XX</v>
      </c>
      <c r="I4146" t="str">
        <f>VLOOKUP(record[[#This Row],[ProcessSN]],表格2_7[],3,FALSE)</f>
        <v>#07STOCK</v>
      </c>
      <c r="J4146" t="s">
        <v>592</v>
      </c>
      <c r="K4146" s="195">
        <v>46057.487673611111</v>
      </c>
      <c r="L4146">
        <v>4</v>
      </c>
      <c r="M4146">
        <v>0</v>
      </c>
      <c r="N4146" s="98" t="str">
        <f>IF(record[[#This Row],[Memo]]="Browser:chrome os:android","平板報工",IF(record[[#This Row],[Memo]]=0,"委外",record[[#This Row],[Memo]]))</f>
        <v/>
      </c>
      <c r="O4146" t="s">
        <v>58</v>
      </c>
      <c r="P4146" t="s">
        <v>186</v>
      </c>
      <c r="Q4146" t="s">
        <v>58</v>
      </c>
      <c r="R4146" t="str">
        <f>IFERROR(VLOOKUP(record[[#This Row],[PCUSTID]],廠商[],2,FALSE),"")</f>
        <v/>
      </c>
      <c r="S4146" t="str">
        <f>VLOOKUP(record[[#This Row],[employeeID]],員工[],2,FALSE)</f>
        <v>許文姍</v>
      </c>
    </row>
    <row r="4147" spans="6:19" hidden="1" x14ac:dyDescent="0.25">
      <c r="F4147" t="s">
        <v>1506</v>
      </c>
      <c r="G4147" t="s">
        <v>420</v>
      </c>
      <c r="H4147" t="str">
        <f>VLOOKUP(record[[#This Row],[ProcessSN]],表格2_7[],2,FALSE)</f>
        <v>30-4118-018-5XX</v>
      </c>
      <c r="I4147" t="str">
        <f>VLOOKUP(record[[#This Row],[ProcessSN]],表格2_7[],3,FALSE)</f>
        <v>#07STOCK</v>
      </c>
      <c r="J4147" t="s">
        <v>592</v>
      </c>
      <c r="K4147" s="195">
        <v>46057.487546296295</v>
      </c>
      <c r="L4147">
        <v>26</v>
      </c>
      <c r="M4147">
        <v>0</v>
      </c>
      <c r="N4147" s="98" t="str">
        <f>IF(record[[#This Row],[Memo]]="Browser:chrome os:android","平板報工",IF(record[[#This Row],[Memo]]=0,"委外",record[[#This Row],[Memo]]))</f>
        <v/>
      </c>
      <c r="O4147" t="s">
        <v>58</v>
      </c>
      <c r="P4147" t="s">
        <v>186</v>
      </c>
      <c r="Q4147" t="s">
        <v>58</v>
      </c>
      <c r="R4147" t="str">
        <f>IFERROR(VLOOKUP(record[[#This Row],[PCUSTID]],廠商[],2,FALSE),"")</f>
        <v/>
      </c>
      <c r="S4147" t="str">
        <f>VLOOKUP(record[[#This Row],[employeeID]],員工[],2,FALSE)</f>
        <v>許文姍</v>
      </c>
    </row>
    <row r="4148" spans="6:19" hidden="1" x14ac:dyDescent="0.25">
      <c r="F4148" t="s">
        <v>1493</v>
      </c>
      <c r="G4148" t="s">
        <v>453</v>
      </c>
      <c r="H4148" t="str">
        <f>VLOOKUP(record[[#This Row],[ProcessSN]],表格2_7[],2,FALSE)</f>
        <v>30-4118-018-6XX</v>
      </c>
      <c r="I4148" t="str">
        <f>VLOOKUP(record[[#This Row],[ProcessSN]],表格2_7[],3,FALSE)</f>
        <v>#07STOCK</v>
      </c>
      <c r="J4148" t="s">
        <v>592</v>
      </c>
      <c r="K4148" s="195">
        <v>46057.487349537034</v>
      </c>
      <c r="L4148">
        <v>85</v>
      </c>
      <c r="M4148">
        <v>0</v>
      </c>
      <c r="N4148" s="98" t="str">
        <f>IF(record[[#This Row],[Memo]]="Browser:chrome os:android","平板報工",IF(record[[#This Row],[Memo]]=0,"委外",record[[#This Row],[Memo]]))</f>
        <v/>
      </c>
      <c r="O4148" t="s">
        <v>58</v>
      </c>
      <c r="P4148" t="s">
        <v>186</v>
      </c>
      <c r="Q4148" t="s">
        <v>58</v>
      </c>
      <c r="R4148" t="str">
        <f>IFERROR(VLOOKUP(record[[#This Row],[PCUSTID]],廠商[],2,FALSE),"")</f>
        <v/>
      </c>
      <c r="S4148" t="str">
        <f>VLOOKUP(record[[#This Row],[employeeID]],員工[],2,FALSE)</f>
        <v>許文姍</v>
      </c>
    </row>
    <row r="4149" spans="6:19" hidden="1" x14ac:dyDescent="0.25">
      <c r="F4149" t="s">
        <v>1504</v>
      </c>
      <c r="G4149" t="s">
        <v>453</v>
      </c>
      <c r="H4149" t="str">
        <f>VLOOKUP(record[[#This Row],[ProcessSN]],表格2_7[],2,FALSE)</f>
        <v>30-4118-018-6XX</v>
      </c>
      <c r="I4149" t="str">
        <f>VLOOKUP(record[[#This Row],[ProcessSN]],表格2_7[],3,FALSE)</f>
        <v>#07STOCK</v>
      </c>
      <c r="J4149" t="s">
        <v>592</v>
      </c>
      <c r="K4149" s="195">
        <v>46057.487222222226</v>
      </c>
      <c r="L4149">
        <v>287</v>
      </c>
      <c r="M4149">
        <v>0</v>
      </c>
      <c r="N4149" s="98" t="str">
        <f>IF(record[[#This Row],[Memo]]="Browser:chrome os:android","平板報工",IF(record[[#This Row],[Memo]]=0,"委外",record[[#This Row],[Memo]]))</f>
        <v/>
      </c>
      <c r="O4149" t="s">
        <v>58</v>
      </c>
      <c r="P4149" t="s">
        <v>186</v>
      </c>
      <c r="Q4149" t="s">
        <v>58</v>
      </c>
      <c r="R4149" t="str">
        <f>IFERROR(VLOOKUP(record[[#This Row],[PCUSTID]],廠商[],2,FALSE),"")</f>
        <v/>
      </c>
      <c r="S4149" t="str">
        <f>VLOOKUP(record[[#This Row],[employeeID]],員工[],2,FALSE)</f>
        <v>許文姍</v>
      </c>
    </row>
    <row r="4150" spans="6:19" hidden="1" x14ac:dyDescent="0.25">
      <c r="F4150" t="s">
        <v>1506</v>
      </c>
      <c r="G4150" t="s">
        <v>419</v>
      </c>
      <c r="H4150" t="str">
        <f>VLOOKUP(record[[#This Row],[ProcessSN]],表格2_7[],2,FALSE)</f>
        <v>30-4118-018-5XX</v>
      </c>
      <c r="I4150" t="str">
        <f>VLOOKUP(record[[#This Row],[ProcessSN]],表格2_7[],3,FALSE)</f>
        <v>#07QC</v>
      </c>
      <c r="J4150" t="s">
        <v>589</v>
      </c>
      <c r="K4150" s="195">
        <v>46057.442314814813</v>
      </c>
      <c r="L4150">
        <v>26</v>
      </c>
      <c r="M4150">
        <v>0</v>
      </c>
      <c r="N4150" s="98" t="str">
        <f>IF(record[[#This Row],[Memo]]="Browser:chrome os:android","平板報工",IF(record[[#This Row],[Memo]]=0,"委外",record[[#This Row],[Memo]]))</f>
        <v>覆回</v>
      </c>
      <c r="O4150" t="s">
        <v>682</v>
      </c>
      <c r="P4150" t="s">
        <v>141</v>
      </c>
      <c r="Q4150" t="s">
        <v>58</v>
      </c>
      <c r="R4150" t="str">
        <f>IFERROR(VLOOKUP(record[[#This Row],[PCUSTID]],廠商[],2,FALSE),"")</f>
        <v/>
      </c>
      <c r="S4150" t="str">
        <f>VLOOKUP(record[[#This Row],[employeeID]],員工[],2,FALSE)</f>
        <v>蔣梅</v>
      </c>
    </row>
    <row r="4151" spans="6:19" hidden="1" x14ac:dyDescent="0.25">
      <c r="F4151" t="s">
        <v>1503</v>
      </c>
      <c r="G4151" t="s">
        <v>419</v>
      </c>
      <c r="H4151" t="str">
        <f>VLOOKUP(record[[#This Row],[ProcessSN]],表格2_7[],2,FALSE)</f>
        <v>30-4118-018-5XX</v>
      </c>
      <c r="I4151" t="str">
        <f>VLOOKUP(record[[#This Row],[ProcessSN]],表格2_7[],3,FALSE)</f>
        <v>#07QC</v>
      </c>
      <c r="J4151" t="s">
        <v>589</v>
      </c>
      <c r="K4151" s="195">
        <v>46057.441851851851</v>
      </c>
      <c r="L4151">
        <v>0</v>
      </c>
      <c r="M4151">
        <v>6</v>
      </c>
      <c r="N4151" s="98" t="str">
        <f>IF(record[[#This Row],[Memo]]="Browser:chrome os:android","平板報工",IF(record[[#This Row],[Memo]]=0,"委外",record[[#This Row],[Memo]]))</f>
        <v/>
      </c>
      <c r="O4151" t="s">
        <v>58</v>
      </c>
      <c r="P4151" t="s">
        <v>141</v>
      </c>
      <c r="Q4151" t="s">
        <v>58</v>
      </c>
      <c r="R4151" t="str">
        <f>IFERROR(VLOOKUP(record[[#This Row],[PCUSTID]],廠商[],2,FALSE),"")</f>
        <v/>
      </c>
      <c r="S4151" t="str">
        <f>VLOOKUP(record[[#This Row],[employeeID]],員工[],2,FALSE)</f>
        <v>蔣梅</v>
      </c>
    </row>
    <row r="4152" spans="6:19" hidden="1" x14ac:dyDescent="0.25">
      <c r="F4152" t="s">
        <v>1503</v>
      </c>
      <c r="G4152" t="s">
        <v>419</v>
      </c>
      <c r="H4152" t="str">
        <f>VLOOKUP(record[[#This Row],[ProcessSN]],表格2_7[],2,FALSE)</f>
        <v>30-4118-018-5XX</v>
      </c>
      <c r="I4152" t="str">
        <f>VLOOKUP(record[[#This Row],[ProcessSN]],表格2_7[],3,FALSE)</f>
        <v>#07QC</v>
      </c>
      <c r="J4152" t="s">
        <v>589</v>
      </c>
      <c r="K4152" s="195">
        <v>46057.441655092596</v>
      </c>
      <c r="L4152">
        <v>4</v>
      </c>
      <c r="M4152">
        <v>0</v>
      </c>
      <c r="N4152" s="98" t="str">
        <f>IF(record[[#This Row],[Memo]]="Browser:chrome os:android","平板報工",IF(record[[#This Row],[Memo]]=0,"委外",record[[#This Row],[Memo]]))</f>
        <v>覆回</v>
      </c>
      <c r="O4152" t="s">
        <v>682</v>
      </c>
      <c r="P4152" t="s">
        <v>141</v>
      </c>
      <c r="Q4152" t="s">
        <v>58</v>
      </c>
      <c r="R4152" t="str">
        <f>IFERROR(VLOOKUP(record[[#This Row],[PCUSTID]],廠商[],2,FALSE),"")</f>
        <v/>
      </c>
      <c r="S4152" t="str">
        <f>VLOOKUP(record[[#This Row],[employeeID]],員工[],2,FALSE)</f>
        <v>蔣梅</v>
      </c>
    </row>
    <row r="4153" spans="6:19" hidden="1" x14ac:dyDescent="0.25">
      <c r="F4153" t="s">
        <v>1542</v>
      </c>
      <c r="G4153" t="s">
        <v>469</v>
      </c>
      <c r="H4153" t="str">
        <f>VLOOKUP(record[[#This Row],[ProcessSN]],表格2_7[],2,FALSE)</f>
        <v>30-4118-018-XXX</v>
      </c>
      <c r="I4153" t="str">
        <f>VLOOKUP(record[[#This Row],[ProcessSN]],表格2_7[],3,FALSE)</f>
        <v>#02RCV</v>
      </c>
      <c r="J4153" t="s">
        <v>591</v>
      </c>
      <c r="K4153" s="195">
        <v>46057.436643518522</v>
      </c>
      <c r="L4153">
        <v>614</v>
      </c>
      <c r="M4153">
        <v>0</v>
      </c>
      <c r="N4153" s="98" t="str">
        <f>IF(record[[#This Row],[Memo]]="Browser:chrome os:android","平板報工",IF(record[[#This Row],[Memo]]=0,"委外",record[[#This Row],[Memo]]))</f>
        <v/>
      </c>
      <c r="O4153" t="s">
        <v>58</v>
      </c>
      <c r="P4153" t="s">
        <v>186</v>
      </c>
      <c r="Q4153" t="s">
        <v>58</v>
      </c>
      <c r="R4153" t="str">
        <f>IFERROR(VLOOKUP(record[[#This Row],[PCUSTID]],廠商[],2,FALSE),"")</f>
        <v/>
      </c>
      <c r="S4153" t="str">
        <f>VLOOKUP(record[[#This Row],[employeeID]],員工[],2,FALSE)</f>
        <v>許文姍</v>
      </c>
    </row>
    <row r="4154" spans="6:19" hidden="1" x14ac:dyDescent="0.25">
      <c r="F4154" t="s">
        <v>1531</v>
      </c>
      <c r="G4154" t="s">
        <v>469</v>
      </c>
      <c r="H4154" t="str">
        <f>VLOOKUP(record[[#This Row],[ProcessSN]],表格2_7[],2,FALSE)</f>
        <v>30-4118-018-XXX</v>
      </c>
      <c r="I4154" t="str">
        <f>VLOOKUP(record[[#This Row],[ProcessSN]],表格2_7[],3,FALSE)</f>
        <v>#02RCV</v>
      </c>
      <c r="J4154" t="s">
        <v>591</v>
      </c>
      <c r="K4154" s="195">
        <v>46057.43644675926</v>
      </c>
      <c r="L4154">
        <v>672</v>
      </c>
      <c r="M4154">
        <v>0</v>
      </c>
      <c r="N4154" s="98" t="str">
        <f>IF(record[[#This Row],[Memo]]="Browser:chrome os:android","平板報工",IF(record[[#This Row],[Memo]]=0,"委外",record[[#This Row],[Memo]]))</f>
        <v/>
      </c>
      <c r="O4154" t="s">
        <v>58</v>
      </c>
      <c r="P4154" t="s">
        <v>186</v>
      </c>
      <c r="Q4154" t="s">
        <v>58</v>
      </c>
      <c r="R4154" t="str">
        <f>IFERROR(VLOOKUP(record[[#This Row],[PCUSTID]],廠商[],2,FALSE),"")</f>
        <v/>
      </c>
      <c r="S4154" t="str">
        <f>VLOOKUP(record[[#This Row],[employeeID]],員工[],2,FALSE)</f>
        <v>許文姍</v>
      </c>
    </row>
    <row r="4155" spans="6:19" hidden="1" x14ac:dyDescent="0.25">
      <c r="F4155" t="s">
        <v>1504</v>
      </c>
      <c r="G4155" t="s">
        <v>452</v>
      </c>
      <c r="H4155" t="str">
        <f>VLOOKUP(record[[#This Row],[ProcessSN]],表格2_7[],2,FALSE)</f>
        <v>30-4118-018-6XX</v>
      </c>
      <c r="I4155" t="str">
        <f>VLOOKUP(record[[#This Row],[ProcessSN]],表格2_7[],3,FALSE)</f>
        <v>#07QC</v>
      </c>
      <c r="J4155" t="s">
        <v>589</v>
      </c>
      <c r="K4155" s="195">
        <v>46057.433194444442</v>
      </c>
      <c r="L4155">
        <v>0</v>
      </c>
      <c r="M4155">
        <v>2</v>
      </c>
      <c r="N4155" s="98" t="str">
        <f>IF(record[[#This Row],[Memo]]="Browser:chrome os:android","平板報工",IF(record[[#This Row],[Memo]]=0,"委外",record[[#This Row],[Memo]]))</f>
        <v>平板報工</v>
      </c>
      <c r="O4155" t="s">
        <v>643</v>
      </c>
      <c r="P4155" t="s">
        <v>141</v>
      </c>
      <c r="Q4155" t="s">
        <v>644</v>
      </c>
      <c r="R4155" t="str">
        <f>IFERROR(VLOOKUP(record[[#This Row],[PCUSTID]],廠商[],2,FALSE),"")</f>
        <v/>
      </c>
      <c r="S4155" t="str">
        <f>VLOOKUP(record[[#This Row],[employeeID]],員工[],2,FALSE)</f>
        <v>蔣梅</v>
      </c>
    </row>
    <row r="4156" spans="6:19" hidden="1" x14ac:dyDescent="0.25">
      <c r="F4156" t="s">
        <v>1504</v>
      </c>
      <c r="G4156" t="s">
        <v>452</v>
      </c>
      <c r="H4156" t="str">
        <f>VLOOKUP(record[[#This Row],[ProcessSN]],表格2_7[],2,FALSE)</f>
        <v>30-4118-018-6XX</v>
      </c>
      <c r="I4156" t="str">
        <f>VLOOKUP(record[[#This Row],[ProcessSN]],表格2_7[],3,FALSE)</f>
        <v>#07QC</v>
      </c>
      <c r="J4156" t="s">
        <v>589</v>
      </c>
      <c r="K4156" s="195">
        <v>46057.432986111111</v>
      </c>
      <c r="L4156">
        <v>287</v>
      </c>
      <c r="M4156">
        <v>0</v>
      </c>
      <c r="N4156" s="98" t="str">
        <f>IF(record[[#This Row],[Memo]]="Browser:chrome os:android","平板報工",IF(record[[#This Row],[Memo]]=0,"委外",record[[#This Row],[Memo]]))</f>
        <v>平板報工</v>
      </c>
      <c r="O4156" t="s">
        <v>643</v>
      </c>
      <c r="P4156" t="s">
        <v>141</v>
      </c>
      <c r="Q4156" t="s">
        <v>644</v>
      </c>
      <c r="R4156" t="str">
        <f>IFERROR(VLOOKUP(record[[#This Row],[PCUSTID]],廠商[],2,FALSE),"")</f>
        <v/>
      </c>
      <c r="S4156" t="str">
        <f>VLOOKUP(record[[#This Row],[employeeID]],員工[],2,FALSE)</f>
        <v>蔣梅</v>
      </c>
    </row>
    <row r="4157" spans="6:19" hidden="1" x14ac:dyDescent="0.25">
      <c r="F4157" t="s">
        <v>1493</v>
      </c>
      <c r="G4157" t="s">
        <v>452</v>
      </c>
      <c r="H4157" t="str">
        <f>VLOOKUP(record[[#This Row],[ProcessSN]],表格2_7[],2,FALSE)</f>
        <v>30-4118-018-6XX</v>
      </c>
      <c r="I4157" t="str">
        <f>VLOOKUP(record[[#This Row],[ProcessSN]],表格2_7[],3,FALSE)</f>
        <v>#07QC</v>
      </c>
      <c r="J4157" t="s">
        <v>589</v>
      </c>
      <c r="K4157" s="195">
        <v>46057.43209490741</v>
      </c>
      <c r="L4157">
        <v>85</v>
      </c>
      <c r="M4157">
        <v>0</v>
      </c>
      <c r="N4157" s="98" t="str">
        <f>IF(record[[#This Row],[Memo]]="Browser:chrome os:android","平板報工",IF(record[[#This Row],[Memo]]=0,"委外",record[[#This Row],[Memo]]))</f>
        <v>平板報工</v>
      </c>
      <c r="O4157" t="s">
        <v>643</v>
      </c>
      <c r="P4157" t="s">
        <v>141</v>
      </c>
      <c r="Q4157" t="s">
        <v>644</v>
      </c>
      <c r="R4157" t="str">
        <f>IFERROR(VLOOKUP(record[[#This Row],[PCUSTID]],廠商[],2,FALSE),"")</f>
        <v/>
      </c>
      <c r="S4157" t="str">
        <f>VLOOKUP(record[[#This Row],[employeeID]],員工[],2,FALSE)</f>
        <v>蔣梅</v>
      </c>
    </row>
    <row r="4158" spans="6:19" hidden="1" x14ac:dyDescent="0.25">
      <c r="F4158" t="s">
        <v>1407</v>
      </c>
      <c r="G4158" t="s">
        <v>362</v>
      </c>
      <c r="H4158" t="str">
        <f>VLOOKUP(record[[#This Row],[ProcessSN]],表格2_7[],2,FALSE)</f>
        <v>30-4118-018-450</v>
      </c>
      <c r="I4158" t="str">
        <f>VLOOKUP(record[[#This Row],[ProcessSN]],表格2_7[],3,FALSE)</f>
        <v>#100SHIP</v>
      </c>
      <c r="J4158" t="s">
        <v>600</v>
      </c>
      <c r="K4158" s="195">
        <v>46057.416006944448</v>
      </c>
      <c r="L4158">
        <v>1</v>
      </c>
      <c r="M4158">
        <v>0</v>
      </c>
      <c r="N4158" s="98" t="str">
        <f>IF(record[[#This Row],[Memo]]="Browser:chrome os:android","平板報工",IF(record[[#This Row],[Memo]]=0,"委外",record[[#This Row],[Memo]]))</f>
        <v/>
      </c>
      <c r="O4158" t="s">
        <v>58</v>
      </c>
      <c r="P4158" t="s">
        <v>886</v>
      </c>
      <c r="Q4158" t="s">
        <v>58</v>
      </c>
      <c r="R4158" t="str">
        <f>IFERROR(VLOOKUP(record[[#This Row],[PCUSTID]],廠商[],2,FALSE),"")</f>
        <v/>
      </c>
      <c r="S4158" t="str">
        <f>VLOOKUP(record[[#This Row],[employeeID]],員工[],2,FALSE)</f>
        <v>謝蓁薰</v>
      </c>
    </row>
    <row r="4159" spans="6:19" hidden="1" x14ac:dyDescent="0.25">
      <c r="F4159" t="s">
        <v>1551</v>
      </c>
      <c r="G4159" t="s">
        <v>468</v>
      </c>
      <c r="H4159" t="str">
        <f>VLOOKUP(record[[#This Row],[ProcessSN]],表格2_7[],2,FALSE)</f>
        <v>30-4118-018-XXX</v>
      </c>
      <c r="I4159" t="str">
        <f>VLOOKUP(record[[#This Row],[ProcessSN]],表格2_7[],3,FALSE)</f>
        <v>#02</v>
      </c>
      <c r="J4159" t="s">
        <v>590</v>
      </c>
      <c r="K4159" s="195">
        <v>46057.366608796299</v>
      </c>
      <c r="L4159">
        <v>672</v>
      </c>
      <c r="M4159">
        <v>0</v>
      </c>
      <c r="N4159" s="98" t="str">
        <f>IF(record[[#This Row],[Memo]]="Browser:chrome os:android","平板報工",IF(record[[#This Row],[Memo]]=0,"委外",record[[#This Row],[Memo]]))</f>
        <v>委外</v>
      </c>
      <c r="P4159" t="s">
        <v>186</v>
      </c>
      <c r="Q4159" t="s">
        <v>216</v>
      </c>
      <c r="R4159" t="str">
        <f>IFERROR(VLOOKUP(record[[#This Row],[PCUSTID]],廠商[],2,FALSE),"")</f>
        <v>俊杰</v>
      </c>
      <c r="S4159" t="str">
        <f>VLOOKUP(record[[#This Row],[employeeID]],員工[],2,FALSE)</f>
        <v>許文姍</v>
      </c>
    </row>
    <row r="4160" spans="6:19" hidden="1" x14ac:dyDescent="0.25">
      <c r="F4160" t="s">
        <v>1542</v>
      </c>
      <c r="G4160" t="s">
        <v>468</v>
      </c>
      <c r="H4160" t="str">
        <f>VLOOKUP(record[[#This Row],[ProcessSN]],表格2_7[],2,FALSE)</f>
        <v>30-4118-018-XXX</v>
      </c>
      <c r="I4160" t="str">
        <f>VLOOKUP(record[[#This Row],[ProcessSN]],表格2_7[],3,FALSE)</f>
        <v>#02</v>
      </c>
      <c r="J4160" t="s">
        <v>590</v>
      </c>
      <c r="K4160" s="195">
        <v>46057.365833333337</v>
      </c>
      <c r="L4160">
        <v>791</v>
      </c>
      <c r="M4160">
        <v>0</v>
      </c>
      <c r="N4160" s="98" t="str">
        <f>IF(record[[#This Row],[Memo]]="Browser:chrome os:android","平板報工",IF(record[[#This Row],[Memo]]=0,"委外",record[[#This Row],[Memo]]))</f>
        <v>委外</v>
      </c>
      <c r="P4160" t="s">
        <v>186</v>
      </c>
      <c r="Q4160" t="s">
        <v>216</v>
      </c>
      <c r="R4160" t="str">
        <f>IFERROR(VLOOKUP(record[[#This Row],[PCUSTID]],廠商[],2,FALSE),"")</f>
        <v>俊杰</v>
      </c>
      <c r="S4160" t="str">
        <f>VLOOKUP(record[[#This Row],[employeeID]],員工[],2,FALSE)</f>
        <v>許文姍</v>
      </c>
    </row>
    <row r="4161" spans="6:19" hidden="1" x14ac:dyDescent="0.25">
      <c r="F4161" t="s">
        <v>1551</v>
      </c>
      <c r="G4161" t="s">
        <v>467</v>
      </c>
      <c r="H4161" t="str">
        <f>VLOOKUP(record[[#This Row],[ProcessSN]],表格2_7[],2,FALSE)</f>
        <v>30-4118-018-XXX</v>
      </c>
      <c r="I4161" t="str">
        <f>VLOOKUP(record[[#This Row],[ProcessSN]],表格2_7[],3,FALSE)</f>
        <v>#01QC</v>
      </c>
      <c r="J4161" t="s">
        <v>589</v>
      </c>
      <c r="K4161" s="195">
        <v>46057.356365740743</v>
      </c>
      <c r="L4161">
        <v>672</v>
      </c>
      <c r="M4161">
        <v>0</v>
      </c>
      <c r="N4161" s="98" t="str">
        <f>IF(record[[#This Row],[Memo]]="Browser:chrome os:android","平板報工",IF(record[[#This Row],[Memo]]=0,"委外",record[[#This Row],[Memo]]))</f>
        <v>平板報工</v>
      </c>
      <c r="O4161" t="s">
        <v>643</v>
      </c>
      <c r="P4161" t="s">
        <v>182</v>
      </c>
      <c r="Q4161" t="s">
        <v>644</v>
      </c>
      <c r="R4161" t="str">
        <f>IFERROR(VLOOKUP(record[[#This Row],[PCUSTID]],廠商[],2,FALSE),"")</f>
        <v/>
      </c>
      <c r="S4161" t="str">
        <f>VLOOKUP(record[[#This Row],[employeeID]],員工[],2,FALSE)</f>
        <v>梅氏和</v>
      </c>
    </row>
    <row r="4162" spans="6:19" hidden="1" x14ac:dyDescent="0.25">
      <c r="F4162" t="s">
        <v>1551</v>
      </c>
      <c r="G4162" t="s">
        <v>466</v>
      </c>
      <c r="H4162" t="str">
        <f>VLOOKUP(record[[#This Row],[ProcessSN]],表格2_7[],2,FALSE)</f>
        <v>30-4118-018-XXX</v>
      </c>
      <c r="I4162" t="str">
        <f>VLOOKUP(record[[#This Row],[ProcessSN]],表格2_7[],3,FALSE)</f>
        <v>#01-2</v>
      </c>
      <c r="J4162" t="s">
        <v>588</v>
      </c>
      <c r="K4162" s="195">
        <v>46057.354988425926</v>
      </c>
      <c r="L4162">
        <v>1</v>
      </c>
      <c r="M4162">
        <v>0</v>
      </c>
      <c r="N4162" s="98" t="str">
        <f>IF(record[[#This Row],[Memo]]="Browser:chrome os:android","平板報工",IF(record[[#This Row],[Memo]]=0,"委外",record[[#This Row],[Memo]]))</f>
        <v/>
      </c>
      <c r="O4162" t="s">
        <v>58</v>
      </c>
      <c r="P4162" t="s">
        <v>101</v>
      </c>
      <c r="Q4162" t="s">
        <v>58</v>
      </c>
      <c r="R4162" t="str">
        <f>IFERROR(VLOOKUP(record[[#This Row],[PCUSTID]],廠商[],2,FALSE),"")</f>
        <v/>
      </c>
      <c r="S4162" t="str">
        <f>VLOOKUP(record[[#This Row],[employeeID]],員工[],2,FALSE)</f>
        <v>陳氏絨</v>
      </c>
    </row>
    <row r="4163" spans="6:19" hidden="1" x14ac:dyDescent="0.25">
      <c r="F4163" t="s">
        <v>1542</v>
      </c>
      <c r="G4163" t="s">
        <v>467</v>
      </c>
      <c r="H4163" t="str">
        <f>VLOOKUP(record[[#This Row],[ProcessSN]],表格2_7[],2,FALSE)</f>
        <v>30-4118-018-XXX</v>
      </c>
      <c r="I4163" t="str">
        <f>VLOOKUP(record[[#This Row],[ProcessSN]],表格2_7[],3,FALSE)</f>
        <v>#01QC</v>
      </c>
      <c r="J4163" t="s">
        <v>589</v>
      </c>
      <c r="K4163" s="195">
        <v>46057.345358796294</v>
      </c>
      <c r="L4163">
        <v>455</v>
      </c>
      <c r="M4163">
        <v>0</v>
      </c>
      <c r="N4163" s="98" t="str">
        <f>IF(record[[#This Row],[Memo]]="Browser:chrome os:android","平板報工",IF(record[[#This Row],[Memo]]=0,"委外",record[[#This Row],[Memo]]))</f>
        <v>平板報工</v>
      </c>
      <c r="O4163" t="s">
        <v>643</v>
      </c>
      <c r="P4163" t="s">
        <v>182</v>
      </c>
      <c r="Q4163" t="s">
        <v>644</v>
      </c>
      <c r="R4163" t="str">
        <f>IFERROR(VLOOKUP(record[[#This Row],[PCUSTID]],廠商[],2,FALSE),"")</f>
        <v/>
      </c>
      <c r="S4163" t="str">
        <f>VLOOKUP(record[[#This Row],[employeeID]],員工[],2,FALSE)</f>
        <v>梅氏和</v>
      </c>
    </row>
    <row r="4164" spans="6:19" hidden="1" x14ac:dyDescent="0.25">
      <c r="F4164" t="s">
        <v>1551</v>
      </c>
      <c r="G4164" t="s">
        <v>466</v>
      </c>
      <c r="H4164" t="str">
        <f>VLOOKUP(record[[#This Row],[ProcessSN]],表格2_7[],2,FALSE)</f>
        <v>30-4118-018-XXX</v>
      </c>
      <c r="I4164" t="str">
        <f>VLOOKUP(record[[#This Row],[ProcessSN]],表格2_7[],3,FALSE)</f>
        <v>#01-2</v>
      </c>
      <c r="J4164" t="s">
        <v>588</v>
      </c>
      <c r="K4164" s="195">
        <v>46057.317928240744</v>
      </c>
      <c r="L4164">
        <v>335</v>
      </c>
      <c r="M4164">
        <v>0</v>
      </c>
      <c r="N4164" s="98" t="str">
        <f>IF(record[[#This Row],[Memo]]="Browser:chrome os:android","平板報工",IF(record[[#This Row],[Memo]]=0,"委外",record[[#This Row],[Memo]]))</f>
        <v/>
      </c>
      <c r="O4164" t="s">
        <v>58</v>
      </c>
      <c r="P4164" t="s">
        <v>806</v>
      </c>
      <c r="Q4164" t="s">
        <v>58</v>
      </c>
      <c r="R4164" t="str">
        <f>IFERROR(VLOOKUP(record[[#This Row],[PCUSTID]],廠商[],2,FALSE),"")</f>
        <v/>
      </c>
      <c r="S4164" t="str">
        <f>VLOOKUP(record[[#This Row],[employeeID]],員工[],2,FALSE)</f>
        <v>方思緯</v>
      </c>
    </row>
    <row r="4165" spans="6:19" hidden="1" x14ac:dyDescent="0.25">
      <c r="F4165" t="s">
        <v>1540</v>
      </c>
      <c r="G4165" t="s">
        <v>415</v>
      </c>
      <c r="H4165" t="str">
        <f>VLOOKUP(record[[#This Row],[ProcessSN]],表格2_7[],2,FALSE)</f>
        <v>30-4118-018-5XX</v>
      </c>
      <c r="I4165" t="str">
        <f>VLOOKUP(record[[#This Row],[ProcessSN]],表格2_7[],3,FALSE)</f>
        <v>#04</v>
      </c>
      <c r="J4165" t="s">
        <v>588</v>
      </c>
      <c r="K4165" s="195">
        <v>46057.315150462964</v>
      </c>
      <c r="L4165">
        <v>96</v>
      </c>
      <c r="M4165">
        <v>0</v>
      </c>
      <c r="N4165" s="98" t="str">
        <f>IF(record[[#This Row],[Memo]]="Browser:chrome os:android","平板報工",IF(record[[#This Row],[Memo]]=0,"委外",record[[#This Row],[Memo]]))</f>
        <v/>
      </c>
      <c r="O4165" t="s">
        <v>58</v>
      </c>
      <c r="P4165" t="s">
        <v>1098</v>
      </c>
      <c r="Q4165" t="s">
        <v>58</v>
      </c>
      <c r="R4165" t="str">
        <f>IFERROR(VLOOKUP(record[[#This Row],[PCUSTID]],廠商[],2,FALSE),"")</f>
        <v/>
      </c>
      <c r="S4165" t="str">
        <f>VLOOKUP(record[[#This Row],[employeeID]],員工[],2,FALSE)</f>
        <v>阮氏芳英(英)</v>
      </c>
    </row>
    <row r="4166" spans="6:19" hidden="1" x14ac:dyDescent="0.25">
      <c r="F4166" t="s">
        <v>1526</v>
      </c>
      <c r="G4166" t="s">
        <v>415</v>
      </c>
      <c r="H4166" t="str">
        <f>VLOOKUP(record[[#This Row],[ProcessSN]],表格2_7[],2,FALSE)</f>
        <v>30-4118-018-5XX</v>
      </c>
      <c r="I4166" t="str">
        <f>VLOOKUP(record[[#This Row],[ProcessSN]],表格2_7[],3,FALSE)</f>
        <v>#04</v>
      </c>
      <c r="J4166" t="s">
        <v>588</v>
      </c>
      <c r="K4166" s="195">
        <v>46057.315000000002</v>
      </c>
      <c r="L4166">
        <v>39</v>
      </c>
      <c r="M4166">
        <v>0</v>
      </c>
      <c r="N4166" s="98" t="str">
        <f>IF(record[[#This Row],[Memo]]="Browser:chrome os:android","平板報工",IF(record[[#This Row],[Memo]]=0,"委外",record[[#This Row],[Memo]]))</f>
        <v/>
      </c>
      <c r="O4166" t="s">
        <v>58</v>
      </c>
      <c r="P4166" t="s">
        <v>1098</v>
      </c>
      <c r="Q4166" t="s">
        <v>58</v>
      </c>
      <c r="R4166" t="str">
        <f>IFERROR(VLOOKUP(record[[#This Row],[PCUSTID]],廠商[],2,FALSE),"")</f>
        <v/>
      </c>
      <c r="S4166" t="str">
        <f>VLOOKUP(record[[#This Row],[employeeID]],員工[],2,FALSE)</f>
        <v>阮氏芳英(英)</v>
      </c>
    </row>
    <row r="4167" spans="6:19" hidden="1" x14ac:dyDescent="0.25">
      <c r="F4167" t="s">
        <v>1551</v>
      </c>
      <c r="G4167" t="s">
        <v>465</v>
      </c>
      <c r="H4167" t="str">
        <f>VLOOKUP(record[[#This Row],[ProcessSN]],表格2_7[],2,FALSE)</f>
        <v>30-4118-018-XXX</v>
      </c>
      <c r="I4167" t="str">
        <f>VLOOKUP(record[[#This Row],[ProcessSN]],表格2_7[],3,FALSE)</f>
        <v>#01-1</v>
      </c>
      <c r="J4167" t="s">
        <v>588</v>
      </c>
      <c r="K4167" s="195">
        <v>46057.313773148147</v>
      </c>
      <c r="L4167">
        <v>540</v>
      </c>
      <c r="M4167">
        <v>0</v>
      </c>
      <c r="N4167" s="98" t="str">
        <f>IF(record[[#This Row],[Memo]]="Browser:chrome os:android","平板報工",IF(record[[#This Row],[Memo]]=0,"委外",record[[#This Row],[Memo]]))</f>
        <v/>
      </c>
      <c r="O4167" t="s">
        <v>58</v>
      </c>
      <c r="P4167" t="s">
        <v>806</v>
      </c>
      <c r="Q4167" t="s">
        <v>58</v>
      </c>
      <c r="R4167" t="str">
        <f>IFERROR(VLOOKUP(record[[#This Row],[PCUSTID]],廠商[],2,FALSE),"")</f>
        <v/>
      </c>
      <c r="S4167" t="str">
        <f>VLOOKUP(record[[#This Row],[employeeID]],員工[],2,FALSE)</f>
        <v>方思緯</v>
      </c>
    </row>
    <row r="4168" spans="6:19" hidden="1" x14ac:dyDescent="0.25">
      <c r="F4168" t="s">
        <v>1540</v>
      </c>
      <c r="G4168" t="s">
        <v>414</v>
      </c>
      <c r="H4168" t="str">
        <f>VLOOKUP(record[[#This Row],[ProcessSN]],表格2_7[],2,FALSE)</f>
        <v>30-4118-018-5XX</v>
      </c>
      <c r="I4168" t="str">
        <f>VLOOKUP(record[[#This Row],[ProcessSN]],表格2_7[],3,FALSE)</f>
        <v>#03</v>
      </c>
      <c r="J4168" t="s">
        <v>588</v>
      </c>
      <c r="K4168" s="195">
        <v>46057.312696759262</v>
      </c>
      <c r="L4168">
        <v>336</v>
      </c>
      <c r="M4168">
        <v>0</v>
      </c>
      <c r="N4168" s="98" t="str">
        <f>IF(record[[#This Row],[Memo]]="Browser:chrome os:android","平板報工",IF(record[[#This Row],[Memo]]=0,"委外",record[[#This Row],[Memo]]))</f>
        <v/>
      </c>
      <c r="O4168" t="s">
        <v>58</v>
      </c>
      <c r="P4168" t="s">
        <v>843</v>
      </c>
      <c r="Q4168" t="s">
        <v>58</v>
      </c>
      <c r="R4168" t="str">
        <f>IFERROR(VLOOKUP(record[[#This Row],[PCUSTID]],廠商[],2,FALSE),"")</f>
        <v/>
      </c>
      <c r="S4168" t="str">
        <f>VLOOKUP(record[[#This Row],[employeeID]],員工[],2,FALSE)</f>
        <v>張楚承</v>
      </c>
    </row>
    <row r="4169" spans="6:19" hidden="1" x14ac:dyDescent="0.25">
      <c r="F4169" t="s">
        <v>1526</v>
      </c>
      <c r="G4169" t="s">
        <v>415</v>
      </c>
      <c r="H4169" t="str">
        <f>VLOOKUP(record[[#This Row],[ProcessSN]],表格2_7[],2,FALSE)</f>
        <v>30-4118-018-5XX</v>
      </c>
      <c r="I4169" t="str">
        <f>VLOOKUP(record[[#This Row],[ProcessSN]],表格2_7[],3,FALSE)</f>
        <v>#04</v>
      </c>
      <c r="J4169" t="s">
        <v>588</v>
      </c>
      <c r="K4169" s="195">
        <v>46056.97451388889</v>
      </c>
      <c r="L4169">
        <v>130</v>
      </c>
      <c r="M4169">
        <v>0</v>
      </c>
      <c r="N4169" s="98" t="str">
        <f>IF(record[[#This Row],[Memo]]="Browser:chrome os:android","平板報工",IF(record[[#This Row],[Memo]]=0,"委外",record[[#This Row],[Memo]]))</f>
        <v/>
      </c>
      <c r="O4169" t="s">
        <v>58</v>
      </c>
      <c r="P4169" t="s">
        <v>806</v>
      </c>
      <c r="Q4169" t="s">
        <v>58</v>
      </c>
      <c r="R4169" t="str">
        <f>IFERROR(VLOOKUP(record[[#This Row],[PCUSTID]],廠商[],2,FALSE),"")</f>
        <v/>
      </c>
      <c r="S4169" t="str">
        <f>VLOOKUP(record[[#This Row],[employeeID]],員工[],2,FALSE)</f>
        <v>方思緯</v>
      </c>
    </row>
    <row r="4170" spans="6:19" hidden="1" x14ac:dyDescent="0.25">
      <c r="F4170" t="s">
        <v>1504</v>
      </c>
      <c r="G4170" t="s">
        <v>451</v>
      </c>
      <c r="H4170" t="str">
        <f>VLOOKUP(record[[#This Row],[ProcessSN]],表格2_7[],2,FALSE)</f>
        <v>30-4118-018-6XX</v>
      </c>
      <c r="I4170" t="str">
        <f>VLOOKUP(record[[#This Row],[ProcessSN]],表格2_7[],3,FALSE)</f>
        <v>#07</v>
      </c>
      <c r="J4170" t="s">
        <v>588</v>
      </c>
      <c r="K4170" s="195">
        <v>46056.973599537036</v>
      </c>
      <c r="L4170">
        <v>124</v>
      </c>
      <c r="M4170">
        <v>5</v>
      </c>
      <c r="N4170" s="98" t="str">
        <f>IF(record[[#This Row],[Memo]]="Browser:chrome os:android","平板報工",IF(record[[#This Row],[Memo]]=0,"委外",record[[#This Row],[Memo]]))</f>
        <v/>
      </c>
      <c r="O4170" t="s">
        <v>58</v>
      </c>
      <c r="P4170" t="s">
        <v>1098</v>
      </c>
      <c r="Q4170" t="s">
        <v>58</v>
      </c>
      <c r="R4170" t="str">
        <f>IFERROR(VLOOKUP(record[[#This Row],[PCUSTID]],廠商[],2,FALSE),"")</f>
        <v/>
      </c>
      <c r="S4170" t="str">
        <f>VLOOKUP(record[[#This Row],[employeeID]],員工[],2,FALSE)</f>
        <v>阮氏芳英(英)</v>
      </c>
    </row>
    <row r="4171" spans="6:19" hidden="1" x14ac:dyDescent="0.25">
      <c r="F4171" t="s">
        <v>1504</v>
      </c>
      <c r="G4171" t="s">
        <v>450</v>
      </c>
      <c r="H4171" t="str">
        <f>VLOOKUP(record[[#This Row],[ProcessSN]],表格2_7[],2,FALSE)</f>
        <v>30-4118-018-6XX</v>
      </c>
      <c r="I4171" t="str">
        <f>VLOOKUP(record[[#This Row],[ProcessSN]],表格2_7[],3,FALSE)</f>
        <v>#06</v>
      </c>
      <c r="J4171" t="s">
        <v>593</v>
      </c>
      <c r="K4171" s="195">
        <v>46056.973287037035</v>
      </c>
      <c r="L4171">
        <v>2</v>
      </c>
      <c r="M4171">
        <v>0</v>
      </c>
      <c r="N4171" s="98" t="str">
        <f>IF(record[[#This Row],[Memo]]="Browser:chrome os:android","平板報工",IF(record[[#This Row],[Memo]]=0,"委外",record[[#This Row],[Memo]]))</f>
        <v/>
      </c>
      <c r="O4171" t="s">
        <v>58</v>
      </c>
      <c r="P4171" t="s">
        <v>127</v>
      </c>
      <c r="Q4171" t="s">
        <v>58</v>
      </c>
      <c r="R4171" t="str">
        <f>IFERROR(VLOOKUP(record[[#This Row],[PCUSTID]],廠商[],2,FALSE),"")</f>
        <v/>
      </c>
      <c r="S4171" t="str">
        <f>VLOOKUP(record[[#This Row],[employeeID]],員工[],2,FALSE)</f>
        <v>潘雪梅</v>
      </c>
    </row>
    <row r="4172" spans="6:19" hidden="1" x14ac:dyDescent="0.25">
      <c r="F4172" t="s">
        <v>1493</v>
      </c>
      <c r="G4172" t="s">
        <v>451</v>
      </c>
      <c r="H4172" t="str">
        <f>VLOOKUP(record[[#This Row],[ProcessSN]],表格2_7[],2,FALSE)</f>
        <v>30-4118-018-6XX</v>
      </c>
      <c r="I4172" t="str">
        <f>VLOOKUP(record[[#This Row],[ProcessSN]],表格2_7[],3,FALSE)</f>
        <v>#07</v>
      </c>
      <c r="J4172" t="s">
        <v>588</v>
      </c>
      <c r="K4172" s="195">
        <v>46056.969027777777</v>
      </c>
      <c r="L4172">
        <v>55</v>
      </c>
      <c r="M4172">
        <v>0</v>
      </c>
      <c r="N4172" s="98" t="str">
        <f>IF(record[[#This Row],[Memo]]="Browser:chrome os:android","平板報工",IF(record[[#This Row],[Memo]]=0,"委外",record[[#This Row],[Memo]]))</f>
        <v/>
      </c>
      <c r="O4172" t="s">
        <v>58</v>
      </c>
      <c r="P4172" t="s">
        <v>1098</v>
      </c>
      <c r="Q4172" t="s">
        <v>58</v>
      </c>
      <c r="R4172" t="str">
        <f>IFERROR(VLOOKUP(record[[#This Row],[PCUSTID]],廠商[],2,FALSE),"")</f>
        <v/>
      </c>
      <c r="S4172" t="str">
        <f>VLOOKUP(record[[#This Row],[employeeID]],員工[],2,FALSE)</f>
        <v>阮氏芳英(英)</v>
      </c>
    </row>
    <row r="4173" spans="6:19" hidden="1" x14ac:dyDescent="0.25">
      <c r="F4173" t="s">
        <v>1551</v>
      </c>
      <c r="G4173" t="s">
        <v>466</v>
      </c>
      <c r="H4173" t="str">
        <f>VLOOKUP(record[[#This Row],[ProcessSN]],表格2_7[],2,FALSE)</f>
        <v>30-4118-018-XXX</v>
      </c>
      <c r="I4173" t="str">
        <f>VLOOKUP(record[[#This Row],[ProcessSN]],表格2_7[],3,FALSE)</f>
        <v>#01-2</v>
      </c>
      <c r="J4173" t="s">
        <v>588</v>
      </c>
      <c r="K4173" s="195">
        <v>46056.968530092592</v>
      </c>
      <c r="L4173">
        <v>336</v>
      </c>
      <c r="M4173">
        <v>0</v>
      </c>
      <c r="N4173" s="98" t="str">
        <f>IF(record[[#This Row],[Memo]]="Browser:chrome os:android","平板報工",IF(record[[#This Row],[Memo]]=0,"委外",record[[#This Row],[Memo]]))</f>
        <v/>
      </c>
      <c r="O4173" t="s">
        <v>58</v>
      </c>
      <c r="P4173" t="s">
        <v>1098</v>
      </c>
      <c r="Q4173" t="s">
        <v>58</v>
      </c>
      <c r="R4173" t="str">
        <f>IFERROR(VLOOKUP(record[[#This Row],[PCUSTID]],廠商[],2,FALSE),"")</f>
        <v/>
      </c>
      <c r="S4173" t="str">
        <f>VLOOKUP(record[[#This Row],[employeeID]],員工[],2,FALSE)</f>
        <v>阮氏芳英(英)</v>
      </c>
    </row>
    <row r="4174" spans="6:19" hidden="1" x14ac:dyDescent="0.25">
      <c r="F4174" t="s">
        <v>1551</v>
      </c>
      <c r="G4174" t="s">
        <v>465</v>
      </c>
      <c r="H4174" t="str">
        <f>VLOOKUP(record[[#This Row],[ProcessSN]],表格2_7[],2,FALSE)</f>
        <v>30-4118-018-XXX</v>
      </c>
      <c r="I4174" t="str">
        <f>VLOOKUP(record[[#This Row],[ProcessSN]],表格2_7[],3,FALSE)</f>
        <v>#01-1</v>
      </c>
      <c r="J4174" t="s">
        <v>588</v>
      </c>
      <c r="K4174" s="195">
        <v>46056.96806712963</v>
      </c>
      <c r="L4174">
        <v>504</v>
      </c>
      <c r="M4174">
        <v>0</v>
      </c>
      <c r="N4174" s="98" t="str">
        <f>IF(record[[#This Row],[Memo]]="Browser:chrome os:android","平板報工",IF(record[[#This Row],[Memo]]=0,"委外",record[[#This Row],[Memo]]))</f>
        <v/>
      </c>
      <c r="O4174" t="s">
        <v>58</v>
      </c>
      <c r="P4174" t="s">
        <v>1098</v>
      </c>
      <c r="Q4174" t="s">
        <v>58</v>
      </c>
      <c r="R4174" t="str">
        <f>IFERROR(VLOOKUP(record[[#This Row],[PCUSTID]],廠商[],2,FALSE),"")</f>
        <v/>
      </c>
      <c r="S4174" t="str">
        <f>VLOOKUP(record[[#This Row],[employeeID]],員工[],2,FALSE)</f>
        <v>阮氏芳英(英)</v>
      </c>
    </row>
    <row r="4175" spans="6:19" hidden="1" x14ac:dyDescent="0.25">
      <c r="F4175" t="s">
        <v>1540</v>
      </c>
      <c r="G4175" t="s">
        <v>414</v>
      </c>
      <c r="H4175" t="str">
        <f>VLOOKUP(record[[#This Row],[ProcessSN]],表格2_7[],2,FALSE)</f>
        <v>30-4118-018-5XX</v>
      </c>
      <c r="I4175" t="str">
        <f>VLOOKUP(record[[#This Row],[ProcessSN]],表格2_7[],3,FALSE)</f>
        <v>#03</v>
      </c>
      <c r="J4175" t="s">
        <v>588</v>
      </c>
      <c r="K4175" s="195">
        <v>46056.967407407406</v>
      </c>
      <c r="L4175">
        <v>336</v>
      </c>
      <c r="M4175">
        <v>0</v>
      </c>
      <c r="N4175" s="98" t="str">
        <f>IF(record[[#This Row],[Memo]]="Browser:chrome os:android","平板報工",IF(record[[#This Row],[Memo]]=0,"委外",record[[#This Row],[Memo]]))</f>
        <v/>
      </c>
      <c r="O4175" t="s">
        <v>58</v>
      </c>
      <c r="P4175" t="s">
        <v>89</v>
      </c>
      <c r="Q4175" t="s">
        <v>58</v>
      </c>
      <c r="R4175" t="str">
        <f>IFERROR(VLOOKUP(record[[#This Row],[PCUSTID]],廠商[],2,FALSE),"")</f>
        <v/>
      </c>
      <c r="S4175" t="str">
        <f>VLOOKUP(record[[#This Row],[employeeID]],員工[],2,FALSE)</f>
        <v>李美蓮</v>
      </c>
    </row>
    <row r="4176" spans="6:19" hidden="1" x14ac:dyDescent="0.25">
      <c r="F4176" t="s">
        <v>1504</v>
      </c>
      <c r="G4176" t="s">
        <v>450</v>
      </c>
      <c r="H4176" t="str">
        <f>VLOOKUP(record[[#This Row],[ProcessSN]],表格2_7[],2,FALSE)</f>
        <v>30-4118-018-6XX</v>
      </c>
      <c r="I4176" t="str">
        <f>VLOOKUP(record[[#This Row],[ProcessSN]],表格2_7[],3,FALSE)</f>
        <v>#06</v>
      </c>
      <c r="J4176" t="s">
        <v>593</v>
      </c>
      <c r="K4176" s="195">
        <v>46056.824872685182</v>
      </c>
      <c r="L4176">
        <v>67</v>
      </c>
      <c r="M4176">
        <v>0</v>
      </c>
      <c r="N4176" s="98" t="str">
        <f>IF(record[[#This Row],[Memo]]="Browser:chrome os:android","平板報工",IF(record[[#This Row],[Memo]]=0,"委外",record[[#This Row],[Memo]]))</f>
        <v/>
      </c>
      <c r="O4176" t="s">
        <v>58</v>
      </c>
      <c r="P4176" t="s">
        <v>1413</v>
      </c>
      <c r="Q4176" t="s">
        <v>58</v>
      </c>
      <c r="R4176" t="str">
        <f>IFERROR(VLOOKUP(record[[#This Row],[PCUSTID]],廠商[],2,FALSE),"")</f>
        <v/>
      </c>
      <c r="S4176" t="str">
        <f>VLOOKUP(record[[#This Row],[employeeID]],員工[],2,FALSE)</f>
        <v>阮氏芳英(芳)</v>
      </c>
    </row>
    <row r="4177" spans="6:19" hidden="1" x14ac:dyDescent="0.25">
      <c r="F4177" t="s">
        <v>1531</v>
      </c>
      <c r="G4177" t="s">
        <v>470</v>
      </c>
      <c r="H4177" t="str">
        <f>VLOOKUP(record[[#This Row],[ProcessSN]],表格2_7[],2,FALSE)</f>
        <v>30-4118-018-XXX</v>
      </c>
      <c r="I4177" t="str">
        <f>VLOOKUP(record[[#This Row],[ProcessSN]],表格2_7[],3,FALSE)</f>
        <v>#02IQC</v>
      </c>
      <c r="J4177" t="s">
        <v>583</v>
      </c>
      <c r="K4177" s="195">
        <v>46056.80059027778</v>
      </c>
      <c r="L4177">
        <v>1338</v>
      </c>
      <c r="M4177">
        <v>0</v>
      </c>
      <c r="N4177" s="98" t="str">
        <f>IF(record[[#This Row],[Memo]]="Browser:chrome os:android","平板報工",IF(record[[#This Row],[Memo]]=0,"委外",record[[#This Row],[Memo]]))</f>
        <v/>
      </c>
      <c r="O4177" t="s">
        <v>58</v>
      </c>
      <c r="P4177" t="s">
        <v>109</v>
      </c>
      <c r="Q4177" t="s">
        <v>58</v>
      </c>
      <c r="R4177" t="str">
        <f>IFERROR(VLOOKUP(record[[#This Row],[PCUSTID]],廠商[],2,FALSE),"")</f>
        <v/>
      </c>
      <c r="S4177" t="str">
        <f>VLOOKUP(record[[#This Row],[employeeID]],員工[],2,FALSE)</f>
        <v>裴氏璧鳳</v>
      </c>
    </row>
    <row r="4178" spans="6:19" hidden="1" x14ac:dyDescent="0.25">
      <c r="F4178" t="s">
        <v>1542</v>
      </c>
      <c r="G4178" t="s">
        <v>467</v>
      </c>
      <c r="H4178" t="str">
        <f>VLOOKUP(record[[#This Row],[ProcessSN]],表格2_7[],2,FALSE)</f>
        <v>30-4118-018-XXX</v>
      </c>
      <c r="I4178" t="str">
        <f>VLOOKUP(record[[#This Row],[ProcessSN]],表格2_7[],3,FALSE)</f>
        <v>#01QC</v>
      </c>
      <c r="J4178" t="s">
        <v>589</v>
      </c>
      <c r="K4178" s="195">
        <v>46056.800150462965</v>
      </c>
      <c r="L4178">
        <v>336</v>
      </c>
      <c r="M4178">
        <v>0</v>
      </c>
      <c r="N4178" s="98" t="str">
        <f>IF(record[[#This Row],[Memo]]="Browser:chrome os:android","平板報工",IF(record[[#This Row],[Memo]]=0,"委外",record[[#This Row],[Memo]]))</f>
        <v>平板報工</v>
      </c>
      <c r="O4178" t="s">
        <v>643</v>
      </c>
      <c r="P4178" t="s">
        <v>182</v>
      </c>
      <c r="Q4178" t="s">
        <v>644</v>
      </c>
      <c r="R4178" t="str">
        <f>IFERROR(VLOOKUP(record[[#This Row],[PCUSTID]],廠商[],2,FALSE),"")</f>
        <v/>
      </c>
      <c r="S4178" t="str">
        <f>VLOOKUP(record[[#This Row],[employeeID]],員工[],2,FALSE)</f>
        <v>梅氏和</v>
      </c>
    </row>
    <row r="4179" spans="6:19" hidden="1" x14ac:dyDescent="0.25">
      <c r="F4179" t="s">
        <v>1542</v>
      </c>
      <c r="G4179" t="s">
        <v>466</v>
      </c>
      <c r="H4179" t="str">
        <f>VLOOKUP(record[[#This Row],[ProcessSN]],表格2_7[],2,FALSE)</f>
        <v>30-4118-018-XXX</v>
      </c>
      <c r="I4179" t="str">
        <f>VLOOKUP(record[[#This Row],[ProcessSN]],表格2_7[],3,FALSE)</f>
        <v>#01-2</v>
      </c>
      <c r="J4179" t="s">
        <v>588</v>
      </c>
      <c r="K4179" s="195">
        <v>46056.768854166665</v>
      </c>
      <c r="L4179">
        <v>77</v>
      </c>
      <c r="M4179">
        <v>0</v>
      </c>
      <c r="N4179" s="98" t="str">
        <f>IF(record[[#This Row],[Memo]]="Browser:chrome os:android","平板報工",IF(record[[#This Row],[Memo]]=0,"委外",record[[#This Row],[Memo]]))</f>
        <v/>
      </c>
      <c r="O4179" t="s">
        <v>58</v>
      </c>
      <c r="P4179" t="s">
        <v>1098</v>
      </c>
      <c r="Q4179" t="s">
        <v>58</v>
      </c>
      <c r="R4179" t="str">
        <f>IFERROR(VLOOKUP(record[[#This Row],[PCUSTID]],廠商[],2,FALSE),"")</f>
        <v/>
      </c>
      <c r="S4179" t="str">
        <f>VLOOKUP(record[[#This Row],[employeeID]],員工[],2,FALSE)</f>
        <v>阮氏芳英(英)</v>
      </c>
    </row>
    <row r="4180" spans="6:19" hidden="1" x14ac:dyDescent="0.25">
      <c r="F4180" t="s">
        <v>1542</v>
      </c>
      <c r="G4180" t="s">
        <v>465</v>
      </c>
      <c r="H4180" t="str">
        <f>VLOOKUP(record[[#This Row],[ProcessSN]],表格2_7[],2,FALSE)</f>
        <v>30-4118-018-XXX</v>
      </c>
      <c r="I4180" t="str">
        <f>VLOOKUP(record[[#This Row],[ProcessSN]],表格2_7[],3,FALSE)</f>
        <v>#01-1</v>
      </c>
      <c r="J4180" t="s">
        <v>588</v>
      </c>
      <c r="K4180" s="195">
        <v>46056.768634259257</v>
      </c>
      <c r="L4180">
        <v>77</v>
      </c>
      <c r="M4180">
        <v>0</v>
      </c>
      <c r="N4180" s="98" t="str">
        <f>IF(record[[#This Row],[Memo]]="Browser:chrome os:android","平板報工",IF(record[[#This Row],[Memo]]=0,"委外",record[[#This Row],[Memo]]))</f>
        <v/>
      </c>
      <c r="O4180" t="s">
        <v>58</v>
      </c>
      <c r="P4180" t="s">
        <v>1098</v>
      </c>
      <c r="Q4180" t="s">
        <v>58</v>
      </c>
      <c r="R4180" t="str">
        <f>IFERROR(VLOOKUP(record[[#This Row],[PCUSTID]],廠商[],2,FALSE),"")</f>
        <v/>
      </c>
      <c r="S4180" t="str">
        <f>VLOOKUP(record[[#This Row],[employeeID]],員工[],2,FALSE)</f>
        <v>阮氏芳英(英)</v>
      </c>
    </row>
    <row r="4181" spans="6:19" hidden="1" x14ac:dyDescent="0.25">
      <c r="F4181" t="s">
        <v>1542</v>
      </c>
      <c r="G4181" t="s">
        <v>466</v>
      </c>
      <c r="H4181" t="str">
        <f>VLOOKUP(record[[#This Row],[ProcessSN]],表格2_7[],2,FALSE)</f>
        <v>30-4118-018-XXX</v>
      </c>
      <c r="I4181" t="str">
        <f>VLOOKUP(record[[#This Row],[ProcessSN]],表格2_7[],3,FALSE)</f>
        <v>#01-2</v>
      </c>
      <c r="J4181" t="s">
        <v>588</v>
      </c>
      <c r="K4181" s="195">
        <v>46056.68949074074</v>
      </c>
      <c r="L4181">
        <v>30</v>
      </c>
      <c r="M4181">
        <v>0</v>
      </c>
      <c r="N4181" s="98" t="str">
        <f>IF(record[[#This Row],[Memo]]="Browser:chrome os:android","平板報工",IF(record[[#This Row],[Memo]]=0,"委外",record[[#This Row],[Memo]]))</f>
        <v/>
      </c>
      <c r="O4181" t="s">
        <v>58</v>
      </c>
      <c r="P4181" t="s">
        <v>107</v>
      </c>
      <c r="Q4181" t="s">
        <v>58</v>
      </c>
      <c r="R4181" t="str">
        <f>IFERROR(VLOOKUP(record[[#This Row],[PCUSTID]],廠商[],2,FALSE),"")</f>
        <v/>
      </c>
      <c r="S4181" t="str">
        <f>VLOOKUP(record[[#This Row],[employeeID]],員工[],2,FALSE)</f>
        <v>黎氏順</v>
      </c>
    </row>
    <row r="4182" spans="6:19" hidden="1" x14ac:dyDescent="0.25">
      <c r="F4182" t="s">
        <v>1542</v>
      </c>
      <c r="G4182" t="s">
        <v>465</v>
      </c>
      <c r="H4182" t="str">
        <f>VLOOKUP(record[[#This Row],[ProcessSN]],表格2_7[],2,FALSE)</f>
        <v>30-4118-018-XXX</v>
      </c>
      <c r="I4182" t="str">
        <f>VLOOKUP(record[[#This Row],[ProcessSN]],表格2_7[],3,FALSE)</f>
        <v>#01-1</v>
      </c>
      <c r="J4182" t="s">
        <v>588</v>
      </c>
      <c r="K4182" s="195">
        <v>46056.689375000002</v>
      </c>
      <c r="L4182">
        <v>30</v>
      </c>
      <c r="M4182">
        <v>0</v>
      </c>
      <c r="N4182" s="98" t="str">
        <f>IF(record[[#This Row],[Memo]]="Browser:chrome os:android","平板報工",IF(record[[#This Row],[Memo]]=0,"委外",record[[#This Row],[Memo]]))</f>
        <v/>
      </c>
      <c r="O4182" t="s">
        <v>58</v>
      </c>
      <c r="P4182" t="s">
        <v>107</v>
      </c>
      <c r="Q4182" t="s">
        <v>58</v>
      </c>
      <c r="R4182" t="str">
        <f>IFERROR(VLOOKUP(record[[#This Row],[PCUSTID]],廠商[],2,FALSE),"")</f>
        <v/>
      </c>
      <c r="S4182" t="str">
        <f>VLOOKUP(record[[#This Row],[employeeID]],員工[],2,FALSE)</f>
        <v>黎氏順</v>
      </c>
    </row>
    <row r="4183" spans="6:19" hidden="1" x14ac:dyDescent="0.25">
      <c r="F4183" t="s">
        <v>1531</v>
      </c>
      <c r="G4183" t="s">
        <v>466</v>
      </c>
      <c r="H4183" t="str">
        <f>VLOOKUP(record[[#This Row],[ProcessSN]],表格2_7[],2,FALSE)</f>
        <v>30-4118-018-XXX</v>
      </c>
      <c r="I4183" t="str">
        <f>VLOOKUP(record[[#This Row],[ProcessSN]],表格2_7[],3,FALSE)</f>
        <v>#01-2</v>
      </c>
      <c r="J4183" t="s">
        <v>588</v>
      </c>
      <c r="K4183" s="195">
        <v>46056.689212962963</v>
      </c>
      <c r="L4183">
        <v>8</v>
      </c>
      <c r="M4183">
        <v>0</v>
      </c>
      <c r="N4183" s="98" t="str">
        <f>IF(record[[#This Row],[Memo]]="Browser:chrome os:android","平板報工",IF(record[[#This Row],[Memo]]=0,"委外",record[[#This Row],[Memo]]))</f>
        <v/>
      </c>
      <c r="O4183" t="s">
        <v>58</v>
      </c>
      <c r="P4183" t="s">
        <v>107</v>
      </c>
      <c r="Q4183" t="s">
        <v>58</v>
      </c>
      <c r="R4183" t="str">
        <f>IFERROR(VLOOKUP(record[[#This Row],[PCUSTID]],廠商[],2,FALSE),"")</f>
        <v/>
      </c>
      <c r="S4183" t="str">
        <f>VLOOKUP(record[[#This Row],[employeeID]],員工[],2,FALSE)</f>
        <v>黎氏順</v>
      </c>
    </row>
    <row r="4184" spans="6:19" hidden="1" x14ac:dyDescent="0.25">
      <c r="F4184" t="s">
        <v>1504</v>
      </c>
      <c r="G4184" t="s">
        <v>449</v>
      </c>
      <c r="H4184" t="str">
        <f>VLOOKUP(record[[#This Row],[ProcessSN]],表格2_7[],2,FALSE)</f>
        <v>30-4118-018-6XX</v>
      </c>
      <c r="I4184" t="str">
        <f>VLOOKUP(record[[#This Row],[ProcessSN]],表格2_7[],3,FALSE)</f>
        <v>#05</v>
      </c>
      <c r="J4184" t="s">
        <v>588</v>
      </c>
      <c r="K4184" s="195">
        <v>46056.687928240739</v>
      </c>
      <c r="L4184">
        <v>21</v>
      </c>
      <c r="M4184">
        <v>0</v>
      </c>
      <c r="N4184" s="98" t="str">
        <f>IF(record[[#This Row],[Memo]]="Browser:chrome os:android","平板報工",IF(record[[#This Row],[Memo]]=0,"委外",record[[#This Row],[Memo]]))</f>
        <v/>
      </c>
      <c r="O4184" t="s">
        <v>58</v>
      </c>
      <c r="P4184" t="s">
        <v>785</v>
      </c>
      <c r="Q4184" t="s">
        <v>58</v>
      </c>
      <c r="R4184" t="str">
        <f>IFERROR(VLOOKUP(record[[#This Row],[PCUSTID]],廠商[],2,FALSE),"")</f>
        <v/>
      </c>
      <c r="S4184" t="str">
        <f>VLOOKUP(record[[#This Row],[employeeID]],員工[],2,FALSE)</f>
        <v>謝刻光</v>
      </c>
    </row>
    <row r="4185" spans="6:19" hidden="1" x14ac:dyDescent="0.25">
      <c r="F4185" t="s">
        <v>1504</v>
      </c>
      <c r="G4185" t="s">
        <v>448</v>
      </c>
      <c r="H4185" t="str">
        <f>VLOOKUP(record[[#This Row],[ProcessSN]],表格2_7[],2,FALSE)</f>
        <v>30-4118-018-6XX</v>
      </c>
      <c r="I4185" t="str">
        <f>VLOOKUP(record[[#This Row],[ProcessSN]],表格2_7[],3,FALSE)</f>
        <v>#04</v>
      </c>
      <c r="J4185" t="s">
        <v>588</v>
      </c>
      <c r="K4185" s="195">
        <v>46056.687002314815</v>
      </c>
      <c r="L4185">
        <v>21</v>
      </c>
      <c r="M4185">
        <v>0</v>
      </c>
      <c r="N4185" s="98" t="str">
        <f>IF(record[[#This Row],[Memo]]="Browser:chrome os:android","平板報工",IF(record[[#This Row],[Memo]]=0,"委外",record[[#This Row],[Memo]]))</f>
        <v/>
      </c>
      <c r="O4185" t="s">
        <v>58</v>
      </c>
      <c r="P4185" t="s">
        <v>1075</v>
      </c>
      <c r="Q4185" t="s">
        <v>58</v>
      </c>
      <c r="R4185" t="str">
        <f>IFERROR(VLOOKUP(record[[#This Row],[PCUSTID]],廠商[],2,FALSE),"")</f>
        <v/>
      </c>
      <c r="S4185" t="str">
        <f>VLOOKUP(record[[#This Row],[employeeID]],員工[],2,FALSE)</f>
        <v>吳宥叡</v>
      </c>
    </row>
    <row r="4186" spans="6:19" hidden="1" x14ac:dyDescent="0.25">
      <c r="F4186" t="s">
        <v>1493</v>
      </c>
      <c r="G4186" t="s">
        <v>448</v>
      </c>
      <c r="H4186" t="str">
        <f>VLOOKUP(record[[#This Row],[ProcessSN]],表格2_7[],2,FALSE)</f>
        <v>30-4118-018-6XX</v>
      </c>
      <c r="I4186" t="str">
        <f>VLOOKUP(record[[#This Row],[ProcessSN]],表格2_7[],3,FALSE)</f>
        <v>#04</v>
      </c>
      <c r="J4186" t="s">
        <v>588</v>
      </c>
      <c r="K4186" s="195">
        <v>46056.686863425923</v>
      </c>
      <c r="L4186">
        <v>16</v>
      </c>
      <c r="M4186">
        <v>0</v>
      </c>
      <c r="N4186" s="98" t="str">
        <f>IF(record[[#This Row],[Memo]]="Browser:chrome os:android","平板報工",IF(record[[#This Row],[Memo]]=0,"委外",record[[#This Row],[Memo]]))</f>
        <v/>
      </c>
      <c r="O4186" t="s">
        <v>58</v>
      </c>
      <c r="P4186" t="s">
        <v>1075</v>
      </c>
      <c r="Q4186" t="s">
        <v>58</v>
      </c>
      <c r="R4186" t="str">
        <f>IFERROR(VLOOKUP(record[[#This Row],[PCUSTID]],廠商[],2,FALSE),"")</f>
        <v/>
      </c>
      <c r="S4186" t="str">
        <f>VLOOKUP(record[[#This Row],[employeeID]],員工[],2,FALSE)</f>
        <v>吳宥叡</v>
      </c>
    </row>
    <row r="4187" spans="6:19" hidden="1" x14ac:dyDescent="0.25">
      <c r="F4187" t="s">
        <v>1517</v>
      </c>
      <c r="G4187" t="s">
        <v>448</v>
      </c>
      <c r="H4187" t="str">
        <f>VLOOKUP(record[[#This Row],[ProcessSN]],表格2_7[],2,FALSE)</f>
        <v>30-4118-018-6XX</v>
      </c>
      <c r="I4187" t="str">
        <f>VLOOKUP(record[[#This Row],[ProcessSN]],表格2_7[],3,FALSE)</f>
        <v>#04</v>
      </c>
      <c r="J4187" t="s">
        <v>588</v>
      </c>
      <c r="K4187" s="195">
        <v>46056.686469907407</v>
      </c>
      <c r="L4187">
        <v>98</v>
      </c>
      <c r="M4187">
        <v>0</v>
      </c>
      <c r="N4187" s="98" t="str">
        <f>IF(record[[#This Row],[Memo]]="Browser:chrome os:android","平板報工",IF(record[[#This Row],[Memo]]=0,"委外",record[[#This Row],[Memo]]))</f>
        <v/>
      </c>
      <c r="O4187" t="s">
        <v>58</v>
      </c>
      <c r="P4187" t="s">
        <v>1075</v>
      </c>
      <c r="Q4187" t="s">
        <v>58</v>
      </c>
      <c r="R4187" t="str">
        <f>IFERROR(VLOOKUP(record[[#This Row],[PCUSTID]],廠商[],2,FALSE),"")</f>
        <v/>
      </c>
      <c r="S4187" t="str">
        <f>VLOOKUP(record[[#This Row],[employeeID]],員工[],2,FALSE)</f>
        <v>吳宥叡</v>
      </c>
    </row>
    <row r="4188" spans="6:19" hidden="1" x14ac:dyDescent="0.25">
      <c r="F4188" t="s">
        <v>1504</v>
      </c>
      <c r="G4188" t="s">
        <v>451</v>
      </c>
      <c r="H4188" t="str">
        <f>VLOOKUP(record[[#This Row],[ProcessSN]],表格2_7[],2,FALSE)</f>
        <v>30-4118-018-6XX</v>
      </c>
      <c r="I4188" t="str">
        <f>VLOOKUP(record[[#This Row],[ProcessSN]],表格2_7[],3,FALSE)</f>
        <v>#07</v>
      </c>
      <c r="J4188" t="s">
        <v>588</v>
      </c>
      <c r="K4188" s="195">
        <v>46056.658495370371</v>
      </c>
      <c r="L4188">
        <v>165</v>
      </c>
      <c r="M4188">
        <v>2</v>
      </c>
      <c r="N4188" s="98" t="str">
        <f>IF(record[[#This Row],[Memo]]="Browser:chrome os:android","平板報工",IF(record[[#This Row],[Memo]]=0,"委外",record[[#This Row],[Memo]]))</f>
        <v>平板報工</v>
      </c>
      <c r="O4188" t="s">
        <v>643</v>
      </c>
      <c r="P4188" t="s">
        <v>785</v>
      </c>
      <c r="Q4188" t="s">
        <v>644</v>
      </c>
      <c r="R4188" t="str">
        <f>IFERROR(VLOOKUP(record[[#This Row],[PCUSTID]],廠商[],2,FALSE),"")</f>
        <v/>
      </c>
      <c r="S4188" t="str">
        <f>VLOOKUP(record[[#This Row],[employeeID]],員工[],2,FALSE)</f>
        <v>謝刻光</v>
      </c>
    </row>
    <row r="4189" spans="6:19" hidden="1" x14ac:dyDescent="0.25">
      <c r="F4189" t="s">
        <v>1507</v>
      </c>
      <c r="G4189" t="s">
        <v>449</v>
      </c>
      <c r="H4189" t="str">
        <f>VLOOKUP(record[[#This Row],[ProcessSN]],表格2_7[],2,FALSE)</f>
        <v>30-4118-018-6XX</v>
      </c>
      <c r="I4189" t="str">
        <f>VLOOKUP(record[[#This Row],[ProcessSN]],表格2_7[],3,FALSE)</f>
        <v>#05</v>
      </c>
      <c r="J4189" t="s">
        <v>588</v>
      </c>
      <c r="K4189" s="195">
        <v>46056.658055555556</v>
      </c>
      <c r="L4189">
        <v>54</v>
      </c>
      <c r="M4189">
        <v>0</v>
      </c>
      <c r="N4189" s="98" t="str">
        <f>IF(record[[#This Row],[Memo]]="Browser:chrome os:android","平板報工",IF(record[[#This Row],[Memo]]=0,"委外",record[[#This Row],[Memo]]))</f>
        <v>平板報工</v>
      </c>
      <c r="O4189" t="s">
        <v>643</v>
      </c>
      <c r="P4189" t="s">
        <v>785</v>
      </c>
      <c r="Q4189" t="s">
        <v>644</v>
      </c>
      <c r="R4189" t="str">
        <f>IFERROR(VLOOKUP(record[[#This Row],[PCUSTID]],廠商[],2,FALSE),"")</f>
        <v/>
      </c>
      <c r="S4189" t="str">
        <f>VLOOKUP(record[[#This Row],[employeeID]],員工[],2,FALSE)</f>
        <v>謝刻光</v>
      </c>
    </row>
    <row r="4190" spans="6:19" hidden="1" x14ac:dyDescent="0.25">
      <c r="F4190" t="s">
        <v>1504</v>
      </c>
      <c r="G4190" t="s">
        <v>450</v>
      </c>
      <c r="H4190" t="str">
        <f>VLOOKUP(record[[#This Row],[ProcessSN]],表格2_7[],2,FALSE)</f>
        <v>30-4118-018-6XX</v>
      </c>
      <c r="I4190" t="str">
        <f>VLOOKUP(record[[#This Row],[ProcessSN]],表格2_7[],3,FALSE)</f>
        <v>#06</v>
      </c>
      <c r="J4190" t="s">
        <v>593</v>
      </c>
      <c r="K4190" s="195">
        <v>46056.65353009259</v>
      </c>
      <c r="L4190">
        <v>87</v>
      </c>
      <c r="M4190">
        <v>1</v>
      </c>
      <c r="N4190" s="98" t="str">
        <f>IF(record[[#This Row],[Memo]]="Browser:chrome os:android","平板報工",IF(record[[#This Row],[Memo]]=0,"委外",record[[#This Row],[Memo]]))</f>
        <v/>
      </c>
      <c r="O4190" t="s">
        <v>58</v>
      </c>
      <c r="P4190" t="s">
        <v>101</v>
      </c>
      <c r="Q4190" t="s">
        <v>58</v>
      </c>
      <c r="R4190" t="str">
        <f>IFERROR(VLOOKUP(record[[#This Row],[PCUSTID]],廠商[],2,FALSE),"")</f>
        <v/>
      </c>
      <c r="S4190" t="str">
        <f>VLOOKUP(record[[#This Row],[employeeID]],員工[],2,FALSE)</f>
        <v>陳氏絨</v>
      </c>
    </row>
    <row r="4191" spans="6:19" hidden="1" x14ac:dyDescent="0.25">
      <c r="F4191" t="s">
        <v>1542</v>
      </c>
      <c r="G4191" t="s">
        <v>466</v>
      </c>
      <c r="H4191" t="str">
        <f>VLOOKUP(record[[#This Row],[ProcessSN]],表格2_7[],2,FALSE)</f>
        <v>30-4118-018-XXX</v>
      </c>
      <c r="I4191" t="str">
        <f>VLOOKUP(record[[#This Row],[ProcessSN]],表格2_7[],3,FALSE)</f>
        <v>#01-2</v>
      </c>
      <c r="J4191" t="s">
        <v>588</v>
      </c>
      <c r="K4191" s="195">
        <v>46056.632662037038</v>
      </c>
      <c r="L4191">
        <v>362</v>
      </c>
      <c r="M4191">
        <v>1</v>
      </c>
      <c r="N4191" s="98" t="str">
        <f>IF(record[[#This Row],[Memo]]="Browser:chrome os:android","平板報工",IF(record[[#This Row],[Memo]]=0,"委外",record[[#This Row],[Memo]]))</f>
        <v>平板報工</v>
      </c>
      <c r="O4191" t="s">
        <v>643</v>
      </c>
      <c r="P4191" t="s">
        <v>107</v>
      </c>
      <c r="Q4191" t="s">
        <v>644</v>
      </c>
      <c r="R4191" t="str">
        <f>IFERROR(VLOOKUP(record[[#This Row],[PCUSTID]],廠商[],2,FALSE),"")</f>
        <v/>
      </c>
      <c r="S4191" t="str">
        <f>VLOOKUP(record[[#This Row],[employeeID]],員工[],2,FALSE)</f>
        <v>黎氏順</v>
      </c>
    </row>
    <row r="4192" spans="6:19" hidden="1" x14ac:dyDescent="0.25">
      <c r="F4192" t="s">
        <v>1542</v>
      </c>
      <c r="G4192" t="s">
        <v>465</v>
      </c>
      <c r="H4192" t="str">
        <f>VLOOKUP(record[[#This Row],[ProcessSN]],表格2_7[],2,FALSE)</f>
        <v>30-4118-018-XXX</v>
      </c>
      <c r="I4192" t="str">
        <f>VLOOKUP(record[[#This Row],[ProcessSN]],表格2_7[],3,FALSE)</f>
        <v>#01-1</v>
      </c>
      <c r="J4192" t="s">
        <v>588</v>
      </c>
      <c r="K4192" s="195">
        <v>46056.631111111114</v>
      </c>
      <c r="L4192">
        <v>337</v>
      </c>
      <c r="M4192">
        <v>0</v>
      </c>
      <c r="N4192" s="98" t="str">
        <f>IF(record[[#This Row],[Memo]]="Browser:chrome os:android","平板報工",IF(record[[#This Row],[Memo]]=0,"委外",record[[#This Row],[Memo]]))</f>
        <v>平板報工</v>
      </c>
      <c r="O4192" t="s">
        <v>643</v>
      </c>
      <c r="P4192" t="s">
        <v>107</v>
      </c>
      <c r="Q4192" t="s">
        <v>644</v>
      </c>
      <c r="R4192" t="str">
        <f>IFERROR(VLOOKUP(record[[#This Row],[PCUSTID]],廠商[],2,FALSE),"")</f>
        <v/>
      </c>
      <c r="S4192" t="str">
        <f>VLOOKUP(record[[#This Row],[employeeID]],員工[],2,FALSE)</f>
        <v>黎氏順</v>
      </c>
    </row>
    <row r="4193" spans="6:19" hidden="1" x14ac:dyDescent="0.25">
      <c r="F4193" t="s">
        <v>1493</v>
      </c>
      <c r="G4193" t="s">
        <v>451</v>
      </c>
      <c r="H4193" t="str">
        <f>VLOOKUP(record[[#This Row],[ProcessSN]],表格2_7[],2,FALSE)</f>
        <v>30-4118-018-6XX</v>
      </c>
      <c r="I4193" t="str">
        <f>VLOOKUP(record[[#This Row],[ProcessSN]],表格2_7[],3,FALSE)</f>
        <v>#07</v>
      </c>
      <c r="J4193" t="s">
        <v>588</v>
      </c>
      <c r="K4193" s="195">
        <v>46056.62290509259</v>
      </c>
      <c r="L4193">
        <v>30</v>
      </c>
      <c r="M4193">
        <v>0</v>
      </c>
      <c r="N4193" s="98" t="str">
        <f>IF(record[[#This Row],[Memo]]="Browser:chrome os:android","平板報工",IF(record[[#This Row],[Memo]]=0,"委外",record[[#This Row],[Memo]]))</f>
        <v>平板報工</v>
      </c>
      <c r="O4193" t="s">
        <v>643</v>
      </c>
      <c r="P4193" t="s">
        <v>785</v>
      </c>
      <c r="Q4193" t="s">
        <v>644</v>
      </c>
      <c r="R4193" t="str">
        <f>IFERROR(VLOOKUP(record[[#This Row],[PCUSTID]],廠商[],2,FALSE),"")</f>
        <v/>
      </c>
      <c r="S4193" t="str">
        <f>VLOOKUP(record[[#This Row],[employeeID]],員工[],2,FALSE)</f>
        <v>謝刻光</v>
      </c>
    </row>
    <row r="4194" spans="6:19" hidden="1" x14ac:dyDescent="0.25">
      <c r="F4194" t="s">
        <v>1526</v>
      </c>
      <c r="G4194" t="s">
        <v>415</v>
      </c>
      <c r="H4194" t="str">
        <f>VLOOKUP(record[[#This Row],[ProcessSN]],表格2_7[],2,FALSE)</f>
        <v>30-4118-018-5XX</v>
      </c>
      <c r="I4194" t="str">
        <f>VLOOKUP(record[[#This Row],[ProcessSN]],表格2_7[],3,FALSE)</f>
        <v>#04</v>
      </c>
      <c r="J4194" t="s">
        <v>588</v>
      </c>
      <c r="K4194" s="195">
        <v>46056.618298611109</v>
      </c>
      <c r="L4194">
        <v>40</v>
      </c>
      <c r="M4194">
        <v>3</v>
      </c>
      <c r="N4194" s="98" t="str">
        <f>IF(record[[#This Row],[Memo]]="Browser:chrome os:android","平板報工",IF(record[[#This Row],[Memo]]=0,"委外",record[[#This Row],[Memo]]))</f>
        <v>平板報工</v>
      </c>
      <c r="O4194" t="s">
        <v>643</v>
      </c>
      <c r="P4194" t="s">
        <v>789</v>
      </c>
      <c r="Q4194" t="s">
        <v>644</v>
      </c>
      <c r="R4194" t="str">
        <f>IFERROR(VLOOKUP(record[[#This Row],[PCUSTID]],廠商[],2,FALSE),"")</f>
        <v/>
      </c>
      <c r="S4194" t="str">
        <f>VLOOKUP(record[[#This Row],[employeeID]],員工[],2,FALSE)</f>
        <v>張月霞</v>
      </c>
    </row>
    <row r="4195" spans="6:19" hidden="1" x14ac:dyDescent="0.25">
      <c r="F4195" t="s">
        <v>1504</v>
      </c>
      <c r="G4195" t="s">
        <v>449</v>
      </c>
      <c r="H4195" t="str">
        <f>VLOOKUP(record[[#This Row],[ProcessSN]],表格2_7[],2,FALSE)</f>
        <v>30-4118-018-6XX</v>
      </c>
      <c r="I4195" t="str">
        <f>VLOOKUP(record[[#This Row],[ProcessSN]],表格2_7[],3,FALSE)</f>
        <v>#05</v>
      </c>
      <c r="J4195" t="s">
        <v>588</v>
      </c>
      <c r="K4195" s="195">
        <v>46056.607430555552</v>
      </c>
      <c r="L4195">
        <v>135</v>
      </c>
      <c r="M4195">
        <v>0</v>
      </c>
      <c r="N4195" s="98" t="str">
        <f>IF(record[[#This Row],[Memo]]="Browser:chrome os:android","平板報工",IF(record[[#This Row],[Memo]]=0,"委外",record[[#This Row],[Memo]]))</f>
        <v>平板報工</v>
      </c>
      <c r="O4195" t="s">
        <v>643</v>
      </c>
      <c r="P4195" t="s">
        <v>785</v>
      </c>
      <c r="Q4195" t="s">
        <v>644</v>
      </c>
      <c r="R4195" t="str">
        <f>IFERROR(VLOOKUP(record[[#This Row],[PCUSTID]],廠商[],2,FALSE),"")</f>
        <v/>
      </c>
      <c r="S4195" t="str">
        <f>VLOOKUP(record[[#This Row],[employeeID]],員工[],2,FALSE)</f>
        <v>謝刻光</v>
      </c>
    </row>
    <row r="4196" spans="6:19" hidden="1" x14ac:dyDescent="0.25">
      <c r="F4196" t="s">
        <v>1516</v>
      </c>
      <c r="G4196" t="s">
        <v>420</v>
      </c>
      <c r="H4196" t="str">
        <f>VLOOKUP(record[[#This Row],[ProcessSN]],表格2_7[],2,FALSE)</f>
        <v>30-4118-018-5XX</v>
      </c>
      <c r="I4196" t="str">
        <f>VLOOKUP(record[[#This Row],[ProcessSN]],表格2_7[],3,FALSE)</f>
        <v>#07STOCK</v>
      </c>
      <c r="J4196" t="s">
        <v>592</v>
      </c>
      <c r="K4196" s="195">
        <v>46056.602002314816</v>
      </c>
      <c r="L4196">
        <v>74</v>
      </c>
      <c r="M4196">
        <v>0</v>
      </c>
      <c r="N4196" s="98" t="str">
        <f>IF(record[[#This Row],[Memo]]="Browser:chrome os:android","平板報工",IF(record[[#This Row],[Memo]]=0,"委外",record[[#This Row],[Memo]]))</f>
        <v/>
      </c>
      <c r="O4196" t="s">
        <v>58</v>
      </c>
      <c r="P4196" t="s">
        <v>186</v>
      </c>
      <c r="Q4196" t="s">
        <v>58</v>
      </c>
      <c r="R4196" t="str">
        <f>IFERROR(VLOOKUP(record[[#This Row],[PCUSTID]],廠商[],2,FALSE),"")</f>
        <v/>
      </c>
      <c r="S4196" t="str">
        <f>VLOOKUP(record[[#This Row],[employeeID]],員工[],2,FALSE)</f>
        <v>許文姍</v>
      </c>
    </row>
    <row r="4197" spans="6:19" hidden="1" x14ac:dyDescent="0.25">
      <c r="F4197" t="s">
        <v>1506</v>
      </c>
      <c r="G4197" t="s">
        <v>420</v>
      </c>
      <c r="H4197" t="str">
        <f>VLOOKUP(record[[#This Row],[ProcessSN]],表格2_7[],2,FALSE)</f>
        <v>30-4118-018-5XX</v>
      </c>
      <c r="I4197" t="str">
        <f>VLOOKUP(record[[#This Row],[ProcessSN]],表格2_7[],3,FALSE)</f>
        <v>#07STOCK</v>
      </c>
      <c r="J4197" t="s">
        <v>592</v>
      </c>
      <c r="K4197" s="195">
        <v>46056.601851851854</v>
      </c>
      <c r="L4197">
        <v>3</v>
      </c>
      <c r="M4197">
        <v>0</v>
      </c>
      <c r="N4197" s="98" t="str">
        <f>IF(record[[#This Row],[Memo]]="Browser:chrome os:android","平板報工",IF(record[[#This Row],[Memo]]=0,"委外",record[[#This Row],[Memo]]))</f>
        <v/>
      </c>
      <c r="O4197" t="s">
        <v>58</v>
      </c>
      <c r="P4197" t="s">
        <v>186</v>
      </c>
      <c r="Q4197" t="s">
        <v>58</v>
      </c>
      <c r="R4197" t="str">
        <f>IFERROR(VLOOKUP(record[[#This Row],[PCUSTID]],廠商[],2,FALSE),"")</f>
        <v/>
      </c>
      <c r="S4197" t="str">
        <f>VLOOKUP(record[[#This Row],[employeeID]],員工[],2,FALSE)</f>
        <v>許文姍</v>
      </c>
    </row>
    <row r="4198" spans="6:19" hidden="1" x14ac:dyDescent="0.25">
      <c r="F4198" t="s">
        <v>1417</v>
      </c>
      <c r="G4198" t="s">
        <v>453</v>
      </c>
      <c r="H4198" t="str">
        <f>VLOOKUP(record[[#This Row],[ProcessSN]],表格2_7[],2,FALSE)</f>
        <v>30-4118-018-6XX</v>
      </c>
      <c r="I4198" t="str">
        <f>VLOOKUP(record[[#This Row],[ProcessSN]],表格2_7[],3,FALSE)</f>
        <v>#07STOCK</v>
      </c>
      <c r="J4198" t="s">
        <v>592</v>
      </c>
      <c r="K4198" s="195">
        <v>46056.599328703705</v>
      </c>
      <c r="L4198">
        <v>1</v>
      </c>
      <c r="M4198">
        <v>0</v>
      </c>
      <c r="N4198" s="98" t="str">
        <f>IF(record[[#This Row],[Memo]]="Browser:chrome os:android","平板報工",IF(record[[#This Row],[Memo]]=0,"委外",record[[#This Row],[Memo]]))</f>
        <v/>
      </c>
      <c r="O4198" t="s">
        <v>58</v>
      </c>
      <c r="P4198" t="s">
        <v>186</v>
      </c>
      <c r="Q4198" t="s">
        <v>58</v>
      </c>
      <c r="R4198" t="str">
        <f>IFERROR(VLOOKUP(record[[#This Row],[PCUSTID]],廠商[],2,FALSE),"")</f>
        <v/>
      </c>
      <c r="S4198" t="str">
        <f>VLOOKUP(record[[#This Row],[employeeID]],員工[],2,FALSE)</f>
        <v>許文姍</v>
      </c>
    </row>
    <row r="4199" spans="6:19" hidden="1" x14ac:dyDescent="0.25">
      <c r="F4199" t="s">
        <v>1474</v>
      </c>
      <c r="G4199" t="s">
        <v>453</v>
      </c>
      <c r="H4199" t="str">
        <f>VLOOKUP(record[[#This Row],[ProcessSN]],表格2_7[],2,FALSE)</f>
        <v>30-4118-018-6XX</v>
      </c>
      <c r="I4199" t="str">
        <f>VLOOKUP(record[[#This Row],[ProcessSN]],表格2_7[],3,FALSE)</f>
        <v>#07STOCK</v>
      </c>
      <c r="J4199" t="s">
        <v>592</v>
      </c>
      <c r="K4199" s="195">
        <v>46056.599143518521</v>
      </c>
      <c r="L4199">
        <v>323</v>
      </c>
      <c r="M4199">
        <v>0</v>
      </c>
      <c r="N4199" s="98" t="str">
        <f>IF(record[[#This Row],[Memo]]="Browser:chrome os:android","平板報工",IF(record[[#This Row],[Memo]]=0,"委外",record[[#This Row],[Memo]]))</f>
        <v/>
      </c>
      <c r="O4199" t="s">
        <v>58</v>
      </c>
      <c r="P4199" t="s">
        <v>186</v>
      </c>
      <c r="Q4199" t="s">
        <v>58</v>
      </c>
      <c r="R4199" t="str">
        <f>IFERROR(VLOOKUP(record[[#This Row],[PCUSTID]],廠商[],2,FALSE),"")</f>
        <v/>
      </c>
      <c r="S4199" t="str">
        <f>VLOOKUP(record[[#This Row],[employeeID]],員工[],2,FALSE)</f>
        <v>許文姍</v>
      </c>
    </row>
    <row r="4200" spans="6:19" hidden="1" x14ac:dyDescent="0.25">
      <c r="F4200" t="s">
        <v>1552</v>
      </c>
      <c r="G4200" t="s">
        <v>397</v>
      </c>
      <c r="H4200" t="str">
        <f>VLOOKUP(record[[#This Row],[ProcessSN]],表格2_7[],2,FALSE)</f>
        <v>30-4118-018-550</v>
      </c>
      <c r="I4200" t="str">
        <f>VLOOKUP(record[[#This Row],[ProcessSN]],表格2_7[],3,FALSE)</f>
        <v>#08</v>
      </c>
      <c r="J4200" t="s">
        <v>597</v>
      </c>
      <c r="K4200" s="195">
        <v>46056.592673611114</v>
      </c>
      <c r="L4200">
        <v>77</v>
      </c>
      <c r="M4200">
        <v>0</v>
      </c>
      <c r="N4200" s="98" t="str">
        <f>IF(record[[#This Row],[Memo]]="Browser:chrome os:android","平板報工",IF(record[[#This Row],[Memo]]=0,"委外",record[[#This Row],[Memo]]))</f>
        <v>委外</v>
      </c>
      <c r="P4200" t="s">
        <v>186</v>
      </c>
      <c r="Q4200" t="s">
        <v>287</v>
      </c>
      <c r="R4200" t="str">
        <f>IFERROR(VLOOKUP(record[[#This Row],[PCUSTID]],廠商[],2,FALSE),"")</f>
        <v>泉盛</v>
      </c>
      <c r="S4200" t="str">
        <f>VLOOKUP(record[[#This Row],[employeeID]],員工[],2,FALSE)</f>
        <v>許文姍</v>
      </c>
    </row>
    <row r="4201" spans="6:19" hidden="1" x14ac:dyDescent="0.25">
      <c r="F4201" t="s">
        <v>1553</v>
      </c>
      <c r="G4201" t="s">
        <v>422</v>
      </c>
      <c r="H4201" t="str">
        <f>VLOOKUP(record[[#This Row],[ProcessSN]],表格2_7[],2,FALSE)</f>
        <v>30-4118-018-600</v>
      </c>
      <c r="I4201" t="str">
        <f>VLOOKUP(record[[#This Row],[ProcessSN]],表格2_7[],3,FALSE)</f>
        <v>#08</v>
      </c>
      <c r="J4201" t="s">
        <v>597</v>
      </c>
      <c r="K4201" s="195">
        <v>46056.592534722222</v>
      </c>
      <c r="L4201">
        <v>324</v>
      </c>
      <c r="M4201">
        <v>0</v>
      </c>
      <c r="N4201" s="98" t="str">
        <f>IF(record[[#This Row],[Memo]]="Browser:chrome os:android","平板報工",IF(record[[#This Row],[Memo]]=0,"委外",record[[#This Row],[Memo]]))</f>
        <v>委外</v>
      </c>
      <c r="P4201" t="s">
        <v>186</v>
      </c>
      <c r="Q4201" t="s">
        <v>287</v>
      </c>
      <c r="R4201" t="str">
        <f>IFERROR(VLOOKUP(record[[#This Row],[PCUSTID]],廠商[],2,FALSE),"")</f>
        <v>泉盛</v>
      </c>
      <c r="S4201" t="str">
        <f>VLOOKUP(record[[#This Row],[employeeID]],員工[],2,FALSE)</f>
        <v>許文姍</v>
      </c>
    </row>
    <row r="4202" spans="6:19" hidden="1" x14ac:dyDescent="0.25">
      <c r="F4202" t="s">
        <v>1516</v>
      </c>
      <c r="G4202" t="s">
        <v>415</v>
      </c>
      <c r="H4202" t="str">
        <f>VLOOKUP(record[[#This Row],[ProcessSN]],表格2_7[],2,FALSE)</f>
        <v>30-4118-018-5XX</v>
      </c>
      <c r="I4202" t="str">
        <f>VLOOKUP(record[[#This Row],[ProcessSN]],表格2_7[],3,FALSE)</f>
        <v>#04</v>
      </c>
      <c r="J4202" t="s">
        <v>588</v>
      </c>
      <c r="K4202" s="195">
        <v>46056.591493055559</v>
      </c>
      <c r="L4202">
        <v>86</v>
      </c>
      <c r="M4202">
        <v>0</v>
      </c>
      <c r="N4202" s="98" t="str">
        <f>IF(record[[#This Row],[Memo]]="Browser:chrome os:android","平板報工",IF(record[[#This Row],[Memo]]=0,"委外",record[[#This Row],[Memo]]))</f>
        <v>平板報工</v>
      </c>
      <c r="O4202" t="s">
        <v>643</v>
      </c>
      <c r="P4202" t="s">
        <v>789</v>
      </c>
      <c r="Q4202" t="s">
        <v>644</v>
      </c>
      <c r="R4202" t="str">
        <f>IFERROR(VLOOKUP(record[[#This Row],[PCUSTID]],廠商[],2,FALSE),"")</f>
        <v/>
      </c>
      <c r="S4202" t="str">
        <f>VLOOKUP(record[[#This Row],[employeeID]],員工[],2,FALSE)</f>
        <v>張月霞</v>
      </c>
    </row>
    <row r="4203" spans="6:19" hidden="1" x14ac:dyDescent="0.25">
      <c r="F4203" t="s">
        <v>1552</v>
      </c>
      <c r="G4203" t="s">
        <v>396</v>
      </c>
      <c r="H4203" t="str">
        <f>VLOOKUP(record[[#This Row],[ProcessSN]],表格2_7[],2,FALSE)</f>
        <v>30-4118-018-550</v>
      </c>
      <c r="I4203" t="str">
        <f>VLOOKUP(record[[#This Row],[ProcessSN]],表格2_7[],3,FALSE)</f>
        <v>#08PICK</v>
      </c>
      <c r="J4203" t="s">
        <v>582</v>
      </c>
      <c r="K4203" s="195">
        <v>46056.58520833333</v>
      </c>
      <c r="L4203">
        <v>77</v>
      </c>
      <c r="M4203">
        <v>0</v>
      </c>
      <c r="N4203" s="98" t="str">
        <f>IF(record[[#This Row],[Memo]]="Browser:chrome os:android","平板報工",IF(record[[#This Row],[Memo]]=0,"委外",record[[#This Row],[Memo]]))</f>
        <v/>
      </c>
      <c r="O4203" t="s">
        <v>58</v>
      </c>
      <c r="P4203" t="s">
        <v>186</v>
      </c>
      <c r="Q4203" t="s">
        <v>58</v>
      </c>
      <c r="R4203" t="str">
        <f>IFERROR(VLOOKUP(record[[#This Row],[PCUSTID]],廠商[],2,FALSE),"")</f>
        <v/>
      </c>
      <c r="S4203" t="str">
        <f>VLOOKUP(record[[#This Row],[employeeID]],員工[],2,FALSE)</f>
        <v>許文姍</v>
      </c>
    </row>
    <row r="4204" spans="6:19" hidden="1" x14ac:dyDescent="0.25">
      <c r="F4204" t="s">
        <v>1553</v>
      </c>
      <c r="G4204" t="s">
        <v>421</v>
      </c>
      <c r="H4204" t="str">
        <f>VLOOKUP(record[[#This Row],[ProcessSN]],表格2_7[],2,FALSE)</f>
        <v>30-4118-018-600</v>
      </c>
      <c r="I4204" t="str">
        <f>VLOOKUP(record[[#This Row],[ProcessSN]],表格2_7[],3,FALSE)</f>
        <v>#08PICK</v>
      </c>
      <c r="J4204" t="s">
        <v>582</v>
      </c>
      <c r="K4204" s="195">
        <v>46056.584976851853</v>
      </c>
      <c r="L4204">
        <v>324</v>
      </c>
      <c r="M4204">
        <v>0</v>
      </c>
      <c r="N4204" s="98" t="str">
        <f>IF(record[[#This Row],[Memo]]="Browser:chrome os:android","平板報工",IF(record[[#This Row],[Memo]]=0,"委外",record[[#This Row],[Memo]]))</f>
        <v/>
      </c>
      <c r="O4204" t="s">
        <v>58</v>
      </c>
      <c r="P4204" t="s">
        <v>186</v>
      </c>
      <c r="Q4204" t="s">
        <v>58</v>
      </c>
      <c r="R4204" t="str">
        <f>IFERROR(VLOOKUP(record[[#This Row],[PCUSTID]],廠商[],2,FALSE),"")</f>
        <v/>
      </c>
      <c r="S4204" t="str">
        <f>VLOOKUP(record[[#This Row],[employeeID]],員工[],2,FALSE)</f>
        <v>許文姍</v>
      </c>
    </row>
    <row r="4205" spans="6:19" hidden="1" x14ac:dyDescent="0.25">
      <c r="F4205" t="s">
        <v>1531</v>
      </c>
      <c r="G4205" t="s">
        <v>469</v>
      </c>
      <c r="H4205" t="str">
        <f>VLOOKUP(record[[#This Row],[ProcessSN]],表格2_7[],2,FALSE)</f>
        <v>30-4118-018-XXX</v>
      </c>
      <c r="I4205" t="str">
        <f>VLOOKUP(record[[#This Row],[ProcessSN]],表格2_7[],3,FALSE)</f>
        <v>#02RCV</v>
      </c>
      <c r="J4205" t="s">
        <v>591</v>
      </c>
      <c r="K4205" s="195">
        <v>46056.491527777776</v>
      </c>
      <c r="L4205">
        <v>1338</v>
      </c>
      <c r="M4205">
        <v>0</v>
      </c>
      <c r="N4205" s="98" t="str">
        <f>IF(record[[#This Row],[Memo]]="Browser:chrome os:android","平板報工",IF(record[[#This Row],[Memo]]=0,"委外",record[[#This Row],[Memo]]))</f>
        <v/>
      </c>
      <c r="O4205" t="s">
        <v>58</v>
      </c>
      <c r="P4205" t="s">
        <v>186</v>
      </c>
      <c r="Q4205" t="s">
        <v>58</v>
      </c>
      <c r="R4205" t="str">
        <f>IFERROR(VLOOKUP(record[[#This Row],[PCUSTID]],廠商[],2,FALSE),"")</f>
        <v/>
      </c>
      <c r="S4205" t="str">
        <f>VLOOKUP(record[[#This Row],[employeeID]],員工[],2,FALSE)</f>
        <v>許文姍</v>
      </c>
    </row>
    <row r="4206" spans="6:19" hidden="1" x14ac:dyDescent="0.25">
      <c r="F4206" t="s">
        <v>1534</v>
      </c>
      <c r="G4206" t="s">
        <v>425</v>
      </c>
      <c r="H4206" t="str">
        <f>VLOOKUP(record[[#This Row],[ProcessSN]],表格2_7[],2,FALSE)</f>
        <v>30-4118-018-600</v>
      </c>
      <c r="I4206" t="str">
        <f>VLOOKUP(record[[#This Row],[ProcessSN]],表格2_7[],3,FALSE)</f>
        <v>#100</v>
      </c>
      <c r="J4206" t="s">
        <v>598</v>
      </c>
      <c r="K4206" s="195">
        <v>46056.488761574074</v>
      </c>
      <c r="L4206">
        <v>309</v>
      </c>
      <c r="M4206">
        <v>0</v>
      </c>
      <c r="N4206" s="98" t="str">
        <f>IF(record[[#This Row],[Memo]]="Browser:chrome os:android","平板報工",IF(record[[#This Row],[Memo]]=0,"委外",record[[#This Row],[Memo]]))</f>
        <v/>
      </c>
      <c r="O4206" t="s">
        <v>58</v>
      </c>
      <c r="P4206" t="s">
        <v>141</v>
      </c>
      <c r="Q4206" t="s">
        <v>58</v>
      </c>
      <c r="R4206" t="str">
        <f>IFERROR(VLOOKUP(record[[#This Row],[PCUSTID]],廠商[],2,FALSE),"")</f>
        <v/>
      </c>
      <c r="S4206" t="str">
        <f>VLOOKUP(record[[#This Row],[employeeID]],員工[],2,FALSE)</f>
        <v>蔣梅</v>
      </c>
    </row>
    <row r="4207" spans="6:19" hidden="1" x14ac:dyDescent="0.25">
      <c r="F4207" t="s">
        <v>1522</v>
      </c>
      <c r="G4207" t="s">
        <v>425</v>
      </c>
      <c r="H4207" t="str">
        <f>VLOOKUP(record[[#This Row],[ProcessSN]],表格2_7[],2,FALSE)</f>
        <v>30-4118-018-600</v>
      </c>
      <c r="I4207" t="str">
        <f>VLOOKUP(record[[#This Row],[ProcessSN]],表格2_7[],3,FALSE)</f>
        <v>#100</v>
      </c>
      <c r="J4207" t="s">
        <v>598</v>
      </c>
      <c r="K4207" s="195">
        <v>46056.488495370373</v>
      </c>
      <c r="L4207">
        <v>12</v>
      </c>
      <c r="M4207">
        <v>0</v>
      </c>
      <c r="N4207" s="98" t="str">
        <f>IF(record[[#This Row],[Memo]]="Browser:chrome os:android","平板報工",IF(record[[#This Row],[Memo]]=0,"委外",record[[#This Row],[Memo]]))</f>
        <v>覆回</v>
      </c>
      <c r="O4207" t="s">
        <v>682</v>
      </c>
      <c r="P4207" t="s">
        <v>141</v>
      </c>
      <c r="Q4207" t="s">
        <v>58</v>
      </c>
      <c r="R4207" t="str">
        <f>IFERROR(VLOOKUP(record[[#This Row],[PCUSTID]],廠商[],2,FALSE),"")</f>
        <v/>
      </c>
      <c r="S4207" t="str">
        <f>VLOOKUP(record[[#This Row],[employeeID]],員工[],2,FALSE)</f>
        <v>蔣梅</v>
      </c>
    </row>
    <row r="4208" spans="6:19" hidden="1" x14ac:dyDescent="0.25">
      <c r="F4208" t="s">
        <v>1522</v>
      </c>
      <c r="G4208" t="s">
        <v>424</v>
      </c>
      <c r="H4208" t="str">
        <f>VLOOKUP(record[[#This Row],[ProcessSN]],表格2_7[],2,FALSE)</f>
        <v>30-4118-018-600</v>
      </c>
      <c r="I4208" t="str">
        <f>VLOOKUP(record[[#This Row],[ProcessSN]],表格2_7[],3,FALSE)</f>
        <v>#08IQC</v>
      </c>
      <c r="J4208" t="s">
        <v>583</v>
      </c>
      <c r="K4208" s="195">
        <v>46056.484502314815</v>
      </c>
      <c r="L4208">
        <v>12</v>
      </c>
      <c r="M4208">
        <v>0</v>
      </c>
      <c r="N4208" s="98" t="str">
        <f>IF(record[[#This Row],[Memo]]="Browser:chrome os:android","平板報工",IF(record[[#This Row],[Memo]]=0,"委外",record[[#This Row],[Memo]]))</f>
        <v>覆回</v>
      </c>
      <c r="O4208" t="s">
        <v>682</v>
      </c>
      <c r="P4208" t="s">
        <v>141</v>
      </c>
      <c r="Q4208" t="s">
        <v>58</v>
      </c>
      <c r="R4208" t="str">
        <f>IFERROR(VLOOKUP(record[[#This Row],[PCUSTID]],廠商[],2,FALSE),"")</f>
        <v/>
      </c>
      <c r="S4208" t="str">
        <f>VLOOKUP(record[[#This Row],[employeeID]],員工[],2,FALSE)</f>
        <v>蔣梅</v>
      </c>
    </row>
    <row r="4209" spans="6:19" hidden="1" x14ac:dyDescent="0.25">
      <c r="F4209" t="s">
        <v>1522</v>
      </c>
      <c r="G4209" t="s">
        <v>423</v>
      </c>
      <c r="H4209" t="str">
        <f>VLOOKUP(record[[#This Row],[ProcessSN]],表格2_7[],2,FALSE)</f>
        <v>30-4118-018-600</v>
      </c>
      <c r="I4209" t="str">
        <f>VLOOKUP(record[[#This Row],[ProcessSN]],表格2_7[],3,FALSE)</f>
        <v>#08RCV</v>
      </c>
      <c r="J4209" t="s">
        <v>591</v>
      </c>
      <c r="K4209" s="195">
        <v>46056.484282407408</v>
      </c>
      <c r="L4209">
        <v>12</v>
      </c>
      <c r="M4209">
        <v>0</v>
      </c>
      <c r="N4209" s="98" t="str">
        <f>IF(record[[#This Row],[Memo]]="Browser:chrome os:android","平板報工",IF(record[[#This Row],[Memo]]=0,"委外",record[[#This Row],[Memo]]))</f>
        <v>覆回</v>
      </c>
      <c r="O4209" t="s">
        <v>682</v>
      </c>
      <c r="P4209" t="s">
        <v>141</v>
      </c>
      <c r="Q4209" t="s">
        <v>58</v>
      </c>
      <c r="R4209" t="str">
        <f>IFERROR(VLOOKUP(record[[#This Row],[PCUSTID]],廠商[],2,FALSE),"")</f>
        <v/>
      </c>
      <c r="S4209" t="str">
        <f>VLOOKUP(record[[#This Row],[employeeID]],員工[],2,FALSE)</f>
        <v>蔣梅</v>
      </c>
    </row>
    <row r="4210" spans="6:19" hidden="1" x14ac:dyDescent="0.25">
      <c r="F4210" t="s">
        <v>1484</v>
      </c>
      <c r="G4210" t="s">
        <v>428</v>
      </c>
      <c r="H4210" t="str">
        <f>VLOOKUP(record[[#This Row],[ProcessSN]],表格2_7[],2,FALSE)</f>
        <v>30-4118-018-600</v>
      </c>
      <c r="I4210" t="str">
        <f>VLOOKUP(record[[#This Row],[ProcessSN]],表格2_7[],3,FALSE)</f>
        <v>#100SHIP</v>
      </c>
      <c r="J4210" t="s">
        <v>600</v>
      </c>
      <c r="K4210" s="195">
        <v>46056.437094907407</v>
      </c>
      <c r="L4210">
        <v>80</v>
      </c>
      <c r="M4210">
        <v>0</v>
      </c>
      <c r="N4210" s="98" t="str">
        <f>IF(record[[#This Row],[Memo]]="Browser:chrome os:android","平板報工",IF(record[[#This Row],[Memo]]=0,"委外",record[[#This Row],[Memo]]))</f>
        <v/>
      </c>
      <c r="O4210" t="s">
        <v>58</v>
      </c>
      <c r="P4210" t="s">
        <v>886</v>
      </c>
      <c r="Q4210" t="s">
        <v>58</v>
      </c>
      <c r="R4210" t="str">
        <f>IFERROR(VLOOKUP(record[[#This Row],[PCUSTID]],廠商[],2,FALSE),"")</f>
        <v/>
      </c>
      <c r="S4210" t="str">
        <f>VLOOKUP(record[[#This Row],[employeeID]],員工[],2,FALSE)</f>
        <v>謝蓁薰</v>
      </c>
    </row>
    <row r="4211" spans="6:19" hidden="1" x14ac:dyDescent="0.25">
      <c r="F4211" t="s">
        <v>1407</v>
      </c>
      <c r="G4211" t="s">
        <v>362</v>
      </c>
      <c r="H4211" t="str">
        <f>VLOOKUP(record[[#This Row],[ProcessSN]],表格2_7[],2,FALSE)</f>
        <v>30-4118-018-450</v>
      </c>
      <c r="I4211" t="str">
        <f>VLOOKUP(record[[#This Row],[ProcessSN]],表格2_7[],3,FALSE)</f>
        <v>#100SHIP</v>
      </c>
      <c r="J4211" t="s">
        <v>600</v>
      </c>
      <c r="K4211" s="195">
        <v>46056.436932870369</v>
      </c>
      <c r="L4211">
        <v>4</v>
      </c>
      <c r="M4211">
        <v>0</v>
      </c>
      <c r="N4211" s="98" t="str">
        <f>IF(record[[#This Row],[Memo]]="Browser:chrome os:android","平板報工",IF(record[[#This Row],[Memo]]=0,"委外",record[[#This Row],[Memo]]))</f>
        <v/>
      </c>
      <c r="O4211" t="s">
        <v>58</v>
      </c>
      <c r="P4211" t="s">
        <v>886</v>
      </c>
      <c r="Q4211" t="s">
        <v>58</v>
      </c>
      <c r="R4211" t="str">
        <f>IFERROR(VLOOKUP(record[[#This Row],[PCUSTID]],廠商[],2,FALSE),"")</f>
        <v/>
      </c>
      <c r="S4211" t="str">
        <f>VLOOKUP(record[[#This Row],[employeeID]],員工[],2,FALSE)</f>
        <v>謝蓁薰</v>
      </c>
    </row>
    <row r="4212" spans="6:19" hidden="1" x14ac:dyDescent="0.25">
      <c r="F4212" t="s">
        <v>1474</v>
      </c>
      <c r="G4212" t="s">
        <v>452</v>
      </c>
      <c r="H4212" t="str">
        <f>VLOOKUP(record[[#This Row],[ProcessSN]],表格2_7[],2,FALSE)</f>
        <v>30-4118-018-6XX</v>
      </c>
      <c r="I4212" t="str">
        <f>VLOOKUP(record[[#This Row],[ProcessSN]],表格2_7[],3,FALSE)</f>
        <v>#07QC</v>
      </c>
      <c r="J4212" t="s">
        <v>589</v>
      </c>
      <c r="K4212" s="195">
        <v>46056.426342592589</v>
      </c>
      <c r="L4212">
        <v>0</v>
      </c>
      <c r="M4212">
        <v>2</v>
      </c>
      <c r="N4212" s="98" t="str">
        <f>IF(record[[#This Row],[Memo]]="Browser:chrome os:android","平板報工",IF(record[[#This Row],[Memo]]=0,"委外",record[[#This Row],[Memo]]))</f>
        <v>平板報工</v>
      </c>
      <c r="O4212" t="s">
        <v>643</v>
      </c>
      <c r="P4212" t="s">
        <v>141</v>
      </c>
      <c r="Q4212" t="s">
        <v>644</v>
      </c>
      <c r="R4212" t="str">
        <f>IFERROR(VLOOKUP(record[[#This Row],[PCUSTID]],廠商[],2,FALSE),"")</f>
        <v/>
      </c>
      <c r="S4212" t="str">
        <f>VLOOKUP(record[[#This Row],[employeeID]],員工[],2,FALSE)</f>
        <v>蔣梅</v>
      </c>
    </row>
    <row r="4213" spans="6:19" hidden="1" x14ac:dyDescent="0.25">
      <c r="F4213" t="s">
        <v>1474</v>
      </c>
      <c r="G4213" t="s">
        <v>452</v>
      </c>
      <c r="H4213" t="str">
        <f>VLOOKUP(record[[#This Row],[ProcessSN]],表格2_7[],2,FALSE)</f>
        <v>30-4118-018-6XX</v>
      </c>
      <c r="I4213" t="str">
        <f>VLOOKUP(record[[#This Row],[ProcessSN]],表格2_7[],3,FALSE)</f>
        <v>#07QC</v>
      </c>
      <c r="J4213" t="s">
        <v>589</v>
      </c>
      <c r="K4213" s="195">
        <v>46056.426168981481</v>
      </c>
      <c r="L4213">
        <v>315</v>
      </c>
      <c r="M4213">
        <v>0</v>
      </c>
      <c r="N4213" s="98" t="str">
        <f>IF(record[[#This Row],[Memo]]="Browser:chrome os:android","平板報工",IF(record[[#This Row],[Memo]]=0,"委外",record[[#This Row],[Memo]]))</f>
        <v>平板報工</v>
      </c>
      <c r="O4213" t="s">
        <v>643</v>
      </c>
      <c r="P4213" t="s">
        <v>141</v>
      </c>
      <c r="Q4213" t="s">
        <v>644</v>
      </c>
      <c r="R4213" t="str">
        <f>IFERROR(VLOOKUP(record[[#This Row],[PCUSTID]],廠商[],2,FALSE),"")</f>
        <v/>
      </c>
      <c r="S4213" t="str">
        <f>VLOOKUP(record[[#This Row],[employeeID]],員工[],2,FALSE)</f>
        <v>蔣梅</v>
      </c>
    </row>
    <row r="4214" spans="6:19" hidden="1" x14ac:dyDescent="0.25">
      <c r="F4214" t="s">
        <v>1531</v>
      </c>
      <c r="G4214" t="s">
        <v>468</v>
      </c>
      <c r="H4214" t="str">
        <f>VLOOKUP(record[[#This Row],[ProcessSN]],表格2_7[],2,FALSE)</f>
        <v>30-4118-018-XXX</v>
      </c>
      <c r="I4214" t="str">
        <f>VLOOKUP(record[[#This Row],[ProcessSN]],表格2_7[],3,FALSE)</f>
        <v>#02</v>
      </c>
      <c r="J4214" t="s">
        <v>590</v>
      </c>
      <c r="K4214" s="195">
        <v>46056.392800925925</v>
      </c>
      <c r="L4214">
        <v>176</v>
      </c>
      <c r="M4214">
        <v>0</v>
      </c>
      <c r="N4214" s="98" t="str">
        <f>IF(record[[#This Row],[Memo]]="Browser:chrome os:android","平板報工",IF(record[[#This Row],[Memo]]=0,"委外",record[[#This Row],[Memo]]))</f>
        <v>委外</v>
      </c>
      <c r="P4214" t="s">
        <v>186</v>
      </c>
      <c r="Q4214" t="s">
        <v>216</v>
      </c>
      <c r="R4214" t="str">
        <f>IFERROR(VLOOKUP(record[[#This Row],[PCUSTID]],廠商[],2,FALSE),"")</f>
        <v>俊杰</v>
      </c>
      <c r="S4214" t="str">
        <f>VLOOKUP(record[[#This Row],[employeeID]],員工[],2,FALSE)</f>
        <v>許文姍</v>
      </c>
    </row>
    <row r="4215" spans="6:19" hidden="1" x14ac:dyDescent="0.25">
      <c r="F4215" t="s">
        <v>1542</v>
      </c>
      <c r="G4215" t="s">
        <v>468</v>
      </c>
      <c r="H4215" t="str">
        <f>VLOOKUP(record[[#This Row],[ProcessSN]],表格2_7[],2,FALSE)</f>
        <v>30-4118-018-XXX</v>
      </c>
      <c r="I4215" t="str">
        <f>VLOOKUP(record[[#This Row],[ProcessSN]],表格2_7[],3,FALSE)</f>
        <v>#02</v>
      </c>
      <c r="J4215" t="s">
        <v>590</v>
      </c>
      <c r="K4215" s="195">
        <v>46056.392523148148</v>
      </c>
      <c r="L4215">
        <v>1008</v>
      </c>
      <c r="M4215">
        <v>0</v>
      </c>
      <c r="N4215" s="98" t="str">
        <f>IF(record[[#This Row],[Memo]]="Browser:chrome os:android","平板報工",IF(record[[#This Row],[Memo]]=0,"委外",record[[#This Row],[Memo]]))</f>
        <v>委外</v>
      </c>
      <c r="P4215" t="s">
        <v>186</v>
      </c>
      <c r="Q4215" t="s">
        <v>216</v>
      </c>
      <c r="R4215" t="str">
        <f>IFERROR(VLOOKUP(record[[#This Row],[PCUSTID]],廠商[],2,FALSE),"")</f>
        <v>俊杰</v>
      </c>
      <c r="S4215" t="str">
        <f>VLOOKUP(record[[#This Row],[employeeID]],員工[],2,FALSE)</f>
        <v>許文姍</v>
      </c>
    </row>
    <row r="4216" spans="6:19" hidden="1" x14ac:dyDescent="0.25">
      <c r="F4216" t="s">
        <v>1474</v>
      </c>
      <c r="G4216" t="s">
        <v>451</v>
      </c>
      <c r="H4216" t="str">
        <f>VLOOKUP(record[[#This Row],[ProcessSN]],表格2_7[],2,FALSE)</f>
        <v>30-4118-018-6XX</v>
      </c>
      <c r="I4216" t="str">
        <f>VLOOKUP(record[[#This Row],[ProcessSN]],表格2_7[],3,FALSE)</f>
        <v>#07</v>
      </c>
      <c r="J4216" t="s">
        <v>588</v>
      </c>
      <c r="K4216" s="195">
        <v>46056.369502314818</v>
      </c>
      <c r="L4216">
        <v>25</v>
      </c>
      <c r="M4216">
        <v>0</v>
      </c>
      <c r="N4216" s="98" t="str">
        <f>IF(record[[#This Row],[Memo]]="Browser:chrome os:android","平板報工",IF(record[[#This Row],[Memo]]=0,"委外",record[[#This Row],[Memo]]))</f>
        <v>平板報工</v>
      </c>
      <c r="O4216" t="s">
        <v>643</v>
      </c>
      <c r="P4216" t="s">
        <v>785</v>
      </c>
      <c r="Q4216" t="s">
        <v>644</v>
      </c>
      <c r="R4216" t="str">
        <f>IFERROR(VLOOKUP(record[[#This Row],[PCUSTID]],廠商[],2,FALSE),"")</f>
        <v/>
      </c>
      <c r="S4216" t="str">
        <f>VLOOKUP(record[[#This Row],[employeeID]],員工[],2,FALSE)</f>
        <v>謝刻光</v>
      </c>
    </row>
    <row r="4217" spans="6:19" hidden="1" x14ac:dyDescent="0.25">
      <c r="F4217" t="s">
        <v>1531</v>
      </c>
      <c r="G4217" t="s">
        <v>467</v>
      </c>
      <c r="H4217" t="str">
        <f>VLOOKUP(record[[#This Row],[ProcessSN]],表格2_7[],2,FALSE)</f>
        <v>30-4118-018-XXX</v>
      </c>
      <c r="I4217" t="str">
        <f>VLOOKUP(record[[#This Row],[ProcessSN]],表格2_7[],3,FALSE)</f>
        <v>#01QC</v>
      </c>
      <c r="J4217" t="s">
        <v>589</v>
      </c>
      <c r="K4217" s="195">
        <v>46056.367129629631</v>
      </c>
      <c r="L4217">
        <v>176</v>
      </c>
      <c r="M4217">
        <v>0</v>
      </c>
      <c r="N4217" s="98" t="str">
        <f>IF(record[[#This Row],[Memo]]="Browser:chrome os:android","平板報工",IF(record[[#This Row],[Memo]]=0,"委外",record[[#This Row],[Memo]]))</f>
        <v>平板報工</v>
      </c>
      <c r="O4217" t="s">
        <v>643</v>
      </c>
      <c r="P4217" t="s">
        <v>182</v>
      </c>
      <c r="Q4217" t="s">
        <v>644</v>
      </c>
      <c r="R4217" t="str">
        <f>IFERROR(VLOOKUP(record[[#This Row],[PCUSTID]],廠商[],2,FALSE),"")</f>
        <v/>
      </c>
      <c r="S4217" t="str">
        <f>VLOOKUP(record[[#This Row],[employeeID]],員工[],2,FALSE)</f>
        <v>梅氏和</v>
      </c>
    </row>
    <row r="4218" spans="6:19" hidden="1" x14ac:dyDescent="0.25">
      <c r="F4218" t="s">
        <v>1531</v>
      </c>
      <c r="G4218" t="s">
        <v>466</v>
      </c>
      <c r="H4218" t="str">
        <f>VLOOKUP(record[[#This Row],[ProcessSN]],表格2_7[],2,FALSE)</f>
        <v>30-4118-018-XXX</v>
      </c>
      <c r="I4218" t="str">
        <f>VLOOKUP(record[[#This Row],[ProcessSN]],表格2_7[],3,FALSE)</f>
        <v>#01-2</v>
      </c>
      <c r="J4218" t="s">
        <v>588</v>
      </c>
      <c r="K4218" s="195">
        <v>46056.365960648145</v>
      </c>
      <c r="L4218">
        <v>123</v>
      </c>
      <c r="M4218">
        <v>0</v>
      </c>
      <c r="N4218" s="98" t="str">
        <f>IF(record[[#This Row],[Memo]]="Browser:chrome os:android","平板報工",IF(record[[#This Row],[Memo]]=0,"委外",record[[#This Row],[Memo]]))</f>
        <v/>
      </c>
      <c r="O4218" t="s">
        <v>58</v>
      </c>
      <c r="P4218" t="s">
        <v>101</v>
      </c>
      <c r="Q4218" t="s">
        <v>58</v>
      </c>
      <c r="R4218" t="str">
        <f>IFERROR(VLOOKUP(record[[#This Row],[PCUSTID]],廠商[],2,FALSE),"")</f>
        <v/>
      </c>
      <c r="S4218" t="str">
        <f>VLOOKUP(record[[#This Row],[employeeID]],員工[],2,FALSE)</f>
        <v>陳氏絨</v>
      </c>
    </row>
    <row r="4219" spans="6:19" hidden="1" x14ac:dyDescent="0.25">
      <c r="F4219" t="s">
        <v>1542</v>
      </c>
      <c r="G4219" t="s">
        <v>467</v>
      </c>
      <c r="H4219" t="str">
        <f>VLOOKUP(record[[#This Row],[ProcessSN]],表格2_7[],2,FALSE)</f>
        <v>30-4118-018-XXX</v>
      </c>
      <c r="I4219" t="str">
        <f>VLOOKUP(record[[#This Row],[ProcessSN]],表格2_7[],3,FALSE)</f>
        <v>#01QC</v>
      </c>
      <c r="J4219" t="s">
        <v>589</v>
      </c>
      <c r="K4219" s="195">
        <v>46056.353703703702</v>
      </c>
      <c r="L4219">
        <v>1008</v>
      </c>
      <c r="M4219">
        <v>0</v>
      </c>
      <c r="N4219" s="98" t="str">
        <f>IF(record[[#This Row],[Memo]]="Browser:chrome os:android","平板報工",IF(record[[#This Row],[Memo]]=0,"委外",record[[#This Row],[Memo]]))</f>
        <v>平板報工</v>
      </c>
      <c r="O4219" t="s">
        <v>643</v>
      </c>
      <c r="P4219" t="s">
        <v>182</v>
      </c>
      <c r="Q4219" t="s">
        <v>644</v>
      </c>
      <c r="R4219" t="str">
        <f>IFERROR(VLOOKUP(record[[#This Row],[PCUSTID]],廠商[],2,FALSE),"")</f>
        <v/>
      </c>
      <c r="S4219" t="str">
        <f>VLOOKUP(record[[#This Row],[employeeID]],員工[],2,FALSE)</f>
        <v>梅氏和</v>
      </c>
    </row>
    <row r="4220" spans="6:19" hidden="1" x14ac:dyDescent="0.25">
      <c r="F4220" t="s">
        <v>1516</v>
      </c>
      <c r="G4220" t="s">
        <v>415</v>
      </c>
      <c r="H4220" t="str">
        <f>VLOOKUP(record[[#This Row],[ProcessSN]],表格2_7[],2,FALSE)</f>
        <v>30-4118-018-5XX</v>
      </c>
      <c r="I4220" t="str">
        <f>VLOOKUP(record[[#This Row],[ProcessSN]],表格2_7[],3,FALSE)</f>
        <v>#04</v>
      </c>
      <c r="J4220" t="s">
        <v>588</v>
      </c>
      <c r="K4220" s="195">
        <v>46056.316736111112</v>
      </c>
      <c r="L4220">
        <v>64</v>
      </c>
      <c r="M4220">
        <v>0</v>
      </c>
      <c r="N4220" s="98" t="str">
        <f>IF(record[[#This Row],[Memo]]="Browser:chrome os:android","平板報工",IF(record[[#This Row],[Memo]]=0,"委外",record[[#This Row],[Memo]]))</f>
        <v/>
      </c>
      <c r="O4220" t="s">
        <v>58</v>
      </c>
      <c r="P4220" t="s">
        <v>806</v>
      </c>
      <c r="Q4220" t="s">
        <v>58</v>
      </c>
      <c r="R4220" t="str">
        <f>IFERROR(VLOOKUP(record[[#This Row],[PCUSTID]],廠商[],2,FALSE),"")</f>
        <v/>
      </c>
      <c r="S4220" t="str">
        <f>VLOOKUP(record[[#This Row],[employeeID]],員工[],2,FALSE)</f>
        <v>方思緯</v>
      </c>
    </row>
    <row r="4221" spans="6:19" hidden="1" x14ac:dyDescent="0.25">
      <c r="F4221" t="s">
        <v>1527</v>
      </c>
      <c r="G4221" t="s">
        <v>448</v>
      </c>
      <c r="H4221" t="str">
        <f>VLOOKUP(record[[#This Row],[ProcessSN]],表格2_7[],2,FALSE)</f>
        <v>30-4118-018-6XX</v>
      </c>
      <c r="I4221" t="str">
        <f>VLOOKUP(record[[#This Row],[ProcessSN]],表格2_7[],3,FALSE)</f>
        <v>#04</v>
      </c>
      <c r="J4221" t="s">
        <v>588</v>
      </c>
      <c r="K4221" s="195">
        <v>46056.316493055558</v>
      </c>
      <c r="L4221">
        <v>87</v>
      </c>
      <c r="M4221">
        <v>0</v>
      </c>
      <c r="N4221" s="98" t="str">
        <f>IF(record[[#This Row],[Memo]]="Browser:chrome os:android","平板報工",IF(record[[#This Row],[Memo]]=0,"委外",record[[#This Row],[Memo]]))</f>
        <v/>
      </c>
      <c r="O4221" t="s">
        <v>58</v>
      </c>
      <c r="P4221" t="s">
        <v>806</v>
      </c>
      <c r="Q4221" t="s">
        <v>58</v>
      </c>
      <c r="R4221" t="str">
        <f>IFERROR(VLOOKUP(record[[#This Row],[PCUSTID]],廠商[],2,FALSE),"")</f>
        <v/>
      </c>
      <c r="S4221" t="str">
        <f>VLOOKUP(record[[#This Row],[employeeID]],員工[],2,FALSE)</f>
        <v>方思緯</v>
      </c>
    </row>
    <row r="4222" spans="6:19" hidden="1" x14ac:dyDescent="0.25">
      <c r="F4222" t="s">
        <v>1542</v>
      </c>
      <c r="G4222" t="s">
        <v>466</v>
      </c>
      <c r="H4222" t="str">
        <f>VLOOKUP(record[[#This Row],[ProcessSN]],表格2_7[],2,FALSE)</f>
        <v>30-4118-018-XXX</v>
      </c>
      <c r="I4222" t="str">
        <f>VLOOKUP(record[[#This Row],[ProcessSN]],表格2_7[],3,FALSE)</f>
        <v>#01-2</v>
      </c>
      <c r="J4222" t="s">
        <v>588</v>
      </c>
      <c r="K4222" s="195">
        <v>46056.316307870373</v>
      </c>
      <c r="L4222">
        <v>540</v>
      </c>
      <c r="M4222">
        <v>0</v>
      </c>
      <c r="N4222" s="98" t="str">
        <f>IF(record[[#This Row],[Memo]]="Browser:chrome os:android","平板報工",IF(record[[#This Row],[Memo]]=0,"委外",record[[#This Row],[Memo]]))</f>
        <v/>
      </c>
      <c r="O4222" t="s">
        <v>58</v>
      </c>
      <c r="P4222" t="s">
        <v>806</v>
      </c>
      <c r="Q4222" t="s">
        <v>58</v>
      </c>
      <c r="R4222" t="str">
        <f>IFERROR(VLOOKUP(record[[#This Row],[PCUSTID]],廠商[],2,FALSE),"")</f>
        <v/>
      </c>
      <c r="S4222" t="str">
        <f>VLOOKUP(record[[#This Row],[employeeID]],員工[],2,FALSE)</f>
        <v>方思緯</v>
      </c>
    </row>
    <row r="4223" spans="6:19" hidden="1" x14ac:dyDescent="0.25">
      <c r="F4223" t="s">
        <v>1542</v>
      </c>
      <c r="G4223" t="s">
        <v>465</v>
      </c>
      <c r="H4223" t="str">
        <f>VLOOKUP(record[[#This Row],[ProcessSN]],表格2_7[],2,FALSE)</f>
        <v>30-4118-018-XXX</v>
      </c>
      <c r="I4223" t="str">
        <f>VLOOKUP(record[[#This Row],[ProcessSN]],表格2_7[],3,FALSE)</f>
        <v>#01-1</v>
      </c>
      <c r="J4223" t="s">
        <v>588</v>
      </c>
      <c r="K4223" s="195">
        <v>46056.316134259258</v>
      </c>
      <c r="L4223">
        <v>540</v>
      </c>
      <c r="M4223">
        <v>0</v>
      </c>
      <c r="N4223" s="98" t="str">
        <f>IF(record[[#This Row],[Memo]]="Browser:chrome os:android","平板報工",IF(record[[#This Row],[Memo]]=0,"委外",record[[#This Row],[Memo]]))</f>
        <v/>
      </c>
      <c r="O4223" t="s">
        <v>58</v>
      </c>
      <c r="P4223" t="s">
        <v>841</v>
      </c>
      <c r="Q4223" t="s">
        <v>58</v>
      </c>
      <c r="R4223" t="str">
        <f>IFERROR(VLOOKUP(record[[#This Row],[PCUSTID]],廠商[],2,FALSE),"")</f>
        <v/>
      </c>
      <c r="S4223" t="str">
        <f>VLOOKUP(record[[#This Row],[employeeID]],員工[],2,FALSE)</f>
        <v>范氏香</v>
      </c>
    </row>
    <row r="4224" spans="6:19" hidden="1" x14ac:dyDescent="0.25">
      <c r="F4224" t="s">
        <v>1474</v>
      </c>
      <c r="G4224" t="s">
        <v>451</v>
      </c>
      <c r="H4224" t="str">
        <f>VLOOKUP(record[[#This Row],[ProcessSN]],表格2_7[],2,FALSE)</f>
        <v>30-4118-018-6XX</v>
      </c>
      <c r="I4224" t="str">
        <f>VLOOKUP(record[[#This Row],[ProcessSN]],表格2_7[],3,FALSE)</f>
        <v>#07</v>
      </c>
      <c r="J4224" t="s">
        <v>588</v>
      </c>
      <c r="K4224" s="195">
        <v>46056.314502314817</v>
      </c>
      <c r="L4224">
        <v>157</v>
      </c>
      <c r="M4224">
        <v>2</v>
      </c>
      <c r="N4224" s="98" t="str">
        <f>IF(record[[#This Row],[Memo]]="Browser:chrome os:android","平板報工",IF(record[[#This Row],[Memo]]=0,"委外",record[[#This Row],[Memo]]))</f>
        <v/>
      </c>
      <c r="O4224" t="s">
        <v>58</v>
      </c>
      <c r="P4224" t="s">
        <v>1098</v>
      </c>
      <c r="Q4224" t="s">
        <v>58</v>
      </c>
      <c r="R4224" t="str">
        <f>IFERROR(VLOOKUP(record[[#This Row],[PCUSTID]],廠商[],2,FALSE),"")</f>
        <v/>
      </c>
      <c r="S4224" t="str">
        <f>VLOOKUP(record[[#This Row],[employeeID]],員工[],2,FALSE)</f>
        <v>阮氏芳英(英)</v>
      </c>
    </row>
    <row r="4225" spans="6:19" hidden="1" x14ac:dyDescent="0.25">
      <c r="F4225" t="s">
        <v>1542</v>
      </c>
      <c r="G4225" t="s">
        <v>466</v>
      </c>
      <c r="H4225" t="str">
        <f>VLOOKUP(record[[#This Row],[ProcessSN]],表格2_7[],2,FALSE)</f>
        <v>30-4118-018-XXX</v>
      </c>
      <c r="I4225" t="str">
        <f>VLOOKUP(record[[#This Row],[ProcessSN]],表格2_7[],3,FALSE)</f>
        <v>#01-2</v>
      </c>
      <c r="J4225" t="s">
        <v>588</v>
      </c>
      <c r="K4225" s="195">
        <v>46055.994988425926</v>
      </c>
      <c r="L4225">
        <v>442</v>
      </c>
      <c r="M4225">
        <v>0</v>
      </c>
      <c r="N4225" s="98" t="str">
        <f>IF(record[[#This Row],[Memo]]="Browser:chrome os:android","平板報工",IF(record[[#This Row],[Memo]]=0,"委外",record[[#This Row],[Memo]]))</f>
        <v/>
      </c>
      <c r="O4225" t="s">
        <v>58</v>
      </c>
      <c r="P4225" t="s">
        <v>1098</v>
      </c>
      <c r="Q4225" t="s">
        <v>58</v>
      </c>
      <c r="R4225" t="str">
        <f>IFERROR(VLOOKUP(record[[#This Row],[PCUSTID]],廠商[],2,FALSE),"")</f>
        <v/>
      </c>
      <c r="S4225" t="str">
        <f>VLOOKUP(record[[#This Row],[employeeID]],員工[],2,FALSE)</f>
        <v>阮氏芳英(英)</v>
      </c>
    </row>
    <row r="4226" spans="6:19" hidden="1" x14ac:dyDescent="0.25">
      <c r="F4226" t="s">
        <v>1542</v>
      </c>
      <c r="G4226" t="s">
        <v>465</v>
      </c>
      <c r="H4226" t="str">
        <f>VLOOKUP(record[[#This Row],[ProcessSN]],表格2_7[],2,FALSE)</f>
        <v>30-4118-018-XXX</v>
      </c>
      <c r="I4226" t="str">
        <f>VLOOKUP(record[[#This Row],[ProcessSN]],表格2_7[],3,FALSE)</f>
        <v>#01-1</v>
      </c>
      <c r="J4226" t="s">
        <v>588</v>
      </c>
      <c r="K4226" s="195">
        <v>46055.994780092595</v>
      </c>
      <c r="L4226">
        <v>416</v>
      </c>
      <c r="M4226">
        <v>0</v>
      </c>
      <c r="N4226" s="98" t="str">
        <f>IF(record[[#This Row],[Memo]]="Browser:chrome os:android","平板報工",IF(record[[#This Row],[Memo]]=0,"委外",record[[#This Row],[Memo]]))</f>
        <v/>
      </c>
      <c r="O4226" t="s">
        <v>58</v>
      </c>
      <c r="P4226" t="s">
        <v>1098</v>
      </c>
      <c r="Q4226" t="s">
        <v>58</v>
      </c>
      <c r="R4226" t="str">
        <f>IFERROR(VLOOKUP(record[[#This Row],[PCUSTID]],廠商[],2,FALSE),"")</f>
        <v/>
      </c>
      <c r="S4226" t="str">
        <f>VLOOKUP(record[[#This Row],[employeeID]],員工[],2,FALSE)</f>
        <v>阮氏芳英(英)</v>
      </c>
    </row>
    <row r="4227" spans="6:19" hidden="1" x14ac:dyDescent="0.25">
      <c r="F4227" t="s">
        <v>1527</v>
      </c>
      <c r="G4227" t="s">
        <v>448</v>
      </c>
      <c r="H4227" t="str">
        <f>VLOOKUP(record[[#This Row],[ProcessSN]],表格2_7[],2,FALSE)</f>
        <v>30-4118-018-6XX</v>
      </c>
      <c r="I4227" t="str">
        <f>VLOOKUP(record[[#This Row],[ProcessSN]],表格2_7[],3,FALSE)</f>
        <v>#04</v>
      </c>
      <c r="J4227" t="s">
        <v>588</v>
      </c>
      <c r="K4227" s="195">
        <v>46055.994421296295</v>
      </c>
      <c r="L4227">
        <v>115</v>
      </c>
      <c r="M4227">
        <v>0</v>
      </c>
      <c r="N4227" s="98" t="str">
        <f>IF(record[[#This Row],[Memo]]="Browser:chrome os:android","平板報工",IF(record[[#This Row],[Memo]]=0,"委外",record[[#This Row],[Memo]]))</f>
        <v/>
      </c>
      <c r="O4227" t="s">
        <v>58</v>
      </c>
      <c r="P4227" t="s">
        <v>1098</v>
      </c>
      <c r="Q4227" t="s">
        <v>58</v>
      </c>
      <c r="R4227" t="str">
        <f>IFERROR(VLOOKUP(record[[#This Row],[PCUSTID]],廠商[],2,FALSE),"")</f>
        <v/>
      </c>
      <c r="S4227" t="str">
        <f>VLOOKUP(record[[#This Row],[employeeID]],員工[],2,FALSE)</f>
        <v>阮氏芳英(英)</v>
      </c>
    </row>
    <row r="4228" spans="6:19" hidden="1" x14ac:dyDescent="0.25">
      <c r="F4228" t="s">
        <v>1504</v>
      </c>
      <c r="G4228" t="s">
        <v>450</v>
      </c>
      <c r="H4228" t="str">
        <f>VLOOKUP(record[[#This Row],[ProcessSN]],表格2_7[],2,FALSE)</f>
        <v>30-4118-018-6XX</v>
      </c>
      <c r="I4228" t="str">
        <f>VLOOKUP(record[[#This Row],[ProcessSN]],表格2_7[],3,FALSE)</f>
        <v>#06</v>
      </c>
      <c r="J4228" t="s">
        <v>593</v>
      </c>
      <c r="K4228" s="195">
        <v>46055.85765046296</v>
      </c>
      <c r="L4228">
        <v>71</v>
      </c>
      <c r="M4228">
        <v>0</v>
      </c>
      <c r="N4228" s="98" t="str">
        <f>IF(record[[#This Row],[Memo]]="Browser:chrome os:android","平板報工",IF(record[[#This Row],[Memo]]=0,"委外",record[[#This Row],[Memo]]))</f>
        <v/>
      </c>
      <c r="O4228" t="s">
        <v>58</v>
      </c>
      <c r="P4228" t="s">
        <v>101</v>
      </c>
      <c r="Q4228" t="s">
        <v>58</v>
      </c>
      <c r="R4228" t="str">
        <f>IFERROR(VLOOKUP(record[[#This Row],[PCUSTID]],廠商[],2,FALSE),"")</f>
        <v/>
      </c>
      <c r="S4228" t="str">
        <f>VLOOKUP(record[[#This Row],[employeeID]],員工[],2,FALSE)</f>
        <v>陳氏絨</v>
      </c>
    </row>
    <row r="4229" spans="6:19" hidden="1" x14ac:dyDescent="0.25">
      <c r="F4229" t="s">
        <v>1516</v>
      </c>
      <c r="G4229" t="s">
        <v>419</v>
      </c>
      <c r="H4229" t="str">
        <f>VLOOKUP(record[[#This Row],[ProcessSN]],表格2_7[],2,FALSE)</f>
        <v>30-4118-018-5XX</v>
      </c>
      <c r="I4229" t="str">
        <f>VLOOKUP(record[[#This Row],[ProcessSN]],表格2_7[],3,FALSE)</f>
        <v>#07QC</v>
      </c>
      <c r="J4229" t="s">
        <v>589</v>
      </c>
      <c r="K4229" s="195">
        <v>46055.784398148149</v>
      </c>
      <c r="L4229">
        <v>0</v>
      </c>
      <c r="M4229">
        <v>11</v>
      </c>
      <c r="N4229" s="98" t="str">
        <f>IF(record[[#This Row],[Memo]]="Browser:chrome os:android","平板報工",IF(record[[#This Row],[Memo]]=0,"委外",record[[#This Row],[Memo]]))</f>
        <v/>
      </c>
      <c r="O4229" t="s">
        <v>58</v>
      </c>
      <c r="P4229" t="s">
        <v>99</v>
      </c>
      <c r="Q4229" t="s">
        <v>58</v>
      </c>
      <c r="R4229" t="str">
        <f>IFERROR(VLOOKUP(record[[#This Row],[PCUSTID]],廠商[],2,FALSE),"")</f>
        <v/>
      </c>
      <c r="S4229" t="str">
        <f>VLOOKUP(record[[#This Row],[employeeID]],員工[],2,FALSE)</f>
        <v>阮氏河</v>
      </c>
    </row>
    <row r="4230" spans="6:19" hidden="1" x14ac:dyDescent="0.25">
      <c r="F4230" t="s">
        <v>1536</v>
      </c>
      <c r="G4230" t="s">
        <v>399</v>
      </c>
      <c r="H4230" t="str">
        <f>VLOOKUP(record[[#This Row],[ProcessSN]],表格2_7[],2,FALSE)</f>
        <v>30-4118-018-550</v>
      </c>
      <c r="I4230" t="str">
        <f>VLOOKUP(record[[#This Row],[ProcessSN]],表格2_7[],3,FALSE)</f>
        <v>#08IQC</v>
      </c>
      <c r="J4230" t="s">
        <v>583</v>
      </c>
      <c r="K4230" s="195">
        <v>46055.762962962966</v>
      </c>
      <c r="L4230">
        <v>79</v>
      </c>
      <c r="M4230">
        <v>0</v>
      </c>
      <c r="N4230" s="98" t="str">
        <f>IF(record[[#This Row],[Memo]]="Browser:chrome os:android","平板報工",IF(record[[#This Row],[Memo]]=0,"委外",record[[#This Row],[Memo]]))</f>
        <v/>
      </c>
      <c r="O4230" t="s">
        <v>58</v>
      </c>
      <c r="P4230" t="s">
        <v>109</v>
      </c>
      <c r="Q4230" t="s">
        <v>58</v>
      </c>
      <c r="R4230" t="str">
        <f>IFERROR(VLOOKUP(record[[#This Row],[PCUSTID]],廠商[],2,FALSE),"")</f>
        <v/>
      </c>
      <c r="S4230" t="str">
        <f>VLOOKUP(record[[#This Row],[employeeID]],員工[],2,FALSE)</f>
        <v>裴氏璧鳳</v>
      </c>
    </row>
    <row r="4231" spans="6:19" hidden="1" x14ac:dyDescent="0.25">
      <c r="F4231" t="s">
        <v>1474</v>
      </c>
      <c r="G4231" t="s">
        <v>450</v>
      </c>
      <c r="H4231" t="str">
        <f>VLOOKUP(record[[#This Row],[ProcessSN]],表格2_7[],2,FALSE)</f>
        <v>30-4118-018-6XX</v>
      </c>
      <c r="I4231" t="str">
        <f>VLOOKUP(record[[#This Row],[ProcessSN]],表格2_7[],3,FALSE)</f>
        <v>#06</v>
      </c>
      <c r="J4231" t="s">
        <v>593</v>
      </c>
      <c r="K4231" s="195">
        <v>46055.762106481481</v>
      </c>
      <c r="L4231">
        <v>36</v>
      </c>
      <c r="M4231">
        <v>0</v>
      </c>
      <c r="N4231" s="98" t="str">
        <f>IF(record[[#This Row],[Memo]]="Browser:chrome os:android","平板報工",IF(record[[#This Row],[Memo]]=0,"委外",record[[#This Row],[Memo]]))</f>
        <v/>
      </c>
      <c r="O4231" t="s">
        <v>58</v>
      </c>
      <c r="P4231" t="s">
        <v>101</v>
      </c>
      <c r="Q4231" t="s">
        <v>58</v>
      </c>
      <c r="R4231" t="str">
        <f>IFERROR(VLOOKUP(record[[#This Row],[PCUSTID]],廠商[],2,FALSE),"")</f>
        <v/>
      </c>
      <c r="S4231" t="str">
        <f>VLOOKUP(record[[#This Row],[employeeID]],員工[],2,FALSE)</f>
        <v>陳氏絨</v>
      </c>
    </row>
    <row r="4232" spans="6:19" hidden="1" x14ac:dyDescent="0.25">
      <c r="F4232" t="s">
        <v>1531</v>
      </c>
      <c r="G4232" t="s">
        <v>470</v>
      </c>
      <c r="H4232" t="str">
        <f>VLOOKUP(record[[#This Row],[ProcessSN]],表格2_7[],2,FALSE)</f>
        <v>30-4118-018-XXX</v>
      </c>
      <c r="I4232" t="str">
        <f>VLOOKUP(record[[#This Row],[ProcessSN]],表格2_7[],3,FALSE)</f>
        <v>#02IQC</v>
      </c>
      <c r="J4232" t="s">
        <v>583</v>
      </c>
      <c r="K4232" s="195">
        <v>46055.760752314818</v>
      </c>
      <c r="L4232">
        <v>1176</v>
      </c>
      <c r="M4232">
        <v>0</v>
      </c>
      <c r="N4232" s="98" t="str">
        <f>IF(record[[#This Row],[Memo]]="Browser:chrome os:android","平板報工",IF(record[[#This Row],[Memo]]=0,"委外",record[[#This Row],[Memo]]))</f>
        <v/>
      </c>
      <c r="O4232" t="s">
        <v>58</v>
      </c>
      <c r="P4232" t="s">
        <v>109</v>
      </c>
      <c r="Q4232" t="s">
        <v>58</v>
      </c>
      <c r="R4232" t="str">
        <f>IFERROR(VLOOKUP(record[[#This Row],[PCUSTID]],廠商[],2,FALSE),"")</f>
        <v/>
      </c>
      <c r="S4232" t="str">
        <f>VLOOKUP(record[[#This Row],[employeeID]],員工[],2,FALSE)</f>
        <v>裴氏璧鳳</v>
      </c>
    </row>
    <row r="4233" spans="6:19" hidden="1" x14ac:dyDescent="0.25">
      <c r="F4233" t="s">
        <v>1551</v>
      </c>
      <c r="G4233" t="s">
        <v>464</v>
      </c>
      <c r="H4233" t="str">
        <f>VLOOKUP(record[[#This Row],[ProcessSN]],表格2_7[],2,FALSE)</f>
        <v>30-4118-018-XXX</v>
      </c>
      <c r="I4233" t="str">
        <f>VLOOKUP(record[[#This Row],[ProcessSN]],表格2_7[],3,FALSE)</f>
        <v>#01GIVE</v>
      </c>
      <c r="J4233" t="s">
        <v>587</v>
      </c>
      <c r="K4233" s="195">
        <v>46055.759641203702</v>
      </c>
      <c r="L4233">
        <v>2720</v>
      </c>
      <c r="M4233">
        <v>0</v>
      </c>
      <c r="N4233" s="98" t="str">
        <f>IF(record[[#This Row],[Memo]]="Browser:chrome os:android","平板報工",IF(record[[#This Row],[Memo]]=0,"委外",record[[#This Row],[Memo]]))</f>
        <v/>
      </c>
      <c r="O4233" t="s">
        <v>58</v>
      </c>
      <c r="P4233" t="s">
        <v>1070</v>
      </c>
      <c r="Q4233" t="s">
        <v>58</v>
      </c>
      <c r="R4233" t="str">
        <f>IFERROR(VLOOKUP(record[[#This Row],[PCUSTID]],廠商[],2,FALSE),"")</f>
        <v/>
      </c>
      <c r="S4233" t="str">
        <f>VLOOKUP(record[[#This Row],[employeeID]],員工[],2,FALSE)</f>
        <v>陳昱佑</v>
      </c>
    </row>
    <row r="4234" spans="6:19" hidden="1" x14ac:dyDescent="0.25">
      <c r="F4234" t="s">
        <v>1551</v>
      </c>
      <c r="G4234" t="s">
        <v>463</v>
      </c>
      <c r="H4234" t="str">
        <f>VLOOKUP(record[[#This Row],[ProcessSN]],表格2_7[],2,FALSE)</f>
        <v>30-4118-018-XXX</v>
      </c>
      <c r="I4234" t="str">
        <f>VLOOKUP(record[[#This Row],[ProcessSN]],表格2_7[],3,FALSE)</f>
        <v>#00IQC</v>
      </c>
      <c r="J4234" t="s">
        <v>583</v>
      </c>
      <c r="K4234" s="195">
        <v>46055.745659722219</v>
      </c>
      <c r="L4234">
        <v>2720</v>
      </c>
      <c r="M4234">
        <v>0</v>
      </c>
      <c r="N4234" s="98" t="str">
        <f>IF(record[[#This Row],[Memo]]="Browser:chrome os:android","平板報工",IF(record[[#This Row],[Memo]]=0,"委外",record[[#This Row],[Memo]]))</f>
        <v/>
      </c>
      <c r="O4234" t="s">
        <v>58</v>
      </c>
      <c r="P4234" t="s">
        <v>109</v>
      </c>
      <c r="Q4234" t="s">
        <v>58</v>
      </c>
      <c r="R4234" t="str">
        <f>IFERROR(VLOOKUP(record[[#This Row],[PCUSTID]],廠商[],2,FALSE),"")</f>
        <v/>
      </c>
      <c r="S4234" t="str">
        <f>VLOOKUP(record[[#This Row],[employeeID]],員工[],2,FALSE)</f>
        <v>裴氏璧鳳</v>
      </c>
    </row>
    <row r="4235" spans="6:19" hidden="1" x14ac:dyDescent="0.25">
      <c r="F4235" t="s">
        <v>1516</v>
      </c>
      <c r="G4235" t="s">
        <v>418</v>
      </c>
      <c r="H4235" t="str">
        <f>VLOOKUP(record[[#This Row],[ProcessSN]],表格2_7[],2,FALSE)</f>
        <v>30-4118-018-5XX</v>
      </c>
      <c r="I4235" t="str">
        <f>VLOOKUP(record[[#This Row],[ProcessSN]],表格2_7[],3,FALSE)</f>
        <v>#07</v>
      </c>
      <c r="J4235" t="s">
        <v>588</v>
      </c>
      <c r="K4235" s="195">
        <v>46055.731770833336</v>
      </c>
      <c r="L4235">
        <v>11</v>
      </c>
      <c r="M4235">
        <v>0</v>
      </c>
      <c r="N4235" s="98" t="str">
        <f>IF(record[[#This Row],[Memo]]="Browser:chrome os:android","平板報工",IF(record[[#This Row],[Memo]]=0,"委外",record[[#This Row],[Memo]]))</f>
        <v/>
      </c>
      <c r="O4235" t="s">
        <v>58</v>
      </c>
      <c r="P4235" t="s">
        <v>1075</v>
      </c>
      <c r="Q4235" t="s">
        <v>58</v>
      </c>
      <c r="R4235" t="str">
        <f>IFERROR(VLOOKUP(record[[#This Row],[PCUSTID]],廠商[],2,FALSE),"")</f>
        <v/>
      </c>
      <c r="S4235" t="str">
        <f>VLOOKUP(record[[#This Row],[employeeID]],員工[],2,FALSE)</f>
        <v>吳宥叡</v>
      </c>
    </row>
    <row r="4236" spans="6:19" hidden="1" x14ac:dyDescent="0.25">
      <c r="F4236" t="s">
        <v>1516</v>
      </c>
      <c r="G4236" t="s">
        <v>417</v>
      </c>
      <c r="H4236" t="str">
        <f>VLOOKUP(record[[#This Row],[ProcessSN]],表格2_7[],2,FALSE)</f>
        <v>30-4118-018-5XX</v>
      </c>
      <c r="I4236" t="str">
        <f>VLOOKUP(record[[#This Row],[ProcessSN]],表格2_7[],3,FALSE)</f>
        <v>#06</v>
      </c>
      <c r="J4236" t="s">
        <v>593</v>
      </c>
      <c r="K4236" s="195">
        <v>46055.731678240743</v>
      </c>
      <c r="L4236">
        <v>11</v>
      </c>
      <c r="M4236">
        <v>0</v>
      </c>
      <c r="N4236" s="98" t="str">
        <f>IF(record[[#This Row],[Memo]]="Browser:chrome os:android","平板報工",IF(record[[#This Row],[Memo]]=0,"委外",record[[#This Row],[Memo]]))</f>
        <v/>
      </c>
      <c r="O4236" t="s">
        <v>58</v>
      </c>
      <c r="P4236" t="s">
        <v>1075</v>
      </c>
      <c r="Q4236" t="s">
        <v>58</v>
      </c>
      <c r="R4236" t="str">
        <f>IFERROR(VLOOKUP(record[[#This Row],[PCUSTID]],廠商[],2,FALSE),"")</f>
        <v/>
      </c>
      <c r="S4236" t="str">
        <f>VLOOKUP(record[[#This Row],[employeeID]],員工[],2,FALSE)</f>
        <v>吳宥叡</v>
      </c>
    </row>
    <row r="4237" spans="6:19" hidden="1" x14ac:dyDescent="0.25">
      <c r="F4237" t="s">
        <v>1516</v>
      </c>
      <c r="G4237" t="s">
        <v>416</v>
      </c>
      <c r="H4237" t="str">
        <f>VLOOKUP(record[[#This Row],[ProcessSN]],表格2_7[],2,FALSE)</f>
        <v>30-4118-018-5XX</v>
      </c>
      <c r="I4237" t="str">
        <f>VLOOKUP(record[[#This Row],[ProcessSN]],表格2_7[],3,FALSE)</f>
        <v>#05</v>
      </c>
      <c r="J4237" t="s">
        <v>588</v>
      </c>
      <c r="K4237" s="195">
        <v>46055.731516203705</v>
      </c>
      <c r="L4237">
        <v>11</v>
      </c>
      <c r="M4237">
        <v>0</v>
      </c>
      <c r="N4237" s="98" t="str">
        <f>IF(record[[#This Row],[Memo]]="Browser:chrome os:android","平板報工",IF(record[[#This Row],[Memo]]=0,"委外",record[[#This Row],[Memo]]))</f>
        <v/>
      </c>
      <c r="O4237" t="s">
        <v>58</v>
      </c>
      <c r="P4237" t="s">
        <v>1075</v>
      </c>
      <c r="Q4237" t="s">
        <v>58</v>
      </c>
      <c r="R4237" t="str">
        <f>IFERROR(VLOOKUP(record[[#This Row],[PCUSTID]],廠商[],2,FALSE),"")</f>
        <v/>
      </c>
      <c r="S4237" t="str">
        <f>VLOOKUP(record[[#This Row],[employeeID]],員工[],2,FALSE)</f>
        <v>吳宥叡</v>
      </c>
    </row>
    <row r="4238" spans="6:19" hidden="1" x14ac:dyDescent="0.25">
      <c r="F4238" t="s">
        <v>1542</v>
      </c>
      <c r="G4238" t="s">
        <v>466</v>
      </c>
      <c r="H4238" t="str">
        <f>VLOOKUP(record[[#This Row],[ProcessSN]],表格2_7[],2,FALSE)</f>
        <v>30-4118-018-XXX</v>
      </c>
      <c r="I4238" t="str">
        <f>VLOOKUP(record[[#This Row],[ProcessSN]],表格2_7[],3,FALSE)</f>
        <v>#01-2</v>
      </c>
      <c r="J4238" t="s">
        <v>588</v>
      </c>
      <c r="K4238" s="195">
        <v>46055.728425925925</v>
      </c>
      <c r="L4238">
        <v>348</v>
      </c>
      <c r="M4238">
        <v>0</v>
      </c>
      <c r="N4238" s="98" t="str">
        <f>IF(record[[#This Row],[Memo]]="Browser:chrome os:android","平板報工",IF(record[[#This Row],[Memo]]=0,"委外",record[[#This Row],[Memo]]))</f>
        <v/>
      </c>
      <c r="O4238" t="s">
        <v>58</v>
      </c>
      <c r="P4238" t="s">
        <v>107</v>
      </c>
      <c r="Q4238" t="s">
        <v>58</v>
      </c>
      <c r="R4238" t="str">
        <f>IFERROR(VLOOKUP(record[[#This Row],[PCUSTID]],廠商[],2,FALSE),"")</f>
        <v/>
      </c>
      <c r="S4238" t="str">
        <f>VLOOKUP(record[[#This Row],[employeeID]],員工[],2,FALSE)</f>
        <v>黎氏順</v>
      </c>
    </row>
    <row r="4239" spans="6:19" hidden="1" x14ac:dyDescent="0.25">
      <c r="F4239" t="s">
        <v>1551</v>
      </c>
      <c r="G4239" t="s">
        <v>462</v>
      </c>
      <c r="H4239" t="str">
        <f>VLOOKUP(record[[#This Row],[ProcessSN]],表格2_7[],2,FALSE)</f>
        <v>30-4118-018-XXX</v>
      </c>
      <c r="I4239" t="str">
        <f>VLOOKUP(record[[#This Row],[ProcessSN]],表格2_7[],3,FALSE)</f>
        <v>#00PICK</v>
      </c>
      <c r="J4239" t="s">
        <v>582</v>
      </c>
      <c r="K4239" s="195">
        <v>46055.656956018516</v>
      </c>
      <c r="L4239">
        <v>2720</v>
      </c>
      <c r="M4239">
        <v>0</v>
      </c>
      <c r="N4239" s="98" t="str">
        <f>IF(record[[#This Row],[Memo]]="Browser:chrome os:android","平板報工",IF(record[[#This Row],[Memo]]=0,"委外",record[[#This Row],[Memo]]))</f>
        <v/>
      </c>
      <c r="O4239" t="s">
        <v>58</v>
      </c>
      <c r="P4239" t="s">
        <v>186</v>
      </c>
      <c r="Q4239" t="s">
        <v>58</v>
      </c>
      <c r="R4239" t="str">
        <f>IFERROR(VLOOKUP(record[[#This Row],[PCUSTID]],廠商[],2,FALSE),"")</f>
        <v/>
      </c>
      <c r="S4239" t="str">
        <f>VLOOKUP(record[[#This Row],[employeeID]],員工[],2,FALSE)</f>
        <v>許文姍</v>
      </c>
    </row>
    <row r="4240" spans="6:19" hidden="1" x14ac:dyDescent="0.25">
      <c r="F4240" t="s">
        <v>1534</v>
      </c>
      <c r="G4240" t="s">
        <v>425</v>
      </c>
      <c r="H4240" t="str">
        <f>VLOOKUP(record[[#This Row],[ProcessSN]],表格2_7[],2,FALSE)</f>
        <v>30-4118-018-600</v>
      </c>
      <c r="I4240" t="str">
        <f>VLOOKUP(record[[#This Row],[ProcessSN]],表格2_7[],3,FALSE)</f>
        <v>#100</v>
      </c>
      <c r="J4240" t="s">
        <v>598</v>
      </c>
      <c r="K4240" s="195">
        <v>46055.649375000001</v>
      </c>
      <c r="L4240">
        <v>363</v>
      </c>
      <c r="M4240">
        <v>0</v>
      </c>
      <c r="N4240" s="98" t="str">
        <f>IF(record[[#This Row],[Memo]]="Browser:chrome os:android","平板報工",IF(record[[#This Row],[Memo]]=0,"委外",record[[#This Row],[Memo]]))</f>
        <v>平板報工</v>
      </c>
      <c r="O4240" t="s">
        <v>643</v>
      </c>
      <c r="P4240" t="s">
        <v>141</v>
      </c>
      <c r="Q4240" t="s">
        <v>644</v>
      </c>
      <c r="R4240" t="str">
        <f>IFERROR(VLOOKUP(record[[#This Row],[PCUSTID]],廠商[],2,FALSE),"")</f>
        <v/>
      </c>
      <c r="S4240" t="str">
        <f>VLOOKUP(record[[#This Row],[employeeID]],員工[],2,FALSE)</f>
        <v>蔣梅</v>
      </c>
    </row>
    <row r="4241" spans="6:19" hidden="1" x14ac:dyDescent="0.25">
      <c r="F4241" t="s">
        <v>1522</v>
      </c>
      <c r="G4241" t="s">
        <v>425</v>
      </c>
      <c r="H4241" t="str">
        <f>VLOOKUP(record[[#This Row],[ProcessSN]],表格2_7[],2,FALSE)</f>
        <v>30-4118-018-600</v>
      </c>
      <c r="I4241" t="str">
        <f>VLOOKUP(record[[#This Row],[ProcessSN]],表格2_7[],3,FALSE)</f>
        <v>#100</v>
      </c>
      <c r="J4241" t="s">
        <v>598</v>
      </c>
      <c r="K4241" s="195">
        <v>46055.648981481485</v>
      </c>
      <c r="L4241">
        <v>141</v>
      </c>
      <c r="M4241">
        <v>0</v>
      </c>
      <c r="N4241" s="98" t="str">
        <f>IF(record[[#This Row],[Memo]]="Browser:chrome os:android","平板報工",IF(record[[#This Row],[Memo]]=0,"委外",record[[#This Row],[Memo]]))</f>
        <v>平板報工</v>
      </c>
      <c r="O4241" t="s">
        <v>643</v>
      </c>
      <c r="P4241" t="s">
        <v>141</v>
      </c>
      <c r="Q4241" t="s">
        <v>644</v>
      </c>
      <c r="R4241" t="str">
        <f>IFERROR(VLOOKUP(record[[#This Row],[PCUSTID]],廠商[],2,FALSE),"")</f>
        <v/>
      </c>
      <c r="S4241" t="str">
        <f>VLOOKUP(record[[#This Row],[employeeID]],員工[],2,FALSE)</f>
        <v>蔣梅</v>
      </c>
    </row>
    <row r="4242" spans="6:19" hidden="1" x14ac:dyDescent="0.25">
      <c r="F4242" t="s">
        <v>1474</v>
      </c>
      <c r="G4242" t="s">
        <v>450</v>
      </c>
      <c r="H4242" t="str">
        <f>VLOOKUP(record[[#This Row],[ProcessSN]],表格2_7[],2,FALSE)</f>
        <v>30-4118-018-6XX</v>
      </c>
      <c r="I4242" t="str">
        <f>VLOOKUP(record[[#This Row],[ProcessSN]],表格2_7[],3,FALSE)</f>
        <v>#06</v>
      </c>
      <c r="J4242" t="s">
        <v>593</v>
      </c>
      <c r="K4242" s="195">
        <v>46055.639664351853</v>
      </c>
      <c r="L4242">
        <v>6</v>
      </c>
      <c r="M4242">
        <v>0</v>
      </c>
      <c r="N4242" s="98" t="str">
        <f>IF(record[[#This Row],[Memo]]="Browser:chrome os:android","平板報工",IF(record[[#This Row],[Memo]]=0,"委外",record[[#This Row],[Memo]]))</f>
        <v>平板報工</v>
      </c>
      <c r="O4242" t="s">
        <v>643</v>
      </c>
      <c r="P4242" t="s">
        <v>1413</v>
      </c>
      <c r="Q4242" t="s">
        <v>644</v>
      </c>
      <c r="R4242" t="str">
        <f>IFERROR(VLOOKUP(record[[#This Row],[PCUSTID]],廠商[],2,FALSE),"")</f>
        <v/>
      </c>
      <c r="S4242" t="str">
        <f>VLOOKUP(record[[#This Row],[employeeID]],員工[],2,FALSE)</f>
        <v>阮氏芳英(芳)</v>
      </c>
    </row>
    <row r="4243" spans="6:19" hidden="1" x14ac:dyDescent="0.25">
      <c r="F4243" t="s">
        <v>1504</v>
      </c>
      <c r="G4243" t="s">
        <v>450</v>
      </c>
      <c r="H4243" t="str">
        <f>VLOOKUP(record[[#This Row],[ProcessSN]],表格2_7[],2,FALSE)</f>
        <v>30-4118-018-6XX</v>
      </c>
      <c r="I4243" t="str">
        <f>VLOOKUP(record[[#This Row],[ProcessSN]],表格2_7[],3,FALSE)</f>
        <v>#06</v>
      </c>
      <c r="J4243" t="s">
        <v>593</v>
      </c>
      <c r="K4243" s="195">
        <v>46055.639155092591</v>
      </c>
      <c r="L4243">
        <v>69</v>
      </c>
      <c r="M4243">
        <v>0</v>
      </c>
      <c r="N4243" s="98" t="str">
        <f>IF(record[[#This Row],[Memo]]="Browser:chrome os:android","平板報工",IF(record[[#This Row],[Memo]]=0,"委外",record[[#This Row],[Memo]]))</f>
        <v>平板報工</v>
      </c>
      <c r="O4243" t="s">
        <v>643</v>
      </c>
      <c r="P4243" t="s">
        <v>1413</v>
      </c>
      <c r="Q4243" t="s">
        <v>644</v>
      </c>
      <c r="R4243" t="str">
        <f>IFERROR(VLOOKUP(record[[#This Row],[PCUSTID]],廠商[],2,FALSE),"")</f>
        <v/>
      </c>
      <c r="S4243" t="str">
        <f>VLOOKUP(record[[#This Row],[employeeID]],員工[],2,FALSE)</f>
        <v>阮氏芳英(芳)</v>
      </c>
    </row>
    <row r="4244" spans="6:19" hidden="1" x14ac:dyDescent="0.25">
      <c r="F4244" t="s">
        <v>1531</v>
      </c>
      <c r="G4244" t="s">
        <v>466</v>
      </c>
      <c r="H4244" t="str">
        <f>VLOOKUP(record[[#This Row],[ProcessSN]],表格2_7[],2,FALSE)</f>
        <v>30-4118-018-XXX</v>
      </c>
      <c r="I4244" t="str">
        <f>VLOOKUP(record[[#This Row],[ProcessSN]],表格2_7[],3,FALSE)</f>
        <v>#01-2</v>
      </c>
      <c r="J4244" t="s">
        <v>588</v>
      </c>
      <c r="K4244" s="195">
        <v>46055.633101851854</v>
      </c>
      <c r="L4244">
        <v>53</v>
      </c>
      <c r="M4244">
        <v>0</v>
      </c>
      <c r="N4244" s="98" t="str">
        <f>IF(record[[#This Row],[Memo]]="Browser:chrome os:android","平板報工",IF(record[[#This Row],[Memo]]=0,"委外",record[[#This Row],[Memo]]))</f>
        <v>平板報工</v>
      </c>
      <c r="O4244" t="s">
        <v>643</v>
      </c>
      <c r="P4244" t="s">
        <v>107</v>
      </c>
      <c r="Q4244" t="s">
        <v>644</v>
      </c>
      <c r="R4244" t="str">
        <f>IFERROR(VLOOKUP(record[[#This Row],[PCUSTID]],廠商[],2,FALSE),"")</f>
        <v/>
      </c>
      <c r="S4244" t="str">
        <f>VLOOKUP(record[[#This Row],[employeeID]],員工[],2,FALSE)</f>
        <v>黎氏順</v>
      </c>
    </row>
    <row r="4245" spans="6:19" hidden="1" x14ac:dyDescent="0.25">
      <c r="F4245" t="s">
        <v>1536</v>
      </c>
      <c r="G4245" t="s">
        <v>398</v>
      </c>
      <c r="H4245" t="str">
        <f>VLOOKUP(record[[#This Row],[ProcessSN]],表格2_7[],2,FALSE)</f>
        <v>30-4118-018-550</v>
      </c>
      <c r="I4245" t="str">
        <f>VLOOKUP(record[[#This Row],[ProcessSN]],表格2_7[],3,FALSE)</f>
        <v>#08RCV</v>
      </c>
      <c r="J4245" t="s">
        <v>591</v>
      </c>
      <c r="K4245" s="195">
        <v>46055.632256944446</v>
      </c>
      <c r="L4245">
        <v>79</v>
      </c>
      <c r="M4245">
        <v>0</v>
      </c>
      <c r="N4245" s="98" t="str">
        <f>IF(record[[#This Row],[Memo]]="Browser:chrome os:android","平板報工",IF(record[[#This Row],[Memo]]=0,"委外",record[[#This Row],[Memo]]))</f>
        <v/>
      </c>
      <c r="O4245" t="s">
        <v>58</v>
      </c>
      <c r="P4245" t="s">
        <v>186</v>
      </c>
      <c r="Q4245" t="s">
        <v>58</v>
      </c>
      <c r="R4245" t="str">
        <f>IFERROR(VLOOKUP(record[[#This Row],[PCUSTID]],廠商[],2,FALSE),"")</f>
        <v/>
      </c>
      <c r="S4245" t="str">
        <f>VLOOKUP(record[[#This Row],[employeeID]],員工[],2,FALSE)</f>
        <v>許文姍</v>
      </c>
    </row>
    <row r="4246" spans="6:19" hidden="1" x14ac:dyDescent="0.25">
      <c r="F4246" t="s">
        <v>1542</v>
      </c>
      <c r="G4246" t="s">
        <v>465</v>
      </c>
      <c r="H4246" t="str">
        <f>VLOOKUP(record[[#This Row],[ProcessSN]],表格2_7[],2,FALSE)</f>
        <v>30-4118-018-XXX</v>
      </c>
      <c r="I4246" t="str">
        <f>VLOOKUP(record[[#This Row],[ProcessSN]],表格2_7[],3,FALSE)</f>
        <v>#01-1</v>
      </c>
      <c r="J4246" t="s">
        <v>588</v>
      </c>
      <c r="K4246" s="195">
        <v>46055.631377314814</v>
      </c>
      <c r="L4246">
        <v>400</v>
      </c>
      <c r="M4246">
        <v>0</v>
      </c>
      <c r="N4246" s="98" t="str">
        <f>IF(record[[#This Row],[Memo]]="Browser:chrome os:android","平板報工",IF(record[[#This Row],[Memo]]=0,"委外",record[[#This Row],[Memo]]))</f>
        <v>平板報工</v>
      </c>
      <c r="O4246" t="s">
        <v>643</v>
      </c>
      <c r="P4246" t="s">
        <v>107</v>
      </c>
      <c r="Q4246" t="s">
        <v>644</v>
      </c>
      <c r="R4246" t="str">
        <f>IFERROR(VLOOKUP(record[[#This Row],[PCUSTID]],廠商[],2,FALSE),"")</f>
        <v/>
      </c>
      <c r="S4246" t="str">
        <f>VLOOKUP(record[[#This Row],[employeeID]],員工[],2,FALSE)</f>
        <v>黎氏順</v>
      </c>
    </row>
    <row r="4247" spans="6:19" hidden="1" x14ac:dyDescent="0.25">
      <c r="F4247" t="s">
        <v>1474</v>
      </c>
      <c r="G4247" t="s">
        <v>451</v>
      </c>
      <c r="H4247" t="str">
        <f>VLOOKUP(record[[#This Row],[ProcessSN]],表格2_7[],2,FALSE)</f>
        <v>30-4118-018-6XX</v>
      </c>
      <c r="I4247" t="str">
        <f>VLOOKUP(record[[#This Row],[ProcessSN]],表格2_7[],3,FALSE)</f>
        <v>#07</v>
      </c>
      <c r="J4247" t="s">
        <v>588</v>
      </c>
      <c r="K4247" s="195">
        <v>46055.629988425928</v>
      </c>
      <c r="L4247">
        <v>135</v>
      </c>
      <c r="M4247">
        <v>0</v>
      </c>
      <c r="N4247" s="98" t="str">
        <f>IF(record[[#This Row],[Memo]]="Browser:chrome os:android","平板報工",IF(record[[#This Row],[Memo]]=0,"委外",record[[#This Row],[Memo]]))</f>
        <v>平板報工</v>
      </c>
      <c r="O4247" t="s">
        <v>643</v>
      </c>
      <c r="P4247" t="s">
        <v>785</v>
      </c>
      <c r="Q4247" t="s">
        <v>644</v>
      </c>
      <c r="R4247" t="str">
        <f>IFERROR(VLOOKUP(record[[#This Row],[PCUSTID]],廠商[],2,FALSE),"")</f>
        <v/>
      </c>
      <c r="S4247" t="str">
        <f>VLOOKUP(record[[#This Row],[employeeID]],員工[],2,FALSE)</f>
        <v>謝刻光</v>
      </c>
    </row>
    <row r="4248" spans="6:19" hidden="1" x14ac:dyDescent="0.25">
      <c r="F4248" t="s">
        <v>1527</v>
      </c>
      <c r="G4248" t="s">
        <v>448</v>
      </c>
      <c r="H4248" t="str">
        <f>VLOOKUP(record[[#This Row],[ProcessSN]],表格2_7[],2,FALSE)</f>
        <v>30-4118-018-6XX</v>
      </c>
      <c r="I4248" t="str">
        <f>VLOOKUP(record[[#This Row],[ProcessSN]],表格2_7[],3,FALSE)</f>
        <v>#04</v>
      </c>
      <c r="J4248" t="s">
        <v>588</v>
      </c>
      <c r="K4248" s="195">
        <v>46055.627523148149</v>
      </c>
      <c r="L4248">
        <v>105</v>
      </c>
      <c r="M4248">
        <v>0</v>
      </c>
      <c r="N4248" s="98" t="str">
        <f>IF(record[[#This Row],[Memo]]="Browser:chrome os:android","平板報工",IF(record[[#This Row],[Memo]]=0,"委外",record[[#This Row],[Memo]]))</f>
        <v>平板報工</v>
      </c>
      <c r="O4248" t="s">
        <v>643</v>
      </c>
      <c r="P4248" t="s">
        <v>789</v>
      </c>
      <c r="Q4248" t="s">
        <v>644</v>
      </c>
      <c r="R4248" t="str">
        <f>IFERROR(VLOOKUP(record[[#This Row],[PCUSTID]],廠商[],2,FALSE),"")</f>
        <v/>
      </c>
      <c r="S4248" t="str">
        <f>VLOOKUP(record[[#This Row],[employeeID]],員工[],2,FALSE)</f>
        <v>張月霞</v>
      </c>
    </row>
    <row r="4249" spans="6:19" hidden="1" x14ac:dyDescent="0.25">
      <c r="F4249" t="s">
        <v>1549</v>
      </c>
      <c r="G4249" t="s">
        <v>397</v>
      </c>
      <c r="H4249" t="str">
        <f>VLOOKUP(record[[#This Row],[ProcessSN]],表格2_7[],2,FALSE)</f>
        <v>30-4118-018-550</v>
      </c>
      <c r="I4249" t="str">
        <f>VLOOKUP(record[[#This Row],[ProcessSN]],表格2_7[],3,FALSE)</f>
        <v>#08</v>
      </c>
      <c r="J4249" t="s">
        <v>597</v>
      </c>
      <c r="K4249" s="195">
        <v>46055.621087962965</v>
      </c>
      <c r="L4249">
        <v>619</v>
      </c>
      <c r="M4249">
        <v>0</v>
      </c>
      <c r="N4249" s="98" t="str">
        <f>IF(record[[#This Row],[Memo]]="Browser:chrome os:android","平板報工",IF(record[[#This Row],[Memo]]=0,"委外",record[[#This Row],[Memo]]))</f>
        <v>委外</v>
      </c>
      <c r="P4249" t="s">
        <v>186</v>
      </c>
      <c r="Q4249" t="s">
        <v>287</v>
      </c>
      <c r="R4249" t="str">
        <f>IFERROR(VLOOKUP(record[[#This Row],[PCUSTID]],廠商[],2,FALSE),"")</f>
        <v>泉盛</v>
      </c>
      <c r="S4249" t="str">
        <f>VLOOKUP(record[[#This Row],[employeeID]],員工[],2,FALSE)</f>
        <v>許文姍</v>
      </c>
    </row>
    <row r="4250" spans="6:19" hidden="1" x14ac:dyDescent="0.25">
      <c r="F4250" t="s">
        <v>1549</v>
      </c>
      <c r="G4250" t="s">
        <v>396</v>
      </c>
      <c r="H4250" t="str">
        <f>VLOOKUP(record[[#This Row],[ProcessSN]],表格2_7[],2,FALSE)</f>
        <v>30-4118-018-550</v>
      </c>
      <c r="I4250" t="str">
        <f>VLOOKUP(record[[#This Row],[ProcessSN]],表格2_7[],3,FALSE)</f>
        <v>#08PICK</v>
      </c>
      <c r="J4250" t="s">
        <v>582</v>
      </c>
      <c r="K4250" s="195">
        <v>46055.617928240739</v>
      </c>
      <c r="L4250">
        <v>619</v>
      </c>
      <c r="M4250">
        <v>0</v>
      </c>
      <c r="N4250" s="98" t="str">
        <f>IF(record[[#This Row],[Memo]]="Browser:chrome os:android","平板報工",IF(record[[#This Row],[Memo]]=0,"委外",record[[#This Row],[Memo]]))</f>
        <v/>
      </c>
      <c r="O4250" t="s">
        <v>58</v>
      </c>
      <c r="P4250" t="s">
        <v>186</v>
      </c>
      <c r="Q4250" t="s">
        <v>58</v>
      </c>
      <c r="R4250" t="str">
        <f>IFERROR(VLOOKUP(record[[#This Row],[PCUSTID]],廠商[],2,FALSE),"")</f>
        <v/>
      </c>
      <c r="S4250" t="str">
        <f>VLOOKUP(record[[#This Row],[employeeID]],員工[],2,FALSE)</f>
        <v>許文姍</v>
      </c>
    </row>
    <row r="4251" spans="6:19" hidden="1" x14ac:dyDescent="0.25">
      <c r="F4251" t="s">
        <v>1506</v>
      </c>
      <c r="G4251" t="s">
        <v>420</v>
      </c>
      <c r="H4251" t="str">
        <f>VLOOKUP(record[[#This Row],[ProcessSN]],表格2_7[],2,FALSE)</f>
        <v>30-4118-018-5XX</v>
      </c>
      <c r="I4251" t="str">
        <f>VLOOKUP(record[[#This Row],[ProcessSN]],表格2_7[],3,FALSE)</f>
        <v>#07STOCK</v>
      </c>
      <c r="J4251" t="s">
        <v>592</v>
      </c>
      <c r="K4251" s="195">
        <v>46055.602743055555</v>
      </c>
      <c r="L4251">
        <v>235</v>
      </c>
      <c r="M4251">
        <v>0</v>
      </c>
      <c r="N4251" s="98" t="str">
        <f>IF(record[[#This Row],[Memo]]="Browser:chrome os:android","平板報工",IF(record[[#This Row],[Memo]]=0,"委外",record[[#This Row],[Memo]]))</f>
        <v/>
      </c>
      <c r="O4251" t="s">
        <v>58</v>
      </c>
      <c r="P4251" t="s">
        <v>186</v>
      </c>
      <c r="Q4251" t="s">
        <v>58</v>
      </c>
      <c r="R4251" t="str">
        <f>IFERROR(VLOOKUP(record[[#This Row],[PCUSTID]],廠商[],2,FALSE),"")</f>
        <v/>
      </c>
      <c r="S4251" t="str">
        <f>VLOOKUP(record[[#This Row],[employeeID]],員工[],2,FALSE)</f>
        <v>許文姍</v>
      </c>
    </row>
    <row r="4252" spans="6:19" hidden="1" x14ac:dyDescent="0.25">
      <c r="F4252" t="s">
        <v>1506</v>
      </c>
      <c r="G4252" t="s">
        <v>419</v>
      </c>
      <c r="H4252" t="str">
        <f>VLOOKUP(record[[#This Row],[ProcessSN]],表格2_7[],2,FALSE)</f>
        <v>30-4118-018-5XX</v>
      </c>
      <c r="I4252" t="str">
        <f>VLOOKUP(record[[#This Row],[ProcessSN]],表格2_7[],3,FALSE)</f>
        <v>#07QC</v>
      </c>
      <c r="J4252" t="s">
        <v>589</v>
      </c>
      <c r="K4252" s="195">
        <v>46055.588935185187</v>
      </c>
      <c r="L4252">
        <v>0</v>
      </c>
      <c r="M4252">
        <v>4</v>
      </c>
      <c r="N4252" s="98" t="str">
        <f>IF(record[[#This Row],[Memo]]="Browser:chrome os:android","平板報工",IF(record[[#This Row],[Memo]]=0,"委外",record[[#This Row],[Memo]]))</f>
        <v/>
      </c>
      <c r="O4252" t="s">
        <v>58</v>
      </c>
      <c r="P4252" t="s">
        <v>99</v>
      </c>
      <c r="Q4252" t="s">
        <v>58</v>
      </c>
      <c r="R4252" t="str">
        <f>IFERROR(VLOOKUP(record[[#This Row],[PCUSTID]],廠商[],2,FALSE),"")</f>
        <v/>
      </c>
      <c r="S4252" t="str">
        <f>VLOOKUP(record[[#This Row],[employeeID]],員工[],2,FALSE)</f>
        <v>阮氏河</v>
      </c>
    </row>
    <row r="4253" spans="6:19" hidden="1" x14ac:dyDescent="0.25">
      <c r="F4253" t="s">
        <v>1506</v>
      </c>
      <c r="G4253" t="s">
        <v>419</v>
      </c>
      <c r="H4253" t="str">
        <f>VLOOKUP(record[[#This Row],[ProcessSN]],表格2_7[],2,FALSE)</f>
        <v>30-4118-018-5XX</v>
      </c>
      <c r="I4253" t="str">
        <f>VLOOKUP(record[[#This Row],[ProcessSN]],表格2_7[],3,FALSE)</f>
        <v>#07QC</v>
      </c>
      <c r="J4253" t="s">
        <v>589</v>
      </c>
      <c r="K4253" s="195">
        <v>46055.588530092595</v>
      </c>
      <c r="L4253">
        <v>67</v>
      </c>
      <c r="M4253">
        <v>0</v>
      </c>
      <c r="N4253" s="98" t="str">
        <f>IF(record[[#This Row],[Memo]]="Browser:chrome os:android","平板報工",IF(record[[#This Row],[Memo]]=0,"委外",record[[#This Row],[Memo]]))</f>
        <v/>
      </c>
      <c r="O4253" t="s">
        <v>58</v>
      </c>
      <c r="P4253" t="s">
        <v>99</v>
      </c>
      <c r="Q4253" t="s">
        <v>58</v>
      </c>
      <c r="R4253" t="str">
        <f>IFERROR(VLOOKUP(record[[#This Row],[PCUSTID]],廠商[],2,FALSE),"")</f>
        <v/>
      </c>
      <c r="S4253" t="str">
        <f>VLOOKUP(record[[#This Row],[employeeID]],員工[],2,FALSE)</f>
        <v>阮氏河</v>
      </c>
    </row>
    <row r="4254" spans="6:19" hidden="1" x14ac:dyDescent="0.25">
      <c r="F4254" t="s">
        <v>1524</v>
      </c>
      <c r="G4254" t="s">
        <v>471</v>
      </c>
      <c r="H4254" t="str">
        <f>VLOOKUP(record[[#This Row],[ProcessSN]],表格2_7[],2,FALSE)</f>
        <v>30-4118-018-XXX</v>
      </c>
      <c r="I4254" t="str">
        <f>VLOOKUP(record[[#This Row],[ProcessSN]],表格2_7[],3,FALSE)</f>
        <v>#02STOCK</v>
      </c>
      <c r="J4254" t="s">
        <v>592</v>
      </c>
      <c r="K4254" s="195">
        <v>46055.58320601852</v>
      </c>
      <c r="L4254">
        <v>24</v>
      </c>
      <c r="M4254">
        <v>0</v>
      </c>
      <c r="N4254" s="98" t="str">
        <f>IF(record[[#This Row],[Memo]]="Browser:chrome os:android","平板報工",IF(record[[#This Row],[Memo]]=0,"委外",record[[#This Row],[Memo]]))</f>
        <v/>
      </c>
      <c r="O4254" t="s">
        <v>58</v>
      </c>
      <c r="P4254" t="s">
        <v>186</v>
      </c>
      <c r="Q4254" t="s">
        <v>58</v>
      </c>
      <c r="R4254" t="str">
        <f>IFERROR(VLOOKUP(record[[#This Row],[PCUSTID]],廠商[],2,FALSE),"")</f>
        <v/>
      </c>
      <c r="S4254" t="str">
        <f>VLOOKUP(record[[#This Row],[employeeID]],員工[],2,FALSE)</f>
        <v>許文姍</v>
      </c>
    </row>
    <row r="4255" spans="6:19" hidden="1" x14ac:dyDescent="0.25">
      <c r="F4255" t="s">
        <v>1516</v>
      </c>
      <c r="G4255" t="s">
        <v>420</v>
      </c>
      <c r="H4255" t="str">
        <f>VLOOKUP(record[[#This Row],[ProcessSN]],表格2_7[],2,FALSE)</f>
        <v>30-4118-018-5XX</v>
      </c>
      <c r="I4255" t="str">
        <f>VLOOKUP(record[[#This Row],[ProcessSN]],表格2_7[],3,FALSE)</f>
        <v>#07STOCK</v>
      </c>
      <c r="J4255" t="s">
        <v>592</v>
      </c>
      <c r="K4255" s="195">
        <v>46055.575011574074</v>
      </c>
      <c r="L4255">
        <v>86</v>
      </c>
      <c r="M4255">
        <v>0</v>
      </c>
      <c r="N4255" s="98" t="str">
        <f>IF(record[[#This Row],[Memo]]="Browser:chrome os:android","平板報工",IF(record[[#This Row],[Memo]]=0,"委外",record[[#This Row],[Memo]]))</f>
        <v/>
      </c>
      <c r="O4255" t="s">
        <v>58</v>
      </c>
      <c r="P4255" t="s">
        <v>186</v>
      </c>
      <c r="Q4255" t="s">
        <v>58</v>
      </c>
      <c r="R4255" t="str">
        <f>IFERROR(VLOOKUP(record[[#This Row],[PCUSTID]],廠商[],2,FALSE),"")</f>
        <v/>
      </c>
      <c r="S4255" t="str">
        <f>VLOOKUP(record[[#This Row],[employeeID]],員工[],2,FALSE)</f>
        <v>許文姍</v>
      </c>
    </row>
    <row r="4256" spans="6:19" hidden="1" x14ac:dyDescent="0.25">
      <c r="F4256" t="s">
        <v>1503</v>
      </c>
      <c r="G4256" t="s">
        <v>420</v>
      </c>
      <c r="H4256" t="str">
        <f>VLOOKUP(record[[#This Row],[ProcessSN]],表格2_7[],2,FALSE)</f>
        <v>30-4118-018-5XX</v>
      </c>
      <c r="I4256" t="str">
        <f>VLOOKUP(record[[#This Row],[ProcessSN]],表格2_7[],3,FALSE)</f>
        <v>#07STOCK</v>
      </c>
      <c r="J4256" t="s">
        <v>592</v>
      </c>
      <c r="K4256" s="195">
        <v>46055.574131944442</v>
      </c>
      <c r="L4256">
        <v>149</v>
      </c>
      <c r="M4256">
        <v>0</v>
      </c>
      <c r="N4256" s="98" t="str">
        <f>IF(record[[#This Row],[Memo]]="Browser:chrome os:android","平板報工",IF(record[[#This Row],[Memo]]=0,"委外",record[[#This Row],[Memo]]))</f>
        <v/>
      </c>
      <c r="O4256" t="s">
        <v>58</v>
      </c>
      <c r="P4256" t="s">
        <v>186</v>
      </c>
      <c r="Q4256" t="s">
        <v>58</v>
      </c>
      <c r="R4256" t="str">
        <f>IFERROR(VLOOKUP(record[[#This Row],[PCUSTID]],廠商[],2,FALSE),"")</f>
        <v/>
      </c>
      <c r="S4256" t="str">
        <f>VLOOKUP(record[[#This Row],[employeeID]],員工[],2,FALSE)</f>
        <v>許文姍</v>
      </c>
    </row>
    <row r="4257" spans="6:19" hidden="1" x14ac:dyDescent="0.25">
      <c r="F4257" t="s">
        <v>1506</v>
      </c>
      <c r="G4257" t="s">
        <v>420</v>
      </c>
      <c r="H4257" t="str">
        <f>VLOOKUP(record[[#This Row],[ProcessSN]],表格2_7[],2,FALSE)</f>
        <v>30-4118-018-5XX</v>
      </c>
      <c r="I4257" t="str">
        <f>VLOOKUP(record[[#This Row],[ProcessSN]],表格2_7[],3,FALSE)</f>
        <v>#07STOCK</v>
      </c>
      <c r="J4257" t="s">
        <v>592</v>
      </c>
      <c r="K4257" s="195">
        <v>46055.574004629627</v>
      </c>
      <c r="L4257">
        <v>149</v>
      </c>
      <c r="M4257">
        <v>0</v>
      </c>
      <c r="N4257" s="98" t="str">
        <f>IF(record[[#This Row],[Memo]]="Browser:chrome os:android","平板報工",IF(record[[#This Row],[Memo]]=0,"委外",record[[#This Row],[Memo]]))</f>
        <v/>
      </c>
      <c r="O4257" t="s">
        <v>58</v>
      </c>
      <c r="P4257" t="s">
        <v>186</v>
      </c>
      <c r="Q4257" t="s">
        <v>58</v>
      </c>
      <c r="R4257" t="str">
        <f>IFERROR(VLOOKUP(record[[#This Row],[PCUSTID]],廠商[],2,FALSE),"")</f>
        <v/>
      </c>
      <c r="S4257" t="str">
        <f>VLOOKUP(record[[#This Row],[employeeID]],員工[],2,FALSE)</f>
        <v>許文姍</v>
      </c>
    </row>
    <row r="4258" spans="6:19" hidden="1" x14ac:dyDescent="0.25">
      <c r="F4258" t="s">
        <v>1407</v>
      </c>
      <c r="G4258" t="s">
        <v>362</v>
      </c>
      <c r="H4258" t="str">
        <f>VLOOKUP(record[[#This Row],[ProcessSN]],表格2_7[],2,FALSE)</f>
        <v>30-4118-018-450</v>
      </c>
      <c r="I4258" t="str">
        <f>VLOOKUP(record[[#This Row],[ProcessSN]],表格2_7[],3,FALSE)</f>
        <v>#100SHIP</v>
      </c>
      <c r="J4258" t="s">
        <v>600</v>
      </c>
      <c r="K4258" s="195">
        <v>46055.479560185187</v>
      </c>
      <c r="L4258">
        <v>1</v>
      </c>
      <c r="M4258">
        <v>0</v>
      </c>
      <c r="N4258" s="98" t="str">
        <f>IF(record[[#This Row],[Memo]]="Browser:chrome os:android","平板報工",IF(record[[#This Row],[Memo]]=0,"委外",record[[#This Row],[Memo]]))</f>
        <v/>
      </c>
      <c r="O4258" t="s">
        <v>58</v>
      </c>
      <c r="P4258" t="s">
        <v>886</v>
      </c>
      <c r="Q4258" t="s">
        <v>58</v>
      </c>
      <c r="R4258" t="str">
        <f>IFERROR(VLOOKUP(record[[#This Row],[PCUSTID]],廠商[],2,FALSE),"")</f>
        <v/>
      </c>
      <c r="S4258" t="str">
        <f>VLOOKUP(record[[#This Row],[employeeID]],員工[],2,FALSE)</f>
        <v>謝蓁薰</v>
      </c>
    </row>
    <row r="4259" spans="6:19" hidden="1" x14ac:dyDescent="0.25">
      <c r="F4259" t="s">
        <v>1531</v>
      </c>
      <c r="G4259" t="s">
        <v>469</v>
      </c>
      <c r="H4259" t="str">
        <f>VLOOKUP(record[[#This Row],[ProcessSN]],表格2_7[],2,FALSE)</f>
        <v>30-4118-018-XXX</v>
      </c>
      <c r="I4259" t="str">
        <f>VLOOKUP(record[[#This Row],[ProcessSN]],表格2_7[],3,FALSE)</f>
        <v>#02RCV</v>
      </c>
      <c r="J4259" t="s">
        <v>591</v>
      </c>
      <c r="K4259" s="195">
        <v>46055.418055555558</v>
      </c>
      <c r="L4259">
        <v>1176</v>
      </c>
      <c r="M4259">
        <v>0</v>
      </c>
      <c r="N4259" s="98" t="str">
        <f>IF(record[[#This Row],[Memo]]="Browser:chrome os:android","平板報工",IF(record[[#This Row],[Memo]]=0,"委外",record[[#This Row],[Memo]]))</f>
        <v/>
      </c>
      <c r="O4259" t="s">
        <v>58</v>
      </c>
      <c r="P4259" t="s">
        <v>186</v>
      </c>
      <c r="Q4259" t="s">
        <v>58</v>
      </c>
      <c r="R4259" t="str">
        <f>IFERROR(VLOOKUP(record[[#This Row],[PCUSTID]],廠商[],2,FALSE),"")</f>
        <v/>
      </c>
      <c r="S4259" t="str">
        <f>VLOOKUP(record[[#This Row],[employeeID]],員工[],2,FALSE)</f>
        <v>許文姍</v>
      </c>
    </row>
    <row r="4260" spans="6:19" hidden="1" x14ac:dyDescent="0.25">
      <c r="F4260" t="s">
        <v>1506</v>
      </c>
      <c r="G4260" t="s">
        <v>419</v>
      </c>
      <c r="H4260" t="str">
        <f>VLOOKUP(record[[#This Row],[ProcessSN]],表格2_7[],2,FALSE)</f>
        <v>30-4118-018-5XX</v>
      </c>
      <c r="I4260" t="str">
        <f>VLOOKUP(record[[#This Row],[ProcessSN]],表格2_7[],3,FALSE)</f>
        <v>#07QC</v>
      </c>
      <c r="J4260" t="s">
        <v>589</v>
      </c>
      <c r="K4260" s="195">
        <v>46055.415798611109</v>
      </c>
      <c r="L4260">
        <v>3</v>
      </c>
      <c r="M4260">
        <v>0</v>
      </c>
      <c r="N4260" s="98" t="str">
        <f>IF(record[[#This Row],[Memo]]="Browser:chrome os:android","平板報工",IF(record[[#This Row],[Memo]]=0,"委外",record[[#This Row],[Memo]]))</f>
        <v/>
      </c>
      <c r="O4260" t="s">
        <v>58</v>
      </c>
      <c r="P4260" t="s">
        <v>99</v>
      </c>
      <c r="Q4260" t="s">
        <v>58</v>
      </c>
      <c r="R4260" t="str">
        <f>IFERROR(VLOOKUP(record[[#This Row],[PCUSTID]],廠商[],2,FALSE),"")</f>
        <v/>
      </c>
      <c r="S4260" t="str">
        <f>VLOOKUP(record[[#This Row],[employeeID]],員工[],2,FALSE)</f>
        <v>阮氏河</v>
      </c>
    </row>
    <row r="4261" spans="6:19" hidden="1" x14ac:dyDescent="0.25">
      <c r="F4261" t="s">
        <v>1516</v>
      </c>
      <c r="G4261" t="s">
        <v>419</v>
      </c>
      <c r="H4261" t="str">
        <f>VLOOKUP(record[[#This Row],[ProcessSN]],表格2_7[],2,FALSE)</f>
        <v>30-4118-018-5XX</v>
      </c>
      <c r="I4261" t="str">
        <f>VLOOKUP(record[[#This Row],[ProcessSN]],表格2_7[],3,FALSE)</f>
        <v>#07QC</v>
      </c>
      <c r="J4261" t="s">
        <v>589</v>
      </c>
      <c r="K4261" s="195">
        <v>46055.407465277778</v>
      </c>
      <c r="L4261">
        <v>160</v>
      </c>
      <c r="M4261">
        <v>0</v>
      </c>
      <c r="N4261" s="98" t="str">
        <f>IF(record[[#This Row],[Memo]]="Browser:chrome os:android","平板報工",IF(record[[#This Row],[Memo]]=0,"委外",record[[#This Row],[Memo]]))</f>
        <v>平板報工</v>
      </c>
      <c r="O4261" t="s">
        <v>643</v>
      </c>
      <c r="P4261" t="s">
        <v>99</v>
      </c>
      <c r="Q4261" t="s">
        <v>644</v>
      </c>
      <c r="R4261" t="str">
        <f>IFERROR(VLOOKUP(record[[#This Row],[PCUSTID]],廠商[],2,FALSE),"")</f>
        <v/>
      </c>
      <c r="S4261" t="str">
        <f>VLOOKUP(record[[#This Row],[employeeID]],員工[],2,FALSE)</f>
        <v>阮氏河</v>
      </c>
    </row>
    <row r="4262" spans="6:19" hidden="1" x14ac:dyDescent="0.25">
      <c r="F4262" t="s">
        <v>1417</v>
      </c>
      <c r="G4262" t="s">
        <v>452</v>
      </c>
      <c r="H4262" t="str">
        <f>VLOOKUP(record[[#This Row],[ProcessSN]],表格2_7[],2,FALSE)</f>
        <v>30-4118-018-6XX</v>
      </c>
      <c r="I4262" t="str">
        <f>VLOOKUP(record[[#This Row],[ProcessSN]],表格2_7[],3,FALSE)</f>
        <v>#07QC</v>
      </c>
      <c r="J4262" t="s">
        <v>589</v>
      </c>
      <c r="K4262" s="195">
        <v>46055.402754629627</v>
      </c>
      <c r="L4262">
        <v>1</v>
      </c>
      <c r="M4262">
        <v>0</v>
      </c>
      <c r="N4262" s="98" t="str">
        <f>IF(record[[#This Row],[Memo]]="Browser:chrome os:android","平板報工",IF(record[[#This Row],[Memo]]=0,"委外",record[[#This Row],[Memo]]))</f>
        <v/>
      </c>
      <c r="O4262" t="s">
        <v>58</v>
      </c>
      <c r="P4262" t="s">
        <v>141</v>
      </c>
      <c r="Q4262" t="s">
        <v>58</v>
      </c>
      <c r="R4262" t="str">
        <f>IFERROR(VLOOKUP(record[[#This Row],[PCUSTID]],廠商[],2,FALSE),"")</f>
        <v/>
      </c>
      <c r="S4262" t="str">
        <f>VLOOKUP(record[[#This Row],[employeeID]],員工[],2,FALSE)</f>
        <v>蔣梅</v>
      </c>
    </row>
    <row r="4263" spans="6:19" hidden="1" x14ac:dyDescent="0.25">
      <c r="F4263" t="s">
        <v>1474</v>
      </c>
      <c r="G4263" t="s">
        <v>452</v>
      </c>
      <c r="H4263" t="str">
        <f>VLOOKUP(record[[#This Row],[ProcessSN]],表格2_7[],2,FALSE)</f>
        <v>30-4118-018-6XX</v>
      </c>
      <c r="I4263" t="str">
        <f>VLOOKUP(record[[#This Row],[ProcessSN]],表格2_7[],3,FALSE)</f>
        <v>#07QC</v>
      </c>
      <c r="J4263" t="s">
        <v>589</v>
      </c>
      <c r="K4263" s="195">
        <v>46055.402372685188</v>
      </c>
      <c r="L4263">
        <v>0</v>
      </c>
      <c r="M4263">
        <v>11</v>
      </c>
      <c r="N4263" s="98" t="str">
        <f>IF(record[[#This Row],[Memo]]="Browser:chrome os:android","平板報工",IF(record[[#This Row],[Memo]]=0,"委外",record[[#This Row],[Memo]]))</f>
        <v/>
      </c>
      <c r="O4263" t="s">
        <v>58</v>
      </c>
      <c r="P4263" t="s">
        <v>141</v>
      </c>
      <c r="Q4263" t="s">
        <v>58</v>
      </c>
      <c r="R4263" t="str">
        <f>IFERROR(VLOOKUP(record[[#This Row],[PCUSTID]],廠商[],2,FALSE),"")</f>
        <v/>
      </c>
      <c r="S4263" t="str">
        <f>VLOOKUP(record[[#This Row],[employeeID]],員工[],2,FALSE)</f>
        <v>蔣梅</v>
      </c>
    </row>
    <row r="4264" spans="6:19" hidden="1" x14ac:dyDescent="0.25">
      <c r="F4264" t="s">
        <v>1474</v>
      </c>
      <c r="G4264" t="s">
        <v>452</v>
      </c>
      <c r="H4264" t="str">
        <f>VLOOKUP(record[[#This Row],[ProcessSN]],表格2_7[],2,FALSE)</f>
        <v>30-4118-018-6XX</v>
      </c>
      <c r="I4264" t="str">
        <f>VLOOKUP(record[[#This Row],[ProcessSN]],表格2_7[],3,FALSE)</f>
        <v>#07QC</v>
      </c>
      <c r="J4264" t="s">
        <v>589</v>
      </c>
      <c r="K4264" s="195">
        <v>46055.40221064815</v>
      </c>
      <c r="L4264">
        <v>8</v>
      </c>
      <c r="M4264">
        <v>0</v>
      </c>
      <c r="N4264" s="98" t="str">
        <f>IF(record[[#This Row],[Memo]]="Browser:chrome os:android","平板報工",IF(record[[#This Row],[Memo]]=0,"委外",record[[#This Row],[Memo]]))</f>
        <v>覆回</v>
      </c>
      <c r="O4264" t="s">
        <v>682</v>
      </c>
      <c r="P4264" t="s">
        <v>141</v>
      </c>
      <c r="Q4264" t="s">
        <v>58</v>
      </c>
      <c r="R4264" t="str">
        <f>IFERROR(VLOOKUP(record[[#This Row],[PCUSTID]],廠商[],2,FALSE),"")</f>
        <v/>
      </c>
      <c r="S4264" t="str">
        <f>VLOOKUP(record[[#This Row],[employeeID]],員工[],2,FALSE)</f>
        <v>蔣梅</v>
      </c>
    </row>
    <row r="4265" spans="6:19" hidden="1" x14ac:dyDescent="0.25">
      <c r="F4265" t="s">
        <v>1506</v>
      </c>
      <c r="G4265" t="s">
        <v>419</v>
      </c>
      <c r="H4265" t="str">
        <f>VLOOKUP(record[[#This Row],[ProcessSN]],表格2_7[],2,FALSE)</f>
        <v>30-4118-018-5XX</v>
      </c>
      <c r="I4265" t="str">
        <f>VLOOKUP(record[[#This Row],[ProcessSN]],表格2_7[],3,FALSE)</f>
        <v>#07QC</v>
      </c>
      <c r="J4265" t="s">
        <v>589</v>
      </c>
      <c r="K4265" s="195">
        <v>46055.399375000001</v>
      </c>
      <c r="L4265">
        <v>149</v>
      </c>
      <c r="M4265">
        <v>0</v>
      </c>
      <c r="N4265" s="98" t="str">
        <f>IF(record[[#This Row],[Memo]]="Browser:chrome os:android","平板報工",IF(record[[#This Row],[Memo]]=0,"委外",record[[#This Row],[Memo]]))</f>
        <v/>
      </c>
      <c r="O4265" t="s">
        <v>58</v>
      </c>
      <c r="P4265" t="s">
        <v>141</v>
      </c>
      <c r="Q4265" t="s">
        <v>58</v>
      </c>
      <c r="R4265" t="str">
        <f>IFERROR(VLOOKUP(record[[#This Row],[PCUSTID]],廠商[],2,FALSE),"")</f>
        <v/>
      </c>
      <c r="S4265" t="str">
        <f>VLOOKUP(record[[#This Row],[employeeID]],員工[],2,FALSE)</f>
        <v>蔣梅</v>
      </c>
    </row>
    <row r="4266" spans="6:19" hidden="1" x14ac:dyDescent="0.25">
      <c r="F4266" t="s">
        <v>1503</v>
      </c>
      <c r="G4266" t="s">
        <v>419</v>
      </c>
      <c r="H4266" t="str">
        <f>VLOOKUP(record[[#This Row],[ProcessSN]],表格2_7[],2,FALSE)</f>
        <v>30-4118-018-5XX</v>
      </c>
      <c r="I4266" t="str">
        <f>VLOOKUP(record[[#This Row],[ProcessSN]],表格2_7[],3,FALSE)</f>
        <v>#07QC</v>
      </c>
      <c r="J4266" t="s">
        <v>589</v>
      </c>
      <c r="K4266" s="195">
        <v>46055.399155092593</v>
      </c>
      <c r="L4266">
        <v>149</v>
      </c>
      <c r="M4266">
        <v>0</v>
      </c>
      <c r="N4266" s="98" t="str">
        <f>IF(record[[#This Row],[Memo]]="Browser:chrome os:android","平板報工",IF(record[[#This Row],[Memo]]=0,"委外",record[[#This Row],[Memo]]))</f>
        <v/>
      </c>
      <c r="O4266" t="s">
        <v>58</v>
      </c>
      <c r="P4266" t="s">
        <v>141</v>
      </c>
      <c r="Q4266" t="s">
        <v>58</v>
      </c>
      <c r="R4266" t="str">
        <f>IFERROR(VLOOKUP(record[[#This Row],[PCUSTID]],廠商[],2,FALSE),"")</f>
        <v/>
      </c>
      <c r="S4266" t="str">
        <f>VLOOKUP(record[[#This Row],[employeeID]],員工[],2,FALSE)</f>
        <v>蔣梅</v>
      </c>
    </row>
    <row r="4267" spans="6:19" hidden="1" x14ac:dyDescent="0.25">
      <c r="F4267" t="s">
        <v>1516</v>
      </c>
      <c r="G4267" t="s">
        <v>419</v>
      </c>
      <c r="H4267" t="str">
        <f>VLOOKUP(record[[#This Row],[ProcessSN]],表格2_7[],2,FALSE)</f>
        <v>30-4118-018-5XX</v>
      </c>
      <c r="I4267" t="str">
        <f>VLOOKUP(record[[#This Row],[ProcessSN]],表格2_7[],3,FALSE)</f>
        <v>#07QC</v>
      </c>
      <c r="J4267" t="s">
        <v>589</v>
      </c>
      <c r="K4267" s="195">
        <v>46055.387071759258</v>
      </c>
      <c r="L4267">
        <v>0</v>
      </c>
      <c r="M4267">
        <v>6</v>
      </c>
      <c r="N4267" s="98" t="str">
        <f>IF(record[[#This Row],[Memo]]="Browser:chrome os:android","平板報工",IF(record[[#This Row],[Memo]]=0,"委外",record[[#This Row],[Memo]]))</f>
        <v>平板報工</v>
      </c>
      <c r="O4267" t="s">
        <v>643</v>
      </c>
      <c r="P4267" t="s">
        <v>99</v>
      </c>
      <c r="Q4267" t="s">
        <v>644</v>
      </c>
      <c r="R4267" t="str">
        <f>IFERROR(VLOOKUP(record[[#This Row],[PCUSTID]],廠商[],2,FALSE),"")</f>
        <v/>
      </c>
      <c r="S4267" t="str">
        <f>VLOOKUP(record[[#This Row],[employeeID]],員工[],2,FALSE)</f>
        <v>阮氏河</v>
      </c>
    </row>
    <row r="4268" spans="6:19" hidden="1" x14ac:dyDescent="0.25">
      <c r="F4268" t="s">
        <v>1531</v>
      </c>
      <c r="G4268" t="s">
        <v>468</v>
      </c>
      <c r="H4268" t="str">
        <f>VLOOKUP(record[[#This Row],[ProcessSN]],表格2_7[],2,FALSE)</f>
        <v>30-4118-018-XXX</v>
      </c>
      <c r="I4268" t="str">
        <f>VLOOKUP(record[[#This Row],[ProcessSN]],表格2_7[],3,FALSE)</f>
        <v>#02</v>
      </c>
      <c r="J4268" t="s">
        <v>590</v>
      </c>
      <c r="K4268" s="195">
        <v>46055.369942129626</v>
      </c>
      <c r="L4268">
        <v>1834</v>
      </c>
      <c r="M4268">
        <v>0</v>
      </c>
      <c r="N4268" s="98" t="str">
        <f>IF(record[[#This Row],[Memo]]="Browser:chrome os:android","平板報工",IF(record[[#This Row],[Memo]]=0,"委外",record[[#This Row],[Memo]]))</f>
        <v>委外</v>
      </c>
      <c r="P4268" t="s">
        <v>186</v>
      </c>
      <c r="Q4268" t="s">
        <v>216</v>
      </c>
      <c r="R4268" t="str">
        <f>IFERROR(VLOOKUP(record[[#This Row],[PCUSTID]],廠商[],2,FALSE),"")</f>
        <v>俊杰</v>
      </c>
      <c r="S4268" t="str">
        <f>VLOOKUP(record[[#This Row],[employeeID]],員工[],2,FALSE)</f>
        <v>許文姍</v>
      </c>
    </row>
    <row r="4269" spans="6:19" hidden="1" x14ac:dyDescent="0.25">
      <c r="F4269" t="s">
        <v>1542</v>
      </c>
      <c r="G4269" t="s">
        <v>464</v>
      </c>
      <c r="H4269" t="str">
        <f>VLOOKUP(record[[#This Row],[ProcessSN]],表格2_7[],2,FALSE)</f>
        <v>30-4118-018-XXX</v>
      </c>
      <c r="I4269" t="str">
        <f>VLOOKUP(record[[#This Row],[ProcessSN]],表格2_7[],3,FALSE)</f>
        <v>#01GIVE</v>
      </c>
      <c r="J4269" t="s">
        <v>587</v>
      </c>
      <c r="K4269" s="195">
        <v>46055.35056712963</v>
      </c>
      <c r="L4269">
        <v>1800</v>
      </c>
      <c r="M4269">
        <v>0</v>
      </c>
      <c r="N4269" s="98" t="str">
        <f>IF(record[[#This Row],[Memo]]="Browser:chrome os:android","平板報工",IF(record[[#This Row],[Memo]]=0,"委外",record[[#This Row],[Memo]]))</f>
        <v/>
      </c>
      <c r="O4269" t="s">
        <v>58</v>
      </c>
      <c r="P4269" t="s">
        <v>1070</v>
      </c>
      <c r="Q4269" t="s">
        <v>58</v>
      </c>
      <c r="R4269" t="str">
        <f>IFERROR(VLOOKUP(record[[#This Row],[PCUSTID]],廠商[],2,FALSE),"")</f>
        <v/>
      </c>
      <c r="S4269" t="str">
        <f>VLOOKUP(record[[#This Row],[employeeID]],員工[],2,FALSE)</f>
        <v>陳昱佑</v>
      </c>
    </row>
    <row r="4270" spans="6:19" hidden="1" x14ac:dyDescent="0.25">
      <c r="F4270" t="s">
        <v>1484</v>
      </c>
      <c r="G4270" t="s">
        <v>428</v>
      </c>
      <c r="H4270" t="str">
        <f>VLOOKUP(record[[#This Row],[ProcessSN]],表格2_7[],2,FALSE)</f>
        <v>30-4118-018-600</v>
      </c>
      <c r="I4270" t="str">
        <f>VLOOKUP(record[[#This Row],[ProcessSN]],表格2_7[],3,FALSE)</f>
        <v>#100SHIP</v>
      </c>
      <c r="J4270" t="s">
        <v>600</v>
      </c>
      <c r="K4270" s="195">
        <v>46055.341863425929</v>
      </c>
      <c r="L4270">
        <v>12</v>
      </c>
      <c r="M4270">
        <v>0</v>
      </c>
      <c r="N4270" s="98" t="str">
        <f>IF(record[[#This Row],[Memo]]="Browser:chrome os:android","平板報工",IF(record[[#This Row],[Memo]]=0,"委外",record[[#This Row],[Memo]]))</f>
        <v/>
      </c>
      <c r="O4270" t="s">
        <v>58</v>
      </c>
      <c r="P4270" t="s">
        <v>886</v>
      </c>
      <c r="Q4270" t="s">
        <v>58</v>
      </c>
      <c r="R4270" t="str">
        <f>IFERROR(VLOOKUP(record[[#This Row],[PCUSTID]],廠商[],2,FALSE),"")</f>
        <v/>
      </c>
      <c r="S4270" t="str">
        <f>VLOOKUP(record[[#This Row],[employeeID]],員工[],2,FALSE)</f>
        <v>謝蓁薰</v>
      </c>
    </row>
    <row r="4271" spans="6:19" hidden="1" x14ac:dyDescent="0.25">
      <c r="F4271" t="s">
        <v>1407</v>
      </c>
      <c r="G4271" t="s">
        <v>362</v>
      </c>
      <c r="H4271" t="str">
        <f>VLOOKUP(record[[#This Row],[ProcessSN]],表格2_7[],2,FALSE)</f>
        <v>30-4118-018-450</v>
      </c>
      <c r="I4271" t="str">
        <f>VLOOKUP(record[[#This Row],[ProcessSN]],表格2_7[],3,FALSE)</f>
        <v>#100SHIP</v>
      </c>
      <c r="J4271" t="s">
        <v>600</v>
      </c>
      <c r="K4271" s="195">
        <v>46055.341620370367</v>
      </c>
      <c r="L4271">
        <v>7</v>
      </c>
      <c r="M4271">
        <v>0</v>
      </c>
      <c r="N4271" s="98" t="str">
        <f>IF(record[[#This Row],[Memo]]="Browser:chrome os:android","平板報工",IF(record[[#This Row],[Memo]]=0,"委外",record[[#This Row],[Memo]]))</f>
        <v/>
      </c>
      <c r="O4271" t="s">
        <v>58</v>
      </c>
      <c r="P4271" t="s">
        <v>886</v>
      </c>
      <c r="Q4271" t="s">
        <v>58</v>
      </c>
      <c r="R4271" t="str">
        <f>IFERROR(VLOOKUP(record[[#This Row],[PCUSTID]],廠商[],2,FALSE),"")</f>
        <v/>
      </c>
      <c r="S4271" t="str">
        <f>VLOOKUP(record[[#This Row],[employeeID]],員工[],2,FALSE)</f>
        <v>謝蓁薰</v>
      </c>
    </row>
    <row r="4272" spans="6:19" hidden="1" x14ac:dyDescent="0.25">
      <c r="F4272" t="s">
        <v>956</v>
      </c>
      <c r="G4272" t="s">
        <v>362</v>
      </c>
      <c r="H4272" t="str">
        <f>VLOOKUP(record[[#This Row],[ProcessSN]],表格2_7[],2,FALSE)</f>
        <v>30-4118-018-450</v>
      </c>
      <c r="I4272" t="str">
        <f>VLOOKUP(record[[#This Row],[ProcessSN]],表格2_7[],3,FALSE)</f>
        <v>#100SHIP</v>
      </c>
      <c r="J4272" t="s">
        <v>600</v>
      </c>
      <c r="K4272" s="195">
        <v>46055.341365740744</v>
      </c>
      <c r="L4272">
        <v>1</v>
      </c>
      <c r="M4272">
        <v>0</v>
      </c>
      <c r="N4272" s="98" t="str">
        <f>IF(record[[#This Row],[Memo]]="Browser:chrome os:android","平板報工",IF(record[[#This Row],[Memo]]=0,"委外",record[[#This Row],[Memo]]))</f>
        <v/>
      </c>
      <c r="O4272" t="s">
        <v>58</v>
      </c>
      <c r="P4272" t="s">
        <v>886</v>
      </c>
      <c r="Q4272" t="s">
        <v>58</v>
      </c>
      <c r="R4272" t="str">
        <f>IFERROR(VLOOKUP(record[[#This Row],[PCUSTID]],廠商[],2,FALSE),"")</f>
        <v/>
      </c>
      <c r="S4272" t="str">
        <f>VLOOKUP(record[[#This Row],[employeeID]],員工[],2,FALSE)</f>
        <v>謝蓁薰</v>
      </c>
    </row>
    <row r="4273" spans="6:19" hidden="1" x14ac:dyDescent="0.25">
      <c r="F4273" t="s">
        <v>1516</v>
      </c>
      <c r="G4273" t="s">
        <v>418</v>
      </c>
      <c r="H4273" t="str">
        <f>VLOOKUP(record[[#This Row],[ProcessSN]],表格2_7[],2,FALSE)</f>
        <v>30-4118-018-5XX</v>
      </c>
      <c r="I4273" t="str">
        <f>VLOOKUP(record[[#This Row],[ProcessSN]],表格2_7[],3,FALSE)</f>
        <v>#07</v>
      </c>
      <c r="J4273" t="s">
        <v>588</v>
      </c>
      <c r="K4273" s="195">
        <v>46053.712858796294</v>
      </c>
      <c r="L4273">
        <v>55</v>
      </c>
      <c r="M4273">
        <v>0</v>
      </c>
      <c r="N4273" s="98" t="str">
        <f>IF(record[[#This Row],[Memo]]="Browser:chrome os:android","平板報工",IF(record[[#This Row],[Memo]]=0,"委外",record[[#This Row],[Memo]]))</f>
        <v/>
      </c>
      <c r="O4273" t="s">
        <v>58</v>
      </c>
      <c r="P4273" t="s">
        <v>785</v>
      </c>
      <c r="Q4273" t="s">
        <v>58</v>
      </c>
      <c r="R4273" t="str">
        <f>IFERROR(VLOOKUP(record[[#This Row],[PCUSTID]],廠商[],2,FALSE),"")</f>
        <v/>
      </c>
      <c r="S4273" t="str">
        <f>VLOOKUP(record[[#This Row],[employeeID]],員工[],2,FALSE)</f>
        <v>謝刻光</v>
      </c>
    </row>
    <row r="4274" spans="6:19" hidden="1" x14ac:dyDescent="0.25">
      <c r="F4274" t="s">
        <v>1516</v>
      </c>
      <c r="G4274" t="s">
        <v>417</v>
      </c>
      <c r="H4274" t="str">
        <f>VLOOKUP(record[[#This Row],[ProcessSN]],表格2_7[],2,FALSE)</f>
        <v>30-4118-018-5XX</v>
      </c>
      <c r="I4274" t="str">
        <f>VLOOKUP(record[[#This Row],[ProcessSN]],表格2_7[],3,FALSE)</f>
        <v>#06</v>
      </c>
      <c r="J4274" t="s">
        <v>593</v>
      </c>
      <c r="K4274" s="195">
        <v>46053.712476851855</v>
      </c>
      <c r="L4274">
        <v>55</v>
      </c>
      <c r="M4274">
        <v>0</v>
      </c>
      <c r="N4274" s="98" t="str">
        <f>IF(record[[#This Row],[Memo]]="Browser:chrome os:android","平板報工",IF(record[[#This Row],[Memo]]=0,"委外",record[[#This Row],[Memo]]))</f>
        <v/>
      </c>
      <c r="O4274" t="s">
        <v>58</v>
      </c>
      <c r="P4274" t="s">
        <v>101</v>
      </c>
      <c r="Q4274" t="s">
        <v>58</v>
      </c>
      <c r="R4274" t="str">
        <f>IFERROR(VLOOKUP(record[[#This Row],[PCUSTID]],廠商[],2,FALSE),"")</f>
        <v/>
      </c>
      <c r="S4274" t="str">
        <f>VLOOKUP(record[[#This Row],[employeeID]],員工[],2,FALSE)</f>
        <v>陳氏絨</v>
      </c>
    </row>
    <row r="4275" spans="6:19" hidden="1" x14ac:dyDescent="0.25">
      <c r="F4275" t="s">
        <v>1516</v>
      </c>
      <c r="G4275" t="s">
        <v>418</v>
      </c>
      <c r="H4275" t="str">
        <f>VLOOKUP(record[[#This Row],[ProcessSN]],表格2_7[],2,FALSE)</f>
        <v>30-4118-018-5XX</v>
      </c>
      <c r="I4275" t="str">
        <f>VLOOKUP(record[[#This Row],[ProcessSN]],表格2_7[],3,FALSE)</f>
        <v>#07</v>
      </c>
      <c r="J4275" t="s">
        <v>588</v>
      </c>
      <c r="K4275" s="195">
        <v>46053.704884259256</v>
      </c>
      <c r="L4275">
        <v>39</v>
      </c>
      <c r="M4275">
        <v>0</v>
      </c>
      <c r="N4275" s="98" t="str">
        <f>IF(record[[#This Row],[Memo]]="Browser:chrome os:android","平板報工",IF(record[[#This Row],[Memo]]=0,"委外",record[[#This Row],[Memo]]))</f>
        <v/>
      </c>
      <c r="O4275" t="s">
        <v>58</v>
      </c>
      <c r="P4275" t="s">
        <v>785</v>
      </c>
      <c r="Q4275" t="s">
        <v>58</v>
      </c>
      <c r="R4275" t="str">
        <f>IFERROR(VLOOKUP(record[[#This Row],[PCUSTID]],廠商[],2,FALSE),"")</f>
        <v/>
      </c>
      <c r="S4275" t="str">
        <f>VLOOKUP(record[[#This Row],[employeeID]],員工[],2,FALSE)</f>
        <v>謝刻光</v>
      </c>
    </row>
    <row r="4276" spans="6:19" hidden="1" x14ac:dyDescent="0.25">
      <c r="F4276" t="s">
        <v>1531</v>
      </c>
      <c r="G4276" t="s">
        <v>467</v>
      </c>
      <c r="H4276" t="str">
        <f>VLOOKUP(record[[#This Row],[ProcessSN]],表格2_7[],2,FALSE)</f>
        <v>30-4118-018-XXX</v>
      </c>
      <c r="I4276" t="str">
        <f>VLOOKUP(record[[#This Row],[ProcessSN]],表格2_7[],3,FALSE)</f>
        <v>#01QC</v>
      </c>
      <c r="J4276" t="s">
        <v>589</v>
      </c>
      <c r="K4276" s="195">
        <v>46053.697870370372</v>
      </c>
      <c r="L4276">
        <v>667</v>
      </c>
      <c r="M4276">
        <v>0</v>
      </c>
      <c r="N4276" s="98" t="str">
        <f>IF(record[[#This Row],[Memo]]="Browser:chrome os:android","平板報工",IF(record[[#This Row],[Memo]]=0,"委外",record[[#This Row],[Memo]]))</f>
        <v>平板報工</v>
      </c>
      <c r="O4276" t="s">
        <v>643</v>
      </c>
      <c r="P4276" t="s">
        <v>182</v>
      </c>
      <c r="Q4276" t="s">
        <v>644</v>
      </c>
      <c r="R4276" t="str">
        <f>IFERROR(VLOOKUP(record[[#This Row],[PCUSTID]],廠商[],2,FALSE),"")</f>
        <v/>
      </c>
      <c r="S4276" t="str">
        <f>VLOOKUP(record[[#This Row],[employeeID]],員工[],2,FALSE)</f>
        <v>梅氏和</v>
      </c>
    </row>
    <row r="4277" spans="6:19" hidden="1" x14ac:dyDescent="0.25">
      <c r="F4277" t="s">
        <v>1531</v>
      </c>
      <c r="G4277" t="s">
        <v>466</v>
      </c>
      <c r="H4277" t="str">
        <f>VLOOKUP(record[[#This Row],[ProcessSN]],表格2_7[],2,FALSE)</f>
        <v>30-4118-018-XXX</v>
      </c>
      <c r="I4277" t="str">
        <f>VLOOKUP(record[[#This Row],[ProcessSN]],表格2_7[],3,FALSE)</f>
        <v>#01-2</v>
      </c>
      <c r="J4277" t="s">
        <v>588</v>
      </c>
      <c r="K4277" s="195">
        <v>46053.697083333333</v>
      </c>
      <c r="L4277">
        <v>147</v>
      </c>
      <c r="M4277">
        <v>0</v>
      </c>
      <c r="N4277" s="98" t="str">
        <f>IF(record[[#This Row],[Memo]]="Browser:chrome os:android","平板報工",IF(record[[#This Row],[Memo]]=0,"委外",record[[#This Row],[Memo]]))</f>
        <v/>
      </c>
      <c r="O4277" t="s">
        <v>58</v>
      </c>
      <c r="P4277" t="s">
        <v>101</v>
      </c>
      <c r="Q4277" t="s">
        <v>58</v>
      </c>
      <c r="R4277" t="str">
        <f>IFERROR(VLOOKUP(record[[#This Row],[PCUSTID]],廠商[],2,FALSE),"")</f>
        <v/>
      </c>
      <c r="S4277" t="str">
        <f>VLOOKUP(record[[#This Row],[employeeID]],員工[],2,FALSE)</f>
        <v>陳氏絨</v>
      </c>
    </row>
    <row r="4278" spans="6:19" hidden="1" x14ac:dyDescent="0.25">
      <c r="F4278" t="s">
        <v>1506</v>
      </c>
      <c r="G4278" t="s">
        <v>419</v>
      </c>
      <c r="H4278" t="str">
        <f>VLOOKUP(record[[#This Row],[ProcessSN]],表格2_7[],2,FALSE)</f>
        <v>30-4118-018-5XX</v>
      </c>
      <c r="I4278" t="str">
        <f>VLOOKUP(record[[#This Row],[ProcessSN]],表格2_7[],3,FALSE)</f>
        <v>#07QC</v>
      </c>
      <c r="J4278" t="s">
        <v>589</v>
      </c>
      <c r="K4278" s="195">
        <v>46053.68072916667</v>
      </c>
      <c r="L4278">
        <v>168</v>
      </c>
      <c r="M4278">
        <v>0</v>
      </c>
      <c r="N4278" s="98" t="str">
        <f>IF(record[[#This Row],[Memo]]="Browser:chrome os:android","平板報工",IF(record[[#This Row],[Memo]]=0,"委外",record[[#This Row],[Memo]]))</f>
        <v>平板報工</v>
      </c>
      <c r="O4278" t="s">
        <v>643</v>
      </c>
      <c r="P4278" t="s">
        <v>99</v>
      </c>
      <c r="Q4278" t="s">
        <v>644</v>
      </c>
      <c r="R4278" t="str">
        <f>IFERROR(VLOOKUP(record[[#This Row],[PCUSTID]],廠商[],2,FALSE),"")</f>
        <v/>
      </c>
      <c r="S4278" t="str">
        <f>VLOOKUP(record[[#This Row],[employeeID]],員工[],2,FALSE)</f>
        <v>阮氏河</v>
      </c>
    </row>
    <row r="4279" spans="6:19" hidden="1" x14ac:dyDescent="0.25">
      <c r="F4279" t="s">
        <v>1474</v>
      </c>
      <c r="G4279" t="s">
        <v>450</v>
      </c>
      <c r="H4279" t="str">
        <f>VLOOKUP(record[[#This Row],[ProcessSN]],表格2_7[],2,FALSE)</f>
        <v>30-4118-018-6XX</v>
      </c>
      <c r="I4279" t="str">
        <f>VLOOKUP(record[[#This Row],[ProcessSN]],表格2_7[],3,FALSE)</f>
        <v>#06</v>
      </c>
      <c r="J4279" t="s">
        <v>593</v>
      </c>
      <c r="K4279" s="195">
        <v>46053.663194444445</v>
      </c>
      <c r="L4279">
        <v>115</v>
      </c>
      <c r="M4279">
        <v>0</v>
      </c>
      <c r="N4279" s="98" t="str">
        <f>IF(record[[#This Row],[Memo]]="Browser:chrome os:android","平板報工",IF(record[[#This Row],[Memo]]=0,"委外",record[[#This Row],[Memo]]))</f>
        <v/>
      </c>
      <c r="O4279" t="s">
        <v>58</v>
      </c>
      <c r="P4279" t="s">
        <v>188</v>
      </c>
      <c r="Q4279" t="s">
        <v>58</v>
      </c>
      <c r="R4279" t="str">
        <f>IFERROR(VLOOKUP(record[[#This Row],[PCUSTID]],廠商[],2,FALSE),"")</f>
        <v/>
      </c>
      <c r="S4279" t="str">
        <f>VLOOKUP(record[[#This Row],[employeeID]],員工[],2,FALSE)</f>
        <v>阮氏璧紅</v>
      </c>
    </row>
    <row r="4280" spans="6:19" hidden="1" x14ac:dyDescent="0.25">
      <c r="F4280" t="s">
        <v>1474</v>
      </c>
      <c r="G4280" t="s">
        <v>450</v>
      </c>
      <c r="H4280" t="str">
        <f>VLOOKUP(record[[#This Row],[ProcessSN]],表格2_7[],2,FALSE)</f>
        <v>30-4118-018-6XX</v>
      </c>
      <c r="I4280" t="str">
        <f>VLOOKUP(record[[#This Row],[ProcessSN]],表格2_7[],3,FALSE)</f>
        <v>#06</v>
      </c>
      <c r="J4280" t="s">
        <v>593</v>
      </c>
      <c r="K4280" s="195">
        <v>46053.653599537036</v>
      </c>
      <c r="L4280">
        <v>114</v>
      </c>
      <c r="M4280">
        <v>0</v>
      </c>
      <c r="N4280" s="98" t="str">
        <f>IF(record[[#This Row],[Memo]]="Browser:chrome os:android","平板報工",IF(record[[#This Row],[Memo]]=0,"委外",record[[#This Row],[Memo]]))</f>
        <v>平板報工</v>
      </c>
      <c r="O4280" t="s">
        <v>643</v>
      </c>
      <c r="P4280" t="s">
        <v>1413</v>
      </c>
      <c r="Q4280" t="s">
        <v>644</v>
      </c>
      <c r="R4280" t="str">
        <f>IFERROR(VLOOKUP(record[[#This Row],[PCUSTID]],廠商[],2,FALSE),"")</f>
        <v/>
      </c>
      <c r="S4280" t="str">
        <f>VLOOKUP(record[[#This Row],[employeeID]],員工[],2,FALSE)</f>
        <v>阮氏芳英(芳)</v>
      </c>
    </row>
    <row r="4281" spans="6:19" hidden="1" x14ac:dyDescent="0.25">
      <c r="F4281" t="s">
        <v>1542</v>
      </c>
      <c r="G4281" t="s">
        <v>463</v>
      </c>
      <c r="H4281" t="str">
        <f>VLOOKUP(record[[#This Row],[ProcessSN]],表格2_7[],2,FALSE)</f>
        <v>30-4118-018-XXX</v>
      </c>
      <c r="I4281" t="str">
        <f>VLOOKUP(record[[#This Row],[ProcessSN]],表格2_7[],3,FALSE)</f>
        <v>#00IQC</v>
      </c>
      <c r="J4281" t="s">
        <v>583</v>
      </c>
      <c r="K4281" s="195">
        <v>46053.646319444444</v>
      </c>
      <c r="L4281">
        <v>1800</v>
      </c>
      <c r="M4281">
        <v>0</v>
      </c>
      <c r="N4281" s="98" t="str">
        <f>IF(record[[#This Row],[Memo]]="Browser:chrome os:android","平板報工",IF(record[[#This Row],[Memo]]=0,"委外",record[[#This Row],[Memo]]))</f>
        <v/>
      </c>
      <c r="O4281" t="s">
        <v>58</v>
      </c>
      <c r="P4281" t="s">
        <v>109</v>
      </c>
      <c r="Q4281" t="s">
        <v>58</v>
      </c>
      <c r="R4281" t="str">
        <f>IFERROR(VLOOKUP(record[[#This Row],[PCUSTID]],廠商[],2,FALSE),"")</f>
        <v/>
      </c>
      <c r="S4281" t="str">
        <f>VLOOKUP(record[[#This Row],[employeeID]],員工[],2,FALSE)</f>
        <v>裴氏璧鳳</v>
      </c>
    </row>
    <row r="4282" spans="6:19" hidden="1" x14ac:dyDescent="0.25">
      <c r="F4282" t="s">
        <v>1531</v>
      </c>
      <c r="G4282" t="s">
        <v>466</v>
      </c>
      <c r="H4282" t="str">
        <f>VLOOKUP(record[[#This Row],[ProcessSN]],表格2_7[],2,FALSE)</f>
        <v>30-4118-018-XXX</v>
      </c>
      <c r="I4282" t="str">
        <f>VLOOKUP(record[[#This Row],[ProcessSN]],表格2_7[],3,FALSE)</f>
        <v>#01-2</v>
      </c>
      <c r="J4282" t="s">
        <v>588</v>
      </c>
      <c r="K4282" s="195">
        <v>46053.639849537038</v>
      </c>
      <c r="L4282">
        <v>520</v>
      </c>
      <c r="M4282">
        <v>0</v>
      </c>
      <c r="N4282" s="98" t="str">
        <f>IF(record[[#This Row],[Memo]]="Browser:chrome os:android","平板報工",IF(record[[#This Row],[Memo]]=0,"委外",record[[#This Row],[Memo]]))</f>
        <v>平板報工</v>
      </c>
      <c r="O4282" t="s">
        <v>643</v>
      </c>
      <c r="P4282" t="s">
        <v>107</v>
      </c>
      <c r="Q4282" t="s">
        <v>644</v>
      </c>
      <c r="R4282" t="str">
        <f>IFERROR(VLOOKUP(record[[#This Row],[PCUSTID]],廠商[],2,FALSE),"")</f>
        <v/>
      </c>
      <c r="S4282" t="str">
        <f>VLOOKUP(record[[#This Row],[employeeID]],員工[],2,FALSE)</f>
        <v>黎氏順</v>
      </c>
    </row>
    <row r="4283" spans="6:19" hidden="1" x14ac:dyDescent="0.25">
      <c r="F4283" t="s">
        <v>1531</v>
      </c>
      <c r="G4283" t="s">
        <v>465</v>
      </c>
      <c r="H4283" t="str">
        <f>VLOOKUP(record[[#This Row],[ProcessSN]],表格2_7[],2,FALSE)</f>
        <v>30-4118-018-XXX</v>
      </c>
      <c r="I4283" t="str">
        <f>VLOOKUP(record[[#This Row],[ProcessSN]],表格2_7[],3,FALSE)</f>
        <v>#01-1</v>
      </c>
      <c r="J4283" t="s">
        <v>588</v>
      </c>
      <c r="K4283" s="195">
        <v>46053.639328703706</v>
      </c>
      <c r="L4283">
        <v>339</v>
      </c>
      <c r="M4283">
        <v>0</v>
      </c>
      <c r="N4283" s="98" t="str">
        <f>IF(record[[#This Row],[Memo]]="Browser:chrome os:android","平板報工",IF(record[[#This Row],[Memo]]=0,"委外",record[[#This Row],[Memo]]))</f>
        <v>平板報工</v>
      </c>
      <c r="O4283" t="s">
        <v>643</v>
      </c>
      <c r="P4283" t="s">
        <v>107</v>
      </c>
      <c r="Q4283" t="s">
        <v>644</v>
      </c>
      <c r="R4283" t="str">
        <f>IFERROR(VLOOKUP(record[[#This Row],[PCUSTID]],廠商[],2,FALSE),"")</f>
        <v/>
      </c>
      <c r="S4283" t="str">
        <f>VLOOKUP(record[[#This Row],[employeeID]],員工[],2,FALSE)</f>
        <v>黎氏順</v>
      </c>
    </row>
    <row r="4284" spans="6:19" hidden="1" x14ac:dyDescent="0.25">
      <c r="F4284" t="s">
        <v>1504</v>
      </c>
      <c r="G4284" t="s">
        <v>449</v>
      </c>
      <c r="H4284" t="str">
        <f>VLOOKUP(record[[#This Row],[ProcessSN]],表格2_7[],2,FALSE)</f>
        <v>30-4118-018-6XX</v>
      </c>
      <c r="I4284" t="str">
        <f>VLOOKUP(record[[#This Row],[ProcessSN]],表格2_7[],3,FALSE)</f>
        <v>#05</v>
      </c>
      <c r="J4284" t="s">
        <v>588</v>
      </c>
      <c r="K4284" s="195">
        <v>46053.632245370369</v>
      </c>
      <c r="L4284">
        <v>141</v>
      </c>
      <c r="M4284">
        <v>0</v>
      </c>
      <c r="N4284" s="98" t="str">
        <f>IF(record[[#This Row],[Memo]]="Browser:chrome os:android","平板報工",IF(record[[#This Row],[Memo]]=0,"委外",record[[#This Row],[Memo]]))</f>
        <v/>
      </c>
      <c r="O4284" t="s">
        <v>58</v>
      </c>
      <c r="P4284" t="s">
        <v>133</v>
      </c>
      <c r="Q4284" t="s">
        <v>58</v>
      </c>
      <c r="R4284" t="str">
        <f>IFERROR(VLOOKUP(record[[#This Row],[PCUSTID]],廠商[],2,FALSE),"")</f>
        <v/>
      </c>
      <c r="S4284" t="str">
        <f>VLOOKUP(record[[#This Row],[employeeID]],員工[],2,FALSE)</f>
        <v>黎長維</v>
      </c>
    </row>
    <row r="4285" spans="6:19" hidden="1" x14ac:dyDescent="0.25">
      <c r="F4285" t="s">
        <v>1474</v>
      </c>
      <c r="G4285" t="s">
        <v>449</v>
      </c>
      <c r="H4285" t="str">
        <f>VLOOKUP(record[[#This Row],[ProcessSN]],表格2_7[],2,FALSE)</f>
        <v>30-4118-018-6XX</v>
      </c>
      <c r="I4285" t="str">
        <f>VLOOKUP(record[[#This Row],[ProcessSN]],表格2_7[],3,FALSE)</f>
        <v>#05</v>
      </c>
      <c r="J4285" t="s">
        <v>588</v>
      </c>
      <c r="K4285" s="195">
        <v>46053.631990740738</v>
      </c>
      <c r="L4285">
        <v>141</v>
      </c>
      <c r="M4285">
        <v>0</v>
      </c>
      <c r="N4285" s="98" t="str">
        <f>IF(record[[#This Row],[Memo]]="Browser:chrome os:android","平板報工",IF(record[[#This Row],[Memo]]=0,"委外",record[[#This Row],[Memo]]))</f>
        <v/>
      </c>
      <c r="O4285" t="s">
        <v>58</v>
      </c>
      <c r="P4285" t="s">
        <v>133</v>
      </c>
      <c r="Q4285" t="s">
        <v>58</v>
      </c>
      <c r="R4285" t="str">
        <f>IFERROR(VLOOKUP(record[[#This Row],[PCUSTID]],廠商[],2,FALSE),"")</f>
        <v/>
      </c>
      <c r="S4285" t="str">
        <f>VLOOKUP(record[[#This Row],[employeeID]],員工[],2,FALSE)</f>
        <v>黎長維</v>
      </c>
    </row>
    <row r="4286" spans="6:19" hidden="1" x14ac:dyDescent="0.25">
      <c r="F4286" t="s">
        <v>1527</v>
      </c>
      <c r="G4286" t="s">
        <v>448</v>
      </c>
      <c r="H4286" t="str">
        <f>VLOOKUP(record[[#This Row],[ProcessSN]],表格2_7[],2,FALSE)</f>
        <v>30-4118-018-6XX</v>
      </c>
      <c r="I4286" t="str">
        <f>VLOOKUP(record[[#This Row],[ProcessSN]],表格2_7[],3,FALSE)</f>
        <v>#04</v>
      </c>
      <c r="J4286" t="s">
        <v>588</v>
      </c>
      <c r="K4286" s="195">
        <v>46053.631423611114</v>
      </c>
      <c r="L4286">
        <v>129</v>
      </c>
      <c r="M4286">
        <v>0</v>
      </c>
      <c r="N4286" s="98" t="str">
        <f>IF(record[[#This Row],[Memo]]="Browser:chrome os:android","平板報工",IF(record[[#This Row],[Memo]]=0,"委外",record[[#This Row],[Memo]]))</f>
        <v/>
      </c>
      <c r="O4286" t="s">
        <v>58</v>
      </c>
      <c r="P4286" t="s">
        <v>133</v>
      </c>
      <c r="Q4286" t="s">
        <v>58</v>
      </c>
      <c r="R4286" t="str">
        <f>IFERROR(VLOOKUP(record[[#This Row],[PCUSTID]],廠商[],2,FALSE),"")</f>
        <v/>
      </c>
      <c r="S4286" t="str">
        <f>VLOOKUP(record[[#This Row],[employeeID]],員工[],2,FALSE)</f>
        <v>黎長維</v>
      </c>
    </row>
    <row r="4287" spans="6:19" hidden="1" x14ac:dyDescent="0.25">
      <c r="F4287" t="s">
        <v>1531</v>
      </c>
      <c r="G4287" t="s">
        <v>467</v>
      </c>
      <c r="H4287" t="str">
        <f>VLOOKUP(record[[#This Row],[ProcessSN]],表格2_7[],2,FALSE)</f>
        <v>30-4118-018-XXX</v>
      </c>
      <c r="I4287" t="str">
        <f>VLOOKUP(record[[#This Row],[ProcessSN]],表格2_7[],3,FALSE)</f>
        <v>#01QC</v>
      </c>
      <c r="J4287" t="s">
        <v>589</v>
      </c>
      <c r="K4287" s="195">
        <v>46053.380624999998</v>
      </c>
      <c r="L4287">
        <v>1167</v>
      </c>
      <c r="M4287">
        <v>0</v>
      </c>
      <c r="N4287" s="98" t="str">
        <f>IF(record[[#This Row],[Memo]]="Browser:chrome os:android","平板報工",IF(record[[#This Row],[Memo]]=0,"委外",record[[#This Row],[Memo]]))</f>
        <v/>
      </c>
      <c r="O4287" t="s">
        <v>58</v>
      </c>
      <c r="P4287" t="s">
        <v>182</v>
      </c>
      <c r="Q4287" t="s">
        <v>58</v>
      </c>
      <c r="R4287" t="str">
        <f>IFERROR(VLOOKUP(record[[#This Row],[PCUSTID]],廠商[],2,FALSE),"")</f>
        <v/>
      </c>
      <c r="S4287" t="str">
        <f>VLOOKUP(record[[#This Row],[employeeID]],員工[],2,FALSE)</f>
        <v>梅氏和</v>
      </c>
    </row>
    <row r="4288" spans="6:19" hidden="1" x14ac:dyDescent="0.25">
      <c r="F4288" t="s">
        <v>1531</v>
      </c>
      <c r="G4288" t="s">
        <v>466</v>
      </c>
      <c r="H4288" t="str">
        <f>VLOOKUP(record[[#This Row],[ProcessSN]],表格2_7[],2,FALSE)</f>
        <v>30-4118-018-XXX</v>
      </c>
      <c r="I4288" t="str">
        <f>VLOOKUP(record[[#This Row],[ProcessSN]],表格2_7[],3,FALSE)</f>
        <v>#01-2</v>
      </c>
      <c r="J4288" t="s">
        <v>588</v>
      </c>
      <c r="K4288" s="195">
        <v>46053.380127314813</v>
      </c>
      <c r="L4288">
        <v>248</v>
      </c>
      <c r="M4288">
        <v>0</v>
      </c>
      <c r="N4288" s="98" t="str">
        <f>IF(record[[#This Row],[Memo]]="Browser:chrome os:android","平板報工",IF(record[[#This Row],[Memo]]=0,"委外",record[[#This Row],[Memo]]))</f>
        <v/>
      </c>
      <c r="O4288" t="s">
        <v>58</v>
      </c>
      <c r="P4288" t="s">
        <v>101</v>
      </c>
      <c r="Q4288" t="s">
        <v>58</v>
      </c>
      <c r="R4288" t="str">
        <f>IFERROR(VLOOKUP(record[[#This Row],[PCUSTID]],廠商[],2,FALSE),"")</f>
        <v/>
      </c>
      <c r="S4288" t="str">
        <f>VLOOKUP(record[[#This Row],[employeeID]],員工[],2,FALSE)</f>
        <v>陳氏絨</v>
      </c>
    </row>
    <row r="4289" spans="6:19" hidden="1" x14ac:dyDescent="0.25">
      <c r="F4289" t="s">
        <v>1474</v>
      </c>
      <c r="G4289" t="s">
        <v>450</v>
      </c>
      <c r="H4289" t="str">
        <f>VLOOKUP(record[[#This Row],[ProcessSN]],表格2_7[],2,FALSE)</f>
        <v>30-4118-018-6XX</v>
      </c>
      <c r="I4289" t="str">
        <f>VLOOKUP(record[[#This Row],[ProcessSN]],表格2_7[],3,FALSE)</f>
        <v>#06</v>
      </c>
      <c r="J4289" t="s">
        <v>593</v>
      </c>
      <c r="K4289" s="195">
        <v>46053.320173611108</v>
      </c>
      <c r="L4289">
        <v>48</v>
      </c>
      <c r="M4289">
        <v>0</v>
      </c>
      <c r="N4289" s="98" t="str">
        <f>IF(record[[#This Row],[Memo]]="Browser:chrome os:android","平板報工",IF(record[[#This Row],[Memo]]=0,"委外",record[[#This Row],[Memo]]))</f>
        <v/>
      </c>
      <c r="O4289" t="s">
        <v>58</v>
      </c>
      <c r="P4289" t="s">
        <v>841</v>
      </c>
      <c r="Q4289" t="s">
        <v>58</v>
      </c>
      <c r="R4289" t="str">
        <f>IFERROR(VLOOKUP(record[[#This Row],[PCUSTID]],廠商[],2,FALSE),"")</f>
        <v/>
      </c>
      <c r="S4289" t="str">
        <f>VLOOKUP(record[[#This Row],[employeeID]],員工[],2,FALSE)</f>
        <v>范氏香</v>
      </c>
    </row>
    <row r="4290" spans="6:19" hidden="1" x14ac:dyDescent="0.25">
      <c r="F4290" t="s">
        <v>1493</v>
      </c>
      <c r="G4290" t="s">
        <v>450</v>
      </c>
      <c r="H4290" t="str">
        <f>VLOOKUP(record[[#This Row],[ProcessSN]],表格2_7[],2,FALSE)</f>
        <v>30-4118-018-6XX</v>
      </c>
      <c r="I4290" t="str">
        <f>VLOOKUP(record[[#This Row],[ProcessSN]],表格2_7[],3,FALSE)</f>
        <v>#06</v>
      </c>
      <c r="J4290" t="s">
        <v>593</v>
      </c>
      <c r="K4290" s="195">
        <v>46053.3200462963</v>
      </c>
      <c r="L4290">
        <v>85</v>
      </c>
      <c r="M4290">
        <v>0</v>
      </c>
      <c r="N4290" s="98" t="str">
        <f>IF(record[[#This Row],[Memo]]="Browser:chrome os:android","平板報工",IF(record[[#This Row],[Memo]]=0,"委外",record[[#This Row],[Memo]]))</f>
        <v/>
      </c>
      <c r="O4290" t="s">
        <v>58</v>
      </c>
      <c r="P4290" t="s">
        <v>841</v>
      </c>
      <c r="Q4290" t="s">
        <v>58</v>
      </c>
      <c r="R4290" t="str">
        <f>IFERROR(VLOOKUP(record[[#This Row],[PCUSTID]],廠商[],2,FALSE),"")</f>
        <v/>
      </c>
      <c r="S4290" t="str">
        <f>VLOOKUP(record[[#This Row],[employeeID]],員工[],2,FALSE)</f>
        <v>范氏香</v>
      </c>
    </row>
    <row r="4291" spans="6:19" hidden="1" x14ac:dyDescent="0.25">
      <c r="F4291" t="s">
        <v>1531</v>
      </c>
      <c r="G4291" t="s">
        <v>466</v>
      </c>
      <c r="H4291" t="str">
        <f>VLOOKUP(record[[#This Row],[ProcessSN]],表格2_7[],2,FALSE)</f>
        <v>30-4118-018-XXX</v>
      </c>
      <c r="I4291" t="str">
        <f>VLOOKUP(record[[#This Row],[ProcessSN]],表格2_7[],3,FALSE)</f>
        <v>#01-2</v>
      </c>
      <c r="J4291" t="s">
        <v>588</v>
      </c>
      <c r="K4291" s="195">
        <v>46053.318506944444</v>
      </c>
      <c r="L4291">
        <v>472</v>
      </c>
      <c r="M4291">
        <v>5</v>
      </c>
      <c r="N4291" s="98" t="str">
        <f>IF(record[[#This Row],[Memo]]="Browser:chrome os:android","平板報工",IF(record[[#This Row],[Memo]]=0,"委外",record[[#This Row],[Memo]]))</f>
        <v/>
      </c>
      <c r="O4291" t="s">
        <v>58</v>
      </c>
      <c r="P4291" t="s">
        <v>806</v>
      </c>
      <c r="Q4291" t="s">
        <v>58</v>
      </c>
      <c r="R4291" t="str">
        <f>IFERROR(VLOOKUP(record[[#This Row],[PCUSTID]],廠商[],2,FALSE),"")</f>
        <v/>
      </c>
      <c r="S4291" t="str">
        <f>VLOOKUP(record[[#This Row],[employeeID]],員工[],2,FALSE)</f>
        <v>方思緯</v>
      </c>
    </row>
    <row r="4292" spans="6:19" hidden="1" x14ac:dyDescent="0.25">
      <c r="F4292" t="s">
        <v>1531</v>
      </c>
      <c r="G4292" t="s">
        <v>465</v>
      </c>
      <c r="H4292" t="str">
        <f>VLOOKUP(record[[#This Row],[ProcessSN]],表格2_7[],2,FALSE)</f>
        <v>30-4118-018-XXX</v>
      </c>
      <c r="I4292" t="str">
        <f>VLOOKUP(record[[#This Row],[ProcessSN]],表格2_7[],3,FALSE)</f>
        <v>#01-1</v>
      </c>
      <c r="J4292" t="s">
        <v>588</v>
      </c>
      <c r="K4292" s="195">
        <v>46053.318032407406</v>
      </c>
      <c r="L4292">
        <v>540</v>
      </c>
      <c r="M4292">
        <v>0</v>
      </c>
      <c r="N4292" s="98" t="str">
        <f>IF(record[[#This Row],[Memo]]="Browser:chrome os:android","平板報工",IF(record[[#This Row],[Memo]]=0,"委外",record[[#This Row],[Memo]]))</f>
        <v/>
      </c>
      <c r="O4292" t="s">
        <v>58</v>
      </c>
      <c r="P4292" t="s">
        <v>806</v>
      </c>
      <c r="Q4292" t="s">
        <v>58</v>
      </c>
      <c r="R4292" t="str">
        <f>IFERROR(VLOOKUP(record[[#This Row],[PCUSTID]],廠商[],2,FALSE),"")</f>
        <v/>
      </c>
      <c r="S4292" t="str">
        <f>VLOOKUP(record[[#This Row],[employeeID]],員工[],2,FALSE)</f>
        <v>方思緯</v>
      </c>
    </row>
    <row r="4293" spans="6:19" hidden="1" x14ac:dyDescent="0.25">
      <c r="F4293" t="s">
        <v>1516</v>
      </c>
      <c r="G4293" t="s">
        <v>418</v>
      </c>
      <c r="H4293" t="str">
        <f>VLOOKUP(record[[#This Row],[ProcessSN]],表格2_7[],2,FALSE)</f>
        <v>30-4118-018-5XX</v>
      </c>
      <c r="I4293" t="str">
        <f>VLOOKUP(record[[#This Row],[ProcessSN]],表格2_7[],3,FALSE)</f>
        <v>#07</v>
      </c>
      <c r="J4293" t="s">
        <v>588</v>
      </c>
      <c r="K4293" s="195">
        <v>46053.316770833335</v>
      </c>
      <c r="L4293">
        <v>72</v>
      </c>
      <c r="M4293">
        <v>1</v>
      </c>
      <c r="N4293" s="98" t="str">
        <f>IF(record[[#This Row],[Memo]]="Browser:chrome os:android","平板報工",IF(record[[#This Row],[Memo]]=0,"委外",record[[#This Row],[Memo]]))</f>
        <v/>
      </c>
      <c r="O4293" t="s">
        <v>58</v>
      </c>
      <c r="P4293" t="s">
        <v>843</v>
      </c>
      <c r="Q4293" t="s">
        <v>58</v>
      </c>
      <c r="R4293" t="str">
        <f>IFERROR(VLOOKUP(record[[#This Row],[PCUSTID]],廠商[],2,FALSE),"")</f>
        <v/>
      </c>
      <c r="S4293" t="str">
        <f>VLOOKUP(record[[#This Row],[employeeID]],員工[],2,FALSE)</f>
        <v>張楚承</v>
      </c>
    </row>
    <row r="4294" spans="6:19" hidden="1" x14ac:dyDescent="0.25">
      <c r="F4294" t="s">
        <v>1506</v>
      </c>
      <c r="G4294" t="s">
        <v>418</v>
      </c>
      <c r="H4294" t="str">
        <f>VLOOKUP(record[[#This Row],[ProcessSN]],表格2_7[],2,FALSE)</f>
        <v>30-4118-018-5XX</v>
      </c>
      <c r="I4294" t="str">
        <f>VLOOKUP(record[[#This Row],[ProcessSN]],表格2_7[],3,FALSE)</f>
        <v>#07</v>
      </c>
      <c r="J4294" t="s">
        <v>588</v>
      </c>
      <c r="K4294" s="195">
        <v>46053.31659722222</v>
      </c>
      <c r="L4294">
        <v>90</v>
      </c>
      <c r="M4294">
        <v>0</v>
      </c>
      <c r="N4294" s="98" t="str">
        <f>IF(record[[#This Row],[Memo]]="Browser:chrome os:android","平板報工",IF(record[[#This Row],[Memo]]=0,"委外",record[[#This Row],[Memo]]))</f>
        <v/>
      </c>
      <c r="O4294" t="s">
        <v>58</v>
      </c>
      <c r="P4294" t="s">
        <v>843</v>
      </c>
      <c r="Q4294" t="s">
        <v>58</v>
      </c>
      <c r="R4294" t="str">
        <f>IFERROR(VLOOKUP(record[[#This Row],[PCUSTID]],廠商[],2,FALSE),"")</f>
        <v/>
      </c>
      <c r="S4294" t="str">
        <f>VLOOKUP(record[[#This Row],[employeeID]],員工[],2,FALSE)</f>
        <v>張楚承</v>
      </c>
    </row>
    <row r="4295" spans="6:19" hidden="1" x14ac:dyDescent="0.25">
      <c r="F4295" t="s">
        <v>1474</v>
      </c>
      <c r="G4295" t="s">
        <v>449</v>
      </c>
      <c r="H4295" t="str">
        <f>VLOOKUP(record[[#This Row],[ProcessSN]],表格2_7[],2,FALSE)</f>
        <v>30-4118-018-6XX</v>
      </c>
      <c r="I4295" t="str">
        <f>VLOOKUP(record[[#This Row],[ProcessSN]],表格2_7[],3,FALSE)</f>
        <v>#05</v>
      </c>
      <c r="J4295" t="s">
        <v>588</v>
      </c>
      <c r="K4295" s="195">
        <v>46053.316168981481</v>
      </c>
      <c r="L4295">
        <v>178</v>
      </c>
      <c r="M4295">
        <v>0</v>
      </c>
      <c r="N4295" s="98" t="str">
        <f>IF(record[[#This Row],[Memo]]="Browser:chrome os:android","平板報工",IF(record[[#This Row],[Memo]]=0,"委外",record[[#This Row],[Memo]]))</f>
        <v/>
      </c>
      <c r="O4295" t="s">
        <v>58</v>
      </c>
      <c r="P4295" t="s">
        <v>843</v>
      </c>
      <c r="Q4295" t="s">
        <v>58</v>
      </c>
      <c r="R4295" t="str">
        <f>IFERROR(VLOOKUP(record[[#This Row],[PCUSTID]],廠商[],2,FALSE),"")</f>
        <v/>
      </c>
      <c r="S4295" t="str">
        <f>VLOOKUP(record[[#This Row],[employeeID]],員工[],2,FALSE)</f>
        <v>張楚承</v>
      </c>
    </row>
    <row r="4296" spans="6:19" hidden="1" x14ac:dyDescent="0.25">
      <c r="F4296" t="s">
        <v>1493</v>
      </c>
      <c r="G4296" t="s">
        <v>449</v>
      </c>
      <c r="H4296" t="str">
        <f>VLOOKUP(record[[#This Row],[ProcessSN]],表格2_7[],2,FALSE)</f>
        <v>30-4118-018-6XX</v>
      </c>
      <c r="I4296" t="str">
        <f>VLOOKUP(record[[#This Row],[ProcessSN]],表格2_7[],3,FALSE)</f>
        <v>#05</v>
      </c>
      <c r="J4296" t="s">
        <v>588</v>
      </c>
      <c r="K4296" s="195">
        <v>46053.316018518519</v>
      </c>
      <c r="L4296">
        <v>15</v>
      </c>
      <c r="M4296">
        <v>0</v>
      </c>
      <c r="N4296" s="98" t="str">
        <f>IF(record[[#This Row],[Memo]]="Browser:chrome os:android","平板報工",IF(record[[#This Row],[Memo]]=0,"委外",record[[#This Row],[Memo]]))</f>
        <v/>
      </c>
      <c r="O4296" t="s">
        <v>58</v>
      </c>
      <c r="P4296" t="s">
        <v>843</v>
      </c>
      <c r="Q4296" t="s">
        <v>58</v>
      </c>
      <c r="R4296" t="str">
        <f>IFERROR(VLOOKUP(record[[#This Row],[PCUSTID]],廠商[],2,FALSE),"")</f>
        <v/>
      </c>
      <c r="S4296" t="str">
        <f>VLOOKUP(record[[#This Row],[employeeID]],員工[],2,FALSE)</f>
        <v>張楚承</v>
      </c>
    </row>
    <row r="4297" spans="6:19" hidden="1" x14ac:dyDescent="0.25">
      <c r="F4297" t="s">
        <v>1527</v>
      </c>
      <c r="G4297" t="s">
        <v>448</v>
      </c>
      <c r="H4297" t="str">
        <f>VLOOKUP(record[[#This Row],[ProcessSN]],表格2_7[],2,FALSE)</f>
        <v>30-4118-018-6XX</v>
      </c>
      <c r="I4297" t="str">
        <f>VLOOKUP(record[[#This Row],[ProcessSN]],表格2_7[],3,FALSE)</f>
        <v>#04</v>
      </c>
      <c r="J4297" t="s">
        <v>588</v>
      </c>
      <c r="K4297" s="195">
        <v>46053.314849537041</v>
      </c>
      <c r="L4297">
        <v>114</v>
      </c>
      <c r="M4297">
        <v>0</v>
      </c>
      <c r="N4297" s="98" t="str">
        <f>IF(record[[#This Row],[Memo]]="Browser:chrome os:android","平板報工",IF(record[[#This Row],[Memo]]=0,"委外",record[[#This Row],[Memo]]))</f>
        <v/>
      </c>
      <c r="O4297" t="s">
        <v>58</v>
      </c>
      <c r="P4297" t="s">
        <v>135</v>
      </c>
      <c r="Q4297" t="s">
        <v>58</v>
      </c>
      <c r="R4297" t="str">
        <f>IFERROR(VLOOKUP(record[[#This Row],[PCUSTID]],廠商[],2,FALSE),"")</f>
        <v/>
      </c>
      <c r="S4297" t="str">
        <f>VLOOKUP(record[[#This Row],[employeeID]],員工[],2,FALSE)</f>
        <v>阮士文</v>
      </c>
    </row>
    <row r="4298" spans="6:19" hidden="1" x14ac:dyDescent="0.25">
      <c r="F4298" t="s">
        <v>1527</v>
      </c>
      <c r="G4298" t="s">
        <v>448</v>
      </c>
      <c r="H4298" t="str">
        <f>VLOOKUP(record[[#This Row],[ProcessSN]],表格2_7[],2,FALSE)</f>
        <v>30-4118-018-6XX</v>
      </c>
      <c r="I4298" t="str">
        <f>VLOOKUP(record[[#This Row],[ProcessSN]],表格2_7[],3,FALSE)</f>
        <v>#04</v>
      </c>
      <c r="J4298" t="s">
        <v>588</v>
      </c>
      <c r="K4298" s="195">
        <v>46052.965995370374</v>
      </c>
      <c r="L4298">
        <v>125</v>
      </c>
      <c r="M4298">
        <v>0</v>
      </c>
      <c r="N4298" s="98" t="str">
        <f>IF(record[[#This Row],[Memo]]="Browser:chrome os:android","平板報工",IF(record[[#This Row],[Memo]]=0,"委外",record[[#This Row],[Memo]]))</f>
        <v/>
      </c>
      <c r="O4298" t="s">
        <v>58</v>
      </c>
      <c r="P4298" t="s">
        <v>1098</v>
      </c>
      <c r="Q4298" t="s">
        <v>58</v>
      </c>
      <c r="R4298" t="str">
        <f>IFERROR(VLOOKUP(record[[#This Row],[PCUSTID]],廠商[],2,FALSE),"")</f>
        <v/>
      </c>
      <c r="S4298" t="str">
        <f>VLOOKUP(record[[#This Row],[employeeID]],員工[],2,FALSE)</f>
        <v>阮氏芳英(英)</v>
      </c>
    </row>
    <row r="4299" spans="6:19" hidden="1" x14ac:dyDescent="0.25">
      <c r="F4299" t="s">
        <v>1506</v>
      </c>
      <c r="G4299" t="s">
        <v>418</v>
      </c>
      <c r="H4299" t="str">
        <f>VLOOKUP(record[[#This Row],[ProcessSN]],表格2_7[],2,FALSE)</f>
        <v>30-4118-018-5XX</v>
      </c>
      <c r="I4299" t="str">
        <f>VLOOKUP(record[[#This Row],[ProcessSN]],表格2_7[],3,FALSE)</f>
        <v>#07</v>
      </c>
      <c r="J4299" t="s">
        <v>588</v>
      </c>
      <c r="K4299" s="195">
        <v>46052.96429398148</v>
      </c>
      <c r="L4299">
        <v>223</v>
      </c>
      <c r="M4299">
        <v>2</v>
      </c>
      <c r="N4299" s="98" t="str">
        <f>IF(record[[#This Row],[Memo]]="Browser:chrome os:android","平板報工",IF(record[[#This Row],[Memo]]=0,"委外",record[[#This Row],[Memo]]))</f>
        <v/>
      </c>
      <c r="O4299" t="s">
        <v>58</v>
      </c>
      <c r="P4299" t="s">
        <v>1098</v>
      </c>
      <c r="Q4299" t="s">
        <v>58</v>
      </c>
      <c r="R4299" t="str">
        <f>IFERROR(VLOOKUP(record[[#This Row],[PCUSTID]],廠商[],2,FALSE),"")</f>
        <v/>
      </c>
      <c r="S4299" t="str">
        <f>VLOOKUP(record[[#This Row],[employeeID]],員工[],2,FALSE)</f>
        <v>阮氏芳英(英)</v>
      </c>
    </row>
    <row r="4300" spans="6:19" hidden="1" x14ac:dyDescent="0.25">
      <c r="F4300" t="s">
        <v>1506</v>
      </c>
      <c r="G4300" t="s">
        <v>417</v>
      </c>
      <c r="H4300" t="str">
        <f>VLOOKUP(record[[#This Row],[ProcessSN]],表格2_7[],2,FALSE)</f>
        <v>30-4118-018-5XX</v>
      </c>
      <c r="I4300" t="str">
        <f>VLOOKUP(record[[#This Row],[ProcessSN]],表格2_7[],3,FALSE)</f>
        <v>#06</v>
      </c>
      <c r="J4300" t="s">
        <v>593</v>
      </c>
      <c r="K4300" s="195">
        <v>46052.963275462964</v>
      </c>
      <c r="L4300">
        <v>94</v>
      </c>
      <c r="M4300">
        <v>0</v>
      </c>
      <c r="N4300" s="98" t="str">
        <f>IF(record[[#This Row],[Memo]]="Browser:chrome os:android","平板報工",IF(record[[#This Row],[Memo]]=0,"委外",record[[#This Row],[Memo]]))</f>
        <v/>
      </c>
      <c r="O4300" t="s">
        <v>58</v>
      </c>
      <c r="P4300" t="s">
        <v>133</v>
      </c>
      <c r="Q4300" t="s">
        <v>58</v>
      </c>
      <c r="R4300" t="str">
        <f>IFERROR(VLOOKUP(record[[#This Row],[PCUSTID]],廠商[],2,FALSE),"")</f>
        <v/>
      </c>
      <c r="S4300" t="str">
        <f>VLOOKUP(record[[#This Row],[employeeID]],員工[],2,FALSE)</f>
        <v>黎長維</v>
      </c>
    </row>
    <row r="4301" spans="6:19" hidden="1" x14ac:dyDescent="0.25">
      <c r="F4301" t="s">
        <v>1531</v>
      </c>
      <c r="G4301" t="s">
        <v>465</v>
      </c>
      <c r="H4301" t="str">
        <f>VLOOKUP(record[[#This Row],[ProcessSN]],表格2_7[],2,FALSE)</f>
        <v>30-4118-018-XXX</v>
      </c>
      <c r="I4301" t="str">
        <f>VLOOKUP(record[[#This Row],[ProcessSN]],表格2_7[],3,FALSE)</f>
        <v>#01-1</v>
      </c>
      <c r="J4301" t="s">
        <v>588</v>
      </c>
      <c r="K4301" s="195">
        <v>46052.961157407408</v>
      </c>
      <c r="L4301">
        <v>520</v>
      </c>
      <c r="M4301">
        <v>0</v>
      </c>
      <c r="N4301" s="98" t="str">
        <f>IF(record[[#This Row],[Memo]]="Browser:chrome os:android","平板報工",IF(record[[#This Row],[Memo]]=0,"委外",record[[#This Row],[Memo]]))</f>
        <v/>
      </c>
      <c r="O4301" t="s">
        <v>58</v>
      </c>
      <c r="P4301" t="s">
        <v>89</v>
      </c>
      <c r="Q4301" t="s">
        <v>58</v>
      </c>
      <c r="R4301" t="str">
        <f>IFERROR(VLOOKUP(record[[#This Row],[PCUSTID]],廠商[],2,FALSE),"")</f>
        <v/>
      </c>
      <c r="S4301" t="str">
        <f>VLOOKUP(record[[#This Row],[employeeID]],員工[],2,FALSE)</f>
        <v>李美蓮</v>
      </c>
    </row>
    <row r="4302" spans="6:19" hidden="1" x14ac:dyDescent="0.25">
      <c r="F4302" t="s">
        <v>1493</v>
      </c>
      <c r="G4302" t="s">
        <v>449</v>
      </c>
      <c r="H4302" t="str">
        <f>VLOOKUP(record[[#This Row],[ProcessSN]],表格2_7[],2,FALSE)</f>
        <v>30-4118-018-6XX</v>
      </c>
      <c r="I4302" t="str">
        <f>VLOOKUP(record[[#This Row],[ProcessSN]],表格2_7[],3,FALSE)</f>
        <v>#05</v>
      </c>
      <c r="J4302" t="s">
        <v>588</v>
      </c>
      <c r="K4302" s="195">
        <v>46052.960810185185</v>
      </c>
      <c r="L4302">
        <v>70</v>
      </c>
      <c r="M4302">
        <v>0</v>
      </c>
      <c r="N4302" s="98" t="str">
        <f>IF(record[[#This Row],[Memo]]="Browser:chrome os:android","平板報工",IF(record[[#This Row],[Memo]]=0,"委外",record[[#This Row],[Memo]]))</f>
        <v/>
      </c>
      <c r="O4302" t="s">
        <v>58</v>
      </c>
      <c r="P4302" t="s">
        <v>89</v>
      </c>
      <c r="Q4302" t="s">
        <v>58</v>
      </c>
      <c r="R4302" t="str">
        <f>IFERROR(VLOOKUP(record[[#This Row],[PCUSTID]],廠商[],2,FALSE),"")</f>
        <v/>
      </c>
      <c r="S4302" t="str">
        <f>VLOOKUP(record[[#This Row],[employeeID]],員工[],2,FALSE)</f>
        <v>李美蓮</v>
      </c>
    </row>
    <row r="4303" spans="6:19" hidden="1" x14ac:dyDescent="0.25">
      <c r="F4303" t="s">
        <v>1516</v>
      </c>
      <c r="G4303" t="s">
        <v>416</v>
      </c>
      <c r="H4303" t="str">
        <f>VLOOKUP(record[[#This Row],[ProcessSN]],表格2_7[],2,FALSE)</f>
        <v>30-4118-018-5XX</v>
      </c>
      <c r="I4303" t="str">
        <f>VLOOKUP(record[[#This Row],[ProcessSN]],表格2_7[],3,FALSE)</f>
        <v>#05</v>
      </c>
      <c r="J4303" t="s">
        <v>588</v>
      </c>
      <c r="K4303" s="195">
        <v>46052.960520833331</v>
      </c>
      <c r="L4303">
        <v>41</v>
      </c>
      <c r="M4303">
        <v>0</v>
      </c>
      <c r="N4303" s="98" t="str">
        <f>IF(record[[#This Row],[Memo]]="Browser:chrome os:android","平板報工",IF(record[[#This Row],[Memo]]=0,"委外",record[[#This Row],[Memo]]))</f>
        <v/>
      </c>
      <c r="O4303" t="s">
        <v>58</v>
      </c>
      <c r="P4303" t="s">
        <v>89</v>
      </c>
      <c r="Q4303" t="s">
        <v>58</v>
      </c>
      <c r="R4303" t="str">
        <f>IFERROR(VLOOKUP(record[[#This Row],[PCUSTID]],廠商[],2,FALSE),"")</f>
        <v/>
      </c>
      <c r="S4303" t="str">
        <f>VLOOKUP(record[[#This Row],[employeeID]],員工[],2,FALSE)</f>
        <v>李美蓮</v>
      </c>
    </row>
    <row r="4304" spans="6:19" hidden="1" x14ac:dyDescent="0.25">
      <c r="F4304" t="s">
        <v>1506</v>
      </c>
      <c r="G4304" t="s">
        <v>416</v>
      </c>
      <c r="H4304" t="str">
        <f>VLOOKUP(record[[#This Row],[ProcessSN]],表格2_7[],2,FALSE)</f>
        <v>30-4118-018-5XX</v>
      </c>
      <c r="I4304" t="str">
        <f>VLOOKUP(record[[#This Row],[ProcessSN]],表格2_7[],3,FALSE)</f>
        <v>#05</v>
      </c>
      <c r="J4304" t="s">
        <v>588</v>
      </c>
      <c r="K4304" s="195">
        <v>46052.96020833333</v>
      </c>
      <c r="L4304">
        <v>94</v>
      </c>
      <c r="M4304">
        <v>0</v>
      </c>
      <c r="N4304" s="98" t="str">
        <f>IF(record[[#This Row],[Memo]]="Browser:chrome os:android","平板報工",IF(record[[#This Row],[Memo]]=0,"委外",record[[#This Row],[Memo]]))</f>
        <v/>
      </c>
      <c r="O4304" t="s">
        <v>58</v>
      </c>
      <c r="P4304" t="s">
        <v>89</v>
      </c>
      <c r="Q4304" t="s">
        <v>58</v>
      </c>
      <c r="R4304" t="str">
        <f>IFERROR(VLOOKUP(record[[#This Row],[PCUSTID]],廠商[],2,FALSE),"")</f>
        <v/>
      </c>
      <c r="S4304" t="str">
        <f>VLOOKUP(record[[#This Row],[employeeID]],員工[],2,FALSE)</f>
        <v>李美蓮</v>
      </c>
    </row>
    <row r="4305" spans="6:19" hidden="1" x14ac:dyDescent="0.25">
      <c r="F4305" t="s">
        <v>1534</v>
      </c>
      <c r="G4305" t="s">
        <v>424</v>
      </c>
      <c r="H4305" t="str">
        <f>VLOOKUP(record[[#This Row],[ProcessSN]],表格2_7[],2,FALSE)</f>
        <v>30-4118-018-600</v>
      </c>
      <c r="I4305" t="str">
        <f>VLOOKUP(record[[#This Row],[ProcessSN]],表格2_7[],3,FALSE)</f>
        <v>#08IQC</v>
      </c>
      <c r="J4305" t="s">
        <v>583</v>
      </c>
      <c r="K4305" s="195">
        <v>46052.688819444447</v>
      </c>
      <c r="L4305">
        <v>672</v>
      </c>
      <c r="M4305">
        <v>0</v>
      </c>
      <c r="N4305" s="98" t="str">
        <f>IF(record[[#This Row],[Memo]]="Browser:chrome os:android","平板報工",IF(record[[#This Row],[Memo]]=0,"委外",record[[#This Row],[Memo]]))</f>
        <v/>
      </c>
      <c r="O4305" t="s">
        <v>58</v>
      </c>
      <c r="P4305" t="s">
        <v>109</v>
      </c>
      <c r="Q4305" t="s">
        <v>58</v>
      </c>
      <c r="R4305" t="str">
        <f>IFERROR(VLOOKUP(record[[#This Row],[PCUSTID]],廠商[],2,FALSE),"")</f>
        <v/>
      </c>
      <c r="S4305" t="str">
        <f>VLOOKUP(record[[#This Row],[employeeID]],員工[],2,FALSE)</f>
        <v>裴氏璧鳳</v>
      </c>
    </row>
    <row r="4306" spans="6:19" hidden="1" x14ac:dyDescent="0.25">
      <c r="F4306" t="s">
        <v>1522</v>
      </c>
      <c r="G4306" t="s">
        <v>424</v>
      </c>
      <c r="H4306" t="str">
        <f>VLOOKUP(record[[#This Row],[ProcessSN]],表格2_7[],2,FALSE)</f>
        <v>30-4118-018-600</v>
      </c>
      <c r="I4306" t="str">
        <f>VLOOKUP(record[[#This Row],[ProcessSN]],表格2_7[],3,FALSE)</f>
        <v>#08IQC</v>
      </c>
      <c r="J4306" t="s">
        <v>583</v>
      </c>
      <c r="K4306" s="195">
        <v>46052.688715277778</v>
      </c>
      <c r="L4306">
        <v>141</v>
      </c>
      <c r="M4306">
        <v>0</v>
      </c>
      <c r="N4306" s="98" t="str">
        <f>IF(record[[#This Row],[Memo]]="Browser:chrome os:android","平板報工",IF(record[[#This Row],[Memo]]=0,"委外",record[[#This Row],[Memo]]))</f>
        <v/>
      </c>
      <c r="O4306" t="s">
        <v>58</v>
      </c>
      <c r="P4306" t="s">
        <v>109</v>
      </c>
      <c r="Q4306" t="s">
        <v>58</v>
      </c>
      <c r="R4306" t="str">
        <f>IFERROR(VLOOKUP(record[[#This Row],[PCUSTID]],廠商[],2,FALSE),"")</f>
        <v/>
      </c>
      <c r="S4306" t="str">
        <f>VLOOKUP(record[[#This Row],[employeeID]],員工[],2,FALSE)</f>
        <v>裴氏璧鳳</v>
      </c>
    </row>
    <row r="4307" spans="6:19" hidden="1" x14ac:dyDescent="0.25">
      <c r="F4307" t="s">
        <v>1542</v>
      </c>
      <c r="G4307" t="s">
        <v>462</v>
      </c>
      <c r="H4307" t="str">
        <f>VLOOKUP(record[[#This Row],[ProcessSN]],表格2_7[],2,FALSE)</f>
        <v>30-4118-018-XXX</v>
      </c>
      <c r="I4307" t="str">
        <f>VLOOKUP(record[[#This Row],[ProcessSN]],表格2_7[],3,FALSE)</f>
        <v>#00PICK</v>
      </c>
      <c r="J4307" t="s">
        <v>582</v>
      </c>
      <c r="K4307" s="195">
        <v>46052.685856481483</v>
      </c>
      <c r="L4307">
        <v>1800</v>
      </c>
      <c r="M4307">
        <v>0</v>
      </c>
      <c r="N4307" s="98" t="str">
        <f>IF(record[[#This Row],[Memo]]="Browser:chrome os:android","平板報工",IF(record[[#This Row],[Memo]]=0,"委外",record[[#This Row],[Memo]]))</f>
        <v/>
      </c>
      <c r="O4307" t="s">
        <v>58</v>
      </c>
      <c r="P4307" t="s">
        <v>186</v>
      </c>
      <c r="Q4307" t="s">
        <v>58</v>
      </c>
      <c r="R4307" t="str">
        <f>IFERROR(VLOOKUP(record[[#This Row],[PCUSTID]],廠商[],2,FALSE),"")</f>
        <v/>
      </c>
      <c r="S4307" t="str">
        <f>VLOOKUP(record[[#This Row],[employeeID]],員工[],2,FALSE)</f>
        <v>許文姍</v>
      </c>
    </row>
    <row r="4308" spans="6:19" hidden="1" x14ac:dyDescent="0.25">
      <c r="F4308" t="s">
        <v>1506</v>
      </c>
      <c r="G4308" t="s">
        <v>417</v>
      </c>
      <c r="H4308" t="str">
        <f>VLOOKUP(record[[#This Row],[ProcessSN]],表格2_7[],2,FALSE)</f>
        <v>30-4118-018-5XX</v>
      </c>
      <c r="I4308" t="str">
        <f>VLOOKUP(record[[#This Row],[ProcessSN]],表格2_7[],3,FALSE)</f>
        <v>#06</v>
      </c>
      <c r="J4308" t="s">
        <v>593</v>
      </c>
      <c r="K4308" s="195">
        <v>46052.64880787037</v>
      </c>
      <c r="L4308">
        <v>58</v>
      </c>
      <c r="M4308">
        <v>0</v>
      </c>
      <c r="N4308" s="98" t="str">
        <f>IF(record[[#This Row],[Memo]]="Browser:chrome os:android","平板報工",IF(record[[#This Row],[Memo]]=0,"委外",record[[#This Row],[Memo]]))</f>
        <v>平板報工</v>
      </c>
      <c r="O4308" t="s">
        <v>643</v>
      </c>
      <c r="P4308" t="s">
        <v>1413</v>
      </c>
      <c r="Q4308" t="s">
        <v>644</v>
      </c>
      <c r="R4308" t="str">
        <f>IFERROR(VLOOKUP(record[[#This Row],[PCUSTID]],廠商[],2,FALSE),"")</f>
        <v/>
      </c>
      <c r="S4308" t="str">
        <f>VLOOKUP(record[[#This Row],[employeeID]],員工[],2,FALSE)</f>
        <v>阮氏芳英(芳)</v>
      </c>
    </row>
    <row r="4309" spans="6:19" hidden="1" x14ac:dyDescent="0.25">
      <c r="F4309" t="s">
        <v>1516</v>
      </c>
      <c r="G4309" t="s">
        <v>417</v>
      </c>
      <c r="H4309" t="str">
        <f>VLOOKUP(record[[#This Row],[ProcessSN]],表格2_7[],2,FALSE)</f>
        <v>30-4118-018-5XX</v>
      </c>
      <c r="I4309" t="str">
        <f>VLOOKUP(record[[#This Row],[ProcessSN]],表格2_7[],3,FALSE)</f>
        <v>#06</v>
      </c>
      <c r="J4309" t="s">
        <v>593</v>
      </c>
      <c r="K4309" s="195">
        <v>46052.648541666669</v>
      </c>
      <c r="L4309">
        <v>52</v>
      </c>
      <c r="M4309">
        <v>0</v>
      </c>
      <c r="N4309" s="98" t="str">
        <f>IF(record[[#This Row],[Memo]]="Browser:chrome os:android","平板報工",IF(record[[#This Row],[Memo]]=0,"委外",record[[#This Row],[Memo]]))</f>
        <v>平板報工</v>
      </c>
      <c r="O4309" t="s">
        <v>643</v>
      </c>
      <c r="P4309" t="s">
        <v>1413</v>
      </c>
      <c r="Q4309" t="s">
        <v>644</v>
      </c>
      <c r="R4309" t="str">
        <f>IFERROR(VLOOKUP(record[[#This Row],[PCUSTID]],廠商[],2,FALSE),"")</f>
        <v/>
      </c>
      <c r="S4309" t="str">
        <f>VLOOKUP(record[[#This Row],[employeeID]],員工[],2,FALSE)</f>
        <v>阮氏芳英(芳)</v>
      </c>
    </row>
    <row r="4310" spans="6:19" hidden="1" x14ac:dyDescent="0.25">
      <c r="F4310" t="s">
        <v>1516</v>
      </c>
      <c r="G4310" t="s">
        <v>417</v>
      </c>
      <c r="H4310" t="str">
        <f>VLOOKUP(record[[#This Row],[ProcessSN]],表格2_7[],2,FALSE)</f>
        <v>30-4118-018-5XX</v>
      </c>
      <c r="I4310" t="str">
        <f>VLOOKUP(record[[#This Row],[ProcessSN]],表格2_7[],3,FALSE)</f>
        <v>#06</v>
      </c>
      <c r="J4310" t="s">
        <v>593</v>
      </c>
      <c r="K4310" s="195">
        <v>46052.645046296297</v>
      </c>
      <c r="L4310">
        <v>60</v>
      </c>
      <c r="M4310">
        <v>0</v>
      </c>
      <c r="N4310" s="98" t="str">
        <f>IF(record[[#This Row],[Memo]]="Browser:chrome os:android","平板報工",IF(record[[#This Row],[Memo]]=0,"委外",record[[#This Row],[Memo]]))</f>
        <v>平板報工</v>
      </c>
      <c r="O4310" t="s">
        <v>643</v>
      </c>
      <c r="P4310" t="s">
        <v>789</v>
      </c>
      <c r="Q4310" t="s">
        <v>644</v>
      </c>
      <c r="R4310" t="str">
        <f>IFERROR(VLOOKUP(record[[#This Row],[PCUSTID]],廠商[],2,FALSE),"")</f>
        <v/>
      </c>
      <c r="S4310" t="str">
        <f>VLOOKUP(record[[#This Row],[employeeID]],員工[],2,FALSE)</f>
        <v>張月霞</v>
      </c>
    </row>
    <row r="4311" spans="6:19" hidden="1" x14ac:dyDescent="0.25">
      <c r="F4311" t="s">
        <v>1531</v>
      </c>
      <c r="G4311" t="s">
        <v>466</v>
      </c>
      <c r="H4311" t="str">
        <f>VLOOKUP(record[[#This Row],[ProcessSN]],表格2_7[],2,FALSE)</f>
        <v>30-4118-018-XXX</v>
      </c>
      <c r="I4311" t="str">
        <f>VLOOKUP(record[[#This Row],[ProcessSN]],表格2_7[],3,FALSE)</f>
        <v>#01-2</v>
      </c>
      <c r="J4311" t="s">
        <v>588</v>
      </c>
      <c r="K4311" s="195">
        <v>46052.644189814811</v>
      </c>
      <c r="L4311">
        <v>272</v>
      </c>
      <c r="M4311">
        <v>0</v>
      </c>
      <c r="N4311" s="98" t="str">
        <f>IF(record[[#This Row],[Memo]]="Browser:chrome os:android","平板報工",IF(record[[#This Row],[Memo]]=0,"委外",record[[#This Row],[Memo]]))</f>
        <v>平板報工</v>
      </c>
      <c r="O4311" t="s">
        <v>643</v>
      </c>
      <c r="P4311" t="s">
        <v>107</v>
      </c>
      <c r="Q4311" t="s">
        <v>644</v>
      </c>
      <c r="R4311" t="str">
        <f>IFERROR(VLOOKUP(record[[#This Row],[PCUSTID]],廠商[],2,FALSE),"")</f>
        <v/>
      </c>
      <c r="S4311" t="str">
        <f>VLOOKUP(record[[#This Row],[employeeID]],員工[],2,FALSE)</f>
        <v>黎氏順</v>
      </c>
    </row>
    <row r="4312" spans="6:19" hidden="1" x14ac:dyDescent="0.25">
      <c r="F4312" t="s">
        <v>1531</v>
      </c>
      <c r="G4312" t="s">
        <v>465</v>
      </c>
      <c r="H4312" t="str">
        <f>VLOOKUP(record[[#This Row],[ProcessSN]],表格2_7[],2,FALSE)</f>
        <v>30-4118-018-XXX</v>
      </c>
      <c r="I4312" t="str">
        <f>VLOOKUP(record[[#This Row],[ProcessSN]],表格2_7[],3,FALSE)</f>
        <v>#01-1</v>
      </c>
      <c r="J4312" t="s">
        <v>588</v>
      </c>
      <c r="K4312" s="195">
        <v>46052.643923611111</v>
      </c>
      <c r="L4312">
        <v>270</v>
      </c>
      <c r="M4312">
        <v>0</v>
      </c>
      <c r="N4312" s="98" t="str">
        <f>IF(record[[#This Row],[Memo]]="Browser:chrome os:android","平板報工",IF(record[[#This Row],[Memo]]=0,"委外",record[[#This Row],[Memo]]))</f>
        <v>平板報工</v>
      </c>
      <c r="O4312" t="s">
        <v>643</v>
      </c>
      <c r="P4312" t="s">
        <v>107</v>
      </c>
      <c r="Q4312" t="s">
        <v>644</v>
      </c>
      <c r="R4312" t="str">
        <f>IFERROR(VLOOKUP(record[[#This Row],[PCUSTID]],廠商[],2,FALSE),"")</f>
        <v/>
      </c>
      <c r="S4312" t="str">
        <f>VLOOKUP(record[[#This Row],[employeeID]],員工[],2,FALSE)</f>
        <v>黎氏順</v>
      </c>
    </row>
    <row r="4313" spans="6:19" hidden="1" x14ac:dyDescent="0.25">
      <c r="F4313" t="s">
        <v>1503</v>
      </c>
      <c r="G4313" t="s">
        <v>418</v>
      </c>
      <c r="H4313" t="str">
        <f>VLOOKUP(record[[#This Row],[ProcessSN]],表格2_7[],2,FALSE)</f>
        <v>30-4118-018-5XX</v>
      </c>
      <c r="I4313" t="str">
        <f>VLOOKUP(record[[#This Row],[ProcessSN]],表格2_7[],3,FALSE)</f>
        <v>#07</v>
      </c>
      <c r="J4313" t="s">
        <v>588</v>
      </c>
      <c r="K4313" s="195">
        <v>46052.643113425926</v>
      </c>
      <c r="L4313">
        <v>69</v>
      </c>
      <c r="M4313">
        <v>0</v>
      </c>
      <c r="N4313" s="98" t="str">
        <f>IF(record[[#This Row],[Memo]]="Browser:chrome os:android","平板報工",IF(record[[#This Row],[Memo]]=0,"委外",record[[#This Row],[Memo]]))</f>
        <v>平板報工</v>
      </c>
      <c r="O4313" t="s">
        <v>643</v>
      </c>
      <c r="P4313" t="s">
        <v>785</v>
      </c>
      <c r="Q4313" t="s">
        <v>644</v>
      </c>
      <c r="R4313" t="str">
        <f>IFERROR(VLOOKUP(record[[#This Row],[PCUSTID]],廠商[],2,FALSE),"")</f>
        <v/>
      </c>
      <c r="S4313" t="str">
        <f>VLOOKUP(record[[#This Row],[employeeID]],員工[],2,FALSE)</f>
        <v>謝刻光</v>
      </c>
    </row>
    <row r="4314" spans="6:19" hidden="1" x14ac:dyDescent="0.25">
      <c r="F4314" t="s">
        <v>1506</v>
      </c>
      <c r="G4314" t="s">
        <v>416</v>
      </c>
      <c r="H4314" t="str">
        <f>VLOOKUP(record[[#This Row],[ProcessSN]],表格2_7[],2,FALSE)</f>
        <v>30-4118-018-5XX</v>
      </c>
      <c r="I4314" t="str">
        <f>VLOOKUP(record[[#This Row],[ProcessSN]],表格2_7[],3,FALSE)</f>
        <v>#05</v>
      </c>
      <c r="J4314" t="s">
        <v>588</v>
      </c>
      <c r="K4314" s="195">
        <v>46052.642500000002</v>
      </c>
      <c r="L4314">
        <v>58</v>
      </c>
      <c r="M4314">
        <v>0</v>
      </c>
      <c r="N4314" s="98" t="str">
        <f>IF(record[[#This Row],[Memo]]="Browser:chrome os:android","平板報工",IF(record[[#This Row],[Memo]]=0,"委外",record[[#This Row],[Memo]]))</f>
        <v>平板報工</v>
      </c>
      <c r="O4314" t="s">
        <v>643</v>
      </c>
      <c r="P4314" t="s">
        <v>785</v>
      </c>
      <c r="Q4314" t="s">
        <v>644</v>
      </c>
      <c r="R4314" t="str">
        <f>IFERROR(VLOOKUP(record[[#This Row],[PCUSTID]],廠商[],2,FALSE),"")</f>
        <v/>
      </c>
      <c r="S4314" t="str">
        <f>VLOOKUP(record[[#This Row],[employeeID]],員工[],2,FALSE)</f>
        <v>謝刻光</v>
      </c>
    </row>
    <row r="4315" spans="6:19" hidden="1" x14ac:dyDescent="0.25">
      <c r="F4315" t="s">
        <v>1524</v>
      </c>
      <c r="G4315" t="s">
        <v>470</v>
      </c>
      <c r="H4315" t="str">
        <f>VLOOKUP(record[[#This Row],[ProcessSN]],表格2_7[],2,FALSE)</f>
        <v>30-4118-018-XXX</v>
      </c>
      <c r="I4315" t="str">
        <f>VLOOKUP(record[[#This Row],[ProcessSN]],表格2_7[],3,FALSE)</f>
        <v>#02IQC</v>
      </c>
      <c r="J4315" t="s">
        <v>583</v>
      </c>
      <c r="K4315" s="195">
        <v>46052.64199074074</v>
      </c>
      <c r="L4315">
        <v>24</v>
      </c>
      <c r="M4315">
        <v>0</v>
      </c>
      <c r="N4315" s="98" t="str">
        <f>IF(record[[#This Row],[Memo]]="Browser:chrome os:android","平板報工",IF(record[[#This Row],[Memo]]=0,"委外",record[[#This Row],[Memo]]))</f>
        <v/>
      </c>
      <c r="O4315" t="s">
        <v>58</v>
      </c>
      <c r="P4315" t="s">
        <v>109</v>
      </c>
      <c r="Q4315" t="s">
        <v>58</v>
      </c>
      <c r="R4315" t="str">
        <f>IFERROR(VLOOKUP(record[[#This Row],[PCUSTID]],廠商[],2,FALSE),"")</f>
        <v/>
      </c>
      <c r="S4315" t="str">
        <f>VLOOKUP(record[[#This Row],[employeeID]],員工[],2,FALSE)</f>
        <v>裴氏璧鳳</v>
      </c>
    </row>
    <row r="4316" spans="6:19" hidden="1" x14ac:dyDescent="0.25">
      <c r="F4316" t="s">
        <v>1516</v>
      </c>
      <c r="G4316" t="s">
        <v>416</v>
      </c>
      <c r="H4316" t="str">
        <f>VLOOKUP(record[[#This Row],[ProcessSN]],表格2_7[],2,FALSE)</f>
        <v>30-4118-018-5XX</v>
      </c>
      <c r="I4316" t="str">
        <f>VLOOKUP(record[[#This Row],[ProcessSN]],表格2_7[],3,FALSE)</f>
        <v>#05</v>
      </c>
      <c r="J4316" t="s">
        <v>588</v>
      </c>
      <c r="K4316" s="195">
        <v>46052.64130787037</v>
      </c>
      <c r="L4316">
        <v>127</v>
      </c>
      <c r="M4316">
        <v>0</v>
      </c>
      <c r="N4316" s="98" t="str">
        <f>IF(record[[#This Row],[Memo]]="Browser:chrome os:android","平板報工",IF(record[[#This Row],[Memo]]=0,"委外",record[[#This Row],[Memo]]))</f>
        <v>平板報工</v>
      </c>
      <c r="O4316" t="s">
        <v>643</v>
      </c>
      <c r="P4316" t="s">
        <v>785</v>
      </c>
      <c r="Q4316" t="s">
        <v>644</v>
      </c>
      <c r="R4316" t="str">
        <f>IFERROR(VLOOKUP(record[[#This Row],[PCUSTID]],廠商[],2,FALSE),"")</f>
        <v/>
      </c>
      <c r="S4316" t="str">
        <f>VLOOKUP(record[[#This Row],[employeeID]],員工[],2,FALSE)</f>
        <v>謝刻光</v>
      </c>
    </row>
    <row r="4317" spans="6:19" hidden="1" x14ac:dyDescent="0.25">
      <c r="F4317" t="s">
        <v>1506</v>
      </c>
      <c r="G4317" t="s">
        <v>418</v>
      </c>
      <c r="H4317" t="str">
        <f>VLOOKUP(record[[#This Row],[ProcessSN]],表格2_7[],2,FALSE)</f>
        <v>30-4118-018-5XX</v>
      </c>
      <c r="I4317" t="str">
        <f>VLOOKUP(record[[#This Row],[ProcessSN]],表格2_7[],3,FALSE)</f>
        <v>#07</v>
      </c>
      <c r="J4317" t="s">
        <v>588</v>
      </c>
      <c r="K4317" s="195">
        <v>46052.640011574076</v>
      </c>
      <c r="L4317">
        <v>104</v>
      </c>
      <c r="M4317">
        <v>0</v>
      </c>
      <c r="N4317" s="98" t="str">
        <f>IF(record[[#This Row],[Memo]]="Browser:chrome os:android","平板報工",IF(record[[#This Row],[Memo]]=0,"委外",record[[#This Row],[Memo]]))</f>
        <v>平板報工</v>
      </c>
      <c r="O4317" t="s">
        <v>643</v>
      </c>
      <c r="P4317" t="s">
        <v>785</v>
      </c>
      <c r="Q4317" t="s">
        <v>644</v>
      </c>
      <c r="R4317" t="str">
        <f>IFERROR(VLOOKUP(record[[#This Row],[PCUSTID]],廠商[],2,FALSE),"")</f>
        <v/>
      </c>
      <c r="S4317" t="str">
        <f>VLOOKUP(record[[#This Row],[employeeID]],員工[],2,FALSE)</f>
        <v>謝刻光</v>
      </c>
    </row>
    <row r="4318" spans="6:19" hidden="1" x14ac:dyDescent="0.25">
      <c r="F4318" t="s">
        <v>1527</v>
      </c>
      <c r="G4318" t="s">
        <v>448</v>
      </c>
      <c r="H4318" t="str">
        <f>VLOOKUP(record[[#This Row],[ProcessSN]],表格2_7[],2,FALSE)</f>
        <v>30-4118-018-6XX</v>
      </c>
      <c r="I4318" t="str">
        <f>VLOOKUP(record[[#This Row],[ProcessSN]],表格2_7[],3,FALSE)</f>
        <v>#04</v>
      </c>
      <c r="J4318" t="s">
        <v>588</v>
      </c>
      <c r="K4318" s="195">
        <v>46052.639768518522</v>
      </c>
      <c r="L4318">
        <v>130</v>
      </c>
      <c r="M4318">
        <v>0</v>
      </c>
      <c r="N4318" s="98" t="str">
        <f>IF(record[[#This Row],[Memo]]="Browser:chrome os:android","平板報工",IF(record[[#This Row],[Memo]]=0,"委外",record[[#This Row],[Memo]]))</f>
        <v>平板報工</v>
      </c>
      <c r="O4318" t="s">
        <v>643</v>
      </c>
      <c r="P4318" t="s">
        <v>785</v>
      </c>
      <c r="Q4318" t="s">
        <v>644</v>
      </c>
      <c r="R4318" t="str">
        <f>IFERROR(VLOOKUP(record[[#This Row],[PCUSTID]],廠商[],2,FALSE),"")</f>
        <v/>
      </c>
      <c r="S4318" t="str">
        <f>VLOOKUP(record[[#This Row],[employeeID]],員工[],2,FALSE)</f>
        <v>謝刻光</v>
      </c>
    </row>
    <row r="4319" spans="6:19" hidden="1" x14ac:dyDescent="0.25">
      <c r="F4319" t="s">
        <v>1534</v>
      </c>
      <c r="G4319" t="s">
        <v>423</v>
      </c>
      <c r="H4319" t="str">
        <f>VLOOKUP(record[[#This Row],[ProcessSN]],表格2_7[],2,FALSE)</f>
        <v>30-4118-018-600</v>
      </c>
      <c r="I4319" t="str">
        <f>VLOOKUP(record[[#This Row],[ProcessSN]],表格2_7[],3,FALSE)</f>
        <v>#08RCV</v>
      </c>
      <c r="J4319" t="s">
        <v>591</v>
      </c>
      <c r="K4319" s="195">
        <v>46052.618564814817</v>
      </c>
      <c r="L4319">
        <v>672</v>
      </c>
      <c r="M4319">
        <v>0</v>
      </c>
      <c r="N4319" s="98" t="str">
        <f>IF(record[[#This Row],[Memo]]="Browser:chrome os:android","平板報工",IF(record[[#This Row],[Memo]]=0,"委外",record[[#This Row],[Memo]]))</f>
        <v/>
      </c>
      <c r="O4319" t="s">
        <v>58</v>
      </c>
      <c r="P4319" t="s">
        <v>186</v>
      </c>
      <c r="Q4319" t="s">
        <v>58</v>
      </c>
      <c r="R4319" t="str">
        <f>IFERROR(VLOOKUP(record[[#This Row],[PCUSTID]],廠商[],2,FALSE),"")</f>
        <v/>
      </c>
      <c r="S4319" t="str">
        <f>VLOOKUP(record[[#This Row],[employeeID]],員工[],2,FALSE)</f>
        <v>許文姍</v>
      </c>
    </row>
    <row r="4320" spans="6:19" hidden="1" x14ac:dyDescent="0.25">
      <c r="F4320" t="s">
        <v>1522</v>
      </c>
      <c r="G4320" t="s">
        <v>423</v>
      </c>
      <c r="H4320" t="str">
        <f>VLOOKUP(record[[#This Row],[ProcessSN]],表格2_7[],2,FALSE)</f>
        <v>30-4118-018-600</v>
      </c>
      <c r="I4320" t="str">
        <f>VLOOKUP(record[[#This Row],[ProcessSN]],表格2_7[],3,FALSE)</f>
        <v>#08RCV</v>
      </c>
      <c r="J4320" t="s">
        <v>591</v>
      </c>
      <c r="K4320" s="195">
        <v>46052.618391203701</v>
      </c>
      <c r="L4320">
        <v>141</v>
      </c>
      <c r="M4320">
        <v>0</v>
      </c>
      <c r="N4320" s="98" t="str">
        <f>IF(record[[#This Row],[Memo]]="Browser:chrome os:android","平板報工",IF(record[[#This Row],[Memo]]=0,"委外",record[[#This Row],[Memo]]))</f>
        <v/>
      </c>
      <c r="O4320" t="s">
        <v>58</v>
      </c>
      <c r="P4320" t="s">
        <v>186</v>
      </c>
      <c r="Q4320" t="s">
        <v>58</v>
      </c>
      <c r="R4320" t="str">
        <f>IFERROR(VLOOKUP(record[[#This Row],[PCUSTID]],廠商[],2,FALSE),"")</f>
        <v/>
      </c>
      <c r="S4320" t="str">
        <f>VLOOKUP(record[[#This Row],[employeeID]],員工[],2,FALSE)</f>
        <v>許文姍</v>
      </c>
    </row>
    <row r="4321" spans="6:19" hidden="1" x14ac:dyDescent="0.25">
      <c r="F4321" t="s">
        <v>1544</v>
      </c>
      <c r="G4321" t="s">
        <v>397</v>
      </c>
      <c r="H4321" t="str">
        <f>VLOOKUP(record[[#This Row],[ProcessSN]],表格2_7[],2,FALSE)</f>
        <v>30-4118-018-550</v>
      </c>
      <c r="I4321" t="str">
        <f>VLOOKUP(record[[#This Row],[ProcessSN]],表格2_7[],3,FALSE)</f>
        <v>#08</v>
      </c>
      <c r="J4321" t="s">
        <v>597</v>
      </c>
      <c r="K4321" s="195">
        <v>46052.610069444447</v>
      </c>
      <c r="L4321">
        <v>639</v>
      </c>
      <c r="M4321">
        <v>0</v>
      </c>
      <c r="N4321" s="98" t="str">
        <f>IF(record[[#This Row],[Memo]]="Browser:chrome os:android","平板報工",IF(record[[#This Row],[Memo]]=0,"委外",record[[#This Row],[Memo]]))</f>
        <v>委外</v>
      </c>
      <c r="P4321" t="s">
        <v>186</v>
      </c>
      <c r="Q4321" t="s">
        <v>287</v>
      </c>
      <c r="R4321" t="str">
        <f>IFERROR(VLOOKUP(record[[#This Row],[PCUSTID]],廠商[],2,FALSE),"")</f>
        <v>泉盛</v>
      </c>
      <c r="S4321" t="str">
        <f>VLOOKUP(record[[#This Row],[employeeID]],員工[],2,FALSE)</f>
        <v>許文姍</v>
      </c>
    </row>
    <row r="4322" spans="6:19" hidden="1" x14ac:dyDescent="0.25">
      <c r="F4322" t="s">
        <v>1544</v>
      </c>
      <c r="G4322" t="s">
        <v>396</v>
      </c>
      <c r="H4322" t="str">
        <f>VLOOKUP(record[[#This Row],[ProcessSN]],表格2_7[],2,FALSE)</f>
        <v>30-4118-018-550</v>
      </c>
      <c r="I4322" t="str">
        <f>VLOOKUP(record[[#This Row],[ProcessSN]],表格2_7[],3,FALSE)</f>
        <v>#08PICK</v>
      </c>
      <c r="J4322" t="s">
        <v>582</v>
      </c>
      <c r="K4322" s="195">
        <v>46052.595416666663</v>
      </c>
      <c r="L4322">
        <v>639</v>
      </c>
      <c r="M4322">
        <v>0</v>
      </c>
      <c r="N4322" s="98" t="str">
        <f>IF(record[[#This Row],[Memo]]="Browser:chrome os:android","平板報工",IF(record[[#This Row],[Memo]]=0,"委外",record[[#This Row],[Memo]]))</f>
        <v/>
      </c>
      <c r="O4322" t="s">
        <v>58</v>
      </c>
      <c r="P4322" t="s">
        <v>186</v>
      </c>
      <c r="Q4322" t="s">
        <v>58</v>
      </c>
      <c r="R4322" t="str">
        <f>IFERROR(VLOOKUP(record[[#This Row],[PCUSTID]],廠商[],2,FALSE),"")</f>
        <v/>
      </c>
      <c r="S4322" t="str">
        <f>VLOOKUP(record[[#This Row],[employeeID]],員工[],2,FALSE)</f>
        <v>許文姍</v>
      </c>
    </row>
    <row r="4323" spans="6:19" hidden="1" x14ac:dyDescent="0.25">
      <c r="F4323" t="s">
        <v>1503</v>
      </c>
      <c r="G4323" t="s">
        <v>420</v>
      </c>
      <c r="H4323" t="str">
        <f>VLOOKUP(record[[#This Row],[ProcessSN]],表格2_7[],2,FALSE)</f>
        <v>30-4118-018-5XX</v>
      </c>
      <c r="I4323" t="str">
        <f>VLOOKUP(record[[#This Row],[ProcessSN]],表格2_7[],3,FALSE)</f>
        <v>#07STOCK</v>
      </c>
      <c r="J4323" t="s">
        <v>592</v>
      </c>
      <c r="K4323" s="195">
        <v>46052.593634259261</v>
      </c>
      <c r="L4323">
        <v>122</v>
      </c>
      <c r="M4323">
        <v>0</v>
      </c>
      <c r="N4323" s="98" t="str">
        <f>IF(record[[#This Row],[Memo]]="Browser:chrome os:android","平板報工",IF(record[[#This Row],[Memo]]=0,"委外",record[[#This Row],[Memo]]))</f>
        <v/>
      </c>
      <c r="O4323" t="s">
        <v>58</v>
      </c>
      <c r="P4323" t="s">
        <v>186</v>
      </c>
      <c r="Q4323" t="s">
        <v>58</v>
      </c>
      <c r="R4323" t="str">
        <f>IFERROR(VLOOKUP(record[[#This Row],[PCUSTID]],廠商[],2,FALSE),"")</f>
        <v/>
      </c>
      <c r="S4323" t="str">
        <f>VLOOKUP(record[[#This Row],[employeeID]],員工[],2,FALSE)</f>
        <v>許文姍</v>
      </c>
    </row>
    <row r="4324" spans="6:19" hidden="1" x14ac:dyDescent="0.25">
      <c r="F4324" t="s">
        <v>1189</v>
      </c>
      <c r="G4324" t="s">
        <v>420</v>
      </c>
      <c r="H4324" t="str">
        <f>VLOOKUP(record[[#This Row],[ProcessSN]],表格2_7[],2,FALSE)</f>
        <v>30-4118-018-5XX</v>
      </c>
      <c r="I4324" t="str">
        <f>VLOOKUP(record[[#This Row],[ProcessSN]],表格2_7[],3,FALSE)</f>
        <v>#07STOCK</v>
      </c>
      <c r="J4324" t="s">
        <v>592</v>
      </c>
      <c r="K4324" s="195">
        <v>46052.593518518515</v>
      </c>
      <c r="L4324">
        <v>3</v>
      </c>
      <c r="M4324">
        <v>0</v>
      </c>
      <c r="N4324" s="98" t="str">
        <f>IF(record[[#This Row],[Memo]]="Browser:chrome os:android","平板報工",IF(record[[#This Row],[Memo]]=0,"委外",record[[#This Row],[Memo]]))</f>
        <v/>
      </c>
      <c r="O4324" t="s">
        <v>58</v>
      </c>
      <c r="P4324" t="s">
        <v>186</v>
      </c>
      <c r="Q4324" t="s">
        <v>58</v>
      </c>
      <c r="R4324" t="str">
        <f>IFERROR(VLOOKUP(record[[#This Row],[PCUSTID]],廠商[],2,FALSE),"")</f>
        <v/>
      </c>
      <c r="S4324" t="str">
        <f>VLOOKUP(record[[#This Row],[employeeID]],員工[],2,FALSE)</f>
        <v>許文姍</v>
      </c>
    </row>
    <row r="4325" spans="6:19" hidden="1" x14ac:dyDescent="0.25">
      <c r="F4325" t="s">
        <v>1416</v>
      </c>
      <c r="G4325" t="s">
        <v>420</v>
      </c>
      <c r="H4325" t="str">
        <f>VLOOKUP(record[[#This Row],[ProcessSN]],表格2_7[],2,FALSE)</f>
        <v>30-4118-018-5XX</v>
      </c>
      <c r="I4325" t="str">
        <f>VLOOKUP(record[[#This Row],[ProcessSN]],表格2_7[],3,FALSE)</f>
        <v>#07STOCK</v>
      </c>
      <c r="J4325" t="s">
        <v>592</v>
      </c>
      <c r="K4325" s="195">
        <v>46052.593368055554</v>
      </c>
      <c r="L4325">
        <v>50</v>
      </c>
      <c r="M4325">
        <v>0</v>
      </c>
      <c r="N4325" s="98" t="str">
        <f>IF(record[[#This Row],[Memo]]="Browser:chrome os:android","平板報工",IF(record[[#This Row],[Memo]]=0,"委外",record[[#This Row],[Memo]]))</f>
        <v/>
      </c>
      <c r="O4325" t="s">
        <v>58</v>
      </c>
      <c r="P4325" t="s">
        <v>186</v>
      </c>
      <c r="Q4325" t="s">
        <v>58</v>
      </c>
      <c r="R4325" t="str">
        <f>IFERROR(VLOOKUP(record[[#This Row],[PCUSTID]],廠商[],2,FALSE),"")</f>
        <v/>
      </c>
      <c r="S4325" t="str">
        <f>VLOOKUP(record[[#This Row],[employeeID]],員工[],2,FALSE)</f>
        <v>許文姍</v>
      </c>
    </row>
    <row r="4326" spans="6:19" hidden="1" x14ac:dyDescent="0.25">
      <c r="F4326" t="s">
        <v>1472</v>
      </c>
      <c r="G4326" t="s">
        <v>420</v>
      </c>
      <c r="H4326" t="str">
        <f>VLOOKUP(record[[#This Row],[ProcessSN]],表格2_7[],2,FALSE)</f>
        <v>30-4118-018-5XX</v>
      </c>
      <c r="I4326" t="str">
        <f>VLOOKUP(record[[#This Row],[ProcessSN]],表格2_7[],3,FALSE)</f>
        <v>#07STOCK</v>
      </c>
      <c r="J4326" t="s">
        <v>592</v>
      </c>
      <c r="K4326" s="195">
        <v>46052.593148148146</v>
      </c>
      <c r="L4326">
        <v>224</v>
      </c>
      <c r="M4326">
        <v>0</v>
      </c>
      <c r="N4326" s="98" t="str">
        <f>IF(record[[#This Row],[Memo]]="Browser:chrome os:android","平板報工",IF(record[[#This Row],[Memo]]=0,"委外",record[[#This Row],[Memo]]))</f>
        <v/>
      </c>
      <c r="O4326" t="s">
        <v>58</v>
      </c>
      <c r="P4326" t="s">
        <v>186</v>
      </c>
      <c r="Q4326" t="s">
        <v>58</v>
      </c>
      <c r="R4326" t="str">
        <f>IFERROR(VLOOKUP(record[[#This Row],[PCUSTID]],廠商[],2,FALSE),"")</f>
        <v/>
      </c>
      <c r="S4326" t="str">
        <f>VLOOKUP(record[[#This Row],[employeeID]],員工[],2,FALSE)</f>
        <v>許文姍</v>
      </c>
    </row>
    <row r="4327" spans="6:19" hidden="1" x14ac:dyDescent="0.25">
      <c r="F4327" t="s">
        <v>1492</v>
      </c>
      <c r="G4327" t="s">
        <v>420</v>
      </c>
      <c r="H4327" t="str">
        <f>VLOOKUP(record[[#This Row],[ProcessSN]],表格2_7[],2,FALSE)</f>
        <v>30-4118-018-5XX</v>
      </c>
      <c r="I4327" t="str">
        <f>VLOOKUP(record[[#This Row],[ProcessSN]],表格2_7[],3,FALSE)</f>
        <v>#07STOCK</v>
      </c>
      <c r="J4327" t="s">
        <v>592</v>
      </c>
      <c r="K4327" s="195">
        <v>46052.592870370368</v>
      </c>
      <c r="L4327">
        <v>240</v>
      </c>
      <c r="M4327">
        <v>0</v>
      </c>
      <c r="N4327" s="98" t="str">
        <f>IF(record[[#This Row],[Memo]]="Browser:chrome os:android","平板報工",IF(record[[#This Row],[Memo]]=0,"委外",record[[#This Row],[Memo]]))</f>
        <v/>
      </c>
      <c r="O4327" t="s">
        <v>58</v>
      </c>
      <c r="P4327" t="s">
        <v>186</v>
      </c>
      <c r="Q4327" t="s">
        <v>58</v>
      </c>
      <c r="R4327" t="str">
        <f>IFERROR(VLOOKUP(record[[#This Row],[PCUSTID]],廠商[],2,FALSE),"")</f>
        <v/>
      </c>
      <c r="S4327" t="str">
        <f>VLOOKUP(record[[#This Row],[employeeID]],員工[],2,FALSE)</f>
        <v>許文姍</v>
      </c>
    </row>
    <row r="4328" spans="6:19" hidden="1" x14ac:dyDescent="0.25">
      <c r="F4328" t="s">
        <v>1524</v>
      </c>
      <c r="G4328" t="s">
        <v>469</v>
      </c>
      <c r="H4328" t="str">
        <f>VLOOKUP(record[[#This Row],[ProcessSN]],表格2_7[],2,FALSE)</f>
        <v>30-4118-018-XXX</v>
      </c>
      <c r="I4328" t="str">
        <f>VLOOKUP(record[[#This Row],[ProcessSN]],表格2_7[],3,FALSE)</f>
        <v>#02RCV</v>
      </c>
      <c r="J4328" t="s">
        <v>591</v>
      </c>
      <c r="K4328" s="195">
        <v>46052.578368055554</v>
      </c>
      <c r="L4328">
        <v>24</v>
      </c>
      <c r="M4328">
        <v>0</v>
      </c>
      <c r="N4328" s="98" t="str">
        <f>IF(record[[#This Row],[Memo]]="Browser:chrome os:android","平板報工",IF(record[[#This Row],[Memo]]=0,"委外",record[[#This Row],[Memo]]))</f>
        <v/>
      </c>
      <c r="O4328" t="s">
        <v>58</v>
      </c>
      <c r="P4328" t="s">
        <v>186</v>
      </c>
      <c r="Q4328" t="s">
        <v>58</v>
      </c>
      <c r="R4328" t="str">
        <f>IFERROR(VLOOKUP(record[[#This Row],[PCUSTID]],廠商[],2,FALSE),"")</f>
        <v/>
      </c>
      <c r="S4328" t="str">
        <f>VLOOKUP(record[[#This Row],[employeeID]],員工[],2,FALSE)</f>
        <v>許文姍</v>
      </c>
    </row>
    <row r="4329" spans="6:19" hidden="1" x14ac:dyDescent="0.25">
      <c r="F4329" t="s">
        <v>1417</v>
      </c>
      <c r="G4329" t="s">
        <v>451</v>
      </c>
      <c r="H4329" t="str">
        <f>VLOOKUP(record[[#This Row],[ProcessSN]],表格2_7[],2,FALSE)</f>
        <v>30-4118-018-6XX</v>
      </c>
      <c r="I4329" t="str">
        <f>VLOOKUP(record[[#This Row],[ProcessSN]],表格2_7[],3,FALSE)</f>
        <v>#07</v>
      </c>
      <c r="J4329" t="s">
        <v>588</v>
      </c>
      <c r="K4329" s="195">
        <v>46052.513958333337</v>
      </c>
      <c r="L4329">
        <v>133</v>
      </c>
      <c r="M4329">
        <v>0</v>
      </c>
      <c r="N4329" s="98" t="str">
        <f>IF(record[[#This Row],[Memo]]="Browser:chrome os:android","平板報工",IF(record[[#This Row],[Memo]]=0,"委外",record[[#This Row],[Memo]]))</f>
        <v>1/30覆回*1PCS</v>
      </c>
      <c r="O4329" t="s">
        <v>1543</v>
      </c>
      <c r="P4329" t="s">
        <v>1075</v>
      </c>
      <c r="Q4329" t="s">
        <v>58</v>
      </c>
      <c r="R4329" t="str">
        <f>IFERROR(VLOOKUP(record[[#This Row],[PCUSTID]],廠商[],2,FALSE),"")</f>
        <v/>
      </c>
      <c r="S4329" t="str">
        <f>VLOOKUP(record[[#This Row],[employeeID]],員工[],2,FALSE)</f>
        <v>吳宥叡</v>
      </c>
    </row>
    <row r="4330" spans="6:19" hidden="1" x14ac:dyDescent="0.25">
      <c r="F4330" t="s">
        <v>1503</v>
      </c>
      <c r="G4330" t="s">
        <v>419</v>
      </c>
      <c r="H4330" t="str">
        <f>VLOOKUP(record[[#This Row],[ProcessSN]],表格2_7[],2,FALSE)</f>
        <v>30-4118-018-5XX</v>
      </c>
      <c r="I4330" t="str">
        <f>VLOOKUP(record[[#This Row],[ProcessSN]],表格2_7[],3,FALSE)</f>
        <v>#07QC</v>
      </c>
      <c r="J4330" t="s">
        <v>589</v>
      </c>
      <c r="K4330" s="195">
        <v>46052.423425925925</v>
      </c>
      <c r="L4330">
        <v>0</v>
      </c>
      <c r="M4330">
        <v>4</v>
      </c>
      <c r="N4330" s="98" t="str">
        <f>IF(record[[#This Row],[Memo]]="Browser:chrome os:android","平板報工",IF(record[[#This Row],[Memo]]=0,"委外",record[[#This Row],[Memo]]))</f>
        <v/>
      </c>
      <c r="O4330" t="s">
        <v>58</v>
      </c>
      <c r="P4330" t="s">
        <v>141</v>
      </c>
      <c r="Q4330" t="s">
        <v>58</v>
      </c>
      <c r="R4330" t="str">
        <f>IFERROR(VLOOKUP(record[[#This Row],[PCUSTID]],廠商[],2,FALSE),"")</f>
        <v/>
      </c>
      <c r="S4330" t="str">
        <f>VLOOKUP(record[[#This Row],[employeeID]],員工[],2,FALSE)</f>
        <v>蔣梅</v>
      </c>
    </row>
    <row r="4331" spans="6:19" hidden="1" x14ac:dyDescent="0.25">
      <c r="F4331" t="s">
        <v>1503</v>
      </c>
      <c r="G4331" t="s">
        <v>419</v>
      </c>
      <c r="H4331" t="str">
        <f>VLOOKUP(record[[#This Row],[ProcessSN]],表格2_7[],2,FALSE)</f>
        <v>30-4118-018-5XX</v>
      </c>
      <c r="I4331" t="str">
        <f>VLOOKUP(record[[#This Row],[ProcessSN]],表格2_7[],3,FALSE)</f>
        <v>#07QC</v>
      </c>
      <c r="J4331" t="s">
        <v>589</v>
      </c>
      <c r="K4331" s="195">
        <v>46052.423229166663</v>
      </c>
      <c r="L4331">
        <v>3</v>
      </c>
      <c r="M4331">
        <v>0</v>
      </c>
      <c r="N4331" s="98" t="str">
        <f>IF(record[[#This Row],[Memo]]="Browser:chrome os:android","平板報工",IF(record[[#This Row],[Memo]]=0,"委外",record[[#This Row],[Memo]]))</f>
        <v/>
      </c>
      <c r="O4331" t="s">
        <v>58</v>
      </c>
      <c r="P4331" t="s">
        <v>141</v>
      </c>
      <c r="Q4331" t="s">
        <v>58</v>
      </c>
      <c r="R4331" t="str">
        <f>IFERROR(VLOOKUP(record[[#This Row],[PCUSTID]],廠商[],2,FALSE),"")</f>
        <v/>
      </c>
      <c r="S4331" t="str">
        <f>VLOOKUP(record[[#This Row],[employeeID]],員工[],2,FALSE)</f>
        <v>蔣梅</v>
      </c>
    </row>
    <row r="4332" spans="6:19" hidden="1" x14ac:dyDescent="0.25">
      <c r="F4332" t="s">
        <v>1492</v>
      </c>
      <c r="G4332" t="s">
        <v>419</v>
      </c>
      <c r="H4332" t="str">
        <f>VLOOKUP(record[[#This Row],[ProcessSN]],表格2_7[],2,FALSE)</f>
        <v>30-4118-018-5XX</v>
      </c>
      <c r="I4332" t="str">
        <f>VLOOKUP(record[[#This Row],[ProcessSN]],表格2_7[],3,FALSE)</f>
        <v>#07QC</v>
      </c>
      <c r="J4332" t="s">
        <v>589</v>
      </c>
      <c r="K4332" s="195">
        <v>46052.422777777778</v>
      </c>
      <c r="L4332">
        <v>240</v>
      </c>
      <c r="M4332">
        <v>0</v>
      </c>
      <c r="N4332" s="98" t="str">
        <f>IF(record[[#This Row],[Memo]]="Browser:chrome os:android","平板報工",IF(record[[#This Row],[Memo]]=0,"委外",record[[#This Row],[Memo]]))</f>
        <v/>
      </c>
      <c r="O4332" t="s">
        <v>58</v>
      </c>
      <c r="P4332" t="s">
        <v>141</v>
      </c>
      <c r="Q4332" t="s">
        <v>58</v>
      </c>
      <c r="R4332" t="str">
        <f>IFERROR(VLOOKUP(record[[#This Row],[PCUSTID]],廠商[],2,FALSE),"")</f>
        <v/>
      </c>
      <c r="S4332" t="str">
        <f>VLOOKUP(record[[#This Row],[employeeID]],員工[],2,FALSE)</f>
        <v>蔣梅</v>
      </c>
    </row>
    <row r="4333" spans="6:19" hidden="1" x14ac:dyDescent="0.25">
      <c r="F4333" t="s">
        <v>1416</v>
      </c>
      <c r="G4333" t="s">
        <v>419</v>
      </c>
      <c r="H4333" t="str">
        <f>VLOOKUP(record[[#This Row],[ProcessSN]],表格2_7[],2,FALSE)</f>
        <v>30-4118-018-5XX</v>
      </c>
      <c r="I4333" t="str">
        <f>VLOOKUP(record[[#This Row],[ProcessSN]],表格2_7[],3,FALSE)</f>
        <v>#07QC</v>
      </c>
      <c r="J4333" t="s">
        <v>589</v>
      </c>
      <c r="K4333" s="195">
        <v>46052.422615740739</v>
      </c>
      <c r="L4333">
        <v>50</v>
      </c>
      <c r="M4333">
        <v>0</v>
      </c>
      <c r="N4333" s="98" t="str">
        <f>IF(record[[#This Row],[Memo]]="Browser:chrome os:android","平板報工",IF(record[[#This Row],[Memo]]=0,"委外",record[[#This Row],[Memo]]))</f>
        <v/>
      </c>
      <c r="O4333" t="s">
        <v>58</v>
      </c>
      <c r="P4333" t="s">
        <v>141</v>
      </c>
      <c r="Q4333" t="s">
        <v>58</v>
      </c>
      <c r="R4333" t="str">
        <f>IFERROR(VLOOKUP(record[[#This Row],[PCUSTID]],廠商[],2,FALSE),"")</f>
        <v/>
      </c>
      <c r="S4333" t="str">
        <f>VLOOKUP(record[[#This Row],[employeeID]],員工[],2,FALSE)</f>
        <v>蔣梅</v>
      </c>
    </row>
    <row r="4334" spans="6:19" hidden="1" x14ac:dyDescent="0.25">
      <c r="F4334" t="s">
        <v>1492</v>
      </c>
      <c r="G4334" t="s">
        <v>418</v>
      </c>
      <c r="H4334" t="str">
        <f>VLOOKUP(record[[#This Row],[ProcessSN]],表格2_7[],2,FALSE)</f>
        <v>30-4118-018-5XX</v>
      </c>
      <c r="I4334" t="str">
        <f>VLOOKUP(record[[#This Row],[ProcessSN]],表格2_7[],3,FALSE)</f>
        <v>#07</v>
      </c>
      <c r="J4334" t="s">
        <v>588</v>
      </c>
      <c r="K4334" s="195">
        <v>46052.421249999999</v>
      </c>
      <c r="L4334">
        <v>231</v>
      </c>
      <c r="M4334">
        <v>0</v>
      </c>
      <c r="N4334" s="98" t="str">
        <f>IF(record[[#This Row],[Memo]]="Browser:chrome os:android","平板報工",IF(record[[#This Row],[Memo]]=0,"委外",record[[#This Row],[Memo]]))</f>
        <v/>
      </c>
      <c r="O4334" t="s">
        <v>58</v>
      </c>
      <c r="P4334" t="s">
        <v>1075</v>
      </c>
      <c r="Q4334" t="s">
        <v>58</v>
      </c>
      <c r="R4334" t="str">
        <f>IFERROR(VLOOKUP(record[[#This Row],[PCUSTID]],廠商[],2,FALSE),"")</f>
        <v/>
      </c>
      <c r="S4334" t="str">
        <f>VLOOKUP(record[[#This Row],[employeeID]],員工[],2,FALSE)</f>
        <v>吳宥叡</v>
      </c>
    </row>
    <row r="4335" spans="6:19" hidden="1" x14ac:dyDescent="0.25">
      <c r="F4335" t="s">
        <v>1253</v>
      </c>
      <c r="G4335" t="s">
        <v>419</v>
      </c>
      <c r="H4335" t="str">
        <f>VLOOKUP(record[[#This Row],[ProcessSN]],表格2_7[],2,FALSE)</f>
        <v>30-4118-018-5XX</v>
      </c>
      <c r="I4335" t="str">
        <f>VLOOKUP(record[[#This Row],[ProcessSN]],表格2_7[],3,FALSE)</f>
        <v>#07QC</v>
      </c>
      <c r="J4335" t="s">
        <v>589</v>
      </c>
      <c r="K4335" s="195">
        <v>46052.417534722219</v>
      </c>
      <c r="L4335">
        <v>0</v>
      </c>
      <c r="M4335">
        <v>7</v>
      </c>
      <c r="N4335" s="98" t="str">
        <f>IF(record[[#This Row],[Memo]]="Browser:chrome os:android","平板報工",IF(record[[#This Row],[Memo]]=0,"委外",record[[#This Row],[Memo]]))</f>
        <v/>
      </c>
      <c r="O4335" t="s">
        <v>58</v>
      </c>
      <c r="P4335" t="s">
        <v>141</v>
      </c>
      <c r="Q4335" t="s">
        <v>58</v>
      </c>
      <c r="R4335" t="str">
        <f>IFERROR(VLOOKUP(record[[#This Row],[PCUSTID]],廠商[],2,FALSE),"")</f>
        <v/>
      </c>
      <c r="S4335" t="str">
        <f>VLOOKUP(record[[#This Row],[employeeID]],員工[],2,FALSE)</f>
        <v>蔣梅</v>
      </c>
    </row>
    <row r="4336" spans="6:19" hidden="1" x14ac:dyDescent="0.25">
      <c r="F4336" t="s">
        <v>1503</v>
      </c>
      <c r="G4336" t="s">
        <v>419</v>
      </c>
      <c r="H4336" t="str">
        <f>VLOOKUP(record[[#This Row],[ProcessSN]],表格2_7[],2,FALSE)</f>
        <v>30-4118-018-5XX</v>
      </c>
      <c r="I4336" t="str">
        <f>VLOOKUP(record[[#This Row],[ProcessSN]],表格2_7[],3,FALSE)</f>
        <v>#07QC</v>
      </c>
      <c r="J4336" t="s">
        <v>589</v>
      </c>
      <c r="K4336" s="195">
        <v>46052.414942129632</v>
      </c>
      <c r="L4336">
        <v>0</v>
      </c>
      <c r="M4336">
        <v>4</v>
      </c>
      <c r="N4336" s="98" t="str">
        <f>IF(record[[#This Row],[Memo]]="Browser:chrome os:android","平板報工",IF(record[[#This Row],[Memo]]=0,"委外",record[[#This Row],[Memo]]))</f>
        <v/>
      </c>
      <c r="O4336" t="s">
        <v>58</v>
      </c>
      <c r="P4336" t="s">
        <v>141</v>
      </c>
      <c r="Q4336" t="s">
        <v>58</v>
      </c>
      <c r="R4336" t="str">
        <f>IFERROR(VLOOKUP(record[[#This Row],[PCUSTID]],廠商[],2,FALSE),"")</f>
        <v/>
      </c>
      <c r="S4336" t="str">
        <f>VLOOKUP(record[[#This Row],[employeeID]],員工[],2,FALSE)</f>
        <v>蔣梅</v>
      </c>
    </row>
    <row r="4337" spans="6:19" hidden="1" x14ac:dyDescent="0.25">
      <c r="F4337" t="s">
        <v>1503</v>
      </c>
      <c r="G4337" t="s">
        <v>419</v>
      </c>
      <c r="H4337" t="str">
        <f>VLOOKUP(record[[#This Row],[ProcessSN]],表格2_7[],2,FALSE)</f>
        <v>30-4118-018-5XX</v>
      </c>
      <c r="I4337" t="str">
        <f>VLOOKUP(record[[#This Row],[ProcessSN]],表格2_7[],3,FALSE)</f>
        <v>#07QC</v>
      </c>
      <c r="J4337" t="s">
        <v>589</v>
      </c>
      <c r="K4337" s="195">
        <v>46052.414710648147</v>
      </c>
      <c r="L4337">
        <v>119</v>
      </c>
      <c r="M4337">
        <v>0</v>
      </c>
      <c r="N4337" s="98" t="str">
        <f>IF(record[[#This Row],[Memo]]="Browser:chrome os:android","平板報工",IF(record[[#This Row],[Memo]]=0,"委外",record[[#This Row],[Memo]]))</f>
        <v/>
      </c>
      <c r="O4337" t="s">
        <v>58</v>
      </c>
      <c r="P4337" t="s">
        <v>141</v>
      </c>
      <c r="Q4337" t="s">
        <v>58</v>
      </c>
      <c r="R4337" t="str">
        <f>IFERROR(VLOOKUP(record[[#This Row],[PCUSTID]],廠商[],2,FALSE),"")</f>
        <v/>
      </c>
      <c r="S4337" t="str">
        <f>VLOOKUP(record[[#This Row],[employeeID]],員工[],2,FALSE)</f>
        <v>蔣梅</v>
      </c>
    </row>
    <row r="4338" spans="6:19" hidden="1" x14ac:dyDescent="0.25">
      <c r="F4338" t="s">
        <v>1407</v>
      </c>
      <c r="G4338" t="s">
        <v>362</v>
      </c>
      <c r="H4338" t="str">
        <f>VLOOKUP(record[[#This Row],[ProcessSN]],表格2_7[],2,FALSE)</f>
        <v>30-4118-018-450</v>
      </c>
      <c r="I4338" t="str">
        <f>VLOOKUP(record[[#This Row],[ProcessSN]],表格2_7[],3,FALSE)</f>
        <v>#100SHIP</v>
      </c>
      <c r="J4338" t="s">
        <v>600</v>
      </c>
      <c r="K4338" s="195">
        <v>46052.393321759257</v>
      </c>
      <c r="L4338">
        <v>9</v>
      </c>
      <c r="M4338">
        <v>0</v>
      </c>
      <c r="N4338" s="98" t="str">
        <f>IF(record[[#This Row],[Memo]]="Browser:chrome os:android","平板報工",IF(record[[#This Row],[Memo]]=0,"委外",record[[#This Row],[Memo]]))</f>
        <v/>
      </c>
      <c r="O4338" t="s">
        <v>58</v>
      </c>
      <c r="P4338" t="s">
        <v>886</v>
      </c>
      <c r="Q4338" t="s">
        <v>58</v>
      </c>
      <c r="R4338" t="str">
        <f>IFERROR(VLOOKUP(record[[#This Row],[PCUSTID]],廠商[],2,FALSE),"")</f>
        <v/>
      </c>
      <c r="S4338" t="str">
        <f>VLOOKUP(record[[#This Row],[employeeID]],員工[],2,FALSE)</f>
        <v>謝蓁薰</v>
      </c>
    </row>
    <row r="4339" spans="6:19" hidden="1" x14ac:dyDescent="0.25">
      <c r="F4339" t="s">
        <v>956</v>
      </c>
      <c r="G4339" t="s">
        <v>362</v>
      </c>
      <c r="H4339" t="str">
        <f>VLOOKUP(record[[#This Row],[ProcessSN]],表格2_7[],2,FALSE)</f>
        <v>30-4118-018-450</v>
      </c>
      <c r="I4339" t="str">
        <f>VLOOKUP(record[[#This Row],[ProcessSN]],表格2_7[],3,FALSE)</f>
        <v>#100SHIP</v>
      </c>
      <c r="J4339" t="s">
        <v>600</v>
      </c>
      <c r="K4339" s="195">
        <v>46052.393055555556</v>
      </c>
      <c r="L4339">
        <v>1</v>
      </c>
      <c r="M4339">
        <v>0</v>
      </c>
      <c r="N4339" s="98" t="str">
        <f>IF(record[[#This Row],[Memo]]="Browser:chrome os:android","平板報工",IF(record[[#This Row],[Memo]]=0,"委外",record[[#This Row],[Memo]]))</f>
        <v/>
      </c>
      <c r="O4339" t="s">
        <v>58</v>
      </c>
      <c r="P4339" t="s">
        <v>886</v>
      </c>
      <c r="Q4339" t="s">
        <v>58</v>
      </c>
      <c r="R4339" t="str">
        <f>IFERROR(VLOOKUP(record[[#This Row],[PCUSTID]],廠商[],2,FALSE),"")</f>
        <v/>
      </c>
      <c r="S4339" t="str">
        <f>VLOOKUP(record[[#This Row],[employeeID]],員工[],2,FALSE)</f>
        <v>謝蓁薰</v>
      </c>
    </row>
    <row r="4340" spans="6:19" hidden="1" x14ac:dyDescent="0.25">
      <c r="F4340" t="s">
        <v>1253</v>
      </c>
      <c r="G4340" t="s">
        <v>418</v>
      </c>
      <c r="H4340" t="str">
        <f>VLOOKUP(record[[#This Row],[ProcessSN]],表格2_7[],2,FALSE)</f>
        <v>30-4118-018-5XX</v>
      </c>
      <c r="I4340" t="str">
        <f>VLOOKUP(record[[#This Row],[ProcessSN]],表格2_7[],3,FALSE)</f>
        <v>#07</v>
      </c>
      <c r="J4340" t="s">
        <v>588</v>
      </c>
      <c r="K4340" s="195">
        <v>46052.381145833337</v>
      </c>
      <c r="L4340">
        <v>1</v>
      </c>
      <c r="M4340">
        <v>0</v>
      </c>
      <c r="N4340" s="98" t="str">
        <f>IF(record[[#This Row],[Memo]]="Browser:chrome os:android","平板報工",IF(record[[#This Row],[Memo]]=0,"委外",record[[#This Row],[Memo]]))</f>
        <v>1/30覆回*1pcs</v>
      </c>
      <c r="O4340" t="s">
        <v>1541</v>
      </c>
      <c r="P4340" t="s">
        <v>1075</v>
      </c>
      <c r="Q4340" t="s">
        <v>58</v>
      </c>
      <c r="R4340" t="str">
        <f>IFERROR(VLOOKUP(record[[#This Row],[PCUSTID]],廠商[],2,FALSE),"")</f>
        <v/>
      </c>
      <c r="S4340" t="str">
        <f>VLOOKUP(record[[#This Row],[employeeID]],員工[],2,FALSE)</f>
        <v>吳宥叡</v>
      </c>
    </row>
    <row r="4341" spans="6:19" hidden="1" x14ac:dyDescent="0.25">
      <c r="F4341" t="s">
        <v>1253</v>
      </c>
      <c r="G4341" t="s">
        <v>417</v>
      </c>
      <c r="H4341" t="str">
        <f>VLOOKUP(record[[#This Row],[ProcessSN]],表格2_7[],2,FALSE)</f>
        <v>30-4118-018-5XX</v>
      </c>
      <c r="I4341" t="str">
        <f>VLOOKUP(record[[#This Row],[ProcessSN]],表格2_7[],3,FALSE)</f>
        <v>#06</v>
      </c>
      <c r="J4341" t="s">
        <v>593</v>
      </c>
      <c r="K4341" s="195">
        <v>46052.381006944444</v>
      </c>
      <c r="L4341">
        <v>1</v>
      </c>
      <c r="M4341">
        <v>0</v>
      </c>
      <c r="N4341" s="98" t="str">
        <f>IF(record[[#This Row],[Memo]]="Browser:chrome os:android","平板報工",IF(record[[#This Row],[Memo]]=0,"委外",record[[#This Row],[Memo]]))</f>
        <v>1/30覆回*1pcs</v>
      </c>
      <c r="O4341" t="s">
        <v>1541</v>
      </c>
      <c r="P4341" t="s">
        <v>1075</v>
      </c>
      <c r="Q4341" t="s">
        <v>58</v>
      </c>
      <c r="R4341" t="str">
        <f>IFERROR(VLOOKUP(record[[#This Row],[PCUSTID]],廠商[],2,FALSE),"")</f>
        <v/>
      </c>
      <c r="S4341" t="str">
        <f>VLOOKUP(record[[#This Row],[employeeID]],員工[],2,FALSE)</f>
        <v>吳宥叡</v>
      </c>
    </row>
    <row r="4342" spans="6:19" hidden="1" x14ac:dyDescent="0.25">
      <c r="F4342" t="s">
        <v>1253</v>
      </c>
      <c r="G4342" t="s">
        <v>416</v>
      </c>
      <c r="H4342" t="str">
        <f>VLOOKUP(record[[#This Row],[ProcessSN]],表格2_7[],2,FALSE)</f>
        <v>30-4118-018-5XX</v>
      </c>
      <c r="I4342" t="str">
        <f>VLOOKUP(record[[#This Row],[ProcessSN]],表格2_7[],3,FALSE)</f>
        <v>#05</v>
      </c>
      <c r="J4342" t="s">
        <v>588</v>
      </c>
      <c r="K4342" s="195">
        <v>46052.380868055552</v>
      </c>
      <c r="L4342">
        <v>1</v>
      </c>
      <c r="M4342">
        <v>0</v>
      </c>
      <c r="N4342" s="98" t="str">
        <f>IF(record[[#This Row],[Memo]]="Browser:chrome os:android","平板報工",IF(record[[#This Row],[Memo]]=0,"委外",record[[#This Row],[Memo]]))</f>
        <v/>
      </c>
      <c r="O4342" t="s">
        <v>58</v>
      </c>
      <c r="P4342" t="s">
        <v>1075</v>
      </c>
      <c r="Q4342" t="s">
        <v>58</v>
      </c>
      <c r="R4342" t="str">
        <f>IFERROR(VLOOKUP(record[[#This Row],[PCUSTID]],廠商[],2,FALSE),"")</f>
        <v/>
      </c>
      <c r="S4342" t="str">
        <f>VLOOKUP(record[[#This Row],[employeeID]],員工[],2,FALSE)</f>
        <v>吳宥叡</v>
      </c>
    </row>
    <row r="4343" spans="6:19" hidden="1" x14ac:dyDescent="0.25">
      <c r="F4343" t="s">
        <v>1253</v>
      </c>
      <c r="G4343" t="s">
        <v>415</v>
      </c>
      <c r="H4343" t="str">
        <f>VLOOKUP(record[[#This Row],[ProcessSN]],表格2_7[],2,FALSE)</f>
        <v>30-4118-018-5XX</v>
      </c>
      <c r="I4343" t="str">
        <f>VLOOKUP(record[[#This Row],[ProcessSN]],表格2_7[],3,FALSE)</f>
        <v>#04</v>
      </c>
      <c r="J4343" t="s">
        <v>588</v>
      </c>
      <c r="K4343" s="195">
        <v>46052.380682870367</v>
      </c>
      <c r="L4343">
        <v>141</v>
      </c>
      <c r="M4343">
        <v>0</v>
      </c>
      <c r="N4343" s="98" t="str">
        <f>IF(record[[#This Row],[Memo]]="Browser:chrome os:android","平板報工",IF(record[[#This Row],[Memo]]=0,"委外",record[[#This Row],[Memo]]))</f>
        <v>1/30覆回*1pcs</v>
      </c>
      <c r="O4343" t="s">
        <v>1541</v>
      </c>
      <c r="P4343" t="s">
        <v>1075</v>
      </c>
      <c r="Q4343" t="s">
        <v>58</v>
      </c>
      <c r="R4343" t="str">
        <f>IFERROR(VLOOKUP(record[[#This Row],[PCUSTID]],廠商[],2,FALSE),"")</f>
        <v/>
      </c>
      <c r="S4343" t="str">
        <f>VLOOKUP(record[[#This Row],[employeeID]],員工[],2,FALSE)</f>
        <v>吳宥叡</v>
      </c>
    </row>
    <row r="4344" spans="6:19" hidden="1" x14ac:dyDescent="0.25">
      <c r="F4344" t="s">
        <v>1531</v>
      </c>
      <c r="G4344" t="s">
        <v>468</v>
      </c>
      <c r="H4344" t="str">
        <f>VLOOKUP(record[[#This Row],[ProcessSN]],表格2_7[],2,FALSE)</f>
        <v>30-4118-018-XXX</v>
      </c>
      <c r="I4344" t="str">
        <f>VLOOKUP(record[[#This Row],[ProcessSN]],表格2_7[],3,FALSE)</f>
        <v>#02</v>
      </c>
      <c r="J4344" t="s">
        <v>590</v>
      </c>
      <c r="K4344" s="195">
        <v>46052.372986111113</v>
      </c>
      <c r="L4344">
        <v>1176</v>
      </c>
      <c r="M4344">
        <v>0</v>
      </c>
      <c r="N4344" s="98" t="str">
        <f>IF(record[[#This Row],[Memo]]="Browser:chrome os:android","平板報工",IF(record[[#This Row],[Memo]]=0,"委外",record[[#This Row],[Memo]]))</f>
        <v>委外</v>
      </c>
      <c r="P4344" t="s">
        <v>186</v>
      </c>
      <c r="Q4344" t="s">
        <v>216</v>
      </c>
      <c r="R4344" t="str">
        <f>IFERROR(VLOOKUP(record[[#This Row],[PCUSTID]],廠商[],2,FALSE),"")</f>
        <v>俊杰</v>
      </c>
      <c r="S4344" t="str">
        <f>VLOOKUP(record[[#This Row],[employeeID]],員工[],2,FALSE)</f>
        <v>許文姍</v>
      </c>
    </row>
    <row r="4345" spans="6:19" hidden="1" x14ac:dyDescent="0.25">
      <c r="F4345" t="s">
        <v>1472</v>
      </c>
      <c r="G4345" t="s">
        <v>419</v>
      </c>
      <c r="H4345" t="str">
        <f>VLOOKUP(record[[#This Row],[ProcessSN]],表格2_7[],2,FALSE)</f>
        <v>30-4118-018-5XX</v>
      </c>
      <c r="I4345" t="str">
        <f>VLOOKUP(record[[#This Row],[ProcessSN]],表格2_7[],3,FALSE)</f>
        <v>#07QC</v>
      </c>
      <c r="J4345" t="s">
        <v>589</v>
      </c>
      <c r="K4345" s="195">
        <v>46052.346446759257</v>
      </c>
      <c r="L4345">
        <v>0</v>
      </c>
      <c r="M4345">
        <v>6</v>
      </c>
      <c r="N4345" s="98" t="str">
        <f>IF(record[[#This Row],[Memo]]="Browser:chrome os:android","平板報工",IF(record[[#This Row],[Memo]]=0,"委外",record[[#This Row],[Memo]]))</f>
        <v/>
      </c>
      <c r="O4345" t="s">
        <v>58</v>
      </c>
      <c r="P4345" t="s">
        <v>141</v>
      </c>
      <c r="Q4345" t="s">
        <v>58</v>
      </c>
      <c r="R4345" t="str">
        <f>IFERROR(VLOOKUP(record[[#This Row],[PCUSTID]],廠商[],2,FALSE),"")</f>
        <v/>
      </c>
      <c r="S4345" t="str">
        <f>VLOOKUP(record[[#This Row],[employeeID]],員工[],2,FALSE)</f>
        <v>蔣梅</v>
      </c>
    </row>
    <row r="4346" spans="6:19" hidden="1" x14ac:dyDescent="0.25">
      <c r="F4346" t="s">
        <v>1472</v>
      </c>
      <c r="G4346" t="s">
        <v>419</v>
      </c>
      <c r="H4346" t="str">
        <f>VLOOKUP(record[[#This Row],[ProcessSN]],表格2_7[],2,FALSE)</f>
        <v>30-4118-018-5XX</v>
      </c>
      <c r="I4346" t="str">
        <f>VLOOKUP(record[[#This Row],[ProcessSN]],表格2_7[],3,FALSE)</f>
        <v>#07QC</v>
      </c>
      <c r="J4346" t="s">
        <v>589</v>
      </c>
      <c r="K4346" s="195">
        <v>46052.346284722225</v>
      </c>
      <c r="L4346">
        <v>224</v>
      </c>
      <c r="M4346">
        <v>0</v>
      </c>
      <c r="N4346" s="98" t="str">
        <f>IF(record[[#This Row],[Memo]]="Browser:chrome os:android","平板報工",IF(record[[#This Row],[Memo]]=0,"委外",record[[#This Row],[Memo]]))</f>
        <v/>
      </c>
      <c r="O4346" t="s">
        <v>58</v>
      </c>
      <c r="P4346" t="s">
        <v>141</v>
      </c>
      <c r="Q4346" t="s">
        <v>58</v>
      </c>
      <c r="R4346" t="str">
        <f>IFERROR(VLOOKUP(record[[#This Row],[PCUSTID]],廠商[],2,FALSE),"")</f>
        <v/>
      </c>
      <c r="S4346" t="str">
        <f>VLOOKUP(record[[#This Row],[employeeID]],員工[],2,FALSE)</f>
        <v>蔣梅</v>
      </c>
    </row>
    <row r="4347" spans="6:19" hidden="1" x14ac:dyDescent="0.25">
      <c r="F4347" t="s">
        <v>1189</v>
      </c>
      <c r="G4347" t="s">
        <v>419</v>
      </c>
      <c r="H4347" t="str">
        <f>VLOOKUP(record[[#This Row],[ProcessSN]],表格2_7[],2,FALSE)</f>
        <v>30-4118-018-5XX</v>
      </c>
      <c r="I4347" t="str">
        <f>VLOOKUP(record[[#This Row],[ProcessSN]],表格2_7[],3,FALSE)</f>
        <v>#07QC</v>
      </c>
      <c r="J4347" t="s">
        <v>589</v>
      </c>
      <c r="K4347" s="195">
        <v>46052.345185185186</v>
      </c>
      <c r="L4347">
        <v>3</v>
      </c>
      <c r="M4347">
        <v>0</v>
      </c>
      <c r="N4347" s="98" t="str">
        <f>IF(record[[#This Row],[Memo]]="Browser:chrome os:android","平板報工",IF(record[[#This Row],[Memo]]=0,"委外",record[[#This Row],[Memo]]))</f>
        <v/>
      </c>
      <c r="O4347" t="s">
        <v>58</v>
      </c>
      <c r="P4347" t="s">
        <v>141</v>
      </c>
      <c r="Q4347" t="s">
        <v>58</v>
      </c>
      <c r="R4347" t="str">
        <f>IFERROR(VLOOKUP(record[[#This Row],[PCUSTID]],廠商[],2,FALSE),"")</f>
        <v/>
      </c>
      <c r="S4347" t="str">
        <f>VLOOKUP(record[[#This Row],[employeeID]],員工[],2,FALSE)</f>
        <v>蔣梅</v>
      </c>
    </row>
    <row r="4348" spans="6:19" hidden="1" x14ac:dyDescent="0.25">
      <c r="F4348" t="s">
        <v>1531</v>
      </c>
      <c r="G4348" t="s">
        <v>467</v>
      </c>
      <c r="H4348" t="str">
        <f>VLOOKUP(record[[#This Row],[ProcessSN]],表格2_7[],2,FALSE)</f>
        <v>30-4118-018-XXX</v>
      </c>
      <c r="I4348" t="str">
        <f>VLOOKUP(record[[#This Row],[ProcessSN]],表格2_7[],3,FALSE)</f>
        <v>#01QC</v>
      </c>
      <c r="J4348" t="s">
        <v>589</v>
      </c>
      <c r="K4348" s="195">
        <v>46052.344699074078</v>
      </c>
      <c r="L4348">
        <v>1176</v>
      </c>
      <c r="M4348">
        <v>0</v>
      </c>
      <c r="N4348" s="98" t="str">
        <f>IF(record[[#This Row],[Memo]]="Browser:chrome os:android","平板報工",IF(record[[#This Row],[Memo]]=0,"委外",record[[#This Row],[Memo]]))</f>
        <v>平板報工</v>
      </c>
      <c r="O4348" t="s">
        <v>643</v>
      </c>
      <c r="P4348" t="s">
        <v>182</v>
      </c>
      <c r="Q4348" t="s">
        <v>644</v>
      </c>
      <c r="R4348" t="str">
        <f>IFERROR(VLOOKUP(record[[#This Row],[PCUSTID]],廠商[],2,FALSE),"")</f>
        <v/>
      </c>
      <c r="S4348" t="str">
        <f>VLOOKUP(record[[#This Row],[employeeID]],員工[],2,FALSE)</f>
        <v>梅氏和</v>
      </c>
    </row>
    <row r="4349" spans="6:19" hidden="1" x14ac:dyDescent="0.25">
      <c r="F4349" t="s">
        <v>1259</v>
      </c>
      <c r="G4349" t="s">
        <v>360</v>
      </c>
      <c r="H4349" t="str">
        <f>VLOOKUP(record[[#This Row],[ProcessSN]],表格2_7[],2,FALSE)</f>
        <v>30-4118-018-450</v>
      </c>
      <c r="I4349" t="str">
        <f>VLOOKUP(record[[#This Row],[ProcessSN]],表格2_7[],3,FALSE)</f>
        <v>#100OQC</v>
      </c>
      <c r="J4349" t="s">
        <v>599</v>
      </c>
      <c r="K4349" s="195">
        <v>46052.326168981483</v>
      </c>
      <c r="L4349">
        <v>7</v>
      </c>
      <c r="M4349">
        <v>0</v>
      </c>
      <c r="N4349" s="98" t="str">
        <f>IF(record[[#This Row],[Memo]]="Browser:chrome os:android","平板報工",IF(record[[#This Row],[Memo]]=0,"委外",record[[#This Row],[Memo]]))</f>
        <v/>
      </c>
      <c r="O4349" t="s">
        <v>58</v>
      </c>
      <c r="P4349" t="s">
        <v>121</v>
      </c>
      <c r="Q4349" t="s">
        <v>58</v>
      </c>
      <c r="R4349" t="str">
        <f>IFERROR(VLOOKUP(record[[#This Row],[PCUSTID]],廠商[],2,FALSE),"")</f>
        <v/>
      </c>
      <c r="S4349" t="str">
        <f>VLOOKUP(record[[#This Row],[employeeID]],員工[],2,FALSE)</f>
        <v>謝素卿</v>
      </c>
    </row>
    <row r="4350" spans="6:19" hidden="1" x14ac:dyDescent="0.25">
      <c r="F4350" t="s">
        <v>1510</v>
      </c>
      <c r="G4350" t="s">
        <v>426</v>
      </c>
      <c r="H4350" t="str">
        <f>VLOOKUP(record[[#This Row],[ProcessSN]],表格2_7[],2,FALSE)</f>
        <v>30-4118-018-600</v>
      </c>
      <c r="I4350" t="str">
        <f>VLOOKUP(record[[#This Row],[ProcessSN]],表格2_7[],3,FALSE)</f>
        <v>#100OQC</v>
      </c>
      <c r="J4350" t="s">
        <v>599</v>
      </c>
      <c r="K4350" s="195">
        <v>46052.325925925928</v>
      </c>
      <c r="L4350">
        <v>147</v>
      </c>
      <c r="M4350">
        <v>0</v>
      </c>
      <c r="N4350" s="98" t="str">
        <f>IF(record[[#This Row],[Memo]]="Browser:chrome os:android","平板報工",IF(record[[#This Row],[Memo]]=0,"委外",record[[#This Row],[Memo]]))</f>
        <v/>
      </c>
      <c r="O4350" t="s">
        <v>58</v>
      </c>
      <c r="P4350" t="s">
        <v>121</v>
      </c>
      <c r="Q4350" t="s">
        <v>58</v>
      </c>
      <c r="R4350" t="str">
        <f>IFERROR(VLOOKUP(record[[#This Row],[PCUSTID]],廠商[],2,FALSE),"")</f>
        <v/>
      </c>
      <c r="S4350" t="str">
        <f>VLOOKUP(record[[#This Row],[employeeID]],員工[],2,FALSE)</f>
        <v>謝素卿</v>
      </c>
    </row>
    <row r="4351" spans="6:19" hidden="1" x14ac:dyDescent="0.25">
      <c r="F4351" t="s">
        <v>1506</v>
      </c>
      <c r="G4351" t="s">
        <v>417</v>
      </c>
      <c r="H4351" t="str">
        <f>VLOOKUP(record[[#This Row],[ProcessSN]],表格2_7[],2,FALSE)</f>
        <v>30-4118-018-5XX</v>
      </c>
      <c r="I4351" t="str">
        <f>VLOOKUP(record[[#This Row],[ProcessSN]],表格2_7[],3,FALSE)</f>
        <v>#06</v>
      </c>
      <c r="J4351" t="s">
        <v>593</v>
      </c>
      <c r="K4351" s="195">
        <v>46052.310960648145</v>
      </c>
      <c r="L4351">
        <v>70</v>
      </c>
      <c r="M4351">
        <v>0</v>
      </c>
      <c r="N4351" s="98" t="str">
        <f>IF(record[[#This Row],[Memo]]="Browser:chrome os:android","平板報工",IF(record[[#This Row],[Memo]]=0,"委外",record[[#This Row],[Memo]]))</f>
        <v/>
      </c>
      <c r="O4351" t="s">
        <v>58</v>
      </c>
      <c r="P4351" t="s">
        <v>841</v>
      </c>
      <c r="Q4351" t="s">
        <v>58</v>
      </c>
      <c r="R4351" t="str">
        <f>IFERROR(VLOOKUP(record[[#This Row],[PCUSTID]],廠商[],2,FALSE),"")</f>
        <v/>
      </c>
      <c r="S4351" t="str">
        <f>VLOOKUP(record[[#This Row],[employeeID]],員工[],2,FALSE)</f>
        <v>范氏香</v>
      </c>
    </row>
    <row r="4352" spans="6:19" hidden="1" x14ac:dyDescent="0.25">
      <c r="F4352" t="s">
        <v>1531</v>
      </c>
      <c r="G4352" t="s">
        <v>466</v>
      </c>
      <c r="H4352" t="str">
        <f>VLOOKUP(record[[#This Row],[ProcessSN]],表格2_7[],2,FALSE)</f>
        <v>30-4118-018-XXX</v>
      </c>
      <c r="I4352" t="str">
        <f>VLOOKUP(record[[#This Row],[ProcessSN]],表格2_7[],3,FALSE)</f>
        <v>#01-2</v>
      </c>
      <c r="J4352" t="s">
        <v>588</v>
      </c>
      <c r="K4352" s="195">
        <v>46052.306087962963</v>
      </c>
      <c r="L4352">
        <v>540</v>
      </c>
      <c r="M4352">
        <v>0</v>
      </c>
      <c r="N4352" s="98" t="str">
        <f>IF(record[[#This Row],[Memo]]="Browser:chrome os:android","平板報工",IF(record[[#This Row],[Memo]]=0,"委外",record[[#This Row],[Memo]]))</f>
        <v/>
      </c>
      <c r="O4352" t="s">
        <v>58</v>
      </c>
      <c r="P4352" t="s">
        <v>806</v>
      </c>
      <c r="Q4352" t="s">
        <v>58</v>
      </c>
      <c r="R4352" t="str">
        <f>IFERROR(VLOOKUP(record[[#This Row],[PCUSTID]],廠商[],2,FALSE),"")</f>
        <v/>
      </c>
      <c r="S4352" t="str">
        <f>VLOOKUP(record[[#This Row],[employeeID]],員工[],2,FALSE)</f>
        <v>方思緯</v>
      </c>
    </row>
    <row r="4353" spans="6:19" hidden="1" x14ac:dyDescent="0.25">
      <c r="F4353" t="s">
        <v>1492</v>
      </c>
      <c r="G4353" t="s">
        <v>417</v>
      </c>
      <c r="H4353" t="str">
        <f>VLOOKUP(record[[#This Row],[ProcessSN]],表格2_7[],2,FALSE)</f>
        <v>30-4118-018-5XX</v>
      </c>
      <c r="I4353" t="str">
        <f>VLOOKUP(record[[#This Row],[ProcessSN]],表格2_7[],3,FALSE)</f>
        <v>#06</v>
      </c>
      <c r="J4353" t="s">
        <v>593</v>
      </c>
      <c r="K4353" s="195">
        <v>46052.305439814816</v>
      </c>
      <c r="L4353">
        <v>9</v>
      </c>
      <c r="M4353">
        <v>0</v>
      </c>
      <c r="N4353" s="98" t="str">
        <f>IF(record[[#This Row],[Memo]]="Browser:chrome os:android","平板報工",IF(record[[#This Row],[Memo]]=0,"委外",record[[#This Row],[Memo]]))</f>
        <v/>
      </c>
      <c r="O4353" t="s">
        <v>58</v>
      </c>
      <c r="P4353" t="s">
        <v>135</v>
      </c>
      <c r="Q4353" t="s">
        <v>58</v>
      </c>
      <c r="R4353" t="str">
        <f>IFERROR(VLOOKUP(record[[#This Row],[PCUSTID]],廠商[],2,FALSE),"")</f>
        <v/>
      </c>
      <c r="S4353" t="str">
        <f>VLOOKUP(record[[#This Row],[employeeID]],員工[],2,FALSE)</f>
        <v>阮士文</v>
      </c>
    </row>
    <row r="4354" spans="6:19" hidden="1" x14ac:dyDescent="0.25">
      <c r="F4354" t="s">
        <v>1492</v>
      </c>
      <c r="G4354" t="s">
        <v>416</v>
      </c>
      <c r="H4354" t="str">
        <f>VLOOKUP(record[[#This Row],[ProcessSN]],表格2_7[],2,FALSE)</f>
        <v>30-4118-018-5XX</v>
      </c>
      <c r="I4354" t="str">
        <f>VLOOKUP(record[[#This Row],[ProcessSN]],表格2_7[],3,FALSE)</f>
        <v>#05</v>
      </c>
      <c r="J4354" t="s">
        <v>588</v>
      </c>
      <c r="K4354" s="195">
        <v>46052.305312500001</v>
      </c>
      <c r="L4354">
        <v>9</v>
      </c>
      <c r="M4354">
        <v>0</v>
      </c>
      <c r="N4354" s="98" t="str">
        <f>IF(record[[#This Row],[Memo]]="Browser:chrome os:android","平板報工",IF(record[[#This Row],[Memo]]=0,"委外",record[[#This Row],[Memo]]))</f>
        <v/>
      </c>
      <c r="O4354" t="s">
        <v>58</v>
      </c>
      <c r="P4354" t="s">
        <v>135</v>
      </c>
      <c r="Q4354" t="s">
        <v>58</v>
      </c>
      <c r="R4354" t="str">
        <f>IFERROR(VLOOKUP(record[[#This Row],[PCUSTID]],廠商[],2,FALSE),"")</f>
        <v/>
      </c>
      <c r="S4354" t="str">
        <f>VLOOKUP(record[[#This Row],[employeeID]],員工[],2,FALSE)</f>
        <v>阮士文</v>
      </c>
    </row>
    <row r="4355" spans="6:19" hidden="1" x14ac:dyDescent="0.25">
      <c r="F4355" t="s">
        <v>1492</v>
      </c>
      <c r="G4355" t="s">
        <v>415</v>
      </c>
      <c r="H4355" t="str">
        <f>VLOOKUP(record[[#This Row],[ProcessSN]],表格2_7[],2,FALSE)</f>
        <v>30-4118-018-5XX</v>
      </c>
      <c r="I4355" t="str">
        <f>VLOOKUP(record[[#This Row],[ProcessSN]],表格2_7[],3,FALSE)</f>
        <v>#04</v>
      </c>
      <c r="J4355" t="s">
        <v>588</v>
      </c>
      <c r="K4355" s="195">
        <v>46052.305092592593</v>
      </c>
      <c r="L4355">
        <v>9</v>
      </c>
      <c r="M4355">
        <v>0</v>
      </c>
      <c r="N4355" s="98" t="str">
        <f>IF(record[[#This Row],[Memo]]="Browser:chrome os:android","平板報工",IF(record[[#This Row],[Memo]]=0,"委外",record[[#This Row],[Memo]]))</f>
        <v/>
      </c>
      <c r="O4355" t="s">
        <v>58</v>
      </c>
      <c r="P4355" t="s">
        <v>135</v>
      </c>
      <c r="Q4355" t="s">
        <v>58</v>
      </c>
      <c r="R4355" t="str">
        <f>IFERROR(VLOOKUP(record[[#This Row],[PCUSTID]],廠商[],2,FALSE),"")</f>
        <v/>
      </c>
      <c r="S4355" t="str">
        <f>VLOOKUP(record[[#This Row],[employeeID]],員工[],2,FALSE)</f>
        <v>阮士文</v>
      </c>
    </row>
    <row r="4356" spans="6:19" hidden="1" x14ac:dyDescent="0.25">
      <c r="F4356" t="s">
        <v>1531</v>
      </c>
      <c r="G4356" t="s">
        <v>465</v>
      </c>
      <c r="H4356" t="str">
        <f>VLOOKUP(record[[#This Row],[ProcessSN]],表格2_7[],2,FALSE)</f>
        <v>30-4118-018-XXX</v>
      </c>
      <c r="I4356" t="str">
        <f>VLOOKUP(record[[#This Row],[ProcessSN]],表格2_7[],3,FALSE)</f>
        <v>#01-1</v>
      </c>
      <c r="J4356" t="s">
        <v>588</v>
      </c>
      <c r="K4356" s="195">
        <v>46052.304606481484</v>
      </c>
      <c r="L4356">
        <v>540</v>
      </c>
      <c r="M4356">
        <v>0</v>
      </c>
      <c r="N4356" s="98" t="str">
        <f>IF(record[[#This Row],[Memo]]="Browser:chrome os:android","平板報工",IF(record[[#This Row],[Memo]]=0,"委外",record[[#This Row],[Memo]]))</f>
        <v/>
      </c>
      <c r="O4356" t="s">
        <v>58</v>
      </c>
      <c r="P4356" t="s">
        <v>806</v>
      </c>
      <c r="Q4356" t="s">
        <v>58</v>
      </c>
      <c r="R4356" t="str">
        <f>IFERROR(VLOOKUP(record[[#This Row],[PCUSTID]],廠商[],2,FALSE),"")</f>
        <v/>
      </c>
      <c r="S4356" t="str">
        <f>VLOOKUP(record[[#This Row],[employeeID]],員工[],2,FALSE)</f>
        <v>方思緯</v>
      </c>
    </row>
    <row r="4357" spans="6:19" hidden="1" x14ac:dyDescent="0.25">
      <c r="F4357" t="s">
        <v>1527</v>
      </c>
      <c r="G4357" t="s">
        <v>448</v>
      </c>
      <c r="H4357" t="str">
        <f>VLOOKUP(record[[#This Row],[ProcessSN]],表格2_7[],2,FALSE)</f>
        <v>30-4118-018-6XX</v>
      </c>
      <c r="I4357" t="str">
        <f>VLOOKUP(record[[#This Row],[ProcessSN]],表格2_7[],3,FALSE)</f>
        <v>#04</v>
      </c>
      <c r="J4357" t="s">
        <v>588</v>
      </c>
      <c r="K4357" s="195">
        <v>46052.302361111113</v>
      </c>
      <c r="L4357">
        <v>123</v>
      </c>
      <c r="M4357">
        <v>0</v>
      </c>
      <c r="N4357" s="98" t="str">
        <f>IF(record[[#This Row],[Memo]]="Browser:chrome os:android","平板報工",IF(record[[#This Row],[Memo]]=0,"委外",record[[#This Row],[Memo]]))</f>
        <v/>
      </c>
      <c r="O4357" t="s">
        <v>58</v>
      </c>
      <c r="P4357" t="s">
        <v>135</v>
      </c>
      <c r="Q4357" t="s">
        <v>58</v>
      </c>
      <c r="R4357" t="str">
        <f>IFERROR(VLOOKUP(record[[#This Row],[PCUSTID]],廠商[],2,FALSE),"")</f>
        <v/>
      </c>
      <c r="S4357" t="str">
        <f>VLOOKUP(record[[#This Row],[employeeID]],員工[],2,FALSE)</f>
        <v>阮士文</v>
      </c>
    </row>
    <row r="4358" spans="6:19" hidden="1" x14ac:dyDescent="0.25">
      <c r="F4358" t="s">
        <v>1506</v>
      </c>
      <c r="G4358" t="s">
        <v>417</v>
      </c>
      <c r="H4358" t="str">
        <f>VLOOKUP(record[[#This Row],[ProcessSN]],表格2_7[],2,FALSE)</f>
        <v>30-4118-018-5XX</v>
      </c>
      <c r="I4358" t="str">
        <f>VLOOKUP(record[[#This Row],[ProcessSN]],表格2_7[],3,FALSE)</f>
        <v>#06</v>
      </c>
      <c r="J4358" t="s">
        <v>593</v>
      </c>
      <c r="K4358" s="195">
        <v>46051.984895833331</v>
      </c>
      <c r="L4358">
        <v>133</v>
      </c>
      <c r="M4358">
        <v>0</v>
      </c>
      <c r="N4358" s="98" t="str">
        <f>IF(record[[#This Row],[Memo]]="Browser:chrome os:android","平板報工",IF(record[[#This Row],[Memo]]=0,"委外",record[[#This Row],[Memo]]))</f>
        <v/>
      </c>
      <c r="O4358" t="s">
        <v>58</v>
      </c>
      <c r="P4358" t="s">
        <v>133</v>
      </c>
      <c r="Q4358" t="s">
        <v>58</v>
      </c>
      <c r="R4358" t="str">
        <f>IFERROR(VLOOKUP(record[[#This Row],[PCUSTID]],廠商[],2,FALSE),"")</f>
        <v/>
      </c>
      <c r="S4358" t="str">
        <f>VLOOKUP(record[[#This Row],[employeeID]],員工[],2,FALSE)</f>
        <v>黎長維</v>
      </c>
    </row>
    <row r="4359" spans="6:19" hidden="1" x14ac:dyDescent="0.25">
      <c r="F4359" t="s">
        <v>1506</v>
      </c>
      <c r="G4359" t="s">
        <v>417</v>
      </c>
      <c r="H4359" t="str">
        <f>VLOOKUP(record[[#This Row],[ProcessSN]],表格2_7[],2,FALSE)</f>
        <v>30-4118-018-5XX</v>
      </c>
      <c r="I4359" t="str">
        <f>VLOOKUP(record[[#This Row],[ProcessSN]],表格2_7[],3,FALSE)</f>
        <v>#06</v>
      </c>
      <c r="J4359" t="s">
        <v>593</v>
      </c>
      <c r="K4359" s="195">
        <v>46051.981840277775</v>
      </c>
      <c r="L4359">
        <v>64</v>
      </c>
      <c r="M4359">
        <v>0</v>
      </c>
      <c r="N4359" s="98" t="str">
        <f>IF(record[[#This Row],[Memo]]="Browser:chrome os:android","平板報工",IF(record[[#This Row],[Memo]]=0,"委外",record[[#This Row],[Memo]]))</f>
        <v/>
      </c>
      <c r="O4359" t="s">
        <v>58</v>
      </c>
      <c r="P4359" t="s">
        <v>841</v>
      </c>
      <c r="Q4359" t="s">
        <v>58</v>
      </c>
      <c r="R4359" t="str">
        <f>IFERROR(VLOOKUP(record[[#This Row],[PCUSTID]],廠商[],2,FALSE),"")</f>
        <v/>
      </c>
      <c r="S4359" t="str">
        <f>VLOOKUP(record[[#This Row],[employeeID]],員工[],2,FALSE)</f>
        <v>范氏香</v>
      </c>
    </row>
    <row r="4360" spans="6:19" hidden="1" x14ac:dyDescent="0.25">
      <c r="F4360" t="s">
        <v>1527</v>
      </c>
      <c r="G4360" t="s">
        <v>448</v>
      </c>
      <c r="H4360" t="str">
        <f>VLOOKUP(record[[#This Row],[ProcessSN]],表格2_7[],2,FALSE)</f>
        <v>30-4118-018-6XX</v>
      </c>
      <c r="I4360" t="str">
        <f>VLOOKUP(record[[#This Row],[ProcessSN]],表格2_7[],3,FALSE)</f>
        <v>#04</v>
      </c>
      <c r="J4360" t="s">
        <v>588</v>
      </c>
      <c r="K4360" s="195">
        <v>46051.977465277778</v>
      </c>
      <c r="L4360">
        <v>123</v>
      </c>
      <c r="M4360">
        <v>0</v>
      </c>
      <c r="N4360" s="98" t="str">
        <f>IF(record[[#This Row],[Memo]]="Browser:chrome os:android","平板報工",IF(record[[#This Row],[Memo]]=0,"委外",record[[#This Row],[Memo]]))</f>
        <v/>
      </c>
      <c r="O4360" t="s">
        <v>58</v>
      </c>
      <c r="P4360" t="s">
        <v>1098</v>
      </c>
      <c r="Q4360" t="s">
        <v>58</v>
      </c>
      <c r="R4360" t="str">
        <f>IFERROR(VLOOKUP(record[[#This Row],[PCUSTID]],廠商[],2,FALSE),"")</f>
        <v/>
      </c>
      <c r="S4360" t="str">
        <f>VLOOKUP(record[[#This Row],[employeeID]],員工[],2,FALSE)</f>
        <v>阮氏芳英(英)</v>
      </c>
    </row>
    <row r="4361" spans="6:19" hidden="1" x14ac:dyDescent="0.25">
      <c r="F4361" t="s">
        <v>1531</v>
      </c>
      <c r="G4361" t="s">
        <v>466</v>
      </c>
      <c r="H4361" t="str">
        <f>VLOOKUP(record[[#This Row],[ProcessSN]],表格2_7[],2,FALSE)</f>
        <v>30-4118-018-XXX</v>
      </c>
      <c r="I4361" t="str">
        <f>VLOOKUP(record[[#This Row],[ProcessSN]],表格2_7[],3,FALSE)</f>
        <v>#01-2</v>
      </c>
      <c r="J4361" t="s">
        <v>588</v>
      </c>
      <c r="K4361" s="195">
        <v>46051.976990740739</v>
      </c>
      <c r="L4361">
        <v>270</v>
      </c>
      <c r="M4361">
        <v>0</v>
      </c>
      <c r="N4361" s="98" t="str">
        <f>IF(record[[#This Row],[Memo]]="Browser:chrome os:android","平板報工",IF(record[[#This Row],[Memo]]=0,"委外",record[[#This Row],[Memo]]))</f>
        <v/>
      </c>
      <c r="O4361" t="s">
        <v>58</v>
      </c>
      <c r="P4361" t="s">
        <v>806</v>
      </c>
      <c r="Q4361" t="s">
        <v>58</v>
      </c>
      <c r="R4361" t="str">
        <f>IFERROR(VLOOKUP(record[[#This Row],[PCUSTID]],廠商[],2,FALSE),"")</f>
        <v/>
      </c>
      <c r="S4361" t="str">
        <f>VLOOKUP(record[[#This Row],[employeeID]],員工[],2,FALSE)</f>
        <v>方思緯</v>
      </c>
    </row>
    <row r="4362" spans="6:19" hidden="1" x14ac:dyDescent="0.25">
      <c r="F4362" t="s">
        <v>1531</v>
      </c>
      <c r="G4362" t="s">
        <v>465</v>
      </c>
      <c r="H4362" t="str">
        <f>VLOOKUP(record[[#This Row],[ProcessSN]],表格2_7[],2,FALSE)</f>
        <v>30-4118-018-XXX</v>
      </c>
      <c r="I4362" t="str">
        <f>VLOOKUP(record[[#This Row],[ProcessSN]],表格2_7[],3,FALSE)</f>
        <v>#01-1</v>
      </c>
      <c r="J4362" t="s">
        <v>588</v>
      </c>
      <c r="K4362" s="195">
        <v>46051.976724537039</v>
      </c>
      <c r="L4362">
        <v>270</v>
      </c>
      <c r="M4362">
        <v>0</v>
      </c>
      <c r="N4362" s="98" t="str">
        <f>IF(record[[#This Row],[Memo]]="Browser:chrome os:android","平板報工",IF(record[[#This Row],[Memo]]=0,"委外",record[[#This Row],[Memo]]))</f>
        <v/>
      </c>
      <c r="O4362" t="s">
        <v>58</v>
      </c>
      <c r="P4362" t="s">
        <v>806</v>
      </c>
      <c r="Q4362" t="s">
        <v>58</v>
      </c>
      <c r="R4362" t="str">
        <f>IFERROR(VLOOKUP(record[[#This Row],[PCUSTID]],廠商[],2,FALSE),"")</f>
        <v/>
      </c>
      <c r="S4362" t="str">
        <f>VLOOKUP(record[[#This Row],[employeeID]],員工[],2,FALSE)</f>
        <v>方思緯</v>
      </c>
    </row>
    <row r="4363" spans="6:19" hidden="1" x14ac:dyDescent="0.25">
      <c r="F4363" t="s">
        <v>1503</v>
      </c>
      <c r="G4363" t="s">
        <v>417</v>
      </c>
      <c r="H4363" t="str">
        <f>VLOOKUP(record[[#This Row],[ProcessSN]],表格2_7[],2,FALSE)</f>
        <v>30-4118-018-5XX</v>
      </c>
      <c r="I4363" t="str">
        <f>VLOOKUP(record[[#This Row],[ProcessSN]],表格2_7[],3,FALSE)</f>
        <v>#06</v>
      </c>
      <c r="J4363" t="s">
        <v>593</v>
      </c>
      <c r="K4363" s="195">
        <v>46051.897349537037</v>
      </c>
      <c r="L4363">
        <v>2</v>
      </c>
      <c r="M4363">
        <v>0</v>
      </c>
      <c r="N4363" s="98" t="str">
        <f>IF(record[[#This Row],[Memo]]="Browser:chrome os:android","平板報工",IF(record[[#This Row],[Memo]]=0,"委外",record[[#This Row],[Memo]]))</f>
        <v/>
      </c>
      <c r="O4363" t="s">
        <v>58</v>
      </c>
      <c r="P4363" t="s">
        <v>841</v>
      </c>
      <c r="Q4363" t="s">
        <v>58</v>
      </c>
      <c r="R4363" t="str">
        <f>IFERROR(VLOOKUP(record[[#This Row],[PCUSTID]],廠商[],2,FALSE),"")</f>
        <v/>
      </c>
      <c r="S4363" t="str">
        <f>VLOOKUP(record[[#This Row],[employeeID]],員工[],2,FALSE)</f>
        <v>范氏香</v>
      </c>
    </row>
    <row r="4364" spans="6:19" hidden="1" x14ac:dyDescent="0.25">
      <c r="F4364" t="s">
        <v>1503</v>
      </c>
      <c r="G4364" t="s">
        <v>417</v>
      </c>
      <c r="H4364" t="str">
        <f>VLOOKUP(record[[#This Row],[ProcessSN]],表格2_7[],2,FALSE)</f>
        <v>30-4118-018-5XX</v>
      </c>
      <c r="I4364" t="str">
        <f>VLOOKUP(record[[#This Row],[ProcessSN]],表格2_7[],3,FALSE)</f>
        <v>#06</v>
      </c>
      <c r="J4364" t="s">
        <v>593</v>
      </c>
      <c r="K4364" s="195">
        <v>46051.824780092589</v>
      </c>
      <c r="L4364">
        <v>67</v>
      </c>
      <c r="M4364">
        <v>0</v>
      </c>
      <c r="N4364" s="98" t="str">
        <f>IF(record[[#This Row],[Memo]]="Browser:chrome os:android","平板報工",IF(record[[#This Row],[Memo]]=0,"委外",record[[#This Row],[Memo]]))</f>
        <v>平板報工</v>
      </c>
      <c r="O4364" t="s">
        <v>643</v>
      </c>
      <c r="P4364" t="s">
        <v>1413</v>
      </c>
      <c r="Q4364" t="s">
        <v>644</v>
      </c>
      <c r="R4364" t="str">
        <f>IFERROR(VLOOKUP(record[[#This Row],[PCUSTID]],廠商[],2,FALSE),"")</f>
        <v/>
      </c>
      <c r="S4364" t="str">
        <f>VLOOKUP(record[[#This Row],[employeeID]],員工[],2,FALSE)</f>
        <v>阮氏芳英(芳)</v>
      </c>
    </row>
    <row r="4365" spans="6:19" hidden="1" x14ac:dyDescent="0.25">
      <c r="F4365" t="s">
        <v>1531</v>
      </c>
      <c r="G4365" t="s">
        <v>466</v>
      </c>
      <c r="H4365" t="str">
        <f>VLOOKUP(record[[#This Row],[ProcessSN]],表格2_7[],2,FALSE)</f>
        <v>30-4118-018-XXX</v>
      </c>
      <c r="I4365" t="str">
        <f>VLOOKUP(record[[#This Row],[ProcessSN]],表格2_7[],3,FALSE)</f>
        <v>#01-2</v>
      </c>
      <c r="J4365" t="s">
        <v>588</v>
      </c>
      <c r="K4365" s="195">
        <v>46051.820532407408</v>
      </c>
      <c r="L4365">
        <v>270</v>
      </c>
      <c r="M4365">
        <v>0</v>
      </c>
      <c r="N4365" s="98" t="str">
        <f>IF(record[[#This Row],[Memo]]="Browser:chrome os:android","平板報工",IF(record[[#This Row],[Memo]]=0,"委外",record[[#This Row],[Memo]]))</f>
        <v/>
      </c>
      <c r="O4365" t="s">
        <v>58</v>
      </c>
      <c r="P4365" t="s">
        <v>785</v>
      </c>
      <c r="Q4365" t="s">
        <v>58</v>
      </c>
      <c r="R4365" t="str">
        <f>IFERROR(VLOOKUP(record[[#This Row],[PCUSTID]],廠商[],2,FALSE),"")</f>
        <v/>
      </c>
      <c r="S4365" t="str">
        <f>VLOOKUP(record[[#This Row],[employeeID]],員工[],2,FALSE)</f>
        <v>謝刻光</v>
      </c>
    </row>
    <row r="4366" spans="6:19" hidden="1" x14ac:dyDescent="0.25">
      <c r="F4366" t="s">
        <v>1531</v>
      </c>
      <c r="G4366" t="s">
        <v>465</v>
      </c>
      <c r="H4366" t="str">
        <f>VLOOKUP(record[[#This Row],[ProcessSN]],表格2_7[],2,FALSE)</f>
        <v>30-4118-018-XXX</v>
      </c>
      <c r="I4366" t="str">
        <f>VLOOKUP(record[[#This Row],[ProcessSN]],表格2_7[],3,FALSE)</f>
        <v>#01-1</v>
      </c>
      <c r="J4366" t="s">
        <v>588</v>
      </c>
      <c r="K4366" s="195">
        <v>46051.820069444446</v>
      </c>
      <c r="L4366">
        <v>270</v>
      </c>
      <c r="M4366">
        <v>0</v>
      </c>
      <c r="N4366" s="98" t="str">
        <f>IF(record[[#This Row],[Memo]]="Browser:chrome os:android","平板報工",IF(record[[#This Row],[Memo]]=0,"委外",record[[#This Row],[Memo]]))</f>
        <v/>
      </c>
      <c r="O4366" t="s">
        <v>58</v>
      </c>
      <c r="P4366" t="s">
        <v>785</v>
      </c>
      <c r="Q4366" t="s">
        <v>58</v>
      </c>
      <c r="R4366" t="str">
        <f>IFERROR(VLOOKUP(record[[#This Row],[PCUSTID]],廠商[],2,FALSE),"")</f>
        <v/>
      </c>
      <c r="S4366" t="str">
        <f>VLOOKUP(record[[#This Row],[employeeID]],員工[],2,FALSE)</f>
        <v>謝刻光</v>
      </c>
    </row>
    <row r="4367" spans="6:19" hidden="1" x14ac:dyDescent="0.25">
      <c r="F4367" t="s">
        <v>1526</v>
      </c>
      <c r="G4367" t="s">
        <v>414</v>
      </c>
      <c r="H4367" t="str">
        <f>VLOOKUP(record[[#This Row],[ProcessSN]],表格2_7[],2,FALSE)</f>
        <v>30-4118-018-5XX</v>
      </c>
      <c r="I4367" t="str">
        <f>VLOOKUP(record[[#This Row],[ProcessSN]],表格2_7[],3,FALSE)</f>
        <v>#03</v>
      </c>
      <c r="J4367" t="s">
        <v>588</v>
      </c>
      <c r="K4367" s="195">
        <v>46051.752893518518</v>
      </c>
      <c r="L4367">
        <v>212</v>
      </c>
      <c r="M4367">
        <v>0</v>
      </c>
      <c r="N4367" s="98" t="str">
        <f>IF(record[[#This Row],[Memo]]="Browser:chrome os:android","平板報工",IF(record[[#This Row],[Memo]]=0,"委外",record[[#This Row],[Memo]]))</f>
        <v/>
      </c>
      <c r="O4367" t="s">
        <v>58</v>
      </c>
      <c r="P4367" t="s">
        <v>1098</v>
      </c>
      <c r="Q4367" t="s">
        <v>58</v>
      </c>
      <c r="R4367" t="str">
        <f>IFERROR(VLOOKUP(record[[#This Row],[PCUSTID]],廠商[],2,FALSE),"")</f>
        <v/>
      </c>
      <c r="S4367" t="str">
        <f>VLOOKUP(record[[#This Row],[employeeID]],員工[],2,FALSE)</f>
        <v>阮氏芳英(英)</v>
      </c>
    </row>
    <row r="4368" spans="6:19" hidden="1" x14ac:dyDescent="0.25">
      <c r="F4368" t="s">
        <v>1259</v>
      </c>
      <c r="G4368" t="s">
        <v>359</v>
      </c>
      <c r="H4368" t="str">
        <f>VLOOKUP(record[[#This Row],[ProcessSN]],表格2_7[],2,FALSE)</f>
        <v>30-4118-018-450</v>
      </c>
      <c r="I4368" t="str">
        <f>VLOOKUP(record[[#This Row],[ProcessSN]],表格2_7[],3,FALSE)</f>
        <v>#100</v>
      </c>
      <c r="J4368" t="s">
        <v>598</v>
      </c>
      <c r="K4368" s="195">
        <v>46051.724756944444</v>
      </c>
      <c r="L4368">
        <v>0</v>
      </c>
      <c r="M4368">
        <v>16</v>
      </c>
      <c r="N4368" s="98" t="str">
        <f>IF(record[[#This Row],[Memo]]="Browser:chrome os:android","平板報工",IF(record[[#This Row],[Memo]]=0,"委外",record[[#This Row],[Memo]]))</f>
        <v/>
      </c>
      <c r="O4368" t="s">
        <v>58</v>
      </c>
      <c r="P4368" t="s">
        <v>141</v>
      </c>
      <c r="Q4368" t="s">
        <v>58</v>
      </c>
      <c r="R4368" t="str">
        <f>IFERROR(VLOOKUP(record[[#This Row],[PCUSTID]],廠商[],2,FALSE),"")</f>
        <v/>
      </c>
      <c r="S4368" t="str">
        <f>VLOOKUP(record[[#This Row],[employeeID]],員工[],2,FALSE)</f>
        <v>蔣梅</v>
      </c>
    </row>
    <row r="4369" spans="6:19" hidden="1" x14ac:dyDescent="0.25">
      <c r="F4369" t="s">
        <v>1259</v>
      </c>
      <c r="G4369" t="s">
        <v>359</v>
      </c>
      <c r="H4369" t="str">
        <f>VLOOKUP(record[[#This Row],[ProcessSN]],表格2_7[],2,FALSE)</f>
        <v>30-4118-018-450</v>
      </c>
      <c r="I4369" t="str">
        <f>VLOOKUP(record[[#This Row],[ProcessSN]],表格2_7[],3,FALSE)</f>
        <v>#100</v>
      </c>
      <c r="J4369" t="s">
        <v>598</v>
      </c>
      <c r="K4369" s="195">
        <v>46051.72457175926</v>
      </c>
      <c r="L4369">
        <v>7</v>
      </c>
      <c r="M4369">
        <v>0</v>
      </c>
      <c r="N4369" s="98" t="str">
        <f>IF(record[[#This Row],[Memo]]="Browser:chrome os:android","平板報工",IF(record[[#This Row],[Memo]]=0,"委外",record[[#This Row],[Memo]]))</f>
        <v>覆回</v>
      </c>
      <c r="O4369" t="s">
        <v>682</v>
      </c>
      <c r="P4369" t="s">
        <v>141</v>
      </c>
      <c r="Q4369" t="s">
        <v>58</v>
      </c>
      <c r="R4369" t="str">
        <f>IFERROR(VLOOKUP(record[[#This Row],[PCUSTID]],廠商[],2,FALSE),"")</f>
        <v/>
      </c>
      <c r="S4369" t="str">
        <f>VLOOKUP(record[[#This Row],[employeeID]],員工[],2,FALSE)</f>
        <v>蔣梅</v>
      </c>
    </row>
    <row r="4370" spans="6:19" hidden="1" x14ac:dyDescent="0.25">
      <c r="F4370" t="s">
        <v>1510</v>
      </c>
      <c r="G4370" t="s">
        <v>425</v>
      </c>
      <c r="H4370" t="str">
        <f>VLOOKUP(record[[#This Row],[ProcessSN]],表格2_7[],2,FALSE)</f>
        <v>30-4118-018-600</v>
      </c>
      <c r="I4370" t="str">
        <f>VLOOKUP(record[[#This Row],[ProcessSN]],表格2_7[],3,FALSE)</f>
        <v>#100</v>
      </c>
      <c r="J4370" t="s">
        <v>598</v>
      </c>
      <c r="K4370" s="195">
        <v>46051.71601851852</v>
      </c>
      <c r="L4370">
        <v>147</v>
      </c>
      <c r="M4370">
        <v>0</v>
      </c>
      <c r="N4370" s="98" t="str">
        <f>IF(record[[#This Row],[Memo]]="Browser:chrome os:android","平板報工",IF(record[[#This Row],[Memo]]=0,"委外",record[[#This Row],[Memo]]))</f>
        <v>平板報工</v>
      </c>
      <c r="O4370" t="s">
        <v>643</v>
      </c>
      <c r="P4370" t="s">
        <v>141</v>
      </c>
      <c r="Q4370" t="s">
        <v>644</v>
      </c>
      <c r="R4370" t="str">
        <f>IFERROR(VLOOKUP(record[[#This Row],[PCUSTID]],廠商[],2,FALSE),"")</f>
        <v/>
      </c>
      <c r="S4370" t="str">
        <f>VLOOKUP(record[[#This Row],[employeeID]],員工[],2,FALSE)</f>
        <v>蔣梅</v>
      </c>
    </row>
    <row r="4371" spans="6:19" hidden="1" x14ac:dyDescent="0.25">
      <c r="F4371" t="s">
        <v>1527</v>
      </c>
      <c r="G4371" t="s">
        <v>448</v>
      </c>
      <c r="H4371" t="str">
        <f>VLOOKUP(record[[#This Row],[ProcessSN]],表格2_7[],2,FALSE)</f>
        <v>30-4118-018-6XX</v>
      </c>
      <c r="I4371" t="str">
        <f>VLOOKUP(record[[#This Row],[ProcessSN]],表格2_7[],3,FALSE)</f>
        <v>#04</v>
      </c>
      <c r="J4371" t="s">
        <v>588</v>
      </c>
      <c r="K4371" s="195">
        <v>46051.697476851848</v>
      </c>
      <c r="L4371">
        <v>129</v>
      </c>
      <c r="M4371">
        <v>0</v>
      </c>
      <c r="N4371" s="98" t="str">
        <f>IF(record[[#This Row],[Memo]]="Browser:chrome os:android","平板報工",IF(record[[#This Row],[Memo]]=0,"委外",record[[#This Row],[Memo]]))</f>
        <v/>
      </c>
      <c r="O4371" t="s">
        <v>58</v>
      </c>
      <c r="P4371" t="s">
        <v>145</v>
      </c>
      <c r="Q4371" t="s">
        <v>58</v>
      </c>
      <c r="R4371" t="str">
        <f>IFERROR(VLOOKUP(record[[#This Row],[PCUSTID]],廠商[],2,FALSE),"")</f>
        <v/>
      </c>
      <c r="S4371" t="str">
        <f>VLOOKUP(record[[#This Row],[employeeID]],員工[],2,FALSE)</f>
        <v>阮秋霞</v>
      </c>
    </row>
    <row r="4372" spans="6:19" hidden="1" x14ac:dyDescent="0.25">
      <c r="F4372" t="s">
        <v>1527</v>
      </c>
      <c r="G4372" t="s">
        <v>447</v>
      </c>
      <c r="H4372" t="str">
        <f>VLOOKUP(record[[#This Row],[ProcessSN]],表格2_7[],2,FALSE)</f>
        <v>30-4118-018-6XX</v>
      </c>
      <c r="I4372" t="str">
        <f>VLOOKUP(record[[#This Row],[ProcessSN]],表格2_7[],3,FALSE)</f>
        <v>#03</v>
      </c>
      <c r="J4372" t="s">
        <v>588</v>
      </c>
      <c r="K4372" s="195">
        <v>46051.696655092594</v>
      </c>
      <c r="L4372">
        <v>56</v>
      </c>
      <c r="M4372">
        <v>0</v>
      </c>
      <c r="N4372" s="98" t="str">
        <f>IF(record[[#This Row],[Memo]]="Browser:chrome os:android","平板報工",IF(record[[#This Row],[Memo]]=0,"委外",record[[#This Row],[Memo]]))</f>
        <v/>
      </c>
      <c r="O4372" t="s">
        <v>58</v>
      </c>
      <c r="P4372" t="s">
        <v>145</v>
      </c>
      <c r="Q4372" t="s">
        <v>58</v>
      </c>
      <c r="R4372" t="str">
        <f>IFERROR(VLOOKUP(record[[#This Row],[PCUSTID]],廠商[],2,FALSE),"")</f>
        <v/>
      </c>
      <c r="S4372" t="str">
        <f>VLOOKUP(record[[#This Row],[employeeID]],員工[],2,FALSE)</f>
        <v>阮秋霞</v>
      </c>
    </row>
    <row r="4373" spans="6:19" hidden="1" x14ac:dyDescent="0.25">
      <c r="F4373" t="s">
        <v>1531</v>
      </c>
      <c r="G4373" t="s">
        <v>466</v>
      </c>
      <c r="H4373" t="str">
        <f>VLOOKUP(record[[#This Row],[ProcessSN]],表格2_7[],2,FALSE)</f>
        <v>30-4118-018-XXX</v>
      </c>
      <c r="I4373" t="str">
        <f>VLOOKUP(record[[#This Row],[ProcessSN]],表格2_7[],3,FALSE)</f>
        <v>#01-2</v>
      </c>
      <c r="J4373" t="s">
        <v>588</v>
      </c>
      <c r="K4373" s="195">
        <v>46051.660115740742</v>
      </c>
      <c r="L4373">
        <v>271</v>
      </c>
      <c r="M4373">
        <v>0</v>
      </c>
      <c r="N4373" s="98" t="str">
        <f>IF(record[[#This Row],[Memo]]="Browser:chrome os:android","平板報工",IF(record[[#This Row],[Memo]]=0,"委外",record[[#This Row],[Memo]]))</f>
        <v>平板報工</v>
      </c>
      <c r="O4373" t="s">
        <v>643</v>
      </c>
      <c r="P4373" t="s">
        <v>107</v>
      </c>
      <c r="Q4373" t="s">
        <v>644</v>
      </c>
      <c r="R4373" t="str">
        <f>IFERROR(VLOOKUP(record[[#This Row],[PCUSTID]],廠商[],2,FALSE),"")</f>
        <v/>
      </c>
      <c r="S4373" t="str">
        <f>VLOOKUP(record[[#This Row],[employeeID]],員工[],2,FALSE)</f>
        <v>黎氏順</v>
      </c>
    </row>
    <row r="4374" spans="6:19" hidden="1" x14ac:dyDescent="0.25">
      <c r="F4374" t="s">
        <v>1531</v>
      </c>
      <c r="G4374" t="s">
        <v>465</v>
      </c>
      <c r="H4374" t="str">
        <f>VLOOKUP(record[[#This Row],[ProcessSN]],表格2_7[],2,FALSE)</f>
        <v>30-4118-018-XXX</v>
      </c>
      <c r="I4374" t="str">
        <f>VLOOKUP(record[[#This Row],[ProcessSN]],表格2_7[],3,FALSE)</f>
        <v>#01-1</v>
      </c>
      <c r="J4374" t="s">
        <v>588</v>
      </c>
      <c r="K4374" s="195">
        <v>46051.648368055554</v>
      </c>
      <c r="L4374">
        <v>450</v>
      </c>
      <c r="M4374">
        <v>1</v>
      </c>
      <c r="N4374" s="98" t="str">
        <f>IF(record[[#This Row],[Memo]]="Browser:chrome os:android","平板報工",IF(record[[#This Row],[Memo]]=0,"委外",record[[#This Row],[Memo]]))</f>
        <v>平板報工</v>
      </c>
      <c r="O4374" t="s">
        <v>643</v>
      </c>
      <c r="P4374" t="s">
        <v>107</v>
      </c>
      <c r="Q4374" t="s">
        <v>644</v>
      </c>
      <c r="R4374" t="str">
        <f>IFERROR(VLOOKUP(record[[#This Row],[PCUSTID]],廠商[],2,FALSE),"")</f>
        <v/>
      </c>
      <c r="S4374" t="str">
        <f>VLOOKUP(record[[#This Row],[employeeID]],員工[],2,FALSE)</f>
        <v>黎氏順</v>
      </c>
    </row>
    <row r="4375" spans="6:19" hidden="1" x14ac:dyDescent="0.25">
      <c r="F4375" t="s">
        <v>1503</v>
      </c>
      <c r="G4375" t="s">
        <v>418</v>
      </c>
      <c r="H4375" t="str">
        <f>VLOOKUP(record[[#This Row],[ProcessSN]],表格2_7[],2,FALSE)</f>
        <v>30-4118-018-5XX</v>
      </c>
      <c r="I4375" t="str">
        <f>VLOOKUP(record[[#This Row],[ProcessSN]],表格2_7[],3,FALSE)</f>
        <v>#07</v>
      </c>
      <c r="J4375" t="s">
        <v>588</v>
      </c>
      <c r="K4375" s="195">
        <v>46051.643055555556</v>
      </c>
      <c r="L4375">
        <v>110</v>
      </c>
      <c r="M4375">
        <v>0</v>
      </c>
      <c r="N4375" s="98" t="str">
        <f>IF(record[[#This Row],[Memo]]="Browser:chrome os:android","平板報工",IF(record[[#This Row],[Memo]]=0,"委外",record[[#This Row],[Memo]]))</f>
        <v>平板報工</v>
      </c>
      <c r="O4375" t="s">
        <v>643</v>
      </c>
      <c r="P4375" t="s">
        <v>785</v>
      </c>
      <c r="Q4375" t="s">
        <v>644</v>
      </c>
      <c r="R4375" t="str">
        <f>IFERROR(VLOOKUP(record[[#This Row],[PCUSTID]],廠商[],2,FALSE),"")</f>
        <v/>
      </c>
      <c r="S4375" t="str">
        <f>VLOOKUP(record[[#This Row],[employeeID]],員工[],2,FALSE)</f>
        <v>謝刻光</v>
      </c>
    </row>
    <row r="4376" spans="6:19" hidden="1" x14ac:dyDescent="0.25">
      <c r="F4376" t="s">
        <v>1503</v>
      </c>
      <c r="G4376" t="s">
        <v>417</v>
      </c>
      <c r="H4376" t="str">
        <f>VLOOKUP(record[[#This Row],[ProcessSN]],表格2_7[],2,FALSE)</f>
        <v>30-4118-018-5XX</v>
      </c>
      <c r="I4376" t="str">
        <f>VLOOKUP(record[[#This Row],[ProcessSN]],表格2_7[],3,FALSE)</f>
        <v>#06</v>
      </c>
      <c r="J4376" t="s">
        <v>593</v>
      </c>
      <c r="K4376" s="195">
        <v>46051.641979166663</v>
      </c>
      <c r="L4376">
        <v>110</v>
      </c>
      <c r="M4376">
        <v>1</v>
      </c>
      <c r="N4376" s="98" t="str">
        <f>IF(record[[#This Row],[Memo]]="Browser:chrome os:android","平板報工",IF(record[[#This Row],[Memo]]=0,"委外",record[[#This Row],[Memo]]))</f>
        <v>平板報工</v>
      </c>
      <c r="O4376" t="s">
        <v>643</v>
      </c>
      <c r="P4376" t="s">
        <v>1413</v>
      </c>
      <c r="Q4376" t="s">
        <v>644</v>
      </c>
      <c r="R4376" t="str">
        <f>IFERROR(VLOOKUP(record[[#This Row],[PCUSTID]],廠商[],2,FALSE),"")</f>
        <v/>
      </c>
      <c r="S4376" t="str">
        <f>VLOOKUP(record[[#This Row],[employeeID]],員工[],2,FALSE)</f>
        <v>阮氏芳英(芳)</v>
      </c>
    </row>
    <row r="4377" spans="6:19" hidden="1" x14ac:dyDescent="0.25">
      <c r="F4377" t="s">
        <v>1450</v>
      </c>
      <c r="G4377" t="s">
        <v>471</v>
      </c>
      <c r="H4377" t="str">
        <f>VLOOKUP(record[[#This Row],[ProcessSN]],表格2_7[],2,FALSE)</f>
        <v>30-4118-018-XXX</v>
      </c>
      <c r="I4377" t="str">
        <f>VLOOKUP(record[[#This Row],[ProcessSN]],表格2_7[],3,FALSE)</f>
        <v>#02STOCK</v>
      </c>
      <c r="J4377" t="s">
        <v>592</v>
      </c>
      <c r="K4377" s="195">
        <v>46051.482592592591</v>
      </c>
      <c r="L4377">
        <v>800</v>
      </c>
      <c r="M4377">
        <v>0</v>
      </c>
      <c r="N4377" s="98" t="str">
        <f>IF(record[[#This Row],[Memo]]="Browser:chrome os:android","平板報工",IF(record[[#This Row],[Memo]]=0,"委外",record[[#This Row],[Memo]]))</f>
        <v/>
      </c>
      <c r="O4377" t="s">
        <v>58</v>
      </c>
      <c r="P4377" t="s">
        <v>186</v>
      </c>
      <c r="Q4377" t="s">
        <v>58</v>
      </c>
      <c r="R4377" t="str">
        <f>IFERROR(VLOOKUP(record[[#This Row],[PCUSTID]],廠商[],2,FALSE),"")</f>
        <v/>
      </c>
      <c r="S4377" t="str">
        <f>VLOOKUP(record[[#This Row],[employeeID]],員工[],2,FALSE)</f>
        <v>許文姍</v>
      </c>
    </row>
    <row r="4378" spans="6:19" hidden="1" x14ac:dyDescent="0.25">
      <c r="F4378" t="s">
        <v>1540</v>
      </c>
      <c r="G4378" t="s">
        <v>413</v>
      </c>
      <c r="H4378" t="str">
        <f>VLOOKUP(record[[#This Row],[ProcessSN]],表格2_7[],2,FALSE)</f>
        <v>30-4118-018-5XX</v>
      </c>
      <c r="I4378" t="str">
        <f>VLOOKUP(record[[#This Row],[ProcessSN]],表格2_7[],3,FALSE)</f>
        <v>#03GIVE</v>
      </c>
      <c r="J4378" t="s">
        <v>587</v>
      </c>
      <c r="K4378" s="195">
        <v>46051.460104166668</v>
      </c>
      <c r="L4378">
        <v>800</v>
      </c>
      <c r="M4378">
        <v>0</v>
      </c>
      <c r="N4378" s="98" t="str">
        <f>IF(record[[#This Row],[Memo]]="Browser:chrome os:android","平板報工",IF(record[[#This Row],[Memo]]=0,"委外",record[[#This Row],[Memo]]))</f>
        <v/>
      </c>
      <c r="O4378" t="s">
        <v>58</v>
      </c>
      <c r="P4378" t="s">
        <v>208</v>
      </c>
      <c r="Q4378" t="s">
        <v>58</v>
      </c>
      <c r="R4378" t="str">
        <f>IFERROR(VLOOKUP(record[[#This Row],[PCUSTID]],廠商[],2,FALSE),"")</f>
        <v/>
      </c>
      <c r="S4378" t="str">
        <f>VLOOKUP(record[[#This Row],[employeeID]],員工[],2,FALSE)</f>
        <v>陳治宏</v>
      </c>
    </row>
    <row r="4379" spans="6:19" hidden="1" x14ac:dyDescent="0.25">
      <c r="F4379" t="s">
        <v>1540</v>
      </c>
      <c r="G4379" t="s">
        <v>412</v>
      </c>
      <c r="H4379" t="str">
        <f>VLOOKUP(record[[#This Row],[ProcessSN]],表格2_7[],2,FALSE)</f>
        <v>30-4118-018-5XX</v>
      </c>
      <c r="I4379" t="str">
        <f>VLOOKUP(record[[#This Row],[ProcessSN]],表格2_7[],3,FALSE)</f>
        <v>#03PICK</v>
      </c>
      <c r="J4379" t="s">
        <v>582</v>
      </c>
      <c r="K4379" s="195">
        <v>46051.443530092591</v>
      </c>
      <c r="L4379">
        <v>848</v>
      </c>
      <c r="M4379">
        <v>0</v>
      </c>
      <c r="N4379" s="98" t="str">
        <f>IF(record[[#This Row],[Memo]]="Browser:chrome os:android","平板報工",IF(record[[#This Row],[Memo]]=0,"委外",record[[#This Row],[Memo]]))</f>
        <v/>
      </c>
      <c r="O4379" t="s">
        <v>58</v>
      </c>
      <c r="P4379" t="s">
        <v>186</v>
      </c>
      <c r="Q4379" t="s">
        <v>58</v>
      </c>
      <c r="R4379" t="str">
        <f>IFERROR(VLOOKUP(record[[#This Row],[PCUSTID]],廠商[],2,FALSE),"")</f>
        <v/>
      </c>
      <c r="S4379" t="str">
        <f>VLOOKUP(record[[#This Row],[employeeID]],員工[],2,FALSE)</f>
        <v>許文姍</v>
      </c>
    </row>
    <row r="4380" spans="6:19" hidden="1" x14ac:dyDescent="0.25">
      <c r="F4380" t="s">
        <v>1450</v>
      </c>
      <c r="G4380" t="s">
        <v>470</v>
      </c>
      <c r="H4380" t="str">
        <f>VLOOKUP(record[[#This Row],[ProcessSN]],表格2_7[],2,FALSE)</f>
        <v>30-4118-018-XXX</v>
      </c>
      <c r="I4380" t="str">
        <f>VLOOKUP(record[[#This Row],[ProcessSN]],表格2_7[],3,FALSE)</f>
        <v>#02IQC</v>
      </c>
      <c r="J4380" t="s">
        <v>583</v>
      </c>
      <c r="K4380" s="195">
        <v>46051.436006944445</v>
      </c>
      <c r="L4380">
        <v>800</v>
      </c>
      <c r="M4380">
        <v>0</v>
      </c>
      <c r="N4380" s="98" t="str">
        <f>IF(record[[#This Row],[Memo]]="Browser:chrome os:android","平板報工",IF(record[[#This Row],[Memo]]=0,"委外",record[[#This Row],[Memo]]))</f>
        <v/>
      </c>
      <c r="O4380" t="s">
        <v>58</v>
      </c>
      <c r="P4380" t="s">
        <v>109</v>
      </c>
      <c r="Q4380" t="s">
        <v>58</v>
      </c>
      <c r="R4380" t="str">
        <f>IFERROR(VLOOKUP(record[[#This Row],[PCUSTID]],廠商[],2,FALSE),"")</f>
        <v/>
      </c>
      <c r="S4380" t="str">
        <f>VLOOKUP(record[[#This Row],[employeeID]],員工[],2,FALSE)</f>
        <v>裴氏璧鳳</v>
      </c>
    </row>
    <row r="4381" spans="6:19" hidden="1" x14ac:dyDescent="0.25">
      <c r="F4381" t="s">
        <v>1450</v>
      </c>
      <c r="G4381" t="s">
        <v>469</v>
      </c>
      <c r="H4381" t="str">
        <f>VLOOKUP(record[[#This Row],[ProcessSN]],表格2_7[],2,FALSE)</f>
        <v>30-4118-018-XXX</v>
      </c>
      <c r="I4381" t="str">
        <f>VLOOKUP(record[[#This Row],[ProcessSN]],表格2_7[],3,FALSE)</f>
        <v>#02RCV</v>
      </c>
      <c r="J4381" t="s">
        <v>591</v>
      </c>
      <c r="K4381" s="195">
        <v>46051.378854166665</v>
      </c>
      <c r="L4381">
        <v>800</v>
      </c>
      <c r="M4381">
        <v>24</v>
      </c>
      <c r="N4381" s="98" t="str">
        <f>IF(record[[#This Row],[Memo]]="Browser:chrome os:android","平板報工",IF(record[[#This Row],[Memo]]=0,"委外",record[[#This Row],[Memo]]))</f>
        <v/>
      </c>
      <c r="O4381" t="s">
        <v>58</v>
      </c>
      <c r="P4381" t="s">
        <v>186</v>
      </c>
      <c r="Q4381" t="s">
        <v>58</v>
      </c>
      <c r="R4381" t="str">
        <f>IFERROR(VLOOKUP(record[[#This Row],[PCUSTID]],廠商[],2,FALSE),"")</f>
        <v/>
      </c>
      <c r="S4381" t="str">
        <f>VLOOKUP(record[[#This Row],[employeeID]],員工[],2,FALSE)</f>
        <v>許文姍</v>
      </c>
    </row>
    <row r="4382" spans="6:19" hidden="1" x14ac:dyDescent="0.25">
      <c r="F4382" t="s">
        <v>1524</v>
      </c>
      <c r="G4382" t="s">
        <v>468</v>
      </c>
      <c r="H4382" t="str">
        <f>VLOOKUP(record[[#This Row],[ProcessSN]],表格2_7[],2,FALSE)</f>
        <v>30-4118-018-XXX</v>
      </c>
      <c r="I4382" t="str">
        <f>VLOOKUP(record[[#This Row],[ProcessSN]],表格2_7[],3,FALSE)</f>
        <v>#02</v>
      </c>
      <c r="J4382" t="s">
        <v>590</v>
      </c>
      <c r="K4382" s="195">
        <v>46051.367673611108</v>
      </c>
      <c r="L4382">
        <v>24</v>
      </c>
      <c r="M4382">
        <v>0</v>
      </c>
      <c r="N4382" s="98" t="str">
        <f>IF(record[[#This Row],[Memo]]="Browser:chrome os:android","平板報工",IF(record[[#This Row],[Memo]]=0,"委外",record[[#This Row],[Memo]]))</f>
        <v>委外</v>
      </c>
      <c r="P4382" t="s">
        <v>186</v>
      </c>
      <c r="Q4382" t="s">
        <v>216</v>
      </c>
      <c r="R4382" t="str">
        <f>IFERROR(VLOOKUP(record[[#This Row],[PCUSTID]],廠商[],2,FALSE),"")</f>
        <v>俊杰</v>
      </c>
      <c r="S4382" t="str">
        <f>VLOOKUP(record[[#This Row],[employeeID]],員工[],2,FALSE)</f>
        <v>許文姍</v>
      </c>
    </row>
    <row r="4383" spans="6:19" hidden="1" x14ac:dyDescent="0.25">
      <c r="F4383" t="s">
        <v>1527</v>
      </c>
      <c r="G4383" t="s">
        <v>447</v>
      </c>
      <c r="H4383" t="str">
        <f>VLOOKUP(record[[#This Row],[ProcessSN]],表格2_7[],2,FALSE)</f>
        <v>30-4118-018-6XX</v>
      </c>
      <c r="I4383" t="str">
        <f>VLOOKUP(record[[#This Row],[ProcessSN]],表格2_7[],3,FALSE)</f>
        <v>#03</v>
      </c>
      <c r="J4383" t="s">
        <v>588</v>
      </c>
      <c r="K4383" s="195">
        <v>46051.326273148145</v>
      </c>
      <c r="L4383">
        <v>452</v>
      </c>
      <c r="M4383">
        <v>0</v>
      </c>
      <c r="N4383" s="98" t="str">
        <f>IF(record[[#This Row],[Memo]]="Browser:chrome os:android","平板報工",IF(record[[#This Row],[Memo]]=0,"委外",record[[#This Row],[Memo]]))</f>
        <v/>
      </c>
      <c r="O4383" t="s">
        <v>58</v>
      </c>
      <c r="P4383" t="s">
        <v>1098</v>
      </c>
      <c r="Q4383" t="s">
        <v>58</v>
      </c>
      <c r="R4383" t="str">
        <f>IFERROR(VLOOKUP(record[[#This Row],[PCUSTID]],廠商[],2,FALSE),"")</f>
        <v/>
      </c>
      <c r="S4383" t="str">
        <f>VLOOKUP(record[[#This Row],[employeeID]],員工[],2,FALSE)</f>
        <v>阮氏芳英(英)</v>
      </c>
    </row>
    <row r="4384" spans="6:19" hidden="1" x14ac:dyDescent="0.25">
      <c r="F4384" t="s">
        <v>1503</v>
      </c>
      <c r="G4384" t="s">
        <v>418</v>
      </c>
      <c r="H4384" t="str">
        <f>VLOOKUP(record[[#This Row],[ProcessSN]],表格2_7[],2,FALSE)</f>
        <v>30-4118-018-5XX</v>
      </c>
      <c r="I4384" t="str">
        <f>VLOOKUP(record[[#This Row],[ProcessSN]],表格2_7[],3,FALSE)</f>
        <v>#07</v>
      </c>
      <c r="J4384" t="s">
        <v>588</v>
      </c>
      <c r="K4384" s="195">
        <v>46051.325486111113</v>
      </c>
      <c r="L4384">
        <v>110</v>
      </c>
      <c r="M4384">
        <v>5</v>
      </c>
      <c r="N4384" s="98" t="str">
        <f>IF(record[[#This Row],[Memo]]="Browser:chrome os:android","平板報工",IF(record[[#This Row],[Memo]]=0,"委外",record[[#This Row],[Memo]]))</f>
        <v/>
      </c>
      <c r="O4384" t="s">
        <v>58</v>
      </c>
      <c r="P4384" t="s">
        <v>843</v>
      </c>
      <c r="Q4384" t="s">
        <v>58</v>
      </c>
      <c r="R4384" t="str">
        <f>IFERROR(VLOOKUP(record[[#This Row],[PCUSTID]],廠商[],2,FALSE),"")</f>
        <v/>
      </c>
      <c r="S4384" t="str">
        <f>VLOOKUP(record[[#This Row],[employeeID]],員工[],2,FALSE)</f>
        <v>張楚承</v>
      </c>
    </row>
    <row r="4385" spans="6:19" hidden="1" x14ac:dyDescent="0.25">
      <c r="F4385" t="s">
        <v>1492</v>
      </c>
      <c r="G4385" t="s">
        <v>418</v>
      </c>
      <c r="H4385" t="str">
        <f>VLOOKUP(record[[#This Row],[ProcessSN]],表格2_7[],2,FALSE)</f>
        <v>30-4118-018-5XX</v>
      </c>
      <c r="I4385" t="str">
        <f>VLOOKUP(record[[#This Row],[ProcessSN]],表格2_7[],3,FALSE)</f>
        <v>#07</v>
      </c>
      <c r="J4385" t="s">
        <v>588</v>
      </c>
      <c r="K4385" s="195">
        <v>46051.325289351851</v>
      </c>
      <c r="L4385">
        <v>9</v>
      </c>
      <c r="M4385">
        <v>0</v>
      </c>
      <c r="N4385" s="98" t="str">
        <f>IF(record[[#This Row],[Memo]]="Browser:chrome os:android","平板報工",IF(record[[#This Row],[Memo]]=0,"委外",record[[#This Row],[Memo]]))</f>
        <v/>
      </c>
      <c r="O4385" t="s">
        <v>58</v>
      </c>
      <c r="P4385" t="s">
        <v>843</v>
      </c>
      <c r="Q4385" t="s">
        <v>58</v>
      </c>
      <c r="R4385" t="str">
        <f>IFERROR(VLOOKUP(record[[#This Row],[PCUSTID]],廠商[],2,FALSE),"")</f>
        <v/>
      </c>
      <c r="S4385" t="str">
        <f>VLOOKUP(record[[#This Row],[employeeID]],員工[],2,FALSE)</f>
        <v>張楚承</v>
      </c>
    </row>
    <row r="4386" spans="6:19" hidden="1" x14ac:dyDescent="0.25">
      <c r="F4386" t="s">
        <v>1503</v>
      </c>
      <c r="G4386" t="s">
        <v>417</v>
      </c>
      <c r="H4386" t="str">
        <f>VLOOKUP(record[[#This Row],[ProcessSN]],表格2_7[],2,FALSE)</f>
        <v>30-4118-018-5XX</v>
      </c>
      <c r="I4386" t="str">
        <f>VLOOKUP(record[[#This Row],[ProcessSN]],表格2_7[],3,FALSE)</f>
        <v>#06</v>
      </c>
      <c r="J4386" t="s">
        <v>593</v>
      </c>
      <c r="K4386" s="195">
        <v>46051.324803240743</v>
      </c>
      <c r="L4386">
        <v>115</v>
      </c>
      <c r="M4386">
        <v>1</v>
      </c>
      <c r="N4386" s="98" t="str">
        <f>IF(record[[#This Row],[Memo]]="Browser:chrome os:android","平板報工",IF(record[[#This Row],[Memo]]=0,"委外",record[[#This Row],[Memo]]))</f>
        <v/>
      </c>
      <c r="O4386" t="s">
        <v>58</v>
      </c>
      <c r="P4386" t="s">
        <v>841</v>
      </c>
      <c r="Q4386" t="s">
        <v>58</v>
      </c>
      <c r="R4386" t="str">
        <f>IFERROR(VLOOKUP(record[[#This Row],[PCUSTID]],廠商[],2,FALSE),"")</f>
        <v/>
      </c>
      <c r="S4386" t="str">
        <f>VLOOKUP(record[[#This Row],[employeeID]],員工[],2,FALSE)</f>
        <v>范氏香</v>
      </c>
    </row>
    <row r="4387" spans="6:19" hidden="1" x14ac:dyDescent="0.25">
      <c r="F4387" t="s">
        <v>1492</v>
      </c>
      <c r="G4387" t="s">
        <v>417</v>
      </c>
      <c r="H4387" t="str">
        <f>VLOOKUP(record[[#This Row],[ProcessSN]],表格2_7[],2,FALSE)</f>
        <v>30-4118-018-5XX</v>
      </c>
      <c r="I4387" t="str">
        <f>VLOOKUP(record[[#This Row],[ProcessSN]],表格2_7[],3,FALSE)</f>
        <v>#06</v>
      </c>
      <c r="J4387" t="s">
        <v>593</v>
      </c>
      <c r="K4387" s="195">
        <v>46051.324629629627</v>
      </c>
      <c r="L4387">
        <v>12</v>
      </c>
      <c r="M4387">
        <v>0</v>
      </c>
      <c r="N4387" s="98" t="str">
        <f>IF(record[[#This Row],[Memo]]="Browser:chrome os:android","平板報工",IF(record[[#This Row],[Memo]]=0,"委外",record[[#This Row],[Memo]]))</f>
        <v/>
      </c>
      <c r="O4387" t="s">
        <v>58</v>
      </c>
      <c r="P4387" t="s">
        <v>841</v>
      </c>
      <c r="Q4387" t="s">
        <v>58</v>
      </c>
      <c r="R4387" t="str">
        <f>IFERROR(VLOOKUP(record[[#This Row],[PCUSTID]],廠商[],2,FALSE),"")</f>
        <v/>
      </c>
      <c r="S4387" t="str">
        <f>VLOOKUP(record[[#This Row],[employeeID]],員工[],2,FALSE)</f>
        <v>范氏香</v>
      </c>
    </row>
    <row r="4388" spans="6:19" hidden="1" x14ac:dyDescent="0.25">
      <c r="F4388" t="s">
        <v>1506</v>
      </c>
      <c r="G4388" t="s">
        <v>416</v>
      </c>
      <c r="H4388" t="str">
        <f>VLOOKUP(record[[#This Row],[ProcessSN]],表格2_7[],2,FALSE)</f>
        <v>30-4118-018-5XX</v>
      </c>
      <c r="I4388" t="str">
        <f>VLOOKUP(record[[#This Row],[ProcessSN]],表格2_7[],3,FALSE)</f>
        <v>#05</v>
      </c>
      <c r="J4388" t="s">
        <v>588</v>
      </c>
      <c r="K4388" s="195">
        <v>46051.322256944448</v>
      </c>
      <c r="L4388">
        <v>183</v>
      </c>
      <c r="M4388">
        <v>0</v>
      </c>
      <c r="N4388" s="98" t="str">
        <f>IF(record[[#This Row],[Memo]]="Browser:chrome os:android","平板報工",IF(record[[#This Row],[Memo]]=0,"委外",record[[#This Row],[Memo]]))</f>
        <v/>
      </c>
      <c r="O4388" t="s">
        <v>58</v>
      </c>
      <c r="P4388" t="s">
        <v>843</v>
      </c>
      <c r="Q4388" t="s">
        <v>58</v>
      </c>
      <c r="R4388" t="str">
        <f>IFERROR(VLOOKUP(record[[#This Row],[PCUSTID]],廠商[],2,FALSE),"")</f>
        <v/>
      </c>
      <c r="S4388" t="str">
        <f>VLOOKUP(record[[#This Row],[employeeID]],員工[],2,FALSE)</f>
        <v>張楚承</v>
      </c>
    </row>
    <row r="4389" spans="6:19" hidden="1" x14ac:dyDescent="0.25">
      <c r="F4389" t="s">
        <v>1527</v>
      </c>
      <c r="G4389" t="s">
        <v>448</v>
      </c>
      <c r="H4389" t="str">
        <f>VLOOKUP(record[[#This Row],[ProcessSN]],表格2_7[],2,FALSE)</f>
        <v>30-4118-018-6XX</v>
      </c>
      <c r="I4389" t="str">
        <f>VLOOKUP(record[[#This Row],[ProcessSN]],表格2_7[],3,FALSE)</f>
        <v>#04</v>
      </c>
      <c r="J4389" t="s">
        <v>588</v>
      </c>
      <c r="K4389" s="195">
        <v>46051.321805555555</v>
      </c>
      <c r="L4389">
        <v>120</v>
      </c>
      <c r="M4389">
        <v>0</v>
      </c>
      <c r="N4389" s="98" t="str">
        <f>IF(record[[#This Row],[Memo]]="Browser:chrome os:android","平板報工",IF(record[[#This Row],[Memo]]=0,"委外",record[[#This Row],[Memo]]))</f>
        <v/>
      </c>
      <c r="O4389" t="s">
        <v>58</v>
      </c>
      <c r="P4389" t="s">
        <v>135</v>
      </c>
      <c r="Q4389" t="s">
        <v>58</v>
      </c>
      <c r="R4389" t="str">
        <f>IFERROR(VLOOKUP(record[[#This Row],[PCUSTID]],廠商[],2,FALSE),"")</f>
        <v/>
      </c>
      <c r="S4389" t="str">
        <f>VLOOKUP(record[[#This Row],[employeeID]],員工[],2,FALSE)</f>
        <v>阮士文</v>
      </c>
    </row>
    <row r="4390" spans="6:19" hidden="1" x14ac:dyDescent="0.25">
      <c r="F4390" t="s">
        <v>1492</v>
      </c>
      <c r="G4390" t="s">
        <v>417</v>
      </c>
      <c r="H4390" t="str">
        <f>VLOOKUP(record[[#This Row],[ProcessSN]],表格2_7[],2,FALSE)</f>
        <v>30-4118-018-5XX</v>
      </c>
      <c r="I4390" t="str">
        <f>VLOOKUP(record[[#This Row],[ProcessSN]],表格2_7[],3,FALSE)</f>
        <v>#06</v>
      </c>
      <c r="J4390" t="s">
        <v>593</v>
      </c>
      <c r="K4390" s="195">
        <v>46051.003240740742</v>
      </c>
      <c r="L4390">
        <v>65</v>
      </c>
      <c r="M4390">
        <v>0</v>
      </c>
      <c r="N4390" s="98" t="str">
        <f>IF(record[[#This Row],[Memo]]="Browser:chrome os:android","平板報工",IF(record[[#This Row],[Memo]]=0,"委外",record[[#This Row],[Memo]]))</f>
        <v/>
      </c>
      <c r="O4390" t="s">
        <v>58</v>
      </c>
      <c r="P4390" t="s">
        <v>806</v>
      </c>
      <c r="Q4390" t="s">
        <v>58</v>
      </c>
      <c r="R4390" t="str">
        <f>IFERROR(VLOOKUP(record[[#This Row],[PCUSTID]],廠商[],2,FALSE),"")</f>
        <v/>
      </c>
      <c r="S4390" t="str">
        <f>VLOOKUP(record[[#This Row],[employeeID]],員工[],2,FALSE)</f>
        <v>方思緯</v>
      </c>
    </row>
    <row r="4391" spans="6:19" hidden="1" x14ac:dyDescent="0.25">
      <c r="F4391" t="s">
        <v>1527</v>
      </c>
      <c r="G4391" t="s">
        <v>447</v>
      </c>
      <c r="H4391" t="str">
        <f>VLOOKUP(record[[#This Row],[ProcessSN]],表格2_7[],2,FALSE)</f>
        <v>30-4118-018-6XX</v>
      </c>
      <c r="I4391" t="str">
        <f>VLOOKUP(record[[#This Row],[ProcessSN]],表格2_7[],3,FALSE)</f>
        <v>#03</v>
      </c>
      <c r="J4391" t="s">
        <v>588</v>
      </c>
      <c r="K4391" s="195">
        <v>46050.989340277774</v>
      </c>
      <c r="L4391">
        <v>624</v>
      </c>
      <c r="M4391">
        <v>0</v>
      </c>
      <c r="N4391" s="98" t="str">
        <f>IF(record[[#This Row],[Memo]]="Browser:chrome os:android","平板報工",IF(record[[#This Row],[Memo]]=0,"委外",record[[#This Row],[Memo]]))</f>
        <v/>
      </c>
      <c r="O4391" t="s">
        <v>58</v>
      </c>
      <c r="P4391" t="s">
        <v>1098</v>
      </c>
      <c r="Q4391" t="s">
        <v>58</v>
      </c>
      <c r="R4391" t="str">
        <f>IFERROR(VLOOKUP(record[[#This Row],[PCUSTID]],廠商[],2,FALSE),"")</f>
        <v/>
      </c>
      <c r="S4391" t="str">
        <f>VLOOKUP(record[[#This Row],[employeeID]],員工[],2,FALSE)</f>
        <v>阮氏芳英(英)</v>
      </c>
    </row>
    <row r="4392" spans="6:19" hidden="1" x14ac:dyDescent="0.25">
      <c r="F4392" t="s">
        <v>1506</v>
      </c>
      <c r="G4392" t="s">
        <v>416</v>
      </c>
      <c r="H4392" t="str">
        <f>VLOOKUP(record[[#This Row],[ProcessSN]],表格2_7[],2,FALSE)</f>
        <v>30-4118-018-5XX</v>
      </c>
      <c r="I4392" t="str">
        <f>VLOOKUP(record[[#This Row],[ProcessSN]],表格2_7[],3,FALSE)</f>
        <v>#05</v>
      </c>
      <c r="J4392" t="s">
        <v>588</v>
      </c>
      <c r="K4392" s="195">
        <v>46050.98841435185</v>
      </c>
      <c r="L4392">
        <v>84</v>
      </c>
      <c r="M4392">
        <v>1</v>
      </c>
      <c r="N4392" s="98" t="str">
        <f>IF(record[[#This Row],[Memo]]="Browser:chrome os:android","平板報工",IF(record[[#This Row],[Memo]]=0,"委外",record[[#This Row],[Memo]]))</f>
        <v/>
      </c>
      <c r="O4392" t="s">
        <v>58</v>
      </c>
      <c r="P4392" t="s">
        <v>1098</v>
      </c>
      <c r="Q4392" t="s">
        <v>58</v>
      </c>
      <c r="R4392" t="str">
        <f>IFERROR(VLOOKUP(record[[#This Row],[PCUSTID]],廠商[],2,FALSE),"")</f>
        <v/>
      </c>
      <c r="S4392" t="str">
        <f>VLOOKUP(record[[#This Row],[employeeID]],員工[],2,FALSE)</f>
        <v>阮氏芳英(英)</v>
      </c>
    </row>
    <row r="4393" spans="6:19" hidden="1" x14ac:dyDescent="0.25">
      <c r="F4393" t="s">
        <v>1503</v>
      </c>
      <c r="G4393" t="s">
        <v>416</v>
      </c>
      <c r="H4393" t="str">
        <f>VLOOKUP(record[[#This Row],[ProcessSN]],表格2_7[],2,FALSE)</f>
        <v>30-4118-018-5XX</v>
      </c>
      <c r="I4393" t="str">
        <f>VLOOKUP(record[[#This Row],[ProcessSN]],表格2_7[],3,FALSE)</f>
        <v>#05</v>
      </c>
      <c r="J4393" t="s">
        <v>588</v>
      </c>
      <c r="K4393" s="195">
        <v>46050.988078703704</v>
      </c>
      <c r="L4393">
        <v>148</v>
      </c>
      <c r="M4393">
        <v>1</v>
      </c>
      <c r="N4393" s="98" t="str">
        <f>IF(record[[#This Row],[Memo]]="Browser:chrome os:android","平板報工",IF(record[[#This Row],[Memo]]=0,"委外",record[[#This Row],[Memo]]))</f>
        <v/>
      </c>
      <c r="O4393" t="s">
        <v>58</v>
      </c>
      <c r="P4393" t="s">
        <v>1098</v>
      </c>
      <c r="Q4393" t="s">
        <v>58</v>
      </c>
      <c r="R4393" t="str">
        <f>IFERROR(VLOOKUP(record[[#This Row],[PCUSTID]],廠商[],2,FALSE),"")</f>
        <v/>
      </c>
      <c r="S4393" t="str">
        <f>VLOOKUP(record[[#This Row],[employeeID]],員工[],2,FALSE)</f>
        <v>阮氏芳英(英)</v>
      </c>
    </row>
    <row r="4394" spans="6:19" hidden="1" x14ac:dyDescent="0.25">
      <c r="F4394" t="s">
        <v>1492</v>
      </c>
      <c r="G4394" t="s">
        <v>417</v>
      </c>
      <c r="H4394" t="str">
        <f>VLOOKUP(record[[#This Row],[ProcessSN]],表格2_7[],2,FALSE)</f>
        <v>30-4118-018-5XX</v>
      </c>
      <c r="I4394" t="str">
        <f>VLOOKUP(record[[#This Row],[ProcessSN]],表格2_7[],3,FALSE)</f>
        <v>#06</v>
      </c>
      <c r="J4394" t="s">
        <v>593</v>
      </c>
      <c r="K4394" s="195">
        <v>46050.820659722223</v>
      </c>
      <c r="L4394">
        <v>67</v>
      </c>
      <c r="M4394">
        <v>0</v>
      </c>
      <c r="N4394" s="98" t="str">
        <f>IF(record[[#This Row],[Memo]]="Browser:chrome os:android","平板報工",IF(record[[#This Row],[Memo]]=0,"委外",record[[#This Row],[Memo]]))</f>
        <v>平板報工</v>
      </c>
      <c r="O4394" t="s">
        <v>643</v>
      </c>
      <c r="P4394" t="s">
        <v>1413</v>
      </c>
      <c r="Q4394" t="s">
        <v>644</v>
      </c>
      <c r="R4394" t="str">
        <f>IFERROR(VLOOKUP(record[[#This Row],[PCUSTID]],廠商[],2,FALSE),"")</f>
        <v/>
      </c>
      <c r="S4394" t="str">
        <f>VLOOKUP(record[[#This Row],[employeeID]],員工[],2,FALSE)</f>
        <v>阮氏芳英(芳)</v>
      </c>
    </row>
    <row r="4395" spans="6:19" hidden="1" x14ac:dyDescent="0.25">
      <c r="F4395" t="s">
        <v>1484</v>
      </c>
      <c r="G4395" t="s">
        <v>428</v>
      </c>
      <c r="H4395" t="str">
        <f>VLOOKUP(record[[#This Row],[ProcessSN]],表格2_7[],2,FALSE)</f>
        <v>30-4118-018-600</v>
      </c>
      <c r="I4395" t="str">
        <f>VLOOKUP(record[[#This Row],[ProcessSN]],表格2_7[],3,FALSE)</f>
        <v>#100SHIP</v>
      </c>
      <c r="J4395" t="s">
        <v>600</v>
      </c>
      <c r="K4395" s="195">
        <v>46050.724282407406</v>
      </c>
      <c r="L4395">
        <v>129</v>
      </c>
      <c r="M4395">
        <v>0</v>
      </c>
      <c r="N4395" s="98" t="str">
        <f>IF(record[[#This Row],[Memo]]="Browser:chrome os:android","平板報工",IF(record[[#This Row],[Memo]]=0,"委外",record[[#This Row],[Memo]]))</f>
        <v>1/29出貨</v>
      </c>
      <c r="O4395" t="s">
        <v>1539</v>
      </c>
      <c r="P4395" t="s">
        <v>886</v>
      </c>
      <c r="Q4395" t="s">
        <v>58</v>
      </c>
      <c r="R4395" t="str">
        <f>IFERROR(VLOOKUP(record[[#This Row],[PCUSTID]],廠商[],2,FALSE),"")</f>
        <v/>
      </c>
      <c r="S4395" t="str">
        <f>VLOOKUP(record[[#This Row],[employeeID]],員工[],2,FALSE)</f>
        <v>謝蓁薰</v>
      </c>
    </row>
    <row r="4396" spans="6:19" hidden="1" x14ac:dyDescent="0.25">
      <c r="F4396" t="s">
        <v>1391</v>
      </c>
      <c r="G4396" t="s">
        <v>428</v>
      </c>
      <c r="H4396" t="str">
        <f>VLOOKUP(record[[#This Row],[ProcessSN]],表格2_7[],2,FALSE)</f>
        <v>30-4118-018-600</v>
      </c>
      <c r="I4396" t="str">
        <f>VLOOKUP(record[[#This Row],[ProcessSN]],表格2_7[],3,FALSE)</f>
        <v>#100SHIP</v>
      </c>
      <c r="J4396" t="s">
        <v>600</v>
      </c>
      <c r="K4396" s="195">
        <v>46050.724016203705</v>
      </c>
      <c r="L4396">
        <v>43</v>
      </c>
      <c r="M4396">
        <v>0</v>
      </c>
      <c r="N4396" s="98" t="str">
        <f>IF(record[[#This Row],[Memo]]="Browser:chrome os:android","平板報工",IF(record[[#This Row],[Memo]]=0,"委外",record[[#This Row],[Memo]]))</f>
        <v>1/29出貨</v>
      </c>
      <c r="O4396" t="s">
        <v>1539</v>
      </c>
      <c r="P4396" t="s">
        <v>886</v>
      </c>
      <c r="Q4396" t="s">
        <v>58</v>
      </c>
      <c r="R4396" t="str">
        <f>IFERROR(VLOOKUP(record[[#This Row],[PCUSTID]],廠商[],2,FALSE),"")</f>
        <v/>
      </c>
      <c r="S4396" t="str">
        <f>VLOOKUP(record[[#This Row],[employeeID]],員工[],2,FALSE)</f>
        <v>謝蓁薰</v>
      </c>
    </row>
    <row r="4397" spans="6:19" hidden="1" x14ac:dyDescent="0.25">
      <c r="F4397" t="s">
        <v>1407</v>
      </c>
      <c r="G4397" t="s">
        <v>362</v>
      </c>
      <c r="H4397" t="str">
        <f>VLOOKUP(record[[#This Row],[ProcessSN]],表格2_7[],2,FALSE)</f>
        <v>30-4118-018-450</v>
      </c>
      <c r="I4397" t="str">
        <f>VLOOKUP(record[[#This Row],[ProcessSN]],表格2_7[],3,FALSE)</f>
        <v>#100SHIP</v>
      </c>
      <c r="J4397" t="s">
        <v>600</v>
      </c>
      <c r="K4397" s="195">
        <v>46050.723865740743</v>
      </c>
      <c r="L4397">
        <v>45</v>
      </c>
      <c r="M4397">
        <v>0</v>
      </c>
      <c r="N4397" s="98" t="str">
        <f>IF(record[[#This Row],[Memo]]="Browser:chrome os:android","平板報工",IF(record[[#This Row],[Memo]]=0,"委外",record[[#This Row],[Memo]]))</f>
        <v>1/29出貨</v>
      </c>
      <c r="O4397" t="s">
        <v>1539</v>
      </c>
      <c r="P4397" t="s">
        <v>886</v>
      </c>
      <c r="Q4397" t="s">
        <v>58</v>
      </c>
      <c r="R4397" t="str">
        <f>IFERROR(VLOOKUP(record[[#This Row],[PCUSTID]],廠商[],2,FALSE),"")</f>
        <v/>
      </c>
      <c r="S4397" t="str">
        <f>VLOOKUP(record[[#This Row],[employeeID]],員工[],2,FALSE)</f>
        <v>謝蓁薰</v>
      </c>
    </row>
    <row r="4398" spans="6:19" hidden="1" x14ac:dyDescent="0.25">
      <c r="F4398" t="s">
        <v>956</v>
      </c>
      <c r="G4398" t="s">
        <v>362</v>
      </c>
      <c r="H4398" t="str">
        <f>VLOOKUP(record[[#This Row],[ProcessSN]],表格2_7[],2,FALSE)</f>
        <v>30-4118-018-450</v>
      </c>
      <c r="I4398" t="str">
        <f>VLOOKUP(record[[#This Row],[ProcessSN]],表格2_7[],3,FALSE)</f>
        <v>#100SHIP</v>
      </c>
      <c r="J4398" t="s">
        <v>600</v>
      </c>
      <c r="K4398" s="195">
        <v>46050.723611111112</v>
      </c>
      <c r="L4398">
        <v>1</v>
      </c>
      <c r="M4398">
        <v>0</v>
      </c>
      <c r="N4398" s="98" t="str">
        <f>IF(record[[#This Row],[Memo]]="Browser:chrome os:android","平板報工",IF(record[[#This Row],[Memo]]=0,"委外",record[[#This Row],[Memo]]))</f>
        <v>1/29出貨</v>
      </c>
      <c r="O4398" t="s">
        <v>1539</v>
      </c>
      <c r="P4398" t="s">
        <v>886</v>
      </c>
      <c r="Q4398" t="s">
        <v>58</v>
      </c>
      <c r="R4398" t="str">
        <f>IFERROR(VLOOKUP(record[[#This Row],[PCUSTID]],廠商[],2,FALSE),"")</f>
        <v/>
      </c>
      <c r="S4398" t="str">
        <f>VLOOKUP(record[[#This Row],[employeeID]],員工[],2,FALSE)</f>
        <v>謝蓁薰</v>
      </c>
    </row>
    <row r="4399" spans="6:19" hidden="1" x14ac:dyDescent="0.25">
      <c r="F4399" t="s">
        <v>1407</v>
      </c>
      <c r="G4399" t="s">
        <v>362</v>
      </c>
      <c r="H4399" t="str">
        <f>VLOOKUP(record[[#This Row],[ProcessSN]],表格2_7[],2,FALSE)</f>
        <v>30-4118-018-450</v>
      </c>
      <c r="I4399" t="str">
        <f>VLOOKUP(record[[#This Row],[ProcessSN]],表格2_7[],3,FALSE)</f>
        <v>#100SHIP</v>
      </c>
      <c r="J4399" t="s">
        <v>600</v>
      </c>
      <c r="K4399" s="195">
        <v>46050.723229166666</v>
      </c>
      <c r="L4399">
        <v>12</v>
      </c>
      <c r="M4399">
        <v>0</v>
      </c>
      <c r="N4399" s="98" t="str">
        <f>IF(record[[#This Row],[Memo]]="Browser:chrome os:android","平板報工",IF(record[[#This Row],[Memo]]=0,"委外",record[[#This Row],[Memo]]))</f>
        <v>1/29出貨</v>
      </c>
      <c r="O4399" t="s">
        <v>1539</v>
      </c>
      <c r="P4399" t="s">
        <v>886</v>
      </c>
      <c r="Q4399" t="s">
        <v>58</v>
      </c>
      <c r="R4399" t="str">
        <f>IFERROR(VLOOKUP(record[[#This Row],[PCUSTID]],廠商[],2,FALSE),"")</f>
        <v/>
      </c>
      <c r="S4399" t="str">
        <f>VLOOKUP(record[[#This Row],[employeeID]],員工[],2,FALSE)</f>
        <v>謝蓁薰</v>
      </c>
    </row>
    <row r="4400" spans="6:19" hidden="1" x14ac:dyDescent="0.25">
      <c r="F4400" t="s">
        <v>956</v>
      </c>
      <c r="G4400" t="s">
        <v>362</v>
      </c>
      <c r="H4400" t="str">
        <f>VLOOKUP(record[[#This Row],[ProcessSN]],表格2_7[],2,FALSE)</f>
        <v>30-4118-018-450</v>
      </c>
      <c r="I4400" t="str">
        <f>VLOOKUP(record[[#This Row],[ProcessSN]],表格2_7[],3,FALSE)</f>
        <v>#100SHIP</v>
      </c>
      <c r="J4400" t="s">
        <v>600</v>
      </c>
      <c r="K4400" s="195">
        <v>46050.723078703704</v>
      </c>
      <c r="L4400">
        <v>1</v>
      </c>
      <c r="M4400">
        <v>0</v>
      </c>
      <c r="N4400" s="98" t="str">
        <f>IF(record[[#This Row],[Memo]]="Browser:chrome os:android","平板報工",IF(record[[#This Row],[Memo]]=0,"委外",record[[#This Row],[Memo]]))</f>
        <v>1/29出貨</v>
      </c>
      <c r="O4400" t="s">
        <v>1539</v>
      </c>
      <c r="P4400" t="s">
        <v>886</v>
      </c>
      <c r="Q4400" t="s">
        <v>58</v>
      </c>
      <c r="R4400" t="str">
        <f>IFERROR(VLOOKUP(record[[#This Row],[PCUSTID]],廠商[],2,FALSE),"")</f>
        <v/>
      </c>
      <c r="S4400" t="str">
        <f>VLOOKUP(record[[#This Row],[employeeID]],員工[],2,FALSE)</f>
        <v>謝蓁薰</v>
      </c>
    </row>
    <row r="4401" spans="6:19" hidden="1" x14ac:dyDescent="0.25">
      <c r="F4401" t="s">
        <v>1494</v>
      </c>
      <c r="G4401" t="s">
        <v>426</v>
      </c>
      <c r="H4401" t="str">
        <f>VLOOKUP(record[[#This Row],[ProcessSN]],表格2_7[],2,FALSE)</f>
        <v>30-4118-018-600</v>
      </c>
      <c r="I4401" t="str">
        <f>VLOOKUP(record[[#This Row],[ProcessSN]],表格2_7[],3,FALSE)</f>
        <v>#100OQC</v>
      </c>
      <c r="J4401" t="s">
        <v>599</v>
      </c>
      <c r="K4401" s="195">
        <v>46050.720578703702</v>
      </c>
      <c r="L4401">
        <v>139</v>
      </c>
      <c r="M4401">
        <v>0</v>
      </c>
      <c r="N4401" s="98" t="str">
        <f>IF(record[[#This Row],[Memo]]="Browser:chrome os:android","平板報工",IF(record[[#This Row],[Memo]]=0,"委外",record[[#This Row],[Memo]]))</f>
        <v/>
      </c>
      <c r="O4401" t="s">
        <v>58</v>
      </c>
      <c r="P4401" t="s">
        <v>121</v>
      </c>
      <c r="Q4401" t="s">
        <v>58</v>
      </c>
      <c r="R4401" t="str">
        <f>IFERROR(VLOOKUP(record[[#This Row],[PCUSTID]],廠商[],2,FALSE),"")</f>
        <v/>
      </c>
      <c r="S4401" t="str">
        <f>VLOOKUP(record[[#This Row],[employeeID]],員工[],2,FALSE)</f>
        <v>謝素卿</v>
      </c>
    </row>
    <row r="4402" spans="6:19" hidden="1" x14ac:dyDescent="0.25">
      <c r="F4402" t="s">
        <v>1416</v>
      </c>
      <c r="G4402" t="s">
        <v>418</v>
      </c>
      <c r="H4402" t="str">
        <f>VLOOKUP(record[[#This Row],[ProcessSN]],表格2_7[],2,FALSE)</f>
        <v>30-4118-018-5XX</v>
      </c>
      <c r="I4402" t="str">
        <f>VLOOKUP(record[[#This Row],[ProcessSN]],表格2_7[],3,FALSE)</f>
        <v>#07</v>
      </c>
      <c r="J4402" t="s">
        <v>588</v>
      </c>
      <c r="K4402" s="195">
        <v>46050.69872685185</v>
      </c>
      <c r="L4402">
        <v>43</v>
      </c>
      <c r="M4402">
        <v>0</v>
      </c>
      <c r="N4402" s="98" t="str">
        <f>IF(record[[#This Row],[Memo]]="Browser:chrome os:android","平板報工",IF(record[[#This Row],[Memo]]=0,"委外",record[[#This Row],[Memo]]))</f>
        <v/>
      </c>
      <c r="O4402" t="s">
        <v>58</v>
      </c>
      <c r="P4402" t="s">
        <v>785</v>
      </c>
      <c r="Q4402" t="s">
        <v>58</v>
      </c>
      <c r="R4402" t="str">
        <f>IFERROR(VLOOKUP(record[[#This Row],[PCUSTID]],廠商[],2,FALSE),"")</f>
        <v/>
      </c>
      <c r="S4402" t="str">
        <f>VLOOKUP(record[[#This Row],[employeeID]],員工[],2,FALSE)</f>
        <v>謝刻光</v>
      </c>
    </row>
    <row r="4403" spans="6:19" hidden="1" x14ac:dyDescent="0.25">
      <c r="F4403" t="s">
        <v>1416</v>
      </c>
      <c r="G4403" t="s">
        <v>417</v>
      </c>
      <c r="H4403" t="str">
        <f>VLOOKUP(record[[#This Row],[ProcessSN]],表格2_7[],2,FALSE)</f>
        <v>30-4118-018-5XX</v>
      </c>
      <c r="I4403" t="str">
        <f>VLOOKUP(record[[#This Row],[ProcessSN]],表格2_7[],3,FALSE)</f>
        <v>#06</v>
      </c>
      <c r="J4403" t="s">
        <v>593</v>
      </c>
      <c r="K4403" s="195">
        <v>46050.698275462964</v>
      </c>
      <c r="L4403">
        <v>17</v>
      </c>
      <c r="M4403">
        <v>0</v>
      </c>
      <c r="N4403" s="98" t="str">
        <f>IF(record[[#This Row],[Memo]]="Browser:chrome os:android","平板報工",IF(record[[#This Row],[Memo]]=0,"委外",record[[#This Row],[Memo]]))</f>
        <v/>
      </c>
      <c r="O4403" t="s">
        <v>58</v>
      </c>
      <c r="P4403" t="s">
        <v>1413</v>
      </c>
      <c r="Q4403" t="s">
        <v>58</v>
      </c>
      <c r="R4403" t="str">
        <f>IFERROR(VLOOKUP(record[[#This Row],[PCUSTID]],廠商[],2,FALSE),"")</f>
        <v/>
      </c>
      <c r="S4403" t="str">
        <f>VLOOKUP(record[[#This Row],[employeeID]],員工[],2,FALSE)</f>
        <v>阮氏芳英(芳)</v>
      </c>
    </row>
    <row r="4404" spans="6:19" hidden="1" x14ac:dyDescent="0.25">
      <c r="F4404" t="s">
        <v>1531</v>
      </c>
      <c r="G4404" t="s">
        <v>464</v>
      </c>
      <c r="H4404" t="str">
        <f>VLOOKUP(record[[#This Row],[ProcessSN]],表格2_7[],2,FALSE)</f>
        <v>30-4118-018-XXX</v>
      </c>
      <c r="I4404" t="str">
        <f>VLOOKUP(record[[#This Row],[ProcessSN]],表格2_7[],3,FALSE)</f>
        <v>#01GIVE</v>
      </c>
      <c r="J4404" t="s">
        <v>587</v>
      </c>
      <c r="K4404" s="195">
        <v>46050.696886574071</v>
      </c>
      <c r="L4404">
        <v>3200</v>
      </c>
      <c r="M4404">
        <v>0</v>
      </c>
      <c r="N4404" s="98" t="str">
        <f>IF(record[[#This Row],[Memo]]="Browser:chrome os:android","平板報工",IF(record[[#This Row],[Memo]]=0,"委外",record[[#This Row],[Memo]]))</f>
        <v/>
      </c>
      <c r="O4404" t="s">
        <v>58</v>
      </c>
      <c r="P4404" t="s">
        <v>1487</v>
      </c>
      <c r="Q4404" t="s">
        <v>58</v>
      </c>
      <c r="R4404" t="str">
        <f>IFERROR(VLOOKUP(record[[#This Row],[PCUSTID]],廠商[],2,FALSE),"")</f>
        <v/>
      </c>
      <c r="S4404" t="str">
        <f>VLOOKUP(record[[#This Row],[employeeID]],員工[],2,FALSE)</f>
        <v>邱瑞廣</v>
      </c>
    </row>
    <row r="4405" spans="6:19" hidden="1" x14ac:dyDescent="0.25">
      <c r="F4405" t="s">
        <v>1510</v>
      </c>
      <c r="G4405" t="s">
        <v>424</v>
      </c>
      <c r="H4405" t="str">
        <f>VLOOKUP(record[[#This Row],[ProcessSN]],表格2_7[],2,FALSE)</f>
        <v>30-4118-018-600</v>
      </c>
      <c r="I4405" t="str">
        <f>VLOOKUP(record[[#This Row],[ProcessSN]],表格2_7[],3,FALSE)</f>
        <v>#08IQC</v>
      </c>
      <c r="J4405" t="s">
        <v>583</v>
      </c>
      <c r="K4405" s="195">
        <v>46050.695428240739</v>
      </c>
      <c r="L4405">
        <v>150</v>
      </c>
      <c r="M4405">
        <v>0</v>
      </c>
      <c r="N4405" s="98" t="str">
        <f>IF(record[[#This Row],[Memo]]="Browser:chrome os:android","平板報工",IF(record[[#This Row],[Memo]]=0,"委外",record[[#This Row],[Memo]]))</f>
        <v/>
      </c>
      <c r="O4405" t="s">
        <v>58</v>
      </c>
      <c r="P4405" t="s">
        <v>109</v>
      </c>
      <c r="Q4405" t="s">
        <v>58</v>
      </c>
      <c r="R4405" t="str">
        <f>IFERROR(VLOOKUP(record[[#This Row],[PCUSTID]],廠商[],2,FALSE),"")</f>
        <v/>
      </c>
      <c r="S4405" t="str">
        <f>VLOOKUP(record[[#This Row],[employeeID]],員工[],2,FALSE)</f>
        <v>裴氏璧鳳</v>
      </c>
    </row>
    <row r="4406" spans="6:19" hidden="1" x14ac:dyDescent="0.25">
      <c r="F4406" t="s">
        <v>1531</v>
      </c>
      <c r="G4406" t="s">
        <v>463</v>
      </c>
      <c r="H4406" t="str">
        <f>VLOOKUP(record[[#This Row],[ProcessSN]],表格2_7[],2,FALSE)</f>
        <v>30-4118-018-XXX</v>
      </c>
      <c r="I4406" t="str">
        <f>VLOOKUP(record[[#This Row],[ProcessSN]],表格2_7[],3,FALSE)</f>
        <v>#00IQC</v>
      </c>
      <c r="J4406" t="s">
        <v>583</v>
      </c>
      <c r="K4406" s="195">
        <v>46050.685324074075</v>
      </c>
      <c r="L4406">
        <v>3200</v>
      </c>
      <c r="M4406">
        <v>0</v>
      </c>
      <c r="N4406" s="98" t="str">
        <f>IF(record[[#This Row],[Memo]]="Browser:chrome os:android","平板報工",IF(record[[#This Row],[Memo]]=0,"委外",record[[#This Row],[Memo]]))</f>
        <v/>
      </c>
      <c r="O4406" t="s">
        <v>58</v>
      </c>
      <c r="P4406" t="s">
        <v>109</v>
      </c>
      <c r="Q4406" t="s">
        <v>58</v>
      </c>
      <c r="R4406" t="str">
        <f>IFERROR(VLOOKUP(record[[#This Row],[PCUSTID]],廠商[],2,FALSE),"")</f>
        <v/>
      </c>
      <c r="S4406" t="str">
        <f>VLOOKUP(record[[#This Row],[employeeID]],員工[],2,FALSE)</f>
        <v>裴氏璧鳳</v>
      </c>
    </row>
    <row r="4407" spans="6:19" hidden="1" x14ac:dyDescent="0.25">
      <c r="F4407" t="s">
        <v>1048</v>
      </c>
      <c r="G4407" t="s">
        <v>402</v>
      </c>
      <c r="H4407" t="str">
        <f>VLOOKUP(record[[#This Row],[ProcessSN]],表格2_7[],2,FALSE)</f>
        <v>30-4118-018-550</v>
      </c>
      <c r="I4407" t="str">
        <f>VLOOKUP(record[[#This Row],[ProcessSN]],表格2_7[],3,FALSE)</f>
        <v>#100STOCK</v>
      </c>
      <c r="J4407" t="s">
        <v>592</v>
      </c>
      <c r="K4407" s="195">
        <v>46050.674108796295</v>
      </c>
      <c r="L4407">
        <v>6</v>
      </c>
      <c r="M4407">
        <v>0</v>
      </c>
      <c r="N4407" s="98" t="str">
        <f>IF(record[[#This Row],[Memo]]="Browser:chrome os:android","平板報工",IF(record[[#This Row],[Memo]]=0,"委外",record[[#This Row],[Memo]]))</f>
        <v>平板報工</v>
      </c>
      <c r="O4407" t="s">
        <v>643</v>
      </c>
      <c r="P4407" t="s">
        <v>886</v>
      </c>
      <c r="Q4407" t="s">
        <v>644</v>
      </c>
      <c r="R4407" t="str">
        <f>IFERROR(VLOOKUP(record[[#This Row],[PCUSTID]],廠商[],2,FALSE),"")</f>
        <v/>
      </c>
      <c r="S4407" t="str">
        <f>VLOOKUP(record[[#This Row],[employeeID]],員工[],2,FALSE)</f>
        <v>謝蓁薰</v>
      </c>
    </row>
    <row r="4408" spans="6:19" hidden="1" x14ac:dyDescent="0.25">
      <c r="F4408" t="s">
        <v>1237</v>
      </c>
      <c r="G4408" t="s">
        <v>402</v>
      </c>
      <c r="H4408" t="str">
        <f>VLOOKUP(record[[#This Row],[ProcessSN]],表格2_7[],2,FALSE)</f>
        <v>30-4118-018-550</v>
      </c>
      <c r="I4408" t="str">
        <f>VLOOKUP(record[[#This Row],[ProcessSN]],表格2_7[],3,FALSE)</f>
        <v>#100STOCK</v>
      </c>
      <c r="J4408" t="s">
        <v>592</v>
      </c>
      <c r="K4408" s="195">
        <v>46050.67391203704</v>
      </c>
      <c r="L4408">
        <v>28</v>
      </c>
      <c r="M4408">
        <v>0</v>
      </c>
      <c r="N4408" s="98" t="str">
        <f>IF(record[[#This Row],[Memo]]="Browser:chrome os:android","平板報工",IF(record[[#This Row],[Memo]]=0,"委外",record[[#This Row],[Memo]]))</f>
        <v>平板報工</v>
      </c>
      <c r="O4408" t="s">
        <v>643</v>
      </c>
      <c r="P4408" t="s">
        <v>886</v>
      </c>
      <c r="Q4408" t="s">
        <v>644</v>
      </c>
      <c r="R4408" t="str">
        <f>IFERROR(VLOOKUP(record[[#This Row],[PCUSTID]],廠商[],2,FALSE),"")</f>
        <v/>
      </c>
      <c r="S4408" t="str">
        <f>VLOOKUP(record[[#This Row],[employeeID]],員工[],2,FALSE)</f>
        <v>謝蓁薰</v>
      </c>
    </row>
    <row r="4409" spans="6:19" hidden="1" x14ac:dyDescent="0.25">
      <c r="F4409" t="s">
        <v>1200</v>
      </c>
      <c r="G4409" t="s">
        <v>402</v>
      </c>
      <c r="H4409" t="str">
        <f>VLOOKUP(record[[#This Row],[ProcessSN]],表格2_7[],2,FALSE)</f>
        <v>30-4118-018-550</v>
      </c>
      <c r="I4409" t="str">
        <f>VLOOKUP(record[[#This Row],[ProcessSN]],表格2_7[],3,FALSE)</f>
        <v>#100STOCK</v>
      </c>
      <c r="J4409" t="s">
        <v>592</v>
      </c>
      <c r="K4409" s="195">
        <v>46050.673692129632</v>
      </c>
      <c r="L4409">
        <v>8</v>
      </c>
      <c r="M4409">
        <v>0</v>
      </c>
      <c r="N4409" s="98" t="str">
        <f>IF(record[[#This Row],[Memo]]="Browser:chrome os:android","平板報工",IF(record[[#This Row],[Memo]]=0,"委外",record[[#This Row],[Memo]]))</f>
        <v>平板報工</v>
      </c>
      <c r="O4409" t="s">
        <v>643</v>
      </c>
      <c r="P4409" t="s">
        <v>886</v>
      </c>
      <c r="Q4409" t="s">
        <v>644</v>
      </c>
      <c r="R4409" t="str">
        <f>IFERROR(VLOOKUP(record[[#This Row],[PCUSTID]],廠商[],2,FALSE),"")</f>
        <v/>
      </c>
      <c r="S4409" t="str">
        <f>VLOOKUP(record[[#This Row],[employeeID]],員工[],2,FALSE)</f>
        <v>謝蓁薰</v>
      </c>
    </row>
    <row r="4410" spans="6:19" hidden="1" x14ac:dyDescent="0.25">
      <c r="F4410" t="s">
        <v>1497</v>
      </c>
      <c r="G4410" t="s">
        <v>402</v>
      </c>
      <c r="H4410" t="str">
        <f>VLOOKUP(record[[#This Row],[ProcessSN]],表格2_7[],2,FALSE)</f>
        <v>30-4118-018-550</v>
      </c>
      <c r="I4410" t="str">
        <f>VLOOKUP(record[[#This Row],[ProcessSN]],表格2_7[],3,FALSE)</f>
        <v>#100STOCK</v>
      </c>
      <c r="J4410" t="s">
        <v>592</v>
      </c>
      <c r="K4410" s="195">
        <v>46050.673321759263</v>
      </c>
      <c r="L4410">
        <v>134</v>
      </c>
      <c r="M4410">
        <v>0</v>
      </c>
      <c r="N4410" s="98" t="str">
        <f>IF(record[[#This Row],[Memo]]="Browser:chrome os:android","平板報工",IF(record[[#This Row],[Memo]]=0,"委外",record[[#This Row],[Memo]]))</f>
        <v>平板報工</v>
      </c>
      <c r="O4410" t="s">
        <v>643</v>
      </c>
      <c r="P4410" t="s">
        <v>886</v>
      </c>
      <c r="Q4410" t="s">
        <v>644</v>
      </c>
      <c r="R4410" t="str">
        <f>IFERROR(VLOOKUP(record[[#This Row],[PCUSTID]],廠商[],2,FALSE),"")</f>
        <v/>
      </c>
      <c r="S4410" t="str">
        <f>VLOOKUP(record[[#This Row],[employeeID]],員工[],2,FALSE)</f>
        <v>謝蓁薰</v>
      </c>
    </row>
    <row r="4411" spans="6:19" hidden="1" x14ac:dyDescent="0.25">
      <c r="F4411" t="s">
        <v>1527</v>
      </c>
      <c r="G4411" t="s">
        <v>447</v>
      </c>
      <c r="H4411" t="str">
        <f>VLOOKUP(record[[#This Row],[ProcessSN]],表格2_7[],2,FALSE)</f>
        <v>30-4118-018-6XX</v>
      </c>
      <c r="I4411" t="str">
        <f>VLOOKUP(record[[#This Row],[ProcessSN]],表格2_7[],3,FALSE)</f>
        <v>#03</v>
      </c>
      <c r="J4411" t="s">
        <v>588</v>
      </c>
      <c r="K4411" s="195">
        <v>46050.654930555553</v>
      </c>
      <c r="L4411">
        <v>168</v>
      </c>
      <c r="M4411">
        <v>0</v>
      </c>
      <c r="N4411" s="98" t="str">
        <f>IF(record[[#This Row],[Memo]]="Browser:chrome os:android","平板報工",IF(record[[#This Row],[Memo]]=0,"委外",record[[#This Row],[Memo]]))</f>
        <v>平板報工</v>
      </c>
      <c r="O4411" t="s">
        <v>643</v>
      </c>
      <c r="P4411" t="s">
        <v>145</v>
      </c>
      <c r="Q4411" t="s">
        <v>644</v>
      </c>
      <c r="R4411" t="str">
        <f>IFERROR(VLOOKUP(record[[#This Row],[PCUSTID]],廠商[],2,FALSE),"")</f>
        <v/>
      </c>
      <c r="S4411" t="str">
        <f>VLOOKUP(record[[#This Row],[employeeID]],員工[],2,FALSE)</f>
        <v>阮秋霞</v>
      </c>
    </row>
    <row r="4412" spans="6:19" hidden="1" x14ac:dyDescent="0.25">
      <c r="F4412" t="s">
        <v>1516</v>
      </c>
      <c r="G4412" t="s">
        <v>415</v>
      </c>
      <c r="H4412" t="str">
        <f>VLOOKUP(record[[#This Row],[ProcessSN]],表格2_7[],2,FALSE)</f>
        <v>30-4118-018-5XX</v>
      </c>
      <c r="I4412" t="str">
        <f>VLOOKUP(record[[#This Row],[ProcessSN]],表格2_7[],3,FALSE)</f>
        <v>#04</v>
      </c>
      <c r="J4412" t="s">
        <v>588</v>
      </c>
      <c r="K4412" s="195">
        <v>46050.654583333337</v>
      </c>
      <c r="L4412">
        <v>93</v>
      </c>
      <c r="M4412">
        <v>0</v>
      </c>
      <c r="N4412" s="98" t="str">
        <f>IF(record[[#This Row],[Memo]]="Browser:chrome os:android","平板報工",IF(record[[#This Row],[Memo]]=0,"委外",record[[#This Row],[Memo]]))</f>
        <v>平板報工</v>
      </c>
      <c r="O4412" t="s">
        <v>643</v>
      </c>
      <c r="P4412" t="s">
        <v>145</v>
      </c>
      <c r="Q4412" t="s">
        <v>644</v>
      </c>
      <c r="R4412" t="str">
        <f>IFERROR(VLOOKUP(record[[#This Row],[PCUSTID]],廠商[],2,FALSE),"")</f>
        <v/>
      </c>
      <c r="S4412" t="str">
        <f>VLOOKUP(record[[#This Row],[employeeID]],員工[],2,FALSE)</f>
        <v>阮秋霞</v>
      </c>
    </row>
    <row r="4413" spans="6:19" hidden="1" x14ac:dyDescent="0.25">
      <c r="F4413" t="s">
        <v>1517</v>
      </c>
      <c r="G4413" t="s">
        <v>448</v>
      </c>
      <c r="H4413" t="str">
        <f>VLOOKUP(record[[#This Row],[ProcessSN]],表格2_7[],2,FALSE)</f>
        <v>30-4118-018-6XX</v>
      </c>
      <c r="I4413" t="str">
        <f>VLOOKUP(record[[#This Row],[ProcessSN]],表格2_7[],3,FALSE)</f>
        <v>#04</v>
      </c>
      <c r="J4413" t="s">
        <v>588</v>
      </c>
      <c r="K4413" s="195">
        <v>46050.654444444444</v>
      </c>
      <c r="L4413">
        <v>130</v>
      </c>
      <c r="M4413">
        <v>0</v>
      </c>
      <c r="N4413" s="98" t="str">
        <f>IF(record[[#This Row],[Memo]]="Browser:chrome os:android","平板報工",IF(record[[#This Row],[Memo]]=0,"委外",record[[#This Row],[Memo]]))</f>
        <v>平板報工</v>
      </c>
      <c r="O4413" t="s">
        <v>643</v>
      </c>
      <c r="P4413" t="s">
        <v>145</v>
      </c>
      <c r="Q4413" t="s">
        <v>644</v>
      </c>
      <c r="R4413" t="str">
        <f>IFERROR(VLOOKUP(record[[#This Row],[PCUSTID]],廠商[],2,FALSE),"")</f>
        <v/>
      </c>
      <c r="S4413" t="str">
        <f>VLOOKUP(record[[#This Row],[employeeID]],員工[],2,FALSE)</f>
        <v>阮秋霞</v>
      </c>
    </row>
    <row r="4414" spans="6:19" hidden="1" x14ac:dyDescent="0.25">
      <c r="F4414" t="s">
        <v>1494</v>
      </c>
      <c r="G4414" t="s">
        <v>425</v>
      </c>
      <c r="H4414" t="str">
        <f>VLOOKUP(record[[#This Row],[ProcessSN]],表格2_7[],2,FALSE)</f>
        <v>30-4118-018-600</v>
      </c>
      <c r="I4414" t="str">
        <f>VLOOKUP(record[[#This Row],[ProcessSN]],表格2_7[],3,FALSE)</f>
        <v>#100</v>
      </c>
      <c r="J4414" t="s">
        <v>598</v>
      </c>
      <c r="K4414" s="195">
        <v>46050.650266203702</v>
      </c>
      <c r="L4414">
        <v>139</v>
      </c>
      <c r="M4414">
        <v>0</v>
      </c>
      <c r="N4414" s="98" t="str">
        <f>IF(record[[#This Row],[Memo]]="Browser:chrome os:android","平板報工",IF(record[[#This Row],[Memo]]=0,"委外",record[[#This Row],[Memo]]))</f>
        <v/>
      </c>
      <c r="O4414" t="s">
        <v>58</v>
      </c>
      <c r="P4414" t="s">
        <v>141</v>
      </c>
      <c r="Q4414" t="s">
        <v>58</v>
      </c>
      <c r="R4414" t="str">
        <f>IFERROR(VLOOKUP(record[[#This Row],[PCUSTID]],廠商[],2,FALSE),"")</f>
        <v/>
      </c>
      <c r="S4414" t="str">
        <f>VLOOKUP(record[[#This Row],[employeeID]],員工[],2,FALSE)</f>
        <v>蔣梅</v>
      </c>
    </row>
    <row r="4415" spans="6:19" hidden="1" x14ac:dyDescent="0.25">
      <c r="F4415" t="s">
        <v>1494</v>
      </c>
      <c r="G4415" t="s">
        <v>424</v>
      </c>
      <c r="H4415" t="str">
        <f>VLOOKUP(record[[#This Row],[ProcessSN]],表格2_7[],2,FALSE)</f>
        <v>30-4118-018-600</v>
      </c>
      <c r="I4415" t="str">
        <f>VLOOKUP(record[[#This Row],[ProcessSN]],表格2_7[],3,FALSE)</f>
        <v>#08IQC</v>
      </c>
      <c r="J4415" t="s">
        <v>583</v>
      </c>
      <c r="K4415" s="195">
        <v>46050.648043981484</v>
      </c>
      <c r="L4415">
        <v>4</v>
      </c>
      <c r="M4415">
        <v>0</v>
      </c>
      <c r="N4415" s="98" t="str">
        <f>IF(record[[#This Row],[Memo]]="Browser:chrome os:android","平板報工",IF(record[[#This Row],[Memo]]=0,"委外",record[[#This Row],[Memo]]))</f>
        <v>覆回</v>
      </c>
      <c r="O4415" t="s">
        <v>682</v>
      </c>
      <c r="P4415" t="s">
        <v>141</v>
      </c>
      <c r="Q4415" t="s">
        <v>58</v>
      </c>
      <c r="R4415" t="str">
        <f>IFERROR(VLOOKUP(record[[#This Row],[PCUSTID]],廠商[],2,FALSE),"")</f>
        <v/>
      </c>
      <c r="S4415" t="str">
        <f>VLOOKUP(record[[#This Row],[employeeID]],員工[],2,FALSE)</f>
        <v>蔣梅</v>
      </c>
    </row>
    <row r="4416" spans="6:19" hidden="1" x14ac:dyDescent="0.25">
      <c r="F4416" t="s">
        <v>1494</v>
      </c>
      <c r="G4416" t="s">
        <v>423</v>
      </c>
      <c r="H4416" t="str">
        <f>VLOOKUP(record[[#This Row],[ProcessSN]],表格2_7[],2,FALSE)</f>
        <v>30-4118-018-600</v>
      </c>
      <c r="I4416" t="str">
        <f>VLOOKUP(record[[#This Row],[ProcessSN]],表格2_7[],3,FALSE)</f>
        <v>#08RCV</v>
      </c>
      <c r="J4416" t="s">
        <v>591</v>
      </c>
      <c r="K4416" s="195">
        <v>46050.64775462963</v>
      </c>
      <c r="L4416">
        <v>0</v>
      </c>
      <c r="M4416">
        <v>6</v>
      </c>
      <c r="N4416" s="98" t="str">
        <f>IF(record[[#This Row],[Memo]]="Browser:chrome os:android","平板報工",IF(record[[#This Row],[Memo]]=0,"委外",record[[#This Row],[Memo]]))</f>
        <v/>
      </c>
      <c r="O4416" t="s">
        <v>58</v>
      </c>
      <c r="P4416" t="s">
        <v>141</v>
      </c>
      <c r="Q4416" t="s">
        <v>58</v>
      </c>
      <c r="R4416" t="str">
        <f>IFERROR(VLOOKUP(record[[#This Row],[PCUSTID]],廠商[],2,FALSE),"")</f>
        <v/>
      </c>
      <c r="S4416" t="str">
        <f>VLOOKUP(record[[#This Row],[employeeID]],員工[],2,FALSE)</f>
        <v>蔣梅</v>
      </c>
    </row>
    <row r="4417" spans="6:19" hidden="1" x14ac:dyDescent="0.25">
      <c r="F4417" t="s">
        <v>1494</v>
      </c>
      <c r="G4417" t="s">
        <v>423</v>
      </c>
      <c r="H4417" t="str">
        <f>VLOOKUP(record[[#This Row],[ProcessSN]],表格2_7[],2,FALSE)</f>
        <v>30-4118-018-600</v>
      </c>
      <c r="I4417" t="str">
        <f>VLOOKUP(record[[#This Row],[ProcessSN]],表格2_7[],3,FALSE)</f>
        <v>#08RCV</v>
      </c>
      <c r="J4417" t="s">
        <v>591</v>
      </c>
      <c r="K4417" s="195">
        <v>46050.647569444445</v>
      </c>
      <c r="L4417">
        <v>4</v>
      </c>
      <c r="M4417">
        <v>0</v>
      </c>
      <c r="N4417" s="98" t="str">
        <f>IF(record[[#This Row],[Memo]]="Browser:chrome os:android","平板報工",IF(record[[#This Row],[Memo]]=0,"委外",record[[#This Row],[Memo]]))</f>
        <v>覆回</v>
      </c>
      <c r="O4417" t="s">
        <v>682</v>
      </c>
      <c r="P4417" t="s">
        <v>141</v>
      </c>
      <c r="Q4417" t="s">
        <v>58</v>
      </c>
      <c r="R4417" t="str">
        <f>IFERROR(VLOOKUP(record[[#This Row],[PCUSTID]],廠商[],2,FALSE),"")</f>
        <v/>
      </c>
      <c r="S4417" t="str">
        <f>VLOOKUP(record[[#This Row],[employeeID]],員工[],2,FALSE)</f>
        <v>蔣梅</v>
      </c>
    </row>
    <row r="4418" spans="6:19" hidden="1" x14ac:dyDescent="0.25">
      <c r="F4418" t="s">
        <v>1492</v>
      </c>
      <c r="G4418" t="s">
        <v>417</v>
      </c>
      <c r="H4418" t="str">
        <f>VLOOKUP(record[[#This Row],[ProcessSN]],表格2_7[],2,FALSE)</f>
        <v>30-4118-018-5XX</v>
      </c>
      <c r="I4418" t="str">
        <f>VLOOKUP(record[[#This Row],[ProcessSN]],表格2_7[],3,FALSE)</f>
        <v>#06</v>
      </c>
      <c r="J4418" t="s">
        <v>593</v>
      </c>
      <c r="K4418" s="195">
        <v>46050.642743055556</v>
      </c>
      <c r="L4418">
        <v>87</v>
      </c>
      <c r="M4418">
        <v>0</v>
      </c>
      <c r="N4418" s="98" t="str">
        <f>IF(record[[#This Row],[Memo]]="Browser:chrome os:android","平板報工",IF(record[[#This Row],[Memo]]=0,"委外",record[[#This Row],[Memo]]))</f>
        <v>平板報工</v>
      </c>
      <c r="O4418" t="s">
        <v>643</v>
      </c>
      <c r="P4418" t="s">
        <v>1413</v>
      </c>
      <c r="Q4418" t="s">
        <v>644</v>
      </c>
      <c r="R4418" t="str">
        <f>IFERROR(VLOOKUP(record[[#This Row],[PCUSTID]],廠商[],2,FALSE),"")</f>
        <v/>
      </c>
      <c r="S4418" t="str">
        <f>VLOOKUP(record[[#This Row],[employeeID]],員工[],2,FALSE)</f>
        <v>阮氏芳英(芳)</v>
      </c>
    </row>
    <row r="4419" spans="6:19" hidden="1" x14ac:dyDescent="0.25">
      <c r="F4419" t="s">
        <v>1472</v>
      </c>
      <c r="G4419" t="s">
        <v>418</v>
      </c>
      <c r="H4419" t="str">
        <f>VLOOKUP(record[[#This Row],[ProcessSN]],表格2_7[],2,FALSE)</f>
        <v>30-4118-018-5XX</v>
      </c>
      <c r="I4419" t="str">
        <f>VLOOKUP(record[[#This Row],[ProcessSN]],表格2_7[],3,FALSE)</f>
        <v>#07</v>
      </c>
      <c r="J4419" t="s">
        <v>588</v>
      </c>
      <c r="K4419" s="195">
        <v>46050.631643518522</v>
      </c>
      <c r="L4419">
        <v>140</v>
      </c>
      <c r="M4419">
        <v>0</v>
      </c>
      <c r="N4419" s="98" t="str">
        <f>IF(record[[#This Row],[Memo]]="Browser:chrome os:android","平板報工",IF(record[[#This Row],[Memo]]=0,"委外",record[[#This Row],[Memo]]))</f>
        <v>平板報工</v>
      </c>
      <c r="O4419" t="s">
        <v>643</v>
      </c>
      <c r="P4419" t="s">
        <v>785</v>
      </c>
      <c r="Q4419" t="s">
        <v>644</v>
      </c>
      <c r="R4419" t="str">
        <f>IFERROR(VLOOKUP(record[[#This Row],[PCUSTID]],廠商[],2,FALSE),"")</f>
        <v/>
      </c>
      <c r="S4419" t="str">
        <f>VLOOKUP(record[[#This Row],[employeeID]],員工[],2,FALSE)</f>
        <v>謝刻光</v>
      </c>
    </row>
    <row r="4420" spans="6:19" hidden="1" x14ac:dyDescent="0.25">
      <c r="F4420" t="s">
        <v>1503</v>
      </c>
      <c r="G4420" t="s">
        <v>416</v>
      </c>
      <c r="H4420" t="str">
        <f>VLOOKUP(record[[#This Row],[ProcessSN]],表格2_7[],2,FALSE)</f>
        <v>30-4118-018-5XX</v>
      </c>
      <c r="I4420" t="str">
        <f>VLOOKUP(record[[#This Row],[ProcessSN]],表格2_7[],3,FALSE)</f>
        <v>#05</v>
      </c>
      <c r="J4420" t="s">
        <v>588</v>
      </c>
      <c r="K4420" s="195">
        <v>46050.631261574075</v>
      </c>
      <c r="L4420">
        <v>100</v>
      </c>
      <c r="M4420">
        <v>0</v>
      </c>
      <c r="N4420" s="98" t="str">
        <f>IF(record[[#This Row],[Memo]]="Browser:chrome os:android","平板報工",IF(record[[#This Row],[Memo]]=0,"委外",record[[#This Row],[Memo]]))</f>
        <v>平板報工</v>
      </c>
      <c r="O4420" t="s">
        <v>643</v>
      </c>
      <c r="P4420" t="s">
        <v>785</v>
      </c>
      <c r="Q4420" t="s">
        <v>644</v>
      </c>
      <c r="R4420" t="str">
        <f>IFERROR(VLOOKUP(record[[#This Row],[PCUSTID]],廠商[],2,FALSE),"")</f>
        <v/>
      </c>
      <c r="S4420" t="str">
        <f>VLOOKUP(record[[#This Row],[employeeID]],員工[],2,FALSE)</f>
        <v>謝刻光</v>
      </c>
    </row>
    <row r="4421" spans="6:19" hidden="1" x14ac:dyDescent="0.25">
      <c r="F4421" t="s">
        <v>1510</v>
      </c>
      <c r="G4421" t="s">
        <v>423</v>
      </c>
      <c r="H4421" t="str">
        <f>VLOOKUP(record[[#This Row],[ProcessSN]],表格2_7[],2,FALSE)</f>
        <v>30-4118-018-600</v>
      </c>
      <c r="I4421" t="str">
        <f>VLOOKUP(record[[#This Row],[ProcessSN]],表格2_7[],3,FALSE)</f>
        <v>#08RCV</v>
      </c>
      <c r="J4421" t="s">
        <v>591</v>
      </c>
      <c r="K4421" s="195">
        <v>46050.608599537038</v>
      </c>
      <c r="L4421">
        <v>150</v>
      </c>
      <c r="M4421">
        <v>0</v>
      </c>
      <c r="N4421" s="98" t="str">
        <f>IF(record[[#This Row],[Memo]]="Browser:chrome os:android","平板報工",IF(record[[#This Row],[Memo]]=0,"委外",record[[#This Row],[Memo]]))</f>
        <v/>
      </c>
      <c r="O4421" t="s">
        <v>58</v>
      </c>
      <c r="P4421" t="s">
        <v>186</v>
      </c>
      <c r="Q4421" t="s">
        <v>58</v>
      </c>
      <c r="R4421" t="str">
        <f>IFERROR(VLOOKUP(record[[#This Row],[PCUSTID]],廠商[],2,FALSE),"")</f>
        <v/>
      </c>
      <c r="S4421" t="str">
        <f>VLOOKUP(record[[#This Row],[employeeID]],員工[],2,FALSE)</f>
        <v>許文姍</v>
      </c>
    </row>
    <row r="4422" spans="6:19" hidden="1" x14ac:dyDescent="0.25">
      <c r="F4422" t="s">
        <v>1534</v>
      </c>
      <c r="G4422" t="s">
        <v>422</v>
      </c>
      <c r="H4422" t="str">
        <f>VLOOKUP(record[[#This Row],[ProcessSN]],表格2_7[],2,FALSE)</f>
        <v>30-4118-018-600</v>
      </c>
      <c r="I4422" t="str">
        <f>VLOOKUP(record[[#This Row],[ProcessSN]],表格2_7[],3,FALSE)</f>
        <v>#08</v>
      </c>
      <c r="J4422" t="s">
        <v>597</v>
      </c>
      <c r="K4422" s="195">
        <v>46050.596203703702</v>
      </c>
      <c r="L4422">
        <v>889</v>
      </c>
      <c r="M4422">
        <v>0</v>
      </c>
      <c r="N4422" s="98" t="str">
        <f>IF(record[[#This Row],[Memo]]="Browser:chrome os:android","平板報工",IF(record[[#This Row],[Memo]]=0,"委外",record[[#This Row],[Memo]]))</f>
        <v>委外</v>
      </c>
      <c r="P4422" t="s">
        <v>186</v>
      </c>
      <c r="Q4422" t="s">
        <v>287</v>
      </c>
      <c r="R4422" t="str">
        <f>IFERROR(VLOOKUP(record[[#This Row],[PCUSTID]],廠商[],2,FALSE),"")</f>
        <v>泉盛</v>
      </c>
      <c r="S4422" t="str">
        <f>VLOOKUP(record[[#This Row],[employeeID]],員工[],2,FALSE)</f>
        <v>許文姍</v>
      </c>
    </row>
    <row r="4423" spans="6:19" hidden="1" x14ac:dyDescent="0.25">
      <c r="F4423" t="s">
        <v>1536</v>
      </c>
      <c r="G4423" t="s">
        <v>397</v>
      </c>
      <c r="H4423" t="str">
        <f>VLOOKUP(record[[#This Row],[ProcessSN]],表格2_7[],2,FALSE)</f>
        <v>30-4118-018-550</v>
      </c>
      <c r="I4423" t="str">
        <f>VLOOKUP(record[[#This Row],[ProcessSN]],表格2_7[],3,FALSE)</f>
        <v>#08</v>
      </c>
      <c r="J4423" t="s">
        <v>597</v>
      </c>
      <c r="K4423" s="195">
        <v>46050.595995370371</v>
      </c>
      <c r="L4423">
        <v>96</v>
      </c>
      <c r="M4423">
        <v>0</v>
      </c>
      <c r="N4423" s="98" t="str">
        <f>IF(record[[#This Row],[Memo]]="Browser:chrome os:android","平板報工",IF(record[[#This Row],[Memo]]=0,"委外",record[[#This Row],[Memo]]))</f>
        <v>委外</v>
      </c>
      <c r="P4423" t="s">
        <v>186</v>
      </c>
      <c r="Q4423" t="s">
        <v>287</v>
      </c>
      <c r="R4423" t="str">
        <f>IFERROR(VLOOKUP(record[[#This Row],[PCUSTID]],廠商[],2,FALSE),"")</f>
        <v>泉盛</v>
      </c>
      <c r="S4423" t="str">
        <f>VLOOKUP(record[[#This Row],[employeeID]],員工[],2,FALSE)</f>
        <v>許文姍</v>
      </c>
    </row>
    <row r="4424" spans="6:19" hidden="1" x14ac:dyDescent="0.25">
      <c r="F4424" t="s">
        <v>1536</v>
      </c>
      <c r="G4424" t="s">
        <v>396</v>
      </c>
      <c r="H4424" t="str">
        <f>VLOOKUP(record[[#This Row],[ProcessSN]],表格2_7[],2,FALSE)</f>
        <v>30-4118-018-550</v>
      </c>
      <c r="I4424" t="str">
        <f>VLOOKUP(record[[#This Row],[ProcessSN]],表格2_7[],3,FALSE)</f>
        <v>#08PICK</v>
      </c>
      <c r="J4424" t="s">
        <v>582</v>
      </c>
      <c r="K4424" s="195">
        <v>46050.585347222222</v>
      </c>
      <c r="L4424">
        <v>96</v>
      </c>
      <c r="M4424">
        <v>0</v>
      </c>
      <c r="N4424" s="98" t="str">
        <f>IF(record[[#This Row],[Memo]]="Browser:chrome os:android","平板報工",IF(record[[#This Row],[Memo]]=0,"委外",record[[#This Row],[Memo]]))</f>
        <v/>
      </c>
      <c r="O4424" t="s">
        <v>58</v>
      </c>
      <c r="P4424" t="s">
        <v>186</v>
      </c>
      <c r="Q4424" t="s">
        <v>58</v>
      </c>
      <c r="R4424" t="str">
        <f>IFERROR(VLOOKUP(record[[#This Row],[PCUSTID]],廠商[],2,FALSE),"")</f>
        <v/>
      </c>
      <c r="S4424" t="str">
        <f>VLOOKUP(record[[#This Row],[employeeID]],員工[],2,FALSE)</f>
        <v>許文姍</v>
      </c>
    </row>
    <row r="4425" spans="6:19" hidden="1" x14ac:dyDescent="0.25">
      <c r="F4425" t="s">
        <v>1534</v>
      </c>
      <c r="G4425" t="s">
        <v>421</v>
      </c>
      <c r="H4425" t="str">
        <f>VLOOKUP(record[[#This Row],[ProcessSN]],表格2_7[],2,FALSE)</f>
        <v>30-4118-018-600</v>
      </c>
      <c r="I4425" t="str">
        <f>VLOOKUP(record[[#This Row],[ProcessSN]],表格2_7[],3,FALSE)</f>
        <v>#08PICK</v>
      </c>
      <c r="J4425" t="s">
        <v>582</v>
      </c>
      <c r="K4425" s="195">
        <v>46050.585196759261</v>
      </c>
      <c r="L4425">
        <v>889</v>
      </c>
      <c r="M4425">
        <v>0</v>
      </c>
      <c r="N4425" s="98" t="str">
        <f>IF(record[[#This Row],[Memo]]="Browser:chrome os:android","平板報工",IF(record[[#This Row],[Memo]]=0,"委外",record[[#This Row],[Memo]]))</f>
        <v>889</v>
      </c>
      <c r="O4425" t="s">
        <v>1535</v>
      </c>
      <c r="P4425" t="s">
        <v>186</v>
      </c>
      <c r="Q4425" t="s">
        <v>58</v>
      </c>
      <c r="R4425" t="str">
        <f>IFERROR(VLOOKUP(record[[#This Row],[PCUSTID]],廠商[],2,FALSE),"")</f>
        <v/>
      </c>
      <c r="S4425" t="str">
        <f>VLOOKUP(record[[#This Row],[employeeID]],員工[],2,FALSE)</f>
        <v>許文姍</v>
      </c>
    </row>
    <row r="4426" spans="6:19" hidden="1" x14ac:dyDescent="0.25">
      <c r="F4426" t="s">
        <v>1417</v>
      </c>
      <c r="G4426" t="s">
        <v>452</v>
      </c>
      <c r="H4426" t="str">
        <f>VLOOKUP(record[[#This Row],[ProcessSN]],表格2_7[],2,FALSE)</f>
        <v>30-4118-018-6XX</v>
      </c>
      <c r="I4426" t="str">
        <f>VLOOKUP(record[[#This Row],[ProcessSN]],表格2_7[],3,FALSE)</f>
        <v>#07QC</v>
      </c>
      <c r="J4426" t="s">
        <v>589</v>
      </c>
      <c r="K4426" s="195">
        <v>46050.583495370367</v>
      </c>
      <c r="L4426">
        <v>0</v>
      </c>
      <c r="M4426">
        <v>2</v>
      </c>
      <c r="N4426" s="98" t="str">
        <f>IF(record[[#This Row],[Memo]]="Browser:chrome os:android","平板報工",IF(record[[#This Row],[Memo]]=0,"委外",record[[#This Row],[Memo]]))</f>
        <v/>
      </c>
      <c r="O4426" t="s">
        <v>58</v>
      </c>
      <c r="P4426" t="s">
        <v>141</v>
      </c>
      <c r="Q4426" t="s">
        <v>58</v>
      </c>
      <c r="R4426" t="str">
        <f>IFERROR(VLOOKUP(record[[#This Row],[PCUSTID]],廠商[],2,FALSE),"")</f>
        <v/>
      </c>
      <c r="S4426" t="str">
        <f>VLOOKUP(record[[#This Row],[employeeID]],員工[],2,FALSE)</f>
        <v>蔣梅</v>
      </c>
    </row>
    <row r="4427" spans="6:19" hidden="1" x14ac:dyDescent="0.25">
      <c r="F4427" t="s">
        <v>1417</v>
      </c>
      <c r="G4427" t="s">
        <v>451</v>
      </c>
      <c r="H4427" t="str">
        <f>VLOOKUP(record[[#This Row],[ProcessSN]],表格2_7[],2,FALSE)</f>
        <v>30-4118-018-6XX</v>
      </c>
      <c r="I4427" t="str">
        <f>VLOOKUP(record[[#This Row],[ProcessSN]],表格2_7[],3,FALSE)</f>
        <v>#07</v>
      </c>
      <c r="J4427" t="s">
        <v>588</v>
      </c>
      <c r="K4427" s="195">
        <v>46050.582384259258</v>
      </c>
      <c r="L4427">
        <v>2</v>
      </c>
      <c r="M4427">
        <v>0</v>
      </c>
      <c r="N4427" s="98" t="str">
        <f>IF(record[[#This Row],[Memo]]="Browser:chrome os:android","平板報工",IF(record[[#This Row],[Memo]]=0,"委外",record[[#This Row],[Memo]]))</f>
        <v/>
      </c>
      <c r="O4427" t="s">
        <v>58</v>
      </c>
      <c r="P4427" t="s">
        <v>1075</v>
      </c>
      <c r="Q4427" t="s">
        <v>58</v>
      </c>
      <c r="R4427" t="str">
        <f>IFERROR(VLOOKUP(record[[#This Row],[PCUSTID]],廠商[],2,FALSE),"")</f>
        <v/>
      </c>
      <c r="S4427" t="str">
        <f>VLOOKUP(record[[#This Row],[employeeID]],員工[],2,FALSE)</f>
        <v>吳宥叡</v>
      </c>
    </row>
    <row r="4428" spans="6:19" hidden="1" x14ac:dyDescent="0.25">
      <c r="F4428" t="s">
        <v>1189</v>
      </c>
      <c r="G4428" t="s">
        <v>418</v>
      </c>
      <c r="H4428" t="str">
        <f>VLOOKUP(record[[#This Row],[ProcessSN]],表格2_7[],2,FALSE)</f>
        <v>30-4118-018-5XX</v>
      </c>
      <c r="I4428" t="str">
        <f>VLOOKUP(record[[#This Row],[ProcessSN]],表格2_7[],3,FALSE)</f>
        <v>#07</v>
      </c>
      <c r="J4428" t="s">
        <v>588</v>
      </c>
      <c r="K4428" s="195">
        <v>46050.582291666666</v>
      </c>
      <c r="L4428">
        <v>3</v>
      </c>
      <c r="M4428">
        <v>0</v>
      </c>
      <c r="N4428" s="98" t="str">
        <f>IF(record[[#This Row],[Memo]]="Browser:chrome os:android","平板報工",IF(record[[#This Row],[Memo]]=0,"委外",record[[#This Row],[Memo]]))</f>
        <v/>
      </c>
      <c r="O4428" t="s">
        <v>58</v>
      </c>
      <c r="P4428" t="s">
        <v>101</v>
      </c>
      <c r="Q4428" t="s">
        <v>58</v>
      </c>
      <c r="R4428" t="str">
        <f>IFERROR(VLOOKUP(record[[#This Row],[PCUSTID]],廠商[],2,FALSE),"")</f>
        <v/>
      </c>
      <c r="S4428" t="str">
        <f>VLOOKUP(record[[#This Row],[employeeID]],員工[],2,FALSE)</f>
        <v>陳氏絨</v>
      </c>
    </row>
    <row r="4429" spans="6:19" hidden="1" x14ac:dyDescent="0.25">
      <c r="F4429" t="s">
        <v>1474</v>
      </c>
      <c r="G4429" t="s">
        <v>453</v>
      </c>
      <c r="H4429" t="str">
        <f>VLOOKUP(record[[#This Row],[ProcessSN]],表格2_7[],2,FALSE)</f>
        <v>30-4118-018-6XX</v>
      </c>
      <c r="I4429" t="str">
        <f>VLOOKUP(record[[#This Row],[ProcessSN]],表格2_7[],3,FALSE)</f>
        <v>#07STOCK</v>
      </c>
      <c r="J4429" t="s">
        <v>592</v>
      </c>
      <c r="K4429" s="195">
        <v>46050.580277777779</v>
      </c>
      <c r="L4429">
        <v>650</v>
      </c>
      <c r="M4429">
        <v>0</v>
      </c>
      <c r="N4429" s="98" t="str">
        <f>IF(record[[#This Row],[Memo]]="Browser:chrome os:android","平板報工",IF(record[[#This Row],[Memo]]=0,"委外",record[[#This Row],[Memo]]))</f>
        <v/>
      </c>
      <c r="O4429" t="s">
        <v>58</v>
      </c>
      <c r="P4429" t="s">
        <v>186</v>
      </c>
      <c r="Q4429" t="s">
        <v>58</v>
      </c>
      <c r="R4429" t="str">
        <f>IFERROR(VLOOKUP(record[[#This Row],[PCUSTID]],廠商[],2,FALSE),"")</f>
        <v/>
      </c>
      <c r="S4429" t="str">
        <f>VLOOKUP(record[[#This Row],[employeeID]],員工[],2,FALSE)</f>
        <v>許文姍</v>
      </c>
    </row>
    <row r="4430" spans="6:19" hidden="1" x14ac:dyDescent="0.25">
      <c r="F4430" t="s">
        <v>1417</v>
      </c>
      <c r="G4430" t="s">
        <v>453</v>
      </c>
      <c r="H4430" t="str">
        <f>VLOOKUP(record[[#This Row],[ProcessSN]],表格2_7[],2,FALSE)</f>
        <v>30-4118-018-6XX</v>
      </c>
      <c r="I4430" t="str">
        <f>VLOOKUP(record[[#This Row],[ProcessSN]],表格2_7[],3,FALSE)</f>
        <v>#07STOCK</v>
      </c>
      <c r="J4430" t="s">
        <v>592</v>
      </c>
      <c r="K4430" s="195">
        <v>46050.58011574074</v>
      </c>
      <c r="L4430">
        <v>239</v>
      </c>
      <c r="M4430">
        <v>0</v>
      </c>
      <c r="N4430" s="98" t="str">
        <f>IF(record[[#This Row],[Memo]]="Browser:chrome os:android","平板報工",IF(record[[#This Row],[Memo]]=0,"委外",record[[#This Row],[Memo]]))</f>
        <v/>
      </c>
      <c r="O4430" t="s">
        <v>58</v>
      </c>
      <c r="P4430" t="s">
        <v>186</v>
      </c>
      <c r="Q4430" t="s">
        <v>58</v>
      </c>
      <c r="R4430" t="str">
        <f>IFERROR(VLOOKUP(record[[#This Row],[PCUSTID]],廠商[],2,FALSE),"")</f>
        <v/>
      </c>
      <c r="S4430" t="str">
        <f>VLOOKUP(record[[#This Row],[employeeID]],員工[],2,FALSE)</f>
        <v>許文姍</v>
      </c>
    </row>
    <row r="4431" spans="6:19" hidden="1" x14ac:dyDescent="0.25">
      <c r="F4431" t="s">
        <v>1253</v>
      </c>
      <c r="G4431" t="s">
        <v>418</v>
      </c>
      <c r="H4431" t="str">
        <f>VLOOKUP(record[[#This Row],[ProcessSN]],表格2_7[],2,FALSE)</f>
        <v>30-4118-018-5XX</v>
      </c>
      <c r="I4431" t="str">
        <f>VLOOKUP(record[[#This Row],[ProcessSN]],表格2_7[],3,FALSE)</f>
        <v>#07</v>
      </c>
      <c r="J4431" t="s">
        <v>588</v>
      </c>
      <c r="K4431" s="195">
        <v>46050.579594907409</v>
      </c>
      <c r="L4431">
        <v>4</v>
      </c>
      <c r="M4431">
        <v>0</v>
      </c>
      <c r="N4431" s="98" t="str">
        <f>IF(record[[#This Row],[Memo]]="Browser:chrome os:android","平板報工",IF(record[[#This Row],[Memo]]=0,"委外",record[[#This Row],[Memo]]))</f>
        <v/>
      </c>
      <c r="O4431" t="s">
        <v>58</v>
      </c>
      <c r="P4431" t="s">
        <v>101</v>
      </c>
      <c r="Q4431" t="s">
        <v>58</v>
      </c>
      <c r="R4431" t="str">
        <f>IFERROR(VLOOKUP(record[[#This Row],[PCUSTID]],廠商[],2,FALSE),"")</f>
        <v/>
      </c>
      <c r="S4431" t="str">
        <f>VLOOKUP(record[[#This Row],[employeeID]],員工[],2,FALSE)</f>
        <v>陳氏絨</v>
      </c>
    </row>
    <row r="4432" spans="6:19" hidden="1" x14ac:dyDescent="0.25">
      <c r="F4432" t="s">
        <v>1253</v>
      </c>
      <c r="G4432" t="s">
        <v>417</v>
      </c>
      <c r="H4432" t="str">
        <f>VLOOKUP(record[[#This Row],[ProcessSN]],表格2_7[],2,FALSE)</f>
        <v>30-4118-018-5XX</v>
      </c>
      <c r="I4432" t="str">
        <f>VLOOKUP(record[[#This Row],[ProcessSN]],表格2_7[],3,FALSE)</f>
        <v>#06</v>
      </c>
      <c r="J4432" t="s">
        <v>593</v>
      </c>
      <c r="K4432" s="195">
        <v>46050.579432870371</v>
      </c>
      <c r="L4432">
        <v>4</v>
      </c>
      <c r="M4432">
        <v>0</v>
      </c>
      <c r="N4432" s="98" t="str">
        <f>IF(record[[#This Row],[Memo]]="Browser:chrome os:android","平板報工",IF(record[[#This Row],[Memo]]=0,"委外",record[[#This Row],[Memo]]))</f>
        <v/>
      </c>
      <c r="O4432" t="s">
        <v>58</v>
      </c>
      <c r="P4432" t="s">
        <v>101</v>
      </c>
      <c r="Q4432" t="s">
        <v>58</v>
      </c>
      <c r="R4432" t="str">
        <f>IFERROR(VLOOKUP(record[[#This Row],[PCUSTID]],廠商[],2,FALSE),"")</f>
        <v/>
      </c>
      <c r="S4432" t="str">
        <f>VLOOKUP(record[[#This Row],[employeeID]],員工[],2,FALSE)</f>
        <v>陳氏絨</v>
      </c>
    </row>
    <row r="4433" spans="6:19" hidden="1" x14ac:dyDescent="0.25">
      <c r="F4433" t="s">
        <v>1253</v>
      </c>
      <c r="G4433" t="s">
        <v>416</v>
      </c>
      <c r="H4433" t="str">
        <f>VLOOKUP(record[[#This Row],[ProcessSN]],表格2_7[],2,FALSE)</f>
        <v>30-4118-018-5XX</v>
      </c>
      <c r="I4433" t="str">
        <f>VLOOKUP(record[[#This Row],[ProcessSN]],表格2_7[],3,FALSE)</f>
        <v>#05</v>
      </c>
      <c r="J4433" t="s">
        <v>588</v>
      </c>
      <c r="K4433" s="195">
        <v>46050.579270833332</v>
      </c>
      <c r="L4433">
        <v>4</v>
      </c>
      <c r="M4433">
        <v>0</v>
      </c>
      <c r="N4433" s="98" t="str">
        <f>IF(record[[#This Row],[Memo]]="Browser:chrome os:android","平板報工",IF(record[[#This Row],[Memo]]=0,"委外",record[[#This Row],[Memo]]))</f>
        <v/>
      </c>
      <c r="O4433" t="s">
        <v>58</v>
      </c>
      <c r="P4433" t="s">
        <v>101</v>
      </c>
      <c r="Q4433" t="s">
        <v>58</v>
      </c>
      <c r="R4433" t="str">
        <f>IFERROR(VLOOKUP(record[[#This Row],[PCUSTID]],廠商[],2,FALSE),"")</f>
        <v/>
      </c>
      <c r="S4433" t="str">
        <f>VLOOKUP(record[[#This Row],[employeeID]],員工[],2,FALSE)</f>
        <v>陳氏絨</v>
      </c>
    </row>
    <row r="4434" spans="6:19" hidden="1" x14ac:dyDescent="0.25">
      <c r="F4434" t="s">
        <v>1253</v>
      </c>
      <c r="G4434" t="s">
        <v>415</v>
      </c>
      <c r="H4434" t="str">
        <f>VLOOKUP(record[[#This Row],[ProcessSN]],表格2_7[],2,FALSE)</f>
        <v>30-4118-018-5XX</v>
      </c>
      <c r="I4434" t="str">
        <f>VLOOKUP(record[[#This Row],[ProcessSN]],表格2_7[],3,FALSE)</f>
        <v>#04</v>
      </c>
      <c r="J4434" t="s">
        <v>588</v>
      </c>
      <c r="K4434" s="195">
        <v>46050.579062500001</v>
      </c>
      <c r="L4434">
        <v>4</v>
      </c>
      <c r="M4434">
        <v>0</v>
      </c>
      <c r="N4434" s="98" t="str">
        <f>IF(record[[#This Row],[Memo]]="Browser:chrome os:android","平板報工",IF(record[[#This Row],[Memo]]=0,"委外",record[[#This Row],[Memo]]))</f>
        <v/>
      </c>
      <c r="O4434" t="s">
        <v>58</v>
      </c>
      <c r="P4434" t="s">
        <v>101</v>
      </c>
      <c r="Q4434" t="s">
        <v>58</v>
      </c>
      <c r="R4434" t="str">
        <f>IFERROR(VLOOKUP(record[[#This Row],[PCUSTID]],廠商[],2,FALSE),"")</f>
        <v/>
      </c>
      <c r="S4434" t="str">
        <f>VLOOKUP(record[[#This Row],[employeeID]],員工[],2,FALSE)</f>
        <v>陳氏絨</v>
      </c>
    </row>
    <row r="4435" spans="6:19" hidden="1" x14ac:dyDescent="0.25">
      <c r="F4435" t="s">
        <v>1253</v>
      </c>
      <c r="G4435" t="s">
        <v>414</v>
      </c>
      <c r="H4435" t="str">
        <f>VLOOKUP(record[[#This Row],[ProcessSN]],表格2_7[],2,FALSE)</f>
        <v>30-4118-018-5XX</v>
      </c>
      <c r="I4435" t="str">
        <f>VLOOKUP(record[[#This Row],[ProcessSN]],表格2_7[],3,FALSE)</f>
        <v>#03</v>
      </c>
      <c r="J4435" t="s">
        <v>588</v>
      </c>
      <c r="K4435" s="195">
        <v>46050.578819444447</v>
      </c>
      <c r="L4435">
        <v>801</v>
      </c>
      <c r="M4435">
        <v>0</v>
      </c>
      <c r="N4435" s="98" t="str">
        <f>IF(record[[#This Row],[Memo]]="Browser:chrome os:android","平板報工",IF(record[[#This Row],[Memo]]=0,"委外",record[[#This Row],[Memo]]))</f>
        <v/>
      </c>
      <c r="O4435" t="s">
        <v>58</v>
      </c>
      <c r="P4435" t="s">
        <v>101</v>
      </c>
      <c r="Q4435" t="s">
        <v>58</v>
      </c>
      <c r="R4435" t="str">
        <f>IFERROR(VLOOKUP(record[[#This Row],[PCUSTID]],廠商[],2,FALSE),"")</f>
        <v/>
      </c>
      <c r="S4435" t="str">
        <f>VLOOKUP(record[[#This Row],[employeeID]],員工[],2,FALSE)</f>
        <v>陳氏絨</v>
      </c>
    </row>
    <row r="4436" spans="6:19" hidden="1" x14ac:dyDescent="0.25">
      <c r="F4436" t="s">
        <v>1472</v>
      </c>
      <c r="G4436" t="s">
        <v>420</v>
      </c>
      <c r="H4436" t="str">
        <f>VLOOKUP(record[[#This Row],[ProcessSN]],表格2_7[],2,FALSE)</f>
        <v>30-4118-018-5XX</v>
      </c>
      <c r="I4436" t="str">
        <f>VLOOKUP(record[[#This Row],[ProcessSN]],表格2_7[],3,FALSE)</f>
        <v>#07STOCK</v>
      </c>
      <c r="J4436" t="s">
        <v>592</v>
      </c>
      <c r="K4436" s="195">
        <v>46050.577939814815</v>
      </c>
      <c r="L4436">
        <v>96</v>
      </c>
      <c r="M4436">
        <v>0</v>
      </c>
      <c r="N4436" s="98" t="str">
        <f>IF(record[[#This Row],[Memo]]="Browser:chrome os:android","平板報工",IF(record[[#This Row],[Memo]]=0,"委外",record[[#This Row],[Memo]]))</f>
        <v/>
      </c>
      <c r="O4436" t="s">
        <v>58</v>
      </c>
      <c r="P4436" t="s">
        <v>186</v>
      </c>
      <c r="Q4436" t="s">
        <v>58</v>
      </c>
      <c r="R4436" t="str">
        <f>IFERROR(VLOOKUP(record[[#This Row],[PCUSTID]],廠商[],2,FALSE),"")</f>
        <v/>
      </c>
      <c r="S4436" t="str">
        <f>VLOOKUP(record[[#This Row],[employeeID]],員工[],2,FALSE)</f>
        <v>許文姍</v>
      </c>
    </row>
    <row r="4437" spans="6:19" hidden="1" x14ac:dyDescent="0.25">
      <c r="F4437" t="s">
        <v>1474</v>
      </c>
      <c r="G4437" t="s">
        <v>452</v>
      </c>
      <c r="H4437" t="str">
        <f>VLOOKUP(record[[#This Row],[ProcessSN]],表格2_7[],2,FALSE)</f>
        <v>30-4118-018-6XX</v>
      </c>
      <c r="I4437" t="str">
        <f>VLOOKUP(record[[#This Row],[ProcessSN]],表格2_7[],3,FALSE)</f>
        <v>#07QC</v>
      </c>
      <c r="J4437" t="s">
        <v>589</v>
      </c>
      <c r="K4437" s="195">
        <v>46050.567233796297</v>
      </c>
      <c r="L4437">
        <v>219</v>
      </c>
      <c r="M4437">
        <v>0</v>
      </c>
      <c r="N4437" s="98" t="str">
        <f>IF(record[[#This Row],[Memo]]="Browser:chrome os:android","平板報工",IF(record[[#This Row],[Memo]]=0,"委外",record[[#This Row],[Memo]]))</f>
        <v>平板報工</v>
      </c>
      <c r="O4437" t="s">
        <v>643</v>
      </c>
      <c r="P4437" t="s">
        <v>141</v>
      </c>
      <c r="Q4437" t="s">
        <v>644</v>
      </c>
      <c r="R4437" t="str">
        <f>IFERROR(VLOOKUP(record[[#This Row],[PCUSTID]],廠商[],2,FALSE),"")</f>
        <v/>
      </c>
      <c r="S4437" t="str">
        <f>VLOOKUP(record[[#This Row],[employeeID]],員工[],2,FALSE)</f>
        <v>蔣梅</v>
      </c>
    </row>
    <row r="4438" spans="6:19" hidden="1" x14ac:dyDescent="0.25">
      <c r="F4438" t="s">
        <v>1474</v>
      </c>
      <c r="G4438" t="s">
        <v>452</v>
      </c>
      <c r="H4438" t="str">
        <f>VLOOKUP(record[[#This Row],[ProcessSN]],表格2_7[],2,FALSE)</f>
        <v>30-4118-018-6XX</v>
      </c>
      <c r="I4438" t="str">
        <f>VLOOKUP(record[[#This Row],[ProcessSN]],表格2_7[],3,FALSE)</f>
        <v>#07QC</v>
      </c>
      <c r="J4438" t="s">
        <v>589</v>
      </c>
      <c r="K4438" s="195">
        <v>46050.544965277775</v>
      </c>
      <c r="L4438">
        <v>263</v>
      </c>
      <c r="M4438">
        <v>0</v>
      </c>
      <c r="N4438" s="98" t="str">
        <f>IF(record[[#This Row],[Memo]]="Browser:chrome os:android","平板報工",IF(record[[#This Row],[Memo]]=0,"委外",record[[#This Row],[Memo]]))</f>
        <v>平板報工</v>
      </c>
      <c r="O4438" t="s">
        <v>643</v>
      </c>
      <c r="P4438" t="s">
        <v>141</v>
      </c>
      <c r="Q4438" t="s">
        <v>644</v>
      </c>
      <c r="R4438" t="str">
        <f>IFERROR(VLOOKUP(record[[#This Row],[PCUSTID]],廠商[],2,FALSE),"")</f>
        <v/>
      </c>
      <c r="S4438" t="str">
        <f>VLOOKUP(record[[#This Row],[employeeID]],員工[],2,FALSE)</f>
        <v>蔣梅</v>
      </c>
    </row>
    <row r="4439" spans="6:19" hidden="1" x14ac:dyDescent="0.25">
      <c r="F4439" t="s">
        <v>1417</v>
      </c>
      <c r="G4439" t="s">
        <v>452</v>
      </c>
      <c r="H4439" t="str">
        <f>VLOOKUP(record[[#This Row],[ProcessSN]],表格2_7[],2,FALSE)</f>
        <v>30-4118-018-6XX</v>
      </c>
      <c r="I4439" t="str">
        <f>VLOOKUP(record[[#This Row],[ProcessSN]],表格2_7[],3,FALSE)</f>
        <v>#07QC</v>
      </c>
      <c r="J4439" t="s">
        <v>589</v>
      </c>
      <c r="K4439" s="195">
        <v>46050.542812500003</v>
      </c>
      <c r="L4439">
        <v>73</v>
      </c>
      <c r="M4439">
        <v>0</v>
      </c>
      <c r="N4439" s="98" t="str">
        <f>IF(record[[#This Row],[Memo]]="Browser:chrome os:android","平板報工",IF(record[[#This Row],[Memo]]=0,"委外",record[[#This Row],[Memo]]))</f>
        <v>平板報工</v>
      </c>
      <c r="O4439" t="s">
        <v>643</v>
      </c>
      <c r="P4439" t="s">
        <v>141</v>
      </c>
      <c r="Q4439" t="s">
        <v>644</v>
      </c>
      <c r="R4439" t="str">
        <f>IFERROR(VLOOKUP(record[[#This Row],[PCUSTID]],廠商[],2,FALSE),"")</f>
        <v/>
      </c>
      <c r="S4439" t="str">
        <f>VLOOKUP(record[[#This Row],[employeeID]],員工[],2,FALSE)</f>
        <v>蔣梅</v>
      </c>
    </row>
    <row r="4440" spans="6:19" hidden="1" x14ac:dyDescent="0.25">
      <c r="F4440" t="s">
        <v>1450</v>
      </c>
      <c r="G4440" t="s">
        <v>471</v>
      </c>
      <c r="H4440" t="str">
        <f>VLOOKUP(record[[#This Row],[ProcessSN]],表格2_7[],2,FALSE)</f>
        <v>30-4118-018-XXX</v>
      </c>
      <c r="I4440" t="str">
        <f>VLOOKUP(record[[#This Row],[ProcessSN]],表格2_7[],3,FALSE)</f>
        <v>#02STOCK</v>
      </c>
      <c r="J4440" t="s">
        <v>592</v>
      </c>
      <c r="K4440" s="195">
        <v>46050.488449074073</v>
      </c>
      <c r="L4440">
        <v>1512</v>
      </c>
      <c r="M4440">
        <v>0</v>
      </c>
      <c r="N4440" s="98" t="str">
        <f>IF(record[[#This Row],[Memo]]="Browser:chrome os:android","平板報工",IF(record[[#This Row],[Memo]]=0,"委外",record[[#This Row],[Memo]]))</f>
        <v/>
      </c>
      <c r="O4440" t="s">
        <v>58</v>
      </c>
      <c r="P4440" t="s">
        <v>65</v>
      </c>
      <c r="Q4440" t="s">
        <v>58</v>
      </c>
      <c r="R4440" t="str">
        <f>IFERROR(VLOOKUP(record[[#This Row],[PCUSTID]],廠商[],2,FALSE),"")</f>
        <v/>
      </c>
      <c r="S4440" t="str">
        <f>VLOOKUP(record[[#This Row],[employeeID]],員工[],2,FALSE)</f>
        <v>蘇進昌</v>
      </c>
    </row>
    <row r="4441" spans="6:19" hidden="1" x14ac:dyDescent="0.25">
      <c r="F4441" t="s">
        <v>1531</v>
      </c>
      <c r="G4441" t="s">
        <v>462</v>
      </c>
      <c r="H4441" t="str">
        <f>VLOOKUP(record[[#This Row],[ProcessSN]],表格2_7[],2,FALSE)</f>
        <v>30-4118-018-XXX</v>
      </c>
      <c r="I4441" t="str">
        <f>VLOOKUP(record[[#This Row],[ProcessSN]],表格2_7[],3,FALSE)</f>
        <v>#00PICK</v>
      </c>
      <c r="J4441" t="s">
        <v>582</v>
      </c>
      <c r="K4441" s="195">
        <v>46050.471087962964</v>
      </c>
      <c r="L4441">
        <v>3200</v>
      </c>
      <c r="M4441">
        <v>0</v>
      </c>
      <c r="N4441" s="98" t="str">
        <f>IF(record[[#This Row],[Memo]]="Browser:chrome os:android","平板報工",IF(record[[#This Row],[Memo]]=0,"委外",record[[#This Row],[Memo]]))</f>
        <v/>
      </c>
      <c r="O4441" t="s">
        <v>58</v>
      </c>
      <c r="P4441" t="s">
        <v>186</v>
      </c>
      <c r="Q4441" t="s">
        <v>58</v>
      </c>
      <c r="R4441" t="str">
        <f>IFERROR(VLOOKUP(record[[#This Row],[PCUSTID]],廠商[],2,FALSE),"")</f>
        <v/>
      </c>
      <c r="S4441" t="str">
        <f>VLOOKUP(record[[#This Row],[employeeID]],員工[],2,FALSE)</f>
        <v>許文姍</v>
      </c>
    </row>
    <row r="4442" spans="6:19" hidden="1" x14ac:dyDescent="0.25">
      <c r="F4442" t="s">
        <v>1450</v>
      </c>
      <c r="G4442" t="s">
        <v>470</v>
      </c>
      <c r="H4442" t="str">
        <f>VLOOKUP(record[[#This Row],[ProcessSN]],表格2_7[],2,FALSE)</f>
        <v>30-4118-018-XXX</v>
      </c>
      <c r="I4442" t="str">
        <f>VLOOKUP(record[[#This Row],[ProcessSN]],表格2_7[],3,FALSE)</f>
        <v>#02IQC</v>
      </c>
      <c r="J4442" t="s">
        <v>583</v>
      </c>
      <c r="K4442" s="195">
        <v>46050.457175925927</v>
      </c>
      <c r="L4442">
        <v>1512</v>
      </c>
      <c r="M4442">
        <v>0</v>
      </c>
      <c r="N4442" s="98" t="str">
        <f>IF(record[[#This Row],[Memo]]="Browser:chrome os:android","平板報工",IF(record[[#This Row],[Memo]]=0,"委外",record[[#This Row],[Memo]]))</f>
        <v/>
      </c>
      <c r="O4442" t="s">
        <v>58</v>
      </c>
      <c r="P4442" t="s">
        <v>109</v>
      </c>
      <c r="Q4442" t="s">
        <v>58</v>
      </c>
      <c r="R4442" t="str">
        <f>IFERROR(VLOOKUP(record[[#This Row],[PCUSTID]],廠商[],2,FALSE),"")</f>
        <v/>
      </c>
      <c r="S4442" t="str">
        <f>VLOOKUP(record[[#This Row],[employeeID]],員工[],2,FALSE)</f>
        <v>裴氏璧鳳</v>
      </c>
    </row>
    <row r="4443" spans="6:19" hidden="1" x14ac:dyDescent="0.25">
      <c r="F4443" t="s">
        <v>1472</v>
      </c>
      <c r="G4443" t="s">
        <v>419</v>
      </c>
      <c r="H4443" t="str">
        <f>VLOOKUP(record[[#This Row],[ProcessSN]],表格2_7[],2,FALSE)</f>
        <v>30-4118-018-5XX</v>
      </c>
      <c r="I4443" t="str">
        <f>VLOOKUP(record[[#This Row],[ProcessSN]],表格2_7[],3,FALSE)</f>
        <v>#07QC</v>
      </c>
      <c r="J4443" t="s">
        <v>589</v>
      </c>
      <c r="K4443" s="195">
        <v>46050.402384259258</v>
      </c>
      <c r="L4443">
        <v>96</v>
      </c>
      <c r="M4443">
        <v>0</v>
      </c>
      <c r="N4443" s="98" t="str">
        <f>IF(record[[#This Row],[Memo]]="Browser:chrome os:android","平板報工",IF(record[[#This Row],[Memo]]=0,"委外",record[[#This Row],[Memo]]))</f>
        <v>平板報工</v>
      </c>
      <c r="O4443" t="s">
        <v>643</v>
      </c>
      <c r="P4443" t="s">
        <v>141</v>
      </c>
      <c r="Q4443" t="s">
        <v>644</v>
      </c>
      <c r="R4443" t="str">
        <f>IFERROR(VLOOKUP(record[[#This Row],[PCUSTID]],廠商[],2,FALSE),"")</f>
        <v/>
      </c>
      <c r="S4443" t="str">
        <f>VLOOKUP(record[[#This Row],[employeeID]],員工[],2,FALSE)</f>
        <v>蔣梅</v>
      </c>
    </row>
    <row r="4444" spans="6:19" hidden="1" x14ac:dyDescent="0.25">
      <c r="F4444" t="s">
        <v>1527</v>
      </c>
      <c r="G4444" t="s">
        <v>446</v>
      </c>
      <c r="H4444" t="str">
        <f>VLOOKUP(record[[#This Row],[ProcessSN]],表格2_7[],2,FALSE)</f>
        <v>30-4118-018-6XX</v>
      </c>
      <c r="I4444" t="str">
        <f>VLOOKUP(record[[#This Row],[ProcessSN]],表格2_7[],3,FALSE)</f>
        <v>#03GIVE</v>
      </c>
      <c r="J4444" t="s">
        <v>587</v>
      </c>
      <c r="K4444" s="195">
        <v>46050.391469907408</v>
      </c>
      <c r="L4444">
        <v>1300</v>
      </c>
      <c r="M4444">
        <v>0</v>
      </c>
      <c r="N4444" s="98" t="str">
        <f>IF(record[[#This Row],[Memo]]="Browser:chrome os:android","平板報工",IF(record[[#This Row],[Memo]]=0,"委外",record[[#This Row],[Memo]]))</f>
        <v/>
      </c>
      <c r="O4444" t="s">
        <v>58</v>
      </c>
      <c r="P4444" t="s">
        <v>1487</v>
      </c>
      <c r="Q4444" t="s">
        <v>58</v>
      </c>
      <c r="R4444" t="str">
        <f>IFERROR(VLOOKUP(record[[#This Row],[PCUSTID]],廠商[],2,FALSE),"")</f>
        <v/>
      </c>
      <c r="S4444" t="str">
        <f>VLOOKUP(record[[#This Row],[employeeID]],員工[],2,FALSE)</f>
        <v>邱瑞廣</v>
      </c>
    </row>
    <row r="4445" spans="6:19" hidden="1" x14ac:dyDescent="0.25">
      <c r="F4445" t="s">
        <v>1526</v>
      </c>
      <c r="G4445" t="s">
        <v>413</v>
      </c>
      <c r="H4445" t="str">
        <f>VLOOKUP(record[[#This Row],[ProcessSN]],表格2_7[],2,FALSE)</f>
        <v>30-4118-018-5XX</v>
      </c>
      <c r="I4445" t="str">
        <f>VLOOKUP(record[[#This Row],[ProcessSN]],表格2_7[],3,FALSE)</f>
        <v>#03GIVE</v>
      </c>
      <c r="J4445" t="s">
        <v>587</v>
      </c>
      <c r="K4445" s="195">
        <v>46050.391157407408</v>
      </c>
      <c r="L4445">
        <v>212</v>
      </c>
      <c r="M4445">
        <v>0</v>
      </c>
      <c r="N4445" s="98" t="str">
        <f>IF(record[[#This Row],[Memo]]="Browser:chrome os:android","平板報工",IF(record[[#This Row],[Memo]]=0,"委外",record[[#This Row],[Memo]]))</f>
        <v/>
      </c>
      <c r="O4445" t="s">
        <v>58</v>
      </c>
      <c r="P4445" t="s">
        <v>1487</v>
      </c>
      <c r="Q4445" t="s">
        <v>58</v>
      </c>
      <c r="R4445" t="str">
        <f>IFERROR(VLOOKUP(record[[#This Row],[PCUSTID]],廠商[],2,FALSE),"")</f>
        <v/>
      </c>
      <c r="S4445" t="str">
        <f>VLOOKUP(record[[#This Row],[employeeID]],員工[],2,FALSE)</f>
        <v>邱瑞廣</v>
      </c>
    </row>
    <row r="4446" spans="6:19" hidden="1" x14ac:dyDescent="0.25">
      <c r="F4446" t="s">
        <v>1527</v>
      </c>
      <c r="G4446" t="s">
        <v>445</v>
      </c>
      <c r="H4446" t="str">
        <f>VLOOKUP(record[[#This Row],[ProcessSN]],表格2_7[],2,FALSE)</f>
        <v>30-4118-018-6XX</v>
      </c>
      <c r="I4446" t="str">
        <f>VLOOKUP(record[[#This Row],[ProcessSN]],表格2_7[],3,FALSE)</f>
        <v>#03PICK</v>
      </c>
      <c r="J4446" t="s">
        <v>582</v>
      </c>
      <c r="K4446" s="195">
        <v>46050.380532407406</v>
      </c>
      <c r="L4446">
        <v>1300</v>
      </c>
      <c r="M4446">
        <v>0</v>
      </c>
      <c r="N4446" s="98" t="str">
        <f>IF(record[[#This Row],[Memo]]="Browser:chrome os:android","平板報工",IF(record[[#This Row],[Memo]]=0,"委外",record[[#This Row],[Memo]]))</f>
        <v/>
      </c>
      <c r="O4446" t="s">
        <v>58</v>
      </c>
      <c r="P4446" t="s">
        <v>186</v>
      </c>
      <c r="Q4446" t="s">
        <v>58</v>
      </c>
      <c r="R4446" t="str">
        <f>IFERROR(VLOOKUP(record[[#This Row],[PCUSTID]],廠商[],2,FALSE),"")</f>
        <v/>
      </c>
      <c r="S4446" t="str">
        <f>VLOOKUP(record[[#This Row],[employeeID]],員工[],2,FALSE)</f>
        <v>許文姍</v>
      </c>
    </row>
    <row r="4447" spans="6:19" hidden="1" x14ac:dyDescent="0.25">
      <c r="F4447" t="s">
        <v>1526</v>
      </c>
      <c r="G4447" t="s">
        <v>412</v>
      </c>
      <c r="H4447" t="str">
        <f>VLOOKUP(record[[#This Row],[ProcessSN]],表格2_7[],2,FALSE)</f>
        <v>30-4118-018-5XX</v>
      </c>
      <c r="I4447" t="str">
        <f>VLOOKUP(record[[#This Row],[ProcessSN]],表格2_7[],3,FALSE)</f>
        <v>#03PICK</v>
      </c>
      <c r="J4447" t="s">
        <v>582</v>
      </c>
      <c r="K4447" s="195">
        <v>46050.380416666667</v>
      </c>
      <c r="L4447">
        <v>212</v>
      </c>
      <c r="M4447">
        <v>0</v>
      </c>
      <c r="N4447" s="98" t="str">
        <f>IF(record[[#This Row],[Memo]]="Browser:chrome os:android","平板報工",IF(record[[#This Row],[Memo]]=0,"委外",record[[#This Row],[Memo]]))</f>
        <v/>
      </c>
      <c r="O4447" t="s">
        <v>58</v>
      </c>
      <c r="P4447" t="s">
        <v>186</v>
      </c>
      <c r="Q4447" t="s">
        <v>58</v>
      </c>
      <c r="R4447" t="str">
        <f>IFERROR(VLOOKUP(record[[#This Row],[PCUSTID]],廠商[],2,FALSE),"")</f>
        <v/>
      </c>
      <c r="S4447" t="str">
        <f>VLOOKUP(record[[#This Row],[employeeID]],員工[],2,FALSE)</f>
        <v>許文姍</v>
      </c>
    </row>
    <row r="4448" spans="6:19" hidden="1" x14ac:dyDescent="0.25">
      <c r="F4448" t="s">
        <v>1524</v>
      </c>
      <c r="G4448" t="s">
        <v>467</v>
      </c>
      <c r="H4448" t="str">
        <f>VLOOKUP(record[[#This Row],[ProcessSN]],表格2_7[],2,FALSE)</f>
        <v>30-4118-018-XXX</v>
      </c>
      <c r="I4448" t="str">
        <f>VLOOKUP(record[[#This Row],[ProcessSN]],表格2_7[],3,FALSE)</f>
        <v>#01QC</v>
      </c>
      <c r="J4448" t="s">
        <v>589</v>
      </c>
      <c r="K4448" s="195">
        <v>46050.379571759258</v>
      </c>
      <c r="L4448">
        <v>24</v>
      </c>
      <c r="M4448">
        <v>0</v>
      </c>
      <c r="N4448" s="98" t="str">
        <f>IF(record[[#This Row],[Memo]]="Browser:chrome os:android","平板報工",IF(record[[#This Row],[Memo]]=0,"委外",record[[#This Row],[Memo]]))</f>
        <v>平板報工</v>
      </c>
      <c r="O4448" t="s">
        <v>643</v>
      </c>
      <c r="P4448" t="s">
        <v>182</v>
      </c>
      <c r="Q4448" t="s">
        <v>644</v>
      </c>
      <c r="R4448" t="str">
        <f>IFERROR(VLOOKUP(record[[#This Row],[PCUSTID]],廠商[],2,FALSE),"")</f>
        <v/>
      </c>
      <c r="S4448" t="str">
        <f>VLOOKUP(record[[#This Row],[employeeID]],員工[],2,FALSE)</f>
        <v>梅氏和</v>
      </c>
    </row>
    <row r="4449" spans="6:19" hidden="1" x14ac:dyDescent="0.25">
      <c r="F4449" t="s">
        <v>1450</v>
      </c>
      <c r="G4449" t="s">
        <v>469</v>
      </c>
      <c r="H4449" t="str">
        <f>VLOOKUP(record[[#This Row],[ProcessSN]],表格2_7[],2,FALSE)</f>
        <v>30-4118-018-XXX</v>
      </c>
      <c r="I4449" t="str">
        <f>VLOOKUP(record[[#This Row],[ProcessSN]],表格2_7[],3,FALSE)</f>
        <v>#02RCV</v>
      </c>
      <c r="J4449" t="s">
        <v>591</v>
      </c>
      <c r="K4449" s="195">
        <v>46050.375567129631</v>
      </c>
      <c r="L4449">
        <v>1512</v>
      </c>
      <c r="M4449">
        <v>0</v>
      </c>
      <c r="N4449" s="98" t="str">
        <f>IF(record[[#This Row],[Memo]]="Browser:chrome os:android","平板報工",IF(record[[#This Row],[Memo]]=0,"委外",record[[#This Row],[Memo]]))</f>
        <v/>
      </c>
      <c r="O4449" t="s">
        <v>58</v>
      </c>
      <c r="P4449" t="s">
        <v>186</v>
      </c>
      <c r="Q4449" t="s">
        <v>58</v>
      </c>
      <c r="R4449" t="str">
        <f>IFERROR(VLOOKUP(record[[#This Row],[PCUSTID]],廠商[],2,FALSE),"")</f>
        <v/>
      </c>
      <c r="S4449" t="str">
        <f>VLOOKUP(record[[#This Row],[employeeID]],員工[],2,FALSE)</f>
        <v>許文姍</v>
      </c>
    </row>
    <row r="4450" spans="6:19" hidden="1" x14ac:dyDescent="0.25">
      <c r="F4450" t="s">
        <v>1391</v>
      </c>
      <c r="G4450" t="s">
        <v>428</v>
      </c>
      <c r="H4450" t="str">
        <f>VLOOKUP(record[[#This Row],[ProcessSN]],表格2_7[],2,FALSE)</f>
        <v>30-4118-018-600</v>
      </c>
      <c r="I4450" t="str">
        <f>VLOOKUP(record[[#This Row],[ProcessSN]],表格2_7[],3,FALSE)</f>
        <v>#100SHIP</v>
      </c>
      <c r="J4450" t="s">
        <v>600</v>
      </c>
      <c r="K4450" s="195">
        <v>46050.365949074076</v>
      </c>
      <c r="L4450">
        <v>11</v>
      </c>
      <c r="M4450">
        <v>0</v>
      </c>
      <c r="N4450" s="98" t="str">
        <f>IF(record[[#This Row],[Memo]]="Browser:chrome os:android","平板報工",IF(record[[#This Row],[Memo]]=0,"委外",record[[#This Row],[Memo]]))</f>
        <v>平板報工</v>
      </c>
      <c r="O4450" t="s">
        <v>643</v>
      </c>
      <c r="P4450" t="s">
        <v>886</v>
      </c>
      <c r="Q4450" t="s">
        <v>644</v>
      </c>
      <c r="R4450" t="str">
        <f>IFERROR(VLOOKUP(record[[#This Row],[PCUSTID]],廠商[],2,FALSE),"")</f>
        <v/>
      </c>
      <c r="S4450" t="str">
        <f>VLOOKUP(record[[#This Row],[employeeID]],員工[],2,FALSE)</f>
        <v>謝蓁薰</v>
      </c>
    </row>
    <row r="4451" spans="6:19" hidden="1" x14ac:dyDescent="0.25">
      <c r="F4451" t="s">
        <v>1484</v>
      </c>
      <c r="G4451" t="s">
        <v>428</v>
      </c>
      <c r="H4451" t="str">
        <f>VLOOKUP(record[[#This Row],[ProcessSN]],表格2_7[],2,FALSE)</f>
        <v>30-4118-018-600</v>
      </c>
      <c r="I4451" t="str">
        <f>VLOOKUP(record[[#This Row],[ProcessSN]],表格2_7[],3,FALSE)</f>
        <v>#100SHIP</v>
      </c>
      <c r="J4451" t="s">
        <v>600</v>
      </c>
      <c r="K4451" s="195">
        <v>46050.365659722222</v>
      </c>
      <c r="L4451">
        <v>17</v>
      </c>
      <c r="M4451">
        <v>0</v>
      </c>
      <c r="N4451" s="98" t="str">
        <f>IF(record[[#This Row],[Memo]]="Browser:chrome os:android","平板報工",IF(record[[#This Row],[Memo]]=0,"委外",record[[#This Row],[Memo]]))</f>
        <v>平板報工</v>
      </c>
      <c r="O4451" t="s">
        <v>643</v>
      </c>
      <c r="P4451" t="s">
        <v>886</v>
      </c>
      <c r="Q4451" t="s">
        <v>644</v>
      </c>
      <c r="R4451" t="str">
        <f>IFERROR(VLOOKUP(record[[#This Row],[PCUSTID]],廠商[],2,FALSE),"")</f>
        <v/>
      </c>
      <c r="S4451" t="str">
        <f>VLOOKUP(record[[#This Row],[employeeID]],員工[],2,FALSE)</f>
        <v>謝蓁薰</v>
      </c>
    </row>
    <row r="4452" spans="6:19" hidden="1" x14ac:dyDescent="0.25">
      <c r="F4452" t="s">
        <v>1407</v>
      </c>
      <c r="G4452" t="s">
        <v>362</v>
      </c>
      <c r="H4452" t="str">
        <f>VLOOKUP(record[[#This Row],[ProcessSN]],表格2_7[],2,FALSE)</f>
        <v>30-4118-018-450</v>
      </c>
      <c r="I4452" t="str">
        <f>VLOOKUP(record[[#This Row],[ProcessSN]],表格2_7[],3,FALSE)</f>
        <v>#100SHIP</v>
      </c>
      <c r="J4452" t="s">
        <v>600</v>
      </c>
      <c r="K4452" s="195">
        <v>46050.365266203706</v>
      </c>
      <c r="L4452">
        <v>18</v>
      </c>
      <c r="M4452">
        <v>0</v>
      </c>
      <c r="N4452" s="98" t="str">
        <f>IF(record[[#This Row],[Memo]]="Browser:chrome os:android","平板報工",IF(record[[#This Row],[Memo]]=0,"委外",record[[#This Row],[Memo]]))</f>
        <v>平板報工</v>
      </c>
      <c r="O4452" t="s">
        <v>643</v>
      </c>
      <c r="P4452" t="s">
        <v>886</v>
      </c>
      <c r="Q4452" t="s">
        <v>644</v>
      </c>
      <c r="R4452" t="str">
        <f>IFERROR(VLOOKUP(record[[#This Row],[PCUSTID]],廠商[],2,FALSE),"")</f>
        <v/>
      </c>
      <c r="S4452" t="str">
        <f>VLOOKUP(record[[#This Row],[employeeID]],員工[],2,FALSE)</f>
        <v>謝蓁薰</v>
      </c>
    </row>
    <row r="4453" spans="6:19" hidden="1" x14ac:dyDescent="0.25">
      <c r="F4453" t="s">
        <v>956</v>
      </c>
      <c r="G4453" t="s">
        <v>362</v>
      </c>
      <c r="H4453" t="str">
        <f>VLOOKUP(record[[#This Row],[ProcessSN]],表格2_7[],2,FALSE)</f>
        <v>30-4118-018-450</v>
      </c>
      <c r="I4453" t="str">
        <f>VLOOKUP(record[[#This Row],[ProcessSN]],表格2_7[],3,FALSE)</f>
        <v>#100SHIP</v>
      </c>
      <c r="J4453" t="s">
        <v>600</v>
      </c>
      <c r="K4453" s="195">
        <v>46050.364953703705</v>
      </c>
      <c r="L4453">
        <v>1</v>
      </c>
      <c r="M4453">
        <v>0</v>
      </c>
      <c r="N4453" s="98" t="str">
        <f>IF(record[[#This Row],[Memo]]="Browser:chrome os:android","平板報工",IF(record[[#This Row],[Memo]]=0,"委外",record[[#This Row],[Memo]]))</f>
        <v>平板報工</v>
      </c>
      <c r="O4453" t="s">
        <v>643</v>
      </c>
      <c r="P4453" t="s">
        <v>886</v>
      </c>
      <c r="Q4453" t="s">
        <v>644</v>
      </c>
      <c r="R4453" t="str">
        <f>IFERROR(VLOOKUP(record[[#This Row],[PCUSTID]],廠商[],2,FALSE),"")</f>
        <v/>
      </c>
      <c r="S4453" t="str">
        <f>VLOOKUP(record[[#This Row],[employeeID]],員工[],2,FALSE)</f>
        <v>謝蓁薰</v>
      </c>
    </row>
    <row r="4454" spans="6:19" hidden="1" x14ac:dyDescent="0.25">
      <c r="F4454" t="s">
        <v>1472</v>
      </c>
      <c r="G4454" t="s">
        <v>418</v>
      </c>
      <c r="H4454" t="str">
        <f>VLOOKUP(record[[#This Row],[ProcessSN]],表格2_7[],2,FALSE)</f>
        <v>30-4118-018-5XX</v>
      </c>
      <c r="I4454" t="str">
        <f>VLOOKUP(record[[#This Row],[ProcessSN]],表格2_7[],3,FALSE)</f>
        <v>#07</v>
      </c>
      <c r="J4454" t="s">
        <v>588</v>
      </c>
      <c r="K4454" s="195">
        <v>46050.3122337963</v>
      </c>
      <c r="L4454">
        <v>186</v>
      </c>
      <c r="M4454">
        <v>8</v>
      </c>
      <c r="N4454" s="98" t="str">
        <f>IF(record[[#This Row],[Memo]]="Browser:chrome os:android","平板報工",IF(record[[#This Row],[Memo]]=0,"委外",record[[#This Row],[Memo]]))</f>
        <v/>
      </c>
      <c r="O4454" t="s">
        <v>58</v>
      </c>
      <c r="P4454" t="s">
        <v>843</v>
      </c>
      <c r="Q4454" t="s">
        <v>58</v>
      </c>
      <c r="R4454" t="str">
        <f>IFERROR(VLOOKUP(record[[#This Row],[PCUSTID]],廠商[],2,FALSE),"")</f>
        <v/>
      </c>
      <c r="S4454" t="str">
        <f>VLOOKUP(record[[#This Row],[employeeID]],員工[],2,FALSE)</f>
        <v>張楚承</v>
      </c>
    </row>
    <row r="4455" spans="6:19" hidden="1" x14ac:dyDescent="0.25">
      <c r="F4455" t="s">
        <v>1416</v>
      </c>
      <c r="G4455" t="s">
        <v>417</v>
      </c>
      <c r="H4455" t="str">
        <f>VLOOKUP(record[[#This Row],[ProcessSN]],表格2_7[],2,FALSE)</f>
        <v>30-4118-018-5XX</v>
      </c>
      <c r="I4455" t="str">
        <f>VLOOKUP(record[[#This Row],[ProcessSN]],表格2_7[],3,FALSE)</f>
        <v>#06</v>
      </c>
      <c r="J4455" t="s">
        <v>593</v>
      </c>
      <c r="K4455" s="195">
        <v>46050.311990740738</v>
      </c>
      <c r="L4455">
        <v>26</v>
      </c>
      <c r="M4455">
        <v>1</v>
      </c>
      <c r="N4455" s="98" t="str">
        <f>IF(record[[#This Row],[Memo]]="Browser:chrome os:android","平板報工",IF(record[[#This Row],[Memo]]=0,"委外",record[[#This Row],[Memo]]))</f>
        <v/>
      </c>
      <c r="O4455" t="s">
        <v>58</v>
      </c>
      <c r="P4455" t="s">
        <v>841</v>
      </c>
      <c r="Q4455" t="s">
        <v>58</v>
      </c>
      <c r="R4455" t="str">
        <f>IFERROR(VLOOKUP(record[[#This Row],[PCUSTID]],廠商[],2,FALSE),"")</f>
        <v/>
      </c>
      <c r="S4455" t="str">
        <f>VLOOKUP(record[[#This Row],[employeeID]],員工[],2,FALSE)</f>
        <v>范氏香</v>
      </c>
    </row>
    <row r="4456" spans="6:19" hidden="1" x14ac:dyDescent="0.25">
      <c r="F4456" t="s">
        <v>1503</v>
      </c>
      <c r="G4456" t="s">
        <v>416</v>
      </c>
      <c r="H4456" t="str">
        <f>VLOOKUP(record[[#This Row],[ProcessSN]],表格2_7[],2,FALSE)</f>
        <v>30-4118-018-5XX</v>
      </c>
      <c r="I4456" t="str">
        <f>VLOOKUP(record[[#This Row],[ProcessSN]],表格2_7[],3,FALSE)</f>
        <v>#05</v>
      </c>
      <c r="J4456" t="s">
        <v>588</v>
      </c>
      <c r="K4456" s="195">
        <v>46050.310474537036</v>
      </c>
      <c r="L4456">
        <v>48</v>
      </c>
      <c r="M4456">
        <v>0</v>
      </c>
      <c r="N4456" s="98" t="str">
        <f>IF(record[[#This Row],[Memo]]="Browser:chrome os:android","平板報工",IF(record[[#This Row],[Memo]]=0,"委外",record[[#This Row],[Memo]]))</f>
        <v/>
      </c>
      <c r="O4456" t="s">
        <v>58</v>
      </c>
      <c r="P4456" t="s">
        <v>843</v>
      </c>
      <c r="Q4456" t="s">
        <v>58</v>
      </c>
      <c r="R4456" t="str">
        <f>IFERROR(VLOOKUP(record[[#This Row],[PCUSTID]],廠商[],2,FALSE),"")</f>
        <v/>
      </c>
      <c r="S4456" t="str">
        <f>VLOOKUP(record[[#This Row],[employeeID]],員工[],2,FALSE)</f>
        <v>張楚承</v>
      </c>
    </row>
    <row r="4457" spans="6:19" hidden="1" x14ac:dyDescent="0.25">
      <c r="F4457" t="s">
        <v>1492</v>
      </c>
      <c r="G4457" t="s">
        <v>416</v>
      </c>
      <c r="H4457" t="str">
        <f>VLOOKUP(record[[#This Row],[ProcessSN]],表格2_7[],2,FALSE)</f>
        <v>30-4118-018-5XX</v>
      </c>
      <c r="I4457" t="str">
        <f>VLOOKUP(record[[#This Row],[ProcessSN]],表格2_7[],3,FALSE)</f>
        <v>#05</v>
      </c>
      <c r="J4457" t="s">
        <v>588</v>
      </c>
      <c r="K4457" s="195">
        <v>46050.310219907406</v>
      </c>
      <c r="L4457">
        <v>181</v>
      </c>
      <c r="M4457">
        <v>0</v>
      </c>
      <c r="N4457" s="98" t="str">
        <f>IF(record[[#This Row],[Memo]]="Browser:chrome os:android","平板報工",IF(record[[#This Row],[Memo]]=0,"委外",record[[#This Row],[Memo]]))</f>
        <v/>
      </c>
      <c r="O4457" t="s">
        <v>58</v>
      </c>
      <c r="P4457" t="s">
        <v>843</v>
      </c>
      <c r="Q4457" t="s">
        <v>58</v>
      </c>
      <c r="R4457" t="str">
        <f>IFERROR(VLOOKUP(record[[#This Row],[PCUSTID]],廠商[],2,FALSE),"")</f>
        <v/>
      </c>
      <c r="S4457" t="str">
        <f>VLOOKUP(record[[#This Row],[employeeID]],員工[],2,FALSE)</f>
        <v>張楚承</v>
      </c>
    </row>
    <row r="4458" spans="6:19" hidden="1" x14ac:dyDescent="0.25">
      <c r="F4458" t="s">
        <v>1516</v>
      </c>
      <c r="G4458" t="s">
        <v>415</v>
      </c>
      <c r="H4458" t="str">
        <f>VLOOKUP(record[[#This Row],[ProcessSN]],表格2_7[],2,FALSE)</f>
        <v>30-4118-018-5XX</v>
      </c>
      <c r="I4458" t="str">
        <f>VLOOKUP(record[[#This Row],[ProcessSN]],表格2_7[],3,FALSE)</f>
        <v>#04</v>
      </c>
      <c r="J4458" t="s">
        <v>588</v>
      </c>
      <c r="K4458" s="195">
        <v>46050.309027777781</v>
      </c>
      <c r="L4458">
        <v>131</v>
      </c>
      <c r="M4458">
        <v>0</v>
      </c>
      <c r="N4458" s="98" t="str">
        <f>IF(record[[#This Row],[Memo]]="Browser:chrome os:android","平板報工",IF(record[[#This Row],[Memo]]=0,"委外",record[[#This Row],[Memo]]))</f>
        <v/>
      </c>
      <c r="O4458" t="s">
        <v>58</v>
      </c>
      <c r="P4458" t="s">
        <v>135</v>
      </c>
      <c r="Q4458" t="s">
        <v>58</v>
      </c>
      <c r="R4458" t="str">
        <f>IFERROR(VLOOKUP(record[[#This Row],[PCUSTID]],廠商[],2,FALSE),"")</f>
        <v/>
      </c>
      <c r="S4458" t="str">
        <f>VLOOKUP(record[[#This Row],[employeeID]],員工[],2,FALSE)</f>
        <v>阮士文</v>
      </c>
    </row>
    <row r="4459" spans="6:19" hidden="1" x14ac:dyDescent="0.25">
      <c r="F4459" t="s">
        <v>1517</v>
      </c>
      <c r="G4459" t="s">
        <v>448</v>
      </c>
      <c r="H4459" t="str">
        <f>VLOOKUP(record[[#This Row],[ProcessSN]],表格2_7[],2,FALSE)</f>
        <v>30-4118-018-6XX</v>
      </c>
      <c r="I4459" t="str">
        <f>VLOOKUP(record[[#This Row],[ProcessSN]],表格2_7[],3,FALSE)</f>
        <v>#04</v>
      </c>
      <c r="J4459" t="s">
        <v>588</v>
      </c>
      <c r="K4459" s="195">
        <v>46050.308796296296</v>
      </c>
      <c r="L4459">
        <v>122</v>
      </c>
      <c r="M4459">
        <v>0</v>
      </c>
      <c r="N4459" s="98" t="str">
        <f>IF(record[[#This Row],[Memo]]="Browser:chrome os:android","平板報工",IF(record[[#This Row],[Memo]]=0,"委外",record[[#This Row],[Memo]]))</f>
        <v/>
      </c>
      <c r="O4459" t="s">
        <v>58</v>
      </c>
      <c r="P4459" t="s">
        <v>135</v>
      </c>
      <c r="Q4459" t="s">
        <v>58</v>
      </c>
      <c r="R4459" t="str">
        <f>IFERROR(VLOOKUP(record[[#This Row],[PCUSTID]],廠商[],2,FALSE),"")</f>
        <v/>
      </c>
      <c r="S4459" t="str">
        <f>VLOOKUP(record[[#This Row],[employeeID]],員工[],2,FALSE)</f>
        <v>阮士文</v>
      </c>
    </row>
    <row r="4460" spans="6:19" hidden="1" x14ac:dyDescent="0.25">
      <c r="F4460" t="s">
        <v>1472</v>
      </c>
      <c r="G4460" t="s">
        <v>417</v>
      </c>
      <c r="H4460" t="str">
        <f>VLOOKUP(record[[#This Row],[ProcessSN]],表格2_7[],2,FALSE)</f>
        <v>30-4118-018-5XX</v>
      </c>
      <c r="I4460" t="str">
        <f>VLOOKUP(record[[#This Row],[ProcessSN]],表格2_7[],3,FALSE)</f>
        <v>#06</v>
      </c>
      <c r="J4460" t="s">
        <v>593</v>
      </c>
      <c r="K4460" s="195">
        <v>46049.974895833337</v>
      </c>
      <c r="L4460">
        <v>238</v>
      </c>
      <c r="M4460">
        <v>0</v>
      </c>
      <c r="N4460" s="98" t="str">
        <f>IF(record[[#This Row],[Memo]]="Browser:chrome os:android","平板報工",IF(record[[#This Row],[Memo]]=0,"委外",record[[#This Row],[Memo]]))</f>
        <v/>
      </c>
      <c r="O4460" t="s">
        <v>58</v>
      </c>
      <c r="P4460" t="s">
        <v>176</v>
      </c>
      <c r="Q4460" t="s">
        <v>58</v>
      </c>
      <c r="R4460" t="str">
        <f>IFERROR(VLOOKUP(record[[#This Row],[PCUSTID]],廠商[],2,FALSE),"")</f>
        <v/>
      </c>
      <c r="S4460" t="str">
        <f>VLOOKUP(record[[#This Row],[employeeID]],員工[],2,FALSE)</f>
        <v>郭政雄</v>
      </c>
    </row>
    <row r="4461" spans="6:19" hidden="1" x14ac:dyDescent="0.25">
      <c r="F4461" t="s">
        <v>1516</v>
      </c>
      <c r="G4461" t="s">
        <v>415</v>
      </c>
      <c r="H4461" t="str">
        <f>VLOOKUP(record[[#This Row],[ProcessSN]],表格2_7[],2,FALSE)</f>
        <v>30-4118-018-5XX</v>
      </c>
      <c r="I4461" t="str">
        <f>VLOOKUP(record[[#This Row],[ProcessSN]],表格2_7[],3,FALSE)</f>
        <v>#04</v>
      </c>
      <c r="J4461" t="s">
        <v>588</v>
      </c>
      <c r="K4461" s="195">
        <v>46049.973055555558</v>
      </c>
      <c r="L4461">
        <v>72</v>
      </c>
      <c r="M4461">
        <v>0</v>
      </c>
      <c r="N4461" s="98" t="str">
        <f>IF(record[[#This Row],[Memo]]="Browser:chrome os:android","平板報工",IF(record[[#This Row],[Memo]]=0,"委外",record[[#This Row],[Memo]]))</f>
        <v/>
      </c>
      <c r="O4461" t="s">
        <v>58</v>
      </c>
      <c r="P4461" t="s">
        <v>1098</v>
      </c>
      <c r="Q4461" t="s">
        <v>58</v>
      </c>
      <c r="R4461" t="str">
        <f>IFERROR(VLOOKUP(record[[#This Row],[PCUSTID]],廠商[],2,FALSE),"")</f>
        <v/>
      </c>
      <c r="S4461" t="str">
        <f>VLOOKUP(record[[#This Row],[employeeID]],員工[],2,FALSE)</f>
        <v>阮氏芳英(英)</v>
      </c>
    </row>
    <row r="4462" spans="6:19" hidden="1" x14ac:dyDescent="0.25">
      <c r="F4462" t="s">
        <v>1517</v>
      </c>
      <c r="G4462" t="s">
        <v>448</v>
      </c>
      <c r="H4462" t="str">
        <f>VLOOKUP(record[[#This Row],[ProcessSN]],表格2_7[],2,FALSE)</f>
        <v>30-4118-018-6XX</v>
      </c>
      <c r="I4462" t="str">
        <f>VLOOKUP(record[[#This Row],[ProcessSN]],表格2_7[],3,FALSE)</f>
        <v>#04</v>
      </c>
      <c r="J4462" t="s">
        <v>588</v>
      </c>
      <c r="K4462" s="195">
        <v>46049.972939814812</v>
      </c>
      <c r="L4462">
        <v>96</v>
      </c>
      <c r="M4462">
        <v>0</v>
      </c>
      <c r="N4462" s="98" t="str">
        <f>IF(record[[#This Row],[Memo]]="Browser:chrome os:android","平板報工",IF(record[[#This Row],[Memo]]=0,"委外",record[[#This Row],[Memo]]))</f>
        <v/>
      </c>
      <c r="O4462" t="s">
        <v>58</v>
      </c>
      <c r="P4462" t="s">
        <v>1098</v>
      </c>
      <c r="Q4462" t="s">
        <v>58</v>
      </c>
      <c r="R4462" t="str">
        <f>IFERROR(VLOOKUP(record[[#This Row],[PCUSTID]],廠商[],2,FALSE),"")</f>
        <v/>
      </c>
      <c r="S4462" t="str">
        <f>VLOOKUP(record[[#This Row],[employeeID]],員工[],2,FALSE)</f>
        <v>阮氏芳英(英)</v>
      </c>
    </row>
    <row r="4463" spans="6:19" hidden="1" x14ac:dyDescent="0.25">
      <c r="F4463" t="s">
        <v>1506</v>
      </c>
      <c r="G4463" t="s">
        <v>415</v>
      </c>
      <c r="H4463" t="str">
        <f>VLOOKUP(record[[#This Row],[ProcessSN]],表格2_7[],2,FALSE)</f>
        <v>30-4118-018-5XX</v>
      </c>
      <c r="I4463" t="str">
        <f>VLOOKUP(record[[#This Row],[ProcessSN]],表格2_7[],3,FALSE)</f>
        <v>#04</v>
      </c>
      <c r="J4463" t="s">
        <v>588</v>
      </c>
      <c r="K4463" s="195">
        <v>46049.972245370373</v>
      </c>
      <c r="L4463">
        <v>32</v>
      </c>
      <c r="M4463">
        <v>0</v>
      </c>
      <c r="N4463" s="98" t="str">
        <f>IF(record[[#This Row],[Memo]]="Browser:chrome os:android","平板報工",IF(record[[#This Row],[Memo]]=0,"委外",record[[#This Row],[Memo]]))</f>
        <v/>
      </c>
      <c r="O4463" t="s">
        <v>58</v>
      </c>
      <c r="P4463" t="s">
        <v>133</v>
      </c>
      <c r="Q4463" t="s">
        <v>58</v>
      </c>
      <c r="R4463" t="str">
        <f>IFERROR(VLOOKUP(record[[#This Row],[PCUSTID]],廠商[],2,FALSE),"")</f>
        <v/>
      </c>
      <c r="S4463" t="str">
        <f>VLOOKUP(record[[#This Row],[employeeID]],員工[],2,FALSE)</f>
        <v>黎長維</v>
      </c>
    </row>
    <row r="4464" spans="6:19" hidden="1" x14ac:dyDescent="0.25">
      <c r="F4464" t="s">
        <v>1507</v>
      </c>
      <c r="G4464" t="s">
        <v>448</v>
      </c>
      <c r="H4464" t="str">
        <f>VLOOKUP(record[[#This Row],[ProcessSN]],表格2_7[],2,FALSE)</f>
        <v>30-4118-018-6XX</v>
      </c>
      <c r="I4464" t="str">
        <f>VLOOKUP(record[[#This Row],[ProcessSN]],表格2_7[],3,FALSE)</f>
        <v>#04</v>
      </c>
      <c r="J4464" t="s">
        <v>588</v>
      </c>
      <c r="K4464" s="195">
        <v>46049.971990740742</v>
      </c>
      <c r="L4464">
        <v>22</v>
      </c>
      <c r="M4464">
        <v>0</v>
      </c>
      <c r="N4464" s="98" t="str">
        <f>IF(record[[#This Row],[Memo]]="Browser:chrome os:android","平板報工",IF(record[[#This Row],[Memo]]=0,"委外",record[[#This Row],[Memo]]))</f>
        <v/>
      </c>
      <c r="O4464" t="s">
        <v>58</v>
      </c>
      <c r="P4464" t="s">
        <v>133</v>
      </c>
      <c r="Q4464" t="s">
        <v>58</v>
      </c>
      <c r="R4464" t="str">
        <f>IFERROR(VLOOKUP(record[[#This Row],[PCUSTID]],廠商[],2,FALSE),"")</f>
        <v/>
      </c>
      <c r="S4464" t="str">
        <f>VLOOKUP(record[[#This Row],[employeeID]],員工[],2,FALSE)</f>
        <v>黎長維</v>
      </c>
    </row>
    <row r="4465" spans="6:19" hidden="1" x14ac:dyDescent="0.25">
      <c r="F4465" t="s">
        <v>1516</v>
      </c>
      <c r="G4465" t="s">
        <v>414</v>
      </c>
      <c r="H4465" t="str">
        <f>VLOOKUP(record[[#This Row],[ProcessSN]],表格2_7[],2,FALSE)</f>
        <v>30-4118-018-5XX</v>
      </c>
      <c r="I4465" t="str">
        <f>VLOOKUP(record[[#This Row],[ProcessSN]],表格2_7[],3,FALSE)</f>
        <v>#03</v>
      </c>
      <c r="J4465" t="s">
        <v>588</v>
      </c>
      <c r="K4465" s="195">
        <v>46049.971550925926</v>
      </c>
      <c r="L4465">
        <v>30</v>
      </c>
      <c r="M4465">
        <v>0</v>
      </c>
      <c r="N4465" s="98" t="str">
        <f>IF(record[[#This Row],[Memo]]="Browser:chrome os:android","平板報工",IF(record[[#This Row],[Memo]]=0,"委外",record[[#This Row],[Memo]]))</f>
        <v/>
      </c>
      <c r="O4465" t="s">
        <v>58</v>
      </c>
      <c r="P4465" t="s">
        <v>133</v>
      </c>
      <c r="Q4465" t="s">
        <v>58</v>
      </c>
      <c r="R4465" t="str">
        <f>IFERROR(VLOOKUP(record[[#This Row],[PCUSTID]],廠商[],2,FALSE),"")</f>
        <v/>
      </c>
      <c r="S4465" t="str">
        <f>VLOOKUP(record[[#This Row],[employeeID]],員工[],2,FALSE)</f>
        <v>黎長維</v>
      </c>
    </row>
    <row r="4466" spans="6:19" hidden="1" x14ac:dyDescent="0.25">
      <c r="F4466" t="s">
        <v>1474</v>
      </c>
      <c r="G4466" t="s">
        <v>451</v>
      </c>
      <c r="H4466" t="str">
        <f>VLOOKUP(record[[#This Row],[ProcessSN]],表格2_7[],2,FALSE)</f>
        <v>30-4118-018-6XX</v>
      </c>
      <c r="I4466" t="str">
        <f>VLOOKUP(record[[#This Row],[ProcessSN]],表格2_7[],3,FALSE)</f>
        <v>#07</v>
      </c>
      <c r="J4466" t="s">
        <v>588</v>
      </c>
      <c r="K4466" s="195">
        <v>46049.970104166663</v>
      </c>
      <c r="L4466">
        <v>148</v>
      </c>
      <c r="M4466">
        <v>0</v>
      </c>
      <c r="N4466" s="98" t="str">
        <f>IF(record[[#This Row],[Memo]]="Browser:chrome os:android","平板報工",IF(record[[#This Row],[Memo]]=0,"委外",record[[#This Row],[Memo]]))</f>
        <v/>
      </c>
      <c r="O4466" t="s">
        <v>58</v>
      </c>
      <c r="P4466" t="s">
        <v>89</v>
      </c>
      <c r="Q4466" t="s">
        <v>58</v>
      </c>
      <c r="R4466" t="str">
        <f>IFERROR(VLOOKUP(record[[#This Row],[PCUSTID]],廠商[],2,FALSE),"")</f>
        <v/>
      </c>
      <c r="S4466" t="str">
        <f>VLOOKUP(record[[#This Row],[employeeID]],員工[],2,FALSE)</f>
        <v>李美蓮</v>
      </c>
    </row>
    <row r="4467" spans="6:19" hidden="1" x14ac:dyDescent="0.25">
      <c r="F4467" t="s">
        <v>1492</v>
      </c>
      <c r="G4467" t="s">
        <v>416</v>
      </c>
      <c r="H4467" t="str">
        <f>VLOOKUP(record[[#This Row],[ProcessSN]],表格2_7[],2,FALSE)</f>
        <v>30-4118-018-5XX</v>
      </c>
      <c r="I4467" t="str">
        <f>VLOOKUP(record[[#This Row],[ProcessSN]],表格2_7[],3,FALSE)</f>
        <v>#05</v>
      </c>
      <c r="J4467" t="s">
        <v>588</v>
      </c>
      <c r="K4467" s="195">
        <v>46049.969224537039</v>
      </c>
      <c r="L4467">
        <v>50</v>
      </c>
      <c r="M4467">
        <v>0</v>
      </c>
      <c r="N4467" s="98" t="str">
        <f>IF(record[[#This Row],[Memo]]="Browser:chrome os:android","平板報工",IF(record[[#This Row],[Memo]]=0,"委外",record[[#This Row],[Memo]]))</f>
        <v/>
      </c>
      <c r="O4467" t="s">
        <v>58</v>
      </c>
      <c r="P4467" t="s">
        <v>89</v>
      </c>
      <c r="Q4467" t="s">
        <v>58</v>
      </c>
      <c r="R4467" t="str">
        <f>IFERROR(VLOOKUP(record[[#This Row],[PCUSTID]],廠商[],2,FALSE),"")</f>
        <v/>
      </c>
      <c r="S4467" t="str">
        <f>VLOOKUP(record[[#This Row],[employeeID]],員工[],2,FALSE)</f>
        <v>李美蓮</v>
      </c>
    </row>
    <row r="4468" spans="6:19" hidden="1" x14ac:dyDescent="0.25">
      <c r="F4468" t="s">
        <v>1416</v>
      </c>
      <c r="G4468" t="s">
        <v>416</v>
      </c>
      <c r="H4468" t="str">
        <f>VLOOKUP(record[[#This Row],[ProcessSN]],表格2_7[],2,FALSE)</f>
        <v>30-4118-018-5XX</v>
      </c>
      <c r="I4468" t="str">
        <f>VLOOKUP(record[[#This Row],[ProcessSN]],表格2_7[],3,FALSE)</f>
        <v>#05</v>
      </c>
      <c r="J4468" t="s">
        <v>588</v>
      </c>
      <c r="K4468" s="195">
        <v>46049.969050925924</v>
      </c>
      <c r="L4468">
        <v>44</v>
      </c>
      <c r="M4468">
        <v>0</v>
      </c>
      <c r="N4468" s="98" t="str">
        <f>IF(record[[#This Row],[Memo]]="Browser:chrome os:android","平板報工",IF(record[[#This Row],[Memo]]=0,"委外",record[[#This Row],[Memo]]))</f>
        <v/>
      </c>
      <c r="O4468" t="s">
        <v>58</v>
      </c>
      <c r="P4468" t="s">
        <v>89</v>
      </c>
      <c r="Q4468" t="s">
        <v>58</v>
      </c>
      <c r="R4468" t="str">
        <f>IFERROR(VLOOKUP(record[[#This Row],[PCUSTID]],廠商[],2,FALSE),"")</f>
        <v/>
      </c>
      <c r="S4468" t="str">
        <f>VLOOKUP(record[[#This Row],[employeeID]],員工[],2,FALSE)</f>
        <v>李美蓮</v>
      </c>
    </row>
    <row r="4469" spans="6:19" hidden="1" x14ac:dyDescent="0.25">
      <c r="F4469" t="s">
        <v>1472</v>
      </c>
      <c r="G4469" t="s">
        <v>416</v>
      </c>
      <c r="H4469" t="str">
        <f>VLOOKUP(record[[#This Row],[ProcessSN]],表格2_7[],2,FALSE)</f>
        <v>30-4118-018-5XX</v>
      </c>
      <c r="I4469" t="str">
        <f>VLOOKUP(record[[#This Row],[ProcessSN]],表格2_7[],3,FALSE)</f>
        <v>#05</v>
      </c>
      <c r="J4469" t="s">
        <v>588</v>
      </c>
      <c r="K4469" s="195">
        <v>46049.968854166669</v>
      </c>
      <c r="L4469">
        <v>98</v>
      </c>
      <c r="M4469">
        <v>0</v>
      </c>
      <c r="N4469" s="98" t="str">
        <f>IF(record[[#This Row],[Memo]]="Browser:chrome os:android","平板報工",IF(record[[#This Row],[Memo]]=0,"委外",record[[#This Row],[Memo]]))</f>
        <v/>
      </c>
      <c r="O4469" t="s">
        <v>58</v>
      </c>
      <c r="P4469" t="s">
        <v>89</v>
      </c>
      <c r="Q4469" t="s">
        <v>58</v>
      </c>
      <c r="R4469" t="str">
        <f>IFERROR(VLOOKUP(record[[#This Row],[PCUSTID]],廠商[],2,FALSE),"")</f>
        <v/>
      </c>
      <c r="S4469" t="str">
        <f>VLOOKUP(record[[#This Row],[employeeID]],員工[],2,FALSE)</f>
        <v>李美蓮</v>
      </c>
    </row>
    <row r="4470" spans="6:19" hidden="1" x14ac:dyDescent="0.25">
      <c r="F4470" t="s">
        <v>1391</v>
      </c>
      <c r="G4470" t="s">
        <v>427</v>
      </c>
      <c r="H4470" t="str">
        <f>VLOOKUP(record[[#This Row],[ProcessSN]],表格2_7[],2,FALSE)</f>
        <v>30-4118-018-600</v>
      </c>
      <c r="I4470" t="str">
        <f>VLOOKUP(record[[#This Row],[ProcessSN]],表格2_7[],3,FALSE)</f>
        <v>#100STOCK</v>
      </c>
      <c r="J4470" t="s">
        <v>592</v>
      </c>
      <c r="K4470" s="195">
        <v>46049.781747685185</v>
      </c>
      <c r="L4470">
        <v>54</v>
      </c>
      <c r="M4470">
        <v>0</v>
      </c>
      <c r="N4470" s="98" t="str">
        <f>IF(record[[#This Row],[Memo]]="Browser:chrome os:android","平板報工",IF(record[[#This Row],[Memo]]=0,"委外",record[[#This Row],[Memo]]))</f>
        <v>平板報工</v>
      </c>
      <c r="O4470" t="s">
        <v>643</v>
      </c>
      <c r="P4470" t="s">
        <v>886</v>
      </c>
      <c r="Q4470" t="s">
        <v>644</v>
      </c>
      <c r="R4470" t="str">
        <f>IFERROR(VLOOKUP(record[[#This Row],[PCUSTID]],廠商[],2,FALSE),"")</f>
        <v/>
      </c>
      <c r="S4470" t="str">
        <f>VLOOKUP(record[[#This Row],[employeeID]],員工[],2,FALSE)</f>
        <v>謝蓁薰</v>
      </c>
    </row>
    <row r="4471" spans="6:19" hidden="1" x14ac:dyDescent="0.25">
      <c r="F4471" t="s">
        <v>1484</v>
      </c>
      <c r="G4471" t="s">
        <v>427</v>
      </c>
      <c r="H4471" t="str">
        <f>VLOOKUP(record[[#This Row],[ProcessSN]],表格2_7[],2,FALSE)</f>
        <v>30-4118-018-600</v>
      </c>
      <c r="I4471" t="str">
        <f>VLOOKUP(record[[#This Row],[ProcessSN]],表格2_7[],3,FALSE)</f>
        <v>#100STOCK</v>
      </c>
      <c r="J4471" t="s">
        <v>592</v>
      </c>
      <c r="K4471" s="195">
        <v>46049.781493055554</v>
      </c>
      <c r="L4471">
        <v>233</v>
      </c>
      <c r="M4471">
        <v>0</v>
      </c>
      <c r="N4471" s="98" t="str">
        <f>IF(record[[#This Row],[Memo]]="Browser:chrome os:android","平板報工",IF(record[[#This Row],[Memo]]=0,"委外",record[[#This Row],[Memo]]))</f>
        <v>平板報工</v>
      </c>
      <c r="O4471" t="s">
        <v>643</v>
      </c>
      <c r="P4471" t="s">
        <v>886</v>
      </c>
      <c r="Q4471" t="s">
        <v>644</v>
      </c>
      <c r="R4471" t="str">
        <f>IFERROR(VLOOKUP(record[[#This Row],[PCUSTID]],廠商[],2,FALSE),"")</f>
        <v/>
      </c>
      <c r="S4471" t="str">
        <f>VLOOKUP(record[[#This Row],[employeeID]],員工[],2,FALSE)</f>
        <v>謝蓁薰</v>
      </c>
    </row>
    <row r="4472" spans="6:19" hidden="1" x14ac:dyDescent="0.25">
      <c r="F4472" t="s">
        <v>1237</v>
      </c>
      <c r="G4472" t="s">
        <v>401</v>
      </c>
      <c r="H4472" t="str">
        <f>VLOOKUP(record[[#This Row],[ProcessSN]],表格2_7[],2,FALSE)</f>
        <v>30-4118-018-550</v>
      </c>
      <c r="I4472" t="str">
        <f>VLOOKUP(record[[#This Row],[ProcessSN]],表格2_7[],3,FALSE)</f>
        <v>#100OQC</v>
      </c>
      <c r="J4472" t="s">
        <v>599</v>
      </c>
      <c r="K4472" s="195">
        <v>46049.709328703706</v>
      </c>
      <c r="L4472">
        <v>28</v>
      </c>
      <c r="M4472">
        <v>0</v>
      </c>
      <c r="N4472" s="98" t="str">
        <f>IF(record[[#This Row],[Memo]]="Browser:chrome os:android","平板報工",IF(record[[#This Row],[Memo]]=0,"委外",record[[#This Row],[Memo]]))</f>
        <v/>
      </c>
      <c r="O4472" t="s">
        <v>58</v>
      </c>
      <c r="P4472" t="s">
        <v>121</v>
      </c>
      <c r="Q4472" t="s">
        <v>58</v>
      </c>
      <c r="R4472" t="str">
        <f>IFERROR(VLOOKUP(record[[#This Row],[PCUSTID]],廠商[],2,FALSE),"")</f>
        <v/>
      </c>
      <c r="S4472" t="str">
        <f>VLOOKUP(record[[#This Row],[employeeID]],員工[],2,FALSE)</f>
        <v>謝素卿</v>
      </c>
    </row>
    <row r="4473" spans="6:19" hidden="1" x14ac:dyDescent="0.25">
      <c r="F4473" t="s">
        <v>1048</v>
      </c>
      <c r="G4473" t="s">
        <v>401</v>
      </c>
      <c r="H4473" t="str">
        <f>VLOOKUP(record[[#This Row],[ProcessSN]],表格2_7[],2,FALSE)</f>
        <v>30-4118-018-550</v>
      </c>
      <c r="I4473" t="str">
        <f>VLOOKUP(record[[#This Row],[ProcessSN]],表格2_7[],3,FALSE)</f>
        <v>#100OQC</v>
      </c>
      <c r="J4473" t="s">
        <v>599</v>
      </c>
      <c r="K4473" s="195">
        <v>46049.709143518521</v>
      </c>
      <c r="L4473">
        <v>6</v>
      </c>
      <c r="M4473">
        <v>0</v>
      </c>
      <c r="N4473" s="98" t="str">
        <f>IF(record[[#This Row],[Memo]]="Browser:chrome os:android","平板報工",IF(record[[#This Row],[Memo]]=0,"委外",record[[#This Row],[Memo]]))</f>
        <v/>
      </c>
      <c r="O4473" t="s">
        <v>58</v>
      </c>
      <c r="P4473" t="s">
        <v>121</v>
      </c>
      <c r="Q4473" t="s">
        <v>58</v>
      </c>
      <c r="R4473" t="str">
        <f>IFERROR(VLOOKUP(record[[#This Row],[PCUSTID]],廠商[],2,FALSE),"")</f>
        <v/>
      </c>
      <c r="S4473" t="str">
        <f>VLOOKUP(record[[#This Row],[employeeID]],員工[],2,FALSE)</f>
        <v>謝素卿</v>
      </c>
    </row>
    <row r="4474" spans="6:19" hidden="1" x14ac:dyDescent="0.25">
      <c r="F4474" t="s">
        <v>1200</v>
      </c>
      <c r="G4474" t="s">
        <v>401</v>
      </c>
      <c r="H4474" t="str">
        <f>VLOOKUP(record[[#This Row],[ProcessSN]],表格2_7[],2,FALSE)</f>
        <v>30-4118-018-550</v>
      </c>
      <c r="I4474" t="str">
        <f>VLOOKUP(record[[#This Row],[ProcessSN]],表格2_7[],3,FALSE)</f>
        <v>#100OQC</v>
      </c>
      <c r="J4474" t="s">
        <v>599</v>
      </c>
      <c r="K4474" s="195">
        <v>46049.708935185183</v>
      </c>
      <c r="L4474">
        <v>8</v>
      </c>
      <c r="M4474">
        <v>0</v>
      </c>
      <c r="N4474" s="98" t="str">
        <f>IF(record[[#This Row],[Memo]]="Browser:chrome os:android","平板報工",IF(record[[#This Row],[Memo]]=0,"委外",record[[#This Row],[Memo]]))</f>
        <v/>
      </c>
      <c r="O4474" t="s">
        <v>58</v>
      </c>
      <c r="P4474" t="s">
        <v>121</v>
      </c>
      <c r="Q4474" t="s">
        <v>58</v>
      </c>
      <c r="R4474" t="str">
        <f>IFERROR(VLOOKUP(record[[#This Row],[PCUSTID]],廠商[],2,FALSE),"")</f>
        <v/>
      </c>
      <c r="S4474" t="str">
        <f>VLOOKUP(record[[#This Row],[employeeID]],員工[],2,FALSE)</f>
        <v>謝素卿</v>
      </c>
    </row>
    <row r="4475" spans="6:19" hidden="1" x14ac:dyDescent="0.25">
      <c r="F4475" t="s">
        <v>1407</v>
      </c>
      <c r="G4475" t="s">
        <v>362</v>
      </c>
      <c r="H4475" t="str">
        <f>VLOOKUP(record[[#This Row],[ProcessSN]],表格2_7[],2,FALSE)</f>
        <v>30-4118-018-450</v>
      </c>
      <c r="I4475" t="str">
        <f>VLOOKUP(record[[#This Row],[ProcessSN]],表格2_7[],3,FALSE)</f>
        <v>#100SHIP</v>
      </c>
      <c r="J4475" t="s">
        <v>600</v>
      </c>
      <c r="K4475" s="195">
        <v>46049.694027777776</v>
      </c>
      <c r="L4475">
        <v>9</v>
      </c>
      <c r="M4475">
        <v>0</v>
      </c>
      <c r="N4475" s="98" t="str">
        <f>IF(record[[#This Row],[Memo]]="Browser:chrome os:android","平板報工",IF(record[[#This Row],[Memo]]=0,"委外",record[[#This Row],[Memo]]))</f>
        <v/>
      </c>
      <c r="O4475" t="s">
        <v>58</v>
      </c>
      <c r="P4475" t="s">
        <v>886</v>
      </c>
      <c r="Q4475" t="s">
        <v>58</v>
      </c>
      <c r="R4475" t="str">
        <f>IFERROR(VLOOKUP(record[[#This Row],[PCUSTID]],廠商[],2,FALSE),"")</f>
        <v/>
      </c>
      <c r="S4475" t="str">
        <f>VLOOKUP(record[[#This Row],[employeeID]],員工[],2,FALSE)</f>
        <v>謝蓁薰</v>
      </c>
    </row>
    <row r="4476" spans="6:19" hidden="1" x14ac:dyDescent="0.25">
      <c r="F4476" t="s">
        <v>956</v>
      </c>
      <c r="G4476" t="s">
        <v>362</v>
      </c>
      <c r="H4476" t="str">
        <f>VLOOKUP(record[[#This Row],[ProcessSN]],表格2_7[],2,FALSE)</f>
        <v>30-4118-018-450</v>
      </c>
      <c r="I4476" t="str">
        <f>VLOOKUP(record[[#This Row],[ProcessSN]],表格2_7[],3,FALSE)</f>
        <v>#100SHIP</v>
      </c>
      <c r="J4476" t="s">
        <v>600</v>
      </c>
      <c r="K4476" s="195">
        <v>46049.69390046296</v>
      </c>
      <c r="L4476">
        <v>1</v>
      </c>
      <c r="M4476">
        <v>0</v>
      </c>
      <c r="N4476" s="98" t="str">
        <f>IF(record[[#This Row],[Memo]]="Browser:chrome os:android","平板報工",IF(record[[#This Row],[Memo]]=0,"委外",record[[#This Row],[Memo]]))</f>
        <v/>
      </c>
      <c r="O4476" t="s">
        <v>58</v>
      </c>
      <c r="P4476" t="s">
        <v>886</v>
      </c>
      <c r="Q4476" t="s">
        <v>58</v>
      </c>
      <c r="R4476" t="str">
        <f>IFERROR(VLOOKUP(record[[#This Row],[PCUSTID]],廠商[],2,FALSE),"")</f>
        <v/>
      </c>
      <c r="S4476" t="str">
        <f>VLOOKUP(record[[#This Row],[employeeID]],員工[],2,FALSE)</f>
        <v>謝蓁薰</v>
      </c>
    </row>
    <row r="4477" spans="6:19" hidden="1" x14ac:dyDescent="0.25">
      <c r="F4477" t="s">
        <v>1524</v>
      </c>
      <c r="G4477" t="s">
        <v>466</v>
      </c>
      <c r="H4477" t="str">
        <f>VLOOKUP(record[[#This Row],[ProcessSN]],表格2_7[],2,FALSE)</f>
        <v>30-4118-018-XXX</v>
      </c>
      <c r="I4477" t="str">
        <f>VLOOKUP(record[[#This Row],[ProcessSN]],表格2_7[],3,FALSE)</f>
        <v>#01-2</v>
      </c>
      <c r="J4477" t="s">
        <v>588</v>
      </c>
      <c r="K4477" s="195">
        <v>46049.679351851853</v>
      </c>
      <c r="L4477">
        <v>24</v>
      </c>
      <c r="M4477">
        <v>0</v>
      </c>
      <c r="N4477" s="98" t="str">
        <f>IF(record[[#This Row],[Memo]]="Browser:chrome os:android","平板報工",IF(record[[#This Row],[Memo]]=0,"委外",record[[#This Row],[Memo]]))</f>
        <v/>
      </c>
      <c r="O4477" t="s">
        <v>58</v>
      </c>
      <c r="P4477" t="s">
        <v>101</v>
      </c>
      <c r="Q4477" t="s">
        <v>58</v>
      </c>
      <c r="R4477" t="str">
        <f>IFERROR(VLOOKUP(record[[#This Row],[PCUSTID]],廠商[],2,FALSE),"")</f>
        <v/>
      </c>
      <c r="S4477" t="str">
        <f>VLOOKUP(record[[#This Row],[employeeID]],員工[],2,FALSE)</f>
        <v>陳氏絨</v>
      </c>
    </row>
    <row r="4478" spans="6:19" hidden="1" x14ac:dyDescent="0.25">
      <c r="F4478" t="s">
        <v>1524</v>
      </c>
      <c r="G4478" t="s">
        <v>465</v>
      </c>
      <c r="H4478" t="str">
        <f>VLOOKUP(record[[#This Row],[ProcessSN]],表格2_7[],2,FALSE)</f>
        <v>30-4118-018-XXX</v>
      </c>
      <c r="I4478" t="str">
        <f>VLOOKUP(record[[#This Row],[ProcessSN]],表格2_7[],3,FALSE)</f>
        <v>#01-1</v>
      </c>
      <c r="J4478" t="s">
        <v>588</v>
      </c>
      <c r="K4478" s="195">
        <v>46049.679236111115</v>
      </c>
      <c r="L4478">
        <v>24</v>
      </c>
      <c r="M4478">
        <v>0</v>
      </c>
      <c r="N4478" s="98" t="str">
        <f>IF(record[[#This Row],[Memo]]="Browser:chrome os:android","平板報工",IF(record[[#This Row],[Memo]]=0,"委外",record[[#This Row],[Memo]]))</f>
        <v/>
      </c>
      <c r="O4478" t="s">
        <v>58</v>
      </c>
      <c r="P4478" t="s">
        <v>101</v>
      </c>
      <c r="Q4478" t="s">
        <v>58</v>
      </c>
      <c r="R4478" t="str">
        <f>IFERROR(VLOOKUP(record[[#This Row],[PCUSTID]],廠商[],2,FALSE),"")</f>
        <v/>
      </c>
      <c r="S4478" t="str">
        <f>VLOOKUP(record[[#This Row],[employeeID]],員工[],2,FALSE)</f>
        <v>陳氏絨</v>
      </c>
    </row>
    <row r="4479" spans="6:19" hidden="1" x14ac:dyDescent="0.25">
      <c r="F4479" t="s">
        <v>1524</v>
      </c>
      <c r="G4479" t="s">
        <v>464</v>
      </c>
      <c r="H4479" t="str">
        <f>VLOOKUP(record[[#This Row],[ProcessSN]],表格2_7[],2,FALSE)</f>
        <v>30-4118-018-XXX</v>
      </c>
      <c r="I4479" t="str">
        <f>VLOOKUP(record[[#This Row],[ProcessSN]],表格2_7[],3,FALSE)</f>
        <v>#01GIVE</v>
      </c>
      <c r="J4479" t="s">
        <v>587</v>
      </c>
      <c r="K4479" s="195">
        <v>46049.679074074076</v>
      </c>
      <c r="L4479">
        <v>24</v>
      </c>
      <c r="M4479">
        <v>0</v>
      </c>
      <c r="N4479" s="98" t="str">
        <f>IF(record[[#This Row],[Memo]]="Browser:chrome os:android","平板報工",IF(record[[#This Row],[Memo]]=0,"委外",record[[#This Row],[Memo]]))</f>
        <v/>
      </c>
      <c r="O4479" t="s">
        <v>58</v>
      </c>
      <c r="P4479" t="s">
        <v>113</v>
      </c>
      <c r="Q4479" t="s">
        <v>58</v>
      </c>
      <c r="R4479" t="str">
        <f>IFERROR(VLOOKUP(record[[#This Row],[PCUSTID]],廠商[],2,FALSE),"")</f>
        <v/>
      </c>
      <c r="S4479" t="str">
        <f>VLOOKUP(record[[#This Row],[employeeID]],員工[],2,FALSE)</f>
        <v>王奕蓁</v>
      </c>
    </row>
    <row r="4480" spans="6:19" hidden="1" x14ac:dyDescent="0.25">
      <c r="F4480" t="s">
        <v>1524</v>
      </c>
      <c r="G4480" t="s">
        <v>463</v>
      </c>
      <c r="H4480" t="str">
        <f>VLOOKUP(record[[#This Row],[ProcessSN]],表格2_7[],2,FALSE)</f>
        <v>30-4118-018-XXX</v>
      </c>
      <c r="I4480" t="str">
        <f>VLOOKUP(record[[#This Row],[ProcessSN]],表格2_7[],3,FALSE)</f>
        <v>#00IQC</v>
      </c>
      <c r="J4480" t="s">
        <v>583</v>
      </c>
      <c r="K4480" s="195">
        <v>46049.678738425922</v>
      </c>
      <c r="L4480">
        <v>24</v>
      </c>
      <c r="M4480">
        <v>0</v>
      </c>
      <c r="N4480" s="98" t="str">
        <f>IF(record[[#This Row],[Memo]]="Browser:chrome os:android","平板報工",IF(record[[#This Row],[Memo]]=0,"委外",record[[#This Row],[Memo]]))</f>
        <v>料多</v>
      </c>
      <c r="O4480" t="s">
        <v>1525</v>
      </c>
      <c r="P4480" t="s">
        <v>182</v>
      </c>
      <c r="Q4480" t="s">
        <v>58</v>
      </c>
      <c r="R4480" t="str">
        <f>IFERROR(VLOOKUP(record[[#This Row],[PCUSTID]],廠商[],2,FALSE),"")</f>
        <v/>
      </c>
      <c r="S4480" t="str">
        <f>VLOOKUP(record[[#This Row],[employeeID]],員工[],2,FALSE)</f>
        <v>梅氏和</v>
      </c>
    </row>
    <row r="4481" spans="6:19" hidden="1" x14ac:dyDescent="0.25">
      <c r="F4481" t="s">
        <v>1524</v>
      </c>
      <c r="G4481" t="s">
        <v>462</v>
      </c>
      <c r="H4481" t="str">
        <f>VLOOKUP(record[[#This Row],[ProcessSN]],表格2_7[],2,FALSE)</f>
        <v>30-4118-018-XXX</v>
      </c>
      <c r="I4481" t="str">
        <f>VLOOKUP(record[[#This Row],[ProcessSN]],表格2_7[],3,FALSE)</f>
        <v>#00PICK</v>
      </c>
      <c r="J4481" t="s">
        <v>582</v>
      </c>
      <c r="K4481" s="195">
        <v>46049.678460648145</v>
      </c>
      <c r="L4481">
        <v>24</v>
      </c>
      <c r="M4481">
        <v>0</v>
      </c>
      <c r="N4481" s="98" t="str">
        <f>IF(record[[#This Row],[Memo]]="Browser:chrome os:android","平板報工",IF(record[[#This Row],[Memo]]=0,"委外",record[[#This Row],[Memo]]))</f>
        <v/>
      </c>
      <c r="O4481" t="s">
        <v>58</v>
      </c>
      <c r="P4481" t="s">
        <v>182</v>
      </c>
      <c r="Q4481" t="s">
        <v>58</v>
      </c>
      <c r="R4481" t="str">
        <f>IFERROR(VLOOKUP(record[[#This Row],[PCUSTID]],廠商[],2,FALSE),"")</f>
        <v/>
      </c>
      <c r="S4481" t="str">
        <f>VLOOKUP(record[[#This Row],[employeeID]],員工[],2,FALSE)</f>
        <v>梅氏和</v>
      </c>
    </row>
    <row r="4482" spans="6:19" hidden="1" x14ac:dyDescent="0.25">
      <c r="F4482" t="s">
        <v>1517</v>
      </c>
      <c r="G4482" t="s">
        <v>447</v>
      </c>
      <c r="H4482" t="str">
        <f>VLOOKUP(record[[#This Row],[ProcessSN]],表格2_7[],2,FALSE)</f>
        <v>30-4118-018-6XX</v>
      </c>
      <c r="I4482" t="str">
        <f>VLOOKUP(record[[#This Row],[ProcessSN]],表格2_7[],3,FALSE)</f>
        <v>#03</v>
      </c>
      <c r="J4482" t="s">
        <v>588</v>
      </c>
      <c r="K4482" s="195">
        <v>46049.649317129632</v>
      </c>
      <c r="L4482">
        <v>446</v>
      </c>
      <c r="M4482">
        <v>0</v>
      </c>
      <c r="N4482" s="98" t="str">
        <f>IF(record[[#This Row],[Memo]]="Browser:chrome os:android","平板報工",IF(record[[#This Row],[Memo]]=0,"委外",record[[#This Row],[Memo]]))</f>
        <v>平板報工</v>
      </c>
      <c r="O4482" t="s">
        <v>643</v>
      </c>
      <c r="P4482" t="s">
        <v>107</v>
      </c>
      <c r="Q4482" t="s">
        <v>644</v>
      </c>
      <c r="R4482" t="str">
        <f>IFERROR(VLOOKUP(record[[#This Row],[PCUSTID]],廠商[],2,FALSE),"")</f>
        <v/>
      </c>
      <c r="S4482" t="str">
        <f>VLOOKUP(record[[#This Row],[employeeID]],員工[],2,FALSE)</f>
        <v>黎氏順</v>
      </c>
    </row>
    <row r="4483" spans="6:19" hidden="1" x14ac:dyDescent="0.25">
      <c r="F4483" t="s">
        <v>1417</v>
      </c>
      <c r="G4483" t="s">
        <v>450</v>
      </c>
      <c r="H4483" t="str">
        <f>VLOOKUP(record[[#This Row],[ProcessSN]],表格2_7[],2,FALSE)</f>
        <v>30-4118-018-6XX</v>
      </c>
      <c r="I4483" t="str">
        <f>VLOOKUP(record[[#This Row],[ProcessSN]],表格2_7[],3,FALSE)</f>
        <v>#06</v>
      </c>
      <c r="J4483" t="s">
        <v>593</v>
      </c>
      <c r="K4483" s="195">
        <v>46049.648819444446</v>
      </c>
      <c r="L4483">
        <v>12</v>
      </c>
      <c r="M4483">
        <v>0</v>
      </c>
      <c r="N4483" s="98" t="str">
        <f>IF(record[[#This Row],[Memo]]="Browser:chrome os:android","平板報工",IF(record[[#This Row],[Memo]]=0,"委外",record[[#This Row],[Memo]]))</f>
        <v>平板報工</v>
      </c>
      <c r="O4483" t="s">
        <v>643</v>
      </c>
      <c r="P4483" t="s">
        <v>1413</v>
      </c>
      <c r="Q4483" t="s">
        <v>644</v>
      </c>
      <c r="R4483" t="str">
        <f>IFERROR(VLOOKUP(record[[#This Row],[PCUSTID]],廠商[],2,FALSE),"")</f>
        <v/>
      </c>
      <c r="S4483" t="str">
        <f>VLOOKUP(record[[#This Row],[employeeID]],員工[],2,FALSE)</f>
        <v>阮氏芳英(芳)</v>
      </c>
    </row>
    <row r="4484" spans="6:19" hidden="1" x14ac:dyDescent="0.25">
      <c r="F4484" t="s">
        <v>1516</v>
      </c>
      <c r="G4484" t="s">
        <v>414</v>
      </c>
      <c r="H4484" t="str">
        <f>VLOOKUP(record[[#This Row],[ProcessSN]],表格2_7[],2,FALSE)</f>
        <v>30-4118-018-5XX</v>
      </c>
      <c r="I4484" t="str">
        <f>VLOOKUP(record[[#This Row],[ProcessSN]],表格2_7[],3,FALSE)</f>
        <v>#03</v>
      </c>
      <c r="J4484" t="s">
        <v>588</v>
      </c>
      <c r="K4484" s="195">
        <v>46049.648680555554</v>
      </c>
      <c r="L4484">
        <v>416</v>
      </c>
      <c r="M4484">
        <v>0</v>
      </c>
      <c r="N4484" s="98" t="str">
        <f>IF(record[[#This Row],[Memo]]="Browser:chrome os:android","平板報工",IF(record[[#This Row],[Memo]]=0,"委外",record[[#This Row],[Memo]]))</f>
        <v>平板報工</v>
      </c>
      <c r="O4484" t="s">
        <v>643</v>
      </c>
      <c r="P4484" t="s">
        <v>107</v>
      </c>
      <c r="Q4484" t="s">
        <v>644</v>
      </c>
      <c r="R4484" t="str">
        <f>IFERROR(VLOOKUP(record[[#This Row],[PCUSTID]],廠商[],2,FALSE),"")</f>
        <v/>
      </c>
      <c r="S4484" t="str">
        <f>VLOOKUP(record[[#This Row],[employeeID]],員工[],2,FALSE)</f>
        <v>黎氏順</v>
      </c>
    </row>
    <row r="4485" spans="6:19" hidden="1" x14ac:dyDescent="0.25">
      <c r="F4485" t="s">
        <v>1417</v>
      </c>
      <c r="G4485" t="s">
        <v>449</v>
      </c>
      <c r="H4485" t="str">
        <f>VLOOKUP(record[[#This Row],[ProcessSN]],表格2_7[],2,FALSE)</f>
        <v>30-4118-018-6XX</v>
      </c>
      <c r="I4485" t="str">
        <f>VLOOKUP(record[[#This Row],[ProcessSN]],表格2_7[],3,FALSE)</f>
        <v>#05</v>
      </c>
      <c r="J4485" t="s">
        <v>588</v>
      </c>
      <c r="K4485" s="195">
        <v>46049.648449074077</v>
      </c>
      <c r="L4485">
        <v>5</v>
      </c>
      <c r="M4485">
        <v>-5</v>
      </c>
      <c r="N4485" s="98" t="str">
        <f>IF(record[[#This Row],[Memo]]="Browser:chrome os:android","平板報工",IF(record[[#This Row],[Memo]]=0,"委外",record[[#This Row],[Memo]]))</f>
        <v>平板報工</v>
      </c>
      <c r="O4485" t="s">
        <v>643</v>
      </c>
      <c r="P4485" t="s">
        <v>1413</v>
      </c>
      <c r="Q4485" t="s">
        <v>644</v>
      </c>
      <c r="R4485" t="str">
        <f>IFERROR(VLOOKUP(record[[#This Row],[PCUSTID]],廠商[],2,FALSE),"")</f>
        <v/>
      </c>
      <c r="S4485" t="str">
        <f>VLOOKUP(record[[#This Row],[employeeID]],員工[],2,FALSE)</f>
        <v>阮氏芳英(芳)</v>
      </c>
    </row>
    <row r="4486" spans="6:19" hidden="1" x14ac:dyDescent="0.25">
      <c r="F4486" t="s">
        <v>1506</v>
      </c>
      <c r="G4486" t="s">
        <v>415</v>
      </c>
      <c r="H4486" t="str">
        <f>VLOOKUP(record[[#This Row],[ProcessSN]],表格2_7[],2,FALSE)</f>
        <v>30-4118-018-5XX</v>
      </c>
      <c r="I4486" t="str">
        <f>VLOOKUP(record[[#This Row],[ProcessSN]],表格2_7[],3,FALSE)</f>
        <v>#04</v>
      </c>
      <c r="J4486" t="s">
        <v>588</v>
      </c>
      <c r="K4486" s="195">
        <v>46049.648206018515</v>
      </c>
      <c r="L4486">
        <v>135</v>
      </c>
      <c r="M4486">
        <v>0</v>
      </c>
      <c r="N4486" s="98" t="str">
        <f>IF(record[[#This Row],[Memo]]="Browser:chrome os:android","平板報工",IF(record[[#This Row],[Memo]]=0,"委外",record[[#This Row],[Memo]]))</f>
        <v>平板報工</v>
      </c>
      <c r="O4486" t="s">
        <v>643</v>
      </c>
      <c r="P4486" t="s">
        <v>145</v>
      </c>
      <c r="Q4486" t="s">
        <v>644</v>
      </c>
      <c r="R4486" t="str">
        <f>IFERROR(VLOOKUP(record[[#This Row],[PCUSTID]],廠商[],2,FALSE),"")</f>
        <v/>
      </c>
      <c r="S4486" t="str">
        <f>VLOOKUP(record[[#This Row],[employeeID]],員工[],2,FALSE)</f>
        <v>阮秋霞</v>
      </c>
    </row>
    <row r="4487" spans="6:19" hidden="1" x14ac:dyDescent="0.25">
      <c r="F4487" t="s">
        <v>1472</v>
      </c>
      <c r="G4487" t="s">
        <v>417</v>
      </c>
      <c r="H4487" t="str">
        <f>VLOOKUP(record[[#This Row],[ProcessSN]],表格2_7[],2,FALSE)</f>
        <v>30-4118-018-5XX</v>
      </c>
      <c r="I4487" t="str">
        <f>VLOOKUP(record[[#This Row],[ProcessSN]],表格2_7[],3,FALSE)</f>
        <v>#06</v>
      </c>
      <c r="J4487" t="s">
        <v>593</v>
      </c>
      <c r="K4487" s="195">
        <v>46049.646620370368</v>
      </c>
      <c r="L4487">
        <v>96</v>
      </c>
      <c r="M4487">
        <v>0</v>
      </c>
      <c r="N4487" s="98" t="str">
        <f>IF(record[[#This Row],[Memo]]="Browser:chrome os:android","平板報工",IF(record[[#This Row],[Memo]]=0,"委外",record[[#This Row],[Memo]]))</f>
        <v>平板報工</v>
      </c>
      <c r="O4487" t="s">
        <v>643</v>
      </c>
      <c r="P4487" t="s">
        <v>1413</v>
      </c>
      <c r="Q4487" t="s">
        <v>644</v>
      </c>
      <c r="R4487" t="str">
        <f>IFERROR(VLOOKUP(record[[#This Row],[PCUSTID]],廠商[],2,FALSE),"")</f>
        <v/>
      </c>
      <c r="S4487" t="str">
        <f>VLOOKUP(record[[#This Row],[employeeID]],員工[],2,FALSE)</f>
        <v>阮氏芳英(芳)</v>
      </c>
    </row>
    <row r="4488" spans="6:19" hidden="1" x14ac:dyDescent="0.25">
      <c r="F4488" t="s">
        <v>1507</v>
      </c>
      <c r="G4488" t="s">
        <v>448</v>
      </c>
      <c r="H4488" t="str">
        <f>VLOOKUP(record[[#This Row],[ProcessSN]],表格2_7[],2,FALSE)</f>
        <v>30-4118-018-6XX</v>
      </c>
      <c r="I4488" t="str">
        <f>VLOOKUP(record[[#This Row],[ProcessSN]],表格2_7[],3,FALSE)</f>
        <v>#04</v>
      </c>
      <c r="J4488" t="s">
        <v>588</v>
      </c>
      <c r="K4488" s="195">
        <v>46049.646493055552</v>
      </c>
      <c r="L4488">
        <v>129</v>
      </c>
      <c r="M4488">
        <v>0</v>
      </c>
      <c r="N4488" s="98" t="str">
        <f>IF(record[[#This Row],[Memo]]="Browser:chrome os:android","平板報工",IF(record[[#This Row],[Memo]]=0,"委外",record[[#This Row],[Memo]]))</f>
        <v>平板報工</v>
      </c>
      <c r="O4488" t="s">
        <v>643</v>
      </c>
      <c r="P4488" t="s">
        <v>145</v>
      </c>
      <c r="Q4488" t="s">
        <v>644</v>
      </c>
      <c r="R4488" t="str">
        <f>IFERROR(VLOOKUP(record[[#This Row],[PCUSTID]],廠商[],2,FALSE),"")</f>
        <v/>
      </c>
      <c r="S4488" t="str">
        <f>VLOOKUP(record[[#This Row],[employeeID]],員工[],2,FALSE)</f>
        <v>阮秋霞</v>
      </c>
    </row>
    <row r="4489" spans="6:19" hidden="1" x14ac:dyDescent="0.25">
      <c r="F4489" t="s">
        <v>1474</v>
      </c>
      <c r="G4489" t="s">
        <v>451</v>
      </c>
      <c r="H4489" t="str">
        <f>VLOOKUP(record[[#This Row],[ProcessSN]],表格2_7[],2,FALSE)</f>
        <v>30-4118-018-6XX</v>
      </c>
      <c r="I4489" t="str">
        <f>VLOOKUP(record[[#This Row],[ProcessSN]],表格2_7[],3,FALSE)</f>
        <v>#07</v>
      </c>
      <c r="J4489" t="s">
        <v>588</v>
      </c>
      <c r="K4489" s="195">
        <v>46049.64340277778</v>
      </c>
      <c r="L4489">
        <v>210</v>
      </c>
      <c r="M4489">
        <v>0</v>
      </c>
      <c r="N4489" s="98" t="str">
        <f>IF(record[[#This Row],[Memo]]="Browser:chrome os:android","平板報工",IF(record[[#This Row],[Memo]]=0,"委外",record[[#This Row],[Memo]]))</f>
        <v>平板報工</v>
      </c>
      <c r="O4489" t="s">
        <v>643</v>
      </c>
      <c r="P4489" t="s">
        <v>785</v>
      </c>
      <c r="Q4489" t="s">
        <v>644</v>
      </c>
      <c r="R4489" t="str">
        <f>IFERROR(VLOOKUP(record[[#This Row],[PCUSTID]],廠商[],2,FALSE),"")</f>
        <v/>
      </c>
      <c r="S4489" t="str">
        <f>VLOOKUP(record[[#This Row],[employeeID]],員工[],2,FALSE)</f>
        <v>謝刻光</v>
      </c>
    </row>
    <row r="4490" spans="6:19" hidden="1" x14ac:dyDescent="0.25">
      <c r="F4490" t="s">
        <v>1472</v>
      </c>
      <c r="G4490" t="s">
        <v>416</v>
      </c>
      <c r="H4490" t="str">
        <f>VLOOKUP(record[[#This Row],[ProcessSN]],表格2_7[],2,FALSE)</f>
        <v>30-4118-018-5XX</v>
      </c>
      <c r="I4490" t="str">
        <f>VLOOKUP(record[[#This Row],[ProcessSN]],表格2_7[],3,FALSE)</f>
        <v>#05</v>
      </c>
      <c r="J4490" t="s">
        <v>588</v>
      </c>
      <c r="K4490" s="195">
        <v>46049.642951388887</v>
      </c>
      <c r="L4490">
        <v>236</v>
      </c>
      <c r="M4490">
        <v>0</v>
      </c>
      <c r="N4490" s="98" t="str">
        <f>IF(record[[#This Row],[Memo]]="Browser:chrome os:android","平板報工",IF(record[[#This Row],[Memo]]=0,"委外",record[[#This Row],[Memo]]))</f>
        <v>平板報工</v>
      </c>
      <c r="O4490" t="s">
        <v>643</v>
      </c>
      <c r="P4490" t="s">
        <v>785</v>
      </c>
      <c r="Q4490" t="s">
        <v>644</v>
      </c>
      <c r="R4490" t="str">
        <f>IFERROR(VLOOKUP(record[[#This Row],[PCUSTID]],廠商[],2,FALSE),"")</f>
        <v/>
      </c>
      <c r="S4490" t="str">
        <f>VLOOKUP(record[[#This Row],[employeeID]],員工[],2,FALSE)</f>
        <v>謝刻光</v>
      </c>
    </row>
    <row r="4491" spans="6:19" hidden="1" x14ac:dyDescent="0.25">
      <c r="F4491" t="s">
        <v>1474</v>
      </c>
      <c r="G4491" t="s">
        <v>452</v>
      </c>
      <c r="H4491" t="str">
        <f>VLOOKUP(record[[#This Row],[ProcessSN]],表格2_7[],2,FALSE)</f>
        <v>30-4118-018-6XX</v>
      </c>
      <c r="I4491" t="str">
        <f>VLOOKUP(record[[#This Row],[ProcessSN]],表格2_7[],3,FALSE)</f>
        <v>#07QC</v>
      </c>
      <c r="J4491" t="s">
        <v>589</v>
      </c>
      <c r="K4491" s="195">
        <v>46049.641539351855</v>
      </c>
      <c r="L4491">
        <v>1</v>
      </c>
      <c r="M4491">
        <v>0</v>
      </c>
      <c r="N4491" s="98" t="str">
        <f>IF(record[[#This Row],[Memo]]="Browser:chrome os:android","平板報工",IF(record[[#This Row],[Memo]]=0,"委外",record[[#This Row],[Memo]]))</f>
        <v/>
      </c>
      <c r="O4491" t="s">
        <v>58</v>
      </c>
      <c r="P4491" t="s">
        <v>141</v>
      </c>
      <c r="Q4491" t="s">
        <v>58</v>
      </c>
      <c r="R4491" t="str">
        <f>IFERROR(VLOOKUP(record[[#This Row],[PCUSTID]],廠商[],2,FALSE),"")</f>
        <v/>
      </c>
      <c r="S4491" t="str">
        <f>VLOOKUP(record[[#This Row],[employeeID]],員工[],2,FALSE)</f>
        <v>蔣梅</v>
      </c>
    </row>
    <row r="4492" spans="6:19" hidden="1" x14ac:dyDescent="0.25">
      <c r="F4492" t="s">
        <v>1417</v>
      </c>
      <c r="G4492" t="s">
        <v>452</v>
      </c>
      <c r="H4492" t="str">
        <f>VLOOKUP(record[[#This Row],[ProcessSN]],表格2_7[],2,FALSE)</f>
        <v>30-4118-018-6XX</v>
      </c>
      <c r="I4492" t="str">
        <f>VLOOKUP(record[[#This Row],[ProcessSN]],表格2_7[],3,FALSE)</f>
        <v>#07QC</v>
      </c>
      <c r="J4492" t="s">
        <v>589</v>
      </c>
      <c r="K4492" s="195">
        <v>46049.639976851853</v>
      </c>
      <c r="L4492">
        <v>8</v>
      </c>
      <c r="M4492">
        <v>0</v>
      </c>
      <c r="N4492" s="98" t="str">
        <f>IF(record[[#This Row],[Memo]]="Browser:chrome os:android","平板報工",IF(record[[#This Row],[Memo]]=0,"委外",record[[#This Row],[Memo]]))</f>
        <v/>
      </c>
      <c r="O4492" t="s">
        <v>58</v>
      </c>
      <c r="P4492" t="s">
        <v>141</v>
      </c>
      <c r="Q4492" t="s">
        <v>58</v>
      </c>
      <c r="R4492" t="str">
        <f>IFERROR(VLOOKUP(record[[#This Row],[PCUSTID]],廠商[],2,FALSE),"")</f>
        <v/>
      </c>
      <c r="S4492" t="str">
        <f>VLOOKUP(record[[#This Row],[employeeID]],員工[],2,FALSE)</f>
        <v>蔣梅</v>
      </c>
    </row>
    <row r="4493" spans="6:19" hidden="1" x14ac:dyDescent="0.25">
      <c r="F4493" t="s">
        <v>1474</v>
      </c>
      <c r="G4493" t="s">
        <v>452</v>
      </c>
      <c r="H4493" t="str">
        <f>VLOOKUP(record[[#This Row],[ProcessSN]],表格2_7[],2,FALSE)</f>
        <v>30-4118-018-6XX</v>
      </c>
      <c r="I4493" t="str">
        <f>VLOOKUP(record[[#This Row],[ProcessSN]],表格2_7[],3,FALSE)</f>
        <v>#07QC</v>
      </c>
      <c r="J4493" t="s">
        <v>589</v>
      </c>
      <c r="K4493" s="195">
        <v>46049.635138888887</v>
      </c>
      <c r="L4493">
        <v>167</v>
      </c>
      <c r="M4493">
        <v>0</v>
      </c>
      <c r="N4493" s="98" t="str">
        <f>IF(record[[#This Row],[Memo]]="Browser:chrome os:android","平板報工",IF(record[[#This Row],[Memo]]=0,"委外",record[[#This Row],[Memo]]))</f>
        <v>平板報工</v>
      </c>
      <c r="O4493" t="s">
        <v>643</v>
      </c>
      <c r="P4493" t="s">
        <v>141</v>
      </c>
      <c r="Q4493" t="s">
        <v>644</v>
      </c>
      <c r="R4493" t="str">
        <f>IFERROR(VLOOKUP(record[[#This Row],[PCUSTID]],廠商[],2,FALSE),"")</f>
        <v/>
      </c>
      <c r="S4493" t="str">
        <f>VLOOKUP(record[[#This Row],[employeeID]],員工[],2,FALSE)</f>
        <v>蔣梅</v>
      </c>
    </row>
    <row r="4494" spans="6:19" hidden="1" x14ac:dyDescent="0.25">
      <c r="F4494" t="s">
        <v>1417</v>
      </c>
      <c r="G4494" t="s">
        <v>452</v>
      </c>
      <c r="H4494" t="str">
        <f>VLOOKUP(record[[#This Row],[ProcessSN]],表格2_7[],2,FALSE)</f>
        <v>30-4118-018-6XX</v>
      </c>
      <c r="I4494" t="str">
        <f>VLOOKUP(record[[#This Row],[ProcessSN]],表格2_7[],3,FALSE)</f>
        <v>#07QC</v>
      </c>
      <c r="J4494" t="s">
        <v>589</v>
      </c>
      <c r="K4494" s="195">
        <v>46049.633668981478</v>
      </c>
      <c r="L4494">
        <v>158</v>
      </c>
      <c r="M4494">
        <v>0</v>
      </c>
      <c r="N4494" s="98" t="str">
        <f>IF(record[[#This Row],[Memo]]="Browser:chrome os:android","平板報工",IF(record[[#This Row],[Memo]]=0,"委外",record[[#This Row],[Memo]]))</f>
        <v>平板報工</v>
      </c>
      <c r="O4494" t="s">
        <v>643</v>
      </c>
      <c r="P4494" t="s">
        <v>141</v>
      </c>
      <c r="Q4494" t="s">
        <v>644</v>
      </c>
      <c r="R4494" t="str">
        <f>IFERROR(VLOOKUP(record[[#This Row],[PCUSTID]],廠商[],2,FALSE),"")</f>
        <v/>
      </c>
      <c r="S4494" t="str">
        <f>VLOOKUP(record[[#This Row],[employeeID]],員工[],2,FALSE)</f>
        <v>蔣梅</v>
      </c>
    </row>
    <row r="4495" spans="6:19" hidden="1" x14ac:dyDescent="0.25">
      <c r="F4495" t="s">
        <v>1516</v>
      </c>
      <c r="G4495" t="s">
        <v>413</v>
      </c>
      <c r="H4495" t="str">
        <f>VLOOKUP(record[[#This Row],[ProcessSN]],表格2_7[],2,FALSE)</f>
        <v>30-4118-018-5XX</v>
      </c>
      <c r="I4495" t="str">
        <f>VLOOKUP(record[[#This Row],[ProcessSN]],表格2_7[],3,FALSE)</f>
        <v>#03GIVE</v>
      </c>
      <c r="J4495" t="s">
        <v>587</v>
      </c>
      <c r="K4495" s="195">
        <v>46049.61341435185</v>
      </c>
      <c r="L4495">
        <v>446</v>
      </c>
      <c r="M4495">
        <v>0</v>
      </c>
      <c r="N4495" s="98" t="str">
        <f>IF(record[[#This Row],[Memo]]="Browser:chrome os:android","平板報工",IF(record[[#This Row],[Memo]]=0,"委外",record[[#This Row],[Memo]]))</f>
        <v/>
      </c>
      <c r="O4495" t="s">
        <v>58</v>
      </c>
      <c r="P4495" t="s">
        <v>886</v>
      </c>
      <c r="Q4495" t="s">
        <v>58</v>
      </c>
      <c r="R4495" t="str">
        <f>IFERROR(VLOOKUP(record[[#This Row],[PCUSTID]],廠商[],2,FALSE),"")</f>
        <v/>
      </c>
      <c r="S4495" t="str">
        <f>VLOOKUP(record[[#This Row],[employeeID]],員工[],2,FALSE)</f>
        <v>謝蓁薰</v>
      </c>
    </row>
    <row r="4496" spans="6:19" hidden="1" x14ac:dyDescent="0.25">
      <c r="F4496" t="s">
        <v>1517</v>
      </c>
      <c r="G4496" t="s">
        <v>446</v>
      </c>
      <c r="H4496" t="str">
        <f>VLOOKUP(record[[#This Row],[ProcessSN]],表格2_7[],2,FALSE)</f>
        <v>30-4118-018-6XX</v>
      </c>
      <c r="I4496" t="str">
        <f>VLOOKUP(record[[#This Row],[ProcessSN]],表格2_7[],3,FALSE)</f>
        <v>#03GIVE</v>
      </c>
      <c r="J4496" t="s">
        <v>587</v>
      </c>
      <c r="K4496" s="195">
        <v>46049.613287037035</v>
      </c>
      <c r="L4496">
        <v>446</v>
      </c>
      <c r="M4496">
        <v>0</v>
      </c>
      <c r="N4496" s="98" t="str">
        <f>IF(record[[#This Row],[Memo]]="Browser:chrome os:android","平板報工",IF(record[[#This Row],[Memo]]=0,"委外",record[[#This Row],[Memo]]))</f>
        <v/>
      </c>
      <c r="O4496" t="s">
        <v>58</v>
      </c>
      <c r="P4496" t="s">
        <v>886</v>
      </c>
      <c r="Q4496" t="s">
        <v>58</v>
      </c>
      <c r="R4496" t="str">
        <f>IFERROR(VLOOKUP(record[[#This Row],[PCUSTID]],廠商[],2,FALSE),"")</f>
        <v/>
      </c>
      <c r="S4496" t="str">
        <f>VLOOKUP(record[[#This Row],[employeeID]],員工[],2,FALSE)</f>
        <v>謝蓁薰</v>
      </c>
    </row>
    <row r="4497" spans="6:19" hidden="1" x14ac:dyDescent="0.25">
      <c r="F4497" t="s">
        <v>1517</v>
      </c>
      <c r="G4497" t="s">
        <v>445</v>
      </c>
      <c r="H4497" t="str">
        <f>VLOOKUP(record[[#This Row],[ProcessSN]],表格2_7[],2,FALSE)</f>
        <v>30-4118-018-6XX</v>
      </c>
      <c r="I4497" t="str">
        <f>VLOOKUP(record[[#This Row],[ProcessSN]],表格2_7[],3,FALSE)</f>
        <v>#03PICK</v>
      </c>
      <c r="J4497" t="s">
        <v>582</v>
      </c>
      <c r="K4497" s="195">
        <v>46049.612164351849</v>
      </c>
      <c r="L4497">
        <v>446</v>
      </c>
      <c r="M4497">
        <v>0</v>
      </c>
      <c r="N4497" s="98" t="str">
        <f>IF(record[[#This Row],[Memo]]="Browser:chrome os:android","平板報工",IF(record[[#This Row],[Memo]]=0,"委外",record[[#This Row],[Memo]]))</f>
        <v/>
      </c>
      <c r="O4497" t="s">
        <v>58</v>
      </c>
      <c r="P4497" t="s">
        <v>886</v>
      </c>
      <c r="Q4497" t="s">
        <v>58</v>
      </c>
      <c r="R4497" t="str">
        <f>IFERROR(VLOOKUP(record[[#This Row],[PCUSTID]],廠商[],2,FALSE),"")</f>
        <v/>
      </c>
      <c r="S4497" t="str">
        <f>VLOOKUP(record[[#This Row],[employeeID]],員工[],2,FALSE)</f>
        <v>謝蓁薰</v>
      </c>
    </row>
    <row r="4498" spans="6:19" hidden="1" x14ac:dyDescent="0.25">
      <c r="F4498" t="s">
        <v>1516</v>
      </c>
      <c r="G4498" t="s">
        <v>412</v>
      </c>
      <c r="H4498" t="str">
        <f>VLOOKUP(record[[#This Row],[ProcessSN]],表格2_7[],2,FALSE)</f>
        <v>30-4118-018-5XX</v>
      </c>
      <c r="I4498" t="str">
        <f>VLOOKUP(record[[#This Row],[ProcessSN]],表格2_7[],3,FALSE)</f>
        <v>#03PICK</v>
      </c>
      <c r="J4498" t="s">
        <v>582</v>
      </c>
      <c r="K4498" s="195">
        <v>46049.611990740741</v>
      </c>
      <c r="L4498">
        <v>446</v>
      </c>
      <c r="M4498">
        <v>0</v>
      </c>
      <c r="N4498" s="98" t="str">
        <f>IF(record[[#This Row],[Memo]]="Browser:chrome os:android","平板報工",IF(record[[#This Row],[Memo]]=0,"委外",record[[#This Row],[Memo]]))</f>
        <v/>
      </c>
      <c r="O4498" t="s">
        <v>58</v>
      </c>
      <c r="P4498" t="s">
        <v>886</v>
      </c>
      <c r="Q4498" t="s">
        <v>58</v>
      </c>
      <c r="R4498" t="str">
        <f>IFERROR(VLOOKUP(record[[#This Row],[PCUSTID]],廠商[],2,FALSE),"")</f>
        <v/>
      </c>
      <c r="S4498" t="str">
        <f>VLOOKUP(record[[#This Row],[employeeID]],員工[],2,FALSE)</f>
        <v>謝蓁薰</v>
      </c>
    </row>
    <row r="4499" spans="6:19" hidden="1" x14ac:dyDescent="0.25">
      <c r="F4499" t="s">
        <v>1522</v>
      </c>
      <c r="G4499" t="s">
        <v>422</v>
      </c>
      <c r="H4499" t="str">
        <f>VLOOKUP(record[[#This Row],[ProcessSN]],表格2_7[],2,FALSE)</f>
        <v>30-4118-018-600</v>
      </c>
      <c r="I4499" t="str">
        <f>VLOOKUP(record[[#This Row],[ProcessSN]],表格2_7[],3,FALSE)</f>
        <v>#08</v>
      </c>
      <c r="J4499" t="s">
        <v>597</v>
      </c>
      <c r="K4499" s="195">
        <v>46049.595393518517</v>
      </c>
      <c r="L4499">
        <v>168</v>
      </c>
      <c r="M4499">
        <v>0</v>
      </c>
      <c r="N4499" s="98" t="str">
        <f>IF(record[[#This Row],[Memo]]="Browser:chrome os:android","平板報工",IF(record[[#This Row],[Memo]]=0,"委外",record[[#This Row],[Memo]]))</f>
        <v>委外</v>
      </c>
      <c r="P4499" t="s">
        <v>1487</v>
      </c>
      <c r="Q4499" t="s">
        <v>287</v>
      </c>
      <c r="R4499" t="str">
        <f>IFERROR(VLOOKUP(record[[#This Row],[PCUSTID]],廠商[],2,FALSE),"")</f>
        <v>泉盛</v>
      </c>
      <c r="S4499" t="str">
        <f>VLOOKUP(record[[#This Row],[employeeID]],員工[],2,FALSE)</f>
        <v>邱瑞廣</v>
      </c>
    </row>
    <row r="4500" spans="6:19" hidden="1" x14ac:dyDescent="0.25">
      <c r="F4500" t="s">
        <v>1522</v>
      </c>
      <c r="G4500" t="s">
        <v>421</v>
      </c>
      <c r="H4500" t="str">
        <f>VLOOKUP(record[[#This Row],[ProcessSN]],表格2_7[],2,FALSE)</f>
        <v>30-4118-018-600</v>
      </c>
      <c r="I4500" t="str">
        <f>VLOOKUP(record[[#This Row],[ProcessSN]],表格2_7[],3,FALSE)</f>
        <v>#08PICK</v>
      </c>
      <c r="J4500" t="s">
        <v>582</v>
      </c>
      <c r="K4500" s="195">
        <v>46049.501157407409</v>
      </c>
      <c r="L4500">
        <v>168</v>
      </c>
      <c r="M4500">
        <v>0</v>
      </c>
      <c r="N4500" s="98" t="str">
        <f>IF(record[[#This Row],[Memo]]="Browser:chrome os:android","平板報工",IF(record[[#This Row],[Memo]]=0,"委外",record[[#This Row],[Memo]]))</f>
        <v/>
      </c>
      <c r="O4500" t="s">
        <v>58</v>
      </c>
      <c r="P4500" t="s">
        <v>1487</v>
      </c>
      <c r="Q4500" t="s">
        <v>58</v>
      </c>
      <c r="R4500" t="str">
        <f>IFERROR(VLOOKUP(record[[#This Row],[PCUSTID]],廠商[],2,FALSE),"")</f>
        <v/>
      </c>
      <c r="S4500" t="str">
        <f>VLOOKUP(record[[#This Row],[employeeID]],員工[],2,FALSE)</f>
        <v>邱瑞廣</v>
      </c>
    </row>
    <row r="4501" spans="6:19" hidden="1" x14ac:dyDescent="0.25">
      <c r="F4501" t="s">
        <v>1474</v>
      </c>
      <c r="G4501" t="s">
        <v>453</v>
      </c>
      <c r="H4501" t="str">
        <f>VLOOKUP(record[[#This Row],[ProcessSN]],表格2_7[],2,FALSE)</f>
        <v>30-4118-018-6XX</v>
      </c>
      <c r="I4501" t="str">
        <f>VLOOKUP(record[[#This Row],[ProcessSN]],表格2_7[],3,FALSE)</f>
        <v>#07STOCK</v>
      </c>
      <c r="J4501" t="s">
        <v>592</v>
      </c>
      <c r="K4501" s="195">
        <v>46049.494351851848</v>
      </c>
      <c r="L4501">
        <v>165</v>
      </c>
      <c r="M4501">
        <v>0</v>
      </c>
      <c r="N4501" s="98" t="str">
        <f>IF(record[[#This Row],[Memo]]="Browser:chrome os:android","平板報工",IF(record[[#This Row],[Memo]]=0,"委外",record[[#This Row],[Memo]]))</f>
        <v/>
      </c>
      <c r="O4501" t="s">
        <v>58</v>
      </c>
      <c r="P4501" t="s">
        <v>1487</v>
      </c>
      <c r="Q4501" t="s">
        <v>58</v>
      </c>
      <c r="R4501" t="str">
        <f>IFERROR(VLOOKUP(record[[#This Row],[PCUSTID]],廠商[],2,FALSE),"")</f>
        <v/>
      </c>
      <c r="S4501" t="str">
        <f>VLOOKUP(record[[#This Row],[employeeID]],員工[],2,FALSE)</f>
        <v>邱瑞廣</v>
      </c>
    </row>
    <row r="4502" spans="6:19" hidden="1" x14ac:dyDescent="0.25">
      <c r="F4502" t="s">
        <v>777</v>
      </c>
      <c r="G4502" t="s">
        <v>453</v>
      </c>
      <c r="H4502" t="str">
        <f>VLOOKUP(record[[#This Row],[ProcessSN]],表格2_7[],2,FALSE)</f>
        <v>30-4118-018-6XX</v>
      </c>
      <c r="I4502" t="str">
        <f>VLOOKUP(record[[#This Row],[ProcessSN]],表格2_7[],3,FALSE)</f>
        <v>#07STOCK</v>
      </c>
      <c r="J4502" t="s">
        <v>592</v>
      </c>
      <c r="K4502" s="195">
        <v>46049.493750000001</v>
      </c>
      <c r="L4502">
        <v>3</v>
      </c>
      <c r="M4502">
        <v>0</v>
      </c>
      <c r="N4502" s="98" t="str">
        <f>IF(record[[#This Row],[Memo]]="Browser:chrome os:android","平板報工",IF(record[[#This Row],[Memo]]=0,"委外",record[[#This Row],[Memo]]))</f>
        <v/>
      </c>
      <c r="O4502" t="s">
        <v>58</v>
      </c>
      <c r="P4502" t="s">
        <v>1487</v>
      </c>
      <c r="Q4502" t="s">
        <v>58</v>
      </c>
      <c r="R4502" t="str">
        <f>IFERROR(VLOOKUP(record[[#This Row],[PCUSTID]],廠商[],2,FALSE),"")</f>
        <v/>
      </c>
      <c r="S4502" t="str">
        <f>VLOOKUP(record[[#This Row],[employeeID]],員工[],2,FALSE)</f>
        <v>邱瑞廣</v>
      </c>
    </row>
    <row r="4503" spans="6:19" hidden="1" x14ac:dyDescent="0.25">
      <c r="F4503" t="s">
        <v>1450</v>
      </c>
      <c r="G4503" t="s">
        <v>471</v>
      </c>
      <c r="H4503" t="str">
        <f>VLOOKUP(record[[#This Row],[ProcessSN]],表格2_7[],2,FALSE)</f>
        <v>30-4118-018-XXX</v>
      </c>
      <c r="I4503" t="str">
        <f>VLOOKUP(record[[#This Row],[ProcessSN]],表格2_7[],3,FALSE)</f>
        <v>#02STOCK</v>
      </c>
      <c r="J4503" t="s">
        <v>592</v>
      </c>
      <c r="K4503" s="195">
        <v>46049.473877314813</v>
      </c>
      <c r="L4503">
        <v>892</v>
      </c>
      <c r="M4503">
        <v>0</v>
      </c>
      <c r="N4503" s="98" t="str">
        <f>IF(record[[#This Row],[Memo]]="Browser:chrome os:android","平板報工",IF(record[[#This Row],[Memo]]=0,"委外",record[[#This Row],[Memo]]))</f>
        <v/>
      </c>
      <c r="O4503" t="s">
        <v>58</v>
      </c>
      <c r="P4503" t="s">
        <v>1487</v>
      </c>
      <c r="Q4503" t="s">
        <v>58</v>
      </c>
      <c r="R4503" t="str">
        <f>IFERROR(VLOOKUP(record[[#This Row],[PCUSTID]],廠商[],2,FALSE),"")</f>
        <v/>
      </c>
      <c r="S4503" t="str">
        <f>VLOOKUP(record[[#This Row],[employeeID]],員工[],2,FALSE)</f>
        <v>邱瑞廣</v>
      </c>
    </row>
    <row r="4504" spans="6:19" hidden="1" x14ac:dyDescent="0.25">
      <c r="F4504" t="s">
        <v>1474</v>
      </c>
      <c r="G4504" t="s">
        <v>452</v>
      </c>
      <c r="H4504" t="str">
        <f>VLOOKUP(record[[#This Row],[ProcessSN]],表格2_7[],2,FALSE)</f>
        <v>30-4118-018-6XX</v>
      </c>
      <c r="I4504" t="str">
        <f>VLOOKUP(record[[#This Row],[ProcessSN]],表格2_7[],3,FALSE)</f>
        <v>#07QC</v>
      </c>
      <c r="J4504" t="s">
        <v>589</v>
      </c>
      <c r="K4504" s="195">
        <v>46049.461377314816</v>
      </c>
      <c r="L4504">
        <v>165</v>
      </c>
      <c r="M4504">
        <v>0</v>
      </c>
      <c r="N4504" s="98" t="str">
        <f>IF(record[[#This Row],[Memo]]="Browser:chrome os:android","平板報工",IF(record[[#This Row],[Memo]]=0,"委外",record[[#This Row],[Memo]]))</f>
        <v>平板報工</v>
      </c>
      <c r="O4504" t="s">
        <v>643</v>
      </c>
      <c r="P4504" t="s">
        <v>141</v>
      </c>
      <c r="Q4504" t="s">
        <v>644</v>
      </c>
      <c r="R4504" t="str">
        <f>IFERROR(VLOOKUP(record[[#This Row],[PCUSTID]],廠商[],2,FALSE),"")</f>
        <v/>
      </c>
      <c r="S4504" t="str">
        <f>VLOOKUP(record[[#This Row],[employeeID]],員工[],2,FALSE)</f>
        <v>蔣梅</v>
      </c>
    </row>
    <row r="4505" spans="6:19" hidden="1" x14ac:dyDescent="0.25">
      <c r="F4505" t="s">
        <v>777</v>
      </c>
      <c r="G4505" t="s">
        <v>452</v>
      </c>
      <c r="H4505" t="str">
        <f>VLOOKUP(record[[#This Row],[ProcessSN]],表格2_7[],2,FALSE)</f>
        <v>30-4118-018-6XX</v>
      </c>
      <c r="I4505" t="str">
        <f>VLOOKUP(record[[#This Row],[ProcessSN]],表格2_7[],3,FALSE)</f>
        <v>#07QC</v>
      </c>
      <c r="J4505" t="s">
        <v>589</v>
      </c>
      <c r="K4505" s="195">
        <v>46049.461157407408</v>
      </c>
      <c r="L4505">
        <v>3</v>
      </c>
      <c r="M4505">
        <v>0</v>
      </c>
      <c r="N4505" s="98" t="str">
        <f>IF(record[[#This Row],[Memo]]="Browser:chrome os:android","平板報工",IF(record[[#This Row],[Memo]]=0,"委外",record[[#This Row],[Memo]]))</f>
        <v>平板報工</v>
      </c>
      <c r="O4505" t="s">
        <v>643</v>
      </c>
      <c r="P4505" t="s">
        <v>141</v>
      </c>
      <c r="Q4505" t="s">
        <v>644</v>
      </c>
      <c r="R4505" t="str">
        <f>IFERROR(VLOOKUP(record[[#This Row],[PCUSTID]],廠商[],2,FALSE),"")</f>
        <v/>
      </c>
      <c r="S4505" t="str">
        <f>VLOOKUP(record[[#This Row],[employeeID]],員工[],2,FALSE)</f>
        <v>蔣梅</v>
      </c>
    </row>
    <row r="4506" spans="6:19" hidden="1" x14ac:dyDescent="0.25">
      <c r="F4506" t="s">
        <v>1450</v>
      </c>
      <c r="G4506" t="s">
        <v>470</v>
      </c>
      <c r="H4506" t="str">
        <f>VLOOKUP(record[[#This Row],[ProcessSN]],表格2_7[],2,FALSE)</f>
        <v>30-4118-018-XXX</v>
      </c>
      <c r="I4506" t="str">
        <f>VLOOKUP(record[[#This Row],[ProcessSN]],表格2_7[],3,FALSE)</f>
        <v>#02IQC</v>
      </c>
      <c r="J4506" t="s">
        <v>583</v>
      </c>
      <c r="K4506" s="195">
        <v>46049.445300925923</v>
      </c>
      <c r="L4506">
        <v>892</v>
      </c>
      <c r="M4506">
        <v>0</v>
      </c>
      <c r="N4506" s="98" t="str">
        <f>IF(record[[#This Row],[Memo]]="Browser:chrome os:android","平板報工",IF(record[[#This Row],[Memo]]=0,"委外",record[[#This Row],[Memo]]))</f>
        <v/>
      </c>
      <c r="O4506" t="s">
        <v>58</v>
      </c>
      <c r="P4506" t="s">
        <v>109</v>
      </c>
      <c r="Q4506" t="s">
        <v>58</v>
      </c>
      <c r="R4506" t="str">
        <f>IFERROR(VLOOKUP(record[[#This Row],[PCUSTID]],廠商[],2,FALSE),"")</f>
        <v/>
      </c>
      <c r="S4506" t="str">
        <f>VLOOKUP(record[[#This Row],[employeeID]],員工[],2,FALSE)</f>
        <v>裴氏璧鳳</v>
      </c>
    </row>
    <row r="4507" spans="6:19" hidden="1" x14ac:dyDescent="0.25">
      <c r="F4507" t="s">
        <v>1450</v>
      </c>
      <c r="G4507" t="s">
        <v>469</v>
      </c>
      <c r="H4507" t="str">
        <f>VLOOKUP(record[[#This Row],[ProcessSN]],表格2_7[],2,FALSE)</f>
        <v>30-4118-018-XXX</v>
      </c>
      <c r="I4507" t="str">
        <f>VLOOKUP(record[[#This Row],[ProcessSN]],表格2_7[],3,FALSE)</f>
        <v>#02RCV</v>
      </c>
      <c r="J4507" t="s">
        <v>591</v>
      </c>
      <c r="K4507" s="195">
        <v>46049.394537037035</v>
      </c>
      <c r="L4507">
        <v>892</v>
      </c>
      <c r="M4507">
        <v>0</v>
      </c>
      <c r="N4507" s="98" t="str">
        <f>IF(record[[#This Row],[Memo]]="Browser:chrome os:android","平板報工",IF(record[[#This Row],[Memo]]=0,"委外",record[[#This Row],[Memo]]))</f>
        <v/>
      </c>
      <c r="O4507" t="s">
        <v>58</v>
      </c>
      <c r="P4507" t="s">
        <v>1487</v>
      </c>
      <c r="Q4507" t="s">
        <v>58</v>
      </c>
      <c r="R4507" t="str">
        <f>IFERROR(VLOOKUP(record[[#This Row],[PCUSTID]],廠商[],2,FALSE),"")</f>
        <v/>
      </c>
      <c r="S4507" t="str">
        <f>VLOOKUP(record[[#This Row],[employeeID]],員工[],2,FALSE)</f>
        <v>邱瑞廣</v>
      </c>
    </row>
    <row r="4508" spans="6:19" hidden="1" x14ac:dyDescent="0.25">
      <c r="F4508" t="s">
        <v>1450</v>
      </c>
      <c r="G4508" t="s">
        <v>468</v>
      </c>
      <c r="H4508" t="str">
        <f>VLOOKUP(record[[#This Row],[ProcessSN]],表格2_7[],2,FALSE)</f>
        <v>30-4118-018-XXX</v>
      </c>
      <c r="I4508" t="str">
        <f>VLOOKUP(record[[#This Row],[ProcessSN]],表格2_7[],3,FALSE)</f>
        <v>#02</v>
      </c>
      <c r="J4508" t="s">
        <v>590</v>
      </c>
      <c r="K4508" s="195">
        <v>46049.383449074077</v>
      </c>
      <c r="L4508">
        <v>672</v>
      </c>
      <c r="M4508">
        <v>0</v>
      </c>
      <c r="N4508" s="98" t="str">
        <f>IF(record[[#This Row],[Memo]]="Browser:chrome os:android","平板報工",IF(record[[#This Row],[Memo]]=0,"委外",record[[#This Row],[Memo]]))</f>
        <v>委外</v>
      </c>
      <c r="P4508" t="s">
        <v>1487</v>
      </c>
      <c r="Q4508" t="s">
        <v>216</v>
      </c>
      <c r="R4508" t="str">
        <f>IFERROR(VLOOKUP(record[[#This Row],[PCUSTID]],廠商[],2,FALSE),"")</f>
        <v>俊杰</v>
      </c>
      <c r="S4508" t="str">
        <f>VLOOKUP(record[[#This Row],[employeeID]],員工[],2,FALSE)</f>
        <v>邱瑞廣</v>
      </c>
    </row>
    <row r="4509" spans="6:19" hidden="1" x14ac:dyDescent="0.25">
      <c r="F4509" t="s">
        <v>1450</v>
      </c>
      <c r="G4509" t="s">
        <v>468</v>
      </c>
      <c r="H4509" t="str">
        <f>VLOOKUP(record[[#This Row],[ProcessSN]],表格2_7[],2,FALSE)</f>
        <v>30-4118-018-XXX</v>
      </c>
      <c r="I4509" t="str">
        <f>VLOOKUP(record[[#This Row],[ProcessSN]],表格2_7[],3,FALSE)</f>
        <v>#02</v>
      </c>
      <c r="J4509" t="s">
        <v>590</v>
      </c>
      <c r="K4509" s="195">
        <v>46049.378067129626</v>
      </c>
      <c r="L4509">
        <v>632</v>
      </c>
      <c r="M4509">
        <v>0</v>
      </c>
      <c r="N4509" s="98" t="str">
        <f>IF(record[[#This Row],[Memo]]="Browser:chrome os:android","平板報工",IF(record[[#This Row],[Memo]]=0,"委外",record[[#This Row],[Memo]]))</f>
        <v>委外</v>
      </c>
      <c r="P4509" t="s">
        <v>1487</v>
      </c>
      <c r="Q4509" t="s">
        <v>216</v>
      </c>
      <c r="R4509" t="str">
        <f>IFERROR(VLOOKUP(record[[#This Row],[PCUSTID]],廠商[],2,FALSE),"")</f>
        <v>俊杰</v>
      </c>
      <c r="S4509" t="str">
        <f>VLOOKUP(record[[#This Row],[employeeID]],員工[],2,FALSE)</f>
        <v>邱瑞廣</v>
      </c>
    </row>
    <row r="4510" spans="6:19" hidden="1" x14ac:dyDescent="0.25">
      <c r="F4510" t="s">
        <v>1450</v>
      </c>
      <c r="G4510" t="s">
        <v>467</v>
      </c>
      <c r="H4510" t="str">
        <f>VLOOKUP(record[[#This Row],[ProcessSN]],表格2_7[],2,FALSE)</f>
        <v>30-4118-018-XXX</v>
      </c>
      <c r="I4510" t="str">
        <f>VLOOKUP(record[[#This Row],[ProcessSN]],表格2_7[],3,FALSE)</f>
        <v>#01QC</v>
      </c>
      <c r="J4510" t="s">
        <v>589</v>
      </c>
      <c r="K4510" s="195">
        <v>46049.338506944441</v>
      </c>
      <c r="L4510">
        <v>632</v>
      </c>
      <c r="M4510">
        <v>0</v>
      </c>
      <c r="N4510" s="98" t="str">
        <f>IF(record[[#This Row],[Memo]]="Browser:chrome os:android","平板報工",IF(record[[#This Row],[Memo]]=0,"委外",record[[#This Row],[Memo]]))</f>
        <v>平板報工</v>
      </c>
      <c r="O4510" t="s">
        <v>643</v>
      </c>
      <c r="P4510" t="s">
        <v>182</v>
      </c>
      <c r="Q4510" t="s">
        <v>644</v>
      </c>
      <c r="R4510" t="str">
        <f>IFERROR(VLOOKUP(record[[#This Row],[PCUSTID]],廠商[],2,FALSE),"")</f>
        <v/>
      </c>
      <c r="S4510" t="str">
        <f>VLOOKUP(record[[#This Row],[employeeID]],員工[],2,FALSE)</f>
        <v>梅氏和</v>
      </c>
    </row>
    <row r="4511" spans="6:19" hidden="1" x14ac:dyDescent="0.25">
      <c r="F4511" t="s">
        <v>1417</v>
      </c>
      <c r="G4511" t="s">
        <v>450</v>
      </c>
      <c r="H4511" t="str">
        <f>VLOOKUP(record[[#This Row],[ProcessSN]],表格2_7[],2,FALSE)</f>
        <v>30-4118-018-6XX</v>
      </c>
      <c r="I4511" t="str">
        <f>VLOOKUP(record[[#This Row],[ProcessSN]],表格2_7[],3,FALSE)</f>
        <v>#06</v>
      </c>
      <c r="J4511" t="s">
        <v>593</v>
      </c>
      <c r="K4511" s="195">
        <v>46049.313993055555</v>
      </c>
      <c r="L4511">
        <v>66</v>
      </c>
      <c r="M4511">
        <v>0</v>
      </c>
      <c r="N4511" s="98" t="str">
        <f>IF(record[[#This Row],[Memo]]="Browser:chrome os:android","平板報工",IF(record[[#This Row],[Memo]]=0,"委外",record[[#This Row],[Memo]]))</f>
        <v/>
      </c>
      <c r="O4511" t="s">
        <v>58</v>
      </c>
      <c r="P4511" t="s">
        <v>841</v>
      </c>
      <c r="Q4511" t="s">
        <v>58</v>
      </c>
      <c r="R4511" t="str">
        <f>IFERROR(VLOOKUP(record[[#This Row],[PCUSTID]],廠商[],2,FALSE),"")</f>
        <v/>
      </c>
      <c r="S4511" t="str">
        <f>VLOOKUP(record[[#This Row],[employeeID]],員工[],2,FALSE)</f>
        <v>范氏香</v>
      </c>
    </row>
    <row r="4512" spans="6:19" hidden="1" x14ac:dyDescent="0.25">
      <c r="F4512" t="s">
        <v>1474</v>
      </c>
      <c r="G4512" t="s">
        <v>450</v>
      </c>
      <c r="H4512" t="str">
        <f>VLOOKUP(record[[#This Row],[ProcessSN]],表格2_7[],2,FALSE)</f>
        <v>30-4118-018-6XX</v>
      </c>
      <c r="I4512" t="str">
        <f>VLOOKUP(record[[#This Row],[ProcessSN]],表格2_7[],3,FALSE)</f>
        <v>#06</v>
      </c>
      <c r="J4512" t="s">
        <v>593</v>
      </c>
      <c r="K4512" s="195">
        <v>46049.313657407409</v>
      </c>
      <c r="L4512">
        <v>67</v>
      </c>
      <c r="M4512">
        <v>0</v>
      </c>
      <c r="N4512" s="98" t="str">
        <f>IF(record[[#This Row],[Memo]]="Browser:chrome os:android","平板報工",IF(record[[#This Row],[Memo]]=0,"委外",record[[#This Row],[Memo]]))</f>
        <v/>
      </c>
      <c r="O4512" t="s">
        <v>58</v>
      </c>
      <c r="P4512" t="s">
        <v>841</v>
      </c>
      <c r="Q4512" t="s">
        <v>58</v>
      </c>
      <c r="R4512" t="str">
        <f>IFERROR(VLOOKUP(record[[#This Row],[PCUSTID]],廠商[],2,FALSE),"")</f>
        <v/>
      </c>
      <c r="S4512" t="str">
        <f>VLOOKUP(record[[#This Row],[employeeID]],員工[],2,FALSE)</f>
        <v>范氏香</v>
      </c>
    </row>
    <row r="4513" spans="6:19" hidden="1" x14ac:dyDescent="0.25">
      <c r="F4513" t="s">
        <v>1506</v>
      </c>
      <c r="G4513" t="s">
        <v>415</v>
      </c>
      <c r="H4513" t="str">
        <f>VLOOKUP(record[[#This Row],[ProcessSN]],表格2_7[],2,FALSE)</f>
        <v>30-4118-018-5XX</v>
      </c>
      <c r="I4513" t="str">
        <f>VLOOKUP(record[[#This Row],[ProcessSN]],表格2_7[],3,FALSE)</f>
        <v>#04</v>
      </c>
      <c r="J4513" t="s">
        <v>588</v>
      </c>
      <c r="K4513" s="195">
        <v>46049.310312499998</v>
      </c>
      <c r="L4513">
        <v>133</v>
      </c>
      <c r="M4513">
        <v>0</v>
      </c>
      <c r="N4513" s="98" t="str">
        <f>IF(record[[#This Row],[Memo]]="Browser:chrome os:android","平板報工",IF(record[[#This Row],[Memo]]=0,"委外",record[[#This Row],[Memo]]))</f>
        <v/>
      </c>
      <c r="O4513" t="s">
        <v>58</v>
      </c>
      <c r="P4513" t="s">
        <v>806</v>
      </c>
      <c r="Q4513" t="s">
        <v>58</v>
      </c>
      <c r="R4513" t="str">
        <f>IFERROR(VLOOKUP(record[[#This Row],[PCUSTID]],廠商[],2,FALSE),"")</f>
        <v/>
      </c>
      <c r="S4513" t="str">
        <f>VLOOKUP(record[[#This Row],[employeeID]],員工[],2,FALSE)</f>
        <v>方思緯</v>
      </c>
    </row>
    <row r="4514" spans="6:19" hidden="1" x14ac:dyDescent="0.25">
      <c r="F4514" t="s">
        <v>1507</v>
      </c>
      <c r="G4514" t="s">
        <v>448</v>
      </c>
      <c r="H4514" t="str">
        <f>VLOOKUP(record[[#This Row],[ProcessSN]],表格2_7[],2,FALSE)</f>
        <v>30-4118-018-6XX</v>
      </c>
      <c r="I4514" t="str">
        <f>VLOOKUP(record[[#This Row],[ProcessSN]],表格2_7[],3,FALSE)</f>
        <v>#04</v>
      </c>
      <c r="J4514" t="s">
        <v>588</v>
      </c>
      <c r="K4514" s="195">
        <v>46049.310150462959</v>
      </c>
      <c r="L4514">
        <v>112</v>
      </c>
      <c r="M4514">
        <v>1</v>
      </c>
      <c r="N4514" s="98" t="str">
        <f>IF(record[[#This Row],[Memo]]="Browser:chrome os:android","平板報工",IF(record[[#This Row],[Memo]]=0,"委外",record[[#This Row],[Memo]]))</f>
        <v/>
      </c>
      <c r="O4514" t="s">
        <v>58</v>
      </c>
      <c r="P4514" t="s">
        <v>806</v>
      </c>
      <c r="Q4514" t="s">
        <v>58</v>
      </c>
      <c r="R4514" t="str">
        <f>IFERROR(VLOOKUP(record[[#This Row],[PCUSTID]],廠商[],2,FALSE),"")</f>
        <v/>
      </c>
      <c r="S4514" t="str">
        <f>VLOOKUP(record[[#This Row],[employeeID]],員工[],2,FALSE)</f>
        <v>方思緯</v>
      </c>
    </row>
    <row r="4515" spans="6:19" hidden="1" x14ac:dyDescent="0.25">
      <c r="F4515" t="s">
        <v>1474</v>
      </c>
      <c r="G4515" t="s">
        <v>451</v>
      </c>
      <c r="H4515" t="str">
        <f>VLOOKUP(record[[#This Row],[ProcessSN]],表格2_7[],2,FALSE)</f>
        <v>30-4118-018-6XX</v>
      </c>
      <c r="I4515" t="str">
        <f>VLOOKUP(record[[#This Row],[ProcessSN]],表格2_7[],3,FALSE)</f>
        <v>#07</v>
      </c>
      <c r="J4515" t="s">
        <v>588</v>
      </c>
      <c r="K4515" s="195">
        <v>46049.309398148151</v>
      </c>
      <c r="L4515">
        <v>192</v>
      </c>
      <c r="M4515">
        <v>2</v>
      </c>
      <c r="N4515" s="98" t="str">
        <f>IF(record[[#This Row],[Memo]]="Browser:chrome os:android","平板報工",IF(record[[#This Row],[Memo]]=0,"委外",record[[#This Row],[Memo]]))</f>
        <v/>
      </c>
      <c r="O4515" t="s">
        <v>58</v>
      </c>
      <c r="P4515" t="s">
        <v>843</v>
      </c>
      <c r="Q4515" t="s">
        <v>58</v>
      </c>
      <c r="R4515" t="str">
        <f>IFERROR(VLOOKUP(record[[#This Row],[PCUSTID]],廠商[],2,FALSE),"")</f>
        <v/>
      </c>
      <c r="S4515" t="str">
        <f>VLOOKUP(record[[#This Row],[employeeID]],員工[],2,FALSE)</f>
        <v>張楚承</v>
      </c>
    </row>
    <row r="4516" spans="6:19" hidden="1" x14ac:dyDescent="0.25">
      <c r="F4516" t="s">
        <v>1474</v>
      </c>
      <c r="G4516" t="s">
        <v>451</v>
      </c>
      <c r="H4516" t="str">
        <f>VLOOKUP(record[[#This Row],[ProcessSN]],表格2_7[],2,FALSE)</f>
        <v>30-4118-018-6XX</v>
      </c>
      <c r="I4516" t="str">
        <f>VLOOKUP(record[[#This Row],[ProcessSN]],表格2_7[],3,FALSE)</f>
        <v>#07</v>
      </c>
      <c r="J4516" t="s">
        <v>588</v>
      </c>
      <c r="K4516" s="195">
        <v>46048.963391203702</v>
      </c>
      <c r="L4516">
        <v>184</v>
      </c>
      <c r="M4516">
        <v>2</v>
      </c>
      <c r="N4516" s="98" t="str">
        <f>IF(record[[#This Row],[Memo]]="Browser:chrome os:android","平板報工",IF(record[[#This Row],[Memo]]=0,"委外",record[[#This Row],[Memo]]))</f>
        <v/>
      </c>
      <c r="O4516" t="s">
        <v>58</v>
      </c>
      <c r="P4516" t="s">
        <v>89</v>
      </c>
      <c r="Q4516" t="s">
        <v>58</v>
      </c>
      <c r="R4516" t="str">
        <f>IFERROR(VLOOKUP(record[[#This Row],[PCUSTID]],廠商[],2,FALSE),"")</f>
        <v/>
      </c>
      <c r="S4516" t="str">
        <f>VLOOKUP(record[[#This Row],[employeeID]],員工[],2,FALSE)</f>
        <v>李美蓮</v>
      </c>
    </row>
    <row r="4517" spans="6:19" hidden="1" x14ac:dyDescent="0.25">
      <c r="F4517" t="s">
        <v>1506</v>
      </c>
      <c r="G4517" t="s">
        <v>415</v>
      </c>
      <c r="H4517" t="str">
        <f>VLOOKUP(record[[#This Row],[ProcessSN]],表格2_7[],2,FALSE)</f>
        <v>30-4118-018-5XX</v>
      </c>
      <c r="I4517" t="str">
        <f>VLOOKUP(record[[#This Row],[ProcessSN]],表格2_7[],3,FALSE)</f>
        <v>#04</v>
      </c>
      <c r="J4517" t="s">
        <v>588</v>
      </c>
      <c r="K4517" s="195">
        <v>46048.959467592591</v>
      </c>
      <c r="L4517">
        <v>88</v>
      </c>
      <c r="M4517">
        <v>0</v>
      </c>
      <c r="N4517" s="98" t="str">
        <f>IF(record[[#This Row],[Memo]]="Browser:chrome os:android","平板報工",IF(record[[#This Row],[Memo]]=0,"委外",record[[#This Row],[Memo]]))</f>
        <v/>
      </c>
      <c r="O4517" t="s">
        <v>58</v>
      </c>
      <c r="P4517" t="s">
        <v>1098</v>
      </c>
      <c r="Q4517" t="s">
        <v>58</v>
      </c>
      <c r="R4517" t="str">
        <f>IFERROR(VLOOKUP(record[[#This Row],[PCUSTID]],廠商[],2,FALSE),"")</f>
        <v/>
      </c>
      <c r="S4517" t="str">
        <f>VLOOKUP(record[[#This Row],[employeeID]],員工[],2,FALSE)</f>
        <v>阮氏芳英(英)</v>
      </c>
    </row>
    <row r="4518" spans="6:19" hidden="1" x14ac:dyDescent="0.25">
      <c r="F4518" t="s">
        <v>1507</v>
      </c>
      <c r="G4518" t="s">
        <v>448</v>
      </c>
      <c r="H4518" t="str">
        <f>VLOOKUP(record[[#This Row],[ProcessSN]],表格2_7[],2,FALSE)</f>
        <v>30-4118-018-6XX</v>
      </c>
      <c r="I4518" t="str">
        <f>VLOOKUP(record[[#This Row],[ProcessSN]],表格2_7[],3,FALSE)</f>
        <v>#04</v>
      </c>
      <c r="J4518" t="s">
        <v>588</v>
      </c>
      <c r="K4518" s="195">
        <v>46048.959189814814</v>
      </c>
      <c r="L4518">
        <v>81</v>
      </c>
      <c r="M4518">
        <v>5</v>
      </c>
      <c r="N4518" s="98" t="str">
        <f>IF(record[[#This Row],[Memo]]="Browser:chrome os:android","平板報工",IF(record[[#This Row],[Memo]]=0,"委外",record[[#This Row],[Memo]]))</f>
        <v/>
      </c>
      <c r="O4518" t="s">
        <v>58</v>
      </c>
      <c r="P4518" t="s">
        <v>1098</v>
      </c>
      <c r="Q4518" t="s">
        <v>58</v>
      </c>
      <c r="R4518" t="str">
        <f>IFERROR(VLOOKUP(record[[#This Row],[PCUSTID]],廠商[],2,FALSE),"")</f>
        <v/>
      </c>
      <c r="S4518" t="str">
        <f>VLOOKUP(record[[#This Row],[employeeID]],員工[],2,FALSE)</f>
        <v>阮氏芳英(英)</v>
      </c>
    </row>
    <row r="4519" spans="6:19" hidden="1" x14ac:dyDescent="0.25">
      <c r="F4519" t="s">
        <v>1474</v>
      </c>
      <c r="G4519" t="s">
        <v>450</v>
      </c>
      <c r="H4519" t="str">
        <f>VLOOKUP(record[[#This Row],[ProcessSN]],表格2_7[],2,FALSE)</f>
        <v>30-4118-018-6XX</v>
      </c>
      <c r="I4519" t="str">
        <f>VLOOKUP(record[[#This Row],[ProcessSN]],表格2_7[],3,FALSE)</f>
        <v>#06</v>
      </c>
      <c r="J4519" t="s">
        <v>593</v>
      </c>
      <c r="K4519" s="195">
        <v>46048.957349537035</v>
      </c>
      <c r="L4519">
        <v>133</v>
      </c>
      <c r="M4519">
        <v>0</v>
      </c>
      <c r="N4519" s="98" t="str">
        <f>IF(record[[#This Row],[Memo]]="Browser:chrome os:android","平板報工",IF(record[[#This Row],[Memo]]=0,"委外",record[[#This Row],[Memo]]))</f>
        <v/>
      </c>
      <c r="O4519" t="s">
        <v>58</v>
      </c>
      <c r="P4519" t="s">
        <v>176</v>
      </c>
      <c r="Q4519" t="s">
        <v>58</v>
      </c>
      <c r="R4519" t="str">
        <f>IFERROR(VLOOKUP(record[[#This Row],[PCUSTID]],廠商[],2,FALSE),"")</f>
        <v/>
      </c>
      <c r="S4519" t="str">
        <f>VLOOKUP(record[[#This Row],[employeeID]],員工[],2,FALSE)</f>
        <v>郭政雄</v>
      </c>
    </row>
    <row r="4520" spans="6:19" hidden="1" x14ac:dyDescent="0.25">
      <c r="F4520" t="s">
        <v>1450</v>
      </c>
      <c r="G4520" t="s">
        <v>466</v>
      </c>
      <c r="H4520" t="str">
        <f>VLOOKUP(record[[#This Row],[ProcessSN]],表格2_7[],2,FALSE)</f>
        <v>30-4118-018-XXX</v>
      </c>
      <c r="I4520" t="str">
        <f>VLOOKUP(record[[#This Row],[ProcessSN]],表格2_7[],3,FALSE)</f>
        <v>#01-2</v>
      </c>
      <c r="J4520" t="s">
        <v>588</v>
      </c>
      <c r="K4520" s="195">
        <v>46048.840902777774</v>
      </c>
      <c r="L4520">
        <v>255</v>
      </c>
      <c r="M4520">
        <v>0</v>
      </c>
      <c r="N4520" s="98" t="str">
        <f>IF(record[[#This Row],[Memo]]="Browser:chrome os:android","平板報工",IF(record[[#This Row],[Memo]]=0,"委外",record[[#This Row],[Memo]]))</f>
        <v/>
      </c>
      <c r="O4520" t="s">
        <v>58</v>
      </c>
      <c r="P4520" t="s">
        <v>1098</v>
      </c>
      <c r="Q4520" t="s">
        <v>58</v>
      </c>
      <c r="R4520" t="str">
        <f>IFERROR(VLOOKUP(record[[#This Row],[PCUSTID]],廠商[],2,FALSE),"")</f>
        <v/>
      </c>
      <c r="S4520" t="str">
        <f>VLOOKUP(record[[#This Row],[employeeID]],員工[],2,FALSE)</f>
        <v>阮氏芳英(英)</v>
      </c>
    </row>
    <row r="4521" spans="6:19" hidden="1" x14ac:dyDescent="0.25">
      <c r="F4521" t="s">
        <v>1450</v>
      </c>
      <c r="G4521" t="s">
        <v>465</v>
      </c>
      <c r="H4521" t="str">
        <f>VLOOKUP(record[[#This Row],[ProcessSN]],表格2_7[],2,FALSE)</f>
        <v>30-4118-018-XXX</v>
      </c>
      <c r="I4521" t="str">
        <f>VLOOKUP(record[[#This Row],[ProcessSN]],表格2_7[],3,FALSE)</f>
        <v>#01-1</v>
      </c>
      <c r="J4521" t="s">
        <v>588</v>
      </c>
      <c r="K4521" s="195">
        <v>46048.840150462966</v>
      </c>
      <c r="L4521">
        <v>255</v>
      </c>
      <c r="M4521">
        <v>0</v>
      </c>
      <c r="N4521" s="98" t="str">
        <f>IF(record[[#This Row],[Memo]]="Browser:chrome os:android","平板報工",IF(record[[#This Row],[Memo]]=0,"委外",record[[#This Row],[Memo]]))</f>
        <v/>
      </c>
      <c r="O4521" t="s">
        <v>58</v>
      </c>
      <c r="P4521" t="s">
        <v>1098</v>
      </c>
      <c r="Q4521" t="s">
        <v>58</v>
      </c>
      <c r="R4521" t="str">
        <f>IFERROR(VLOOKUP(record[[#This Row],[PCUSTID]],廠商[],2,FALSE),"")</f>
        <v/>
      </c>
      <c r="S4521" t="str">
        <f>VLOOKUP(record[[#This Row],[employeeID]],員工[],2,FALSE)</f>
        <v>阮氏芳英(英)</v>
      </c>
    </row>
    <row r="4522" spans="6:19" hidden="1" x14ac:dyDescent="0.25">
      <c r="F4522" t="s">
        <v>1507</v>
      </c>
      <c r="G4522" t="s">
        <v>447</v>
      </c>
      <c r="H4522" t="str">
        <f>VLOOKUP(record[[#This Row],[ProcessSN]],表格2_7[],2,FALSE)</f>
        <v>30-4118-018-6XX</v>
      </c>
      <c r="I4522" t="str">
        <f>VLOOKUP(record[[#This Row],[ProcessSN]],表格2_7[],3,FALSE)</f>
        <v>#03</v>
      </c>
      <c r="J4522" t="s">
        <v>588</v>
      </c>
      <c r="K4522" s="195">
        <v>46048.839513888888</v>
      </c>
      <c r="L4522">
        <v>132</v>
      </c>
      <c r="M4522">
        <v>0</v>
      </c>
      <c r="N4522" s="98" t="str">
        <f>IF(record[[#This Row],[Memo]]="Browser:chrome os:android","平板報工",IF(record[[#This Row],[Memo]]=0,"委外",record[[#This Row],[Memo]]))</f>
        <v/>
      </c>
      <c r="O4522" t="s">
        <v>58</v>
      </c>
      <c r="P4522" t="s">
        <v>133</v>
      </c>
      <c r="Q4522" t="s">
        <v>58</v>
      </c>
      <c r="R4522" t="str">
        <f>IFERROR(VLOOKUP(record[[#This Row],[PCUSTID]],廠商[],2,FALSE),"")</f>
        <v/>
      </c>
      <c r="S4522" t="str">
        <f>VLOOKUP(record[[#This Row],[employeeID]],員工[],2,FALSE)</f>
        <v>黎長維</v>
      </c>
    </row>
    <row r="4523" spans="6:19" hidden="1" x14ac:dyDescent="0.25">
      <c r="F4523" t="s">
        <v>1497</v>
      </c>
      <c r="G4523" t="s">
        <v>403</v>
      </c>
      <c r="H4523" t="str">
        <f>VLOOKUP(record[[#This Row],[ProcessSN]],表格2_7[],2,FALSE)</f>
        <v>30-4118-018-550</v>
      </c>
      <c r="I4523" t="str">
        <f>VLOOKUP(record[[#This Row],[ProcessSN]],表格2_7[],3,FALSE)</f>
        <v>#100SHIP</v>
      </c>
      <c r="J4523" t="s">
        <v>600</v>
      </c>
      <c r="K4523" s="195">
        <v>46048.700497685182</v>
      </c>
      <c r="L4523">
        <v>409</v>
      </c>
      <c r="M4523">
        <v>0</v>
      </c>
      <c r="N4523" s="98" t="str">
        <f>IF(record[[#This Row],[Memo]]="Browser:chrome os:android","平板報工",IF(record[[#This Row],[Memo]]=0,"委外",record[[#This Row],[Memo]]))</f>
        <v>平板報工</v>
      </c>
      <c r="O4523" t="s">
        <v>643</v>
      </c>
      <c r="P4523" t="s">
        <v>886</v>
      </c>
      <c r="Q4523" t="s">
        <v>644</v>
      </c>
      <c r="R4523" t="str">
        <f>IFERROR(VLOOKUP(record[[#This Row],[PCUSTID]],廠商[],2,FALSE),"")</f>
        <v/>
      </c>
      <c r="S4523" t="str">
        <f>VLOOKUP(record[[#This Row],[employeeID]],員工[],2,FALSE)</f>
        <v>謝蓁薰</v>
      </c>
    </row>
    <row r="4524" spans="6:19" hidden="1" x14ac:dyDescent="0.25">
      <c r="F4524" t="s">
        <v>1497</v>
      </c>
      <c r="G4524" t="s">
        <v>402</v>
      </c>
      <c r="H4524" t="str">
        <f>VLOOKUP(record[[#This Row],[ProcessSN]],表格2_7[],2,FALSE)</f>
        <v>30-4118-018-550</v>
      </c>
      <c r="I4524" t="str">
        <f>VLOOKUP(record[[#This Row],[ProcessSN]],表格2_7[],3,FALSE)</f>
        <v>#100STOCK</v>
      </c>
      <c r="J4524" t="s">
        <v>592</v>
      </c>
      <c r="K4524" s="195">
        <v>46048.700277777774</v>
      </c>
      <c r="L4524">
        <v>409</v>
      </c>
      <c r="M4524">
        <v>0</v>
      </c>
      <c r="N4524" s="98" t="str">
        <f>IF(record[[#This Row],[Memo]]="Browser:chrome os:android","平板報工",IF(record[[#This Row],[Memo]]=0,"委外",record[[#This Row],[Memo]]))</f>
        <v>平板報工</v>
      </c>
      <c r="O4524" t="s">
        <v>643</v>
      </c>
      <c r="P4524" t="s">
        <v>886</v>
      </c>
      <c r="Q4524" t="s">
        <v>644</v>
      </c>
      <c r="R4524" t="str">
        <f>IFERROR(VLOOKUP(record[[#This Row],[PCUSTID]],廠商[],2,FALSE),"")</f>
        <v/>
      </c>
      <c r="S4524" t="str">
        <f>VLOOKUP(record[[#This Row],[employeeID]],員工[],2,FALSE)</f>
        <v>謝蓁薰</v>
      </c>
    </row>
    <row r="4525" spans="6:19" hidden="1" x14ac:dyDescent="0.25">
      <c r="F4525" t="s">
        <v>1480</v>
      </c>
      <c r="G4525" t="s">
        <v>403</v>
      </c>
      <c r="H4525" t="str">
        <f>VLOOKUP(record[[#This Row],[ProcessSN]],表格2_7[],2,FALSE)</f>
        <v>30-4118-018-550</v>
      </c>
      <c r="I4525" t="str">
        <f>VLOOKUP(record[[#This Row],[ProcessSN]],表格2_7[],3,FALSE)</f>
        <v>#100SHIP</v>
      </c>
      <c r="J4525" t="s">
        <v>600</v>
      </c>
      <c r="K4525" s="195">
        <v>46048.699976851851</v>
      </c>
      <c r="L4525">
        <v>270</v>
      </c>
      <c r="M4525">
        <v>0</v>
      </c>
      <c r="N4525" s="98" t="str">
        <f>IF(record[[#This Row],[Memo]]="Browser:chrome os:android","平板報工",IF(record[[#This Row],[Memo]]=0,"委外",record[[#This Row],[Memo]]))</f>
        <v>平板報工</v>
      </c>
      <c r="O4525" t="s">
        <v>643</v>
      </c>
      <c r="P4525" t="s">
        <v>886</v>
      </c>
      <c r="Q4525" t="s">
        <v>644</v>
      </c>
      <c r="R4525" t="str">
        <f>IFERROR(VLOOKUP(record[[#This Row],[PCUSTID]],廠商[],2,FALSE),"")</f>
        <v/>
      </c>
      <c r="S4525" t="str">
        <f>VLOOKUP(record[[#This Row],[employeeID]],員工[],2,FALSE)</f>
        <v>謝蓁薰</v>
      </c>
    </row>
    <row r="4526" spans="6:19" hidden="1" x14ac:dyDescent="0.25">
      <c r="F4526" t="s">
        <v>1480</v>
      </c>
      <c r="G4526" t="s">
        <v>402</v>
      </c>
      <c r="H4526" t="str">
        <f>VLOOKUP(record[[#This Row],[ProcessSN]],表格2_7[],2,FALSE)</f>
        <v>30-4118-018-550</v>
      </c>
      <c r="I4526" t="str">
        <f>VLOOKUP(record[[#This Row],[ProcessSN]],表格2_7[],3,FALSE)</f>
        <v>#100STOCK</v>
      </c>
      <c r="J4526" t="s">
        <v>592</v>
      </c>
      <c r="K4526" s="195">
        <v>46048.69976851852</v>
      </c>
      <c r="L4526">
        <v>270</v>
      </c>
      <c r="M4526">
        <v>0</v>
      </c>
      <c r="N4526" s="98" t="str">
        <f>IF(record[[#This Row],[Memo]]="Browser:chrome os:android","平板報工",IF(record[[#This Row],[Memo]]=0,"委外",record[[#This Row],[Memo]]))</f>
        <v>平板報工</v>
      </c>
      <c r="O4526" t="s">
        <v>643</v>
      </c>
      <c r="P4526" t="s">
        <v>886</v>
      </c>
      <c r="Q4526" t="s">
        <v>644</v>
      </c>
      <c r="R4526" t="str">
        <f>IFERROR(VLOOKUP(record[[#This Row],[PCUSTID]],廠商[],2,FALSE),"")</f>
        <v/>
      </c>
      <c r="S4526" t="str">
        <f>VLOOKUP(record[[#This Row],[employeeID]],員工[],2,FALSE)</f>
        <v>謝蓁薰</v>
      </c>
    </row>
    <row r="4527" spans="6:19" hidden="1" x14ac:dyDescent="0.25">
      <c r="F4527" t="s">
        <v>1476</v>
      </c>
      <c r="G4527" t="s">
        <v>403</v>
      </c>
      <c r="H4527" t="str">
        <f>VLOOKUP(record[[#This Row],[ProcessSN]],表格2_7[],2,FALSE)</f>
        <v>30-4118-018-550</v>
      </c>
      <c r="I4527" t="str">
        <f>VLOOKUP(record[[#This Row],[ProcessSN]],表格2_7[],3,FALSE)</f>
        <v>#100SHIP</v>
      </c>
      <c r="J4527" t="s">
        <v>600</v>
      </c>
      <c r="K4527" s="195">
        <v>46048.69939814815</v>
      </c>
      <c r="L4527">
        <v>281</v>
      </c>
      <c r="M4527">
        <v>0</v>
      </c>
      <c r="N4527" s="98" t="str">
        <f>IF(record[[#This Row],[Memo]]="Browser:chrome os:android","平板報工",IF(record[[#This Row],[Memo]]=0,"委外",record[[#This Row],[Memo]]))</f>
        <v>平板報工</v>
      </c>
      <c r="O4527" t="s">
        <v>643</v>
      </c>
      <c r="P4527" t="s">
        <v>886</v>
      </c>
      <c r="Q4527" t="s">
        <v>644</v>
      </c>
      <c r="R4527" t="str">
        <f>IFERROR(VLOOKUP(record[[#This Row],[PCUSTID]],廠商[],2,FALSE),"")</f>
        <v/>
      </c>
      <c r="S4527" t="str">
        <f>VLOOKUP(record[[#This Row],[employeeID]],員工[],2,FALSE)</f>
        <v>謝蓁薰</v>
      </c>
    </row>
    <row r="4528" spans="6:19" hidden="1" x14ac:dyDescent="0.25">
      <c r="F4528" t="s">
        <v>1494</v>
      </c>
      <c r="G4528" t="s">
        <v>424</v>
      </c>
      <c r="H4528" t="str">
        <f>VLOOKUP(record[[#This Row],[ProcessSN]],表格2_7[],2,FALSE)</f>
        <v>30-4118-018-600</v>
      </c>
      <c r="I4528" t="str">
        <f>VLOOKUP(record[[#This Row],[ProcessSN]],表格2_7[],3,FALSE)</f>
        <v>#08IQC</v>
      </c>
      <c r="J4528" t="s">
        <v>583</v>
      </c>
      <c r="K4528" s="195">
        <v>46048.696122685185</v>
      </c>
      <c r="L4528">
        <v>135</v>
      </c>
      <c r="M4528">
        <v>0</v>
      </c>
      <c r="N4528" s="98" t="str">
        <f>IF(record[[#This Row],[Memo]]="Browser:chrome os:android","平板報工",IF(record[[#This Row],[Memo]]=0,"委外",record[[#This Row],[Memo]]))</f>
        <v/>
      </c>
      <c r="O4528" t="s">
        <v>58</v>
      </c>
      <c r="P4528" t="s">
        <v>109</v>
      </c>
      <c r="Q4528" t="s">
        <v>58</v>
      </c>
      <c r="R4528" t="str">
        <f>IFERROR(VLOOKUP(record[[#This Row],[PCUSTID]],廠商[],2,FALSE),"")</f>
        <v/>
      </c>
      <c r="S4528" t="str">
        <f>VLOOKUP(record[[#This Row],[employeeID]],員工[],2,FALSE)</f>
        <v>裴氏璧鳳</v>
      </c>
    </row>
    <row r="4529" spans="6:19" hidden="1" x14ac:dyDescent="0.25">
      <c r="F4529" t="s">
        <v>1237</v>
      </c>
      <c r="G4529" t="s">
        <v>400</v>
      </c>
      <c r="H4529" t="str">
        <f>VLOOKUP(record[[#This Row],[ProcessSN]],表格2_7[],2,FALSE)</f>
        <v>30-4118-018-550</v>
      </c>
      <c r="I4529" t="str">
        <f>VLOOKUP(record[[#This Row],[ProcessSN]],表格2_7[],3,FALSE)</f>
        <v>#100</v>
      </c>
      <c r="J4529" t="s">
        <v>598</v>
      </c>
      <c r="K4529" s="195">
        <v>46048.695081018515</v>
      </c>
      <c r="L4529">
        <v>28</v>
      </c>
      <c r="M4529">
        <v>0</v>
      </c>
      <c r="N4529" s="98" t="str">
        <f>IF(record[[#This Row],[Memo]]="Browser:chrome os:android","平板報工",IF(record[[#This Row],[Memo]]=0,"委外",record[[#This Row],[Memo]]))</f>
        <v>覆回補漆</v>
      </c>
      <c r="O4529" t="s">
        <v>1513</v>
      </c>
      <c r="P4529" t="s">
        <v>141</v>
      </c>
      <c r="Q4529" t="s">
        <v>58</v>
      </c>
      <c r="R4529" t="str">
        <f>IFERROR(VLOOKUP(record[[#This Row],[PCUSTID]],廠商[],2,FALSE),"")</f>
        <v/>
      </c>
      <c r="S4529" t="str">
        <f>VLOOKUP(record[[#This Row],[employeeID]],員工[],2,FALSE)</f>
        <v>蔣梅</v>
      </c>
    </row>
    <row r="4530" spans="6:19" hidden="1" x14ac:dyDescent="0.25">
      <c r="F4530" t="s">
        <v>1237</v>
      </c>
      <c r="G4530" t="s">
        <v>399</v>
      </c>
      <c r="H4530" t="str">
        <f>VLOOKUP(record[[#This Row],[ProcessSN]],表格2_7[],2,FALSE)</f>
        <v>30-4118-018-550</v>
      </c>
      <c r="I4530" t="str">
        <f>VLOOKUP(record[[#This Row],[ProcessSN]],表格2_7[],3,FALSE)</f>
        <v>#08IQC</v>
      </c>
      <c r="J4530" t="s">
        <v>583</v>
      </c>
      <c r="K4530" s="195">
        <v>46048.694918981484</v>
      </c>
      <c r="L4530">
        <v>28</v>
      </c>
      <c r="M4530">
        <v>0</v>
      </c>
      <c r="N4530" s="98" t="str">
        <f>IF(record[[#This Row],[Memo]]="Browser:chrome os:android","平板報工",IF(record[[#This Row],[Memo]]=0,"委外",record[[#This Row],[Memo]]))</f>
        <v>覆回補漆</v>
      </c>
      <c r="O4530" t="s">
        <v>1513</v>
      </c>
      <c r="P4530" t="s">
        <v>141</v>
      </c>
      <c r="Q4530" t="s">
        <v>58</v>
      </c>
      <c r="R4530" t="str">
        <f>IFERROR(VLOOKUP(record[[#This Row],[PCUSTID]],廠商[],2,FALSE),"")</f>
        <v/>
      </c>
      <c r="S4530" t="str">
        <f>VLOOKUP(record[[#This Row],[employeeID]],員工[],2,FALSE)</f>
        <v>蔣梅</v>
      </c>
    </row>
    <row r="4531" spans="6:19" hidden="1" x14ac:dyDescent="0.25">
      <c r="F4531" t="s">
        <v>1237</v>
      </c>
      <c r="G4531" t="s">
        <v>398</v>
      </c>
      <c r="H4531" t="str">
        <f>VLOOKUP(record[[#This Row],[ProcessSN]],表格2_7[],2,FALSE)</f>
        <v>30-4118-018-550</v>
      </c>
      <c r="I4531" t="str">
        <f>VLOOKUP(record[[#This Row],[ProcessSN]],表格2_7[],3,FALSE)</f>
        <v>#08RCV</v>
      </c>
      <c r="J4531" t="s">
        <v>591</v>
      </c>
      <c r="K4531" s="195">
        <v>46048.694756944446</v>
      </c>
      <c r="L4531">
        <v>28</v>
      </c>
      <c r="M4531">
        <v>0</v>
      </c>
      <c r="N4531" s="98" t="str">
        <f>IF(record[[#This Row],[Memo]]="Browser:chrome os:android","平板報工",IF(record[[#This Row],[Memo]]=0,"委外",record[[#This Row],[Memo]]))</f>
        <v>覆回補漆</v>
      </c>
      <c r="O4531" t="s">
        <v>1513</v>
      </c>
      <c r="P4531" t="s">
        <v>141</v>
      </c>
      <c r="Q4531" t="s">
        <v>58</v>
      </c>
      <c r="R4531" t="str">
        <f>IFERROR(VLOOKUP(record[[#This Row],[PCUSTID]],廠商[],2,FALSE),"")</f>
        <v/>
      </c>
      <c r="S4531" t="str">
        <f>VLOOKUP(record[[#This Row],[employeeID]],員工[],2,FALSE)</f>
        <v>蔣梅</v>
      </c>
    </row>
    <row r="4532" spans="6:19" hidden="1" x14ac:dyDescent="0.25">
      <c r="F4532" t="s">
        <v>1048</v>
      </c>
      <c r="G4532" t="s">
        <v>400</v>
      </c>
      <c r="H4532" t="str">
        <f>VLOOKUP(record[[#This Row],[ProcessSN]],表格2_7[],2,FALSE)</f>
        <v>30-4118-018-550</v>
      </c>
      <c r="I4532" t="str">
        <f>VLOOKUP(record[[#This Row],[ProcessSN]],表格2_7[],3,FALSE)</f>
        <v>#100</v>
      </c>
      <c r="J4532" t="s">
        <v>598</v>
      </c>
      <c r="K4532" s="195">
        <v>46048.692824074074</v>
      </c>
      <c r="L4532">
        <v>6</v>
      </c>
      <c r="M4532">
        <v>0</v>
      </c>
      <c r="N4532" s="98" t="str">
        <f>IF(record[[#This Row],[Memo]]="Browser:chrome os:android","平板報工",IF(record[[#This Row],[Memo]]=0,"委外",record[[#This Row],[Memo]]))</f>
        <v>覆回補漆</v>
      </c>
      <c r="O4532" t="s">
        <v>1513</v>
      </c>
      <c r="P4532" t="s">
        <v>141</v>
      </c>
      <c r="Q4532" t="s">
        <v>58</v>
      </c>
      <c r="R4532" t="str">
        <f>IFERROR(VLOOKUP(record[[#This Row],[PCUSTID]],廠商[],2,FALSE),"")</f>
        <v/>
      </c>
      <c r="S4532" t="str">
        <f>VLOOKUP(record[[#This Row],[employeeID]],員工[],2,FALSE)</f>
        <v>蔣梅</v>
      </c>
    </row>
    <row r="4533" spans="6:19" hidden="1" x14ac:dyDescent="0.25">
      <c r="F4533" t="s">
        <v>1497</v>
      </c>
      <c r="G4533" t="s">
        <v>401</v>
      </c>
      <c r="H4533" t="str">
        <f>VLOOKUP(record[[#This Row],[ProcessSN]],表格2_7[],2,FALSE)</f>
        <v>30-4118-018-550</v>
      </c>
      <c r="I4533" t="str">
        <f>VLOOKUP(record[[#This Row],[ProcessSN]],表格2_7[],3,FALSE)</f>
        <v>#100OQC</v>
      </c>
      <c r="J4533" t="s">
        <v>599</v>
      </c>
      <c r="K4533" s="195">
        <v>46048.692395833335</v>
      </c>
      <c r="L4533">
        <v>543</v>
      </c>
      <c r="M4533">
        <v>0</v>
      </c>
      <c r="N4533" s="98" t="str">
        <f>IF(record[[#This Row],[Memo]]="Browser:chrome os:android","平板報工",IF(record[[#This Row],[Memo]]=0,"委外",record[[#This Row],[Memo]]))</f>
        <v/>
      </c>
      <c r="O4533" t="s">
        <v>58</v>
      </c>
      <c r="P4533" t="s">
        <v>121</v>
      </c>
      <c r="Q4533" t="s">
        <v>58</v>
      </c>
      <c r="R4533" t="str">
        <f>IFERROR(VLOOKUP(record[[#This Row],[PCUSTID]],廠商[],2,FALSE),"")</f>
        <v/>
      </c>
      <c r="S4533" t="str">
        <f>VLOOKUP(record[[#This Row],[employeeID]],員工[],2,FALSE)</f>
        <v>謝素卿</v>
      </c>
    </row>
    <row r="4534" spans="6:19" hidden="1" x14ac:dyDescent="0.25">
      <c r="F4534" t="s">
        <v>1200</v>
      </c>
      <c r="G4534" t="s">
        <v>400</v>
      </c>
      <c r="H4534" t="str">
        <f>VLOOKUP(record[[#This Row],[ProcessSN]],表格2_7[],2,FALSE)</f>
        <v>30-4118-018-550</v>
      </c>
      <c r="I4534" t="str">
        <f>VLOOKUP(record[[#This Row],[ProcessSN]],表格2_7[],3,FALSE)</f>
        <v>#100</v>
      </c>
      <c r="J4534" t="s">
        <v>598</v>
      </c>
      <c r="K4534" s="195">
        <v>46048.69190972222</v>
      </c>
      <c r="L4534">
        <v>8</v>
      </c>
      <c r="M4534">
        <v>0</v>
      </c>
      <c r="N4534" s="98" t="str">
        <f>IF(record[[#This Row],[Memo]]="Browser:chrome os:android","平板報工",IF(record[[#This Row],[Memo]]=0,"委外",record[[#This Row],[Memo]]))</f>
        <v>覆回補漆</v>
      </c>
      <c r="O4534" t="s">
        <v>1513</v>
      </c>
      <c r="P4534" t="s">
        <v>141</v>
      </c>
      <c r="Q4534" t="s">
        <v>58</v>
      </c>
      <c r="R4534" t="str">
        <f>IFERROR(VLOOKUP(record[[#This Row],[PCUSTID]],廠商[],2,FALSE),"")</f>
        <v/>
      </c>
      <c r="S4534" t="str">
        <f>VLOOKUP(record[[#This Row],[employeeID]],員工[],2,FALSE)</f>
        <v>蔣梅</v>
      </c>
    </row>
    <row r="4535" spans="6:19" hidden="1" x14ac:dyDescent="0.25">
      <c r="F4535" t="s">
        <v>1497</v>
      </c>
      <c r="G4535" t="s">
        <v>400</v>
      </c>
      <c r="H4535" t="str">
        <f>VLOOKUP(record[[#This Row],[ProcessSN]],表格2_7[],2,FALSE)</f>
        <v>30-4118-018-550</v>
      </c>
      <c r="I4535" t="str">
        <f>VLOOKUP(record[[#This Row],[ProcessSN]],表格2_7[],3,FALSE)</f>
        <v>#100</v>
      </c>
      <c r="J4535" t="s">
        <v>598</v>
      </c>
      <c r="K4535" s="195">
        <v>46048.688877314817</v>
      </c>
      <c r="L4535">
        <v>543</v>
      </c>
      <c r="M4535">
        <v>0</v>
      </c>
      <c r="N4535" s="98" t="str">
        <f>IF(record[[#This Row],[Memo]]="Browser:chrome os:android","平板報工",IF(record[[#This Row],[Memo]]=0,"委外",record[[#This Row],[Memo]]))</f>
        <v/>
      </c>
      <c r="O4535" t="s">
        <v>58</v>
      </c>
      <c r="P4535" t="s">
        <v>141</v>
      </c>
      <c r="Q4535" t="s">
        <v>58</v>
      </c>
      <c r="R4535" t="str">
        <f>IFERROR(VLOOKUP(record[[#This Row],[PCUSTID]],廠商[],2,FALSE),"")</f>
        <v/>
      </c>
      <c r="S4535" t="str">
        <f>VLOOKUP(record[[#This Row],[employeeID]],員工[],2,FALSE)</f>
        <v>蔣梅</v>
      </c>
    </row>
    <row r="4536" spans="6:19" hidden="1" x14ac:dyDescent="0.25">
      <c r="F4536" t="s">
        <v>1497</v>
      </c>
      <c r="G4536" t="s">
        <v>399</v>
      </c>
      <c r="H4536" t="str">
        <f>VLOOKUP(record[[#This Row],[ProcessSN]],表格2_7[],2,FALSE)</f>
        <v>30-4118-018-550</v>
      </c>
      <c r="I4536" t="str">
        <f>VLOOKUP(record[[#This Row],[ProcessSN]],表格2_7[],3,FALSE)</f>
        <v>#08IQC</v>
      </c>
      <c r="J4536" t="s">
        <v>583</v>
      </c>
      <c r="K4536" s="195">
        <v>46048.68855324074</v>
      </c>
      <c r="L4536">
        <v>5</v>
      </c>
      <c r="M4536">
        <v>0</v>
      </c>
      <c r="N4536" s="98" t="str">
        <f>IF(record[[#This Row],[Memo]]="Browser:chrome os:android","平板報工",IF(record[[#This Row],[Memo]]=0,"委外",record[[#This Row],[Memo]]))</f>
        <v>覆回</v>
      </c>
      <c r="O4536" t="s">
        <v>682</v>
      </c>
      <c r="P4536" t="s">
        <v>141</v>
      </c>
      <c r="Q4536" t="s">
        <v>58</v>
      </c>
      <c r="R4536" t="str">
        <f>IFERROR(VLOOKUP(record[[#This Row],[PCUSTID]],廠商[],2,FALSE),"")</f>
        <v/>
      </c>
      <c r="S4536" t="str">
        <f>VLOOKUP(record[[#This Row],[employeeID]],員工[],2,FALSE)</f>
        <v>蔣梅</v>
      </c>
    </row>
    <row r="4537" spans="6:19" hidden="1" x14ac:dyDescent="0.25">
      <c r="F4537" t="s">
        <v>1497</v>
      </c>
      <c r="G4537" t="s">
        <v>398</v>
      </c>
      <c r="H4537" t="str">
        <f>VLOOKUP(record[[#This Row],[ProcessSN]],表格2_7[],2,FALSE)</f>
        <v>30-4118-018-550</v>
      </c>
      <c r="I4537" t="str">
        <f>VLOOKUP(record[[#This Row],[ProcessSN]],表格2_7[],3,FALSE)</f>
        <v>#08RCV</v>
      </c>
      <c r="J4537" t="s">
        <v>591</v>
      </c>
      <c r="K4537" s="195">
        <v>46048.688379629632</v>
      </c>
      <c r="L4537">
        <v>5</v>
      </c>
      <c r="M4537">
        <v>0</v>
      </c>
      <c r="N4537" s="98" t="str">
        <f>IF(record[[#This Row],[Memo]]="Browser:chrome os:android","平板報工",IF(record[[#This Row],[Memo]]=0,"委外",record[[#This Row],[Memo]]))</f>
        <v>覆回</v>
      </c>
      <c r="O4537" t="s">
        <v>682</v>
      </c>
      <c r="P4537" t="s">
        <v>141</v>
      </c>
      <c r="Q4537" t="s">
        <v>58</v>
      </c>
      <c r="R4537" t="str">
        <f>IFERROR(VLOOKUP(record[[#This Row],[PCUSTID]],廠商[],2,FALSE),"")</f>
        <v/>
      </c>
      <c r="S4537" t="str">
        <f>VLOOKUP(record[[#This Row],[employeeID]],員工[],2,FALSE)</f>
        <v>蔣梅</v>
      </c>
    </row>
    <row r="4538" spans="6:19" hidden="1" x14ac:dyDescent="0.25">
      <c r="F4538" t="s">
        <v>1450</v>
      </c>
      <c r="G4538" t="s">
        <v>466</v>
      </c>
      <c r="H4538" t="str">
        <f>VLOOKUP(record[[#This Row],[ProcessSN]],表格2_7[],2,FALSE)</f>
        <v>30-4118-018-XXX</v>
      </c>
      <c r="I4538" t="str">
        <f>VLOOKUP(record[[#This Row],[ProcessSN]],表格2_7[],3,FALSE)</f>
        <v>#01-2</v>
      </c>
      <c r="J4538" t="s">
        <v>588</v>
      </c>
      <c r="K4538" s="195">
        <v>46048.685208333336</v>
      </c>
      <c r="L4538">
        <v>542</v>
      </c>
      <c r="M4538">
        <v>0</v>
      </c>
      <c r="N4538" s="98" t="str">
        <f>IF(record[[#This Row],[Memo]]="Browser:chrome os:android","平板報工",IF(record[[#This Row],[Memo]]=0,"委外",record[[#This Row],[Memo]]))</f>
        <v/>
      </c>
      <c r="O4538" t="s">
        <v>58</v>
      </c>
      <c r="P4538" t="s">
        <v>107</v>
      </c>
      <c r="Q4538" t="s">
        <v>58</v>
      </c>
      <c r="R4538" t="str">
        <f>IFERROR(VLOOKUP(record[[#This Row],[PCUSTID]],廠商[],2,FALSE),"")</f>
        <v/>
      </c>
      <c r="S4538" t="str">
        <f>VLOOKUP(record[[#This Row],[employeeID]],員工[],2,FALSE)</f>
        <v>黎氏順</v>
      </c>
    </row>
    <row r="4539" spans="6:19" hidden="1" x14ac:dyDescent="0.25">
      <c r="F4539" t="s">
        <v>1450</v>
      </c>
      <c r="G4539" t="s">
        <v>465</v>
      </c>
      <c r="H4539" t="str">
        <f>VLOOKUP(record[[#This Row],[ProcessSN]],表格2_7[],2,FALSE)</f>
        <v>30-4118-018-XXX</v>
      </c>
      <c r="I4539" t="str">
        <f>VLOOKUP(record[[#This Row],[ProcessSN]],表格2_7[],3,FALSE)</f>
        <v>#01-1</v>
      </c>
      <c r="J4539" t="s">
        <v>588</v>
      </c>
      <c r="K4539" s="195">
        <v>46048.685011574074</v>
      </c>
      <c r="L4539">
        <v>400</v>
      </c>
      <c r="M4539">
        <v>0</v>
      </c>
      <c r="N4539" s="98" t="str">
        <f>IF(record[[#This Row],[Memo]]="Browser:chrome os:android","平板報工",IF(record[[#This Row],[Memo]]=0,"委外",record[[#This Row],[Memo]]))</f>
        <v/>
      </c>
      <c r="O4539" t="s">
        <v>58</v>
      </c>
      <c r="P4539" t="s">
        <v>107</v>
      </c>
      <c r="Q4539" t="s">
        <v>58</v>
      </c>
      <c r="R4539" t="str">
        <f>IFERROR(VLOOKUP(record[[#This Row],[PCUSTID]],廠商[],2,FALSE),"")</f>
        <v/>
      </c>
      <c r="S4539" t="str">
        <f>VLOOKUP(record[[#This Row],[employeeID]],員工[],2,FALSE)</f>
        <v>黎氏順</v>
      </c>
    </row>
    <row r="4540" spans="6:19" hidden="1" x14ac:dyDescent="0.25">
      <c r="F4540" t="s">
        <v>1497</v>
      </c>
      <c r="G4540" t="s">
        <v>399</v>
      </c>
      <c r="H4540" t="str">
        <f>VLOOKUP(record[[#This Row],[ProcessSN]],表格2_7[],2,FALSE)</f>
        <v>30-4118-018-550</v>
      </c>
      <c r="I4540" t="str">
        <f>VLOOKUP(record[[#This Row],[ProcessSN]],表格2_7[],3,FALSE)</f>
        <v>#08IQC</v>
      </c>
      <c r="J4540" t="s">
        <v>583</v>
      </c>
      <c r="K4540" s="195">
        <v>46048.681921296295</v>
      </c>
      <c r="L4540">
        <v>538</v>
      </c>
      <c r="M4540">
        <v>0</v>
      </c>
      <c r="N4540" s="98" t="str">
        <f>IF(record[[#This Row],[Memo]]="Browser:chrome os:android","平板報工",IF(record[[#This Row],[Memo]]=0,"委外",record[[#This Row],[Memo]]))</f>
        <v/>
      </c>
      <c r="O4540" t="s">
        <v>58</v>
      </c>
      <c r="P4540" t="s">
        <v>109</v>
      </c>
      <c r="Q4540" t="s">
        <v>58</v>
      </c>
      <c r="R4540" t="str">
        <f>IFERROR(VLOOKUP(record[[#This Row],[PCUSTID]],廠商[],2,FALSE),"")</f>
        <v/>
      </c>
      <c r="S4540" t="str">
        <f>VLOOKUP(record[[#This Row],[employeeID]],員工[],2,FALSE)</f>
        <v>裴氏璧鳳</v>
      </c>
    </row>
    <row r="4541" spans="6:19" hidden="1" x14ac:dyDescent="0.25">
      <c r="F4541" t="s">
        <v>1480</v>
      </c>
      <c r="G4541" t="s">
        <v>401</v>
      </c>
      <c r="H4541" t="str">
        <f>VLOOKUP(record[[#This Row],[ProcessSN]],表格2_7[],2,FALSE)</f>
        <v>30-4118-018-550</v>
      </c>
      <c r="I4541" t="str">
        <f>VLOOKUP(record[[#This Row],[ProcessSN]],表格2_7[],3,FALSE)</f>
        <v>#100OQC</v>
      </c>
      <c r="J4541" t="s">
        <v>599</v>
      </c>
      <c r="K4541" s="195">
        <v>46048.678657407407</v>
      </c>
      <c r="L4541">
        <v>270</v>
      </c>
      <c r="M4541">
        <v>0</v>
      </c>
      <c r="N4541" s="98" t="str">
        <f>IF(record[[#This Row],[Memo]]="Browser:chrome os:android","平板報工",IF(record[[#This Row],[Memo]]=0,"委外",record[[#This Row],[Memo]]))</f>
        <v/>
      </c>
      <c r="O4541" t="s">
        <v>58</v>
      </c>
      <c r="P4541" t="s">
        <v>121</v>
      </c>
      <c r="Q4541" t="s">
        <v>58</v>
      </c>
      <c r="R4541" t="str">
        <f>IFERROR(VLOOKUP(record[[#This Row],[PCUSTID]],廠商[],2,FALSE),"")</f>
        <v/>
      </c>
      <c r="S4541" t="str">
        <f>VLOOKUP(record[[#This Row],[employeeID]],員工[],2,FALSE)</f>
        <v>謝素卿</v>
      </c>
    </row>
    <row r="4542" spans="6:19" hidden="1" x14ac:dyDescent="0.25">
      <c r="F4542" t="s">
        <v>1391</v>
      </c>
      <c r="G4542" t="s">
        <v>426</v>
      </c>
      <c r="H4542" t="str">
        <f>VLOOKUP(record[[#This Row],[ProcessSN]],表格2_7[],2,FALSE)</f>
        <v>30-4118-018-600</v>
      </c>
      <c r="I4542" t="str">
        <f>VLOOKUP(record[[#This Row],[ProcessSN]],表格2_7[],3,FALSE)</f>
        <v>#100OQC</v>
      </c>
      <c r="J4542" t="s">
        <v>599</v>
      </c>
      <c r="K4542" s="195">
        <v>46048.677881944444</v>
      </c>
      <c r="L4542">
        <v>54</v>
      </c>
      <c r="M4542">
        <v>0</v>
      </c>
      <c r="N4542" s="98" t="str">
        <f>IF(record[[#This Row],[Memo]]="Browser:chrome os:android","平板報工",IF(record[[#This Row],[Memo]]=0,"委外",record[[#This Row],[Memo]]))</f>
        <v/>
      </c>
      <c r="O4542" t="s">
        <v>58</v>
      </c>
      <c r="P4542" t="s">
        <v>121</v>
      </c>
      <c r="Q4542" t="s">
        <v>58</v>
      </c>
      <c r="R4542" t="str">
        <f>IFERROR(VLOOKUP(record[[#This Row],[PCUSTID]],廠商[],2,FALSE),"")</f>
        <v/>
      </c>
      <c r="S4542" t="str">
        <f>VLOOKUP(record[[#This Row],[employeeID]],員工[],2,FALSE)</f>
        <v>謝素卿</v>
      </c>
    </row>
    <row r="4543" spans="6:19" hidden="1" x14ac:dyDescent="0.25">
      <c r="F4543" t="s">
        <v>1484</v>
      </c>
      <c r="G4543" t="s">
        <v>426</v>
      </c>
      <c r="H4543" t="str">
        <f>VLOOKUP(record[[#This Row],[ProcessSN]],表格2_7[],2,FALSE)</f>
        <v>30-4118-018-600</v>
      </c>
      <c r="I4543" t="str">
        <f>VLOOKUP(record[[#This Row],[ProcessSN]],表格2_7[],3,FALSE)</f>
        <v>#100OQC</v>
      </c>
      <c r="J4543" t="s">
        <v>599</v>
      </c>
      <c r="K4543" s="195">
        <v>46048.677708333336</v>
      </c>
      <c r="L4543">
        <v>233</v>
      </c>
      <c r="M4543">
        <v>0</v>
      </c>
      <c r="N4543" s="98" t="str">
        <f>IF(record[[#This Row],[Memo]]="Browser:chrome os:android","平板報工",IF(record[[#This Row],[Memo]]=0,"委外",record[[#This Row],[Memo]]))</f>
        <v/>
      </c>
      <c r="O4543" t="s">
        <v>58</v>
      </c>
      <c r="P4543" t="s">
        <v>121</v>
      </c>
      <c r="Q4543" t="s">
        <v>58</v>
      </c>
      <c r="R4543" t="str">
        <f>IFERROR(VLOOKUP(record[[#This Row],[PCUSTID]],廠商[],2,FALSE),"")</f>
        <v/>
      </c>
      <c r="S4543" t="str">
        <f>VLOOKUP(record[[#This Row],[employeeID]],員工[],2,FALSE)</f>
        <v>謝素卿</v>
      </c>
    </row>
    <row r="4544" spans="6:19" hidden="1" x14ac:dyDescent="0.25">
      <c r="F4544" t="s">
        <v>1450</v>
      </c>
      <c r="G4544" t="s">
        <v>467</v>
      </c>
      <c r="H4544" t="str">
        <f>VLOOKUP(record[[#This Row],[ProcessSN]],表格2_7[],2,FALSE)</f>
        <v>30-4118-018-XXX</v>
      </c>
      <c r="I4544" t="str">
        <f>VLOOKUP(record[[#This Row],[ProcessSN]],表格2_7[],3,FALSE)</f>
        <v>#01QC</v>
      </c>
      <c r="J4544" t="s">
        <v>589</v>
      </c>
      <c r="K4544" s="195">
        <v>46048.674675925926</v>
      </c>
      <c r="L4544">
        <v>672</v>
      </c>
      <c r="M4544">
        <v>0</v>
      </c>
      <c r="N4544" s="98" t="str">
        <f>IF(record[[#This Row],[Memo]]="Browser:chrome os:android","平板報工",IF(record[[#This Row],[Memo]]=0,"委外",record[[#This Row],[Memo]]))</f>
        <v>平板報工</v>
      </c>
      <c r="O4544" t="s">
        <v>643</v>
      </c>
      <c r="P4544" t="s">
        <v>182</v>
      </c>
      <c r="Q4544" t="s">
        <v>644</v>
      </c>
      <c r="R4544" t="str">
        <f>IFERROR(VLOOKUP(record[[#This Row],[PCUSTID]],廠商[],2,FALSE),"")</f>
        <v/>
      </c>
      <c r="S4544" t="str">
        <f>VLOOKUP(record[[#This Row],[employeeID]],員工[],2,FALSE)</f>
        <v>梅氏和</v>
      </c>
    </row>
    <row r="4545" spans="6:19" hidden="1" x14ac:dyDescent="0.25">
      <c r="F4545" t="s">
        <v>1474</v>
      </c>
      <c r="G4545" t="s">
        <v>450</v>
      </c>
      <c r="H4545" t="str">
        <f>VLOOKUP(record[[#This Row],[ProcessSN]],表格2_7[],2,FALSE)</f>
        <v>30-4118-018-6XX</v>
      </c>
      <c r="I4545" t="str">
        <f>VLOOKUP(record[[#This Row],[ProcessSN]],表格2_7[],3,FALSE)</f>
        <v>#06</v>
      </c>
      <c r="J4545" t="s">
        <v>593</v>
      </c>
      <c r="K4545" s="195">
        <v>46048.651388888888</v>
      </c>
      <c r="L4545">
        <v>110</v>
      </c>
      <c r="M4545">
        <v>0</v>
      </c>
      <c r="N4545" s="98" t="str">
        <f>IF(record[[#This Row],[Memo]]="Browser:chrome os:android","平板報工",IF(record[[#This Row],[Memo]]=0,"委外",record[[#This Row],[Memo]]))</f>
        <v>平板報工</v>
      </c>
      <c r="O4545" t="s">
        <v>643</v>
      </c>
      <c r="P4545" t="s">
        <v>1413</v>
      </c>
      <c r="Q4545" t="s">
        <v>644</v>
      </c>
      <c r="R4545" t="str">
        <f>IFERROR(VLOOKUP(record[[#This Row],[PCUSTID]],廠商[],2,FALSE),"")</f>
        <v/>
      </c>
      <c r="S4545" t="str">
        <f>VLOOKUP(record[[#This Row],[employeeID]],員工[],2,FALSE)</f>
        <v>阮氏芳英(芳)</v>
      </c>
    </row>
    <row r="4546" spans="6:19" hidden="1" x14ac:dyDescent="0.25">
      <c r="F4546" t="s">
        <v>1507</v>
      </c>
      <c r="G4546" t="s">
        <v>448</v>
      </c>
      <c r="H4546" t="str">
        <f>VLOOKUP(record[[#This Row],[ProcessSN]],表格2_7[],2,FALSE)</f>
        <v>30-4118-018-6XX</v>
      </c>
      <c r="I4546" t="str">
        <f>VLOOKUP(record[[#This Row],[ProcessSN]],表格2_7[],3,FALSE)</f>
        <v>#04</v>
      </c>
      <c r="J4546" t="s">
        <v>588</v>
      </c>
      <c r="K4546" s="195">
        <v>46048.651238425926</v>
      </c>
      <c r="L4546">
        <v>70</v>
      </c>
      <c r="M4546">
        <v>0</v>
      </c>
      <c r="N4546" s="98" t="str">
        <f>IF(record[[#This Row],[Memo]]="Browser:chrome os:android","平板報工",IF(record[[#This Row],[Memo]]=0,"委外",record[[#This Row],[Memo]]))</f>
        <v>平板報工</v>
      </c>
      <c r="O4546" t="s">
        <v>643</v>
      </c>
      <c r="P4546" t="s">
        <v>145</v>
      </c>
      <c r="Q4546" t="s">
        <v>644</v>
      </c>
      <c r="R4546" t="str">
        <f>IFERROR(VLOOKUP(record[[#This Row],[PCUSTID]],廠商[],2,FALSE),"")</f>
        <v/>
      </c>
      <c r="S4546" t="str">
        <f>VLOOKUP(record[[#This Row],[employeeID]],員工[],2,FALSE)</f>
        <v>阮秋霞</v>
      </c>
    </row>
    <row r="4547" spans="6:19" hidden="1" x14ac:dyDescent="0.25">
      <c r="F4547" t="s">
        <v>1507</v>
      </c>
      <c r="G4547" t="s">
        <v>447</v>
      </c>
      <c r="H4547" t="str">
        <f>VLOOKUP(record[[#This Row],[ProcessSN]],表格2_7[],2,FALSE)</f>
        <v>30-4118-018-6XX</v>
      </c>
      <c r="I4547" t="str">
        <f>VLOOKUP(record[[#This Row],[ProcessSN]],表格2_7[],3,FALSE)</f>
        <v>#03</v>
      </c>
      <c r="J4547" t="s">
        <v>588</v>
      </c>
      <c r="K4547" s="195">
        <v>46048.651099537034</v>
      </c>
      <c r="L4547">
        <v>288</v>
      </c>
      <c r="M4547">
        <v>0</v>
      </c>
      <c r="N4547" s="98" t="str">
        <f>IF(record[[#This Row],[Memo]]="Browser:chrome os:android","平板報工",IF(record[[#This Row],[Memo]]=0,"委外",record[[#This Row],[Memo]]))</f>
        <v>平板報工</v>
      </c>
      <c r="O4547" t="s">
        <v>643</v>
      </c>
      <c r="P4547" t="s">
        <v>145</v>
      </c>
      <c r="Q4547" t="s">
        <v>644</v>
      </c>
      <c r="R4547" t="str">
        <f>IFERROR(VLOOKUP(record[[#This Row],[PCUSTID]],廠商[],2,FALSE),"")</f>
        <v/>
      </c>
      <c r="S4547" t="str">
        <f>VLOOKUP(record[[#This Row],[employeeID]],員工[],2,FALSE)</f>
        <v>阮秋霞</v>
      </c>
    </row>
    <row r="4548" spans="6:19" hidden="1" x14ac:dyDescent="0.25">
      <c r="F4548" t="s">
        <v>1506</v>
      </c>
      <c r="G4548" t="s">
        <v>415</v>
      </c>
      <c r="H4548" t="str">
        <f>VLOOKUP(record[[#This Row],[ProcessSN]],表格2_7[],2,FALSE)</f>
        <v>30-4118-018-5XX</v>
      </c>
      <c r="I4548" t="str">
        <f>VLOOKUP(record[[#This Row],[ProcessSN]],表格2_7[],3,FALSE)</f>
        <v>#04</v>
      </c>
      <c r="J4548" t="s">
        <v>588</v>
      </c>
      <c r="K4548" s="195">
        <v>46048.650960648149</v>
      </c>
      <c r="L4548">
        <v>32</v>
      </c>
      <c r="M4548">
        <v>0</v>
      </c>
      <c r="N4548" s="98" t="str">
        <f>IF(record[[#This Row],[Memo]]="Browser:chrome os:android","平板報工",IF(record[[#This Row],[Memo]]=0,"委外",record[[#This Row],[Memo]]))</f>
        <v>平板報工</v>
      </c>
      <c r="O4548" t="s">
        <v>643</v>
      </c>
      <c r="P4548" t="s">
        <v>145</v>
      </c>
      <c r="Q4548" t="s">
        <v>644</v>
      </c>
      <c r="R4548" t="str">
        <f>IFERROR(VLOOKUP(record[[#This Row],[PCUSTID]],廠商[],2,FALSE),"")</f>
        <v/>
      </c>
      <c r="S4548" t="str">
        <f>VLOOKUP(record[[#This Row],[employeeID]],員工[],2,FALSE)</f>
        <v>阮秋霞</v>
      </c>
    </row>
    <row r="4549" spans="6:19" hidden="1" x14ac:dyDescent="0.25">
      <c r="F4549" t="s">
        <v>1506</v>
      </c>
      <c r="G4549" t="s">
        <v>414</v>
      </c>
      <c r="H4549" t="str">
        <f>VLOOKUP(record[[#This Row],[ProcessSN]],表格2_7[],2,FALSE)</f>
        <v>30-4118-018-5XX</v>
      </c>
      <c r="I4549" t="str">
        <f>VLOOKUP(record[[#This Row],[ProcessSN]],表格2_7[],3,FALSE)</f>
        <v>#03</v>
      </c>
      <c r="J4549" t="s">
        <v>588</v>
      </c>
      <c r="K4549" s="195">
        <v>46048.650752314818</v>
      </c>
      <c r="L4549">
        <v>420</v>
      </c>
      <c r="M4549">
        <v>0</v>
      </c>
      <c r="N4549" s="98" t="str">
        <f>IF(record[[#This Row],[Memo]]="Browser:chrome os:android","平板報工",IF(record[[#This Row],[Memo]]=0,"委外",record[[#This Row],[Memo]]))</f>
        <v>平板報工</v>
      </c>
      <c r="O4549" t="s">
        <v>643</v>
      </c>
      <c r="P4549" t="s">
        <v>145</v>
      </c>
      <c r="Q4549" t="s">
        <v>644</v>
      </c>
      <c r="R4549" t="str">
        <f>IFERROR(VLOOKUP(record[[#This Row],[PCUSTID]],廠商[],2,FALSE),"")</f>
        <v/>
      </c>
      <c r="S4549" t="str">
        <f>VLOOKUP(record[[#This Row],[employeeID]],員工[],2,FALSE)</f>
        <v>阮秋霞</v>
      </c>
    </row>
    <row r="4550" spans="6:19" hidden="1" x14ac:dyDescent="0.25">
      <c r="F4550" t="s">
        <v>1474</v>
      </c>
      <c r="G4550" t="s">
        <v>451</v>
      </c>
      <c r="H4550" t="str">
        <f>VLOOKUP(record[[#This Row],[ProcessSN]],表格2_7[],2,FALSE)</f>
        <v>30-4118-018-6XX</v>
      </c>
      <c r="I4550" t="str">
        <f>VLOOKUP(record[[#This Row],[ProcessSN]],表格2_7[],3,FALSE)</f>
        <v>#07</v>
      </c>
      <c r="J4550" t="s">
        <v>588</v>
      </c>
      <c r="K4550" s="195">
        <v>46048.650335648148</v>
      </c>
      <c r="L4550">
        <v>100</v>
      </c>
      <c r="M4550">
        <v>1</v>
      </c>
      <c r="N4550" s="98" t="str">
        <f>IF(record[[#This Row],[Memo]]="Browser:chrome os:android","平板報工",IF(record[[#This Row],[Memo]]=0,"委外",record[[#This Row],[Memo]]))</f>
        <v>平板報工</v>
      </c>
      <c r="O4550" t="s">
        <v>643</v>
      </c>
      <c r="P4550" t="s">
        <v>785</v>
      </c>
      <c r="Q4550" t="s">
        <v>644</v>
      </c>
      <c r="R4550" t="str">
        <f>IFERROR(VLOOKUP(record[[#This Row],[PCUSTID]],廠商[],2,FALSE),"")</f>
        <v/>
      </c>
      <c r="S4550" t="str">
        <f>VLOOKUP(record[[#This Row],[employeeID]],員工[],2,FALSE)</f>
        <v>謝刻光</v>
      </c>
    </row>
    <row r="4551" spans="6:19" hidden="1" x14ac:dyDescent="0.25">
      <c r="F4551" t="s">
        <v>1474</v>
      </c>
      <c r="G4551" t="s">
        <v>449</v>
      </c>
      <c r="H4551" t="str">
        <f>VLOOKUP(record[[#This Row],[ProcessSN]],表格2_7[],2,FALSE)</f>
        <v>30-4118-018-6XX</v>
      </c>
      <c r="I4551" t="str">
        <f>VLOOKUP(record[[#This Row],[ProcessSN]],表格2_7[],3,FALSE)</f>
        <v>#05</v>
      </c>
      <c r="J4551" t="s">
        <v>588</v>
      </c>
      <c r="K4551" s="195">
        <v>46048.649571759262</v>
      </c>
      <c r="L4551">
        <v>72</v>
      </c>
      <c r="M4551">
        <v>0</v>
      </c>
      <c r="N4551" s="98" t="str">
        <f>IF(record[[#This Row],[Memo]]="Browser:chrome os:android","平板報工",IF(record[[#This Row],[Memo]]=0,"委外",record[[#This Row],[Memo]]))</f>
        <v>平板報工</v>
      </c>
      <c r="O4551" t="s">
        <v>643</v>
      </c>
      <c r="P4551" t="s">
        <v>785</v>
      </c>
      <c r="Q4551" t="s">
        <v>644</v>
      </c>
      <c r="R4551" t="str">
        <f>IFERROR(VLOOKUP(record[[#This Row],[PCUSTID]],廠商[],2,FALSE),"")</f>
        <v/>
      </c>
      <c r="S4551" t="str">
        <f>VLOOKUP(record[[#This Row],[employeeID]],員工[],2,FALSE)</f>
        <v>謝刻光</v>
      </c>
    </row>
    <row r="4552" spans="6:19" hidden="1" x14ac:dyDescent="0.25">
      <c r="F4552" t="s">
        <v>1494</v>
      </c>
      <c r="G4552" t="s">
        <v>423</v>
      </c>
      <c r="H4552" t="str">
        <f>VLOOKUP(record[[#This Row],[ProcessSN]],表格2_7[],2,FALSE)</f>
        <v>30-4118-018-600</v>
      </c>
      <c r="I4552" t="str">
        <f>VLOOKUP(record[[#This Row],[ProcessSN]],表格2_7[],3,FALSE)</f>
        <v>#08RCV</v>
      </c>
      <c r="J4552" t="s">
        <v>591</v>
      </c>
      <c r="K4552" s="195">
        <v>46048.609259259261</v>
      </c>
      <c r="L4552">
        <v>135</v>
      </c>
      <c r="M4552">
        <v>0</v>
      </c>
      <c r="N4552" s="98" t="str">
        <f>IF(record[[#This Row],[Memo]]="Browser:chrome os:android","平板報工",IF(record[[#This Row],[Memo]]=0,"委外",record[[#This Row],[Memo]]))</f>
        <v/>
      </c>
      <c r="O4552" t="s">
        <v>58</v>
      </c>
      <c r="P4552" t="s">
        <v>1487</v>
      </c>
      <c r="Q4552" t="s">
        <v>58</v>
      </c>
      <c r="R4552" t="str">
        <f>IFERROR(VLOOKUP(record[[#This Row],[PCUSTID]],廠商[],2,FALSE),"")</f>
        <v/>
      </c>
      <c r="S4552" t="str">
        <f>VLOOKUP(record[[#This Row],[employeeID]],員工[],2,FALSE)</f>
        <v>邱瑞廣</v>
      </c>
    </row>
    <row r="4553" spans="6:19" hidden="1" x14ac:dyDescent="0.25">
      <c r="F4553" t="s">
        <v>1497</v>
      </c>
      <c r="G4553" t="s">
        <v>398</v>
      </c>
      <c r="H4553" t="str">
        <f>VLOOKUP(record[[#This Row],[ProcessSN]],表格2_7[],2,FALSE)</f>
        <v>30-4118-018-550</v>
      </c>
      <c r="I4553" t="str">
        <f>VLOOKUP(record[[#This Row],[ProcessSN]],表格2_7[],3,FALSE)</f>
        <v>#08RCV</v>
      </c>
      <c r="J4553" t="s">
        <v>591</v>
      </c>
      <c r="K4553" s="195">
        <v>46048.606261574074</v>
      </c>
      <c r="L4553">
        <v>538</v>
      </c>
      <c r="M4553">
        <v>0</v>
      </c>
      <c r="N4553" s="98" t="str">
        <f>IF(record[[#This Row],[Memo]]="Browser:chrome os:android","平板報工",IF(record[[#This Row],[Memo]]=0,"委外",record[[#This Row],[Memo]]))</f>
        <v/>
      </c>
      <c r="O4553" t="s">
        <v>58</v>
      </c>
      <c r="P4553" t="s">
        <v>1487</v>
      </c>
      <c r="Q4553" t="s">
        <v>58</v>
      </c>
      <c r="R4553" t="str">
        <f>IFERROR(VLOOKUP(record[[#This Row],[PCUSTID]],廠商[],2,FALSE),"")</f>
        <v/>
      </c>
      <c r="S4553" t="str">
        <f>VLOOKUP(record[[#This Row],[employeeID]],員工[],2,FALSE)</f>
        <v>邱瑞廣</v>
      </c>
    </row>
    <row r="4554" spans="6:19" hidden="1" x14ac:dyDescent="0.25">
      <c r="F4554" t="s">
        <v>1510</v>
      </c>
      <c r="G4554" t="s">
        <v>422</v>
      </c>
      <c r="H4554" t="str">
        <f>VLOOKUP(record[[#This Row],[ProcessSN]],表格2_7[],2,FALSE)</f>
        <v>30-4118-018-600</v>
      </c>
      <c r="I4554" t="str">
        <f>VLOOKUP(record[[#This Row],[ProcessSN]],表格2_7[],3,FALSE)</f>
        <v>#08</v>
      </c>
      <c r="J4554" t="s">
        <v>597</v>
      </c>
      <c r="K4554" s="195">
        <v>46048.589583333334</v>
      </c>
      <c r="L4554">
        <v>159</v>
      </c>
      <c r="M4554">
        <v>0</v>
      </c>
      <c r="N4554" s="98" t="str">
        <f>IF(record[[#This Row],[Memo]]="Browser:chrome os:android","平板報工",IF(record[[#This Row],[Memo]]=0,"委外",record[[#This Row],[Memo]]))</f>
        <v>委外</v>
      </c>
      <c r="P4554" t="s">
        <v>1487</v>
      </c>
      <c r="Q4554" t="s">
        <v>287</v>
      </c>
      <c r="R4554" t="str">
        <f>IFERROR(VLOOKUP(record[[#This Row],[PCUSTID]],廠商[],2,FALSE),"")</f>
        <v>泉盛</v>
      </c>
      <c r="S4554" t="str">
        <f>VLOOKUP(record[[#This Row],[employeeID]],員工[],2,FALSE)</f>
        <v>邱瑞廣</v>
      </c>
    </row>
    <row r="4555" spans="6:19" hidden="1" x14ac:dyDescent="0.25">
      <c r="F4555" t="s">
        <v>1510</v>
      </c>
      <c r="G4555" t="s">
        <v>421</v>
      </c>
      <c r="H4555" t="str">
        <f>VLOOKUP(record[[#This Row],[ProcessSN]],表格2_7[],2,FALSE)</f>
        <v>30-4118-018-600</v>
      </c>
      <c r="I4555" t="str">
        <f>VLOOKUP(record[[#This Row],[ProcessSN]],表格2_7[],3,FALSE)</f>
        <v>#08PICK</v>
      </c>
      <c r="J4555" t="s">
        <v>582</v>
      </c>
      <c r="K4555" s="195">
        <v>46048.585752314815</v>
      </c>
      <c r="L4555">
        <v>159</v>
      </c>
      <c r="M4555">
        <v>0</v>
      </c>
      <c r="N4555" s="98" t="str">
        <f>IF(record[[#This Row],[Memo]]="Browser:chrome os:android","平板報工",IF(record[[#This Row],[Memo]]=0,"委外",record[[#This Row],[Memo]]))</f>
        <v/>
      </c>
      <c r="O4555" t="s">
        <v>58</v>
      </c>
      <c r="P4555" t="s">
        <v>1487</v>
      </c>
      <c r="Q4555" t="s">
        <v>58</v>
      </c>
      <c r="R4555" t="str">
        <f>IFERROR(VLOOKUP(record[[#This Row],[PCUSTID]],廠商[],2,FALSE),"")</f>
        <v/>
      </c>
      <c r="S4555" t="str">
        <f>VLOOKUP(record[[#This Row],[employeeID]],員工[],2,FALSE)</f>
        <v>邱瑞廣</v>
      </c>
    </row>
    <row r="4556" spans="6:19" hidden="1" x14ac:dyDescent="0.25">
      <c r="F4556" t="s">
        <v>1417</v>
      </c>
      <c r="G4556" t="s">
        <v>453</v>
      </c>
      <c r="H4556" t="str">
        <f>VLOOKUP(record[[#This Row],[ProcessSN]],表格2_7[],2,FALSE)</f>
        <v>30-4118-018-6XX</v>
      </c>
      <c r="I4556" t="str">
        <f>VLOOKUP(record[[#This Row],[ProcessSN]],表格2_7[],3,FALSE)</f>
        <v>#07STOCK</v>
      </c>
      <c r="J4556" t="s">
        <v>592</v>
      </c>
      <c r="K4556" s="195">
        <v>46048.582754629628</v>
      </c>
      <c r="L4556">
        <v>159</v>
      </c>
      <c r="M4556">
        <v>0</v>
      </c>
      <c r="N4556" s="98" t="str">
        <f>IF(record[[#This Row],[Memo]]="Browser:chrome os:android","平板報工",IF(record[[#This Row],[Memo]]=0,"委外",record[[#This Row],[Memo]]))</f>
        <v/>
      </c>
      <c r="O4556" t="s">
        <v>58</v>
      </c>
      <c r="P4556" t="s">
        <v>1487</v>
      </c>
      <c r="Q4556" t="s">
        <v>58</v>
      </c>
      <c r="R4556" t="str">
        <f>IFERROR(VLOOKUP(record[[#This Row],[PCUSTID]],廠商[],2,FALSE),"")</f>
        <v/>
      </c>
      <c r="S4556" t="str">
        <f>VLOOKUP(record[[#This Row],[employeeID]],員工[],2,FALSE)</f>
        <v>邱瑞廣</v>
      </c>
    </row>
    <row r="4557" spans="6:19" hidden="1" x14ac:dyDescent="0.25">
      <c r="F4557" t="s">
        <v>777</v>
      </c>
      <c r="G4557" t="s">
        <v>452</v>
      </c>
      <c r="H4557" t="str">
        <f>VLOOKUP(record[[#This Row],[ProcessSN]],表格2_7[],2,FALSE)</f>
        <v>30-4118-018-6XX</v>
      </c>
      <c r="I4557" t="str">
        <f>VLOOKUP(record[[#This Row],[ProcessSN]],表格2_7[],3,FALSE)</f>
        <v>#07QC</v>
      </c>
      <c r="J4557" t="s">
        <v>589</v>
      </c>
      <c r="K4557" s="195">
        <v>46048.451666666668</v>
      </c>
      <c r="L4557">
        <v>0</v>
      </c>
      <c r="M4557">
        <v>-3</v>
      </c>
      <c r="N4557" s="98" t="str">
        <f>IF(record[[#This Row],[Memo]]="Browser:chrome os:android","平板報工",IF(record[[#This Row],[Memo]]=0,"委外",record[[#This Row],[Memo]]))</f>
        <v>覆回品</v>
      </c>
      <c r="O4557" t="s">
        <v>664</v>
      </c>
      <c r="P4557" t="s">
        <v>113</v>
      </c>
      <c r="Q4557" t="s">
        <v>644</v>
      </c>
      <c r="R4557" t="str">
        <f>IFERROR(VLOOKUP(record[[#This Row],[PCUSTID]],廠商[],2,FALSE),"")</f>
        <v/>
      </c>
      <c r="S4557" t="str">
        <f>VLOOKUP(record[[#This Row],[employeeID]],員工[],2,FALSE)</f>
        <v>王奕蓁</v>
      </c>
    </row>
    <row r="4558" spans="6:19" hidden="1" x14ac:dyDescent="0.25">
      <c r="F4558" t="s">
        <v>1391</v>
      </c>
      <c r="G4558" t="s">
        <v>425</v>
      </c>
      <c r="H4558" t="str">
        <f>VLOOKUP(record[[#This Row],[ProcessSN]],表格2_7[],2,FALSE)</f>
        <v>30-4118-018-600</v>
      </c>
      <c r="I4558" t="str">
        <f>VLOOKUP(record[[#This Row],[ProcessSN]],表格2_7[],3,FALSE)</f>
        <v>#100</v>
      </c>
      <c r="J4558" t="s">
        <v>598</v>
      </c>
      <c r="K4558" s="195">
        <v>46048.439560185187</v>
      </c>
      <c r="L4558">
        <v>26</v>
      </c>
      <c r="M4558">
        <v>0</v>
      </c>
      <c r="N4558" s="98" t="str">
        <f>IF(record[[#This Row],[Memo]]="Browser:chrome os:android","平板報工",IF(record[[#This Row],[Memo]]=0,"委外",record[[#This Row],[Memo]]))</f>
        <v/>
      </c>
      <c r="O4558" t="s">
        <v>58</v>
      </c>
      <c r="P4558" t="s">
        <v>99</v>
      </c>
      <c r="Q4558" t="s">
        <v>58</v>
      </c>
      <c r="R4558" t="str">
        <f>IFERROR(VLOOKUP(record[[#This Row],[PCUSTID]],廠商[],2,FALSE),"")</f>
        <v/>
      </c>
      <c r="S4558" t="str">
        <f>VLOOKUP(record[[#This Row],[employeeID]],員工[],2,FALSE)</f>
        <v>阮氏河</v>
      </c>
    </row>
    <row r="4559" spans="6:19" hidden="1" x14ac:dyDescent="0.25">
      <c r="F4559" t="s">
        <v>1391</v>
      </c>
      <c r="G4559" t="s">
        <v>424</v>
      </c>
      <c r="H4559" t="str">
        <f>VLOOKUP(record[[#This Row],[ProcessSN]],表格2_7[],2,FALSE)</f>
        <v>30-4118-018-600</v>
      </c>
      <c r="I4559" t="str">
        <f>VLOOKUP(record[[#This Row],[ProcessSN]],表格2_7[],3,FALSE)</f>
        <v>#08IQC</v>
      </c>
      <c r="J4559" t="s">
        <v>583</v>
      </c>
      <c r="K4559" s="195">
        <v>46048.439409722225</v>
      </c>
      <c r="L4559">
        <v>26</v>
      </c>
      <c r="M4559">
        <v>0</v>
      </c>
      <c r="N4559" s="98" t="str">
        <f>IF(record[[#This Row],[Memo]]="Browser:chrome os:android","平板報工",IF(record[[#This Row],[Memo]]=0,"委外",record[[#This Row],[Memo]]))</f>
        <v/>
      </c>
      <c r="O4559" t="s">
        <v>58</v>
      </c>
      <c r="P4559" t="s">
        <v>99</v>
      </c>
      <c r="Q4559" t="s">
        <v>58</v>
      </c>
      <c r="R4559" t="str">
        <f>IFERROR(VLOOKUP(record[[#This Row],[PCUSTID]],廠商[],2,FALSE),"")</f>
        <v/>
      </c>
      <c r="S4559" t="str">
        <f>VLOOKUP(record[[#This Row],[employeeID]],員工[],2,FALSE)</f>
        <v>阮氏河</v>
      </c>
    </row>
    <row r="4560" spans="6:19" hidden="1" x14ac:dyDescent="0.25">
      <c r="F4560" t="s">
        <v>1391</v>
      </c>
      <c r="G4560" t="s">
        <v>423</v>
      </c>
      <c r="H4560" t="str">
        <f>VLOOKUP(record[[#This Row],[ProcessSN]],表格2_7[],2,FALSE)</f>
        <v>30-4118-018-600</v>
      </c>
      <c r="I4560" t="str">
        <f>VLOOKUP(record[[#This Row],[ProcessSN]],表格2_7[],3,FALSE)</f>
        <v>#08RCV</v>
      </c>
      <c r="J4560" t="s">
        <v>591</v>
      </c>
      <c r="K4560" s="195">
        <v>46048.439247685186</v>
      </c>
      <c r="L4560">
        <v>26</v>
      </c>
      <c r="M4560">
        <v>-7</v>
      </c>
      <c r="N4560" s="98" t="str">
        <f>IF(record[[#This Row],[Memo]]="Browser:chrome os:android","平板報工",IF(record[[#This Row],[Memo]]=0,"委外",record[[#This Row],[Memo]]))</f>
        <v/>
      </c>
      <c r="O4560" t="s">
        <v>58</v>
      </c>
      <c r="P4560" t="s">
        <v>99</v>
      </c>
      <c r="Q4560" t="s">
        <v>58</v>
      </c>
      <c r="R4560" t="str">
        <f>IFERROR(VLOOKUP(record[[#This Row],[PCUSTID]],廠商[],2,FALSE),"")</f>
        <v/>
      </c>
      <c r="S4560" t="str">
        <f>VLOOKUP(record[[#This Row],[employeeID]],員工[],2,FALSE)</f>
        <v>阮氏河</v>
      </c>
    </row>
    <row r="4561" spans="6:19" hidden="1" x14ac:dyDescent="0.25">
      <c r="F4561" t="s">
        <v>1391</v>
      </c>
      <c r="G4561" t="s">
        <v>425</v>
      </c>
      <c r="H4561" t="str">
        <f>VLOOKUP(record[[#This Row],[ProcessSN]],表格2_7[],2,FALSE)</f>
        <v>30-4118-018-600</v>
      </c>
      <c r="I4561" t="str">
        <f>VLOOKUP(record[[#This Row],[ProcessSN]],表格2_7[],3,FALSE)</f>
        <v>#100</v>
      </c>
      <c r="J4561" t="s">
        <v>598</v>
      </c>
      <c r="K4561" s="195">
        <v>46048.437986111108</v>
      </c>
      <c r="L4561">
        <v>28</v>
      </c>
      <c r="M4561">
        <v>0</v>
      </c>
      <c r="N4561" s="98" t="str">
        <f>IF(record[[#This Row],[Memo]]="Browser:chrome os:android","平板報工",IF(record[[#This Row],[Memo]]=0,"委外",record[[#This Row],[Memo]]))</f>
        <v/>
      </c>
      <c r="O4561" t="s">
        <v>58</v>
      </c>
      <c r="P4561" t="s">
        <v>99</v>
      </c>
      <c r="Q4561" t="s">
        <v>58</v>
      </c>
      <c r="R4561" t="str">
        <f>IFERROR(VLOOKUP(record[[#This Row],[PCUSTID]],廠商[],2,FALSE),"")</f>
        <v/>
      </c>
      <c r="S4561" t="str">
        <f>VLOOKUP(record[[#This Row],[employeeID]],員工[],2,FALSE)</f>
        <v>阮氏河</v>
      </c>
    </row>
    <row r="4562" spans="6:19" hidden="1" x14ac:dyDescent="0.25">
      <c r="F4562" t="s">
        <v>1484</v>
      </c>
      <c r="G4562" t="s">
        <v>425</v>
      </c>
      <c r="H4562" t="str">
        <f>VLOOKUP(record[[#This Row],[ProcessSN]],表格2_7[],2,FALSE)</f>
        <v>30-4118-018-600</v>
      </c>
      <c r="I4562" t="str">
        <f>VLOOKUP(record[[#This Row],[ProcessSN]],表格2_7[],3,FALSE)</f>
        <v>#100</v>
      </c>
      <c r="J4562" t="s">
        <v>598</v>
      </c>
      <c r="K4562" s="195">
        <v>46048.436435185184</v>
      </c>
      <c r="L4562">
        <v>233</v>
      </c>
      <c r="M4562">
        <v>0</v>
      </c>
      <c r="N4562" s="98" t="str">
        <f>IF(record[[#This Row],[Memo]]="Browser:chrome os:android","平板報工",IF(record[[#This Row],[Memo]]=0,"委外",record[[#This Row],[Memo]]))</f>
        <v/>
      </c>
      <c r="O4562" t="s">
        <v>58</v>
      </c>
      <c r="P4562" t="s">
        <v>99</v>
      </c>
      <c r="Q4562" t="s">
        <v>58</v>
      </c>
      <c r="R4562" t="str">
        <f>IFERROR(VLOOKUP(record[[#This Row],[PCUSTID]],廠商[],2,FALSE),"")</f>
        <v/>
      </c>
      <c r="S4562" t="str">
        <f>VLOOKUP(record[[#This Row],[employeeID]],員工[],2,FALSE)</f>
        <v>阮氏河</v>
      </c>
    </row>
    <row r="4563" spans="6:19" hidden="1" x14ac:dyDescent="0.25">
      <c r="F4563" t="s">
        <v>1484</v>
      </c>
      <c r="G4563" t="s">
        <v>424</v>
      </c>
      <c r="H4563" t="str">
        <f>VLOOKUP(record[[#This Row],[ProcessSN]],表格2_7[],2,FALSE)</f>
        <v>30-4118-018-600</v>
      </c>
      <c r="I4563" t="str">
        <f>VLOOKUP(record[[#This Row],[ProcessSN]],表格2_7[],3,FALSE)</f>
        <v>#08IQC</v>
      </c>
      <c r="J4563" t="s">
        <v>583</v>
      </c>
      <c r="K4563" s="195">
        <v>46048.435347222221</v>
      </c>
      <c r="L4563">
        <v>4</v>
      </c>
      <c r="M4563">
        <v>0</v>
      </c>
      <c r="N4563" s="98" t="str">
        <f>IF(record[[#This Row],[Memo]]="Browser:chrome os:android","平板報工",IF(record[[#This Row],[Memo]]=0,"委外",record[[#This Row],[Memo]]))</f>
        <v/>
      </c>
      <c r="O4563" t="s">
        <v>58</v>
      </c>
      <c r="P4563" t="s">
        <v>99</v>
      </c>
      <c r="Q4563" t="s">
        <v>58</v>
      </c>
      <c r="R4563" t="str">
        <f>IFERROR(VLOOKUP(record[[#This Row],[PCUSTID]],廠商[],2,FALSE),"")</f>
        <v/>
      </c>
      <c r="S4563" t="str">
        <f>VLOOKUP(record[[#This Row],[employeeID]],員工[],2,FALSE)</f>
        <v>阮氏河</v>
      </c>
    </row>
    <row r="4564" spans="6:19" hidden="1" x14ac:dyDescent="0.25">
      <c r="F4564" t="s">
        <v>1484</v>
      </c>
      <c r="G4564" t="s">
        <v>423</v>
      </c>
      <c r="H4564" t="str">
        <f>VLOOKUP(record[[#This Row],[ProcessSN]],表格2_7[],2,FALSE)</f>
        <v>30-4118-018-600</v>
      </c>
      <c r="I4564" t="str">
        <f>VLOOKUP(record[[#This Row],[ProcessSN]],表格2_7[],3,FALSE)</f>
        <v>#08RCV</v>
      </c>
      <c r="J4564" t="s">
        <v>591</v>
      </c>
      <c r="K4564" s="195">
        <v>46048.434421296297</v>
      </c>
      <c r="L4564">
        <v>0</v>
      </c>
      <c r="M4564">
        <v>21</v>
      </c>
      <c r="N4564" s="98" t="str">
        <f>IF(record[[#This Row],[Memo]]="Browser:chrome os:android","平板報工",IF(record[[#This Row],[Memo]]=0,"委外",record[[#This Row],[Memo]]))</f>
        <v/>
      </c>
      <c r="O4564" t="s">
        <v>58</v>
      </c>
      <c r="P4564" t="s">
        <v>99</v>
      </c>
      <c r="Q4564" t="s">
        <v>58</v>
      </c>
      <c r="R4564" t="str">
        <f>IFERROR(VLOOKUP(record[[#This Row],[PCUSTID]],廠商[],2,FALSE),"")</f>
        <v/>
      </c>
      <c r="S4564" t="str">
        <f>VLOOKUP(record[[#This Row],[employeeID]],員工[],2,FALSE)</f>
        <v>阮氏河</v>
      </c>
    </row>
    <row r="4565" spans="6:19" hidden="1" x14ac:dyDescent="0.25">
      <c r="F4565" t="s">
        <v>1484</v>
      </c>
      <c r="G4565" t="s">
        <v>423</v>
      </c>
      <c r="H4565" t="str">
        <f>VLOOKUP(record[[#This Row],[ProcessSN]],表格2_7[],2,FALSE)</f>
        <v>30-4118-018-600</v>
      </c>
      <c r="I4565" t="str">
        <f>VLOOKUP(record[[#This Row],[ProcessSN]],表格2_7[],3,FALSE)</f>
        <v>#08RCV</v>
      </c>
      <c r="J4565" t="s">
        <v>591</v>
      </c>
      <c r="K4565" s="195">
        <v>46048.434224537035</v>
      </c>
      <c r="L4565">
        <v>4</v>
      </c>
      <c r="M4565">
        <v>0</v>
      </c>
      <c r="N4565" s="98" t="str">
        <f>IF(record[[#This Row],[Memo]]="Browser:chrome os:android","平板報工",IF(record[[#This Row],[Memo]]=0,"委外",record[[#This Row],[Memo]]))</f>
        <v/>
      </c>
      <c r="O4565" t="s">
        <v>58</v>
      </c>
      <c r="P4565" t="s">
        <v>99</v>
      </c>
      <c r="Q4565" t="s">
        <v>58</v>
      </c>
      <c r="R4565" t="str">
        <f>IFERROR(VLOOKUP(record[[#This Row],[PCUSTID]],廠商[],2,FALSE),"")</f>
        <v/>
      </c>
      <c r="S4565" t="str">
        <f>VLOOKUP(record[[#This Row],[employeeID]],員工[],2,FALSE)</f>
        <v>阮氏河</v>
      </c>
    </row>
    <row r="4566" spans="6:19" hidden="1" x14ac:dyDescent="0.25">
      <c r="F4566" t="s">
        <v>1507</v>
      </c>
      <c r="G4566" t="s">
        <v>446</v>
      </c>
      <c r="H4566" t="str">
        <f>VLOOKUP(record[[#This Row],[ProcessSN]],表格2_7[],2,FALSE)</f>
        <v>30-4118-018-6XX</v>
      </c>
      <c r="I4566" t="str">
        <f>VLOOKUP(record[[#This Row],[ProcessSN]],表格2_7[],3,FALSE)</f>
        <v>#03GIVE</v>
      </c>
      <c r="J4566" t="s">
        <v>587</v>
      </c>
      <c r="K4566" s="195">
        <v>46048.421585648146</v>
      </c>
      <c r="L4566">
        <v>420</v>
      </c>
      <c r="M4566">
        <v>0</v>
      </c>
      <c r="N4566" s="98" t="str">
        <f>IF(record[[#This Row],[Memo]]="Browser:chrome os:android","平板報工",IF(record[[#This Row],[Memo]]=0,"委外",record[[#This Row],[Memo]]))</f>
        <v/>
      </c>
      <c r="O4566" t="s">
        <v>58</v>
      </c>
      <c r="P4566" t="s">
        <v>1487</v>
      </c>
      <c r="Q4566" t="s">
        <v>58</v>
      </c>
      <c r="R4566" t="str">
        <f>IFERROR(VLOOKUP(record[[#This Row],[PCUSTID]],廠商[],2,FALSE),"")</f>
        <v/>
      </c>
      <c r="S4566" t="str">
        <f>VLOOKUP(record[[#This Row],[employeeID]],員工[],2,FALSE)</f>
        <v>邱瑞廣</v>
      </c>
    </row>
    <row r="4567" spans="6:19" hidden="1" x14ac:dyDescent="0.25">
      <c r="F4567" t="s">
        <v>1506</v>
      </c>
      <c r="G4567" t="s">
        <v>413</v>
      </c>
      <c r="H4567" t="str">
        <f>VLOOKUP(record[[#This Row],[ProcessSN]],表格2_7[],2,FALSE)</f>
        <v>30-4118-018-5XX</v>
      </c>
      <c r="I4567" t="str">
        <f>VLOOKUP(record[[#This Row],[ProcessSN]],表格2_7[],3,FALSE)</f>
        <v>#03GIVE</v>
      </c>
      <c r="J4567" t="s">
        <v>587</v>
      </c>
      <c r="K4567" s="195">
        <v>46048.42114583333</v>
      </c>
      <c r="L4567">
        <v>420</v>
      </c>
      <c r="M4567">
        <v>0</v>
      </c>
      <c r="N4567" s="98" t="str">
        <f>IF(record[[#This Row],[Memo]]="Browser:chrome os:android","平板報工",IF(record[[#This Row],[Memo]]=0,"委外",record[[#This Row],[Memo]]))</f>
        <v/>
      </c>
      <c r="O4567" t="s">
        <v>58</v>
      </c>
      <c r="P4567" t="s">
        <v>1487</v>
      </c>
      <c r="Q4567" t="s">
        <v>58</v>
      </c>
      <c r="R4567" t="str">
        <f>IFERROR(VLOOKUP(record[[#This Row],[PCUSTID]],廠商[],2,FALSE),"")</f>
        <v/>
      </c>
      <c r="S4567" t="str">
        <f>VLOOKUP(record[[#This Row],[employeeID]],員工[],2,FALSE)</f>
        <v>邱瑞廣</v>
      </c>
    </row>
    <row r="4568" spans="6:19" hidden="1" x14ac:dyDescent="0.25">
      <c r="F4568" t="s">
        <v>1450</v>
      </c>
      <c r="G4568" t="s">
        <v>471</v>
      </c>
      <c r="H4568" t="str">
        <f>VLOOKUP(record[[#This Row],[ProcessSN]],表格2_7[],2,FALSE)</f>
        <v>30-4118-018-XXX</v>
      </c>
      <c r="I4568" t="str">
        <f>VLOOKUP(record[[#This Row],[ProcessSN]],表格2_7[],3,FALSE)</f>
        <v>#02STOCK</v>
      </c>
      <c r="J4568" t="s">
        <v>592</v>
      </c>
      <c r="K4568" s="195">
        <v>46048.419490740744</v>
      </c>
      <c r="L4568">
        <v>840</v>
      </c>
      <c r="M4568">
        <v>0</v>
      </c>
      <c r="N4568" s="98" t="str">
        <f>IF(record[[#This Row],[Memo]]="Browser:chrome os:android","平板報工",IF(record[[#This Row],[Memo]]=0,"委外",record[[#This Row],[Memo]]))</f>
        <v/>
      </c>
      <c r="O4568" t="s">
        <v>58</v>
      </c>
      <c r="P4568" t="s">
        <v>1487</v>
      </c>
      <c r="Q4568" t="s">
        <v>58</v>
      </c>
      <c r="R4568" t="str">
        <f>IFERROR(VLOOKUP(record[[#This Row],[PCUSTID]],廠商[],2,FALSE),"")</f>
        <v/>
      </c>
      <c r="S4568" t="str">
        <f>VLOOKUP(record[[#This Row],[employeeID]],員工[],2,FALSE)</f>
        <v>邱瑞廣</v>
      </c>
    </row>
    <row r="4569" spans="6:19" hidden="1" x14ac:dyDescent="0.25">
      <c r="F4569" t="s">
        <v>989</v>
      </c>
      <c r="G4569" t="s">
        <v>471</v>
      </c>
      <c r="H4569" t="str">
        <f>VLOOKUP(record[[#This Row],[ProcessSN]],表格2_7[],2,FALSE)</f>
        <v>30-4118-018-XXX</v>
      </c>
      <c r="I4569" t="str">
        <f>VLOOKUP(record[[#This Row],[ProcessSN]],表格2_7[],3,FALSE)</f>
        <v>#02STOCK</v>
      </c>
      <c r="J4569" t="s">
        <v>592</v>
      </c>
      <c r="K4569" s="195">
        <v>46048.418749999997</v>
      </c>
      <c r="L4569">
        <v>1</v>
      </c>
      <c r="M4569">
        <v>0</v>
      </c>
      <c r="N4569" s="98" t="str">
        <f>IF(record[[#This Row],[Memo]]="Browser:chrome os:android","平板報工",IF(record[[#This Row],[Memo]]=0,"委外",record[[#This Row],[Memo]]))</f>
        <v/>
      </c>
      <c r="O4569" t="s">
        <v>58</v>
      </c>
      <c r="P4569" t="s">
        <v>1487</v>
      </c>
      <c r="Q4569" t="s">
        <v>58</v>
      </c>
      <c r="R4569" t="str">
        <f>IFERROR(VLOOKUP(record[[#This Row],[PCUSTID]],廠商[],2,FALSE),"")</f>
        <v/>
      </c>
      <c r="S4569" t="str">
        <f>VLOOKUP(record[[#This Row],[employeeID]],員工[],2,FALSE)</f>
        <v>邱瑞廣</v>
      </c>
    </row>
    <row r="4570" spans="6:19" hidden="1" x14ac:dyDescent="0.25">
      <c r="F4570" t="s">
        <v>1450</v>
      </c>
      <c r="G4570" t="s">
        <v>471</v>
      </c>
      <c r="H4570" t="str">
        <f>VLOOKUP(record[[#This Row],[ProcessSN]],表格2_7[],2,FALSE)</f>
        <v>30-4118-018-XXX</v>
      </c>
      <c r="I4570" t="str">
        <f>VLOOKUP(record[[#This Row],[ProcessSN]],表格2_7[],3,FALSE)</f>
        <v>#02STOCK</v>
      </c>
      <c r="J4570" t="s">
        <v>592</v>
      </c>
      <c r="K4570" s="195">
        <v>46048.41846064815</v>
      </c>
      <c r="L4570">
        <v>931</v>
      </c>
      <c r="M4570">
        <v>0</v>
      </c>
      <c r="N4570" s="98" t="str">
        <f>IF(record[[#This Row],[Memo]]="Browser:chrome os:android","平板報工",IF(record[[#This Row],[Memo]]=0,"委外",record[[#This Row],[Memo]]))</f>
        <v/>
      </c>
      <c r="O4570" t="s">
        <v>58</v>
      </c>
      <c r="P4570" t="s">
        <v>1487</v>
      </c>
      <c r="Q4570" t="s">
        <v>58</v>
      </c>
      <c r="R4570" t="str">
        <f>IFERROR(VLOOKUP(record[[#This Row],[PCUSTID]],廠商[],2,FALSE),"")</f>
        <v/>
      </c>
      <c r="S4570" t="str">
        <f>VLOOKUP(record[[#This Row],[employeeID]],員工[],2,FALSE)</f>
        <v>邱瑞廣</v>
      </c>
    </row>
    <row r="4571" spans="6:19" hidden="1" x14ac:dyDescent="0.25">
      <c r="F4571" t="s">
        <v>1385</v>
      </c>
      <c r="G4571" t="s">
        <v>471</v>
      </c>
      <c r="H4571" t="str">
        <f>VLOOKUP(record[[#This Row],[ProcessSN]],表格2_7[],2,FALSE)</f>
        <v>30-4118-018-XXX</v>
      </c>
      <c r="I4571" t="str">
        <f>VLOOKUP(record[[#This Row],[ProcessSN]],表格2_7[],3,FALSE)</f>
        <v>#02STOCK</v>
      </c>
      <c r="J4571" t="s">
        <v>592</v>
      </c>
      <c r="K4571" s="195">
        <v>46048.417731481481</v>
      </c>
      <c r="L4571">
        <v>1</v>
      </c>
      <c r="M4571">
        <v>0</v>
      </c>
      <c r="N4571" s="98" t="str">
        <f>IF(record[[#This Row],[Memo]]="Browser:chrome os:android","平板報工",IF(record[[#This Row],[Memo]]=0,"委外",record[[#This Row],[Memo]]))</f>
        <v/>
      </c>
      <c r="O4571" t="s">
        <v>58</v>
      </c>
      <c r="P4571" t="s">
        <v>1487</v>
      </c>
      <c r="Q4571" t="s">
        <v>58</v>
      </c>
      <c r="R4571" t="str">
        <f>IFERROR(VLOOKUP(record[[#This Row],[PCUSTID]],廠商[],2,FALSE),"")</f>
        <v/>
      </c>
      <c r="S4571" t="str">
        <f>VLOOKUP(record[[#This Row],[employeeID]],員工[],2,FALSE)</f>
        <v>邱瑞廣</v>
      </c>
    </row>
    <row r="4572" spans="6:19" hidden="1" x14ac:dyDescent="0.25">
      <c r="F4572" t="s">
        <v>1209</v>
      </c>
      <c r="G4572" t="s">
        <v>471</v>
      </c>
      <c r="H4572" t="str">
        <f>VLOOKUP(record[[#This Row],[ProcessSN]],表格2_7[],2,FALSE)</f>
        <v>30-4118-018-XXX</v>
      </c>
      <c r="I4572" t="str">
        <f>VLOOKUP(record[[#This Row],[ProcessSN]],表格2_7[],3,FALSE)</f>
        <v>#02STOCK</v>
      </c>
      <c r="J4572" t="s">
        <v>592</v>
      </c>
      <c r="K4572" s="195">
        <v>46048.417303240742</v>
      </c>
      <c r="L4572">
        <v>3</v>
      </c>
      <c r="M4572">
        <v>0</v>
      </c>
      <c r="N4572" s="98" t="str">
        <f>IF(record[[#This Row],[Memo]]="Browser:chrome os:android","平板報工",IF(record[[#This Row],[Memo]]=0,"委外",record[[#This Row],[Memo]]))</f>
        <v/>
      </c>
      <c r="O4572" t="s">
        <v>58</v>
      </c>
      <c r="P4572" t="s">
        <v>1487</v>
      </c>
      <c r="Q4572" t="s">
        <v>58</v>
      </c>
      <c r="R4572" t="str">
        <f>IFERROR(VLOOKUP(record[[#This Row],[PCUSTID]],廠商[],2,FALSE),"")</f>
        <v/>
      </c>
      <c r="S4572" t="str">
        <f>VLOOKUP(record[[#This Row],[employeeID]],員工[],2,FALSE)</f>
        <v>邱瑞廣</v>
      </c>
    </row>
    <row r="4573" spans="6:19" hidden="1" x14ac:dyDescent="0.25">
      <c r="F4573" t="s">
        <v>1507</v>
      </c>
      <c r="G4573" t="s">
        <v>445</v>
      </c>
      <c r="H4573" t="str">
        <f>VLOOKUP(record[[#This Row],[ProcessSN]],表格2_7[],2,FALSE)</f>
        <v>30-4118-018-6XX</v>
      </c>
      <c r="I4573" t="str">
        <f>VLOOKUP(record[[#This Row],[ProcessSN]],表格2_7[],3,FALSE)</f>
        <v>#03PICK</v>
      </c>
      <c r="J4573" t="s">
        <v>582</v>
      </c>
      <c r="K4573" s="195">
        <v>46048.405046296299</v>
      </c>
      <c r="L4573">
        <v>420</v>
      </c>
      <c r="M4573">
        <v>0</v>
      </c>
      <c r="N4573" s="98" t="str">
        <f>IF(record[[#This Row],[Memo]]="Browser:chrome os:android","平板報工",IF(record[[#This Row],[Memo]]=0,"委外",record[[#This Row],[Memo]]))</f>
        <v/>
      </c>
      <c r="O4573" t="s">
        <v>58</v>
      </c>
      <c r="P4573" t="s">
        <v>113</v>
      </c>
      <c r="Q4573" t="s">
        <v>58</v>
      </c>
      <c r="R4573" t="str">
        <f>IFERROR(VLOOKUP(record[[#This Row],[PCUSTID]],廠商[],2,FALSE),"")</f>
        <v/>
      </c>
      <c r="S4573" t="str">
        <f>VLOOKUP(record[[#This Row],[employeeID]],員工[],2,FALSE)</f>
        <v>王奕蓁</v>
      </c>
    </row>
    <row r="4574" spans="6:19" hidden="1" x14ac:dyDescent="0.25">
      <c r="F4574" t="s">
        <v>1506</v>
      </c>
      <c r="G4574" t="s">
        <v>412</v>
      </c>
      <c r="H4574" t="str">
        <f>VLOOKUP(record[[#This Row],[ProcessSN]],表格2_7[],2,FALSE)</f>
        <v>30-4118-018-5XX</v>
      </c>
      <c r="I4574" t="str">
        <f>VLOOKUP(record[[#This Row],[ProcessSN]],表格2_7[],3,FALSE)</f>
        <v>#03PICK</v>
      </c>
      <c r="J4574" t="s">
        <v>582</v>
      </c>
      <c r="K4574" s="195">
        <v>46048.404965277776</v>
      </c>
      <c r="L4574">
        <v>420</v>
      </c>
      <c r="M4574">
        <v>0</v>
      </c>
      <c r="N4574" s="98" t="str">
        <f>IF(record[[#This Row],[Memo]]="Browser:chrome os:android","平板報工",IF(record[[#This Row],[Memo]]=0,"委外",record[[#This Row],[Memo]]))</f>
        <v/>
      </c>
      <c r="O4574" t="s">
        <v>58</v>
      </c>
      <c r="P4574" t="s">
        <v>113</v>
      </c>
      <c r="Q4574" t="s">
        <v>58</v>
      </c>
      <c r="R4574" t="str">
        <f>IFERROR(VLOOKUP(record[[#This Row],[PCUSTID]],廠商[],2,FALSE),"")</f>
        <v/>
      </c>
      <c r="S4574" t="str">
        <f>VLOOKUP(record[[#This Row],[employeeID]],員工[],2,FALSE)</f>
        <v>王奕蓁</v>
      </c>
    </row>
    <row r="4575" spans="6:19" hidden="1" x14ac:dyDescent="0.25">
      <c r="F4575" t="s">
        <v>1450</v>
      </c>
      <c r="G4575" t="s">
        <v>470</v>
      </c>
      <c r="H4575" t="str">
        <f>VLOOKUP(record[[#This Row],[ProcessSN]],表格2_7[],2,FALSE)</f>
        <v>30-4118-018-XXX</v>
      </c>
      <c r="I4575" t="str">
        <f>VLOOKUP(record[[#This Row],[ProcessSN]],表格2_7[],3,FALSE)</f>
        <v>#02IQC</v>
      </c>
      <c r="J4575" t="s">
        <v>583</v>
      </c>
      <c r="K4575" s="195">
        <v>46048.400925925926</v>
      </c>
      <c r="L4575">
        <v>840</v>
      </c>
      <c r="M4575">
        <v>0</v>
      </c>
      <c r="N4575" s="98" t="str">
        <f>IF(record[[#This Row],[Memo]]="Browser:chrome os:android","平板報工",IF(record[[#This Row],[Memo]]=0,"委外",record[[#This Row],[Memo]]))</f>
        <v/>
      </c>
      <c r="O4575" t="s">
        <v>58</v>
      </c>
      <c r="P4575" t="s">
        <v>109</v>
      </c>
      <c r="Q4575" t="s">
        <v>58</v>
      </c>
      <c r="R4575" t="str">
        <f>IFERROR(VLOOKUP(record[[#This Row],[PCUSTID]],廠商[],2,FALSE),"")</f>
        <v/>
      </c>
      <c r="S4575" t="str">
        <f>VLOOKUP(record[[#This Row],[employeeID]],員工[],2,FALSE)</f>
        <v>裴氏璧鳳</v>
      </c>
    </row>
    <row r="4576" spans="6:19" hidden="1" x14ac:dyDescent="0.25">
      <c r="F4576" t="s">
        <v>1450</v>
      </c>
      <c r="G4576" t="s">
        <v>469</v>
      </c>
      <c r="H4576" t="str">
        <f>VLOOKUP(record[[#This Row],[ProcessSN]],表格2_7[],2,FALSE)</f>
        <v>30-4118-018-XXX</v>
      </c>
      <c r="I4576" t="str">
        <f>VLOOKUP(record[[#This Row],[ProcessSN]],表格2_7[],3,FALSE)</f>
        <v>#02RCV</v>
      </c>
      <c r="J4576" t="s">
        <v>591</v>
      </c>
      <c r="K4576" s="195">
        <v>46048.396122685182</v>
      </c>
      <c r="L4576">
        <v>840</v>
      </c>
      <c r="M4576">
        <v>0</v>
      </c>
      <c r="N4576" s="98" t="str">
        <f>IF(record[[#This Row],[Memo]]="Browser:chrome os:android","平板報工",IF(record[[#This Row],[Memo]]=0,"委外",record[[#This Row],[Memo]]))</f>
        <v/>
      </c>
      <c r="O4576" t="s">
        <v>58</v>
      </c>
      <c r="P4576" t="s">
        <v>186</v>
      </c>
      <c r="Q4576" t="s">
        <v>58</v>
      </c>
      <c r="R4576" t="str">
        <f>IFERROR(VLOOKUP(record[[#This Row],[PCUSTID]],廠商[],2,FALSE),"")</f>
        <v/>
      </c>
      <c r="S4576" t="str">
        <f>VLOOKUP(record[[#This Row],[employeeID]],員工[],2,FALSE)</f>
        <v>許文姍</v>
      </c>
    </row>
    <row r="4577" spans="6:19" hidden="1" x14ac:dyDescent="0.25">
      <c r="F4577" t="s">
        <v>1450</v>
      </c>
      <c r="G4577" t="s">
        <v>468</v>
      </c>
      <c r="H4577" t="str">
        <f>VLOOKUP(record[[#This Row],[ProcessSN]],表格2_7[],2,FALSE)</f>
        <v>30-4118-018-XXX</v>
      </c>
      <c r="I4577" t="str">
        <f>VLOOKUP(record[[#This Row],[ProcessSN]],表格2_7[],3,FALSE)</f>
        <v>#02</v>
      </c>
      <c r="J4577" t="s">
        <v>590</v>
      </c>
      <c r="K4577" s="195">
        <v>46048.381550925929</v>
      </c>
      <c r="L4577">
        <v>1204</v>
      </c>
      <c r="M4577">
        <v>0</v>
      </c>
      <c r="N4577" s="98" t="str">
        <f>IF(record[[#This Row],[Memo]]="Browser:chrome os:android","平板報工",IF(record[[#This Row],[Memo]]=0,"委外",record[[#This Row],[Memo]]))</f>
        <v>委外</v>
      </c>
      <c r="P4577" t="s">
        <v>186</v>
      </c>
      <c r="Q4577" t="s">
        <v>216</v>
      </c>
      <c r="R4577" t="str">
        <f>IFERROR(VLOOKUP(record[[#This Row],[PCUSTID]],廠商[],2,FALSE),"")</f>
        <v>俊杰</v>
      </c>
      <c r="S4577" t="str">
        <f>VLOOKUP(record[[#This Row],[employeeID]],員工[],2,FALSE)</f>
        <v>許文姍</v>
      </c>
    </row>
    <row r="4578" spans="6:19" hidden="1" x14ac:dyDescent="0.25">
      <c r="F4578" t="s">
        <v>1417</v>
      </c>
      <c r="G4578" t="s">
        <v>452</v>
      </c>
      <c r="H4578" t="str">
        <f>VLOOKUP(record[[#This Row],[ProcessSN]],表格2_7[],2,FALSE)</f>
        <v>30-4118-018-6XX</v>
      </c>
      <c r="I4578" t="str">
        <f>VLOOKUP(record[[#This Row],[ProcessSN]],表格2_7[],3,FALSE)</f>
        <v>#07QC</v>
      </c>
      <c r="J4578" t="s">
        <v>589</v>
      </c>
      <c r="K4578" s="195">
        <v>46048.378020833334</v>
      </c>
      <c r="L4578">
        <v>159</v>
      </c>
      <c r="M4578">
        <v>0</v>
      </c>
      <c r="N4578" s="98" t="str">
        <f>IF(record[[#This Row],[Memo]]="Browser:chrome os:android","平板報工",IF(record[[#This Row],[Memo]]=0,"委外",record[[#This Row],[Memo]]))</f>
        <v>平板報工</v>
      </c>
      <c r="O4578" t="s">
        <v>643</v>
      </c>
      <c r="P4578" t="s">
        <v>141</v>
      </c>
      <c r="Q4578" t="s">
        <v>644</v>
      </c>
      <c r="R4578" t="str">
        <f>IFERROR(VLOOKUP(record[[#This Row],[PCUSTID]],廠商[],2,FALSE),"")</f>
        <v/>
      </c>
      <c r="S4578" t="str">
        <f>VLOOKUP(record[[#This Row],[employeeID]],員工[],2,FALSE)</f>
        <v>蔣梅</v>
      </c>
    </row>
    <row r="4579" spans="6:19" hidden="1" x14ac:dyDescent="0.25">
      <c r="F4579" t="s">
        <v>1450</v>
      </c>
      <c r="G4579" t="s">
        <v>467</v>
      </c>
      <c r="H4579" t="str">
        <f>VLOOKUP(record[[#This Row],[ProcessSN]],表格2_7[],2,FALSE)</f>
        <v>30-4118-018-XXX</v>
      </c>
      <c r="I4579" t="str">
        <f>VLOOKUP(record[[#This Row],[ProcessSN]],表格2_7[],3,FALSE)</f>
        <v>#01QC</v>
      </c>
      <c r="J4579" t="s">
        <v>589</v>
      </c>
      <c r="K4579" s="195">
        <v>46048.339004629626</v>
      </c>
      <c r="L4579">
        <v>840</v>
      </c>
      <c r="M4579">
        <v>0</v>
      </c>
      <c r="N4579" s="98" t="str">
        <f>IF(record[[#This Row],[Memo]]="Browser:chrome os:android","平板報工",IF(record[[#This Row],[Memo]]=0,"委外",record[[#This Row],[Memo]]))</f>
        <v>平板報工</v>
      </c>
      <c r="O4579" t="s">
        <v>643</v>
      </c>
      <c r="P4579" t="s">
        <v>182</v>
      </c>
      <c r="Q4579" t="s">
        <v>644</v>
      </c>
      <c r="R4579" t="str">
        <f>IFERROR(VLOOKUP(record[[#This Row],[PCUSTID]],廠商[],2,FALSE),"")</f>
        <v/>
      </c>
      <c r="S4579" t="str">
        <f>VLOOKUP(record[[#This Row],[employeeID]],員工[],2,FALSE)</f>
        <v>梅氏和</v>
      </c>
    </row>
    <row r="4580" spans="6:19" hidden="1" x14ac:dyDescent="0.25">
      <c r="F4580" t="s">
        <v>1407</v>
      </c>
      <c r="G4580" t="s">
        <v>362</v>
      </c>
      <c r="H4580" t="str">
        <f>VLOOKUP(record[[#This Row],[ProcessSN]],表格2_7[],2,FALSE)</f>
        <v>30-4118-018-450</v>
      </c>
      <c r="I4580" t="str">
        <f>VLOOKUP(record[[#This Row],[ProcessSN]],表格2_7[],3,FALSE)</f>
        <v>#100SHIP</v>
      </c>
      <c r="J4580" t="s">
        <v>600</v>
      </c>
      <c r="K4580" s="195">
        <v>46048.338865740741</v>
      </c>
      <c r="L4580">
        <v>97</v>
      </c>
      <c r="M4580">
        <v>0</v>
      </c>
      <c r="N4580" s="98" t="str">
        <f>IF(record[[#This Row],[Memo]]="Browser:chrome os:android","平板報工",IF(record[[#This Row],[Memo]]=0,"委外",record[[#This Row],[Memo]]))</f>
        <v/>
      </c>
      <c r="O4580" t="s">
        <v>58</v>
      </c>
      <c r="P4580" t="s">
        <v>886</v>
      </c>
      <c r="Q4580" t="s">
        <v>58</v>
      </c>
      <c r="R4580" t="str">
        <f>IFERROR(VLOOKUP(record[[#This Row],[PCUSTID]],廠商[],2,FALSE),"")</f>
        <v/>
      </c>
      <c r="S4580" t="str">
        <f>VLOOKUP(record[[#This Row],[employeeID]],員工[],2,FALSE)</f>
        <v>謝蓁薰</v>
      </c>
    </row>
    <row r="4581" spans="6:19" hidden="1" x14ac:dyDescent="0.25">
      <c r="F4581" t="s">
        <v>956</v>
      </c>
      <c r="G4581" t="s">
        <v>362</v>
      </c>
      <c r="H4581" t="str">
        <f>VLOOKUP(record[[#This Row],[ProcessSN]],表格2_7[],2,FALSE)</f>
        <v>30-4118-018-450</v>
      </c>
      <c r="I4581" t="str">
        <f>VLOOKUP(record[[#This Row],[ProcessSN]],表格2_7[],3,FALSE)</f>
        <v>#100SHIP</v>
      </c>
      <c r="J4581" t="s">
        <v>600</v>
      </c>
      <c r="K4581" s="195">
        <v>46048.338553240741</v>
      </c>
      <c r="L4581">
        <v>1</v>
      </c>
      <c r="M4581">
        <v>0</v>
      </c>
      <c r="N4581" s="98" t="str">
        <f>IF(record[[#This Row],[Memo]]="Browser:chrome os:android","平板報工",IF(record[[#This Row],[Memo]]=0,"委外",record[[#This Row],[Memo]]))</f>
        <v/>
      </c>
      <c r="O4581" t="s">
        <v>58</v>
      </c>
      <c r="P4581" t="s">
        <v>886</v>
      </c>
      <c r="Q4581" t="s">
        <v>58</v>
      </c>
      <c r="R4581" t="str">
        <f>IFERROR(VLOOKUP(record[[#This Row],[PCUSTID]],廠商[],2,FALSE),"")</f>
        <v/>
      </c>
      <c r="S4581" t="str">
        <f>VLOOKUP(record[[#This Row],[employeeID]],員工[],2,FALSE)</f>
        <v>謝蓁薰</v>
      </c>
    </row>
    <row r="4582" spans="6:19" hidden="1" x14ac:dyDescent="0.25">
      <c r="F4582" t="s">
        <v>1476</v>
      </c>
      <c r="G4582" t="s">
        <v>402</v>
      </c>
      <c r="H4582" t="str">
        <f>VLOOKUP(record[[#This Row],[ProcessSN]],表格2_7[],2,FALSE)</f>
        <v>30-4118-018-550</v>
      </c>
      <c r="I4582" t="str">
        <f>VLOOKUP(record[[#This Row],[ProcessSN]],表格2_7[],3,FALSE)</f>
        <v>#100STOCK</v>
      </c>
      <c r="J4582" t="s">
        <v>592</v>
      </c>
      <c r="K4582" s="195">
        <v>46048.332719907405</v>
      </c>
      <c r="L4582">
        <v>281</v>
      </c>
      <c r="M4582">
        <v>0</v>
      </c>
      <c r="N4582" s="98" t="str">
        <f>IF(record[[#This Row],[Memo]]="Browser:chrome os:android","平板報工",IF(record[[#This Row],[Memo]]=0,"委外",record[[#This Row],[Memo]]))</f>
        <v/>
      </c>
      <c r="O4582" t="s">
        <v>58</v>
      </c>
      <c r="P4582" t="s">
        <v>886</v>
      </c>
      <c r="Q4582" t="s">
        <v>58</v>
      </c>
      <c r="R4582" t="str">
        <f>IFERROR(VLOOKUP(record[[#This Row],[PCUSTID]],廠商[],2,FALSE),"")</f>
        <v/>
      </c>
      <c r="S4582" t="str">
        <f>VLOOKUP(record[[#This Row],[employeeID]],員工[],2,FALSE)</f>
        <v>謝蓁薰</v>
      </c>
    </row>
    <row r="4583" spans="6:19" hidden="1" x14ac:dyDescent="0.25">
      <c r="F4583" t="s">
        <v>1474</v>
      </c>
      <c r="G4583" t="s">
        <v>450</v>
      </c>
      <c r="H4583" t="str">
        <f>VLOOKUP(record[[#This Row],[ProcessSN]],表格2_7[],2,FALSE)</f>
        <v>30-4118-018-6XX</v>
      </c>
      <c r="I4583" t="str">
        <f>VLOOKUP(record[[#This Row],[ProcessSN]],表格2_7[],3,FALSE)</f>
        <v>#06</v>
      </c>
      <c r="J4583" t="s">
        <v>593</v>
      </c>
      <c r="K4583" s="195">
        <v>46046.308252314811</v>
      </c>
      <c r="L4583">
        <v>133</v>
      </c>
      <c r="M4583">
        <v>0</v>
      </c>
      <c r="N4583" s="98" t="str">
        <f>IF(record[[#This Row],[Memo]]="Browser:chrome os:android","平板報工",IF(record[[#This Row],[Memo]]=0,"委外",record[[#This Row],[Memo]]))</f>
        <v/>
      </c>
      <c r="O4583" t="s">
        <v>58</v>
      </c>
      <c r="P4583" t="s">
        <v>135</v>
      </c>
      <c r="Q4583" t="s">
        <v>58</v>
      </c>
      <c r="R4583" t="str">
        <f>IFERROR(VLOOKUP(record[[#This Row],[PCUSTID]],廠商[],2,FALSE),"")</f>
        <v/>
      </c>
      <c r="S4583" t="str">
        <f>VLOOKUP(record[[#This Row],[employeeID]],員工[],2,FALSE)</f>
        <v>阮士文</v>
      </c>
    </row>
    <row r="4584" spans="6:19" hidden="1" x14ac:dyDescent="0.25">
      <c r="F4584" t="s">
        <v>1474</v>
      </c>
      <c r="G4584" t="s">
        <v>449</v>
      </c>
      <c r="H4584" t="str">
        <f>VLOOKUP(record[[#This Row],[ProcessSN]],表格2_7[],2,FALSE)</f>
        <v>30-4118-018-6XX</v>
      </c>
      <c r="I4584" t="str">
        <f>VLOOKUP(record[[#This Row],[ProcessSN]],表格2_7[],3,FALSE)</f>
        <v>#05</v>
      </c>
      <c r="J4584" t="s">
        <v>588</v>
      </c>
      <c r="K4584" s="195">
        <v>46046.305902777778</v>
      </c>
      <c r="L4584">
        <v>120</v>
      </c>
      <c r="M4584">
        <v>0</v>
      </c>
      <c r="N4584" s="98" t="str">
        <f>IF(record[[#This Row],[Memo]]="Browser:chrome os:android","平板報工",IF(record[[#This Row],[Memo]]=0,"委外",record[[#This Row],[Memo]]))</f>
        <v/>
      </c>
      <c r="O4584" t="s">
        <v>58</v>
      </c>
      <c r="P4584" t="s">
        <v>843</v>
      </c>
      <c r="Q4584" t="s">
        <v>58</v>
      </c>
      <c r="R4584" t="str">
        <f>IFERROR(VLOOKUP(record[[#This Row],[PCUSTID]],廠商[],2,FALSE),"")</f>
        <v/>
      </c>
      <c r="S4584" t="str">
        <f>VLOOKUP(record[[#This Row],[employeeID]],員工[],2,FALSE)</f>
        <v>張楚承</v>
      </c>
    </row>
    <row r="4585" spans="6:19" hidden="1" x14ac:dyDescent="0.25">
      <c r="F4585" t="s">
        <v>1417</v>
      </c>
      <c r="G4585" t="s">
        <v>449</v>
      </c>
      <c r="H4585" t="str">
        <f>VLOOKUP(record[[#This Row],[ProcessSN]],表格2_7[],2,FALSE)</f>
        <v>30-4118-018-6XX</v>
      </c>
      <c r="I4585" t="str">
        <f>VLOOKUP(record[[#This Row],[ProcessSN]],表格2_7[],3,FALSE)</f>
        <v>#05</v>
      </c>
      <c r="J4585" t="s">
        <v>588</v>
      </c>
      <c r="K4585" s="195">
        <v>46046.305717592593</v>
      </c>
      <c r="L4585">
        <v>73</v>
      </c>
      <c r="M4585">
        <v>0</v>
      </c>
      <c r="N4585" s="98" t="str">
        <f>IF(record[[#This Row],[Memo]]="Browser:chrome os:android","平板報工",IF(record[[#This Row],[Memo]]=0,"委外",record[[#This Row],[Memo]]))</f>
        <v/>
      </c>
      <c r="O4585" t="s">
        <v>58</v>
      </c>
      <c r="P4585" t="s">
        <v>843</v>
      </c>
      <c r="Q4585" t="s">
        <v>58</v>
      </c>
      <c r="R4585" t="str">
        <f>IFERROR(VLOOKUP(record[[#This Row],[PCUSTID]],廠商[],2,FALSE),"")</f>
        <v/>
      </c>
      <c r="S4585" t="str">
        <f>VLOOKUP(record[[#This Row],[employeeID]],員工[],2,FALSE)</f>
        <v>張楚承</v>
      </c>
    </row>
    <row r="4586" spans="6:19" hidden="1" x14ac:dyDescent="0.25">
      <c r="F4586" t="s">
        <v>1503</v>
      </c>
      <c r="G4586" t="s">
        <v>415</v>
      </c>
      <c r="H4586" t="str">
        <f>VLOOKUP(record[[#This Row],[ProcessSN]],表格2_7[],2,FALSE)</f>
        <v>30-4118-018-5XX</v>
      </c>
      <c r="I4586" t="str">
        <f>VLOOKUP(record[[#This Row],[ProcessSN]],表格2_7[],3,FALSE)</f>
        <v>#04</v>
      </c>
      <c r="J4586" t="s">
        <v>588</v>
      </c>
      <c r="K4586" s="195">
        <v>46046.301574074074</v>
      </c>
      <c r="L4586">
        <v>118</v>
      </c>
      <c r="M4586">
        <v>0</v>
      </c>
      <c r="N4586" s="98" t="str">
        <f>IF(record[[#This Row],[Memo]]="Browser:chrome os:android","平板報工",IF(record[[#This Row],[Memo]]=0,"委外",record[[#This Row],[Memo]]))</f>
        <v/>
      </c>
      <c r="O4586" t="s">
        <v>58</v>
      </c>
      <c r="P4586" t="s">
        <v>806</v>
      </c>
      <c r="Q4586" t="s">
        <v>58</v>
      </c>
      <c r="R4586" t="str">
        <f>IFERROR(VLOOKUP(record[[#This Row],[PCUSTID]],廠商[],2,FALSE),"")</f>
        <v/>
      </c>
      <c r="S4586" t="str">
        <f>VLOOKUP(record[[#This Row],[employeeID]],員工[],2,FALSE)</f>
        <v>方思緯</v>
      </c>
    </row>
    <row r="4587" spans="6:19" hidden="1" x14ac:dyDescent="0.25">
      <c r="F4587" t="s">
        <v>1504</v>
      </c>
      <c r="G4587" t="s">
        <v>448</v>
      </c>
      <c r="H4587" t="str">
        <f>VLOOKUP(record[[#This Row],[ProcessSN]],表格2_7[],2,FALSE)</f>
        <v>30-4118-018-6XX</v>
      </c>
      <c r="I4587" t="str">
        <f>VLOOKUP(record[[#This Row],[ProcessSN]],表格2_7[],3,FALSE)</f>
        <v>#04</v>
      </c>
      <c r="J4587" t="s">
        <v>588</v>
      </c>
      <c r="K4587" s="195">
        <v>46046.301226851851</v>
      </c>
      <c r="L4587">
        <v>112</v>
      </c>
      <c r="M4587">
        <v>0</v>
      </c>
      <c r="N4587" s="98" t="str">
        <f>IF(record[[#This Row],[Memo]]="Browser:chrome os:android","平板報工",IF(record[[#This Row],[Memo]]=0,"委外",record[[#This Row],[Memo]]))</f>
        <v/>
      </c>
      <c r="O4587" t="s">
        <v>58</v>
      </c>
      <c r="P4587" t="s">
        <v>806</v>
      </c>
      <c r="Q4587" t="s">
        <v>58</v>
      </c>
      <c r="R4587" t="str">
        <f>IFERROR(VLOOKUP(record[[#This Row],[PCUSTID]],廠商[],2,FALSE),"")</f>
        <v/>
      </c>
      <c r="S4587" t="str">
        <f>VLOOKUP(record[[#This Row],[employeeID]],員工[],2,FALSE)</f>
        <v>方思緯</v>
      </c>
    </row>
    <row r="4588" spans="6:19" hidden="1" x14ac:dyDescent="0.25">
      <c r="F4588" t="s">
        <v>1450</v>
      </c>
      <c r="G4588" t="s">
        <v>466</v>
      </c>
      <c r="H4588" t="str">
        <f>VLOOKUP(record[[#This Row],[ProcessSN]],表格2_7[],2,FALSE)</f>
        <v>30-4118-018-XXX</v>
      </c>
      <c r="I4588" t="str">
        <f>VLOOKUP(record[[#This Row],[ProcessSN]],表格2_7[],3,FALSE)</f>
        <v>#01-2</v>
      </c>
      <c r="J4588" t="s">
        <v>588</v>
      </c>
      <c r="K4588" s="195">
        <v>46046.300358796296</v>
      </c>
      <c r="L4588">
        <v>540</v>
      </c>
      <c r="M4588">
        <v>0</v>
      </c>
      <c r="N4588" s="98" t="str">
        <f>IF(record[[#This Row],[Memo]]="Browser:chrome os:android","平板報工",IF(record[[#This Row],[Memo]]=0,"委外",record[[#This Row],[Memo]]))</f>
        <v/>
      </c>
      <c r="O4588" t="s">
        <v>58</v>
      </c>
      <c r="P4588" t="s">
        <v>806</v>
      </c>
      <c r="Q4588" t="s">
        <v>58</v>
      </c>
      <c r="R4588" t="str">
        <f>IFERROR(VLOOKUP(record[[#This Row],[PCUSTID]],廠商[],2,FALSE),"")</f>
        <v/>
      </c>
      <c r="S4588" t="str">
        <f>VLOOKUP(record[[#This Row],[employeeID]],員工[],2,FALSE)</f>
        <v>方思緯</v>
      </c>
    </row>
    <row r="4589" spans="6:19" hidden="1" x14ac:dyDescent="0.25">
      <c r="F4589" t="s">
        <v>1450</v>
      </c>
      <c r="G4589" t="s">
        <v>465</v>
      </c>
      <c r="H4589" t="str">
        <f>VLOOKUP(record[[#This Row],[ProcessSN]],表格2_7[],2,FALSE)</f>
        <v>30-4118-018-XXX</v>
      </c>
      <c r="I4589" t="str">
        <f>VLOOKUP(record[[#This Row],[ProcessSN]],表格2_7[],3,FALSE)</f>
        <v>#01-1</v>
      </c>
      <c r="J4589" t="s">
        <v>588</v>
      </c>
      <c r="K4589" s="195">
        <v>46046.299895833334</v>
      </c>
      <c r="L4589">
        <v>540</v>
      </c>
      <c r="M4589">
        <v>0</v>
      </c>
      <c r="N4589" s="98" t="str">
        <f>IF(record[[#This Row],[Memo]]="Browser:chrome os:android","平板報工",IF(record[[#This Row],[Memo]]=0,"委外",record[[#This Row],[Memo]]))</f>
        <v/>
      </c>
      <c r="O4589" t="s">
        <v>58</v>
      </c>
      <c r="P4589" t="s">
        <v>806</v>
      </c>
      <c r="Q4589" t="s">
        <v>58</v>
      </c>
      <c r="R4589" t="str">
        <f>IFERROR(VLOOKUP(record[[#This Row],[PCUSTID]],廠商[],2,FALSE),"")</f>
        <v/>
      </c>
      <c r="S4589" t="str">
        <f>VLOOKUP(record[[#This Row],[employeeID]],員工[],2,FALSE)</f>
        <v>方思緯</v>
      </c>
    </row>
    <row r="4590" spans="6:19" hidden="1" x14ac:dyDescent="0.25">
      <c r="F4590" t="s">
        <v>1417</v>
      </c>
      <c r="G4590" t="s">
        <v>451</v>
      </c>
      <c r="H4590" t="str">
        <f>VLOOKUP(record[[#This Row],[ProcessSN]],表格2_7[],2,FALSE)</f>
        <v>30-4118-018-6XX</v>
      </c>
      <c r="I4590" t="str">
        <f>VLOOKUP(record[[#This Row],[ProcessSN]],表格2_7[],3,FALSE)</f>
        <v>#07</v>
      </c>
      <c r="J4590" t="s">
        <v>588</v>
      </c>
      <c r="K4590" s="195">
        <v>46045.968009259261</v>
      </c>
      <c r="L4590">
        <v>157</v>
      </c>
      <c r="M4590">
        <v>4</v>
      </c>
      <c r="N4590" s="98" t="str">
        <f>IF(record[[#This Row],[Memo]]="Browser:chrome os:android","平板報工",IF(record[[#This Row],[Memo]]=0,"委外",record[[#This Row],[Memo]]))</f>
        <v/>
      </c>
      <c r="O4590" t="s">
        <v>58</v>
      </c>
      <c r="P4590" t="s">
        <v>89</v>
      </c>
      <c r="Q4590" t="s">
        <v>58</v>
      </c>
      <c r="R4590" t="str">
        <f>IFERROR(VLOOKUP(record[[#This Row],[PCUSTID]],廠商[],2,FALSE),"")</f>
        <v/>
      </c>
      <c r="S4590" t="str">
        <f>VLOOKUP(record[[#This Row],[employeeID]],員工[],2,FALSE)</f>
        <v>李美蓮</v>
      </c>
    </row>
    <row r="4591" spans="6:19" hidden="1" x14ac:dyDescent="0.25">
      <c r="F4591" t="s">
        <v>1450</v>
      </c>
      <c r="G4591" t="s">
        <v>466</v>
      </c>
      <c r="H4591" t="str">
        <f>VLOOKUP(record[[#This Row],[ProcessSN]],表格2_7[],2,FALSE)</f>
        <v>30-4118-018-XXX</v>
      </c>
      <c r="I4591" t="str">
        <f>VLOOKUP(record[[#This Row],[ProcessSN]],表格2_7[],3,FALSE)</f>
        <v>#01-2</v>
      </c>
      <c r="J4591" t="s">
        <v>588</v>
      </c>
      <c r="K4591" s="195">
        <v>46045.960694444446</v>
      </c>
      <c r="L4591">
        <v>540</v>
      </c>
      <c r="M4591">
        <v>0</v>
      </c>
      <c r="N4591" s="98" t="str">
        <f>IF(record[[#This Row],[Memo]]="Browser:chrome os:android","平板報工",IF(record[[#This Row],[Memo]]=0,"委外",record[[#This Row],[Memo]]))</f>
        <v/>
      </c>
      <c r="O4591" t="s">
        <v>58</v>
      </c>
      <c r="P4591" t="s">
        <v>1098</v>
      </c>
      <c r="Q4591" t="s">
        <v>58</v>
      </c>
      <c r="R4591" t="str">
        <f>IFERROR(VLOOKUP(record[[#This Row],[PCUSTID]],廠商[],2,FALSE),"")</f>
        <v/>
      </c>
      <c r="S4591" t="str">
        <f>VLOOKUP(record[[#This Row],[employeeID]],員工[],2,FALSE)</f>
        <v>阮氏芳英(英)</v>
      </c>
    </row>
    <row r="4592" spans="6:19" hidden="1" x14ac:dyDescent="0.25">
      <c r="F4592" t="s">
        <v>1450</v>
      </c>
      <c r="G4592" t="s">
        <v>465</v>
      </c>
      <c r="H4592" t="str">
        <f>VLOOKUP(record[[#This Row],[ProcessSN]],表格2_7[],2,FALSE)</f>
        <v>30-4118-018-XXX</v>
      </c>
      <c r="I4592" t="str">
        <f>VLOOKUP(record[[#This Row],[ProcessSN]],表格2_7[],3,FALSE)</f>
        <v>#01-1</v>
      </c>
      <c r="J4592" t="s">
        <v>588</v>
      </c>
      <c r="K4592" s="195">
        <v>46045.960370370369</v>
      </c>
      <c r="L4592">
        <v>540</v>
      </c>
      <c r="M4592">
        <v>0</v>
      </c>
      <c r="N4592" s="98" t="str">
        <f>IF(record[[#This Row],[Memo]]="Browser:chrome os:android","平板報工",IF(record[[#This Row],[Memo]]=0,"委外",record[[#This Row],[Memo]]))</f>
        <v/>
      </c>
      <c r="O4592" t="s">
        <v>58</v>
      </c>
      <c r="P4592" t="s">
        <v>1098</v>
      </c>
      <c r="Q4592" t="s">
        <v>58</v>
      </c>
      <c r="R4592" t="str">
        <f>IFERROR(VLOOKUP(record[[#This Row],[PCUSTID]],廠商[],2,FALSE),"")</f>
        <v/>
      </c>
      <c r="S4592" t="str">
        <f>VLOOKUP(record[[#This Row],[employeeID]],員工[],2,FALSE)</f>
        <v>阮氏芳英(英)</v>
      </c>
    </row>
    <row r="4593" spans="6:19" hidden="1" x14ac:dyDescent="0.25">
      <c r="F4593" t="s">
        <v>1504</v>
      </c>
      <c r="G4593" t="s">
        <v>448</v>
      </c>
      <c r="H4593" t="str">
        <f>VLOOKUP(record[[#This Row],[ProcessSN]],表格2_7[],2,FALSE)</f>
        <v>30-4118-018-6XX</v>
      </c>
      <c r="I4593" t="str">
        <f>VLOOKUP(record[[#This Row],[ProcessSN]],表格2_7[],3,FALSE)</f>
        <v>#04</v>
      </c>
      <c r="J4593" t="s">
        <v>588</v>
      </c>
      <c r="K4593" s="195">
        <v>46045.959467592591</v>
      </c>
      <c r="L4593">
        <v>129</v>
      </c>
      <c r="M4593">
        <v>1</v>
      </c>
      <c r="N4593" s="98" t="str">
        <f>IF(record[[#This Row],[Memo]]="Browser:chrome os:android","平板報工",IF(record[[#This Row],[Memo]]=0,"委外",record[[#This Row],[Memo]]))</f>
        <v/>
      </c>
      <c r="O4593" t="s">
        <v>58</v>
      </c>
      <c r="P4593" t="s">
        <v>133</v>
      </c>
      <c r="Q4593" t="s">
        <v>58</v>
      </c>
      <c r="R4593" t="str">
        <f>IFERROR(VLOOKUP(record[[#This Row],[PCUSTID]],廠商[],2,FALSE),"")</f>
        <v/>
      </c>
      <c r="S4593" t="str">
        <f>VLOOKUP(record[[#This Row],[employeeID]],員工[],2,FALSE)</f>
        <v>黎長維</v>
      </c>
    </row>
    <row r="4594" spans="6:19" hidden="1" x14ac:dyDescent="0.25">
      <c r="F4594" t="s">
        <v>1503</v>
      </c>
      <c r="G4594" t="s">
        <v>415</v>
      </c>
      <c r="H4594" t="str">
        <f>VLOOKUP(record[[#This Row],[ProcessSN]],表格2_7[],2,FALSE)</f>
        <v>30-4118-018-5XX</v>
      </c>
      <c r="I4594" t="str">
        <f>VLOOKUP(record[[#This Row],[ProcessSN]],表格2_7[],3,FALSE)</f>
        <v>#04</v>
      </c>
      <c r="J4594" t="s">
        <v>588</v>
      </c>
      <c r="K4594" s="195">
        <v>46045.959201388891</v>
      </c>
      <c r="L4594">
        <v>121</v>
      </c>
      <c r="M4594">
        <v>0</v>
      </c>
      <c r="N4594" s="98" t="str">
        <f>IF(record[[#This Row],[Memo]]="Browser:chrome os:android","平板報工",IF(record[[#This Row],[Memo]]=0,"委外",record[[#This Row],[Memo]]))</f>
        <v/>
      </c>
      <c r="O4594" t="s">
        <v>58</v>
      </c>
      <c r="P4594" t="s">
        <v>133</v>
      </c>
      <c r="Q4594" t="s">
        <v>58</v>
      </c>
      <c r="R4594" t="str">
        <f>IFERROR(VLOOKUP(record[[#This Row],[PCUSTID]],廠商[],2,FALSE),"")</f>
        <v/>
      </c>
      <c r="S4594" t="str">
        <f>VLOOKUP(record[[#This Row],[employeeID]],員工[],2,FALSE)</f>
        <v>黎長維</v>
      </c>
    </row>
    <row r="4595" spans="6:19" hidden="1" x14ac:dyDescent="0.25">
      <c r="F4595" t="s">
        <v>1474</v>
      </c>
      <c r="G4595" t="s">
        <v>450</v>
      </c>
      <c r="H4595" t="str">
        <f>VLOOKUP(record[[#This Row],[ProcessSN]],表格2_7[],2,FALSE)</f>
        <v>30-4118-018-6XX</v>
      </c>
      <c r="I4595" t="str">
        <f>VLOOKUP(record[[#This Row],[ProcessSN]],表格2_7[],3,FALSE)</f>
        <v>#06</v>
      </c>
      <c r="J4595" t="s">
        <v>593</v>
      </c>
      <c r="K4595" s="195">
        <v>46045.957465277781</v>
      </c>
      <c r="L4595">
        <v>133</v>
      </c>
      <c r="M4595">
        <v>0</v>
      </c>
      <c r="N4595" s="98" t="str">
        <f>IF(record[[#This Row],[Memo]]="Browser:chrome os:android","平板報工",IF(record[[#This Row],[Memo]]=0,"委外",record[[#This Row],[Memo]]))</f>
        <v/>
      </c>
      <c r="O4595" t="s">
        <v>58</v>
      </c>
      <c r="P4595" t="s">
        <v>176</v>
      </c>
      <c r="Q4595" t="s">
        <v>58</v>
      </c>
      <c r="R4595" t="str">
        <f>IFERROR(VLOOKUP(record[[#This Row],[PCUSTID]],廠商[],2,FALSE),"")</f>
        <v/>
      </c>
      <c r="S4595" t="str">
        <f>VLOOKUP(record[[#This Row],[employeeID]],員工[],2,FALSE)</f>
        <v>郭政雄</v>
      </c>
    </row>
    <row r="4596" spans="6:19" hidden="1" x14ac:dyDescent="0.25">
      <c r="F4596" t="s">
        <v>1417</v>
      </c>
      <c r="G4596" t="s">
        <v>450</v>
      </c>
      <c r="H4596" t="str">
        <f>VLOOKUP(record[[#This Row],[ProcessSN]],表格2_7[],2,FALSE)</f>
        <v>30-4118-018-6XX</v>
      </c>
      <c r="I4596" t="str">
        <f>VLOOKUP(record[[#This Row],[ProcessSN]],表格2_7[],3,FALSE)</f>
        <v>#06</v>
      </c>
      <c r="J4596" t="s">
        <v>593</v>
      </c>
      <c r="K4596" s="195">
        <v>46045.954953703702</v>
      </c>
      <c r="L4596">
        <v>3</v>
      </c>
      <c r="M4596">
        <v>0</v>
      </c>
      <c r="N4596" s="98" t="str">
        <f>IF(record[[#This Row],[Memo]]="Browser:chrome os:android","平板報工",IF(record[[#This Row],[Memo]]=0,"委外",record[[#This Row],[Memo]]))</f>
        <v>補報生產1/23</v>
      </c>
      <c r="O4596" t="s">
        <v>1505</v>
      </c>
      <c r="P4596" t="s">
        <v>127</v>
      </c>
      <c r="Q4596" t="s">
        <v>58</v>
      </c>
      <c r="R4596" t="str">
        <f>IFERROR(VLOOKUP(record[[#This Row],[PCUSTID]],廠商[],2,FALSE),"")</f>
        <v/>
      </c>
      <c r="S4596" t="str">
        <f>VLOOKUP(record[[#This Row],[employeeID]],員工[],2,FALSE)</f>
        <v>潘雪梅</v>
      </c>
    </row>
    <row r="4597" spans="6:19" hidden="1" x14ac:dyDescent="0.25">
      <c r="F4597" t="s">
        <v>1417</v>
      </c>
      <c r="G4597" t="s">
        <v>449</v>
      </c>
      <c r="H4597" t="str">
        <f>VLOOKUP(record[[#This Row],[ProcessSN]],表格2_7[],2,FALSE)</f>
        <v>30-4118-018-6XX</v>
      </c>
      <c r="I4597" t="str">
        <f>VLOOKUP(record[[#This Row],[ProcessSN]],表格2_7[],3,FALSE)</f>
        <v>#05</v>
      </c>
      <c r="J4597" t="s">
        <v>588</v>
      </c>
      <c r="K4597" s="195">
        <v>46045.953657407408</v>
      </c>
      <c r="L4597">
        <v>3</v>
      </c>
      <c r="M4597">
        <v>0</v>
      </c>
      <c r="N4597" s="98" t="str">
        <f>IF(record[[#This Row],[Memo]]="Browser:chrome os:android","平板報工",IF(record[[#This Row],[Memo]]=0,"委外",record[[#This Row],[Memo]]))</f>
        <v>補報生產1/23</v>
      </c>
      <c r="O4597" t="s">
        <v>1505</v>
      </c>
      <c r="P4597" t="s">
        <v>127</v>
      </c>
      <c r="Q4597" t="s">
        <v>58</v>
      </c>
      <c r="R4597" t="str">
        <f>IFERROR(VLOOKUP(record[[#This Row],[PCUSTID]],廠商[],2,FALSE),"")</f>
        <v/>
      </c>
      <c r="S4597" t="str">
        <f>VLOOKUP(record[[#This Row],[employeeID]],員工[],2,FALSE)</f>
        <v>潘雪梅</v>
      </c>
    </row>
    <row r="4598" spans="6:19" hidden="1" x14ac:dyDescent="0.25">
      <c r="F4598" t="s">
        <v>1474</v>
      </c>
      <c r="G4598" t="s">
        <v>449</v>
      </c>
      <c r="H4598" t="str">
        <f>VLOOKUP(record[[#This Row],[ProcessSN]],表格2_7[],2,FALSE)</f>
        <v>30-4118-018-6XX</v>
      </c>
      <c r="I4598" t="str">
        <f>VLOOKUP(record[[#This Row],[ProcessSN]],表格2_7[],3,FALSE)</f>
        <v>#05</v>
      </c>
      <c r="J4598" t="s">
        <v>588</v>
      </c>
      <c r="K4598" s="195">
        <v>46045.952199074076</v>
      </c>
      <c r="L4598">
        <v>256</v>
      </c>
      <c r="M4598">
        <v>0</v>
      </c>
      <c r="N4598" s="98" t="str">
        <f>IF(record[[#This Row],[Memo]]="Browser:chrome os:android","平板報工",IF(record[[#This Row],[Memo]]=0,"委外",record[[#This Row],[Memo]]))</f>
        <v/>
      </c>
      <c r="O4598" t="s">
        <v>58</v>
      </c>
      <c r="P4598" t="s">
        <v>89</v>
      </c>
      <c r="Q4598" t="s">
        <v>58</v>
      </c>
      <c r="R4598" t="str">
        <f>IFERROR(VLOOKUP(record[[#This Row],[PCUSTID]],廠商[],2,FALSE),"")</f>
        <v/>
      </c>
      <c r="S4598" t="str">
        <f>VLOOKUP(record[[#This Row],[employeeID]],員工[],2,FALSE)</f>
        <v>李美蓮</v>
      </c>
    </row>
    <row r="4599" spans="6:19" hidden="1" x14ac:dyDescent="0.25">
      <c r="F4599" t="s">
        <v>1504</v>
      </c>
      <c r="G4599" t="s">
        <v>447</v>
      </c>
      <c r="H4599" t="str">
        <f>VLOOKUP(record[[#This Row],[ProcessSN]],表格2_7[],2,FALSE)</f>
        <v>30-4118-018-6XX</v>
      </c>
      <c r="I4599" t="str">
        <f>VLOOKUP(record[[#This Row],[ProcessSN]],表格2_7[],3,FALSE)</f>
        <v>#03</v>
      </c>
      <c r="J4599" t="s">
        <v>588</v>
      </c>
      <c r="K4599" s="195">
        <v>46045.781435185185</v>
      </c>
      <c r="L4599">
        <v>168</v>
      </c>
      <c r="M4599">
        <v>0</v>
      </c>
      <c r="N4599" s="98" t="str">
        <f>IF(record[[#This Row],[Memo]]="Browser:chrome os:android","平板報工",IF(record[[#This Row],[Memo]]=0,"委外",record[[#This Row],[Memo]]))</f>
        <v/>
      </c>
      <c r="O4599" t="s">
        <v>58</v>
      </c>
      <c r="P4599" t="s">
        <v>133</v>
      </c>
      <c r="Q4599" t="s">
        <v>58</v>
      </c>
      <c r="R4599" t="str">
        <f>IFERROR(VLOOKUP(record[[#This Row],[PCUSTID]],廠商[],2,FALSE),"")</f>
        <v/>
      </c>
      <c r="S4599" t="str">
        <f>VLOOKUP(record[[#This Row],[employeeID]],員工[],2,FALSE)</f>
        <v>黎長維</v>
      </c>
    </row>
    <row r="4600" spans="6:19" hidden="1" x14ac:dyDescent="0.25">
      <c r="F4600" t="s">
        <v>1260</v>
      </c>
      <c r="G4600" t="s">
        <v>428</v>
      </c>
      <c r="H4600" t="str">
        <f>VLOOKUP(record[[#This Row],[ProcessSN]],表格2_7[],2,FALSE)</f>
        <v>30-4118-018-600</v>
      </c>
      <c r="I4600" t="str">
        <f>VLOOKUP(record[[#This Row],[ProcessSN]],表格2_7[],3,FALSE)</f>
        <v>#100SHIP</v>
      </c>
      <c r="J4600" t="s">
        <v>600</v>
      </c>
      <c r="K4600" s="195">
        <v>46045.699907407405</v>
      </c>
      <c r="L4600">
        <v>1</v>
      </c>
      <c r="M4600">
        <v>0</v>
      </c>
      <c r="N4600" s="98" t="str">
        <f>IF(record[[#This Row],[Memo]]="Browser:chrome os:android","平板報工",IF(record[[#This Row],[Memo]]=0,"委外",record[[#This Row],[Memo]]))</f>
        <v/>
      </c>
      <c r="O4600" t="s">
        <v>58</v>
      </c>
      <c r="P4600" t="s">
        <v>886</v>
      </c>
      <c r="Q4600" t="s">
        <v>58</v>
      </c>
      <c r="R4600" t="str">
        <f>IFERROR(VLOOKUP(record[[#This Row],[PCUSTID]],廠商[],2,FALSE),"")</f>
        <v/>
      </c>
      <c r="S4600" t="str">
        <f>VLOOKUP(record[[#This Row],[employeeID]],員工[],2,FALSE)</f>
        <v>謝蓁薰</v>
      </c>
    </row>
    <row r="4601" spans="6:19" hidden="1" x14ac:dyDescent="0.25">
      <c r="F4601" t="s">
        <v>1484</v>
      </c>
      <c r="G4601" t="s">
        <v>428</v>
      </c>
      <c r="H4601" t="str">
        <f>VLOOKUP(record[[#This Row],[ProcessSN]],表格2_7[],2,FALSE)</f>
        <v>30-4118-018-600</v>
      </c>
      <c r="I4601" t="str">
        <f>VLOOKUP(record[[#This Row],[ProcessSN]],表格2_7[],3,FALSE)</f>
        <v>#100SHIP</v>
      </c>
      <c r="J4601" t="s">
        <v>600</v>
      </c>
      <c r="K4601" s="195">
        <v>46045.69976851852</v>
      </c>
      <c r="L4601">
        <v>31</v>
      </c>
      <c r="M4601">
        <v>0</v>
      </c>
      <c r="N4601" s="98" t="str">
        <f>IF(record[[#This Row],[Memo]]="Browser:chrome os:android","平板報工",IF(record[[#This Row],[Memo]]=0,"委外",record[[#This Row],[Memo]]))</f>
        <v/>
      </c>
      <c r="O4601" t="s">
        <v>58</v>
      </c>
      <c r="P4601" t="s">
        <v>886</v>
      </c>
      <c r="Q4601" t="s">
        <v>58</v>
      </c>
      <c r="R4601" t="str">
        <f>IFERROR(VLOOKUP(record[[#This Row],[PCUSTID]],廠商[],2,FALSE),"")</f>
        <v/>
      </c>
      <c r="S4601" t="str">
        <f>VLOOKUP(record[[#This Row],[employeeID]],員工[],2,FALSE)</f>
        <v>謝蓁薰</v>
      </c>
    </row>
    <row r="4602" spans="6:19" hidden="1" x14ac:dyDescent="0.25">
      <c r="F4602" t="s">
        <v>1391</v>
      </c>
      <c r="G4602" t="s">
        <v>428</v>
      </c>
      <c r="H4602" t="str">
        <f>VLOOKUP(record[[#This Row],[ProcessSN]],表格2_7[],2,FALSE)</f>
        <v>30-4118-018-600</v>
      </c>
      <c r="I4602" t="str">
        <f>VLOOKUP(record[[#This Row],[ProcessSN]],表格2_7[],3,FALSE)</f>
        <v>#100SHIP</v>
      </c>
      <c r="J4602" t="s">
        <v>600</v>
      </c>
      <c r="K4602" s="195">
        <v>46045.699606481481</v>
      </c>
      <c r="L4602">
        <v>25</v>
      </c>
      <c r="M4602">
        <v>0</v>
      </c>
      <c r="N4602" s="98" t="str">
        <f>IF(record[[#This Row],[Memo]]="Browser:chrome os:android","平板報工",IF(record[[#This Row],[Memo]]=0,"委外",record[[#This Row],[Memo]]))</f>
        <v/>
      </c>
      <c r="O4602" t="s">
        <v>58</v>
      </c>
      <c r="P4602" t="s">
        <v>886</v>
      </c>
      <c r="Q4602" t="s">
        <v>58</v>
      </c>
      <c r="R4602" t="str">
        <f>IFERROR(VLOOKUP(record[[#This Row],[PCUSTID]],廠商[],2,FALSE),"")</f>
        <v/>
      </c>
      <c r="S4602" t="str">
        <f>VLOOKUP(record[[#This Row],[employeeID]],員工[],2,FALSE)</f>
        <v>謝蓁薰</v>
      </c>
    </row>
    <row r="4603" spans="6:19" hidden="1" x14ac:dyDescent="0.25">
      <c r="F4603" t="s">
        <v>1181</v>
      </c>
      <c r="G4603" t="s">
        <v>428</v>
      </c>
      <c r="H4603" t="str">
        <f>VLOOKUP(record[[#This Row],[ProcessSN]],表格2_7[],2,FALSE)</f>
        <v>30-4118-018-600</v>
      </c>
      <c r="I4603" t="str">
        <f>VLOOKUP(record[[#This Row],[ProcessSN]],表格2_7[],3,FALSE)</f>
        <v>#100SHIP</v>
      </c>
      <c r="J4603" t="s">
        <v>600</v>
      </c>
      <c r="K4603" s="195">
        <v>46045.69940972222</v>
      </c>
      <c r="L4603">
        <v>3</v>
      </c>
      <c r="M4603">
        <v>0</v>
      </c>
      <c r="N4603" s="98" t="str">
        <f>IF(record[[#This Row],[Memo]]="Browser:chrome os:android","平板報工",IF(record[[#This Row],[Memo]]=0,"委外",record[[#This Row],[Memo]]))</f>
        <v/>
      </c>
      <c r="O4603" t="s">
        <v>58</v>
      </c>
      <c r="P4603" t="s">
        <v>886</v>
      </c>
      <c r="Q4603" t="s">
        <v>58</v>
      </c>
      <c r="R4603" t="str">
        <f>IFERROR(VLOOKUP(record[[#This Row],[PCUSTID]],廠商[],2,FALSE),"")</f>
        <v/>
      </c>
      <c r="S4603" t="str">
        <f>VLOOKUP(record[[#This Row],[employeeID]],員工[],2,FALSE)</f>
        <v>謝蓁薰</v>
      </c>
    </row>
    <row r="4604" spans="6:19" hidden="1" x14ac:dyDescent="0.25">
      <c r="F4604" t="s">
        <v>1484</v>
      </c>
      <c r="G4604" t="s">
        <v>427</v>
      </c>
      <c r="H4604" t="str">
        <f>VLOOKUP(record[[#This Row],[ProcessSN]],表格2_7[],2,FALSE)</f>
        <v>30-4118-018-600</v>
      </c>
      <c r="I4604" t="str">
        <f>VLOOKUP(record[[#This Row],[ProcessSN]],表格2_7[],3,FALSE)</f>
        <v>#100STOCK</v>
      </c>
      <c r="J4604" t="s">
        <v>592</v>
      </c>
      <c r="K4604" s="195">
        <v>46045.699178240742</v>
      </c>
      <c r="L4604">
        <v>48</v>
      </c>
      <c r="M4604">
        <v>0</v>
      </c>
      <c r="N4604" s="98" t="str">
        <f>IF(record[[#This Row],[Memo]]="Browser:chrome os:android","平板報工",IF(record[[#This Row],[Memo]]=0,"委外",record[[#This Row],[Memo]]))</f>
        <v/>
      </c>
      <c r="O4604" t="s">
        <v>58</v>
      </c>
      <c r="P4604" t="s">
        <v>886</v>
      </c>
      <c r="Q4604" t="s">
        <v>58</v>
      </c>
      <c r="R4604" t="str">
        <f>IFERROR(VLOOKUP(record[[#This Row],[PCUSTID]],廠商[],2,FALSE),"")</f>
        <v/>
      </c>
      <c r="S4604" t="str">
        <f>VLOOKUP(record[[#This Row],[employeeID]],員工[],2,FALSE)</f>
        <v>謝蓁薰</v>
      </c>
    </row>
    <row r="4605" spans="6:19" hidden="1" x14ac:dyDescent="0.25">
      <c r="F4605" t="s">
        <v>1391</v>
      </c>
      <c r="G4605" t="s">
        <v>427</v>
      </c>
      <c r="H4605" t="str">
        <f>VLOOKUP(record[[#This Row],[ProcessSN]],表格2_7[],2,FALSE)</f>
        <v>30-4118-018-600</v>
      </c>
      <c r="I4605" t="str">
        <f>VLOOKUP(record[[#This Row],[ProcessSN]],表格2_7[],3,FALSE)</f>
        <v>#100STOCK</v>
      </c>
      <c r="J4605" t="s">
        <v>592</v>
      </c>
      <c r="K4605" s="195">
        <v>46045.69902777778</v>
      </c>
      <c r="L4605">
        <v>25</v>
      </c>
      <c r="M4605">
        <v>0</v>
      </c>
      <c r="N4605" s="98" t="str">
        <f>IF(record[[#This Row],[Memo]]="Browser:chrome os:android","平板報工",IF(record[[#This Row],[Memo]]=0,"委外",record[[#This Row],[Memo]]))</f>
        <v/>
      </c>
      <c r="O4605" t="s">
        <v>58</v>
      </c>
      <c r="P4605" t="s">
        <v>886</v>
      </c>
      <c r="Q4605" t="s">
        <v>58</v>
      </c>
      <c r="R4605" t="str">
        <f>IFERROR(VLOOKUP(record[[#This Row],[PCUSTID]],廠商[],2,FALSE),"")</f>
        <v/>
      </c>
      <c r="S4605" t="str">
        <f>VLOOKUP(record[[#This Row],[employeeID]],員工[],2,FALSE)</f>
        <v>謝蓁薰</v>
      </c>
    </row>
    <row r="4606" spans="6:19" hidden="1" x14ac:dyDescent="0.25">
      <c r="F4606" t="s">
        <v>1181</v>
      </c>
      <c r="G4606" t="s">
        <v>427</v>
      </c>
      <c r="H4606" t="str">
        <f>VLOOKUP(record[[#This Row],[ProcessSN]],表格2_7[],2,FALSE)</f>
        <v>30-4118-018-600</v>
      </c>
      <c r="I4606" t="str">
        <f>VLOOKUP(record[[#This Row],[ProcessSN]],表格2_7[],3,FALSE)</f>
        <v>#100STOCK</v>
      </c>
      <c r="J4606" t="s">
        <v>592</v>
      </c>
      <c r="K4606" s="195">
        <v>46045.698877314811</v>
      </c>
      <c r="L4606">
        <v>3</v>
      </c>
      <c r="M4606">
        <v>0</v>
      </c>
      <c r="N4606" s="98" t="str">
        <f>IF(record[[#This Row],[Memo]]="Browser:chrome os:android","平板報工",IF(record[[#This Row],[Memo]]=0,"委外",record[[#This Row],[Memo]]))</f>
        <v/>
      </c>
      <c r="O4606" t="s">
        <v>58</v>
      </c>
      <c r="P4606" t="s">
        <v>886</v>
      </c>
      <c r="Q4606" t="s">
        <v>58</v>
      </c>
      <c r="R4606" t="str">
        <f>IFERROR(VLOOKUP(record[[#This Row],[PCUSTID]],廠商[],2,FALSE),"")</f>
        <v/>
      </c>
      <c r="S4606" t="str">
        <f>VLOOKUP(record[[#This Row],[employeeID]],員工[],2,FALSE)</f>
        <v>謝蓁薰</v>
      </c>
    </row>
    <row r="4607" spans="6:19" hidden="1" x14ac:dyDescent="0.25">
      <c r="F4607" t="s">
        <v>1450</v>
      </c>
      <c r="G4607" t="s">
        <v>467</v>
      </c>
      <c r="H4607" t="str">
        <f>VLOOKUP(record[[#This Row],[ProcessSN]],表格2_7[],2,FALSE)</f>
        <v>30-4118-018-XXX</v>
      </c>
      <c r="I4607" t="str">
        <f>VLOOKUP(record[[#This Row],[ProcessSN]],表格2_7[],3,FALSE)</f>
        <v>#01QC</v>
      </c>
      <c r="J4607" t="s">
        <v>589</v>
      </c>
      <c r="K4607" s="195">
        <v>46045.689386574071</v>
      </c>
      <c r="L4607">
        <v>364</v>
      </c>
      <c r="M4607">
        <v>0</v>
      </c>
      <c r="N4607" s="98" t="str">
        <f>IF(record[[#This Row],[Memo]]="Browser:chrome os:android","平板報工",IF(record[[#This Row],[Memo]]=0,"委外",record[[#This Row],[Memo]]))</f>
        <v>平板報工</v>
      </c>
      <c r="O4607" t="s">
        <v>643</v>
      </c>
      <c r="P4607" t="s">
        <v>182</v>
      </c>
      <c r="Q4607" t="s">
        <v>644</v>
      </c>
      <c r="R4607" t="str">
        <f>IFERROR(VLOOKUP(record[[#This Row],[PCUSTID]],廠商[],2,FALSE),"")</f>
        <v/>
      </c>
      <c r="S4607" t="str">
        <f>VLOOKUP(record[[#This Row],[employeeID]],員工[],2,FALSE)</f>
        <v>梅氏和</v>
      </c>
    </row>
    <row r="4608" spans="6:19" hidden="1" x14ac:dyDescent="0.25">
      <c r="F4608" t="s">
        <v>1484</v>
      </c>
      <c r="G4608" t="s">
        <v>426</v>
      </c>
      <c r="H4608" t="str">
        <f>VLOOKUP(record[[#This Row],[ProcessSN]],表格2_7[],2,FALSE)</f>
        <v>30-4118-018-600</v>
      </c>
      <c r="I4608" t="str">
        <f>VLOOKUP(record[[#This Row],[ProcessSN]],表格2_7[],3,FALSE)</f>
        <v>#100OQC</v>
      </c>
      <c r="J4608" t="s">
        <v>599</v>
      </c>
      <c r="K4608" s="195">
        <v>46045.689016203702</v>
      </c>
      <c r="L4608">
        <v>48</v>
      </c>
      <c r="M4608">
        <v>0</v>
      </c>
      <c r="N4608" s="98" t="str">
        <f>IF(record[[#This Row],[Memo]]="Browser:chrome os:android","平板報工",IF(record[[#This Row],[Memo]]=0,"委外",record[[#This Row],[Memo]]))</f>
        <v/>
      </c>
      <c r="O4608" t="s">
        <v>58</v>
      </c>
      <c r="P4608" t="s">
        <v>121</v>
      </c>
      <c r="Q4608" t="s">
        <v>58</v>
      </c>
      <c r="R4608" t="str">
        <f>IFERROR(VLOOKUP(record[[#This Row],[PCUSTID]],廠商[],2,FALSE),"")</f>
        <v/>
      </c>
      <c r="S4608" t="str">
        <f>VLOOKUP(record[[#This Row],[employeeID]],員工[],2,FALSE)</f>
        <v>謝素卿</v>
      </c>
    </row>
    <row r="4609" spans="6:19" hidden="1" x14ac:dyDescent="0.25">
      <c r="F4609" t="s">
        <v>1391</v>
      </c>
      <c r="G4609" t="s">
        <v>426</v>
      </c>
      <c r="H4609" t="str">
        <f>VLOOKUP(record[[#This Row],[ProcessSN]],表格2_7[],2,FALSE)</f>
        <v>30-4118-018-600</v>
      </c>
      <c r="I4609" t="str">
        <f>VLOOKUP(record[[#This Row],[ProcessSN]],表格2_7[],3,FALSE)</f>
        <v>#100OQC</v>
      </c>
      <c r="J4609" t="s">
        <v>599</v>
      </c>
      <c r="K4609" s="195">
        <v>46045.68886574074</v>
      </c>
      <c r="L4609">
        <v>25</v>
      </c>
      <c r="M4609">
        <v>0</v>
      </c>
      <c r="N4609" s="98" t="str">
        <f>IF(record[[#This Row],[Memo]]="Browser:chrome os:android","平板報工",IF(record[[#This Row],[Memo]]=0,"委外",record[[#This Row],[Memo]]))</f>
        <v/>
      </c>
      <c r="O4609" t="s">
        <v>58</v>
      </c>
      <c r="P4609" t="s">
        <v>121</v>
      </c>
      <c r="Q4609" t="s">
        <v>58</v>
      </c>
      <c r="R4609" t="str">
        <f>IFERROR(VLOOKUP(record[[#This Row],[PCUSTID]],廠商[],2,FALSE),"")</f>
        <v/>
      </c>
      <c r="S4609" t="str">
        <f>VLOOKUP(record[[#This Row],[employeeID]],員工[],2,FALSE)</f>
        <v>謝素卿</v>
      </c>
    </row>
    <row r="4610" spans="6:19" hidden="1" x14ac:dyDescent="0.25">
      <c r="F4610" t="s">
        <v>1181</v>
      </c>
      <c r="G4610" t="s">
        <v>426</v>
      </c>
      <c r="H4610" t="str">
        <f>VLOOKUP(record[[#This Row],[ProcessSN]],表格2_7[],2,FALSE)</f>
        <v>30-4118-018-600</v>
      </c>
      <c r="I4610" t="str">
        <f>VLOOKUP(record[[#This Row],[ProcessSN]],表格2_7[],3,FALSE)</f>
        <v>#100OQC</v>
      </c>
      <c r="J4610" t="s">
        <v>599</v>
      </c>
      <c r="K4610" s="195">
        <v>46045.688645833332</v>
      </c>
      <c r="L4610">
        <v>3</v>
      </c>
      <c r="M4610">
        <v>0</v>
      </c>
      <c r="N4610" s="98" t="str">
        <f>IF(record[[#This Row],[Memo]]="Browser:chrome os:android","平板報工",IF(record[[#This Row],[Memo]]=0,"委外",record[[#This Row],[Memo]]))</f>
        <v/>
      </c>
      <c r="O4610" t="s">
        <v>58</v>
      </c>
      <c r="P4610" t="s">
        <v>121</v>
      </c>
      <c r="Q4610" t="s">
        <v>58</v>
      </c>
      <c r="R4610" t="str">
        <f>IFERROR(VLOOKUP(record[[#This Row],[PCUSTID]],廠商[],2,FALSE),"")</f>
        <v/>
      </c>
      <c r="S4610" t="str">
        <f>VLOOKUP(record[[#This Row],[employeeID]],員工[],2,FALSE)</f>
        <v>謝素卿</v>
      </c>
    </row>
    <row r="4611" spans="6:19" hidden="1" x14ac:dyDescent="0.25">
      <c r="F4611" t="s">
        <v>1474</v>
      </c>
      <c r="G4611" t="s">
        <v>450</v>
      </c>
      <c r="H4611" t="str">
        <f>VLOOKUP(record[[#This Row],[ProcessSN]],表格2_7[],2,FALSE)</f>
        <v>30-4118-018-6XX</v>
      </c>
      <c r="I4611" t="str">
        <f>VLOOKUP(record[[#This Row],[ProcessSN]],表格2_7[],3,FALSE)</f>
        <v>#06</v>
      </c>
      <c r="J4611" t="s">
        <v>593</v>
      </c>
      <c r="K4611" s="195">
        <v>46045.653229166666</v>
      </c>
      <c r="L4611">
        <v>48</v>
      </c>
      <c r="M4611">
        <v>0</v>
      </c>
      <c r="N4611" s="98" t="str">
        <f>IF(record[[#This Row],[Memo]]="Browser:chrome os:android","平板報工",IF(record[[#This Row],[Memo]]=0,"委外",record[[#This Row],[Memo]]))</f>
        <v>平板報工</v>
      </c>
      <c r="O4611" t="s">
        <v>643</v>
      </c>
      <c r="P4611" t="s">
        <v>1413</v>
      </c>
      <c r="Q4611" t="s">
        <v>644</v>
      </c>
      <c r="R4611" t="str">
        <f>IFERROR(VLOOKUP(record[[#This Row],[PCUSTID]],廠商[],2,FALSE),"")</f>
        <v/>
      </c>
      <c r="S4611" t="str">
        <f>VLOOKUP(record[[#This Row],[employeeID]],員工[],2,FALSE)</f>
        <v>阮氏芳英(芳)</v>
      </c>
    </row>
    <row r="4612" spans="6:19" hidden="1" x14ac:dyDescent="0.25">
      <c r="F4612" t="s">
        <v>1474</v>
      </c>
      <c r="G4612" t="s">
        <v>450</v>
      </c>
      <c r="H4612" t="str">
        <f>VLOOKUP(record[[#This Row],[ProcessSN]],表格2_7[],2,FALSE)</f>
        <v>30-4118-018-6XX</v>
      </c>
      <c r="I4612" t="str">
        <f>VLOOKUP(record[[#This Row],[ProcessSN]],表格2_7[],3,FALSE)</f>
        <v>#06</v>
      </c>
      <c r="J4612" t="s">
        <v>593</v>
      </c>
      <c r="K4612" s="195">
        <v>46045.652858796297</v>
      </c>
      <c r="L4612">
        <v>73</v>
      </c>
      <c r="M4612">
        <v>0</v>
      </c>
      <c r="N4612" s="98" t="str">
        <f>IF(record[[#This Row],[Memo]]="Browser:chrome os:android","平板報工",IF(record[[#This Row],[Memo]]=0,"委外",record[[#This Row],[Memo]]))</f>
        <v>平板報工</v>
      </c>
      <c r="O4612" t="s">
        <v>643</v>
      </c>
      <c r="P4612" t="s">
        <v>166</v>
      </c>
      <c r="Q4612" t="s">
        <v>644</v>
      </c>
      <c r="R4612" t="str">
        <f>IFERROR(VLOOKUP(record[[#This Row],[PCUSTID]],廠商[],2,FALSE),"")</f>
        <v/>
      </c>
      <c r="S4612" t="str">
        <f>VLOOKUP(record[[#This Row],[employeeID]],員工[],2,FALSE)</f>
        <v>阮懷香</v>
      </c>
    </row>
    <row r="4613" spans="6:19" hidden="1" x14ac:dyDescent="0.25">
      <c r="F4613" t="s">
        <v>1450</v>
      </c>
      <c r="G4613" t="s">
        <v>466</v>
      </c>
      <c r="H4613" t="str">
        <f>VLOOKUP(record[[#This Row],[ProcessSN]],表格2_7[],2,FALSE)</f>
        <v>30-4118-018-XXX</v>
      </c>
      <c r="I4613" t="str">
        <f>VLOOKUP(record[[#This Row],[ProcessSN]],表格2_7[],3,FALSE)</f>
        <v>#01-2</v>
      </c>
      <c r="J4613" t="s">
        <v>588</v>
      </c>
      <c r="K4613" s="195">
        <v>46045.651435185187</v>
      </c>
      <c r="L4613">
        <v>540</v>
      </c>
      <c r="M4613">
        <v>0</v>
      </c>
      <c r="N4613" s="98" t="str">
        <f>IF(record[[#This Row],[Memo]]="Browser:chrome os:android","平板報工",IF(record[[#This Row],[Memo]]=0,"委外",record[[#This Row],[Memo]]))</f>
        <v>平板報工</v>
      </c>
      <c r="O4613" t="s">
        <v>643</v>
      </c>
      <c r="P4613" t="s">
        <v>107</v>
      </c>
      <c r="Q4613" t="s">
        <v>644</v>
      </c>
      <c r="R4613" t="str">
        <f>IFERROR(VLOOKUP(record[[#This Row],[PCUSTID]],廠商[],2,FALSE),"")</f>
        <v/>
      </c>
      <c r="S4613" t="str">
        <f>VLOOKUP(record[[#This Row],[employeeID]],員工[],2,FALSE)</f>
        <v>黎氏順</v>
      </c>
    </row>
    <row r="4614" spans="6:19" hidden="1" x14ac:dyDescent="0.25">
      <c r="F4614" t="s">
        <v>1450</v>
      </c>
      <c r="G4614" t="s">
        <v>465</v>
      </c>
      <c r="H4614" t="str">
        <f>VLOOKUP(record[[#This Row],[ProcessSN]],表格2_7[],2,FALSE)</f>
        <v>30-4118-018-XXX</v>
      </c>
      <c r="I4614" t="str">
        <f>VLOOKUP(record[[#This Row],[ProcessSN]],表格2_7[],3,FALSE)</f>
        <v>#01-1</v>
      </c>
      <c r="J4614" t="s">
        <v>588</v>
      </c>
      <c r="K4614" s="195">
        <v>46045.651296296295</v>
      </c>
      <c r="L4614">
        <v>540</v>
      </c>
      <c r="M4614">
        <v>0</v>
      </c>
      <c r="N4614" s="98" t="str">
        <f>IF(record[[#This Row],[Memo]]="Browser:chrome os:android","平板報工",IF(record[[#This Row],[Memo]]=0,"委外",record[[#This Row],[Memo]]))</f>
        <v>平板報工</v>
      </c>
      <c r="O4614" t="s">
        <v>643</v>
      </c>
      <c r="P4614" t="s">
        <v>107</v>
      </c>
      <c r="Q4614" t="s">
        <v>644</v>
      </c>
      <c r="R4614" t="str">
        <f>IFERROR(VLOOKUP(record[[#This Row],[PCUSTID]],廠商[],2,FALSE),"")</f>
        <v/>
      </c>
      <c r="S4614" t="str">
        <f>VLOOKUP(record[[#This Row],[employeeID]],員工[],2,FALSE)</f>
        <v>黎氏順</v>
      </c>
    </row>
    <row r="4615" spans="6:19" hidden="1" x14ac:dyDescent="0.25">
      <c r="F4615" t="s">
        <v>1503</v>
      </c>
      <c r="G4615" t="s">
        <v>415</v>
      </c>
      <c r="H4615" t="str">
        <f>VLOOKUP(record[[#This Row],[ProcessSN]],表格2_7[],2,FALSE)</f>
        <v>30-4118-018-5XX</v>
      </c>
      <c r="I4615" t="str">
        <f>VLOOKUP(record[[#This Row],[ProcessSN]],表格2_7[],3,FALSE)</f>
        <v>#04</v>
      </c>
      <c r="J4615" t="s">
        <v>588</v>
      </c>
      <c r="K4615" s="195">
        <v>46045.650439814817</v>
      </c>
      <c r="L4615">
        <v>58</v>
      </c>
      <c r="M4615">
        <v>0</v>
      </c>
      <c r="N4615" s="98" t="str">
        <f>IF(record[[#This Row],[Memo]]="Browser:chrome os:android","平板報工",IF(record[[#This Row],[Memo]]=0,"委外",record[[#This Row],[Memo]]))</f>
        <v>平板報工</v>
      </c>
      <c r="O4615" t="s">
        <v>643</v>
      </c>
      <c r="P4615" t="s">
        <v>145</v>
      </c>
      <c r="Q4615" t="s">
        <v>644</v>
      </c>
      <c r="R4615" t="str">
        <f>IFERROR(VLOOKUP(record[[#This Row],[PCUSTID]],廠商[],2,FALSE),"")</f>
        <v/>
      </c>
      <c r="S4615" t="str">
        <f>VLOOKUP(record[[#This Row],[employeeID]],員工[],2,FALSE)</f>
        <v>阮秋霞</v>
      </c>
    </row>
    <row r="4616" spans="6:19" hidden="1" x14ac:dyDescent="0.25">
      <c r="F4616" t="s">
        <v>1503</v>
      </c>
      <c r="G4616" t="s">
        <v>414</v>
      </c>
      <c r="H4616" t="str">
        <f>VLOOKUP(record[[#This Row],[ProcessSN]],表格2_7[],2,FALSE)</f>
        <v>30-4118-018-5XX</v>
      </c>
      <c r="I4616" t="str">
        <f>VLOOKUP(record[[#This Row],[ProcessSN]],表格2_7[],3,FALSE)</f>
        <v>#03</v>
      </c>
      <c r="J4616" t="s">
        <v>588</v>
      </c>
      <c r="K4616" s="195">
        <v>46045.650219907409</v>
      </c>
      <c r="L4616">
        <v>297</v>
      </c>
      <c r="M4616">
        <v>0</v>
      </c>
      <c r="N4616" s="98" t="str">
        <f>IF(record[[#This Row],[Memo]]="Browser:chrome os:android","平板報工",IF(record[[#This Row],[Memo]]=0,"委外",record[[#This Row],[Memo]]))</f>
        <v>平板報工</v>
      </c>
      <c r="O4616" t="s">
        <v>643</v>
      </c>
      <c r="P4616" t="s">
        <v>145</v>
      </c>
      <c r="Q4616" t="s">
        <v>644</v>
      </c>
      <c r="R4616" t="str">
        <f>IFERROR(VLOOKUP(record[[#This Row],[PCUSTID]],廠商[],2,FALSE),"")</f>
        <v/>
      </c>
      <c r="S4616" t="str">
        <f>VLOOKUP(record[[#This Row],[employeeID]],員工[],2,FALSE)</f>
        <v>阮秋霞</v>
      </c>
    </row>
    <row r="4617" spans="6:19" hidden="1" x14ac:dyDescent="0.25">
      <c r="F4617" t="s">
        <v>1504</v>
      </c>
      <c r="G4617" t="s">
        <v>448</v>
      </c>
      <c r="H4617" t="str">
        <f>VLOOKUP(record[[#This Row],[ProcessSN]],表格2_7[],2,FALSE)</f>
        <v>30-4118-018-6XX</v>
      </c>
      <c r="I4617" t="str">
        <f>VLOOKUP(record[[#This Row],[ProcessSN]],表格2_7[],3,FALSE)</f>
        <v>#04</v>
      </c>
      <c r="J4617" t="s">
        <v>588</v>
      </c>
      <c r="K4617" s="195">
        <v>46045.649675925924</v>
      </c>
      <c r="L4617">
        <v>35</v>
      </c>
      <c r="M4617">
        <v>0</v>
      </c>
      <c r="N4617" s="98" t="str">
        <f>IF(record[[#This Row],[Memo]]="Browser:chrome os:android","平板報工",IF(record[[#This Row],[Memo]]=0,"委外",record[[#This Row],[Memo]]))</f>
        <v>平板報工</v>
      </c>
      <c r="O4617" t="s">
        <v>643</v>
      </c>
      <c r="P4617" t="s">
        <v>145</v>
      </c>
      <c r="Q4617" t="s">
        <v>644</v>
      </c>
      <c r="R4617" t="str">
        <f>IFERROR(VLOOKUP(record[[#This Row],[PCUSTID]],廠商[],2,FALSE),"")</f>
        <v/>
      </c>
      <c r="S4617" t="str">
        <f>VLOOKUP(record[[#This Row],[employeeID]],員工[],2,FALSE)</f>
        <v>阮秋霞</v>
      </c>
    </row>
    <row r="4618" spans="6:19" hidden="1" x14ac:dyDescent="0.25">
      <c r="F4618" t="s">
        <v>1504</v>
      </c>
      <c r="G4618" t="s">
        <v>447</v>
      </c>
      <c r="H4618" t="str">
        <f>VLOOKUP(record[[#This Row],[ProcessSN]],表格2_7[],2,FALSE)</f>
        <v>30-4118-018-6XX</v>
      </c>
      <c r="I4618" t="str">
        <f>VLOOKUP(record[[#This Row],[ProcessSN]],表格2_7[],3,FALSE)</f>
        <v>#03</v>
      </c>
      <c r="J4618" t="s">
        <v>588</v>
      </c>
      <c r="K4618" s="195">
        <v>46045.649328703701</v>
      </c>
      <c r="L4618">
        <v>130</v>
      </c>
      <c r="M4618">
        <v>0</v>
      </c>
      <c r="N4618" s="98" t="str">
        <f>IF(record[[#This Row],[Memo]]="Browser:chrome os:android","平板報工",IF(record[[#This Row],[Memo]]=0,"委外",record[[#This Row],[Memo]]))</f>
        <v>平板報工</v>
      </c>
      <c r="O4618" t="s">
        <v>643</v>
      </c>
      <c r="P4618" t="s">
        <v>145</v>
      </c>
      <c r="Q4618" t="s">
        <v>644</v>
      </c>
      <c r="R4618" t="str">
        <f>IFERROR(VLOOKUP(record[[#This Row],[PCUSTID]],廠商[],2,FALSE),"")</f>
        <v/>
      </c>
      <c r="S4618" t="str">
        <f>VLOOKUP(record[[#This Row],[employeeID]],員工[],2,FALSE)</f>
        <v>阮秋霞</v>
      </c>
    </row>
    <row r="4619" spans="6:19" hidden="1" x14ac:dyDescent="0.25">
      <c r="F4619" t="s">
        <v>1417</v>
      </c>
      <c r="G4619" t="s">
        <v>451</v>
      </c>
      <c r="H4619" t="str">
        <f>VLOOKUP(record[[#This Row],[ProcessSN]],表格2_7[],2,FALSE)</f>
        <v>30-4118-018-6XX</v>
      </c>
      <c r="I4619" t="str">
        <f>VLOOKUP(record[[#This Row],[ProcessSN]],表格2_7[],3,FALSE)</f>
        <v>#07</v>
      </c>
      <c r="J4619" t="s">
        <v>588</v>
      </c>
      <c r="K4619" s="195">
        <v>46045.648206018515</v>
      </c>
      <c r="L4619">
        <v>166</v>
      </c>
      <c r="M4619">
        <v>2</v>
      </c>
      <c r="N4619" s="98" t="str">
        <f>IF(record[[#This Row],[Memo]]="Browser:chrome os:android","平板報工",IF(record[[#This Row],[Memo]]=0,"委外",record[[#This Row],[Memo]]))</f>
        <v>平板報工</v>
      </c>
      <c r="O4619" t="s">
        <v>643</v>
      </c>
      <c r="P4619" t="s">
        <v>785</v>
      </c>
      <c r="Q4619" t="s">
        <v>644</v>
      </c>
      <c r="R4619" t="str">
        <f>IFERROR(VLOOKUP(record[[#This Row],[PCUSTID]],廠商[],2,FALSE),"")</f>
        <v/>
      </c>
      <c r="S4619" t="str">
        <f>VLOOKUP(record[[#This Row],[employeeID]],員工[],2,FALSE)</f>
        <v>謝刻光</v>
      </c>
    </row>
    <row r="4620" spans="6:19" hidden="1" x14ac:dyDescent="0.25">
      <c r="F4620" t="s">
        <v>1474</v>
      </c>
      <c r="G4620" t="s">
        <v>449</v>
      </c>
      <c r="H4620" t="str">
        <f>VLOOKUP(record[[#This Row],[ProcessSN]],表格2_7[],2,FALSE)</f>
        <v>30-4118-018-6XX</v>
      </c>
      <c r="I4620" t="str">
        <f>VLOOKUP(record[[#This Row],[ProcessSN]],表格2_7[],3,FALSE)</f>
        <v>#05</v>
      </c>
      <c r="J4620" t="s">
        <v>588</v>
      </c>
      <c r="K4620" s="195">
        <v>46045.647523148145</v>
      </c>
      <c r="L4620">
        <v>200</v>
      </c>
      <c r="M4620">
        <v>0</v>
      </c>
      <c r="N4620" s="98" t="str">
        <f>IF(record[[#This Row],[Memo]]="Browser:chrome os:android","平板報工",IF(record[[#This Row],[Memo]]=0,"委外",record[[#This Row],[Memo]]))</f>
        <v>平板報工</v>
      </c>
      <c r="O4620" t="s">
        <v>643</v>
      </c>
      <c r="P4620" t="s">
        <v>785</v>
      </c>
      <c r="Q4620" t="s">
        <v>644</v>
      </c>
      <c r="R4620" t="str">
        <f>IFERROR(VLOOKUP(record[[#This Row],[PCUSTID]],廠商[],2,FALSE),"")</f>
        <v/>
      </c>
      <c r="S4620" t="str">
        <f>VLOOKUP(record[[#This Row],[employeeID]],員工[],2,FALSE)</f>
        <v>謝刻光</v>
      </c>
    </row>
    <row r="4621" spans="6:19" hidden="1" x14ac:dyDescent="0.25">
      <c r="F4621" t="s">
        <v>1484</v>
      </c>
      <c r="G4621" t="s">
        <v>425</v>
      </c>
      <c r="H4621" t="str">
        <f>VLOOKUP(record[[#This Row],[ProcessSN]],表格2_7[],2,FALSE)</f>
        <v>30-4118-018-600</v>
      </c>
      <c r="I4621" t="str">
        <f>VLOOKUP(record[[#This Row],[ProcessSN]],表格2_7[],3,FALSE)</f>
        <v>#100</v>
      </c>
      <c r="J4621" t="s">
        <v>598</v>
      </c>
      <c r="K4621" s="195">
        <v>46045.641828703701</v>
      </c>
      <c r="L4621">
        <v>48</v>
      </c>
      <c r="M4621">
        <v>0</v>
      </c>
      <c r="N4621" s="98" t="str">
        <f>IF(record[[#This Row],[Memo]]="Browser:chrome os:android","平板報工",IF(record[[#This Row],[Memo]]=0,"委外",record[[#This Row],[Memo]]))</f>
        <v/>
      </c>
      <c r="O4621" t="s">
        <v>58</v>
      </c>
      <c r="P4621" t="s">
        <v>99</v>
      </c>
      <c r="Q4621" t="s">
        <v>58</v>
      </c>
      <c r="R4621" t="str">
        <f>IFERROR(VLOOKUP(record[[#This Row],[PCUSTID]],廠商[],2,FALSE),"")</f>
        <v/>
      </c>
      <c r="S4621" t="str">
        <f>VLOOKUP(record[[#This Row],[employeeID]],員工[],2,FALSE)</f>
        <v>阮氏河</v>
      </c>
    </row>
    <row r="4622" spans="6:19" hidden="1" x14ac:dyDescent="0.25">
      <c r="F4622" t="s">
        <v>1484</v>
      </c>
      <c r="G4622" t="s">
        <v>424</v>
      </c>
      <c r="H4622" t="str">
        <f>VLOOKUP(record[[#This Row],[ProcessSN]],表格2_7[],2,FALSE)</f>
        <v>30-4118-018-600</v>
      </c>
      <c r="I4622" t="str">
        <f>VLOOKUP(record[[#This Row],[ProcessSN]],表格2_7[],3,FALSE)</f>
        <v>#08IQC</v>
      </c>
      <c r="J4622" t="s">
        <v>583</v>
      </c>
      <c r="K4622" s="195">
        <v>46045.64162037037</v>
      </c>
      <c r="L4622">
        <v>279</v>
      </c>
      <c r="M4622">
        <v>0</v>
      </c>
      <c r="N4622" s="98" t="str">
        <f>IF(record[[#This Row],[Memo]]="Browser:chrome os:android","平板報工",IF(record[[#This Row],[Memo]]=0,"委外",record[[#This Row],[Memo]]))</f>
        <v/>
      </c>
      <c r="O4622" t="s">
        <v>58</v>
      </c>
      <c r="P4622" t="s">
        <v>109</v>
      </c>
      <c r="Q4622" t="s">
        <v>58</v>
      </c>
      <c r="R4622" t="str">
        <f>IFERROR(VLOOKUP(record[[#This Row],[PCUSTID]],廠商[],2,FALSE),"")</f>
        <v/>
      </c>
      <c r="S4622" t="str">
        <f>VLOOKUP(record[[#This Row],[employeeID]],員工[],2,FALSE)</f>
        <v>裴氏璧鳳</v>
      </c>
    </row>
    <row r="4623" spans="6:19" hidden="1" x14ac:dyDescent="0.25">
      <c r="F4623" t="s">
        <v>1484</v>
      </c>
      <c r="G4623" t="s">
        <v>423</v>
      </c>
      <c r="H4623" t="str">
        <f>VLOOKUP(record[[#This Row],[ProcessSN]],表格2_7[],2,FALSE)</f>
        <v>30-4118-018-600</v>
      </c>
      <c r="I4623" t="str">
        <f>VLOOKUP(record[[#This Row],[ProcessSN]],表格2_7[],3,FALSE)</f>
        <v>#08RCV</v>
      </c>
      <c r="J4623" t="s">
        <v>591</v>
      </c>
      <c r="K4623" s="195">
        <v>46045.62395833333</v>
      </c>
      <c r="L4623">
        <v>279</v>
      </c>
      <c r="M4623">
        <v>0</v>
      </c>
      <c r="N4623" s="98" t="str">
        <f>IF(record[[#This Row],[Memo]]="Browser:chrome os:android","平板報工",IF(record[[#This Row],[Memo]]=0,"委外",record[[#This Row],[Memo]]))</f>
        <v/>
      </c>
      <c r="O4623" t="s">
        <v>58</v>
      </c>
      <c r="P4623" t="s">
        <v>186</v>
      </c>
      <c r="Q4623" t="s">
        <v>58</v>
      </c>
      <c r="R4623" t="str">
        <f>IFERROR(VLOOKUP(record[[#This Row],[PCUSTID]],廠商[],2,FALSE),"")</f>
        <v/>
      </c>
      <c r="S4623" t="str">
        <f>VLOOKUP(record[[#This Row],[employeeID]],員工[],2,FALSE)</f>
        <v>許文姍</v>
      </c>
    </row>
    <row r="4624" spans="6:19" hidden="1" x14ac:dyDescent="0.25">
      <c r="F4624" t="s">
        <v>1391</v>
      </c>
      <c r="G4624" t="s">
        <v>425</v>
      </c>
      <c r="H4624" t="str">
        <f>VLOOKUP(record[[#This Row],[ProcessSN]],表格2_7[],2,FALSE)</f>
        <v>30-4118-018-600</v>
      </c>
      <c r="I4624" t="str">
        <f>VLOOKUP(record[[#This Row],[ProcessSN]],表格2_7[],3,FALSE)</f>
        <v>#100</v>
      </c>
      <c r="J4624" t="s">
        <v>598</v>
      </c>
      <c r="K4624" s="195">
        <v>46045.474502314813</v>
      </c>
      <c r="L4624">
        <v>25</v>
      </c>
      <c r="M4624">
        <v>0</v>
      </c>
      <c r="N4624" s="98" t="str">
        <f>IF(record[[#This Row],[Memo]]="Browser:chrome os:android","平板報工",IF(record[[#This Row],[Memo]]=0,"委外",record[[#This Row],[Memo]]))</f>
        <v/>
      </c>
      <c r="O4624" t="s">
        <v>58</v>
      </c>
      <c r="P4624" t="s">
        <v>99</v>
      </c>
      <c r="Q4624" t="s">
        <v>58</v>
      </c>
      <c r="R4624" t="str">
        <f>IFERROR(VLOOKUP(record[[#This Row],[PCUSTID]],廠商[],2,FALSE),"")</f>
        <v/>
      </c>
      <c r="S4624" t="str">
        <f>VLOOKUP(record[[#This Row],[employeeID]],員工[],2,FALSE)</f>
        <v>阮氏河</v>
      </c>
    </row>
    <row r="4625" spans="6:19" hidden="1" x14ac:dyDescent="0.25">
      <c r="F4625" t="s">
        <v>1181</v>
      </c>
      <c r="G4625" t="s">
        <v>425</v>
      </c>
      <c r="H4625" t="str">
        <f>VLOOKUP(record[[#This Row],[ProcessSN]],表格2_7[],2,FALSE)</f>
        <v>30-4118-018-600</v>
      </c>
      <c r="I4625" t="str">
        <f>VLOOKUP(record[[#This Row],[ProcessSN]],表格2_7[],3,FALSE)</f>
        <v>#100</v>
      </c>
      <c r="J4625" t="s">
        <v>598</v>
      </c>
      <c r="K4625" s="195">
        <v>46045.474305555559</v>
      </c>
      <c r="L4625">
        <v>3</v>
      </c>
      <c r="M4625">
        <v>0</v>
      </c>
      <c r="N4625" s="98" t="str">
        <f>IF(record[[#This Row],[Memo]]="Browser:chrome os:android","平板報工",IF(record[[#This Row],[Memo]]=0,"委外",record[[#This Row],[Memo]]))</f>
        <v/>
      </c>
      <c r="O4625" t="s">
        <v>58</v>
      </c>
      <c r="P4625" t="s">
        <v>99</v>
      </c>
      <c r="Q4625" t="s">
        <v>58</v>
      </c>
      <c r="R4625" t="str">
        <f>IFERROR(VLOOKUP(record[[#This Row],[PCUSTID]],廠商[],2,FALSE),"")</f>
        <v/>
      </c>
      <c r="S4625" t="str">
        <f>VLOOKUP(record[[#This Row],[employeeID]],員工[],2,FALSE)</f>
        <v>阮氏河</v>
      </c>
    </row>
    <row r="4626" spans="6:19" hidden="1" x14ac:dyDescent="0.25">
      <c r="F4626" t="s">
        <v>1181</v>
      </c>
      <c r="G4626" t="s">
        <v>424</v>
      </c>
      <c r="H4626" t="str">
        <f>VLOOKUP(record[[#This Row],[ProcessSN]],表格2_7[],2,FALSE)</f>
        <v>30-4118-018-600</v>
      </c>
      <c r="I4626" t="str">
        <f>VLOOKUP(record[[#This Row],[ProcessSN]],表格2_7[],3,FALSE)</f>
        <v>#08IQC</v>
      </c>
      <c r="J4626" t="s">
        <v>583</v>
      </c>
      <c r="K4626" s="195">
        <v>46045.474039351851</v>
      </c>
      <c r="L4626">
        <v>3</v>
      </c>
      <c r="M4626">
        <v>0</v>
      </c>
      <c r="N4626" s="98" t="str">
        <f>IF(record[[#This Row],[Memo]]="Browser:chrome os:android","平板報工",IF(record[[#This Row],[Memo]]=0,"委外",record[[#This Row],[Memo]]))</f>
        <v/>
      </c>
      <c r="O4626" t="s">
        <v>58</v>
      </c>
      <c r="P4626" t="s">
        <v>99</v>
      </c>
      <c r="Q4626" t="s">
        <v>58</v>
      </c>
      <c r="R4626" t="str">
        <f>IFERROR(VLOOKUP(record[[#This Row],[PCUSTID]],廠商[],2,FALSE),"")</f>
        <v/>
      </c>
      <c r="S4626" t="str">
        <f>VLOOKUP(record[[#This Row],[employeeID]],員工[],2,FALSE)</f>
        <v>阮氏河</v>
      </c>
    </row>
    <row r="4627" spans="6:19" hidden="1" x14ac:dyDescent="0.25">
      <c r="F4627" t="s">
        <v>1181</v>
      </c>
      <c r="G4627" t="s">
        <v>423</v>
      </c>
      <c r="H4627" t="str">
        <f>VLOOKUP(record[[#This Row],[ProcessSN]],表格2_7[],2,FALSE)</f>
        <v>30-4118-018-600</v>
      </c>
      <c r="I4627" t="str">
        <f>VLOOKUP(record[[#This Row],[ProcessSN]],表格2_7[],3,FALSE)</f>
        <v>#08RCV</v>
      </c>
      <c r="J4627" t="s">
        <v>591</v>
      </c>
      <c r="K4627" s="195">
        <v>46045.473900462966</v>
      </c>
      <c r="L4627">
        <v>3</v>
      </c>
      <c r="M4627">
        <v>0</v>
      </c>
      <c r="N4627" s="98" t="str">
        <f>IF(record[[#This Row],[Memo]]="Browser:chrome os:android","平板報工",IF(record[[#This Row],[Memo]]=0,"委外",record[[#This Row],[Memo]]))</f>
        <v/>
      </c>
      <c r="O4627" t="s">
        <v>58</v>
      </c>
      <c r="P4627" t="s">
        <v>99</v>
      </c>
      <c r="Q4627" t="s">
        <v>58</v>
      </c>
      <c r="R4627" t="str">
        <f>IFERROR(VLOOKUP(record[[#This Row],[PCUSTID]],廠商[],2,FALSE),"")</f>
        <v/>
      </c>
      <c r="S4627" t="str">
        <f>VLOOKUP(record[[#This Row],[employeeID]],員工[],2,FALSE)</f>
        <v>阮氏河</v>
      </c>
    </row>
    <row r="4628" spans="6:19" hidden="1" x14ac:dyDescent="0.25">
      <c r="F4628" t="s">
        <v>1181</v>
      </c>
      <c r="G4628" t="s">
        <v>423</v>
      </c>
      <c r="H4628" t="str">
        <f>VLOOKUP(record[[#This Row],[ProcessSN]],表格2_7[],2,FALSE)</f>
        <v>30-4118-018-600</v>
      </c>
      <c r="I4628" t="str">
        <f>VLOOKUP(record[[#This Row],[ProcessSN]],表格2_7[],3,FALSE)</f>
        <v>#08RCV</v>
      </c>
      <c r="J4628" t="s">
        <v>591</v>
      </c>
      <c r="K4628" s="195">
        <v>46045.472870370373</v>
      </c>
      <c r="L4628">
        <v>0</v>
      </c>
      <c r="M4628">
        <v>41</v>
      </c>
      <c r="N4628" s="98" t="str">
        <f>IF(record[[#This Row],[Memo]]="Browser:chrome os:android","平板報工",IF(record[[#This Row],[Memo]]=0,"委外",record[[#This Row],[Memo]]))</f>
        <v/>
      </c>
      <c r="O4628" t="s">
        <v>58</v>
      </c>
      <c r="P4628" t="s">
        <v>99</v>
      </c>
      <c r="Q4628" t="s">
        <v>58</v>
      </c>
      <c r="R4628" t="str">
        <f>IFERROR(VLOOKUP(record[[#This Row],[PCUSTID]],廠商[],2,FALSE),"")</f>
        <v/>
      </c>
      <c r="S4628" t="str">
        <f>VLOOKUP(record[[#This Row],[employeeID]],員工[],2,FALSE)</f>
        <v>阮氏河</v>
      </c>
    </row>
    <row r="4629" spans="6:19" hidden="1" x14ac:dyDescent="0.25">
      <c r="F4629" t="s">
        <v>1480</v>
      </c>
      <c r="G4629" t="s">
        <v>400</v>
      </c>
      <c r="H4629" t="str">
        <f>VLOOKUP(record[[#This Row],[ProcessSN]],表格2_7[],2,FALSE)</f>
        <v>30-4118-018-550</v>
      </c>
      <c r="I4629" t="str">
        <f>VLOOKUP(record[[#This Row],[ProcessSN]],表格2_7[],3,FALSE)</f>
        <v>#100</v>
      </c>
      <c r="J4629" t="s">
        <v>598</v>
      </c>
      <c r="K4629" s="195">
        <v>46045.440972222219</v>
      </c>
      <c r="L4629">
        <v>270</v>
      </c>
      <c r="M4629">
        <v>0</v>
      </c>
      <c r="N4629" s="98" t="str">
        <f>IF(record[[#This Row],[Memo]]="Browser:chrome os:android","平板報工",IF(record[[#This Row],[Memo]]=0,"委外",record[[#This Row],[Memo]]))</f>
        <v/>
      </c>
      <c r="O4629" t="s">
        <v>58</v>
      </c>
      <c r="P4629" t="s">
        <v>99</v>
      </c>
      <c r="Q4629" t="s">
        <v>58</v>
      </c>
      <c r="R4629" t="str">
        <f>IFERROR(VLOOKUP(record[[#This Row],[PCUSTID]],廠商[],2,FALSE),"")</f>
        <v/>
      </c>
      <c r="S4629" t="str">
        <f>VLOOKUP(record[[#This Row],[employeeID]],員工[],2,FALSE)</f>
        <v>阮氏河</v>
      </c>
    </row>
    <row r="4630" spans="6:19" hidden="1" x14ac:dyDescent="0.25">
      <c r="F4630" t="s">
        <v>1480</v>
      </c>
      <c r="G4630" t="s">
        <v>399</v>
      </c>
      <c r="H4630" t="str">
        <f>VLOOKUP(record[[#This Row],[ProcessSN]],表格2_7[],2,FALSE)</f>
        <v>30-4118-018-550</v>
      </c>
      <c r="I4630" t="str">
        <f>VLOOKUP(record[[#This Row],[ProcessSN]],表格2_7[],3,FALSE)</f>
        <v>#08IQC</v>
      </c>
      <c r="J4630" t="s">
        <v>583</v>
      </c>
      <c r="K4630" s="195">
        <v>46045.440833333334</v>
      </c>
      <c r="L4630">
        <v>3</v>
      </c>
      <c r="M4630">
        <v>0</v>
      </c>
      <c r="N4630" s="98" t="str">
        <f>IF(record[[#This Row],[Memo]]="Browser:chrome os:android","平板報工",IF(record[[#This Row],[Memo]]=0,"委外",record[[#This Row],[Memo]]))</f>
        <v/>
      </c>
      <c r="O4630" t="s">
        <v>58</v>
      </c>
      <c r="P4630" t="s">
        <v>99</v>
      </c>
      <c r="Q4630" t="s">
        <v>58</v>
      </c>
      <c r="R4630" t="str">
        <f>IFERROR(VLOOKUP(record[[#This Row],[PCUSTID]],廠商[],2,FALSE),"")</f>
        <v/>
      </c>
      <c r="S4630" t="str">
        <f>VLOOKUP(record[[#This Row],[employeeID]],員工[],2,FALSE)</f>
        <v>阮氏河</v>
      </c>
    </row>
    <row r="4631" spans="6:19" hidden="1" x14ac:dyDescent="0.25">
      <c r="F4631" t="s">
        <v>1480</v>
      </c>
      <c r="G4631" t="s">
        <v>398</v>
      </c>
      <c r="H4631" t="str">
        <f>VLOOKUP(record[[#This Row],[ProcessSN]],表格2_7[],2,FALSE)</f>
        <v>30-4118-018-550</v>
      </c>
      <c r="I4631" t="str">
        <f>VLOOKUP(record[[#This Row],[ProcessSN]],表格2_7[],3,FALSE)</f>
        <v>#08RCV</v>
      </c>
      <c r="J4631" t="s">
        <v>591</v>
      </c>
      <c r="K4631" s="195">
        <v>46045.440694444442</v>
      </c>
      <c r="L4631">
        <v>3</v>
      </c>
      <c r="M4631">
        <v>0</v>
      </c>
      <c r="N4631" s="98" t="str">
        <f>IF(record[[#This Row],[Memo]]="Browser:chrome os:android","平板報工",IF(record[[#This Row],[Memo]]=0,"委外",record[[#This Row],[Memo]]))</f>
        <v/>
      </c>
      <c r="O4631" t="s">
        <v>58</v>
      </c>
      <c r="P4631" t="s">
        <v>99</v>
      </c>
      <c r="Q4631" t="s">
        <v>58</v>
      </c>
      <c r="R4631" t="str">
        <f>IFERROR(VLOOKUP(record[[#This Row],[PCUSTID]],廠商[],2,FALSE),"")</f>
        <v/>
      </c>
      <c r="S4631" t="str">
        <f>VLOOKUP(record[[#This Row],[employeeID]],員工[],2,FALSE)</f>
        <v>阮氏河</v>
      </c>
    </row>
    <row r="4632" spans="6:19" hidden="1" x14ac:dyDescent="0.25">
      <c r="F4632" t="s">
        <v>1480</v>
      </c>
      <c r="G4632" t="s">
        <v>398</v>
      </c>
      <c r="H4632" t="str">
        <f>VLOOKUP(record[[#This Row],[ProcessSN]],表格2_7[],2,FALSE)</f>
        <v>30-4118-018-550</v>
      </c>
      <c r="I4632" t="str">
        <f>VLOOKUP(record[[#This Row],[ProcessSN]],表格2_7[],3,FALSE)</f>
        <v>#08RCV</v>
      </c>
      <c r="J4632" t="s">
        <v>591</v>
      </c>
      <c r="K4632" s="195">
        <v>46045.440486111111</v>
      </c>
      <c r="L4632">
        <v>0</v>
      </c>
      <c r="M4632">
        <v>16</v>
      </c>
      <c r="N4632" s="98" t="str">
        <f>IF(record[[#This Row],[Memo]]="Browser:chrome os:android","平板報工",IF(record[[#This Row],[Memo]]=0,"委外",record[[#This Row],[Memo]]))</f>
        <v/>
      </c>
      <c r="O4632" t="s">
        <v>58</v>
      </c>
      <c r="P4632" t="s">
        <v>99</v>
      </c>
      <c r="Q4632" t="s">
        <v>58</v>
      </c>
      <c r="R4632" t="str">
        <f>IFERROR(VLOOKUP(record[[#This Row],[PCUSTID]],廠商[],2,FALSE),"")</f>
        <v/>
      </c>
      <c r="S4632" t="str">
        <f>VLOOKUP(record[[#This Row],[employeeID]],員工[],2,FALSE)</f>
        <v>阮氏河</v>
      </c>
    </row>
    <row r="4633" spans="6:19" hidden="1" x14ac:dyDescent="0.25">
      <c r="F4633" t="s">
        <v>1450</v>
      </c>
      <c r="G4633" t="s">
        <v>470</v>
      </c>
      <c r="H4633" t="str">
        <f>VLOOKUP(record[[#This Row],[ProcessSN]],表格2_7[],2,FALSE)</f>
        <v>30-4118-018-XXX</v>
      </c>
      <c r="I4633" t="str">
        <f>VLOOKUP(record[[#This Row],[ProcessSN]],表格2_7[],3,FALSE)</f>
        <v>#02IQC</v>
      </c>
      <c r="J4633" t="s">
        <v>583</v>
      </c>
      <c r="K4633" s="195">
        <v>46045.427361111113</v>
      </c>
      <c r="L4633">
        <v>931</v>
      </c>
      <c r="M4633">
        <v>0</v>
      </c>
      <c r="N4633" s="98" t="str">
        <f>IF(record[[#This Row],[Memo]]="Browser:chrome os:android","平板報工",IF(record[[#This Row],[Memo]]=0,"委外",record[[#This Row],[Memo]]))</f>
        <v/>
      </c>
      <c r="O4633" t="s">
        <v>58</v>
      </c>
      <c r="P4633" t="s">
        <v>109</v>
      </c>
      <c r="Q4633" t="s">
        <v>58</v>
      </c>
      <c r="R4633" t="str">
        <f>IFERROR(VLOOKUP(record[[#This Row],[PCUSTID]],廠商[],2,FALSE),"")</f>
        <v/>
      </c>
      <c r="S4633" t="str">
        <f>VLOOKUP(record[[#This Row],[employeeID]],員工[],2,FALSE)</f>
        <v>裴氏璧鳳</v>
      </c>
    </row>
    <row r="4634" spans="6:19" hidden="1" x14ac:dyDescent="0.25">
      <c r="F4634" t="s">
        <v>1450</v>
      </c>
      <c r="G4634" t="s">
        <v>469</v>
      </c>
      <c r="H4634" t="str">
        <f>VLOOKUP(record[[#This Row],[ProcessSN]],表格2_7[],2,FALSE)</f>
        <v>30-4118-018-XXX</v>
      </c>
      <c r="I4634" t="str">
        <f>VLOOKUP(record[[#This Row],[ProcessSN]],表格2_7[],3,FALSE)</f>
        <v>#02RCV</v>
      </c>
      <c r="J4634" t="s">
        <v>591</v>
      </c>
      <c r="K4634" s="195">
        <v>46045.393935185188</v>
      </c>
      <c r="L4634">
        <v>595</v>
      </c>
      <c r="M4634">
        <v>0</v>
      </c>
      <c r="N4634" s="98" t="str">
        <f>IF(record[[#This Row],[Memo]]="Browser:chrome os:android","平板報工",IF(record[[#This Row],[Memo]]=0,"委外",record[[#This Row],[Memo]]))</f>
        <v/>
      </c>
      <c r="O4634" t="s">
        <v>58</v>
      </c>
      <c r="P4634" t="s">
        <v>186</v>
      </c>
      <c r="Q4634" t="s">
        <v>58</v>
      </c>
      <c r="R4634" t="str">
        <f>IFERROR(VLOOKUP(record[[#This Row],[PCUSTID]],廠商[],2,FALSE),"")</f>
        <v/>
      </c>
      <c r="S4634" t="str">
        <f>VLOOKUP(record[[#This Row],[employeeID]],員工[],2,FALSE)</f>
        <v>許文姍</v>
      </c>
    </row>
    <row r="4635" spans="6:19" hidden="1" x14ac:dyDescent="0.25">
      <c r="F4635" t="s">
        <v>1504</v>
      </c>
      <c r="G4635" t="s">
        <v>446</v>
      </c>
      <c r="H4635" t="str">
        <f>VLOOKUP(record[[#This Row],[ProcessSN]],表格2_7[],2,FALSE)</f>
        <v>30-4118-018-6XX</v>
      </c>
      <c r="I4635" t="str">
        <f>VLOOKUP(record[[#This Row],[ProcessSN]],表格2_7[],3,FALSE)</f>
        <v>#03GIVE</v>
      </c>
      <c r="J4635" t="s">
        <v>587</v>
      </c>
      <c r="K4635" s="195">
        <v>46045.378854166665</v>
      </c>
      <c r="L4635">
        <v>298</v>
      </c>
      <c r="M4635">
        <v>0</v>
      </c>
      <c r="N4635" s="98" t="str">
        <f>IF(record[[#This Row],[Memo]]="Browser:chrome os:android","平板報工",IF(record[[#This Row],[Memo]]=0,"委外",record[[#This Row],[Memo]]))</f>
        <v/>
      </c>
      <c r="O4635" t="s">
        <v>58</v>
      </c>
      <c r="P4635" t="s">
        <v>1070</v>
      </c>
      <c r="Q4635" t="s">
        <v>58</v>
      </c>
      <c r="R4635" t="str">
        <f>IFERROR(VLOOKUP(record[[#This Row],[PCUSTID]],廠商[],2,FALSE),"")</f>
        <v/>
      </c>
      <c r="S4635" t="str">
        <f>VLOOKUP(record[[#This Row],[employeeID]],員工[],2,FALSE)</f>
        <v>陳昱佑</v>
      </c>
    </row>
    <row r="4636" spans="6:19" hidden="1" x14ac:dyDescent="0.25">
      <c r="F4636" t="s">
        <v>1503</v>
      </c>
      <c r="G4636" t="s">
        <v>413</v>
      </c>
      <c r="H4636" t="str">
        <f>VLOOKUP(record[[#This Row],[ProcessSN]],表格2_7[],2,FALSE)</f>
        <v>30-4118-018-5XX</v>
      </c>
      <c r="I4636" t="str">
        <f>VLOOKUP(record[[#This Row],[ProcessSN]],表格2_7[],3,FALSE)</f>
        <v>#03GIVE</v>
      </c>
      <c r="J4636" t="s">
        <v>587</v>
      </c>
      <c r="K4636" s="195">
        <v>46045.378680555557</v>
      </c>
      <c r="L4636">
        <v>297</v>
      </c>
      <c r="M4636">
        <v>0</v>
      </c>
      <c r="N4636" s="98" t="str">
        <f>IF(record[[#This Row],[Memo]]="Browser:chrome os:android","平板報工",IF(record[[#This Row],[Memo]]=0,"委外",record[[#This Row],[Memo]]))</f>
        <v/>
      </c>
      <c r="O4636" t="s">
        <v>58</v>
      </c>
      <c r="P4636" t="s">
        <v>1070</v>
      </c>
      <c r="Q4636" t="s">
        <v>58</v>
      </c>
      <c r="R4636" t="str">
        <f>IFERROR(VLOOKUP(record[[#This Row],[PCUSTID]],廠商[],2,FALSE),"")</f>
        <v/>
      </c>
      <c r="S4636" t="str">
        <f>VLOOKUP(record[[#This Row],[employeeID]],員工[],2,FALSE)</f>
        <v>陳昱佑</v>
      </c>
    </row>
    <row r="4637" spans="6:19" hidden="1" x14ac:dyDescent="0.25">
      <c r="F4637" t="s">
        <v>1209</v>
      </c>
      <c r="G4637" t="s">
        <v>470</v>
      </c>
      <c r="H4637" t="str">
        <f>VLOOKUP(record[[#This Row],[ProcessSN]],表格2_7[],2,FALSE)</f>
        <v>30-4118-018-XXX</v>
      </c>
      <c r="I4637" t="str">
        <f>VLOOKUP(record[[#This Row],[ProcessSN]],表格2_7[],3,FALSE)</f>
        <v>#02IQC</v>
      </c>
      <c r="J4637" t="s">
        <v>583</v>
      </c>
      <c r="K4637" s="195">
        <v>46045.378541666665</v>
      </c>
      <c r="L4637">
        <v>3</v>
      </c>
      <c r="M4637">
        <v>0</v>
      </c>
      <c r="N4637" s="98" t="str">
        <f>IF(record[[#This Row],[Memo]]="Browser:chrome os:android","平板報工",IF(record[[#This Row],[Memo]]=0,"委外",record[[#This Row],[Memo]]))</f>
        <v/>
      </c>
      <c r="O4637" t="s">
        <v>58</v>
      </c>
      <c r="P4637" t="s">
        <v>109</v>
      </c>
      <c r="Q4637" t="s">
        <v>58</v>
      </c>
      <c r="R4637" t="str">
        <f>IFERROR(VLOOKUP(record[[#This Row],[PCUSTID]],廠商[],2,FALSE),"")</f>
        <v/>
      </c>
      <c r="S4637" t="str">
        <f>VLOOKUP(record[[#This Row],[employeeID]],員工[],2,FALSE)</f>
        <v>裴氏璧鳳</v>
      </c>
    </row>
    <row r="4638" spans="6:19" hidden="1" x14ac:dyDescent="0.25">
      <c r="F4638" t="s">
        <v>989</v>
      </c>
      <c r="G4638" t="s">
        <v>470</v>
      </c>
      <c r="H4638" t="str">
        <f>VLOOKUP(record[[#This Row],[ProcessSN]],表格2_7[],2,FALSE)</f>
        <v>30-4118-018-XXX</v>
      </c>
      <c r="I4638" t="str">
        <f>VLOOKUP(record[[#This Row],[ProcessSN]],表格2_7[],3,FALSE)</f>
        <v>#02IQC</v>
      </c>
      <c r="J4638" t="s">
        <v>583</v>
      </c>
      <c r="K4638" s="195">
        <v>46045.378425925926</v>
      </c>
      <c r="L4638">
        <v>1</v>
      </c>
      <c r="M4638">
        <v>0</v>
      </c>
      <c r="N4638" s="98" t="str">
        <f>IF(record[[#This Row],[Memo]]="Browser:chrome os:android","平板報工",IF(record[[#This Row],[Memo]]=0,"委外",record[[#This Row],[Memo]]))</f>
        <v/>
      </c>
      <c r="O4638" t="s">
        <v>58</v>
      </c>
      <c r="P4638" t="s">
        <v>109</v>
      </c>
      <c r="Q4638" t="s">
        <v>58</v>
      </c>
      <c r="R4638" t="str">
        <f>IFERROR(VLOOKUP(record[[#This Row],[PCUSTID]],廠商[],2,FALSE),"")</f>
        <v/>
      </c>
      <c r="S4638" t="str">
        <f>VLOOKUP(record[[#This Row],[employeeID]],員工[],2,FALSE)</f>
        <v>裴氏璧鳳</v>
      </c>
    </row>
    <row r="4639" spans="6:19" hidden="1" x14ac:dyDescent="0.25">
      <c r="F4639" t="s">
        <v>1504</v>
      </c>
      <c r="G4639" t="s">
        <v>445</v>
      </c>
      <c r="H4639" t="str">
        <f>VLOOKUP(record[[#This Row],[ProcessSN]],表格2_7[],2,FALSE)</f>
        <v>30-4118-018-6XX</v>
      </c>
      <c r="I4639" t="str">
        <f>VLOOKUP(record[[#This Row],[ProcessSN]],表格2_7[],3,FALSE)</f>
        <v>#03PICK</v>
      </c>
      <c r="J4639" t="s">
        <v>582</v>
      </c>
      <c r="K4639" s="195">
        <v>46045.375821759262</v>
      </c>
      <c r="L4639">
        <v>298</v>
      </c>
      <c r="M4639">
        <v>0</v>
      </c>
      <c r="N4639" s="98" t="str">
        <f>IF(record[[#This Row],[Memo]]="Browser:chrome os:android","平板報工",IF(record[[#This Row],[Memo]]=0,"委外",record[[#This Row],[Memo]]))</f>
        <v/>
      </c>
      <c r="O4639" t="s">
        <v>58</v>
      </c>
      <c r="P4639" t="s">
        <v>186</v>
      </c>
      <c r="Q4639" t="s">
        <v>58</v>
      </c>
      <c r="R4639" t="str">
        <f>IFERROR(VLOOKUP(record[[#This Row],[PCUSTID]],廠商[],2,FALSE),"")</f>
        <v/>
      </c>
      <c r="S4639" t="str">
        <f>VLOOKUP(record[[#This Row],[employeeID]],員工[],2,FALSE)</f>
        <v>許文姍</v>
      </c>
    </row>
    <row r="4640" spans="6:19" hidden="1" x14ac:dyDescent="0.25">
      <c r="F4640" t="s">
        <v>1503</v>
      </c>
      <c r="G4640" t="s">
        <v>412</v>
      </c>
      <c r="H4640" t="str">
        <f>VLOOKUP(record[[#This Row],[ProcessSN]],表格2_7[],2,FALSE)</f>
        <v>30-4118-018-5XX</v>
      </c>
      <c r="I4640" t="str">
        <f>VLOOKUP(record[[#This Row],[ProcessSN]],表格2_7[],3,FALSE)</f>
        <v>#03PICK</v>
      </c>
      <c r="J4640" t="s">
        <v>582</v>
      </c>
      <c r="K4640" s="195">
        <v>46045.375717592593</v>
      </c>
      <c r="L4640">
        <v>297</v>
      </c>
      <c r="M4640">
        <v>0</v>
      </c>
      <c r="N4640" s="98" t="str">
        <f>IF(record[[#This Row],[Memo]]="Browser:chrome os:android","平板報工",IF(record[[#This Row],[Memo]]=0,"委外",record[[#This Row],[Memo]]))</f>
        <v/>
      </c>
      <c r="O4640" t="s">
        <v>58</v>
      </c>
      <c r="P4640" t="s">
        <v>186</v>
      </c>
      <c r="Q4640" t="s">
        <v>58</v>
      </c>
      <c r="R4640" t="str">
        <f>IFERROR(VLOOKUP(record[[#This Row],[PCUSTID]],廠商[],2,FALSE),"")</f>
        <v/>
      </c>
      <c r="S4640" t="str">
        <f>VLOOKUP(record[[#This Row],[employeeID]],員工[],2,FALSE)</f>
        <v>許文姍</v>
      </c>
    </row>
    <row r="4641" spans="6:19" hidden="1" x14ac:dyDescent="0.25">
      <c r="F4641" t="s">
        <v>1450</v>
      </c>
      <c r="G4641" t="s">
        <v>468</v>
      </c>
      <c r="H4641" t="str">
        <f>VLOOKUP(record[[#This Row],[ProcessSN]],表格2_7[],2,FALSE)</f>
        <v>30-4118-018-XXX</v>
      </c>
      <c r="I4641" t="str">
        <f>VLOOKUP(record[[#This Row],[ProcessSN]],表格2_7[],3,FALSE)</f>
        <v>#02</v>
      </c>
      <c r="J4641" t="s">
        <v>590</v>
      </c>
      <c r="K4641" s="195">
        <v>46045.367199074077</v>
      </c>
      <c r="L4641">
        <v>1536</v>
      </c>
      <c r="M4641">
        <v>0</v>
      </c>
      <c r="N4641" s="98" t="str">
        <f>IF(record[[#This Row],[Memo]]="Browser:chrome os:android","平板報工",IF(record[[#This Row],[Memo]]=0,"委外",record[[#This Row],[Memo]]))</f>
        <v>委外</v>
      </c>
      <c r="P4641" t="s">
        <v>186</v>
      </c>
      <c r="Q4641" t="s">
        <v>216</v>
      </c>
      <c r="R4641" t="str">
        <f>IFERROR(VLOOKUP(record[[#This Row],[PCUSTID]],廠商[],2,FALSE),"")</f>
        <v>俊杰</v>
      </c>
      <c r="S4641" t="str">
        <f>VLOOKUP(record[[#This Row],[employeeID]],員工[],2,FALSE)</f>
        <v>許文姍</v>
      </c>
    </row>
    <row r="4642" spans="6:19" hidden="1" x14ac:dyDescent="0.25">
      <c r="F4642" t="s">
        <v>1407</v>
      </c>
      <c r="G4642" t="s">
        <v>362</v>
      </c>
      <c r="H4642" t="str">
        <f>VLOOKUP(record[[#This Row],[ProcessSN]],表格2_7[],2,FALSE)</f>
        <v>30-4118-018-450</v>
      </c>
      <c r="I4642" t="str">
        <f>VLOOKUP(record[[#This Row],[ProcessSN]],表格2_7[],3,FALSE)</f>
        <v>#100SHIP</v>
      </c>
      <c r="J4642" t="s">
        <v>600</v>
      </c>
      <c r="K4642" s="195">
        <v>46045.351712962962</v>
      </c>
      <c r="L4642">
        <v>13</v>
      </c>
      <c r="M4642">
        <v>0</v>
      </c>
      <c r="N4642" s="98" t="str">
        <f>IF(record[[#This Row],[Memo]]="Browser:chrome os:android","平板報工",IF(record[[#This Row],[Memo]]=0,"委外",record[[#This Row],[Memo]]))</f>
        <v/>
      </c>
      <c r="O4642" t="s">
        <v>58</v>
      </c>
      <c r="P4642" t="s">
        <v>886</v>
      </c>
      <c r="Q4642" t="s">
        <v>58</v>
      </c>
      <c r="R4642" t="str">
        <f>IFERROR(VLOOKUP(record[[#This Row],[PCUSTID]],廠商[],2,FALSE),"")</f>
        <v/>
      </c>
      <c r="S4642" t="str">
        <f>VLOOKUP(record[[#This Row],[employeeID]],員工[],2,FALSE)</f>
        <v>謝蓁薰</v>
      </c>
    </row>
    <row r="4643" spans="6:19" hidden="1" x14ac:dyDescent="0.25">
      <c r="F4643" t="s">
        <v>956</v>
      </c>
      <c r="G4643" t="s">
        <v>362</v>
      </c>
      <c r="H4643" t="str">
        <f>VLOOKUP(record[[#This Row],[ProcessSN]],表格2_7[],2,FALSE)</f>
        <v>30-4118-018-450</v>
      </c>
      <c r="I4643" t="str">
        <f>VLOOKUP(record[[#This Row],[ProcessSN]],表格2_7[],3,FALSE)</f>
        <v>#100SHIP</v>
      </c>
      <c r="J4643" t="s">
        <v>600</v>
      </c>
      <c r="K4643" s="195">
        <v>46045.351354166669</v>
      </c>
      <c r="L4643">
        <v>1</v>
      </c>
      <c r="M4643">
        <v>0</v>
      </c>
      <c r="N4643" s="98" t="str">
        <f>IF(record[[#This Row],[Memo]]="Browser:chrome os:android","平板報工",IF(record[[#This Row],[Memo]]=0,"委外",record[[#This Row],[Memo]]))</f>
        <v/>
      </c>
      <c r="O4643" t="s">
        <v>58</v>
      </c>
      <c r="P4643" t="s">
        <v>886</v>
      </c>
      <c r="Q4643" t="s">
        <v>58</v>
      </c>
      <c r="R4643" t="str">
        <f>IFERROR(VLOOKUP(record[[#This Row],[PCUSTID]],廠商[],2,FALSE),"")</f>
        <v/>
      </c>
      <c r="S4643" t="str">
        <f>VLOOKUP(record[[#This Row],[employeeID]],員工[],2,FALSE)</f>
        <v>謝蓁薰</v>
      </c>
    </row>
    <row r="4644" spans="6:19" hidden="1" x14ac:dyDescent="0.25">
      <c r="F4644" t="s">
        <v>1450</v>
      </c>
      <c r="G4644" t="s">
        <v>467</v>
      </c>
      <c r="H4644" t="str">
        <f>VLOOKUP(record[[#This Row],[ProcessSN]],表格2_7[],2,FALSE)</f>
        <v>30-4118-018-XXX</v>
      </c>
      <c r="I4644" t="str">
        <f>VLOOKUP(record[[#This Row],[ProcessSN]],表格2_7[],3,FALSE)</f>
        <v>#01QC</v>
      </c>
      <c r="J4644" t="s">
        <v>589</v>
      </c>
      <c r="K4644" s="195">
        <v>46045.350949074076</v>
      </c>
      <c r="L4644">
        <v>792</v>
      </c>
      <c r="M4644">
        <v>0</v>
      </c>
      <c r="N4644" s="98" t="str">
        <f>IF(record[[#This Row],[Memo]]="Browser:chrome os:android","平板報工",IF(record[[#This Row],[Memo]]=0,"委外",record[[#This Row],[Memo]]))</f>
        <v>平板報工</v>
      </c>
      <c r="O4644" t="s">
        <v>643</v>
      </c>
      <c r="P4644" t="s">
        <v>182</v>
      </c>
      <c r="Q4644" t="s">
        <v>644</v>
      </c>
      <c r="R4644" t="str">
        <f>IFERROR(VLOOKUP(record[[#This Row],[PCUSTID]],廠商[],2,FALSE),"")</f>
        <v/>
      </c>
      <c r="S4644" t="str">
        <f>VLOOKUP(record[[#This Row],[employeeID]],員工[],2,FALSE)</f>
        <v>梅氏和</v>
      </c>
    </row>
    <row r="4645" spans="6:19" hidden="1" x14ac:dyDescent="0.25">
      <c r="F4645" t="s">
        <v>1450</v>
      </c>
      <c r="G4645" t="s">
        <v>467</v>
      </c>
      <c r="H4645" t="str">
        <f>VLOOKUP(record[[#This Row],[ProcessSN]],表格2_7[],2,FALSE)</f>
        <v>30-4118-018-XXX</v>
      </c>
      <c r="I4645" t="str">
        <f>VLOOKUP(record[[#This Row],[ProcessSN]],表格2_7[],3,FALSE)</f>
        <v>#01QC</v>
      </c>
      <c r="J4645" t="s">
        <v>589</v>
      </c>
      <c r="K4645" s="195">
        <v>46045.343645833331</v>
      </c>
      <c r="L4645">
        <v>336</v>
      </c>
      <c r="M4645">
        <v>0</v>
      </c>
      <c r="N4645" s="98" t="str">
        <f>IF(record[[#This Row],[Memo]]="Browser:chrome os:android","平板報工",IF(record[[#This Row],[Memo]]=0,"委外",record[[#This Row],[Memo]]))</f>
        <v>平板報工</v>
      </c>
      <c r="O4645" t="s">
        <v>643</v>
      </c>
      <c r="P4645" t="s">
        <v>182</v>
      </c>
      <c r="Q4645" t="s">
        <v>644</v>
      </c>
      <c r="R4645" t="str">
        <f>IFERROR(VLOOKUP(record[[#This Row],[PCUSTID]],廠商[],2,FALSE),"")</f>
        <v/>
      </c>
      <c r="S4645" t="str">
        <f>VLOOKUP(record[[#This Row],[employeeID]],員工[],2,FALSE)</f>
        <v>梅氏和</v>
      </c>
    </row>
    <row r="4646" spans="6:19" hidden="1" x14ac:dyDescent="0.25">
      <c r="F4646" t="s">
        <v>1474</v>
      </c>
      <c r="G4646" t="s">
        <v>450</v>
      </c>
      <c r="H4646" t="str">
        <f>VLOOKUP(record[[#This Row],[ProcessSN]],表格2_7[],2,FALSE)</f>
        <v>30-4118-018-6XX</v>
      </c>
      <c r="I4646" t="str">
        <f>VLOOKUP(record[[#This Row],[ProcessSN]],表格2_7[],3,FALSE)</f>
        <v>#06</v>
      </c>
      <c r="J4646" t="s">
        <v>593</v>
      </c>
      <c r="K4646" s="195">
        <v>46045.323576388888</v>
      </c>
      <c r="L4646">
        <v>133</v>
      </c>
      <c r="M4646">
        <v>0</v>
      </c>
      <c r="N4646" s="98" t="str">
        <f>IF(record[[#This Row],[Memo]]="Browser:chrome os:android","平板報工",IF(record[[#This Row],[Memo]]=0,"委外",record[[#This Row],[Memo]]))</f>
        <v/>
      </c>
      <c r="O4646" t="s">
        <v>58</v>
      </c>
      <c r="P4646" t="s">
        <v>135</v>
      </c>
      <c r="Q4646" t="s">
        <v>58</v>
      </c>
      <c r="R4646" t="str">
        <f>IFERROR(VLOOKUP(record[[#This Row],[PCUSTID]],廠商[],2,FALSE),"")</f>
        <v/>
      </c>
      <c r="S4646" t="str">
        <f>VLOOKUP(record[[#This Row],[employeeID]],員工[],2,FALSE)</f>
        <v>阮士文</v>
      </c>
    </row>
    <row r="4647" spans="6:19" hidden="1" x14ac:dyDescent="0.25">
      <c r="F4647" t="s">
        <v>1492</v>
      </c>
      <c r="G4647" t="s">
        <v>415</v>
      </c>
      <c r="H4647" t="str">
        <f>VLOOKUP(record[[#This Row],[ProcessSN]],表格2_7[],2,FALSE)</f>
        <v>30-4118-018-5XX</v>
      </c>
      <c r="I4647" t="str">
        <f>VLOOKUP(record[[#This Row],[ProcessSN]],表格2_7[],3,FALSE)</f>
        <v>#04</v>
      </c>
      <c r="J4647" t="s">
        <v>588</v>
      </c>
      <c r="K4647" s="195">
        <v>46045.316157407404</v>
      </c>
      <c r="L4647">
        <v>88</v>
      </c>
      <c r="M4647">
        <v>0</v>
      </c>
      <c r="N4647" s="98" t="str">
        <f>IF(record[[#This Row],[Memo]]="Browser:chrome os:android","平板報工",IF(record[[#This Row],[Memo]]=0,"委外",record[[#This Row],[Memo]]))</f>
        <v/>
      </c>
      <c r="O4647" t="s">
        <v>58</v>
      </c>
      <c r="P4647" t="s">
        <v>806</v>
      </c>
      <c r="Q4647" t="s">
        <v>58</v>
      </c>
      <c r="R4647" t="str">
        <f>IFERROR(VLOOKUP(record[[#This Row],[PCUSTID]],廠商[],2,FALSE),"")</f>
        <v/>
      </c>
      <c r="S4647" t="str">
        <f>VLOOKUP(record[[#This Row],[employeeID]],員工[],2,FALSE)</f>
        <v>方思緯</v>
      </c>
    </row>
    <row r="4648" spans="6:19" hidden="1" x14ac:dyDescent="0.25">
      <c r="F4648" t="s">
        <v>1493</v>
      </c>
      <c r="G4648" t="s">
        <v>448</v>
      </c>
      <c r="H4648" t="str">
        <f>VLOOKUP(record[[#This Row],[ProcessSN]],表格2_7[],2,FALSE)</f>
        <v>30-4118-018-6XX</v>
      </c>
      <c r="I4648" t="str">
        <f>VLOOKUP(record[[#This Row],[ProcessSN]],表格2_7[],3,FALSE)</f>
        <v>#04</v>
      </c>
      <c r="J4648" t="s">
        <v>588</v>
      </c>
      <c r="K4648" s="195">
        <v>46045.315717592595</v>
      </c>
      <c r="L4648">
        <v>85</v>
      </c>
      <c r="M4648">
        <v>0</v>
      </c>
      <c r="N4648" s="98" t="str">
        <f>IF(record[[#This Row],[Memo]]="Browser:chrome os:android","平板報工",IF(record[[#This Row],[Memo]]=0,"委外",record[[#This Row],[Memo]]))</f>
        <v/>
      </c>
      <c r="O4648" t="s">
        <v>58</v>
      </c>
      <c r="P4648" t="s">
        <v>806</v>
      </c>
      <c r="Q4648" t="s">
        <v>58</v>
      </c>
      <c r="R4648" t="str">
        <f>IFERROR(VLOOKUP(record[[#This Row],[PCUSTID]],廠商[],2,FALSE),"")</f>
        <v/>
      </c>
      <c r="S4648" t="str">
        <f>VLOOKUP(record[[#This Row],[employeeID]],員工[],2,FALSE)</f>
        <v>方思緯</v>
      </c>
    </row>
    <row r="4649" spans="6:19" hidden="1" x14ac:dyDescent="0.25">
      <c r="F4649" t="s">
        <v>1450</v>
      </c>
      <c r="G4649" t="s">
        <v>466</v>
      </c>
      <c r="H4649" t="str">
        <f>VLOOKUP(record[[#This Row],[ProcessSN]],表格2_7[],2,FALSE)</f>
        <v>30-4118-018-XXX</v>
      </c>
      <c r="I4649" t="str">
        <f>VLOOKUP(record[[#This Row],[ProcessSN]],表格2_7[],3,FALSE)</f>
        <v>#01-2</v>
      </c>
      <c r="J4649" t="s">
        <v>588</v>
      </c>
      <c r="K4649" s="195">
        <v>46045.314884259256</v>
      </c>
      <c r="L4649">
        <v>540</v>
      </c>
      <c r="M4649">
        <v>0</v>
      </c>
      <c r="N4649" s="98" t="str">
        <f>IF(record[[#This Row],[Memo]]="Browser:chrome os:android","平板報工",IF(record[[#This Row],[Memo]]=0,"委外",record[[#This Row],[Memo]]))</f>
        <v/>
      </c>
      <c r="O4649" t="s">
        <v>58</v>
      </c>
      <c r="P4649" t="s">
        <v>806</v>
      </c>
      <c r="Q4649" t="s">
        <v>58</v>
      </c>
      <c r="R4649" t="str">
        <f>IFERROR(VLOOKUP(record[[#This Row],[PCUSTID]],廠商[],2,FALSE),"")</f>
        <v/>
      </c>
      <c r="S4649" t="str">
        <f>VLOOKUP(record[[#This Row],[employeeID]],員工[],2,FALSE)</f>
        <v>方思緯</v>
      </c>
    </row>
    <row r="4650" spans="6:19" hidden="1" x14ac:dyDescent="0.25">
      <c r="F4650" t="s">
        <v>1450</v>
      </c>
      <c r="G4650" t="s">
        <v>465</v>
      </c>
      <c r="H4650" t="str">
        <f>VLOOKUP(record[[#This Row],[ProcessSN]],表格2_7[],2,FALSE)</f>
        <v>30-4118-018-XXX</v>
      </c>
      <c r="I4650" t="str">
        <f>VLOOKUP(record[[#This Row],[ProcessSN]],表格2_7[],3,FALSE)</f>
        <v>#01-1</v>
      </c>
      <c r="J4650" t="s">
        <v>588</v>
      </c>
      <c r="K4650" s="195">
        <v>46045.314722222225</v>
      </c>
      <c r="L4650">
        <v>540</v>
      </c>
      <c r="M4650">
        <v>0</v>
      </c>
      <c r="N4650" s="98" t="str">
        <f>IF(record[[#This Row],[Memo]]="Browser:chrome os:android","平板報工",IF(record[[#This Row],[Memo]]=0,"委外",record[[#This Row],[Memo]]))</f>
        <v/>
      </c>
      <c r="O4650" t="s">
        <v>58</v>
      </c>
      <c r="P4650" t="s">
        <v>806</v>
      </c>
      <c r="Q4650" t="s">
        <v>58</v>
      </c>
      <c r="R4650" t="str">
        <f>IFERROR(VLOOKUP(record[[#This Row],[PCUSTID]],廠商[],2,FALSE),"")</f>
        <v/>
      </c>
      <c r="S4650" t="str">
        <f>VLOOKUP(record[[#This Row],[employeeID]],員工[],2,FALSE)</f>
        <v>方思緯</v>
      </c>
    </row>
    <row r="4651" spans="6:19" hidden="1" x14ac:dyDescent="0.25">
      <c r="F4651" t="s">
        <v>1474</v>
      </c>
      <c r="G4651" t="s">
        <v>450</v>
      </c>
      <c r="H4651" t="str">
        <f>VLOOKUP(record[[#This Row],[ProcessSN]],表格2_7[],2,FALSE)</f>
        <v>30-4118-018-6XX</v>
      </c>
      <c r="I4651" t="str">
        <f>VLOOKUP(record[[#This Row],[ProcessSN]],表格2_7[],3,FALSE)</f>
        <v>#06</v>
      </c>
      <c r="J4651" t="s">
        <v>593</v>
      </c>
      <c r="K4651" s="195">
        <v>46044.962407407409</v>
      </c>
      <c r="L4651">
        <v>9</v>
      </c>
      <c r="M4651">
        <v>0</v>
      </c>
      <c r="N4651" s="98" t="str">
        <f>IF(record[[#This Row],[Memo]]="Browser:chrome os:android","平板報工",IF(record[[#This Row],[Memo]]=0,"委外",record[[#This Row],[Memo]]))</f>
        <v/>
      </c>
      <c r="O4651" t="s">
        <v>58</v>
      </c>
      <c r="P4651" t="s">
        <v>806</v>
      </c>
      <c r="Q4651" t="s">
        <v>58</v>
      </c>
      <c r="R4651" t="str">
        <f>IFERROR(VLOOKUP(record[[#This Row],[PCUSTID]],廠商[],2,FALSE),"")</f>
        <v/>
      </c>
      <c r="S4651" t="str">
        <f>VLOOKUP(record[[#This Row],[employeeID]],員工[],2,FALSE)</f>
        <v>方思緯</v>
      </c>
    </row>
    <row r="4652" spans="6:19" hidden="1" x14ac:dyDescent="0.25">
      <c r="F4652" t="s">
        <v>1417</v>
      </c>
      <c r="G4652" t="s">
        <v>450</v>
      </c>
      <c r="H4652" t="str">
        <f>VLOOKUP(record[[#This Row],[ProcessSN]],表格2_7[],2,FALSE)</f>
        <v>30-4118-018-6XX</v>
      </c>
      <c r="I4652" t="str">
        <f>VLOOKUP(record[[#This Row],[ProcessSN]],表格2_7[],3,FALSE)</f>
        <v>#06</v>
      </c>
      <c r="J4652" t="s">
        <v>593</v>
      </c>
      <c r="K4652" s="195">
        <v>46044.962199074071</v>
      </c>
      <c r="L4652">
        <v>57</v>
      </c>
      <c r="M4652">
        <v>0</v>
      </c>
      <c r="N4652" s="98" t="str">
        <f>IF(record[[#This Row],[Memo]]="Browser:chrome os:android","平板報工",IF(record[[#This Row],[Memo]]=0,"委外",record[[#This Row],[Memo]]))</f>
        <v/>
      </c>
      <c r="O4652" t="s">
        <v>58</v>
      </c>
      <c r="P4652" t="s">
        <v>806</v>
      </c>
      <c r="Q4652" t="s">
        <v>58</v>
      </c>
      <c r="R4652" t="str">
        <f>IFERROR(VLOOKUP(record[[#This Row],[PCUSTID]],廠商[],2,FALSE),"")</f>
        <v/>
      </c>
      <c r="S4652" t="str">
        <f>VLOOKUP(record[[#This Row],[employeeID]],員工[],2,FALSE)</f>
        <v>方思緯</v>
      </c>
    </row>
    <row r="4653" spans="6:19" hidden="1" x14ac:dyDescent="0.25">
      <c r="F4653" t="s">
        <v>1450</v>
      </c>
      <c r="G4653" t="s">
        <v>466</v>
      </c>
      <c r="H4653" t="str">
        <f>VLOOKUP(record[[#This Row],[ProcessSN]],表格2_7[],2,FALSE)</f>
        <v>30-4118-018-XXX</v>
      </c>
      <c r="I4653" t="str">
        <f>VLOOKUP(record[[#This Row],[ProcessSN]],表格2_7[],3,FALSE)</f>
        <v>#01-2</v>
      </c>
      <c r="J4653" t="s">
        <v>588</v>
      </c>
      <c r="K4653" s="195">
        <v>46044.961458333331</v>
      </c>
      <c r="L4653">
        <v>541</v>
      </c>
      <c r="M4653">
        <v>0</v>
      </c>
      <c r="N4653" s="98" t="str">
        <f>IF(record[[#This Row],[Memo]]="Browser:chrome os:android","平板報工",IF(record[[#This Row],[Memo]]=0,"委外",record[[#This Row],[Memo]]))</f>
        <v/>
      </c>
      <c r="O4653" t="s">
        <v>58</v>
      </c>
      <c r="P4653" t="s">
        <v>1098</v>
      </c>
      <c r="Q4653" t="s">
        <v>58</v>
      </c>
      <c r="R4653" t="str">
        <f>IFERROR(VLOOKUP(record[[#This Row],[PCUSTID]],廠商[],2,FALSE),"")</f>
        <v/>
      </c>
      <c r="S4653" t="str">
        <f>VLOOKUP(record[[#This Row],[employeeID]],員工[],2,FALSE)</f>
        <v>阮氏芳英(英)</v>
      </c>
    </row>
    <row r="4654" spans="6:19" hidden="1" x14ac:dyDescent="0.25">
      <c r="F4654" t="s">
        <v>1450</v>
      </c>
      <c r="G4654" t="s">
        <v>465</v>
      </c>
      <c r="H4654" t="str">
        <f>VLOOKUP(record[[#This Row],[ProcessSN]],表格2_7[],2,FALSE)</f>
        <v>30-4118-018-XXX</v>
      </c>
      <c r="I4654" t="str">
        <f>VLOOKUP(record[[#This Row],[ProcessSN]],表格2_7[],3,FALSE)</f>
        <v>#01-1</v>
      </c>
      <c r="J4654" t="s">
        <v>588</v>
      </c>
      <c r="K4654" s="195">
        <v>46044.961273148147</v>
      </c>
      <c r="L4654">
        <v>600</v>
      </c>
      <c r="M4654">
        <v>0</v>
      </c>
      <c r="N4654" s="98" t="str">
        <f>IF(record[[#This Row],[Memo]]="Browser:chrome os:android","平板報工",IF(record[[#This Row],[Memo]]=0,"委外",record[[#This Row],[Memo]]))</f>
        <v/>
      </c>
      <c r="O4654" t="s">
        <v>58</v>
      </c>
      <c r="P4654" t="s">
        <v>1098</v>
      </c>
      <c r="Q4654" t="s">
        <v>58</v>
      </c>
      <c r="R4654" t="str">
        <f>IFERROR(VLOOKUP(record[[#This Row],[PCUSTID]],廠商[],2,FALSE),"")</f>
        <v/>
      </c>
      <c r="S4654" t="str">
        <f>VLOOKUP(record[[#This Row],[employeeID]],員工[],2,FALSE)</f>
        <v>阮氏芳英(英)</v>
      </c>
    </row>
    <row r="4655" spans="6:19" hidden="1" x14ac:dyDescent="0.25">
      <c r="F4655" t="s">
        <v>1492</v>
      </c>
      <c r="G4655" t="s">
        <v>415</v>
      </c>
      <c r="H4655" t="str">
        <f>VLOOKUP(record[[#This Row],[ProcessSN]],表格2_7[],2,FALSE)</f>
        <v>30-4118-018-5XX</v>
      </c>
      <c r="I4655" t="str">
        <f>VLOOKUP(record[[#This Row],[ProcessSN]],表格2_7[],3,FALSE)</f>
        <v>#04</v>
      </c>
      <c r="J4655" t="s">
        <v>588</v>
      </c>
      <c r="K4655" s="195">
        <v>46044.960960648146</v>
      </c>
      <c r="L4655">
        <v>110</v>
      </c>
      <c r="M4655">
        <v>0</v>
      </c>
      <c r="N4655" s="98" t="str">
        <f>IF(record[[#This Row],[Memo]]="Browser:chrome os:android","平板報工",IF(record[[#This Row],[Memo]]=0,"委外",record[[#This Row],[Memo]]))</f>
        <v/>
      </c>
      <c r="O4655" t="s">
        <v>58</v>
      </c>
      <c r="P4655" t="s">
        <v>133</v>
      </c>
      <c r="Q4655" t="s">
        <v>58</v>
      </c>
      <c r="R4655" t="str">
        <f>IFERROR(VLOOKUP(record[[#This Row],[PCUSTID]],廠商[],2,FALSE),"")</f>
        <v/>
      </c>
      <c r="S4655" t="str">
        <f>VLOOKUP(record[[#This Row],[employeeID]],員工[],2,FALSE)</f>
        <v>黎長維</v>
      </c>
    </row>
    <row r="4656" spans="6:19" hidden="1" x14ac:dyDescent="0.25">
      <c r="F4656" t="s">
        <v>1474</v>
      </c>
      <c r="G4656" t="s">
        <v>448</v>
      </c>
      <c r="H4656" t="str">
        <f>VLOOKUP(record[[#This Row],[ProcessSN]],表格2_7[],2,FALSE)</f>
        <v>30-4118-018-6XX</v>
      </c>
      <c r="I4656" t="str">
        <f>VLOOKUP(record[[#This Row],[ProcessSN]],表格2_7[],3,FALSE)</f>
        <v>#04</v>
      </c>
      <c r="J4656" t="s">
        <v>588</v>
      </c>
      <c r="K4656" s="195">
        <v>46044.9606712963</v>
      </c>
      <c r="L4656">
        <v>14</v>
      </c>
      <c r="M4656">
        <v>0</v>
      </c>
      <c r="N4656" s="98" t="str">
        <f>IF(record[[#This Row],[Memo]]="Browser:chrome os:android","平板報工",IF(record[[#This Row],[Memo]]=0,"委外",record[[#This Row],[Memo]]))</f>
        <v/>
      </c>
      <c r="O4656" t="s">
        <v>58</v>
      </c>
      <c r="P4656" t="s">
        <v>133</v>
      </c>
      <c r="Q4656" t="s">
        <v>58</v>
      </c>
      <c r="R4656" t="str">
        <f>IFERROR(VLOOKUP(record[[#This Row],[PCUSTID]],廠商[],2,FALSE),"")</f>
        <v/>
      </c>
      <c r="S4656" t="str">
        <f>VLOOKUP(record[[#This Row],[employeeID]],員工[],2,FALSE)</f>
        <v>黎長維</v>
      </c>
    </row>
    <row r="4657" spans="6:19" hidden="1" x14ac:dyDescent="0.25">
      <c r="F4657" t="s">
        <v>1417</v>
      </c>
      <c r="G4657" t="s">
        <v>450</v>
      </c>
      <c r="H4657" t="str">
        <f>VLOOKUP(record[[#This Row],[ProcessSN]],表格2_7[],2,FALSE)</f>
        <v>30-4118-018-6XX</v>
      </c>
      <c r="I4657" t="str">
        <f>VLOOKUP(record[[#This Row],[ProcessSN]],表格2_7[],3,FALSE)</f>
        <v>#06</v>
      </c>
      <c r="J4657" t="s">
        <v>593</v>
      </c>
      <c r="K4657" s="195">
        <v>46044.807592592595</v>
      </c>
      <c r="L4657">
        <v>67</v>
      </c>
      <c r="M4657">
        <v>0</v>
      </c>
      <c r="N4657" s="98" t="str">
        <f>IF(record[[#This Row],[Memo]]="Browser:chrome os:android","平板報工",IF(record[[#This Row],[Memo]]=0,"委外",record[[#This Row],[Memo]]))</f>
        <v>平板報工</v>
      </c>
      <c r="O4657" t="s">
        <v>643</v>
      </c>
      <c r="P4657" t="s">
        <v>1413</v>
      </c>
      <c r="Q4657" t="s">
        <v>644</v>
      </c>
      <c r="R4657" t="str">
        <f>IFERROR(VLOOKUP(record[[#This Row],[PCUSTID]],廠商[],2,FALSE),"")</f>
        <v/>
      </c>
      <c r="S4657" t="str">
        <f>VLOOKUP(record[[#This Row],[employeeID]],員工[],2,FALSE)</f>
        <v>阮氏芳英(芳)</v>
      </c>
    </row>
    <row r="4658" spans="6:19" hidden="1" x14ac:dyDescent="0.25">
      <c r="F4658" t="s">
        <v>1450</v>
      </c>
      <c r="G4658" t="s">
        <v>467</v>
      </c>
      <c r="H4658" t="str">
        <f>VLOOKUP(record[[#This Row],[ProcessSN]],表格2_7[],2,FALSE)</f>
        <v>30-4118-018-XXX</v>
      </c>
      <c r="I4658" t="str">
        <f>VLOOKUP(record[[#This Row],[ProcessSN]],表格2_7[],3,FALSE)</f>
        <v>#01QC</v>
      </c>
      <c r="J4658" t="s">
        <v>589</v>
      </c>
      <c r="K4658" s="195">
        <v>46044.790694444448</v>
      </c>
      <c r="L4658">
        <v>408</v>
      </c>
      <c r="M4658">
        <v>0</v>
      </c>
      <c r="N4658" s="98" t="str">
        <f>IF(record[[#This Row],[Memo]]="Browser:chrome os:android","平板報工",IF(record[[#This Row],[Memo]]=0,"委外",record[[#This Row],[Memo]]))</f>
        <v>平板報工</v>
      </c>
      <c r="O4658" t="s">
        <v>643</v>
      </c>
      <c r="P4658" t="s">
        <v>182</v>
      </c>
      <c r="Q4658" t="s">
        <v>644</v>
      </c>
      <c r="R4658" t="str">
        <f>IFERROR(VLOOKUP(record[[#This Row],[PCUSTID]],廠商[],2,FALSE),"")</f>
        <v/>
      </c>
      <c r="S4658" t="str">
        <f>VLOOKUP(record[[#This Row],[employeeID]],員工[],2,FALSE)</f>
        <v>梅氏和</v>
      </c>
    </row>
    <row r="4659" spans="6:19" hidden="1" x14ac:dyDescent="0.25">
      <c r="F4659" t="s">
        <v>1480</v>
      </c>
      <c r="G4659" t="s">
        <v>399</v>
      </c>
      <c r="H4659" t="str">
        <f>VLOOKUP(record[[#This Row],[ProcessSN]],表格2_7[],2,FALSE)</f>
        <v>30-4118-018-550</v>
      </c>
      <c r="I4659" t="str">
        <f>VLOOKUP(record[[#This Row],[ProcessSN]],表格2_7[],3,FALSE)</f>
        <v>#08IQC</v>
      </c>
      <c r="J4659" t="s">
        <v>583</v>
      </c>
      <c r="K4659" s="195">
        <v>46044.716805555552</v>
      </c>
      <c r="L4659">
        <v>267</v>
      </c>
      <c r="M4659">
        <v>0</v>
      </c>
      <c r="N4659" s="98" t="str">
        <f>IF(record[[#This Row],[Memo]]="Browser:chrome os:android","平板報工",IF(record[[#This Row],[Memo]]=0,"委外",record[[#This Row],[Memo]]))</f>
        <v/>
      </c>
      <c r="O4659" t="s">
        <v>58</v>
      </c>
      <c r="P4659" t="s">
        <v>109</v>
      </c>
      <c r="Q4659" t="s">
        <v>58</v>
      </c>
      <c r="R4659" t="str">
        <f>IFERROR(VLOOKUP(record[[#This Row],[PCUSTID]],廠商[],2,FALSE),"")</f>
        <v/>
      </c>
      <c r="S4659" t="str">
        <f>VLOOKUP(record[[#This Row],[employeeID]],員工[],2,FALSE)</f>
        <v>裴氏璧鳳</v>
      </c>
    </row>
    <row r="4660" spans="6:19" hidden="1" x14ac:dyDescent="0.25">
      <c r="F4660" t="s">
        <v>1493</v>
      </c>
      <c r="G4660" t="s">
        <v>447</v>
      </c>
      <c r="H4660" t="str">
        <f>VLOOKUP(record[[#This Row],[ProcessSN]],表格2_7[],2,FALSE)</f>
        <v>30-4118-018-6XX</v>
      </c>
      <c r="I4660" t="str">
        <f>VLOOKUP(record[[#This Row],[ProcessSN]],表格2_7[],3,FALSE)</f>
        <v>#03</v>
      </c>
      <c r="J4660" t="s">
        <v>588</v>
      </c>
      <c r="K4660" s="195">
        <v>46044.679837962962</v>
      </c>
      <c r="L4660">
        <v>101</v>
      </c>
      <c r="M4660">
        <v>0</v>
      </c>
      <c r="N4660" s="98" t="str">
        <f>IF(record[[#This Row],[Memo]]="Browser:chrome os:android","平板報工",IF(record[[#This Row],[Memo]]=0,"委外",record[[#This Row],[Memo]]))</f>
        <v/>
      </c>
      <c r="O4660" t="s">
        <v>58</v>
      </c>
      <c r="P4660" t="s">
        <v>145</v>
      </c>
      <c r="Q4660" t="s">
        <v>58</v>
      </c>
      <c r="R4660" t="str">
        <f>IFERROR(VLOOKUP(record[[#This Row],[PCUSTID]],廠商[],2,FALSE),"")</f>
        <v/>
      </c>
      <c r="S4660" t="str">
        <f>VLOOKUP(record[[#This Row],[employeeID]],員工[],2,FALSE)</f>
        <v>阮秋霞</v>
      </c>
    </row>
    <row r="4661" spans="6:19" hidden="1" x14ac:dyDescent="0.25">
      <c r="F4661" t="s">
        <v>1450</v>
      </c>
      <c r="G4661" t="s">
        <v>466</v>
      </c>
      <c r="H4661" t="str">
        <f>VLOOKUP(record[[#This Row],[ProcessSN]],表格2_7[],2,FALSE)</f>
        <v>30-4118-018-XXX</v>
      </c>
      <c r="I4661" t="str">
        <f>VLOOKUP(record[[#This Row],[ProcessSN]],表格2_7[],3,FALSE)</f>
        <v>#01-2</v>
      </c>
      <c r="J4661" t="s">
        <v>588</v>
      </c>
      <c r="K4661" s="195">
        <v>46044.660312499997</v>
      </c>
      <c r="L4661">
        <v>546</v>
      </c>
      <c r="M4661">
        <v>0</v>
      </c>
      <c r="N4661" s="98" t="str">
        <f>IF(record[[#This Row],[Memo]]="Browser:chrome os:android","平板報工",IF(record[[#This Row],[Memo]]=0,"委外",record[[#This Row],[Memo]]))</f>
        <v>平板報工</v>
      </c>
      <c r="O4661" t="s">
        <v>643</v>
      </c>
      <c r="P4661" t="s">
        <v>107</v>
      </c>
      <c r="Q4661" t="s">
        <v>644</v>
      </c>
      <c r="R4661" t="str">
        <f>IFERROR(VLOOKUP(record[[#This Row],[PCUSTID]],廠商[],2,FALSE),"")</f>
        <v/>
      </c>
      <c r="S4661" t="str">
        <f>VLOOKUP(record[[#This Row],[employeeID]],員工[],2,FALSE)</f>
        <v>黎氏順</v>
      </c>
    </row>
    <row r="4662" spans="6:19" hidden="1" x14ac:dyDescent="0.25">
      <c r="F4662" t="s">
        <v>1450</v>
      </c>
      <c r="G4662" t="s">
        <v>465</v>
      </c>
      <c r="H4662" t="str">
        <f>VLOOKUP(record[[#This Row],[ProcessSN]],表格2_7[],2,FALSE)</f>
        <v>30-4118-018-XXX</v>
      </c>
      <c r="I4662" t="str">
        <f>VLOOKUP(record[[#This Row],[ProcessSN]],表格2_7[],3,FALSE)</f>
        <v>#01-1</v>
      </c>
      <c r="J4662" t="s">
        <v>588</v>
      </c>
      <c r="K4662" s="195">
        <v>46044.660034722219</v>
      </c>
      <c r="L4662">
        <v>540</v>
      </c>
      <c r="M4662">
        <v>0</v>
      </c>
      <c r="N4662" s="98" t="str">
        <f>IF(record[[#This Row],[Memo]]="Browser:chrome os:android","平板報工",IF(record[[#This Row],[Memo]]=0,"委外",record[[#This Row],[Memo]]))</f>
        <v>平板報工</v>
      </c>
      <c r="O4662" t="s">
        <v>643</v>
      </c>
      <c r="P4662" t="s">
        <v>107</v>
      </c>
      <c r="Q4662" t="s">
        <v>644</v>
      </c>
      <c r="R4662" t="str">
        <f>IFERROR(VLOOKUP(record[[#This Row],[PCUSTID]],廠商[],2,FALSE),"")</f>
        <v/>
      </c>
      <c r="S4662" t="str">
        <f>VLOOKUP(record[[#This Row],[employeeID]],員工[],2,FALSE)</f>
        <v>黎氏順</v>
      </c>
    </row>
    <row r="4663" spans="6:19" hidden="1" x14ac:dyDescent="0.25">
      <c r="F4663" t="s">
        <v>1492</v>
      </c>
      <c r="G4663" t="s">
        <v>415</v>
      </c>
      <c r="H4663" t="str">
        <f>VLOOKUP(record[[#This Row],[ProcessSN]],表格2_7[],2,FALSE)</f>
        <v>30-4118-018-5XX</v>
      </c>
      <c r="I4663" t="str">
        <f>VLOOKUP(record[[#This Row],[ProcessSN]],表格2_7[],3,FALSE)</f>
        <v>#04</v>
      </c>
      <c r="J4663" t="s">
        <v>588</v>
      </c>
      <c r="K4663" s="195">
        <v>46044.657569444447</v>
      </c>
      <c r="L4663">
        <v>33</v>
      </c>
      <c r="M4663">
        <v>0</v>
      </c>
      <c r="N4663" s="98" t="str">
        <f>IF(record[[#This Row],[Memo]]="Browser:chrome os:android","平板報工",IF(record[[#This Row],[Memo]]=0,"委外",record[[#This Row],[Memo]]))</f>
        <v>平板報工</v>
      </c>
      <c r="O4663" t="s">
        <v>643</v>
      </c>
      <c r="P4663" t="s">
        <v>145</v>
      </c>
      <c r="Q4663" t="s">
        <v>644</v>
      </c>
      <c r="R4663" t="str">
        <f>IFERROR(VLOOKUP(record[[#This Row],[PCUSTID]],廠商[],2,FALSE),"")</f>
        <v/>
      </c>
      <c r="S4663" t="str">
        <f>VLOOKUP(record[[#This Row],[employeeID]],員工[],2,FALSE)</f>
        <v>阮秋霞</v>
      </c>
    </row>
    <row r="4664" spans="6:19" hidden="1" x14ac:dyDescent="0.25">
      <c r="F4664" t="s">
        <v>1492</v>
      </c>
      <c r="G4664" t="s">
        <v>414</v>
      </c>
      <c r="H4664" t="str">
        <f>VLOOKUP(record[[#This Row],[ProcessSN]],表格2_7[],2,FALSE)</f>
        <v>30-4118-018-5XX</v>
      </c>
      <c r="I4664" t="str">
        <f>VLOOKUP(record[[#This Row],[ProcessSN]],表格2_7[],3,FALSE)</f>
        <v>#03</v>
      </c>
      <c r="J4664" t="s">
        <v>588</v>
      </c>
      <c r="K4664" s="195">
        <v>46044.654722222222</v>
      </c>
      <c r="L4664">
        <v>240</v>
      </c>
      <c r="M4664">
        <v>0</v>
      </c>
      <c r="N4664" s="98" t="str">
        <f>IF(record[[#This Row],[Memo]]="Browser:chrome os:android","平板報工",IF(record[[#This Row],[Memo]]=0,"委外",record[[#This Row],[Memo]]))</f>
        <v>平板報工</v>
      </c>
      <c r="O4664" t="s">
        <v>643</v>
      </c>
      <c r="P4664" t="s">
        <v>145</v>
      </c>
      <c r="Q4664" t="s">
        <v>644</v>
      </c>
      <c r="R4664" t="str">
        <f>IFERROR(VLOOKUP(record[[#This Row],[PCUSTID]],廠商[],2,FALSE),"")</f>
        <v/>
      </c>
      <c r="S4664" t="str">
        <f>VLOOKUP(record[[#This Row],[employeeID]],員工[],2,FALSE)</f>
        <v>阮秋霞</v>
      </c>
    </row>
    <row r="4665" spans="6:19" hidden="1" x14ac:dyDescent="0.25">
      <c r="F4665" t="s">
        <v>1474</v>
      </c>
      <c r="G4665" t="s">
        <v>448</v>
      </c>
      <c r="H4665" t="str">
        <f>VLOOKUP(record[[#This Row],[ProcessSN]],表格2_7[],2,FALSE)</f>
        <v>30-4118-018-6XX</v>
      </c>
      <c r="I4665" t="str">
        <f>VLOOKUP(record[[#This Row],[ProcessSN]],表格2_7[],3,FALSE)</f>
        <v>#04</v>
      </c>
      <c r="J4665" t="s">
        <v>588</v>
      </c>
      <c r="K4665" s="195">
        <v>46044.653900462959</v>
      </c>
      <c r="L4665">
        <v>135</v>
      </c>
      <c r="M4665">
        <v>0</v>
      </c>
      <c r="N4665" s="98" t="str">
        <f>IF(record[[#This Row],[Memo]]="Browser:chrome os:android","平板報工",IF(record[[#This Row],[Memo]]=0,"委外",record[[#This Row],[Memo]]))</f>
        <v>平板報工</v>
      </c>
      <c r="O4665" t="s">
        <v>643</v>
      </c>
      <c r="P4665" t="s">
        <v>145</v>
      </c>
      <c r="Q4665" t="s">
        <v>644</v>
      </c>
      <c r="R4665" t="str">
        <f>IFERROR(VLOOKUP(record[[#This Row],[PCUSTID]],廠商[],2,FALSE),"")</f>
        <v/>
      </c>
      <c r="S4665" t="str">
        <f>VLOOKUP(record[[#This Row],[employeeID]],員工[],2,FALSE)</f>
        <v>阮秋霞</v>
      </c>
    </row>
    <row r="4666" spans="6:19" hidden="1" x14ac:dyDescent="0.25">
      <c r="F4666" t="s">
        <v>1474</v>
      </c>
      <c r="G4666" t="s">
        <v>449</v>
      </c>
      <c r="H4666" t="str">
        <f>VLOOKUP(record[[#This Row],[ProcessSN]],表格2_7[],2,FALSE)</f>
        <v>30-4118-018-6XX</v>
      </c>
      <c r="I4666" t="str">
        <f>VLOOKUP(record[[#This Row],[ProcessSN]],表格2_7[],3,FALSE)</f>
        <v>#05</v>
      </c>
      <c r="J4666" t="s">
        <v>588</v>
      </c>
      <c r="K4666" s="195">
        <v>46044.648217592592</v>
      </c>
      <c r="L4666">
        <v>71</v>
      </c>
      <c r="M4666">
        <v>0</v>
      </c>
      <c r="N4666" s="98" t="str">
        <f>IF(record[[#This Row],[Memo]]="Browser:chrome os:android","平板報工",IF(record[[#This Row],[Memo]]=0,"委外",record[[#This Row],[Memo]]))</f>
        <v>平板報工</v>
      </c>
      <c r="O4666" t="s">
        <v>643</v>
      </c>
      <c r="P4666" t="s">
        <v>785</v>
      </c>
      <c r="Q4666" t="s">
        <v>644</v>
      </c>
      <c r="R4666" t="str">
        <f>IFERROR(VLOOKUP(record[[#This Row],[PCUSTID]],廠商[],2,FALSE),"")</f>
        <v/>
      </c>
      <c r="S4666" t="str">
        <f>VLOOKUP(record[[#This Row],[employeeID]],員工[],2,FALSE)</f>
        <v>謝刻光</v>
      </c>
    </row>
    <row r="4667" spans="6:19" hidden="1" x14ac:dyDescent="0.25">
      <c r="F4667" t="s">
        <v>1417</v>
      </c>
      <c r="G4667" t="s">
        <v>450</v>
      </c>
      <c r="H4667" t="str">
        <f>VLOOKUP(record[[#This Row],[ProcessSN]],表格2_7[],2,FALSE)</f>
        <v>30-4118-018-6XX</v>
      </c>
      <c r="I4667" t="str">
        <f>VLOOKUP(record[[#This Row],[ProcessSN]],表格2_7[],3,FALSE)</f>
        <v>#06</v>
      </c>
      <c r="J4667" t="s">
        <v>593</v>
      </c>
      <c r="K4667" s="195">
        <v>46044.637766203705</v>
      </c>
      <c r="L4667">
        <v>110</v>
      </c>
      <c r="M4667">
        <v>0</v>
      </c>
      <c r="N4667" s="98" t="str">
        <f>IF(record[[#This Row],[Memo]]="Browser:chrome os:android","平板報工",IF(record[[#This Row],[Memo]]=0,"委外",record[[#This Row],[Memo]]))</f>
        <v>平板報工</v>
      </c>
      <c r="O4667" t="s">
        <v>643</v>
      </c>
      <c r="P4667" t="s">
        <v>1413</v>
      </c>
      <c r="Q4667" t="s">
        <v>644</v>
      </c>
      <c r="R4667" t="str">
        <f>IFERROR(VLOOKUP(record[[#This Row],[PCUSTID]],廠商[],2,FALSE),"")</f>
        <v/>
      </c>
      <c r="S4667" t="str">
        <f>VLOOKUP(record[[#This Row],[employeeID]],員工[],2,FALSE)</f>
        <v>阮氏芳英(芳)</v>
      </c>
    </row>
    <row r="4668" spans="6:19" hidden="1" x14ac:dyDescent="0.25">
      <c r="F4668" t="s">
        <v>1480</v>
      </c>
      <c r="G4668" t="s">
        <v>398</v>
      </c>
      <c r="H4668" t="str">
        <f>VLOOKUP(record[[#This Row],[ProcessSN]],表格2_7[],2,FALSE)</f>
        <v>30-4118-018-550</v>
      </c>
      <c r="I4668" t="str">
        <f>VLOOKUP(record[[#This Row],[ProcessSN]],表格2_7[],3,FALSE)</f>
        <v>#08RCV</v>
      </c>
      <c r="J4668" t="s">
        <v>591</v>
      </c>
      <c r="K4668" s="195">
        <v>46044.589270833334</v>
      </c>
      <c r="L4668">
        <v>0</v>
      </c>
      <c r="M4668">
        <v>1</v>
      </c>
      <c r="N4668" s="98" t="str">
        <f>IF(record[[#This Row],[Memo]]="Browser:chrome os:android","平板報工",IF(record[[#This Row],[Memo]]=0,"委外",record[[#This Row],[Memo]]))</f>
        <v>未陽</v>
      </c>
      <c r="O4668" t="s">
        <v>1499</v>
      </c>
      <c r="P4668" t="s">
        <v>186</v>
      </c>
      <c r="Q4668" t="s">
        <v>58</v>
      </c>
      <c r="R4668" t="str">
        <f>IFERROR(VLOOKUP(record[[#This Row],[PCUSTID]],廠商[],2,FALSE),"")</f>
        <v/>
      </c>
      <c r="S4668" t="str">
        <f>VLOOKUP(record[[#This Row],[employeeID]],員工[],2,FALSE)</f>
        <v>許文姍</v>
      </c>
    </row>
    <row r="4669" spans="6:19" hidden="1" x14ac:dyDescent="0.25">
      <c r="F4669" t="s">
        <v>1480</v>
      </c>
      <c r="G4669" t="s">
        <v>398</v>
      </c>
      <c r="H4669" t="str">
        <f>VLOOKUP(record[[#This Row],[ProcessSN]],表格2_7[],2,FALSE)</f>
        <v>30-4118-018-550</v>
      </c>
      <c r="I4669" t="str">
        <f>VLOOKUP(record[[#This Row],[ProcessSN]],表格2_7[],3,FALSE)</f>
        <v>#08RCV</v>
      </c>
      <c r="J4669" t="s">
        <v>591</v>
      </c>
      <c r="K4669" s="195">
        <v>46044.588726851849</v>
      </c>
      <c r="L4669">
        <v>267</v>
      </c>
      <c r="M4669">
        <v>0</v>
      </c>
      <c r="N4669" s="98" t="str">
        <f>IF(record[[#This Row],[Memo]]="Browser:chrome os:android","平板報工",IF(record[[#This Row],[Memo]]=0,"委外",record[[#This Row],[Memo]]))</f>
        <v/>
      </c>
      <c r="O4669" t="s">
        <v>58</v>
      </c>
      <c r="P4669" t="s">
        <v>186</v>
      </c>
      <c r="Q4669" t="s">
        <v>58</v>
      </c>
      <c r="R4669" t="str">
        <f>IFERROR(VLOOKUP(record[[#This Row],[PCUSTID]],廠商[],2,FALSE),"")</f>
        <v/>
      </c>
      <c r="S4669" t="str">
        <f>VLOOKUP(record[[#This Row],[employeeID]],員工[],2,FALSE)</f>
        <v>許文姍</v>
      </c>
    </row>
    <row r="4670" spans="6:19" hidden="1" x14ac:dyDescent="0.25">
      <c r="F4670" t="s">
        <v>1494</v>
      </c>
      <c r="G4670" t="s">
        <v>422</v>
      </c>
      <c r="H4670" t="str">
        <f>VLOOKUP(record[[#This Row],[ProcessSN]],表格2_7[],2,FALSE)</f>
        <v>30-4118-018-600</v>
      </c>
      <c r="I4670" t="str">
        <f>VLOOKUP(record[[#This Row],[ProcessSN]],表格2_7[],3,FALSE)</f>
        <v>#08</v>
      </c>
      <c r="J4670" t="s">
        <v>597</v>
      </c>
      <c r="K4670" s="195">
        <v>46044.577256944445</v>
      </c>
      <c r="L4670">
        <v>145</v>
      </c>
      <c r="M4670">
        <v>0</v>
      </c>
      <c r="N4670" s="98" t="str">
        <f>IF(record[[#This Row],[Memo]]="Browser:chrome os:android","平板報工",IF(record[[#This Row],[Memo]]=0,"委外",record[[#This Row],[Memo]]))</f>
        <v>委外</v>
      </c>
      <c r="P4670" t="s">
        <v>186</v>
      </c>
      <c r="Q4670" t="s">
        <v>287</v>
      </c>
      <c r="R4670" t="str">
        <f>IFERROR(VLOOKUP(record[[#This Row],[PCUSTID]],廠商[],2,FALSE),"")</f>
        <v>泉盛</v>
      </c>
      <c r="S4670" t="str">
        <f>VLOOKUP(record[[#This Row],[employeeID]],員工[],2,FALSE)</f>
        <v>許文姍</v>
      </c>
    </row>
    <row r="4671" spans="6:19" hidden="1" x14ac:dyDescent="0.25">
      <c r="F4671" t="s">
        <v>1497</v>
      </c>
      <c r="G4671" t="s">
        <v>397</v>
      </c>
      <c r="H4671" t="str">
        <f>VLOOKUP(record[[#This Row],[ProcessSN]],表格2_7[],2,FALSE)</f>
        <v>30-4118-018-550</v>
      </c>
      <c r="I4671" t="str">
        <f>VLOOKUP(record[[#This Row],[ProcessSN]],表格2_7[],3,FALSE)</f>
        <v>#08</v>
      </c>
      <c r="J4671" t="s">
        <v>597</v>
      </c>
      <c r="K4671" s="195">
        <v>46044.576921296299</v>
      </c>
      <c r="L4671">
        <v>562</v>
      </c>
      <c r="M4671">
        <v>0</v>
      </c>
      <c r="N4671" s="98" t="str">
        <f>IF(record[[#This Row],[Memo]]="Browser:chrome os:android","平板報工",IF(record[[#This Row],[Memo]]=0,"委外",record[[#This Row],[Memo]]))</f>
        <v>委外</v>
      </c>
      <c r="P4671" t="s">
        <v>186</v>
      </c>
      <c r="Q4671" t="s">
        <v>287</v>
      </c>
      <c r="R4671" t="str">
        <f>IFERROR(VLOOKUP(record[[#This Row],[PCUSTID]],廠商[],2,FALSE),"")</f>
        <v>泉盛</v>
      </c>
      <c r="S4671" t="str">
        <f>VLOOKUP(record[[#This Row],[employeeID]],員工[],2,FALSE)</f>
        <v>許文姍</v>
      </c>
    </row>
    <row r="4672" spans="6:19" hidden="1" x14ac:dyDescent="0.25">
      <c r="F4672" t="s">
        <v>1497</v>
      </c>
      <c r="G4672" t="s">
        <v>396</v>
      </c>
      <c r="H4672" t="str">
        <f>VLOOKUP(record[[#This Row],[ProcessSN]],表格2_7[],2,FALSE)</f>
        <v>30-4118-018-550</v>
      </c>
      <c r="I4672" t="str">
        <f>VLOOKUP(record[[#This Row],[ProcessSN]],表格2_7[],3,FALSE)</f>
        <v>#08PICK</v>
      </c>
      <c r="J4672" t="s">
        <v>582</v>
      </c>
      <c r="K4672" s="195">
        <v>46044.575289351851</v>
      </c>
      <c r="L4672">
        <v>562</v>
      </c>
      <c r="M4672">
        <v>0</v>
      </c>
      <c r="N4672" s="98" t="str">
        <f>IF(record[[#This Row],[Memo]]="Browser:chrome os:android","平板報工",IF(record[[#This Row],[Memo]]=0,"委外",record[[#This Row],[Memo]]))</f>
        <v/>
      </c>
      <c r="O4672" t="s">
        <v>58</v>
      </c>
      <c r="P4672" t="s">
        <v>186</v>
      </c>
      <c r="Q4672" t="s">
        <v>58</v>
      </c>
      <c r="R4672" t="str">
        <f>IFERROR(VLOOKUP(record[[#This Row],[PCUSTID]],廠商[],2,FALSE),"")</f>
        <v/>
      </c>
      <c r="S4672" t="str">
        <f>VLOOKUP(record[[#This Row],[employeeID]],員工[],2,FALSE)</f>
        <v>許文姍</v>
      </c>
    </row>
    <row r="4673" spans="6:19" hidden="1" x14ac:dyDescent="0.25">
      <c r="F4673" t="s">
        <v>1472</v>
      </c>
      <c r="G4673" t="s">
        <v>420</v>
      </c>
      <c r="H4673" t="str">
        <f>VLOOKUP(record[[#This Row],[ProcessSN]],表格2_7[],2,FALSE)</f>
        <v>30-4118-018-5XX</v>
      </c>
      <c r="I4673" t="str">
        <f>VLOOKUP(record[[#This Row],[ProcessSN]],表格2_7[],3,FALSE)</f>
        <v>#07STOCK</v>
      </c>
      <c r="J4673" t="s">
        <v>592</v>
      </c>
      <c r="K4673" s="195">
        <v>46044.573958333334</v>
      </c>
      <c r="L4673">
        <v>562</v>
      </c>
      <c r="M4673">
        <v>0</v>
      </c>
      <c r="N4673" s="98" t="str">
        <f>IF(record[[#This Row],[Memo]]="Browser:chrome os:android","平板報工",IF(record[[#This Row],[Memo]]=0,"委外",record[[#This Row],[Memo]]))</f>
        <v/>
      </c>
      <c r="O4673" t="s">
        <v>58</v>
      </c>
      <c r="P4673" t="s">
        <v>186</v>
      </c>
      <c r="Q4673" t="s">
        <v>58</v>
      </c>
      <c r="R4673" t="str">
        <f>IFERROR(VLOOKUP(record[[#This Row],[PCUSTID]],廠商[],2,FALSE),"")</f>
        <v/>
      </c>
      <c r="S4673" t="str">
        <f>VLOOKUP(record[[#This Row],[employeeID]],員工[],2,FALSE)</f>
        <v>許文姍</v>
      </c>
    </row>
    <row r="4674" spans="6:19" hidden="1" x14ac:dyDescent="0.25">
      <c r="F4674" t="s">
        <v>1472</v>
      </c>
      <c r="G4674" t="s">
        <v>419</v>
      </c>
      <c r="H4674" t="str">
        <f>VLOOKUP(record[[#This Row],[ProcessSN]],表格2_7[],2,FALSE)</f>
        <v>30-4118-018-5XX</v>
      </c>
      <c r="I4674" t="str">
        <f>VLOOKUP(record[[#This Row],[ProcessSN]],表格2_7[],3,FALSE)</f>
        <v>#07QC</v>
      </c>
      <c r="J4674" t="s">
        <v>589</v>
      </c>
      <c r="K4674" s="195">
        <v>46044.543668981481</v>
      </c>
      <c r="L4674">
        <v>72</v>
      </c>
      <c r="M4674">
        <v>0</v>
      </c>
      <c r="N4674" s="98" t="str">
        <f>IF(record[[#This Row],[Memo]]="Browser:chrome os:android","平板報工",IF(record[[#This Row],[Memo]]=0,"委外",record[[#This Row],[Memo]]))</f>
        <v>平板報工</v>
      </c>
      <c r="O4674" t="s">
        <v>643</v>
      </c>
      <c r="P4674" t="s">
        <v>141</v>
      </c>
      <c r="Q4674" t="s">
        <v>644</v>
      </c>
      <c r="R4674" t="str">
        <f>IFERROR(VLOOKUP(record[[#This Row],[PCUSTID]],廠商[],2,FALSE),"")</f>
        <v/>
      </c>
      <c r="S4674" t="str">
        <f>VLOOKUP(record[[#This Row],[employeeID]],員工[],2,FALSE)</f>
        <v>蔣梅</v>
      </c>
    </row>
    <row r="4675" spans="6:19" hidden="1" x14ac:dyDescent="0.25">
      <c r="F4675" t="s">
        <v>1472</v>
      </c>
      <c r="G4675" t="s">
        <v>418</v>
      </c>
      <c r="H4675" t="str">
        <f>VLOOKUP(record[[#This Row],[ProcessSN]],表格2_7[],2,FALSE)</f>
        <v>30-4118-018-5XX</v>
      </c>
      <c r="I4675" t="str">
        <f>VLOOKUP(record[[#This Row],[ProcessSN]],表格2_7[],3,FALSE)</f>
        <v>#07</v>
      </c>
      <c r="J4675" t="s">
        <v>588</v>
      </c>
      <c r="K4675" s="195">
        <v>46044.50986111111</v>
      </c>
      <c r="L4675">
        <v>72</v>
      </c>
      <c r="M4675">
        <v>0</v>
      </c>
      <c r="N4675" s="98" t="str">
        <f>IF(record[[#This Row],[Memo]]="Browser:chrome os:android","平板報工",IF(record[[#This Row],[Memo]]=0,"委外",record[[#This Row],[Memo]]))</f>
        <v>平板報工</v>
      </c>
      <c r="O4675" t="s">
        <v>643</v>
      </c>
      <c r="P4675" t="s">
        <v>785</v>
      </c>
      <c r="Q4675" t="s">
        <v>644</v>
      </c>
      <c r="R4675" t="str">
        <f>IFERROR(VLOOKUP(record[[#This Row],[PCUSTID]],廠商[],2,FALSE),"")</f>
        <v/>
      </c>
      <c r="S4675" t="str">
        <f>VLOOKUP(record[[#This Row],[employeeID]],員工[],2,FALSE)</f>
        <v>謝刻光</v>
      </c>
    </row>
    <row r="4676" spans="6:19" hidden="1" x14ac:dyDescent="0.25">
      <c r="F4676" t="s">
        <v>1494</v>
      </c>
      <c r="G4676" t="s">
        <v>421</v>
      </c>
      <c r="H4676" t="str">
        <f>VLOOKUP(record[[#This Row],[ProcessSN]],表格2_7[],2,FALSE)</f>
        <v>30-4118-018-600</v>
      </c>
      <c r="I4676" t="str">
        <f>VLOOKUP(record[[#This Row],[ProcessSN]],表格2_7[],3,FALSE)</f>
        <v>#08PICK</v>
      </c>
      <c r="J4676" t="s">
        <v>582</v>
      </c>
      <c r="K4676" s="195">
        <v>46044.488298611112</v>
      </c>
      <c r="L4676">
        <v>145</v>
      </c>
      <c r="M4676">
        <v>0</v>
      </c>
      <c r="N4676" s="98" t="str">
        <f>IF(record[[#This Row],[Memo]]="Browser:chrome os:android","平板報工",IF(record[[#This Row],[Memo]]=0,"委外",record[[#This Row],[Memo]]))</f>
        <v/>
      </c>
      <c r="O4676" t="s">
        <v>58</v>
      </c>
      <c r="P4676" t="s">
        <v>186</v>
      </c>
      <c r="Q4676" t="s">
        <v>58</v>
      </c>
      <c r="R4676" t="str">
        <f>IFERROR(VLOOKUP(record[[#This Row],[PCUSTID]],廠商[],2,FALSE),"")</f>
        <v/>
      </c>
      <c r="S4676" t="str">
        <f>VLOOKUP(record[[#This Row],[employeeID]],員工[],2,FALSE)</f>
        <v>許文姍</v>
      </c>
    </row>
    <row r="4677" spans="6:19" hidden="1" x14ac:dyDescent="0.25">
      <c r="F4677" t="s">
        <v>1417</v>
      </c>
      <c r="G4677" t="s">
        <v>453</v>
      </c>
      <c r="H4677" t="str">
        <f>VLOOKUP(record[[#This Row],[ProcessSN]],表格2_7[],2,FALSE)</f>
        <v>30-4118-018-6XX</v>
      </c>
      <c r="I4677" t="str">
        <f>VLOOKUP(record[[#This Row],[ProcessSN]],表格2_7[],3,FALSE)</f>
        <v>#07STOCK</v>
      </c>
      <c r="J4677" t="s">
        <v>592</v>
      </c>
      <c r="K4677" s="195">
        <v>46044.486817129633</v>
      </c>
      <c r="L4677">
        <v>145</v>
      </c>
      <c r="M4677">
        <v>0</v>
      </c>
      <c r="N4677" s="98" t="str">
        <f>IF(record[[#This Row],[Memo]]="Browser:chrome os:android","平板報工",IF(record[[#This Row],[Memo]]=0,"委外",record[[#This Row],[Memo]]))</f>
        <v/>
      </c>
      <c r="O4677" t="s">
        <v>58</v>
      </c>
      <c r="P4677" t="s">
        <v>186</v>
      </c>
      <c r="Q4677" t="s">
        <v>58</v>
      </c>
      <c r="R4677" t="str">
        <f>IFERROR(VLOOKUP(record[[#This Row],[PCUSTID]],廠商[],2,FALSE),"")</f>
        <v/>
      </c>
      <c r="S4677" t="str">
        <f>VLOOKUP(record[[#This Row],[employeeID]],員工[],2,FALSE)</f>
        <v>許文姍</v>
      </c>
    </row>
    <row r="4678" spans="6:19" hidden="1" x14ac:dyDescent="0.25">
      <c r="F4678" t="s">
        <v>1472</v>
      </c>
      <c r="G4678" t="s">
        <v>419</v>
      </c>
      <c r="H4678" t="str">
        <f>VLOOKUP(record[[#This Row],[ProcessSN]],表格2_7[],2,FALSE)</f>
        <v>30-4118-018-5XX</v>
      </c>
      <c r="I4678" t="str">
        <f>VLOOKUP(record[[#This Row],[ProcessSN]],表格2_7[],3,FALSE)</f>
        <v>#07QC</v>
      </c>
      <c r="J4678" t="s">
        <v>589</v>
      </c>
      <c r="K4678" s="195">
        <v>46044.467303240737</v>
      </c>
      <c r="L4678">
        <v>0</v>
      </c>
      <c r="M4678">
        <v>4</v>
      </c>
      <c r="N4678" s="98" t="str">
        <f>IF(record[[#This Row],[Memo]]="Browser:chrome os:android","平板報工",IF(record[[#This Row],[Memo]]=0,"委外",record[[#This Row],[Memo]]))</f>
        <v/>
      </c>
      <c r="O4678" t="s">
        <v>58</v>
      </c>
      <c r="P4678" t="s">
        <v>141</v>
      </c>
      <c r="Q4678" t="s">
        <v>58</v>
      </c>
      <c r="R4678" t="str">
        <f>IFERROR(VLOOKUP(record[[#This Row],[PCUSTID]],廠商[],2,FALSE),"")</f>
        <v/>
      </c>
      <c r="S4678" t="str">
        <f>VLOOKUP(record[[#This Row],[employeeID]],員工[],2,FALSE)</f>
        <v>蔣梅</v>
      </c>
    </row>
    <row r="4679" spans="6:19" hidden="1" x14ac:dyDescent="0.25">
      <c r="F4679" t="s">
        <v>1472</v>
      </c>
      <c r="G4679" t="s">
        <v>419</v>
      </c>
      <c r="H4679" t="str">
        <f>VLOOKUP(record[[#This Row],[ProcessSN]],表格2_7[],2,FALSE)</f>
        <v>30-4118-018-5XX</v>
      </c>
      <c r="I4679" t="str">
        <f>VLOOKUP(record[[#This Row],[ProcessSN]],表格2_7[],3,FALSE)</f>
        <v>#07QC</v>
      </c>
      <c r="J4679" t="s">
        <v>589</v>
      </c>
      <c r="K4679" s="195">
        <v>46044.467152777775</v>
      </c>
      <c r="L4679">
        <v>310</v>
      </c>
      <c r="M4679">
        <v>0</v>
      </c>
      <c r="N4679" s="98" t="str">
        <f>IF(record[[#This Row],[Memo]]="Browser:chrome os:android","平板報工",IF(record[[#This Row],[Memo]]=0,"委外",record[[#This Row],[Memo]]))</f>
        <v/>
      </c>
      <c r="O4679" t="s">
        <v>58</v>
      </c>
      <c r="P4679" t="s">
        <v>141</v>
      </c>
      <c r="Q4679" t="s">
        <v>58</v>
      </c>
      <c r="R4679" t="str">
        <f>IFERROR(VLOOKUP(record[[#This Row],[PCUSTID]],廠商[],2,FALSE),"")</f>
        <v/>
      </c>
      <c r="S4679" t="str">
        <f>VLOOKUP(record[[#This Row],[employeeID]],員工[],2,FALSE)</f>
        <v>蔣梅</v>
      </c>
    </row>
    <row r="4680" spans="6:19" hidden="1" x14ac:dyDescent="0.25">
      <c r="F4680" t="s">
        <v>1417</v>
      </c>
      <c r="G4680" t="s">
        <v>452</v>
      </c>
      <c r="H4680" t="str">
        <f>VLOOKUP(record[[#This Row],[ProcessSN]],表格2_7[],2,FALSE)</f>
        <v>30-4118-018-6XX</v>
      </c>
      <c r="I4680" t="str">
        <f>VLOOKUP(record[[#This Row],[ProcessSN]],表格2_7[],3,FALSE)</f>
        <v>#07QC</v>
      </c>
      <c r="J4680" t="s">
        <v>589</v>
      </c>
      <c r="K4680" s="195">
        <v>46044.466331018521</v>
      </c>
      <c r="L4680">
        <v>0</v>
      </c>
      <c r="M4680">
        <v>9</v>
      </c>
      <c r="N4680" s="98" t="str">
        <f>IF(record[[#This Row],[Memo]]="Browser:chrome os:android","平板報工",IF(record[[#This Row],[Memo]]=0,"委外",record[[#This Row],[Memo]]))</f>
        <v/>
      </c>
      <c r="O4680" t="s">
        <v>58</v>
      </c>
      <c r="P4680" t="s">
        <v>141</v>
      </c>
      <c r="Q4680" t="s">
        <v>58</v>
      </c>
      <c r="R4680" t="str">
        <f>IFERROR(VLOOKUP(record[[#This Row],[PCUSTID]],廠商[],2,FALSE),"")</f>
        <v/>
      </c>
      <c r="S4680" t="str">
        <f>VLOOKUP(record[[#This Row],[employeeID]],員工[],2,FALSE)</f>
        <v>蔣梅</v>
      </c>
    </row>
    <row r="4681" spans="6:19" hidden="1" x14ac:dyDescent="0.25">
      <c r="F4681" t="s">
        <v>1417</v>
      </c>
      <c r="G4681" t="s">
        <v>452</v>
      </c>
      <c r="H4681" t="str">
        <f>VLOOKUP(record[[#This Row],[ProcessSN]],表格2_7[],2,FALSE)</f>
        <v>30-4118-018-6XX</v>
      </c>
      <c r="I4681" t="str">
        <f>VLOOKUP(record[[#This Row],[ProcessSN]],表格2_7[],3,FALSE)</f>
        <v>#07QC</v>
      </c>
      <c r="J4681" t="s">
        <v>589</v>
      </c>
      <c r="K4681" s="195">
        <v>46044.466168981482</v>
      </c>
      <c r="L4681">
        <v>145</v>
      </c>
      <c r="M4681">
        <v>0</v>
      </c>
      <c r="N4681" s="98" t="str">
        <f>IF(record[[#This Row],[Memo]]="Browser:chrome os:android","平板報工",IF(record[[#This Row],[Memo]]=0,"委外",record[[#This Row],[Memo]]))</f>
        <v/>
      </c>
      <c r="O4681" t="s">
        <v>58</v>
      </c>
      <c r="P4681" t="s">
        <v>141</v>
      </c>
      <c r="Q4681" t="s">
        <v>58</v>
      </c>
      <c r="R4681" t="str">
        <f>IFERROR(VLOOKUP(record[[#This Row],[PCUSTID]],廠商[],2,FALSE),"")</f>
        <v/>
      </c>
      <c r="S4681" t="str">
        <f>VLOOKUP(record[[#This Row],[employeeID]],員工[],2,FALSE)</f>
        <v>蔣梅</v>
      </c>
    </row>
    <row r="4682" spans="6:19" hidden="1" x14ac:dyDescent="0.25">
      <c r="F4682" t="s">
        <v>1493</v>
      </c>
      <c r="G4682" t="s">
        <v>446</v>
      </c>
      <c r="H4682" t="str">
        <f>VLOOKUP(record[[#This Row],[ProcessSN]],表格2_7[],2,FALSE)</f>
        <v>30-4118-018-6XX</v>
      </c>
      <c r="I4682" t="str">
        <f>VLOOKUP(record[[#This Row],[ProcessSN]],表格2_7[],3,FALSE)</f>
        <v>#03GIVE</v>
      </c>
      <c r="J4682" t="s">
        <v>587</v>
      </c>
      <c r="K4682" s="195">
        <v>46044.420752314814</v>
      </c>
      <c r="L4682">
        <v>101</v>
      </c>
      <c r="M4682">
        <v>0</v>
      </c>
      <c r="N4682" s="98" t="str">
        <f>IF(record[[#This Row],[Memo]]="Browser:chrome os:android","平板報工",IF(record[[#This Row],[Memo]]=0,"委外",record[[#This Row],[Memo]]))</f>
        <v/>
      </c>
      <c r="O4682" t="s">
        <v>58</v>
      </c>
      <c r="P4682" t="s">
        <v>125</v>
      </c>
      <c r="Q4682" t="s">
        <v>58</v>
      </c>
      <c r="R4682" t="str">
        <f>IFERROR(VLOOKUP(record[[#This Row],[PCUSTID]],廠商[],2,FALSE),"")</f>
        <v/>
      </c>
      <c r="S4682" t="str">
        <f>VLOOKUP(record[[#This Row],[employeeID]],員工[],2,FALSE)</f>
        <v>黃瓈巧</v>
      </c>
    </row>
    <row r="4683" spans="6:19" hidden="1" x14ac:dyDescent="0.25">
      <c r="F4683" t="s">
        <v>1492</v>
      </c>
      <c r="G4683" t="s">
        <v>413</v>
      </c>
      <c r="H4683" t="str">
        <f>VLOOKUP(record[[#This Row],[ProcessSN]],表格2_7[],2,FALSE)</f>
        <v>30-4118-018-5XX</v>
      </c>
      <c r="I4683" t="str">
        <f>VLOOKUP(record[[#This Row],[ProcessSN]],表格2_7[],3,FALSE)</f>
        <v>#03GIVE</v>
      </c>
      <c r="J4683" t="s">
        <v>587</v>
      </c>
      <c r="K4683" s="195">
        <v>46044.420474537037</v>
      </c>
      <c r="L4683">
        <v>240</v>
      </c>
      <c r="M4683">
        <v>0</v>
      </c>
      <c r="N4683" s="98" t="str">
        <f>IF(record[[#This Row],[Memo]]="Browser:chrome os:android","平板報工",IF(record[[#This Row],[Memo]]=0,"委外",record[[#This Row],[Memo]]))</f>
        <v/>
      </c>
      <c r="O4683" t="s">
        <v>58</v>
      </c>
      <c r="P4683" t="s">
        <v>125</v>
      </c>
      <c r="Q4683" t="s">
        <v>58</v>
      </c>
      <c r="R4683" t="str">
        <f>IFERROR(VLOOKUP(record[[#This Row],[PCUSTID]],廠商[],2,FALSE),"")</f>
        <v/>
      </c>
      <c r="S4683" t="str">
        <f>VLOOKUP(record[[#This Row],[employeeID]],員工[],2,FALSE)</f>
        <v>黃瓈巧</v>
      </c>
    </row>
    <row r="4684" spans="6:19" hidden="1" x14ac:dyDescent="0.25">
      <c r="F4684" t="s">
        <v>1450</v>
      </c>
      <c r="G4684" t="s">
        <v>469</v>
      </c>
      <c r="H4684" t="str">
        <f>VLOOKUP(record[[#This Row],[ProcessSN]],表格2_7[],2,FALSE)</f>
        <v>30-4118-018-XXX</v>
      </c>
      <c r="I4684" t="str">
        <f>VLOOKUP(record[[#This Row],[ProcessSN]],表格2_7[],3,FALSE)</f>
        <v>#02RCV</v>
      </c>
      <c r="J4684" t="s">
        <v>591</v>
      </c>
      <c r="K4684" s="195">
        <v>46044.412824074076</v>
      </c>
      <c r="L4684">
        <v>336</v>
      </c>
      <c r="M4684">
        <v>0</v>
      </c>
      <c r="N4684" s="98" t="str">
        <f>IF(record[[#This Row],[Memo]]="Browser:chrome os:android","平板報工",IF(record[[#This Row],[Memo]]=0,"委外",record[[#This Row],[Memo]]))</f>
        <v/>
      </c>
      <c r="O4684" t="s">
        <v>58</v>
      </c>
      <c r="P4684" t="s">
        <v>125</v>
      </c>
      <c r="Q4684" t="s">
        <v>58</v>
      </c>
      <c r="R4684" t="str">
        <f>IFERROR(VLOOKUP(record[[#This Row],[PCUSTID]],廠商[],2,FALSE),"")</f>
        <v/>
      </c>
      <c r="S4684" t="str">
        <f>VLOOKUP(record[[#This Row],[employeeID]],員工[],2,FALSE)</f>
        <v>黃瓈巧</v>
      </c>
    </row>
    <row r="4685" spans="6:19" hidden="1" x14ac:dyDescent="0.25">
      <c r="F4685" t="s">
        <v>1209</v>
      </c>
      <c r="G4685" t="s">
        <v>469</v>
      </c>
      <c r="H4685" t="str">
        <f>VLOOKUP(record[[#This Row],[ProcessSN]],表格2_7[],2,FALSE)</f>
        <v>30-4118-018-XXX</v>
      </c>
      <c r="I4685" t="str">
        <f>VLOOKUP(record[[#This Row],[ProcessSN]],表格2_7[],3,FALSE)</f>
        <v>#02RCV</v>
      </c>
      <c r="J4685" t="s">
        <v>591</v>
      </c>
      <c r="K4685" s="195">
        <v>46044.412129629629</v>
      </c>
      <c r="L4685">
        <v>3</v>
      </c>
      <c r="M4685">
        <v>0</v>
      </c>
      <c r="N4685" s="98" t="str">
        <f>IF(record[[#This Row],[Memo]]="Browser:chrome os:android","平板報工",IF(record[[#This Row],[Memo]]=0,"委外",record[[#This Row],[Memo]]))</f>
        <v/>
      </c>
      <c r="O4685" t="s">
        <v>58</v>
      </c>
      <c r="P4685" t="s">
        <v>125</v>
      </c>
      <c r="Q4685" t="s">
        <v>58</v>
      </c>
      <c r="R4685" t="str">
        <f>IFERROR(VLOOKUP(record[[#This Row],[PCUSTID]],廠商[],2,FALSE),"")</f>
        <v/>
      </c>
      <c r="S4685" t="str">
        <f>VLOOKUP(record[[#This Row],[employeeID]],員工[],2,FALSE)</f>
        <v>黃瓈巧</v>
      </c>
    </row>
    <row r="4686" spans="6:19" hidden="1" x14ac:dyDescent="0.25">
      <c r="F4686" t="s">
        <v>989</v>
      </c>
      <c r="G4686" t="s">
        <v>469</v>
      </c>
      <c r="H4686" t="str">
        <f>VLOOKUP(record[[#This Row],[ProcessSN]],表格2_7[],2,FALSE)</f>
        <v>30-4118-018-XXX</v>
      </c>
      <c r="I4686" t="str">
        <f>VLOOKUP(record[[#This Row],[ProcessSN]],表格2_7[],3,FALSE)</f>
        <v>#02RCV</v>
      </c>
      <c r="J4686" t="s">
        <v>591</v>
      </c>
      <c r="K4686" s="195">
        <v>46044.410254629627</v>
      </c>
      <c r="L4686">
        <v>1</v>
      </c>
      <c r="M4686">
        <v>0</v>
      </c>
      <c r="N4686" s="98" t="str">
        <f>IF(record[[#This Row],[Memo]]="Browser:chrome os:android","平板報工",IF(record[[#This Row],[Memo]]=0,"委外",record[[#This Row],[Memo]]))</f>
        <v/>
      </c>
      <c r="O4686" t="s">
        <v>58</v>
      </c>
      <c r="P4686" t="s">
        <v>125</v>
      </c>
      <c r="Q4686" t="s">
        <v>58</v>
      </c>
      <c r="R4686" t="str">
        <f>IFERROR(VLOOKUP(record[[#This Row],[PCUSTID]],廠商[],2,FALSE),"")</f>
        <v/>
      </c>
      <c r="S4686" t="str">
        <f>VLOOKUP(record[[#This Row],[employeeID]],員工[],2,FALSE)</f>
        <v>黃瓈巧</v>
      </c>
    </row>
    <row r="4687" spans="6:19" hidden="1" x14ac:dyDescent="0.25">
      <c r="F4687" t="s">
        <v>1450</v>
      </c>
      <c r="G4687" t="s">
        <v>468</v>
      </c>
      <c r="H4687" t="str">
        <f>VLOOKUP(record[[#This Row],[ProcessSN]],表格2_7[],2,FALSE)</f>
        <v>30-4118-018-XXX</v>
      </c>
      <c r="I4687" t="str">
        <f>VLOOKUP(record[[#This Row],[ProcessSN]],表格2_7[],3,FALSE)</f>
        <v>#02</v>
      </c>
      <c r="J4687" t="s">
        <v>590</v>
      </c>
      <c r="K4687" s="195">
        <v>46044.394085648149</v>
      </c>
      <c r="L4687">
        <v>284</v>
      </c>
      <c r="M4687">
        <v>0</v>
      </c>
      <c r="N4687" s="98" t="str">
        <f>IF(record[[#This Row],[Memo]]="Browser:chrome os:android","平板報工",IF(record[[#This Row],[Memo]]=0,"委外",record[[#This Row],[Memo]]))</f>
        <v/>
      </c>
      <c r="O4687" t="s">
        <v>58</v>
      </c>
      <c r="P4687" t="s">
        <v>186</v>
      </c>
      <c r="Q4687" t="s">
        <v>58</v>
      </c>
      <c r="R4687" t="str">
        <f>IFERROR(VLOOKUP(record[[#This Row],[PCUSTID]],廠商[],2,FALSE),"")</f>
        <v/>
      </c>
      <c r="S4687" t="str">
        <f>VLOOKUP(record[[#This Row],[employeeID]],員工[],2,FALSE)</f>
        <v>許文姍</v>
      </c>
    </row>
    <row r="4688" spans="6:19" hidden="1" x14ac:dyDescent="0.25">
      <c r="F4688" t="s">
        <v>1493</v>
      </c>
      <c r="G4688" t="s">
        <v>445</v>
      </c>
      <c r="H4688" t="str">
        <f>VLOOKUP(record[[#This Row],[ProcessSN]],表格2_7[],2,FALSE)</f>
        <v>30-4118-018-6XX</v>
      </c>
      <c r="I4688" t="str">
        <f>VLOOKUP(record[[#This Row],[ProcessSN]],表格2_7[],3,FALSE)</f>
        <v>#03PICK</v>
      </c>
      <c r="J4688" t="s">
        <v>582</v>
      </c>
      <c r="K4688" s="195">
        <v>46044.391944444447</v>
      </c>
      <c r="L4688">
        <v>101</v>
      </c>
      <c r="M4688">
        <v>0</v>
      </c>
      <c r="N4688" s="98" t="str">
        <f>IF(record[[#This Row],[Memo]]="Browser:chrome os:android","平板報工",IF(record[[#This Row],[Memo]]=0,"委外",record[[#This Row],[Memo]]))</f>
        <v/>
      </c>
      <c r="O4688" t="s">
        <v>58</v>
      </c>
      <c r="P4688" t="s">
        <v>125</v>
      </c>
      <c r="Q4688" t="s">
        <v>58</v>
      </c>
      <c r="R4688" t="str">
        <f>IFERROR(VLOOKUP(record[[#This Row],[PCUSTID]],廠商[],2,FALSE),"")</f>
        <v/>
      </c>
      <c r="S4688" t="str">
        <f>VLOOKUP(record[[#This Row],[employeeID]],員工[],2,FALSE)</f>
        <v>黃瓈巧</v>
      </c>
    </row>
    <row r="4689" spans="6:19" hidden="1" x14ac:dyDescent="0.25">
      <c r="F4689" t="s">
        <v>1492</v>
      </c>
      <c r="G4689" t="s">
        <v>412</v>
      </c>
      <c r="H4689" t="str">
        <f>VLOOKUP(record[[#This Row],[ProcessSN]],表格2_7[],2,FALSE)</f>
        <v>30-4118-018-5XX</v>
      </c>
      <c r="I4689" t="str">
        <f>VLOOKUP(record[[#This Row],[ProcessSN]],表格2_7[],3,FALSE)</f>
        <v>#03PICK</v>
      </c>
      <c r="J4689" t="s">
        <v>582</v>
      </c>
      <c r="K4689" s="195">
        <v>46044.391817129632</v>
      </c>
      <c r="L4689">
        <v>240</v>
      </c>
      <c r="M4689">
        <v>0</v>
      </c>
      <c r="N4689" s="98" t="str">
        <f>IF(record[[#This Row],[Memo]]="Browser:chrome os:android","平板報工",IF(record[[#This Row],[Memo]]=0,"委外",record[[#This Row],[Memo]]))</f>
        <v/>
      </c>
      <c r="O4689" t="s">
        <v>58</v>
      </c>
      <c r="P4689" t="s">
        <v>125</v>
      </c>
      <c r="Q4689" t="s">
        <v>58</v>
      </c>
      <c r="R4689" t="str">
        <f>IFERROR(VLOOKUP(record[[#This Row],[PCUSTID]],廠商[],2,FALSE),"")</f>
        <v/>
      </c>
      <c r="S4689" t="str">
        <f>VLOOKUP(record[[#This Row],[employeeID]],員工[],2,FALSE)</f>
        <v>黃瓈巧</v>
      </c>
    </row>
    <row r="4690" spans="6:19" hidden="1" x14ac:dyDescent="0.25">
      <c r="F4690" t="s">
        <v>1450</v>
      </c>
      <c r="G4690" t="s">
        <v>467</v>
      </c>
      <c r="H4690" t="str">
        <f>VLOOKUP(record[[#This Row],[ProcessSN]],表格2_7[],2,FALSE)</f>
        <v>30-4118-018-XXX</v>
      </c>
      <c r="I4690" t="str">
        <f>VLOOKUP(record[[#This Row],[ProcessSN]],表格2_7[],3,FALSE)</f>
        <v>#01QC</v>
      </c>
      <c r="J4690" t="s">
        <v>589</v>
      </c>
      <c r="K4690" s="195">
        <v>46044.372395833336</v>
      </c>
      <c r="L4690">
        <v>284</v>
      </c>
      <c r="M4690">
        <v>0</v>
      </c>
      <c r="N4690" s="98" t="str">
        <f>IF(record[[#This Row],[Memo]]="Browser:chrome os:android","平板報工",IF(record[[#This Row],[Memo]]=0,"委外",record[[#This Row],[Memo]]))</f>
        <v>平板報工</v>
      </c>
      <c r="O4690" t="s">
        <v>643</v>
      </c>
      <c r="P4690" t="s">
        <v>182</v>
      </c>
      <c r="Q4690" t="s">
        <v>644</v>
      </c>
      <c r="R4690" t="str">
        <f>IFERROR(VLOOKUP(record[[#This Row],[PCUSTID]],廠商[],2,FALSE),"")</f>
        <v/>
      </c>
      <c r="S4690" t="str">
        <f>VLOOKUP(record[[#This Row],[employeeID]],員工[],2,FALSE)</f>
        <v>梅氏和</v>
      </c>
    </row>
    <row r="4691" spans="6:19" hidden="1" x14ac:dyDescent="0.25">
      <c r="F4691" t="s">
        <v>1450</v>
      </c>
      <c r="G4691" t="s">
        <v>466</v>
      </c>
      <c r="H4691" t="str">
        <f>VLOOKUP(record[[#This Row],[ProcessSN]],表格2_7[],2,FALSE)</f>
        <v>30-4118-018-XXX</v>
      </c>
      <c r="I4691" t="str">
        <f>VLOOKUP(record[[#This Row],[ProcessSN]],表格2_7[],3,FALSE)</f>
        <v>#01-2</v>
      </c>
      <c r="J4691" t="s">
        <v>588</v>
      </c>
      <c r="K4691" s="195">
        <v>46044.371979166666</v>
      </c>
      <c r="L4691">
        <v>45</v>
      </c>
      <c r="M4691">
        <v>0</v>
      </c>
      <c r="N4691" s="98" t="str">
        <f>IF(record[[#This Row],[Memo]]="Browser:chrome os:android","平板報工",IF(record[[#This Row],[Memo]]=0,"委外",record[[#This Row],[Memo]]))</f>
        <v>平板報工</v>
      </c>
      <c r="O4691" t="s">
        <v>643</v>
      </c>
      <c r="P4691" t="s">
        <v>101</v>
      </c>
      <c r="Q4691" t="s">
        <v>644</v>
      </c>
      <c r="R4691" t="str">
        <f>IFERROR(VLOOKUP(record[[#This Row],[PCUSTID]],廠商[],2,FALSE),"")</f>
        <v/>
      </c>
      <c r="S4691" t="str">
        <f>VLOOKUP(record[[#This Row],[employeeID]],員工[],2,FALSE)</f>
        <v>陳氏絨</v>
      </c>
    </row>
    <row r="4692" spans="6:19" hidden="1" x14ac:dyDescent="0.25">
      <c r="F4692" t="s">
        <v>1450</v>
      </c>
      <c r="G4692" t="s">
        <v>468</v>
      </c>
      <c r="H4692" t="str">
        <f>VLOOKUP(record[[#This Row],[ProcessSN]],表格2_7[],2,FALSE)</f>
        <v>30-4118-018-XXX</v>
      </c>
      <c r="I4692" t="str">
        <f>VLOOKUP(record[[#This Row],[ProcessSN]],表格2_7[],3,FALSE)</f>
        <v>#02</v>
      </c>
      <c r="J4692" t="s">
        <v>590</v>
      </c>
      <c r="K4692" s="195">
        <v>46044.368877314817</v>
      </c>
      <c r="L4692">
        <v>335</v>
      </c>
      <c r="M4692">
        <v>0</v>
      </c>
      <c r="N4692" s="98" t="str">
        <f>IF(record[[#This Row],[Memo]]="Browser:chrome os:android","平板報工",IF(record[[#This Row],[Memo]]=0,"委外",record[[#This Row],[Memo]]))</f>
        <v>委外</v>
      </c>
      <c r="P4692" t="s">
        <v>186</v>
      </c>
      <c r="Q4692" t="s">
        <v>216</v>
      </c>
      <c r="R4692" t="str">
        <f>IFERROR(VLOOKUP(record[[#This Row],[PCUSTID]],廠商[],2,FALSE),"")</f>
        <v>俊杰</v>
      </c>
      <c r="S4692" t="str">
        <f>VLOOKUP(record[[#This Row],[employeeID]],員工[],2,FALSE)</f>
        <v>許文姍</v>
      </c>
    </row>
    <row r="4693" spans="6:19" hidden="1" x14ac:dyDescent="0.25">
      <c r="F4693" t="s">
        <v>1450</v>
      </c>
      <c r="G4693" t="s">
        <v>467</v>
      </c>
      <c r="H4693" t="str">
        <f>VLOOKUP(record[[#This Row],[ProcessSN]],表格2_7[],2,FALSE)</f>
        <v>30-4118-018-XXX</v>
      </c>
      <c r="I4693" t="str">
        <f>VLOOKUP(record[[#This Row],[ProcessSN]],表格2_7[],3,FALSE)</f>
        <v>#01QC</v>
      </c>
      <c r="J4693" t="s">
        <v>589</v>
      </c>
      <c r="K4693" s="195">
        <v>46044.352384259262</v>
      </c>
      <c r="L4693">
        <v>335</v>
      </c>
      <c r="M4693">
        <v>0</v>
      </c>
      <c r="N4693" s="98" t="str">
        <f>IF(record[[#This Row],[Memo]]="Browser:chrome os:android","平板報工",IF(record[[#This Row],[Memo]]=0,"委外",record[[#This Row],[Memo]]))</f>
        <v>平板報工</v>
      </c>
      <c r="O4693" t="s">
        <v>643</v>
      </c>
      <c r="P4693" t="s">
        <v>182</v>
      </c>
      <c r="Q4693" t="s">
        <v>644</v>
      </c>
      <c r="R4693" t="str">
        <f>IFERROR(VLOOKUP(record[[#This Row],[PCUSTID]],廠商[],2,FALSE),"")</f>
        <v/>
      </c>
      <c r="S4693" t="str">
        <f>VLOOKUP(record[[#This Row],[employeeID]],員工[],2,FALSE)</f>
        <v>梅氏和</v>
      </c>
    </row>
    <row r="4694" spans="6:19" hidden="1" x14ac:dyDescent="0.25">
      <c r="F4694" t="s">
        <v>1260</v>
      </c>
      <c r="G4694" t="s">
        <v>428</v>
      </c>
      <c r="H4694" t="str">
        <f>VLOOKUP(record[[#This Row],[ProcessSN]],表格2_7[],2,FALSE)</f>
        <v>30-4118-018-600</v>
      </c>
      <c r="I4694" t="str">
        <f>VLOOKUP(record[[#This Row],[ProcessSN]],表格2_7[],3,FALSE)</f>
        <v>#100SHIP</v>
      </c>
      <c r="J4694" t="s">
        <v>600</v>
      </c>
      <c r="K4694" s="195">
        <v>46044.3437962963</v>
      </c>
      <c r="L4694">
        <v>2</v>
      </c>
      <c r="M4694">
        <v>0</v>
      </c>
      <c r="N4694" s="98" t="str">
        <f>IF(record[[#This Row],[Memo]]="Browser:chrome os:android","平板報工",IF(record[[#This Row],[Memo]]=0,"委外",record[[#This Row],[Memo]]))</f>
        <v/>
      </c>
      <c r="O4694" t="s">
        <v>58</v>
      </c>
      <c r="P4694" t="s">
        <v>886</v>
      </c>
      <c r="Q4694" t="s">
        <v>58</v>
      </c>
      <c r="R4694" t="str">
        <f>IFERROR(VLOOKUP(record[[#This Row],[PCUSTID]],廠商[],2,FALSE),"")</f>
        <v/>
      </c>
      <c r="S4694" t="str">
        <f>VLOOKUP(record[[#This Row],[employeeID]],員工[],2,FALSE)</f>
        <v>謝蓁薰</v>
      </c>
    </row>
    <row r="4695" spans="6:19" hidden="1" x14ac:dyDescent="0.25">
      <c r="F4695" t="s">
        <v>1478</v>
      </c>
      <c r="G4695" t="s">
        <v>428</v>
      </c>
      <c r="H4695" t="str">
        <f>VLOOKUP(record[[#This Row],[ProcessSN]],表格2_7[],2,FALSE)</f>
        <v>30-4118-018-600</v>
      </c>
      <c r="I4695" t="str">
        <f>VLOOKUP(record[[#This Row],[ProcessSN]],表格2_7[],3,FALSE)</f>
        <v>#100SHIP</v>
      </c>
      <c r="J4695" t="s">
        <v>600</v>
      </c>
      <c r="K4695" s="195">
        <v>46044.343599537038</v>
      </c>
      <c r="L4695">
        <v>49</v>
      </c>
      <c r="M4695">
        <v>0</v>
      </c>
      <c r="N4695" s="98" t="str">
        <f>IF(record[[#This Row],[Memo]]="Browser:chrome os:android","平板報工",IF(record[[#This Row],[Memo]]=0,"委外",record[[#This Row],[Memo]]))</f>
        <v/>
      </c>
      <c r="O4695" t="s">
        <v>58</v>
      </c>
      <c r="P4695" t="s">
        <v>886</v>
      </c>
      <c r="Q4695" t="s">
        <v>58</v>
      </c>
      <c r="R4695" t="str">
        <f>IFERROR(VLOOKUP(record[[#This Row],[PCUSTID]],廠商[],2,FALSE),"")</f>
        <v/>
      </c>
      <c r="S4695" t="str">
        <f>VLOOKUP(record[[#This Row],[employeeID]],員工[],2,FALSE)</f>
        <v>謝蓁薰</v>
      </c>
    </row>
    <row r="4696" spans="6:19" hidden="1" x14ac:dyDescent="0.25">
      <c r="F4696" t="s">
        <v>1407</v>
      </c>
      <c r="G4696" t="s">
        <v>362</v>
      </c>
      <c r="H4696" t="str">
        <f>VLOOKUP(record[[#This Row],[ProcessSN]],表格2_7[],2,FALSE)</f>
        <v>30-4118-018-450</v>
      </c>
      <c r="I4696" t="str">
        <f>VLOOKUP(record[[#This Row],[ProcessSN]],表格2_7[],3,FALSE)</f>
        <v>#100SHIP</v>
      </c>
      <c r="J4696" t="s">
        <v>600</v>
      </c>
      <c r="K4696" s="195">
        <v>46044.3434375</v>
      </c>
      <c r="L4696">
        <v>59</v>
      </c>
      <c r="M4696">
        <v>0</v>
      </c>
      <c r="N4696" s="98" t="str">
        <f>IF(record[[#This Row],[Memo]]="Browser:chrome os:android","平板報工",IF(record[[#This Row],[Memo]]=0,"委外",record[[#This Row],[Memo]]))</f>
        <v/>
      </c>
      <c r="O4696" t="s">
        <v>58</v>
      </c>
      <c r="P4696" t="s">
        <v>886</v>
      </c>
      <c r="Q4696" t="s">
        <v>58</v>
      </c>
      <c r="R4696" t="str">
        <f>IFERROR(VLOOKUP(record[[#This Row],[PCUSTID]],廠商[],2,FALSE),"")</f>
        <v/>
      </c>
      <c r="S4696" t="str">
        <f>VLOOKUP(record[[#This Row],[employeeID]],員工[],2,FALSE)</f>
        <v>謝蓁薰</v>
      </c>
    </row>
    <row r="4697" spans="6:19" hidden="1" x14ac:dyDescent="0.25">
      <c r="F4697" t="s">
        <v>956</v>
      </c>
      <c r="G4697" t="s">
        <v>362</v>
      </c>
      <c r="H4697" t="str">
        <f>VLOOKUP(record[[#This Row],[ProcessSN]],表格2_7[],2,FALSE)</f>
        <v>30-4118-018-450</v>
      </c>
      <c r="I4697" t="str">
        <f>VLOOKUP(record[[#This Row],[ProcessSN]],表格2_7[],3,FALSE)</f>
        <v>#100SHIP</v>
      </c>
      <c r="J4697" t="s">
        <v>600</v>
      </c>
      <c r="K4697" s="195">
        <v>46044.343217592592</v>
      </c>
      <c r="L4697">
        <v>1</v>
      </c>
      <c r="M4697">
        <v>0</v>
      </c>
      <c r="N4697" s="98" t="str">
        <f>IF(record[[#This Row],[Memo]]="Browser:chrome os:android","平板報工",IF(record[[#This Row],[Memo]]=0,"委外",record[[#This Row],[Memo]]))</f>
        <v/>
      </c>
      <c r="O4697" t="s">
        <v>58</v>
      </c>
      <c r="P4697" t="s">
        <v>886</v>
      </c>
      <c r="Q4697" t="s">
        <v>58</v>
      </c>
      <c r="R4697" t="str">
        <f>IFERROR(VLOOKUP(record[[#This Row],[PCUSTID]],廠商[],2,FALSE),"")</f>
        <v/>
      </c>
      <c r="S4697" t="str">
        <f>VLOOKUP(record[[#This Row],[employeeID]],員工[],2,FALSE)</f>
        <v>謝蓁薰</v>
      </c>
    </row>
    <row r="4698" spans="6:19" hidden="1" x14ac:dyDescent="0.25">
      <c r="F4698" t="s">
        <v>1417</v>
      </c>
      <c r="G4698" t="s">
        <v>451</v>
      </c>
      <c r="H4698" t="str">
        <f>VLOOKUP(record[[#This Row],[ProcessSN]],表格2_7[],2,FALSE)</f>
        <v>30-4118-018-6XX</v>
      </c>
      <c r="I4698" t="str">
        <f>VLOOKUP(record[[#This Row],[ProcessSN]],表格2_7[],3,FALSE)</f>
        <v>#07</v>
      </c>
      <c r="J4698" t="s">
        <v>588</v>
      </c>
      <c r="K4698" s="195">
        <v>46044.309687499997</v>
      </c>
      <c r="L4698">
        <v>154</v>
      </c>
      <c r="M4698">
        <v>13</v>
      </c>
      <c r="N4698" s="98" t="str">
        <f>IF(record[[#This Row],[Memo]]="Browser:chrome os:android","平板報工",IF(record[[#This Row],[Memo]]=0,"委外",record[[#This Row],[Memo]]))</f>
        <v/>
      </c>
      <c r="O4698" t="s">
        <v>58</v>
      </c>
      <c r="P4698" t="s">
        <v>843</v>
      </c>
      <c r="Q4698" t="s">
        <v>58</v>
      </c>
      <c r="R4698" t="str">
        <f>IFERROR(VLOOKUP(record[[#This Row],[PCUSTID]],廠商[],2,FALSE),"")</f>
        <v/>
      </c>
      <c r="S4698" t="str">
        <f>VLOOKUP(record[[#This Row],[employeeID]],員工[],2,FALSE)</f>
        <v>張楚承</v>
      </c>
    </row>
    <row r="4699" spans="6:19" hidden="1" x14ac:dyDescent="0.25">
      <c r="F4699" t="s">
        <v>1417</v>
      </c>
      <c r="G4699" t="s">
        <v>450</v>
      </c>
      <c r="H4699" t="str">
        <f>VLOOKUP(record[[#This Row],[ProcessSN]],表格2_7[],2,FALSE)</f>
        <v>30-4118-018-6XX</v>
      </c>
      <c r="I4699" t="str">
        <f>VLOOKUP(record[[#This Row],[ProcessSN]],表格2_7[],3,FALSE)</f>
        <v>#06</v>
      </c>
      <c r="J4699" t="s">
        <v>593</v>
      </c>
      <c r="K4699" s="195">
        <v>46044.308912037035</v>
      </c>
      <c r="L4699">
        <v>133</v>
      </c>
      <c r="M4699">
        <v>0</v>
      </c>
      <c r="N4699" s="98" t="str">
        <f>IF(record[[#This Row],[Memo]]="Browser:chrome os:android","平板報工",IF(record[[#This Row],[Memo]]=0,"委外",record[[#This Row],[Memo]]))</f>
        <v/>
      </c>
      <c r="O4699" t="s">
        <v>58</v>
      </c>
      <c r="P4699" t="s">
        <v>180</v>
      </c>
      <c r="Q4699" t="s">
        <v>58</v>
      </c>
      <c r="R4699" t="str">
        <f>IFERROR(VLOOKUP(record[[#This Row],[PCUSTID]],廠商[],2,FALSE),"")</f>
        <v/>
      </c>
      <c r="S4699" t="str">
        <f>VLOOKUP(record[[#This Row],[employeeID]],員工[],2,FALSE)</f>
        <v>黎功江</v>
      </c>
    </row>
    <row r="4700" spans="6:19" hidden="1" x14ac:dyDescent="0.25">
      <c r="F4700" t="s">
        <v>1472</v>
      </c>
      <c r="G4700" t="s">
        <v>418</v>
      </c>
      <c r="H4700" t="str">
        <f>VLOOKUP(record[[#This Row],[ProcessSN]],表格2_7[],2,FALSE)</f>
        <v>30-4118-018-5XX</v>
      </c>
      <c r="I4700" t="str">
        <f>VLOOKUP(record[[#This Row],[ProcessSN]],表格2_7[],3,FALSE)</f>
        <v>#07</v>
      </c>
      <c r="J4700" t="s">
        <v>588</v>
      </c>
      <c r="K4700" s="195">
        <v>46044.308634259258</v>
      </c>
      <c r="L4700">
        <v>57</v>
      </c>
      <c r="M4700">
        <v>0</v>
      </c>
      <c r="N4700" s="98" t="str">
        <f>IF(record[[#This Row],[Memo]]="Browser:chrome os:android","平板報工",IF(record[[#This Row],[Memo]]=0,"委外",record[[#This Row],[Memo]]))</f>
        <v/>
      </c>
      <c r="O4700" t="s">
        <v>58</v>
      </c>
      <c r="P4700" t="s">
        <v>843</v>
      </c>
      <c r="Q4700" t="s">
        <v>58</v>
      </c>
      <c r="R4700" t="str">
        <f>IFERROR(VLOOKUP(record[[#This Row],[PCUSTID]],廠商[],2,FALSE),"")</f>
        <v/>
      </c>
      <c r="S4700" t="str">
        <f>VLOOKUP(record[[#This Row],[employeeID]],員工[],2,FALSE)</f>
        <v>張楚承</v>
      </c>
    </row>
    <row r="4701" spans="6:19" hidden="1" x14ac:dyDescent="0.25">
      <c r="F4701" t="s">
        <v>1474</v>
      </c>
      <c r="G4701" t="s">
        <v>449</v>
      </c>
      <c r="H4701" t="str">
        <f>VLOOKUP(record[[#This Row],[ProcessSN]],表格2_7[],2,FALSE)</f>
        <v>30-4118-018-6XX</v>
      </c>
      <c r="I4701" t="str">
        <f>VLOOKUP(record[[#This Row],[ProcessSN]],表格2_7[],3,FALSE)</f>
        <v>#05</v>
      </c>
      <c r="J4701" t="s">
        <v>588</v>
      </c>
      <c r="K4701" s="195">
        <v>46044.308171296296</v>
      </c>
      <c r="L4701">
        <v>120</v>
      </c>
      <c r="M4701">
        <v>0</v>
      </c>
      <c r="N4701" s="98" t="str">
        <f>IF(record[[#This Row],[Memo]]="Browser:chrome os:android","平板報工",IF(record[[#This Row],[Memo]]=0,"委外",record[[#This Row],[Memo]]))</f>
        <v/>
      </c>
      <c r="O4701" t="s">
        <v>58</v>
      </c>
      <c r="P4701" t="s">
        <v>843</v>
      </c>
      <c r="Q4701" t="s">
        <v>58</v>
      </c>
      <c r="R4701" t="str">
        <f>IFERROR(VLOOKUP(record[[#This Row],[PCUSTID]],廠商[],2,FALSE),"")</f>
        <v/>
      </c>
      <c r="S4701" t="str">
        <f>VLOOKUP(record[[#This Row],[employeeID]],員工[],2,FALSE)</f>
        <v>張楚承</v>
      </c>
    </row>
    <row r="4702" spans="6:19" hidden="1" x14ac:dyDescent="0.25">
      <c r="F4702" t="s">
        <v>1417</v>
      </c>
      <c r="G4702" t="s">
        <v>449</v>
      </c>
      <c r="H4702" t="str">
        <f>VLOOKUP(record[[#This Row],[ProcessSN]],表格2_7[],2,FALSE)</f>
        <v>30-4118-018-6XX</v>
      </c>
      <c r="I4702" t="str">
        <f>VLOOKUP(record[[#This Row],[ProcessSN]],表格2_7[],3,FALSE)</f>
        <v>#05</v>
      </c>
      <c r="J4702" t="s">
        <v>588</v>
      </c>
      <c r="K4702" s="195">
        <v>46044.307881944442</v>
      </c>
      <c r="L4702">
        <v>93</v>
      </c>
      <c r="M4702">
        <v>0</v>
      </c>
      <c r="N4702" s="98" t="str">
        <f>IF(record[[#This Row],[Memo]]="Browser:chrome os:android","平板報工",IF(record[[#This Row],[Memo]]=0,"委外",record[[#This Row],[Memo]]))</f>
        <v/>
      </c>
      <c r="O4702" t="s">
        <v>58</v>
      </c>
      <c r="P4702" t="s">
        <v>843</v>
      </c>
      <c r="Q4702" t="s">
        <v>58</v>
      </c>
      <c r="R4702" t="str">
        <f>IFERROR(VLOOKUP(record[[#This Row],[PCUSTID]],廠商[],2,FALSE),"")</f>
        <v/>
      </c>
      <c r="S4702" t="str">
        <f>VLOOKUP(record[[#This Row],[employeeID]],員工[],2,FALSE)</f>
        <v>張楚承</v>
      </c>
    </row>
    <row r="4703" spans="6:19" hidden="1" x14ac:dyDescent="0.25">
      <c r="F4703" t="s">
        <v>1416</v>
      </c>
      <c r="G4703" t="s">
        <v>415</v>
      </c>
      <c r="H4703" t="str">
        <f>VLOOKUP(record[[#This Row],[ProcessSN]],表格2_7[],2,FALSE)</f>
        <v>30-4118-018-5XX</v>
      </c>
      <c r="I4703" t="str">
        <f>VLOOKUP(record[[#This Row],[ProcessSN]],表格2_7[],3,FALSE)</f>
        <v>#04</v>
      </c>
      <c r="J4703" t="s">
        <v>588</v>
      </c>
      <c r="K4703" s="195">
        <v>46044.306030092594</v>
      </c>
      <c r="L4703">
        <v>44</v>
      </c>
      <c r="M4703">
        <v>0</v>
      </c>
      <c r="N4703" s="98" t="str">
        <f>IF(record[[#This Row],[Memo]]="Browser:chrome os:android","平板報工",IF(record[[#This Row],[Memo]]=0,"委外",record[[#This Row],[Memo]]))</f>
        <v/>
      </c>
      <c r="O4703" t="s">
        <v>58</v>
      </c>
      <c r="P4703" t="s">
        <v>135</v>
      </c>
      <c r="Q4703" t="s">
        <v>58</v>
      </c>
      <c r="R4703" t="str">
        <f>IFERROR(VLOOKUP(record[[#This Row],[PCUSTID]],廠商[],2,FALSE),"")</f>
        <v/>
      </c>
      <c r="S4703" t="str">
        <f>VLOOKUP(record[[#This Row],[employeeID]],員工[],2,FALSE)</f>
        <v>阮士文</v>
      </c>
    </row>
    <row r="4704" spans="6:19" hidden="1" x14ac:dyDescent="0.25">
      <c r="F4704" t="s">
        <v>1472</v>
      </c>
      <c r="G4704" t="s">
        <v>415</v>
      </c>
      <c r="H4704" t="str">
        <f>VLOOKUP(record[[#This Row],[ProcessSN]],表格2_7[],2,FALSE)</f>
        <v>30-4118-018-5XX</v>
      </c>
      <c r="I4704" t="str">
        <f>VLOOKUP(record[[#This Row],[ProcessSN]],表格2_7[],3,FALSE)</f>
        <v>#04</v>
      </c>
      <c r="J4704" t="s">
        <v>588</v>
      </c>
      <c r="K4704" s="195">
        <v>46044.305868055555</v>
      </c>
      <c r="L4704">
        <v>82</v>
      </c>
      <c r="M4704">
        <v>0</v>
      </c>
      <c r="N4704" s="98" t="str">
        <f>IF(record[[#This Row],[Memo]]="Browser:chrome os:android","平板報工",IF(record[[#This Row],[Memo]]=0,"委外",record[[#This Row],[Memo]]))</f>
        <v/>
      </c>
      <c r="O4704" t="s">
        <v>58</v>
      </c>
      <c r="P4704" t="s">
        <v>135</v>
      </c>
      <c r="Q4704" t="s">
        <v>58</v>
      </c>
      <c r="R4704" t="str">
        <f>IFERROR(VLOOKUP(record[[#This Row],[PCUSTID]],廠商[],2,FALSE),"")</f>
        <v/>
      </c>
      <c r="S4704" t="str">
        <f>VLOOKUP(record[[#This Row],[employeeID]],員工[],2,FALSE)</f>
        <v>阮士文</v>
      </c>
    </row>
    <row r="4705" spans="6:19" hidden="1" x14ac:dyDescent="0.25">
      <c r="F4705" t="s">
        <v>1474</v>
      </c>
      <c r="G4705" t="s">
        <v>448</v>
      </c>
      <c r="H4705" t="str">
        <f>VLOOKUP(record[[#This Row],[ProcessSN]],表格2_7[],2,FALSE)</f>
        <v>30-4118-018-6XX</v>
      </c>
      <c r="I4705" t="str">
        <f>VLOOKUP(record[[#This Row],[ProcessSN]],表格2_7[],3,FALSE)</f>
        <v>#04</v>
      </c>
      <c r="J4705" t="s">
        <v>588</v>
      </c>
      <c r="K4705" s="195">
        <v>46044.305555555555</v>
      </c>
      <c r="L4705">
        <v>129</v>
      </c>
      <c r="M4705">
        <v>0</v>
      </c>
      <c r="N4705" s="98" t="str">
        <f>IF(record[[#This Row],[Memo]]="Browser:chrome os:android","平板報工",IF(record[[#This Row],[Memo]]=0,"委外",record[[#This Row],[Memo]]))</f>
        <v/>
      </c>
      <c r="O4705" t="s">
        <v>58</v>
      </c>
      <c r="P4705" t="s">
        <v>135</v>
      </c>
      <c r="Q4705" t="s">
        <v>58</v>
      </c>
      <c r="R4705" t="str">
        <f>IFERROR(VLOOKUP(record[[#This Row],[PCUSTID]],廠商[],2,FALSE),"")</f>
        <v/>
      </c>
      <c r="S4705" t="str">
        <f>VLOOKUP(record[[#This Row],[employeeID]],員工[],2,FALSE)</f>
        <v>阮士文</v>
      </c>
    </row>
    <row r="4706" spans="6:19" hidden="1" x14ac:dyDescent="0.25">
      <c r="F4706" t="s">
        <v>1450</v>
      </c>
      <c r="G4706" t="s">
        <v>466</v>
      </c>
      <c r="H4706" t="str">
        <f>VLOOKUP(record[[#This Row],[ProcessSN]],表格2_7[],2,FALSE)</f>
        <v>30-4118-018-XXX</v>
      </c>
      <c r="I4706" t="str">
        <f>VLOOKUP(record[[#This Row],[ProcessSN]],表格2_7[],3,FALSE)</f>
        <v>#01-2</v>
      </c>
      <c r="J4706" t="s">
        <v>588</v>
      </c>
      <c r="K4706" s="195">
        <v>46043.972777777781</v>
      </c>
      <c r="L4706">
        <v>540</v>
      </c>
      <c r="M4706">
        <v>0</v>
      </c>
      <c r="N4706" s="98" t="str">
        <f>IF(record[[#This Row],[Memo]]="Browser:chrome os:android","平板報工",IF(record[[#This Row],[Memo]]=0,"委外",record[[#This Row],[Memo]]))</f>
        <v/>
      </c>
      <c r="O4706" t="s">
        <v>58</v>
      </c>
      <c r="P4706" t="s">
        <v>1098</v>
      </c>
      <c r="Q4706" t="s">
        <v>58</v>
      </c>
      <c r="R4706" t="str">
        <f>IFERROR(VLOOKUP(record[[#This Row],[PCUSTID]],廠商[],2,FALSE),"")</f>
        <v/>
      </c>
      <c r="S4706" t="str">
        <f>VLOOKUP(record[[#This Row],[employeeID]],員工[],2,FALSE)</f>
        <v>阮氏芳英(英)</v>
      </c>
    </row>
    <row r="4707" spans="6:19" hidden="1" x14ac:dyDescent="0.25">
      <c r="F4707" t="s">
        <v>1450</v>
      </c>
      <c r="G4707" t="s">
        <v>465</v>
      </c>
      <c r="H4707" t="str">
        <f>VLOOKUP(record[[#This Row],[ProcessSN]],表格2_7[],2,FALSE)</f>
        <v>30-4118-018-XXX</v>
      </c>
      <c r="I4707" t="str">
        <f>VLOOKUP(record[[#This Row],[ProcessSN]],表格2_7[],3,FALSE)</f>
        <v>#01-1</v>
      </c>
      <c r="J4707" t="s">
        <v>588</v>
      </c>
      <c r="K4707" s="195">
        <v>46043.972500000003</v>
      </c>
      <c r="L4707">
        <v>540</v>
      </c>
      <c r="M4707">
        <v>0</v>
      </c>
      <c r="N4707" s="98" t="str">
        <f>IF(record[[#This Row],[Memo]]="Browser:chrome os:android","平板報工",IF(record[[#This Row],[Memo]]=0,"委外",record[[#This Row],[Memo]]))</f>
        <v/>
      </c>
      <c r="O4707" t="s">
        <v>58</v>
      </c>
      <c r="P4707" t="s">
        <v>1098</v>
      </c>
      <c r="Q4707" t="s">
        <v>58</v>
      </c>
      <c r="R4707" t="str">
        <f>IFERROR(VLOOKUP(record[[#This Row],[PCUSTID]],廠商[],2,FALSE),"")</f>
        <v/>
      </c>
      <c r="S4707" t="str">
        <f>VLOOKUP(record[[#This Row],[employeeID]],員工[],2,FALSE)</f>
        <v>阮氏芳英(英)</v>
      </c>
    </row>
    <row r="4708" spans="6:19" hidden="1" x14ac:dyDescent="0.25">
      <c r="F4708" t="s">
        <v>1472</v>
      </c>
      <c r="G4708" t="s">
        <v>415</v>
      </c>
      <c r="H4708" t="str">
        <f>VLOOKUP(record[[#This Row],[ProcessSN]],表格2_7[],2,FALSE)</f>
        <v>30-4118-018-5XX</v>
      </c>
      <c r="I4708" t="str">
        <f>VLOOKUP(record[[#This Row],[ProcessSN]],表格2_7[],3,FALSE)</f>
        <v>#04</v>
      </c>
      <c r="J4708" t="s">
        <v>588</v>
      </c>
      <c r="K4708" s="195">
        <v>46043.971875000003</v>
      </c>
      <c r="L4708">
        <v>125</v>
      </c>
      <c r="M4708">
        <v>0</v>
      </c>
      <c r="N4708" s="98" t="str">
        <f>IF(record[[#This Row],[Memo]]="Browser:chrome os:android","平板報工",IF(record[[#This Row],[Memo]]=0,"委外",record[[#This Row],[Memo]]))</f>
        <v/>
      </c>
      <c r="O4708" t="s">
        <v>58</v>
      </c>
      <c r="P4708" t="s">
        <v>133</v>
      </c>
      <c r="Q4708" t="s">
        <v>58</v>
      </c>
      <c r="R4708" t="str">
        <f>IFERROR(VLOOKUP(record[[#This Row],[PCUSTID]],廠商[],2,FALSE),"")</f>
        <v/>
      </c>
      <c r="S4708" t="str">
        <f>VLOOKUP(record[[#This Row],[employeeID]],員工[],2,FALSE)</f>
        <v>黎長維</v>
      </c>
    </row>
    <row r="4709" spans="6:19" hidden="1" x14ac:dyDescent="0.25">
      <c r="F4709" t="s">
        <v>1474</v>
      </c>
      <c r="G4709" t="s">
        <v>448</v>
      </c>
      <c r="H4709" t="str">
        <f>VLOOKUP(record[[#This Row],[ProcessSN]],表格2_7[],2,FALSE)</f>
        <v>30-4118-018-6XX</v>
      </c>
      <c r="I4709" t="str">
        <f>VLOOKUP(record[[#This Row],[ProcessSN]],表格2_7[],3,FALSE)</f>
        <v>#04</v>
      </c>
      <c r="J4709" t="s">
        <v>588</v>
      </c>
      <c r="K4709" s="195">
        <v>46043.971168981479</v>
      </c>
      <c r="L4709">
        <v>129</v>
      </c>
      <c r="M4709">
        <v>0</v>
      </c>
      <c r="N4709" s="98" t="str">
        <f>IF(record[[#This Row],[Memo]]="Browser:chrome os:android","平板報工",IF(record[[#This Row],[Memo]]=0,"委外",record[[#This Row],[Memo]]))</f>
        <v/>
      </c>
      <c r="O4709" t="s">
        <v>58</v>
      </c>
      <c r="P4709" t="s">
        <v>133</v>
      </c>
      <c r="Q4709" t="s">
        <v>58</v>
      </c>
      <c r="R4709" t="str">
        <f>IFERROR(VLOOKUP(record[[#This Row],[PCUSTID]],廠商[],2,FALSE),"")</f>
        <v/>
      </c>
      <c r="S4709" t="str">
        <f>VLOOKUP(record[[#This Row],[employeeID]],員工[],2,FALSE)</f>
        <v>黎長維</v>
      </c>
    </row>
    <row r="4710" spans="6:19" hidden="1" x14ac:dyDescent="0.25">
      <c r="F4710" t="s">
        <v>1417</v>
      </c>
      <c r="G4710" t="s">
        <v>450</v>
      </c>
      <c r="H4710" t="str">
        <f>VLOOKUP(record[[#This Row],[ProcessSN]],表格2_7[],2,FALSE)</f>
        <v>30-4118-018-6XX</v>
      </c>
      <c r="I4710" t="str">
        <f>VLOOKUP(record[[#This Row],[ProcessSN]],表格2_7[],3,FALSE)</f>
        <v>#06</v>
      </c>
      <c r="J4710" t="s">
        <v>593</v>
      </c>
      <c r="K4710" s="195">
        <v>46043.968611111108</v>
      </c>
      <c r="L4710">
        <v>66</v>
      </c>
      <c r="M4710">
        <v>0</v>
      </c>
      <c r="N4710" s="98" t="str">
        <f>IF(record[[#This Row],[Memo]]="Browser:chrome os:android","平板報工",IF(record[[#This Row],[Memo]]=0,"委外",record[[#This Row],[Memo]]))</f>
        <v/>
      </c>
      <c r="O4710" t="s">
        <v>58</v>
      </c>
      <c r="P4710" t="s">
        <v>806</v>
      </c>
      <c r="Q4710" t="s">
        <v>58</v>
      </c>
      <c r="R4710" t="str">
        <f>IFERROR(VLOOKUP(record[[#This Row],[PCUSTID]],廠商[],2,FALSE),"")</f>
        <v/>
      </c>
      <c r="S4710" t="str">
        <f>VLOOKUP(record[[#This Row],[employeeID]],員工[],2,FALSE)</f>
        <v>方思緯</v>
      </c>
    </row>
    <row r="4711" spans="6:19" hidden="1" x14ac:dyDescent="0.25">
      <c r="F4711" t="s">
        <v>1417</v>
      </c>
      <c r="G4711" t="s">
        <v>449</v>
      </c>
      <c r="H4711" t="str">
        <f>VLOOKUP(record[[#This Row],[ProcessSN]],表格2_7[],2,FALSE)</f>
        <v>30-4118-018-6XX</v>
      </c>
      <c r="I4711" t="str">
        <f>VLOOKUP(record[[#This Row],[ProcessSN]],表格2_7[],3,FALSE)</f>
        <v>#05</v>
      </c>
      <c r="J4711" t="s">
        <v>588</v>
      </c>
      <c r="K4711" s="195">
        <v>46043.967592592591</v>
      </c>
      <c r="L4711">
        <v>276</v>
      </c>
      <c r="M4711">
        <v>3</v>
      </c>
      <c r="N4711" s="98" t="str">
        <f>IF(record[[#This Row],[Memo]]="Browser:chrome os:android","平板報工",IF(record[[#This Row],[Memo]]=0,"委外",record[[#This Row],[Memo]]))</f>
        <v/>
      </c>
      <c r="O4711" t="s">
        <v>58</v>
      </c>
      <c r="P4711" t="s">
        <v>89</v>
      </c>
      <c r="Q4711" t="s">
        <v>58</v>
      </c>
      <c r="R4711" t="str">
        <f>IFERROR(VLOOKUP(record[[#This Row],[PCUSTID]],廠商[],2,FALSE),"")</f>
        <v/>
      </c>
      <c r="S4711" t="str">
        <f>VLOOKUP(record[[#This Row],[employeeID]],員工[],2,FALSE)</f>
        <v>李美蓮</v>
      </c>
    </row>
    <row r="4712" spans="6:19" hidden="1" x14ac:dyDescent="0.25">
      <c r="F4712" t="s">
        <v>1417</v>
      </c>
      <c r="G4712" t="s">
        <v>450</v>
      </c>
      <c r="H4712" t="str">
        <f>VLOOKUP(record[[#This Row],[ProcessSN]],表格2_7[],2,FALSE)</f>
        <v>30-4118-018-6XX</v>
      </c>
      <c r="I4712" t="str">
        <f>VLOOKUP(record[[#This Row],[ProcessSN]],表格2_7[],3,FALSE)</f>
        <v>#06</v>
      </c>
      <c r="J4712" t="s">
        <v>593</v>
      </c>
      <c r="K4712" s="195">
        <v>46043.779826388891</v>
      </c>
      <c r="L4712">
        <v>43</v>
      </c>
      <c r="M4712">
        <v>0</v>
      </c>
      <c r="N4712" s="98" t="str">
        <f>IF(record[[#This Row],[Memo]]="Browser:chrome os:android","平板報工",IF(record[[#This Row],[Memo]]=0,"委外",record[[#This Row],[Memo]]))</f>
        <v/>
      </c>
      <c r="O4712" t="s">
        <v>58</v>
      </c>
      <c r="P4712" t="s">
        <v>1413</v>
      </c>
      <c r="Q4712" t="s">
        <v>58</v>
      </c>
      <c r="R4712" t="str">
        <f>IFERROR(VLOOKUP(record[[#This Row],[PCUSTID]],廠商[],2,FALSE),"")</f>
        <v/>
      </c>
      <c r="S4712" t="str">
        <f>VLOOKUP(record[[#This Row],[employeeID]],員工[],2,FALSE)</f>
        <v>阮氏芳英(芳)</v>
      </c>
    </row>
    <row r="4713" spans="6:19" hidden="1" x14ac:dyDescent="0.25">
      <c r="F4713" t="s">
        <v>1472</v>
      </c>
      <c r="G4713" t="s">
        <v>417</v>
      </c>
      <c r="H4713" t="str">
        <f>VLOOKUP(record[[#This Row],[ProcessSN]],表格2_7[],2,FALSE)</f>
        <v>30-4118-018-5XX</v>
      </c>
      <c r="I4713" t="str">
        <f>VLOOKUP(record[[#This Row],[ProcessSN]],表格2_7[],3,FALSE)</f>
        <v>#06</v>
      </c>
      <c r="J4713" t="s">
        <v>593</v>
      </c>
      <c r="K4713" s="195">
        <v>46043.77952546296</v>
      </c>
      <c r="L4713">
        <v>24</v>
      </c>
      <c r="M4713">
        <v>0</v>
      </c>
      <c r="N4713" s="98" t="str">
        <f>IF(record[[#This Row],[Memo]]="Browser:chrome os:android","平板報工",IF(record[[#This Row],[Memo]]=0,"委外",record[[#This Row],[Memo]]))</f>
        <v/>
      </c>
      <c r="O4713" t="s">
        <v>58</v>
      </c>
      <c r="P4713" t="s">
        <v>1413</v>
      </c>
      <c r="Q4713" t="s">
        <v>58</v>
      </c>
      <c r="R4713" t="str">
        <f>IFERROR(VLOOKUP(record[[#This Row],[PCUSTID]],廠商[],2,FALSE),"")</f>
        <v/>
      </c>
      <c r="S4713" t="str">
        <f>VLOOKUP(record[[#This Row],[employeeID]],員工[],2,FALSE)</f>
        <v>阮氏芳英(芳)</v>
      </c>
    </row>
    <row r="4714" spans="6:19" hidden="1" x14ac:dyDescent="0.25">
      <c r="F4714" t="s">
        <v>1260</v>
      </c>
      <c r="G4714" t="s">
        <v>427</v>
      </c>
      <c r="H4714" t="str">
        <f>VLOOKUP(record[[#This Row],[ProcessSN]],表格2_7[],2,FALSE)</f>
        <v>30-4118-018-600</v>
      </c>
      <c r="I4714" t="str">
        <f>VLOOKUP(record[[#This Row],[ProcessSN]],表格2_7[],3,FALSE)</f>
        <v>#100STOCK</v>
      </c>
      <c r="J4714" t="s">
        <v>592</v>
      </c>
      <c r="K4714" s="195">
        <v>46043.741365740738</v>
      </c>
      <c r="L4714">
        <v>3</v>
      </c>
      <c r="M4714">
        <v>0</v>
      </c>
      <c r="N4714" s="98" t="str">
        <f>IF(record[[#This Row],[Memo]]="Browser:chrome os:android","平板報工",IF(record[[#This Row],[Memo]]=0,"委外",record[[#This Row],[Memo]]))</f>
        <v/>
      </c>
      <c r="O4714" t="s">
        <v>58</v>
      </c>
      <c r="P4714" t="s">
        <v>886</v>
      </c>
      <c r="Q4714" t="s">
        <v>58</v>
      </c>
      <c r="R4714" t="str">
        <f>IFERROR(VLOOKUP(record[[#This Row],[PCUSTID]],廠商[],2,FALSE),"")</f>
        <v/>
      </c>
      <c r="S4714" t="str">
        <f>VLOOKUP(record[[#This Row],[employeeID]],員工[],2,FALSE)</f>
        <v>謝蓁薰</v>
      </c>
    </row>
    <row r="4715" spans="6:19" hidden="1" x14ac:dyDescent="0.25">
      <c r="F4715" t="s">
        <v>1478</v>
      </c>
      <c r="G4715" t="s">
        <v>427</v>
      </c>
      <c r="H4715" t="str">
        <f>VLOOKUP(record[[#This Row],[ProcessSN]],表格2_7[],2,FALSE)</f>
        <v>30-4118-018-600</v>
      </c>
      <c r="I4715" t="str">
        <f>VLOOKUP(record[[#This Row],[ProcessSN]],表格2_7[],3,FALSE)</f>
        <v>#100STOCK</v>
      </c>
      <c r="J4715" t="s">
        <v>592</v>
      </c>
      <c r="K4715" s="195">
        <v>46043.741180555553</v>
      </c>
      <c r="L4715">
        <v>49</v>
      </c>
      <c r="M4715">
        <v>0</v>
      </c>
      <c r="N4715" s="98" t="str">
        <f>IF(record[[#This Row],[Memo]]="Browser:chrome os:android","平板報工",IF(record[[#This Row],[Memo]]=0,"委外",record[[#This Row],[Memo]]))</f>
        <v/>
      </c>
      <c r="O4715" t="s">
        <v>58</v>
      </c>
      <c r="P4715" t="s">
        <v>886</v>
      </c>
      <c r="Q4715" t="s">
        <v>58</v>
      </c>
      <c r="R4715" t="str">
        <f>IFERROR(VLOOKUP(record[[#This Row],[PCUSTID]],廠商[],2,FALSE),"")</f>
        <v/>
      </c>
      <c r="S4715" t="str">
        <f>VLOOKUP(record[[#This Row],[employeeID]],員工[],2,FALSE)</f>
        <v>謝蓁薰</v>
      </c>
    </row>
    <row r="4716" spans="6:19" hidden="1" x14ac:dyDescent="0.25">
      <c r="F4716" t="s">
        <v>1472</v>
      </c>
      <c r="G4716" t="s">
        <v>419</v>
      </c>
      <c r="H4716" t="str">
        <f>VLOOKUP(record[[#This Row],[ProcessSN]],表格2_7[],2,FALSE)</f>
        <v>30-4118-018-5XX</v>
      </c>
      <c r="I4716" t="str">
        <f>VLOOKUP(record[[#This Row],[ProcessSN]],表格2_7[],3,FALSE)</f>
        <v>#07QC</v>
      </c>
      <c r="J4716" t="s">
        <v>589</v>
      </c>
      <c r="K4716" s="195">
        <v>46043.699166666665</v>
      </c>
      <c r="L4716">
        <v>180</v>
      </c>
      <c r="M4716">
        <v>0</v>
      </c>
      <c r="N4716" s="98" t="str">
        <f>IF(record[[#This Row],[Memo]]="Browser:chrome os:android","平板報工",IF(record[[#This Row],[Memo]]=0,"委外",record[[#This Row],[Memo]]))</f>
        <v/>
      </c>
      <c r="O4716" t="s">
        <v>58</v>
      </c>
      <c r="P4716" t="s">
        <v>141</v>
      </c>
      <c r="Q4716" t="s">
        <v>58</v>
      </c>
      <c r="R4716" t="str">
        <f>IFERROR(VLOOKUP(record[[#This Row],[PCUSTID]],廠商[],2,FALSE),"")</f>
        <v/>
      </c>
      <c r="S4716" t="str">
        <f>VLOOKUP(record[[#This Row],[employeeID]],員工[],2,FALSE)</f>
        <v>蔣梅</v>
      </c>
    </row>
    <row r="4717" spans="6:19" hidden="1" x14ac:dyDescent="0.25">
      <c r="F4717" t="s">
        <v>1472</v>
      </c>
      <c r="G4717" t="s">
        <v>419</v>
      </c>
      <c r="H4717" t="str">
        <f>VLOOKUP(record[[#This Row],[ProcessSN]],表格2_7[],2,FALSE)</f>
        <v>30-4118-018-5XX</v>
      </c>
      <c r="I4717" t="str">
        <f>VLOOKUP(record[[#This Row],[ProcessSN]],表格2_7[],3,FALSE)</f>
        <v>#07QC</v>
      </c>
      <c r="J4717" t="s">
        <v>589</v>
      </c>
      <c r="K4717" s="195">
        <v>46043.698587962965</v>
      </c>
      <c r="L4717">
        <v>0</v>
      </c>
      <c r="M4717">
        <v>21</v>
      </c>
      <c r="N4717" s="98" t="str">
        <f>IF(record[[#This Row],[Memo]]="Browser:chrome os:android","平板報工",IF(record[[#This Row],[Memo]]=0,"委外",record[[#This Row],[Memo]]))</f>
        <v/>
      </c>
      <c r="O4717" t="s">
        <v>58</v>
      </c>
      <c r="P4717" t="s">
        <v>141</v>
      </c>
      <c r="Q4717" t="s">
        <v>58</v>
      </c>
      <c r="R4717" t="str">
        <f>IFERROR(VLOOKUP(record[[#This Row],[PCUSTID]],廠商[],2,FALSE),"")</f>
        <v/>
      </c>
      <c r="S4717" t="str">
        <f>VLOOKUP(record[[#This Row],[employeeID]],員工[],2,FALSE)</f>
        <v>蔣梅</v>
      </c>
    </row>
    <row r="4718" spans="6:19" hidden="1" x14ac:dyDescent="0.25">
      <c r="F4718" t="s">
        <v>1474</v>
      </c>
      <c r="G4718" t="s">
        <v>448</v>
      </c>
      <c r="H4718" t="str">
        <f>VLOOKUP(record[[#This Row],[ProcessSN]],表格2_7[],2,FALSE)</f>
        <v>30-4118-018-6XX</v>
      </c>
      <c r="I4718" t="str">
        <f>VLOOKUP(record[[#This Row],[ProcessSN]],表格2_7[],3,FALSE)</f>
        <v>#04</v>
      </c>
      <c r="J4718" t="s">
        <v>588</v>
      </c>
      <c r="K4718" s="195">
        <v>46043.671967592592</v>
      </c>
      <c r="L4718">
        <v>37</v>
      </c>
      <c r="M4718">
        <v>0</v>
      </c>
      <c r="N4718" s="98" t="str">
        <f>IF(record[[#This Row],[Memo]]="Browser:chrome os:android","平板報工",IF(record[[#This Row],[Memo]]=0,"委外",record[[#This Row],[Memo]]))</f>
        <v/>
      </c>
      <c r="O4718" t="s">
        <v>58</v>
      </c>
      <c r="P4718" t="s">
        <v>145</v>
      </c>
      <c r="Q4718" t="s">
        <v>58</v>
      </c>
      <c r="R4718" t="str">
        <f>IFERROR(VLOOKUP(record[[#This Row],[PCUSTID]],廠商[],2,FALSE),"")</f>
        <v/>
      </c>
      <c r="S4718" t="str">
        <f>VLOOKUP(record[[#This Row],[employeeID]],員工[],2,FALSE)</f>
        <v>阮秋霞</v>
      </c>
    </row>
    <row r="4719" spans="6:19" hidden="1" x14ac:dyDescent="0.25">
      <c r="F4719" t="s">
        <v>1478</v>
      </c>
      <c r="G4719" t="s">
        <v>428</v>
      </c>
      <c r="H4719" t="str">
        <f>VLOOKUP(record[[#This Row],[ProcessSN]],表格2_7[],2,FALSE)</f>
        <v>30-4118-018-600</v>
      </c>
      <c r="I4719" t="str">
        <f>VLOOKUP(record[[#This Row],[ProcessSN]],表格2_7[],3,FALSE)</f>
        <v>#100SHIP</v>
      </c>
      <c r="J4719" t="s">
        <v>600</v>
      </c>
      <c r="K4719" s="195">
        <v>46043.670439814814</v>
      </c>
      <c r="L4719">
        <v>111</v>
      </c>
      <c r="M4719">
        <v>0</v>
      </c>
      <c r="N4719" s="98" t="str">
        <f>IF(record[[#This Row],[Memo]]="Browser:chrome os:android","平板報工",IF(record[[#This Row],[Memo]]=0,"委外",record[[#This Row],[Memo]]))</f>
        <v/>
      </c>
      <c r="O4719" t="s">
        <v>58</v>
      </c>
      <c r="P4719" t="s">
        <v>886</v>
      </c>
      <c r="Q4719" t="s">
        <v>58</v>
      </c>
      <c r="R4719" t="str">
        <f>IFERROR(VLOOKUP(record[[#This Row],[PCUSTID]],廠商[],2,FALSE),"")</f>
        <v/>
      </c>
      <c r="S4719" t="str">
        <f>VLOOKUP(record[[#This Row],[employeeID]],員工[],2,FALSE)</f>
        <v>謝蓁薰</v>
      </c>
    </row>
    <row r="4720" spans="6:19" hidden="1" x14ac:dyDescent="0.25">
      <c r="F4720" t="s">
        <v>1467</v>
      </c>
      <c r="G4720" t="s">
        <v>428</v>
      </c>
      <c r="H4720" t="str">
        <f>VLOOKUP(record[[#This Row],[ProcessSN]],表格2_7[],2,FALSE)</f>
        <v>30-4118-018-600</v>
      </c>
      <c r="I4720" t="str">
        <f>VLOOKUP(record[[#This Row],[ProcessSN]],表格2_7[],3,FALSE)</f>
        <v>#100SHIP</v>
      </c>
      <c r="J4720" t="s">
        <v>600</v>
      </c>
      <c r="K4720" s="195">
        <v>46043.670289351852</v>
      </c>
      <c r="L4720">
        <v>30</v>
      </c>
      <c r="M4720">
        <v>0</v>
      </c>
      <c r="N4720" s="98" t="str">
        <f>IF(record[[#This Row],[Memo]]="Browser:chrome os:android","平板報工",IF(record[[#This Row],[Memo]]=0,"委外",record[[#This Row],[Memo]]))</f>
        <v/>
      </c>
      <c r="O4720" t="s">
        <v>58</v>
      </c>
      <c r="P4720" t="s">
        <v>886</v>
      </c>
      <c r="Q4720" t="s">
        <v>58</v>
      </c>
      <c r="R4720" t="str">
        <f>IFERROR(VLOOKUP(record[[#This Row],[PCUSTID]],廠商[],2,FALSE),"")</f>
        <v/>
      </c>
      <c r="S4720" t="str">
        <f>VLOOKUP(record[[#This Row],[employeeID]],員工[],2,FALSE)</f>
        <v>謝蓁薰</v>
      </c>
    </row>
    <row r="4721" spans="6:19" hidden="1" x14ac:dyDescent="0.25">
      <c r="F4721" t="s">
        <v>1476</v>
      </c>
      <c r="G4721" t="s">
        <v>403</v>
      </c>
      <c r="H4721" t="str">
        <f>VLOOKUP(record[[#This Row],[ProcessSN]],表格2_7[],2,FALSE)</f>
        <v>30-4118-018-550</v>
      </c>
      <c r="I4721" t="str">
        <f>VLOOKUP(record[[#This Row],[ProcessSN]],表格2_7[],3,FALSE)</f>
        <v>#100SHIP</v>
      </c>
      <c r="J4721" t="s">
        <v>600</v>
      </c>
      <c r="K4721" s="195">
        <v>46043.670173611114</v>
      </c>
      <c r="L4721">
        <v>131</v>
      </c>
      <c r="M4721">
        <v>0</v>
      </c>
      <c r="N4721" s="98" t="str">
        <f>IF(record[[#This Row],[Memo]]="Browser:chrome os:android","平板報工",IF(record[[#This Row],[Memo]]=0,"委外",record[[#This Row],[Memo]]))</f>
        <v/>
      </c>
      <c r="O4721" t="s">
        <v>58</v>
      </c>
      <c r="P4721" t="s">
        <v>886</v>
      </c>
      <c r="Q4721" t="s">
        <v>58</v>
      </c>
      <c r="R4721" t="str">
        <f>IFERROR(VLOOKUP(record[[#This Row],[PCUSTID]],廠商[],2,FALSE),"")</f>
        <v/>
      </c>
      <c r="S4721" t="str">
        <f>VLOOKUP(record[[#This Row],[employeeID]],員工[],2,FALSE)</f>
        <v>謝蓁薰</v>
      </c>
    </row>
    <row r="4722" spans="6:19" hidden="1" x14ac:dyDescent="0.25">
      <c r="F4722" t="s">
        <v>1456</v>
      </c>
      <c r="G4722" t="s">
        <v>403</v>
      </c>
      <c r="H4722" t="str">
        <f>VLOOKUP(record[[#This Row],[ProcessSN]],表格2_7[],2,FALSE)</f>
        <v>30-4118-018-550</v>
      </c>
      <c r="I4722" t="str">
        <f>VLOOKUP(record[[#This Row],[ProcessSN]],表格2_7[],3,FALSE)</f>
        <v>#100SHIP</v>
      </c>
      <c r="J4722" t="s">
        <v>600</v>
      </c>
      <c r="K4722" s="195">
        <v>46043.670023148145</v>
      </c>
      <c r="L4722">
        <v>290</v>
      </c>
      <c r="M4722">
        <v>0</v>
      </c>
      <c r="N4722" s="98" t="str">
        <f>IF(record[[#This Row],[Memo]]="Browser:chrome os:android","平板報工",IF(record[[#This Row],[Memo]]=0,"委外",record[[#This Row],[Memo]]))</f>
        <v/>
      </c>
      <c r="O4722" t="s">
        <v>58</v>
      </c>
      <c r="P4722" t="s">
        <v>886</v>
      </c>
      <c r="Q4722" t="s">
        <v>58</v>
      </c>
      <c r="R4722" t="str">
        <f>IFERROR(VLOOKUP(record[[#This Row],[PCUSTID]],廠商[],2,FALSE),"")</f>
        <v/>
      </c>
      <c r="S4722" t="str">
        <f>VLOOKUP(record[[#This Row],[employeeID]],員工[],2,FALSE)</f>
        <v>謝蓁薰</v>
      </c>
    </row>
    <row r="4723" spans="6:19" hidden="1" x14ac:dyDescent="0.25">
      <c r="F4723" t="s">
        <v>1451</v>
      </c>
      <c r="G4723" t="s">
        <v>403</v>
      </c>
      <c r="H4723" t="str">
        <f>VLOOKUP(record[[#This Row],[ProcessSN]],表格2_7[],2,FALSE)</f>
        <v>30-4118-018-550</v>
      </c>
      <c r="I4723" t="str">
        <f>VLOOKUP(record[[#This Row],[ProcessSN]],表格2_7[],3,FALSE)</f>
        <v>#100SHIP</v>
      </c>
      <c r="J4723" t="s">
        <v>600</v>
      </c>
      <c r="K4723" s="195">
        <v>46043.669861111113</v>
      </c>
      <c r="L4723">
        <v>186</v>
      </c>
      <c r="M4723">
        <v>0</v>
      </c>
      <c r="N4723" s="98" t="str">
        <f>IF(record[[#This Row],[Memo]]="Browser:chrome os:android","平板報工",IF(record[[#This Row],[Memo]]=0,"委外",record[[#This Row],[Memo]]))</f>
        <v/>
      </c>
      <c r="O4723" t="s">
        <v>58</v>
      </c>
      <c r="P4723" t="s">
        <v>886</v>
      </c>
      <c r="Q4723" t="s">
        <v>58</v>
      </c>
      <c r="R4723" t="str">
        <f>IFERROR(VLOOKUP(record[[#This Row],[PCUSTID]],廠商[],2,FALSE),"")</f>
        <v/>
      </c>
      <c r="S4723" t="str">
        <f>VLOOKUP(record[[#This Row],[employeeID]],員工[],2,FALSE)</f>
        <v>謝蓁薰</v>
      </c>
    </row>
    <row r="4724" spans="6:19" hidden="1" x14ac:dyDescent="0.25">
      <c r="F4724" t="s">
        <v>1478</v>
      </c>
      <c r="G4724" t="s">
        <v>427</v>
      </c>
      <c r="H4724" t="str">
        <f>VLOOKUP(record[[#This Row],[ProcessSN]],表格2_7[],2,FALSE)</f>
        <v>30-4118-018-600</v>
      </c>
      <c r="I4724" t="str">
        <f>VLOOKUP(record[[#This Row],[ProcessSN]],表格2_7[],3,FALSE)</f>
        <v>#100STOCK</v>
      </c>
      <c r="J4724" t="s">
        <v>592</v>
      </c>
      <c r="K4724" s="195">
        <v>46043.669409722221</v>
      </c>
      <c r="L4724">
        <v>111</v>
      </c>
      <c r="M4724">
        <v>0</v>
      </c>
      <c r="N4724" s="98" t="str">
        <f>IF(record[[#This Row],[Memo]]="Browser:chrome os:android","平板報工",IF(record[[#This Row],[Memo]]=0,"委外",record[[#This Row],[Memo]]))</f>
        <v/>
      </c>
      <c r="O4724" t="s">
        <v>58</v>
      </c>
      <c r="P4724" t="s">
        <v>886</v>
      </c>
      <c r="Q4724" t="s">
        <v>58</v>
      </c>
      <c r="R4724" t="str">
        <f>IFERROR(VLOOKUP(record[[#This Row],[PCUSTID]],廠商[],2,FALSE),"")</f>
        <v/>
      </c>
      <c r="S4724" t="str">
        <f>VLOOKUP(record[[#This Row],[employeeID]],員工[],2,FALSE)</f>
        <v>謝蓁薰</v>
      </c>
    </row>
    <row r="4725" spans="6:19" hidden="1" x14ac:dyDescent="0.25">
      <c r="F4725" t="s">
        <v>1476</v>
      </c>
      <c r="G4725" t="s">
        <v>402</v>
      </c>
      <c r="H4725" t="str">
        <f>VLOOKUP(record[[#This Row],[ProcessSN]],表格2_7[],2,FALSE)</f>
        <v>30-4118-018-550</v>
      </c>
      <c r="I4725" t="str">
        <f>VLOOKUP(record[[#This Row],[ProcessSN]],表格2_7[],3,FALSE)</f>
        <v>#100STOCK</v>
      </c>
      <c r="J4725" t="s">
        <v>592</v>
      </c>
      <c r="K4725" s="195">
        <v>46043.669224537036</v>
      </c>
      <c r="L4725">
        <v>131</v>
      </c>
      <c r="M4725">
        <v>0</v>
      </c>
      <c r="N4725" s="98" t="str">
        <f>IF(record[[#This Row],[Memo]]="Browser:chrome os:android","平板報工",IF(record[[#This Row],[Memo]]=0,"委外",record[[#This Row],[Memo]]))</f>
        <v/>
      </c>
      <c r="O4725" t="s">
        <v>58</v>
      </c>
      <c r="P4725" t="s">
        <v>886</v>
      </c>
      <c r="Q4725" t="s">
        <v>58</v>
      </c>
      <c r="R4725" t="str">
        <f>IFERROR(VLOOKUP(record[[#This Row],[PCUSTID]],廠商[],2,FALSE),"")</f>
        <v/>
      </c>
      <c r="S4725" t="str">
        <f>VLOOKUP(record[[#This Row],[employeeID]],員工[],2,FALSE)</f>
        <v>謝蓁薰</v>
      </c>
    </row>
    <row r="4726" spans="6:19" hidden="1" x14ac:dyDescent="0.25">
      <c r="F4726" t="s">
        <v>1456</v>
      </c>
      <c r="G4726" t="s">
        <v>402</v>
      </c>
      <c r="H4726" t="str">
        <f>VLOOKUP(record[[#This Row],[ProcessSN]],表格2_7[],2,FALSE)</f>
        <v>30-4118-018-550</v>
      </c>
      <c r="I4726" t="str">
        <f>VLOOKUP(record[[#This Row],[ProcessSN]],表格2_7[],3,FALSE)</f>
        <v>#100STOCK</v>
      </c>
      <c r="J4726" t="s">
        <v>592</v>
      </c>
      <c r="K4726" s="195">
        <v>46043.669108796297</v>
      </c>
      <c r="L4726">
        <v>290</v>
      </c>
      <c r="M4726">
        <v>0</v>
      </c>
      <c r="N4726" s="98" t="str">
        <f>IF(record[[#This Row],[Memo]]="Browser:chrome os:android","平板報工",IF(record[[#This Row],[Memo]]=0,"委外",record[[#This Row],[Memo]]))</f>
        <v/>
      </c>
      <c r="O4726" t="s">
        <v>58</v>
      </c>
      <c r="P4726" t="s">
        <v>886</v>
      </c>
      <c r="Q4726" t="s">
        <v>58</v>
      </c>
      <c r="R4726" t="str">
        <f>IFERROR(VLOOKUP(record[[#This Row],[PCUSTID]],廠商[],2,FALSE),"")</f>
        <v/>
      </c>
      <c r="S4726" t="str">
        <f>VLOOKUP(record[[#This Row],[employeeID]],員工[],2,FALSE)</f>
        <v>謝蓁薰</v>
      </c>
    </row>
    <row r="4727" spans="6:19" hidden="1" x14ac:dyDescent="0.25">
      <c r="F4727" t="s">
        <v>1451</v>
      </c>
      <c r="G4727" t="s">
        <v>402</v>
      </c>
      <c r="H4727" t="str">
        <f>VLOOKUP(record[[#This Row],[ProcessSN]],表格2_7[],2,FALSE)</f>
        <v>30-4118-018-550</v>
      </c>
      <c r="I4727" t="str">
        <f>VLOOKUP(record[[#This Row],[ProcessSN]],表格2_7[],3,FALSE)</f>
        <v>#100STOCK</v>
      </c>
      <c r="J4727" t="s">
        <v>592</v>
      </c>
      <c r="K4727" s="195">
        <v>46043.668564814812</v>
      </c>
      <c r="L4727">
        <v>186</v>
      </c>
      <c r="M4727">
        <v>0</v>
      </c>
      <c r="N4727" s="98" t="str">
        <f>IF(record[[#This Row],[Memo]]="Browser:chrome os:android","平板報工",IF(record[[#This Row],[Memo]]=0,"委外",record[[#This Row],[Memo]]))</f>
        <v/>
      </c>
      <c r="O4727" t="s">
        <v>58</v>
      </c>
      <c r="P4727" t="s">
        <v>886</v>
      </c>
      <c r="Q4727" t="s">
        <v>58</v>
      </c>
      <c r="R4727" t="str">
        <f>IFERROR(VLOOKUP(record[[#This Row],[PCUSTID]],廠商[],2,FALSE),"")</f>
        <v/>
      </c>
      <c r="S4727" t="str">
        <f>VLOOKUP(record[[#This Row],[employeeID]],員工[],2,FALSE)</f>
        <v>謝蓁薰</v>
      </c>
    </row>
    <row r="4728" spans="6:19" hidden="1" x14ac:dyDescent="0.25">
      <c r="F4728" t="s">
        <v>1260</v>
      </c>
      <c r="G4728" t="s">
        <v>426</v>
      </c>
      <c r="H4728" t="str">
        <f>VLOOKUP(record[[#This Row],[ProcessSN]],表格2_7[],2,FALSE)</f>
        <v>30-4118-018-600</v>
      </c>
      <c r="I4728" t="str">
        <f>VLOOKUP(record[[#This Row],[ProcessSN]],表格2_7[],3,FALSE)</f>
        <v>#100OQC</v>
      </c>
      <c r="J4728" t="s">
        <v>599</v>
      </c>
      <c r="K4728" s="195">
        <v>46043.665706018517</v>
      </c>
      <c r="L4728">
        <v>3</v>
      </c>
      <c r="M4728">
        <v>0</v>
      </c>
      <c r="N4728" s="98" t="str">
        <f>IF(record[[#This Row],[Memo]]="Browser:chrome os:android","平板報工",IF(record[[#This Row],[Memo]]=0,"委外",record[[#This Row],[Memo]]))</f>
        <v/>
      </c>
      <c r="O4728" t="s">
        <v>58</v>
      </c>
      <c r="P4728" t="s">
        <v>121</v>
      </c>
      <c r="Q4728" t="s">
        <v>58</v>
      </c>
      <c r="R4728" t="str">
        <f>IFERROR(VLOOKUP(record[[#This Row],[PCUSTID]],廠商[],2,FALSE),"")</f>
        <v/>
      </c>
      <c r="S4728" t="str">
        <f>VLOOKUP(record[[#This Row],[employeeID]],員工[],2,FALSE)</f>
        <v>謝素卿</v>
      </c>
    </row>
    <row r="4729" spans="6:19" hidden="1" x14ac:dyDescent="0.25">
      <c r="F4729" t="s">
        <v>1472</v>
      </c>
      <c r="G4729" t="s">
        <v>415</v>
      </c>
      <c r="H4729" t="str">
        <f>VLOOKUP(record[[#This Row],[ProcessSN]],表格2_7[],2,FALSE)</f>
        <v>30-4118-018-5XX</v>
      </c>
      <c r="I4729" t="str">
        <f>VLOOKUP(record[[#This Row],[ProcessSN]],表格2_7[],3,FALSE)</f>
        <v>#04</v>
      </c>
      <c r="J4729" t="s">
        <v>588</v>
      </c>
      <c r="K4729" s="195">
        <v>46043.664548611108</v>
      </c>
      <c r="L4729">
        <v>85</v>
      </c>
      <c r="M4729">
        <v>0</v>
      </c>
      <c r="N4729" s="98" t="str">
        <f>IF(record[[#This Row],[Memo]]="Browser:chrome os:android","平板報工",IF(record[[#This Row],[Memo]]=0,"委外",record[[#This Row],[Memo]]))</f>
        <v>平板報工</v>
      </c>
      <c r="O4729" t="s">
        <v>643</v>
      </c>
      <c r="P4729" t="s">
        <v>107</v>
      </c>
      <c r="Q4729" t="s">
        <v>644</v>
      </c>
      <c r="R4729" t="str">
        <f>IFERROR(VLOOKUP(record[[#This Row],[PCUSTID]],廠商[],2,FALSE),"")</f>
        <v/>
      </c>
      <c r="S4729" t="str">
        <f>VLOOKUP(record[[#This Row],[employeeID]],員工[],2,FALSE)</f>
        <v>黎氏順</v>
      </c>
    </row>
    <row r="4730" spans="6:19" hidden="1" x14ac:dyDescent="0.25">
      <c r="F4730" t="s">
        <v>1474</v>
      </c>
      <c r="G4730" t="s">
        <v>448</v>
      </c>
      <c r="H4730" t="str">
        <f>VLOOKUP(record[[#This Row],[ProcessSN]],表格2_7[],2,FALSE)</f>
        <v>30-4118-018-6XX</v>
      </c>
      <c r="I4730" t="str">
        <f>VLOOKUP(record[[#This Row],[ProcessSN]],表格2_7[],3,FALSE)</f>
        <v>#04</v>
      </c>
      <c r="J4730" t="s">
        <v>588</v>
      </c>
      <c r="K4730" s="195">
        <v>46043.663495370369</v>
      </c>
      <c r="L4730">
        <v>90</v>
      </c>
      <c r="M4730">
        <v>0</v>
      </c>
      <c r="N4730" s="98" t="str">
        <f>IF(record[[#This Row],[Memo]]="Browser:chrome os:android","平板報工",IF(record[[#This Row],[Memo]]=0,"委外",record[[#This Row],[Memo]]))</f>
        <v>平板報工</v>
      </c>
      <c r="O4730" t="s">
        <v>643</v>
      </c>
      <c r="P4730" t="s">
        <v>107</v>
      </c>
      <c r="Q4730" t="s">
        <v>644</v>
      </c>
      <c r="R4730" t="str">
        <f>IFERROR(VLOOKUP(record[[#This Row],[PCUSTID]],廠商[],2,FALSE),"")</f>
        <v/>
      </c>
      <c r="S4730" t="str">
        <f>VLOOKUP(record[[#This Row],[employeeID]],員工[],2,FALSE)</f>
        <v>黎氏順</v>
      </c>
    </row>
    <row r="4731" spans="6:19" hidden="1" x14ac:dyDescent="0.25">
      <c r="F4731" t="s">
        <v>1450</v>
      </c>
      <c r="G4731" t="s">
        <v>468</v>
      </c>
      <c r="H4731" t="str">
        <f>VLOOKUP(record[[#This Row],[ProcessSN]],表格2_7[],2,FALSE)</f>
        <v>30-4118-018-XXX</v>
      </c>
      <c r="I4731" t="str">
        <f>VLOOKUP(record[[#This Row],[ProcessSN]],表格2_7[],3,FALSE)</f>
        <v>#02</v>
      </c>
      <c r="J4731" t="s">
        <v>590</v>
      </c>
      <c r="K4731" s="195">
        <v>46043.663449074076</v>
      </c>
      <c r="L4731">
        <v>336</v>
      </c>
      <c r="M4731">
        <v>0</v>
      </c>
      <c r="N4731" s="98" t="str">
        <f>IF(record[[#This Row],[Memo]]="Browser:chrome os:android","平板報工",IF(record[[#This Row],[Memo]]=0,"委外",record[[#This Row],[Memo]]))</f>
        <v>委外</v>
      </c>
      <c r="P4731" t="s">
        <v>186</v>
      </c>
      <c r="Q4731" t="s">
        <v>216</v>
      </c>
      <c r="R4731" t="str">
        <f>IFERROR(VLOOKUP(record[[#This Row],[PCUSTID]],廠商[],2,FALSE),"")</f>
        <v>俊杰</v>
      </c>
      <c r="S4731" t="str">
        <f>VLOOKUP(record[[#This Row],[employeeID]],員工[],2,FALSE)</f>
        <v>許文姍</v>
      </c>
    </row>
    <row r="4732" spans="6:19" hidden="1" x14ac:dyDescent="0.25">
      <c r="F4732" t="s">
        <v>1450</v>
      </c>
      <c r="G4732" t="s">
        <v>467</v>
      </c>
      <c r="H4732" t="str">
        <f>VLOOKUP(record[[#This Row],[ProcessSN]],表格2_7[],2,FALSE)</f>
        <v>30-4118-018-XXX</v>
      </c>
      <c r="I4732" t="str">
        <f>VLOOKUP(record[[#This Row],[ProcessSN]],表格2_7[],3,FALSE)</f>
        <v>#01QC</v>
      </c>
      <c r="J4732" t="s">
        <v>589</v>
      </c>
      <c r="K4732" s="195">
        <v>46043.663356481484</v>
      </c>
      <c r="L4732">
        <v>336</v>
      </c>
      <c r="M4732">
        <v>0</v>
      </c>
      <c r="N4732" s="98" t="str">
        <f>IF(record[[#This Row],[Memo]]="Browser:chrome os:android","平板報工",IF(record[[#This Row],[Memo]]=0,"委外",record[[#This Row],[Memo]]))</f>
        <v/>
      </c>
      <c r="O4732" t="s">
        <v>58</v>
      </c>
      <c r="P4732" t="s">
        <v>186</v>
      </c>
      <c r="Q4732" t="s">
        <v>58</v>
      </c>
      <c r="R4732" t="str">
        <f>IFERROR(VLOOKUP(record[[#This Row],[PCUSTID]],廠商[],2,FALSE),"")</f>
        <v/>
      </c>
      <c r="S4732" t="str">
        <f>VLOOKUP(record[[#This Row],[employeeID]],員工[],2,FALSE)</f>
        <v>許文姍</v>
      </c>
    </row>
    <row r="4733" spans="6:19" hidden="1" x14ac:dyDescent="0.25">
      <c r="F4733" t="s">
        <v>1450</v>
      </c>
      <c r="G4733" t="s">
        <v>466</v>
      </c>
      <c r="H4733" t="str">
        <f>VLOOKUP(record[[#This Row],[ProcessSN]],表格2_7[],2,FALSE)</f>
        <v>30-4118-018-XXX</v>
      </c>
      <c r="I4733" t="str">
        <f>VLOOKUP(record[[#This Row],[ProcessSN]],表格2_7[],3,FALSE)</f>
        <v>#01-2</v>
      </c>
      <c r="J4733" t="s">
        <v>588</v>
      </c>
      <c r="K4733" s="195">
        <v>46043.662638888891</v>
      </c>
      <c r="L4733">
        <v>370</v>
      </c>
      <c r="M4733">
        <v>0</v>
      </c>
      <c r="N4733" s="98" t="str">
        <f>IF(record[[#This Row],[Memo]]="Browser:chrome os:android","平板報工",IF(record[[#This Row],[Memo]]=0,"委外",record[[#This Row],[Memo]]))</f>
        <v>平板報工</v>
      </c>
      <c r="O4733" t="s">
        <v>643</v>
      </c>
      <c r="P4733" t="s">
        <v>107</v>
      </c>
      <c r="Q4733" t="s">
        <v>644</v>
      </c>
      <c r="R4733" t="str">
        <f>IFERROR(VLOOKUP(record[[#This Row],[PCUSTID]],廠商[],2,FALSE),"")</f>
        <v/>
      </c>
      <c r="S4733" t="str">
        <f>VLOOKUP(record[[#This Row],[employeeID]],員工[],2,FALSE)</f>
        <v>黎氏順</v>
      </c>
    </row>
    <row r="4734" spans="6:19" hidden="1" x14ac:dyDescent="0.25">
      <c r="F4734" t="s">
        <v>1262</v>
      </c>
      <c r="G4734" t="s">
        <v>400</v>
      </c>
      <c r="H4734" t="str">
        <f>VLOOKUP(record[[#This Row],[ProcessSN]],表格2_7[],2,FALSE)</f>
        <v>30-4118-018-550</v>
      </c>
      <c r="I4734" t="str">
        <f>VLOOKUP(record[[#This Row],[ProcessSN]],表格2_7[],3,FALSE)</f>
        <v>#100</v>
      </c>
      <c r="J4734" t="s">
        <v>598</v>
      </c>
      <c r="K4734" s="195">
        <v>46043.662615740737</v>
      </c>
      <c r="L4734">
        <v>0</v>
      </c>
      <c r="M4734">
        <v>2</v>
      </c>
      <c r="N4734" s="98" t="str">
        <f>IF(record[[#This Row],[Memo]]="Browser:chrome os:android","平板報工",IF(record[[#This Row],[Memo]]=0,"委外",record[[#This Row],[Memo]]))</f>
        <v/>
      </c>
      <c r="O4734" t="s">
        <v>58</v>
      </c>
      <c r="P4734" t="s">
        <v>141</v>
      </c>
      <c r="Q4734" t="s">
        <v>58</v>
      </c>
      <c r="R4734" t="str">
        <f>IFERROR(VLOOKUP(record[[#This Row],[PCUSTID]],廠商[],2,FALSE),"")</f>
        <v/>
      </c>
      <c r="S4734" t="str">
        <f>VLOOKUP(record[[#This Row],[employeeID]],員工[],2,FALSE)</f>
        <v>蔣梅</v>
      </c>
    </row>
    <row r="4735" spans="6:19" hidden="1" x14ac:dyDescent="0.25">
      <c r="F4735" t="s">
        <v>1260</v>
      </c>
      <c r="G4735" t="s">
        <v>425</v>
      </c>
      <c r="H4735" t="str">
        <f>VLOOKUP(record[[#This Row],[ProcessSN]],表格2_7[],2,FALSE)</f>
        <v>30-4118-018-600</v>
      </c>
      <c r="I4735" t="str">
        <f>VLOOKUP(record[[#This Row],[ProcessSN]],表格2_7[],3,FALSE)</f>
        <v>#100</v>
      </c>
      <c r="J4735" t="s">
        <v>598</v>
      </c>
      <c r="K4735" s="195">
        <v>46043.662407407406</v>
      </c>
      <c r="L4735">
        <v>3</v>
      </c>
      <c r="M4735">
        <v>0</v>
      </c>
      <c r="N4735" s="98" t="str">
        <f>IF(record[[#This Row],[Memo]]="Browser:chrome os:android","平板報工",IF(record[[#This Row],[Memo]]=0,"委外",record[[#This Row],[Memo]]))</f>
        <v>覆回</v>
      </c>
      <c r="O4735" t="s">
        <v>682</v>
      </c>
      <c r="P4735" t="s">
        <v>141</v>
      </c>
      <c r="Q4735" t="s">
        <v>58</v>
      </c>
      <c r="R4735" t="str">
        <f>IFERROR(VLOOKUP(record[[#This Row],[PCUSTID]],廠商[],2,FALSE),"")</f>
        <v/>
      </c>
      <c r="S4735" t="str">
        <f>VLOOKUP(record[[#This Row],[employeeID]],員工[],2,FALSE)</f>
        <v>蔣梅</v>
      </c>
    </row>
    <row r="4736" spans="6:19" hidden="1" x14ac:dyDescent="0.25">
      <c r="F4736" t="s">
        <v>1260</v>
      </c>
      <c r="G4736" t="s">
        <v>424</v>
      </c>
      <c r="H4736" t="str">
        <f>VLOOKUP(record[[#This Row],[ProcessSN]],表格2_7[],2,FALSE)</f>
        <v>30-4118-018-600</v>
      </c>
      <c r="I4736" t="str">
        <f>VLOOKUP(record[[#This Row],[ProcessSN]],表格2_7[],3,FALSE)</f>
        <v>#08IQC</v>
      </c>
      <c r="J4736" t="s">
        <v>583</v>
      </c>
      <c r="K4736" s="195">
        <v>46043.662233796298</v>
      </c>
      <c r="L4736">
        <v>3</v>
      </c>
      <c r="M4736">
        <v>0</v>
      </c>
      <c r="N4736" s="98" t="str">
        <f>IF(record[[#This Row],[Memo]]="Browser:chrome os:android","平板報工",IF(record[[#This Row],[Memo]]=0,"委外",record[[#This Row],[Memo]]))</f>
        <v>覆回</v>
      </c>
      <c r="O4736" t="s">
        <v>682</v>
      </c>
      <c r="P4736" t="s">
        <v>141</v>
      </c>
      <c r="Q4736" t="s">
        <v>58</v>
      </c>
      <c r="R4736" t="str">
        <f>IFERROR(VLOOKUP(record[[#This Row],[PCUSTID]],廠商[],2,FALSE),"")</f>
        <v/>
      </c>
      <c r="S4736" t="str">
        <f>VLOOKUP(record[[#This Row],[employeeID]],員工[],2,FALSE)</f>
        <v>蔣梅</v>
      </c>
    </row>
    <row r="4737" spans="6:19" hidden="1" x14ac:dyDescent="0.25">
      <c r="F4737" t="s">
        <v>1260</v>
      </c>
      <c r="G4737" t="s">
        <v>423</v>
      </c>
      <c r="H4737" t="str">
        <f>VLOOKUP(record[[#This Row],[ProcessSN]],表格2_7[],2,FALSE)</f>
        <v>30-4118-018-600</v>
      </c>
      <c r="I4737" t="str">
        <f>VLOOKUP(record[[#This Row],[ProcessSN]],表格2_7[],3,FALSE)</f>
        <v>#08RCV</v>
      </c>
      <c r="J4737" t="s">
        <v>591</v>
      </c>
      <c r="K4737" s="195">
        <v>46043.66196759259</v>
      </c>
      <c r="L4737">
        <v>0</v>
      </c>
      <c r="M4737">
        <v>16</v>
      </c>
      <c r="N4737" s="98" t="str">
        <f>IF(record[[#This Row],[Memo]]="Browser:chrome os:android","平板報工",IF(record[[#This Row],[Memo]]=0,"委外",record[[#This Row],[Memo]]))</f>
        <v/>
      </c>
      <c r="O4737" t="s">
        <v>58</v>
      </c>
      <c r="P4737" t="s">
        <v>141</v>
      </c>
      <c r="Q4737" t="s">
        <v>58</v>
      </c>
      <c r="R4737" t="str">
        <f>IFERROR(VLOOKUP(record[[#This Row],[PCUSTID]],廠商[],2,FALSE),"")</f>
        <v/>
      </c>
      <c r="S4737" t="str">
        <f>VLOOKUP(record[[#This Row],[employeeID]],員工[],2,FALSE)</f>
        <v>蔣梅</v>
      </c>
    </row>
    <row r="4738" spans="6:19" hidden="1" x14ac:dyDescent="0.25">
      <c r="F4738" t="s">
        <v>1260</v>
      </c>
      <c r="G4738" t="s">
        <v>423</v>
      </c>
      <c r="H4738" t="str">
        <f>VLOOKUP(record[[#This Row],[ProcessSN]],表格2_7[],2,FALSE)</f>
        <v>30-4118-018-600</v>
      </c>
      <c r="I4738" t="str">
        <f>VLOOKUP(record[[#This Row],[ProcessSN]],表格2_7[],3,FALSE)</f>
        <v>#08RCV</v>
      </c>
      <c r="J4738" t="s">
        <v>591</v>
      </c>
      <c r="K4738" s="195">
        <v>46043.661770833336</v>
      </c>
      <c r="L4738">
        <v>3</v>
      </c>
      <c r="M4738">
        <v>0</v>
      </c>
      <c r="N4738" s="98" t="str">
        <f>IF(record[[#This Row],[Memo]]="Browser:chrome os:android","平板報工",IF(record[[#This Row],[Memo]]=0,"委外",record[[#This Row],[Memo]]))</f>
        <v>覆回</v>
      </c>
      <c r="O4738" t="s">
        <v>682</v>
      </c>
      <c r="P4738" t="s">
        <v>141</v>
      </c>
      <c r="Q4738" t="s">
        <v>58</v>
      </c>
      <c r="R4738" t="str">
        <f>IFERROR(VLOOKUP(record[[#This Row],[PCUSTID]],廠商[],2,FALSE),"")</f>
        <v/>
      </c>
      <c r="S4738" t="str">
        <f>VLOOKUP(record[[#This Row],[employeeID]],員工[],2,FALSE)</f>
        <v>蔣梅</v>
      </c>
    </row>
    <row r="4739" spans="6:19" hidden="1" x14ac:dyDescent="0.25">
      <c r="F4739" t="s">
        <v>1478</v>
      </c>
      <c r="G4739" t="s">
        <v>426</v>
      </c>
      <c r="H4739" t="str">
        <f>VLOOKUP(record[[#This Row],[ProcessSN]],表格2_7[],2,FALSE)</f>
        <v>30-4118-018-600</v>
      </c>
      <c r="I4739" t="str">
        <f>VLOOKUP(record[[#This Row],[ProcessSN]],表格2_7[],3,FALSE)</f>
        <v>#100OQC</v>
      </c>
      <c r="J4739" t="s">
        <v>599</v>
      </c>
      <c r="K4739" s="195">
        <v>46043.661666666667</v>
      </c>
      <c r="L4739">
        <v>160</v>
      </c>
      <c r="M4739">
        <v>0</v>
      </c>
      <c r="N4739" s="98" t="str">
        <f>IF(record[[#This Row],[Memo]]="Browser:chrome os:android","平板報工",IF(record[[#This Row],[Memo]]=0,"委外",record[[#This Row],[Memo]]))</f>
        <v/>
      </c>
      <c r="O4739" t="s">
        <v>58</v>
      </c>
      <c r="P4739" t="s">
        <v>121</v>
      </c>
      <c r="Q4739" t="s">
        <v>58</v>
      </c>
      <c r="R4739" t="str">
        <f>IFERROR(VLOOKUP(record[[#This Row],[PCUSTID]],廠商[],2,FALSE),"")</f>
        <v/>
      </c>
      <c r="S4739" t="str">
        <f>VLOOKUP(record[[#This Row],[employeeID]],員工[],2,FALSE)</f>
        <v>謝素卿</v>
      </c>
    </row>
    <row r="4740" spans="6:19" hidden="1" x14ac:dyDescent="0.25">
      <c r="F4740" t="s">
        <v>1450</v>
      </c>
      <c r="G4740" t="s">
        <v>465</v>
      </c>
      <c r="H4740" t="str">
        <f>VLOOKUP(record[[#This Row],[ProcessSN]],表格2_7[],2,FALSE)</f>
        <v>30-4118-018-XXX</v>
      </c>
      <c r="I4740" t="str">
        <f>VLOOKUP(record[[#This Row],[ProcessSN]],表格2_7[],3,FALSE)</f>
        <v>#01-1</v>
      </c>
      <c r="J4740" t="s">
        <v>588</v>
      </c>
      <c r="K4740" s="195">
        <v>46043.661666666667</v>
      </c>
      <c r="L4740">
        <v>504</v>
      </c>
      <c r="M4740">
        <v>1</v>
      </c>
      <c r="N4740" s="98" t="str">
        <f>IF(record[[#This Row],[Memo]]="Browser:chrome os:android","平板報工",IF(record[[#This Row],[Memo]]=0,"委外",record[[#This Row],[Memo]]))</f>
        <v>平板報工</v>
      </c>
      <c r="O4740" t="s">
        <v>643</v>
      </c>
      <c r="P4740" t="s">
        <v>107</v>
      </c>
      <c r="Q4740" t="s">
        <v>644</v>
      </c>
      <c r="R4740" t="str">
        <f>IFERROR(VLOOKUP(record[[#This Row],[PCUSTID]],廠商[],2,FALSE),"")</f>
        <v/>
      </c>
      <c r="S4740" t="str">
        <f>VLOOKUP(record[[#This Row],[employeeID]],員工[],2,FALSE)</f>
        <v>黎氏順</v>
      </c>
    </row>
    <row r="4741" spans="6:19" hidden="1" x14ac:dyDescent="0.25">
      <c r="F4741" t="s">
        <v>1476</v>
      </c>
      <c r="G4741" t="s">
        <v>401</v>
      </c>
      <c r="H4741" t="str">
        <f>VLOOKUP(record[[#This Row],[ProcessSN]],表格2_7[],2,FALSE)</f>
        <v>30-4118-018-550</v>
      </c>
      <c r="I4741" t="str">
        <f>VLOOKUP(record[[#This Row],[ProcessSN]],表格2_7[],3,FALSE)</f>
        <v>#100OQC</v>
      </c>
      <c r="J4741" t="s">
        <v>599</v>
      </c>
      <c r="K4741" s="195">
        <v>46043.661527777775</v>
      </c>
      <c r="L4741">
        <v>412</v>
      </c>
      <c r="M4741">
        <v>0</v>
      </c>
      <c r="N4741" s="98" t="str">
        <f>IF(record[[#This Row],[Memo]]="Browser:chrome os:android","平板報工",IF(record[[#This Row],[Memo]]=0,"委外",record[[#This Row],[Memo]]))</f>
        <v/>
      </c>
      <c r="O4741" t="s">
        <v>58</v>
      </c>
      <c r="P4741" t="s">
        <v>121</v>
      </c>
      <c r="Q4741" t="s">
        <v>58</v>
      </c>
      <c r="R4741" t="str">
        <f>IFERROR(VLOOKUP(record[[#This Row],[PCUSTID]],廠商[],2,FALSE),"")</f>
        <v/>
      </c>
      <c r="S4741" t="str">
        <f>VLOOKUP(record[[#This Row],[employeeID]],員工[],2,FALSE)</f>
        <v>謝素卿</v>
      </c>
    </row>
    <row r="4742" spans="6:19" hidden="1" x14ac:dyDescent="0.25">
      <c r="F4742" t="s">
        <v>1407</v>
      </c>
      <c r="G4742" t="s">
        <v>362</v>
      </c>
      <c r="H4742" t="str">
        <f>VLOOKUP(record[[#This Row],[ProcessSN]],表格2_7[],2,FALSE)</f>
        <v>30-4118-018-450</v>
      </c>
      <c r="I4742" t="str">
        <f>VLOOKUP(record[[#This Row],[ProcessSN]],表格2_7[],3,FALSE)</f>
        <v>#100SHIP</v>
      </c>
      <c r="J4742" t="s">
        <v>600</v>
      </c>
      <c r="K4742" s="195">
        <v>46043.649791666663</v>
      </c>
      <c r="L4742">
        <v>335</v>
      </c>
      <c r="M4742">
        <v>0</v>
      </c>
      <c r="N4742" s="98" t="str">
        <f>IF(record[[#This Row],[Memo]]="Browser:chrome os:android","平板報工",IF(record[[#This Row],[Memo]]=0,"委外",record[[#This Row],[Memo]]))</f>
        <v/>
      </c>
      <c r="O4742" t="s">
        <v>58</v>
      </c>
      <c r="P4742" t="s">
        <v>886</v>
      </c>
      <c r="Q4742" t="s">
        <v>58</v>
      </c>
      <c r="R4742" t="str">
        <f>IFERROR(VLOOKUP(record[[#This Row],[PCUSTID]],廠商[],2,FALSE),"")</f>
        <v/>
      </c>
      <c r="S4742" t="str">
        <f>VLOOKUP(record[[#This Row],[employeeID]],員工[],2,FALSE)</f>
        <v>謝蓁薰</v>
      </c>
    </row>
    <row r="4743" spans="6:19" hidden="1" x14ac:dyDescent="0.25">
      <c r="F4743" t="s">
        <v>1472</v>
      </c>
      <c r="G4743" t="s">
        <v>417</v>
      </c>
      <c r="H4743" t="str">
        <f>VLOOKUP(record[[#This Row],[ProcessSN]],表格2_7[],2,FALSE)</f>
        <v>30-4118-018-5XX</v>
      </c>
      <c r="I4743" t="str">
        <f>VLOOKUP(record[[#This Row],[ProcessSN]],表格2_7[],3,FALSE)</f>
        <v>#06</v>
      </c>
      <c r="J4743" t="s">
        <v>593</v>
      </c>
      <c r="K4743" s="195">
        <v>46043.649675925924</v>
      </c>
      <c r="L4743">
        <v>110</v>
      </c>
      <c r="M4743">
        <v>0</v>
      </c>
      <c r="N4743" s="98" t="str">
        <f>IF(record[[#This Row],[Memo]]="Browser:chrome os:android","平板報工",IF(record[[#This Row],[Memo]]=0,"委外",record[[#This Row],[Memo]]))</f>
        <v>平板報工</v>
      </c>
      <c r="O4743" t="s">
        <v>643</v>
      </c>
      <c r="P4743" t="s">
        <v>1413</v>
      </c>
      <c r="Q4743" t="s">
        <v>644</v>
      </c>
      <c r="R4743" t="str">
        <f>IFERROR(VLOOKUP(record[[#This Row],[PCUSTID]],廠商[],2,FALSE),"")</f>
        <v/>
      </c>
      <c r="S4743" t="str">
        <f>VLOOKUP(record[[#This Row],[employeeID]],員工[],2,FALSE)</f>
        <v>阮氏芳英(芳)</v>
      </c>
    </row>
    <row r="4744" spans="6:19" hidden="1" x14ac:dyDescent="0.25">
      <c r="F4744" t="s">
        <v>956</v>
      </c>
      <c r="G4744" t="s">
        <v>362</v>
      </c>
      <c r="H4744" t="str">
        <f>VLOOKUP(record[[#This Row],[ProcessSN]],表格2_7[],2,FALSE)</f>
        <v>30-4118-018-450</v>
      </c>
      <c r="I4744" t="str">
        <f>VLOOKUP(record[[#This Row],[ProcessSN]],表格2_7[],3,FALSE)</f>
        <v>#100SHIP</v>
      </c>
      <c r="J4744" t="s">
        <v>600</v>
      </c>
      <c r="K4744" s="195">
        <v>46043.649606481478</v>
      </c>
      <c r="L4744">
        <v>3</v>
      </c>
      <c r="M4744">
        <v>0</v>
      </c>
      <c r="N4744" s="98" t="str">
        <f>IF(record[[#This Row],[Memo]]="Browser:chrome os:android","平板報工",IF(record[[#This Row],[Memo]]=0,"委外",record[[#This Row],[Memo]]))</f>
        <v/>
      </c>
      <c r="O4744" t="s">
        <v>58</v>
      </c>
      <c r="P4744" t="s">
        <v>886</v>
      </c>
      <c r="Q4744" t="s">
        <v>58</v>
      </c>
      <c r="R4744" t="str">
        <f>IFERROR(VLOOKUP(record[[#This Row],[PCUSTID]],廠商[],2,FALSE),"")</f>
        <v/>
      </c>
      <c r="S4744" t="str">
        <f>VLOOKUP(record[[#This Row],[employeeID]],員工[],2,FALSE)</f>
        <v>謝蓁薰</v>
      </c>
    </row>
    <row r="4745" spans="6:19" hidden="1" x14ac:dyDescent="0.25">
      <c r="F4745" t="s">
        <v>1472</v>
      </c>
      <c r="G4745" t="s">
        <v>415</v>
      </c>
      <c r="H4745" t="str">
        <f>VLOOKUP(record[[#This Row],[ProcessSN]],表格2_7[],2,FALSE)</f>
        <v>30-4118-018-5XX</v>
      </c>
      <c r="I4745" t="str">
        <f>VLOOKUP(record[[#This Row],[ProcessSN]],表格2_7[],3,FALSE)</f>
        <v>#04</v>
      </c>
      <c r="J4745" t="s">
        <v>588</v>
      </c>
      <c r="K4745" s="195">
        <v>46043.646006944444</v>
      </c>
      <c r="L4745">
        <v>42</v>
      </c>
      <c r="M4745">
        <v>0</v>
      </c>
      <c r="N4745" s="98" t="str">
        <f>IF(record[[#This Row],[Memo]]="Browser:chrome os:android","平板報工",IF(record[[#This Row],[Memo]]=0,"委外",record[[#This Row],[Memo]]))</f>
        <v>平板報工</v>
      </c>
      <c r="O4745" t="s">
        <v>643</v>
      </c>
      <c r="P4745" t="s">
        <v>145</v>
      </c>
      <c r="Q4745" t="s">
        <v>644</v>
      </c>
      <c r="R4745" t="str">
        <f>IFERROR(VLOOKUP(record[[#This Row],[PCUSTID]],廠商[],2,FALSE),"")</f>
        <v/>
      </c>
      <c r="S4745" t="str">
        <f>VLOOKUP(record[[#This Row],[employeeID]],員工[],2,FALSE)</f>
        <v>阮秋霞</v>
      </c>
    </row>
    <row r="4746" spans="6:19" hidden="1" x14ac:dyDescent="0.25">
      <c r="F4746" t="s">
        <v>1478</v>
      </c>
      <c r="G4746" t="s">
        <v>425</v>
      </c>
      <c r="H4746" t="str">
        <f>VLOOKUP(record[[#This Row],[ProcessSN]],表格2_7[],2,FALSE)</f>
        <v>30-4118-018-600</v>
      </c>
      <c r="I4746" t="str">
        <f>VLOOKUP(record[[#This Row],[ProcessSN]],表格2_7[],3,FALSE)</f>
        <v>#100</v>
      </c>
      <c r="J4746" t="s">
        <v>598</v>
      </c>
      <c r="K4746" s="195">
        <v>46043.642210648148</v>
      </c>
      <c r="L4746">
        <v>160</v>
      </c>
      <c r="M4746">
        <v>0</v>
      </c>
      <c r="N4746" s="98" t="str">
        <f>IF(record[[#This Row],[Memo]]="Browser:chrome os:android","平板報工",IF(record[[#This Row],[Memo]]=0,"委外",record[[#This Row],[Memo]]))</f>
        <v/>
      </c>
      <c r="O4746" t="s">
        <v>58</v>
      </c>
      <c r="P4746" t="s">
        <v>141</v>
      </c>
      <c r="Q4746" t="s">
        <v>58</v>
      </c>
      <c r="R4746" t="str">
        <f>IFERROR(VLOOKUP(record[[#This Row],[PCUSTID]],廠商[],2,FALSE),"")</f>
        <v/>
      </c>
      <c r="S4746" t="str">
        <f>VLOOKUP(record[[#This Row],[employeeID]],員工[],2,FALSE)</f>
        <v>蔣梅</v>
      </c>
    </row>
    <row r="4747" spans="6:19" hidden="1" x14ac:dyDescent="0.25">
      <c r="F4747" t="s">
        <v>1478</v>
      </c>
      <c r="G4747" t="s">
        <v>424</v>
      </c>
      <c r="H4747" t="str">
        <f>VLOOKUP(record[[#This Row],[ProcessSN]],表格2_7[],2,FALSE)</f>
        <v>30-4118-018-600</v>
      </c>
      <c r="I4747" t="str">
        <f>VLOOKUP(record[[#This Row],[ProcessSN]],表格2_7[],3,FALSE)</f>
        <v>#08IQC</v>
      </c>
      <c r="J4747" t="s">
        <v>583</v>
      </c>
      <c r="K4747" s="195">
        <v>46043.641956018517</v>
      </c>
      <c r="L4747">
        <v>5</v>
      </c>
      <c r="M4747">
        <v>0</v>
      </c>
      <c r="N4747" s="98" t="str">
        <f>IF(record[[#This Row],[Memo]]="Browser:chrome os:android","平板報工",IF(record[[#This Row],[Memo]]=0,"委外",record[[#This Row],[Memo]]))</f>
        <v>覆回</v>
      </c>
      <c r="O4747" t="s">
        <v>682</v>
      </c>
      <c r="P4747" t="s">
        <v>141</v>
      </c>
      <c r="Q4747" t="s">
        <v>58</v>
      </c>
      <c r="R4747" t="str">
        <f>IFERROR(VLOOKUP(record[[#This Row],[PCUSTID]],廠商[],2,FALSE),"")</f>
        <v/>
      </c>
      <c r="S4747" t="str">
        <f>VLOOKUP(record[[#This Row],[employeeID]],員工[],2,FALSE)</f>
        <v>蔣梅</v>
      </c>
    </row>
    <row r="4748" spans="6:19" hidden="1" x14ac:dyDescent="0.25">
      <c r="F4748" t="s">
        <v>1476</v>
      </c>
      <c r="G4748" t="s">
        <v>400</v>
      </c>
      <c r="H4748" t="str">
        <f>VLOOKUP(record[[#This Row],[ProcessSN]],表格2_7[],2,FALSE)</f>
        <v>30-4118-018-550</v>
      </c>
      <c r="I4748" t="str">
        <f>VLOOKUP(record[[#This Row],[ProcessSN]],表格2_7[],3,FALSE)</f>
        <v>#100</v>
      </c>
      <c r="J4748" t="s">
        <v>598</v>
      </c>
      <c r="K4748" s="195">
        <v>46043.641689814816</v>
      </c>
      <c r="L4748">
        <v>412</v>
      </c>
      <c r="M4748">
        <v>0</v>
      </c>
      <c r="N4748" s="98" t="str">
        <f>IF(record[[#This Row],[Memo]]="Browser:chrome os:android","平板報工",IF(record[[#This Row],[Memo]]=0,"委外",record[[#This Row],[Memo]]))</f>
        <v/>
      </c>
      <c r="O4748" t="s">
        <v>58</v>
      </c>
      <c r="P4748" t="s">
        <v>141</v>
      </c>
      <c r="Q4748" t="s">
        <v>58</v>
      </c>
      <c r="R4748" t="str">
        <f>IFERROR(VLOOKUP(record[[#This Row],[PCUSTID]],廠商[],2,FALSE),"")</f>
        <v/>
      </c>
      <c r="S4748" t="str">
        <f>VLOOKUP(record[[#This Row],[employeeID]],員工[],2,FALSE)</f>
        <v>蔣梅</v>
      </c>
    </row>
    <row r="4749" spans="6:19" hidden="1" x14ac:dyDescent="0.25">
      <c r="F4749" t="s">
        <v>1476</v>
      </c>
      <c r="G4749" t="s">
        <v>399</v>
      </c>
      <c r="H4749" t="str">
        <f>VLOOKUP(record[[#This Row],[ProcessSN]],表格2_7[],2,FALSE)</f>
        <v>30-4118-018-550</v>
      </c>
      <c r="I4749" t="str">
        <f>VLOOKUP(record[[#This Row],[ProcessSN]],表格2_7[],3,FALSE)</f>
        <v>#08IQC</v>
      </c>
      <c r="J4749" t="s">
        <v>583</v>
      </c>
      <c r="K4749" s="195">
        <v>46043.641469907408</v>
      </c>
      <c r="L4749">
        <v>3</v>
      </c>
      <c r="M4749">
        <v>0</v>
      </c>
      <c r="N4749" s="98" t="str">
        <f>IF(record[[#This Row],[Memo]]="Browser:chrome os:android","平板報工",IF(record[[#This Row],[Memo]]=0,"委外",record[[#This Row],[Memo]]))</f>
        <v>覆回</v>
      </c>
      <c r="O4749" t="s">
        <v>682</v>
      </c>
      <c r="P4749" t="s">
        <v>141</v>
      </c>
      <c r="Q4749" t="s">
        <v>58</v>
      </c>
      <c r="R4749" t="str">
        <f>IFERROR(VLOOKUP(record[[#This Row],[PCUSTID]],廠商[],2,FALSE),"")</f>
        <v/>
      </c>
      <c r="S4749" t="str">
        <f>VLOOKUP(record[[#This Row],[employeeID]],員工[],2,FALSE)</f>
        <v>蔣梅</v>
      </c>
    </row>
    <row r="4750" spans="6:19" hidden="1" x14ac:dyDescent="0.25">
      <c r="F4750" t="s">
        <v>1476</v>
      </c>
      <c r="G4750" t="s">
        <v>398</v>
      </c>
      <c r="H4750" t="str">
        <f>VLOOKUP(record[[#This Row],[ProcessSN]],表格2_7[],2,FALSE)</f>
        <v>30-4118-018-550</v>
      </c>
      <c r="I4750" t="str">
        <f>VLOOKUP(record[[#This Row],[ProcessSN]],表格2_7[],3,FALSE)</f>
        <v>#08RCV</v>
      </c>
      <c r="J4750" t="s">
        <v>591</v>
      </c>
      <c r="K4750" s="195">
        <v>46043.64130787037</v>
      </c>
      <c r="L4750">
        <v>0</v>
      </c>
      <c r="M4750">
        <v>3</v>
      </c>
      <c r="N4750" s="98" t="str">
        <f>IF(record[[#This Row],[Memo]]="Browser:chrome os:android","平板報工",IF(record[[#This Row],[Memo]]=0,"委外",record[[#This Row],[Memo]]))</f>
        <v/>
      </c>
      <c r="O4750" t="s">
        <v>58</v>
      </c>
      <c r="P4750" t="s">
        <v>141</v>
      </c>
      <c r="Q4750" t="s">
        <v>58</v>
      </c>
      <c r="R4750" t="str">
        <f>IFERROR(VLOOKUP(record[[#This Row],[PCUSTID]],廠商[],2,FALSE),"")</f>
        <v/>
      </c>
      <c r="S4750" t="str">
        <f>VLOOKUP(record[[#This Row],[employeeID]],員工[],2,FALSE)</f>
        <v>蔣梅</v>
      </c>
    </row>
    <row r="4751" spans="6:19" hidden="1" x14ac:dyDescent="0.25">
      <c r="F4751" t="s">
        <v>1476</v>
      </c>
      <c r="G4751" t="s">
        <v>398</v>
      </c>
      <c r="H4751" t="str">
        <f>VLOOKUP(record[[#This Row],[ProcessSN]],表格2_7[],2,FALSE)</f>
        <v>30-4118-018-550</v>
      </c>
      <c r="I4751" t="str">
        <f>VLOOKUP(record[[#This Row],[ProcessSN]],表格2_7[],3,FALSE)</f>
        <v>#08RCV</v>
      </c>
      <c r="J4751" t="s">
        <v>591</v>
      </c>
      <c r="K4751" s="195">
        <v>46043.641122685185</v>
      </c>
      <c r="L4751">
        <v>3</v>
      </c>
      <c r="M4751">
        <v>0</v>
      </c>
      <c r="N4751" s="98" t="str">
        <f>IF(record[[#This Row],[Memo]]="Browser:chrome os:android","平板報工",IF(record[[#This Row],[Memo]]=0,"委外",record[[#This Row],[Memo]]))</f>
        <v>覆回</v>
      </c>
      <c r="O4751" t="s">
        <v>682</v>
      </c>
      <c r="P4751" t="s">
        <v>141</v>
      </c>
      <c r="Q4751" t="s">
        <v>58</v>
      </c>
      <c r="R4751" t="str">
        <f>IFERROR(VLOOKUP(record[[#This Row],[PCUSTID]],廠商[],2,FALSE),"")</f>
        <v/>
      </c>
      <c r="S4751" t="str">
        <f>VLOOKUP(record[[#This Row],[employeeID]],員工[],2,FALSE)</f>
        <v>蔣梅</v>
      </c>
    </row>
    <row r="4752" spans="6:19" hidden="1" x14ac:dyDescent="0.25">
      <c r="F4752" t="s">
        <v>1472</v>
      </c>
      <c r="G4752" t="s">
        <v>418</v>
      </c>
      <c r="H4752" t="str">
        <f>VLOOKUP(record[[#This Row],[ProcessSN]],表格2_7[],2,FALSE)</f>
        <v>30-4118-018-5XX</v>
      </c>
      <c r="I4752" t="str">
        <f>VLOOKUP(record[[#This Row],[ProcessSN]],表格2_7[],3,FALSE)</f>
        <v>#07</v>
      </c>
      <c r="J4752" t="s">
        <v>588</v>
      </c>
      <c r="K4752" s="195">
        <v>46043.63989583333</v>
      </c>
      <c r="L4752">
        <v>201</v>
      </c>
      <c r="M4752">
        <v>0</v>
      </c>
      <c r="N4752" s="98" t="str">
        <f>IF(record[[#This Row],[Memo]]="Browser:chrome os:android","平板報工",IF(record[[#This Row],[Memo]]=0,"委外",record[[#This Row],[Memo]]))</f>
        <v>平板報工</v>
      </c>
      <c r="O4752" t="s">
        <v>643</v>
      </c>
      <c r="P4752" t="s">
        <v>785</v>
      </c>
      <c r="Q4752" t="s">
        <v>644</v>
      </c>
      <c r="R4752" t="str">
        <f>IFERROR(VLOOKUP(record[[#This Row],[PCUSTID]],廠商[],2,FALSE),"")</f>
        <v/>
      </c>
      <c r="S4752" t="str">
        <f>VLOOKUP(record[[#This Row],[employeeID]],員工[],2,FALSE)</f>
        <v>謝刻光</v>
      </c>
    </row>
    <row r="4753" spans="6:19" hidden="1" x14ac:dyDescent="0.25">
      <c r="F4753" t="s">
        <v>1417</v>
      </c>
      <c r="G4753" t="s">
        <v>449</v>
      </c>
      <c r="H4753" t="str">
        <f>VLOOKUP(record[[#This Row],[ProcessSN]],表格2_7[],2,FALSE)</f>
        <v>30-4118-018-6XX</v>
      </c>
      <c r="I4753" t="str">
        <f>VLOOKUP(record[[#This Row],[ProcessSN]],表格2_7[],3,FALSE)</f>
        <v>#05</v>
      </c>
      <c r="J4753" t="s">
        <v>588</v>
      </c>
      <c r="K4753" s="195">
        <v>46043.639143518521</v>
      </c>
      <c r="L4753">
        <v>107</v>
      </c>
      <c r="M4753">
        <v>0</v>
      </c>
      <c r="N4753" s="98" t="str">
        <f>IF(record[[#This Row],[Memo]]="Browser:chrome os:android","平板報工",IF(record[[#This Row],[Memo]]=0,"委外",record[[#This Row],[Memo]]))</f>
        <v>平板報工</v>
      </c>
      <c r="O4753" t="s">
        <v>643</v>
      </c>
      <c r="P4753" t="s">
        <v>785</v>
      </c>
      <c r="Q4753" t="s">
        <v>644</v>
      </c>
      <c r="R4753" t="str">
        <f>IFERROR(VLOOKUP(record[[#This Row],[PCUSTID]],廠商[],2,FALSE),"")</f>
        <v/>
      </c>
      <c r="S4753" t="str">
        <f>VLOOKUP(record[[#This Row],[employeeID]],員工[],2,FALSE)</f>
        <v>謝刻光</v>
      </c>
    </row>
    <row r="4754" spans="6:19" hidden="1" x14ac:dyDescent="0.25">
      <c r="F4754" t="s">
        <v>1476</v>
      </c>
      <c r="G4754" t="s">
        <v>399</v>
      </c>
      <c r="H4754" t="str">
        <f>VLOOKUP(record[[#This Row],[ProcessSN]],表格2_7[],2,FALSE)</f>
        <v>30-4118-018-550</v>
      </c>
      <c r="I4754" t="str">
        <f>VLOOKUP(record[[#This Row],[ProcessSN]],表格2_7[],3,FALSE)</f>
        <v>#08IQC</v>
      </c>
      <c r="J4754" t="s">
        <v>583</v>
      </c>
      <c r="K4754" s="195">
        <v>46043.594074074077</v>
      </c>
      <c r="L4754">
        <v>409</v>
      </c>
      <c r="M4754">
        <v>0</v>
      </c>
      <c r="N4754" s="98" t="str">
        <f>IF(record[[#This Row],[Memo]]="Browser:chrome os:android","平板報工",IF(record[[#This Row],[Memo]]=0,"委外",record[[#This Row],[Memo]]))</f>
        <v/>
      </c>
      <c r="O4754" t="s">
        <v>58</v>
      </c>
      <c r="P4754" t="s">
        <v>109</v>
      </c>
      <c r="Q4754" t="s">
        <v>58</v>
      </c>
      <c r="R4754" t="str">
        <f>IFERROR(VLOOKUP(record[[#This Row],[PCUSTID]],廠商[],2,FALSE),"")</f>
        <v/>
      </c>
      <c r="S4754" t="str">
        <f>VLOOKUP(record[[#This Row],[employeeID]],員工[],2,FALSE)</f>
        <v>裴氏璧鳳</v>
      </c>
    </row>
    <row r="4755" spans="6:19" hidden="1" x14ac:dyDescent="0.25">
      <c r="F4755" t="s">
        <v>1478</v>
      </c>
      <c r="G4755" t="s">
        <v>424</v>
      </c>
      <c r="H4755" t="str">
        <f>VLOOKUP(record[[#This Row],[ProcessSN]],表格2_7[],2,FALSE)</f>
        <v>30-4118-018-600</v>
      </c>
      <c r="I4755" t="str">
        <f>VLOOKUP(record[[#This Row],[ProcessSN]],表格2_7[],3,FALSE)</f>
        <v>#08IQC</v>
      </c>
      <c r="J4755" t="s">
        <v>583</v>
      </c>
      <c r="K4755" s="195">
        <v>46043.593854166669</v>
      </c>
      <c r="L4755">
        <v>155</v>
      </c>
      <c r="M4755">
        <v>0</v>
      </c>
      <c r="N4755" s="98" t="str">
        <f>IF(record[[#This Row],[Memo]]="Browser:chrome os:android","平板報工",IF(record[[#This Row],[Memo]]=0,"委外",record[[#This Row],[Memo]]))</f>
        <v/>
      </c>
      <c r="O4755" t="s">
        <v>58</v>
      </c>
      <c r="P4755" t="s">
        <v>109</v>
      </c>
      <c r="Q4755" t="s">
        <v>58</v>
      </c>
      <c r="R4755" t="str">
        <f>IFERROR(VLOOKUP(record[[#This Row],[PCUSTID]],廠商[],2,FALSE),"")</f>
        <v/>
      </c>
      <c r="S4755" t="str">
        <f>VLOOKUP(record[[#This Row],[employeeID]],員工[],2,FALSE)</f>
        <v>裴氏璧鳳</v>
      </c>
    </row>
    <row r="4756" spans="6:19" hidden="1" x14ac:dyDescent="0.25">
      <c r="F4756" t="s">
        <v>1478</v>
      </c>
      <c r="G4756" t="s">
        <v>423</v>
      </c>
      <c r="H4756" t="str">
        <f>VLOOKUP(record[[#This Row],[ProcessSN]],表格2_7[],2,FALSE)</f>
        <v>30-4118-018-600</v>
      </c>
      <c r="I4756" t="str">
        <f>VLOOKUP(record[[#This Row],[ProcessSN]],表格2_7[],3,FALSE)</f>
        <v>#08RCV</v>
      </c>
      <c r="J4756" t="s">
        <v>591</v>
      </c>
      <c r="K4756" s="195">
        <v>46043.561828703707</v>
      </c>
      <c r="L4756">
        <v>5</v>
      </c>
      <c r="M4756">
        <v>0</v>
      </c>
      <c r="N4756" s="98" t="str">
        <f>IF(record[[#This Row],[Memo]]="Browser:chrome os:android","平板報工",IF(record[[#This Row],[Memo]]=0,"委外",record[[#This Row],[Memo]]))</f>
        <v>覆回</v>
      </c>
      <c r="O4756" t="s">
        <v>682</v>
      </c>
      <c r="P4756" t="s">
        <v>141</v>
      </c>
      <c r="Q4756" t="s">
        <v>58</v>
      </c>
      <c r="R4756" t="str">
        <f>IFERROR(VLOOKUP(record[[#This Row],[PCUSTID]],廠商[],2,FALSE),"")</f>
        <v/>
      </c>
      <c r="S4756" t="str">
        <f>VLOOKUP(record[[#This Row],[employeeID]],員工[],2,FALSE)</f>
        <v>蔣梅</v>
      </c>
    </row>
    <row r="4757" spans="6:19" hidden="1" x14ac:dyDescent="0.25">
      <c r="F4757" t="s">
        <v>1417</v>
      </c>
      <c r="G4757" t="s">
        <v>453</v>
      </c>
      <c r="H4757" t="str">
        <f>VLOOKUP(record[[#This Row],[ProcessSN]],表格2_7[],2,FALSE)</f>
        <v>30-4118-018-6XX</v>
      </c>
      <c r="I4757" t="str">
        <f>VLOOKUP(record[[#This Row],[ProcessSN]],表格2_7[],3,FALSE)</f>
        <v>#07STOCK</v>
      </c>
      <c r="J4757" t="s">
        <v>592</v>
      </c>
      <c r="K4757" s="195">
        <v>46043.500104166669</v>
      </c>
      <c r="L4757">
        <v>304</v>
      </c>
      <c r="M4757">
        <v>0</v>
      </c>
      <c r="N4757" s="98" t="str">
        <f>IF(record[[#This Row],[Memo]]="Browser:chrome os:android","平板報工",IF(record[[#This Row],[Memo]]=0,"委外",record[[#This Row],[Memo]]))</f>
        <v/>
      </c>
      <c r="O4757" t="s">
        <v>58</v>
      </c>
      <c r="P4757" t="s">
        <v>186</v>
      </c>
      <c r="Q4757" t="s">
        <v>58</v>
      </c>
      <c r="R4757" t="str">
        <f>IFERROR(VLOOKUP(record[[#This Row],[PCUSTID]],廠商[],2,FALSE),"")</f>
        <v/>
      </c>
      <c r="S4757" t="str">
        <f>VLOOKUP(record[[#This Row],[employeeID]],員工[],2,FALSE)</f>
        <v>許文姍</v>
      </c>
    </row>
    <row r="4758" spans="6:19" hidden="1" x14ac:dyDescent="0.25">
      <c r="F4758" t="s">
        <v>1476</v>
      </c>
      <c r="G4758" t="s">
        <v>398</v>
      </c>
      <c r="H4758" t="str">
        <f>VLOOKUP(record[[#This Row],[ProcessSN]],表格2_7[],2,FALSE)</f>
        <v>30-4118-018-550</v>
      </c>
      <c r="I4758" t="str">
        <f>VLOOKUP(record[[#This Row],[ProcessSN]],表格2_7[],3,FALSE)</f>
        <v>#08RCV</v>
      </c>
      <c r="J4758" t="s">
        <v>591</v>
      </c>
      <c r="K4758" s="195">
        <v>46043.43959490741</v>
      </c>
      <c r="L4758">
        <v>409</v>
      </c>
      <c r="M4758">
        <v>0</v>
      </c>
      <c r="N4758" s="98" t="str">
        <f>IF(record[[#This Row],[Memo]]="Browser:chrome os:android","平板報工",IF(record[[#This Row],[Memo]]=0,"委外",record[[#This Row],[Memo]]))</f>
        <v/>
      </c>
      <c r="O4758" t="s">
        <v>58</v>
      </c>
      <c r="P4758" t="s">
        <v>186</v>
      </c>
      <c r="Q4758" t="s">
        <v>58</v>
      </c>
      <c r="R4758" t="str">
        <f>IFERROR(VLOOKUP(record[[#This Row],[PCUSTID]],廠商[],2,FALSE),"")</f>
        <v/>
      </c>
      <c r="S4758" t="str">
        <f>VLOOKUP(record[[#This Row],[employeeID]],員工[],2,FALSE)</f>
        <v>許文姍</v>
      </c>
    </row>
    <row r="4759" spans="6:19" hidden="1" x14ac:dyDescent="0.25">
      <c r="F4759" t="s">
        <v>1478</v>
      </c>
      <c r="G4759" t="s">
        <v>423</v>
      </c>
      <c r="H4759" t="str">
        <f>VLOOKUP(record[[#This Row],[ProcessSN]],表格2_7[],2,FALSE)</f>
        <v>30-4118-018-600</v>
      </c>
      <c r="I4759" t="str">
        <f>VLOOKUP(record[[#This Row],[ProcessSN]],表格2_7[],3,FALSE)</f>
        <v>#08RCV</v>
      </c>
      <c r="J4759" t="s">
        <v>591</v>
      </c>
      <c r="K4759" s="195">
        <v>46043.439444444448</v>
      </c>
      <c r="L4759">
        <v>155</v>
      </c>
      <c r="M4759">
        <v>0</v>
      </c>
      <c r="N4759" s="98" t="str">
        <f>IF(record[[#This Row],[Memo]]="Browser:chrome os:android","平板報工",IF(record[[#This Row],[Memo]]=0,"委外",record[[#This Row],[Memo]]))</f>
        <v/>
      </c>
      <c r="O4759" t="s">
        <v>58</v>
      </c>
      <c r="P4759" t="s">
        <v>186</v>
      </c>
      <c r="Q4759" t="s">
        <v>58</v>
      </c>
      <c r="R4759" t="str">
        <f>IFERROR(VLOOKUP(record[[#This Row],[PCUSTID]],廠商[],2,FALSE),"")</f>
        <v/>
      </c>
      <c r="S4759" t="str">
        <f>VLOOKUP(record[[#This Row],[employeeID]],員工[],2,FALSE)</f>
        <v>許文姍</v>
      </c>
    </row>
    <row r="4760" spans="6:19" hidden="1" x14ac:dyDescent="0.25">
      <c r="F4760" t="s">
        <v>1484</v>
      </c>
      <c r="G4760" t="s">
        <v>422</v>
      </c>
      <c r="H4760" t="str">
        <f>VLOOKUP(record[[#This Row],[ProcessSN]],表格2_7[],2,FALSE)</f>
        <v>30-4118-018-600</v>
      </c>
      <c r="I4760" t="str">
        <f>VLOOKUP(record[[#This Row],[ProcessSN]],表格2_7[],3,FALSE)</f>
        <v>#08</v>
      </c>
      <c r="J4760" t="s">
        <v>597</v>
      </c>
      <c r="K4760" s="195">
        <v>46043.419444444444</v>
      </c>
      <c r="L4760">
        <v>304</v>
      </c>
      <c r="M4760">
        <v>0</v>
      </c>
      <c r="N4760" s="98" t="str">
        <f>IF(record[[#This Row],[Memo]]="Browser:chrome os:android","平板報工",IF(record[[#This Row],[Memo]]=0,"委外",record[[#This Row],[Memo]]))</f>
        <v>委外</v>
      </c>
      <c r="P4760" t="s">
        <v>186</v>
      </c>
      <c r="Q4760" t="s">
        <v>287</v>
      </c>
      <c r="R4760" t="str">
        <f>IFERROR(VLOOKUP(record[[#This Row],[PCUSTID]],廠商[],2,FALSE),"")</f>
        <v>泉盛</v>
      </c>
      <c r="S4760" t="str">
        <f>VLOOKUP(record[[#This Row],[employeeID]],員工[],2,FALSE)</f>
        <v>許文姍</v>
      </c>
    </row>
    <row r="4761" spans="6:19" hidden="1" x14ac:dyDescent="0.25">
      <c r="F4761" t="s">
        <v>1484</v>
      </c>
      <c r="G4761" t="s">
        <v>421</v>
      </c>
      <c r="H4761" t="str">
        <f>VLOOKUP(record[[#This Row],[ProcessSN]],表格2_7[],2,FALSE)</f>
        <v>30-4118-018-600</v>
      </c>
      <c r="I4761" t="str">
        <f>VLOOKUP(record[[#This Row],[ProcessSN]],表格2_7[],3,FALSE)</f>
        <v>#08PICK</v>
      </c>
      <c r="J4761" t="s">
        <v>582</v>
      </c>
      <c r="K4761" s="195">
        <v>46043.419108796297</v>
      </c>
      <c r="L4761">
        <v>304</v>
      </c>
      <c r="M4761">
        <v>0</v>
      </c>
      <c r="N4761" s="98" t="str">
        <f>IF(record[[#This Row],[Memo]]="Browser:chrome os:android","平板報工",IF(record[[#This Row],[Memo]]=0,"委外",record[[#This Row],[Memo]]))</f>
        <v/>
      </c>
      <c r="O4761" t="s">
        <v>58</v>
      </c>
      <c r="P4761" t="s">
        <v>186</v>
      </c>
      <c r="Q4761" t="s">
        <v>58</v>
      </c>
      <c r="R4761" t="str">
        <f>IFERROR(VLOOKUP(record[[#This Row],[PCUSTID]],廠商[],2,FALSE),"")</f>
        <v/>
      </c>
      <c r="S4761" t="str">
        <f>VLOOKUP(record[[#This Row],[employeeID]],員工[],2,FALSE)</f>
        <v>許文姍</v>
      </c>
    </row>
    <row r="4762" spans="6:19" hidden="1" x14ac:dyDescent="0.25">
      <c r="F4762" t="s">
        <v>1417</v>
      </c>
      <c r="G4762" t="s">
        <v>452</v>
      </c>
      <c r="H4762" t="str">
        <f>VLOOKUP(record[[#This Row],[ProcessSN]],表格2_7[],2,FALSE)</f>
        <v>30-4118-018-6XX</v>
      </c>
      <c r="I4762" t="str">
        <f>VLOOKUP(record[[#This Row],[ProcessSN]],表格2_7[],3,FALSE)</f>
        <v>#07QC</v>
      </c>
      <c r="J4762" t="s">
        <v>589</v>
      </c>
      <c r="K4762" s="195">
        <v>46043.385150462964</v>
      </c>
      <c r="L4762">
        <v>304</v>
      </c>
      <c r="M4762">
        <v>-304</v>
      </c>
      <c r="N4762" s="98" t="str">
        <f>IF(record[[#This Row],[Memo]]="Browser:chrome os:android","平板報工",IF(record[[#This Row],[Memo]]=0,"委外",record[[#This Row],[Memo]]))</f>
        <v>覆回品</v>
      </c>
      <c r="O4762" t="s">
        <v>664</v>
      </c>
      <c r="P4762" t="s">
        <v>113</v>
      </c>
      <c r="Q4762" t="s">
        <v>58</v>
      </c>
      <c r="R4762" t="str">
        <f>IFERROR(VLOOKUP(record[[#This Row],[PCUSTID]],廠商[],2,FALSE),"")</f>
        <v/>
      </c>
      <c r="S4762" t="str">
        <f>VLOOKUP(record[[#This Row],[employeeID]],員工[],2,FALSE)</f>
        <v>王奕蓁</v>
      </c>
    </row>
    <row r="4763" spans="6:19" hidden="1" x14ac:dyDescent="0.25">
      <c r="F4763" t="s">
        <v>1472</v>
      </c>
      <c r="G4763" t="s">
        <v>417</v>
      </c>
      <c r="H4763" t="str">
        <f>VLOOKUP(record[[#This Row],[ProcessSN]],表格2_7[],2,FALSE)</f>
        <v>30-4118-018-5XX</v>
      </c>
      <c r="I4763" t="str">
        <f>VLOOKUP(record[[#This Row],[ProcessSN]],表格2_7[],3,FALSE)</f>
        <v>#06</v>
      </c>
      <c r="J4763" t="s">
        <v>593</v>
      </c>
      <c r="K4763" s="195">
        <v>46043.308321759258</v>
      </c>
      <c r="L4763">
        <v>133</v>
      </c>
      <c r="M4763">
        <v>0</v>
      </c>
      <c r="N4763" s="98" t="str">
        <f>IF(record[[#This Row],[Memo]]="Browser:chrome os:android","平板報工",IF(record[[#This Row],[Memo]]=0,"委外",record[[#This Row],[Memo]]))</f>
        <v/>
      </c>
      <c r="O4763" t="s">
        <v>58</v>
      </c>
      <c r="P4763" t="s">
        <v>180</v>
      </c>
      <c r="Q4763" t="s">
        <v>58</v>
      </c>
      <c r="R4763" t="str">
        <f>IFERROR(VLOOKUP(record[[#This Row],[PCUSTID]],廠商[],2,FALSE),"")</f>
        <v/>
      </c>
      <c r="S4763" t="str">
        <f>VLOOKUP(record[[#This Row],[employeeID]],員工[],2,FALSE)</f>
        <v>黎功江</v>
      </c>
    </row>
    <row r="4764" spans="6:19" hidden="1" x14ac:dyDescent="0.25">
      <c r="F4764" t="s">
        <v>1472</v>
      </c>
      <c r="G4764" t="s">
        <v>416</v>
      </c>
      <c r="H4764" t="str">
        <f>VLOOKUP(record[[#This Row],[ProcessSN]],表格2_7[],2,FALSE)</f>
        <v>30-4118-018-5XX</v>
      </c>
      <c r="I4764" t="str">
        <f>VLOOKUP(record[[#This Row],[ProcessSN]],表格2_7[],3,FALSE)</f>
        <v>#05</v>
      </c>
      <c r="J4764" t="s">
        <v>588</v>
      </c>
      <c r="K4764" s="195">
        <v>46043.305891203701</v>
      </c>
      <c r="L4764">
        <v>126</v>
      </c>
      <c r="M4764">
        <v>0</v>
      </c>
      <c r="N4764" s="98" t="str">
        <f>IF(record[[#This Row],[Memo]]="Browser:chrome os:android","平板報工",IF(record[[#This Row],[Memo]]=0,"委外",record[[#This Row],[Memo]]))</f>
        <v/>
      </c>
      <c r="O4764" t="s">
        <v>58</v>
      </c>
      <c r="P4764" t="s">
        <v>843</v>
      </c>
      <c r="Q4764" t="s">
        <v>58</v>
      </c>
      <c r="R4764" t="str">
        <f>IFERROR(VLOOKUP(record[[#This Row],[PCUSTID]],廠商[],2,FALSE),"")</f>
        <v/>
      </c>
      <c r="S4764" t="str">
        <f>VLOOKUP(record[[#This Row],[employeeID]],員工[],2,FALSE)</f>
        <v>張楚承</v>
      </c>
    </row>
    <row r="4765" spans="6:19" hidden="1" x14ac:dyDescent="0.25">
      <c r="F4765" t="s">
        <v>1472</v>
      </c>
      <c r="G4765" t="s">
        <v>415</v>
      </c>
      <c r="H4765" t="str">
        <f>VLOOKUP(record[[#This Row],[ProcessSN]],表格2_7[],2,FALSE)</f>
        <v>30-4118-018-5XX</v>
      </c>
      <c r="I4765" t="str">
        <f>VLOOKUP(record[[#This Row],[ProcessSN]],表格2_7[],3,FALSE)</f>
        <v>#04</v>
      </c>
      <c r="J4765" t="s">
        <v>588</v>
      </c>
      <c r="K4765" s="195">
        <v>46043.301261574074</v>
      </c>
      <c r="L4765">
        <v>126</v>
      </c>
      <c r="M4765">
        <v>0</v>
      </c>
      <c r="N4765" s="98" t="str">
        <f>IF(record[[#This Row],[Memo]]="Browser:chrome os:android","平板報工",IF(record[[#This Row],[Memo]]=0,"委外",record[[#This Row],[Memo]]))</f>
        <v/>
      </c>
      <c r="O4765" t="s">
        <v>58</v>
      </c>
      <c r="P4765" t="s">
        <v>135</v>
      </c>
      <c r="Q4765" t="s">
        <v>58</v>
      </c>
      <c r="R4765" t="str">
        <f>IFERROR(VLOOKUP(record[[#This Row],[PCUSTID]],廠商[],2,FALSE),"")</f>
        <v/>
      </c>
      <c r="S4765" t="str">
        <f>VLOOKUP(record[[#This Row],[employeeID]],員工[],2,FALSE)</f>
        <v>阮士文</v>
      </c>
    </row>
    <row r="4766" spans="6:19" hidden="1" x14ac:dyDescent="0.25">
      <c r="F4766" t="s">
        <v>1474</v>
      </c>
      <c r="G4766" t="s">
        <v>448</v>
      </c>
      <c r="H4766" t="str">
        <f>VLOOKUP(record[[#This Row],[ProcessSN]],表格2_7[],2,FALSE)</f>
        <v>30-4118-018-6XX</v>
      </c>
      <c r="I4766" t="str">
        <f>VLOOKUP(record[[#This Row],[ProcessSN]],表格2_7[],3,FALSE)</f>
        <v>#04</v>
      </c>
      <c r="J4766" t="s">
        <v>588</v>
      </c>
      <c r="K4766" s="195">
        <v>46043.300949074073</v>
      </c>
      <c r="L4766">
        <v>129</v>
      </c>
      <c r="M4766">
        <v>0</v>
      </c>
      <c r="N4766" s="98" t="str">
        <f>IF(record[[#This Row],[Memo]]="Browser:chrome os:android","平板報工",IF(record[[#This Row],[Memo]]=0,"委外",record[[#This Row],[Memo]]))</f>
        <v/>
      </c>
      <c r="O4766" t="s">
        <v>58</v>
      </c>
      <c r="P4766" t="s">
        <v>135</v>
      </c>
      <c r="Q4766" t="s">
        <v>58</v>
      </c>
      <c r="R4766" t="str">
        <f>IFERROR(VLOOKUP(record[[#This Row],[PCUSTID]],廠商[],2,FALSE),"")</f>
        <v/>
      </c>
      <c r="S4766" t="str">
        <f>VLOOKUP(record[[#This Row],[employeeID]],員工[],2,FALSE)</f>
        <v>阮士文</v>
      </c>
    </row>
    <row r="4767" spans="6:19" hidden="1" x14ac:dyDescent="0.25">
      <c r="F4767" t="s">
        <v>1472</v>
      </c>
      <c r="G4767" t="s">
        <v>417</v>
      </c>
      <c r="H4767" t="str">
        <f>VLOOKUP(record[[#This Row],[ProcessSN]],表格2_7[],2,FALSE)</f>
        <v>30-4118-018-5XX</v>
      </c>
      <c r="I4767" t="str">
        <f>VLOOKUP(record[[#This Row],[ProcessSN]],表格2_7[],3,FALSE)</f>
        <v>#06</v>
      </c>
      <c r="J4767" t="s">
        <v>593</v>
      </c>
      <c r="K4767" s="195">
        <v>46042.954814814817</v>
      </c>
      <c r="L4767">
        <v>66</v>
      </c>
      <c r="M4767">
        <v>0</v>
      </c>
      <c r="N4767" s="98" t="str">
        <f>IF(record[[#This Row],[Memo]]="Browser:chrome os:android","平板報工",IF(record[[#This Row],[Memo]]=0,"委外",record[[#This Row],[Memo]]))</f>
        <v/>
      </c>
      <c r="O4767" t="s">
        <v>58</v>
      </c>
      <c r="P4767" t="s">
        <v>806</v>
      </c>
      <c r="Q4767" t="s">
        <v>58</v>
      </c>
      <c r="R4767" t="str">
        <f>IFERROR(VLOOKUP(record[[#This Row],[PCUSTID]],廠商[],2,FALSE),"")</f>
        <v/>
      </c>
      <c r="S4767" t="str">
        <f>VLOOKUP(record[[#This Row],[employeeID]],員工[],2,FALSE)</f>
        <v>方思緯</v>
      </c>
    </row>
    <row r="4768" spans="6:19" hidden="1" x14ac:dyDescent="0.25">
      <c r="F4768" t="s">
        <v>1472</v>
      </c>
      <c r="G4768" t="s">
        <v>416</v>
      </c>
      <c r="H4768" t="str">
        <f>VLOOKUP(record[[#This Row],[ProcessSN]],表格2_7[],2,FALSE)</f>
        <v>30-4118-018-5XX</v>
      </c>
      <c r="I4768" t="str">
        <f>VLOOKUP(record[[#This Row],[ProcessSN]],表格2_7[],3,FALSE)</f>
        <v>#05</v>
      </c>
      <c r="J4768" t="s">
        <v>588</v>
      </c>
      <c r="K4768" s="195">
        <v>46042.9530787037</v>
      </c>
      <c r="L4768">
        <v>130</v>
      </c>
      <c r="M4768">
        <v>0</v>
      </c>
      <c r="N4768" s="98" t="str">
        <f>IF(record[[#This Row],[Memo]]="Browser:chrome os:android","平板報工",IF(record[[#This Row],[Memo]]=0,"委外",record[[#This Row],[Memo]]))</f>
        <v/>
      </c>
      <c r="O4768" t="s">
        <v>58</v>
      </c>
      <c r="P4768" t="s">
        <v>89</v>
      </c>
      <c r="Q4768" t="s">
        <v>58</v>
      </c>
      <c r="R4768" t="str">
        <f>IFERROR(VLOOKUP(record[[#This Row],[PCUSTID]],廠商[],2,FALSE),"")</f>
        <v/>
      </c>
      <c r="S4768" t="str">
        <f>VLOOKUP(record[[#This Row],[employeeID]],員工[],2,FALSE)</f>
        <v>李美蓮</v>
      </c>
    </row>
    <row r="4769" spans="6:19" hidden="1" x14ac:dyDescent="0.25">
      <c r="F4769" t="s">
        <v>1472</v>
      </c>
      <c r="G4769" t="s">
        <v>415</v>
      </c>
      <c r="H4769" t="str">
        <f>VLOOKUP(record[[#This Row],[ProcessSN]],表格2_7[],2,FALSE)</f>
        <v>30-4118-018-5XX</v>
      </c>
      <c r="I4769" t="str">
        <f>VLOOKUP(record[[#This Row],[ProcessSN]],表格2_7[],3,FALSE)</f>
        <v>#04</v>
      </c>
      <c r="J4769" t="s">
        <v>588</v>
      </c>
      <c r="K4769" s="195">
        <v>46042.952175925922</v>
      </c>
      <c r="L4769">
        <v>130</v>
      </c>
      <c r="M4769">
        <v>0</v>
      </c>
      <c r="N4769" s="98" t="str">
        <f>IF(record[[#This Row],[Memo]]="Browser:chrome os:android","平板報工",IF(record[[#This Row],[Memo]]=0,"委外",record[[#This Row],[Memo]]))</f>
        <v/>
      </c>
      <c r="O4769" t="s">
        <v>58</v>
      </c>
      <c r="P4769" t="s">
        <v>1098</v>
      </c>
      <c r="Q4769" t="s">
        <v>58</v>
      </c>
      <c r="R4769" t="str">
        <f>IFERROR(VLOOKUP(record[[#This Row],[PCUSTID]],廠商[],2,FALSE),"")</f>
        <v/>
      </c>
      <c r="S4769" t="str">
        <f>VLOOKUP(record[[#This Row],[employeeID]],員工[],2,FALSE)</f>
        <v>阮氏芳英(英)</v>
      </c>
    </row>
    <row r="4770" spans="6:19" hidden="1" x14ac:dyDescent="0.25">
      <c r="F4770" t="s">
        <v>1474</v>
      </c>
      <c r="G4770" t="s">
        <v>448</v>
      </c>
      <c r="H4770" t="str">
        <f>VLOOKUP(record[[#This Row],[ProcessSN]],表格2_7[],2,FALSE)</f>
        <v>30-4118-018-6XX</v>
      </c>
      <c r="I4770" t="str">
        <f>VLOOKUP(record[[#This Row],[ProcessSN]],表格2_7[],3,FALSE)</f>
        <v>#04</v>
      </c>
      <c r="J4770" t="s">
        <v>588</v>
      </c>
      <c r="K4770" s="195">
        <v>46042.951944444445</v>
      </c>
      <c r="L4770">
        <v>129</v>
      </c>
      <c r="M4770">
        <v>0</v>
      </c>
      <c r="N4770" s="98" t="str">
        <f>IF(record[[#This Row],[Memo]]="Browser:chrome os:android","平板報工",IF(record[[#This Row],[Memo]]=0,"委外",record[[#This Row],[Memo]]))</f>
        <v/>
      </c>
      <c r="O4770" t="s">
        <v>58</v>
      </c>
      <c r="P4770" t="s">
        <v>1098</v>
      </c>
      <c r="Q4770" t="s">
        <v>58</v>
      </c>
      <c r="R4770" t="str">
        <f>IFERROR(VLOOKUP(record[[#This Row],[PCUSTID]],廠商[],2,FALSE),"")</f>
        <v/>
      </c>
      <c r="S4770" t="str">
        <f>VLOOKUP(record[[#This Row],[employeeID]],員工[],2,FALSE)</f>
        <v>阮氏芳英(英)</v>
      </c>
    </row>
    <row r="4771" spans="6:19" hidden="1" x14ac:dyDescent="0.25">
      <c r="F4771" t="s">
        <v>1474</v>
      </c>
      <c r="G4771" t="s">
        <v>448</v>
      </c>
      <c r="H4771" t="str">
        <f>VLOOKUP(record[[#This Row],[ProcessSN]],表格2_7[],2,FALSE)</f>
        <v>30-4118-018-6XX</v>
      </c>
      <c r="I4771" t="str">
        <f>VLOOKUP(record[[#This Row],[ProcessSN]],表格2_7[],3,FALSE)</f>
        <v>#04</v>
      </c>
      <c r="J4771" t="s">
        <v>588</v>
      </c>
      <c r="K4771" s="195">
        <v>46042.950624999998</v>
      </c>
      <c r="L4771">
        <v>105</v>
      </c>
      <c r="M4771">
        <v>0</v>
      </c>
      <c r="N4771" s="98" t="str">
        <f>IF(record[[#This Row],[Memo]]="Browser:chrome os:android","平板報工",IF(record[[#This Row],[Memo]]=0,"委外",record[[#This Row],[Memo]]))</f>
        <v>晚1/19</v>
      </c>
      <c r="O4771" t="s">
        <v>1483</v>
      </c>
      <c r="P4771" t="s">
        <v>135</v>
      </c>
      <c r="Q4771" t="s">
        <v>58</v>
      </c>
      <c r="R4771" t="str">
        <f>IFERROR(VLOOKUP(record[[#This Row],[PCUSTID]],廠商[],2,FALSE),"")</f>
        <v/>
      </c>
      <c r="S4771" t="str">
        <f>VLOOKUP(record[[#This Row],[employeeID]],員工[],2,FALSE)</f>
        <v>阮士文</v>
      </c>
    </row>
    <row r="4772" spans="6:19" hidden="1" x14ac:dyDescent="0.25">
      <c r="F4772" t="s">
        <v>1474</v>
      </c>
      <c r="G4772" t="s">
        <v>448</v>
      </c>
      <c r="H4772" t="str">
        <f>VLOOKUP(record[[#This Row],[ProcessSN]],表格2_7[],2,FALSE)</f>
        <v>30-4118-018-6XX</v>
      </c>
      <c r="I4772" t="str">
        <f>VLOOKUP(record[[#This Row],[ProcessSN]],表格2_7[],3,FALSE)</f>
        <v>#04</v>
      </c>
      <c r="J4772" t="s">
        <v>588</v>
      </c>
      <c r="K4772" s="195">
        <v>46042.950046296297</v>
      </c>
      <c r="L4772">
        <v>129</v>
      </c>
      <c r="M4772">
        <v>0</v>
      </c>
      <c r="N4772" s="98" t="str">
        <f>IF(record[[#This Row],[Memo]]="Browser:chrome os:android","平板報工",IF(record[[#This Row],[Memo]]=0,"委外",record[[#This Row],[Memo]]))</f>
        <v/>
      </c>
      <c r="O4772" t="s">
        <v>58</v>
      </c>
      <c r="P4772" t="s">
        <v>89</v>
      </c>
      <c r="Q4772" t="s">
        <v>58</v>
      </c>
      <c r="R4772" t="str">
        <f>IFERROR(VLOOKUP(record[[#This Row],[PCUSTID]],廠商[],2,FALSE),"")</f>
        <v/>
      </c>
      <c r="S4772" t="str">
        <f>VLOOKUP(record[[#This Row],[employeeID]],員工[],2,FALSE)</f>
        <v>李美蓮</v>
      </c>
    </row>
    <row r="4773" spans="6:19" hidden="1" x14ac:dyDescent="0.25">
      <c r="F4773" t="s">
        <v>1472</v>
      </c>
      <c r="G4773" t="s">
        <v>417</v>
      </c>
      <c r="H4773" t="str">
        <f>VLOOKUP(record[[#This Row],[ProcessSN]],表格2_7[],2,FALSE)</f>
        <v>30-4118-018-5XX</v>
      </c>
      <c r="I4773" t="str">
        <f>VLOOKUP(record[[#This Row],[ProcessSN]],表格2_7[],3,FALSE)</f>
        <v>#06</v>
      </c>
      <c r="J4773" t="s">
        <v>593</v>
      </c>
      <c r="K4773" s="195">
        <v>46042.777604166666</v>
      </c>
      <c r="L4773">
        <v>67</v>
      </c>
      <c r="M4773">
        <v>0</v>
      </c>
      <c r="N4773" s="98" t="str">
        <f>IF(record[[#This Row],[Memo]]="Browser:chrome os:android","平板報工",IF(record[[#This Row],[Memo]]=0,"委外",record[[#This Row],[Memo]]))</f>
        <v/>
      </c>
      <c r="O4773" t="s">
        <v>58</v>
      </c>
      <c r="P4773" t="s">
        <v>1413</v>
      </c>
      <c r="Q4773" t="s">
        <v>58</v>
      </c>
      <c r="R4773" t="str">
        <f>IFERROR(VLOOKUP(record[[#This Row],[PCUSTID]],廠商[],2,FALSE),"")</f>
        <v/>
      </c>
      <c r="S4773" t="str">
        <f>VLOOKUP(record[[#This Row],[employeeID]],員工[],2,FALSE)</f>
        <v>阮氏芳英(芳)</v>
      </c>
    </row>
    <row r="4774" spans="6:19" hidden="1" x14ac:dyDescent="0.25">
      <c r="F4774" t="s">
        <v>1472</v>
      </c>
      <c r="G4774" t="s">
        <v>416</v>
      </c>
      <c r="H4774" t="str">
        <f>VLOOKUP(record[[#This Row],[ProcessSN]],表格2_7[],2,FALSE)</f>
        <v>30-4118-018-5XX</v>
      </c>
      <c r="I4774" t="str">
        <f>VLOOKUP(record[[#This Row],[ProcessSN]],表格2_7[],3,FALSE)</f>
        <v>#05</v>
      </c>
      <c r="J4774" t="s">
        <v>588</v>
      </c>
      <c r="K4774" s="195">
        <v>46042.642604166664</v>
      </c>
      <c r="L4774">
        <v>84</v>
      </c>
      <c r="M4774">
        <v>0</v>
      </c>
      <c r="N4774" s="98" t="str">
        <f>IF(record[[#This Row],[Memo]]="Browser:chrome os:android","平板報工",IF(record[[#This Row],[Memo]]=0,"委外",record[[#This Row],[Memo]]))</f>
        <v>平板報工</v>
      </c>
      <c r="O4774" t="s">
        <v>643</v>
      </c>
      <c r="P4774" t="s">
        <v>785</v>
      </c>
      <c r="Q4774" t="s">
        <v>644</v>
      </c>
      <c r="R4774" t="str">
        <f>IFERROR(VLOOKUP(record[[#This Row],[PCUSTID]],廠商[],2,FALSE),"")</f>
        <v/>
      </c>
      <c r="S4774" t="str">
        <f>VLOOKUP(record[[#This Row],[employeeID]],員工[],2,FALSE)</f>
        <v>謝刻光</v>
      </c>
    </row>
    <row r="4775" spans="6:19" hidden="1" x14ac:dyDescent="0.25">
      <c r="F4775" t="s">
        <v>1472</v>
      </c>
      <c r="G4775" t="s">
        <v>417</v>
      </c>
      <c r="H4775" t="str">
        <f>VLOOKUP(record[[#This Row],[ProcessSN]],表格2_7[],2,FALSE)</f>
        <v>30-4118-018-5XX</v>
      </c>
      <c r="I4775" t="str">
        <f>VLOOKUP(record[[#This Row],[ProcessSN]],表格2_7[],3,FALSE)</f>
        <v>#06</v>
      </c>
      <c r="J4775" t="s">
        <v>593</v>
      </c>
      <c r="K4775" s="195">
        <v>46042.638657407406</v>
      </c>
      <c r="L4775">
        <v>115</v>
      </c>
      <c r="M4775">
        <v>0</v>
      </c>
      <c r="N4775" s="98" t="str">
        <f>IF(record[[#This Row],[Memo]]="Browser:chrome os:android","平板報工",IF(record[[#This Row],[Memo]]=0,"委外",record[[#This Row],[Memo]]))</f>
        <v>平板報工</v>
      </c>
      <c r="O4775" t="s">
        <v>643</v>
      </c>
      <c r="P4775" t="s">
        <v>1413</v>
      </c>
      <c r="Q4775" t="s">
        <v>644</v>
      </c>
      <c r="R4775" t="str">
        <f>IFERROR(VLOOKUP(record[[#This Row],[PCUSTID]],廠商[],2,FALSE),"")</f>
        <v/>
      </c>
      <c r="S4775" t="str">
        <f>VLOOKUP(record[[#This Row],[employeeID]],員工[],2,FALSE)</f>
        <v>阮氏芳英(芳)</v>
      </c>
    </row>
    <row r="4776" spans="6:19" hidden="1" x14ac:dyDescent="0.25">
      <c r="F4776" t="s">
        <v>1472</v>
      </c>
      <c r="G4776" t="s">
        <v>415</v>
      </c>
      <c r="H4776" t="str">
        <f>VLOOKUP(record[[#This Row],[ProcessSN]],表格2_7[],2,FALSE)</f>
        <v>30-4118-018-5XX</v>
      </c>
      <c r="I4776" t="str">
        <f>VLOOKUP(record[[#This Row],[ProcessSN]],表格2_7[],3,FALSE)</f>
        <v>#04</v>
      </c>
      <c r="J4776" t="s">
        <v>588</v>
      </c>
      <c r="K4776" s="195">
        <v>46042.637743055559</v>
      </c>
      <c r="L4776">
        <v>84</v>
      </c>
      <c r="M4776">
        <v>20</v>
      </c>
      <c r="N4776" s="98" t="str">
        <f>IF(record[[#This Row],[Memo]]="Browser:chrome os:android","平板報工",IF(record[[#This Row],[Memo]]=0,"委外",record[[#This Row],[Memo]]))</f>
        <v>平板報工</v>
      </c>
      <c r="O4776" t="s">
        <v>643</v>
      </c>
      <c r="P4776" t="s">
        <v>789</v>
      </c>
      <c r="Q4776" t="s">
        <v>644</v>
      </c>
      <c r="R4776" t="str">
        <f>IFERROR(VLOOKUP(record[[#This Row],[PCUSTID]],廠商[],2,FALSE),"")</f>
        <v/>
      </c>
      <c r="S4776" t="str">
        <f>VLOOKUP(record[[#This Row],[employeeID]],員工[],2,FALSE)</f>
        <v>張月霞</v>
      </c>
    </row>
    <row r="4777" spans="6:19" hidden="1" x14ac:dyDescent="0.25">
      <c r="F4777" t="s">
        <v>1474</v>
      </c>
      <c r="G4777" t="s">
        <v>448</v>
      </c>
      <c r="H4777" t="str">
        <f>VLOOKUP(record[[#This Row],[ProcessSN]],表格2_7[],2,FALSE)</f>
        <v>30-4118-018-6XX</v>
      </c>
      <c r="I4777" t="str">
        <f>VLOOKUP(record[[#This Row],[ProcessSN]],表格2_7[],3,FALSE)</f>
        <v>#04</v>
      </c>
      <c r="J4777" t="s">
        <v>588</v>
      </c>
      <c r="K4777" s="195">
        <v>46042.637476851851</v>
      </c>
      <c r="L4777">
        <v>133</v>
      </c>
      <c r="M4777">
        <v>0</v>
      </c>
      <c r="N4777" s="98" t="str">
        <f>IF(record[[#This Row],[Memo]]="Browser:chrome os:android","平板報工",IF(record[[#This Row],[Memo]]=0,"委外",record[[#This Row],[Memo]]))</f>
        <v>平板報工</v>
      </c>
      <c r="O4777" t="s">
        <v>643</v>
      </c>
      <c r="P4777" t="s">
        <v>789</v>
      </c>
      <c r="Q4777" t="s">
        <v>644</v>
      </c>
      <c r="R4777" t="str">
        <f>IFERROR(VLOOKUP(record[[#This Row],[PCUSTID]],廠商[],2,FALSE),"")</f>
        <v/>
      </c>
      <c r="S4777" t="str">
        <f>VLOOKUP(record[[#This Row],[employeeID]],員工[],2,FALSE)</f>
        <v>張月霞</v>
      </c>
    </row>
    <row r="4778" spans="6:19" hidden="1" x14ac:dyDescent="0.25">
      <c r="F4778" t="s">
        <v>1467</v>
      </c>
      <c r="G4778" t="s">
        <v>428</v>
      </c>
      <c r="H4778" t="str">
        <f>VLOOKUP(record[[#This Row],[ProcessSN]],表格2_7[],2,FALSE)</f>
        <v>30-4118-018-600</v>
      </c>
      <c r="I4778" t="str">
        <f>VLOOKUP(record[[#This Row],[ProcessSN]],表格2_7[],3,FALSE)</f>
        <v>#100SHIP</v>
      </c>
      <c r="J4778" t="s">
        <v>600</v>
      </c>
      <c r="K4778" s="195">
        <v>46042.571875000001</v>
      </c>
      <c r="L4778">
        <v>164</v>
      </c>
      <c r="M4778">
        <v>0</v>
      </c>
      <c r="N4778" s="98" t="str">
        <f>IF(record[[#This Row],[Memo]]="Browser:chrome os:android","平板報工",IF(record[[#This Row],[Memo]]=0,"委外",record[[#This Row],[Memo]]))</f>
        <v/>
      </c>
      <c r="O4778" t="s">
        <v>58</v>
      </c>
      <c r="P4778" t="s">
        <v>886</v>
      </c>
      <c r="Q4778" t="s">
        <v>58</v>
      </c>
      <c r="R4778" t="str">
        <f>IFERROR(VLOOKUP(record[[#This Row],[PCUSTID]],廠商[],2,FALSE),"")</f>
        <v/>
      </c>
      <c r="S4778" t="str">
        <f>VLOOKUP(record[[#This Row],[employeeID]],員工[],2,FALSE)</f>
        <v>謝蓁薰</v>
      </c>
    </row>
    <row r="4779" spans="6:19" hidden="1" x14ac:dyDescent="0.25">
      <c r="F4779" t="s">
        <v>1457</v>
      </c>
      <c r="G4779" t="s">
        <v>428</v>
      </c>
      <c r="H4779" t="str">
        <f>VLOOKUP(record[[#This Row],[ProcessSN]],表格2_7[],2,FALSE)</f>
        <v>30-4118-018-600</v>
      </c>
      <c r="I4779" t="str">
        <f>VLOOKUP(record[[#This Row],[ProcessSN]],表格2_7[],3,FALSE)</f>
        <v>#100SHIP</v>
      </c>
      <c r="J4779" t="s">
        <v>600</v>
      </c>
      <c r="K4779" s="195">
        <v>46042.571689814817</v>
      </c>
      <c r="L4779">
        <v>1</v>
      </c>
      <c r="M4779">
        <v>0</v>
      </c>
      <c r="N4779" s="98" t="str">
        <f>IF(record[[#This Row],[Memo]]="Browser:chrome os:android","平板報工",IF(record[[#This Row],[Memo]]=0,"委外",record[[#This Row],[Memo]]))</f>
        <v/>
      </c>
      <c r="O4779" t="s">
        <v>58</v>
      </c>
      <c r="P4779" t="s">
        <v>886</v>
      </c>
      <c r="Q4779" t="s">
        <v>58</v>
      </c>
      <c r="R4779" t="str">
        <f>IFERROR(VLOOKUP(record[[#This Row],[PCUSTID]],廠商[],2,FALSE),"")</f>
        <v/>
      </c>
      <c r="S4779" t="str">
        <f>VLOOKUP(record[[#This Row],[employeeID]],員工[],2,FALSE)</f>
        <v>謝蓁薰</v>
      </c>
    </row>
    <row r="4780" spans="6:19" hidden="1" x14ac:dyDescent="0.25">
      <c r="F4780" t="s">
        <v>1451</v>
      </c>
      <c r="G4780" t="s">
        <v>403</v>
      </c>
      <c r="H4780" t="str">
        <f>VLOOKUP(record[[#This Row],[ProcessSN]],表格2_7[],2,FALSE)</f>
        <v>30-4118-018-550</v>
      </c>
      <c r="I4780" t="str">
        <f>VLOOKUP(record[[#This Row],[ProcessSN]],表格2_7[],3,FALSE)</f>
        <v>#100SHIP</v>
      </c>
      <c r="J4780" t="s">
        <v>600</v>
      </c>
      <c r="K4780" s="195">
        <v>46042.571550925924</v>
      </c>
      <c r="L4780">
        <v>13</v>
      </c>
      <c r="M4780">
        <v>0</v>
      </c>
      <c r="N4780" s="98" t="str">
        <f>IF(record[[#This Row],[Memo]]="Browser:chrome os:android","平板報工",IF(record[[#This Row],[Memo]]=0,"委外",record[[#This Row],[Memo]]))</f>
        <v/>
      </c>
      <c r="O4780" t="s">
        <v>58</v>
      </c>
      <c r="P4780" t="s">
        <v>886</v>
      </c>
      <c r="Q4780" t="s">
        <v>58</v>
      </c>
      <c r="R4780" t="str">
        <f>IFERROR(VLOOKUP(record[[#This Row],[PCUSTID]],廠商[],2,FALSE),"")</f>
        <v/>
      </c>
      <c r="S4780" t="str">
        <f>VLOOKUP(record[[#This Row],[employeeID]],員工[],2,FALSE)</f>
        <v>謝蓁薰</v>
      </c>
    </row>
    <row r="4781" spans="6:19" hidden="1" x14ac:dyDescent="0.25">
      <c r="F4781" t="s">
        <v>1472</v>
      </c>
      <c r="G4781" t="s">
        <v>420</v>
      </c>
      <c r="H4781" t="str">
        <f>VLOOKUP(record[[#This Row],[ProcessSN]],表格2_7[],2,FALSE)</f>
        <v>30-4118-018-5XX</v>
      </c>
      <c r="I4781" t="str">
        <f>VLOOKUP(record[[#This Row],[ProcessSN]],表格2_7[],3,FALSE)</f>
        <v>#07STOCK</v>
      </c>
      <c r="J4781" t="s">
        <v>592</v>
      </c>
      <c r="K4781" s="195">
        <v>46042.549710648149</v>
      </c>
      <c r="L4781">
        <v>287</v>
      </c>
      <c r="M4781">
        <v>0</v>
      </c>
      <c r="N4781" s="98" t="str">
        <f>IF(record[[#This Row],[Memo]]="Browser:chrome os:android","平板報工",IF(record[[#This Row],[Memo]]=0,"委外",record[[#This Row],[Memo]]))</f>
        <v/>
      </c>
      <c r="O4781" t="s">
        <v>58</v>
      </c>
      <c r="P4781" t="s">
        <v>186</v>
      </c>
      <c r="Q4781" t="s">
        <v>58</v>
      </c>
      <c r="R4781" t="str">
        <f>IFERROR(VLOOKUP(record[[#This Row],[PCUSTID]],廠商[],2,FALSE),"")</f>
        <v/>
      </c>
      <c r="S4781" t="str">
        <f>VLOOKUP(record[[#This Row],[employeeID]],員工[],2,FALSE)</f>
        <v>許文姍</v>
      </c>
    </row>
    <row r="4782" spans="6:19" hidden="1" x14ac:dyDescent="0.25">
      <c r="F4782" t="s">
        <v>1407</v>
      </c>
      <c r="G4782" t="s">
        <v>361</v>
      </c>
      <c r="H4782" t="str">
        <f>VLOOKUP(record[[#This Row],[ProcessSN]],表格2_7[],2,FALSE)</f>
        <v>30-4118-018-450</v>
      </c>
      <c r="I4782" t="str">
        <f>VLOOKUP(record[[#This Row],[ProcessSN]],表格2_7[],3,FALSE)</f>
        <v>#100STOCK</v>
      </c>
      <c r="J4782" t="s">
        <v>592</v>
      </c>
      <c r="K4782" s="195">
        <v>46042.473182870373</v>
      </c>
      <c r="L4782">
        <v>168</v>
      </c>
      <c r="M4782">
        <v>0</v>
      </c>
      <c r="N4782" s="98" t="str">
        <f>IF(record[[#This Row],[Memo]]="Browser:chrome os:android","平板報工",IF(record[[#This Row],[Memo]]=0,"委外",record[[#This Row],[Memo]]))</f>
        <v/>
      </c>
      <c r="O4782" t="s">
        <v>58</v>
      </c>
      <c r="P4782" t="s">
        <v>886</v>
      </c>
      <c r="Q4782" t="s">
        <v>58</v>
      </c>
      <c r="R4782" t="str">
        <f>IFERROR(VLOOKUP(record[[#This Row],[PCUSTID]],廠商[],2,FALSE),"")</f>
        <v/>
      </c>
      <c r="S4782" t="str">
        <f>VLOOKUP(record[[#This Row],[employeeID]],員工[],2,FALSE)</f>
        <v>謝蓁薰</v>
      </c>
    </row>
    <row r="4783" spans="6:19" hidden="1" x14ac:dyDescent="0.25">
      <c r="F4783" t="s">
        <v>1480</v>
      </c>
      <c r="G4783" t="s">
        <v>397</v>
      </c>
      <c r="H4783" t="str">
        <f>VLOOKUP(record[[#This Row],[ProcessSN]],表格2_7[],2,FALSE)</f>
        <v>30-4118-018-550</v>
      </c>
      <c r="I4783" t="str">
        <f>VLOOKUP(record[[#This Row],[ProcessSN]],表格2_7[],3,FALSE)</f>
        <v>#08</v>
      </c>
      <c r="J4783" t="s">
        <v>597</v>
      </c>
      <c r="K4783" s="195">
        <v>46042.454768518517</v>
      </c>
      <c r="L4783">
        <v>287</v>
      </c>
      <c r="M4783">
        <v>0</v>
      </c>
      <c r="N4783" s="98" t="str">
        <f>IF(record[[#This Row],[Memo]]="Browser:chrome os:android","平板報工",IF(record[[#This Row],[Memo]]=0,"委外",record[[#This Row],[Memo]]))</f>
        <v/>
      </c>
      <c r="O4783" t="s">
        <v>58</v>
      </c>
      <c r="P4783" t="s">
        <v>113</v>
      </c>
      <c r="Q4783" t="s">
        <v>58</v>
      </c>
      <c r="R4783" t="str">
        <f>IFERROR(VLOOKUP(record[[#This Row],[PCUSTID]],廠商[],2,FALSE),"")</f>
        <v/>
      </c>
      <c r="S4783" t="str">
        <f>VLOOKUP(record[[#This Row],[employeeID]],員工[],2,FALSE)</f>
        <v>王奕蓁</v>
      </c>
    </row>
    <row r="4784" spans="6:19" hidden="1" x14ac:dyDescent="0.25">
      <c r="F4784" t="s">
        <v>1472</v>
      </c>
      <c r="G4784" t="s">
        <v>419</v>
      </c>
      <c r="H4784" t="str">
        <f>VLOOKUP(record[[#This Row],[ProcessSN]],表格2_7[],2,FALSE)</f>
        <v>30-4118-018-5XX</v>
      </c>
      <c r="I4784" t="str">
        <f>VLOOKUP(record[[#This Row],[ProcessSN]],表格2_7[],3,FALSE)</f>
        <v>#07QC</v>
      </c>
      <c r="J4784" t="s">
        <v>589</v>
      </c>
      <c r="K4784" s="195">
        <v>46042.440115740741</v>
      </c>
      <c r="L4784">
        <v>119</v>
      </c>
      <c r="M4784">
        <v>0</v>
      </c>
      <c r="N4784" s="98" t="str">
        <f>IF(record[[#This Row],[Memo]]="Browser:chrome os:android","平板報工",IF(record[[#This Row],[Memo]]=0,"委外",record[[#This Row],[Memo]]))</f>
        <v>平板報工</v>
      </c>
      <c r="O4784" t="s">
        <v>643</v>
      </c>
      <c r="P4784" t="s">
        <v>141</v>
      </c>
      <c r="Q4784" t="s">
        <v>644</v>
      </c>
      <c r="R4784" t="str">
        <f>IFERROR(VLOOKUP(record[[#This Row],[PCUSTID]],廠商[],2,FALSE),"")</f>
        <v/>
      </c>
      <c r="S4784" t="str">
        <f>VLOOKUP(record[[#This Row],[employeeID]],員工[],2,FALSE)</f>
        <v>蔣梅</v>
      </c>
    </row>
    <row r="4785" spans="6:19" hidden="1" x14ac:dyDescent="0.25">
      <c r="F4785" t="s">
        <v>1480</v>
      </c>
      <c r="G4785" t="s">
        <v>396</v>
      </c>
      <c r="H4785" t="str">
        <f>VLOOKUP(record[[#This Row],[ProcessSN]],表格2_7[],2,FALSE)</f>
        <v>30-4118-018-550</v>
      </c>
      <c r="I4785" t="str">
        <f>VLOOKUP(record[[#This Row],[ProcessSN]],表格2_7[],3,FALSE)</f>
        <v>#08PICK</v>
      </c>
      <c r="J4785" t="s">
        <v>582</v>
      </c>
      <c r="K4785" s="195">
        <v>46042.437997685185</v>
      </c>
      <c r="L4785">
        <v>287</v>
      </c>
      <c r="M4785">
        <v>0</v>
      </c>
      <c r="N4785" s="98" t="str">
        <f>IF(record[[#This Row],[Memo]]="Browser:chrome os:android","平板報工",IF(record[[#This Row],[Memo]]=0,"委外",record[[#This Row],[Memo]]))</f>
        <v/>
      </c>
      <c r="O4785" t="s">
        <v>58</v>
      </c>
      <c r="P4785" t="s">
        <v>113</v>
      </c>
      <c r="Q4785" t="s">
        <v>58</v>
      </c>
      <c r="R4785" t="str">
        <f>IFERROR(VLOOKUP(record[[#This Row],[PCUSTID]],廠商[],2,FALSE),"")</f>
        <v/>
      </c>
      <c r="S4785" t="str">
        <f>VLOOKUP(record[[#This Row],[employeeID]],員工[],2,FALSE)</f>
        <v>王奕蓁</v>
      </c>
    </row>
    <row r="4786" spans="6:19" hidden="1" x14ac:dyDescent="0.25">
      <c r="F4786" t="s">
        <v>1472</v>
      </c>
      <c r="G4786" t="s">
        <v>419</v>
      </c>
      <c r="H4786" t="str">
        <f>VLOOKUP(record[[#This Row],[ProcessSN]],表格2_7[],2,FALSE)</f>
        <v>30-4118-018-5XX</v>
      </c>
      <c r="I4786" t="str">
        <f>VLOOKUP(record[[#This Row],[ProcessSN]],表格2_7[],3,FALSE)</f>
        <v>#07QC</v>
      </c>
      <c r="J4786" t="s">
        <v>589</v>
      </c>
      <c r="K4786" s="195">
        <v>46042.389039351852</v>
      </c>
      <c r="L4786">
        <v>168</v>
      </c>
      <c r="M4786">
        <v>0</v>
      </c>
      <c r="N4786" s="98" t="str">
        <f>IF(record[[#This Row],[Memo]]="Browser:chrome os:android","平板報工",IF(record[[#This Row],[Memo]]=0,"委外",record[[#This Row],[Memo]]))</f>
        <v>平板報工</v>
      </c>
      <c r="O4786" t="s">
        <v>643</v>
      </c>
      <c r="P4786" t="s">
        <v>141</v>
      </c>
      <c r="Q4786" t="s">
        <v>644</v>
      </c>
      <c r="R4786" t="str">
        <f>IFERROR(VLOOKUP(record[[#This Row],[PCUSTID]],廠商[],2,FALSE),"")</f>
        <v/>
      </c>
      <c r="S4786" t="str">
        <f>VLOOKUP(record[[#This Row],[employeeID]],員工[],2,FALSE)</f>
        <v>蔣梅</v>
      </c>
    </row>
    <row r="4787" spans="6:19" hidden="1" x14ac:dyDescent="0.25">
      <c r="F4787" t="s">
        <v>1450</v>
      </c>
      <c r="G4787" t="s">
        <v>464</v>
      </c>
      <c r="H4787" t="str">
        <f>VLOOKUP(record[[#This Row],[ProcessSN]],表格2_7[],2,FALSE)</f>
        <v>30-4118-018-XXX</v>
      </c>
      <c r="I4787" t="str">
        <f>VLOOKUP(record[[#This Row],[ProcessSN]],表格2_7[],3,FALSE)</f>
        <v>#01GIVE</v>
      </c>
      <c r="J4787" t="s">
        <v>587</v>
      </c>
      <c r="K4787" s="195">
        <v>46042.358888888892</v>
      </c>
      <c r="L4787">
        <v>5000</v>
      </c>
      <c r="M4787">
        <v>0</v>
      </c>
      <c r="N4787" s="98" t="str">
        <f>IF(record[[#This Row],[Memo]]="Browser:chrome os:android","平板報工",IF(record[[#This Row],[Memo]]=0,"委外",record[[#This Row],[Memo]]))</f>
        <v/>
      </c>
      <c r="O4787" t="s">
        <v>58</v>
      </c>
      <c r="P4787" t="s">
        <v>1070</v>
      </c>
      <c r="Q4787" t="s">
        <v>58</v>
      </c>
      <c r="R4787" t="str">
        <f>IFERROR(VLOOKUP(record[[#This Row],[PCUSTID]],廠商[],2,FALSE),"")</f>
        <v/>
      </c>
      <c r="S4787" t="str">
        <f>VLOOKUP(record[[#This Row],[employeeID]],員工[],2,FALSE)</f>
        <v>陳昱佑</v>
      </c>
    </row>
    <row r="4788" spans="6:19" hidden="1" x14ac:dyDescent="0.25">
      <c r="F4788" t="s">
        <v>1467</v>
      </c>
      <c r="G4788" t="s">
        <v>427</v>
      </c>
      <c r="H4788" t="str">
        <f>VLOOKUP(record[[#This Row],[ProcessSN]],表格2_7[],2,FALSE)</f>
        <v>30-4118-018-600</v>
      </c>
      <c r="I4788" t="str">
        <f>VLOOKUP(record[[#This Row],[ProcessSN]],表格2_7[],3,FALSE)</f>
        <v>#100STOCK</v>
      </c>
      <c r="J4788" t="s">
        <v>592</v>
      </c>
      <c r="K4788" s="195">
        <v>46042.351064814815</v>
      </c>
      <c r="L4788">
        <v>194</v>
      </c>
      <c r="M4788">
        <v>0</v>
      </c>
      <c r="N4788" s="98" t="str">
        <f>IF(record[[#This Row],[Memo]]="Browser:chrome os:android","平板報工",IF(record[[#This Row],[Memo]]=0,"委外",record[[#This Row],[Memo]]))</f>
        <v/>
      </c>
      <c r="O4788" t="s">
        <v>58</v>
      </c>
      <c r="P4788" t="s">
        <v>886</v>
      </c>
      <c r="Q4788" t="s">
        <v>58</v>
      </c>
      <c r="R4788" t="str">
        <f>IFERROR(VLOOKUP(record[[#This Row],[PCUSTID]],廠商[],2,FALSE),"")</f>
        <v/>
      </c>
      <c r="S4788" t="str">
        <f>VLOOKUP(record[[#This Row],[employeeID]],員工[],2,FALSE)</f>
        <v>謝蓁薰</v>
      </c>
    </row>
    <row r="4789" spans="6:19" hidden="1" x14ac:dyDescent="0.25">
      <c r="F4789" t="s">
        <v>1451</v>
      </c>
      <c r="G4789" t="s">
        <v>402</v>
      </c>
      <c r="H4789" t="str">
        <f>VLOOKUP(record[[#This Row],[ProcessSN]],表格2_7[],2,FALSE)</f>
        <v>30-4118-018-550</v>
      </c>
      <c r="I4789" t="str">
        <f>VLOOKUP(record[[#This Row],[ProcessSN]],表格2_7[],3,FALSE)</f>
        <v>#100STOCK</v>
      </c>
      <c r="J4789" t="s">
        <v>592</v>
      </c>
      <c r="K4789" s="195">
        <v>46042.340995370374</v>
      </c>
      <c r="L4789">
        <v>13</v>
      </c>
      <c r="M4789">
        <v>0</v>
      </c>
      <c r="N4789" s="98" t="str">
        <f>IF(record[[#This Row],[Memo]]="Browser:chrome os:android","平板報工",IF(record[[#This Row],[Memo]]=0,"委外",record[[#This Row],[Memo]]))</f>
        <v/>
      </c>
      <c r="O4789" t="s">
        <v>58</v>
      </c>
      <c r="P4789" t="s">
        <v>886</v>
      </c>
      <c r="Q4789" t="s">
        <v>58</v>
      </c>
      <c r="R4789" t="str">
        <f>IFERROR(VLOOKUP(record[[#This Row],[PCUSTID]],廠商[],2,FALSE),"")</f>
        <v/>
      </c>
      <c r="S4789" t="str">
        <f>VLOOKUP(record[[#This Row],[employeeID]],員工[],2,FALSE)</f>
        <v>謝蓁薰</v>
      </c>
    </row>
    <row r="4790" spans="6:19" hidden="1" x14ac:dyDescent="0.25">
      <c r="F4790" t="s">
        <v>1467</v>
      </c>
      <c r="G4790" t="s">
        <v>426</v>
      </c>
      <c r="H4790" t="str">
        <f>VLOOKUP(record[[#This Row],[ProcessSN]],表格2_7[],2,FALSE)</f>
        <v>30-4118-018-600</v>
      </c>
      <c r="I4790" t="str">
        <f>VLOOKUP(record[[#This Row],[ProcessSN]],表格2_7[],3,FALSE)</f>
        <v>#100OQC</v>
      </c>
      <c r="J4790" t="s">
        <v>599</v>
      </c>
      <c r="K4790" s="195">
        <v>46042.330925925926</v>
      </c>
      <c r="L4790">
        <v>194</v>
      </c>
      <c r="M4790">
        <v>0</v>
      </c>
      <c r="N4790" s="98" t="str">
        <f>IF(record[[#This Row],[Memo]]="Browser:chrome os:android","平板報工",IF(record[[#This Row],[Memo]]=0,"委外",record[[#This Row],[Memo]]))</f>
        <v/>
      </c>
      <c r="O4790" t="s">
        <v>58</v>
      </c>
      <c r="P4790" t="s">
        <v>121</v>
      </c>
      <c r="Q4790" t="s">
        <v>58</v>
      </c>
      <c r="R4790" t="str">
        <f>IFERROR(VLOOKUP(record[[#This Row],[PCUSTID]],廠商[],2,FALSE),"")</f>
        <v/>
      </c>
      <c r="S4790" t="str">
        <f>VLOOKUP(record[[#This Row],[employeeID]],員工[],2,FALSE)</f>
        <v>謝素卿</v>
      </c>
    </row>
    <row r="4791" spans="6:19" hidden="1" x14ac:dyDescent="0.25">
      <c r="F4791" t="s">
        <v>1472</v>
      </c>
      <c r="G4791" t="s">
        <v>418</v>
      </c>
      <c r="H4791" t="str">
        <f>VLOOKUP(record[[#This Row],[ProcessSN]],表格2_7[],2,FALSE)</f>
        <v>30-4118-018-5XX</v>
      </c>
      <c r="I4791" t="str">
        <f>VLOOKUP(record[[#This Row],[ProcessSN]],表格2_7[],3,FALSE)</f>
        <v>#07</v>
      </c>
      <c r="J4791" t="s">
        <v>588</v>
      </c>
      <c r="K4791" s="195">
        <v>46042.317928240744</v>
      </c>
      <c r="L4791">
        <v>125</v>
      </c>
      <c r="M4791">
        <v>6</v>
      </c>
      <c r="N4791" s="98" t="str">
        <f>IF(record[[#This Row],[Memo]]="Browser:chrome os:android","平板報工",IF(record[[#This Row],[Memo]]=0,"委外",record[[#This Row],[Memo]]))</f>
        <v/>
      </c>
      <c r="O4791" t="s">
        <v>58</v>
      </c>
      <c r="P4791" t="s">
        <v>843</v>
      </c>
      <c r="Q4791" t="s">
        <v>58</v>
      </c>
      <c r="R4791" t="str">
        <f>IFERROR(VLOOKUP(record[[#This Row],[PCUSTID]],廠商[],2,FALSE),"")</f>
        <v/>
      </c>
      <c r="S4791" t="str">
        <f>VLOOKUP(record[[#This Row],[employeeID]],員工[],2,FALSE)</f>
        <v>張楚承</v>
      </c>
    </row>
    <row r="4792" spans="6:19" hidden="1" x14ac:dyDescent="0.25">
      <c r="F4792" t="s">
        <v>1472</v>
      </c>
      <c r="G4792" t="s">
        <v>417</v>
      </c>
      <c r="H4792" t="str">
        <f>VLOOKUP(record[[#This Row],[ProcessSN]],表格2_7[],2,FALSE)</f>
        <v>30-4118-018-5XX</v>
      </c>
      <c r="I4792" t="str">
        <f>VLOOKUP(record[[#This Row],[ProcessSN]],表格2_7[],3,FALSE)</f>
        <v>#06</v>
      </c>
      <c r="J4792" t="s">
        <v>593</v>
      </c>
      <c r="K4792" s="195">
        <v>46042.317627314813</v>
      </c>
      <c r="L4792">
        <v>133</v>
      </c>
      <c r="M4792">
        <v>0</v>
      </c>
      <c r="N4792" s="98" t="str">
        <f>IF(record[[#This Row],[Memo]]="Browser:chrome os:android","平板報工",IF(record[[#This Row],[Memo]]=0,"委外",record[[#This Row],[Memo]]))</f>
        <v/>
      </c>
      <c r="O4792" t="s">
        <v>58</v>
      </c>
      <c r="P4792" t="s">
        <v>180</v>
      </c>
      <c r="Q4792" t="s">
        <v>58</v>
      </c>
      <c r="R4792" t="str">
        <f>IFERROR(VLOOKUP(record[[#This Row],[PCUSTID]],廠商[],2,FALSE),"")</f>
        <v/>
      </c>
      <c r="S4792" t="str">
        <f>VLOOKUP(record[[#This Row],[employeeID]],員工[],2,FALSE)</f>
        <v>黎功江</v>
      </c>
    </row>
    <row r="4793" spans="6:19" hidden="1" x14ac:dyDescent="0.25">
      <c r="F4793" t="s">
        <v>1472</v>
      </c>
      <c r="G4793" t="s">
        <v>416</v>
      </c>
      <c r="H4793" t="str">
        <f>VLOOKUP(record[[#This Row],[ProcessSN]],表格2_7[],2,FALSE)</f>
        <v>30-4118-018-5XX</v>
      </c>
      <c r="I4793" t="str">
        <f>VLOOKUP(record[[#This Row],[ProcessSN]],表格2_7[],3,FALSE)</f>
        <v>#05</v>
      </c>
      <c r="J4793" t="s">
        <v>588</v>
      </c>
      <c r="K4793" s="195">
        <v>46042.317210648151</v>
      </c>
      <c r="L4793">
        <v>118</v>
      </c>
      <c r="M4793">
        <v>0</v>
      </c>
      <c r="N4793" s="98" t="str">
        <f>IF(record[[#This Row],[Memo]]="Browser:chrome os:android","平板報工",IF(record[[#This Row],[Memo]]=0,"委外",record[[#This Row],[Memo]]))</f>
        <v/>
      </c>
      <c r="O4793" t="s">
        <v>58</v>
      </c>
      <c r="P4793" t="s">
        <v>843</v>
      </c>
      <c r="Q4793" t="s">
        <v>58</v>
      </c>
      <c r="R4793" t="str">
        <f>IFERROR(VLOOKUP(record[[#This Row],[PCUSTID]],廠商[],2,FALSE),"")</f>
        <v/>
      </c>
      <c r="S4793" t="str">
        <f>VLOOKUP(record[[#This Row],[employeeID]],員工[],2,FALSE)</f>
        <v>張楚承</v>
      </c>
    </row>
    <row r="4794" spans="6:19" hidden="1" x14ac:dyDescent="0.25">
      <c r="F4794" t="s">
        <v>1417</v>
      </c>
      <c r="G4794" t="s">
        <v>448</v>
      </c>
      <c r="H4794" t="str">
        <f>VLOOKUP(record[[#This Row],[ProcessSN]],表格2_7[],2,FALSE)</f>
        <v>30-4118-018-6XX</v>
      </c>
      <c r="I4794" t="str">
        <f>VLOOKUP(record[[#This Row],[ProcessSN]],表格2_7[],3,FALSE)</f>
        <v>#04</v>
      </c>
      <c r="J4794" t="s">
        <v>588</v>
      </c>
      <c r="K4794" s="195">
        <v>46042.316481481481</v>
      </c>
      <c r="L4794">
        <v>5</v>
      </c>
      <c r="M4794">
        <v>0</v>
      </c>
      <c r="N4794" s="98" t="str">
        <f>IF(record[[#This Row],[Memo]]="Browser:chrome os:android","平板報工",IF(record[[#This Row],[Memo]]=0,"委外",record[[#This Row],[Memo]]))</f>
        <v/>
      </c>
      <c r="O4794" t="s">
        <v>58</v>
      </c>
      <c r="P4794" t="s">
        <v>135</v>
      </c>
      <c r="Q4794" t="s">
        <v>58</v>
      </c>
      <c r="R4794" t="str">
        <f>IFERROR(VLOOKUP(record[[#This Row],[PCUSTID]],廠商[],2,FALSE),"")</f>
        <v/>
      </c>
      <c r="S4794" t="str">
        <f>VLOOKUP(record[[#This Row],[employeeID]],員工[],2,FALSE)</f>
        <v>阮士文</v>
      </c>
    </row>
    <row r="4795" spans="6:19" hidden="1" x14ac:dyDescent="0.25">
      <c r="F4795" t="s">
        <v>1472</v>
      </c>
      <c r="G4795" t="s">
        <v>415</v>
      </c>
      <c r="H4795" t="str">
        <f>VLOOKUP(record[[#This Row],[ProcessSN]],表格2_7[],2,FALSE)</f>
        <v>30-4118-018-5XX</v>
      </c>
      <c r="I4795" t="str">
        <f>VLOOKUP(record[[#This Row],[ProcessSN]],表格2_7[],3,FALSE)</f>
        <v>#04</v>
      </c>
      <c r="J4795" t="s">
        <v>588</v>
      </c>
      <c r="K4795" s="195">
        <v>46042.313796296294</v>
      </c>
      <c r="L4795">
        <v>118</v>
      </c>
      <c r="M4795">
        <v>0</v>
      </c>
      <c r="N4795" s="98" t="str">
        <f>IF(record[[#This Row],[Memo]]="Browser:chrome os:android","平板報工",IF(record[[#This Row],[Memo]]=0,"委外",record[[#This Row],[Memo]]))</f>
        <v/>
      </c>
      <c r="O4795" t="s">
        <v>58</v>
      </c>
      <c r="P4795" t="s">
        <v>135</v>
      </c>
      <c r="Q4795" t="s">
        <v>58</v>
      </c>
      <c r="R4795" t="str">
        <f>IFERROR(VLOOKUP(record[[#This Row],[PCUSTID]],廠商[],2,FALSE),"")</f>
        <v/>
      </c>
      <c r="S4795" t="str">
        <f>VLOOKUP(record[[#This Row],[employeeID]],員工[],2,FALSE)</f>
        <v>阮士文</v>
      </c>
    </row>
    <row r="4796" spans="6:19" hidden="1" x14ac:dyDescent="0.25">
      <c r="F4796" t="s">
        <v>1472</v>
      </c>
      <c r="G4796" t="s">
        <v>418</v>
      </c>
      <c r="H4796" t="str">
        <f>VLOOKUP(record[[#This Row],[ProcessSN]],表格2_7[],2,FALSE)</f>
        <v>30-4118-018-5XX</v>
      </c>
      <c r="I4796" t="str">
        <f>VLOOKUP(record[[#This Row],[ProcessSN]],表格2_7[],3,FALSE)</f>
        <v>#07</v>
      </c>
      <c r="J4796" t="s">
        <v>588</v>
      </c>
      <c r="K4796" s="195">
        <v>46041.976365740738</v>
      </c>
      <c r="L4796">
        <v>132</v>
      </c>
      <c r="M4796">
        <v>1</v>
      </c>
      <c r="N4796" s="98" t="str">
        <f>IF(record[[#This Row],[Memo]]="Browser:chrome os:android","平板報工",IF(record[[#This Row],[Memo]]=0,"委外",record[[#This Row],[Memo]]))</f>
        <v/>
      </c>
      <c r="O4796" t="s">
        <v>58</v>
      </c>
      <c r="P4796" t="s">
        <v>89</v>
      </c>
      <c r="Q4796" t="s">
        <v>58</v>
      </c>
      <c r="R4796" t="str">
        <f>IFERROR(VLOOKUP(record[[#This Row],[PCUSTID]],廠商[],2,FALSE),"")</f>
        <v/>
      </c>
      <c r="S4796" t="str">
        <f>VLOOKUP(record[[#This Row],[employeeID]],員工[],2,FALSE)</f>
        <v>李美蓮</v>
      </c>
    </row>
    <row r="4797" spans="6:19" hidden="1" x14ac:dyDescent="0.25">
      <c r="F4797" t="s">
        <v>1472</v>
      </c>
      <c r="G4797" t="s">
        <v>417</v>
      </c>
      <c r="H4797" t="str">
        <f>VLOOKUP(record[[#This Row],[ProcessSN]],表格2_7[],2,FALSE)</f>
        <v>30-4118-018-5XX</v>
      </c>
      <c r="I4797" t="str">
        <f>VLOOKUP(record[[#This Row],[ProcessSN]],表格2_7[],3,FALSE)</f>
        <v>#06</v>
      </c>
      <c r="J4797" t="s">
        <v>593</v>
      </c>
      <c r="K4797" s="195">
        <v>46041.975636574076</v>
      </c>
      <c r="L4797">
        <v>66</v>
      </c>
      <c r="M4797">
        <v>0</v>
      </c>
      <c r="N4797" s="98" t="str">
        <f>IF(record[[#This Row],[Memo]]="Browser:chrome os:android","平板報工",IF(record[[#This Row],[Memo]]=0,"委外",record[[#This Row],[Memo]]))</f>
        <v/>
      </c>
      <c r="O4797" t="s">
        <v>58</v>
      </c>
      <c r="P4797" t="s">
        <v>1098</v>
      </c>
      <c r="Q4797" t="s">
        <v>58</v>
      </c>
      <c r="R4797" t="str">
        <f>IFERROR(VLOOKUP(record[[#This Row],[PCUSTID]],廠商[],2,FALSE),"")</f>
        <v/>
      </c>
      <c r="S4797" t="str">
        <f>VLOOKUP(record[[#This Row],[employeeID]],員工[],2,FALSE)</f>
        <v>阮氏芳英(英)</v>
      </c>
    </row>
    <row r="4798" spans="6:19" hidden="1" x14ac:dyDescent="0.25">
      <c r="F4798" t="s">
        <v>1472</v>
      </c>
      <c r="G4798" t="s">
        <v>416</v>
      </c>
      <c r="H4798" t="str">
        <f>VLOOKUP(record[[#This Row],[ProcessSN]],表格2_7[],2,FALSE)</f>
        <v>30-4118-018-5XX</v>
      </c>
      <c r="I4798" t="str">
        <f>VLOOKUP(record[[#This Row],[ProcessSN]],表格2_7[],3,FALSE)</f>
        <v>#05</v>
      </c>
      <c r="J4798" t="s">
        <v>588</v>
      </c>
      <c r="K4798" s="195">
        <v>46041.975162037037</v>
      </c>
      <c r="L4798">
        <v>205</v>
      </c>
      <c r="M4798">
        <v>1</v>
      </c>
      <c r="N4798" s="98" t="str">
        <f>IF(record[[#This Row],[Memo]]="Browser:chrome os:android","平板報工",IF(record[[#This Row],[Memo]]=0,"委外",record[[#This Row],[Memo]]))</f>
        <v/>
      </c>
      <c r="O4798" t="s">
        <v>58</v>
      </c>
      <c r="P4798" t="s">
        <v>89</v>
      </c>
      <c r="Q4798" t="s">
        <v>58</v>
      </c>
      <c r="R4798" t="str">
        <f>IFERROR(VLOOKUP(record[[#This Row],[PCUSTID]],廠商[],2,FALSE),"")</f>
        <v/>
      </c>
      <c r="S4798" t="str">
        <f>VLOOKUP(record[[#This Row],[employeeID]],員工[],2,FALSE)</f>
        <v>李美蓮</v>
      </c>
    </row>
    <row r="4799" spans="6:19" hidden="1" x14ac:dyDescent="0.25">
      <c r="F4799" t="s">
        <v>1417</v>
      </c>
      <c r="G4799" t="s">
        <v>448</v>
      </c>
      <c r="H4799" t="str">
        <f>VLOOKUP(record[[#This Row],[ProcessSN]],表格2_7[],2,FALSE)</f>
        <v>30-4118-018-6XX</v>
      </c>
      <c r="I4799" t="str">
        <f>VLOOKUP(record[[#This Row],[ProcessSN]],表格2_7[],3,FALSE)</f>
        <v>#04</v>
      </c>
      <c r="J4799" t="s">
        <v>588</v>
      </c>
      <c r="K4799" s="195">
        <v>46041.974398148152</v>
      </c>
      <c r="L4799">
        <v>72</v>
      </c>
      <c r="M4799">
        <v>9</v>
      </c>
      <c r="N4799" s="98" t="str">
        <f>IF(record[[#This Row],[Memo]]="Browser:chrome os:android","平板報工",IF(record[[#This Row],[Memo]]=0,"委外",record[[#This Row],[Memo]]))</f>
        <v/>
      </c>
      <c r="O4799" t="s">
        <v>58</v>
      </c>
      <c r="P4799" t="s">
        <v>1098</v>
      </c>
      <c r="Q4799" t="s">
        <v>58</v>
      </c>
      <c r="R4799" t="str">
        <f>IFERROR(VLOOKUP(record[[#This Row],[PCUSTID]],廠商[],2,FALSE),"")</f>
        <v/>
      </c>
      <c r="S4799" t="str">
        <f>VLOOKUP(record[[#This Row],[employeeID]],員工[],2,FALSE)</f>
        <v>阮氏芳英(英)</v>
      </c>
    </row>
    <row r="4800" spans="6:19" hidden="1" x14ac:dyDescent="0.25">
      <c r="F4800" t="s">
        <v>1472</v>
      </c>
      <c r="G4800" t="s">
        <v>415</v>
      </c>
      <c r="H4800" t="str">
        <f>VLOOKUP(record[[#This Row],[ProcessSN]],表格2_7[],2,FALSE)</f>
        <v>30-4118-018-5XX</v>
      </c>
      <c r="I4800" t="str">
        <f>VLOOKUP(record[[#This Row],[ProcessSN]],表格2_7[],3,FALSE)</f>
        <v>#04</v>
      </c>
      <c r="J4800" t="s">
        <v>588</v>
      </c>
      <c r="K4800" s="195">
        <v>46041.974004629628</v>
      </c>
      <c r="L4800">
        <v>96</v>
      </c>
      <c r="M4800">
        <v>2</v>
      </c>
      <c r="N4800" s="98" t="str">
        <f>IF(record[[#This Row],[Memo]]="Browser:chrome os:android","平板報工",IF(record[[#This Row],[Memo]]=0,"委外",record[[#This Row],[Memo]]))</f>
        <v/>
      </c>
      <c r="O4800" t="s">
        <v>58</v>
      </c>
      <c r="P4800" t="s">
        <v>1098</v>
      </c>
      <c r="Q4800" t="s">
        <v>58</v>
      </c>
      <c r="R4800" t="str">
        <f>IFERROR(VLOOKUP(record[[#This Row],[PCUSTID]],廠商[],2,FALSE),"")</f>
        <v/>
      </c>
      <c r="S4800" t="str">
        <f>VLOOKUP(record[[#This Row],[employeeID]],員工[],2,FALSE)</f>
        <v>阮氏芳英(英)</v>
      </c>
    </row>
    <row r="4801" spans="6:19" hidden="1" x14ac:dyDescent="0.25">
      <c r="F4801" t="s">
        <v>1474</v>
      </c>
      <c r="G4801" t="s">
        <v>447</v>
      </c>
      <c r="H4801" t="str">
        <f>VLOOKUP(record[[#This Row],[ProcessSN]],表格2_7[],2,FALSE)</f>
        <v>30-4118-018-6XX</v>
      </c>
      <c r="I4801" t="str">
        <f>VLOOKUP(record[[#This Row],[ProcessSN]],表格2_7[],3,FALSE)</f>
        <v>#03</v>
      </c>
      <c r="J4801" t="s">
        <v>588</v>
      </c>
      <c r="K4801" s="195">
        <v>46041.925995370373</v>
      </c>
      <c r="L4801">
        <v>745</v>
      </c>
      <c r="M4801">
        <v>0</v>
      </c>
      <c r="N4801" s="98" t="str">
        <f>IF(record[[#This Row],[Memo]]="Browser:chrome os:android","平板報工",IF(record[[#This Row],[Memo]]=0,"委外",record[[#This Row],[Memo]]))</f>
        <v/>
      </c>
      <c r="O4801" t="s">
        <v>58</v>
      </c>
      <c r="P4801" t="s">
        <v>1098</v>
      </c>
      <c r="Q4801" t="s">
        <v>58</v>
      </c>
      <c r="R4801" t="str">
        <f>IFERROR(VLOOKUP(record[[#This Row],[PCUSTID]],廠商[],2,FALSE),"")</f>
        <v/>
      </c>
      <c r="S4801" t="str">
        <f>VLOOKUP(record[[#This Row],[employeeID]],員工[],2,FALSE)</f>
        <v>阮氏芳英(英)</v>
      </c>
    </row>
    <row r="4802" spans="6:19" hidden="1" x14ac:dyDescent="0.25">
      <c r="F4802" t="s">
        <v>1472</v>
      </c>
      <c r="G4802" t="s">
        <v>417</v>
      </c>
      <c r="H4802" t="str">
        <f>VLOOKUP(record[[#This Row],[ProcessSN]],表格2_7[],2,FALSE)</f>
        <v>30-4118-018-5XX</v>
      </c>
      <c r="I4802" t="str">
        <f>VLOOKUP(record[[#This Row],[ProcessSN]],表格2_7[],3,FALSE)</f>
        <v>#06</v>
      </c>
      <c r="J4802" t="s">
        <v>593</v>
      </c>
      <c r="K4802" s="195">
        <v>46041.849953703706</v>
      </c>
      <c r="L4802">
        <v>67</v>
      </c>
      <c r="M4802">
        <v>0</v>
      </c>
      <c r="N4802" s="98" t="str">
        <f>IF(record[[#This Row],[Memo]]="Browser:chrome os:android","平板報工",IF(record[[#This Row],[Memo]]=0,"委外",record[[#This Row],[Memo]]))</f>
        <v/>
      </c>
      <c r="O4802" t="s">
        <v>58</v>
      </c>
      <c r="P4802" t="s">
        <v>1413</v>
      </c>
      <c r="Q4802" t="s">
        <v>58</v>
      </c>
      <c r="R4802" t="str">
        <f>IFERROR(VLOOKUP(record[[#This Row],[PCUSTID]],廠商[],2,FALSE),"")</f>
        <v/>
      </c>
      <c r="S4802" t="str">
        <f>VLOOKUP(record[[#This Row],[employeeID]],員工[],2,FALSE)</f>
        <v>阮氏芳英(芳)</v>
      </c>
    </row>
    <row r="4803" spans="6:19" hidden="1" x14ac:dyDescent="0.25">
      <c r="F4803" t="s">
        <v>1467</v>
      </c>
      <c r="G4803" t="s">
        <v>425</v>
      </c>
      <c r="H4803" t="str">
        <f>VLOOKUP(record[[#This Row],[ProcessSN]],表格2_7[],2,FALSE)</f>
        <v>30-4118-018-600</v>
      </c>
      <c r="I4803" t="str">
        <f>VLOOKUP(record[[#This Row],[ProcessSN]],表格2_7[],3,FALSE)</f>
        <v>#100</v>
      </c>
      <c r="J4803" t="s">
        <v>598</v>
      </c>
      <c r="K4803" s="195">
        <v>46041.75141203704</v>
      </c>
      <c r="L4803">
        <v>194</v>
      </c>
      <c r="M4803">
        <v>0</v>
      </c>
      <c r="N4803" s="98" t="str">
        <f>IF(record[[#This Row],[Memo]]="Browser:chrome os:android","平板報工",IF(record[[#This Row],[Memo]]=0,"委外",record[[#This Row],[Memo]]))</f>
        <v/>
      </c>
      <c r="O4803" t="s">
        <v>58</v>
      </c>
      <c r="P4803" t="s">
        <v>141</v>
      </c>
      <c r="Q4803" t="s">
        <v>58</v>
      </c>
      <c r="R4803" t="str">
        <f>IFERROR(VLOOKUP(record[[#This Row],[PCUSTID]],廠商[],2,FALSE),"")</f>
        <v/>
      </c>
      <c r="S4803" t="str">
        <f>VLOOKUP(record[[#This Row],[employeeID]],員工[],2,FALSE)</f>
        <v>蔣梅</v>
      </c>
    </row>
    <row r="4804" spans="6:19" hidden="1" x14ac:dyDescent="0.25">
      <c r="F4804" t="s">
        <v>1467</v>
      </c>
      <c r="G4804" t="s">
        <v>424</v>
      </c>
      <c r="H4804" t="str">
        <f>VLOOKUP(record[[#This Row],[ProcessSN]],表格2_7[],2,FALSE)</f>
        <v>30-4118-018-600</v>
      </c>
      <c r="I4804" t="str">
        <f>VLOOKUP(record[[#This Row],[ProcessSN]],表格2_7[],3,FALSE)</f>
        <v>#08IQC</v>
      </c>
      <c r="J4804" t="s">
        <v>583</v>
      </c>
      <c r="K4804" s="195">
        <v>46041.751030092593</v>
      </c>
      <c r="L4804">
        <v>6</v>
      </c>
      <c r="M4804">
        <v>0</v>
      </c>
      <c r="N4804" s="98" t="str">
        <f>IF(record[[#This Row],[Memo]]="Browser:chrome os:android","平板報工",IF(record[[#This Row],[Memo]]=0,"委外",record[[#This Row],[Memo]]))</f>
        <v>覆回</v>
      </c>
      <c r="O4804" t="s">
        <v>682</v>
      </c>
      <c r="P4804" t="s">
        <v>141</v>
      </c>
      <c r="Q4804" t="s">
        <v>58</v>
      </c>
      <c r="R4804" t="str">
        <f>IFERROR(VLOOKUP(record[[#This Row],[PCUSTID]],廠商[],2,FALSE),"")</f>
        <v/>
      </c>
      <c r="S4804" t="str">
        <f>VLOOKUP(record[[#This Row],[employeeID]],員工[],2,FALSE)</f>
        <v>蔣梅</v>
      </c>
    </row>
    <row r="4805" spans="6:19" hidden="1" x14ac:dyDescent="0.25">
      <c r="F4805" t="s">
        <v>1467</v>
      </c>
      <c r="G4805" t="s">
        <v>423</v>
      </c>
      <c r="H4805" t="str">
        <f>VLOOKUP(record[[#This Row],[ProcessSN]],表格2_7[],2,FALSE)</f>
        <v>30-4118-018-600</v>
      </c>
      <c r="I4805" t="str">
        <f>VLOOKUP(record[[#This Row],[ProcessSN]],表格2_7[],3,FALSE)</f>
        <v>#08RCV</v>
      </c>
      <c r="J4805" t="s">
        <v>591</v>
      </c>
      <c r="K4805" s="195">
        <v>46041.750868055555</v>
      </c>
      <c r="L4805">
        <v>6</v>
      </c>
      <c r="M4805">
        <v>0</v>
      </c>
      <c r="N4805" s="98" t="str">
        <f>IF(record[[#This Row],[Memo]]="Browser:chrome os:android","平板報工",IF(record[[#This Row],[Memo]]=0,"委外",record[[#This Row],[Memo]]))</f>
        <v>覆回</v>
      </c>
      <c r="O4805" t="s">
        <v>682</v>
      </c>
      <c r="P4805" t="s">
        <v>141</v>
      </c>
      <c r="Q4805" t="s">
        <v>58</v>
      </c>
      <c r="R4805" t="str">
        <f>IFERROR(VLOOKUP(record[[#This Row],[PCUSTID]],廠商[],2,FALSE),"")</f>
        <v/>
      </c>
      <c r="S4805" t="str">
        <f>VLOOKUP(record[[#This Row],[employeeID]],員工[],2,FALSE)</f>
        <v>蔣梅</v>
      </c>
    </row>
    <row r="4806" spans="6:19" hidden="1" x14ac:dyDescent="0.25">
      <c r="F4806" t="s">
        <v>1467</v>
      </c>
      <c r="G4806" t="s">
        <v>424</v>
      </c>
      <c r="H4806" t="str">
        <f>VLOOKUP(record[[#This Row],[ProcessSN]],表格2_7[],2,FALSE)</f>
        <v>30-4118-018-600</v>
      </c>
      <c r="I4806" t="str">
        <f>VLOOKUP(record[[#This Row],[ProcessSN]],表格2_7[],3,FALSE)</f>
        <v>#08IQC</v>
      </c>
      <c r="J4806" t="s">
        <v>583</v>
      </c>
      <c r="K4806" s="195">
        <v>46041.731516203705</v>
      </c>
      <c r="L4806">
        <v>188</v>
      </c>
      <c r="M4806">
        <v>0</v>
      </c>
      <c r="N4806" s="98" t="str">
        <f>IF(record[[#This Row],[Memo]]="Browser:chrome os:android","平板報工",IF(record[[#This Row],[Memo]]=0,"委外",record[[#This Row],[Memo]]))</f>
        <v/>
      </c>
      <c r="O4806" t="s">
        <v>58</v>
      </c>
      <c r="P4806" t="s">
        <v>109</v>
      </c>
      <c r="Q4806" t="s">
        <v>58</v>
      </c>
      <c r="R4806" t="str">
        <f>IFERROR(VLOOKUP(record[[#This Row],[PCUSTID]],廠商[],2,FALSE),"")</f>
        <v/>
      </c>
      <c r="S4806" t="str">
        <f>VLOOKUP(record[[#This Row],[employeeID]],員工[],2,FALSE)</f>
        <v>裴氏璧鳳</v>
      </c>
    </row>
    <row r="4807" spans="6:19" hidden="1" x14ac:dyDescent="0.25">
      <c r="F4807" t="s">
        <v>1472</v>
      </c>
      <c r="G4807" t="s">
        <v>418</v>
      </c>
      <c r="H4807" t="str">
        <f>VLOOKUP(record[[#This Row],[ProcessSN]],表格2_7[],2,FALSE)</f>
        <v>30-4118-018-5XX</v>
      </c>
      <c r="I4807" t="str">
        <f>VLOOKUP(record[[#This Row],[ProcessSN]],表格2_7[],3,FALSE)</f>
        <v>#07</v>
      </c>
      <c r="J4807" t="s">
        <v>588</v>
      </c>
      <c r="K4807" s="195">
        <v>46041.65011574074</v>
      </c>
      <c r="L4807">
        <v>102</v>
      </c>
      <c r="M4807">
        <v>0</v>
      </c>
      <c r="N4807" s="98" t="str">
        <f>IF(record[[#This Row],[Memo]]="Browser:chrome os:android","平板報工",IF(record[[#This Row],[Memo]]=0,"委外",record[[#This Row],[Memo]]))</f>
        <v>平板報工</v>
      </c>
      <c r="O4807" t="s">
        <v>643</v>
      </c>
      <c r="P4807" t="s">
        <v>785</v>
      </c>
      <c r="Q4807" t="s">
        <v>644</v>
      </c>
      <c r="R4807" t="str">
        <f>IFERROR(VLOOKUP(record[[#This Row],[PCUSTID]],廠商[],2,FALSE),"")</f>
        <v/>
      </c>
      <c r="S4807" t="str">
        <f>VLOOKUP(record[[#This Row],[employeeID]],員工[],2,FALSE)</f>
        <v>謝刻光</v>
      </c>
    </row>
    <row r="4808" spans="6:19" hidden="1" x14ac:dyDescent="0.25">
      <c r="F4808" t="s">
        <v>1472</v>
      </c>
      <c r="G4808" t="s">
        <v>417</v>
      </c>
      <c r="H4808" t="str">
        <f>VLOOKUP(record[[#This Row],[ProcessSN]],表格2_7[],2,FALSE)</f>
        <v>30-4118-018-5XX</v>
      </c>
      <c r="I4808" t="str">
        <f>VLOOKUP(record[[#This Row],[ProcessSN]],表格2_7[],3,FALSE)</f>
        <v>#06</v>
      </c>
      <c r="J4808" t="s">
        <v>593</v>
      </c>
      <c r="K4808" s="195">
        <v>46041.649594907409</v>
      </c>
      <c r="L4808">
        <v>102</v>
      </c>
      <c r="M4808">
        <v>0</v>
      </c>
      <c r="N4808" s="98" t="str">
        <f>IF(record[[#This Row],[Memo]]="Browser:chrome os:android","平板報工",IF(record[[#This Row],[Memo]]=0,"委外",record[[#This Row],[Memo]]))</f>
        <v>平板報工</v>
      </c>
      <c r="O4808" t="s">
        <v>643</v>
      </c>
      <c r="P4808" t="s">
        <v>1413</v>
      </c>
      <c r="Q4808" t="s">
        <v>644</v>
      </c>
      <c r="R4808" t="str">
        <f>IFERROR(VLOOKUP(record[[#This Row],[PCUSTID]],廠商[],2,FALSE),"")</f>
        <v/>
      </c>
      <c r="S4808" t="str">
        <f>VLOOKUP(record[[#This Row],[employeeID]],員工[],2,FALSE)</f>
        <v>阮氏芳英(芳)</v>
      </c>
    </row>
    <row r="4809" spans="6:19" hidden="1" x14ac:dyDescent="0.25">
      <c r="F4809" t="s">
        <v>1472</v>
      </c>
      <c r="G4809" t="s">
        <v>416</v>
      </c>
      <c r="H4809" t="str">
        <f>VLOOKUP(record[[#This Row],[ProcessSN]],表格2_7[],2,FALSE)</f>
        <v>30-4118-018-5XX</v>
      </c>
      <c r="I4809" t="str">
        <f>VLOOKUP(record[[#This Row],[ProcessSN]],表格2_7[],3,FALSE)</f>
        <v>#05</v>
      </c>
      <c r="J4809" t="s">
        <v>588</v>
      </c>
      <c r="K4809" s="195">
        <v>46041.648321759261</v>
      </c>
      <c r="L4809">
        <v>220</v>
      </c>
      <c r="M4809">
        <v>0</v>
      </c>
      <c r="N4809" s="98" t="str">
        <f>IF(record[[#This Row],[Memo]]="Browser:chrome os:android","平板報工",IF(record[[#This Row],[Memo]]=0,"委外",record[[#This Row],[Memo]]))</f>
        <v>平板報工</v>
      </c>
      <c r="O4809" t="s">
        <v>643</v>
      </c>
      <c r="P4809" t="s">
        <v>785</v>
      </c>
      <c r="Q4809" t="s">
        <v>644</v>
      </c>
      <c r="R4809" t="str">
        <f>IFERROR(VLOOKUP(record[[#This Row],[PCUSTID]],廠商[],2,FALSE),"")</f>
        <v/>
      </c>
      <c r="S4809" t="str">
        <f>VLOOKUP(record[[#This Row],[employeeID]],員工[],2,FALSE)</f>
        <v>謝刻光</v>
      </c>
    </row>
    <row r="4810" spans="6:19" hidden="1" x14ac:dyDescent="0.25">
      <c r="F4810" t="s">
        <v>1472</v>
      </c>
      <c r="G4810" t="s">
        <v>415</v>
      </c>
      <c r="H4810" t="str">
        <f>VLOOKUP(record[[#This Row],[ProcessSN]],表格2_7[],2,FALSE)</f>
        <v>30-4118-018-5XX</v>
      </c>
      <c r="I4810" t="str">
        <f>VLOOKUP(record[[#This Row],[ProcessSN]],表格2_7[],3,FALSE)</f>
        <v>#04</v>
      </c>
      <c r="J4810" t="s">
        <v>588</v>
      </c>
      <c r="K4810" s="195">
        <v>46041.643310185187</v>
      </c>
      <c r="L4810">
        <v>120</v>
      </c>
      <c r="M4810">
        <v>0</v>
      </c>
      <c r="N4810" s="98" t="str">
        <f>IF(record[[#This Row],[Memo]]="Browser:chrome os:android","平板報工",IF(record[[#This Row],[Memo]]=0,"委外",record[[#This Row],[Memo]]))</f>
        <v>平板報工</v>
      </c>
      <c r="O4810" t="s">
        <v>643</v>
      </c>
      <c r="P4810" t="s">
        <v>789</v>
      </c>
      <c r="Q4810" t="s">
        <v>644</v>
      </c>
      <c r="R4810" t="str">
        <f>IFERROR(VLOOKUP(record[[#This Row],[PCUSTID]],廠商[],2,FALSE),"")</f>
        <v/>
      </c>
      <c r="S4810" t="str">
        <f>VLOOKUP(record[[#This Row],[employeeID]],員工[],2,FALSE)</f>
        <v>張月霞</v>
      </c>
    </row>
    <row r="4811" spans="6:19" hidden="1" x14ac:dyDescent="0.25">
      <c r="F4811" t="s">
        <v>1417</v>
      </c>
      <c r="G4811" t="s">
        <v>448</v>
      </c>
      <c r="H4811" t="str">
        <f>VLOOKUP(record[[#This Row],[ProcessSN]],表格2_7[],2,FALSE)</f>
        <v>30-4118-018-6XX</v>
      </c>
      <c r="I4811" t="str">
        <f>VLOOKUP(record[[#This Row],[ProcessSN]],表格2_7[],3,FALSE)</f>
        <v>#04</v>
      </c>
      <c r="J4811" t="s">
        <v>588</v>
      </c>
      <c r="K4811" s="195">
        <v>46041.642928240741</v>
      </c>
      <c r="L4811">
        <v>126</v>
      </c>
      <c r="M4811">
        <v>0</v>
      </c>
      <c r="N4811" s="98" t="str">
        <f>IF(record[[#This Row],[Memo]]="Browser:chrome os:android","平板報工",IF(record[[#This Row],[Memo]]=0,"委外",record[[#This Row],[Memo]]))</f>
        <v>平板報工</v>
      </c>
      <c r="O4811" t="s">
        <v>643</v>
      </c>
      <c r="P4811" t="s">
        <v>789</v>
      </c>
      <c r="Q4811" t="s">
        <v>644</v>
      </c>
      <c r="R4811" t="str">
        <f>IFERROR(VLOOKUP(record[[#This Row],[PCUSTID]],廠商[],2,FALSE),"")</f>
        <v/>
      </c>
      <c r="S4811" t="str">
        <f>VLOOKUP(record[[#This Row],[employeeID]],員工[],2,FALSE)</f>
        <v>張月霞</v>
      </c>
    </row>
    <row r="4812" spans="6:19" hidden="1" x14ac:dyDescent="0.25">
      <c r="F4812" t="s">
        <v>1474</v>
      </c>
      <c r="G4812" t="s">
        <v>447</v>
      </c>
      <c r="H4812" t="str">
        <f>VLOOKUP(record[[#This Row],[ProcessSN]],表格2_7[],2,FALSE)</f>
        <v>30-4118-018-6XX</v>
      </c>
      <c r="I4812" t="str">
        <f>VLOOKUP(record[[#This Row],[ProcessSN]],表格2_7[],3,FALSE)</f>
        <v>#03</v>
      </c>
      <c r="J4812" t="s">
        <v>588</v>
      </c>
      <c r="K4812" s="195">
        <v>46041.642187500001</v>
      </c>
      <c r="L4812">
        <v>414</v>
      </c>
      <c r="M4812">
        <v>0</v>
      </c>
      <c r="N4812" s="98" t="str">
        <f>IF(record[[#This Row],[Memo]]="Browser:chrome os:android","平板報工",IF(record[[#This Row],[Memo]]=0,"委外",record[[#This Row],[Memo]]))</f>
        <v>平板報工</v>
      </c>
      <c r="O4812" t="s">
        <v>643</v>
      </c>
      <c r="P4812" t="s">
        <v>789</v>
      </c>
      <c r="Q4812" t="s">
        <v>644</v>
      </c>
      <c r="R4812" t="str">
        <f>IFERROR(VLOOKUP(record[[#This Row],[PCUSTID]],廠商[],2,FALSE),"")</f>
        <v/>
      </c>
      <c r="S4812" t="str">
        <f>VLOOKUP(record[[#This Row],[employeeID]],員工[],2,FALSE)</f>
        <v>張月霞</v>
      </c>
    </row>
    <row r="4813" spans="6:19" hidden="1" x14ac:dyDescent="0.25">
      <c r="F4813" t="s">
        <v>1467</v>
      </c>
      <c r="G4813" t="s">
        <v>423</v>
      </c>
      <c r="H4813" t="str">
        <f>VLOOKUP(record[[#This Row],[ProcessSN]],表格2_7[],2,FALSE)</f>
        <v>30-4118-018-600</v>
      </c>
      <c r="I4813" t="str">
        <f>VLOOKUP(record[[#This Row],[ProcessSN]],表格2_7[],3,FALSE)</f>
        <v>#08RCV</v>
      </c>
      <c r="J4813" t="s">
        <v>591</v>
      </c>
      <c r="K4813" s="195">
        <v>46041.632835648146</v>
      </c>
      <c r="L4813">
        <v>188</v>
      </c>
      <c r="M4813">
        <v>0</v>
      </c>
      <c r="N4813" s="98" t="str">
        <f>IF(record[[#This Row],[Memo]]="Browser:chrome os:android","平板報工",IF(record[[#This Row],[Memo]]=0,"委外",record[[#This Row],[Memo]]))</f>
        <v/>
      </c>
      <c r="O4813" t="s">
        <v>58</v>
      </c>
      <c r="P4813" t="s">
        <v>186</v>
      </c>
      <c r="Q4813" t="s">
        <v>58</v>
      </c>
      <c r="R4813" t="str">
        <f>IFERROR(VLOOKUP(record[[#This Row],[PCUSTID]],廠商[],2,FALSE),"")</f>
        <v/>
      </c>
      <c r="S4813" t="str">
        <f>VLOOKUP(record[[#This Row],[employeeID]],員工[],2,FALSE)</f>
        <v>許文姍</v>
      </c>
    </row>
    <row r="4814" spans="6:19" hidden="1" x14ac:dyDescent="0.25">
      <c r="F4814" t="s">
        <v>1472</v>
      </c>
      <c r="G4814" t="s">
        <v>414</v>
      </c>
      <c r="H4814" t="str">
        <f>VLOOKUP(record[[#This Row],[ProcessSN]],表格2_7[],2,FALSE)</f>
        <v>30-4118-018-5XX</v>
      </c>
      <c r="I4814" t="str">
        <f>VLOOKUP(record[[#This Row],[ProcessSN]],表格2_7[],3,FALSE)</f>
        <v>#03</v>
      </c>
      <c r="J4814" t="s">
        <v>588</v>
      </c>
      <c r="K4814" s="195">
        <v>46041.588391203702</v>
      </c>
      <c r="L4814">
        <v>168</v>
      </c>
      <c r="M4814">
        <v>0</v>
      </c>
      <c r="N4814" s="98" t="str">
        <f>IF(record[[#This Row],[Memo]]="Browser:chrome os:android","平板報工",IF(record[[#This Row],[Memo]]=0,"委外",record[[#This Row],[Memo]]))</f>
        <v>平板報工</v>
      </c>
      <c r="O4814" t="s">
        <v>643</v>
      </c>
      <c r="P4814" t="s">
        <v>789</v>
      </c>
      <c r="Q4814" t="s">
        <v>644</v>
      </c>
      <c r="R4814" t="str">
        <f>IFERROR(VLOOKUP(record[[#This Row],[PCUSTID]],廠商[],2,FALSE),"")</f>
        <v/>
      </c>
      <c r="S4814" t="str">
        <f>VLOOKUP(record[[#This Row],[employeeID]],員工[],2,FALSE)</f>
        <v>張月霞</v>
      </c>
    </row>
    <row r="4815" spans="6:19" hidden="1" x14ac:dyDescent="0.25">
      <c r="F4815" t="s">
        <v>1476</v>
      </c>
      <c r="G4815" t="s">
        <v>397</v>
      </c>
      <c r="H4815" t="str">
        <f>VLOOKUP(record[[#This Row],[ProcessSN]],表格2_7[],2,FALSE)</f>
        <v>30-4118-018-550</v>
      </c>
      <c r="I4815" t="str">
        <f>VLOOKUP(record[[#This Row],[ProcessSN]],表格2_7[],3,FALSE)</f>
        <v>#08</v>
      </c>
      <c r="J4815" t="s">
        <v>597</v>
      </c>
      <c r="K4815" s="195">
        <v>46041.588229166664</v>
      </c>
      <c r="L4815">
        <v>415</v>
      </c>
      <c r="M4815">
        <v>0</v>
      </c>
      <c r="N4815" s="98" t="str">
        <f>IF(record[[#This Row],[Memo]]="Browser:chrome os:android","平板報工",IF(record[[#This Row],[Memo]]=0,"委外",record[[#This Row],[Memo]]))</f>
        <v>委外</v>
      </c>
      <c r="P4815" t="s">
        <v>186</v>
      </c>
      <c r="Q4815" t="s">
        <v>287</v>
      </c>
      <c r="R4815" t="str">
        <f>IFERROR(VLOOKUP(record[[#This Row],[PCUSTID]],廠商[],2,FALSE),"")</f>
        <v>泉盛</v>
      </c>
      <c r="S4815" t="str">
        <f>VLOOKUP(record[[#This Row],[employeeID]],員工[],2,FALSE)</f>
        <v>許文姍</v>
      </c>
    </row>
    <row r="4816" spans="6:19" hidden="1" x14ac:dyDescent="0.25">
      <c r="F4816" t="s">
        <v>1478</v>
      </c>
      <c r="G4816" t="s">
        <v>422</v>
      </c>
      <c r="H4816" t="str">
        <f>VLOOKUP(record[[#This Row],[ProcessSN]],表格2_7[],2,FALSE)</f>
        <v>30-4118-018-600</v>
      </c>
      <c r="I4816" t="str">
        <f>VLOOKUP(record[[#This Row],[ProcessSN]],表格2_7[],3,FALSE)</f>
        <v>#08</v>
      </c>
      <c r="J4816" t="s">
        <v>597</v>
      </c>
      <c r="K4816" s="195">
        <v>46041.588125000002</v>
      </c>
      <c r="L4816">
        <v>163</v>
      </c>
      <c r="M4816">
        <v>0</v>
      </c>
      <c r="N4816" s="98" t="str">
        <f>IF(record[[#This Row],[Memo]]="Browser:chrome os:android","平板報工",IF(record[[#This Row],[Memo]]=0,"委外",record[[#This Row],[Memo]]))</f>
        <v>委外</v>
      </c>
      <c r="P4816" t="s">
        <v>186</v>
      </c>
      <c r="Q4816" t="s">
        <v>287</v>
      </c>
      <c r="R4816" t="str">
        <f>IFERROR(VLOOKUP(record[[#This Row],[PCUSTID]],廠商[],2,FALSE),"")</f>
        <v>泉盛</v>
      </c>
      <c r="S4816" t="str">
        <f>VLOOKUP(record[[#This Row],[employeeID]],員工[],2,FALSE)</f>
        <v>許文姍</v>
      </c>
    </row>
    <row r="4817" spans="6:19" hidden="1" x14ac:dyDescent="0.25">
      <c r="F4817" t="s">
        <v>1476</v>
      </c>
      <c r="G4817" t="s">
        <v>396</v>
      </c>
      <c r="H4817" t="str">
        <f>VLOOKUP(record[[#This Row],[ProcessSN]],表格2_7[],2,FALSE)</f>
        <v>30-4118-018-550</v>
      </c>
      <c r="I4817" t="str">
        <f>VLOOKUP(record[[#This Row],[ProcessSN]],表格2_7[],3,FALSE)</f>
        <v>#08PICK</v>
      </c>
      <c r="J4817" t="s">
        <v>582</v>
      </c>
      <c r="K4817" s="195">
        <v>46041.587916666664</v>
      </c>
      <c r="L4817">
        <v>415</v>
      </c>
      <c r="M4817">
        <v>0</v>
      </c>
      <c r="N4817" s="98" t="str">
        <f>IF(record[[#This Row],[Memo]]="Browser:chrome os:android","平板報工",IF(record[[#This Row],[Memo]]=0,"委外",record[[#This Row],[Memo]]))</f>
        <v/>
      </c>
      <c r="O4817" t="s">
        <v>58</v>
      </c>
      <c r="P4817" t="s">
        <v>186</v>
      </c>
      <c r="Q4817" t="s">
        <v>58</v>
      </c>
      <c r="R4817" t="str">
        <f>IFERROR(VLOOKUP(record[[#This Row],[PCUSTID]],廠商[],2,FALSE),"")</f>
        <v/>
      </c>
      <c r="S4817" t="str">
        <f>VLOOKUP(record[[#This Row],[employeeID]],員工[],2,FALSE)</f>
        <v>許文姍</v>
      </c>
    </row>
    <row r="4818" spans="6:19" hidden="1" x14ac:dyDescent="0.25">
      <c r="F4818" t="s">
        <v>1478</v>
      </c>
      <c r="G4818" t="s">
        <v>421</v>
      </c>
      <c r="H4818" t="str">
        <f>VLOOKUP(record[[#This Row],[ProcessSN]],表格2_7[],2,FALSE)</f>
        <v>30-4118-018-600</v>
      </c>
      <c r="I4818" t="str">
        <f>VLOOKUP(record[[#This Row],[ProcessSN]],表格2_7[],3,FALSE)</f>
        <v>#08PICK</v>
      </c>
      <c r="J4818" t="s">
        <v>582</v>
      </c>
      <c r="K4818" s="195">
        <v>46041.587812500002</v>
      </c>
      <c r="L4818">
        <v>163</v>
      </c>
      <c r="M4818">
        <v>0</v>
      </c>
      <c r="N4818" s="98" t="str">
        <f>IF(record[[#This Row],[Memo]]="Browser:chrome os:android","平板報工",IF(record[[#This Row],[Memo]]=0,"委外",record[[#This Row],[Memo]]))</f>
        <v/>
      </c>
      <c r="O4818" t="s">
        <v>58</v>
      </c>
      <c r="P4818" t="s">
        <v>186</v>
      </c>
      <c r="Q4818" t="s">
        <v>58</v>
      </c>
      <c r="R4818" t="str">
        <f>IFERROR(VLOOKUP(record[[#This Row],[PCUSTID]],廠商[],2,FALSE),"")</f>
        <v/>
      </c>
      <c r="S4818" t="str">
        <f>VLOOKUP(record[[#This Row],[employeeID]],員工[],2,FALSE)</f>
        <v>許文姍</v>
      </c>
    </row>
    <row r="4819" spans="6:19" hidden="1" x14ac:dyDescent="0.25">
      <c r="F4819" t="s">
        <v>1417</v>
      </c>
      <c r="G4819" t="s">
        <v>453</v>
      </c>
      <c r="H4819" t="str">
        <f>VLOOKUP(record[[#This Row],[ProcessSN]],表格2_7[],2,FALSE)</f>
        <v>30-4118-018-6XX</v>
      </c>
      <c r="I4819" t="str">
        <f>VLOOKUP(record[[#This Row],[ProcessSN]],表格2_7[],3,FALSE)</f>
        <v>#07STOCK</v>
      </c>
      <c r="J4819" t="s">
        <v>592</v>
      </c>
      <c r="K4819" s="195">
        <v>46041.586145833331</v>
      </c>
      <c r="L4819">
        <v>163</v>
      </c>
      <c r="M4819">
        <v>0</v>
      </c>
      <c r="N4819" s="98" t="str">
        <f>IF(record[[#This Row],[Memo]]="Browser:chrome os:android","平板報工",IF(record[[#This Row],[Memo]]=0,"委外",record[[#This Row],[Memo]]))</f>
        <v/>
      </c>
      <c r="O4819" t="s">
        <v>58</v>
      </c>
      <c r="P4819" t="s">
        <v>186</v>
      </c>
      <c r="Q4819" t="s">
        <v>58</v>
      </c>
      <c r="R4819" t="str">
        <f>IFERROR(VLOOKUP(record[[#This Row],[PCUSTID]],廠商[],2,FALSE),"")</f>
        <v/>
      </c>
      <c r="S4819" t="str">
        <f>VLOOKUP(record[[#This Row],[employeeID]],員工[],2,FALSE)</f>
        <v>許文姍</v>
      </c>
    </row>
    <row r="4820" spans="6:19" hidden="1" x14ac:dyDescent="0.25">
      <c r="F4820" t="s">
        <v>1416</v>
      </c>
      <c r="G4820" t="s">
        <v>420</v>
      </c>
      <c r="H4820" t="str">
        <f>VLOOKUP(record[[#This Row],[ProcessSN]],表格2_7[],2,FALSE)</f>
        <v>30-4118-018-5XX</v>
      </c>
      <c r="I4820" t="str">
        <f>VLOOKUP(record[[#This Row],[ProcessSN]],表格2_7[],3,FALSE)</f>
        <v>#07STOCK</v>
      </c>
      <c r="J4820" t="s">
        <v>592</v>
      </c>
      <c r="K4820" s="195">
        <v>46041.585995370369</v>
      </c>
      <c r="L4820">
        <v>415</v>
      </c>
      <c r="M4820">
        <v>0</v>
      </c>
      <c r="N4820" s="98" t="str">
        <f>IF(record[[#This Row],[Memo]]="Browser:chrome os:android","平板報工",IF(record[[#This Row],[Memo]]=0,"委外",record[[#This Row],[Memo]]))</f>
        <v/>
      </c>
      <c r="O4820" t="s">
        <v>58</v>
      </c>
      <c r="P4820" t="s">
        <v>186</v>
      </c>
      <c r="Q4820" t="s">
        <v>58</v>
      </c>
      <c r="R4820" t="str">
        <f>IFERROR(VLOOKUP(record[[#This Row],[PCUSTID]],廠商[],2,FALSE),"")</f>
        <v/>
      </c>
      <c r="S4820" t="str">
        <f>VLOOKUP(record[[#This Row],[employeeID]],員工[],2,FALSE)</f>
        <v>許文姍</v>
      </c>
    </row>
    <row r="4821" spans="6:19" hidden="1" x14ac:dyDescent="0.25">
      <c r="F4821" t="s">
        <v>1451</v>
      </c>
      <c r="G4821" t="s">
        <v>403</v>
      </c>
      <c r="H4821" t="str">
        <f>VLOOKUP(record[[#This Row],[ProcessSN]],表格2_7[],2,FALSE)</f>
        <v>30-4118-018-550</v>
      </c>
      <c r="I4821" t="str">
        <f>VLOOKUP(record[[#This Row],[ProcessSN]],表格2_7[],3,FALSE)</f>
        <v>#100SHIP</v>
      </c>
      <c r="J4821" t="s">
        <v>600</v>
      </c>
      <c r="K4821" s="195">
        <v>46041.551157407404</v>
      </c>
      <c r="L4821">
        <v>114</v>
      </c>
      <c r="M4821">
        <v>0</v>
      </c>
      <c r="N4821" s="98" t="str">
        <f>IF(record[[#This Row],[Memo]]="Browser:chrome os:android","平板報工",IF(record[[#This Row],[Memo]]=0,"委外",record[[#This Row],[Memo]]))</f>
        <v/>
      </c>
      <c r="O4821" t="s">
        <v>58</v>
      </c>
      <c r="P4821" t="s">
        <v>886</v>
      </c>
      <c r="Q4821" t="s">
        <v>58</v>
      </c>
      <c r="R4821" t="str">
        <f>IFERROR(VLOOKUP(record[[#This Row],[PCUSTID]],廠商[],2,FALSE),"")</f>
        <v/>
      </c>
      <c r="S4821" t="str">
        <f>VLOOKUP(record[[#This Row],[employeeID]],員工[],2,FALSE)</f>
        <v>謝蓁薰</v>
      </c>
    </row>
    <row r="4822" spans="6:19" hidden="1" x14ac:dyDescent="0.25">
      <c r="F4822" t="s">
        <v>1439</v>
      </c>
      <c r="G4822" t="s">
        <v>403</v>
      </c>
      <c r="H4822" t="str">
        <f>VLOOKUP(record[[#This Row],[ProcessSN]],表格2_7[],2,FALSE)</f>
        <v>30-4118-018-550</v>
      </c>
      <c r="I4822" t="str">
        <f>VLOOKUP(record[[#This Row],[ProcessSN]],表格2_7[],3,FALSE)</f>
        <v>#100SHIP</v>
      </c>
      <c r="J4822" t="s">
        <v>600</v>
      </c>
      <c r="K4822" s="195">
        <v>46041.550995370373</v>
      </c>
      <c r="L4822">
        <v>9</v>
      </c>
      <c r="M4822">
        <v>0</v>
      </c>
      <c r="N4822" s="98" t="str">
        <f>IF(record[[#This Row],[Memo]]="Browser:chrome os:android","平板報工",IF(record[[#This Row],[Memo]]=0,"委外",record[[#This Row],[Memo]]))</f>
        <v/>
      </c>
      <c r="O4822" t="s">
        <v>58</v>
      </c>
      <c r="P4822" t="s">
        <v>886</v>
      </c>
      <c r="Q4822" t="s">
        <v>58</v>
      </c>
      <c r="R4822" t="str">
        <f>IFERROR(VLOOKUP(record[[#This Row],[PCUSTID]],廠商[],2,FALSE),"")</f>
        <v/>
      </c>
      <c r="S4822" t="str">
        <f>VLOOKUP(record[[#This Row],[employeeID]],員工[],2,FALSE)</f>
        <v>謝蓁薰</v>
      </c>
    </row>
    <row r="4823" spans="6:19" hidden="1" x14ac:dyDescent="0.25">
      <c r="F4823" t="s">
        <v>1417</v>
      </c>
      <c r="G4823" t="s">
        <v>452</v>
      </c>
      <c r="H4823" t="str">
        <f>VLOOKUP(record[[#This Row],[ProcessSN]],表格2_7[],2,FALSE)</f>
        <v>30-4118-018-6XX</v>
      </c>
      <c r="I4823" t="str">
        <f>VLOOKUP(record[[#This Row],[ProcessSN]],表格2_7[],3,FALSE)</f>
        <v>#07QC</v>
      </c>
      <c r="J4823" t="s">
        <v>589</v>
      </c>
      <c r="K4823" s="195">
        <v>46041.48164351852</v>
      </c>
      <c r="L4823">
        <v>0</v>
      </c>
      <c r="M4823">
        <v>2</v>
      </c>
      <c r="N4823" s="98" t="str">
        <f>IF(record[[#This Row],[Memo]]="Browser:chrome os:android","平板報工",IF(record[[#This Row],[Memo]]=0,"委外",record[[#This Row],[Memo]]))</f>
        <v>平板報工</v>
      </c>
      <c r="O4823" t="s">
        <v>643</v>
      </c>
      <c r="P4823" t="s">
        <v>141</v>
      </c>
      <c r="Q4823" t="s">
        <v>644</v>
      </c>
      <c r="R4823" t="str">
        <f>IFERROR(VLOOKUP(record[[#This Row],[PCUSTID]],廠商[],2,FALSE),"")</f>
        <v/>
      </c>
      <c r="S4823" t="str">
        <f>VLOOKUP(record[[#This Row],[employeeID]],員工[],2,FALSE)</f>
        <v>蔣梅</v>
      </c>
    </row>
    <row r="4824" spans="6:19" hidden="1" x14ac:dyDescent="0.25">
      <c r="F4824" t="s">
        <v>1417</v>
      </c>
      <c r="G4824" t="s">
        <v>452</v>
      </c>
      <c r="H4824" t="str">
        <f>VLOOKUP(record[[#This Row],[ProcessSN]],表格2_7[],2,FALSE)</f>
        <v>30-4118-018-6XX</v>
      </c>
      <c r="I4824" t="str">
        <f>VLOOKUP(record[[#This Row],[ProcessSN]],表格2_7[],3,FALSE)</f>
        <v>#07QC</v>
      </c>
      <c r="J4824" t="s">
        <v>589</v>
      </c>
      <c r="K4824" s="195">
        <v>46041.481446759259</v>
      </c>
      <c r="L4824">
        <v>163</v>
      </c>
      <c r="M4824">
        <v>0</v>
      </c>
      <c r="N4824" s="98" t="str">
        <f>IF(record[[#This Row],[Memo]]="Browser:chrome os:android","平板報工",IF(record[[#This Row],[Memo]]=0,"委外",record[[#This Row],[Memo]]))</f>
        <v>平板報工</v>
      </c>
      <c r="O4824" t="s">
        <v>643</v>
      </c>
      <c r="P4824" t="s">
        <v>141</v>
      </c>
      <c r="Q4824" t="s">
        <v>644</v>
      </c>
      <c r="R4824" t="str">
        <f>IFERROR(VLOOKUP(record[[#This Row],[PCUSTID]],廠商[],2,FALSE),"")</f>
        <v/>
      </c>
      <c r="S4824" t="str">
        <f>VLOOKUP(record[[#This Row],[employeeID]],員工[],2,FALSE)</f>
        <v>蔣梅</v>
      </c>
    </row>
    <row r="4825" spans="6:19" hidden="1" x14ac:dyDescent="0.25">
      <c r="F4825" t="s">
        <v>1416</v>
      </c>
      <c r="G4825" t="s">
        <v>419</v>
      </c>
      <c r="H4825" t="str">
        <f>VLOOKUP(record[[#This Row],[ProcessSN]],表格2_7[],2,FALSE)</f>
        <v>30-4118-018-5XX</v>
      </c>
      <c r="I4825" t="str">
        <f>VLOOKUP(record[[#This Row],[ProcessSN]],表格2_7[],3,FALSE)</f>
        <v>#07QC</v>
      </c>
      <c r="J4825" t="s">
        <v>589</v>
      </c>
      <c r="K4825" s="195">
        <v>46041.481145833335</v>
      </c>
      <c r="L4825">
        <v>0</v>
      </c>
      <c r="M4825">
        <v>4</v>
      </c>
      <c r="N4825" s="98" t="str">
        <f>IF(record[[#This Row],[Memo]]="Browser:chrome os:android","平板報工",IF(record[[#This Row],[Memo]]=0,"委外",record[[#This Row],[Memo]]))</f>
        <v>平板報工</v>
      </c>
      <c r="O4825" t="s">
        <v>643</v>
      </c>
      <c r="P4825" t="s">
        <v>141</v>
      </c>
      <c r="Q4825" t="s">
        <v>644</v>
      </c>
      <c r="R4825" t="str">
        <f>IFERROR(VLOOKUP(record[[#This Row],[PCUSTID]],廠商[],2,FALSE),"")</f>
        <v/>
      </c>
      <c r="S4825" t="str">
        <f>VLOOKUP(record[[#This Row],[employeeID]],員工[],2,FALSE)</f>
        <v>蔣梅</v>
      </c>
    </row>
    <row r="4826" spans="6:19" hidden="1" x14ac:dyDescent="0.25">
      <c r="F4826" t="s">
        <v>1416</v>
      </c>
      <c r="G4826" t="s">
        <v>419</v>
      </c>
      <c r="H4826" t="str">
        <f>VLOOKUP(record[[#This Row],[ProcessSN]],表格2_7[],2,FALSE)</f>
        <v>30-4118-018-5XX</v>
      </c>
      <c r="I4826" t="str">
        <f>VLOOKUP(record[[#This Row],[ProcessSN]],表格2_7[],3,FALSE)</f>
        <v>#07QC</v>
      </c>
      <c r="J4826" t="s">
        <v>589</v>
      </c>
      <c r="K4826" s="195">
        <v>46041.480914351851</v>
      </c>
      <c r="L4826">
        <v>415</v>
      </c>
      <c r="M4826">
        <v>0</v>
      </c>
      <c r="N4826" s="98" t="str">
        <f>IF(record[[#This Row],[Memo]]="Browser:chrome os:android","平板報工",IF(record[[#This Row],[Memo]]=0,"委外",record[[#This Row],[Memo]]))</f>
        <v>平板報工</v>
      </c>
      <c r="O4826" t="s">
        <v>643</v>
      </c>
      <c r="P4826" t="s">
        <v>141</v>
      </c>
      <c r="Q4826" t="s">
        <v>644</v>
      </c>
      <c r="R4826" t="str">
        <f>IFERROR(VLOOKUP(record[[#This Row],[PCUSTID]],廠商[],2,FALSE),"")</f>
        <v/>
      </c>
      <c r="S4826" t="str">
        <f>VLOOKUP(record[[#This Row],[employeeID]],員工[],2,FALSE)</f>
        <v>蔣梅</v>
      </c>
    </row>
    <row r="4827" spans="6:19" hidden="1" x14ac:dyDescent="0.25">
      <c r="F4827" t="s">
        <v>1451</v>
      </c>
      <c r="G4827" t="s">
        <v>402</v>
      </c>
      <c r="H4827" t="str">
        <f>VLOOKUP(record[[#This Row],[ProcessSN]],表格2_7[],2,FALSE)</f>
        <v>30-4118-018-550</v>
      </c>
      <c r="I4827" t="str">
        <f>VLOOKUP(record[[#This Row],[ProcessSN]],表格2_7[],3,FALSE)</f>
        <v>#100STOCK</v>
      </c>
      <c r="J4827" t="s">
        <v>592</v>
      </c>
      <c r="K4827" s="195">
        <v>46041.34815972222</v>
      </c>
      <c r="L4827">
        <v>48</v>
      </c>
      <c r="M4827">
        <v>0</v>
      </c>
      <c r="N4827" s="98" t="str">
        <f>IF(record[[#This Row],[Memo]]="Browser:chrome os:android","平板報工",IF(record[[#This Row],[Memo]]=0,"委外",record[[#This Row],[Memo]]))</f>
        <v/>
      </c>
      <c r="O4827" t="s">
        <v>58</v>
      </c>
      <c r="P4827" t="s">
        <v>886</v>
      </c>
      <c r="Q4827" t="s">
        <v>58</v>
      </c>
      <c r="R4827" t="str">
        <f>IFERROR(VLOOKUP(record[[#This Row],[PCUSTID]],廠商[],2,FALSE),"")</f>
        <v/>
      </c>
      <c r="S4827" t="str">
        <f>VLOOKUP(record[[#This Row],[employeeID]],員工[],2,FALSE)</f>
        <v>謝蓁薰</v>
      </c>
    </row>
    <row r="4828" spans="6:19" hidden="1" x14ac:dyDescent="0.25">
      <c r="F4828" t="s">
        <v>1416</v>
      </c>
      <c r="G4828" t="s">
        <v>418</v>
      </c>
      <c r="H4828" t="str">
        <f>VLOOKUP(record[[#This Row],[ProcessSN]],表格2_7[],2,FALSE)</f>
        <v>30-4118-018-5XX</v>
      </c>
      <c r="I4828" t="str">
        <f>VLOOKUP(record[[#This Row],[ProcessSN]],表格2_7[],3,FALSE)</f>
        <v>#07</v>
      </c>
      <c r="J4828" t="s">
        <v>588</v>
      </c>
      <c r="K4828" s="195">
        <v>46039.306250000001</v>
      </c>
      <c r="L4828">
        <v>64</v>
      </c>
      <c r="M4828">
        <v>3</v>
      </c>
      <c r="N4828" s="98" t="str">
        <f>IF(record[[#This Row],[Memo]]="Browser:chrome os:android","平板報工",IF(record[[#This Row],[Memo]]=0,"委外",record[[#This Row],[Memo]]))</f>
        <v/>
      </c>
      <c r="O4828" t="s">
        <v>58</v>
      </c>
      <c r="P4828" t="s">
        <v>843</v>
      </c>
      <c r="Q4828" t="s">
        <v>58</v>
      </c>
      <c r="R4828" t="str">
        <f>IFERROR(VLOOKUP(record[[#This Row],[PCUSTID]],廠商[],2,FALSE),"")</f>
        <v/>
      </c>
      <c r="S4828" t="str">
        <f>VLOOKUP(record[[#This Row],[employeeID]],員工[],2,FALSE)</f>
        <v>張楚承</v>
      </c>
    </row>
    <row r="4829" spans="6:19" hidden="1" x14ac:dyDescent="0.25">
      <c r="F4829" t="s">
        <v>1416</v>
      </c>
      <c r="G4829" t="s">
        <v>417</v>
      </c>
      <c r="H4829" t="str">
        <f>VLOOKUP(record[[#This Row],[ProcessSN]],表格2_7[],2,FALSE)</f>
        <v>30-4118-018-5XX</v>
      </c>
      <c r="I4829" t="str">
        <f>VLOOKUP(record[[#This Row],[ProcessSN]],表格2_7[],3,FALSE)</f>
        <v>#06</v>
      </c>
      <c r="J4829" t="s">
        <v>593</v>
      </c>
      <c r="K4829" s="195">
        <v>46039.305659722224</v>
      </c>
      <c r="L4829">
        <v>67</v>
      </c>
      <c r="M4829">
        <v>0</v>
      </c>
      <c r="N4829" s="98" t="str">
        <f>IF(record[[#This Row],[Memo]]="Browser:chrome os:android","平板報工",IF(record[[#This Row],[Memo]]=0,"委外",record[[#This Row],[Memo]]))</f>
        <v/>
      </c>
      <c r="O4829" t="s">
        <v>58</v>
      </c>
      <c r="P4829" t="s">
        <v>180</v>
      </c>
      <c r="Q4829" t="s">
        <v>58</v>
      </c>
      <c r="R4829" t="str">
        <f>IFERROR(VLOOKUP(record[[#This Row],[PCUSTID]],廠商[],2,FALSE),"")</f>
        <v/>
      </c>
      <c r="S4829" t="str">
        <f>VLOOKUP(record[[#This Row],[employeeID]],員工[],2,FALSE)</f>
        <v>黎功江</v>
      </c>
    </row>
    <row r="4830" spans="6:19" hidden="1" x14ac:dyDescent="0.25">
      <c r="F4830" t="s">
        <v>1416</v>
      </c>
      <c r="G4830" t="s">
        <v>416</v>
      </c>
      <c r="H4830" t="str">
        <f>VLOOKUP(record[[#This Row],[ProcessSN]],表格2_7[],2,FALSE)</f>
        <v>30-4118-018-5XX</v>
      </c>
      <c r="I4830" t="str">
        <f>VLOOKUP(record[[#This Row],[ProcessSN]],表格2_7[],3,FALSE)</f>
        <v>#05</v>
      </c>
      <c r="J4830" t="s">
        <v>588</v>
      </c>
      <c r="K4830" s="195">
        <v>46039.305474537039</v>
      </c>
      <c r="L4830">
        <v>9</v>
      </c>
      <c r="M4830">
        <v>0</v>
      </c>
      <c r="N4830" s="98" t="str">
        <f>IF(record[[#This Row],[Memo]]="Browser:chrome os:android","平板報工",IF(record[[#This Row],[Memo]]=0,"委外",record[[#This Row],[Memo]]))</f>
        <v/>
      </c>
      <c r="O4830" t="s">
        <v>58</v>
      </c>
      <c r="P4830" t="s">
        <v>180</v>
      </c>
      <c r="Q4830" t="s">
        <v>58</v>
      </c>
      <c r="R4830" t="str">
        <f>IFERROR(VLOOKUP(record[[#This Row],[PCUSTID]],廠商[],2,FALSE),"")</f>
        <v/>
      </c>
      <c r="S4830" t="str">
        <f>VLOOKUP(record[[#This Row],[employeeID]],員工[],2,FALSE)</f>
        <v>黎功江</v>
      </c>
    </row>
    <row r="4831" spans="6:19" hidden="1" x14ac:dyDescent="0.25">
      <c r="F4831" t="s">
        <v>1472</v>
      </c>
      <c r="G4831" t="s">
        <v>415</v>
      </c>
      <c r="H4831" t="str">
        <f>VLOOKUP(record[[#This Row],[ProcessSN]],表格2_7[],2,FALSE)</f>
        <v>30-4118-018-5XX</v>
      </c>
      <c r="I4831" t="str">
        <f>VLOOKUP(record[[#This Row],[ProcessSN]],表格2_7[],3,FALSE)</f>
        <v>#04</v>
      </c>
      <c r="J4831" t="s">
        <v>588</v>
      </c>
      <c r="K4831" s="195">
        <v>46039.304398148146</v>
      </c>
      <c r="L4831">
        <v>100</v>
      </c>
      <c r="M4831">
        <v>0</v>
      </c>
      <c r="N4831" s="98" t="str">
        <f>IF(record[[#This Row],[Memo]]="Browser:chrome os:android","平板報工",IF(record[[#This Row],[Memo]]=0,"委外",record[[#This Row],[Memo]]))</f>
        <v/>
      </c>
      <c r="O4831" t="s">
        <v>58</v>
      </c>
      <c r="P4831" t="s">
        <v>135</v>
      </c>
      <c r="Q4831" t="s">
        <v>58</v>
      </c>
      <c r="R4831" t="str">
        <f>IFERROR(VLOOKUP(record[[#This Row],[PCUSTID]],廠商[],2,FALSE),"")</f>
        <v/>
      </c>
      <c r="S4831" t="str">
        <f>VLOOKUP(record[[#This Row],[employeeID]],員工[],2,FALSE)</f>
        <v>阮士文</v>
      </c>
    </row>
    <row r="4832" spans="6:19" hidden="1" x14ac:dyDescent="0.25">
      <c r="F4832" t="s">
        <v>1417</v>
      </c>
      <c r="G4832" t="s">
        <v>448</v>
      </c>
      <c r="H4832" t="str">
        <f>VLOOKUP(record[[#This Row],[ProcessSN]],表格2_7[],2,FALSE)</f>
        <v>30-4118-018-6XX</v>
      </c>
      <c r="I4832" t="str">
        <f>VLOOKUP(record[[#This Row],[ProcessSN]],表格2_7[],3,FALSE)</f>
        <v>#04</v>
      </c>
      <c r="J4832" t="s">
        <v>588</v>
      </c>
      <c r="K4832" s="195">
        <v>46039.304155092592</v>
      </c>
      <c r="L4832">
        <v>128</v>
      </c>
      <c r="M4832">
        <v>0</v>
      </c>
      <c r="N4832" s="98" t="str">
        <f>IF(record[[#This Row],[Memo]]="Browser:chrome os:android","平板報工",IF(record[[#This Row],[Memo]]=0,"委外",record[[#This Row],[Memo]]))</f>
        <v/>
      </c>
      <c r="O4832" t="s">
        <v>58</v>
      </c>
      <c r="P4832" t="s">
        <v>135</v>
      </c>
      <c r="Q4832" t="s">
        <v>58</v>
      </c>
      <c r="R4832" t="str">
        <f>IFERROR(VLOOKUP(record[[#This Row],[PCUSTID]],廠商[],2,FALSE),"")</f>
        <v/>
      </c>
      <c r="S4832" t="str">
        <f>VLOOKUP(record[[#This Row],[employeeID]],員工[],2,FALSE)</f>
        <v>阮士文</v>
      </c>
    </row>
    <row r="4833" spans="6:19" hidden="1" x14ac:dyDescent="0.25">
      <c r="F4833" t="s">
        <v>1472</v>
      </c>
      <c r="G4833" t="s">
        <v>415</v>
      </c>
      <c r="H4833" t="str">
        <f>VLOOKUP(record[[#This Row],[ProcessSN]],表格2_7[],2,FALSE)</f>
        <v>30-4118-018-5XX</v>
      </c>
      <c r="I4833" t="str">
        <f>VLOOKUP(record[[#This Row],[ProcessSN]],表格2_7[],3,FALSE)</f>
        <v>#04</v>
      </c>
      <c r="J4833" t="s">
        <v>588</v>
      </c>
      <c r="K4833" s="195">
        <v>46038.997106481482</v>
      </c>
      <c r="L4833">
        <v>110</v>
      </c>
      <c r="M4833">
        <v>6</v>
      </c>
      <c r="N4833" s="98" t="str">
        <f>IF(record[[#This Row],[Memo]]="Browser:chrome os:android","平板報工",IF(record[[#This Row],[Memo]]=0,"委外",record[[#This Row],[Memo]]))</f>
        <v/>
      </c>
      <c r="O4833" t="s">
        <v>58</v>
      </c>
      <c r="P4833" t="s">
        <v>1098</v>
      </c>
      <c r="Q4833" t="s">
        <v>58</v>
      </c>
      <c r="R4833" t="str">
        <f>IFERROR(VLOOKUP(record[[#This Row],[PCUSTID]],廠商[],2,FALSE),"")</f>
        <v/>
      </c>
      <c r="S4833" t="str">
        <f>VLOOKUP(record[[#This Row],[employeeID]],員工[],2,FALSE)</f>
        <v>阮氏芳英(英)</v>
      </c>
    </row>
    <row r="4834" spans="6:19" hidden="1" x14ac:dyDescent="0.25">
      <c r="F4834" t="s">
        <v>1417</v>
      </c>
      <c r="G4834" t="s">
        <v>448</v>
      </c>
      <c r="H4834" t="str">
        <f>VLOOKUP(record[[#This Row],[ProcessSN]],表格2_7[],2,FALSE)</f>
        <v>30-4118-018-6XX</v>
      </c>
      <c r="I4834" t="str">
        <f>VLOOKUP(record[[#This Row],[ProcessSN]],表格2_7[],3,FALSE)</f>
        <v>#04</v>
      </c>
      <c r="J4834" t="s">
        <v>588</v>
      </c>
      <c r="K4834" s="195">
        <v>46038.996793981481</v>
      </c>
      <c r="L4834">
        <v>130</v>
      </c>
      <c r="M4834">
        <v>0</v>
      </c>
      <c r="N4834" s="98" t="str">
        <f>IF(record[[#This Row],[Memo]]="Browser:chrome os:android","平板報工",IF(record[[#This Row],[Memo]]=0,"委外",record[[#This Row],[Memo]]))</f>
        <v/>
      </c>
      <c r="O4834" t="s">
        <v>58</v>
      </c>
      <c r="P4834" t="s">
        <v>1098</v>
      </c>
      <c r="Q4834" t="s">
        <v>58</v>
      </c>
      <c r="R4834" t="str">
        <f>IFERROR(VLOOKUP(record[[#This Row],[PCUSTID]],廠商[],2,FALSE),"")</f>
        <v/>
      </c>
      <c r="S4834" t="str">
        <f>VLOOKUP(record[[#This Row],[employeeID]],員工[],2,FALSE)</f>
        <v>阮氏芳英(英)</v>
      </c>
    </row>
    <row r="4835" spans="6:19" hidden="1" x14ac:dyDescent="0.25">
      <c r="F4835" t="s">
        <v>1472</v>
      </c>
      <c r="G4835" t="s">
        <v>414</v>
      </c>
      <c r="H4835" t="str">
        <f>VLOOKUP(record[[#This Row],[ProcessSN]],表格2_7[],2,FALSE)</f>
        <v>30-4118-018-5XX</v>
      </c>
      <c r="I4835" t="str">
        <f>VLOOKUP(record[[#This Row],[ProcessSN]],表格2_7[],3,FALSE)</f>
        <v>#03</v>
      </c>
      <c r="J4835" t="s">
        <v>588</v>
      </c>
      <c r="K4835" s="195">
        <v>46038.996574074074</v>
      </c>
      <c r="L4835">
        <v>978</v>
      </c>
      <c r="M4835">
        <v>2</v>
      </c>
      <c r="N4835" s="98" t="str">
        <f>IF(record[[#This Row],[Memo]]="Browser:chrome os:android","平板報工",IF(record[[#This Row],[Memo]]=0,"委外",record[[#This Row],[Memo]]))</f>
        <v/>
      </c>
      <c r="O4835" t="s">
        <v>58</v>
      </c>
      <c r="P4835" t="s">
        <v>1098</v>
      </c>
      <c r="Q4835" t="s">
        <v>58</v>
      </c>
      <c r="R4835" t="str">
        <f>IFERROR(VLOOKUP(record[[#This Row],[PCUSTID]],廠商[],2,FALSE),"")</f>
        <v/>
      </c>
      <c r="S4835" t="str">
        <f>VLOOKUP(record[[#This Row],[employeeID]],員工[],2,FALSE)</f>
        <v>阮氏芳英(英)</v>
      </c>
    </row>
    <row r="4836" spans="6:19" hidden="1" x14ac:dyDescent="0.25">
      <c r="F4836" t="s">
        <v>1416</v>
      </c>
      <c r="G4836" t="s">
        <v>418</v>
      </c>
      <c r="H4836" t="str">
        <f>VLOOKUP(record[[#This Row],[ProcessSN]],表格2_7[],2,FALSE)</f>
        <v>30-4118-018-5XX</v>
      </c>
      <c r="I4836" t="str">
        <f>VLOOKUP(record[[#This Row],[ProcessSN]],表格2_7[],3,FALSE)</f>
        <v>#07</v>
      </c>
      <c r="J4836" t="s">
        <v>588</v>
      </c>
      <c r="K4836" s="195">
        <v>46038.988993055558</v>
      </c>
      <c r="L4836">
        <v>140</v>
      </c>
      <c r="M4836">
        <v>4</v>
      </c>
      <c r="N4836" s="98" t="str">
        <f>IF(record[[#This Row],[Memo]]="Browser:chrome os:android","平板報工",IF(record[[#This Row],[Memo]]=0,"委外",record[[#This Row],[Memo]]))</f>
        <v/>
      </c>
      <c r="O4836" t="s">
        <v>58</v>
      </c>
      <c r="P4836" t="s">
        <v>89</v>
      </c>
      <c r="Q4836" t="s">
        <v>58</v>
      </c>
      <c r="R4836" t="str">
        <f>IFERROR(VLOOKUP(record[[#This Row],[PCUSTID]],廠商[],2,FALSE),"")</f>
        <v/>
      </c>
      <c r="S4836" t="str">
        <f>VLOOKUP(record[[#This Row],[employeeID]],員工[],2,FALSE)</f>
        <v>李美蓮</v>
      </c>
    </row>
    <row r="4837" spans="6:19" hidden="1" x14ac:dyDescent="0.25">
      <c r="F4837" t="s">
        <v>1416</v>
      </c>
      <c r="G4837" t="s">
        <v>417</v>
      </c>
      <c r="H4837" t="str">
        <f>VLOOKUP(record[[#This Row],[ProcessSN]],表格2_7[],2,FALSE)</f>
        <v>30-4118-018-5XX</v>
      </c>
      <c r="I4837" t="str">
        <f>VLOOKUP(record[[#This Row],[ProcessSN]],表格2_7[],3,FALSE)</f>
        <v>#06</v>
      </c>
      <c r="J4837" t="s">
        <v>593</v>
      </c>
      <c r="K4837" s="195">
        <v>46038.987951388888</v>
      </c>
      <c r="L4837">
        <v>11</v>
      </c>
      <c r="M4837">
        <v>0</v>
      </c>
      <c r="N4837" s="98" t="str">
        <f>IF(record[[#This Row],[Memo]]="Browser:chrome os:android","平板報工",IF(record[[#This Row],[Memo]]=0,"委外",record[[#This Row],[Memo]]))</f>
        <v>補報生產11PCS 1/16</v>
      </c>
      <c r="O4837" t="s">
        <v>1475</v>
      </c>
      <c r="P4837" t="s">
        <v>127</v>
      </c>
      <c r="Q4837" t="s">
        <v>58</v>
      </c>
      <c r="R4837" t="str">
        <f>IFERROR(VLOOKUP(record[[#This Row],[PCUSTID]],廠商[],2,FALSE),"")</f>
        <v/>
      </c>
      <c r="S4837" t="str">
        <f>VLOOKUP(record[[#This Row],[employeeID]],員工[],2,FALSE)</f>
        <v>潘雪梅</v>
      </c>
    </row>
    <row r="4838" spans="6:19" hidden="1" x14ac:dyDescent="0.25">
      <c r="F4838" t="s">
        <v>1416</v>
      </c>
      <c r="G4838" t="s">
        <v>417</v>
      </c>
      <c r="H4838" t="str">
        <f>VLOOKUP(record[[#This Row],[ProcessSN]],表格2_7[],2,FALSE)</f>
        <v>30-4118-018-5XX</v>
      </c>
      <c r="I4838" t="str">
        <f>VLOOKUP(record[[#This Row],[ProcessSN]],表格2_7[],3,FALSE)</f>
        <v>#06</v>
      </c>
      <c r="J4838" t="s">
        <v>593</v>
      </c>
      <c r="K4838" s="195">
        <v>46038.978865740741</v>
      </c>
      <c r="L4838">
        <v>133</v>
      </c>
      <c r="M4838">
        <v>0</v>
      </c>
      <c r="N4838" s="98" t="str">
        <f>IF(record[[#This Row],[Memo]]="Browser:chrome os:android","平板報工",IF(record[[#This Row],[Memo]]=0,"委外",record[[#This Row],[Memo]]))</f>
        <v/>
      </c>
      <c r="O4838" t="s">
        <v>58</v>
      </c>
      <c r="P4838" t="s">
        <v>133</v>
      </c>
      <c r="Q4838" t="s">
        <v>58</v>
      </c>
      <c r="R4838" t="str">
        <f>IFERROR(VLOOKUP(record[[#This Row],[PCUSTID]],廠商[],2,FALSE),"")</f>
        <v/>
      </c>
      <c r="S4838" t="str">
        <f>VLOOKUP(record[[#This Row],[employeeID]],員工[],2,FALSE)</f>
        <v>黎長維</v>
      </c>
    </row>
    <row r="4839" spans="6:19" hidden="1" x14ac:dyDescent="0.25">
      <c r="F4839" t="s">
        <v>1416</v>
      </c>
      <c r="G4839" t="s">
        <v>418</v>
      </c>
      <c r="H4839" t="str">
        <f>VLOOKUP(record[[#This Row],[ProcessSN]],表格2_7[],2,FALSE)</f>
        <v>30-4118-018-5XX</v>
      </c>
      <c r="I4839" t="str">
        <f>VLOOKUP(record[[#This Row],[ProcessSN]],表格2_7[],3,FALSE)</f>
        <v>#07</v>
      </c>
      <c r="J4839" t="s">
        <v>588</v>
      </c>
      <c r="K4839" s="195">
        <v>46038.729895833334</v>
      </c>
      <c r="L4839">
        <v>85</v>
      </c>
      <c r="M4839">
        <v>0</v>
      </c>
      <c r="N4839" s="98" t="str">
        <f>IF(record[[#This Row],[Memo]]="Browser:chrome os:android","平板報工",IF(record[[#This Row],[Memo]]=0,"委外",record[[#This Row],[Memo]]))</f>
        <v/>
      </c>
      <c r="O4839" t="s">
        <v>58</v>
      </c>
      <c r="P4839" t="s">
        <v>785</v>
      </c>
      <c r="Q4839" t="s">
        <v>58</v>
      </c>
      <c r="R4839" t="str">
        <f>IFERROR(VLOOKUP(record[[#This Row],[PCUSTID]],廠商[],2,FALSE),"")</f>
        <v/>
      </c>
      <c r="S4839" t="str">
        <f>VLOOKUP(record[[#This Row],[employeeID]],員工[],2,FALSE)</f>
        <v>謝刻光</v>
      </c>
    </row>
    <row r="4840" spans="6:19" hidden="1" x14ac:dyDescent="0.25">
      <c r="F4840" t="s">
        <v>1472</v>
      </c>
      <c r="G4840" t="s">
        <v>414</v>
      </c>
      <c r="H4840" t="str">
        <f>VLOOKUP(record[[#This Row],[ProcessSN]],表格2_7[],2,FALSE)</f>
        <v>30-4118-018-5XX</v>
      </c>
      <c r="I4840" t="str">
        <f>VLOOKUP(record[[#This Row],[ProcessSN]],表格2_7[],3,FALSE)</f>
        <v>#03</v>
      </c>
      <c r="J4840" t="s">
        <v>588</v>
      </c>
      <c r="K4840" s="195">
        <v>46038.680486111109</v>
      </c>
      <c r="L4840">
        <v>100</v>
      </c>
      <c r="M4840">
        <v>0</v>
      </c>
      <c r="N4840" s="98" t="str">
        <f>IF(record[[#This Row],[Memo]]="Browser:chrome os:android","平板報工",IF(record[[#This Row],[Memo]]=0,"委外",record[[#This Row],[Memo]]))</f>
        <v/>
      </c>
      <c r="O4840" t="s">
        <v>58</v>
      </c>
      <c r="P4840" t="s">
        <v>107</v>
      </c>
      <c r="Q4840" t="s">
        <v>58</v>
      </c>
      <c r="R4840" t="str">
        <f>IFERROR(VLOOKUP(record[[#This Row],[PCUSTID]],廠商[],2,FALSE),"")</f>
        <v/>
      </c>
      <c r="S4840" t="str">
        <f>VLOOKUP(record[[#This Row],[employeeID]],員工[],2,FALSE)</f>
        <v>黎氏順</v>
      </c>
    </row>
    <row r="4841" spans="6:19" hidden="1" x14ac:dyDescent="0.25">
      <c r="F4841" t="s">
        <v>1417</v>
      </c>
      <c r="G4841" t="s">
        <v>450</v>
      </c>
      <c r="H4841" t="str">
        <f>VLOOKUP(record[[#This Row],[ProcessSN]],表格2_7[],2,FALSE)</f>
        <v>30-4118-018-6XX</v>
      </c>
      <c r="I4841" t="str">
        <f>VLOOKUP(record[[#This Row],[ProcessSN]],表格2_7[],3,FALSE)</f>
        <v>#06</v>
      </c>
      <c r="J4841" t="s">
        <v>593</v>
      </c>
      <c r="K4841" s="195">
        <v>46038.679710648146</v>
      </c>
      <c r="L4841">
        <v>36</v>
      </c>
      <c r="M4841">
        <v>0</v>
      </c>
      <c r="N4841" s="98" t="str">
        <f>IF(record[[#This Row],[Memo]]="Browser:chrome os:android","平板報工",IF(record[[#This Row],[Memo]]=0,"委外",record[[#This Row],[Memo]]))</f>
        <v/>
      </c>
      <c r="O4841" t="s">
        <v>58</v>
      </c>
      <c r="P4841" t="s">
        <v>1413</v>
      </c>
      <c r="Q4841" t="s">
        <v>58</v>
      </c>
      <c r="R4841" t="str">
        <f>IFERROR(VLOOKUP(record[[#This Row],[PCUSTID]],廠商[],2,FALSE),"")</f>
        <v/>
      </c>
      <c r="S4841" t="str">
        <f>VLOOKUP(record[[#This Row],[employeeID]],員工[],2,FALSE)</f>
        <v>阮氏芳英(芳)</v>
      </c>
    </row>
    <row r="4842" spans="6:19" hidden="1" x14ac:dyDescent="0.25">
      <c r="F4842" t="s">
        <v>1417</v>
      </c>
      <c r="G4842" t="s">
        <v>449</v>
      </c>
      <c r="H4842" t="str">
        <f>VLOOKUP(record[[#This Row],[ProcessSN]],表格2_7[],2,FALSE)</f>
        <v>30-4118-018-6XX</v>
      </c>
      <c r="I4842" t="str">
        <f>VLOOKUP(record[[#This Row],[ProcessSN]],表格2_7[],3,FALSE)</f>
        <v>#05</v>
      </c>
      <c r="J4842" t="s">
        <v>588</v>
      </c>
      <c r="K4842" s="195">
        <v>46038.679398148146</v>
      </c>
      <c r="L4842">
        <v>11</v>
      </c>
      <c r="M4842">
        <v>0</v>
      </c>
      <c r="N4842" s="98" t="str">
        <f>IF(record[[#This Row],[Memo]]="Browser:chrome os:android","平板報工",IF(record[[#This Row],[Memo]]=0,"委外",record[[#This Row],[Memo]]))</f>
        <v/>
      </c>
      <c r="O4842" t="s">
        <v>58</v>
      </c>
      <c r="P4842" t="s">
        <v>785</v>
      </c>
      <c r="Q4842" t="s">
        <v>58</v>
      </c>
      <c r="R4842" t="str">
        <f>IFERROR(VLOOKUP(record[[#This Row],[PCUSTID]],廠商[],2,FALSE),"")</f>
        <v/>
      </c>
      <c r="S4842" t="str">
        <f>VLOOKUP(record[[#This Row],[employeeID]],員工[],2,FALSE)</f>
        <v>謝刻光</v>
      </c>
    </row>
    <row r="4843" spans="6:19" hidden="1" x14ac:dyDescent="0.25">
      <c r="F4843" t="s">
        <v>1457</v>
      </c>
      <c r="G4843" t="s">
        <v>428</v>
      </c>
      <c r="H4843" t="str">
        <f>VLOOKUP(record[[#This Row],[ProcessSN]],表格2_7[],2,FALSE)</f>
        <v>30-4118-018-600</v>
      </c>
      <c r="I4843" t="str">
        <f>VLOOKUP(record[[#This Row],[ProcessSN]],表格2_7[],3,FALSE)</f>
        <v>#100SHIP</v>
      </c>
      <c r="J4843" t="s">
        <v>600</v>
      </c>
      <c r="K4843" s="195">
        <v>46038.672291666669</v>
      </c>
      <c r="L4843">
        <v>175</v>
      </c>
      <c r="M4843">
        <v>0</v>
      </c>
      <c r="N4843" s="98" t="str">
        <f>IF(record[[#This Row],[Memo]]="Browser:chrome os:android","平板報工",IF(record[[#This Row],[Memo]]=0,"委外",record[[#This Row],[Memo]]))</f>
        <v/>
      </c>
      <c r="O4843" t="s">
        <v>58</v>
      </c>
      <c r="P4843" t="s">
        <v>886</v>
      </c>
      <c r="Q4843" t="s">
        <v>58</v>
      </c>
      <c r="R4843" t="str">
        <f>IFERROR(VLOOKUP(record[[#This Row],[PCUSTID]],廠商[],2,FALSE),"")</f>
        <v/>
      </c>
      <c r="S4843" t="str">
        <f>VLOOKUP(record[[#This Row],[employeeID]],員工[],2,FALSE)</f>
        <v>謝蓁薰</v>
      </c>
    </row>
    <row r="4844" spans="6:19" hidden="1" x14ac:dyDescent="0.25">
      <c r="F4844" t="s">
        <v>1457</v>
      </c>
      <c r="G4844" t="s">
        <v>427</v>
      </c>
      <c r="H4844" t="str">
        <f>VLOOKUP(record[[#This Row],[ProcessSN]],表格2_7[],2,FALSE)</f>
        <v>30-4118-018-600</v>
      </c>
      <c r="I4844" t="str">
        <f>VLOOKUP(record[[#This Row],[ProcessSN]],表格2_7[],3,FALSE)</f>
        <v>#100STOCK</v>
      </c>
      <c r="J4844" t="s">
        <v>592</v>
      </c>
      <c r="K4844" s="195">
        <v>46038.672164351854</v>
      </c>
      <c r="L4844">
        <v>176</v>
      </c>
      <c r="M4844">
        <v>0</v>
      </c>
      <c r="N4844" s="98" t="str">
        <f>IF(record[[#This Row],[Memo]]="Browser:chrome os:android","平板報工",IF(record[[#This Row],[Memo]]=0,"委外",record[[#This Row],[Memo]]))</f>
        <v/>
      </c>
      <c r="O4844" t="s">
        <v>58</v>
      </c>
      <c r="P4844" t="s">
        <v>886</v>
      </c>
      <c r="Q4844" t="s">
        <v>58</v>
      </c>
      <c r="R4844" t="str">
        <f>IFERROR(VLOOKUP(record[[#This Row],[PCUSTID]],廠商[],2,FALSE),"")</f>
        <v/>
      </c>
      <c r="S4844" t="str">
        <f>VLOOKUP(record[[#This Row],[employeeID]],員工[],2,FALSE)</f>
        <v>謝蓁薰</v>
      </c>
    </row>
    <row r="4845" spans="6:19" hidden="1" x14ac:dyDescent="0.25">
      <c r="F4845" t="s">
        <v>1457</v>
      </c>
      <c r="G4845" t="s">
        <v>426</v>
      </c>
      <c r="H4845" t="str">
        <f>VLOOKUP(record[[#This Row],[ProcessSN]],表格2_7[],2,FALSE)</f>
        <v>30-4118-018-600</v>
      </c>
      <c r="I4845" t="str">
        <f>VLOOKUP(record[[#This Row],[ProcessSN]],表格2_7[],3,FALSE)</f>
        <v>#100OQC</v>
      </c>
      <c r="J4845" t="s">
        <v>599</v>
      </c>
      <c r="K4845" s="195">
        <v>46038.670358796298</v>
      </c>
      <c r="L4845">
        <v>176</v>
      </c>
      <c r="M4845">
        <v>0</v>
      </c>
      <c r="N4845" s="98" t="str">
        <f>IF(record[[#This Row],[Memo]]="Browser:chrome os:android","平板報工",IF(record[[#This Row],[Memo]]=0,"委外",record[[#This Row],[Memo]]))</f>
        <v/>
      </c>
      <c r="O4845" t="s">
        <v>58</v>
      </c>
      <c r="P4845" t="s">
        <v>121</v>
      </c>
      <c r="Q4845" t="s">
        <v>58</v>
      </c>
      <c r="R4845" t="str">
        <f>IFERROR(VLOOKUP(record[[#This Row],[PCUSTID]],廠商[],2,FALSE),"")</f>
        <v/>
      </c>
      <c r="S4845" t="str">
        <f>VLOOKUP(record[[#This Row],[employeeID]],員工[],2,FALSE)</f>
        <v>謝素卿</v>
      </c>
    </row>
    <row r="4846" spans="6:19" hidden="1" x14ac:dyDescent="0.25">
      <c r="F4846" t="s">
        <v>1456</v>
      </c>
      <c r="G4846" t="s">
        <v>401</v>
      </c>
      <c r="H4846" t="str">
        <f>VLOOKUP(record[[#This Row],[ProcessSN]],表格2_7[],2,FALSE)</f>
        <v>30-4118-018-550</v>
      </c>
      <c r="I4846" t="str">
        <f>VLOOKUP(record[[#This Row],[ProcessSN]],表格2_7[],3,FALSE)</f>
        <v>#100OQC</v>
      </c>
      <c r="J4846" t="s">
        <v>599</v>
      </c>
      <c r="K4846" s="195">
        <v>46038.670208333337</v>
      </c>
      <c r="L4846">
        <v>290</v>
      </c>
      <c r="M4846">
        <v>0</v>
      </c>
      <c r="N4846" s="98" t="str">
        <f>IF(record[[#This Row],[Memo]]="Browser:chrome os:android","平板報工",IF(record[[#This Row],[Memo]]=0,"委外",record[[#This Row],[Memo]]))</f>
        <v/>
      </c>
      <c r="O4846" t="s">
        <v>58</v>
      </c>
      <c r="P4846" t="s">
        <v>121</v>
      </c>
      <c r="Q4846" t="s">
        <v>58</v>
      </c>
      <c r="R4846" t="str">
        <f>IFERROR(VLOOKUP(record[[#This Row],[PCUSTID]],廠商[],2,FALSE),"")</f>
        <v/>
      </c>
      <c r="S4846" t="str">
        <f>VLOOKUP(record[[#This Row],[employeeID]],員工[],2,FALSE)</f>
        <v>謝素卿</v>
      </c>
    </row>
    <row r="4847" spans="6:19" hidden="1" x14ac:dyDescent="0.25">
      <c r="F4847" t="s">
        <v>1385</v>
      </c>
      <c r="G4847" t="s">
        <v>470</v>
      </c>
      <c r="H4847" t="str">
        <f>VLOOKUP(record[[#This Row],[ProcessSN]],表格2_7[],2,FALSE)</f>
        <v>30-4118-018-XXX</v>
      </c>
      <c r="I4847" t="str">
        <f>VLOOKUP(record[[#This Row],[ProcessSN]],表格2_7[],3,FALSE)</f>
        <v>#02IQC</v>
      </c>
      <c r="J4847" t="s">
        <v>583</v>
      </c>
      <c r="K4847" s="195">
        <v>46038.670069444444</v>
      </c>
      <c r="L4847">
        <v>1</v>
      </c>
      <c r="M4847">
        <v>0</v>
      </c>
      <c r="N4847" s="98" t="str">
        <f>IF(record[[#This Row],[Memo]]="Browser:chrome os:android","平板報工",IF(record[[#This Row],[Memo]]=0,"委外",record[[#This Row],[Memo]]))</f>
        <v/>
      </c>
      <c r="O4847" t="s">
        <v>58</v>
      </c>
      <c r="P4847" t="s">
        <v>109</v>
      </c>
      <c r="Q4847" t="s">
        <v>58</v>
      </c>
      <c r="R4847" t="str">
        <f>IFERROR(VLOOKUP(record[[#This Row],[PCUSTID]],廠商[],2,FALSE),"")</f>
        <v/>
      </c>
      <c r="S4847" t="str">
        <f>VLOOKUP(record[[#This Row],[employeeID]],員工[],2,FALSE)</f>
        <v>裴氏璧鳳</v>
      </c>
    </row>
    <row r="4848" spans="6:19" hidden="1" x14ac:dyDescent="0.25">
      <c r="F4848" t="s">
        <v>1451</v>
      </c>
      <c r="G4848" t="s">
        <v>401</v>
      </c>
      <c r="H4848" t="str">
        <f>VLOOKUP(record[[#This Row],[ProcessSN]],表格2_7[],2,FALSE)</f>
        <v>30-4118-018-550</v>
      </c>
      <c r="I4848" t="str">
        <f>VLOOKUP(record[[#This Row],[ProcessSN]],表格2_7[],3,FALSE)</f>
        <v>#100OQC</v>
      </c>
      <c r="J4848" t="s">
        <v>599</v>
      </c>
      <c r="K4848" s="195">
        <v>46038.669942129629</v>
      </c>
      <c r="L4848">
        <v>28</v>
      </c>
      <c r="M4848">
        <v>0</v>
      </c>
      <c r="N4848" s="98" t="str">
        <f>IF(record[[#This Row],[Memo]]="Browser:chrome os:android","平板報工",IF(record[[#This Row],[Memo]]=0,"委外",record[[#This Row],[Memo]]))</f>
        <v/>
      </c>
      <c r="O4848" t="s">
        <v>58</v>
      </c>
      <c r="P4848" t="s">
        <v>121</v>
      </c>
      <c r="Q4848" t="s">
        <v>58</v>
      </c>
      <c r="R4848" t="str">
        <f>IFERROR(VLOOKUP(record[[#This Row],[PCUSTID]],廠商[],2,FALSE),"")</f>
        <v/>
      </c>
      <c r="S4848" t="str">
        <f>VLOOKUP(record[[#This Row],[employeeID]],員工[],2,FALSE)</f>
        <v>謝素卿</v>
      </c>
    </row>
    <row r="4849" spans="6:19" hidden="1" x14ac:dyDescent="0.25">
      <c r="F4849" t="s">
        <v>1451</v>
      </c>
      <c r="G4849" t="s">
        <v>403</v>
      </c>
      <c r="H4849" t="str">
        <f>VLOOKUP(record[[#This Row],[ProcessSN]],表格2_7[],2,FALSE)</f>
        <v>30-4118-018-550</v>
      </c>
      <c r="I4849" t="str">
        <f>VLOOKUP(record[[#This Row],[ProcessSN]],表格2_7[],3,FALSE)</f>
        <v>#100SHIP</v>
      </c>
      <c r="J4849" t="s">
        <v>600</v>
      </c>
      <c r="K4849" s="195">
        <v>46038.66847222222</v>
      </c>
      <c r="L4849">
        <v>203</v>
      </c>
      <c r="M4849">
        <v>0</v>
      </c>
      <c r="N4849" s="98" t="str">
        <f>IF(record[[#This Row],[Memo]]="Browser:chrome os:android","平板報工",IF(record[[#This Row],[Memo]]=0,"委外",record[[#This Row],[Memo]]))</f>
        <v/>
      </c>
      <c r="O4849" t="s">
        <v>58</v>
      </c>
      <c r="P4849" t="s">
        <v>886</v>
      </c>
      <c r="Q4849" t="s">
        <v>58</v>
      </c>
      <c r="R4849" t="str">
        <f>IFERROR(VLOOKUP(record[[#This Row],[PCUSTID]],廠商[],2,FALSE),"")</f>
        <v/>
      </c>
      <c r="S4849" t="str">
        <f>VLOOKUP(record[[#This Row],[employeeID]],員工[],2,FALSE)</f>
        <v>謝蓁薰</v>
      </c>
    </row>
    <row r="4850" spans="6:19" hidden="1" x14ac:dyDescent="0.25">
      <c r="F4850" t="s">
        <v>1407</v>
      </c>
      <c r="G4850" t="s">
        <v>362</v>
      </c>
      <c r="H4850" t="str">
        <f>VLOOKUP(record[[#This Row],[ProcessSN]],表格2_7[],2,FALSE)</f>
        <v>30-4118-018-450</v>
      </c>
      <c r="I4850" t="str">
        <f>VLOOKUP(record[[#This Row],[ProcessSN]],表格2_7[],3,FALSE)</f>
        <v>#100SHIP</v>
      </c>
      <c r="J4850" t="s">
        <v>600</v>
      </c>
      <c r="K4850" s="195">
        <v>46038.668298611112</v>
      </c>
      <c r="L4850">
        <v>296</v>
      </c>
      <c r="M4850">
        <v>0</v>
      </c>
      <c r="N4850" s="98" t="str">
        <f>IF(record[[#This Row],[Memo]]="Browser:chrome os:android","平板報工",IF(record[[#This Row],[Memo]]=0,"委外",record[[#This Row],[Memo]]))</f>
        <v/>
      </c>
      <c r="O4850" t="s">
        <v>58</v>
      </c>
      <c r="P4850" t="s">
        <v>886</v>
      </c>
      <c r="Q4850" t="s">
        <v>58</v>
      </c>
      <c r="R4850" t="str">
        <f>IFERROR(VLOOKUP(record[[#This Row],[PCUSTID]],廠商[],2,FALSE),"")</f>
        <v/>
      </c>
      <c r="S4850" t="str">
        <f>VLOOKUP(record[[#This Row],[employeeID]],員工[],2,FALSE)</f>
        <v>謝蓁薰</v>
      </c>
    </row>
    <row r="4851" spans="6:19" hidden="1" x14ac:dyDescent="0.25">
      <c r="F4851" t="s">
        <v>1400</v>
      </c>
      <c r="G4851" t="s">
        <v>362</v>
      </c>
      <c r="H4851" t="str">
        <f>VLOOKUP(record[[#This Row],[ProcessSN]],表格2_7[],2,FALSE)</f>
        <v>30-4118-018-450</v>
      </c>
      <c r="I4851" t="str">
        <f>VLOOKUP(record[[#This Row],[ProcessSN]],表格2_7[],3,FALSE)</f>
        <v>#100SHIP</v>
      </c>
      <c r="J4851" t="s">
        <v>600</v>
      </c>
      <c r="K4851" s="195">
        <v>46038.668171296296</v>
      </c>
      <c r="L4851">
        <v>168</v>
      </c>
      <c r="M4851">
        <v>0</v>
      </c>
      <c r="N4851" s="98" t="str">
        <f>IF(record[[#This Row],[Memo]]="Browser:chrome os:android","平板報工",IF(record[[#This Row],[Memo]]=0,"委外",record[[#This Row],[Memo]]))</f>
        <v/>
      </c>
      <c r="O4851" t="s">
        <v>58</v>
      </c>
      <c r="P4851" t="s">
        <v>886</v>
      </c>
      <c r="Q4851" t="s">
        <v>58</v>
      </c>
      <c r="R4851" t="str">
        <f>IFERROR(VLOOKUP(record[[#This Row],[PCUSTID]],廠商[],2,FALSE),"")</f>
        <v/>
      </c>
      <c r="S4851" t="str">
        <f>VLOOKUP(record[[#This Row],[employeeID]],員工[],2,FALSE)</f>
        <v>謝蓁薰</v>
      </c>
    </row>
    <row r="4852" spans="6:19" hidden="1" x14ac:dyDescent="0.25">
      <c r="F4852" t="s">
        <v>956</v>
      </c>
      <c r="G4852" t="s">
        <v>362</v>
      </c>
      <c r="H4852" t="str">
        <f>VLOOKUP(record[[#This Row],[ProcessSN]],表格2_7[],2,FALSE)</f>
        <v>30-4118-018-450</v>
      </c>
      <c r="I4852" t="str">
        <f>VLOOKUP(record[[#This Row],[ProcessSN]],表格2_7[],3,FALSE)</f>
        <v>#100SHIP</v>
      </c>
      <c r="J4852" t="s">
        <v>600</v>
      </c>
      <c r="K4852" s="195">
        <v>46038.668020833335</v>
      </c>
      <c r="L4852">
        <v>4</v>
      </c>
      <c r="M4852">
        <v>0</v>
      </c>
      <c r="N4852" s="98" t="str">
        <f>IF(record[[#This Row],[Memo]]="Browser:chrome os:android","平板報工",IF(record[[#This Row],[Memo]]=0,"委外",record[[#This Row],[Memo]]))</f>
        <v/>
      </c>
      <c r="O4852" t="s">
        <v>58</v>
      </c>
      <c r="P4852" t="s">
        <v>886</v>
      </c>
      <c r="Q4852" t="s">
        <v>58</v>
      </c>
      <c r="R4852" t="str">
        <f>IFERROR(VLOOKUP(record[[#This Row],[PCUSTID]],廠商[],2,FALSE),"")</f>
        <v/>
      </c>
      <c r="S4852" t="str">
        <f>VLOOKUP(record[[#This Row],[employeeID]],員工[],2,FALSE)</f>
        <v>謝蓁薰</v>
      </c>
    </row>
    <row r="4853" spans="6:19" hidden="1" x14ac:dyDescent="0.25">
      <c r="F4853" t="s">
        <v>1416</v>
      </c>
      <c r="G4853" t="s">
        <v>417</v>
      </c>
      <c r="H4853" t="str">
        <f>VLOOKUP(record[[#This Row],[ProcessSN]],表格2_7[],2,FALSE)</f>
        <v>30-4118-018-5XX</v>
      </c>
      <c r="I4853" t="str">
        <f>VLOOKUP(record[[#This Row],[ProcessSN]],表格2_7[],3,FALSE)</f>
        <v>#06</v>
      </c>
      <c r="J4853" t="s">
        <v>593</v>
      </c>
      <c r="K4853" s="195">
        <v>46038.652812499997</v>
      </c>
      <c r="L4853">
        <v>65</v>
      </c>
      <c r="M4853">
        <v>0</v>
      </c>
      <c r="N4853" s="98" t="str">
        <f>IF(record[[#This Row],[Memo]]="Browser:chrome os:android","平板報工",IF(record[[#This Row],[Memo]]=0,"委外",record[[#This Row],[Memo]]))</f>
        <v>平板報工</v>
      </c>
      <c r="O4853" t="s">
        <v>643</v>
      </c>
      <c r="P4853" t="s">
        <v>1413</v>
      </c>
      <c r="Q4853" t="s">
        <v>644</v>
      </c>
      <c r="R4853" t="str">
        <f>IFERROR(VLOOKUP(record[[#This Row],[PCUSTID]],廠商[],2,FALSE),"")</f>
        <v/>
      </c>
      <c r="S4853" t="str">
        <f>VLOOKUP(record[[#This Row],[employeeID]],員工[],2,FALSE)</f>
        <v>阮氏芳英(芳)</v>
      </c>
    </row>
    <row r="4854" spans="6:19" hidden="1" x14ac:dyDescent="0.25">
      <c r="F4854" t="s">
        <v>1417</v>
      </c>
      <c r="G4854" t="s">
        <v>451</v>
      </c>
      <c r="H4854" t="str">
        <f>VLOOKUP(record[[#This Row],[ProcessSN]],表格2_7[],2,FALSE)</f>
        <v>30-4118-018-6XX</v>
      </c>
      <c r="I4854" t="str">
        <f>VLOOKUP(record[[#This Row],[ProcessSN]],表格2_7[],3,FALSE)</f>
        <v>#07</v>
      </c>
      <c r="J4854" t="s">
        <v>588</v>
      </c>
      <c r="K4854" s="195">
        <v>46038.651122685187</v>
      </c>
      <c r="L4854">
        <v>14</v>
      </c>
      <c r="M4854">
        <v>1</v>
      </c>
      <c r="N4854" s="98" t="str">
        <f>IF(record[[#This Row],[Memo]]="Browser:chrome os:android","平板報工",IF(record[[#This Row],[Memo]]=0,"委外",record[[#This Row],[Memo]]))</f>
        <v>平板報工</v>
      </c>
      <c r="O4854" t="s">
        <v>643</v>
      </c>
      <c r="P4854" t="s">
        <v>785</v>
      </c>
      <c r="Q4854" t="s">
        <v>644</v>
      </c>
      <c r="R4854" t="str">
        <f>IFERROR(VLOOKUP(record[[#This Row],[PCUSTID]],廠商[],2,FALSE),"")</f>
        <v/>
      </c>
      <c r="S4854" t="str">
        <f>VLOOKUP(record[[#This Row],[employeeID]],員工[],2,FALSE)</f>
        <v>謝刻光</v>
      </c>
    </row>
    <row r="4855" spans="6:19" hidden="1" x14ac:dyDescent="0.25">
      <c r="F4855" t="s">
        <v>1417</v>
      </c>
      <c r="G4855" t="s">
        <v>449</v>
      </c>
      <c r="H4855" t="str">
        <f>VLOOKUP(record[[#This Row],[ProcessSN]],表格2_7[],2,FALSE)</f>
        <v>30-4118-018-6XX</v>
      </c>
      <c r="I4855" t="str">
        <f>VLOOKUP(record[[#This Row],[ProcessSN]],表格2_7[],3,FALSE)</f>
        <v>#05</v>
      </c>
      <c r="J4855" t="s">
        <v>588</v>
      </c>
      <c r="K4855" s="195">
        <v>46038.649085648147</v>
      </c>
      <c r="L4855">
        <v>25</v>
      </c>
      <c r="M4855">
        <v>0</v>
      </c>
      <c r="N4855" s="98" t="str">
        <f>IF(record[[#This Row],[Memo]]="Browser:chrome os:android","平板報工",IF(record[[#This Row],[Memo]]=0,"委外",record[[#This Row],[Memo]]))</f>
        <v>平板報工</v>
      </c>
      <c r="O4855" t="s">
        <v>643</v>
      </c>
      <c r="P4855" t="s">
        <v>785</v>
      </c>
      <c r="Q4855" t="s">
        <v>644</v>
      </c>
      <c r="R4855" t="str">
        <f>IFERROR(VLOOKUP(record[[#This Row],[PCUSTID]],廠商[],2,FALSE),"")</f>
        <v/>
      </c>
      <c r="S4855" t="str">
        <f>VLOOKUP(record[[#This Row],[employeeID]],員工[],2,FALSE)</f>
        <v>謝刻光</v>
      </c>
    </row>
    <row r="4856" spans="6:19" hidden="1" x14ac:dyDescent="0.25">
      <c r="F4856" t="s">
        <v>1456</v>
      </c>
      <c r="G4856" t="s">
        <v>400</v>
      </c>
      <c r="H4856" t="str">
        <f>VLOOKUP(record[[#This Row],[ProcessSN]],表格2_7[],2,FALSE)</f>
        <v>30-4118-018-550</v>
      </c>
      <c r="I4856" t="str">
        <f>VLOOKUP(record[[#This Row],[ProcessSN]],表格2_7[],3,FALSE)</f>
        <v>#100</v>
      </c>
      <c r="J4856" t="s">
        <v>598</v>
      </c>
      <c r="K4856" s="195">
        <v>46038.647476851853</v>
      </c>
      <c r="L4856">
        <v>0</v>
      </c>
      <c r="M4856">
        <v>4</v>
      </c>
      <c r="N4856" s="98" t="str">
        <f>IF(record[[#This Row],[Memo]]="Browser:chrome os:android","平板報工",IF(record[[#This Row],[Memo]]=0,"委外",record[[#This Row],[Memo]]))</f>
        <v/>
      </c>
      <c r="O4856" t="s">
        <v>58</v>
      </c>
      <c r="P4856" t="s">
        <v>141</v>
      </c>
      <c r="Q4856" t="s">
        <v>58</v>
      </c>
      <c r="R4856" t="str">
        <f>IFERROR(VLOOKUP(record[[#This Row],[PCUSTID]],廠商[],2,FALSE),"")</f>
        <v/>
      </c>
      <c r="S4856" t="str">
        <f>VLOOKUP(record[[#This Row],[employeeID]],員工[],2,FALSE)</f>
        <v>蔣梅</v>
      </c>
    </row>
    <row r="4857" spans="6:19" hidden="1" x14ac:dyDescent="0.25">
      <c r="F4857" t="s">
        <v>1456</v>
      </c>
      <c r="G4857" t="s">
        <v>400</v>
      </c>
      <c r="H4857" t="str">
        <f>VLOOKUP(record[[#This Row],[ProcessSN]],表格2_7[],2,FALSE)</f>
        <v>30-4118-018-550</v>
      </c>
      <c r="I4857" t="str">
        <f>VLOOKUP(record[[#This Row],[ProcessSN]],表格2_7[],3,FALSE)</f>
        <v>#100</v>
      </c>
      <c r="J4857" t="s">
        <v>598</v>
      </c>
      <c r="K4857" s="195">
        <v>46038.647280092591</v>
      </c>
      <c r="L4857">
        <v>290</v>
      </c>
      <c r="M4857">
        <v>0</v>
      </c>
      <c r="N4857" s="98" t="str">
        <f>IF(record[[#This Row],[Memo]]="Browser:chrome os:android","平板報工",IF(record[[#This Row],[Memo]]=0,"委外",record[[#This Row],[Memo]]))</f>
        <v/>
      </c>
      <c r="O4857" t="s">
        <v>58</v>
      </c>
      <c r="P4857" t="s">
        <v>141</v>
      </c>
      <c r="Q4857" t="s">
        <v>58</v>
      </c>
      <c r="R4857" t="str">
        <f>IFERROR(VLOOKUP(record[[#This Row],[PCUSTID]],廠商[],2,FALSE),"")</f>
        <v/>
      </c>
      <c r="S4857" t="str">
        <f>VLOOKUP(record[[#This Row],[employeeID]],員工[],2,FALSE)</f>
        <v>蔣梅</v>
      </c>
    </row>
    <row r="4858" spans="6:19" hidden="1" x14ac:dyDescent="0.25">
      <c r="F4858" t="s">
        <v>1474</v>
      </c>
      <c r="G4858" t="s">
        <v>446</v>
      </c>
      <c r="H4858" t="str">
        <f>VLOOKUP(record[[#This Row],[ProcessSN]],表格2_7[],2,FALSE)</f>
        <v>30-4118-018-6XX</v>
      </c>
      <c r="I4858" t="str">
        <f>VLOOKUP(record[[#This Row],[ProcessSN]],表格2_7[],3,FALSE)</f>
        <v>#03GIVE</v>
      </c>
      <c r="J4858" t="s">
        <v>587</v>
      </c>
      <c r="K4858" s="195">
        <v>46038.644375000003</v>
      </c>
      <c r="L4858">
        <v>1159</v>
      </c>
      <c r="M4858">
        <v>0</v>
      </c>
      <c r="N4858" s="98" t="str">
        <f>IF(record[[#This Row],[Memo]]="Browser:chrome os:android","平板報工",IF(record[[#This Row],[Memo]]=0,"委外",record[[#This Row],[Memo]]))</f>
        <v/>
      </c>
      <c r="O4858" t="s">
        <v>58</v>
      </c>
      <c r="P4858" t="s">
        <v>886</v>
      </c>
      <c r="Q4858" t="s">
        <v>58</v>
      </c>
      <c r="R4858" t="str">
        <f>IFERROR(VLOOKUP(record[[#This Row],[PCUSTID]],廠商[],2,FALSE),"")</f>
        <v/>
      </c>
      <c r="S4858" t="str">
        <f>VLOOKUP(record[[#This Row],[employeeID]],員工[],2,FALSE)</f>
        <v>謝蓁薰</v>
      </c>
    </row>
    <row r="4859" spans="6:19" hidden="1" x14ac:dyDescent="0.25">
      <c r="F4859" t="s">
        <v>1472</v>
      </c>
      <c r="G4859" t="s">
        <v>413</v>
      </c>
      <c r="H4859" t="str">
        <f>VLOOKUP(record[[#This Row],[ProcessSN]],表格2_7[],2,FALSE)</f>
        <v>30-4118-018-5XX</v>
      </c>
      <c r="I4859" t="str">
        <f>VLOOKUP(record[[#This Row],[ProcessSN]],表格2_7[],3,FALSE)</f>
        <v>#03GIVE</v>
      </c>
      <c r="J4859" t="s">
        <v>587</v>
      </c>
      <c r="K4859" s="195">
        <v>46038.644166666665</v>
      </c>
      <c r="L4859">
        <v>1248</v>
      </c>
      <c r="M4859">
        <v>0</v>
      </c>
      <c r="N4859" s="98" t="str">
        <f>IF(record[[#This Row],[Memo]]="Browser:chrome os:android","平板報工",IF(record[[#This Row],[Memo]]=0,"委外",record[[#This Row],[Memo]]))</f>
        <v/>
      </c>
      <c r="O4859" t="s">
        <v>58</v>
      </c>
      <c r="P4859" t="s">
        <v>886</v>
      </c>
      <c r="Q4859" t="s">
        <v>58</v>
      </c>
      <c r="R4859" t="str">
        <f>IFERROR(VLOOKUP(record[[#This Row],[PCUSTID]],廠商[],2,FALSE),"")</f>
        <v/>
      </c>
      <c r="S4859" t="str">
        <f>VLOOKUP(record[[#This Row],[employeeID]],員工[],2,FALSE)</f>
        <v>謝蓁薰</v>
      </c>
    </row>
    <row r="4860" spans="6:19" hidden="1" x14ac:dyDescent="0.25">
      <c r="F4860" t="s">
        <v>1385</v>
      </c>
      <c r="G4860" t="s">
        <v>469</v>
      </c>
      <c r="H4860" t="str">
        <f>VLOOKUP(record[[#This Row],[ProcessSN]],表格2_7[],2,FALSE)</f>
        <v>30-4118-018-XXX</v>
      </c>
      <c r="I4860" t="str">
        <f>VLOOKUP(record[[#This Row],[ProcessSN]],表格2_7[],3,FALSE)</f>
        <v>#02RCV</v>
      </c>
      <c r="J4860" t="s">
        <v>591</v>
      </c>
      <c r="K4860" s="195">
        <v>46038.642488425925</v>
      </c>
      <c r="L4860">
        <v>1</v>
      </c>
      <c r="M4860">
        <v>0</v>
      </c>
      <c r="N4860" s="98" t="str">
        <f>IF(record[[#This Row],[Memo]]="Browser:chrome os:android","平板報工",IF(record[[#This Row],[Memo]]=0,"委外",record[[#This Row],[Memo]]))</f>
        <v/>
      </c>
      <c r="O4860" t="s">
        <v>58</v>
      </c>
      <c r="P4860" t="s">
        <v>186</v>
      </c>
      <c r="Q4860" t="s">
        <v>58</v>
      </c>
      <c r="R4860" t="str">
        <f>IFERROR(VLOOKUP(record[[#This Row],[PCUSTID]],廠商[],2,FALSE),"")</f>
        <v/>
      </c>
      <c r="S4860" t="str">
        <f>VLOOKUP(record[[#This Row],[employeeID]],員工[],2,FALSE)</f>
        <v>許文姍</v>
      </c>
    </row>
    <row r="4861" spans="6:19" hidden="1" x14ac:dyDescent="0.25">
      <c r="F4861" t="s">
        <v>1385</v>
      </c>
      <c r="G4861" t="s">
        <v>468</v>
      </c>
      <c r="H4861" t="str">
        <f>VLOOKUP(record[[#This Row],[ProcessSN]],表格2_7[],2,FALSE)</f>
        <v>30-4118-018-XXX</v>
      </c>
      <c r="I4861" t="str">
        <f>VLOOKUP(record[[#This Row],[ProcessSN]],表格2_7[],3,FALSE)</f>
        <v>#02</v>
      </c>
      <c r="J4861" t="s">
        <v>590</v>
      </c>
      <c r="K4861" s="195">
        <v>46038.642314814817</v>
      </c>
      <c r="L4861">
        <v>1</v>
      </c>
      <c r="M4861">
        <v>0</v>
      </c>
      <c r="N4861" s="98" t="str">
        <f>IF(record[[#This Row],[Memo]]="Browser:chrome os:android","平板報工",IF(record[[#This Row],[Memo]]=0,"委外",record[[#This Row],[Memo]]))</f>
        <v/>
      </c>
      <c r="O4861" t="s">
        <v>58</v>
      </c>
      <c r="P4861" t="s">
        <v>186</v>
      </c>
      <c r="Q4861" t="s">
        <v>58</v>
      </c>
      <c r="R4861" t="str">
        <f>IFERROR(VLOOKUP(record[[#This Row],[PCUSTID]],廠商[],2,FALSE),"")</f>
        <v/>
      </c>
      <c r="S4861" t="str">
        <f>VLOOKUP(record[[#This Row],[employeeID]],員工[],2,FALSE)</f>
        <v>許文姍</v>
      </c>
    </row>
    <row r="4862" spans="6:19" hidden="1" x14ac:dyDescent="0.25">
      <c r="F4862" t="s">
        <v>1385</v>
      </c>
      <c r="G4862" t="s">
        <v>467</v>
      </c>
      <c r="H4862" t="str">
        <f>VLOOKUP(record[[#This Row],[ProcessSN]],表格2_7[],2,FALSE)</f>
        <v>30-4118-018-XXX</v>
      </c>
      <c r="I4862" t="str">
        <f>VLOOKUP(record[[#This Row],[ProcessSN]],表格2_7[],3,FALSE)</f>
        <v>#01QC</v>
      </c>
      <c r="J4862" t="s">
        <v>589</v>
      </c>
      <c r="K4862" s="195">
        <v>46038.641724537039</v>
      </c>
      <c r="L4862">
        <v>1</v>
      </c>
      <c r="M4862">
        <v>0</v>
      </c>
      <c r="N4862" s="98" t="str">
        <f>IF(record[[#This Row],[Memo]]="Browser:chrome os:android","平板報工",IF(record[[#This Row],[Memo]]=0,"委外",record[[#This Row],[Memo]]))</f>
        <v/>
      </c>
      <c r="O4862" t="s">
        <v>58</v>
      </c>
      <c r="P4862" t="s">
        <v>186</v>
      </c>
      <c r="Q4862" t="s">
        <v>58</v>
      </c>
      <c r="R4862" t="str">
        <f>IFERROR(VLOOKUP(record[[#This Row],[PCUSTID]],廠商[],2,FALSE),"")</f>
        <v/>
      </c>
      <c r="S4862" t="str">
        <f>VLOOKUP(record[[#This Row],[employeeID]],員工[],2,FALSE)</f>
        <v>許文姍</v>
      </c>
    </row>
    <row r="4863" spans="6:19" hidden="1" x14ac:dyDescent="0.25">
      <c r="F4863" t="s">
        <v>1417</v>
      </c>
      <c r="G4863" t="s">
        <v>448</v>
      </c>
      <c r="H4863" t="str">
        <f>VLOOKUP(record[[#This Row],[ProcessSN]],表格2_7[],2,FALSE)</f>
        <v>30-4118-018-6XX</v>
      </c>
      <c r="I4863" t="str">
        <f>VLOOKUP(record[[#This Row],[ProcessSN]],表格2_7[],3,FALSE)</f>
        <v>#04</v>
      </c>
      <c r="J4863" t="s">
        <v>588</v>
      </c>
      <c r="K4863" s="195">
        <v>46038.64135416667</v>
      </c>
      <c r="L4863">
        <v>130</v>
      </c>
      <c r="M4863">
        <v>1</v>
      </c>
      <c r="N4863" s="98" t="str">
        <f>IF(record[[#This Row],[Memo]]="Browser:chrome os:android","平板報工",IF(record[[#This Row],[Memo]]=0,"委外",record[[#This Row],[Memo]]))</f>
        <v>平板報工</v>
      </c>
      <c r="O4863" t="s">
        <v>643</v>
      </c>
      <c r="P4863" t="s">
        <v>789</v>
      </c>
      <c r="Q4863" t="s">
        <v>644</v>
      </c>
      <c r="R4863" t="str">
        <f>IFERROR(VLOOKUP(record[[#This Row],[PCUSTID]],廠商[],2,FALSE),"")</f>
        <v/>
      </c>
      <c r="S4863" t="str">
        <f>VLOOKUP(record[[#This Row],[employeeID]],員工[],2,FALSE)</f>
        <v>張月霞</v>
      </c>
    </row>
    <row r="4864" spans="6:19" hidden="1" x14ac:dyDescent="0.25">
      <c r="F4864" t="s">
        <v>1406</v>
      </c>
      <c r="G4864" t="s">
        <v>471</v>
      </c>
      <c r="H4864" t="str">
        <f>VLOOKUP(record[[#This Row],[ProcessSN]],表格2_7[],2,FALSE)</f>
        <v>30-4118-018-XXX</v>
      </c>
      <c r="I4864" t="str">
        <f>VLOOKUP(record[[#This Row],[ProcessSN]],表格2_7[],3,FALSE)</f>
        <v>#02STOCK</v>
      </c>
      <c r="J4864" t="s">
        <v>592</v>
      </c>
      <c r="K4864" s="195">
        <v>46038.59752314815</v>
      </c>
      <c r="L4864">
        <v>504</v>
      </c>
      <c r="M4864">
        <v>0</v>
      </c>
      <c r="N4864" s="98" t="str">
        <f>IF(record[[#This Row],[Memo]]="Browser:chrome os:android","平板報工",IF(record[[#This Row],[Memo]]=0,"委外",record[[#This Row],[Memo]]))</f>
        <v/>
      </c>
      <c r="O4864" t="s">
        <v>58</v>
      </c>
      <c r="P4864" t="s">
        <v>113</v>
      </c>
      <c r="Q4864" t="s">
        <v>58</v>
      </c>
      <c r="R4864" t="str">
        <f>IFERROR(VLOOKUP(record[[#This Row],[PCUSTID]],廠商[],2,FALSE),"")</f>
        <v/>
      </c>
      <c r="S4864" t="str">
        <f>VLOOKUP(record[[#This Row],[employeeID]],員工[],2,FALSE)</f>
        <v>王奕蓁</v>
      </c>
    </row>
    <row r="4865" spans="6:19" hidden="1" x14ac:dyDescent="0.25">
      <c r="F4865" t="s">
        <v>1474</v>
      </c>
      <c r="G4865" t="s">
        <v>445</v>
      </c>
      <c r="H4865" t="str">
        <f>VLOOKUP(record[[#This Row],[ProcessSN]],表格2_7[],2,FALSE)</f>
        <v>30-4118-018-6XX</v>
      </c>
      <c r="I4865" t="str">
        <f>VLOOKUP(record[[#This Row],[ProcessSN]],表格2_7[],3,FALSE)</f>
        <v>#03PICK</v>
      </c>
      <c r="J4865" t="s">
        <v>582</v>
      </c>
      <c r="K4865" s="195">
        <v>46038.591851851852</v>
      </c>
      <c r="L4865">
        <v>1159</v>
      </c>
      <c r="M4865">
        <v>0</v>
      </c>
      <c r="N4865" s="98" t="str">
        <f>IF(record[[#This Row],[Memo]]="Browser:chrome os:android","平板報工",IF(record[[#This Row],[Memo]]=0,"委外",record[[#This Row],[Memo]]))</f>
        <v/>
      </c>
      <c r="O4865" t="s">
        <v>58</v>
      </c>
      <c r="P4865" t="s">
        <v>113</v>
      </c>
      <c r="Q4865" t="s">
        <v>58</v>
      </c>
      <c r="R4865" t="str">
        <f>IFERROR(VLOOKUP(record[[#This Row],[PCUSTID]],廠商[],2,FALSE),"")</f>
        <v/>
      </c>
      <c r="S4865" t="str">
        <f>VLOOKUP(record[[#This Row],[employeeID]],員工[],2,FALSE)</f>
        <v>王奕蓁</v>
      </c>
    </row>
    <row r="4866" spans="6:19" hidden="1" x14ac:dyDescent="0.25">
      <c r="F4866" t="s">
        <v>1472</v>
      </c>
      <c r="G4866" t="s">
        <v>412</v>
      </c>
      <c r="H4866" t="str">
        <f>VLOOKUP(record[[#This Row],[ProcessSN]],表格2_7[],2,FALSE)</f>
        <v>30-4118-018-5XX</v>
      </c>
      <c r="I4866" t="str">
        <f>VLOOKUP(record[[#This Row],[ProcessSN]],表格2_7[],3,FALSE)</f>
        <v>#03PICK</v>
      </c>
      <c r="J4866" t="s">
        <v>582</v>
      </c>
      <c r="K4866" s="195">
        <v>46038.588993055557</v>
      </c>
      <c r="L4866">
        <v>1248</v>
      </c>
      <c r="M4866">
        <v>0</v>
      </c>
      <c r="N4866" s="98" t="str">
        <f>IF(record[[#This Row],[Memo]]="Browser:chrome os:android","平板報工",IF(record[[#This Row],[Memo]]=0,"委外",record[[#This Row],[Memo]]))</f>
        <v/>
      </c>
      <c r="O4866" t="s">
        <v>58</v>
      </c>
      <c r="P4866" t="s">
        <v>113</v>
      </c>
      <c r="Q4866" t="s">
        <v>58</v>
      </c>
      <c r="R4866" t="str">
        <f>IFERROR(VLOOKUP(record[[#This Row],[PCUSTID]],廠商[],2,FALSE),"")</f>
        <v/>
      </c>
      <c r="S4866" t="str">
        <f>VLOOKUP(record[[#This Row],[employeeID]],員工[],2,FALSE)</f>
        <v>王奕蓁</v>
      </c>
    </row>
    <row r="4867" spans="6:19" hidden="1" x14ac:dyDescent="0.25">
      <c r="F4867" t="s">
        <v>1417</v>
      </c>
      <c r="G4867" t="s">
        <v>452</v>
      </c>
      <c r="H4867" t="str">
        <f>VLOOKUP(record[[#This Row],[ProcessSN]],表格2_7[],2,FALSE)</f>
        <v>30-4118-018-6XX</v>
      </c>
      <c r="I4867" t="str">
        <f>VLOOKUP(record[[#This Row],[ProcessSN]],表格2_7[],3,FALSE)</f>
        <v>#07QC</v>
      </c>
      <c r="J4867" t="s">
        <v>589</v>
      </c>
      <c r="K4867" s="195">
        <v>46038.547650462962</v>
      </c>
      <c r="L4867">
        <v>0</v>
      </c>
      <c r="M4867">
        <v>335</v>
      </c>
      <c r="N4867" s="98" t="str">
        <f>IF(record[[#This Row],[Memo]]="Browser:chrome os:android","平板報工",IF(record[[#This Row],[Memo]]=0,"委外",record[[#This Row],[Memo]]))</f>
        <v>內徑震刀</v>
      </c>
      <c r="O4867" t="s">
        <v>1471</v>
      </c>
      <c r="P4867" t="s">
        <v>141</v>
      </c>
      <c r="Q4867" t="s">
        <v>58</v>
      </c>
      <c r="R4867" t="str">
        <f>IFERROR(VLOOKUP(record[[#This Row],[PCUSTID]],廠商[],2,FALSE),"")</f>
        <v/>
      </c>
      <c r="S4867" t="str">
        <f>VLOOKUP(record[[#This Row],[employeeID]],員工[],2,FALSE)</f>
        <v>蔣梅</v>
      </c>
    </row>
    <row r="4868" spans="6:19" hidden="1" x14ac:dyDescent="0.25">
      <c r="F4868" t="s">
        <v>1457</v>
      </c>
      <c r="G4868" t="s">
        <v>425</v>
      </c>
      <c r="H4868" t="str">
        <f>VLOOKUP(record[[#This Row],[ProcessSN]],表格2_7[],2,FALSE)</f>
        <v>30-4118-018-600</v>
      </c>
      <c r="I4868" t="str">
        <f>VLOOKUP(record[[#This Row],[ProcessSN]],表格2_7[],3,FALSE)</f>
        <v>#100</v>
      </c>
      <c r="J4868" t="s">
        <v>598</v>
      </c>
      <c r="K4868" s="195">
        <v>46038.486967592595</v>
      </c>
      <c r="L4868">
        <v>176</v>
      </c>
      <c r="M4868">
        <v>0</v>
      </c>
      <c r="N4868" s="98" t="str">
        <f>IF(record[[#This Row],[Memo]]="Browser:chrome os:android","平板報工",IF(record[[#This Row],[Memo]]=0,"委外",record[[#This Row],[Memo]]))</f>
        <v/>
      </c>
      <c r="O4868" t="s">
        <v>58</v>
      </c>
      <c r="P4868" t="s">
        <v>141</v>
      </c>
      <c r="Q4868" t="s">
        <v>58</v>
      </c>
      <c r="R4868" t="str">
        <f>IFERROR(VLOOKUP(record[[#This Row],[PCUSTID]],廠商[],2,FALSE),"")</f>
        <v/>
      </c>
      <c r="S4868" t="str">
        <f>VLOOKUP(record[[#This Row],[employeeID]],員工[],2,FALSE)</f>
        <v>蔣梅</v>
      </c>
    </row>
    <row r="4869" spans="6:19" hidden="1" x14ac:dyDescent="0.25">
      <c r="F4869" t="s">
        <v>1457</v>
      </c>
      <c r="G4869" t="s">
        <v>424</v>
      </c>
      <c r="H4869" t="str">
        <f>VLOOKUP(record[[#This Row],[ProcessSN]],表格2_7[],2,FALSE)</f>
        <v>30-4118-018-600</v>
      </c>
      <c r="I4869" t="str">
        <f>VLOOKUP(record[[#This Row],[ProcessSN]],表格2_7[],3,FALSE)</f>
        <v>#08IQC</v>
      </c>
      <c r="J4869" t="s">
        <v>583</v>
      </c>
      <c r="K4869" s="195">
        <v>46038.486817129633</v>
      </c>
      <c r="L4869">
        <v>6</v>
      </c>
      <c r="M4869">
        <v>0</v>
      </c>
      <c r="N4869" s="98" t="str">
        <f>IF(record[[#This Row],[Memo]]="Browser:chrome os:android","平板報工",IF(record[[#This Row],[Memo]]=0,"委外",record[[#This Row],[Memo]]))</f>
        <v>覆回</v>
      </c>
      <c r="O4869" t="s">
        <v>682</v>
      </c>
      <c r="P4869" t="s">
        <v>141</v>
      </c>
      <c r="Q4869" t="s">
        <v>58</v>
      </c>
      <c r="R4869" t="str">
        <f>IFERROR(VLOOKUP(record[[#This Row],[PCUSTID]],廠商[],2,FALSE),"")</f>
        <v/>
      </c>
      <c r="S4869" t="str">
        <f>VLOOKUP(record[[#This Row],[employeeID]],員工[],2,FALSE)</f>
        <v>蔣梅</v>
      </c>
    </row>
    <row r="4870" spans="6:19" hidden="1" x14ac:dyDescent="0.25">
      <c r="F4870" t="s">
        <v>1457</v>
      </c>
      <c r="G4870" t="s">
        <v>423</v>
      </c>
      <c r="H4870" t="str">
        <f>VLOOKUP(record[[#This Row],[ProcessSN]],表格2_7[],2,FALSE)</f>
        <v>30-4118-018-600</v>
      </c>
      <c r="I4870" t="str">
        <f>VLOOKUP(record[[#This Row],[ProcessSN]],表格2_7[],3,FALSE)</f>
        <v>#08RCV</v>
      </c>
      <c r="J4870" t="s">
        <v>591</v>
      </c>
      <c r="K4870" s="195">
        <v>46038.486655092594</v>
      </c>
      <c r="L4870">
        <v>0</v>
      </c>
      <c r="M4870">
        <v>9</v>
      </c>
      <c r="N4870" s="98" t="str">
        <f>IF(record[[#This Row],[Memo]]="Browser:chrome os:android","平板報工",IF(record[[#This Row],[Memo]]=0,"委外",record[[#This Row],[Memo]]))</f>
        <v/>
      </c>
      <c r="O4870" t="s">
        <v>58</v>
      </c>
      <c r="P4870" t="s">
        <v>141</v>
      </c>
      <c r="Q4870" t="s">
        <v>58</v>
      </c>
      <c r="R4870" t="str">
        <f>IFERROR(VLOOKUP(record[[#This Row],[PCUSTID]],廠商[],2,FALSE),"")</f>
        <v/>
      </c>
      <c r="S4870" t="str">
        <f>VLOOKUP(record[[#This Row],[employeeID]],員工[],2,FALSE)</f>
        <v>蔣梅</v>
      </c>
    </row>
    <row r="4871" spans="6:19" hidden="1" x14ac:dyDescent="0.25">
      <c r="F4871" t="s">
        <v>1457</v>
      </c>
      <c r="G4871" t="s">
        <v>423</v>
      </c>
      <c r="H4871" t="str">
        <f>VLOOKUP(record[[#This Row],[ProcessSN]],表格2_7[],2,FALSE)</f>
        <v>30-4118-018-600</v>
      </c>
      <c r="I4871" t="str">
        <f>VLOOKUP(record[[#This Row],[ProcessSN]],表格2_7[],3,FALSE)</f>
        <v>#08RCV</v>
      </c>
      <c r="J4871" t="s">
        <v>591</v>
      </c>
      <c r="K4871" s="195">
        <v>46038.48646990741</v>
      </c>
      <c r="L4871">
        <v>6</v>
      </c>
      <c r="M4871">
        <v>0</v>
      </c>
      <c r="N4871" s="98" t="str">
        <f>IF(record[[#This Row],[Memo]]="Browser:chrome os:android","平板報工",IF(record[[#This Row],[Memo]]=0,"委外",record[[#This Row],[Memo]]))</f>
        <v>覆回</v>
      </c>
      <c r="O4871" t="s">
        <v>682</v>
      </c>
      <c r="P4871" t="s">
        <v>141</v>
      </c>
      <c r="Q4871" t="s">
        <v>58</v>
      </c>
      <c r="R4871" t="str">
        <f>IFERROR(VLOOKUP(record[[#This Row],[PCUSTID]],廠商[],2,FALSE),"")</f>
        <v/>
      </c>
      <c r="S4871" t="str">
        <f>VLOOKUP(record[[#This Row],[employeeID]],員工[],2,FALSE)</f>
        <v>蔣梅</v>
      </c>
    </row>
    <row r="4872" spans="6:19" hidden="1" x14ac:dyDescent="0.25">
      <c r="F4872" t="s">
        <v>1451</v>
      </c>
      <c r="G4872" t="s">
        <v>400</v>
      </c>
      <c r="H4872" t="str">
        <f>VLOOKUP(record[[#This Row],[ProcessSN]],表格2_7[],2,FALSE)</f>
        <v>30-4118-018-550</v>
      </c>
      <c r="I4872" t="str">
        <f>VLOOKUP(record[[#This Row],[ProcessSN]],表格2_7[],3,FALSE)</f>
        <v>#100</v>
      </c>
      <c r="J4872" t="s">
        <v>598</v>
      </c>
      <c r="K4872" s="195">
        <v>46038.42460648148</v>
      </c>
      <c r="L4872">
        <v>28</v>
      </c>
      <c r="M4872">
        <v>0</v>
      </c>
      <c r="N4872" s="98" t="str">
        <f>IF(record[[#This Row],[Memo]]="Browser:chrome os:android","平板報工",IF(record[[#This Row],[Memo]]=0,"委外",record[[#This Row],[Memo]]))</f>
        <v>平板報工</v>
      </c>
      <c r="O4872" t="s">
        <v>643</v>
      </c>
      <c r="P4872" t="s">
        <v>141</v>
      </c>
      <c r="Q4872" t="s">
        <v>644</v>
      </c>
      <c r="R4872" t="str">
        <f>IFERROR(VLOOKUP(record[[#This Row],[PCUSTID]],廠商[],2,FALSE),"")</f>
        <v/>
      </c>
      <c r="S4872" t="str">
        <f>VLOOKUP(record[[#This Row],[employeeID]],員工[],2,FALSE)</f>
        <v>蔣梅</v>
      </c>
    </row>
    <row r="4873" spans="6:19" hidden="1" x14ac:dyDescent="0.25">
      <c r="F4873" t="s">
        <v>1451</v>
      </c>
      <c r="G4873" t="s">
        <v>399</v>
      </c>
      <c r="H4873" t="str">
        <f>VLOOKUP(record[[#This Row],[ProcessSN]],表格2_7[],2,FALSE)</f>
        <v>30-4118-018-550</v>
      </c>
      <c r="I4873" t="str">
        <f>VLOOKUP(record[[#This Row],[ProcessSN]],表格2_7[],3,FALSE)</f>
        <v>#08IQC</v>
      </c>
      <c r="J4873" t="s">
        <v>583</v>
      </c>
      <c r="K4873" s="195">
        <v>46038.424421296295</v>
      </c>
      <c r="L4873">
        <v>28</v>
      </c>
      <c r="M4873">
        <v>0</v>
      </c>
      <c r="N4873" s="98" t="str">
        <f>IF(record[[#This Row],[Memo]]="Browser:chrome os:android","平板報工",IF(record[[#This Row],[Memo]]=0,"委外",record[[#This Row],[Memo]]))</f>
        <v>平板報工</v>
      </c>
      <c r="O4873" t="s">
        <v>643</v>
      </c>
      <c r="P4873" t="s">
        <v>141</v>
      </c>
      <c r="Q4873" t="s">
        <v>644</v>
      </c>
      <c r="R4873" t="str">
        <f>IFERROR(VLOOKUP(record[[#This Row],[PCUSTID]],廠商[],2,FALSE),"")</f>
        <v/>
      </c>
      <c r="S4873" t="str">
        <f>VLOOKUP(record[[#This Row],[employeeID]],員工[],2,FALSE)</f>
        <v>蔣梅</v>
      </c>
    </row>
    <row r="4874" spans="6:19" hidden="1" x14ac:dyDescent="0.25">
      <c r="F4874" t="s">
        <v>1457</v>
      </c>
      <c r="G4874" t="s">
        <v>428</v>
      </c>
      <c r="H4874" t="str">
        <f>VLOOKUP(record[[#This Row],[ProcessSN]],表格2_7[],2,FALSE)</f>
        <v>30-4118-018-600</v>
      </c>
      <c r="I4874" t="str">
        <f>VLOOKUP(record[[#This Row],[ProcessSN]],表格2_7[],3,FALSE)</f>
        <v>#100SHIP</v>
      </c>
      <c r="J4874" t="s">
        <v>600</v>
      </c>
      <c r="K4874" s="195">
        <v>46038.414305555554</v>
      </c>
      <c r="L4874">
        <v>167</v>
      </c>
      <c r="M4874">
        <v>0</v>
      </c>
      <c r="N4874" s="98" t="str">
        <f>IF(record[[#This Row],[Memo]]="Browser:chrome os:android","平板報工",IF(record[[#This Row],[Memo]]=0,"委外",record[[#This Row],[Memo]]))</f>
        <v>補1/15出貨</v>
      </c>
      <c r="O4874" t="s">
        <v>1470</v>
      </c>
      <c r="P4874" t="s">
        <v>886</v>
      </c>
      <c r="Q4874" t="s">
        <v>58</v>
      </c>
      <c r="R4874" t="str">
        <f>IFERROR(VLOOKUP(record[[#This Row],[PCUSTID]],廠商[],2,FALSE),"")</f>
        <v/>
      </c>
      <c r="S4874" t="str">
        <f>VLOOKUP(record[[#This Row],[employeeID]],員工[],2,FALSE)</f>
        <v>謝蓁薰</v>
      </c>
    </row>
    <row r="4875" spans="6:19" hidden="1" x14ac:dyDescent="0.25">
      <c r="F4875" t="s">
        <v>1391</v>
      </c>
      <c r="G4875" t="s">
        <v>428</v>
      </c>
      <c r="H4875" t="str">
        <f>VLOOKUP(record[[#This Row],[ProcessSN]],表格2_7[],2,FALSE)</f>
        <v>30-4118-018-600</v>
      </c>
      <c r="I4875" t="str">
        <f>VLOOKUP(record[[#This Row],[ProcessSN]],表格2_7[],3,FALSE)</f>
        <v>#100SHIP</v>
      </c>
      <c r="J4875" t="s">
        <v>600</v>
      </c>
      <c r="K4875" s="195">
        <v>46038.414178240739</v>
      </c>
      <c r="L4875">
        <v>3</v>
      </c>
      <c r="M4875">
        <v>0</v>
      </c>
      <c r="N4875" s="98" t="str">
        <f>IF(record[[#This Row],[Memo]]="Browser:chrome os:android","平板報工",IF(record[[#This Row],[Memo]]=0,"委外",record[[#This Row],[Memo]]))</f>
        <v>補1/15出貨</v>
      </c>
      <c r="O4875" t="s">
        <v>1470</v>
      </c>
      <c r="P4875" t="s">
        <v>886</v>
      </c>
      <c r="Q4875" t="s">
        <v>58</v>
      </c>
      <c r="R4875" t="str">
        <f>IFERROR(VLOOKUP(record[[#This Row],[PCUSTID]],廠商[],2,FALSE),"")</f>
        <v/>
      </c>
      <c r="S4875" t="str">
        <f>VLOOKUP(record[[#This Row],[employeeID]],員工[],2,FALSE)</f>
        <v>謝蓁薰</v>
      </c>
    </row>
    <row r="4876" spans="6:19" hidden="1" x14ac:dyDescent="0.25">
      <c r="F4876" t="s">
        <v>1391</v>
      </c>
      <c r="G4876" t="s">
        <v>427</v>
      </c>
      <c r="H4876" t="str">
        <f>VLOOKUP(record[[#This Row],[ProcessSN]],表格2_7[],2,FALSE)</f>
        <v>30-4118-018-600</v>
      </c>
      <c r="I4876" t="str">
        <f>VLOOKUP(record[[#This Row],[ProcessSN]],表格2_7[],3,FALSE)</f>
        <v>#100STOCK</v>
      </c>
      <c r="J4876" t="s">
        <v>592</v>
      </c>
      <c r="K4876" s="195">
        <v>46038.413935185185</v>
      </c>
      <c r="L4876">
        <v>3</v>
      </c>
      <c r="M4876">
        <v>0</v>
      </c>
      <c r="N4876" s="98" t="str">
        <f>IF(record[[#This Row],[Memo]]="Browser:chrome os:android","平板報工",IF(record[[#This Row],[Memo]]=0,"委外",record[[#This Row],[Memo]]))</f>
        <v/>
      </c>
      <c r="O4876" t="s">
        <v>58</v>
      </c>
      <c r="P4876" t="s">
        <v>886</v>
      </c>
      <c r="Q4876" t="s">
        <v>58</v>
      </c>
      <c r="R4876" t="str">
        <f>IFERROR(VLOOKUP(record[[#This Row],[PCUSTID]],廠商[],2,FALSE),"")</f>
        <v/>
      </c>
      <c r="S4876" t="str">
        <f>VLOOKUP(record[[#This Row],[employeeID]],員工[],2,FALSE)</f>
        <v>謝蓁薰</v>
      </c>
    </row>
    <row r="4877" spans="6:19" hidden="1" x14ac:dyDescent="0.25">
      <c r="F4877" t="s">
        <v>1457</v>
      </c>
      <c r="G4877" t="s">
        <v>427</v>
      </c>
      <c r="H4877" t="str">
        <f>VLOOKUP(record[[#This Row],[ProcessSN]],表格2_7[],2,FALSE)</f>
        <v>30-4118-018-600</v>
      </c>
      <c r="I4877" t="str">
        <f>VLOOKUP(record[[#This Row],[ProcessSN]],表格2_7[],3,FALSE)</f>
        <v>#100STOCK</v>
      </c>
      <c r="J4877" t="s">
        <v>592</v>
      </c>
      <c r="K4877" s="195">
        <v>46038.4137962963</v>
      </c>
      <c r="L4877">
        <v>167</v>
      </c>
      <c r="M4877">
        <v>0</v>
      </c>
      <c r="N4877" s="98" t="str">
        <f>IF(record[[#This Row],[Memo]]="Browser:chrome os:android","平板報工",IF(record[[#This Row],[Memo]]=0,"委外",record[[#This Row],[Memo]]))</f>
        <v/>
      </c>
      <c r="O4877" t="s">
        <v>58</v>
      </c>
      <c r="P4877" t="s">
        <v>886</v>
      </c>
      <c r="Q4877" t="s">
        <v>58</v>
      </c>
      <c r="R4877" t="str">
        <f>IFERROR(VLOOKUP(record[[#This Row],[PCUSTID]],廠商[],2,FALSE),"")</f>
        <v/>
      </c>
      <c r="S4877" t="str">
        <f>VLOOKUP(record[[#This Row],[employeeID]],員工[],2,FALSE)</f>
        <v>謝蓁薰</v>
      </c>
    </row>
    <row r="4878" spans="6:19" hidden="1" x14ac:dyDescent="0.25">
      <c r="F4878" t="s">
        <v>1451</v>
      </c>
      <c r="G4878" t="s">
        <v>402</v>
      </c>
      <c r="H4878" t="str">
        <f>VLOOKUP(record[[#This Row],[ProcessSN]],表格2_7[],2,FALSE)</f>
        <v>30-4118-018-550</v>
      </c>
      <c r="I4878" t="str">
        <f>VLOOKUP(record[[#This Row],[ProcessSN]],表格2_7[],3,FALSE)</f>
        <v>#100STOCK</v>
      </c>
      <c r="J4878" t="s">
        <v>592</v>
      </c>
      <c r="K4878" s="195">
        <v>46038.390648148146</v>
      </c>
      <c r="L4878">
        <v>269</v>
      </c>
      <c r="M4878">
        <v>0</v>
      </c>
      <c r="N4878" s="98" t="str">
        <f>IF(record[[#This Row],[Memo]]="Browser:chrome os:android","平板報工",IF(record[[#This Row],[Memo]]=0,"委外",record[[#This Row],[Memo]]))</f>
        <v/>
      </c>
      <c r="O4878" t="s">
        <v>58</v>
      </c>
      <c r="P4878" t="s">
        <v>886</v>
      </c>
      <c r="Q4878" t="s">
        <v>58</v>
      </c>
      <c r="R4878" t="str">
        <f>IFERROR(VLOOKUP(record[[#This Row],[PCUSTID]],廠商[],2,FALSE),"")</f>
        <v/>
      </c>
      <c r="S4878" t="str">
        <f>VLOOKUP(record[[#This Row],[employeeID]],員工[],2,FALSE)</f>
        <v>謝蓁薰</v>
      </c>
    </row>
    <row r="4879" spans="6:19" hidden="1" x14ac:dyDescent="0.25">
      <c r="F4879" t="s">
        <v>1457</v>
      </c>
      <c r="G4879" t="s">
        <v>426</v>
      </c>
      <c r="H4879" t="str">
        <f>VLOOKUP(record[[#This Row],[ProcessSN]],表格2_7[],2,FALSE)</f>
        <v>30-4118-018-600</v>
      </c>
      <c r="I4879" t="str">
        <f>VLOOKUP(record[[#This Row],[ProcessSN]],表格2_7[],3,FALSE)</f>
        <v>#100OQC</v>
      </c>
      <c r="J4879" t="s">
        <v>599</v>
      </c>
      <c r="K4879" s="195">
        <v>46038.386412037034</v>
      </c>
      <c r="L4879">
        <v>167</v>
      </c>
      <c r="M4879">
        <v>0</v>
      </c>
      <c r="N4879" s="98" t="str">
        <f>IF(record[[#This Row],[Memo]]="Browser:chrome os:android","平板報工",IF(record[[#This Row],[Memo]]=0,"委外",record[[#This Row],[Memo]]))</f>
        <v/>
      </c>
      <c r="O4879" t="s">
        <v>58</v>
      </c>
      <c r="P4879" t="s">
        <v>121</v>
      </c>
      <c r="Q4879" t="s">
        <v>58</v>
      </c>
      <c r="R4879" t="str">
        <f>IFERROR(VLOOKUP(record[[#This Row],[PCUSTID]],廠商[],2,FALSE),"")</f>
        <v/>
      </c>
      <c r="S4879" t="str">
        <f>VLOOKUP(record[[#This Row],[employeeID]],員工[],2,FALSE)</f>
        <v>謝素卿</v>
      </c>
    </row>
    <row r="4880" spans="6:19" hidden="1" x14ac:dyDescent="0.25">
      <c r="F4880" t="s">
        <v>1457</v>
      </c>
      <c r="G4880" t="s">
        <v>425</v>
      </c>
      <c r="H4880" t="str">
        <f>VLOOKUP(record[[#This Row],[ProcessSN]],表格2_7[],2,FALSE)</f>
        <v>30-4118-018-600</v>
      </c>
      <c r="I4880" t="str">
        <f>VLOOKUP(record[[#This Row],[ProcessSN]],表格2_7[],3,FALSE)</f>
        <v>#100</v>
      </c>
      <c r="J4880" t="s">
        <v>598</v>
      </c>
      <c r="K4880" s="195">
        <v>46038.381597222222</v>
      </c>
      <c r="L4880">
        <v>167</v>
      </c>
      <c r="M4880">
        <v>0</v>
      </c>
      <c r="N4880" s="98" t="str">
        <f>IF(record[[#This Row],[Memo]]="Browser:chrome os:android","平板報工",IF(record[[#This Row],[Memo]]=0,"委外",record[[#This Row],[Memo]]))</f>
        <v/>
      </c>
      <c r="O4880" t="s">
        <v>58</v>
      </c>
      <c r="P4880" t="s">
        <v>99</v>
      </c>
      <c r="Q4880" t="s">
        <v>58</v>
      </c>
      <c r="R4880" t="str">
        <f>IFERROR(VLOOKUP(record[[#This Row],[PCUSTID]],廠商[],2,FALSE),"")</f>
        <v/>
      </c>
      <c r="S4880" t="str">
        <f>VLOOKUP(record[[#This Row],[employeeID]],員工[],2,FALSE)</f>
        <v>阮氏河</v>
      </c>
    </row>
    <row r="4881" spans="6:19" hidden="1" x14ac:dyDescent="0.25">
      <c r="F4881" t="s">
        <v>989</v>
      </c>
      <c r="G4881" t="s">
        <v>468</v>
      </c>
      <c r="H4881" t="str">
        <f>VLOOKUP(record[[#This Row],[ProcessSN]],表格2_7[],2,FALSE)</f>
        <v>30-4118-018-XXX</v>
      </c>
      <c r="I4881" t="str">
        <f>VLOOKUP(record[[#This Row],[ProcessSN]],表格2_7[],3,FALSE)</f>
        <v>#02</v>
      </c>
      <c r="J4881" t="s">
        <v>590</v>
      </c>
      <c r="K4881" s="195">
        <v>46038.364398148151</v>
      </c>
      <c r="L4881">
        <v>1</v>
      </c>
      <c r="M4881">
        <v>0</v>
      </c>
      <c r="N4881" s="98" t="str">
        <f>IF(record[[#This Row],[Memo]]="Browser:chrome os:android","平板報工",IF(record[[#This Row],[Memo]]=0,"委外",record[[#This Row],[Memo]]))</f>
        <v>委外</v>
      </c>
      <c r="P4881" t="s">
        <v>186</v>
      </c>
      <c r="Q4881" t="s">
        <v>216</v>
      </c>
      <c r="R4881" t="str">
        <f>IFERROR(VLOOKUP(record[[#This Row],[PCUSTID]],廠商[],2,FALSE),"")</f>
        <v>俊杰</v>
      </c>
      <c r="S4881" t="str">
        <f>VLOOKUP(record[[#This Row],[employeeID]],員工[],2,FALSE)</f>
        <v>許文姍</v>
      </c>
    </row>
    <row r="4882" spans="6:19" hidden="1" x14ac:dyDescent="0.25">
      <c r="F4882" t="s">
        <v>1209</v>
      </c>
      <c r="G4882" t="s">
        <v>468</v>
      </c>
      <c r="H4882" t="str">
        <f>VLOOKUP(record[[#This Row],[ProcessSN]],表格2_7[],2,FALSE)</f>
        <v>30-4118-018-XXX</v>
      </c>
      <c r="I4882" t="str">
        <f>VLOOKUP(record[[#This Row],[ProcessSN]],表格2_7[],3,FALSE)</f>
        <v>#02</v>
      </c>
      <c r="J4882" t="s">
        <v>590</v>
      </c>
      <c r="K4882" s="195">
        <v>46038.364293981482</v>
      </c>
      <c r="L4882">
        <v>3</v>
      </c>
      <c r="M4882">
        <v>0</v>
      </c>
      <c r="N4882" s="98" t="str">
        <f>IF(record[[#This Row],[Memo]]="Browser:chrome os:android","平板報工",IF(record[[#This Row],[Memo]]=0,"委外",record[[#This Row],[Memo]]))</f>
        <v>委外</v>
      </c>
      <c r="P4882" t="s">
        <v>186</v>
      </c>
      <c r="Q4882" t="s">
        <v>216</v>
      </c>
      <c r="R4882" t="str">
        <f>IFERROR(VLOOKUP(record[[#This Row],[PCUSTID]],廠商[],2,FALSE),"")</f>
        <v>俊杰</v>
      </c>
      <c r="S4882" t="str">
        <f>VLOOKUP(record[[#This Row],[employeeID]],員工[],2,FALSE)</f>
        <v>許文姍</v>
      </c>
    </row>
    <row r="4883" spans="6:19" hidden="1" x14ac:dyDescent="0.25">
      <c r="F4883" t="s">
        <v>1456</v>
      </c>
      <c r="G4883" t="s">
        <v>399</v>
      </c>
      <c r="H4883" t="str">
        <f>VLOOKUP(record[[#This Row],[ProcessSN]],表格2_7[],2,FALSE)</f>
        <v>30-4118-018-550</v>
      </c>
      <c r="I4883" t="str">
        <f>VLOOKUP(record[[#This Row],[ProcessSN]],表格2_7[],3,FALSE)</f>
        <v>#08IQC</v>
      </c>
      <c r="J4883" t="s">
        <v>583</v>
      </c>
      <c r="K4883" s="195">
        <v>46038.351666666669</v>
      </c>
      <c r="L4883">
        <v>294</v>
      </c>
      <c r="M4883">
        <v>0</v>
      </c>
      <c r="N4883" s="98" t="str">
        <f>IF(record[[#This Row],[Memo]]="Browser:chrome os:android","平板報工",IF(record[[#This Row],[Memo]]=0,"委外",record[[#This Row],[Memo]]))</f>
        <v/>
      </c>
      <c r="O4883" t="s">
        <v>58</v>
      </c>
      <c r="P4883" t="s">
        <v>109</v>
      </c>
      <c r="Q4883" t="s">
        <v>58</v>
      </c>
      <c r="R4883" t="str">
        <f>IFERROR(VLOOKUP(record[[#This Row],[PCUSTID]],廠商[],2,FALSE),"")</f>
        <v/>
      </c>
      <c r="S4883" t="str">
        <f>VLOOKUP(record[[#This Row],[employeeID]],員工[],2,FALSE)</f>
        <v>裴氏璧鳳</v>
      </c>
    </row>
    <row r="4884" spans="6:19" hidden="1" x14ac:dyDescent="0.25">
      <c r="F4884" t="s">
        <v>1451</v>
      </c>
      <c r="G4884" t="s">
        <v>398</v>
      </c>
      <c r="H4884" t="str">
        <f>VLOOKUP(record[[#This Row],[ProcessSN]],表格2_7[],2,FALSE)</f>
        <v>30-4118-018-550</v>
      </c>
      <c r="I4884" t="str">
        <f>VLOOKUP(record[[#This Row],[ProcessSN]],表格2_7[],3,FALSE)</f>
        <v>#08RCV</v>
      </c>
      <c r="J4884" t="s">
        <v>591</v>
      </c>
      <c r="K4884" s="195">
        <v>46038.346932870372</v>
      </c>
      <c r="L4884">
        <v>28</v>
      </c>
      <c r="M4884">
        <v>-28</v>
      </c>
      <c r="N4884" s="98" t="str">
        <f>IF(record[[#This Row],[Memo]]="Browser:chrome os:android","平板報工",IF(record[[#This Row],[Memo]]=0,"委外",record[[#This Row],[Memo]]))</f>
        <v>覆回品</v>
      </c>
      <c r="O4884" t="s">
        <v>664</v>
      </c>
      <c r="P4884" t="s">
        <v>65</v>
      </c>
      <c r="Q4884" t="s">
        <v>58</v>
      </c>
      <c r="R4884" t="str">
        <f>IFERROR(VLOOKUP(record[[#This Row],[PCUSTID]],廠商[],2,FALSE),"")</f>
        <v/>
      </c>
      <c r="S4884" t="str">
        <f>VLOOKUP(record[[#This Row],[employeeID]],員工[],2,FALSE)</f>
        <v>蘇進昌</v>
      </c>
    </row>
    <row r="4885" spans="6:19" hidden="1" x14ac:dyDescent="0.25">
      <c r="F4885" t="s">
        <v>1457</v>
      </c>
      <c r="G4885" t="s">
        <v>424</v>
      </c>
      <c r="H4885" t="str">
        <f>VLOOKUP(record[[#This Row],[ProcessSN]],表格2_7[],2,FALSE)</f>
        <v>30-4118-018-600</v>
      </c>
      <c r="I4885" t="str">
        <f>VLOOKUP(record[[#This Row],[ProcessSN]],表格2_7[],3,FALSE)</f>
        <v>#08IQC</v>
      </c>
      <c r="J4885" t="s">
        <v>583</v>
      </c>
      <c r="K4885" s="195">
        <v>46038.338321759256</v>
      </c>
      <c r="L4885">
        <v>337</v>
      </c>
      <c r="M4885">
        <v>0</v>
      </c>
      <c r="N4885" s="98" t="str">
        <f>IF(record[[#This Row],[Memo]]="Browser:chrome os:android","平板報工",IF(record[[#This Row],[Memo]]=0,"委外",record[[#This Row],[Memo]]))</f>
        <v/>
      </c>
      <c r="O4885" t="s">
        <v>58</v>
      </c>
      <c r="P4885" t="s">
        <v>109</v>
      </c>
      <c r="Q4885" t="s">
        <v>58</v>
      </c>
      <c r="R4885" t="str">
        <f>IFERROR(VLOOKUP(record[[#This Row],[PCUSTID]],廠商[],2,FALSE),"")</f>
        <v/>
      </c>
      <c r="S4885" t="str">
        <f>VLOOKUP(record[[#This Row],[employeeID]],員工[],2,FALSE)</f>
        <v>裴氏璧鳳</v>
      </c>
    </row>
    <row r="4886" spans="6:19" hidden="1" x14ac:dyDescent="0.25">
      <c r="F4886" t="s">
        <v>1456</v>
      </c>
      <c r="G4886" t="s">
        <v>398</v>
      </c>
      <c r="H4886" t="str">
        <f>VLOOKUP(record[[#This Row],[ProcessSN]],表格2_7[],2,FALSE)</f>
        <v>30-4118-018-550</v>
      </c>
      <c r="I4886" t="str">
        <f>VLOOKUP(record[[#This Row],[ProcessSN]],表格2_7[],3,FALSE)</f>
        <v>#08RCV</v>
      </c>
      <c r="J4886" t="s">
        <v>591</v>
      </c>
      <c r="K4886" s="195">
        <v>46038.336701388886</v>
      </c>
      <c r="L4886">
        <v>0</v>
      </c>
      <c r="M4886">
        <v>4</v>
      </c>
      <c r="N4886" s="98" t="str">
        <f>IF(record[[#This Row],[Memo]]="Browser:chrome os:android","平板報工",IF(record[[#This Row],[Memo]]=0,"委外",record[[#This Row],[Memo]]))</f>
        <v/>
      </c>
      <c r="O4886" t="s">
        <v>58</v>
      </c>
      <c r="P4886" t="s">
        <v>186</v>
      </c>
      <c r="Q4886" t="s">
        <v>58</v>
      </c>
      <c r="R4886" t="str">
        <f>IFERROR(VLOOKUP(record[[#This Row],[PCUSTID]],廠商[],2,FALSE),"")</f>
        <v/>
      </c>
      <c r="S4886" t="str">
        <f>VLOOKUP(record[[#This Row],[employeeID]],員工[],2,FALSE)</f>
        <v>許文姍</v>
      </c>
    </row>
    <row r="4887" spans="6:19" hidden="1" x14ac:dyDescent="0.25">
      <c r="F4887" t="s">
        <v>1456</v>
      </c>
      <c r="G4887" t="s">
        <v>398</v>
      </c>
      <c r="H4887" t="str">
        <f>VLOOKUP(record[[#This Row],[ProcessSN]],表格2_7[],2,FALSE)</f>
        <v>30-4118-018-550</v>
      </c>
      <c r="I4887" t="str">
        <f>VLOOKUP(record[[#This Row],[ProcessSN]],表格2_7[],3,FALSE)</f>
        <v>#08RCV</v>
      </c>
      <c r="J4887" t="s">
        <v>591</v>
      </c>
      <c r="K4887" s="195">
        <v>46038.336504629631</v>
      </c>
      <c r="L4887">
        <v>294</v>
      </c>
      <c r="M4887">
        <v>0</v>
      </c>
      <c r="N4887" s="98" t="str">
        <f>IF(record[[#This Row],[Memo]]="Browser:chrome os:android","平板報工",IF(record[[#This Row],[Memo]]=0,"委外",record[[#This Row],[Memo]]))</f>
        <v/>
      </c>
      <c r="O4887" t="s">
        <v>58</v>
      </c>
      <c r="P4887" t="s">
        <v>186</v>
      </c>
      <c r="Q4887" t="s">
        <v>58</v>
      </c>
      <c r="R4887" t="str">
        <f>IFERROR(VLOOKUP(record[[#This Row],[PCUSTID]],廠商[],2,FALSE),"")</f>
        <v/>
      </c>
      <c r="S4887" t="str">
        <f>VLOOKUP(record[[#This Row],[employeeID]],員工[],2,FALSE)</f>
        <v>許文姍</v>
      </c>
    </row>
    <row r="4888" spans="6:19" hidden="1" x14ac:dyDescent="0.25">
      <c r="F4888" t="s">
        <v>1451</v>
      </c>
      <c r="G4888" t="s">
        <v>401</v>
      </c>
      <c r="H4888" t="str">
        <f>VLOOKUP(record[[#This Row],[ProcessSN]],表格2_7[],2,FALSE)</f>
        <v>30-4118-018-550</v>
      </c>
      <c r="I4888" t="str">
        <f>VLOOKUP(record[[#This Row],[ProcessSN]],表格2_7[],3,FALSE)</f>
        <v>#100OQC</v>
      </c>
      <c r="J4888" t="s">
        <v>599</v>
      </c>
      <c r="K4888" s="195">
        <v>46038.335462962961</v>
      </c>
      <c r="L4888">
        <v>219</v>
      </c>
      <c r="M4888">
        <v>0</v>
      </c>
      <c r="N4888" s="98" t="str">
        <f>IF(record[[#This Row],[Memo]]="Browser:chrome os:android","平板報工",IF(record[[#This Row],[Memo]]=0,"委外",record[[#This Row],[Memo]]))</f>
        <v/>
      </c>
      <c r="O4888" t="s">
        <v>58</v>
      </c>
      <c r="P4888" t="s">
        <v>121</v>
      </c>
      <c r="Q4888" t="s">
        <v>58</v>
      </c>
      <c r="R4888" t="str">
        <f>IFERROR(VLOOKUP(record[[#This Row],[PCUSTID]],廠商[],2,FALSE),"")</f>
        <v/>
      </c>
      <c r="S4888" t="str">
        <f>VLOOKUP(record[[#This Row],[employeeID]],員工[],2,FALSE)</f>
        <v>謝素卿</v>
      </c>
    </row>
    <row r="4889" spans="6:19" hidden="1" x14ac:dyDescent="0.25">
      <c r="F4889" t="s">
        <v>1417</v>
      </c>
      <c r="G4889" t="s">
        <v>451</v>
      </c>
      <c r="H4889" t="str">
        <f>VLOOKUP(record[[#This Row],[ProcessSN]],表格2_7[],2,FALSE)</f>
        <v>30-4118-018-6XX</v>
      </c>
      <c r="I4889" t="str">
        <f>VLOOKUP(record[[#This Row],[ProcessSN]],表格2_7[],3,FALSE)</f>
        <v>#07</v>
      </c>
      <c r="J4889" t="s">
        <v>588</v>
      </c>
      <c r="K4889" s="195">
        <v>46038.3047337963</v>
      </c>
      <c r="L4889">
        <v>128</v>
      </c>
      <c r="M4889">
        <v>0</v>
      </c>
      <c r="N4889" s="98" t="str">
        <f>IF(record[[#This Row],[Memo]]="Browser:chrome os:android","平板報工",IF(record[[#This Row],[Memo]]=0,"委外",record[[#This Row],[Memo]]))</f>
        <v/>
      </c>
      <c r="O4889" t="s">
        <v>58</v>
      </c>
      <c r="P4889" t="s">
        <v>843</v>
      </c>
      <c r="Q4889" t="s">
        <v>58</v>
      </c>
      <c r="R4889" t="str">
        <f>IFERROR(VLOOKUP(record[[#This Row],[PCUSTID]],廠商[],2,FALSE),"")</f>
        <v/>
      </c>
      <c r="S4889" t="str">
        <f>VLOOKUP(record[[#This Row],[employeeID]],員工[],2,FALSE)</f>
        <v>張楚承</v>
      </c>
    </row>
    <row r="4890" spans="6:19" hidden="1" x14ac:dyDescent="0.25">
      <c r="F4890" t="s">
        <v>1417</v>
      </c>
      <c r="G4890" t="s">
        <v>450</v>
      </c>
      <c r="H4890" t="str">
        <f>VLOOKUP(record[[#This Row],[ProcessSN]],表格2_7[],2,FALSE)</f>
        <v>30-4118-018-6XX</v>
      </c>
      <c r="I4890" t="str">
        <f>VLOOKUP(record[[#This Row],[ProcessSN]],表格2_7[],3,FALSE)</f>
        <v>#06</v>
      </c>
      <c r="J4890" t="s">
        <v>593</v>
      </c>
      <c r="K4890" s="195">
        <v>46038.304432870369</v>
      </c>
      <c r="L4890">
        <v>128</v>
      </c>
      <c r="M4890">
        <v>0</v>
      </c>
      <c r="N4890" s="98" t="str">
        <f>IF(record[[#This Row],[Memo]]="Browser:chrome os:android","平板報工",IF(record[[#This Row],[Memo]]=0,"委外",record[[#This Row],[Memo]]))</f>
        <v/>
      </c>
      <c r="O4890" t="s">
        <v>58</v>
      </c>
      <c r="P4890" t="s">
        <v>180</v>
      </c>
      <c r="Q4890" t="s">
        <v>58</v>
      </c>
      <c r="R4890" t="str">
        <f>IFERROR(VLOOKUP(record[[#This Row],[PCUSTID]],廠商[],2,FALSE),"")</f>
        <v/>
      </c>
      <c r="S4890" t="str">
        <f>VLOOKUP(record[[#This Row],[employeeID]],員工[],2,FALSE)</f>
        <v>黎功江</v>
      </c>
    </row>
    <row r="4891" spans="6:19" hidden="1" x14ac:dyDescent="0.25">
      <c r="F4891" t="s">
        <v>1417</v>
      </c>
      <c r="G4891" t="s">
        <v>449</v>
      </c>
      <c r="H4891" t="str">
        <f>VLOOKUP(record[[#This Row],[ProcessSN]],表格2_7[],2,FALSE)</f>
        <v>30-4118-018-6XX</v>
      </c>
      <c r="I4891" t="str">
        <f>VLOOKUP(record[[#This Row],[ProcessSN]],表格2_7[],3,FALSE)</f>
        <v>#05</v>
      </c>
      <c r="J4891" t="s">
        <v>588</v>
      </c>
      <c r="K4891" s="195">
        <v>46038.304270833331</v>
      </c>
      <c r="L4891">
        <v>128</v>
      </c>
      <c r="M4891">
        <v>0</v>
      </c>
      <c r="N4891" s="98" t="str">
        <f>IF(record[[#This Row],[Memo]]="Browser:chrome os:android","平板報工",IF(record[[#This Row],[Memo]]=0,"委外",record[[#This Row],[Memo]]))</f>
        <v/>
      </c>
      <c r="O4891" t="s">
        <v>58</v>
      </c>
      <c r="P4891" t="s">
        <v>843</v>
      </c>
      <c r="Q4891" t="s">
        <v>58</v>
      </c>
      <c r="R4891" t="str">
        <f>IFERROR(VLOOKUP(record[[#This Row],[PCUSTID]],廠商[],2,FALSE),"")</f>
        <v/>
      </c>
      <c r="S4891" t="str">
        <f>VLOOKUP(record[[#This Row],[employeeID]],員工[],2,FALSE)</f>
        <v>張楚承</v>
      </c>
    </row>
    <row r="4892" spans="6:19" hidden="1" x14ac:dyDescent="0.25">
      <c r="F4892" t="s">
        <v>1417</v>
      </c>
      <c r="G4892" t="s">
        <v>448</v>
      </c>
      <c r="H4892" t="str">
        <f>VLOOKUP(record[[#This Row],[ProcessSN]],表格2_7[],2,FALSE)</f>
        <v>30-4118-018-6XX</v>
      </c>
      <c r="I4892" t="str">
        <f>VLOOKUP(record[[#This Row],[ProcessSN]],表格2_7[],3,FALSE)</f>
        <v>#04</v>
      </c>
      <c r="J4892" t="s">
        <v>588</v>
      </c>
      <c r="K4892" s="195">
        <v>46038.303935185184</v>
      </c>
      <c r="L4892">
        <v>128</v>
      </c>
      <c r="M4892">
        <v>0</v>
      </c>
      <c r="N4892" s="98" t="str">
        <f>IF(record[[#This Row],[Memo]]="Browser:chrome os:android","平板報工",IF(record[[#This Row],[Memo]]=0,"委外",record[[#This Row],[Memo]]))</f>
        <v/>
      </c>
      <c r="O4892" t="s">
        <v>58</v>
      </c>
      <c r="P4892" t="s">
        <v>135</v>
      </c>
      <c r="Q4892" t="s">
        <v>58</v>
      </c>
      <c r="R4892" t="str">
        <f>IFERROR(VLOOKUP(record[[#This Row],[PCUSTID]],廠商[],2,FALSE),"")</f>
        <v/>
      </c>
      <c r="S4892" t="str">
        <f>VLOOKUP(record[[#This Row],[employeeID]],員工[],2,FALSE)</f>
        <v>阮士文</v>
      </c>
    </row>
    <row r="4893" spans="6:19" hidden="1" x14ac:dyDescent="0.25">
      <c r="F4893" t="s">
        <v>1417</v>
      </c>
      <c r="G4893" t="s">
        <v>451</v>
      </c>
      <c r="H4893" t="str">
        <f>VLOOKUP(record[[#This Row],[ProcessSN]],表格2_7[],2,FALSE)</f>
        <v>30-4118-018-6XX</v>
      </c>
      <c r="I4893" t="str">
        <f>VLOOKUP(record[[#This Row],[ProcessSN]],表格2_7[],3,FALSE)</f>
        <v>#07</v>
      </c>
      <c r="J4893" t="s">
        <v>588</v>
      </c>
      <c r="K4893" s="195">
        <v>46037.976111111115</v>
      </c>
      <c r="L4893">
        <v>128</v>
      </c>
      <c r="M4893">
        <v>2</v>
      </c>
      <c r="N4893" s="98" t="str">
        <f>IF(record[[#This Row],[Memo]]="Browser:chrome os:android","平板報工",IF(record[[#This Row],[Memo]]=0,"委外",record[[#This Row],[Memo]]))</f>
        <v/>
      </c>
      <c r="O4893" t="s">
        <v>58</v>
      </c>
      <c r="P4893" t="s">
        <v>89</v>
      </c>
      <c r="Q4893" t="s">
        <v>58</v>
      </c>
      <c r="R4893" t="str">
        <f>IFERROR(VLOOKUP(record[[#This Row],[PCUSTID]],廠商[],2,FALSE),"")</f>
        <v/>
      </c>
      <c r="S4893" t="str">
        <f>VLOOKUP(record[[#This Row],[employeeID]],員工[],2,FALSE)</f>
        <v>李美蓮</v>
      </c>
    </row>
    <row r="4894" spans="6:19" hidden="1" x14ac:dyDescent="0.25">
      <c r="F4894" t="s">
        <v>1417</v>
      </c>
      <c r="G4894" t="s">
        <v>450</v>
      </c>
      <c r="H4894" t="str">
        <f>VLOOKUP(record[[#This Row],[ProcessSN]],表格2_7[],2,FALSE)</f>
        <v>30-4118-018-6XX</v>
      </c>
      <c r="I4894" t="str">
        <f>VLOOKUP(record[[#This Row],[ProcessSN]],表格2_7[],3,FALSE)</f>
        <v>#06</v>
      </c>
      <c r="J4894" t="s">
        <v>593</v>
      </c>
      <c r="K4894" s="195">
        <v>46037.97519675926</v>
      </c>
      <c r="L4894">
        <v>130</v>
      </c>
      <c r="M4894">
        <v>0</v>
      </c>
      <c r="N4894" s="98" t="str">
        <f>IF(record[[#This Row],[Memo]]="Browser:chrome os:android","平板報工",IF(record[[#This Row],[Memo]]=0,"委外",record[[#This Row],[Memo]]))</f>
        <v/>
      </c>
      <c r="O4894" t="s">
        <v>58</v>
      </c>
      <c r="P4894" t="s">
        <v>1098</v>
      </c>
      <c r="Q4894" t="s">
        <v>58</v>
      </c>
      <c r="R4894" t="str">
        <f>IFERROR(VLOOKUP(record[[#This Row],[PCUSTID]],廠商[],2,FALSE),"")</f>
        <v/>
      </c>
      <c r="S4894" t="str">
        <f>VLOOKUP(record[[#This Row],[employeeID]],員工[],2,FALSE)</f>
        <v>阮氏芳英(英)</v>
      </c>
    </row>
    <row r="4895" spans="6:19" hidden="1" x14ac:dyDescent="0.25">
      <c r="F4895" t="s">
        <v>1417</v>
      </c>
      <c r="G4895" t="s">
        <v>449</v>
      </c>
      <c r="H4895" t="str">
        <f>VLOOKUP(record[[#This Row],[ProcessSN]],表格2_7[],2,FALSE)</f>
        <v>30-4118-018-6XX</v>
      </c>
      <c r="I4895" t="str">
        <f>VLOOKUP(record[[#This Row],[ProcessSN]],表格2_7[],3,FALSE)</f>
        <v>#05</v>
      </c>
      <c r="J4895" t="s">
        <v>588</v>
      </c>
      <c r="K4895" s="195">
        <v>46037.974710648145</v>
      </c>
      <c r="L4895">
        <v>130</v>
      </c>
      <c r="M4895">
        <v>0</v>
      </c>
      <c r="N4895" s="98" t="str">
        <f>IF(record[[#This Row],[Memo]]="Browser:chrome os:android","平板報工",IF(record[[#This Row],[Memo]]=0,"委外",record[[#This Row],[Memo]]))</f>
        <v/>
      </c>
      <c r="O4895" t="s">
        <v>58</v>
      </c>
      <c r="P4895" t="s">
        <v>89</v>
      </c>
      <c r="Q4895" t="s">
        <v>58</v>
      </c>
      <c r="R4895" t="str">
        <f>IFERROR(VLOOKUP(record[[#This Row],[PCUSTID]],廠商[],2,FALSE),"")</f>
        <v/>
      </c>
      <c r="S4895" t="str">
        <f>VLOOKUP(record[[#This Row],[employeeID]],員工[],2,FALSE)</f>
        <v>李美蓮</v>
      </c>
    </row>
    <row r="4896" spans="6:19" hidden="1" x14ac:dyDescent="0.25">
      <c r="F4896" t="s">
        <v>1417</v>
      </c>
      <c r="G4896" t="s">
        <v>448</v>
      </c>
      <c r="H4896" t="str">
        <f>VLOOKUP(record[[#This Row],[ProcessSN]],表格2_7[],2,FALSE)</f>
        <v>30-4118-018-6XX</v>
      </c>
      <c r="I4896" t="str">
        <f>VLOOKUP(record[[#This Row],[ProcessSN]],表格2_7[],3,FALSE)</f>
        <v>#04</v>
      </c>
      <c r="J4896" t="s">
        <v>588</v>
      </c>
      <c r="K4896" s="195">
        <v>46037.969884259262</v>
      </c>
      <c r="L4896">
        <v>130</v>
      </c>
      <c r="M4896">
        <v>0</v>
      </c>
      <c r="N4896" s="98" t="str">
        <f>IF(record[[#This Row],[Memo]]="Browser:chrome os:android","平板報工",IF(record[[#This Row],[Memo]]=0,"委外",record[[#This Row],[Memo]]))</f>
        <v/>
      </c>
      <c r="O4896" t="s">
        <v>58</v>
      </c>
      <c r="P4896" t="s">
        <v>1098</v>
      </c>
      <c r="Q4896" t="s">
        <v>58</v>
      </c>
      <c r="R4896" t="str">
        <f>IFERROR(VLOOKUP(record[[#This Row],[PCUSTID]],廠商[],2,FALSE),"")</f>
        <v/>
      </c>
      <c r="S4896" t="str">
        <f>VLOOKUP(record[[#This Row],[employeeID]],員工[],2,FALSE)</f>
        <v>阮氏芳英(英)</v>
      </c>
    </row>
    <row r="4897" spans="6:19" hidden="1" x14ac:dyDescent="0.25">
      <c r="F4897" t="s">
        <v>1457</v>
      </c>
      <c r="G4897" t="s">
        <v>423</v>
      </c>
      <c r="H4897" t="str">
        <f>VLOOKUP(record[[#This Row],[ProcessSN]],表格2_7[],2,FALSE)</f>
        <v>30-4118-018-600</v>
      </c>
      <c r="I4897" t="str">
        <f>VLOOKUP(record[[#This Row],[ProcessSN]],表格2_7[],3,FALSE)</f>
        <v>#08RCV</v>
      </c>
      <c r="J4897" t="s">
        <v>591</v>
      </c>
      <c r="K4897" s="195">
        <v>46037.795613425929</v>
      </c>
      <c r="L4897">
        <v>337</v>
      </c>
      <c r="M4897">
        <v>0</v>
      </c>
      <c r="N4897" s="98" t="str">
        <f>IF(record[[#This Row],[Memo]]="Browser:chrome os:android","平板報工",IF(record[[#This Row],[Memo]]=0,"委外",record[[#This Row],[Memo]]))</f>
        <v/>
      </c>
      <c r="O4897" t="s">
        <v>58</v>
      </c>
      <c r="P4897" t="s">
        <v>886</v>
      </c>
      <c r="Q4897" t="s">
        <v>58</v>
      </c>
      <c r="R4897" t="str">
        <f>IFERROR(VLOOKUP(record[[#This Row],[PCUSTID]],廠商[],2,FALSE),"")</f>
        <v/>
      </c>
      <c r="S4897" t="str">
        <f>VLOOKUP(record[[#This Row],[employeeID]],員工[],2,FALSE)</f>
        <v>謝蓁薰</v>
      </c>
    </row>
    <row r="4898" spans="6:19" hidden="1" x14ac:dyDescent="0.25">
      <c r="F4898" t="s">
        <v>1451</v>
      </c>
      <c r="G4898" t="s">
        <v>400</v>
      </c>
      <c r="H4898" t="str">
        <f>VLOOKUP(record[[#This Row],[ProcessSN]],表格2_7[],2,FALSE)</f>
        <v>30-4118-018-550</v>
      </c>
      <c r="I4898" t="str">
        <f>VLOOKUP(record[[#This Row],[ProcessSN]],表格2_7[],3,FALSE)</f>
        <v>#100</v>
      </c>
      <c r="J4898" t="s">
        <v>598</v>
      </c>
      <c r="K4898" s="195">
        <v>46037.775821759256</v>
      </c>
      <c r="L4898">
        <v>219</v>
      </c>
      <c r="M4898">
        <v>0</v>
      </c>
      <c r="N4898" s="98" t="str">
        <f>IF(record[[#This Row],[Memo]]="Browser:chrome os:android","平板報工",IF(record[[#This Row],[Memo]]=0,"委外",record[[#This Row],[Memo]]))</f>
        <v/>
      </c>
      <c r="O4898" t="s">
        <v>58</v>
      </c>
      <c r="P4898" t="s">
        <v>141</v>
      </c>
      <c r="Q4898" t="s">
        <v>58</v>
      </c>
      <c r="R4898" t="str">
        <f>IFERROR(VLOOKUP(record[[#This Row],[PCUSTID]],廠商[],2,FALSE),"")</f>
        <v/>
      </c>
      <c r="S4898" t="str">
        <f>VLOOKUP(record[[#This Row],[employeeID]],員工[],2,FALSE)</f>
        <v>蔣梅</v>
      </c>
    </row>
    <row r="4899" spans="6:19" hidden="1" x14ac:dyDescent="0.25">
      <c r="F4899" t="s">
        <v>1209</v>
      </c>
      <c r="G4899" t="s">
        <v>467</v>
      </c>
      <c r="H4899" t="str">
        <f>VLOOKUP(record[[#This Row],[ProcessSN]],表格2_7[],2,FALSE)</f>
        <v>30-4118-018-XXX</v>
      </c>
      <c r="I4899" t="str">
        <f>VLOOKUP(record[[#This Row],[ProcessSN]],表格2_7[],3,FALSE)</f>
        <v>#01QC</v>
      </c>
      <c r="J4899" t="s">
        <v>589</v>
      </c>
      <c r="K4899" s="195">
        <v>46037.736851851849</v>
      </c>
      <c r="L4899">
        <v>3</v>
      </c>
      <c r="M4899">
        <v>0</v>
      </c>
      <c r="N4899" s="98" t="str">
        <f>IF(record[[#This Row],[Memo]]="Browser:chrome os:android","平板報工",IF(record[[#This Row],[Memo]]=0,"委外",record[[#This Row],[Memo]]))</f>
        <v>平板報工</v>
      </c>
      <c r="O4899" t="s">
        <v>643</v>
      </c>
      <c r="P4899" t="s">
        <v>182</v>
      </c>
      <c r="Q4899" t="s">
        <v>644</v>
      </c>
      <c r="R4899" t="str">
        <f>IFERROR(VLOOKUP(record[[#This Row],[PCUSTID]],廠商[],2,FALSE),"")</f>
        <v/>
      </c>
      <c r="S4899" t="str">
        <f>VLOOKUP(record[[#This Row],[employeeID]],員工[],2,FALSE)</f>
        <v>梅氏和</v>
      </c>
    </row>
    <row r="4900" spans="6:19" hidden="1" x14ac:dyDescent="0.25">
      <c r="F4900" t="s">
        <v>989</v>
      </c>
      <c r="G4900" t="s">
        <v>467</v>
      </c>
      <c r="H4900" t="str">
        <f>VLOOKUP(record[[#This Row],[ProcessSN]],表格2_7[],2,FALSE)</f>
        <v>30-4118-018-XXX</v>
      </c>
      <c r="I4900" t="str">
        <f>VLOOKUP(record[[#This Row],[ProcessSN]],表格2_7[],3,FALSE)</f>
        <v>#01QC</v>
      </c>
      <c r="J4900" t="s">
        <v>589</v>
      </c>
      <c r="K4900" s="195">
        <v>46037.736712962964</v>
      </c>
      <c r="L4900">
        <v>1</v>
      </c>
      <c r="M4900">
        <v>0</v>
      </c>
      <c r="N4900" s="98" t="str">
        <f>IF(record[[#This Row],[Memo]]="Browser:chrome os:android","平板報工",IF(record[[#This Row],[Memo]]=0,"委外",record[[#This Row],[Memo]]))</f>
        <v>平板報工</v>
      </c>
      <c r="O4900" t="s">
        <v>643</v>
      </c>
      <c r="P4900" t="s">
        <v>182</v>
      </c>
      <c r="Q4900" t="s">
        <v>644</v>
      </c>
      <c r="R4900" t="str">
        <f>IFERROR(VLOOKUP(record[[#This Row],[PCUSTID]],廠商[],2,FALSE),"")</f>
        <v/>
      </c>
      <c r="S4900" t="str">
        <f>VLOOKUP(record[[#This Row],[employeeID]],員工[],2,FALSE)</f>
        <v>梅氏和</v>
      </c>
    </row>
    <row r="4901" spans="6:19" hidden="1" x14ac:dyDescent="0.25">
      <c r="F4901" t="s">
        <v>1451</v>
      </c>
      <c r="G4901" t="s">
        <v>399</v>
      </c>
      <c r="H4901" t="str">
        <f>VLOOKUP(record[[#This Row],[ProcessSN]],表格2_7[],2,FALSE)</f>
        <v>30-4118-018-550</v>
      </c>
      <c r="I4901" t="str">
        <f>VLOOKUP(record[[#This Row],[ProcessSN]],表格2_7[],3,FALSE)</f>
        <v>#08IQC</v>
      </c>
      <c r="J4901" t="s">
        <v>583</v>
      </c>
      <c r="K4901" s="195">
        <v>46037.677800925929</v>
      </c>
      <c r="L4901">
        <v>219</v>
      </c>
      <c r="M4901">
        <v>0</v>
      </c>
      <c r="N4901" s="98" t="str">
        <f>IF(record[[#This Row],[Memo]]="Browser:chrome os:android","平板報工",IF(record[[#This Row],[Memo]]=0,"委外",record[[#This Row],[Memo]]))</f>
        <v/>
      </c>
      <c r="O4901" t="s">
        <v>58</v>
      </c>
      <c r="P4901" t="s">
        <v>109</v>
      </c>
      <c r="Q4901" t="s">
        <v>58</v>
      </c>
      <c r="R4901" t="str">
        <f>IFERROR(VLOOKUP(record[[#This Row],[PCUSTID]],廠商[],2,FALSE),"")</f>
        <v/>
      </c>
      <c r="S4901" t="str">
        <f>VLOOKUP(record[[#This Row],[employeeID]],員工[],2,FALSE)</f>
        <v>裴氏璧鳳</v>
      </c>
    </row>
    <row r="4902" spans="6:19" hidden="1" x14ac:dyDescent="0.25">
      <c r="F4902" t="s">
        <v>1417</v>
      </c>
      <c r="G4902" t="s">
        <v>448</v>
      </c>
      <c r="H4902" t="str">
        <f>VLOOKUP(record[[#This Row],[ProcessSN]],表格2_7[],2,FALSE)</f>
        <v>30-4118-018-6XX</v>
      </c>
      <c r="I4902" t="str">
        <f>VLOOKUP(record[[#This Row],[ProcessSN]],表格2_7[],3,FALSE)</f>
        <v>#04</v>
      </c>
      <c r="J4902" t="s">
        <v>588</v>
      </c>
      <c r="K4902" s="195">
        <v>46037.672789351855</v>
      </c>
      <c r="L4902">
        <v>120</v>
      </c>
      <c r="M4902">
        <v>1</v>
      </c>
      <c r="N4902" s="98" t="str">
        <f>IF(record[[#This Row],[Memo]]="Browser:chrome os:android","平板報工",IF(record[[#This Row],[Memo]]=0,"委外",record[[#This Row],[Memo]]))</f>
        <v/>
      </c>
      <c r="O4902" t="s">
        <v>58</v>
      </c>
      <c r="P4902" t="s">
        <v>789</v>
      </c>
      <c r="Q4902" t="s">
        <v>58</v>
      </c>
      <c r="R4902" t="str">
        <f>IFERROR(VLOOKUP(record[[#This Row],[PCUSTID]],廠商[],2,FALSE),"")</f>
        <v/>
      </c>
      <c r="S4902" t="str">
        <f>VLOOKUP(record[[#This Row],[employeeID]],員工[],2,FALSE)</f>
        <v>張月霞</v>
      </c>
    </row>
    <row r="4903" spans="6:19" hidden="1" x14ac:dyDescent="0.25">
      <c r="F4903" t="s">
        <v>1451</v>
      </c>
      <c r="G4903" t="s">
        <v>398</v>
      </c>
      <c r="H4903" t="str">
        <f>VLOOKUP(record[[#This Row],[ProcessSN]],表格2_7[],2,FALSE)</f>
        <v>30-4118-018-550</v>
      </c>
      <c r="I4903" t="str">
        <f>VLOOKUP(record[[#This Row],[ProcessSN]],表格2_7[],3,FALSE)</f>
        <v>#08RCV</v>
      </c>
      <c r="J4903" t="s">
        <v>591</v>
      </c>
      <c r="K4903" s="195">
        <v>46037.65929398148</v>
      </c>
      <c r="L4903">
        <v>219</v>
      </c>
      <c r="M4903">
        <v>0</v>
      </c>
      <c r="N4903" s="98" t="str">
        <f>IF(record[[#This Row],[Memo]]="Browser:chrome os:android","平板報工",IF(record[[#This Row],[Memo]]=0,"委外",record[[#This Row],[Memo]]))</f>
        <v/>
      </c>
      <c r="O4903" t="s">
        <v>58</v>
      </c>
      <c r="P4903" t="s">
        <v>186</v>
      </c>
      <c r="Q4903" t="s">
        <v>58</v>
      </c>
      <c r="R4903" t="str">
        <f>IFERROR(VLOOKUP(record[[#This Row],[PCUSTID]],廠商[],2,FALSE),"")</f>
        <v/>
      </c>
      <c r="S4903" t="str">
        <f>VLOOKUP(record[[#This Row],[employeeID]],員工[],2,FALSE)</f>
        <v>許文姍</v>
      </c>
    </row>
    <row r="4904" spans="6:19" hidden="1" x14ac:dyDescent="0.25">
      <c r="F4904" t="s">
        <v>1417</v>
      </c>
      <c r="G4904" t="s">
        <v>451</v>
      </c>
      <c r="H4904" t="str">
        <f>VLOOKUP(record[[#This Row],[ProcessSN]],表格2_7[],2,FALSE)</f>
        <v>30-4118-018-6XX</v>
      </c>
      <c r="I4904" t="str">
        <f>VLOOKUP(record[[#This Row],[ProcessSN]],表格2_7[],3,FALSE)</f>
        <v>#07</v>
      </c>
      <c r="J4904" t="s">
        <v>588</v>
      </c>
      <c r="K4904" s="195">
        <v>46037.638958333337</v>
      </c>
      <c r="L4904">
        <v>120</v>
      </c>
      <c r="M4904">
        <v>0</v>
      </c>
      <c r="N4904" s="98" t="str">
        <f>IF(record[[#This Row],[Memo]]="Browser:chrome os:android","平板報工",IF(record[[#This Row],[Memo]]=0,"委外",record[[#This Row],[Memo]]))</f>
        <v>平板報工</v>
      </c>
      <c r="O4904" t="s">
        <v>643</v>
      </c>
      <c r="P4904" t="s">
        <v>785</v>
      </c>
      <c r="Q4904" t="s">
        <v>644</v>
      </c>
      <c r="R4904" t="str">
        <f>IFERROR(VLOOKUP(record[[#This Row],[PCUSTID]],廠商[],2,FALSE),"")</f>
        <v/>
      </c>
      <c r="S4904" t="str">
        <f>VLOOKUP(record[[#This Row],[employeeID]],員工[],2,FALSE)</f>
        <v>謝刻光</v>
      </c>
    </row>
    <row r="4905" spans="6:19" hidden="1" x14ac:dyDescent="0.25">
      <c r="F4905" t="s">
        <v>1417</v>
      </c>
      <c r="G4905" t="s">
        <v>450</v>
      </c>
      <c r="H4905" t="str">
        <f>VLOOKUP(record[[#This Row],[ProcessSN]],表格2_7[],2,FALSE)</f>
        <v>30-4118-018-6XX</v>
      </c>
      <c r="I4905" t="str">
        <f>VLOOKUP(record[[#This Row],[ProcessSN]],表格2_7[],3,FALSE)</f>
        <v>#06</v>
      </c>
      <c r="J4905" t="s">
        <v>593</v>
      </c>
      <c r="K4905" s="195">
        <v>46037.638182870367</v>
      </c>
      <c r="L4905">
        <v>120</v>
      </c>
      <c r="M4905">
        <v>0</v>
      </c>
      <c r="N4905" s="98" t="str">
        <f>IF(record[[#This Row],[Memo]]="Browser:chrome os:android","平板報工",IF(record[[#This Row],[Memo]]=0,"委外",record[[#This Row],[Memo]]))</f>
        <v>平板報工</v>
      </c>
      <c r="O4905" t="s">
        <v>643</v>
      </c>
      <c r="P4905" t="s">
        <v>1413</v>
      </c>
      <c r="Q4905" t="s">
        <v>644</v>
      </c>
      <c r="R4905" t="str">
        <f>IFERROR(VLOOKUP(record[[#This Row],[PCUSTID]],廠商[],2,FALSE),"")</f>
        <v/>
      </c>
      <c r="S4905" t="str">
        <f>VLOOKUP(record[[#This Row],[employeeID]],員工[],2,FALSE)</f>
        <v>阮氏芳英(芳)</v>
      </c>
    </row>
    <row r="4906" spans="6:19" hidden="1" x14ac:dyDescent="0.25">
      <c r="F4906" t="s">
        <v>1417</v>
      </c>
      <c r="G4906" t="s">
        <v>449</v>
      </c>
      <c r="H4906" t="str">
        <f>VLOOKUP(record[[#This Row],[ProcessSN]],表格2_7[],2,FALSE)</f>
        <v>30-4118-018-6XX</v>
      </c>
      <c r="I4906" t="str">
        <f>VLOOKUP(record[[#This Row],[ProcessSN]],表格2_7[],3,FALSE)</f>
        <v>#05</v>
      </c>
      <c r="J4906" t="s">
        <v>588</v>
      </c>
      <c r="K4906" s="195">
        <v>46037.635520833333</v>
      </c>
      <c r="L4906">
        <v>120</v>
      </c>
      <c r="M4906">
        <v>0</v>
      </c>
      <c r="N4906" s="98" t="str">
        <f>IF(record[[#This Row],[Memo]]="Browser:chrome os:android","平板報工",IF(record[[#This Row],[Memo]]=0,"委外",record[[#This Row],[Memo]]))</f>
        <v>平板報工</v>
      </c>
      <c r="O4906" t="s">
        <v>643</v>
      </c>
      <c r="P4906" t="s">
        <v>785</v>
      </c>
      <c r="Q4906" t="s">
        <v>644</v>
      </c>
      <c r="R4906" t="str">
        <f>IFERROR(VLOOKUP(record[[#This Row],[PCUSTID]],廠商[],2,FALSE),"")</f>
        <v/>
      </c>
      <c r="S4906" t="str">
        <f>VLOOKUP(record[[#This Row],[employeeID]],員工[],2,FALSE)</f>
        <v>謝刻光</v>
      </c>
    </row>
    <row r="4907" spans="6:19" hidden="1" x14ac:dyDescent="0.25">
      <c r="F4907" t="s">
        <v>1417</v>
      </c>
      <c r="G4907" t="s">
        <v>447</v>
      </c>
      <c r="H4907" t="str">
        <f>VLOOKUP(record[[#This Row],[ProcessSN]],表格2_7[],2,FALSE)</f>
        <v>30-4118-018-6XX</v>
      </c>
      <c r="I4907" t="str">
        <f>VLOOKUP(record[[#This Row],[ProcessSN]],表格2_7[],3,FALSE)</f>
        <v>#03</v>
      </c>
      <c r="J4907" t="s">
        <v>588</v>
      </c>
      <c r="K4907" s="195">
        <v>46037.591770833336</v>
      </c>
      <c r="L4907">
        <v>1</v>
      </c>
      <c r="M4907">
        <v>0</v>
      </c>
      <c r="N4907" s="98" t="str">
        <f>IF(record[[#This Row],[Memo]]="Browser:chrome os:android","平板報工",IF(record[[#This Row],[Memo]]=0,"委外",record[[#This Row],[Memo]]))</f>
        <v/>
      </c>
      <c r="O4907" t="s">
        <v>58</v>
      </c>
      <c r="P4907" t="s">
        <v>1075</v>
      </c>
      <c r="Q4907" t="s">
        <v>58</v>
      </c>
      <c r="R4907" t="str">
        <f>IFERROR(VLOOKUP(record[[#This Row],[PCUSTID]],廠商[],2,FALSE),"")</f>
        <v/>
      </c>
      <c r="S4907" t="str">
        <f>VLOOKUP(record[[#This Row],[employeeID]],員工[],2,FALSE)</f>
        <v>吳宥叡</v>
      </c>
    </row>
    <row r="4908" spans="6:19" hidden="1" x14ac:dyDescent="0.25">
      <c r="F4908" t="s">
        <v>1439</v>
      </c>
      <c r="G4908" t="s">
        <v>402</v>
      </c>
      <c r="H4908" t="str">
        <f>VLOOKUP(record[[#This Row],[ProcessSN]],表格2_7[],2,FALSE)</f>
        <v>30-4118-018-550</v>
      </c>
      <c r="I4908" t="str">
        <f>VLOOKUP(record[[#This Row],[ProcessSN]],表格2_7[],3,FALSE)</f>
        <v>#100STOCK</v>
      </c>
      <c r="J4908" t="s">
        <v>592</v>
      </c>
      <c r="K4908" s="195">
        <v>46037.578356481485</v>
      </c>
      <c r="L4908">
        <v>9</v>
      </c>
      <c r="M4908">
        <v>0</v>
      </c>
      <c r="N4908" s="98" t="str">
        <f>IF(record[[#This Row],[Memo]]="Browser:chrome os:android","平板報工",IF(record[[#This Row],[Memo]]=0,"委外",record[[#This Row],[Memo]]))</f>
        <v/>
      </c>
      <c r="O4908" t="s">
        <v>58</v>
      </c>
      <c r="P4908" t="s">
        <v>886</v>
      </c>
      <c r="Q4908" t="s">
        <v>58</v>
      </c>
      <c r="R4908" t="str">
        <f>IFERROR(VLOOKUP(record[[#This Row],[PCUSTID]],廠商[],2,FALSE),"")</f>
        <v/>
      </c>
      <c r="S4908" t="str">
        <f>VLOOKUP(record[[#This Row],[employeeID]],員工[],2,FALSE)</f>
        <v>謝蓁薰</v>
      </c>
    </row>
    <row r="4909" spans="6:19" hidden="1" x14ac:dyDescent="0.25">
      <c r="F4909" t="s">
        <v>1432</v>
      </c>
      <c r="G4909" t="s">
        <v>361</v>
      </c>
      <c r="H4909" t="str">
        <f>VLOOKUP(record[[#This Row],[ProcessSN]],表格2_7[],2,FALSE)</f>
        <v>30-4118-018-450</v>
      </c>
      <c r="I4909" t="str">
        <f>VLOOKUP(record[[#This Row],[ProcessSN]],表格2_7[],3,FALSE)</f>
        <v>#100STOCK</v>
      </c>
      <c r="J4909" t="s">
        <v>592</v>
      </c>
      <c r="K4909" s="195">
        <v>46037.571689814817</v>
      </c>
      <c r="L4909">
        <v>55</v>
      </c>
      <c r="M4909">
        <v>0</v>
      </c>
      <c r="N4909" s="98" t="str">
        <f>IF(record[[#This Row],[Memo]]="Browser:chrome os:android","平板報工",IF(record[[#This Row],[Memo]]=0,"委外",record[[#This Row],[Memo]]))</f>
        <v/>
      </c>
      <c r="O4909" t="s">
        <v>58</v>
      </c>
      <c r="P4909" t="s">
        <v>886</v>
      </c>
      <c r="Q4909" t="s">
        <v>58</v>
      </c>
      <c r="R4909" t="str">
        <f>IFERROR(VLOOKUP(record[[#This Row],[PCUSTID]],廠商[],2,FALSE),"")</f>
        <v/>
      </c>
      <c r="S4909" t="str">
        <f>VLOOKUP(record[[#This Row],[employeeID]],員工[],2,FALSE)</f>
        <v>謝蓁薰</v>
      </c>
    </row>
    <row r="4910" spans="6:19" hidden="1" x14ac:dyDescent="0.25">
      <c r="F4910" t="s">
        <v>1432</v>
      </c>
      <c r="G4910" t="s">
        <v>361</v>
      </c>
      <c r="H4910" t="str">
        <f>VLOOKUP(record[[#This Row],[ProcessSN]],表格2_7[],2,FALSE)</f>
        <v>30-4118-018-450</v>
      </c>
      <c r="I4910" t="str">
        <f>VLOOKUP(record[[#This Row],[ProcessSN]],表格2_7[],3,FALSE)</f>
        <v>#100STOCK</v>
      </c>
      <c r="J4910" t="s">
        <v>592</v>
      </c>
      <c r="K4910" s="195">
        <v>46037.569756944446</v>
      </c>
      <c r="L4910">
        <v>271</v>
      </c>
      <c r="M4910">
        <v>0</v>
      </c>
      <c r="N4910" s="98" t="str">
        <f>IF(record[[#This Row],[Memo]]="Browser:chrome os:android","平板報工",IF(record[[#This Row],[Memo]]=0,"委外",record[[#This Row],[Memo]]))</f>
        <v/>
      </c>
      <c r="O4910" t="s">
        <v>58</v>
      </c>
      <c r="P4910" t="s">
        <v>886</v>
      </c>
      <c r="Q4910" t="s">
        <v>58</v>
      </c>
      <c r="R4910" t="str">
        <f>IFERROR(VLOOKUP(record[[#This Row],[PCUSTID]],廠商[],2,FALSE),"")</f>
        <v/>
      </c>
      <c r="S4910" t="str">
        <f>VLOOKUP(record[[#This Row],[employeeID]],員工[],2,FALSE)</f>
        <v>謝蓁薰</v>
      </c>
    </row>
    <row r="4911" spans="6:19" hidden="1" x14ac:dyDescent="0.25">
      <c r="F4911" t="s">
        <v>1407</v>
      </c>
      <c r="G4911" t="s">
        <v>361</v>
      </c>
      <c r="H4911" t="str">
        <f>VLOOKUP(record[[#This Row],[ProcessSN]],表格2_7[],2,FALSE)</f>
        <v>30-4118-018-450</v>
      </c>
      <c r="I4911" t="str">
        <f>VLOOKUP(record[[#This Row],[ProcessSN]],表格2_7[],3,FALSE)</f>
        <v>#100STOCK</v>
      </c>
      <c r="J4911" t="s">
        <v>592</v>
      </c>
      <c r="K4911" s="195">
        <v>46037.568437499998</v>
      </c>
      <c r="L4911">
        <v>737</v>
      </c>
      <c r="M4911">
        <v>0</v>
      </c>
      <c r="N4911" s="98" t="str">
        <f>IF(record[[#This Row],[Memo]]="Browser:chrome os:android","平板報工",IF(record[[#This Row],[Memo]]=0,"委外",record[[#This Row],[Memo]]))</f>
        <v/>
      </c>
      <c r="O4911" t="s">
        <v>58</v>
      </c>
      <c r="P4911" t="s">
        <v>886</v>
      </c>
      <c r="Q4911" t="s">
        <v>58</v>
      </c>
      <c r="R4911" t="str">
        <f>IFERROR(VLOOKUP(record[[#This Row],[PCUSTID]],廠商[],2,FALSE),"")</f>
        <v/>
      </c>
      <c r="S4911" t="str">
        <f>VLOOKUP(record[[#This Row],[employeeID]],員工[],2,FALSE)</f>
        <v>謝蓁薰</v>
      </c>
    </row>
    <row r="4912" spans="6:19" hidden="1" x14ac:dyDescent="0.25">
      <c r="F4912" t="s">
        <v>1400</v>
      </c>
      <c r="G4912" t="s">
        <v>362</v>
      </c>
      <c r="H4912" t="str">
        <f>VLOOKUP(record[[#This Row],[ProcessSN]],表格2_7[],2,FALSE)</f>
        <v>30-4118-018-450</v>
      </c>
      <c r="I4912" t="str">
        <f>VLOOKUP(record[[#This Row],[ProcessSN]],表格2_7[],3,FALSE)</f>
        <v>#100SHIP</v>
      </c>
      <c r="J4912" t="s">
        <v>600</v>
      </c>
      <c r="K4912" s="195">
        <v>46037.550474537034</v>
      </c>
      <c r="L4912">
        <v>5</v>
      </c>
      <c r="M4912">
        <v>0</v>
      </c>
      <c r="N4912" s="98" t="str">
        <f>IF(record[[#This Row],[Memo]]="Browser:chrome os:android","平板報工",IF(record[[#This Row],[Memo]]=0,"委外",record[[#This Row],[Memo]]))</f>
        <v/>
      </c>
      <c r="O4912" t="s">
        <v>58</v>
      </c>
      <c r="P4912" t="s">
        <v>886</v>
      </c>
      <c r="Q4912" t="s">
        <v>58</v>
      </c>
      <c r="R4912" t="str">
        <f>IFERROR(VLOOKUP(record[[#This Row],[PCUSTID]],廠商[],2,FALSE),"")</f>
        <v/>
      </c>
      <c r="S4912" t="str">
        <f>VLOOKUP(record[[#This Row],[employeeID]],員工[],2,FALSE)</f>
        <v>謝蓁薰</v>
      </c>
    </row>
    <row r="4913" spans="6:19" hidden="1" x14ac:dyDescent="0.25">
      <c r="F4913" t="s">
        <v>956</v>
      </c>
      <c r="G4913" t="s">
        <v>362</v>
      </c>
      <c r="H4913" t="str">
        <f>VLOOKUP(record[[#This Row],[ProcessSN]],表格2_7[],2,FALSE)</f>
        <v>30-4118-018-450</v>
      </c>
      <c r="I4913" t="str">
        <f>VLOOKUP(record[[#This Row],[ProcessSN]],表格2_7[],3,FALSE)</f>
        <v>#100SHIP</v>
      </c>
      <c r="J4913" t="s">
        <v>600</v>
      </c>
      <c r="K4913" s="195">
        <v>46037.55028935185</v>
      </c>
      <c r="L4913">
        <v>1</v>
      </c>
      <c r="M4913">
        <v>0</v>
      </c>
      <c r="N4913" s="98" t="str">
        <f>IF(record[[#This Row],[Memo]]="Browser:chrome os:android","平板報工",IF(record[[#This Row],[Memo]]=0,"委外",record[[#This Row],[Memo]]))</f>
        <v/>
      </c>
      <c r="O4913" t="s">
        <v>58</v>
      </c>
      <c r="P4913" t="s">
        <v>886</v>
      </c>
      <c r="Q4913" t="s">
        <v>58</v>
      </c>
      <c r="R4913" t="str">
        <f>IFERROR(VLOOKUP(record[[#This Row],[PCUSTID]],廠商[],2,FALSE),"")</f>
        <v/>
      </c>
      <c r="S4913" t="str">
        <f>VLOOKUP(record[[#This Row],[employeeID]],員工[],2,FALSE)</f>
        <v>謝蓁薰</v>
      </c>
    </row>
    <row r="4914" spans="6:19" hidden="1" x14ac:dyDescent="0.25">
      <c r="F4914" t="s">
        <v>1467</v>
      </c>
      <c r="G4914" t="s">
        <v>422</v>
      </c>
      <c r="H4914" t="str">
        <f>VLOOKUP(record[[#This Row],[ProcessSN]],表格2_7[],2,FALSE)</f>
        <v>30-4118-018-600</v>
      </c>
      <c r="I4914" t="str">
        <f>VLOOKUP(record[[#This Row],[ProcessSN]],表格2_7[],3,FALSE)</f>
        <v>#08</v>
      </c>
      <c r="J4914" t="s">
        <v>597</v>
      </c>
      <c r="K4914" s="195">
        <v>46037.460057870368</v>
      </c>
      <c r="L4914">
        <v>201</v>
      </c>
      <c r="M4914">
        <v>0</v>
      </c>
      <c r="N4914" s="98" t="str">
        <f>IF(record[[#This Row],[Memo]]="Browser:chrome os:android","平板報工",IF(record[[#This Row],[Memo]]=0,"委外",record[[#This Row],[Memo]]))</f>
        <v>委外</v>
      </c>
      <c r="P4914" t="s">
        <v>186</v>
      </c>
      <c r="Q4914" t="s">
        <v>287</v>
      </c>
      <c r="R4914" t="str">
        <f>IFERROR(VLOOKUP(record[[#This Row],[PCUSTID]],廠商[],2,FALSE),"")</f>
        <v>泉盛</v>
      </c>
      <c r="S4914" t="str">
        <f>VLOOKUP(record[[#This Row],[employeeID]],員工[],2,FALSE)</f>
        <v>許文姍</v>
      </c>
    </row>
    <row r="4915" spans="6:19" hidden="1" x14ac:dyDescent="0.25">
      <c r="F4915" t="s">
        <v>1467</v>
      </c>
      <c r="G4915" t="s">
        <v>421</v>
      </c>
      <c r="H4915" t="str">
        <f>VLOOKUP(record[[#This Row],[ProcessSN]],表格2_7[],2,FALSE)</f>
        <v>30-4118-018-600</v>
      </c>
      <c r="I4915" t="str">
        <f>VLOOKUP(record[[#This Row],[ProcessSN]],表格2_7[],3,FALSE)</f>
        <v>#08PICK</v>
      </c>
      <c r="J4915" t="s">
        <v>582</v>
      </c>
      <c r="K4915" s="195">
        <v>46037.459340277775</v>
      </c>
      <c r="L4915">
        <v>201</v>
      </c>
      <c r="M4915">
        <v>0</v>
      </c>
      <c r="N4915" s="98" t="str">
        <f>IF(record[[#This Row],[Memo]]="Browser:chrome os:android","平板報工",IF(record[[#This Row],[Memo]]=0,"委外",record[[#This Row],[Memo]]))</f>
        <v/>
      </c>
      <c r="O4915" t="s">
        <v>58</v>
      </c>
      <c r="P4915" t="s">
        <v>186</v>
      </c>
      <c r="Q4915" t="s">
        <v>58</v>
      </c>
      <c r="R4915" t="str">
        <f>IFERROR(VLOOKUP(record[[#This Row],[PCUSTID]],廠商[],2,FALSE),"")</f>
        <v/>
      </c>
      <c r="S4915" t="str">
        <f>VLOOKUP(record[[#This Row],[employeeID]],員工[],2,FALSE)</f>
        <v>許文姍</v>
      </c>
    </row>
    <row r="4916" spans="6:19" hidden="1" x14ac:dyDescent="0.25">
      <c r="F4916" t="s">
        <v>1417</v>
      </c>
      <c r="G4916" t="s">
        <v>453</v>
      </c>
      <c r="H4916" t="str">
        <f>VLOOKUP(record[[#This Row],[ProcessSN]],表格2_7[],2,FALSE)</f>
        <v>30-4118-018-6XX</v>
      </c>
      <c r="I4916" t="str">
        <f>VLOOKUP(record[[#This Row],[ProcessSN]],表格2_7[],3,FALSE)</f>
        <v>#07STOCK</v>
      </c>
      <c r="J4916" t="s">
        <v>592</v>
      </c>
      <c r="K4916" s="195">
        <v>46037.45815972222</v>
      </c>
      <c r="L4916">
        <v>201</v>
      </c>
      <c r="M4916">
        <v>0</v>
      </c>
      <c r="N4916" s="98" t="str">
        <f>IF(record[[#This Row],[Memo]]="Browser:chrome os:android","平板報工",IF(record[[#This Row],[Memo]]=0,"委外",record[[#This Row],[Memo]]))</f>
        <v/>
      </c>
      <c r="O4916" t="s">
        <v>58</v>
      </c>
      <c r="P4916" t="s">
        <v>186</v>
      </c>
      <c r="Q4916" t="s">
        <v>58</v>
      </c>
      <c r="R4916" t="str">
        <f>IFERROR(VLOOKUP(record[[#This Row],[PCUSTID]],廠商[],2,FALSE),"")</f>
        <v/>
      </c>
      <c r="S4916" t="str">
        <f>VLOOKUP(record[[#This Row],[employeeID]],員工[],2,FALSE)</f>
        <v>許文姍</v>
      </c>
    </row>
    <row r="4917" spans="6:19" hidden="1" x14ac:dyDescent="0.25">
      <c r="F4917" t="s">
        <v>1417</v>
      </c>
      <c r="G4917" t="s">
        <v>452</v>
      </c>
      <c r="H4917" t="str">
        <f>VLOOKUP(record[[#This Row],[ProcessSN]],表格2_7[],2,FALSE)</f>
        <v>30-4118-018-6XX</v>
      </c>
      <c r="I4917" t="str">
        <f>VLOOKUP(record[[#This Row],[ProcessSN]],表格2_7[],3,FALSE)</f>
        <v>#07QC</v>
      </c>
      <c r="J4917" t="s">
        <v>589</v>
      </c>
      <c r="K4917" s="195">
        <v>46037.405775462961</v>
      </c>
      <c r="L4917">
        <v>0</v>
      </c>
      <c r="M4917">
        <v>1</v>
      </c>
      <c r="N4917" s="98" t="str">
        <f>IF(record[[#This Row],[Memo]]="Browser:chrome os:android","平板報工",IF(record[[#This Row],[Memo]]=0,"委外",record[[#This Row],[Memo]]))</f>
        <v>平板報工</v>
      </c>
      <c r="O4917" t="s">
        <v>643</v>
      </c>
      <c r="P4917" t="s">
        <v>141</v>
      </c>
      <c r="Q4917" t="s">
        <v>644</v>
      </c>
      <c r="R4917" t="str">
        <f>IFERROR(VLOOKUP(record[[#This Row],[PCUSTID]],廠商[],2,FALSE),"")</f>
        <v/>
      </c>
      <c r="S4917" t="str">
        <f>VLOOKUP(record[[#This Row],[employeeID]],員工[],2,FALSE)</f>
        <v>蔣梅</v>
      </c>
    </row>
    <row r="4918" spans="6:19" hidden="1" x14ac:dyDescent="0.25">
      <c r="F4918" t="s">
        <v>1417</v>
      </c>
      <c r="G4918" t="s">
        <v>452</v>
      </c>
      <c r="H4918" t="str">
        <f>VLOOKUP(record[[#This Row],[ProcessSN]],表格2_7[],2,FALSE)</f>
        <v>30-4118-018-6XX</v>
      </c>
      <c r="I4918" t="str">
        <f>VLOOKUP(record[[#This Row],[ProcessSN]],表格2_7[],3,FALSE)</f>
        <v>#07QC</v>
      </c>
      <c r="J4918" t="s">
        <v>589</v>
      </c>
      <c r="K4918" s="195">
        <v>46037.405555555553</v>
      </c>
      <c r="L4918">
        <v>201</v>
      </c>
      <c r="M4918">
        <v>0</v>
      </c>
      <c r="N4918" s="98" t="str">
        <f>IF(record[[#This Row],[Memo]]="Browser:chrome os:android","平板報工",IF(record[[#This Row],[Memo]]=0,"委外",record[[#This Row],[Memo]]))</f>
        <v>平板報工</v>
      </c>
      <c r="O4918" t="s">
        <v>643</v>
      </c>
      <c r="P4918" t="s">
        <v>141</v>
      </c>
      <c r="Q4918" t="s">
        <v>644</v>
      </c>
      <c r="R4918" t="str">
        <f>IFERROR(VLOOKUP(record[[#This Row],[PCUSTID]],廠商[],2,FALSE),"")</f>
        <v/>
      </c>
      <c r="S4918" t="str">
        <f>VLOOKUP(record[[#This Row],[employeeID]],員工[],2,FALSE)</f>
        <v>蔣梅</v>
      </c>
    </row>
    <row r="4919" spans="6:19" hidden="1" x14ac:dyDescent="0.25">
      <c r="F4919" t="s">
        <v>1451</v>
      </c>
      <c r="G4919" t="s">
        <v>403</v>
      </c>
      <c r="H4919" t="str">
        <f>VLOOKUP(record[[#This Row],[ProcessSN]],表格2_7[],2,FALSE)</f>
        <v>30-4118-018-550</v>
      </c>
      <c r="I4919" t="str">
        <f>VLOOKUP(record[[#This Row],[ProcessSN]],表格2_7[],3,FALSE)</f>
        <v>#100SHIP</v>
      </c>
      <c r="J4919" t="s">
        <v>600</v>
      </c>
      <c r="K4919" s="195">
        <v>46037.370439814818</v>
      </c>
      <c r="L4919">
        <v>233</v>
      </c>
      <c r="M4919">
        <v>0</v>
      </c>
      <c r="N4919" s="98" t="str">
        <f>IF(record[[#This Row],[Memo]]="Browser:chrome os:android","平板報工",IF(record[[#This Row],[Memo]]=0,"委外",record[[#This Row],[Memo]]))</f>
        <v>補1/14出貨</v>
      </c>
      <c r="O4919" t="s">
        <v>1466</v>
      </c>
      <c r="P4919" t="s">
        <v>886</v>
      </c>
      <c r="Q4919" t="s">
        <v>58</v>
      </c>
      <c r="R4919" t="str">
        <f>IFERROR(VLOOKUP(record[[#This Row],[PCUSTID]],廠商[],2,FALSE),"")</f>
        <v/>
      </c>
      <c r="S4919" t="str">
        <f>VLOOKUP(record[[#This Row],[employeeID]],員工[],2,FALSE)</f>
        <v>謝蓁薰</v>
      </c>
    </row>
    <row r="4920" spans="6:19" hidden="1" x14ac:dyDescent="0.25">
      <c r="F4920" t="s">
        <v>1444</v>
      </c>
      <c r="G4920" t="s">
        <v>403</v>
      </c>
      <c r="H4920" t="str">
        <f>VLOOKUP(record[[#This Row],[ProcessSN]],表格2_7[],2,FALSE)</f>
        <v>30-4118-018-550</v>
      </c>
      <c r="I4920" t="str">
        <f>VLOOKUP(record[[#This Row],[ProcessSN]],表格2_7[],3,FALSE)</f>
        <v>#100SHIP</v>
      </c>
      <c r="J4920" t="s">
        <v>600</v>
      </c>
      <c r="K4920" s="195">
        <v>46037.368460648147</v>
      </c>
      <c r="L4920">
        <v>72</v>
      </c>
      <c r="M4920">
        <v>0</v>
      </c>
      <c r="N4920" s="98" t="str">
        <f>IF(record[[#This Row],[Memo]]="Browser:chrome os:android","平板報工",IF(record[[#This Row],[Memo]]=0,"委外",record[[#This Row],[Memo]]))</f>
        <v/>
      </c>
      <c r="O4920" t="s">
        <v>58</v>
      </c>
      <c r="P4920" t="s">
        <v>886</v>
      </c>
      <c r="Q4920" t="s">
        <v>58</v>
      </c>
      <c r="R4920" t="str">
        <f>IFERROR(VLOOKUP(record[[#This Row],[PCUSTID]],廠商[],2,FALSE),"")</f>
        <v/>
      </c>
      <c r="S4920" t="str">
        <f>VLOOKUP(record[[#This Row],[employeeID]],員工[],2,FALSE)</f>
        <v>謝蓁薰</v>
      </c>
    </row>
    <row r="4921" spans="6:19" hidden="1" x14ac:dyDescent="0.25">
      <c r="F4921" t="s">
        <v>1451</v>
      </c>
      <c r="G4921" t="s">
        <v>402</v>
      </c>
      <c r="H4921" t="str">
        <f>VLOOKUP(record[[#This Row],[ProcessSN]],表格2_7[],2,FALSE)</f>
        <v>30-4118-018-550</v>
      </c>
      <c r="I4921" t="str">
        <f>VLOOKUP(record[[#This Row],[ProcessSN]],表格2_7[],3,FALSE)</f>
        <v>#100STOCK</v>
      </c>
      <c r="J4921" t="s">
        <v>592</v>
      </c>
      <c r="K4921" s="195">
        <v>46037.368344907409</v>
      </c>
      <c r="L4921">
        <v>233</v>
      </c>
      <c r="M4921">
        <v>0</v>
      </c>
      <c r="N4921" s="98" t="str">
        <f>IF(record[[#This Row],[Memo]]="Browser:chrome os:android","平板報工",IF(record[[#This Row],[Memo]]=0,"委外",record[[#This Row],[Memo]]))</f>
        <v/>
      </c>
      <c r="O4921" t="s">
        <v>58</v>
      </c>
      <c r="P4921" t="s">
        <v>886</v>
      </c>
      <c r="Q4921" t="s">
        <v>58</v>
      </c>
      <c r="R4921" t="str">
        <f>IFERROR(VLOOKUP(record[[#This Row],[PCUSTID]],廠商[],2,FALSE),"")</f>
        <v/>
      </c>
      <c r="S4921" t="str">
        <f>VLOOKUP(record[[#This Row],[employeeID]],員工[],2,FALSE)</f>
        <v>謝蓁薰</v>
      </c>
    </row>
    <row r="4922" spans="6:19" hidden="1" x14ac:dyDescent="0.25">
      <c r="F4922" t="s">
        <v>1407</v>
      </c>
      <c r="G4922" t="s">
        <v>360</v>
      </c>
      <c r="H4922" t="str">
        <f>VLOOKUP(record[[#This Row],[ProcessSN]],表格2_7[],2,FALSE)</f>
        <v>30-4118-018-450</v>
      </c>
      <c r="I4922" t="str">
        <f>VLOOKUP(record[[#This Row],[ProcessSN]],表格2_7[],3,FALSE)</f>
        <v>#100OQC</v>
      </c>
      <c r="J4922" t="s">
        <v>599</v>
      </c>
      <c r="K4922" s="195">
        <v>46037.355162037034</v>
      </c>
      <c r="L4922">
        <v>737</v>
      </c>
      <c r="M4922">
        <v>0</v>
      </c>
      <c r="N4922" s="98" t="str">
        <f>IF(record[[#This Row],[Memo]]="Browser:chrome os:android","平板報工",IF(record[[#This Row],[Memo]]=0,"委外",record[[#This Row],[Memo]]))</f>
        <v/>
      </c>
      <c r="O4922" t="s">
        <v>58</v>
      </c>
      <c r="P4922" t="s">
        <v>121</v>
      </c>
      <c r="Q4922" t="s">
        <v>58</v>
      </c>
      <c r="R4922" t="str">
        <f>IFERROR(VLOOKUP(record[[#This Row],[PCUSTID]],廠商[],2,FALSE),"")</f>
        <v/>
      </c>
      <c r="S4922" t="str">
        <f>VLOOKUP(record[[#This Row],[employeeID]],員工[],2,FALSE)</f>
        <v>謝素卿</v>
      </c>
    </row>
    <row r="4923" spans="6:19" hidden="1" x14ac:dyDescent="0.25">
      <c r="F4923" t="s">
        <v>1432</v>
      </c>
      <c r="G4923" t="s">
        <v>360</v>
      </c>
      <c r="H4923" t="str">
        <f>VLOOKUP(record[[#This Row],[ProcessSN]],表格2_7[],2,FALSE)</f>
        <v>30-4118-018-450</v>
      </c>
      <c r="I4923" t="str">
        <f>VLOOKUP(record[[#This Row],[ProcessSN]],表格2_7[],3,FALSE)</f>
        <v>#100OQC</v>
      </c>
      <c r="J4923" t="s">
        <v>599</v>
      </c>
      <c r="K4923" s="195">
        <v>46037.354988425926</v>
      </c>
      <c r="L4923">
        <v>326</v>
      </c>
      <c r="M4923">
        <v>0</v>
      </c>
      <c r="N4923" s="98" t="str">
        <f>IF(record[[#This Row],[Memo]]="Browser:chrome os:android","平板報工",IF(record[[#This Row],[Memo]]=0,"委外",record[[#This Row],[Memo]]))</f>
        <v/>
      </c>
      <c r="O4923" t="s">
        <v>58</v>
      </c>
      <c r="P4923" t="s">
        <v>121</v>
      </c>
      <c r="Q4923" t="s">
        <v>58</v>
      </c>
      <c r="R4923" t="str">
        <f>IFERROR(VLOOKUP(record[[#This Row],[PCUSTID]],廠商[],2,FALSE),"")</f>
        <v/>
      </c>
      <c r="S4923" t="str">
        <f>VLOOKUP(record[[#This Row],[employeeID]],員工[],2,FALSE)</f>
        <v>謝素卿</v>
      </c>
    </row>
    <row r="4924" spans="6:19" hidden="1" x14ac:dyDescent="0.25">
      <c r="F4924" t="s">
        <v>1451</v>
      </c>
      <c r="G4924" t="s">
        <v>401</v>
      </c>
      <c r="H4924" t="str">
        <f>VLOOKUP(record[[#This Row],[ProcessSN]],表格2_7[],2,FALSE)</f>
        <v>30-4118-018-550</v>
      </c>
      <c r="I4924" t="str">
        <f>VLOOKUP(record[[#This Row],[ProcessSN]],表格2_7[],3,FALSE)</f>
        <v>#100OQC</v>
      </c>
      <c r="J4924" t="s">
        <v>599</v>
      </c>
      <c r="K4924" s="195">
        <v>46037.350706018522</v>
      </c>
      <c r="L4924">
        <v>502</v>
      </c>
      <c r="M4924">
        <v>0</v>
      </c>
      <c r="N4924" s="98" t="str">
        <f>IF(record[[#This Row],[Memo]]="Browser:chrome os:android","平板報工",IF(record[[#This Row],[Memo]]=0,"委外",record[[#This Row],[Memo]]))</f>
        <v/>
      </c>
      <c r="O4924" t="s">
        <v>58</v>
      </c>
      <c r="P4924" t="s">
        <v>121</v>
      </c>
      <c r="Q4924" t="s">
        <v>58</v>
      </c>
      <c r="R4924" t="str">
        <f>IFERROR(VLOOKUP(record[[#This Row],[PCUSTID]],廠商[],2,FALSE),"")</f>
        <v/>
      </c>
      <c r="S4924" t="str">
        <f>VLOOKUP(record[[#This Row],[employeeID]],員工[],2,FALSE)</f>
        <v>謝素卿</v>
      </c>
    </row>
    <row r="4925" spans="6:19" hidden="1" x14ac:dyDescent="0.25">
      <c r="F4925" t="s">
        <v>1439</v>
      </c>
      <c r="G4925" t="s">
        <v>401</v>
      </c>
      <c r="H4925" t="str">
        <f>VLOOKUP(record[[#This Row],[ProcessSN]],表格2_7[],2,FALSE)</f>
        <v>30-4118-018-550</v>
      </c>
      <c r="I4925" t="str">
        <f>VLOOKUP(record[[#This Row],[ProcessSN]],表格2_7[],3,FALSE)</f>
        <v>#100OQC</v>
      </c>
      <c r="J4925" t="s">
        <v>599</v>
      </c>
      <c r="K4925" s="195">
        <v>46037.350543981483</v>
      </c>
      <c r="L4925">
        <v>9</v>
      </c>
      <c r="M4925">
        <v>0</v>
      </c>
      <c r="N4925" s="98" t="str">
        <f>IF(record[[#This Row],[Memo]]="Browser:chrome os:android","平板報工",IF(record[[#This Row],[Memo]]=0,"委外",record[[#This Row],[Memo]]))</f>
        <v/>
      </c>
      <c r="O4925" t="s">
        <v>58</v>
      </c>
      <c r="P4925" t="s">
        <v>121</v>
      </c>
      <c r="Q4925" t="s">
        <v>58</v>
      </c>
      <c r="R4925" t="str">
        <f>IFERROR(VLOOKUP(record[[#This Row],[PCUSTID]],廠商[],2,FALSE),"")</f>
        <v/>
      </c>
      <c r="S4925" t="str">
        <f>VLOOKUP(record[[#This Row],[employeeID]],員工[],2,FALSE)</f>
        <v>謝素卿</v>
      </c>
    </row>
    <row r="4926" spans="6:19" hidden="1" x14ac:dyDescent="0.25">
      <c r="F4926" t="s">
        <v>1444</v>
      </c>
      <c r="G4926" t="s">
        <v>402</v>
      </c>
      <c r="H4926" t="str">
        <f>VLOOKUP(record[[#This Row],[ProcessSN]],表格2_7[],2,FALSE)</f>
        <v>30-4118-018-550</v>
      </c>
      <c r="I4926" t="str">
        <f>VLOOKUP(record[[#This Row],[ProcessSN]],表格2_7[],3,FALSE)</f>
        <v>#100STOCK</v>
      </c>
      <c r="J4926" t="s">
        <v>592</v>
      </c>
      <c r="K4926" s="195">
        <v>46037.338090277779</v>
      </c>
      <c r="L4926">
        <v>72</v>
      </c>
      <c r="M4926">
        <v>0</v>
      </c>
      <c r="N4926" s="98" t="str">
        <f>IF(record[[#This Row],[Memo]]="Browser:chrome os:android","平板報工",IF(record[[#This Row],[Memo]]=0,"委外",record[[#This Row],[Memo]]))</f>
        <v/>
      </c>
      <c r="O4926" t="s">
        <v>58</v>
      </c>
      <c r="P4926" t="s">
        <v>886</v>
      </c>
      <c r="Q4926" t="s">
        <v>58</v>
      </c>
      <c r="R4926" t="str">
        <f>IFERROR(VLOOKUP(record[[#This Row],[PCUSTID]],廠商[],2,FALSE),"")</f>
        <v/>
      </c>
      <c r="S4926" t="str">
        <f>VLOOKUP(record[[#This Row],[employeeID]],員工[],2,FALSE)</f>
        <v>謝蓁薰</v>
      </c>
    </row>
    <row r="4927" spans="6:19" hidden="1" x14ac:dyDescent="0.25">
      <c r="F4927" t="s">
        <v>1417</v>
      </c>
      <c r="G4927" t="s">
        <v>451</v>
      </c>
      <c r="H4927" t="str">
        <f>VLOOKUP(record[[#This Row],[ProcessSN]],表格2_7[],2,FALSE)</f>
        <v>30-4118-018-6XX</v>
      </c>
      <c r="I4927" t="str">
        <f>VLOOKUP(record[[#This Row],[ProcessSN]],表格2_7[],3,FALSE)</f>
        <v>#07</v>
      </c>
      <c r="J4927" t="s">
        <v>588</v>
      </c>
      <c r="K4927" s="195">
        <v>46037.314270833333</v>
      </c>
      <c r="L4927">
        <v>134</v>
      </c>
      <c r="M4927">
        <v>0</v>
      </c>
      <c r="N4927" s="98" t="str">
        <f>IF(record[[#This Row],[Memo]]="Browser:chrome os:android","平板報工",IF(record[[#This Row],[Memo]]=0,"委外",record[[#This Row],[Memo]]))</f>
        <v/>
      </c>
      <c r="O4927" t="s">
        <v>58</v>
      </c>
      <c r="P4927" t="s">
        <v>843</v>
      </c>
      <c r="Q4927" t="s">
        <v>58</v>
      </c>
      <c r="R4927" t="str">
        <f>IFERROR(VLOOKUP(record[[#This Row],[PCUSTID]],廠商[],2,FALSE),"")</f>
        <v/>
      </c>
      <c r="S4927" t="str">
        <f>VLOOKUP(record[[#This Row],[employeeID]],員工[],2,FALSE)</f>
        <v>張楚承</v>
      </c>
    </row>
    <row r="4928" spans="6:19" hidden="1" x14ac:dyDescent="0.25">
      <c r="F4928" t="s">
        <v>1417</v>
      </c>
      <c r="G4928" t="s">
        <v>450</v>
      </c>
      <c r="H4928" t="str">
        <f>VLOOKUP(record[[#This Row],[ProcessSN]],表格2_7[],2,FALSE)</f>
        <v>30-4118-018-6XX</v>
      </c>
      <c r="I4928" t="str">
        <f>VLOOKUP(record[[#This Row],[ProcessSN]],表格2_7[],3,FALSE)</f>
        <v>#06</v>
      </c>
      <c r="J4928" t="s">
        <v>593</v>
      </c>
      <c r="K4928" s="195">
        <v>46037.314050925925</v>
      </c>
      <c r="L4928">
        <v>131</v>
      </c>
      <c r="M4928">
        <v>0</v>
      </c>
      <c r="N4928" s="98" t="str">
        <f>IF(record[[#This Row],[Memo]]="Browser:chrome os:android","平板報工",IF(record[[#This Row],[Memo]]=0,"委外",record[[#This Row],[Memo]]))</f>
        <v/>
      </c>
      <c r="O4928" t="s">
        <v>58</v>
      </c>
      <c r="P4928" t="s">
        <v>180</v>
      </c>
      <c r="Q4928" t="s">
        <v>58</v>
      </c>
      <c r="R4928" t="str">
        <f>IFERROR(VLOOKUP(record[[#This Row],[PCUSTID]],廠商[],2,FALSE),"")</f>
        <v/>
      </c>
      <c r="S4928" t="str">
        <f>VLOOKUP(record[[#This Row],[employeeID]],員工[],2,FALSE)</f>
        <v>黎功江</v>
      </c>
    </row>
    <row r="4929" spans="6:19" hidden="1" x14ac:dyDescent="0.25">
      <c r="F4929" t="s">
        <v>1417</v>
      </c>
      <c r="G4929" t="s">
        <v>449</v>
      </c>
      <c r="H4929" t="str">
        <f>VLOOKUP(record[[#This Row],[ProcessSN]],表格2_7[],2,FALSE)</f>
        <v>30-4118-018-6XX</v>
      </c>
      <c r="I4929" t="str">
        <f>VLOOKUP(record[[#This Row],[ProcessSN]],表格2_7[],3,FALSE)</f>
        <v>#05</v>
      </c>
      <c r="J4929" t="s">
        <v>588</v>
      </c>
      <c r="K4929" s="195">
        <v>46037.313530092593</v>
      </c>
      <c r="L4929">
        <v>130</v>
      </c>
      <c r="M4929">
        <v>0</v>
      </c>
      <c r="N4929" s="98" t="str">
        <f>IF(record[[#This Row],[Memo]]="Browser:chrome os:android","平板報工",IF(record[[#This Row],[Memo]]=0,"委外",record[[#This Row],[Memo]]))</f>
        <v/>
      </c>
      <c r="O4929" t="s">
        <v>58</v>
      </c>
      <c r="P4929" t="s">
        <v>843</v>
      </c>
      <c r="Q4929" t="s">
        <v>58</v>
      </c>
      <c r="R4929" t="str">
        <f>IFERROR(VLOOKUP(record[[#This Row],[PCUSTID]],廠商[],2,FALSE),"")</f>
        <v/>
      </c>
      <c r="S4929" t="str">
        <f>VLOOKUP(record[[#This Row],[employeeID]],員工[],2,FALSE)</f>
        <v>張楚承</v>
      </c>
    </row>
    <row r="4930" spans="6:19" hidden="1" x14ac:dyDescent="0.25">
      <c r="F4930" t="s">
        <v>1417</v>
      </c>
      <c r="G4930" t="s">
        <v>448</v>
      </c>
      <c r="H4930" t="str">
        <f>VLOOKUP(record[[#This Row],[ProcessSN]],表格2_7[],2,FALSE)</f>
        <v>30-4118-018-6XX</v>
      </c>
      <c r="I4930" t="str">
        <f>VLOOKUP(record[[#This Row],[ProcessSN]],表格2_7[],3,FALSE)</f>
        <v>#04</v>
      </c>
      <c r="J4930" t="s">
        <v>588</v>
      </c>
      <c r="K4930" s="195">
        <v>46037.313090277778</v>
      </c>
      <c r="L4930">
        <v>123</v>
      </c>
      <c r="M4930">
        <v>2</v>
      </c>
      <c r="N4930" s="98" t="str">
        <f>IF(record[[#This Row],[Memo]]="Browser:chrome os:android","平板報工",IF(record[[#This Row],[Memo]]=0,"委外",record[[#This Row],[Memo]]))</f>
        <v/>
      </c>
      <c r="O4930" t="s">
        <v>58</v>
      </c>
      <c r="P4930" t="s">
        <v>135</v>
      </c>
      <c r="Q4930" t="s">
        <v>58</v>
      </c>
      <c r="R4930" t="str">
        <f>IFERROR(VLOOKUP(record[[#This Row],[PCUSTID]],廠商[],2,FALSE),"")</f>
        <v/>
      </c>
      <c r="S4930" t="str">
        <f>VLOOKUP(record[[#This Row],[employeeID]],員工[],2,FALSE)</f>
        <v>阮士文</v>
      </c>
    </row>
    <row r="4931" spans="6:19" hidden="1" x14ac:dyDescent="0.25">
      <c r="F4931" t="s">
        <v>1417</v>
      </c>
      <c r="G4931" t="s">
        <v>450</v>
      </c>
      <c r="H4931" t="str">
        <f>VLOOKUP(record[[#This Row],[ProcessSN]],表格2_7[],2,FALSE)</f>
        <v>30-4118-018-6XX</v>
      </c>
      <c r="I4931" t="str">
        <f>VLOOKUP(record[[#This Row],[ProcessSN]],表格2_7[],3,FALSE)</f>
        <v>#06</v>
      </c>
      <c r="J4931" t="s">
        <v>593</v>
      </c>
      <c r="K4931" s="195">
        <v>46036.981631944444</v>
      </c>
      <c r="L4931">
        <v>133</v>
      </c>
      <c r="M4931">
        <v>0</v>
      </c>
      <c r="N4931" s="98" t="str">
        <f>IF(record[[#This Row],[Memo]]="Browser:chrome os:android","平板報工",IF(record[[#This Row],[Memo]]=0,"委外",record[[#This Row],[Memo]]))</f>
        <v/>
      </c>
      <c r="O4931" t="s">
        <v>58</v>
      </c>
      <c r="P4931" t="s">
        <v>1098</v>
      </c>
      <c r="Q4931" t="s">
        <v>58</v>
      </c>
      <c r="R4931" t="str">
        <f>IFERROR(VLOOKUP(record[[#This Row],[PCUSTID]],廠商[],2,FALSE),"")</f>
        <v/>
      </c>
      <c r="S4931" t="str">
        <f>VLOOKUP(record[[#This Row],[employeeID]],員工[],2,FALSE)</f>
        <v>阮氏芳英(英)</v>
      </c>
    </row>
    <row r="4932" spans="6:19" hidden="1" x14ac:dyDescent="0.25">
      <c r="F4932" t="s">
        <v>1417</v>
      </c>
      <c r="G4932" t="s">
        <v>449</v>
      </c>
      <c r="H4932" t="str">
        <f>VLOOKUP(record[[#This Row],[ProcessSN]],表格2_7[],2,FALSE)</f>
        <v>30-4118-018-6XX</v>
      </c>
      <c r="I4932" t="str">
        <f>VLOOKUP(record[[#This Row],[ProcessSN]],表格2_7[],3,FALSE)</f>
        <v>#05</v>
      </c>
      <c r="J4932" t="s">
        <v>588</v>
      </c>
      <c r="K4932" s="195">
        <v>46036.98128472222</v>
      </c>
      <c r="L4932">
        <v>120</v>
      </c>
      <c r="M4932">
        <v>0</v>
      </c>
      <c r="N4932" s="98" t="str">
        <f>IF(record[[#This Row],[Memo]]="Browser:chrome os:android","平板報工",IF(record[[#This Row],[Memo]]=0,"委外",record[[#This Row],[Memo]]))</f>
        <v/>
      </c>
      <c r="O4932" t="s">
        <v>58</v>
      </c>
      <c r="P4932" t="s">
        <v>89</v>
      </c>
      <c r="Q4932" t="s">
        <v>58</v>
      </c>
      <c r="R4932" t="str">
        <f>IFERROR(VLOOKUP(record[[#This Row],[PCUSTID]],廠商[],2,FALSE),"")</f>
        <v/>
      </c>
      <c r="S4932" t="str">
        <f>VLOOKUP(record[[#This Row],[employeeID]],員工[],2,FALSE)</f>
        <v>李美蓮</v>
      </c>
    </row>
    <row r="4933" spans="6:19" hidden="1" x14ac:dyDescent="0.25">
      <c r="F4933" t="s">
        <v>1417</v>
      </c>
      <c r="G4933" t="s">
        <v>448</v>
      </c>
      <c r="H4933" t="str">
        <f>VLOOKUP(record[[#This Row],[ProcessSN]],表格2_7[],2,FALSE)</f>
        <v>30-4118-018-6XX</v>
      </c>
      <c r="I4933" t="str">
        <f>VLOOKUP(record[[#This Row],[ProcessSN]],表格2_7[],3,FALSE)</f>
        <v>#04</v>
      </c>
      <c r="J4933" t="s">
        <v>588</v>
      </c>
      <c r="K4933" s="195">
        <v>46036.980787037035</v>
      </c>
      <c r="L4933">
        <v>120</v>
      </c>
      <c r="M4933">
        <v>0</v>
      </c>
      <c r="N4933" s="98" t="str">
        <f>IF(record[[#This Row],[Memo]]="Browser:chrome os:android","平板報工",IF(record[[#This Row],[Memo]]=0,"委外",record[[#This Row],[Memo]]))</f>
        <v/>
      </c>
      <c r="O4933" t="s">
        <v>58</v>
      </c>
      <c r="P4933" t="s">
        <v>1098</v>
      </c>
      <c r="Q4933" t="s">
        <v>58</v>
      </c>
      <c r="R4933" t="str">
        <f>IFERROR(VLOOKUP(record[[#This Row],[PCUSTID]],廠商[],2,FALSE),"")</f>
        <v/>
      </c>
      <c r="S4933" t="str">
        <f>VLOOKUP(record[[#This Row],[employeeID]],員工[],2,FALSE)</f>
        <v>阮氏芳英(英)</v>
      </c>
    </row>
    <row r="4934" spans="6:19" hidden="1" x14ac:dyDescent="0.25">
      <c r="F4934" t="s">
        <v>1451</v>
      </c>
      <c r="G4934" t="s">
        <v>400</v>
      </c>
      <c r="H4934" t="str">
        <f>VLOOKUP(record[[#This Row],[ProcessSN]],表格2_7[],2,FALSE)</f>
        <v>30-4118-018-550</v>
      </c>
      <c r="I4934" t="str">
        <f>VLOOKUP(record[[#This Row],[ProcessSN]],表格2_7[],3,FALSE)</f>
        <v>#100</v>
      </c>
      <c r="J4934" t="s">
        <v>598</v>
      </c>
      <c r="K4934" s="195">
        <v>46036.816261574073</v>
      </c>
      <c r="L4934">
        <v>0</v>
      </c>
      <c r="M4934">
        <v>2</v>
      </c>
      <c r="N4934" s="98" t="str">
        <f>IF(record[[#This Row],[Memo]]="Browser:chrome os:android","平板報工",IF(record[[#This Row],[Memo]]=0,"委外",record[[#This Row],[Memo]]))</f>
        <v>平板報工</v>
      </c>
      <c r="O4934" t="s">
        <v>643</v>
      </c>
      <c r="P4934" t="s">
        <v>141</v>
      </c>
      <c r="Q4934" t="s">
        <v>644</v>
      </c>
      <c r="R4934" t="str">
        <f>IFERROR(VLOOKUP(record[[#This Row],[PCUSTID]],廠商[],2,FALSE),"")</f>
        <v/>
      </c>
      <c r="S4934" t="str">
        <f>VLOOKUP(record[[#This Row],[employeeID]],員工[],2,FALSE)</f>
        <v>蔣梅</v>
      </c>
    </row>
    <row r="4935" spans="6:19" hidden="1" x14ac:dyDescent="0.25">
      <c r="F4935" t="s">
        <v>1451</v>
      </c>
      <c r="G4935" t="s">
        <v>400</v>
      </c>
      <c r="H4935" t="str">
        <f>VLOOKUP(record[[#This Row],[ProcessSN]],表格2_7[],2,FALSE)</f>
        <v>30-4118-018-550</v>
      </c>
      <c r="I4935" t="str">
        <f>VLOOKUP(record[[#This Row],[ProcessSN]],表格2_7[],3,FALSE)</f>
        <v>#100</v>
      </c>
      <c r="J4935" t="s">
        <v>598</v>
      </c>
      <c r="K4935" s="195">
        <v>46036.815983796296</v>
      </c>
      <c r="L4935">
        <v>269</v>
      </c>
      <c r="M4935">
        <v>0</v>
      </c>
      <c r="N4935" s="98" t="str">
        <f>IF(record[[#This Row],[Memo]]="Browser:chrome os:android","平板報工",IF(record[[#This Row],[Memo]]=0,"委外",record[[#This Row],[Memo]]))</f>
        <v>平板報工</v>
      </c>
      <c r="O4935" t="s">
        <v>643</v>
      </c>
      <c r="P4935" t="s">
        <v>141</v>
      </c>
      <c r="Q4935" t="s">
        <v>644</v>
      </c>
      <c r="R4935" t="str">
        <f>IFERROR(VLOOKUP(record[[#This Row],[PCUSTID]],廠商[],2,FALSE),"")</f>
        <v/>
      </c>
      <c r="S4935" t="str">
        <f>VLOOKUP(record[[#This Row],[employeeID]],員工[],2,FALSE)</f>
        <v>蔣梅</v>
      </c>
    </row>
    <row r="4936" spans="6:19" hidden="1" x14ac:dyDescent="0.25">
      <c r="F4936" t="s">
        <v>1451</v>
      </c>
      <c r="G4936" t="s">
        <v>400</v>
      </c>
      <c r="H4936" t="str">
        <f>VLOOKUP(record[[#This Row],[ProcessSN]],表格2_7[],2,FALSE)</f>
        <v>30-4118-018-550</v>
      </c>
      <c r="I4936" t="str">
        <f>VLOOKUP(record[[#This Row],[ProcessSN]],表格2_7[],3,FALSE)</f>
        <v>#100</v>
      </c>
      <c r="J4936" t="s">
        <v>598</v>
      </c>
      <c r="K4936" s="195">
        <v>46036.796469907407</v>
      </c>
      <c r="L4936">
        <v>233</v>
      </c>
      <c r="M4936">
        <v>0</v>
      </c>
      <c r="N4936" s="98" t="str">
        <f>IF(record[[#This Row],[Memo]]="Browser:chrome os:android","平板報工",IF(record[[#This Row],[Memo]]=0,"委外",record[[#This Row],[Memo]]))</f>
        <v>平板報工</v>
      </c>
      <c r="O4936" t="s">
        <v>643</v>
      </c>
      <c r="P4936" t="s">
        <v>99</v>
      </c>
      <c r="Q4936" t="s">
        <v>644</v>
      </c>
      <c r="R4936" t="str">
        <f>IFERROR(VLOOKUP(record[[#This Row],[PCUSTID]],廠商[],2,FALSE),"")</f>
        <v/>
      </c>
      <c r="S4936" t="str">
        <f>VLOOKUP(record[[#This Row],[employeeID]],員工[],2,FALSE)</f>
        <v>阮氏河</v>
      </c>
    </row>
    <row r="4937" spans="6:19" hidden="1" x14ac:dyDescent="0.25">
      <c r="F4937" t="s">
        <v>1451</v>
      </c>
      <c r="G4937" t="s">
        <v>399</v>
      </c>
      <c r="H4937" t="str">
        <f>VLOOKUP(record[[#This Row],[ProcessSN]],表格2_7[],2,FALSE)</f>
        <v>30-4118-018-550</v>
      </c>
      <c r="I4937" t="str">
        <f>VLOOKUP(record[[#This Row],[ProcessSN]],表格2_7[],3,FALSE)</f>
        <v>#08IQC</v>
      </c>
      <c r="J4937" t="s">
        <v>583</v>
      </c>
      <c r="K4937" s="195">
        <v>46036.783263888887</v>
      </c>
      <c r="L4937">
        <v>504</v>
      </c>
      <c r="M4937">
        <v>0</v>
      </c>
      <c r="N4937" s="98" t="str">
        <f>IF(record[[#This Row],[Memo]]="Browser:chrome os:android","平板報工",IF(record[[#This Row],[Memo]]=0,"委外",record[[#This Row],[Memo]]))</f>
        <v/>
      </c>
      <c r="O4937" t="s">
        <v>58</v>
      </c>
      <c r="P4937" t="s">
        <v>109</v>
      </c>
      <c r="Q4937" t="s">
        <v>58</v>
      </c>
      <c r="R4937" t="str">
        <f>IFERROR(VLOOKUP(record[[#This Row],[PCUSTID]],廠商[],2,FALSE),"")</f>
        <v/>
      </c>
      <c r="S4937" t="str">
        <f>VLOOKUP(record[[#This Row],[employeeID]],員工[],2,FALSE)</f>
        <v>裴氏璧鳳</v>
      </c>
    </row>
    <row r="4938" spans="6:19" hidden="1" x14ac:dyDescent="0.25">
      <c r="F4938" t="s">
        <v>1451</v>
      </c>
      <c r="G4938" t="s">
        <v>398</v>
      </c>
      <c r="H4938" t="str">
        <f>VLOOKUP(record[[#This Row],[ProcessSN]],表格2_7[],2,FALSE)</f>
        <v>30-4118-018-550</v>
      </c>
      <c r="I4938" t="str">
        <f>VLOOKUP(record[[#This Row],[ProcessSN]],表格2_7[],3,FALSE)</f>
        <v>#08RCV</v>
      </c>
      <c r="J4938" t="s">
        <v>591</v>
      </c>
      <c r="K4938" s="195">
        <v>46036.778553240743</v>
      </c>
      <c r="L4938">
        <v>504</v>
      </c>
      <c r="M4938">
        <v>0</v>
      </c>
      <c r="N4938" s="98" t="str">
        <f>IF(record[[#This Row],[Memo]]="Browser:chrome os:android","平板報工",IF(record[[#This Row],[Memo]]=0,"委外",record[[#This Row],[Memo]]))</f>
        <v/>
      </c>
      <c r="O4938" t="s">
        <v>58</v>
      </c>
      <c r="P4938" t="s">
        <v>886</v>
      </c>
      <c r="Q4938" t="s">
        <v>58</v>
      </c>
      <c r="R4938" t="str">
        <f>IFERROR(VLOOKUP(record[[#This Row],[PCUSTID]],廠商[],2,FALSE),"")</f>
        <v/>
      </c>
      <c r="S4938" t="str">
        <f>VLOOKUP(record[[#This Row],[employeeID]],員工[],2,FALSE)</f>
        <v>謝蓁薰</v>
      </c>
    </row>
    <row r="4939" spans="6:19" hidden="1" x14ac:dyDescent="0.25">
      <c r="F4939" t="s">
        <v>1417</v>
      </c>
      <c r="G4939" t="s">
        <v>447</v>
      </c>
      <c r="H4939" t="str">
        <f>VLOOKUP(record[[#This Row],[ProcessSN]],表格2_7[],2,FALSE)</f>
        <v>30-4118-018-6XX</v>
      </c>
      <c r="I4939" t="str">
        <f>VLOOKUP(record[[#This Row],[ProcessSN]],表格2_7[],3,FALSE)</f>
        <v>#03</v>
      </c>
      <c r="J4939" t="s">
        <v>588</v>
      </c>
      <c r="K4939" s="195">
        <v>46036.766643518517</v>
      </c>
      <c r="L4939">
        <v>57</v>
      </c>
      <c r="M4939">
        <v>0</v>
      </c>
      <c r="N4939" s="98" t="str">
        <f>IF(record[[#This Row],[Memo]]="Browser:chrome os:android","平板報工",IF(record[[#This Row],[Memo]]=0,"委外",record[[#This Row],[Memo]]))</f>
        <v>料少1pcs</v>
      </c>
      <c r="O4939" t="s">
        <v>1465</v>
      </c>
      <c r="P4939" t="s">
        <v>785</v>
      </c>
      <c r="Q4939" t="s">
        <v>58</v>
      </c>
      <c r="R4939" t="str">
        <f>IFERROR(VLOOKUP(record[[#This Row],[PCUSTID]],廠商[],2,FALSE),"")</f>
        <v/>
      </c>
      <c r="S4939" t="str">
        <f>VLOOKUP(record[[#This Row],[employeeID]],員工[],2,FALSE)</f>
        <v>謝刻光</v>
      </c>
    </row>
    <row r="4940" spans="6:19" hidden="1" x14ac:dyDescent="0.25">
      <c r="F4940" t="s">
        <v>1407</v>
      </c>
      <c r="G4940" t="s">
        <v>359</v>
      </c>
      <c r="H4940" t="str">
        <f>VLOOKUP(record[[#This Row],[ProcessSN]],表格2_7[],2,FALSE)</f>
        <v>30-4118-018-450</v>
      </c>
      <c r="I4940" t="str">
        <f>VLOOKUP(record[[#This Row],[ProcessSN]],表格2_7[],3,FALSE)</f>
        <v>#100</v>
      </c>
      <c r="J4940" t="s">
        <v>598</v>
      </c>
      <c r="K4940" s="195">
        <v>46036.742152777777</v>
      </c>
      <c r="L4940">
        <v>737</v>
      </c>
      <c r="M4940">
        <v>0</v>
      </c>
      <c r="N4940" s="98" t="str">
        <f>IF(record[[#This Row],[Memo]]="Browser:chrome os:android","平板報工",IF(record[[#This Row],[Memo]]=0,"委外",record[[#This Row],[Memo]]))</f>
        <v/>
      </c>
      <c r="O4940" t="s">
        <v>58</v>
      </c>
      <c r="P4940" t="s">
        <v>141</v>
      </c>
      <c r="Q4940" t="s">
        <v>58</v>
      </c>
      <c r="R4940" t="str">
        <f>IFERROR(VLOOKUP(record[[#This Row],[PCUSTID]],廠商[],2,FALSE),"")</f>
        <v/>
      </c>
      <c r="S4940" t="str">
        <f>VLOOKUP(record[[#This Row],[employeeID]],員工[],2,FALSE)</f>
        <v>蔣梅</v>
      </c>
    </row>
    <row r="4941" spans="6:19" hidden="1" x14ac:dyDescent="0.25">
      <c r="F4941" t="s">
        <v>1407</v>
      </c>
      <c r="G4941" t="s">
        <v>358</v>
      </c>
      <c r="H4941" t="str">
        <f>VLOOKUP(record[[#This Row],[ProcessSN]],表格2_7[],2,FALSE)</f>
        <v>30-4118-018-450</v>
      </c>
      <c r="I4941" t="str">
        <f>VLOOKUP(record[[#This Row],[ProcessSN]],表格2_7[],3,FALSE)</f>
        <v>#08IQC</v>
      </c>
      <c r="J4941" t="s">
        <v>583</v>
      </c>
      <c r="K4941" s="195">
        <v>46036.741851851853</v>
      </c>
      <c r="L4941">
        <v>33</v>
      </c>
      <c r="M4941">
        <v>0</v>
      </c>
      <c r="N4941" s="98" t="str">
        <f>IF(record[[#This Row],[Memo]]="Browser:chrome os:android","平板報工",IF(record[[#This Row],[Memo]]=0,"委外",record[[#This Row],[Memo]]))</f>
        <v>覆回</v>
      </c>
      <c r="O4941" t="s">
        <v>682</v>
      </c>
      <c r="P4941" t="s">
        <v>141</v>
      </c>
      <c r="Q4941" t="s">
        <v>58</v>
      </c>
      <c r="R4941" t="str">
        <f>IFERROR(VLOOKUP(record[[#This Row],[PCUSTID]],廠商[],2,FALSE),"")</f>
        <v/>
      </c>
      <c r="S4941" t="str">
        <f>VLOOKUP(record[[#This Row],[employeeID]],員工[],2,FALSE)</f>
        <v>蔣梅</v>
      </c>
    </row>
    <row r="4942" spans="6:19" hidden="1" x14ac:dyDescent="0.25">
      <c r="F4942" t="s">
        <v>1407</v>
      </c>
      <c r="G4942" t="s">
        <v>357</v>
      </c>
      <c r="H4942" t="str">
        <f>VLOOKUP(record[[#This Row],[ProcessSN]],表格2_7[],2,FALSE)</f>
        <v>30-4118-018-450</v>
      </c>
      <c r="I4942" t="str">
        <f>VLOOKUP(record[[#This Row],[ProcessSN]],表格2_7[],3,FALSE)</f>
        <v>#08RCV</v>
      </c>
      <c r="J4942" t="s">
        <v>591</v>
      </c>
      <c r="K4942" s="195">
        <v>46036.741469907407</v>
      </c>
      <c r="L4942">
        <v>33</v>
      </c>
      <c r="M4942">
        <v>0</v>
      </c>
      <c r="N4942" s="98" t="str">
        <f>IF(record[[#This Row],[Memo]]="Browser:chrome os:android","平板報工",IF(record[[#This Row],[Memo]]=0,"委外",record[[#This Row],[Memo]]))</f>
        <v>覆回</v>
      </c>
      <c r="O4942" t="s">
        <v>682</v>
      </c>
      <c r="P4942" t="s">
        <v>141</v>
      </c>
      <c r="Q4942" t="s">
        <v>58</v>
      </c>
      <c r="R4942" t="str">
        <f>IFERROR(VLOOKUP(record[[#This Row],[PCUSTID]],廠商[],2,FALSE),"")</f>
        <v/>
      </c>
      <c r="S4942" t="str">
        <f>VLOOKUP(record[[#This Row],[employeeID]],員工[],2,FALSE)</f>
        <v>蔣梅</v>
      </c>
    </row>
    <row r="4943" spans="6:19" hidden="1" x14ac:dyDescent="0.25">
      <c r="F4943" t="s">
        <v>1432</v>
      </c>
      <c r="G4943" t="s">
        <v>359</v>
      </c>
      <c r="H4943" t="str">
        <f>VLOOKUP(record[[#This Row],[ProcessSN]],表格2_7[],2,FALSE)</f>
        <v>30-4118-018-450</v>
      </c>
      <c r="I4943" t="str">
        <f>VLOOKUP(record[[#This Row],[ProcessSN]],表格2_7[],3,FALSE)</f>
        <v>#100</v>
      </c>
      <c r="J4943" t="s">
        <v>598</v>
      </c>
      <c r="K4943" s="195">
        <v>46036.740439814814</v>
      </c>
      <c r="L4943">
        <v>271</v>
      </c>
      <c r="M4943">
        <v>0</v>
      </c>
      <c r="N4943" s="98" t="str">
        <f>IF(record[[#This Row],[Memo]]="Browser:chrome os:android","平板報工",IF(record[[#This Row],[Memo]]=0,"委外",record[[#This Row],[Memo]]))</f>
        <v/>
      </c>
      <c r="O4943" t="s">
        <v>58</v>
      </c>
      <c r="P4943" t="s">
        <v>141</v>
      </c>
      <c r="Q4943" t="s">
        <v>58</v>
      </c>
      <c r="R4943" t="str">
        <f>IFERROR(VLOOKUP(record[[#This Row],[PCUSTID]],廠商[],2,FALSE),"")</f>
        <v/>
      </c>
      <c r="S4943" t="str">
        <f>VLOOKUP(record[[#This Row],[employeeID]],員工[],2,FALSE)</f>
        <v>蔣梅</v>
      </c>
    </row>
    <row r="4944" spans="6:19" hidden="1" x14ac:dyDescent="0.25">
      <c r="F4944" t="s">
        <v>1432</v>
      </c>
      <c r="G4944" t="s">
        <v>359</v>
      </c>
      <c r="H4944" t="str">
        <f>VLOOKUP(record[[#This Row],[ProcessSN]],表格2_7[],2,FALSE)</f>
        <v>30-4118-018-450</v>
      </c>
      <c r="I4944" t="str">
        <f>VLOOKUP(record[[#This Row],[ProcessSN]],表格2_7[],3,FALSE)</f>
        <v>#100</v>
      </c>
      <c r="J4944" t="s">
        <v>598</v>
      </c>
      <c r="K4944" s="195">
        <v>46036.740231481483</v>
      </c>
      <c r="L4944">
        <v>55</v>
      </c>
      <c r="M4944">
        <v>0</v>
      </c>
      <c r="N4944" s="98" t="str">
        <f>IF(record[[#This Row],[Memo]]="Browser:chrome os:android","平板報工",IF(record[[#This Row],[Memo]]=0,"委外",record[[#This Row],[Memo]]))</f>
        <v>KIS</v>
      </c>
      <c r="O4944" t="s">
        <v>1464</v>
      </c>
      <c r="P4944" t="s">
        <v>141</v>
      </c>
      <c r="Q4944" t="s">
        <v>58</v>
      </c>
      <c r="R4944" t="str">
        <f>IFERROR(VLOOKUP(record[[#This Row],[PCUSTID]],廠商[],2,FALSE),"")</f>
        <v/>
      </c>
      <c r="S4944" t="str">
        <f>VLOOKUP(record[[#This Row],[employeeID]],員工[],2,FALSE)</f>
        <v>蔣梅</v>
      </c>
    </row>
    <row r="4945" spans="6:19" hidden="1" x14ac:dyDescent="0.25">
      <c r="F4945" t="s">
        <v>1432</v>
      </c>
      <c r="G4945" t="s">
        <v>358</v>
      </c>
      <c r="H4945" t="str">
        <f>VLOOKUP(record[[#This Row],[ProcessSN]],表格2_7[],2,FALSE)</f>
        <v>30-4118-018-450</v>
      </c>
      <c r="I4945" t="str">
        <f>VLOOKUP(record[[#This Row],[ProcessSN]],表格2_7[],3,FALSE)</f>
        <v>#08IQC</v>
      </c>
      <c r="J4945" t="s">
        <v>583</v>
      </c>
      <c r="K4945" s="195">
        <v>46036.739861111113</v>
      </c>
      <c r="L4945">
        <v>15</v>
      </c>
      <c r="M4945">
        <v>0</v>
      </c>
      <c r="N4945" s="98" t="str">
        <f>IF(record[[#This Row],[Memo]]="Browser:chrome os:android","平板報工",IF(record[[#This Row],[Memo]]=0,"委外",record[[#This Row],[Memo]]))</f>
        <v>覆回</v>
      </c>
      <c r="O4945" t="s">
        <v>682</v>
      </c>
      <c r="P4945" t="s">
        <v>141</v>
      </c>
      <c r="Q4945" t="s">
        <v>58</v>
      </c>
      <c r="R4945" t="str">
        <f>IFERROR(VLOOKUP(record[[#This Row],[PCUSTID]],廠商[],2,FALSE),"")</f>
        <v/>
      </c>
      <c r="S4945" t="str">
        <f>VLOOKUP(record[[#This Row],[employeeID]],員工[],2,FALSE)</f>
        <v>蔣梅</v>
      </c>
    </row>
    <row r="4946" spans="6:19" hidden="1" x14ac:dyDescent="0.25">
      <c r="F4946" t="s">
        <v>1432</v>
      </c>
      <c r="G4946" t="s">
        <v>357</v>
      </c>
      <c r="H4946" t="str">
        <f>VLOOKUP(record[[#This Row],[ProcessSN]],表格2_7[],2,FALSE)</f>
        <v>30-4118-018-450</v>
      </c>
      <c r="I4946" t="str">
        <f>VLOOKUP(record[[#This Row],[ProcessSN]],表格2_7[],3,FALSE)</f>
        <v>#08RCV</v>
      </c>
      <c r="J4946" t="s">
        <v>591</v>
      </c>
      <c r="K4946" s="195">
        <v>46036.739641203705</v>
      </c>
      <c r="L4946">
        <v>15</v>
      </c>
      <c r="M4946">
        <v>0</v>
      </c>
      <c r="N4946" s="98" t="str">
        <f>IF(record[[#This Row],[Memo]]="Browser:chrome os:android","平板報工",IF(record[[#This Row],[Memo]]=0,"委外",record[[#This Row],[Memo]]))</f>
        <v>覆回</v>
      </c>
      <c r="O4946" t="s">
        <v>682</v>
      </c>
      <c r="P4946" t="s">
        <v>141</v>
      </c>
      <c r="Q4946" t="s">
        <v>58</v>
      </c>
      <c r="R4946" t="str">
        <f>IFERROR(VLOOKUP(record[[#This Row],[PCUSTID]],廠商[],2,FALSE),"")</f>
        <v/>
      </c>
      <c r="S4946" t="str">
        <f>VLOOKUP(record[[#This Row],[employeeID]],員工[],2,FALSE)</f>
        <v>蔣梅</v>
      </c>
    </row>
    <row r="4947" spans="6:19" hidden="1" x14ac:dyDescent="0.25">
      <c r="F4947" t="s">
        <v>1400</v>
      </c>
      <c r="G4947" t="s">
        <v>362</v>
      </c>
      <c r="H4947" t="str">
        <f>VLOOKUP(record[[#This Row],[ProcessSN]],表格2_7[],2,FALSE)</f>
        <v>30-4118-018-450</v>
      </c>
      <c r="I4947" t="str">
        <f>VLOOKUP(record[[#This Row],[ProcessSN]],表格2_7[],3,FALSE)</f>
        <v>#100SHIP</v>
      </c>
      <c r="J4947" t="s">
        <v>600</v>
      </c>
      <c r="K4947" s="195">
        <v>46036.730127314811</v>
      </c>
      <c r="L4947">
        <v>44</v>
      </c>
      <c r="M4947">
        <v>0</v>
      </c>
      <c r="N4947" s="98" t="str">
        <f>IF(record[[#This Row],[Memo]]="Browser:chrome os:android","平板報工",IF(record[[#This Row],[Memo]]=0,"委外",record[[#This Row],[Memo]]))</f>
        <v/>
      </c>
      <c r="O4947" t="s">
        <v>58</v>
      </c>
      <c r="P4947" t="s">
        <v>886</v>
      </c>
      <c r="Q4947" t="s">
        <v>58</v>
      </c>
      <c r="R4947" t="str">
        <f>IFERROR(VLOOKUP(record[[#This Row],[PCUSTID]],廠商[],2,FALSE),"")</f>
        <v/>
      </c>
      <c r="S4947" t="str">
        <f>VLOOKUP(record[[#This Row],[employeeID]],員工[],2,FALSE)</f>
        <v>謝蓁薰</v>
      </c>
    </row>
    <row r="4948" spans="6:19" hidden="1" x14ac:dyDescent="0.25">
      <c r="F4948" t="s">
        <v>1417</v>
      </c>
      <c r="G4948" t="s">
        <v>447</v>
      </c>
      <c r="H4948" t="str">
        <f>VLOOKUP(record[[#This Row],[ProcessSN]],表格2_7[],2,FALSE)</f>
        <v>30-4118-018-6XX</v>
      </c>
      <c r="I4948" t="str">
        <f>VLOOKUP(record[[#This Row],[ProcessSN]],表格2_7[],3,FALSE)</f>
        <v>#03</v>
      </c>
      <c r="J4948" t="s">
        <v>588</v>
      </c>
      <c r="K4948" s="195">
        <v>46036.669756944444</v>
      </c>
      <c r="L4948">
        <v>870</v>
      </c>
      <c r="M4948">
        <v>0</v>
      </c>
      <c r="N4948" s="98" t="str">
        <f>IF(record[[#This Row],[Memo]]="Browser:chrome os:android","平板報工",IF(record[[#This Row],[Memo]]=0,"委外",record[[#This Row],[Memo]]))</f>
        <v/>
      </c>
      <c r="O4948" t="s">
        <v>58</v>
      </c>
      <c r="P4948" t="s">
        <v>107</v>
      </c>
      <c r="Q4948" t="s">
        <v>58</v>
      </c>
      <c r="R4948" t="str">
        <f>IFERROR(VLOOKUP(record[[#This Row],[PCUSTID]],廠商[],2,FALSE),"")</f>
        <v/>
      </c>
      <c r="S4948" t="str">
        <f>VLOOKUP(record[[#This Row],[employeeID]],員工[],2,FALSE)</f>
        <v>黎氏順</v>
      </c>
    </row>
    <row r="4949" spans="6:19" hidden="1" x14ac:dyDescent="0.25">
      <c r="F4949" t="s">
        <v>1417</v>
      </c>
      <c r="G4949" t="s">
        <v>451</v>
      </c>
      <c r="H4949" t="str">
        <f>VLOOKUP(record[[#This Row],[ProcessSN]],表格2_7[],2,FALSE)</f>
        <v>30-4118-018-6XX</v>
      </c>
      <c r="I4949" t="str">
        <f>VLOOKUP(record[[#This Row],[ProcessSN]],表格2_7[],3,FALSE)</f>
        <v>#07</v>
      </c>
      <c r="J4949" t="s">
        <v>588</v>
      </c>
      <c r="K4949" s="195">
        <v>46036.662395833337</v>
      </c>
      <c r="L4949">
        <v>48</v>
      </c>
      <c r="M4949">
        <v>1</v>
      </c>
      <c r="N4949" s="98" t="str">
        <f>IF(record[[#This Row],[Memo]]="Browser:chrome os:android","平板報工",IF(record[[#This Row],[Memo]]=0,"委外",record[[#This Row],[Memo]]))</f>
        <v/>
      </c>
      <c r="O4949" t="s">
        <v>58</v>
      </c>
      <c r="P4949" t="s">
        <v>785</v>
      </c>
      <c r="Q4949" t="s">
        <v>58</v>
      </c>
      <c r="R4949" t="str">
        <f>IFERROR(VLOOKUP(record[[#This Row],[PCUSTID]],廠商[],2,FALSE),"")</f>
        <v/>
      </c>
      <c r="S4949" t="str">
        <f>VLOOKUP(record[[#This Row],[employeeID]],員工[],2,FALSE)</f>
        <v>謝刻光</v>
      </c>
    </row>
    <row r="4950" spans="6:19" hidden="1" x14ac:dyDescent="0.25">
      <c r="F4950" t="s">
        <v>1417</v>
      </c>
      <c r="G4950" t="s">
        <v>450</v>
      </c>
      <c r="H4950" t="str">
        <f>VLOOKUP(record[[#This Row],[ProcessSN]],表格2_7[],2,FALSE)</f>
        <v>30-4118-018-6XX</v>
      </c>
      <c r="I4950" t="str">
        <f>VLOOKUP(record[[#This Row],[ProcessSN]],表格2_7[],3,FALSE)</f>
        <v>#06</v>
      </c>
      <c r="J4950" t="s">
        <v>593</v>
      </c>
      <c r="K4950" s="195">
        <v>46036.662094907406</v>
      </c>
      <c r="L4950">
        <v>48</v>
      </c>
      <c r="M4950">
        <v>0</v>
      </c>
      <c r="N4950" s="98" t="str">
        <f>IF(record[[#This Row],[Memo]]="Browser:chrome os:android","平板報工",IF(record[[#This Row],[Memo]]=0,"委外",record[[#This Row],[Memo]]))</f>
        <v/>
      </c>
      <c r="O4950" t="s">
        <v>58</v>
      </c>
      <c r="P4950" t="s">
        <v>166</v>
      </c>
      <c r="Q4950" t="s">
        <v>58</v>
      </c>
      <c r="R4950" t="str">
        <f>IFERROR(VLOOKUP(record[[#This Row],[PCUSTID]],廠商[],2,FALSE),"")</f>
        <v/>
      </c>
      <c r="S4950" t="str">
        <f>VLOOKUP(record[[#This Row],[employeeID]],員工[],2,FALSE)</f>
        <v>阮懷香</v>
      </c>
    </row>
    <row r="4951" spans="6:19" hidden="1" x14ac:dyDescent="0.25">
      <c r="F4951" t="s">
        <v>1417</v>
      </c>
      <c r="G4951" t="s">
        <v>449</v>
      </c>
      <c r="H4951" t="str">
        <f>VLOOKUP(record[[#This Row],[ProcessSN]],表格2_7[],2,FALSE)</f>
        <v>30-4118-018-6XX</v>
      </c>
      <c r="I4951" t="str">
        <f>VLOOKUP(record[[#This Row],[ProcessSN]],表格2_7[],3,FALSE)</f>
        <v>#05</v>
      </c>
      <c r="J4951" t="s">
        <v>588</v>
      </c>
      <c r="K4951" s="195">
        <v>46036.661759259259</v>
      </c>
      <c r="L4951">
        <v>48</v>
      </c>
      <c r="M4951">
        <v>0</v>
      </c>
      <c r="N4951" s="98" t="str">
        <f>IF(record[[#This Row],[Memo]]="Browser:chrome os:android","平板報工",IF(record[[#This Row],[Memo]]=0,"委外",record[[#This Row],[Memo]]))</f>
        <v/>
      </c>
      <c r="O4951" t="s">
        <v>58</v>
      </c>
      <c r="P4951" t="s">
        <v>785</v>
      </c>
      <c r="Q4951" t="s">
        <v>58</v>
      </c>
      <c r="R4951" t="str">
        <f>IFERROR(VLOOKUP(record[[#This Row],[PCUSTID]],廠商[],2,FALSE),"")</f>
        <v/>
      </c>
      <c r="S4951" t="str">
        <f>VLOOKUP(record[[#This Row],[employeeID]],員工[],2,FALSE)</f>
        <v>謝刻光</v>
      </c>
    </row>
    <row r="4952" spans="6:19" hidden="1" x14ac:dyDescent="0.25">
      <c r="F4952" t="s">
        <v>1417</v>
      </c>
      <c r="G4952" t="s">
        <v>448</v>
      </c>
      <c r="H4952" t="str">
        <f>VLOOKUP(record[[#This Row],[ProcessSN]],表格2_7[],2,FALSE)</f>
        <v>30-4118-018-6XX</v>
      </c>
      <c r="I4952" t="str">
        <f>VLOOKUP(record[[#This Row],[ProcessSN]],表格2_7[],3,FALSE)</f>
        <v>#04</v>
      </c>
      <c r="J4952" t="s">
        <v>588</v>
      </c>
      <c r="K4952" s="195">
        <v>46036.661458333336</v>
      </c>
      <c r="L4952">
        <v>53</v>
      </c>
      <c r="M4952">
        <v>0</v>
      </c>
      <c r="N4952" s="98" t="str">
        <f>IF(record[[#This Row],[Memo]]="Browser:chrome os:android","平板報工",IF(record[[#This Row],[Memo]]=0,"委外",record[[#This Row],[Memo]]))</f>
        <v/>
      </c>
      <c r="O4952" t="s">
        <v>58</v>
      </c>
      <c r="P4952" t="s">
        <v>789</v>
      </c>
      <c r="Q4952" t="s">
        <v>58</v>
      </c>
      <c r="R4952" t="str">
        <f>IFERROR(VLOOKUP(record[[#This Row],[PCUSTID]],廠商[],2,FALSE),"")</f>
        <v/>
      </c>
      <c r="S4952" t="str">
        <f>VLOOKUP(record[[#This Row],[employeeID]],員工[],2,FALSE)</f>
        <v>張月霞</v>
      </c>
    </row>
    <row r="4953" spans="6:19" hidden="1" x14ac:dyDescent="0.25">
      <c r="F4953" t="s">
        <v>1457</v>
      </c>
      <c r="G4953" t="s">
        <v>422</v>
      </c>
      <c r="H4953" t="str">
        <f>VLOOKUP(record[[#This Row],[ProcessSN]],表格2_7[],2,FALSE)</f>
        <v>30-4118-018-600</v>
      </c>
      <c r="I4953" t="str">
        <f>VLOOKUP(record[[#This Row],[ProcessSN]],表格2_7[],3,FALSE)</f>
        <v>#08</v>
      </c>
      <c r="J4953" t="s">
        <v>597</v>
      </c>
      <c r="K4953" s="195">
        <v>46036.599548611113</v>
      </c>
      <c r="L4953">
        <v>352</v>
      </c>
      <c r="M4953">
        <v>0</v>
      </c>
      <c r="N4953" s="98" t="str">
        <f>IF(record[[#This Row],[Memo]]="Browser:chrome os:android","平板報工",IF(record[[#This Row],[Memo]]=0,"委外",record[[#This Row],[Memo]]))</f>
        <v>委外</v>
      </c>
      <c r="P4953" t="s">
        <v>186</v>
      </c>
      <c r="Q4953" t="s">
        <v>287</v>
      </c>
      <c r="R4953" t="str">
        <f>IFERROR(VLOOKUP(record[[#This Row],[PCUSTID]],廠商[],2,FALSE),"")</f>
        <v>泉盛</v>
      </c>
      <c r="S4953" t="str">
        <f>VLOOKUP(record[[#This Row],[employeeID]],員工[],2,FALSE)</f>
        <v>許文姍</v>
      </c>
    </row>
    <row r="4954" spans="6:19" hidden="1" x14ac:dyDescent="0.25">
      <c r="F4954" t="s">
        <v>1456</v>
      </c>
      <c r="G4954" t="s">
        <v>397</v>
      </c>
      <c r="H4954" t="str">
        <f>VLOOKUP(record[[#This Row],[ProcessSN]],表格2_7[],2,FALSE)</f>
        <v>30-4118-018-550</v>
      </c>
      <c r="I4954" t="str">
        <f>VLOOKUP(record[[#This Row],[ProcessSN]],表格2_7[],3,FALSE)</f>
        <v>#08</v>
      </c>
      <c r="J4954" t="s">
        <v>597</v>
      </c>
      <c r="K4954" s="195">
        <v>46036.599363425928</v>
      </c>
      <c r="L4954">
        <v>298</v>
      </c>
      <c r="M4954">
        <v>0</v>
      </c>
      <c r="N4954" s="98" t="str">
        <f>IF(record[[#This Row],[Memo]]="Browser:chrome os:android","平板報工",IF(record[[#This Row],[Memo]]=0,"委外",record[[#This Row],[Memo]]))</f>
        <v>委外</v>
      </c>
      <c r="P4954" t="s">
        <v>186</v>
      </c>
      <c r="Q4954" t="s">
        <v>287</v>
      </c>
      <c r="R4954" t="str">
        <f>IFERROR(VLOOKUP(record[[#This Row],[PCUSTID]],廠商[],2,FALSE),"")</f>
        <v>泉盛</v>
      </c>
      <c r="S4954" t="str">
        <f>VLOOKUP(record[[#This Row],[employeeID]],員工[],2,FALSE)</f>
        <v>許文姍</v>
      </c>
    </row>
    <row r="4955" spans="6:19" hidden="1" x14ac:dyDescent="0.25">
      <c r="F4955" t="s">
        <v>1456</v>
      </c>
      <c r="G4955" t="s">
        <v>396</v>
      </c>
      <c r="H4955" t="str">
        <f>VLOOKUP(record[[#This Row],[ProcessSN]],表格2_7[],2,FALSE)</f>
        <v>30-4118-018-550</v>
      </c>
      <c r="I4955" t="str">
        <f>VLOOKUP(record[[#This Row],[ProcessSN]],表格2_7[],3,FALSE)</f>
        <v>#08PICK</v>
      </c>
      <c r="J4955" t="s">
        <v>582</v>
      </c>
      <c r="K4955" s="195">
        <v>46036.599027777775</v>
      </c>
      <c r="L4955">
        <v>298</v>
      </c>
      <c r="M4955">
        <v>0</v>
      </c>
      <c r="N4955" s="98" t="str">
        <f>IF(record[[#This Row],[Memo]]="Browser:chrome os:android","平板報工",IF(record[[#This Row],[Memo]]=0,"委外",record[[#This Row],[Memo]]))</f>
        <v/>
      </c>
      <c r="O4955" t="s">
        <v>58</v>
      </c>
      <c r="P4955" t="s">
        <v>186</v>
      </c>
      <c r="Q4955" t="s">
        <v>58</v>
      </c>
      <c r="R4955" t="str">
        <f>IFERROR(VLOOKUP(record[[#This Row],[PCUSTID]],廠商[],2,FALSE),"")</f>
        <v/>
      </c>
      <c r="S4955" t="str">
        <f>VLOOKUP(record[[#This Row],[employeeID]],員工[],2,FALSE)</f>
        <v>許文姍</v>
      </c>
    </row>
    <row r="4956" spans="6:19" hidden="1" x14ac:dyDescent="0.25">
      <c r="F4956" t="s">
        <v>1457</v>
      </c>
      <c r="G4956" t="s">
        <v>421</v>
      </c>
      <c r="H4956" t="str">
        <f>VLOOKUP(record[[#This Row],[ProcessSN]],表格2_7[],2,FALSE)</f>
        <v>30-4118-018-600</v>
      </c>
      <c r="I4956" t="str">
        <f>VLOOKUP(record[[#This Row],[ProcessSN]],表格2_7[],3,FALSE)</f>
        <v>#08PICK</v>
      </c>
      <c r="J4956" t="s">
        <v>582</v>
      </c>
      <c r="K4956" s="195">
        <v>46036.59884259259</v>
      </c>
      <c r="L4956">
        <v>352</v>
      </c>
      <c r="M4956">
        <v>0</v>
      </c>
      <c r="N4956" s="98" t="str">
        <f>IF(record[[#This Row],[Memo]]="Browser:chrome os:android","平板報工",IF(record[[#This Row],[Memo]]=0,"委外",record[[#This Row],[Memo]]))</f>
        <v/>
      </c>
      <c r="O4956" t="s">
        <v>58</v>
      </c>
      <c r="P4956" t="s">
        <v>186</v>
      </c>
      <c r="Q4956" t="s">
        <v>58</v>
      </c>
      <c r="R4956" t="str">
        <f>IFERROR(VLOOKUP(record[[#This Row],[PCUSTID]],廠商[],2,FALSE),"")</f>
        <v/>
      </c>
      <c r="S4956" t="str">
        <f>VLOOKUP(record[[#This Row],[employeeID]],員工[],2,FALSE)</f>
        <v>許文姍</v>
      </c>
    </row>
    <row r="4957" spans="6:19" hidden="1" x14ac:dyDescent="0.25">
      <c r="F4957" t="s">
        <v>1417</v>
      </c>
      <c r="G4957" t="s">
        <v>453</v>
      </c>
      <c r="H4957" t="str">
        <f>VLOOKUP(record[[#This Row],[ProcessSN]],表格2_7[],2,FALSE)</f>
        <v>30-4118-018-6XX</v>
      </c>
      <c r="I4957" t="str">
        <f>VLOOKUP(record[[#This Row],[ProcessSN]],表格2_7[],3,FALSE)</f>
        <v>#07STOCK</v>
      </c>
      <c r="J4957" t="s">
        <v>592</v>
      </c>
      <c r="K4957" s="195">
        <v>46036.597245370373</v>
      </c>
      <c r="L4957">
        <v>51</v>
      </c>
      <c r="M4957">
        <v>0</v>
      </c>
      <c r="N4957" s="98" t="str">
        <f>IF(record[[#This Row],[Memo]]="Browser:chrome os:android","平板報工",IF(record[[#This Row],[Memo]]=0,"委外",record[[#This Row],[Memo]]))</f>
        <v/>
      </c>
      <c r="O4957" t="s">
        <v>58</v>
      </c>
      <c r="P4957" t="s">
        <v>186</v>
      </c>
      <c r="Q4957" t="s">
        <v>58</v>
      </c>
      <c r="R4957" t="str">
        <f>IFERROR(VLOOKUP(record[[#This Row],[PCUSTID]],廠商[],2,FALSE),"")</f>
        <v/>
      </c>
      <c r="S4957" t="str">
        <f>VLOOKUP(record[[#This Row],[employeeID]],員工[],2,FALSE)</f>
        <v>許文姍</v>
      </c>
    </row>
    <row r="4958" spans="6:19" hidden="1" x14ac:dyDescent="0.25">
      <c r="F4958" t="s">
        <v>1417</v>
      </c>
      <c r="G4958" t="s">
        <v>453</v>
      </c>
      <c r="H4958" t="str">
        <f>VLOOKUP(record[[#This Row],[ProcessSN]],表格2_7[],2,FALSE)</f>
        <v>30-4118-018-6XX</v>
      </c>
      <c r="I4958" t="str">
        <f>VLOOKUP(record[[#This Row],[ProcessSN]],表格2_7[],3,FALSE)</f>
        <v>#07STOCK</v>
      </c>
      <c r="J4958" t="s">
        <v>592</v>
      </c>
      <c r="K4958" s="195">
        <v>46036.595173611109</v>
      </c>
      <c r="L4958">
        <v>72</v>
      </c>
      <c r="M4958">
        <v>0</v>
      </c>
      <c r="N4958" s="98" t="str">
        <f>IF(record[[#This Row],[Memo]]="Browser:chrome os:android","平板報工",IF(record[[#This Row],[Memo]]=0,"委外",record[[#This Row],[Memo]]))</f>
        <v/>
      </c>
      <c r="O4958" t="s">
        <v>58</v>
      </c>
      <c r="P4958" t="s">
        <v>186</v>
      </c>
      <c r="Q4958" t="s">
        <v>58</v>
      </c>
      <c r="R4958" t="str">
        <f>IFERROR(VLOOKUP(record[[#This Row],[PCUSTID]],廠商[],2,FALSE),"")</f>
        <v/>
      </c>
      <c r="S4958" t="str">
        <f>VLOOKUP(record[[#This Row],[employeeID]],員工[],2,FALSE)</f>
        <v>許文姍</v>
      </c>
    </row>
    <row r="4959" spans="6:19" hidden="1" x14ac:dyDescent="0.25">
      <c r="F4959" t="s">
        <v>864</v>
      </c>
      <c r="G4959" t="s">
        <v>453</v>
      </c>
      <c r="H4959" t="str">
        <f>VLOOKUP(record[[#This Row],[ProcessSN]],表格2_7[],2,FALSE)</f>
        <v>30-4118-018-6XX</v>
      </c>
      <c r="I4959" t="str">
        <f>VLOOKUP(record[[#This Row],[ProcessSN]],表格2_7[],3,FALSE)</f>
        <v>#07STOCK</v>
      </c>
      <c r="J4959" t="s">
        <v>592</v>
      </c>
      <c r="K4959" s="195">
        <v>46036.594872685186</v>
      </c>
      <c r="L4959">
        <v>51</v>
      </c>
      <c r="M4959">
        <v>0</v>
      </c>
      <c r="N4959" s="98" t="str">
        <f>IF(record[[#This Row],[Memo]]="Browser:chrome os:android","平板報工",IF(record[[#This Row],[Memo]]=0,"委外",record[[#This Row],[Memo]]))</f>
        <v/>
      </c>
      <c r="O4959" t="s">
        <v>58</v>
      </c>
      <c r="P4959" t="s">
        <v>186</v>
      </c>
      <c r="Q4959" t="s">
        <v>58</v>
      </c>
      <c r="R4959" t="str">
        <f>IFERROR(VLOOKUP(record[[#This Row],[PCUSTID]],廠商[],2,FALSE),"")</f>
        <v/>
      </c>
      <c r="S4959" t="str">
        <f>VLOOKUP(record[[#This Row],[employeeID]],員工[],2,FALSE)</f>
        <v>許文姍</v>
      </c>
    </row>
    <row r="4960" spans="6:19" hidden="1" x14ac:dyDescent="0.25">
      <c r="F4960" t="s">
        <v>1417</v>
      </c>
      <c r="G4960" t="s">
        <v>453</v>
      </c>
      <c r="H4960" t="str">
        <f>VLOOKUP(record[[#This Row],[ProcessSN]],表格2_7[],2,FALSE)</f>
        <v>30-4118-018-6XX</v>
      </c>
      <c r="I4960" t="str">
        <f>VLOOKUP(record[[#This Row],[ProcessSN]],表格2_7[],3,FALSE)</f>
        <v>#07STOCK</v>
      </c>
      <c r="J4960" t="s">
        <v>592</v>
      </c>
      <c r="K4960" s="195">
        <v>46036.594641203701</v>
      </c>
      <c r="L4960">
        <v>170</v>
      </c>
      <c r="M4960">
        <v>0</v>
      </c>
      <c r="N4960" s="98" t="str">
        <f>IF(record[[#This Row],[Memo]]="Browser:chrome os:android","平板報工",IF(record[[#This Row],[Memo]]=0,"委外",record[[#This Row],[Memo]]))</f>
        <v/>
      </c>
      <c r="O4960" t="s">
        <v>58</v>
      </c>
      <c r="P4960" t="s">
        <v>186</v>
      </c>
      <c r="Q4960" t="s">
        <v>58</v>
      </c>
      <c r="R4960" t="str">
        <f>IFERROR(VLOOKUP(record[[#This Row],[PCUSTID]],廠商[],2,FALSE),"")</f>
        <v/>
      </c>
      <c r="S4960" t="str">
        <f>VLOOKUP(record[[#This Row],[employeeID]],員工[],2,FALSE)</f>
        <v>許文姍</v>
      </c>
    </row>
    <row r="4961" spans="6:19" hidden="1" x14ac:dyDescent="0.25">
      <c r="F4961" t="s">
        <v>1417</v>
      </c>
      <c r="G4961" t="s">
        <v>452</v>
      </c>
      <c r="H4961" t="str">
        <f>VLOOKUP(record[[#This Row],[ProcessSN]],表格2_7[],2,FALSE)</f>
        <v>30-4118-018-6XX</v>
      </c>
      <c r="I4961" t="str">
        <f>VLOOKUP(record[[#This Row],[ProcessSN]],表格2_7[],3,FALSE)</f>
        <v>#07QC</v>
      </c>
      <c r="J4961" t="s">
        <v>589</v>
      </c>
      <c r="K4961" s="195">
        <v>46036.568912037037</v>
      </c>
      <c r="L4961">
        <v>72</v>
      </c>
      <c r="M4961">
        <v>0</v>
      </c>
      <c r="N4961" s="98" t="str">
        <f>IF(record[[#This Row],[Memo]]="Browser:chrome os:android","平板報工",IF(record[[#This Row],[Memo]]=0,"委外",record[[#This Row],[Memo]]))</f>
        <v>平板報工</v>
      </c>
      <c r="O4961" t="s">
        <v>643</v>
      </c>
      <c r="P4961" t="s">
        <v>99</v>
      </c>
      <c r="Q4961" t="s">
        <v>644</v>
      </c>
      <c r="R4961" t="str">
        <f>IFERROR(VLOOKUP(record[[#This Row],[PCUSTID]],廠商[],2,FALSE),"")</f>
        <v/>
      </c>
      <c r="S4961" t="str">
        <f>VLOOKUP(record[[#This Row],[employeeID]],員工[],2,FALSE)</f>
        <v>阮氏河</v>
      </c>
    </row>
    <row r="4962" spans="6:19" hidden="1" x14ac:dyDescent="0.25">
      <c r="F4962" t="s">
        <v>864</v>
      </c>
      <c r="G4962" t="s">
        <v>452</v>
      </c>
      <c r="H4962" t="str">
        <f>VLOOKUP(record[[#This Row],[ProcessSN]],表格2_7[],2,FALSE)</f>
        <v>30-4118-018-6XX</v>
      </c>
      <c r="I4962" t="str">
        <f>VLOOKUP(record[[#This Row],[ProcessSN]],表格2_7[],3,FALSE)</f>
        <v>#07QC</v>
      </c>
      <c r="J4962" t="s">
        <v>589</v>
      </c>
      <c r="K4962" s="195">
        <v>46036.568703703706</v>
      </c>
      <c r="L4962">
        <v>51</v>
      </c>
      <c r="M4962">
        <v>0</v>
      </c>
      <c r="N4962" s="98" t="str">
        <f>IF(record[[#This Row],[Memo]]="Browser:chrome os:android","平板報工",IF(record[[#This Row],[Memo]]=0,"委外",record[[#This Row],[Memo]]))</f>
        <v>平板報工</v>
      </c>
      <c r="O4962" t="s">
        <v>643</v>
      </c>
      <c r="P4962" t="s">
        <v>99</v>
      </c>
      <c r="Q4962" t="s">
        <v>644</v>
      </c>
      <c r="R4962" t="str">
        <f>IFERROR(VLOOKUP(record[[#This Row],[PCUSTID]],廠商[],2,FALSE),"")</f>
        <v/>
      </c>
      <c r="S4962" t="str">
        <f>VLOOKUP(record[[#This Row],[employeeID]],員工[],2,FALSE)</f>
        <v>阮氏河</v>
      </c>
    </row>
    <row r="4963" spans="6:19" hidden="1" x14ac:dyDescent="0.25">
      <c r="F4963" t="s">
        <v>864</v>
      </c>
      <c r="G4963" t="s">
        <v>451</v>
      </c>
      <c r="H4963" t="str">
        <f>VLOOKUP(record[[#This Row],[ProcessSN]],表格2_7[],2,FALSE)</f>
        <v>30-4118-018-6XX</v>
      </c>
      <c r="I4963" t="str">
        <f>VLOOKUP(record[[#This Row],[ProcessSN]],表格2_7[],3,FALSE)</f>
        <v>#07</v>
      </c>
      <c r="J4963" t="s">
        <v>588</v>
      </c>
      <c r="K4963" s="195">
        <v>46036.566851851851</v>
      </c>
      <c r="L4963">
        <v>51</v>
      </c>
      <c r="M4963">
        <v>-51</v>
      </c>
      <c r="N4963" s="98" t="str">
        <f>IF(record[[#This Row],[Memo]]="Browser:chrome os:android","平板報工",IF(record[[#This Row],[Memo]]=0,"委外",record[[#This Row],[Memo]]))</f>
        <v>覆回品</v>
      </c>
      <c r="O4963" t="s">
        <v>664</v>
      </c>
      <c r="P4963" t="s">
        <v>113</v>
      </c>
      <c r="Q4963" t="s">
        <v>58</v>
      </c>
      <c r="R4963" t="str">
        <f>IFERROR(VLOOKUP(record[[#This Row],[PCUSTID]],廠商[],2,FALSE),"")</f>
        <v/>
      </c>
      <c r="S4963" t="str">
        <f>VLOOKUP(record[[#This Row],[employeeID]],員工[],2,FALSE)</f>
        <v>王奕蓁</v>
      </c>
    </row>
    <row r="4964" spans="6:19" hidden="1" x14ac:dyDescent="0.25">
      <c r="F4964" t="s">
        <v>1417</v>
      </c>
      <c r="G4964" t="s">
        <v>451</v>
      </c>
      <c r="H4964" t="str">
        <f>VLOOKUP(record[[#This Row],[ProcessSN]],表格2_7[],2,FALSE)</f>
        <v>30-4118-018-6XX</v>
      </c>
      <c r="I4964" t="str">
        <f>VLOOKUP(record[[#This Row],[ProcessSN]],表格2_7[],3,FALSE)</f>
        <v>#07</v>
      </c>
      <c r="J4964" t="s">
        <v>588</v>
      </c>
      <c r="K4964" s="195">
        <v>46036.565335648149</v>
      </c>
      <c r="L4964">
        <v>72</v>
      </c>
      <c r="M4964">
        <v>0</v>
      </c>
      <c r="N4964" s="98" t="str">
        <f>IF(record[[#This Row],[Memo]]="Browser:chrome os:android","平板報工",IF(record[[#This Row],[Memo]]=0,"委外",record[[#This Row],[Memo]]))</f>
        <v>取貨先報</v>
      </c>
      <c r="O4964" t="s">
        <v>1455</v>
      </c>
      <c r="P4964" t="s">
        <v>785</v>
      </c>
      <c r="Q4964" t="s">
        <v>58</v>
      </c>
      <c r="R4964" t="str">
        <f>IFERROR(VLOOKUP(record[[#This Row],[PCUSTID]],廠商[],2,FALSE),"")</f>
        <v/>
      </c>
      <c r="S4964" t="str">
        <f>VLOOKUP(record[[#This Row],[employeeID]],員工[],2,FALSE)</f>
        <v>謝刻光</v>
      </c>
    </row>
    <row r="4965" spans="6:19" hidden="1" x14ac:dyDescent="0.25">
      <c r="F4965" t="s">
        <v>1417</v>
      </c>
      <c r="G4965" t="s">
        <v>450</v>
      </c>
      <c r="H4965" t="str">
        <f>VLOOKUP(record[[#This Row],[ProcessSN]],表格2_7[],2,FALSE)</f>
        <v>30-4118-018-6XX</v>
      </c>
      <c r="I4965" t="str">
        <f>VLOOKUP(record[[#This Row],[ProcessSN]],表格2_7[],3,FALSE)</f>
        <v>#06</v>
      </c>
      <c r="J4965" t="s">
        <v>593</v>
      </c>
      <c r="K4965" s="195">
        <v>46036.564953703702</v>
      </c>
      <c r="L4965">
        <v>72</v>
      </c>
      <c r="M4965">
        <v>0</v>
      </c>
      <c r="N4965" s="98" t="str">
        <f>IF(record[[#This Row],[Memo]]="Browser:chrome os:android","平板報工",IF(record[[#This Row],[Memo]]=0,"委外",record[[#This Row],[Memo]]))</f>
        <v>取貨先報</v>
      </c>
      <c r="O4965" t="s">
        <v>1455</v>
      </c>
      <c r="P4965" t="s">
        <v>1413</v>
      </c>
      <c r="Q4965" t="s">
        <v>58</v>
      </c>
      <c r="R4965" t="str">
        <f>IFERROR(VLOOKUP(record[[#This Row],[PCUSTID]],廠商[],2,FALSE),"")</f>
        <v/>
      </c>
      <c r="S4965" t="str">
        <f>VLOOKUP(record[[#This Row],[employeeID]],員工[],2,FALSE)</f>
        <v>阮氏芳英(芳)</v>
      </c>
    </row>
    <row r="4966" spans="6:19" hidden="1" x14ac:dyDescent="0.25">
      <c r="F4966" t="s">
        <v>1417</v>
      </c>
      <c r="G4966" t="s">
        <v>449</v>
      </c>
      <c r="H4966" t="str">
        <f>VLOOKUP(record[[#This Row],[ProcessSN]],表格2_7[],2,FALSE)</f>
        <v>30-4118-018-6XX</v>
      </c>
      <c r="I4966" t="str">
        <f>VLOOKUP(record[[#This Row],[ProcessSN]],表格2_7[],3,FALSE)</f>
        <v>#05</v>
      </c>
      <c r="J4966" t="s">
        <v>588</v>
      </c>
      <c r="K4966" s="195">
        <v>46036.564606481479</v>
      </c>
      <c r="L4966">
        <v>72</v>
      </c>
      <c r="M4966">
        <v>0</v>
      </c>
      <c r="N4966" s="98" t="str">
        <f>IF(record[[#This Row],[Memo]]="Browser:chrome os:android","平板報工",IF(record[[#This Row],[Memo]]=0,"委外",record[[#This Row],[Memo]]))</f>
        <v>取貨先報</v>
      </c>
      <c r="O4966" t="s">
        <v>1455</v>
      </c>
      <c r="P4966" t="s">
        <v>785</v>
      </c>
      <c r="Q4966" t="s">
        <v>58</v>
      </c>
      <c r="R4966" t="str">
        <f>IFERROR(VLOOKUP(record[[#This Row],[PCUSTID]],廠商[],2,FALSE),"")</f>
        <v/>
      </c>
      <c r="S4966" t="str">
        <f>VLOOKUP(record[[#This Row],[employeeID]],員工[],2,FALSE)</f>
        <v>謝刻光</v>
      </c>
    </row>
    <row r="4967" spans="6:19" hidden="1" x14ac:dyDescent="0.25">
      <c r="F4967" t="s">
        <v>1417</v>
      </c>
      <c r="G4967" t="s">
        <v>448</v>
      </c>
      <c r="H4967" t="str">
        <f>VLOOKUP(record[[#This Row],[ProcessSN]],表格2_7[],2,FALSE)</f>
        <v>30-4118-018-6XX</v>
      </c>
      <c r="I4967" t="str">
        <f>VLOOKUP(record[[#This Row],[ProcessSN]],表格2_7[],3,FALSE)</f>
        <v>#04</v>
      </c>
      <c r="J4967" t="s">
        <v>588</v>
      </c>
      <c r="K4967" s="195">
        <v>46036.564351851855</v>
      </c>
      <c r="L4967">
        <v>72</v>
      </c>
      <c r="M4967">
        <v>0</v>
      </c>
      <c r="N4967" s="98" t="str">
        <f>IF(record[[#This Row],[Memo]]="Browser:chrome os:android","平板報工",IF(record[[#This Row],[Memo]]=0,"委外",record[[#This Row],[Memo]]))</f>
        <v>取貨先報</v>
      </c>
      <c r="O4967" t="s">
        <v>1455</v>
      </c>
      <c r="P4967" t="s">
        <v>789</v>
      </c>
      <c r="Q4967" t="s">
        <v>58</v>
      </c>
      <c r="R4967" t="str">
        <f>IFERROR(VLOOKUP(record[[#This Row],[PCUSTID]],廠商[],2,FALSE),"")</f>
        <v/>
      </c>
      <c r="S4967" t="str">
        <f>VLOOKUP(record[[#This Row],[employeeID]],員工[],2,FALSE)</f>
        <v>張月霞</v>
      </c>
    </row>
    <row r="4968" spans="6:19" hidden="1" x14ac:dyDescent="0.25">
      <c r="F4968" t="s">
        <v>1407</v>
      </c>
      <c r="G4968" t="s">
        <v>361</v>
      </c>
      <c r="H4968" t="str">
        <f>VLOOKUP(record[[#This Row],[ProcessSN]],表格2_7[],2,FALSE)</f>
        <v>30-4118-018-450</v>
      </c>
      <c r="I4968" t="str">
        <f>VLOOKUP(record[[#This Row],[ProcessSN]],表格2_7[],3,FALSE)</f>
        <v>#100STOCK</v>
      </c>
      <c r="J4968" t="s">
        <v>592</v>
      </c>
      <c r="K4968" s="195">
        <v>46036.558067129627</v>
      </c>
      <c r="L4968">
        <v>168</v>
      </c>
      <c r="M4968">
        <v>0</v>
      </c>
      <c r="N4968" s="98" t="str">
        <f>IF(record[[#This Row],[Memo]]="Browser:chrome os:android","平板報工",IF(record[[#This Row],[Memo]]=0,"委外",record[[#This Row],[Memo]]))</f>
        <v/>
      </c>
      <c r="O4968" t="s">
        <v>58</v>
      </c>
      <c r="P4968" t="s">
        <v>886</v>
      </c>
      <c r="Q4968" t="s">
        <v>58</v>
      </c>
      <c r="R4968" t="str">
        <f>IFERROR(VLOOKUP(record[[#This Row],[PCUSTID]],廠商[],2,FALSE),"")</f>
        <v/>
      </c>
      <c r="S4968" t="str">
        <f>VLOOKUP(record[[#This Row],[employeeID]],員工[],2,FALSE)</f>
        <v>謝蓁薰</v>
      </c>
    </row>
    <row r="4969" spans="6:19" hidden="1" x14ac:dyDescent="0.25">
      <c r="F4969" t="s">
        <v>1400</v>
      </c>
      <c r="G4969" t="s">
        <v>361</v>
      </c>
      <c r="H4969" t="str">
        <f>VLOOKUP(record[[#This Row],[ProcessSN]],表格2_7[],2,FALSE)</f>
        <v>30-4118-018-450</v>
      </c>
      <c r="I4969" t="str">
        <f>VLOOKUP(record[[#This Row],[ProcessSN]],表格2_7[],3,FALSE)</f>
        <v>#100STOCK</v>
      </c>
      <c r="J4969" t="s">
        <v>592</v>
      </c>
      <c r="K4969" s="195">
        <v>46036.557847222219</v>
      </c>
      <c r="L4969">
        <v>173</v>
      </c>
      <c r="M4969">
        <v>0</v>
      </c>
      <c r="N4969" s="98" t="str">
        <f>IF(record[[#This Row],[Memo]]="Browser:chrome os:android","平板報工",IF(record[[#This Row],[Memo]]=0,"委外",record[[#This Row],[Memo]]))</f>
        <v/>
      </c>
      <c r="O4969" t="s">
        <v>58</v>
      </c>
      <c r="P4969" t="s">
        <v>886</v>
      </c>
      <c r="Q4969" t="s">
        <v>58</v>
      </c>
      <c r="R4969" t="str">
        <f>IFERROR(VLOOKUP(record[[#This Row],[PCUSTID]],廠商[],2,FALSE),"")</f>
        <v/>
      </c>
      <c r="S4969" t="str">
        <f>VLOOKUP(record[[#This Row],[employeeID]],員工[],2,FALSE)</f>
        <v>謝蓁薰</v>
      </c>
    </row>
    <row r="4970" spans="6:19" hidden="1" x14ac:dyDescent="0.25">
      <c r="F4970" t="s">
        <v>595</v>
      </c>
      <c r="G4970" t="s">
        <v>453</v>
      </c>
      <c r="H4970" t="str">
        <f>VLOOKUP(record[[#This Row],[ProcessSN]],表格2_7[],2,FALSE)</f>
        <v>30-4118-018-6XX</v>
      </c>
      <c r="I4970" t="str">
        <f>VLOOKUP(record[[#This Row],[ProcessSN]],表格2_7[],3,FALSE)</f>
        <v>#07STOCK</v>
      </c>
      <c r="J4970" t="s">
        <v>592</v>
      </c>
      <c r="K4970" s="195">
        <v>46036.546412037038</v>
      </c>
      <c r="L4970">
        <v>8</v>
      </c>
      <c r="M4970">
        <v>0</v>
      </c>
      <c r="N4970" s="98" t="str">
        <f>IF(record[[#This Row],[Memo]]="Browser:chrome os:android","平板報工",IF(record[[#This Row],[Memo]]=0,"委外",record[[#This Row],[Memo]]))</f>
        <v/>
      </c>
      <c r="O4970" t="s">
        <v>58</v>
      </c>
      <c r="P4970" t="s">
        <v>186</v>
      </c>
      <c r="Q4970" t="s">
        <v>58</v>
      </c>
      <c r="R4970" t="str">
        <f>IFERROR(VLOOKUP(record[[#This Row],[PCUSTID]],廠商[],2,FALSE),"")</f>
        <v/>
      </c>
      <c r="S4970" t="str">
        <f>VLOOKUP(record[[#This Row],[employeeID]],員工[],2,FALSE)</f>
        <v>許文姍</v>
      </c>
    </row>
    <row r="4971" spans="6:19" hidden="1" x14ac:dyDescent="0.25">
      <c r="F4971" t="s">
        <v>1416</v>
      </c>
      <c r="G4971" t="s">
        <v>420</v>
      </c>
      <c r="H4971" t="str">
        <f>VLOOKUP(record[[#This Row],[ProcessSN]],表格2_7[],2,FALSE)</f>
        <v>30-4118-018-5XX</v>
      </c>
      <c r="I4971" t="str">
        <f>VLOOKUP(record[[#This Row],[ProcessSN]],表格2_7[],3,FALSE)</f>
        <v>#07STOCK</v>
      </c>
      <c r="J4971" t="s">
        <v>592</v>
      </c>
      <c r="K4971" s="195">
        <v>46036.545763888891</v>
      </c>
      <c r="L4971">
        <v>298</v>
      </c>
      <c r="M4971">
        <v>0</v>
      </c>
      <c r="N4971" s="98" t="str">
        <f>IF(record[[#This Row],[Memo]]="Browser:chrome os:android","平板報工",IF(record[[#This Row],[Memo]]=0,"委外",record[[#This Row],[Memo]]))</f>
        <v/>
      </c>
      <c r="O4971" t="s">
        <v>58</v>
      </c>
      <c r="P4971" t="s">
        <v>186</v>
      </c>
      <c r="Q4971" t="s">
        <v>58</v>
      </c>
      <c r="R4971" t="str">
        <f>IFERROR(VLOOKUP(record[[#This Row],[PCUSTID]],廠商[],2,FALSE),"")</f>
        <v/>
      </c>
      <c r="S4971" t="str">
        <f>VLOOKUP(record[[#This Row],[employeeID]],員工[],2,FALSE)</f>
        <v>許文姍</v>
      </c>
    </row>
    <row r="4972" spans="6:19" hidden="1" x14ac:dyDescent="0.25">
      <c r="F4972" t="s">
        <v>1439</v>
      </c>
      <c r="G4972" t="s">
        <v>400</v>
      </c>
      <c r="H4972" t="str">
        <f>VLOOKUP(record[[#This Row],[ProcessSN]],表格2_7[],2,FALSE)</f>
        <v>30-4118-018-550</v>
      </c>
      <c r="I4972" t="str">
        <f>VLOOKUP(record[[#This Row],[ProcessSN]],表格2_7[],3,FALSE)</f>
        <v>#100</v>
      </c>
      <c r="J4972" t="s">
        <v>598</v>
      </c>
      <c r="K4972" s="195">
        <v>46036.447488425925</v>
      </c>
      <c r="L4972">
        <v>9</v>
      </c>
      <c r="M4972">
        <v>0</v>
      </c>
      <c r="N4972" s="98" t="str">
        <f>IF(record[[#This Row],[Memo]]="Browser:chrome os:android","平板報工",IF(record[[#This Row],[Memo]]=0,"委外",record[[#This Row],[Memo]]))</f>
        <v>覆回</v>
      </c>
      <c r="O4972" t="s">
        <v>682</v>
      </c>
      <c r="P4972" t="s">
        <v>141</v>
      </c>
      <c r="Q4972" t="s">
        <v>58</v>
      </c>
      <c r="R4972" t="str">
        <f>IFERROR(VLOOKUP(record[[#This Row],[PCUSTID]],廠商[],2,FALSE),"")</f>
        <v/>
      </c>
      <c r="S4972" t="str">
        <f>VLOOKUP(record[[#This Row],[employeeID]],員工[],2,FALSE)</f>
        <v>蔣梅</v>
      </c>
    </row>
    <row r="4973" spans="6:19" hidden="1" x14ac:dyDescent="0.25">
      <c r="F4973" t="s">
        <v>1439</v>
      </c>
      <c r="G4973" t="s">
        <v>399</v>
      </c>
      <c r="H4973" t="str">
        <f>VLOOKUP(record[[#This Row],[ProcessSN]],表格2_7[],2,FALSE)</f>
        <v>30-4118-018-550</v>
      </c>
      <c r="I4973" t="str">
        <f>VLOOKUP(record[[#This Row],[ProcessSN]],表格2_7[],3,FALSE)</f>
        <v>#08IQC</v>
      </c>
      <c r="J4973" t="s">
        <v>583</v>
      </c>
      <c r="K4973" s="195">
        <v>46036.447222222225</v>
      </c>
      <c r="L4973">
        <v>9</v>
      </c>
      <c r="M4973">
        <v>0</v>
      </c>
      <c r="N4973" s="98" t="str">
        <f>IF(record[[#This Row],[Memo]]="Browser:chrome os:android","平板報工",IF(record[[#This Row],[Memo]]=0,"委外",record[[#This Row],[Memo]]))</f>
        <v>覆回</v>
      </c>
      <c r="O4973" t="s">
        <v>682</v>
      </c>
      <c r="P4973" t="s">
        <v>141</v>
      </c>
      <c r="Q4973" t="s">
        <v>58</v>
      </c>
      <c r="R4973" t="str">
        <f>IFERROR(VLOOKUP(record[[#This Row],[PCUSTID]],廠商[],2,FALSE),"")</f>
        <v/>
      </c>
      <c r="S4973" t="str">
        <f>VLOOKUP(record[[#This Row],[employeeID]],員工[],2,FALSE)</f>
        <v>蔣梅</v>
      </c>
    </row>
    <row r="4974" spans="6:19" hidden="1" x14ac:dyDescent="0.25">
      <c r="F4974" t="s">
        <v>1439</v>
      </c>
      <c r="G4974" t="s">
        <v>398</v>
      </c>
      <c r="H4974" t="str">
        <f>VLOOKUP(record[[#This Row],[ProcessSN]],表格2_7[],2,FALSE)</f>
        <v>30-4118-018-550</v>
      </c>
      <c r="I4974" t="str">
        <f>VLOOKUP(record[[#This Row],[ProcessSN]],表格2_7[],3,FALSE)</f>
        <v>#08RCV</v>
      </c>
      <c r="J4974" t="s">
        <v>591</v>
      </c>
      <c r="K4974" s="195">
        <v>46036.447106481479</v>
      </c>
      <c r="L4974">
        <v>1</v>
      </c>
      <c r="M4974">
        <v>-1</v>
      </c>
      <c r="N4974" s="98" t="str">
        <f>IF(record[[#This Row],[Memo]]="Browser:chrome os:android","平板報工",IF(record[[#This Row],[Memo]]=0,"委外",record[[#This Row],[Memo]]))</f>
        <v>覆回</v>
      </c>
      <c r="O4974" t="s">
        <v>682</v>
      </c>
      <c r="P4974" t="s">
        <v>113</v>
      </c>
      <c r="Q4974" t="s">
        <v>58</v>
      </c>
      <c r="R4974" t="str">
        <f>IFERROR(VLOOKUP(record[[#This Row],[PCUSTID]],廠商[],2,FALSE),"")</f>
        <v/>
      </c>
      <c r="S4974" t="str">
        <f>VLOOKUP(record[[#This Row],[employeeID]],員工[],2,FALSE)</f>
        <v>王奕蓁</v>
      </c>
    </row>
    <row r="4975" spans="6:19" hidden="1" x14ac:dyDescent="0.25">
      <c r="F4975" t="s">
        <v>1439</v>
      </c>
      <c r="G4975" t="s">
        <v>398</v>
      </c>
      <c r="H4975" t="str">
        <f>VLOOKUP(record[[#This Row],[ProcessSN]],表格2_7[],2,FALSE)</f>
        <v>30-4118-018-550</v>
      </c>
      <c r="I4975" t="str">
        <f>VLOOKUP(record[[#This Row],[ProcessSN]],表格2_7[],3,FALSE)</f>
        <v>#08RCV</v>
      </c>
      <c r="J4975" t="s">
        <v>591</v>
      </c>
      <c r="K4975" s="195">
        <v>46036.445763888885</v>
      </c>
      <c r="L4975">
        <v>8</v>
      </c>
      <c r="M4975">
        <v>0</v>
      </c>
      <c r="N4975" s="98" t="str">
        <f>IF(record[[#This Row],[Memo]]="Browser:chrome os:android","平板報工",IF(record[[#This Row],[Memo]]=0,"委外",record[[#This Row],[Memo]]))</f>
        <v>覆回</v>
      </c>
      <c r="O4975" t="s">
        <v>682</v>
      </c>
      <c r="P4975" t="s">
        <v>141</v>
      </c>
      <c r="Q4975" t="s">
        <v>58</v>
      </c>
      <c r="R4975" t="str">
        <f>IFERROR(VLOOKUP(record[[#This Row],[PCUSTID]],廠商[],2,FALSE),"")</f>
        <v/>
      </c>
      <c r="S4975" t="str">
        <f>VLOOKUP(record[[#This Row],[employeeID]],員工[],2,FALSE)</f>
        <v>蔣梅</v>
      </c>
    </row>
    <row r="4976" spans="6:19" hidden="1" x14ac:dyDescent="0.25">
      <c r="F4976" t="s">
        <v>595</v>
      </c>
      <c r="G4976" t="s">
        <v>452</v>
      </c>
      <c r="H4976" t="str">
        <f>VLOOKUP(record[[#This Row],[ProcessSN]],表格2_7[],2,FALSE)</f>
        <v>30-4118-018-6XX</v>
      </c>
      <c r="I4976" t="str">
        <f>VLOOKUP(record[[#This Row],[ProcessSN]],表格2_7[],3,FALSE)</f>
        <v>#07QC</v>
      </c>
      <c r="J4976" t="s">
        <v>589</v>
      </c>
      <c r="K4976" s="195">
        <v>46036.42832175926</v>
      </c>
      <c r="L4976">
        <v>8</v>
      </c>
      <c r="M4976">
        <v>0</v>
      </c>
      <c r="N4976" s="98" t="str">
        <f>IF(record[[#This Row],[Memo]]="Browser:chrome os:android","平板報工",IF(record[[#This Row],[Memo]]=0,"委外",record[[#This Row],[Memo]]))</f>
        <v>平板報工</v>
      </c>
      <c r="O4976" t="s">
        <v>643</v>
      </c>
      <c r="P4976" t="s">
        <v>99</v>
      </c>
      <c r="Q4976" t="s">
        <v>644</v>
      </c>
      <c r="R4976" t="str">
        <f>IFERROR(VLOOKUP(record[[#This Row],[PCUSTID]],廠商[],2,FALSE),"")</f>
        <v/>
      </c>
      <c r="S4976" t="str">
        <f>VLOOKUP(record[[#This Row],[employeeID]],員工[],2,FALSE)</f>
        <v>阮氏河</v>
      </c>
    </row>
    <row r="4977" spans="6:19" hidden="1" x14ac:dyDescent="0.25">
      <c r="F4977" t="s">
        <v>1417</v>
      </c>
      <c r="G4977" t="s">
        <v>452</v>
      </c>
      <c r="H4977" t="str">
        <f>VLOOKUP(record[[#This Row],[ProcessSN]],表格2_7[],2,FALSE)</f>
        <v>30-4118-018-6XX</v>
      </c>
      <c r="I4977" t="str">
        <f>VLOOKUP(record[[#This Row],[ProcessSN]],表格2_7[],3,FALSE)</f>
        <v>#07QC</v>
      </c>
      <c r="J4977" t="s">
        <v>589</v>
      </c>
      <c r="K4977" s="195">
        <v>46036.423518518517</v>
      </c>
      <c r="L4977">
        <v>221</v>
      </c>
      <c r="M4977">
        <v>0</v>
      </c>
      <c r="N4977" s="98" t="str">
        <f>IF(record[[#This Row],[Memo]]="Browser:chrome os:android","平板報工",IF(record[[#This Row],[Memo]]=0,"委外",record[[#This Row],[Memo]]))</f>
        <v>平板報工</v>
      </c>
      <c r="O4977" t="s">
        <v>643</v>
      </c>
      <c r="P4977" t="s">
        <v>99</v>
      </c>
      <c r="Q4977" t="s">
        <v>644</v>
      </c>
      <c r="R4977" t="str">
        <f>IFERROR(VLOOKUP(record[[#This Row],[PCUSTID]],廠商[],2,FALSE),"")</f>
        <v/>
      </c>
      <c r="S4977" t="str">
        <f>VLOOKUP(record[[#This Row],[employeeID]],員工[],2,FALSE)</f>
        <v>阮氏河</v>
      </c>
    </row>
    <row r="4978" spans="6:19" hidden="1" x14ac:dyDescent="0.25">
      <c r="F4978" t="s">
        <v>1416</v>
      </c>
      <c r="G4978" t="s">
        <v>419</v>
      </c>
      <c r="H4978" t="str">
        <f>VLOOKUP(record[[#This Row],[ProcessSN]],表格2_7[],2,FALSE)</f>
        <v>30-4118-018-5XX</v>
      </c>
      <c r="I4978" t="str">
        <f>VLOOKUP(record[[#This Row],[ProcessSN]],表格2_7[],3,FALSE)</f>
        <v>#07QC</v>
      </c>
      <c r="J4978" t="s">
        <v>589</v>
      </c>
      <c r="K4978" s="195">
        <v>46036.409884259258</v>
      </c>
      <c r="L4978">
        <v>0</v>
      </c>
      <c r="M4978">
        <v>23</v>
      </c>
      <c r="N4978" s="98" t="str">
        <f>IF(record[[#This Row],[Memo]]="Browser:chrome os:android","平板報工",IF(record[[#This Row],[Memo]]=0,"委外",record[[#This Row],[Memo]]))</f>
        <v>平板報工</v>
      </c>
      <c r="O4978" t="s">
        <v>643</v>
      </c>
      <c r="P4978" t="s">
        <v>141</v>
      </c>
      <c r="Q4978" t="s">
        <v>644</v>
      </c>
      <c r="R4978" t="str">
        <f>IFERROR(VLOOKUP(record[[#This Row],[PCUSTID]],廠商[],2,FALSE),"")</f>
        <v/>
      </c>
      <c r="S4978" t="str">
        <f>VLOOKUP(record[[#This Row],[employeeID]],員工[],2,FALSE)</f>
        <v>蔣梅</v>
      </c>
    </row>
    <row r="4979" spans="6:19" hidden="1" x14ac:dyDescent="0.25">
      <c r="F4979" t="s">
        <v>1416</v>
      </c>
      <c r="G4979" t="s">
        <v>419</v>
      </c>
      <c r="H4979" t="str">
        <f>VLOOKUP(record[[#This Row],[ProcessSN]],表格2_7[],2,FALSE)</f>
        <v>30-4118-018-5XX</v>
      </c>
      <c r="I4979" t="str">
        <f>VLOOKUP(record[[#This Row],[ProcessSN]],表格2_7[],3,FALSE)</f>
        <v>#07QC</v>
      </c>
      <c r="J4979" t="s">
        <v>589</v>
      </c>
      <c r="K4979" s="195">
        <v>46036.40960648148</v>
      </c>
      <c r="L4979">
        <v>298</v>
      </c>
      <c r="M4979">
        <v>0</v>
      </c>
      <c r="N4979" s="98" t="str">
        <f>IF(record[[#This Row],[Memo]]="Browser:chrome os:android","平板報工",IF(record[[#This Row],[Memo]]=0,"委外",record[[#This Row],[Memo]]))</f>
        <v>平板報工</v>
      </c>
      <c r="O4979" t="s">
        <v>643</v>
      </c>
      <c r="P4979" t="s">
        <v>141</v>
      </c>
      <c r="Q4979" t="s">
        <v>644</v>
      </c>
      <c r="R4979" t="str">
        <f>IFERROR(VLOOKUP(record[[#This Row],[PCUSTID]],廠商[],2,FALSE),"")</f>
        <v/>
      </c>
      <c r="S4979" t="str">
        <f>VLOOKUP(record[[#This Row],[employeeID]],員工[],2,FALSE)</f>
        <v>蔣梅</v>
      </c>
    </row>
    <row r="4980" spans="6:19" hidden="1" x14ac:dyDescent="0.25">
      <c r="F4980" t="s">
        <v>1400</v>
      </c>
      <c r="G4980" t="s">
        <v>361</v>
      </c>
      <c r="H4980" t="str">
        <f>VLOOKUP(record[[#This Row],[ProcessSN]],表格2_7[],2,FALSE)</f>
        <v>30-4118-018-450</v>
      </c>
      <c r="I4980" t="str">
        <f>VLOOKUP(record[[#This Row],[ProcessSN]],表格2_7[],3,FALSE)</f>
        <v>#100STOCK</v>
      </c>
      <c r="J4980" t="s">
        <v>592</v>
      </c>
      <c r="K4980" s="195">
        <v>46036.369340277779</v>
      </c>
      <c r="L4980">
        <v>44</v>
      </c>
      <c r="M4980">
        <v>0</v>
      </c>
      <c r="N4980" s="98" t="str">
        <f>IF(record[[#This Row],[Memo]]="Browser:chrome os:android","平板報工",IF(record[[#This Row],[Memo]]=0,"委外",record[[#This Row],[Memo]]))</f>
        <v/>
      </c>
      <c r="O4980" t="s">
        <v>58</v>
      </c>
      <c r="P4980" t="s">
        <v>886</v>
      </c>
      <c r="Q4980" t="s">
        <v>58</v>
      </c>
      <c r="R4980" t="str">
        <f>IFERROR(VLOOKUP(record[[#This Row],[PCUSTID]],廠商[],2,FALSE),"")</f>
        <v/>
      </c>
      <c r="S4980" t="str">
        <f>VLOOKUP(record[[#This Row],[employeeID]],員工[],2,FALSE)</f>
        <v>謝蓁薰</v>
      </c>
    </row>
    <row r="4981" spans="6:19" hidden="1" x14ac:dyDescent="0.25">
      <c r="F4981" t="s">
        <v>1417</v>
      </c>
      <c r="G4981" t="s">
        <v>446</v>
      </c>
      <c r="H4981" t="str">
        <f>VLOOKUP(record[[#This Row],[ProcessSN]],表格2_7[],2,FALSE)</f>
        <v>30-4118-018-6XX</v>
      </c>
      <c r="I4981" t="str">
        <f>VLOOKUP(record[[#This Row],[ProcessSN]],表格2_7[],3,FALSE)</f>
        <v>#03GIVE</v>
      </c>
      <c r="J4981" t="s">
        <v>587</v>
      </c>
      <c r="K4981" s="195">
        <v>46036.341087962966</v>
      </c>
      <c r="L4981">
        <v>928</v>
      </c>
      <c r="M4981">
        <v>0</v>
      </c>
      <c r="N4981" s="98" t="str">
        <f>IF(record[[#This Row],[Memo]]="Browser:chrome os:android","平板報工",IF(record[[#This Row],[Memo]]=0,"委外",record[[#This Row],[Memo]]))</f>
        <v/>
      </c>
      <c r="O4981" t="s">
        <v>58</v>
      </c>
      <c r="P4981" t="s">
        <v>1070</v>
      </c>
      <c r="Q4981" t="s">
        <v>58</v>
      </c>
      <c r="R4981" t="str">
        <f>IFERROR(VLOOKUP(record[[#This Row],[PCUSTID]],廠商[],2,FALSE),"")</f>
        <v/>
      </c>
      <c r="S4981" t="str">
        <f>VLOOKUP(record[[#This Row],[employeeID]],員工[],2,FALSE)</f>
        <v>陳昱佑</v>
      </c>
    </row>
    <row r="4982" spans="6:19" hidden="1" x14ac:dyDescent="0.25">
      <c r="F4982" t="s">
        <v>1407</v>
      </c>
      <c r="G4982" t="s">
        <v>360</v>
      </c>
      <c r="H4982" t="str">
        <f>VLOOKUP(record[[#This Row],[ProcessSN]],表格2_7[],2,FALSE)</f>
        <v>30-4118-018-450</v>
      </c>
      <c r="I4982" t="str">
        <f>VLOOKUP(record[[#This Row],[ProcessSN]],表格2_7[],3,FALSE)</f>
        <v>#100OQC</v>
      </c>
      <c r="J4982" t="s">
        <v>599</v>
      </c>
      <c r="K4982" s="195">
        <v>46036.323275462964</v>
      </c>
      <c r="L4982">
        <v>336</v>
      </c>
      <c r="M4982">
        <v>0</v>
      </c>
      <c r="N4982" s="98" t="str">
        <f>IF(record[[#This Row],[Memo]]="Browser:chrome os:android","平板報工",IF(record[[#This Row],[Memo]]=0,"委外",record[[#This Row],[Memo]]))</f>
        <v/>
      </c>
      <c r="O4982" t="s">
        <v>58</v>
      </c>
      <c r="P4982" t="s">
        <v>121</v>
      </c>
      <c r="Q4982" t="s">
        <v>58</v>
      </c>
      <c r="R4982" t="str">
        <f>IFERROR(VLOOKUP(record[[#This Row],[PCUSTID]],廠商[],2,FALSE),"")</f>
        <v/>
      </c>
      <c r="S4982" t="str">
        <f>VLOOKUP(record[[#This Row],[employeeID]],員工[],2,FALSE)</f>
        <v>謝素卿</v>
      </c>
    </row>
    <row r="4983" spans="6:19" hidden="1" x14ac:dyDescent="0.25">
      <c r="F4983" t="s">
        <v>1417</v>
      </c>
      <c r="G4983" t="s">
        <v>451</v>
      </c>
      <c r="H4983" t="str">
        <f>VLOOKUP(record[[#This Row],[ProcessSN]],表格2_7[],2,FALSE)</f>
        <v>30-4118-018-6XX</v>
      </c>
      <c r="I4983" t="str">
        <f>VLOOKUP(record[[#This Row],[ProcessSN]],表格2_7[],3,FALSE)</f>
        <v>#07</v>
      </c>
      <c r="J4983" t="s">
        <v>588</v>
      </c>
      <c r="K4983" s="195">
        <v>46036.318773148145</v>
      </c>
      <c r="L4983">
        <v>129</v>
      </c>
      <c r="M4983">
        <v>0</v>
      </c>
      <c r="N4983" s="98" t="str">
        <f>IF(record[[#This Row],[Memo]]="Browser:chrome os:android","平板報工",IF(record[[#This Row],[Memo]]=0,"委外",record[[#This Row],[Memo]]))</f>
        <v/>
      </c>
      <c r="O4983" t="s">
        <v>58</v>
      </c>
      <c r="P4983" t="s">
        <v>843</v>
      </c>
      <c r="Q4983" t="s">
        <v>58</v>
      </c>
      <c r="R4983" t="str">
        <f>IFERROR(VLOOKUP(record[[#This Row],[PCUSTID]],廠商[],2,FALSE),"")</f>
        <v/>
      </c>
      <c r="S4983" t="str">
        <f>VLOOKUP(record[[#This Row],[employeeID]],員工[],2,FALSE)</f>
        <v>張楚承</v>
      </c>
    </row>
    <row r="4984" spans="6:19" hidden="1" x14ac:dyDescent="0.25">
      <c r="F4984" t="s">
        <v>1417</v>
      </c>
      <c r="G4984" t="s">
        <v>450</v>
      </c>
      <c r="H4984" t="str">
        <f>VLOOKUP(record[[#This Row],[ProcessSN]],表格2_7[],2,FALSE)</f>
        <v>30-4118-018-6XX</v>
      </c>
      <c r="I4984" t="str">
        <f>VLOOKUP(record[[#This Row],[ProcessSN]],表格2_7[],3,FALSE)</f>
        <v>#06</v>
      </c>
      <c r="J4984" t="s">
        <v>593</v>
      </c>
      <c r="K4984" s="195">
        <v>46036.318553240744</v>
      </c>
      <c r="L4984">
        <v>133</v>
      </c>
      <c r="M4984">
        <v>0</v>
      </c>
      <c r="N4984" s="98" t="str">
        <f>IF(record[[#This Row],[Memo]]="Browser:chrome os:android","平板報工",IF(record[[#This Row],[Memo]]=0,"委外",record[[#This Row],[Memo]]))</f>
        <v/>
      </c>
      <c r="O4984" t="s">
        <v>58</v>
      </c>
      <c r="P4984" t="s">
        <v>180</v>
      </c>
      <c r="Q4984" t="s">
        <v>58</v>
      </c>
      <c r="R4984" t="str">
        <f>IFERROR(VLOOKUP(record[[#This Row],[PCUSTID]],廠商[],2,FALSE),"")</f>
        <v/>
      </c>
      <c r="S4984" t="str">
        <f>VLOOKUP(record[[#This Row],[employeeID]],員工[],2,FALSE)</f>
        <v>黎功江</v>
      </c>
    </row>
    <row r="4985" spans="6:19" hidden="1" x14ac:dyDescent="0.25">
      <c r="F4985" t="s">
        <v>1417</v>
      </c>
      <c r="G4985" t="s">
        <v>449</v>
      </c>
      <c r="H4985" t="str">
        <f>VLOOKUP(record[[#This Row],[ProcessSN]],表格2_7[],2,FALSE)</f>
        <v>30-4118-018-6XX</v>
      </c>
      <c r="I4985" t="str">
        <f>VLOOKUP(record[[#This Row],[ProcessSN]],表格2_7[],3,FALSE)</f>
        <v>#05</v>
      </c>
      <c r="J4985" t="s">
        <v>588</v>
      </c>
      <c r="K4985" s="195">
        <v>46036.318067129629</v>
      </c>
      <c r="L4985">
        <v>126</v>
      </c>
      <c r="M4985">
        <v>0</v>
      </c>
      <c r="N4985" s="98" t="str">
        <f>IF(record[[#This Row],[Memo]]="Browser:chrome os:android","平板報工",IF(record[[#This Row],[Memo]]=0,"委外",record[[#This Row],[Memo]]))</f>
        <v/>
      </c>
      <c r="O4985" t="s">
        <v>58</v>
      </c>
      <c r="P4985" t="s">
        <v>843</v>
      </c>
      <c r="Q4985" t="s">
        <v>58</v>
      </c>
      <c r="R4985" t="str">
        <f>IFERROR(VLOOKUP(record[[#This Row],[PCUSTID]],廠商[],2,FALSE),"")</f>
        <v/>
      </c>
      <c r="S4985" t="str">
        <f>VLOOKUP(record[[#This Row],[employeeID]],員工[],2,FALSE)</f>
        <v>張楚承</v>
      </c>
    </row>
    <row r="4986" spans="6:19" hidden="1" x14ac:dyDescent="0.25">
      <c r="F4986" t="s">
        <v>1417</v>
      </c>
      <c r="G4986" t="s">
        <v>448</v>
      </c>
      <c r="H4986" t="str">
        <f>VLOOKUP(record[[#This Row],[ProcessSN]],表格2_7[],2,FALSE)</f>
        <v>30-4118-018-6XX</v>
      </c>
      <c r="I4986" t="str">
        <f>VLOOKUP(record[[#This Row],[ProcessSN]],表格2_7[],3,FALSE)</f>
        <v>#04</v>
      </c>
      <c r="J4986" t="s">
        <v>588</v>
      </c>
      <c r="K4986" s="195">
        <v>46036.317407407405</v>
      </c>
      <c r="L4986">
        <v>128</v>
      </c>
      <c r="M4986">
        <v>2</v>
      </c>
      <c r="N4986" s="98" t="str">
        <f>IF(record[[#This Row],[Memo]]="Browser:chrome os:android","平板報工",IF(record[[#This Row],[Memo]]=0,"委外",record[[#This Row],[Memo]]))</f>
        <v/>
      </c>
      <c r="O4986" t="s">
        <v>58</v>
      </c>
      <c r="P4986" t="s">
        <v>135</v>
      </c>
      <c r="Q4986" t="s">
        <v>58</v>
      </c>
      <c r="R4986" t="str">
        <f>IFERROR(VLOOKUP(record[[#This Row],[PCUSTID]],廠商[],2,FALSE),"")</f>
        <v/>
      </c>
      <c r="S4986" t="str">
        <f>VLOOKUP(record[[#This Row],[employeeID]],員工[],2,FALSE)</f>
        <v>阮士文</v>
      </c>
    </row>
    <row r="4987" spans="6:19" hidden="1" x14ac:dyDescent="0.25">
      <c r="F4987" t="s">
        <v>1417</v>
      </c>
      <c r="G4987" t="s">
        <v>451</v>
      </c>
      <c r="H4987" t="str">
        <f>VLOOKUP(record[[#This Row],[ProcessSN]],表格2_7[],2,FALSE)</f>
        <v>30-4118-018-6XX</v>
      </c>
      <c r="I4987" t="str">
        <f>VLOOKUP(record[[#This Row],[ProcessSN]],表格2_7[],3,FALSE)</f>
        <v>#07</v>
      </c>
      <c r="J4987" t="s">
        <v>588</v>
      </c>
      <c r="K4987" s="195">
        <v>46035.990162037036</v>
      </c>
      <c r="L4987">
        <v>92</v>
      </c>
      <c r="M4987">
        <v>3</v>
      </c>
      <c r="N4987" s="98" t="str">
        <f>IF(record[[#This Row],[Memo]]="Browser:chrome os:android","平板報工",IF(record[[#This Row],[Memo]]=0,"委外",record[[#This Row],[Memo]]))</f>
        <v/>
      </c>
      <c r="O4987" t="s">
        <v>58</v>
      </c>
      <c r="P4987" t="s">
        <v>89</v>
      </c>
      <c r="Q4987" t="s">
        <v>58</v>
      </c>
      <c r="R4987" t="str">
        <f>IFERROR(VLOOKUP(record[[#This Row],[PCUSTID]],廠商[],2,FALSE),"")</f>
        <v/>
      </c>
      <c r="S4987" t="str">
        <f>VLOOKUP(record[[#This Row],[employeeID]],員工[],2,FALSE)</f>
        <v>李美蓮</v>
      </c>
    </row>
    <row r="4988" spans="6:19" hidden="1" x14ac:dyDescent="0.25">
      <c r="F4988" t="s">
        <v>1417</v>
      </c>
      <c r="G4988" t="s">
        <v>450</v>
      </c>
      <c r="H4988" t="str">
        <f>VLOOKUP(record[[#This Row],[ProcessSN]],表格2_7[],2,FALSE)</f>
        <v>30-4118-018-6XX</v>
      </c>
      <c r="I4988" t="str">
        <f>VLOOKUP(record[[#This Row],[ProcessSN]],表格2_7[],3,FALSE)</f>
        <v>#06</v>
      </c>
      <c r="J4988" t="s">
        <v>593</v>
      </c>
      <c r="K4988" s="195">
        <v>46035.989814814813</v>
      </c>
      <c r="L4988">
        <v>95</v>
      </c>
      <c r="M4988">
        <v>0</v>
      </c>
      <c r="N4988" s="98" t="str">
        <f>IF(record[[#This Row],[Memo]]="Browser:chrome os:android","平板報工",IF(record[[#This Row],[Memo]]=0,"委外",record[[#This Row],[Memo]]))</f>
        <v/>
      </c>
      <c r="O4988" t="s">
        <v>58</v>
      </c>
      <c r="P4988" t="s">
        <v>133</v>
      </c>
      <c r="Q4988" t="s">
        <v>58</v>
      </c>
      <c r="R4988" t="str">
        <f>IFERROR(VLOOKUP(record[[#This Row],[PCUSTID]],廠商[],2,FALSE),"")</f>
        <v/>
      </c>
      <c r="S4988" t="str">
        <f>VLOOKUP(record[[#This Row],[employeeID]],員工[],2,FALSE)</f>
        <v>黎長維</v>
      </c>
    </row>
    <row r="4989" spans="6:19" hidden="1" x14ac:dyDescent="0.25">
      <c r="F4989" t="s">
        <v>1417</v>
      </c>
      <c r="G4989" t="s">
        <v>449</v>
      </c>
      <c r="H4989" t="str">
        <f>VLOOKUP(record[[#This Row],[ProcessSN]],表格2_7[],2,FALSE)</f>
        <v>30-4118-018-6XX</v>
      </c>
      <c r="I4989" t="str">
        <f>VLOOKUP(record[[#This Row],[ProcessSN]],表格2_7[],3,FALSE)</f>
        <v>#05</v>
      </c>
      <c r="J4989" t="s">
        <v>588</v>
      </c>
      <c r="K4989" s="195">
        <v>46035.978541666664</v>
      </c>
      <c r="L4989">
        <v>116</v>
      </c>
      <c r="M4989">
        <v>2</v>
      </c>
      <c r="N4989" s="98" t="str">
        <f>IF(record[[#This Row],[Memo]]="Browser:chrome os:android","平板報工",IF(record[[#This Row],[Memo]]=0,"委外",record[[#This Row],[Memo]]))</f>
        <v/>
      </c>
      <c r="O4989" t="s">
        <v>58</v>
      </c>
      <c r="P4989" t="s">
        <v>89</v>
      </c>
      <c r="Q4989" t="s">
        <v>58</v>
      </c>
      <c r="R4989" t="str">
        <f>IFERROR(VLOOKUP(record[[#This Row],[PCUSTID]],廠商[],2,FALSE),"")</f>
        <v/>
      </c>
      <c r="S4989" t="str">
        <f>VLOOKUP(record[[#This Row],[employeeID]],員工[],2,FALSE)</f>
        <v>李美蓮</v>
      </c>
    </row>
    <row r="4990" spans="6:19" hidden="1" x14ac:dyDescent="0.25">
      <c r="F4990" t="s">
        <v>1417</v>
      </c>
      <c r="G4990" t="s">
        <v>448</v>
      </c>
      <c r="H4990" t="str">
        <f>VLOOKUP(record[[#This Row],[ProcessSN]],表格2_7[],2,FALSE)</f>
        <v>30-4118-018-6XX</v>
      </c>
      <c r="I4990" t="str">
        <f>VLOOKUP(record[[#This Row],[ProcessSN]],表格2_7[],3,FALSE)</f>
        <v>#04</v>
      </c>
      <c r="J4990" t="s">
        <v>588</v>
      </c>
      <c r="K4990" s="195">
        <v>46035.977673611109</v>
      </c>
      <c r="L4990">
        <v>118</v>
      </c>
      <c r="M4990">
        <v>0</v>
      </c>
      <c r="N4990" s="98" t="str">
        <f>IF(record[[#This Row],[Memo]]="Browser:chrome os:android","平板報工",IF(record[[#This Row],[Memo]]=0,"委外",record[[#This Row],[Memo]]))</f>
        <v/>
      </c>
      <c r="O4990" t="s">
        <v>58</v>
      </c>
      <c r="P4990" t="s">
        <v>1098</v>
      </c>
      <c r="Q4990" t="s">
        <v>58</v>
      </c>
      <c r="R4990" t="str">
        <f>IFERROR(VLOOKUP(record[[#This Row],[PCUSTID]],廠商[],2,FALSE),"")</f>
        <v/>
      </c>
      <c r="S4990" t="str">
        <f>VLOOKUP(record[[#This Row],[employeeID]],員工[],2,FALSE)</f>
        <v>阮氏芳英(英)</v>
      </c>
    </row>
    <row r="4991" spans="6:19" hidden="1" x14ac:dyDescent="0.25">
      <c r="F4991" t="s">
        <v>1416</v>
      </c>
      <c r="G4991" t="s">
        <v>417</v>
      </c>
      <c r="H4991" t="str">
        <f>VLOOKUP(record[[#This Row],[ProcessSN]],表格2_7[],2,FALSE)</f>
        <v>30-4118-018-5XX</v>
      </c>
      <c r="I4991" t="str">
        <f>VLOOKUP(record[[#This Row],[ProcessSN]],表格2_7[],3,FALSE)</f>
        <v>#06</v>
      </c>
      <c r="J4991" t="s">
        <v>593</v>
      </c>
      <c r="K4991" s="195">
        <v>46035.964733796296</v>
      </c>
      <c r="L4991">
        <v>20</v>
      </c>
      <c r="M4991">
        <v>0</v>
      </c>
      <c r="N4991" s="98" t="str">
        <f>IF(record[[#This Row],[Memo]]="Browser:chrome os:android","平板報工",IF(record[[#This Row],[Memo]]=0,"委外",record[[#This Row],[Memo]]))</f>
        <v/>
      </c>
      <c r="O4991" t="s">
        <v>58</v>
      </c>
      <c r="P4991" t="s">
        <v>176</v>
      </c>
      <c r="Q4991" t="s">
        <v>58</v>
      </c>
      <c r="R4991" t="str">
        <f>IFERROR(VLOOKUP(record[[#This Row],[PCUSTID]],廠商[],2,FALSE),"")</f>
        <v/>
      </c>
      <c r="S4991" t="str">
        <f>VLOOKUP(record[[#This Row],[employeeID]],員工[],2,FALSE)</f>
        <v>郭政雄</v>
      </c>
    </row>
    <row r="4992" spans="6:19" hidden="1" x14ac:dyDescent="0.25">
      <c r="F4992" t="s">
        <v>1407</v>
      </c>
      <c r="G4992" t="s">
        <v>359</v>
      </c>
      <c r="H4992" t="str">
        <f>VLOOKUP(record[[#This Row],[ProcessSN]],表格2_7[],2,FALSE)</f>
        <v>30-4118-018-450</v>
      </c>
      <c r="I4992" t="str">
        <f>VLOOKUP(record[[#This Row],[ProcessSN]],表格2_7[],3,FALSE)</f>
        <v>#100</v>
      </c>
      <c r="J4992" t="s">
        <v>598</v>
      </c>
      <c r="K4992" s="195">
        <v>46035.822337962964</v>
      </c>
      <c r="L4992">
        <v>168</v>
      </c>
      <c r="M4992">
        <v>0</v>
      </c>
      <c r="N4992" s="98" t="str">
        <f>IF(record[[#This Row],[Memo]]="Browser:chrome os:android","平板報工",IF(record[[#This Row],[Memo]]=0,"委外",record[[#This Row],[Memo]]))</f>
        <v>平板報工</v>
      </c>
      <c r="O4992" t="s">
        <v>643</v>
      </c>
      <c r="P4992" t="s">
        <v>99</v>
      </c>
      <c r="Q4992" t="s">
        <v>644</v>
      </c>
      <c r="R4992" t="str">
        <f>IFERROR(VLOOKUP(record[[#This Row],[PCUSTID]],廠商[],2,FALSE),"")</f>
        <v/>
      </c>
      <c r="S4992" t="str">
        <f>VLOOKUP(record[[#This Row],[employeeID]],員工[],2,FALSE)</f>
        <v>阮氏河</v>
      </c>
    </row>
    <row r="4993" spans="6:19" hidden="1" x14ac:dyDescent="0.25">
      <c r="F4993" t="s">
        <v>1406</v>
      </c>
      <c r="G4993" t="s">
        <v>470</v>
      </c>
      <c r="H4993" t="str">
        <f>VLOOKUP(record[[#This Row],[ProcessSN]],表格2_7[],2,FALSE)</f>
        <v>30-4118-018-XXX</v>
      </c>
      <c r="I4993" t="str">
        <f>VLOOKUP(record[[#This Row],[ProcessSN]],表格2_7[],3,FALSE)</f>
        <v>#02IQC</v>
      </c>
      <c r="J4993" t="s">
        <v>583</v>
      </c>
      <c r="K4993" s="195">
        <v>46035.748472222222</v>
      </c>
      <c r="L4993">
        <v>504</v>
      </c>
      <c r="M4993">
        <v>0</v>
      </c>
      <c r="N4993" s="98" t="str">
        <f>IF(record[[#This Row],[Memo]]="Browser:chrome os:android","平板報工",IF(record[[#This Row],[Memo]]=0,"委外",record[[#This Row],[Memo]]))</f>
        <v/>
      </c>
      <c r="O4993" t="s">
        <v>58</v>
      </c>
      <c r="P4993" t="s">
        <v>109</v>
      </c>
      <c r="Q4993" t="s">
        <v>58</v>
      </c>
      <c r="R4993" t="str">
        <f>IFERROR(VLOOKUP(record[[#This Row],[PCUSTID]],廠商[],2,FALSE),"")</f>
        <v/>
      </c>
      <c r="S4993" t="str">
        <f>VLOOKUP(record[[#This Row],[employeeID]],員工[],2,FALSE)</f>
        <v>裴氏璧鳳</v>
      </c>
    </row>
    <row r="4994" spans="6:19" hidden="1" x14ac:dyDescent="0.25">
      <c r="F4994" t="s">
        <v>1450</v>
      </c>
      <c r="G4994" t="s">
        <v>463</v>
      </c>
      <c r="H4994" t="str">
        <f>VLOOKUP(record[[#This Row],[ProcessSN]],表格2_7[],2,FALSE)</f>
        <v>30-4118-018-XXX</v>
      </c>
      <c r="I4994" t="str">
        <f>VLOOKUP(record[[#This Row],[ProcessSN]],表格2_7[],3,FALSE)</f>
        <v>#00IQC</v>
      </c>
      <c r="J4994" t="s">
        <v>583</v>
      </c>
      <c r="K4994" s="195">
        <v>46035.747476851851</v>
      </c>
      <c r="L4994">
        <v>5000</v>
      </c>
      <c r="M4994">
        <v>0</v>
      </c>
      <c r="N4994" s="98" t="str">
        <f>IF(record[[#This Row],[Memo]]="Browser:chrome os:android","平板報工",IF(record[[#This Row],[Memo]]=0,"委外",record[[#This Row],[Memo]]))</f>
        <v/>
      </c>
      <c r="O4994" t="s">
        <v>58</v>
      </c>
      <c r="P4994" t="s">
        <v>109</v>
      </c>
      <c r="Q4994" t="s">
        <v>58</v>
      </c>
      <c r="R4994" t="str">
        <f>IFERROR(VLOOKUP(record[[#This Row],[PCUSTID]],廠商[],2,FALSE),"")</f>
        <v/>
      </c>
      <c r="S4994" t="str">
        <f>VLOOKUP(record[[#This Row],[employeeID]],員工[],2,FALSE)</f>
        <v>裴氏璧鳳</v>
      </c>
    </row>
    <row r="4995" spans="6:19" hidden="1" x14ac:dyDescent="0.25">
      <c r="F4995" t="s">
        <v>1416</v>
      </c>
      <c r="G4995" t="s">
        <v>420</v>
      </c>
      <c r="H4995" t="str">
        <f>VLOOKUP(record[[#This Row],[ProcessSN]],表格2_7[],2,FALSE)</f>
        <v>30-4118-018-5XX</v>
      </c>
      <c r="I4995" t="str">
        <f>VLOOKUP(record[[#This Row],[ProcessSN]],表格2_7[],3,FALSE)</f>
        <v>#07STOCK</v>
      </c>
      <c r="J4995" t="s">
        <v>592</v>
      </c>
      <c r="K4995" s="195">
        <v>46035.656377314815</v>
      </c>
      <c r="L4995">
        <v>163</v>
      </c>
      <c r="M4995">
        <v>0</v>
      </c>
      <c r="N4995" s="98" t="str">
        <f>IF(record[[#This Row],[Memo]]="Browser:chrome os:android","平板報工",IF(record[[#This Row],[Memo]]=0,"委外",record[[#This Row],[Memo]]))</f>
        <v/>
      </c>
      <c r="O4995" t="s">
        <v>58</v>
      </c>
      <c r="P4995" t="s">
        <v>186</v>
      </c>
      <c r="Q4995" t="s">
        <v>58</v>
      </c>
      <c r="R4995" t="str">
        <f>IFERROR(VLOOKUP(record[[#This Row],[PCUSTID]],廠商[],2,FALSE),"")</f>
        <v/>
      </c>
      <c r="S4995" t="str">
        <f>VLOOKUP(record[[#This Row],[employeeID]],員工[],2,FALSE)</f>
        <v>許文姍</v>
      </c>
    </row>
    <row r="4996" spans="6:19" hidden="1" x14ac:dyDescent="0.25">
      <c r="F4996" t="s">
        <v>1381</v>
      </c>
      <c r="G4996" t="s">
        <v>420</v>
      </c>
      <c r="H4996" t="str">
        <f>VLOOKUP(record[[#This Row],[ProcessSN]],表格2_7[],2,FALSE)</f>
        <v>30-4118-018-5XX</v>
      </c>
      <c r="I4996" t="str">
        <f>VLOOKUP(record[[#This Row],[ProcessSN]],表格2_7[],3,FALSE)</f>
        <v>#07STOCK</v>
      </c>
      <c r="J4996" t="s">
        <v>592</v>
      </c>
      <c r="K4996" s="195">
        <v>46035.656145833331</v>
      </c>
      <c r="L4996">
        <v>600</v>
      </c>
      <c r="M4996">
        <v>0</v>
      </c>
      <c r="N4996" s="98" t="str">
        <f>IF(record[[#This Row],[Memo]]="Browser:chrome os:android","平板報工",IF(record[[#This Row],[Memo]]=0,"委外",record[[#This Row],[Memo]]))</f>
        <v/>
      </c>
      <c r="O4996" t="s">
        <v>58</v>
      </c>
      <c r="P4996" t="s">
        <v>186</v>
      </c>
      <c r="Q4996" t="s">
        <v>58</v>
      </c>
      <c r="R4996" t="str">
        <f>IFERROR(VLOOKUP(record[[#This Row],[PCUSTID]],廠商[],2,FALSE),"")</f>
        <v/>
      </c>
      <c r="S4996" t="str">
        <f>VLOOKUP(record[[#This Row],[employeeID]],員工[],2,FALSE)</f>
        <v>許文姍</v>
      </c>
    </row>
    <row r="4997" spans="6:19" hidden="1" x14ac:dyDescent="0.25">
      <c r="F4997" t="s">
        <v>1417</v>
      </c>
      <c r="G4997" t="s">
        <v>447</v>
      </c>
      <c r="H4997" t="str">
        <f>VLOOKUP(record[[#This Row],[ProcessSN]],表格2_7[],2,FALSE)</f>
        <v>30-4118-018-6XX</v>
      </c>
      <c r="I4997" t="str">
        <f>VLOOKUP(record[[#This Row],[ProcessSN]],表格2_7[],3,FALSE)</f>
        <v>#03</v>
      </c>
      <c r="J4997" t="s">
        <v>588</v>
      </c>
      <c r="K4997" s="195">
        <v>46035.654930555553</v>
      </c>
      <c r="L4997">
        <v>670</v>
      </c>
      <c r="M4997">
        <v>2</v>
      </c>
      <c r="N4997" s="98" t="str">
        <f>IF(record[[#This Row],[Memo]]="Browser:chrome os:android","平板報工",IF(record[[#This Row],[Memo]]=0,"委外",record[[#This Row],[Memo]]))</f>
        <v/>
      </c>
      <c r="O4997" t="s">
        <v>58</v>
      </c>
      <c r="P4997" t="s">
        <v>107</v>
      </c>
      <c r="Q4997" t="s">
        <v>58</v>
      </c>
      <c r="R4997" t="str">
        <f>IFERROR(VLOOKUP(record[[#This Row],[PCUSTID]],廠商[],2,FALSE),"")</f>
        <v/>
      </c>
      <c r="S4997" t="str">
        <f>VLOOKUP(record[[#This Row],[employeeID]],員工[],2,FALSE)</f>
        <v>黎氏順</v>
      </c>
    </row>
    <row r="4998" spans="6:19" hidden="1" x14ac:dyDescent="0.25">
      <c r="F4998" t="s">
        <v>1416</v>
      </c>
      <c r="G4998" t="s">
        <v>418</v>
      </c>
      <c r="H4998" t="str">
        <f>VLOOKUP(record[[#This Row],[ProcessSN]],表格2_7[],2,FALSE)</f>
        <v>30-4118-018-5XX</v>
      </c>
      <c r="I4998" t="str">
        <f>VLOOKUP(record[[#This Row],[ProcessSN]],表格2_7[],3,FALSE)</f>
        <v>#07</v>
      </c>
      <c r="J4998" t="s">
        <v>588</v>
      </c>
      <c r="K4998" s="195">
        <v>46035.653969907406</v>
      </c>
      <c r="L4998">
        <v>102</v>
      </c>
      <c r="M4998">
        <v>8</v>
      </c>
      <c r="N4998" s="98" t="str">
        <f>IF(record[[#This Row],[Memo]]="Browser:chrome os:android","平板報工",IF(record[[#This Row],[Memo]]=0,"委外",record[[#This Row],[Memo]]))</f>
        <v/>
      </c>
      <c r="O4998" t="s">
        <v>58</v>
      </c>
      <c r="P4998" t="s">
        <v>785</v>
      </c>
      <c r="Q4998" t="s">
        <v>58</v>
      </c>
      <c r="R4998" t="str">
        <f>IFERROR(VLOOKUP(record[[#This Row],[PCUSTID]],廠商[],2,FALSE),"")</f>
        <v/>
      </c>
      <c r="S4998" t="str">
        <f>VLOOKUP(record[[#This Row],[employeeID]],員工[],2,FALSE)</f>
        <v>謝刻光</v>
      </c>
    </row>
    <row r="4999" spans="6:19" hidden="1" x14ac:dyDescent="0.25">
      <c r="F4999" t="s">
        <v>1416</v>
      </c>
      <c r="G4999" t="s">
        <v>417</v>
      </c>
      <c r="H4999" t="str">
        <f>VLOOKUP(record[[#This Row],[ProcessSN]],表格2_7[],2,FALSE)</f>
        <v>30-4118-018-5XX</v>
      </c>
      <c r="I4999" t="str">
        <f>VLOOKUP(record[[#This Row],[ProcessSN]],表格2_7[],3,FALSE)</f>
        <v>#06</v>
      </c>
      <c r="J4999" t="s">
        <v>593</v>
      </c>
      <c r="K4999" s="195">
        <v>46035.653009259258</v>
      </c>
      <c r="L4999">
        <v>110</v>
      </c>
      <c r="M4999">
        <v>0</v>
      </c>
      <c r="N4999" s="98" t="str">
        <f>IF(record[[#This Row],[Memo]]="Browser:chrome os:android","平板報工",IF(record[[#This Row],[Memo]]=0,"委外",record[[#This Row],[Memo]]))</f>
        <v/>
      </c>
      <c r="O4999" t="s">
        <v>58</v>
      </c>
      <c r="P4999" t="s">
        <v>1413</v>
      </c>
      <c r="Q4999" t="s">
        <v>58</v>
      </c>
      <c r="R4999" t="str">
        <f>IFERROR(VLOOKUP(record[[#This Row],[PCUSTID]],廠商[],2,FALSE),"")</f>
        <v/>
      </c>
      <c r="S4999" t="str">
        <f>VLOOKUP(record[[#This Row],[employeeID]],員工[],2,FALSE)</f>
        <v>阮氏芳英(芳)</v>
      </c>
    </row>
    <row r="5000" spans="6:19" hidden="1" x14ac:dyDescent="0.25">
      <c r="F5000" t="s">
        <v>1416</v>
      </c>
      <c r="G5000" t="s">
        <v>416</v>
      </c>
      <c r="H5000" t="str">
        <f>VLOOKUP(record[[#This Row],[ProcessSN]],表格2_7[],2,FALSE)</f>
        <v>30-4118-018-5XX</v>
      </c>
      <c r="I5000" t="str">
        <f>VLOOKUP(record[[#This Row],[ProcessSN]],表格2_7[],3,FALSE)</f>
        <v>#05</v>
      </c>
      <c r="J5000" t="s">
        <v>588</v>
      </c>
      <c r="K5000" s="195">
        <v>46035.65047453704</v>
      </c>
      <c r="L5000">
        <v>80</v>
      </c>
      <c r="M5000">
        <v>0</v>
      </c>
      <c r="N5000" s="98" t="str">
        <f>IF(record[[#This Row],[Memo]]="Browser:chrome os:android","平板報工",IF(record[[#This Row],[Memo]]=0,"委外",record[[#This Row],[Memo]]))</f>
        <v/>
      </c>
      <c r="O5000" t="s">
        <v>58</v>
      </c>
      <c r="P5000" t="s">
        <v>785</v>
      </c>
      <c r="Q5000" t="s">
        <v>58</v>
      </c>
      <c r="R5000" t="str">
        <f>IFERROR(VLOOKUP(record[[#This Row],[PCUSTID]],廠商[],2,FALSE),"")</f>
        <v/>
      </c>
      <c r="S5000" t="str">
        <f>VLOOKUP(record[[#This Row],[employeeID]],員工[],2,FALSE)</f>
        <v>謝刻光</v>
      </c>
    </row>
    <row r="5001" spans="6:19" hidden="1" x14ac:dyDescent="0.25">
      <c r="F5001" t="s">
        <v>1416</v>
      </c>
      <c r="G5001" t="s">
        <v>415</v>
      </c>
      <c r="H5001" t="str">
        <f>VLOOKUP(record[[#This Row],[ProcessSN]],表格2_7[],2,FALSE)</f>
        <v>30-4118-018-5XX</v>
      </c>
      <c r="I5001" t="str">
        <f>VLOOKUP(record[[#This Row],[ProcessSN]],表格2_7[],3,FALSE)</f>
        <v>#04</v>
      </c>
      <c r="J5001" t="s">
        <v>588</v>
      </c>
      <c r="K5001" s="195">
        <v>46035.650231481479</v>
      </c>
      <c r="L5001">
        <v>89</v>
      </c>
      <c r="M5001">
        <v>0</v>
      </c>
      <c r="N5001" s="98" t="str">
        <f>IF(record[[#This Row],[Memo]]="Browser:chrome os:android","平板報工",IF(record[[#This Row],[Memo]]=0,"委外",record[[#This Row],[Memo]]))</f>
        <v/>
      </c>
      <c r="O5001" t="s">
        <v>58</v>
      </c>
      <c r="P5001" t="s">
        <v>145</v>
      </c>
      <c r="Q5001" t="s">
        <v>58</v>
      </c>
      <c r="R5001" t="str">
        <f>IFERROR(VLOOKUP(record[[#This Row],[PCUSTID]],廠商[],2,FALSE),"")</f>
        <v/>
      </c>
      <c r="S5001" t="str">
        <f>VLOOKUP(record[[#This Row],[employeeID]],員工[],2,FALSE)</f>
        <v>阮秋霞</v>
      </c>
    </row>
    <row r="5002" spans="6:19" hidden="1" x14ac:dyDescent="0.25">
      <c r="F5002" t="s">
        <v>1451</v>
      </c>
      <c r="G5002" t="s">
        <v>397</v>
      </c>
      <c r="H5002" t="str">
        <f>VLOOKUP(record[[#This Row],[ProcessSN]],表格2_7[],2,FALSE)</f>
        <v>30-4118-018-550</v>
      </c>
      <c r="I5002" t="str">
        <f>VLOOKUP(record[[#This Row],[ProcessSN]],表格2_7[],3,FALSE)</f>
        <v>#08</v>
      </c>
      <c r="J5002" t="s">
        <v>597</v>
      </c>
      <c r="K5002" s="195">
        <v>46035.627476851849</v>
      </c>
      <c r="L5002">
        <v>763</v>
      </c>
      <c r="M5002">
        <v>0</v>
      </c>
      <c r="N5002" s="98" t="str">
        <f>IF(record[[#This Row],[Memo]]="Browser:chrome os:android","平板報工",IF(record[[#This Row],[Memo]]=0,"委外",record[[#This Row],[Memo]]))</f>
        <v>委外</v>
      </c>
      <c r="P5002" t="s">
        <v>186</v>
      </c>
      <c r="Q5002" t="s">
        <v>287</v>
      </c>
      <c r="R5002" t="str">
        <f>IFERROR(VLOOKUP(record[[#This Row],[PCUSTID]],廠商[],2,FALSE),"")</f>
        <v>泉盛</v>
      </c>
      <c r="S5002" t="str">
        <f>VLOOKUP(record[[#This Row],[employeeID]],員工[],2,FALSE)</f>
        <v>許文姍</v>
      </c>
    </row>
    <row r="5003" spans="6:19" hidden="1" x14ac:dyDescent="0.25">
      <c r="F5003" t="s">
        <v>1451</v>
      </c>
      <c r="G5003" t="s">
        <v>396</v>
      </c>
      <c r="H5003" t="str">
        <f>VLOOKUP(record[[#This Row],[ProcessSN]],表格2_7[],2,FALSE)</f>
        <v>30-4118-018-550</v>
      </c>
      <c r="I5003" t="str">
        <f>VLOOKUP(record[[#This Row],[ProcessSN]],表格2_7[],3,FALSE)</f>
        <v>#08PICK</v>
      </c>
      <c r="J5003" t="s">
        <v>582</v>
      </c>
      <c r="K5003" s="195">
        <v>46035.627164351848</v>
      </c>
      <c r="L5003">
        <v>763</v>
      </c>
      <c r="M5003">
        <v>0</v>
      </c>
      <c r="N5003" s="98" t="str">
        <f>IF(record[[#This Row],[Memo]]="Browser:chrome os:android","平板報工",IF(record[[#This Row],[Memo]]=0,"委外",record[[#This Row],[Memo]]))</f>
        <v/>
      </c>
      <c r="O5003" t="s">
        <v>58</v>
      </c>
      <c r="P5003" t="s">
        <v>186</v>
      </c>
      <c r="Q5003" t="s">
        <v>58</v>
      </c>
      <c r="R5003" t="str">
        <f>IFERROR(VLOOKUP(record[[#This Row],[PCUSTID]],廠商[],2,FALSE),"")</f>
        <v/>
      </c>
      <c r="S5003" t="str">
        <f>VLOOKUP(record[[#This Row],[employeeID]],員工[],2,FALSE)</f>
        <v>許文姍</v>
      </c>
    </row>
    <row r="5004" spans="6:19" hidden="1" x14ac:dyDescent="0.25">
      <c r="F5004" t="s">
        <v>1381</v>
      </c>
      <c r="G5004" t="s">
        <v>418</v>
      </c>
      <c r="H5004" t="str">
        <f>VLOOKUP(record[[#This Row],[ProcessSN]],表格2_7[],2,FALSE)</f>
        <v>30-4118-018-5XX</v>
      </c>
      <c r="I5004" t="str">
        <f>VLOOKUP(record[[#This Row],[ProcessSN]],表格2_7[],3,FALSE)</f>
        <v>#07</v>
      </c>
      <c r="J5004" t="s">
        <v>588</v>
      </c>
      <c r="K5004" s="195">
        <v>46035.603252314817</v>
      </c>
      <c r="L5004">
        <v>12</v>
      </c>
      <c r="M5004">
        <v>2</v>
      </c>
      <c r="N5004" s="98" t="str">
        <f>IF(record[[#This Row],[Memo]]="Browser:chrome os:android","平板報工",IF(record[[#This Row],[Memo]]=0,"委外",record[[#This Row],[Memo]]))</f>
        <v/>
      </c>
      <c r="O5004" t="s">
        <v>58</v>
      </c>
      <c r="P5004" t="s">
        <v>843</v>
      </c>
      <c r="Q5004" t="s">
        <v>58</v>
      </c>
      <c r="R5004" t="str">
        <f>IFERROR(VLOOKUP(record[[#This Row],[PCUSTID]],廠商[],2,FALSE),"")</f>
        <v/>
      </c>
      <c r="S5004" t="str">
        <f>VLOOKUP(record[[#This Row],[employeeID]],員工[],2,FALSE)</f>
        <v>張楚承</v>
      </c>
    </row>
    <row r="5005" spans="6:19" hidden="1" x14ac:dyDescent="0.25">
      <c r="F5005" t="s">
        <v>1381</v>
      </c>
      <c r="G5005" t="s">
        <v>419</v>
      </c>
      <c r="H5005" t="str">
        <f>VLOOKUP(record[[#This Row],[ProcessSN]],表格2_7[],2,FALSE)</f>
        <v>30-4118-018-5XX</v>
      </c>
      <c r="I5005" t="str">
        <f>VLOOKUP(record[[#This Row],[ProcessSN]],表格2_7[],3,FALSE)</f>
        <v>#07QC</v>
      </c>
      <c r="J5005" t="s">
        <v>589</v>
      </c>
      <c r="K5005" s="195">
        <v>46035.601006944446</v>
      </c>
      <c r="L5005">
        <v>0</v>
      </c>
      <c r="M5005">
        <v>23</v>
      </c>
      <c r="N5005" s="98" t="str">
        <f>IF(record[[#This Row],[Memo]]="Browser:chrome os:android","平板報工",IF(record[[#This Row],[Memo]]=0,"委外",record[[#This Row],[Memo]]))</f>
        <v/>
      </c>
      <c r="O5005" t="s">
        <v>58</v>
      </c>
      <c r="P5005" t="s">
        <v>99</v>
      </c>
      <c r="Q5005" t="s">
        <v>58</v>
      </c>
      <c r="R5005" t="str">
        <f>IFERROR(VLOOKUP(record[[#This Row],[PCUSTID]],廠商[],2,FALSE),"")</f>
        <v/>
      </c>
      <c r="S5005" t="str">
        <f>VLOOKUP(record[[#This Row],[employeeID]],員工[],2,FALSE)</f>
        <v>阮氏河</v>
      </c>
    </row>
    <row r="5006" spans="6:19" hidden="1" x14ac:dyDescent="0.25">
      <c r="F5006" t="s">
        <v>1381</v>
      </c>
      <c r="G5006" t="s">
        <v>419</v>
      </c>
      <c r="H5006" t="str">
        <f>VLOOKUP(record[[#This Row],[ProcessSN]],表格2_7[],2,FALSE)</f>
        <v>30-4118-018-5XX</v>
      </c>
      <c r="I5006" t="str">
        <f>VLOOKUP(record[[#This Row],[ProcessSN]],表格2_7[],3,FALSE)</f>
        <v>#07QC</v>
      </c>
      <c r="J5006" t="s">
        <v>589</v>
      </c>
      <c r="K5006" s="195">
        <v>46035.595266203702</v>
      </c>
      <c r="L5006">
        <v>600</v>
      </c>
      <c r="M5006">
        <v>0</v>
      </c>
      <c r="N5006" s="98" t="str">
        <f>IF(record[[#This Row],[Memo]]="Browser:chrome os:android","平板報工",IF(record[[#This Row],[Memo]]=0,"委外",record[[#This Row],[Memo]]))</f>
        <v>平板報工</v>
      </c>
      <c r="O5006" t="s">
        <v>643</v>
      </c>
      <c r="P5006" t="s">
        <v>99</v>
      </c>
      <c r="Q5006" t="s">
        <v>644</v>
      </c>
      <c r="R5006" t="str">
        <f>IFERROR(VLOOKUP(record[[#This Row],[PCUSTID]],廠商[],2,FALSE),"")</f>
        <v/>
      </c>
      <c r="S5006" t="str">
        <f>VLOOKUP(record[[#This Row],[employeeID]],員工[],2,FALSE)</f>
        <v>阮氏河</v>
      </c>
    </row>
    <row r="5007" spans="6:19" hidden="1" x14ac:dyDescent="0.25">
      <c r="F5007" t="s">
        <v>1416</v>
      </c>
      <c r="G5007" t="s">
        <v>419</v>
      </c>
      <c r="H5007" t="str">
        <f>VLOOKUP(record[[#This Row],[ProcessSN]],表格2_7[],2,FALSE)</f>
        <v>30-4118-018-5XX</v>
      </c>
      <c r="I5007" t="str">
        <f>VLOOKUP(record[[#This Row],[ProcessSN]],表格2_7[],3,FALSE)</f>
        <v>#07QC</v>
      </c>
      <c r="J5007" t="s">
        <v>589</v>
      </c>
      <c r="K5007" s="195">
        <v>46035.594525462962</v>
      </c>
      <c r="L5007">
        <v>163</v>
      </c>
      <c r="M5007">
        <v>0</v>
      </c>
      <c r="N5007" s="98" t="str">
        <f>IF(record[[#This Row],[Memo]]="Browser:chrome os:android","平板報工",IF(record[[#This Row],[Memo]]=0,"委外",record[[#This Row],[Memo]]))</f>
        <v>平板報工</v>
      </c>
      <c r="O5007" t="s">
        <v>643</v>
      </c>
      <c r="P5007" t="s">
        <v>99</v>
      </c>
      <c r="Q5007" t="s">
        <v>644</v>
      </c>
      <c r="R5007" t="str">
        <f>IFERROR(VLOOKUP(record[[#This Row],[PCUSTID]],廠商[],2,FALSE),"")</f>
        <v/>
      </c>
      <c r="S5007" t="str">
        <f>VLOOKUP(record[[#This Row],[employeeID]],員工[],2,FALSE)</f>
        <v>阮氏河</v>
      </c>
    </row>
    <row r="5008" spans="6:19" hidden="1" x14ac:dyDescent="0.25">
      <c r="F5008" t="s">
        <v>1406</v>
      </c>
      <c r="G5008" t="s">
        <v>469</v>
      </c>
      <c r="H5008" t="str">
        <f>VLOOKUP(record[[#This Row],[ProcessSN]],表格2_7[],2,FALSE)</f>
        <v>30-4118-018-XXX</v>
      </c>
      <c r="I5008" t="str">
        <f>VLOOKUP(record[[#This Row],[ProcessSN]],表格2_7[],3,FALSE)</f>
        <v>#02RCV</v>
      </c>
      <c r="J5008" t="s">
        <v>591</v>
      </c>
      <c r="K5008" s="195">
        <v>46035.576504629629</v>
      </c>
      <c r="L5008">
        <v>504</v>
      </c>
      <c r="M5008">
        <v>0</v>
      </c>
      <c r="N5008" s="98" t="str">
        <f>IF(record[[#This Row],[Memo]]="Browser:chrome os:android","平板報工",IF(record[[#This Row],[Memo]]=0,"委外",record[[#This Row],[Memo]]))</f>
        <v/>
      </c>
      <c r="O5008" t="s">
        <v>58</v>
      </c>
      <c r="P5008" t="s">
        <v>186</v>
      </c>
      <c r="Q5008" t="s">
        <v>58</v>
      </c>
      <c r="R5008" t="str">
        <f>IFERROR(VLOOKUP(record[[#This Row],[PCUSTID]],廠商[],2,FALSE),"")</f>
        <v/>
      </c>
      <c r="S5008" t="str">
        <f>VLOOKUP(record[[#This Row],[employeeID]],員工[],2,FALSE)</f>
        <v>許文姍</v>
      </c>
    </row>
    <row r="5009" spans="6:19" hidden="1" x14ac:dyDescent="0.25">
      <c r="F5009" t="s">
        <v>1391</v>
      </c>
      <c r="G5009" t="s">
        <v>428</v>
      </c>
      <c r="H5009" t="str">
        <f>VLOOKUP(record[[#This Row],[ProcessSN]],表格2_7[],2,FALSE)</f>
        <v>30-4118-018-600</v>
      </c>
      <c r="I5009" t="str">
        <f>VLOOKUP(record[[#This Row],[ProcessSN]],表格2_7[],3,FALSE)</f>
        <v>#100SHIP</v>
      </c>
      <c r="J5009" t="s">
        <v>600</v>
      </c>
      <c r="K5009" s="195">
        <v>46035.559583333335</v>
      </c>
      <c r="L5009">
        <v>341</v>
      </c>
      <c r="M5009">
        <v>0</v>
      </c>
      <c r="N5009" s="98" t="str">
        <f>IF(record[[#This Row],[Memo]]="Browser:chrome os:android","平板報工",IF(record[[#This Row],[Memo]]=0,"委外",record[[#This Row],[Memo]]))</f>
        <v/>
      </c>
      <c r="O5009" t="s">
        <v>58</v>
      </c>
      <c r="P5009" t="s">
        <v>886</v>
      </c>
      <c r="Q5009" t="s">
        <v>58</v>
      </c>
      <c r="R5009" t="str">
        <f>IFERROR(VLOOKUP(record[[#This Row],[PCUSTID]],廠商[],2,FALSE),"")</f>
        <v/>
      </c>
      <c r="S5009" t="str">
        <f>VLOOKUP(record[[#This Row],[employeeID]],員工[],2,FALSE)</f>
        <v>謝蓁薰</v>
      </c>
    </row>
    <row r="5010" spans="6:19" hidden="1" x14ac:dyDescent="0.25">
      <c r="F5010" t="s">
        <v>1391</v>
      </c>
      <c r="G5010" t="s">
        <v>427</v>
      </c>
      <c r="H5010" t="str">
        <f>VLOOKUP(record[[#This Row],[ProcessSN]],表格2_7[],2,FALSE)</f>
        <v>30-4118-018-600</v>
      </c>
      <c r="I5010" t="str">
        <f>VLOOKUP(record[[#This Row],[ProcessSN]],表格2_7[],3,FALSE)</f>
        <v>#100STOCK</v>
      </c>
      <c r="J5010" t="s">
        <v>592</v>
      </c>
      <c r="K5010" s="195">
        <v>46035.55945601852</v>
      </c>
      <c r="L5010">
        <v>5</v>
      </c>
      <c r="M5010">
        <v>0</v>
      </c>
      <c r="N5010" s="98" t="str">
        <f>IF(record[[#This Row],[Memo]]="Browser:chrome os:android","平板報工",IF(record[[#This Row],[Memo]]=0,"委外",record[[#This Row],[Memo]]))</f>
        <v/>
      </c>
      <c r="O5010" t="s">
        <v>58</v>
      </c>
      <c r="P5010" t="s">
        <v>886</v>
      </c>
      <c r="Q5010" t="s">
        <v>58</v>
      </c>
      <c r="R5010" t="str">
        <f>IFERROR(VLOOKUP(record[[#This Row],[PCUSTID]],廠商[],2,FALSE),"")</f>
        <v/>
      </c>
      <c r="S5010" t="str">
        <f>VLOOKUP(record[[#This Row],[employeeID]],員工[],2,FALSE)</f>
        <v>謝蓁薰</v>
      </c>
    </row>
    <row r="5011" spans="6:19" hidden="1" x14ac:dyDescent="0.25">
      <c r="F5011" t="s">
        <v>1388</v>
      </c>
      <c r="G5011" t="s">
        <v>428</v>
      </c>
      <c r="H5011" t="str">
        <f>VLOOKUP(record[[#This Row],[ProcessSN]],表格2_7[],2,FALSE)</f>
        <v>30-4118-018-600</v>
      </c>
      <c r="I5011" t="str">
        <f>VLOOKUP(record[[#This Row],[ProcessSN]],表格2_7[],3,FALSE)</f>
        <v>#100SHIP</v>
      </c>
      <c r="J5011" t="s">
        <v>600</v>
      </c>
      <c r="K5011" s="195">
        <v>46035.559293981481</v>
      </c>
      <c r="L5011">
        <v>147</v>
      </c>
      <c r="M5011">
        <v>0</v>
      </c>
      <c r="N5011" s="98" t="str">
        <f>IF(record[[#This Row],[Memo]]="Browser:chrome os:android","平板報工",IF(record[[#This Row],[Memo]]=0,"委外",record[[#This Row],[Memo]]))</f>
        <v/>
      </c>
      <c r="O5011" t="s">
        <v>58</v>
      </c>
      <c r="P5011" t="s">
        <v>886</v>
      </c>
      <c r="Q5011" t="s">
        <v>58</v>
      </c>
      <c r="R5011" t="str">
        <f>IFERROR(VLOOKUP(record[[#This Row],[PCUSTID]],廠商[],2,FALSE),"")</f>
        <v/>
      </c>
      <c r="S5011" t="str">
        <f>VLOOKUP(record[[#This Row],[employeeID]],員工[],2,FALSE)</f>
        <v>謝蓁薰</v>
      </c>
    </row>
    <row r="5012" spans="6:19" hidden="1" x14ac:dyDescent="0.25">
      <c r="F5012" t="s">
        <v>1391</v>
      </c>
      <c r="G5012" t="s">
        <v>426</v>
      </c>
      <c r="H5012" t="str">
        <f>VLOOKUP(record[[#This Row],[ProcessSN]],表格2_7[],2,FALSE)</f>
        <v>30-4118-018-600</v>
      </c>
      <c r="I5012" t="str">
        <f>VLOOKUP(record[[#This Row],[ProcessSN]],表格2_7[],3,FALSE)</f>
        <v>#100OQC</v>
      </c>
      <c r="J5012" t="s">
        <v>599</v>
      </c>
      <c r="K5012" s="195">
        <v>46035.559166666666</v>
      </c>
      <c r="L5012">
        <v>8</v>
      </c>
      <c r="M5012">
        <v>0</v>
      </c>
      <c r="N5012" s="98" t="str">
        <f>IF(record[[#This Row],[Memo]]="Browser:chrome os:android","平板報工",IF(record[[#This Row],[Memo]]=0,"委外",record[[#This Row],[Memo]]))</f>
        <v/>
      </c>
      <c r="O5012" t="s">
        <v>58</v>
      </c>
      <c r="P5012" t="s">
        <v>121</v>
      </c>
      <c r="Q5012" t="s">
        <v>58</v>
      </c>
      <c r="R5012" t="str">
        <f>IFERROR(VLOOKUP(record[[#This Row],[PCUSTID]],廠商[],2,FALSE),"")</f>
        <v/>
      </c>
      <c r="S5012" t="str">
        <f>VLOOKUP(record[[#This Row],[employeeID]],員工[],2,FALSE)</f>
        <v>謝素卿</v>
      </c>
    </row>
    <row r="5013" spans="6:19" hidden="1" x14ac:dyDescent="0.25">
      <c r="F5013" t="s">
        <v>1400</v>
      </c>
      <c r="G5013" t="s">
        <v>362</v>
      </c>
      <c r="H5013" t="str">
        <f>VLOOKUP(record[[#This Row],[ProcessSN]],表格2_7[],2,FALSE)</f>
        <v>30-4118-018-450</v>
      </c>
      <c r="I5013" t="str">
        <f>VLOOKUP(record[[#This Row],[ProcessSN]],表格2_7[],3,FALSE)</f>
        <v>#100SHIP</v>
      </c>
      <c r="J5013" t="s">
        <v>600</v>
      </c>
      <c r="K5013" s="195">
        <v>46035.558275462965</v>
      </c>
      <c r="L5013">
        <v>8</v>
      </c>
      <c r="M5013">
        <v>0</v>
      </c>
      <c r="N5013" s="98" t="str">
        <f>IF(record[[#This Row],[Memo]]="Browser:chrome os:android","平板報工",IF(record[[#This Row],[Memo]]=0,"委外",record[[#This Row],[Memo]]))</f>
        <v/>
      </c>
      <c r="O5013" t="s">
        <v>58</v>
      </c>
      <c r="P5013" t="s">
        <v>886</v>
      </c>
      <c r="Q5013" t="s">
        <v>58</v>
      </c>
      <c r="R5013" t="str">
        <f>IFERROR(VLOOKUP(record[[#This Row],[PCUSTID]],廠商[],2,FALSE),"")</f>
        <v/>
      </c>
      <c r="S5013" t="str">
        <f>VLOOKUP(record[[#This Row],[employeeID]],員工[],2,FALSE)</f>
        <v>謝蓁薰</v>
      </c>
    </row>
    <row r="5014" spans="6:19" hidden="1" x14ac:dyDescent="0.25">
      <c r="F5014" t="s">
        <v>1400</v>
      </c>
      <c r="G5014" t="s">
        <v>361</v>
      </c>
      <c r="H5014" t="str">
        <f>VLOOKUP(record[[#This Row],[ProcessSN]],表格2_7[],2,FALSE)</f>
        <v>30-4118-018-450</v>
      </c>
      <c r="I5014" t="str">
        <f>VLOOKUP(record[[#This Row],[ProcessSN]],表格2_7[],3,FALSE)</f>
        <v>#100STOCK</v>
      </c>
      <c r="J5014" t="s">
        <v>592</v>
      </c>
      <c r="K5014" s="195">
        <v>46035.558125000003</v>
      </c>
      <c r="L5014">
        <v>8</v>
      </c>
      <c r="M5014">
        <v>0</v>
      </c>
      <c r="N5014" s="98" t="str">
        <f>IF(record[[#This Row],[Memo]]="Browser:chrome os:android","平板報工",IF(record[[#This Row],[Memo]]=0,"委外",record[[#This Row],[Memo]]))</f>
        <v/>
      </c>
      <c r="O5014" t="s">
        <v>58</v>
      </c>
      <c r="P5014" t="s">
        <v>886</v>
      </c>
      <c r="Q5014" t="s">
        <v>58</v>
      </c>
      <c r="R5014" t="str">
        <f>IFERROR(VLOOKUP(record[[#This Row],[PCUSTID]],廠商[],2,FALSE),"")</f>
        <v/>
      </c>
      <c r="S5014" t="str">
        <f>VLOOKUP(record[[#This Row],[employeeID]],員工[],2,FALSE)</f>
        <v>謝蓁薰</v>
      </c>
    </row>
    <row r="5015" spans="6:19" hidden="1" x14ac:dyDescent="0.25">
      <c r="F5015" t="s">
        <v>956</v>
      </c>
      <c r="G5015" t="s">
        <v>362</v>
      </c>
      <c r="H5015" t="str">
        <f>VLOOKUP(record[[#This Row],[ProcessSN]],表格2_7[],2,FALSE)</f>
        <v>30-4118-018-450</v>
      </c>
      <c r="I5015" t="str">
        <f>VLOOKUP(record[[#This Row],[ProcessSN]],表格2_7[],3,FALSE)</f>
        <v>#100SHIP</v>
      </c>
      <c r="J5015" t="s">
        <v>600</v>
      </c>
      <c r="K5015" s="195">
        <v>46035.557812500003</v>
      </c>
      <c r="L5015">
        <v>1</v>
      </c>
      <c r="M5015">
        <v>0</v>
      </c>
      <c r="N5015" s="98" t="str">
        <f>IF(record[[#This Row],[Memo]]="Browser:chrome os:android","平板報工",IF(record[[#This Row],[Memo]]=0,"委外",record[[#This Row],[Memo]]))</f>
        <v/>
      </c>
      <c r="O5015" t="s">
        <v>58</v>
      </c>
      <c r="P5015" t="s">
        <v>886</v>
      </c>
      <c r="Q5015" t="s">
        <v>58</v>
      </c>
      <c r="R5015" t="str">
        <f>IFERROR(VLOOKUP(record[[#This Row],[PCUSTID]],廠商[],2,FALSE),"")</f>
        <v/>
      </c>
      <c r="S5015" t="str">
        <f>VLOOKUP(record[[#This Row],[employeeID]],員工[],2,FALSE)</f>
        <v>謝蓁薰</v>
      </c>
    </row>
    <row r="5016" spans="6:19" hidden="1" x14ac:dyDescent="0.25">
      <c r="F5016" t="s">
        <v>1450</v>
      </c>
      <c r="G5016" t="s">
        <v>462</v>
      </c>
      <c r="H5016" t="str">
        <f>VLOOKUP(record[[#This Row],[ProcessSN]],表格2_7[],2,FALSE)</f>
        <v>30-4118-018-XXX</v>
      </c>
      <c r="I5016" t="str">
        <f>VLOOKUP(record[[#This Row],[ProcessSN]],表格2_7[],3,FALSE)</f>
        <v>#00PICK</v>
      </c>
      <c r="J5016" t="s">
        <v>582</v>
      </c>
      <c r="K5016" s="195">
        <v>46035.495821759258</v>
      </c>
      <c r="L5016">
        <v>5000</v>
      </c>
      <c r="M5016">
        <v>0</v>
      </c>
      <c r="N5016" s="98" t="str">
        <f>IF(record[[#This Row],[Memo]]="Browser:chrome os:android","平板報工",IF(record[[#This Row],[Memo]]=0,"委外",record[[#This Row],[Memo]]))</f>
        <v/>
      </c>
      <c r="O5016" t="s">
        <v>58</v>
      </c>
      <c r="P5016" t="s">
        <v>186</v>
      </c>
      <c r="Q5016" t="s">
        <v>58</v>
      </c>
      <c r="R5016" t="str">
        <f>IFERROR(VLOOKUP(record[[#This Row],[PCUSTID]],廠商[],2,FALSE),"")</f>
        <v/>
      </c>
      <c r="S5016" t="str">
        <f>VLOOKUP(record[[#This Row],[employeeID]],員工[],2,FALSE)</f>
        <v>許文姍</v>
      </c>
    </row>
    <row r="5017" spans="6:19" hidden="1" x14ac:dyDescent="0.25">
      <c r="F5017" t="s">
        <v>1388</v>
      </c>
      <c r="G5017" t="s">
        <v>427</v>
      </c>
      <c r="H5017" t="str">
        <f>VLOOKUP(record[[#This Row],[ProcessSN]],表格2_7[],2,FALSE)</f>
        <v>30-4118-018-600</v>
      </c>
      <c r="I5017" t="str">
        <f>VLOOKUP(record[[#This Row],[ProcessSN]],表格2_7[],3,FALSE)</f>
        <v>#100STOCK</v>
      </c>
      <c r="J5017" t="s">
        <v>592</v>
      </c>
      <c r="K5017" s="195">
        <v>46035.415439814817</v>
      </c>
      <c r="L5017">
        <v>147</v>
      </c>
      <c r="M5017">
        <v>0</v>
      </c>
      <c r="N5017" s="98" t="str">
        <f>IF(record[[#This Row],[Memo]]="Browser:chrome os:android","平板報工",IF(record[[#This Row],[Memo]]=0,"委外",record[[#This Row],[Memo]]))</f>
        <v/>
      </c>
      <c r="O5017" t="s">
        <v>58</v>
      </c>
      <c r="P5017" t="s">
        <v>886</v>
      </c>
      <c r="Q5017" t="s">
        <v>58</v>
      </c>
      <c r="R5017" t="str">
        <f>IFERROR(VLOOKUP(record[[#This Row],[PCUSTID]],廠商[],2,FALSE),"")</f>
        <v/>
      </c>
      <c r="S5017" t="str">
        <f>VLOOKUP(record[[#This Row],[employeeID]],員工[],2,FALSE)</f>
        <v>謝蓁薰</v>
      </c>
    </row>
    <row r="5018" spans="6:19" hidden="1" x14ac:dyDescent="0.25">
      <c r="F5018" t="s">
        <v>1391</v>
      </c>
      <c r="G5018" t="s">
        <v>427</v>
      </c>
      <c r="H5018" t="str">
        <f>VLOOKUP(record[[#This Row],[ProcessSN]],表格2_7[],2,FALSE)</f>
        <v>30-4118-018-600</v>
      </c>
      <c r="I5018" t="str">
        <f>VLOOKUP(record[[#This Row],[ProcessSN]],表格2_7[],3,FALSE)</f>
        <v>#100STOCK</v>
      </c>
      <c r="J5018" t="s">
        <v>592</v>
      </c>
      <c r="K5018" s="195">
        <v>46035.415300925924</v>
      </c>
      <c r="L5018">
        <v>336</v>
      </c>
      <c r="M5018">
        <v>0</v>
      </c>
      <c r="N5018" s="98" t="str">
        <f>IF(record[[#This Row],[Memo]]="Browser:chrome os:android","平板報工",IF(record[[#This Row],[Memo]]=0,"委外",record[[#This Row],[Memo]]))</f>
        <v/>
      </c>
      <c r="O5018" t="s">
        <v>58</v>
      </c>
      <c r="P5018" t="s">
        <v>886</v>
      </c>
      <c r="Q5018" t="s">
        <v>58</v>
      </c>
      <c r="R5018" t="str">
        <f>IFERROR(VLOOKUP(record[[#This Row],[PCUSTID]],廠商[],2,FALSE),"")</f>
        <v/>
      </c>
      <c r="S5018" t="str">
        <f>VLOOKUP(record[[#This Row],[employeeID]],員工[],2,FALSE)</f>
        <v>謝蓁薰</v>
      </c>
    </row>
    <row r="5019" spans="6:19" hidden="1" x14ac:dyDescent="0.25">
      <c r="F5019" t="s">
        <v>1391</v>
      </c>
      <c r="G5019" t="s">
        <v>425</v>
      </c>
      <c r="H5019" t="str">
        <f>VLOOKUP(record[[#This Row],[ProcessSN]],表格2_7[],2,FALSE)</f>
        <v>30-4118-018-600</v>
      </c>
      <c r="I5019" t="str">
        <f>VLOOKUP(record[[#This Row],[ProcessSN]],表格2_7[],3,FALSE)</f>
        <v>#100</v>
      </c>
      <c r="J5019" t="s">
        <v>598</v>
      </c>
      <c r="K5019" s="195">
        <v>46035.386631944442</v>
      </c>
      <c r="L5019">
        <v>8</v>
      </c>
      <c r="M5019">
        <v>0</v>
      </c>
      <c r="N5019" s="98" t="str">
        <f>IF(record[[#This Row],[Memo]]="Browser:chrome os:android","平板報工",IF(record[[#This Row],[Memo]]=0,"委外",record[[#This Row],[Memo]]))</f>
        <v/>
      </c>
      <c r="O5019" t="s">
        <v>58</v>
      </c>
      <c r="P5019" t="s">
        <v>99</v>
      </c>
      <c r="Q5019" t="s">
        <v>58</v>
      </c>
      <c r="R5019" t="str">
        <f>IFERROR(VLOOKUP(record[[#This Row],[PCUSTID]],廠商[],2,FALSE),"")</f>
        <v/>
      </c>
      <c r="S5019" t="str">
        <f>VLOOKUP(record[[#This Row],[employeeID]],員工[],2,FALSE)</f>
        <v>阮氏河</v>
      </c>
    </row>
    <row r="5020" spans="6:19" hidden="1" x14ac:dyDescent="0.25">
      <c r="F5020" t="s">
        <v>1406</v>
      </c>
      <c r="G5020" t="s">
        <v>471</v>
      </c>
      <c r="H5020" t="str">
        <f>VLOOKUP(record[[#This Row],[ProcessSN]],表格2_7[],2,FALSE)</f>
        <v>30-4118-018-XXX</v>
      </c>
      <c r="I5020" t="str">
        <f>VLOOKUP(record[[#This Row],[ProcessSN]],表格2_7[],3,FALSE)</f>
        <v>#02STOCK</v>
      </c>
      <c r="J5020" t="s">
        <v>592</v>
      </c>
      <c r="K5020" s="195">
        <v>46035.369513888887</v>
      </c>
      <c r="L5020">
        <v>655</v>
      </c>
      <c r="M5020">
        <v>0</v>
      </c>
      <c r="N5020" s="98" t="str">
        <f>IF(record[[#This Row],[Memo]]="Browser:chrome os:android","平板報工",IF(record[[#This Row],[Memo]]=0,"委外",record[[#This Row],[Memo]]))</f>
        <v/>
      </c>
      <c r="O5020" t="s">
        <v>58</v>
      </c>
      <c r="P5020" t="s">
        <v>65</v>
      </c>
      <c r="Q5020" t="s">
        <v>58</v>
      </c>
      <c r="R5020" t="str">
        <f>IFERROR(VLOOKUP(record[[#This Row],[PCUSTID]],廠商[],2,FALSE),"")</f>
        <v/>
      </c>
      <c r="S5020" t="str">
        <f>VLOOKUP(record[[#This Row],[employeeID]],員工[],2,FALSE)</f>
        <v>蘇進昌</v>
      </c>
    </row>
    <row r="5021" spans="6:19" hidden="1" x14ac:dyDescent="0.25">
      <c r="F5021" t="s">
        <v>1385</v>
      </c>
      <c r="G5021" t="s">
        <v>471</v>
      </c>
      <c r="H5021" t="str">
        <f>VLOOKUP(record[[#This Row],[ProcessSN]],表格2_7[],2,FALSE)</f>
        <v>30-4118-018-XXX</v>
      </c>
      <c r="I5021" t="str">
        <f>VLOOKUP(record[[#This Row],[ProcessSN]],表格2_7[],3,FALSE)</f>
        <v>#02STOCK</v>
      </c>
      <c r="J5021" t="s">
        <v>592</v>
      </c>
      <c r="K5021" s="195">
        <v>46035.369398148148</v>
      </c>
      <c r="L5021">
        <v>2160</v>
      </c>
      <c r="M5021">
        <v>0</v>
      </c>
      <c r="N5021" s="98" t="str">
        <f>IF(record[[#This Row],[Memo]]="Browser:chrome os:android","平板報工",IF(record[[#This Row],[Memo]]=0,"委外",record[[#This Row],[Memo]]))</f>
        <v/>
      </c>
      <c r="O5021" t="s">
        <v>58</v>
      </c>
      <c r="P5021" t="s">
        <v>65</v>
      </c>
      <c r="Q5021" t="s">
        <v>58</v>
      </c>
      <c r="R5021" t="str">
        <f>IFERROR(VLOOKUP(record[[#This Row],[PCUSTID]],廠商[],2,FALSE),"")</f>
        <v/>
      </c>
      <c r="S5021" t="str">
        <f>VLOOKUP(record[[#This Row],[employeeID]],員工[],2,FALSE)</f>
        <v>蘇進昌</v>
      </c>
    </row>
    <row r="5022" spans="6:19" hidden="1" x14ac:dyDescent="0.25">
      <c r="F5022" t="s">
        <v>1417</v>
      </c>
      <c r="G5022" t="s">
        <v>446</v>
      </c>
      <c r="H5022" t="str">
        <f>VLOOKUP(record[[#This Row],[ProcessSN]],表格2_7[],2,FALSE)</f>
        <v>30-4118-018-6XX</v>
      </c>
      <c r="I5022" t="str">
        <f>VLOOKUP(record[[#This Row],[ProcessSN]],表格2_7[],3,FALSE)</f>
        <v>#03GIVE</v>
      </c>
      <c r="J5022" t="s">
        <v>587</v>
      </c>
      <c r="K5022" s="195">
        <v>46035.363333333335</v>
      </c>
      <c r="L5022">
        <v>672</v>
      </c>
      <c r="M5022">
        <v>0</v>
      </c>
      <c r="N5022" s="98" t="str">
        <f>IF(record[[#This Row],[Memo]]="Browser:chrome os:android","平板報工",IF(record[[#This Row],[Memo]]=0,"委外",record[[#This Row],[Memo]]))</f>
        <v/>
      </c>
      <c r="O5022" t="s">
        <v>58</v>
      </c>
      <c r="P5022" t="s">
        <v>1070</v>
      </c>
      <c r="Q5022" t="s">
        <v>58</v>
      </c>
      <c r="R5022" t="str">
        <f>IFERROR(VLOOKUP(record[[#This Row],[PCUSTID]],廠商[],2,FALSE),"")</f>
        <v/>
      </c>
      <c r="S5022" t="str">
        <f>VLOOKUP(record[[#This Row],[employeeID]],員工[],2,FALSE)</f>
        <v>陳昱佑</v>
      </c>
    </row>
    <row r="5023" spans="6:19" hidden="1" x14ac:dyDescent="0.25">
      <c r="F5023" t="s">
        <v>1444</v>
      </c>
      <c r="G5023" t="s">
        <v>401</v>
      </c>
      <c r="H5023" t="str">
        <f>VLOOKUP(record[[#This Row],[ProcessSN]],表格2_7[],2,FALSE)</f>
        <v>30-4118-018-550</v>
      </c>
      <c r="I5023" t="str">
        <f>VLOOKUP(record[[#This Row],[ProcessSN]],表格2_7[],3,FALSE)</f>
        <v>#100OQC</v>
      </c>
      <c r="J5023" t="s">
        <v>599</v>
      </c>
      <c r="K5023" s="195">
        <v>46035.360115740739</v>
      </c>
      <c r="L5023">
        <v>72</v>
      </c>
      <c r="M5023">
        <v>0</v>
      </c>
      <c r="N5023" s="98" t="str">
        <f>IF(record[[#This Row],[Memo]]="Browser:chrome os:android","平板報工",IF(record[[#This Row],[Memo]]=0,"委外",record[[#This Row],[Memo]]))</f>
        <v/>
      </c>
      <c r="O5023" t="s">
        <v>58</v>
      </c>
      <c r="P5023" t="s">
        <v>121</v>
      </c>
      <c r="Q5023" t="s">
        <v>58</v>
      </c>
      <c r="R5023" t="str">
        <f>IFERROR(VLOOKUP(record[[#This Row],[PCUSTID]],廠商[],2,FALSE),"")</f>
        <v/>
      </c>
      <c r="S5023" t="str">
        <f>VLOOKUP(record[[#This Row],[employeeID]],員工[],2,FALSE)</f>
        <v>謝素卿</v>
      </c>
    </row>
    <row r="5024" spans="6:19" hidden="1" x14ac:dyDescent="0.25">
      <c r="F5024" t="s">
        <v>1400</v>
      </c>
      <c r="G5024" t="s">
        <v>360</v>
      </c>
      <c r="H5024" t="str">
        <f>VLOOKUP(record[[#This Row],[ProcessSN]],表格2_7[],2,FALSE)</f>
        <v>30-4118-018-450</v>
      </c>
      <c r="I5024" t="str">
        <f>VLOOKUP(record[[#This Row],[ProcessSN]],表格2_7[],3,FALSE)</f>
        <v>#100OQC</v>
      </c>
      <c r="J5024" t="s">
        <v>599</v>
      </c>
      <c r="K5024" s="195">
        <v>46035.357141203705</v>
      </c>
      <c r="L5024">
        <v>225</v>
      </c>
      <c r="M5024">
        <v>0</v>
      </c>
      <c r="N5024" s="98" t="str">
        <f>IF(record[[#This Row],[Memo]]="Browser:chrome os:android","平板報工",IF(record[[#This Row],[Memo]]=0,"委外",record[[#This Row],[Memo]]))</f>
        <v/>
      </c>
      <c r="O5024" t="s">
        <v>58</v>
      </c>
      <c r="P5024" t="s">
        <v>121</v>
      </c>
      <c r="Q5024" t="s">
        <v>58</v>
      </c>
      <c r="R5024" t="str">
        <f>IFERROR(VLOOKUP(record[[#This Row],[PCUSTID]],廠商[],2,FALSE),"")</f>
        <v/>
      </c>
      <c r="S5024" t="str">
        <f>VLOOKUP(record[[#This Row],[employeeID]],員工[],2,FALSE)</f>
        <v>謝素卿</v>
      </c>
    </row>
    <row r="5025" spans="6:19" hidden="1" x14ac:dyDescent="0.25">
      <c r="F5025" t="s">
        <v>1416</v>
      </c>
      <c r="G5025" t="s">
        <v>418</v>
      </c>
      <c r="H5025" t="str">
        <f>VLOOKUP(record[[#This Row],[ProcessSN]],表格2_7[],2,FALSE)</f>
        <v>30-4118-018-5XX</v>
      </c>
      <c r="I5025" t="str">
        <f>VLOOKUP(record[[#This Row],[ProcessSN]],表格2_7[],3,FALSE)</f>
        <v>#07</v>
      </c>
      <c r="J5025" t="s">
        <v>588</v>
      </c>
      <c r="K5025" s="195">
        <v>46031.337025462963</v>
      </c>
      <c r="L5025">
        <v>174</v>
      </c>
      <c r="M5025">
        <v>0</v>
      </c>
      <c r="N5025" s="98" t="str">
        <f>IF(record[[#This Row],[Memo]]="Browser:chrome os:android","平板報工",IF(record[[#This Row],[Memo]]=0,"委外",record[[#This Row],[Memo]]))</f>
        <v/>
      </c>
      <c r="O5025" t="s">
        <v>58</v>
      </c>
      <c r="P5025" t="s">
        <v>843</v>
      </c>
      <c r="Q5025" t="s">
        <v>58</v>
      </c>
      <c r="R5025" t="str">
        <f>IFERROR(VLOOKUP(record[[#This Row],[PCUSTID]],廠商[],2,FALSE),"")</f>
        <v/>
      </c>
      <c r="S5025" t="str">
        <f>VLOOKUP(record[[#This Row],[employeeID]],員工[],2,FALSE)</f>
        <v>張楚承</v>
      </c>
    </row>
    <row r="5026" spans="6:19" hidden="1" x14ac:dyDescent="0.25">
      <c r="F5026" t="s">
        <v>1416</v>
      </c>
      <c r="G5026" t="s">
        <v>417</v>
      </c>
      <c r="H5026" t="str">
        <f>VLOOKUP(record[[#This Row],[ProcessSN]],表格2_7[],2,FALSE)</f>
        <v>30-4118-018-5XX</v>
      </c>
      <c r="I5026" t="str">
        <f>VLOOKUP(record[[#This Row],[ProcessSN]],表格2_7[],3,FALSE)</f>
        <v>#06</v>
      </c>
      <c r="J5026" t="s">
        <v>593</v>
      </c>
      <c r="K5026" s="195">
        <v>46031.336921296293</v>
      </c>
      <c r="L5026">
        <v>34</v>
      </c>
      <c r="M5026">
        <v>0</v>
      </c>
      <c r="N5026" s="98" t="str">
        <f>IF(record[[#This Row],[Memo]]="Browser:chrome os:android","平板報工",IF(record[[#This Row],[Memo]]=0,"委外",record[[#This Row],[Memo]]))</f>
        <v/>
      </c>
      <c r="O5026" t="s">
        <v>58</v>
      </c>
      <c r="P5026" t="s">
        <v>843</v>
      </c>
      <c r="Q5026" t="s">
        <v>58</v>
      </c>
      <c r="R5026" t="str">
        <f>IFERROR(VLOOKUP(record[[#This Row],[PCUSTID]],廠商[],2,FALSE),"")</f>
        <v/>
      </c>
      <c r="S5026" t="str">
        <f>VLOOKUP(record[[#This Row],[employeeID]],員工[],2,FALSE)</f>
        <v>張楚承</v>
      </c>
    </row>
    <row r="5027" spans="6:19" hidden="1" x14ac:dyDescent="0.25">
      <c r="F5027" t="s">
        <v>1416</v>
      </c>
      <c r="G5027" t="s">
        <v>417</v>
      </c>
      <c r="H5027" t="str">
        <f>VLOOKUP(record[[#This Row],[ProcessSN]],表格2_7[],2,FALSE)</f>
        <v>30-4118-018-5XX</v>
      </c>
      <c r="I5027" t="str">
        <f>VLOOKUP(record[[#This Row],[ProcessSN]],表格2_7[],3,FALSE)</f>
        <v>#06</v>
      </c>
      <c r="J5027" t="s">
        <v>593</v>
      </c>
      <c r="K5027" s="195">
        <v>46031.310196759259</v>
      </c>
      <c r="L5027">
        <v>133</v>
      </c>
      <c r="M5027">
        <v>0</v>
      </c>
      <c r="N5027" s="98" t="str">
        <f>IF(record[[#This Row],[Memo]]="Browser:chrome os:android","平板報工",IF(record[[#This Row],[Memo]]=0,"委外",record[[#This Row],[Memo]]))</f>
        <v>平板報工</v>
      </c>
      <c r="O5027" t="s">
        <v>643</v>
      </c>
      <c r="P5027" t="s">
        <v>180</v>
      </c>
      <c r="Q5027" t="s">
        <v>644</v>
      </c>
      <c r="R5027" t="str">
        <f>IFERROR(VLOOKUP(record[[#This Row],[PCUSTID]],廠商[],2,FALSE),"")</f>
        <v/>
      </c>
      <c r="S5027" t="str">
        <f>VLOOKUP(record[[#This Row],[employeeID]],員工[],2,FALSE)</f>
        <v>黎功江</v>
      </c>
    </row>
    <row r="5028" spans="6:19" hidden="1" x14ac:dyDescent="0.25">
      <c r="F5028" t="s">
        <v>1416</v>
      </c>
      <c r="G5028" t="s">
        <v>418</v>
      </c>
      <c r="H5028" t="str">
        <f>VLOOKUP(record[[#This Row],[ProcessSN]],表格2_7[],2,FALSE)</f>
        <v>30-4118-018-5XX</v>
      </c>
      <c r="I5028" t="str">
        <f>VLOOKUP(record[[#This Row],[ProcessSN]],表格2_7[],3,FALSE)</f>
        <v>#07</v>
      </c>
      <c r="J5028" t="s">
        <v>588</v>
      </c>
      <c r="K5028" s="195">
        <v>46031.28564814815</v>
      </c>
      <c r="L5028">
        <v>53</v>
      </c>
      <c r="M5028">
        <v>0</v>
      </c>
      <c r="N5028" s="98" t="str">
        <f>IF(record[[#This Row],[Memo]]="Browser:chrome os:android","平板報工",IF(record[[#This Row],[Memo]]=0,"委外",record[[#This Row],[Memo]]))</f>
        <v>平板報工</v>
      </c>
      <c r="O5028" t="s">
        <v>643</v>
      </c>
      <c r="P5028" t="s">
        <v>843</v>
      </c>
      <c r="Q5028" t="s">
        <v>644</v>
      </c>
      <c r="R5028" t="str">
        <f>IFERROR(VLOOKUP(record[[#This Row],[PCUSTID]],廠商[],2,FALSE),"")</f>
        <v/>
      </c>
      <c r="S5028" t="str">
        <f>VLOOKUP(record[[#This Row],[employeeID]],員工[],2,FALSE)</f>
        <v>張楚承</v>
      </c>
    </row>
    <row r="5029" spans="6:19" hidden="1" x14ac:dyDescent="0.25">
      <c r="F5029" t="s">
        <v>1381</v>
      </c>
      <c r="G5029" t="s">
        <v>418</v>
      </c>
      <c r="H5029" t="str">
        <f>VLOOKUP(record[[#This Row],[ProcessSN]],表格2_7[],2,FALSE)</f>
        <v>30-4118-018-5XX</v>
      </c>
      <c r="I5029" t="str">
        <f>VLOOKUP(record[[#This Row],[ProcessSN]],表格2_7[],3,FALSE)</f>
        <v>#07</v>
      </c>
      <c r="J5029" t="s">
        <v>588</v>
      </c>
      <c r="K5029" s="195">
        <v>46030.98846064815</v>
      </c>
      <c r="L5029">
        <v>75</v>
      </c>
      <c r="M5029">
        <v>0</v>
      </c>
      <c r="N5029" s="98" t="str">
        <f>IF(record[[#This Row],[Memo]]="Browser:chrome os:android","平板報工",IF(record[[#This Row],[Memo]]=0,"委外",record[[#This Row],[Memo]]))</f>
        <v>平板報工</v>
      </c>
      <c r="O5029" t="s">
        <v>643</v>
      </c>
      <c r="P5029" t="s">
        <v>89</v>
      </c>
      <c r="Q5029" t="s">
        <v>644</v>
      </c>
      <c r="R5029" t="str">
        <f>IFERROR(VLOOKUP(record[[#This Row],[PCUSTID]],廠商[],2,FALSE),"")</f>
        <v/>
      </c>
      <c r="S5029" t="str">
        <f>VLOOKUP(record[[#This Row],[employeeID]],員工[],2,FALSE)</f>
        <v>李美蓮</v>
      </c>
    </row>
    <row r="5030" spans="6:19" hidden="1" x14ac:dyDescent="0.25">
      <c r="F5030" t="s">
        <v>1416</v>
      </c>
      <c r="G5030" t="s">
        <v>418</v>
      </c>
      <c r="H5030" t="str">
        <f>VLOOKUP(record[[#This Row],[ProcessSN]],表格2_7[],2,FALSE)</f>
        <v>30-4118-018-5XX</v>
      </c>
      <c r="I5030" t="str">
        <f>VLOOKUP(record[[#This Row],[ProcessSN]],表格2_7[],3,FALSE)</f>
        <v>#07</v>
      </c>
      <c r="J5030" t="s">
        <v>588</v>
      </c>
      <c r="K5030" s="195">
        <v>46030.988067129627</v>
      </c>
      <c r="L5030">
        <v>110</v>
      </c>
      <c r="M5030">
        <v>4</v>
      </c>
      <c r="N5030" s="98" t="str">
        <f>IF(record[[#This Row],[Memo]]="Browser:chrome os:android","平板報工",IF(record[[#This Row],[Memo]]=0,"委外",record[[#This Row],[Memo]]))</f>
        <v>平板報工</v>
      </c>
      <c r="O5030" t="s">
        <v>643</v>
      </c>
      <c r="P5030" t="s">
        <v>89</v>
      </c>
      <c r="Q5030" t="s">
        <v>644</v>
      </c>
      <c r="R5030" t="str">
        <f>IFERROR(VLOOKUP(record[[#This Row],[PCUSTID]],廠商[],2,FALSE),"")</f>
        <v/>
      </c>
      <c r="S5030" t="str">
        <f>VLOOKUP(record[[#This Row],[employeeID]],員工[],2,FALSE)</f>
        <v>李美蓮</v>
      </c>
    </row>
    <row r="5031" spans="6:19" hidden="1" x14ac:dyDescent="0.25">
      <c r="F5031" t="s">
        <v>1416</v>
      </c>
      <c r="G5031" t="s">
        <v>416</v>
      </c>
      <c r="H5031" t="str">
        <f>VLOOKUP(record[[#This Row],[ProcessSN]],表格2_7[],2,FALSE)</f>
        <v>30-4118-018-5XX</v>
      </c>
      <c r="I5031" t="str">
        <f>VLOOKUP(record[[#This Row],[ProcessSN]],表格2_7[],3,FALSE)</f>
        <v>#05</v>
      </c>
      <c r="J5031" t="s">
        <v>588</v>
      </c>
      <c r="K5031" s="195">
        <v>46030.986712962964</v>
      </c>
      <c r="L5031">
        <v>142</v>
      </c>
      <c r="M5031">
        <v>0</v>
      </c>
      <c r="N5031" s="98" t="str">
        <f>IF(record[[#This Row],[Memo]]="Browser:chrome os:android","平板報工",IF(record[[#This Row],[Memo]]=0,"委外",record[[#This Row],[Memo]]))</f>
        <v>平板報工</v>
      </c>
      <c r="O5031" t="s">
        <v>643</v>
      </c>
      <c r="P5031" t="s">
        <v>89</v>
      </c>
      <c r="Q5031" t="s">
        <v>644</v>
      </c>
      <c r="R5031" t="str">
        <f>IFERROR(VLOOKUP(record[[#This Row],[PCUSTID]],廠商[],2,FALSE),"")</f>
        <v/>
      </c>
      <c r="S5031" t="str">
        <f>VLOOKUP(record[[#This Row],[employeeID]],員工[],2,FALSE)</f>
        <v>李美蓮</v>
      </c>
    </row>
    <row r="5032" spans="6:19" hidden="1" x14ac:dyDescent="0.25">
      <c r="F5032" t="s">
        <v>1416</v>
      </c>
      <c r="G5032" t="s">
        <v>415</v>
      </c>
      <c r="H5032" t="str">
        <f>VLOOKUP(record[[#This Row],[ProcessSN]],表格2_7[],2,FALSE)</f>
        <v>30-4118-018-5XX</v>
      </c>
      <c r="I5032" t="str">
        <f>VLOOKUP(record[[#This Row],[ProcessSN]],表格2_7[],3,FALSE)</f>
        <v>#04</v>
      </c>
      <c r="J5032" t="s">
        <v>588</v>
      </c>
      <c r="K5032" s="195">
        <v>46030.984768518516</v>
      </c>
      <c r="L5032">
        <v>142</v>
      </c>
      <c r="M5032">
        <v>0</v>
      </c>
      <c r="N5032" s="98" t="str">
        <f>IF(record[[#This Row],[Memo]]="Browser:chrome os:android","平板報工",IF(record[[#This Row],[Memo]]=0,"委外",record[[#This Row],[Memo]]))</f>
        <v>平板報工</v>
      </c>
      <c r="O5032" t="s">
        <v>643</v>
      </c>
      <c r="P5032" t="s">
        <v>89</v>
      </c>
      <c r="Q5032" t="s">
        <v>644</v>
      </c>
      <c r="R5032" t="str">
        <f>IFERROR(VLOOKUP(record[[#This Row],[PCUSTID]],廠商[],2,FALSE),"")</f>
        <v/>
      </c>
      <c r="S5032" t="str">
        <f>VLOOKUP(record[[#This Row],[employeeID]],員工[],2,FALSE)</f>
        <v>李美蓮</v>
      </c>
    </row>
    <row r="5033" spans="6:19" hidden="1" x14ac:dyDescent="0.25">
      <c r="F5033" t="s">
        <v>1416</v>
      </c>
      <c r="G5033" t="s">
        <v>417</v>
      </c>
      <c r="H5033" t="str">
        <f>VLOOKUP(record[[#This Row],[ProcessSN]],表格2_7[],2,FALSE)</f>
        <v>30-4118-018-5XX</v>
      </c>
      <c r="I5033" t="str">
        <f>VLOOKUP(record[[#This Row],[ProcessSN]],表格2_7[],3,FALSE)</f>
        <v>#06</v>
      </c>
      <c r="J5033" t="s">
        <v>593</v>
      </c>
      <c r="K5033" s="195">
        <v>46030.979826388888</v>
      </c>
      <c r="L5033">
        <v>113</v>
      </c>
      <c r="M5033">
        <v>0</v>
      </c>
      <c r="N5033" s="98" t="str">
        <f>IF(record[[#This Row],[Memo]]="Browser:chrome os:android","平板報工",IF(record[[#This Row],[Memo]]=0,"委外",record[[#This Row],[Memo]]))</f>
        <v>平板報工</v>
      </c>
      <c r="O5033" t="s">
        <v>643</v>
      </c>
      <c r="P5033" t="s">
        <v>1098</v>
      </c>
      <c r="Q5033" t="s">
        <v>644</v>
      </c>
      <c r="R5033" t="str">
        <f>IFERROR(VLOOKUP(record[[#This Row],[PCUSTID]],廠商[],2,FALSE),"")</f>
        <v/>
      </c>
      <c r="S5033" t="str">
        <f>VLOOKUP(record[[#This Row],[employeeID]],員工[],2,FALSE)</f>
        <v>阮氏芳英(英)</v>
      </c>
    </row>
    <row r="5034" spans="6:19" hidden="1" x14ac:dyDescent="0.25">
      <c r="F5034" t="s">
        <v>1432</v>
      </c>
      <c r="G5034" t="s">
        <v>358</v>
      </c>
      <c r="H5034" t="str">
        <f>VLOOKUP(record[[#This Row],[ProcessSN]],表格2_7[],2,FALSE)</f>
        <v>30-4118-018-450</v>
      </c>
      <c r="I5034" t="str">
        <f>VLOOKUP(record[[#This Row],[ProcessSN]],表格2_7[],3,FALSE)</f>
        <v>#08IQC</v>
      </c>
      <c r="J5034" t="s">
        <v>583</v>
      </c>
      <c r="K5034" s="195">
        <v>46030.753425925926</v>
      </c>
      <c r="L5034">
        <v>311</v>
      </c>
      <c r="M5034">
        <v>0</v>
      </c>
      <c r="N5034" s="98" t="str">
        <f>IF(record[[#This Row],[Memo]]="Browser:chrome os:android","平板報工",IF(record[[#This Row],[Memo]]=0,"委外",record[[#This Row],[Memo]]))</f>
        <v/>
      </c>
      <c r="O5034" t="s">
        <v>58</v>
      </c>
      <c r="P5034" t="s">
        <v>109</v>
      </c>
      <c r="Q5034" t="s">
        <v>58</v>
      </c>
      <c r="R5034" t="str">
        <f>IFERROR(VLOOKUP(record[[#This Row],[PCUSTID]],廠商[],2,FALSE),"")</f>
        <v/>
      </c>
      <c r="S5034" t="str">
        <f>VLOOKUP(record[[#This Row],[employeeID]],員工[],2,FALSE)</f>
        <v>裴氏璧鳳</v>
      </c>
    </row>
    <row r="5035" spans="6:19" hidden="1" x14ac:dyDescent="0.25">
      <c r="F5035" t="s">
        <v>1406</v>
      </c>
      <c r="G5035" t="s">
        <v>470</v>
      </c>
      <c r="H5035" t="str">
        <f>VLOOKUP(record[[#This Row],[ProcessSN]],表格2_7[],2,FALSE)</f>
        <v>30-4118-018-XXX</v>
      </c>
      <c r="I5035" t="str">
        <f>VLOOKUP(record[[#This Row],[ProcessSN]],表格2_7[],3,FALSE)</f>
        <v>#02IQC</v>
      </c>
      <c r="J5035" t="s">
        <v>583</v>
      </c>
      <c r="K5035" s="195">
        <v>46030.753194444442</v>
      </c>
      <c r="L5035">
        <v>655</v>
      </c>
      <c r="M5035">
        <v>0</v>
      </c>
      <c r="N5035" s="98" t="str">
        <f>IF(record[[#This Row],[Memo]]="Browser:chrome os:android","平板報工",IF(record[[#This Row],[Memo]]=0,"委外",record[[#This Row],[Memo]]))</f>
        <v/>
      </c>
      <c r="O5035" t="s">
        <v>58</v>
      </c>
      <c r="P5035" t="s">
        <v>109</v>
      </c>
      <c r="Q5035" t="s">
        <v>58</v>
      </c>
      <c r="R5035" t="str">
        <f>IFERROR(VLOOKUP(record[[#This Row],[PCUSTID]],廠商[],2,FALSE),"")</f>
        <v/>
      </c>
      <c r="S5035" t="str">
        <f>VLOOKUP(record[[#This Row],[employeeID]],員工[],2,FALSE)</f>
        <v>裴氏璧鳳</v>
      </c>
    </row>
    <row r="5036" spans="6:19" hidden="1" x14ac:dyDescent="0.25">
      <c r="F5036" t="s">
        <v>1385</v>
      </c>
      <c r="G5036" t="s">
        <v>470</v>
      </c>
      <c r="H5036" t="str">
        <f>VLOOKUP(record[[#This Row],[ProcessSN]],表格2_7[],2,FALSE)</f>
        <v>30-4118-018-XXX</v>
      </c>
      <c r="I5036" t="str">
        <f>VLOOKUP(record[[#This Row],[ProcessSN]],表格2_7[],3,FALSE)</f>
        <v>#02IQC</v>
      </c>
      <c r="J5036" t="s">
        <v>583</v>
      </c>
      <c r="K5036" s="195">
        <v>46030.75271990741</v>
      </c>
      <c r="L5036">
        <v>336</v>
      </c>
      <c r="M5036">
        <v>0</v>
      </c>
      <c r="N5036" s="98" t="str">
        <f>IF(record[[#This Row],[Memo]]="Browser:chrome os:android","平板報工",IF(record[[#This Row],[Memo]]=0,"委外",record[[#This Row],[Memo]]))</f>
        <v/>
      </c>
      <c r="O5036" t="s">
        <v>58</v>
      </c>
      <c r="P5036" t="s">
        <v>109</v>
      </c>
      <c r="Q5036" t="s">
        <v>58</v>
      </c>
      <c r="R5036" t="str">
        <f>IFERROR(VLOOKUP(record[[#This Row],[PCUSTID]],廠商[],2,FALSE),"")</f>
        <v/>
      </c>
      <c r="S5036" t="str">
        <f>VLOOKUP(record[[#This Row],[employeeID]],員工[],2,FALSE)</f>
        <v>裴氏璧鳳</v>
      </c>
    </row>
    <row r="5037" spans="6:19" hidden="1" x14ac:dyDescent="0.25">
      <c r="F5037" t="s">
        <v>1444</v>
      </c>
      <c r="G5037" t="s">
        <v>400</v>
      </c>
      <c r="H5037" t="str">
        <f>VLOOKUP(record[[#This Row],[ProcessSN]],表格2_7[],2,FALSE)</f>
        <v>30-4118-018-550</v>
      </c>
      <c r="I5037" t="str">
        <f>VLOOKUP(record[[#This Row],[ProcessSN]],表格2_7[],3,FALSE)</f>
        <v>#100</v>
      </c>
      <c r="J5037" t="s">
        <v>598</v>
      </c>
      <c r="K5037" s="195">
        <v>46030.732407407406</v>
      </c>
      <c r="L5037">
        <v>72</v>
      </c>
      <c r="M5037">
        <v>0</v>
      </c>
      <c r="N5037" s="98" t="str">
        <f>IF(record[[#This Row],[Memo]]="Browser:chrome os:android","平板報工",IF(record[[#This Row],[Memo]]=0,"委外",record[[#This Row],[Memo]]))</f>
        <v>平板報工</v>
      </c>
      <c r="O5037" t="s">
        <v>643</v>
      </c>
      <c r="P5037" t="s">
        <v>103</v>
      </c>
      <c r="Q5037" t="s">
        <v>644</v>
      </c>
      <c r="R5037" t="str">
        <f>IFERROR(VLOOKUP(record[[#This Row],[PCUSTID]],廠商[],2,FALSE),"")</f>
        <v/>
      </c>
      <c r="S5037" t="str">
        <f>VLOOKUP(record[[#This Row],[employeeID]],員工[],2,FALSE)</f>
        <v>黎秋水</v>
      </c>
    </row>
    <row r="5038" spans="6:19" hidden="1" x14ac:dyDescent="0.25">
      <c r="F5038" t="s">
        <v>1444</v>
      </c>
      <c r="G5038" t="s">
        <v>403</v>
      </c>
      <c r="H5038" t="str">
        <f>VLOOKUP(record[[#This Row],[ProcessSN]],表格2_7[],2,FALSE)</f>
        <v>30-4118-018-550</v>
      </c>
      <c r="I5038" t="str">
        <f>VLOOKUP(record[[#This Row],[ProcessSN]],表格2_7[],3,FALSE)</f>
        <v>#100SHIP</v>
      </c>
      <c r="J5038" t="s">
        <v>600</v>
      </c>
      <c r="K5038" s="195">
        <v>46030.721250000002</v>
      </c>
      <c r="L5038">
        <v>20</v>
      </c>
      <c r="M5038">
        <v>0</v>
      </c>
      <c r="N5038" s="98" t="str">
        <f>IF(record[[#This Row],[Memo]]="Browser:chrome os:android","平板報工",IF(record[[#This Row],[Memo]]=0,"委外",record[[#This Row],[Memo]]))</f>
        <v/>
      </c>
      <c r="O5038" t="s">
        <v>58</v>
      </c>
      <c r="P5038" t="s">
        <v>886</v>
      </c>
      <c r="Q5038" t="s">
        <v>58</v>
      </c>
      <c r="R5038" t="str">
        <f>IFERROR(VLOOKUP(record[[#This Row],[PCUSTID]],廠商[],2,FALSE),"")</f>
        <v/>
      </c>
      <c r="S5038" t="str">
        <f>VLOOKUP(record[[#This Row],[employeeID]],員工[],2,FALSE)</f>
        <v>謝蓁薰</v>
      </c>
    </row>
    <row r="5039" spans="6:19" hidden="1" x14ac:dyDescent="0.25">
      <c r="F5039" t="s">
        <v>1439</v>
      </c>
      <c r="G5039" t="s">
        <v>403</v>
      </c>
      <c r="H5039" t="str">
        <f>VLOOKUP(record[[#This Row],[ProcessSN]],表格2_7[],2,FALSE)</f>
        <v>30-4118-018-550</v>
      </c>
      <c r="I5039" t="str">
        <f>VLOOKUP(record[[#This Row],[ProcessSN]],表格2_7[],3,FALSE)</f>
        <v>#100SHIP</v>
      </c>
      <c r="J5039" t="s">
        <v>600</v>
      </c>
      <c r="K5039" s="195">
        <v>46030.721076388887</v>
      </c>
      <c r="L5039">
        <v>339</v>
      </c>
      <c r="M5039">
        <v>0</v>
      </c>
      <c r="N5039" s="98" t="str">
        <f>IF(record[[#This Row],[Memo]]="Browser:chrome os:android","平板報工",IF(record[[#This Row],[Memo]]=0,"委外",record[[#This Row],[Memo]]))</f>
        <v/>
      </c>
      <c r="O5039" t="s">
        <v>58</v>
      </c>
      <c r="P5039" t="s">
        <v>886</v>
      </c>
      <c r="Q5039" t="s">
        <v>58</v>
      </c>
      <c r="R5039" t="str">
        <f>IFERROR(VLOOKUP(record[[#This Row],[PCUSTID]],廠商[],2,FALSE),"")</f>
        <v/>
      </c>
      <c r="S5039" t="str">
        <f>VLOOKUP(record[[#This Row],[employeeID]],員工[],2,FALSE)</f>
        <v>謝蓁薰</v>
      </c>
    </row>
    <row r="5040" spans="6:19" hidden="1" x14ac:dyDescent="0.25">
      <c r="F5040" t="s">
        <v>1430</v>
      </c>
      <c r="G5040" t="s">
        <v>403</v>
      </c>
      <c r="H5040" t="str">
        <f>VLOOKUP(record[[#This Row],[ProcessSN]],表格2_7[],2,FALSE)</f>
        <v>30-4118-018-550</v>
      </c>
      <c r="I5040" t="str">
        <f>VLOOKUP(record[[#This Row],[ProcessSN]],表格2_7[],3,FALSE)</f>
        <v>#100SHIP</v>
      </c>
      <c r="J5040" t="s">
        <v>600</v>
      </c>
      <c r="K5040" s="195">
        <v>46030.720937500002</v>
      </c>
      <c r="L5040">
        <v>160</v>
      </c>
      <c r="M5040">
        <v>0</v>
      </c>
      <c r="N5040" s="98" t="str">
        <f>IF(record[[#This Row],[Memo]]="Browser:chrome os:android","平板報工",IF(record[[#This Row],[Memo]]=0,"委外",record[[#This Row],[Memo]]))</f>
        <v/>
      </c>
      <c r="O5040" t="s">
        <v>58</v>
      </c>
      <c r="P5040" t="s">
        <v>886</v>
      </c>
      <c r="Q5040" t="s">
        <v>58</v>
      </c>
      <c r="R5040" t="str">
        <f>IFERROR(VLOOKUP(record[[#This Row],[PCUSTID]],廠商[],2,FALSE),"")</f>
        <v/>
      </c>
      <c r="S5040" t="str">
        <f>VLOOKUP(record[[#This Row],[employeeID]],員工[],2,FALSE)</f>
        <v>謝蓁薰</v>
      </c>
    </row>
    <row r="5041" spans="6:19" hidden="1" x14ac:dyDescent="0.25">
      <c r="F5041" t="s">
        <v>1415</v>
      </c>
      <c r="G5041" t="s">
        <v>403</v>
      </c>
      <c r="H5041" t="str">
        <f>VLOOKUP(record[[#This Row],[ProcessSN]],表格2_7[],2,FALSE)</f>
        <v>30-4118-018-550</v>
      </c>
      <c r="I5041" t="str">
        <f>VLOOKUP(record[[#This Row],[ProcessSN]],表格2_7[],3,FALSE)</f>
        <v>#100SHIP</v>
      </c>
      <c r="J5041" t="s">
        <v>600</v>
      </c>
      <c r="K5041" s="195">
        <v>46030.720729166664</v>
      </c>
      <c r="L5041">
        <v>442</v>
      </c>
      <c r="M5041">
        <v>0</v>
      </c>
      <c r="N5041" s="98" t="str">
        <f>IF(record[[#This Row],[Memo]]="Browser:chrome os:android","平板報工",IF(record[[#This Row],[Memo]]=0,"委外",record[[#This Row],[Memo]]))</f>
        <v/>
      </c>
      <c r="O5041" t="s">
        <v>58</v>
      </c>
      <c r="P5041" t="s">
        <v>886</v>
      </c>
      <c r="Q5041" t="s">
        <v>58</v>
      </c>
      <c r="R5041" t="str">
        <f>IFERROR(VLOOKUP(record[[#This Row],[PCUSTID]],廠商[],2,FALSE),"")</f>
        <v/>
      </c>
      <c r="S5041" t="str">
        <f>VLOOKUP(record[[#This Row],[employeeID]],員工[],2,FALSE)</f>
        <v>謝蓁薰</v>
      </c>
    </row>
    <row r="5042" spans="6:19" hidden="1" x14ac:dyDescent="0.25">
      <c r="F5042" t="s">
        <v>1444</v>
      </c>
      <c r="G5042" t="s">
        <v>402</v>
      </c>
      <c r="H5042" t="str">
        <f>VLOOKUP(record[[#This Row],[ProcessSN]],表格2_7[],2,FALSE)</f>
        <v>30-4118-018-550</v>
      </c>
      <c r="I5042" t="str">
        <f>VLOOKUP(record[[#This Row],[ProcessSN]],表格2_7[],3,FALSE)</f>
        <v>#100STOCK</v>
      </c>
      <c r="J5042" t="s">
        <v>592</v>
      </c>
      <c r="K5042" s="195">
        <v>46030.720625000002</v>
      </c>
      <c r="L5042">
        <v>20</v>
      </c>
      <c r="M5042">
        <v>0</v>
      </c>
      <c r="N5042" s="98" t="str">
        <f>IF(record[[#This Row],[Memo]]="Browser:chrome os:android","平板報工",IF(record[[#This Row],[Memo]]=0,"委外",record[[#This Row],[Memo]]))</f>
        <v/>
      </c>
      <c r="O5042" t="s">
        <v>58</v>
      </c>
      <c r="P5042" t="s">
        <v>886</v>
      </c>
      <c r="Q5042" t="s">
        <v>58</v>
      </c>
      <c r="R5042" t="str">
        <f>IFERROR(VLOOKUP(record[[#This Row],[PCUSTID]],廠商[],2,FALSE),"")</f>
        <v/>
      </c>
      <c r="S5042" t="str">
        <f>VLOOKUP(record[[#This Row],[employeeID]],員工[],2,FALSE)</f>
        <v>謝蓁薰</v>
      </c>
    </row>
    <row r="5043" spans="6:19" hidden="1" x14ac:dyDescent="0.25">
      <c r="F5043" t="s">
        <v>1439</v>
      </c>
      <c r="G5043" t="s">
        <v>402</v>
      </c>
      <c r="H5043" t="str">
        <f>VLOOKUP(record[[#This Row],[ProcessSN]],表格2_7[],2,FALSE)</f>
        <v>30-4118-018-550</v>
      </c>
      <c r="I5043" t="str">
        <f>VLOOKUP(record[[#This Row],[ProcessSN]],表格2_7[],3,FALSE)</f>
        <v>#100STOCK</v>
      </c>
      <c r="J5043" t="s">
        <v>592</v>
      </c>
      <c r="K5043" s="195">
        <v>46030.720486111109</v>
      </c>
      <c r="L5043">
        <v>339</v>
      </c>
      <c r="M5043">
        <v>0</v>
      </c>
      <c r="N5043" s="98" t="str">
        <f>IF(record[[#This Row],[Memo]]="Browser:chrome os:android","平板報工",IF(record[[#This Row],[Memo]]=0,"委外",record[[#This Row],[Memo]]))</f>
        <v/>
      </c>
      <c r="O5043" t="s">
        <v>58</v>
      </c>
      <c r="P5043" t="s">
        <v>886</v>
      </c>
      <c r="Q5043" t="s">
        <v>58</v>
      </c>
      <c r="R5043" t="str">
        <f>IFERROR(VLOOKUP(record[[#This Row],[PCUSTID]],廠商[],2,FALSE),"")</f>
        <v/>
      </c>
      <c r="S5043" t="str">
        <f>VLOOKUP(record[[#This Row],[employeeID]],員工[],2,FALSE)</f>
        <v>謝蓁薰</v>
      </c>
    </row>
    <row r="5044" spans="6:19" hidden="1" x14ac:dyDescent="0.25">
      <c r="F5044" t="s">
        <v>1430</v>
      </c>
      <c r="G5044" t="s">
        <v>402</v>
      </c>
      <c r="H5044" t="str">
        <f>VLOOKUP(record[[#This Row],[ProcessSN]],表格2_7[],2,FALSE)</f>
        <v>30-4118-018-550</v>
      </c>
      <c r="I5044" t="str">
        <f>VLOOKUP(record[[#This Row],[ProcessSN]],表格2_7[],3,FALSE)</f>
        <v>#100STOCK</v>
      </c>
      <c r="J5044" t="s">
        <v>592</v>
      </c>
      <c r="K5044" s="195">
        <v>46030.720335648148</v>
      </c>
      <c r="L5044">
        <v>160</v>
      </c>
      <c r="M5044">
        <v>0</v>
      </c>
      <c r="N5044" s="98" t="str">
        <f>IF(record[[#This Row],[Memo]]="Browser:chrome os:android","平板報工",IF(record[[#This Row],[Memo]]=0,"委外",record[[#This Row],[Memo]]))</f>
        <v/>
      </c>
      <c r="O5044" t="s">
        <v>58</v>
      </c>
      <c r="P5044" t="s">
        <v>886</v>
      </c>
      <c r="Q5044" t="s">
        <v>58</v>
      </c>
      <c r="R5044" t="str">
        <f>IFERROR(VLOOKUP(record[[#This Row],[PCUSTID]],廠商[],2,FALSE),"")</f>
        <v/>
      </c>
      <c r="S5044" t="str">
        <f>VLOOKUP(record[[#This Row],[employeeID]],員工[],2,FALSE)</f>
        <v>謝蓁薰</v>
      </c>
    </row>
    <row r="5045" spans="6:19" hidden="1" x14ac:dyDescent="0.25">
      <c r="F5045" t="s">
        <v>1415</v>
      </c>
      <c r="G5045" t="s">
        <v>402</v>
      </c>
      <c r="H5045" t="str">
        <f>VLOOKUP(record[[#This Row],[ProcessSN]],表格2_7[],2,FALSE)</f>
        <v>30-4118-018-550</v>
      </c>
      <c r="I5045" t="str">
        <f>VLOOKUP(record[[#This Row],[ProcessSN]],表格2_7[],3,FALSE)</f>
        <v>#100STOCK</v>
      </c>
      <c r="J5045" t="s">
        <v>592</v>
      </c>
      <c r="K5045" s="195">
        <v>46030.720208333332</v>
      </c>
      <c r="L5045">
        <v>442</v>
      </c>
      <c r="M5045">
        <v>0</v>
      </c>
      <c r="N5045" s="98" t="str">
        <f>IF(record[[#This Row],[Memo]]="Browser:chrome os:android","平板報工",IF(record[[#This Row],[Memo]]=0,"委外",record[[#This Row],[Memo]]))</f>
        <v/>
      </c>
      <c r="O5045" t="s">
        <v>58</v>
      </c>
      <c r="P5045" t="s">
        <v>886</v>
      </c>
      <c r="Q5045" t="s">
        <v>58</v>
      </c>
      <c r="R5045" t="str">
        <f>IFERROR(VLOOKUP(record[[#This Row],[PCUSTID]],廠商[],2,FALSE),"")</f>
        <v/>
      </c>
      <c r="S5045" t="str">
        <f>VLOOKUP(record[[#This Row],[employeeID]],員工[],2,FALSE)</f>
        <v>謝蓁薰</v>
      </c>
    </row>
    <row r="5046" spans="6:19" hidden="1" x14ac:dyDescent="0.25">
      <c r="F5046" t="s">
        <v>1366</v>
      </c>
      <c r="G5046" t="s">
        <v>403</v>
      </c>
      <c r="H5046" t="str">
        <f>VLOOKUP(record[[#This Row],[ProcessSN]],表格2_7[],2,FALSE)</f>
        <v>30-4118-018-550</v>
      </c>
      <c r="I5046" t="str">
        <f>VLOOKUP(record[[#This Row],[ProcessSN]],表格2_7[],3,FALSE)</f>
        <v>#100SHIP</v>
      </c>
      <c r="J5046" t="s">
        <v>600</v>
      </c>
      <c r="K5046" s="195">
        <v>46030.719976851855</v>
      </c>
      <c r="L5046">
        <v>4</v>
      </c>
      <c r="M5046">
        <v>0</v>
      </c>
      <c r="N5046" s="98" t="str">
        <f>IF(record[[#This Row],[Memo]]="Browser:chrome os:android","平板報工",IF(record[[#This Row],[Memo]]=0,"委外",record[[#This Row],[Memo]]))</f>
        <v>1.5露白 出組裝</v>
      </c>
      <c r="O5046" t="s">
        <v>1282</v>
      </c>
      <c r="P5046" t="s">
        <v>886</v>
      </c>
      <c r="Q5046" t="s">
        <v>58</v>
      </c>
      <c r="R5046" t="str">
        <f>IFERROR(VLOOKUP(record[[#This Row],[PCUSTID]],廠商[],2,FALSE),"")</f>
        <v/>
      </c>
      <c r="S5046" t="str">
        <f>VLOOKUP(record[[#This Row],[employeeID]],員工[],2,FALSE)</f>
        <v>謝蓁薰</v>
      </c>
    </row>
    <row r="5047" spans="6:19" hidden="1" x14ac:dyDescent="0.25">
      <c r="F5047" t="s">
        <v>1444</v>
      </c>
      <c r="G5047" t="s">
        <v>401</v>
      </c>
      <c r="H5047" t="str">
        <f>VLOOKUP(record[[#This Row],[ProcessSN]],表格2_7[],2,FALSE)</f>
        <v>30-4118-018-550</v>
      </c>
      <c r="I5047" t="str">
        <f>VLOOKUP(record[[#This Row],[ProcessSN]],表格2_7[],3,FALSE)</f>
        <v>#100OQC</v>
      </c>
      <c r="J5047" t="s">
        <v>599</v>
      </c>
      <c r="K5047" s="195">
        <v>46030.71570601852</v>
      </c>
      <c r="L5047">
        <v>20</v>
      </c>
      <c r="M5047">
        <v>0</v>
      </c>
      <c r="N5047" s="98" t="str">
        <f>IF(record[[#This Row],[Memo]]="Browser:chrome os:android","平板報工",IF(record[[#This Row],[Memo]]=0,"委外",record[[#This Row],[Memo]]))</f>
        <v/>
      </c>
      <c r="O5047" t="s">
        <v>58</v>
      </c>
      <c r="P5047" t="s">
        <v>109</v>
      </c>
      <c r="Q5047" t="s">
        <v>58</v>
      </c>
      <c r="R5047" t="str">
        <f>IFERROR(VLOOKUP(record[[#This Row],[PCUSTID]],廠商[],2,FALSE),"")</f>
        <v/>
      </c>
      <c r="S5047" t="str">
        <f>VLOOKUP(record[[#This Row],[employeeID]],員工[],2,FALSE)</f>
        <v>裴氏璧鳳</v>
      </c>
    </row>
    <row r="5048" spans="6:19" hidden="1" x14ac:dyDescent="0.25">
      <c r="F5048" t="s">
        <v>1439</v>
      </c>
      <c r="G5048" t="s">
        <v>401</v>
      </c>
      <c r="H5048" t="str">
        <f>VLOOKUP(record[[#This Row],[ProcessSN]],表格2_7[],2,FALSE)</f>
        <v>30-4118-018-550</v>
      </c>
      <c r="I5048" t="str">
        <f>VLOOKUP(record[[#This Row],[ProcessSN]],表格2_7[],3,FALSE)</f>
        <v>#100OQC</v>
      </c>
      <c r="J5048" t="s">
        <v>599</v>
      </c>
      <c r="K5048" s="195">
        <v>46030.715590277781</v>
      </c>
      <c r="L5048">
        <v>339</v>
      </c>
      <c r="M5048">
        <v>0</v>
      </c>
      <c r="N5048" s="98" t="str">
        <f>IF(record[[#This Row],[Memo]]="Browser:chrome os:android","平板報工",IF(record[[#This Row],[Memo]]=0,"委外",record[[#This Row],[Memo]]))</f>
        <v/>
      </c>
      <c r="O5048" t="s">
        <v>58</v>
      </c>
      <c r="P5048" t="s">
        <v>109</v>
      </c>
      <c r="Q5048" t="s">
        <v>58</v>
      </c>
      <c r="R5048" t="str">
        <f>IFERROR(VLOOKUP(record[[#This Row],[PCUSTID]],廠商[],2,FALSE),"")</f>
        <v/>
      </c>
      <c r="S5048" t="str">
        <f>VLOOKUP(record[[#This Row],[employeeID]],員工[],2,FALSE)</f>
        <v>裴氏璧鳳</v>
      </c>
    </row>
    <row r="5049" spans="6:19" hidden="1" x14ac:dyDescent="0.25">
      <c r="F5049" t="s">
        <v>1430</v>
      </c>
      <c r="G5049" t="s">
        <v>401</v>
      </c>
      <c r="H5049" t="str">
        <f>VLOOKUP(record[[#This Row],[ProcessSN]],表格2_7[],2,FALSE)</f>
        <v>30-4118-018-550</v>
      </c>
      <c r="I5049" t="str">
        <f>VLOOKUP(record[[#This Row],[ProcessSN]],表格2_7[],3,FALSE)</f>
        <v>#100OQC</v>
      </c>
      <c r="J5049" t="s">
        <v>599</v>
      </c>
      <c r="K5049" s="195">
        <v>46030.715451388889</v>
      </c>
      <c r="L5049">
        <v>160</v>
      </c>
      <c r="M5049">
        <v>0</v>
      </c>
      <c r="N5049" s="98" t="str">
        <f>IF(record[[#This Row],[Memo]]="Browser:chrome os:android","平板報工",IF(record[[#This Row],[Memo]]=0,"委外",record[[#This Row],[Memo]]))</f>
        <v/>
      </c>
      <c r="O5049" t="s">
        <v>58</v>
      </c>
      <c r="P5049" t="s">
        <v>109</v>
      </c>
      <c r="Q5049" t="s">
        <v>58</v>
      </c>
      <c r="R5049" t="str">
        <f>IFERROR(VLOOKUP(record[[#This Row],[PCUSTID]],廠商[],2,FALSE),"")</f>
        <v/>
      </c>
      <c r="S5049" t="str">
        <f>VLOOKUP(record[[#This Row],[employeeID]],員工[],2,FALSE)</f>
        <v>裴氏璧鳳</v>
      </c>
    </row>
    <row r="5050" spans="6:19" hidden="1" x14ac:dyDescent="0.25">
      <c r="F5050" t="s">
        <v>1444</v>
      </c>
      <c r="G5050" t="s">
        <v>400</v>
      </c>
      <c r="H5050" t="str">
        <f>VLOOKUP(record[[#This Row],[ProcessSN]],表格2_7[],2,FALSE)</f>
        <v>30-4118-018-550</v>
      </c>
      <c r="I5050" t="str">
        <f>VLOOKUP(record[[#This Row],[ProcessSN]],表格2_7[],3,FALSE)</f>
        <v>#100</v>
      </c>
      <c r="J5050" t="s">
        <v>598</v>
      </c>
      <c r="K5050" s="195">
        <v>46030.710451388892</v>
      </c>
      <c r="L5050">
        <v>20</v>
      </c>
      <c r="M5050">
        <v>0</v>
      </c>
      <c r="N5050" s="98" t="str">
        <f>IF(record[[#This Row],[Memo]]="Browser:chrome os:android","平板報工",IF(record[[#This Row],[Memo]]=0,"委外",record[[#This Row],[Memo]]))</f>
        <v>平板報工</v>
      </c>
      <c r="O5050" t="s">
        <v>643</v>
      </c>
      <c r="P5050" t="s">
        <v>103</v>
      </c>
      <c r="Q5050" t="s">
        <v>644</v>
      </c>
      <c r="R5050" t="str">
        <f>IFERROR(VLOOKUP(record[[#This Row],[PCUSTID]],廠商[],2,FALSE),"")</f>
        <v/>
      </c>
      <c r="S5050" t="str">
        <f>VLOOKUP(record[[#This Row],[employeeID]],員工[],2,FALSE)</f>
        <v>黎秋水</v>
      </c>
    </row>
    <row r="5051" spans="6:19" hidden="1" x14ac:dyDescent="0.25">
      <c r="F5051" t="s">
        <v>1439</v>
      </c>
      <c r="G5051" t="s">
        <v>400</v>
      </c>
      <c r="H5051" t="str">
        <f>VLOOKUP(record[[#This Row],[ProcessSN]],表格2_7[],2,FALSE)</f>
        <v>30-4118-018-550</v>
      </c>
      <c r="I5051" t="str">
        <f>VLOOKUP(record[[#This Row],[ProcessSN]],表格2_7[],3,FALSE)</f>
        <v>#100</v>
      </c>
      <c r="J5051" t="s">
        <v>598</v>
      </c>
      <c r="K5051" s="195">
        <v>46030.71</v>
      </c>
      <c r="L5051">
        <v>339</v>
      </c>
      <c r="M5051">
        <v>0</v>
      </c>
      <c r="N5051" s="98" t="str">
        <f>IF(record[[#This Row],[Memo]]="Browser:chrome os:android","平板報工",IF(record[[#This Row],[Memo]]=0,"委外",record[[#This Row],[Memo]]))</f>
        <v>平板報工</v>
      </c>
      <c r="O5051" t="s">
        <v>643</v>
      </c>
      <c r="P5051" t="s">
        <v>103</v>
      </c>
      <c r="Q5051" t="s">
        <v>644</v>
      </c>
      <c r="R5051" t="str">
        <f>IFERROR(VLOOKUP(record[[#This Row],[PCUSTID]],廠商[],2,FALSE),"")</f>
        <v/>
      </c>
      <c r="S5051" t="str">
        <f>VLOOKUP(record[[#This Row],[employeeID]],員工[],2,FALSE)</f>
        <v>黎秋水</v>
      </c>
    </row>
    <row r="5052" spans="6:19" hidden="1" x14ac:dyDescent="0.25">
      <c r="F5052" t="s">
        <v>1430</v>
      </c>
      <c r="G5052" t="s">
        <v>400</v>
      </c>
      <c r="H5052" t="str">
        <f>VLOOKUP(record[[#This Row],[ProcessSN]],表格2_7[],2,FALSE)</f>
        <v>30-4118-018-550</v>
      </c>
      <c r="I5052" t="str">
        <f>VLOOKUP(record[[#This Row],[ProcessSN]],表格2_7[],3,FALSE)</f>
        <v>#100</v>
      </c>
      <c r="J5052" t="s">
        <v>598</v>
      </c>
      <c r="K5052" s="195">
        <v>46030.709247685183</v>
      </c>
      <c r="L5052">
        <v>160</v>
      </c>
      <c r="M5052">
        <v>0</v>
      </c>
      <c r="N5052" s="98" t="str">
        <f>IF(record[[#This Row],[Memo]]="Browser:chrome os:android","平板報工",IF(record[[#This Row],[Memo]]=0,"委外",record[[#This Row],[Memo]]))</f>
        <v>平板報工</v>
      </c>
      <c r="O5052" t="s">
        <v>643</v>
      </c>
      <c r="P5052" t="s">
        <v>103</v>
      </c>
      <c r="Q5052" t="s">
        <v>644</v>
      </c>
      <c r="R5052" t="str">
        <f>IFERROR(VLOOKUP(record[[#This Row],[PCUSTID]],廠商[],2,FALSE),"")</f>
        <v/>
      </c>
      <c r="S5052" t="str">
        <f>VLOOKUP(record[[#This Row],[employeeID]],員工[],2,FALSE)</f>
        <v>黎秋水</v>
      </c>
    </row>
    <row r="5053" spans="6:19" hidden="1" x14ac:dyDescent="0.25">
      <c r="F5053" t="s">
        <v>1416</v>
      </c>
      <c r="G5053" t="s">
        <v>418</v>
      </c>
      <c r="H5053" t="str">
        <f>VLOOKUP(record[[#This Row],[ProcessSN]],表格2_7[],2,FALSE)</f>
        <v>30-4118-018-5XX</v>
      </c>
      <c r="I5053" t="str">
        <f>VLOOKUP(record[[#This Row],[ProcessSN]],表格2_7[],3,FALSE)</f>
        <v>#07</v>
      </c>
      <c r="J5053" t="s">
        <v>588</v>
      </c>
      <c r="K5053" s="195">
        <v>46030.681238425925</v>
      </c>
      <c r="L5053">
        <v>182</v>
      </c>
      <c r="M5053">
        <v>7</v>
      </c>
      <c r="N5053" s="98" t="str">
        <f>IF(record[[#This Row],[Memo]]="Browser:chrome os:android","平板報工",IF(record[[#This Row],[Memo]]=0,"委外",record[[#This Row],[Memo]]))</f>
        <v/>
      </c>
      <c r="O5053" t="s">
        <v>58</v>
      </c>
      <c r="P5053" t="s">
        <v>785</v>
      </c>
      <c r="Q5053" t="s">
        <v>58</v>
      </c>
      <c r="R5053" t="str">
        <f>IFERROR(VLOOKUP(record[[#This Row],[PCUSTID]],廠商[],2,FALSE),"")</f>
        <v/>
      </c>
      <c r="S5053" t="str">
        <f>VLOOKUP(record[[#This Row],[employeeID]],員工[],2,FALSE)</f>
        <v>謝刻光</v>
      </c>
    </row>
    <row r="5054" spans="6:19" hidden="1" x14ac:dyDescent="0.25">
      <c r="F5054" t="s">
        <v>1416</v>
      </c>
      <c r="G5054" t="s">
        <v>417</v>
      </c>
      <c r="H5054" t="str">
        <f>VLOOKUP(record[[#This Row],[ProcessSN]],表格2_7[],2,FALSE)</f>
        <v>30-4118-018-5XX</v>
      </c>
      <c r="I5054" t="str">
        <f>VLOOKUP(record[[#This Row],[ProcessSN]],表格2_7[],3,FALSE)</f>
        <v>#06</v>
      </c>
      <c r="J5054" t="s">
        <v>593</v>
      </c>
      <c r="K5054" s="195">
        <v>46030.680532407408</v>
      </c>
      <c r="L5054">
        <v>117</v>
      </c>
      <c r="M5054">
        <v>0</v>
      </c>
      <c r="N5054" s="98" t="str">
        <f>IF(record[[#This Row],[Memo]]="Browser:chrome os:android","平板報工",IF(record[[#This Row],[Memo]]=0,"委外",record[[#This Row],[Memo]]))</f>
        <v/>
      </c>
      <c r="O5054" t="s">
        <v>58</v>
      </c>
      <c r="P5054" t="s">
        <v>1413</v>
      </c>
      <c r="Q5054" t="s">
        <v>58</v>
      </c>
      <c r="R5054" t="str">
        <f>IFERROR(VLOOKUP(record[[#This Row],[PCUSTID]],廠商[],2,FALSE),"")</f>
        <v/>
      </c>
      <c r="S5054" t="str">
        <f>VLOOKUP(record[[#This Row],[employeeID]],員工[],2,FALSE)</f>
        <v>阮氏芳英(芳)</v>
      </c>
    </row>
    <row r="5055" spans="6:19" hidden="1" x14ac:dyDescent="0.25">
      <c r="F5055" t="s">
        <v>1416</v>
      </c>
      <c r="G5055" t="s">
        <v>416</v>
      </c>
      <c r="H5055" t="str">
        <f>VLOOKUP(record[[#This Row],[ProcessSN]],表格2_7[],2,FALSE)</f>
        <v>30-4118-018-5XX</v>
      </c>
      <c r="I5055" t="str">
        <f>VLOOKUP(record[[#This Row],[ProcessSN]],表格2_7[],3,FALSE)</f>
        <v>#05</v>
      </c>
      <c r="J5055" t="s">
        <v>588</v>
      </c>
      <c r="K5055" s="195">
        <v>46030.680127314816</v>
      </c>
      <c r="L5055">
        <v>108</v>
      </c>
      <c r="M5055">
        <v>0</v>
      </c>
      <c r="N5055" s="98" t="str">
        <f>IF(record[[#This Row],[Memo]]="Browser:chrome os:android","平板報工",IF(record[[#This Row],[Memo]]=0,"委外",record[[#This Row],[Memo]]))</f>
        <v/>
      </c>
      <c r="O5055" t="s">
        <v>58</v>
      </c>
      <c r="P5055" t="s">
        <v>785</v>
      </c>
      <c r="Q5055" t="s">
        <v>58</v>
      </c>
      <c r="R5055" t="str">
        <f>IFERROR(VLOOKUP(record[[#This Row],[PCUSTID]],廠商[],2,FALSE),"")</f>
        <v/>
      </c>
      <c r="S5055" t="str">
        <f>VLOOKUP(record[[#This Row],[employeeID]],員工[],2,FALSE)</f>
        <v>謝刻光</v>
      </c>
    </row>
    <row r="5056" spans="6:19" hidden="1" x14ac:dyDescent="0.25">
      <c r="F5056" t="s">
        <v>1416</v>
      </c>
      <c r="G5056" t="s">
        <v>415</v>
      </c>
      <c r="H5056" t="str">
        <f>VLOOKUP(record[[#This Row],[ProcessSN]],表格2_7[],2,FALSE)</f>
        <v>30-4118-018-5XX</v>
      </c>
      <c r="I5056" t="str">
        <f>VLOOKUP(record[[#This Row],[ProcessSN]],表格2_7[],3,FALSE)</f>
        <v>#04</v>
      </c>
      <c r="J5056" t="s">
        <v>588</v>
      </c>
      <c r="K5056" s="195">
        <v>46030.679918981485</v>
      </c>
      <c r="L5056">
        <v>9</v>
      </c>
      <c r="M5056">
        <v>0</v>
      </c>
      <c r="N5056" s="98" t="str">
        <f>IF(record[[#This Row],[Memo]]="Browser:chrome os:android","平板報工",IF(record[[#This Row],[Memo]]=0,"委外",record[[#This Row],[Memo]]))</f>
        <v/>
      </c>
      <c r="O5056" t="s">
        <v>58</v>
      </c>
      <c r="P5056" t="s">
        <v>785</v>
      </c>
      <c r="Q5056" t="s">
        <v>58</v>
      </c>
      <c r="R5056" t="str">
        <f>IFERROR(VLOOKUP(record[[#This Row],[PCUSTID]],廠商[],2,FALSE),"")</f>
        <v/>
      </c>
      <c r="S5056" t="str">
        <f>VLOOKUP(record[[#This Row],[employeeID]],員工[],2,FALSE)</f>
        <v>謝刻光</v>
      </c>
    </row>
    <row r="5057" spans="6:19" hidden="1" x14ac:dyDescent="0.25">
      <c r="F5057" t="s">
        <v>1416</v>
      </c>
      <c r="G5057" t="s">
        <v>415</v>
      </c>
      <c r="H5057" t="str">
        <f>VLOOKUP(record[[#This Row],[ProcessSN]],表格2_7[],2,FALSE)</f>
        <v>30-4118-018-5XX</v>
      </c>
      <c r="I5057" t="str">
        <f>VLOOKUP(record[[#This Row],[ProcessSN]],表格2_7[],3,FALSE)</f>
        <v>#04</v>
      </c>
      <c r="J5057" t="s">
        <v>588</v>
      </c>
      <c r="K5057" s="195">
        <v>46030.679560185185</v>
      </c>
      <c r="L5057">
        <v>0</v>
      </c>
      <c r="M5057">
        <v>5</v>
      </c>
      <c r="N5057" s="98" t="str">
        <f>IF(record[[#This Row],[Memo]]="Browser:chrome os:android","平板報工",IF(record[[#This Row],[Memo]]=0,"委外",record[[#This Row],[Memo]]))</f>
        <v>1/8不良品*5PCS</v>
      </c>
      <c r="O5057" t="s">
        <v>1449</v>
      </c>
      <c r="P5057" t="s">
        <v>785</v>
      </c>
      <c r="Q5057" t="s">
        <v>58</v>
      </c>
      <c r="R5057" t="str">
        <f>IFERROR(VLOOKUP(record[[#This Row],[PCUSTID]],廠商[],2,FALSE),"")</f>
        <v/>
      </c>
      <c r="S5057" t="str">
        <f>VLOOKUP(record[[#This Row],[employeeID]],員工[],2,FALSE)</f>
        <v>謝刻光</v>
      </c>
    </row>
    <row r="5058" spans="6:19" hidden="1" x14ac:dyDescent="0.25">
      <c r="F5058" t="s">
        <v>1416</v>
      </c>
      <c r="G5058" t="s">
        <v>416</v>
      </c>
      <c r="H5058" t="str">
        <f>VLOOKUP(record[[#This Row],[ProcessSN]],表格2_7[],2,FALSE)</f>
        <v>30-4118-018-5XX</v>
      </c>
      <c r="I5058" t="str">
        <f>VLOOKUP(record[[#This Row],[ProcessSN]],表格2_7[],3,FALSE)</f>
        <v>#05</v>
      </c>
      <c r="J5058" t="s">
        <v>588</v>
      </c>
      <c r="K5058" s="195">
        <v>46030.66783564815</v>
      </c>
      <c r="L5058">
        <v>96</v>
      </c>
      <c r="M5058">
        <v>0</v>
      </c>
      <c r="N5058" s="98" t="str">
        <f>IF(record[[#This Row],[Memo]]="Browser:chrome os:android","平板報工",IF(record[[#This Row],[Memo]]=0,"委外",record[[#This Row],[Memo]]))</f>
        <v>平板報工</v>
      </c>
      <c r="O5058" t="s">
        <v>643</v>
      </c>
      <c r="P5058" t="s">
        <v>785</v>
      </c>
      <c r="Q5058" t="s">
        <v>644</v>
      </c>
      <c r="R5058" t="str">
        <f>IFERROR(VLOOKUP(record[[#This Row],[PCUSTID]],廠商[],2,FALSE),"")</f>
        <v/>
      </c>
      <c r="S5058" t="str">
        <f>VLOOKUP(record[[#This Row],[employeeID]],員工[],2,FALSE)</f>
        <v>謝刻光</v>
      </c>
    </row>
    <row r="5059" spans="6:19" hidden="1" x14ac:dyDescent="0.25">
      <c r="F5059" t="s">
        <v>1416</v>
      </c>
      <c r="G5059" t="s">
        <v>415</v>
      </c>
      <c r="H5059" t="str">
        <f>VLOOKUP(record[[#This Row],[ProcessSN]],表格2_7[],2,FALSE)</f>
        <v>30-4118-018-5XX</v>
      </c>
      <c r="I5059" t="str">
        <f>VLOOKUP(record[[#This Row],[ProcessSN]],表格2_7[],3,FALSE)</f>
        <v>#04</v>
      </c>
      <c r="J5059" t="s">
        <v>588</v>
      </c>
      <c r="K5059" s="195">
        <v>46030.665289351855</v>
      </c>
      <c r="L5059">
        <v>110</v>
      </c>
      <c r="M5059">
        <v>0</v>
      </c>
      <c r="N5059" s="98" t="str">
        <f>IF(record[[#This Row],[Memo]]="Browser:chrome os:android","平板報工",IF(record[[#This Row],[Memo]]=0,"委外",record[[#This Row],[Memo]]))</f>
        <v>平板報工</v>
      </c>
      <c r="O5059" t="s">
        <v>643</v>
      </c>
      <c r="P5059" t="s">
        <v>145</v>
      </c>
      <c r="Q5059" t="s">
        <v>644</v>
      </c>
      <c r="R5059" t="str">
        <f>IFERROR(VLOOKUP(record[[#This Row],[PCUSTID]],廠商[],2,FALSE),"")</f>
        <v/>
      </c>
      <c r="S5059" t="str">
        <f>VLOOKUP(record[[#This Row],[employeeID]],員工[],2,FALSE)</f>
        <v>阮秋霞</v>
      </c>
    </row>
    <row r="5060" spans="6:19" hidden="1" x14ac:dyDescent="0.25">
      <c r="F5060" t="s">
        <v>1416</v>
      </c>
      <c r="G5060" t="s">
        <v>414</v>
      </c>
      <c r="H5060" t="str">
        <f>VLOOKUP(record[[#This Row],[ProcessSN]],表格2_7[],2,FALSE)</f>
        <v>30-4118-018-5XX</v>
      </c>
      <c r="I5060" t="str">
        <f>VLOOKUP(record[[#This Row],[ProcessSN]],表格2_7[],3,FALSE)</f>
        <v>#03</v>
      </c>
      <c r="J5060" t="s">
        <v>588</v>
      </c>
      <c r="K5060" s="195">
        <v>46030.664398148147</v>
      </c>
      <c r="L5060">
        <v>399</v>
      </c>
      <c r="M5060">
        <v>1</v>
      </c>
      <c r="N5060" s="98" t="str">
        <f>IF(record[[#This Row],[Memo]]="Browser:chrome os:android","平板報工",IF(record[[#This Row],[Memo]]=0,"委外",record[[#This Row],[Memo]]))</f>
        <v>平板報工</v>
      </c>
      <c r="O5060" t="s">
        <v>643</v>
      </c>
      <c r="P5060" t="s">
        <v>145</v>
      </c>
      <c r="Q5060" t="s">
        <v>644</v>
      </c>
      <c r="R5060" t="str">
        <f>IFERROR(VLOOKUP(record[[#This Row],[PCUSTID]],廠商[],2,FALSE),"")</f>
        <v/>
      </c>
      <c r="S5060" t="str">
        <f>VLOOKUP(record[[#This Row],[employeeID]],員工[],2,FALSE)</f>
        <v>阮秋霞</v>
      </c>
    </row>
    <row r="5061" spans="6:19" hidden="1" x14ac:dyDescent="0.25">
      <c r="F5061" t="s">
        <v>1444</v>
      </c>
      <c r="G5061" t="s">
        <v>399</v>
      </c>
      <c r="H5061" t="str">
        <f>VLOOKUP(record[[#This Row],[ProcessSN]],表格2_7[],2,FALSE)</f>
        <v>30-4118-018-550</v>
      </c>
      <c r="I5061" t="str">
        <f>VLOOKUP(record[[#This Row],[ProcessSN]],表格2_7[],3,FALSE)</f>
        <v>#08IQC</v>
      </c>
      <c r="J5061" t="s">
        <v>583</v>
      </c>
      <c r="K5061" s="195">
        <v>46030.657083333332</v>
      </c>
      <c r="L5061">
        <v>110</v>
      </c>
      <c r="M5061">
        <v>0</v>
      </c>
      <c r="N5061" s="98" t="str">
        <f>IF(record[[#This Row],[Memo]]="Browser:chrome os:android","平板報工",IF(record[[#This Row],[Memo]]=0,"委外",record[[#This Row],[Memo]]))</f>
        <v/>
      </c>
      <c r="O5061" t="s">
        <v>58</v>
      </c>
      <c r="P5061" t="s">
        <v>109</v>
      </c>
      <c r="Q5061" t="s">
        <v>58</v>
      </c>
      <c r="R5061" t="str">
        <f>IFERROR(VLOOKUP(record[[#This Row],[PCUSTID]],廠商[],2,FALSE),"")</f>
        <v/>
      </c>
      <c r="S5061" t="str">
        <f>VLOOKUP(record[[#This Row],[employeeID]],員工[],2,FALSE)</f>
        <v>裴氏璧鳳</v>
      </c>
    </row>
    <row r="5062" spans="6:19" hidden="1" x14ac:dyDescent="0.25">
      <c r="F5062" t="s">
        <v>1439</v>
      </c>
      <c r="G5062" t="s">
        <v>399</v>
      </c>
      <c r="H5062" t="str">
        <f>VLOOKUP(record[[#This Row],[ProcessSN]],表格2_7[],2,FALSE)</f>
        <v>30-4118-018-550</v>
      </c>
      <c r="I5062" t="str">
        <f>VLOOKUP(record[[#This Row],[ProcessSN]],表格2_7[],3,FALSE)</f>
        <v>#08IQC</v>
      </c>
      <c r="J5062" t="s">
        <v>583</v>
      </c>
      <c r="K5062" s="195">
        <v>46030.65697916667</v>
      </c>
      <c r="L5062">
        <v>339</v>
      </c>
      <c r="M5062">
        <v>0</v>
      </c>
      <c r="N5062" s="98" t="str">
        <f>IF(record[[#This Row],[Memo]]="Browser:chrome os:android","平板報工",IF(record[[#This Row],[Memo]]=0,"委外",record[[#This Row],[Memo]]))</f>
        <v/>
      </c>
      <c r="O5062" t="s">
        <v>58</v>
      </c>
      <c r="P5062" t="s">
        <v>109</v>
      </c>
      <c r="Q5062" t="s">
        <v>58</v>
      </c>
      <c r="R5062" t="str">
        <f>IFERROR(VLOOKUP(record[[#This Row],[PCUSTID]],廠商[],2,FALSE),"")</f>
        <v/>
      </c>
      <c r="S5062" t="str">
        <f>VLOOKUP(record[[#This Row],[employeeID]],員工[],2,FALSE)</f>
        <v>裴氏璧鳳</v>
      </c>
    </row>
    <row r="5063" spans="6:19" hidden="1" x14ac:dyDescent="0.25">
      <c r="F5063" t="s">
        <v>1430</v>
      </c>
      <c r="G5063" t="s">
        <v>399</v>
      </c>
      <c r="H5063" t="str">
        <f>VLOOKUP(record[[#This Row],[ProcessSN]],表格2_7[],2,FALSE)</f>
        <v>30-4118-018-550</v>
      </c>
      <c r="I5063" t="str">
        <f>VLOOKUP(record[[#This Row],[ProcessSN]],表格2_7[],3,FALSE)</f>
        <v>#08IQC</v>
      </c>
      <c r="J5063" t="s">
        <v>583</v>
      </c>
      <c r="K5063" s="195">
        <v>46030.656851851854</v>
      </c>
      <c r="L5063">
        <v>160</v>
      </c>
      <c r="M5063">
        <v>0</v>
      </c>
      <c r="N5063" s="98" t="str">
        <f>IF(record[[#This Row],[Memo]]="Browser:chrome os:android","平板報工",IF(record[[#This Row],[Memo]]=0,"委外",record[[#This Row],[Memo]]))</f>
        <v/>
      </c>
      <c r="O5063" t="s">
        <v>58</v>
      </c>
      <c r="P5063" t="s">
        <v>109</v>
      </c>
      <c r="Q5063" t="s">
        <v>58</v>
      </c>
      <c r="R5063" t="str">
        <f>IFERROR(VLOOKUP(record[[#This Row],[PCUSTID]],廠商[],2,FALSE),"")</f>
        <v/>
      </c>
      <c r="S5063" t="str">
        <f>VLOOKUP(record[[#This Row],[employeeID]],員工[],2,FALSE)</f>
        <v>裴氏璧鳳</v>
      </c>
    </row>
    <row r="5064" spans="6:19" hidden="1" x14ac:dyDescent="0.25">
      <c r="F5064" t="s">
        <v>1444</v>
      </c>
      <c r="G5064" t="s">
        <v>398</v>
      </c>
      <c r="H5064" t="str">
        <f>VLOOKUP(record[[#This Row],[ProcessSN]],表格2_7[],2,FALSE)</f>
        <v>30-4118-018-550</v>
      </c>
      <c r="I5064" t="str">
        <f>VLOOKUP(record[[#This Row],[ProcessSN]],表格2_7[],3,FALSE)</f>
        <v>#08RCV</v>
      </c>
      <c r="J5064" t="s">
        <v>591</v>
      </c>
      <c r="K5064" s="195">
        <v>46030.649571759262</v>
      </c>
      <c r="L5064">
        <v>0</v>
      </c>
      <c r="M5064">
        <v>1</v>
      </c>
      <c r="N5064" s="98" t="str">
        <f>IF(record[[#This Row],[Memo]]="Browser:chrome os:android","平板報工",IF(record[[#This Row],[Memo]]=0,"委外",record[[#This Row],[Memo]]))</f>
        <v>陽極不良</v>
      </c>
      <c r="O5064" t="s">
        <v>745</v>
      </c>
      <c r="P5064" t="s">
        <v>125</v>
      </c>
      <c r="Q5064" t="s">
        <v>58</v>
      </c>
      <c r="R5064" t="str">
        <f>IFERROR(VLOOKUP(record[[#This Row],[PCUSTID]],廠商[],2,FALSE),"")</f>
        <v/>
      </c>
      <c r="S5064" t="str">
        <f>VLOOKUP(record[[#This Row],[employeeID]],員工[],2,FALSE)</f>
        <v>黃瓈巧</v>
      </c>
    </row>
    <row r="5065" spans="6:19" hidden="1" x14ac:dyDescent="0.25">
      <c r="F5065" t="s">
        <v>1439</v>
      </c>
      <c r="G5065" t="s">
        <v>398</v>
      </c>
      <c r="H5065" t="str">
        <f>VLOOKUP(record[[#This Row],[ProcessSN]],表格2_7[],2,FALSE)</f>
        <v>30-4118-018-550</v>
      </c>
      <c r="I5065" t="str">
        <f>VLOOKUP(record[[#This Row],[ProcessSN]],表格2_7[],3,FALSE)</f>
        <v>#08RCV</v>
      </c>
      <c r="J5065" t="s">
        <v>591</v>
      </c>
      <c r="K5065" s="195">
        <v>46030.642245370371</v>
      </c>
      <c r="L5065">
        <v>0</v>
      </c>
      <c r="M5065">
        <v>4</v>
      </c>
      <c r="N5065" s="98" t="str">
        <f>IF(record[[#This Row],[Memo]]="Browser:chrome os:android","平板報工",IF(record[[#This Row],[Memo]]=0,"委外",record[[#This Row],[Memo]]))</f>
        <v>素材不良</v>
      </c>
      <c r="O5065" t="s">
        <v>1448</v>
      </c>
      <c r="P5065" t="s">
        <v>125</v>
      </c>
      <c r="Q5065" t="s">
        <v>58</v>
      </c>
      <c r="R5065" t="str">
        <f>IFERROR(VLOOKUP(record[[#This Row],[PCUSTID]],廠商[],2,FALSE),"")</f>
        <v/>
      </c>
      <c r="S5065" t="str">
        <f>VLOOKUP(record[[#This Row],[employeeID]],員工[],2,FALSE)</f>
        <v>黃瓈巧</v>
      </c>
    </row>
    <row r="5066" spans="6:19" hidden="1" x14ac:dyDescent="0.25">
      <c r="F5066" t="s">
        <v>1430</v>
      </c>
      <c r="G5066" t="s">
        <v>398</v>
      </c>
      <c r="H5066" t="str">
        <f>VLOOKUP(record[[#This Row],[ProcessSN]],表格2_7[],2,FALSE)</f>
        <v>30-4118-018-550</v>
      </c>
      <c r="I5066" t="str">
        <f>VLOOKUP(record[[#This Row],[ProcessSN]],表格2_7[],3,FALSE)</f>
        <v>#08RCV</v>
      </c>
      <c r="J5066" t="s">
        <v>591</v>
      </c>
      <c r="K5066" s="195">
        <v>46030.641793981478</v>
      </c>
      <c r="L5066">
        <v>0</v>
      </c>
      <c r="M5066">
        <v>3</v>
      </c>
      <c r="N5066" s="98" t="str">
        <f>IF(record[[#This Row],[Memo]]="Browser:chrome os:android","平板報工",IF(record[[#This Row],[Memo]]=0,"委外",record[[#This Row],[Memo]]))</f>
        <v>陽極不良</v>
      </c>
      <c r="O5066" t="s">
        <v>745</v>
      </c>
      <c r="P5066" t="s">
        <v>125</v>
      </c>
      <c r="Q5066" t="s">
        <v>58</v>
      </c>
      <c r="R5066" t="str">
        <f>IFERROR(VLOOKUP(record[[#This Row],[PCUSTID]],廠商[],2,FALSE),"")</f>
        <v/>
      </c>
      <c r="S5066" t="str">
        <f>VLOOKUP(record[[#This Row],[employeeID]],員工[],2,FALSE)</f>
        <v>黃瓈巧</v>
      </c>
    </row>
    <row r="5067" spans="6:19" hidden="1" x14ac:dyDescent="0.25">
      <c r="F5067" t="s">
        <v>1444</v>
      </c>
      <c r="G5067" t="s">
        <v>398</v>
      </c>
      <c r="H5067" t="str">
        <f>VLOOKUP(record[[#This Row],[ProcessSN]],表格2_7[],2,FALSE)</f>
        <v>30-4118-018-550</v>
      </c>
      <c r="I5067" t="str">
        <f>VLOOKUP(record[[#This Row],[ProcessSN]],表格2_7[],3,FALSE)</f>
        <v>#08RCV</v>
      </c>
      <c r="J5067" t="s">
        <v>591</v>
      </c>
      <c r="K5067" s="195">
        <v>46030.640104166669</v>
      </c>
      <c r="L5067">
        <v>110</v>
      </c>
      <c r="M5067">
        <v>0</v>
      </c>
      <c r="N5067" s="98" t="str">
        <f>IF(record[[#This Row],[Memo]]="Browser:chrome os:android","平板報工",IF(record[[#This Row],[Memo]]=0,"委外",record[[#This Row],[Memo]]))</f>
        <v/>
      </c>
      <c r="O5067" t="s">
        <v>58</v>
      </c>
      <c r="P5067" t="s">
        <v>125</v>
      </c>
      <c r="Q5067" t="s">
        <v>58</v>
      </c>
      <c r="R5067" t="str">
        <f>IFERROR(VLOOKUP(record[[#This Row],[PCUSTID]],廠商[],2,FALSE),"")</f>
        <v/>
      </c>
      <c r="S5067" t="str">
        <f>VLOOKUP(record[[#This Row],[employeeID]],員工[],2,FALSE)</f>
        <v>黃瓈巧</v>
      </c>
    </row>
    <row r="5068" spans="6:19" hidden="1" x14ac:dyDescent="0.25">
      <c r="F5068" t="s">
        <v>1439</v>
      </c>
      <c r="G5068" t="s">
        <v>398</v>
      </c>
      <c r="H5068" t="str">
        <f>VLOOKUP(record[[#This Row],[ProcessSN]],表格2_7[],2,FALSE)</f>
        <v>30-4118-018-550</v>
      </c>
      <c r="I5068" t="str">
        <f>VLOOKUP(record[[#This Row],[ProcessSN]],表格2_7[],3,FALSE)</f>
        <v>#08RCV</v>
      </c>
      <c r="J5068" t="s">
        <v>591</v>
      </c>
      <c r="K5068" s="195">
        <v>46030.639594907407</v>
      </c>
      <c r="L5068">
        <v>339</v>
      </c>
      <c r="M5068">
        <v>0</v>
      </c>
      <c r="N5068" s="98" t="str">
        <f>IF(record[[#This Row],[Memo]]="Browser:chrome os:android","平板報工",IF(record[[#This Row],[Memo]]=0,"委外",record[[#This Row],[Memo]]))</f>
        <v/>
      </c>
      <c r="O5068" t="s">
        <v>58</v>
      </c>
      <c r="P5068" t="s">
        <v>125</v>
      </c>
      <c r="Q5068" t="s">
        <v>58</v>
      </c>
      <c r="R5068" t="str">
        <f>IFERROR(VLOOKUP(record[[#This Row],[PCUSTID]],廠商[],2,FALSE),"")</f>
        <v/>
      </c>
      <c r="S5068" t="str">
        <f>VLOOKUP(record[[#This Row],[employeeID]],員工[],2,FALSE)</f>
        <v>黃瓈巧</v>
      </c>
    </row>
    <row r="5069" spans="6:19" hidden="1" x14ac:dyDescent="0.25">
      <c r="F5069" t="s">
        <v>1432</v>
      </c>
      <c r="G5069" t="s">
        <v>357</v>
      </c>
      <c r="H5069" t="str">
        <f>VLOOKUP(record[[#This Row],[ProcessSN]],表格2_7[],2,FALSE)</f>
        <v>30-4118-018-450</v>
      </c>
      <c r="I5069" t="str">
        <f>VLOOKUP(record[[#This Row],[ProcessSN]],表格2_7[],3,FALSE)</f>
        <v>#08RCV</v>
      </c>
      <c r="J5069" t="s">
        <v>591</v>
      </c>
      <c r="K5069" s="195">
        <v>46030.639317129629</v>
      </c>
      <c r="L5069">
        <v>311</v>
      </c>
      <c r="M5069">
        <v>0</v>
      </c>
      <c r="N5069" s="98" t="str">
        <f>IF(record[[#This Row],[Memo]]="Browser:chrome os:android","平板報工",IF(record[[#This Row],[Memo]]=0,"委外",record[[#This Row],[Memo]]))</f>
        <v/>
      </c>
      <c r="O5069" t="s">
        <v>58</v>
      </c>
      <c r="P5069" t="s">
        <v>125</v>
      </c>
      <c r="Q5069" t="s">
        <v>58</v>
      </c>
      <c r="R5069" t="str">
        <f>IFERROR(VLOOKUP(record[[#This Row],[PCUSTID]],廠商[],2,FALSE),"")</f>
        <v/>
      </c>
      <c r="S5069" t="str">
        <f>VLOOKUP(record[[#This Row],[employeeID]],員工[],2,FALSE)</f>
        <v>黃瓈巧</v>
      </c>
    </row>
    <row r="5070" spans="6:19" hidden="1" x14ac:dyDescent="0.25">
      <c r="F5070" t="s">
        <v>1430</v>
      </c>
      <c r="G5070" t="s">
        <v>398</v>
      </c>
      <c r="H5070" t="str">
        <f>VLOOKUP(record[[#This Row],[ProcessSN]],表格2_7[],2,FALSE)</f>
        <v>30-4118-018-550</v>
      </c>
      <c r="I5070" t="str">
        <f>VLOOKUP(record[[#This Row],[ProcessSN]],表格2_7[],3,FALSE)</f>
        <v>#08RCV</v>
      </c>
      <c r="J5070" t="s">
        <v>591</v>
      </c>
      <c r="K5070" s="195">
        <v>46030.639004629629</v>
      </c>
      <c r="L5070">
        <v>160</v>
      </c>
      <c r="M5070">
        <v>0</v>
      </c>
      <c r="N5070" s="98" t="str">
        <f>IF(record[[#This Row],[Memo]]="Browser:chrome os:android","平板報工",IF(record[[#This Row],[Memo]]=0,"委外",record[[#This Row],[Memo]]))</f>
        <v/>
      </c>
      <c r="O5070" t="s">
        <v>58</v>
      </c>
      <c r="P5070" t="s">
        <v>125</v>
      </c>
      <c r="Q5070" t="s">
        <v>58</v>
      </c>
      <c r="R5070" t="str">
        <f>IFERROR(VLOOKUP(record[[#This Row],[PCUSTID]],廠商[],2,FALSE),"")</f>
        <v/>
      </c>
      <c r="S5070" t="str">
        <f>VLOOKUP(record[[#This Row],[employeeID]],員工[],2,FALSE)</f>
        <v>黃瓈巧</v>
      </c>
    </row>
    <row r="5071" spans="6:19" hidden="1" x14ac:dyDescent="0.25">
      <c r="F5071" t="s">
        <v>1406</v>
      </c>
      <c r="G5071" t="s">
        <v>469</v>
      </c>
      <c r="H5071" t="str">
        <f>VLOOKUP(record[[#This Row],[ProcessSN]],表格2_7[],2,FALSE)</f>
        <v>30-4118-018-XXX</v>
      </c>
      <c r="I5071" t="str">
        <f>VLOOKUP(record[[#This Row],[ProcessSN]],表格2_7[],3,FALSE)</f>
        <v>#02RCV</v>
      </c>
      <c r="J5071" t="s">
        <v>591</v>
      </c>
      <c r="K5071" s="195">
        <v>46030.503368055557</v>
      </c>
      <c r="L5071">
        <v>655</v>
      </c>
      <c r="M5071">
        <v>0</v>
      </c>
      <c r="N5071" s="98" t="str">
        <f>IF(record[[#This Row],[Memo]]="Browser:chrome os:android","平板報工",IF(record[[#This Row],[Memo]]=0,"委外",record[[#This Row],[Memo]]))</f>
        <v/>
      </c>
      <c r="O5071" t="s">
        <v>58</v>
      </c>
      <c r="P5071" t="s">
        <v>125</v>
      </c>
      <c r="Q5071" t="s">
        <v>58</v>
      </c>
      <c r="R5071" t="str">
        <f>IFERROR(VLOOKUP(record[[#This Row],[PCUSTID]],廠商[],2,FALSE),"")</f>
        <v/>
      </c>
      <c r="S5071" t="str">
        <f>VLOOKUP(record[[#This Row],[employeeID]],員工[],2,FALSE)</f>
        <v>黃瓈巧</v>
      </c>
    </row>
    <row r="5072" spans="6:19" hidden="1" x14ac:dyDescent="0.25">
      <c r="F5072" t="s">
        <v>1385</v>
      </c>
      <c r="G5072" t="s">
        <v>469</v>
      </c>
      <c r="H5072" t="str">
        <f>VLOOKUP(record[[#This Row],[ProcessSN]],表格2_7[],2,FALSE)</f>
        <v>30-4118-018-XXX</v>
      </c>
      <c r="I5072" t="str">
        <f>VLOOKUP(record[[#This Row],[ProcessSN]],表格2_7[],3,FALSE)</f>
        <v>#02RCV</v>
      </c>
      <c r="J5072" t="s">
        <v>591</v>
      </c>
      <c r="K5072" s="195">
        <v>46030.503067129626</v>
      </c>
      <c r="L5072">
        <v>336</v>
      </c>
      <c r="M5072">
        <v>0</v>
      </c>
      <c r="N5072" s="98" t="str">
        <f>IF(record[[#This Row],[Memo]]="Browser:chrome os:android","平板報工",IF(record[[#This Row],[Memo]]=0,"委外",record[[#This Row],[Memo]]))</f>
        <v/>
      </c>
      <c r="O5072" t="s">
        <v>58</v>
      </c>
      <c r="P5072" t="s">
        <v>125</v>
      </c>
      <c r="Q5072" t="s">
        <v>58</v>
      </c>
      <c r="R5072" t="str">
        <f>IFERROR(VLOOKUP(record[[#This Row],[PCUSTID]],廠商[],2,FALSE),"")</f>
        <v/>
      </c>
      <c r="S5072" t="str">
        <f>VLOOKUP(record[[#This Row],[employeeID]],員工[],2,FALSE)</f>
        <v>黃瓈巧</v>
      </c>
    </row>
    <row r="5073" spans="6:19" hidden="1" x14ac:dyDescent="0.25">
      <c r="F5073" t="s">
        <v>1381</v>
      </c>
      <c r="G5073" t="s">
        <v>418</v>
      </c>
      <c r="H5073" t="str">
        <f>VLOOKUP(record[[#This Row],[ProcessSN]],表格2_7[],2,FALSE)</f>
        <v>30-4118-018-5XX</v>
      </c>
      <c r="I5073" t="str">
        <f>VLOOKUP(record[[#This Row],[ProcessSN]],表格2_7[],3,FALSE)</f>
        <v>#07</v>
      </c>
      <c r="J5073" t="s">
        <v>588</v>
      </c>
      <c r="K5073" s="195">
        <v>46030.373715277776</v>
      </c>
      <c r="L5073">
        <v>0</v>
      </c>
      <c r="M5073">
        <v>2</v>
      </c>
      <c r="N5073" s="98" t="str">
        <f>IF(record[[#This Row],[Memo]]="Browser:chrome os:android","平板報工",IF(record[[#This Row],[Memo]]=0,"委外",record[[#This Row],[Memo]]))</f>
        <v>1/8幫楚承幫不良品*2PCS</v>
      </c>
      <c r="O5073" t="s">
        <v>1447</v>
      </c>
      <c r="P5073" t="s">
        <v>1075</v>
      </c>
      <c r="Q5073" t="s">
        <v>58</v>
      </c>
      <c r="R5073" t="str">
        <f>IFERROR(VLOOKUP(record[[#This Row],[PCUSTID]],廠商[],2,FALSE),"")</f>
        <v/>
      </c>
      <c r="S5073" t="str">
        <f>VLOOKUP(record[[#This Row],[employeeID]],員工[],2,FALSE)</f>
        <v>吳宥叡</v>
      </c>
    </row>
    <row r="5074" spans="6:19" hidden="1" x14ac:dyDescent="0.25">
      <c r="F5074" t="s">
        <v>1416</v>
      </c>
      <c r="G5074" t="s">
        <v>417</v>
      </c>
      <c r="H5074" t="str">
        <f>VLOOKUP(record[[#This Row],[ProcessSN]],表格2_7[],2,FALSE)</f>
        <v>30-4118-018-5XX</v>
      </c>
      <c r="I5074" t="str">
        <f>VLOOKUP(record[[#This Row],[ProcessSN]],表格2_7[],3,FALSE)</f>
        <v>#06</v>
      </c>
      <c r="J5074" t="s">
        <v>593</v>
      </c>
      <c r="K5074" s="195">
        <v>46030.322442129633</v>
      </c>
      <c r="L5074">
        <v>133</v>
      </c>
      <c r="M5074">
        <v>0</v>
      </c>
      <c r="N5074" s="98" t="str">
        <f>IF(record[[#This Row],[Memo]]="Browser:chrome os:android","平板報工",IF(record[[#This Row],[Memo]]=0,"委外",record[[#This Row],[Memo]]))</f>
        <v>平板報工</v>
      </c>
      <c r="O5074" t="s">
        <v>643</v>
      </c>
      <c r="P5074" t="s">
        <v>1098</v>
      </c>
      <c r="Q5074" t="s">
        <v>644</v>
      </c>
      <c r="R5074" t="str">
        <f>IFERROR(VLOOKUP(record[[#This Row],[PCUSTID]],廠商[],2,FALSE),"")</f>
        <v/>
      </c>
      <c r="S5074" t="str">
        <f>VLOOKUP(record[[#This Row],[employeeID]],員工[],2,FALSE)</f>
        <v>阮氏芳英(英)</v>
      </c>
    </row>
    <row r="5075" spans="6:19" hidden="1" x14ac:dyDescent="0.25">
      <c r="F5075" t="s">
        <v>1416</v>
      </c>
      <c r="G5075" t="s">
        <v>415</v>
      </c>
      <c r="H5075" t="str">
        <f>VLOOKUP(record[[#This Row],[ProcessSN]],表格2_7[],2,FALSE)</f>
        <v>30-4118-018-5XX</v>
      </c>
      <c r="I5075" t="str">
        <f>VLOOKUP(record[[#This Row],[ProcessSN]],表格2_7[],3,FALSE)</f>
        <v>#04</v>
      </c>
      <c r="J5075" t="s">
        <v>588</v>
      </c>
      <c r="K5075" s="195">
        <v>46030.315370370372</v>
      </c>
      <c r="L5075">
        <v>85</v>
      </c>
      <c r="M5075">
        <v>0</v>
      </c>
      <c r="N5075" s="98" t="str">
        <f>IF(record[[#This Row],[Memo]]="Browser:chrome os:android","平板報工",IF(record[[#This Row],[Memo]]=0,"委外",record[[#This Row],[Memo]]))</f>
        <v>平板報工</v>
      </c>
      <c r="O5075" t="s">
        <v>643</v>
      </c>
      <c r="P5075" t="s">
        <v>843</v>
      </c>
      <c r="Q5075" t="s">
        <v>644</v>
      </c>
      <c r="R5075" t="str">
        <f>IFERROR(VLOOKUP(record[[#This Row],[PCUSTID]],廠商[],2,FALSE),"")</f>
        <v/>
      </c>
      <c r="S5075" t="str">
        <f>VLOOKUP(record[[#This Row],[employeeID]],員工[],2,FALSE)</f>
        <v>張楚承</v>
      </c>
    </row>
    <row r="5076" spans="6:19" hidden="1" x14ac:dyDescent="0.25">
      <c r="F5076" t="s">
        <v>1381</v>
      </c>
      <c r="G5076" t="s">
        <v>418</v>
      </c>
      <c r="H5076" t="str">
        <f>VLOOKUP(record[[#This Row],[ProcessSN]],表格2_7[],2,FALSE)</f>
        <v>30-4118-018-5XX</v>
      </c>
      <c r="I5076" t="str">
        <f>VLOOKUP(record[[#This Row],[ProcessSN]],表格2_7[],3,FALSE)</f>
        <v>#07</v>
      </c>
      <c r="J5076" t="s">
        <v>588</v>
      </c>
      <c r="K5076" s="195">
        <v>46030.314444444448</v>
      </c>
      <c r="L5076">
        <v>65</v>
      </c>
      <c r="M5076">
        <v>0</v>
      </c>
      <c r="N5076" s="98" t="str">
        <f>IF(record[[#This Row],[Memo]]="Browser:chrome os:android","平板報工",IF(record[[#This Row],[Memo]]=0,"委外",record[[#This Row],[Memo]]))</f>
        <v>平板報工</v>
      </c>
      <c r="O5076" t="s">
        <v>643</v>
      </c>
      <c r="P5076" t="s">
        <v>843</v>
      </c>
      <c r="Q5076" t="s">
        <v>644</v>
      </c>
      <c r="R5076" t="str">
        <f>IFERROR(VLOOKUP(record[[#This Row],[PCUSTID]],廠商[],2,FALSE),"")</f>
        <v/>
      </c>
      <c r="S5076" t="str">
        <f>VLOOKUP(record[[#This Row],[employeeID]],員工[],2,FALSE)</f>
        <v>張楚承</v>
      </c>
    </row>
    <row r="5077" spans="6:19" hidden="1" x14ac:dyDescent="0.25">
      <c r="F5077" t="s">
        <v>1381</v>
      </c>
      <c r="G5077" t="s">
        <v>418</v>
      </c>
      <c r="H5077" t="str">
        <f>VLOOKUP(record[[#This Row],[ProcessSN]],表格2_7[],2,FALSE)</f>
        <v>30-4118-018-5XX</v>
      </c>
      <c r="I5077" t="str">
        <f>VLOOKUP(record[[#This Row],[ProcessSN]],表格2_7[],3,FALSE)</f>
        <v>#07</v>
      </c>
      <c r="J5077" t="s">
        <v>588</v>
      </c>
      <c r="K5077" s="195">
        <v>46030.313993055555</v>
      </c>
      <c r="L5077">
        <v>69</v>
      </c>
      <c r="M5077">
        <v>0</v>
      </c>
      <c r="N5077" s="98" t="str">
        <f>IF(record[[#This Row],[Memo]]="Browser:chrome os:android","平板報工",IF(record[[#This Row],[Memo]]=0,"委外",record[[#This Row],[Memo]]))</f>
        <v>平板報工</v>
      </c>
      <c r="O5077" t="s">
        <v>643</v>
      </c>
      <c r="P5077" t="s">
        <v>843</v>
      </c>
      <c r="Q5077" t="s">
        <v>644</v>
      </c>
      <c r="R5077" t="str">
        <f>IFERROR(VLOOKUP(record[[#This Row],[PCUSTID]],廠商[],2,FALSE),"")</f>
        <v/>
      </c>
      <c r="S5077" t="str">
        <f>VLOOKUP(record[[#This Row],[employeeID]],員工[],2,FALSE)</f>
        <v>張楚承</v>
      </c>
    </row>
    <row r="5078" spans="6:19" hidden="1" x14ac:dyDescent="0.25">
      <c r="F5078" t="s">
        <v>1381</v>
      </c>
      <c r="G5078" t="s">
        <v>418</v>
      </c>
      <c r="H5078" t="str">
        <f>VLOOKUP(record[[#This Row],[ProcessSN]],表格2_7[],2,FALSE)</f>
        <v>30-4118-018-5XX</v>
      </c>
      <c r="I5078" t="str">
        <f>VLOOKUP(record[[#This Row],[ProcessSN]],表格2_7[],3,FALSE)</f>
        <v>#07</v>
      </c>
      <c r="J5078" t="s">
        <v>588</v>
      </c>
      <c r="K5078" s="195">
        <v>46030.31349537037</v>
      </c>
      <c r="L5078">
        <v>80</v>
      </c>
      <c r="M5078">
        <v>0</v>
      </c>
      <c r="N5078" s="98" t="str">
        <f>IF(record[[#This Row],[Memo]]="Browser:chrome os:android","平板報工",IF(record[[#This Row],[Memo]]=0,"委外",record[[#This Row],[Memo]]))</f>
        <v>平板報工</v>
      </c>
      <c r="O5078" t="s">
        <v>643</v>
      </c>
      <c r="P5078" t="s">
        <v>843</v>
      </c>
      <c r="Q5078" t="s">
        <v>644</v>
      </c>
      <c r="R5078" t="str">
        <f>IFERROR(VLOOKUP(record[[#This Row],[PCUSTID]],廠商[],2,FALSE),"")</f>
        <v/>
      </c>
      <c r="S5078" t="str">
        <f>VLOOKUP(record[[#This Row],[employeeID]],員工[],2,FALSE)</f>
        <v>張楚承</v>
      </c>
    </row>
    <row r="5079" spans="6:19" hidden="1" x14ac:dyDescent="0.25">
      <c r="F5079" t="s">
        <v>1381</v>
      </c>
      <c r="G5079" t="s">
        <v>418</v>
      </c>
      <c r="H5079" t="str">
        <f>VLOOKUP(record[[#This Row],[ProcessSN]],表格2_7[],2,FALSE)</f>
        <v>30-4118-018-5XX</v>
      </c>
      <c r="I5079" t="str">
        <f>VLOOKUP(record[[#This Row],[ProcessSN]],表格2_7[],3,FALSE)</f>
        <v>#07</v>
      </c>
      <c r="J5079" t="s">
        <v>588</v>
      </c>
      <c r="K5079" s="195">
        <v>46029.976712962962</v>
      </c>
      <c r="L5079">
        <v>0</v>
      </c>
      <c r="M5079">
        <v>5</v>
      </c>
      <c r="N5079" s="98" t="str">
        <f>IF(record[[#This Row],[Memo]]="Browser:chrome os:android","平板報工",IF(record[[#This Row],[Memo]]=0,"委外",record[[#This Row],[Memo]]))</f>
        <v/>
      </c>
      <c r="O5079" t="s">
        <v>58</v>
      </c>
      <c r="P5079" t="s">
        <v>89</v>
      </c>
      <c r="Q5079" t="s">
        <v>58</v>
      </c>
      <c r="R5079" t="str">
        <f>IFERROR(VLOOKUP(record[[#This Row],[PCUSTID]],廠商[],2,FALSE),"")</f>
        <v/>
      </c>
      <c r="S5079" t="str">
        <f>VLOOKUP(record[[#This Row],[employeeID]],員工[],2,FALSE)</f>
        <v>李美蓮</v>
      </c>
    </row>
    <row r="5080" spans="6:19" hidden="1" x14ac:dyDescent="0.25">
      <c r="F5080" t="s">
        <v>1381</v>
      </c>
      <c r="G5080" t="s">
        <v>418</v>
      </c>
      <c r="H5080" t="str">
        <f>VLOOKUP(record[[#This Row],[ProcessSN]],表格2_7[],2,FALSE)</f>
        <v>30-4118-018-5XX</v>
      </c>
      <c r="I5080" t="str">
        <f>VLOOKUP(record[[#This Row],[ProcessSN]],表格2_7[],3,FALSE)</f>
        <v>#07</v>
      </c>
      <c r="J5080" t="s">
        <v>588</v>
      </c>
      <c r="K5080" s="195">
        <v>46029.9762962963</v>
      </c>
      <c r="L5080">
        <v>184</v>
      </c>
      <c r="M5080">
        <v>0</v>
      </c>
      <c r="N5080" s="98" t="str">
        <f>IF(record[[#This Row],[Memo]]="Browser:chrome os:android","平板報工",IF(record[[#This Row],[Memo]]=0,"委外",record[[#This Row],[Memo]]))</f>
        <v/>
      </c>
      <c r="O5080" t="s">
        <v>58</v>
      </c>
      <c r="P5080" t="s">
        <v>89</v>
      </c>
      <c r="Q5080" t="s">
        <v>58</v>
      </c>
      <c r="R5080" t="str">
        <f>IFERROR(VLOOKUP(record[[#This Row],[PCUSTID]],廠商[],2,FALSE),"")</f>
        <v/>
      </c>
      <c r="S5080" t="str">
        <f>VLOOKUP(record[[#This Row],[employeeID]],員工[],2,FALSE)</f>
        <v>李美蓮</v>
      </c>
    </row>
    <row r="5081" spans="6:19" hidden="1" x14ac:dyDescent="0.25">
      <c r="F5081" t="s">
        <v>1416</v>
      </c>
      <c r="G5081" t="s">
        <v>416</v>
      </c>
      <c r="H5081" t="str">
        <f>VLOOKUP(record[[#This Row],[ProcessSN]],表格2_7[],2,FALSE)</f>
        <v>30-4118-018-5XX</v>
      </c>
      <c r="I5081" t="str">
        <f>VLOOKUP(record[[#This Row],[ProcessSN]],表格2_7[],3,FALSE)</f>
        <v>#05</v>
      </c>
      <c r="J5081" t="s">
        <v>588</v>
      </c>
      <c r="K5081" s="195">
        <v>46029.974583333336</v>
      </c>
      <c r="L5081">
        <v>143</v>
      </c>
      <c r="M5081">
        <v>0</v>
      </c>
      <c r="N5081" s="98" t="str">
        <f>IF(record[[#This Row],[Memo]]="Browser:chrome os:android","平板報工",IF(record[[#This Row],[Memo]]=0,"委外",record[[#This Row],[Memo]]))</f>
        <v/>
      </c>
      <c r="O5081" t="s">
        <v>58</v>
      </c>
      <c r="P5081" t="s">
        <v>89</v>
      </c>
      <c r="Q5081" t="s">
        <v>58</v>
      </c>
      <c r="R5081" t="str">
        <f>IFERROR(VLOOKUP(record[[#This Row],[PCUSTID]],廠商[],2,FALSE),"")</f>
        <v/>
      </c>
      <c r="S5081" t="str">
        <f>VLOOKUP(record[[#This Row],[employeeID]],員工[],2,FALSE)</f>
        <v>李美蓮</v>
      </c>
    </row>
    <row r="5082" spans="6:19" hidden="1" x14ac:dyDescent="0.25">
      <c r="F5082" t="s">
        <v>1416</v>
      </c>
      <c r="G5082" t="s">
        <v>415</v>
      </c>
      <c r="H5082" t="str">
        <f>VLOOKUP(record[[#This Row],[ProcessSN]],表格2_7[],2,FALSE)</f>
        <v>30-4118-018-5XX</v>
      </c>
      <c r="I5082" t="str">
        <f>VLOOKUP(record[[#This Row],[ProcessSN]],表格2_7[],3,FALSE)</f>
        <v>#04</v>
      </c>
      <c r="J5082" t="s">
        <v>588</v>
      </c>
      <c r="K5082" s="195">
        <v>46029.973252314812</v>
      </c>
      <c r="L5082">
        <v>143</v>
      </c>
      <c r="M5082">
        <v>0</v>
      </c>
      <c r="N5082" s="98" t="str">
        <f>IF(record[[#This Row],[Memo]]="Browser:chrome os:android","平板報工",IF(record[[#This Row],[Memo]]=0,"委外",record[[#This Row],[Memo]]))</f>
        <v/>
      </c>
      <c r="O5082" t="s">
        <v>58</v>
      </c>
      <c r="P5082" t="s">
        <v>133</v>
      </c>
      <c r="Q5082" t="s">
        <v>58</v>
      </c>
      <c r="R5082" t="str">
        <f>IFERROR(VLOOKUP(record[[#This Row],[PCUSTID]],廠商[],2,FALSE),"")</f>
        <v/>
      </c>
      <c r="S5082" t="str">
        <f>VLOOKUP(record[[#This Row],[employeeID]],員工[],2,FALSE)</f>
        <v>黎長維</v>
      </c>
    </row>
    <row r="5083" spans="6:19" hidden="1" x14ac:dyDescent="0.25">
      <c r="F5083" t="s">
        <v>1381</v>
      </c>
      <c r="G5083" t="s">
        <v>417</v>
      </c>
      <c r="H5083" t="str">
        <f>VLOOKUP(record[[#This Row],[ProcessSN]],表格2_7[],2,FALSE)</f>
        <v>30-4118-018-5XX</v>
      </c>
      <c r="I5083" t="str">
        <f>VLOOKUP(record[[#This Row],[ProcessSN]],表格2_7[],3,FALSE)</f>
        <v>#06</v>
      </c>
      <c r="J5083" t="s">
        <v>593</v>
      </c>
      <c r="K5083" s="195">
        <v>46029.968252314815</v>
      </c>
      <c r="L5083">
        <v>115</v>
      </c>
      <c r="M5083">
        <v>0</v>
      </c>
      <c r="N5083" s="98" t="str">
        <f>IF(record[[#This Row],[Memo]]="Browser:chrome os:android","平板報工",IF(record[[#This Row],[Memo]]=0,"委外",record[[#This Row],[Memo]]))</f>
        <v/>
      </c>
      <c r="O5083" t="s">
        <v>58</v>
      </c>
      <c r="P5083" t="s">
        <v>135</v>
      </c>
      <c r="Q5083" t="s">
        <v>58</v>
      </c>
      <c r="R5083" t="str">
        <f>IFERROR(VLOOKUP(record[[#This Row],[PCUSTID]],廠商[],2,FALSE),"")</f>
        <v/>
      </c>
      <c r="S5083" t="str">
        <f>VLOOKUP(record[[#This Row],[employeeID]],員工[],2,FALSE)</f>
        <v>阮士文</v>
      </c>
    </row>
    <row r="5084" spans="6:19" hidden="1" x14ac:dyDescent="0.25">
      <c r="F5084" t="s">
        <v>1407</v>
      </c>
      <c r="G5084" t="s">
        <v>359</v>
      </c>
      <c r="H5084" t="str">
        <f>VLOOKUP(record[[#This Row],[ProcessSN]],表格2_7[],2,FALSE)</f>
        <v>30-4118-018-450</v>
      </c>
      <c r="I5084" t="str">
        <f>VLOOKUP(record[[#This Row],[ProcessSN]],表格2_7[],3,FALSE)</f>
        <v>#100</v>
      </c>
      <c r="J5084" t="s">
        <v>598</v>
      </c>
      <c r="K5084" s="195">
        <v>46029.814745370371</v>
      </c>
      <c r="L5084">
        <v>168</v>
      </c>
      <c r="M5084">
        <v>0</v>
      </c>
      <c r="N5084" s="98" t="str">
        <f>IF(record[[#This Row],[Memo]]="Browser:chrome os:android","平板報工",IF(record[[#This Row],[Memo]]=0,"委外",record[[#This Row],[Memo]]))</f>
        <v>平板報工</v>
      </c>
      <c r="O5084" t="s">
        <v>643</v>
      </c>
      <c r="P5084" t="s">
        <v>141</v>
      </c>
      <c r="Q5084" t="s">
        <v>644</v>
      </c>
      <c r="R5084" t="str">
        <f>IFERROR(VLOOKUP(record[[#This Row],[PCUSTID]],廠商[],2,FALSE),"")</f>
        <v/>
      </c>
      <c r="S5084" t="str">
        <f>VLOOKUP(record[[#This Row],[employeeID]],員工[],2,FALSE)</f>
        <v>蔣梅</v>
      </c>
    </row>
    <row r="5085" spans="6:19" hidden="1" x14ac:dyDescent="0.25">
      <c r="F5085" t="s">
        <v>1385</v>
      </c>
      <c r="G5085" t="s">
        <v>470</v>
      </c>
      <c r="H5085" t="str">
        <f>VLOOKUP(record[[#This Row],[ProcessSN]],表格2_7[],2,FALSE)</f>
        <v>30-4118-018-XXX</v>
      </c>
      <c r="I5085" t="str">
        <f>VLOOKUP(record[[#This Row],[ProcessSN]],表格2_7[],3,FALSE)</f>
        <v>#02IQC</v>
      </c>
      <c r="J5085" t="s">
        <v>583</v>
      </c>
      <c r="K5085" s="195">
        <v>46029.731689814813</v>
      </c>
      <c r="L5085">
        <v>1824</v>
      </c>
      <c r="M5085">
        <v>0</v>
      </c>
      <c r="N5085" s="98" t="str">
        <f>IF(record[[#This Row],[Memo]]="Browser:chrome os:android","平板報工",IF(record[[#This Row],[Memo]]=0,"委外",record[[#This Row],[Memo]]))</f>
        <v/>
      </c>
      <c r="O5085" t="s">
        <v>58</v>
      </c>
      <c r="P5085" t="s">
        <v>109</v>
      </c>
      <c r="Q5085" t="s">
        <v>58</v>
      </c>
      <c r="R5085" t="str">
        <f>IFERROR(VLOOKUP(record[[#This Row],[PCUSTID]],廠商[],2,FALSE),"")</f>
        <v/>
      </c>
      <c r="S5085" t="str">
        <f>VLOOKUP(record[[#This Row],[employeeID]],員工[],2,FALSE)</f>
        <v>裴氏璧鳳</v>
      </c>
    </row>
    <row r="5086" spans="6:19" hidden="1" x14ac:dyDescent="0.25">
      <c r="F5086" t="s">
        <v>1400</v>
      </c>
      <c r="G5086" t="s">
        <v>362</v>
      </c>
      <c r="H5086" t="str">
        <f>VLOOKUP(record[[#This Row],[ProcessSN]],表格2_7[],2,FALSE)</f>
        <v>30-4118-018-450</v>
      </c>
      <c r="I5086" t="str">
        <f>VLOOKUP(record[[#This Row],[ProcessSN]],表格2_7[],3,FALSE)</f>
        <v>#100SHIP</v>
      </c>
      <c r="J5086" t="s">
        <v>600</v>
      </c>
      <c r="K5086" s="195">
        <v>46029.717743055553</v>
      </c>
      <c r="L5086">
        <v>6</v>
      </c>
      <c r="M5086">
        <v>0</v>
      </c>
      <c r="N5086" s="98" t="str">
        <f>IF(record[[#This Row],[Memo]]="Browser:chrome os:android","平板報工",IF(record[[#This Row],[Memo]]=0,"委外",record[[#This Row],[Memo]]))</f>
        <v/>
      </c>
      <c r="O5086" t="s">
        <v>58</v>
      </c>
      <c r="P5086" t="s">
        <v>886</v>
      </c>
      <c r="Q5086" t="s">
        <v>58</v>
      </c>
      <c r="R5086" t="str">
        <f>IFERROR(VLOOKUP(record[[#This Row],[PCUSTID]],廠商[],2,FALSE),"")</f>
        <v/>
      </c>
      <c r="S5086" t="str">
        <f>VLOOKUP(record[[#This Row],[employeeID]],員工[],2,FALSE)</f>
        <v>謝蓁薰</v>
      </c>
    </row>
    <row r="5087" spans="6:19" hidden="1" x14ac:dyDescent="0.25">
      <c r="F5087" t="s">
        <v>1400</v>
      </c>
      <c r="G5087" t="s">
        <v>361</v>
      </c>
      <c r="H5087" t="str">
        <f>VLOOKUP(record[[#This Row],[ProcessSN]],表格2_7[],2,FALSE)</f>
        <v>30-4118-018-450</v>
      </c>
      <c r="I5087" t="str">
        <f>VLOOKUP(record[[#This Row],[ProcessSN]],表格2_7[],3,FALSE)</f>
        <v>#100STOCK</v>
      </c>
      <c r="J5087" t="s">
        <v>592</v>
      </c>
      <c r="K5087" s="195">
        <v>46029.717650462961</v>
      </c>
      <c r="L5087">
        <v>6</v>
      </c>
      <c r="M5087">
        <v>0</v>
      </c>
      <c r="N5087" s="98" t="str">
        <f>IF(record[[#This Row],[Memo]]="Browser:chrome os:android","平板報工",IF(record[[#This Row],[Memo]]=0,"委外",record[[#This Row],[Memo]]))</f>
        <v/>
      </c>
      <c r="O5087" t="s">
        <v>58</v>
      </c>
      <c r="P5087" t="s">
        <v>886</v>
      </c>
      <c r="Q5087" t="s">
        <v>58</v>
      </c>
      <c r="R5087" t="str">
        <f>IFERROR(VLOOKUP(record[[#This Row],[PCUSTID]],廠商[],2,FALSE),"")</f>
        <v/>
      </c>
      <c r="S5087" t="str">
        <f>VLOOKUP(record[[#This Row],[employeeID]],員工[],2,FALSE)</f>
        <v>謝蓁薰</v>
      </c>
    </row>
    <row r="5088" spans="6:19" hidden="1" x14ac:dyDescent="0.25">
      <c r="F5088" t="s">
        <v>1400</v>
      </c>
      <c r="G5088" t="s">
        <v>360</v>
      </c>
      <c r="H5088" t="str">
        <f>VLOOKUP(record[[#This Row],[ProcessSN]],表格2_7[],2,FALSE)</f>
        <v>30-4118-018-450</v>
      </c>
      <c r="I5088" t="str">
        <f>VLOOKUP(record[[#This Row],[ProcessSN]],表格2_7[],3,FALSE)</f>
        <v>#100OQC</v>
      </c>
      <c r="J5088" t="s">
        <v>599</v>
      </c>
      <c r="K5088" s="195">
        <v>46029.717280092591</v>
      </c>
      <c r="L5088">
        <v>6</v>
      </c>
      <c r="M5088">
        <v>0</v>
      </c>
      <c r="N5088" s="98" t="str">
        <f>IF(record[[#This Row],[Memo]]="Browser:chrome os:android","平板報工",IF(record[[#This Row],[Memo]]=0,"委外",record[[#This Row],[Memo]]))</f>
        <v/>
      </c>
      <c r="O5088" t="s">
        <v>58</v>
      </c>
      <c r="P5088" t="s">
        <v>121</v>
      </c>
      <c r="Q5088" t="s">
        <v>58</v>
      </c>
      <c r="R5088" t="str">
        <f>IFERROR(VLOOKUP(record[[#This Row],[PCUSTID]],廠商[],2,FALSE),"")</f>
        <v/>
      </c>
      <c r="S5088" t="str">
        <f>VLOOKUP(record[[#This Row],[employeeID]],員工[],2,FALSE)</f>
        <v>謝素卿</v>
      </c>
    </row>
    <row r="5089" spans="6:19" hidden="1" x14ac:dyDescent="0.25">
      <c r="F5089" t="s">
        <v>956</v>
      </c>
      <c r="G5089" t="s">
        <v>362</v>
      </c>
      <c r="H5089" t="str">
        <f>VLOOKUP(record[[#This Row],[ProcessSN]],表格2_7[],2,FALSE)</f>
        <v>30-4118-018-450</v>
      </c>
      <c r="I5089" t="str">
        <f>VLOOKUP(record[[#This Row],[ProcessSN]],表格2_7[],3,FALSE)</f>
        <v>#100SHIP</v>
      </c>
      <c r="J5089" t="s">
        <v>600</v>
      </c>
      <c r="K5089" s="195">
        <v>46029.715624999997</v>
      </c>
      <c r="L5089">
        <v>2</v>
      </c>
      <c r="M5089">
        <v>0</v>
      </c>
      <c r="N5089" s="98" t="str">
        <f>IF(record[[#This Row],[Memo]]="Browser:chrome os:android","平板報工",IF(record[[#This Row],[Memo]]=0,"委外",record[[#This Row],[Memo]]))</f>
        <v/>
      </c>
      <c r="O5089" t="s">
        <v>58</v>
      </c>
      <c r="P5089" t="s">
        <v>886</v>
      </c>
      <c r="Q5089" t="s">
        <v>58</v>
      </c>
      <c r="R5089" t="str">
        <f>IFERROR(VLOOKUP(record[[#This Row],[PCUSTID]],廠商[],2,FALSE),"")</f>
        <v/>
      </c>
      <c r="S5089" t="str">
        <f>VLOOKUP(record[[#This Row],[employeeID]],員工[],2,FALSE)</f>
        <v>謝蓁薰</v>
      </c>
    </row>
    <row r="5090" spans="6:19" hidden="1" x14ac:dyDescent="0.25">
      <c r="F5090" t="s">
        <v>1381</v>
      </c>
      <c r="G5090" t="s">
        <v>419</v>
      </c>
      <c r="H5090" t="str">
        <f>VLOOKUP(record[[#This Row],[ProcessSN]],表格2_7[],2,FALSE)</f>
        <v>30-4118-018-5XX</v>
      </c>
      <c r="I5090" t="str">
        <f>VLOOKUP(record[[#This Row],[ProcessSN]],表格2_7[],3,FALSE)</f>
        <v>#07QC</v>
      </c>
      <c r="J5090" t="s">
        <v>589</v>
      </c>
      <c r="K5090" s="195">
        <v>46029.713993055557</v>
      </c>
      <c r="L5090">
        <v>0</v>
      </c>
      <c r="M5090">
        <v>97</v>
      </c>
      <c r="N5090" s="98" t="str">
        <f>IF(record[[#This Row],[Memo]]="Browser:chrome os:android","平板報工",IF(record[[#This Row],[Memo]]=0,"委外",record[[#This Row],[Memo]]))</f>
        <v/>
      </c>
      <c r="O5090" t="s">
        <v>58</v>
      </c>
      <c r="P5090" t="s">
        <v>141</v>
      </c>
      <c r="Q5090" t="s">
        <v>58</v>
      </c>
      <c r="R5090" t="str">
        <f>IFERROR(VLOOKUP(record[[#This Row],[PCUSTID]],廠商[],2,FALSE),"")</f>
        <v/>
      </c>
      <c r="S5090" t="str">
        <f>VLOOKUP(record[[#This Row],[employeeID]],員工[],2,FALSE)</f>
        <v>蔣梅</v>
      </c>
    </row>
    <row r="5091" spans="6:19" hidden="1" x14ac:dyDescent="0.25">
      <c r="F5091" t="s">
        <v>1315</v>
      </c>
      <c r="G5091" t="s">
        <v>362</v>
      </c>
      <c r="H5091" t="str">
        <f>VLOOKUP(record[[#This Row],[ProcessSN]],表格2_7[],2,FALSE)</f>
        <v>30-4118-018-450</v>
      </c>
      <c r="I5091" t="str">
        <f>VLOOKUP(record[[#This Row],[ProcessSN]],表格2_7[],3,FALSE)</f>
        <v>#100SHIP</v>
      </c>
      <c r="J5091" t="s">
        <v>600</v>
      </c>
      <c r="K5091" s="195">
        <v>46029.713958333334</v>
      </c>
      <c r="L5091">
        <v>45</v>
      </c>
      <c r="M5091">
        <v>0</v>
      </c>
      <c r="N5091" s="98" t="str">
        <f>IF(record[[#This Row],[Memo]]="Browser:chrome os:android","平板報工",IF(record[[#This Row],[Memo]]=0,"委外",record[[#This Row],[Memo]]))</f>
        <v/>
      </c>
      <c r="O5091" t="s">
        <v>58</v>
      </c>
      <c r="P5091" t="s">
        <v>886</v>
      </c>
      <c r="Q5091" t="s">
        <v>58</v>
      </c>
      <c r="R5091" t="str">
        <f>IFERROR(VLOOKUP(record[[#This Row],[PCUSTID]],廠商[],2,FALSE),"")</f>
        <v/>
      </c>
      <c r="S5091" t="str">
        <f>VLOOKUP(record[[#This Row],[employeeID]],員工[],2,FALSE)</f>
        <v>謝蓁薰</v>
      </c>
    </row>
    <row r="5092" spans="6:19" hidden="1" x14ac:dyDescent="0.25">
      <c r="F5092" t="s">
        <v>956</v>
      </c>
      <c r="G5092" t="s">
        <v>362</v>
      </c>
      <c r="H5092" t="str">
        <f>VLOOKUP(record[[#This Row],[ProcessSN]],表格2_7[],2,FALSE)</f>
        <v>30-4118-018-450</v>
      </c>
      <c r="I5092" t="str">
        <f>VLOOKUP(record[[#This Row],[ProcessSN]],表格2_7[],3,FALSE)</f>
        <v>#100SHIP</v>
      </c>
      <c r="J5092" t="s">
        <v>600</v>
      </c>
      <c r="K5092" s="195">
        <v>46029.713831018518</v>
      </c>
      <c r="L5092">
        <v>9</v>
      </c>
      <c r="M5092">
        <v>0</v>
      </c>
      <c r="N5092" s="98" t="str">
        <f>IF(record[[#This Row],[Memo]]="Browser:chrome os:android","平板報工",IF(record[[#This Row],[Memo]]=0,"委外",record[[#This Row],[Memo]]))</f>
        <v/>
      </c>
      <c r="O5092" t="s">
        <v>58</v>
      </c>
      <c r="P5092" t="s">
        <v>886</v>
      </c>
      <c r="Q5092" t="s">
        <v>58</v>
      </c>
      <c r="R5092" t="str">
        <f>IFERROR(VLOOKUP(record[[#This Row],[PCUSTID]],廠商[],2,FALSE),"")</f>
        <v/>
      </c>
      <c r="S5092" t="str">
        <f>VLOOKUP(record[[#This Row],[employeeID]],員工[],2,FALSE)</f>
        <v>謝蓁薰</v>
      </c>
    </row>
    <row r="5093" spans="6:19" hidden="1" x14ac:dyDescent="0.25">
      <c r="F5093" t="s">
        <v>1402</v>
      </c>
      <c r="G5093" t="s">
        <v>428</v>
      </c>
      <c r="H5093" t="str">
        <f>VLOOKUP(record[[#This Row],[ProcessSN]],表格2_7[],2,FALSE)</f>
        <v>30-4118-018-600</v>
      </c>
      <c r="I5093" t="str">
        <f>VLOOKUP(record[[#This Row],[ProcessSN]],表格2_7[],3,FALSE)</f>
        <v>#100SHIP</v>
      </c>
      <c r="J5093" t="s">
        <v>600</v>
      </c>
      <c r="K5093" s="195">
        <v>46029.7108912037</v>
      </c>
      <c r="L5093">
        <v>108</v>
      </c>
      <c r="M5093">
        <v>0</v>
      </c>
      <c r="N5093" s="98" t="str">
        <f>IF(record[[#This Row],[Memo]]="Browser:chrome os:android","平板報工",IF(record[[#This Row],[Memo]]=0,"委外",record[[#This Row],[Memo]]))</f>
        <v/>
      </c>
      <c r="O5093" t="s">
        <v>58</v>
      </c>
      <c r="P5093" t="s">
        <v>886</v>
      </c>
      <c r="Q5093" t="s">
        <v>58</v>
      </c>
      <c r="R5093" t="str">
        <f>IFERROR(VLOOKUP(record[[#This Row],[PCUSTID]],廠商[],2,FALSE),"")</f>
        <v/>
      </c>
      <c r="S5093" t="str">
        <f>VLOOKUP(record[[#This Row],[employeeID]],員工[],2,FALSE)</f>
        <v>謝蓁薰</v>
      </c>
    </row>
    <row r="5094" spans="6:19" hidden="1" x14ac:dyDescent="0.25">
      <c r="F5094" t="s">
        <v>1388</v>
      </c>
      <c r="G5094" t="s">
        <v>428</v>
      </c>
      <c r="H5094" t="str">
        <f>VLOOKUP(record[[#This Row],[ProcessSN]],表格2_7[],2,FALSE)</f>
        <v>30-4118-018-600</v>
      </c>
      <c r="I5094" t="str">
        <f>VLOOKUP(record[[#This Row],[ProcessSN]],表格2_7[],3,FALSE)</f>
        <v>#100SHIP</v>
      </c>
      <c r="J5094" t="s">
        <v>600</v>
      </c>
      <c r="K5094" s="195">
        <v>46029.710763888892</v>
      </c>
      <c r="L5094">
        <v>31</v>
      </c>
      <c r="M5094">
        <v>0</v>
      </c>
      <c r="N5094" s="98" t="str">
        <f>IF(record[[#This Row],[Memo]]="Browser:chrome os:android","平板報工",IF(record[[#This Row],[Memo]]=0,"委外",record[[#This Row],[Memo]]))</f>
        <v/>
      </c>
      <c r="O5094" t="s">
        <v>58</v>
      </c>
      <c r="P5094" t="s">
        <v>886</v>
      </c>
      <c r="Q5094" t="s">
        <v>58</v>
      </c>
      <c r="R5094" t="str">
        <f>IFERROR(VLOOKUP(record[[#This Row],[PCUSTID]],廠商[],2,FALSE),"")</f>
        <v/>
      </c>
      <c r="S5094" t="str">
        <f>VLOOKUP(record[[#This Row],[employeeID]],員工[],2,FALSE)</f>
        <v>謝蓁薰</v>
      </c>
    </row>
    <row r="5095" spans="6:19" hidden="1" x14ac:dyDescent="0.25">
      <c r="F5095" t="s">
        <v>1369</v>
      </c>
      <c r="G5095" t="s">
        <v>428</v>
      </c>
      <c r="H5095" t="str">
        <f>VLOOKUP(record[[#This Row],[ProcessSN]],表格2_7[],2,FALSE)</f>
        <v>30-4118-018-600</v>
      </c>
      <c r="I5095" t="str">
        <f>VLOOKUP(record[[#This Row],[ProcessSN]],表格2_7[],3,FALSE)</f>
        <v>#100SHIP</v>
      </c>
      <c r="J5095" t="s">
        <v>600</v>
      </c>
      <c r="K5095" s="195">
        <v>46029.710613425923</v>
      </c>
      <c r="L5095">
        <v>149</v>
      </c>
      <c r="M5095">
        <v>0</v>
      </c>
      <c r="N5095" s="98" t="str">
        <f>IF(record[[#This Row],[Memo]]="Browser:chrome os:android","平板報工",IF(record[[#This Row],[Memo]]=0,"委外",record[[#This Row],[Memo]]))</f>
        <v/>
      </c>
      <c r="O5095" t="s">
        <v>58</v>
      </c>
      <c r="P5095" t="s">
        <v>886</v>
      </c>
      <c r="Q5095" t="s">
        <v>58</v>
      </c>
      <c r="R5095" t="str">
        <f>IFERROR(VLOOKUP(record[[#This Row],[PCUSTID]],廠商[],2,FALSE),"")</f>
        <v/>
      </c>
      <c r="S5095" t="str">
        <f>VLOOKUP(record[[#This Row],[employeeID]],員工[],2,FALSE)</f>
        <v>謝蓁薰</v>
      </c>
    </row>
    <row r="5096" spans="6:19" hidden="1" x14ac:dyDescent="0.25">
      <c r="F5096" t="s">
        <v>1402</v>
      </c>
      <c r="G5096" t="s">
        <v>427</v>
      </c>
      <c r="H5096" t="str">
        <f>VLOOKUP(record[[#This Row],[ProcessSN]],表格2_7[],2,FALSE)</f>
        <v>30-4118-018-600</v>
      </c>
      <c r="I5096" t="str">
        <f>VLOOKUP(record[[#This Row],[ProcessSN]],表格2_7[],3,FALSE)</f>
        <v>#100STOCK</v>
      </c>
      <c r="J5096" t="s">
        <v>592</v>
      </c>
      <c r="K5096" s="195">
        <v>46029.710497685184</v>
      </c>
      <c r="L5096">
        <v>108</v>
      </c>
      <c r="M5096">
        <v>0</v>
      </c>
      <c r="N5096" s="98" t="str">
        <f>IF(record[[#This Row],[Memo]]="Browser:chrome os:android","平板報工",IF(record[[#This Row],[Memo]]=0,"委外",record[[#This Row],[Memo]]))</f>
        <v/>
      </c>
      <c r="O5096" t="s">
        <v>58</v>
      </c>
      <c r="P5096" t="s">
        <v>886</v>
      </c>
      <c r="Q5096" t="s">
        <v>58</v>
      </c>
      <c r="R5096" t="str">
        <f>IFERROR(VLOOKUP(record[[#This Row],[PCUSTID]],廠商[],2,FALSE),"")</f>
        <v/>
      </c>
      <c r="S5096" t="str">
        <f>VLOOKUP(record[[#This Row],[employeeID]],員工[],2,FALSE)</f>
        <v>謝蓁薰</v>
      </c>
    </row>
    <row r="5097" spans="6:19" hidden="1" x14ac:dyDescent="0.25">
      <c r="F5097" t="s">
        <v>1388</v>
      </c>
      <c r="G5097" t="s">
        <v>427</v>
      </c>
      <c r="H5097" t="str">
        <f>VLOOKUP(record[[#This Row],[ProcessSN]],表格2_7[],2,FALSE)</f>
        <v>30-4118-018-600</v>
      </c>
      <c r="I5097" t="str">
        <f>VLOOKUP(record[[#This Row],[ProcessSN]],表格2_7[],3,FALSE)</f>
        <v>#100STOCK</v>
      </c>
      <c r="J5097" t="s">
        <v>592</v>
      </c>
      <c r="K5097" s="195">
        <v>46029.710347222222</v>
      </c>
      <c r="L5097">
        <v>31</v>
      </c>
      <c r="M5097">
        <v>0</v>
      </c>
      <c r="N5097" s="98" t="str">
        <f>IF(record[[#This Row],[Memo]]="Browser:chrome os:android","平板報工",IF(record[[#This Row],[Memo]]=0,"委外",record[[#This Row],[Memo]]))</f>
        <v/>
      </c>
      <c r="O5097" t="s">
        <v>58</v>
      </c>
      <c r="P5097" t="s">
        <v>886</v>
      </c>
      <c r="Q5097" t="s">
        <v>58</v>
      </c>
      <c r="R5097" t="str">
        <f>IFERROR(VLOOKUP(record[[#This Row],[PCUSTID]],廠商[],2,FALSE),"")</f>
        <v/>
      </c>
      <c r="S5097" t="str">
        <f>VLOOKUP(record[[#This Row],[employeeID]],員工[],2,FALSE)</f>
        <v>謝蓁薰</v>
      </c>
    </row>
    <row r="5098" spans="6:19" hidden="1" x14ac:dyDescent="0.25">
      <c r="F5098" t="s">
        <v>1369</v>
      </c>
      <c r="G5098" t="s">
        <v>427</v>
      </c>
      <c r="H5098" t="str">
        <f>VLOOKUP(record[[#This Row],[ProcessSN]],表格2_7[],2,FALSE)</f>
        <v>30-4118-018-600</v>
      </c>
      <c r="I5098" t="str">
        <f>VLOOKUP(record[[#This Row],[ProcessSN]],表格2_7[],3,FALSE)</f>
        <v>#100STOCK</v>
      </c>
      <c r="J5098" t="s">
        <v>592</v>
      </c>
      <c r="K5098" s="195">
        <v>46029.710185185184</v>
      </c>
      <c r="L5098">
        <v>149</v>
      </c>
      <c r="M5098">
        <v>0</v>
      </c>
      <c r="N5098" s="98" t="str">
        <f>IF(record[[#This Row],[Memo]]="Browser:chrome os:android","平板報工",IF(record[[#This Row],[Memo]]=0,"委外",record[[#This Row],[Memo]]))</f>
        <v/>
      </c>
      <c r="O5098" t="s">
        <v>58</v>
      </c>
      <c r="P5098" t="s">
        <v>886</v>
      </c>
      <c r="Q5098" t="s">
        <v>58</v>
      </c>
      <c r="R5098" t="str">
        <f>IFERROR(VLOOKUP(record[[#This Row],[PCUSTID]],廠商[],2,FALSE),"")</f>
        <v/>
      </c>
      <c r="S5098" t="str">
        <f>VLOOKUP(record[[#This Row],[employeeID]],員工[],2,FALSE)</f>
        <v>謝蓁薰</v>
      </c>
    </row>
    <row r="5099" spans="6:19" hidden="1" x14ac:dyDescent="0.25">
      <c r="F5099" t="s">
        <v>1315</v>
      </c>
      <c r="G5099" t="s">
        <v>362</v>
      </c>
      <c r="H5099" t="str">
        <f>VLOOKUP(record[[#This Row],[ProcessSN]],表格2_7[],2,FALSE)</f>
        <v>30-4118-018-450</v>
      </c>
      <c r="I5099" t="str">
        <f>VLOOKUP(record[[#This Row],[ProcessSN]],表格2_7[],3,FALSE)</f>
        <v>#100SHIP</v>
      </c>
      <c r="J5099" t="s">
        <v>600</v>
      </c>
      <c r="K5099" s="195">
        <v>46029.710011574076</v>
      </c>
      <c r="L5099">
        <v>59</v>
      </c>
      <c r="M5099">
        <v>0</v>
      </c>
      <c r="N5099" s="98" t="str">
        <f>IF(record[[#This Row],[Memo]]="Browser:chrome os:android","平板報工",IF(record[[#This Row],[Memo]]=0,"委外",record[[#This Row],[Memo]]))</f>
        <v/>
      </c>
      <c r="O5099" t="s">
        <v>58</v>
      </c>
      <c r="P5099" t="s">
        <v>886</v>
      </c>
      <c r="Q5099" t="s">
        <v>58</v>
      </c>
      <c r="R5099" t="str">
        <f>IFERROR(VLOOKUP(record[[#This Row],[PCUSTID]],廠商[],2,FALSE),"")</f>
        <v/>
      </c>
      <c r="S5099" t="str">
        <f>VLOOKUP(record[[#This Row],[employeeID]],員工[],2,FALSE)</f>
        <v>謝蓁薰</v>
      </c>
    </row>
    <row r="5100" spans="6:19" hidden="1" x14ac:dyDescent="0.25">
      <c r="F5100" t="s">
        <v>956</v>
      </c>
      <c r="G5100" t="s">
        <v>362</v>
      </c>
      <c r="H5100" t="str">
        <f>VLOOKUP(record[[#This Row],[ProcessSN]],表格2_7[],2,FALSE)</f>
        <v>30-4118-018-450</v>
      </c>
      <c r="I5100" t="str">
        <f>VLOOKUP(record[[#This Row],[ProcessSN]],表格2_7[],3,FALSE)</f>
        <v>#100SHIP</v>
      </c>
      <c r="J5100" t="s">
        <v>600</v>
      </c>
      <c r="K5100" s="195">
        <v>46029.709872685184</v>
      </c>
      <c r="L5100">
        <v>3</v>
      </c>
      <c r="M5100">
        <v>0</v>
      </c>
      <c r="N5100" s="98" t="str">
        <f>IF(record[[#This Row],[Memo]]="Browser:chrome os:android","平板報工",IF(record[[#This Row],[Memo]]=0,"委外",record[[#This Row],[Memo]]))</f>
        <v/>
      </c>
      <c r="O5100" t="s">
        <v>58</v>
      </c>
      <c r="P5100" t="s">
        <v>886</v>
      </c>
      <c r="Q5100" t="s">
        <v>58</v>
      </c>
      <c r="R5100" t="str">
        <f>IFERROR(VLOOKUP(record[[#This Row],[PCUSTID]],廠商[],2,FALSE),"")</f>
        <v/>
      </c>
      <c r="S5100" t="str">
        <f>VLOOKUP(record[[#This Row],[employeeID]],員工[],2,FALSE)</f>
        <v>謝蓁薰</v>
      </c>
    </row>
    <row r="5101" spans="6:19" hidden="1" x14ac:dyDescent="0.25">
      <c r="F5101" t="s">
        <v>1369</v>
      </c>
      <c r="G5101" t="s">
        <v>428</v>
      </c>
      <c r="H5101" t="str">
        <f>VLOOKUP(record[[#This Row],[ProcessSN]],表格2_7[],2,FALSE)</f>
        <v>30-4118-018-600</v>
      </c>
      <c r="I5101" t="str">
        <f>VLOOKUP(record[[#This Row],[ProcessSN]],表格2_7[],3,FALSE)</f>
        <v>#100SHIP</v>
      </c>
      <c r="J5101" t="s">
        <v>600</v>
      </c>
      <c r="K5101" s="195">
        <v>46029.708287037036</v>
      </c>
      <c r="L5101">
        <v>59</v>
      </c>
      <c r="M5101">
        <v>0</v>
      </c>
      <c r="N5101" s="98" t="str">
        <f>IF(record[[#This Row],[Memo]]="Browser:chrome os:android","平板報工",IF(record[[#This Row],[Memo]]=0,"委外",record[[#This Row],[Memo]]))</f>
        <v/>
      </c>
      <c r="O5101" t="s">
        <v>58</v>
      </c>
      <c r="P5101" t="s">
        <v>886</v>
      </c>
      <c r="Q5101" t="s">
        <v>58</v>
      </c>
      <c r="R5101" t="str">
        <f>IFERROR(VLOOKUP(record[[#This Row],[PCUSTID]],廠商[],2,FALSE),"")</f>
        <v/>
      </c>
      <c r="S5101" t="str">
        <f>VLOOKUP(record[[#This Row],[employeeID]],員工[],2,FALSE)</f>
        <v>謝蓁薰</v>
      </c>
    </row>
    <row r="5102" spans="6:19" hidden="1" x14ac:dyDescent="0.25">
      <c r="F5102" t="s">
        <v>1381</v>
      </c>
      <c r="G5102" t="s">
        <v>420</v>
      </c>
      <c r="H5102" t="str">
        <f>VLOOKUP(record[[#This Row],[ProcessSN]],表格2_7[],2,FALSE)</f>
        <v>30-4118-018-5XX</v>
      </c>
      <c r="I5102" t="str">
        <f>VLOOKUP(record[[#This Row],[ProcessSN]],表格2_7[],3,FALSE)</f>
        <v>#07STOCK</v>
      </c>
      <c r="J5102" t="s">
        <v>592</v>
      </c>
      <c r="K5102" s="195">
        <v>46029.708287037036</v>
      </c>
      <c r="L5102">
        <v>111</v>
      </c>
      <c r="M5102">
        <v>0</v>
      </c>
      <c r="N5102" s="98" t="str">
        <f>IF(record[[#This Row],[Memo]]="Browser:chrome os:android","平板報工",IF(record[[#This Row],[Memo]]=0,"委外",record[[#This Row],[Memo]]))</f>
        <v/>
      </c>
      <c r="O5102" t="s">
        <v>58</v>
      </c>
      <c r="P5102" t="s">
        <v>186</v>
      </c>
      <c r="Q5102" t="s">
        <v>58</v>
      </c>
      <c r="R5102" t="str">
        <f>IFERROR(VLOOKUP(record[[#This Row],[PCUSTID]],廠商[],2,FALSE),"")</f>
        <v/>
      </c>
      <c r="S5102" t="str">
        <f>VLOOKUP(record[[#This Row],[employeeID]],員工[],2,FALSE)</f>
        <v>許文姍</v>
      </c>
    </row>
    <row r="5103" spans="6:19" hidden="1" x14ac:dyDescent="0.25">
      <c r="F5103" t="s">
        <v>1369</v>
      </c>
      <c r="G5103" t="s">
        <v>427</v>
      </c>
      <c r="H5103" t="str">
        <f>VLOOKUP(record[[#This Row],[ProcessSN]],表格2_7[],2,FALSE)</f>
        <v>30-4118-018-600</v>
      </c>
      <c r="I5103" t="str">
        <f>VLOOKUP(record[[#This Row],[ProcessSN]],表格2_7[],3,FALSE)</f>
        <v>#100STOCK</v>
      </c>
      <c r="J5103" t="s">
        <v>592</v>
      </c>
      <c r="K5103" s="195">
        <v>46029.708148148151</v>
      </c>
      <c r="L5103">
        <v>59</v>
      </c>
      <c r="M5103">
        <v>0</v>
      </c>
      <c r="N5103" s="98" t="str">
        <f>IF(record[[#This Row],[Memo]]="Browser:chrome os:android","平板報工",IF(record[[#This Row],[Memo]]=0,"委外",record[[#This Row],[Memo]]))</f>
        <v/>
      </c>
      <c r="O5103" t="s">
        <v>58</v>
      </c>
      <c r="P5103" t="s">
        <v>886</v>
      </c>
      <c r="Q5103" t="s">
        <v>58</v>
      </c>
      <c r="R5103" t="str">
        <f>IFERROR(VLOOKUP(record[[#This Row],[PCUSTID]],廠商[],2,FALSE),"")</f>
        <v/>
      </c>
      <c r="S5103" t="str">
        <f>VLOOKUP(record[[#This Row],[employeeID]],員工[],2,FALSE)</f>
        <v>謝蓁薰</v>
      </c>
    </row>
    <row r="5104" spans="6:19" hidden="1" x14ac:dyDescent="0.25">
      <c r="F5104" t="s">
        <v>1415</v>
      </c>
      <c r="G5104" t="s">
        <v>403</v>
      </c>
      <c r="H5104" t="str">
        <f>VLOOKUP(record[[#This Row],[ProcessSN]],表格2_7[],2,FALSE)</f>
        <v>30-4118-018-550</v>
      </c>
      <c r="I5104" t="str">
        <f>VLOOKUP(record[[#This Row],[ProcessSN]],表格2_7[],3,FALSE)</f>
        <v>#100SHIP</v>
      </c>
      <c r="J5104" t="s">
        <v>600</v>
      </c>
      <c r="K5104" s="195">
        <v>46029.708009259259</v>
      </c>
      <c r="L5104">
        <v>315</v>
      </c>
      <c r="M5104">
        <v>0</v>
      </c>
      <c r="N5104" s="98" t="str">
        <f>IF(record[[#This Row],[Memo]]="Browser:chrome os:android","平板報工",IF(record[[#This Row],[Memo]]=0,"委外",record[[#This Row],[Memo]]))</f>
        <v/>
      </c>
      <c r="O5104" t="s">
        <v>58</v>
      </c>
      <c r="P5104" t="s">
        <v>886</v>
      </c>
      <c r="Q5104" t="s">
        <v>58</v>
      </c>
      <c r="R5104" t="str">
        <f>IFERROR(VLOOKUP(record[[#This Row],[PCUSTID]],廠商[],2,FALSE),"")</f>
        <v/>
      </c>
      <c r="S5104" t="str">
        <f>VLOOKUP(record[[#This Row],[employeeID]],員工[],2,FALSE)</f>
        <v>謝蓁薰</v>
      </c>
    </row>
    <row r="5105" spans="6:19" hidden="1" x14ac:dyDescent="0.25">
      <c r="F5105" t="s">
        <v>1366</v>
      </c>
      <c r="G5105" t="s">
        <v>403</v>
      </c>
      <c r="H5105" t="str">
        <f>VLOOKUP(record[[#This Row],[ProcessSN]],表格2_7[],2,FALSE)</f>
        <v>30-4118-018-550</v>
      </c>
      <c r="I5105" t="str">
        <f>VLOOKUP(record[[#This Row],[ProcessSN]],表格2_7[],3,FALSE)</f>
        <v>#100SHIP</v>
      </c>
      <c r="J5105" t="s">
        <v>600</v>
      </c>
      <c r="K5105" s="195">
        <v>46029.707812499997</v>
      </c>
      <c r="L5105">
        <v>93</v>
      </c>
      <c r="M5105">
        <v>0</v>
      </c>
      <c r="N5105" s="98" t="str">
        <f>IF(record[[#This Row],[Memo]]="Browser:chrome os:android","平板報工",IF(record[[#This Row],[Memo]]=0,"委外",record[[#This Row],[Memo]]))</f>
        <v/>
      </c>
      <c r="O5105" t="s">
        <v>58</v>
      </c>
      <c r="P5105" t="s">
        <v>886</v>
      </c>
      <c r="Q5105" t="s">
        <v>58</v>
      </c>
      <c r="R5105" t="str">
        <f>IFERROR(VLOOKUP(record[[#This Row],[PCUSTID]],廠商[],2,FALSE),"")</f>
        <v/>
      </c>
      <c r="S5105" t="str">
        <f>VLOOKUP(record[[#This Row],[employeeID]],員工[],2,FALSE)</f>
        <v>謝蓁薰</v>
      </c>
    </row>
    <row r="5106" spans="6:19" hidden="1" x14ac:dyDescent="0.25">
      <c r="F5106" t="s">
        <v>1415</v>
      </c>
      <c r="G5106" t="s">
        <v>402</v>
      </c>
      <c r="H5106" t="str">
        <f>VLOOKUP(record[[#This Row],[ProcessSN]],表格2_7[],2,FALSE)</f>
        <v>30-4118-018-550</v>
      </c>
      <c r="I5106" t="str">
        <f>VLOOKUP(record[[#This Row],[ProcessSN]],表格2_7[],3,FALSE)</f>
        <v>#100STOCK</v>
      </c>
      <c r="J5106" t="s">
        <v>592</v>
      </c>
      <c r="K5106" s="195">
        <v>46029.707708333335</v>
      </c>
      <c r="L5106">
        <v>315</v>
      </c>
      <c r="M5106">
        <v>0</v>
      </c>
      <c r="N5106" s="98" t="str">
        <f>IF(record[[#This Row],[Memo]]="Browser:chrome os:android","平板報工",IF(record[[#This Row],[Memo]]=0,"委外",record[[#This Row],[Memo]]))</f>
        <v/>
      </c>
      <c r="O5106" t="s">
        <v>58</v>
      </c>
      <c r="P5106" t="s">
        <v>886</v>
      </c>
      <c r="Q5106" t="s">
        <v>58</v>
      </c>
      <c r="R5106" t="str">
        <f>IFERROR(VLOOKUP(record[[#This Row],[PCUSTID]],廠商[],2,FALSE),"")</f>
        <v/>
      </c>
      <c r="S5106" t="str">
        <f>VLOOKUP(record[[#This Row],[employeeID]],員工[],2,FALSE)</f>
        <v>謝蓁薰</v>
      </c>
    </row>
    <row r="5107" spans="6:19" hidden="1" x14ac:dyDescent="0.25">
      <c r="F5107" t="s">
        <v>1444</v>
      </c>
      <c r="G5107" t="s">
        <v>397</v>
      </c>
      <c r="H5107" t="str">
        <f>VLOOKUP(record[[#This Row],[ProcessSN]],表格2_7[],2,FALSE)</f>
        <v>30-4118-018-550</v>
      </c>
      <c r="I5107" t="str">
        <f>VLOOKUP(record[[#This Row],[ProcessSN]],表格2_7[],3,FALSE)</f>
        <v>#08</v>
      </c>
      <c r="J5107" t="s">
        <v>597</v>
      </c>
      <c r="K5107" s="195">
        <v>46029.707569444443</v>
      </c>
      <c r="L5107">
        <v>111</v>
      </c>
      <c r="M5107">
        <v>0</v>
      </c>
      <c r="N5107" s="98" t="str">
        <f>IF(record[[#This Row],[Memo]]="Browser:chrome os:android","平板報工",IF(record[[#This Row],[Memo]]=0,"委外",record[[#This Row],[Memo]]))</f>
        <v>委外</v>
      </c>
      <c r="P5107" t="s">
        <v>186</v>
      </c>
      <c r="Q5107" t="s">
        <v>287</v>
      </c>
      <c r="R5107" t="str">
        <f>IFERROR(VLOOKUP(record[[#This Row],[PCUSTID]],廠商[],2,FALSE),"")</f>
        <v>泉盛</v>
      </c>
      <c r="S5107" t="str">
        <f>VLOOKUP(record[[#This Row],[employeeID]],員工[],2,FALSE)</f>
        <v>許文姍</v>
      </c>
    </row>
    <row r="5108" spans="6:19" hidden="1" x14ac:dyDescent="0.25">
      <c r="F5108" t="s">
        <v>1366</v>
      </c>
      <c r="G5108" t="s">
        <v>402</v>
      </c>
      <c r="H5108" t="str">
        <f>VLOOKUP(record[[#This Row],[ProcessSN]],表格2_7[],2,FALSE)</f>
        <v>30-4118-018-550</v>
      </c>
      <c r="I5108" t="str">
        <f>VLOOKUP(record[[#This Row],[ProcessSN]],表格2_7[],3,FALSE)</f>
        <v>#100STOCK</v>
      </c>
      <c r="J5108" t="s">
        <v>592</v>
      </c>
      <c r="K5108" s="195">
        <v>46029.707557870373</v>
      </c>
      <c r="L5108">
        <v>93</v>
      </c>
      <c r="M5108">
        <v>0</v>
      </c>
      <c r="N5108" s="98" t="str">
        <f>IF(record[[#This Row],[Memo]]="Browser:chrome os:android","平板報工",IF(record[[#This Row],[Memo]]=0,"委外",record[[#This Row],[Memo]]))</f>
        <v/>
      </c>
      <c r="O5108" t="s">
        <v>58</v>
      </c>
      <c r="P5108" t="s">
        <v>886</v>
      </c>
      <c r="Q5108" t="s">
        <v>58</v>
      </c>
      <c r="R5108" t="str">
        <f>IFERROR(VLOOKUP(record[[#This Row],[PCUSTID]],廠商[],2,FALSE),"")</f>
        <v/>
      </c>
      <c r="S5108" t="str">
        <f>VLOOKUP(record[[#This Row],[employeeID]],員工[],2,FALSE)</f>
        <v>謝蓁薰</v>
      </c>
    </row>
    <row r="5109" spans="6:19" hidden="1" x14ac:dyDescent="0.25">
      <c r="F5109" t="s">
        <v>1315</v>
      </c>
      <c r="G5109" t="s">
        <v>362</v>
      </c>
      <c r="H5109" t="str">
        <f>VLOOKUP(record[[#This Row],[ProcessSN]],表格2_7[],2,FALSE)</f>
        <v>30-4118-018-450</v>
      </c>
      <c r="I5109" t="str">
        <f>VLOOKUP(record[[#This Row],[ProcessSN]],表格2_7[],3,FALSE)</f>
        <v>#100SHIP</v>
      </c>
      <c r="J5109" t="s">
        <v>600</v>
      </c>
      <c r="K5109" s="195">
        <v>46029.707314814812</v>
      </c>
      <c r="L5109">
        <v>12</v>
      </c>
      <c r="M5109">
        <v>0</v>
      </c>
      <c r="N5109" s="98" t="str">
        <f>IF(record[[#This Row],[Memo]]="Browser:chrome os:android","平板報工",IF(record[[#This Row],[Memo]]=0,"委外",record[[#This Row],[Memo]]))</f>
        <v/>
      </c>
      <c r="O5109" t="s">
        <v>58</v>
      </c>
      <c r="P5109" t="s">
        <v>886</v>
      </c>
      <c r="Q5109" t="s">
        <v>58</v>
      </c>
      <c r="R5109" t="str">
        <f>IFERROR(VLOOKUP(record[[#This Row],[PCUSTID]],廠商[],2,FALSE),"")</f>
        <v/>
      </c>
      <c r="S5109" t="str">
        <f>VLOOKUP(record[[#This Row],[employeeID]],員工[],2,FALSE)</f>
        <v>謝蓁薰</v>
      </c>
    </row>
    <row r="5110" spans="6:19" hidden="1" x14ac:dyDescent="0.25">
      <c r="F5110" t="s">
        <v>956</v>
      </c>
      <c r="G5110" t="s">
        <v>362</v>
      </c>
      <c r="H5110" t="str">
        <f>VLOOKUP(record[[#This Row],[ProcessSN]],表格2_7[],2,FALSE)</f>
        <v>30-4118-018-450</v>
      </c>
      <c r="I5110" t="str">
        <f>VLOOKUP(record[[#This Row],[ProcessSN]],表格2_7[],3,FALSE)</f>
        <v>#100SHIP</v>
      </c>
      <c r="J5110" t="s">
        <v>600</v>
      </c>
      <c r="K5110" s="195">
        <v>46029.707175925927</v>
      </c>
      <c r="L5110">
        <v>1</v>
      </c>
      <c r="M5110">
        <v>0</v>
      </c>
      <c r="N5110" s="98" t="str">
        <f>IF(record[[#This Row],[Memo]]="Browser:chrome os:android","平板報工",IF(record[[#This Row],[Memo]]=0,"委外",record[[#This Row],[Memo]]))</f>
        <v/>
      </c>
      <c r="O5110" t="s">
        <v>58</v>
      </c>
      <c r="P5110" t="s">
        <v>886</v>
      </c>
      <c r="Q5110" t="s">
        <v>58</v>
      </c>
      <c r="R5110" t="str">
        <f>IFERROR(VLOOKUP(record[[#This Row],[PCUSTID]],廠商[],2,FALSE),"")</f>
        <v/>
      </c>
      <c r="S5110" t="str">
        <f>VLOOKUP(record[[#This Row],[employeeID]],員工[],2,FALSE)</f>
        <v>謝蓁薰</v>
      </c>
    </row>
    <row r="5111" spans="6:19" hidden="1" x14ac:dyDescent="0.25">
      <c r="F5111" t="s">
        <v>1381</v>
      </c>
      <c r="G5111" t="s">
        <v>419</v>
      </c>
      <c r="H5111" t="str">
        <f>VLOOKUP(record[[#This Row],[ProcessSN]],表格2_7[],2,FALSE)</f>
        <v>30-4118-018-5XX</v>
      </c>
      <c r="I5111" t="str">
        <f>VLOOKUP(record[[#This Row],[ProcessSN]],表格2_7[],3,FALSE)</f>
        <v>#07QC</v>
      </c>
      <c r="J5111" t="s">
        <v>589</v>
      </c>
      <c r="K5111" s="195">
        <v>46029.706585648149</v>
      </c>
      <c r="L5111">
        <v>111</v>
      </c>
      <c r="M5111">
        <v>0</v>
      </c>
      <c r="N5111" s="98" t="str">
        <f>IF(record[[#This Row],[Memo]]="Browser:chrome os:android","平板報工",IF(record[[#This Row],[Memo]]=0,"委外",record[[#This Row],[Memo]]))</f>
        <v/>
      </c>
      <c r="O5111" t="s">
        <v>58</v>
      </c>
      <c r="P5111" t="s">
        <v>141</v>
      </c>
      <c r="Q5111" t="s">
        <v>58</v>
      </c>
      <c r="R5111" t="str">
        <f>IFERROR(VLOOKUP(record[[#This Row],[PCUSTID]],廠商[],2,FALSE),"")</f>
        <v/>
      </c>
      <c r="S5111" t="str">
        <f>VLOOKUP(record[[#This Row],[employeeID]],員工[],2,FALSE)</f>
        <v>蔣梅</v>
      </c>
    </row>
    <row r="5112" spans="6:19" hidden="1" x14ac:dyDescent="0.25">
      <c r="F5112" t="s">
        <v>1444</v>
      </c>
      <c r="G5112" t="s">
        <v>396</v>
      </c>
      <c r="H5112" t="str">
        <f>VLOOKUP(record[[#This Row],[ProcessSN]],表格2_7[],2,FALSE)</f>
        <v>30-4118-018-550</v>
      </c>
      <c r="I5112" t="str">
        <f>VLOOKUP(record[[#This Row],[ProcessSN]],表格2_7[],3,FALSE)</f>
        <v>#08PICK</v>
      </c>
      <c r="J5112" t="s">
        <v>582</v>
      </c>
      <c r="K5112" s="195">
        <v>46029.706458333334</v>
      </c>
      <c r="L5112">
        <v>111</v>
      </c>
      <c r="M5112">
        <v>0</v>
      </c>
      <c r="N5112" s="98" t="str">
        <f>IF(record[[#This Row],[Memo]]="Browser:chrome os:android","平板報工",IF(record[[#This Row],[Memo]]=0,"委外",record[[#This Row],[Memo]]))</f>
        <v/>
      </c>
      <c r="O5112" t="s">
        <v>58</v>
      </c>
      <c r="P5112" t="s">
        <v>186</v>
      </c>
      <c r="Q5112" t="s">
        <v>58</v>
      </c>
      <c r="R5112" t="str">
        <f>IFERROR(VLOOKUP(record[[#This Row],[PCUSTID]],廠商[],2,FALSE),"")</f>
        <v/>
      </c>
      <c r="S5112" t="str">
        <f>VLOOKUP(record[[#This Row],[employeeID]],員工[],2,FALSE)</f>
        <v>許文姍</v>
      </c>
    </row>
    <row r="5113" spans="6:19" hidden="1" x14ac:dyDescent="0.25">
      <c r="F5113" t="s">
        <v>1381</v>
      </c>
      <c r="G5113" t="s">
        <v>418</v>
      </c>
      <c r="H5113" t="str">
        <f>VLOOKUP(record[[#This Row],[ProcessSN]],表格2_7[],2,FALSE)</f>
        <v>30-4118-018-5XX</v>
      </c>
      <c r="I5113" t="str">
        <f>VLOOKUP(record[[#This Row],[ProcessSN]],表格2_7[],3,FALSE)</f>
        <v>#07</v>
      </c>
      <c r="J5113" t="s">
        <v>588</v>
      </c>
      <c r="K5113" s="195">
        <v>46029.695509259262</v>
      </c>
      <c r="L5113">
        <v>32</v>
      </c>
      <c r="M5113">
        <v>0</v>
      </c>
      <c r="N5113" s="98" t="str">
        <f>IF(record[[#This Row],[Memo]]="Browser:chrome os:android","平板報工",IF(record[[#This Row],[Memo]]=0,"委外",record[[#This Row],[Memo]]))</f>
        <v>中班先報</v>
      </c>
      <c r="O5113" t="s">
        <v>1443</v>
      </c>
      <c r="P5113" t="s">
        <v>89</v>
      </c>
      <c r="Q5113" t="s">
        <v>58</v>
      </c>
      <c r="R5113" t="str">
        <f>IFERROR(VLOOKUP(record[[#This Row],[PCUSTID]],廠商[],2,FALSE),"")</f>
        <v/>
      </c>
      <c r="S5113" t="str">
        <f>VLOOKUP(record[[#This Row],[employeeID]],員工[],2,FALSE)</f>
        <v>李美蓮</v>
      </c>
    </row>
    <row r="5114" spans="6:19" hidden="1" x14ac:dyDescent="0.25">
      <c r="F5114" t="s">
        <v>1381</v>
      </c>
      <c r="G5114" t="s">
        <v>417</v>
      </c>
      <c r="H5114" t="str">
        <f>VLOOKUP(record[[#This Row],[ProcessSN]],表格2_7[],2,FALSE)</f>
        <v>30-4118-018-5XX</v>
      </c>
      <c r="I5114" t="str">
        <f>VLOOKUP(record[[#This Row],[ProcessSN]],表格2_7[],3,FALSE)</f>
        <v>#06</v>
      </c>
      <c r="J5114" t="s">
        <v>593</v>
      </c>
      <c r="K5114" s="195">
        <v>46029.688506944447</v>
      </c>
      <c r="L5114">
        <v>110</v>
      </c>
      <c r="M5114">
        <v>0</v>
      </c>
      <c r="N5114" s="98" t="str">
        <f>IF(record[[#This Row],[Memo]]="Browser:chrome os:android","平板報工",IF(record[[#This Row],[Memo]]=0,"委外",record[[#This Row],[Memo]]))</f>
        <v/>
      </c>
      <c r="O5114" t="s">
        <v>58</v>
      </c>
      <c r="P5114" t="s">
        <v>1413</v>
      </c>
      <c r="Q5114" t="s">
        <v>58</v>
      </c>
      <c r="R5114" t="str">
        <f>IFERROR(VLOOKUP(record[[#This Row],[PCUSTID]],廠商[],2,FALSE),"")</f>
        <v/>
      </c>
      <c r="S5114" t="str">
        <f>VLOOKUP(record[[#This Row],[employeeID]],員工[],2,FALSE)</f>
        <v>阮氏芳英(芳)</v>
      </c>
    </row>
    <row r="5115" spans="6:19" hidden="1" x14ac:dyDescent="0.25">
      <c r="F5115" t="s">
        <v>1381</v>
      </c>
      <c r="G5115" t="s">
        <v>418</v>
      </c>
      <c r="H5115" t="str">
        <f>VLOOKUP(record[[#This Row],[ProcessSN]],表格2_7[],2,FALSE)</f>
        <v>30-4118-018-5XX</v>
      </c>
      <c r="I5115" t="str">
        <f>VLOOKUP(record[[#This Row],[ProcessSN]],表格2_7[],3,FALSE)</f>
        <v>#07</v>
      </c>
      <c r="J5115" t="s">
        <v>588</v>
      </c>
      <c r="K5115" s="195">
        <v>46029.688298611109</v>
      </c>
      <c r="L5115">
        <v>147</v>
      </c>
      <c r="M5115">
        <v>8</v>
      </c>
      <c r="N5115" s="98" t="str">
        <f>IF(record[[#This Row],[Memo]]="Browser:chrome os:android","平板報工",IF(record[[#This Row],[Memo]]=0,"委外",record[[#This Row],[Memo]]))</f>
        <v/>
      </c>
      <c r="O5115" t="s">
        <v>58</v>
      </c>
      <c r="P5115" t="s">
        <v>785</v>
      </c>
      <c r="Q5115" t="s">
        <v>58</v>
      </c>
      <c r="R5115" t="str">
        <f>IFERROR(VLOOKUP(record[[#This Row],[PCUSTID]],廠商[],2,FALSE),"")</f>
        <v/>
      </c>
      <c r="S5115" t="str">
        <f>VLOOKUP(record[[#This Row],[employeeID]],員工[],2,FALSE)</f>
        <v>謝刻光</v>
      </c>
    </row>
    <row r="5116" spans="6:19" hidden="1" x14ac:dyDescent="0.25">
      <c r="F5116" t="s">
        <v>1416</v>
      </c>
      <c r="G5116" t="s">
        <v>416</v>
      </c>
      <c r="H5116" t="str">
        <f>VLOOKUP(record[[#This Row],[ProcessSN]],表格2_7[],2,FALSE)</f>
        <v>30-4118-018-5XX</v>
      </c>
      <c r="I5116" t="str">
        <f>VLOOKUP(record[[#This Row],[ProcessSN]],表格2_7[],3,FALSE)</f>
        <v>#05</v>
      </c>
      <c r="J5116" t="s">
        <v>588</v>
      </c>
      <c r="K5116" s="195">
        <v>46029.683171296296</v>
      </c>
      <c r="L5116">
        <v>85</v>
      </c>
      <c r="M5116">
        <v>0</v>
      </c>
      <c r="N5116" s="98" t="str">
        <f>IF(record[[#This Row],[Memo]]="Browser:chrome os:android","平板報工",IF(record[[#This Row],[Memo]]=0,"委外",record[[#This Row],[Memo]]))</f>
        <v/>
      </c>
      <c r="O5116" t="s">
        <v>58</v>
      </c>
      <c r="P5116" t="s">
        <v>785</v>
      </c>
      <c r="Q5116" t="s">
        <v>58</v>
      </c>
      <c r="R5116" t="str">
        <f>IFERROR(VLOOKUP(record[[#This Row],[PCUSTID]],廠商[],2,FALSE),"")</f>
        <v/>
      </c>
      <c r="S5116" t="str">
        <f>VLOOKUP(record[[#This Row],[employeeID]],員工[],2,FALSE)</f>
        <v>謝刻光</v>
      </c>
    </row>
    <row r="5117" spans="6:19" hidden="1" x14ac:dyDescent="0.25">
      <c r="F5117" t="s">
        <v>1416</v>
      </c>
      <c r="G5117" t="s">
        <v>415</v>
      </c>
      <c r="H5117" t="str">
        <f>VLOOKUP(record[[#This Row],[ProcessSN]],表格2_7[],2,FALSE)</f>
        <v>30-4118-018-5XX</v>
      </c>
      <c r="I5117" t="str">
        <f>VLOOKUP(record[[#This Row],[ProcessSN]],表格2_7[],3,FALSE)</f>
        <v>#04</v>
      </c>
      <c r="J5117" t="s">
        <v>588</v>
      </c>
      <c r="K5117" s="195">
        <v>46029.682581018518</v>
      </c>
      <c r="L5117">
        <v>85</v>
      </c>
      <c r="M5117">
        <v>1</v>
      </c>
      <c r="N5117" s="98" t="str">
        <f>IF(record[[#This Row],[Memo]]="Browser:chrome os:android","平板報工",IF(record[[#This Row],[Memo]]=0,"委外",record[[#This Row],[Memo]]))</f>
        <v/>
      </c>
      <c r="O5117" t="s">
        <v>58</v>
      </c>
      <c r="P5117" t="s">
        <v>145</v>
      </c>
      <c r="Q5117" t="s">
        <v>58</v>
      </c>
      <c r="R5117" t="str">
        <f>IFERROR(VLOOKUP(record[[#This Row],[PCUSTID]],廠商[],2,FALSE),"")</f>
        <v/>
      </c>
      <c r="S5117" t="str">
        <f>VLOOKUP(record[[#This Row],[employeeID]],員工[],2,FALSE)</f>
        <v>阮秋霞</v>
      </c>
    </row>
    <row r="5118" spans="6:19" hidden="1" x14ac:dyDescent="0.25">
      <c r="F5118" t="s">
        <v>1366</v>
      </c>
      <c r="G5118" t="s">
        <v>398</v>
      </c>
      <c r="H5118" t="str">
        <f>VLOOKUP(record[[#This Row],[ProcessSN]],表格2_7[],2,FALSE)</f>
        <v>30-4118-018-550</v>
      </c>
      <c r="I5118" t="str">
        <f>VLOOKUP(record[[#This Row],[ProcessSN]],表格2_7[],3,FALSE)</f>
        <v>#08RCV</v>
      </c>
      <c r="J5118" t="s">
        <v>591</v>
      </c>
      <c r="K5118" s="195">
        <v>46029.666307870371</v>
      </c>
      <c r="L5118">
        <v>4</v>
      </c>
      <c r="M5118">
        <v>-4</v>
      </c>
      <c r="N5118" s="98" t="str">
        <f>IF(record[[#This Row],[Memo]]="Browser:chrome os:android","平板報工",IF(record[[#This Row],[Memo]]=0,"委外",record[[#This Row],[Memo]]))</f>
        <v>1.5覆回</v>
      </c>
      <c r="O5118" t="s">
        <v>1411</v>
      </c>
      <c r="P5118" t="s">
        <v>65</v>
      </c>
      <c r="R5118" t="str">
        <f>IFERROR(VLOOKUP(record[[#This Row],[PCUSTID]],廠商[],2,FALSE),"")</f>
        <v/>
      </c>
      <c r="S5118" t="str">
        <f>VLOOKUP(record[[#This Row],[employeeID]],員工[],2,FALSE)</f>
        <v>蘇進昌</v>
      </c>
    </row>
    <row r="5119" spans="6:19" hidden="1" x14ac:dyDescent="0.25">
      <c r="F5119" t="s">
        <v>1366</v>
      </c>
      <c r="G5119" t="s">
        <v>399</v>
      </c>
      <c r="H5119" t="str">
        <f>VLOOKUP(record[[#This Row],[ProcessSN]],表格2_7[],2,FALSE)</f>
        <v>30-4118-018-550</v>
      </c>
      <c r="I5119" t="str">
        <f>VLOOKUP(record[[#This Row],[ProcessSN]],表格2_7[],3,FALSE)</f>
        <v>#08IQC</v>
      </c>
      <c r="J5119" t="s">
        <v>583</v>
      </c>
      <c r="K5119" s="195">
        <v>46029.666307870371</v>
      </c>
      <c r="L5119">
        <v>4</v>
      </c>
      <c r="M5119">
        <v>0</v>
      </c>
      <c r="N5119" s="98" t="str">
        <f>IF(record[[#This Row],[Memo]]="Browser:chrome os:android","平板報工",IF(record[[#This Row],[Memo]]=0,"委外",record[[#This Row],[Memo]]))</f>
        <v>1.5覆回</v>
      </c>
      <c r="O5119" t="s">
        <v>1411</v>
      </c>
      <c r="P5119" t="s">
        <v>65</v>
      </c>
      <c r="R5119" t="str">
        <f>IFERROR(VLOOKUP(record[[#This Row],[PCUSTID]],廠商[],2,FALSE),"")</f>
        <v/>
      </c>
      <c r="S5119" t="str">
        <f>VLOOKUP(record[[#This Row],[employeeID]],員工[],2,FALSE)</f>
        <v>蘇進昌</v>
      </c>
    </row>
    <row r="5120" spans="6:19" hidden="1" x14ac:dyDescent="0.25">
      <c r="F5120" t="s">
        <v>1366</v>
      </c>
      <c r="G5120" t="s">
        <v>400</v>
      </c>
      <c r="H5120" t="str">
        <f>VLOOKUP(record[[#This Row],[ProcessSN]],表格2_7[],2,FALSE)</f>
        <v>30-4118-018-550</v>
      </c>
      <c r="I5120" t="str">
        <f>VLOOKUP(record[[#This Row],[ProcessSN]],表格2_7[],3,FALSE)</f>
        <v>#100</v>
      </c>
      <c r="J5120" t="s">
        <v>598</v>
      </c>
      <c r="K5120" s="195">
        <v>46029.666307870371</v>
      </c>
      <c r="L5120">
        <v>4</v>
      </c>
      <c r="M5120">
        <v>0</v>
      </c>
      <c r="N5120" s="98" t="str">
        <f>IF(record[[#This Row],[Memo]]="Browser:chrome os:android","平板報工",IF(record[[#This Row],[Memo]]=0,"委外",record[[#This Row],[Memo]]))</f>
        <v>1.5覆回</v>
      </c>
      <c r="O5120" t="s">
        <v>1411</v>
      </c>
      <c r="P5120" t="s">
        <v>65</v>
      </c>
      <c r="R5120" t="str">
        <f>IFERROR(VLOOKUP(record[[#This Row],[PCUSTID]],廠商[],2,FALSE),"")</f>
        <v/>
      </c>
      <c r="S5120" t="str">
        <f>VLOOKUP(record[[#This Row],[employeeID]],員工[],2,FALSE)</f>
        <v>蘇進昌</v>
      </c>
    </row>
    <row r="5121" spans="6:19" hidden="1" x14ac:dyDescent="0.25">
      <c r="F5121" t="s">
        <v>1366</v>
      </c>
      <c r="G5121" t="s">
        <v>401</v>
      </c>
      <c r="H5121" t="str">
        <f>VLOOKUP(record[[#This Row],[ProcessSN]],表格2_7[],2,FALSE)</f>
        <v>30-4118-018-550</v>
      </c>
      <c r="I5121" t="str">
        <f>VLOOKUP(record[[#This Row],[ProcessSN]],表格2_7[],3,FALSE)</f>
        <v>#100OQC</v>
      </c>
      <c r="J5121" t="s">
        <v>599</v>
      </c>
      <c r="K5121" s="195">
        <v>46029.666307870371</v>
      </c>
      <c r="L5121">
        <v>4</v>
      </c>
      <c r="M5121">
        <v>0</v>
      </c>
      <c r="N5121" s="98" t="str">
        <f>IF(record[[#This Row],[Memo]]="Browser:chrome os:android","平板報工",IF(record[[#This Row],[Memo]]=0,"委外",record[[#This Row],[Memo]]))</f>
        <v>1.5覆回</v>
      </c>
      <c r="O5121" t="s">
        <v>1411</v>
      </c>
      <c r="P5121" t="s">
        <v>65</v>
      </c>
      <c r="R5121" t="str">
        <f>IFERROR(VLOOKUP(record[[#This Row],[PCUSTID]],廠商[],2,FALSE),"")</f>
        <v/>
      </c>
      <c r="S5121" t="str">
        <f>VLOOKUP(record[[#This Row],[employeeID]],員工[],2,FALSE)</f>
        <v>蘇進昌</v>
      </c>
    </row>
    <row r="5122" spans="6:19" hidden="1" x14ac:dyDescent="0.25">
      <c r="F5122" t="s">
        <v>1366</v>
      </c>
      <c r="G5122" t="s">
        <v>402</v>
      </c>
      <c r="H5122" t="str">
        <f>VLOOKUP(record[[#This Row],[ProcessSN]],表格2_7[],2,FALSE)</f>
        <v>30-4118-018-550</v>
      </c>
      <c r="I5122" t="str">
        <f>VLOOKUP(record[[#This Row],[ProcessSN]],表格2_7[],3,FALSE)</f>
        <v>#100STOCK</v>
      </c>
      <c r="J5122" t="s">
        <v>592</v>
      </c>
      <c r="K5122" s="195">
        <v>46029.666307870371</v>
      </c>
      <c r="L5122">
        <v>4</v>
      </c>
      <c r="M5122">
        <v>0</v>
      </c>
      <c r="N5122" s="98" t="str">
        <f>IF(record[[#This Row],[Memo]]="Browser:chrome os:android","平板報工",IF(record[[#This Row],[Memo]]=0,"委外",record[[#This Row],[Memo]]))</f>
        <v>1.5覆回</v>
      </c>
      <c r="O5122" t="s">
        <v>1411</v>
      </c>
      <c r="P5122" t="s">
        <v>65</v>
      </c>
      <c r="R5122" t="str">
        <f>IFERROR(VLOOKUP(record[[#This Row],[PCUSTID]],廠商[],2,FALSE),"")</f>
        <v/>
      </c>
      <c r="S5122" t="str">
        <f>VLOOKUP(record[[#This Row],[employeeID]],員工[],2,FALSE)</f>
        <v>蘇進昌</v>
      </c>
    </row>
    <row r="5123" spans="6:19" hidden="1" x14ac:dyDescent="0.25">
      <c r="F5123" t="s">
        <v>1335</v>
      </c>
      <c r="G5123" t="s">
        <v>428</v>
      </c>
      <c r="H5123" t="str">
        <f>VLOOKUP(record[[#This Row],[ProcessSN]],表格2_7[],2,FALSE)</f>
        <v>30-4118-018-600</v>
      </c>
      <c r="I5123" t="str">
        <f>VLOOKUP(record[[#This Row],[ProcessSN]],表格2_7[],3,FALSE)</f>
        <v>#100SHIP</v>
      </c>
      <c r="J5123" t="s">
        <v>600</v>
      </c>
      <c r="K5123" s="195">
        <v>46029.66138888889</v>
      </c>
      <c r="L5123">
        <v>3</v>
      </c>
      <c r="M5123">
        <v>0</v>
      </c>
      <c r="N5123" s="98" t="str">
        <f>IF(record[[#This Row],[Memo]]="Browser:chrome os:android","平板報工",IF(record[[#This Row],[Memo]]=0,"委外",record[[#This Row],[Memo]]))</f>
        <v>1.5露白 出組裝</v>
      </c>
      <c r="O5123" t="s">
        <v>1282</v>
      </c>
      <c r="P5123" t="s">
        <v>886</v>
      </c>
      <c r="Q5123" t="s">
        <v>58</v>
      </c>
      <c r="R5123" t="str">
        <f>IFERROR(VLOOKUP(record[[#This Row],[PCUSTID]],廠商[],2,FALSE),"")</f>
        <v/>
      </c>
      <c r="S5123" t="str">
        <f>VLOOKUP(record[[#This Row],[employeeID]],員工[],2,FALSE)</f>
        <v>謝蓁薰</v>
      </c>
    </row>
    <row r="5124" spans="6:19" hidden="1" x14ac:dyDescent="0.25">
      <c r="F5124" t="s">
        <v>1369</v>
      </c>
      <c r="G5124" t="s">
        <v>428</v>
      </c>
      <c r="H5124" t="str">
        <f>VLOOKUP(record[[#This Row],[ProcessSN]],表格2_7[],2,FALSE)</f>
        <v>30-4118-018-600</v>
      </c>
      <c r="I5124" t="str">
        <f>VLOOKUP(record[[#This Row],[ProcessSN]],表格2_7[],3,FALSE)</f>
        <v>#100SHIP</v>
      </c>
      <c r="J5124" t="s">
        <v>600</v>
      </c>
      <c r="K5124" s="195">
        <v>46029.661192129628</v>
      </c>
      <c r="L5124">
        <v>35</v>
      </c>
      <c r="M5124">
        <v>0</v>
      </c>
      <c r="N5124" s="98" t="str">
        <f>IF(record[[#This Row],[Memo]]="Browser:chrome os:android","平板報工",IF(record[[#This Row],[Memo]]=0,"委外",record[[#This Row],[Memo]]))</f>
        <v/>
      </c>
      <c r="O5124" t="s">
        <v>58</v>
      </c>
      <c r="P5124" t="s">
        <v>886</v>
      </c>
      <c r="Q5124" t="s">
        <v>58</v>
      </c>
      <c r="R5124" t="str">
        <f>IFERROR(VLOOKUP(record[[#This Row],[PCUSTID]],廠商[],2,FALSE),"")</f>
        <v/>
      </c>
      <c r="S5124" t="str">
        <f>VLOOKUP(record[[#This Row],[employeeID]],員工[],2,FALSE)</f>
        <v>謝蓁薰</v>
      </c>
    </row>
    <row r="5125" spans="6:19" hidden="1" x14ac:dyDescent="0.25">
      <c r="F5125" t="s">
        <v>1315</v>
      </c>
      <c r="G5125" t="s">
        <v>362</v>
      </c>
      <c r="H5125" t="str">
        <f>VLOOKUP(record[[#This Row],[ProcessSN]],表格2_7[],2,FALSE)</f>
        <v>30-4118-018-450</v>
      </c>
      <c r="I5125" t="str">
        <f>VLOOKUP(record[[#This Row],[ProcessSN]],表格2_7[],3,FALSE)</f>
        <v>#100SHIP</v>
      </c>
      <c r="J5125" t="s">
        <v>600</v>
      </c>
      <c r="K5125" s="195">
        <v>46029.66101851852</v>
      </c>
      <c r="L5125">
        <v>4</v>
      </c>
      <c r="M5125">
        <v>0</v>
      </c>
      <c r="N5125" s="98" t="str">
        <f>IF(record[[#This Row],[Memo]]="Browser:chrome os:android","平板報工",IF(record[[#This Row],[Memo]]=0,"委外",record[[#This Row],[Memo]]))</f>
        <v>1.5露白 出組裝</v>
      </c>
      <c r="O5125" t="s">
        <v>1282</v>
      </c>
      <c r="P5125" t="s">
        <v>886</v>
      </c>
      <c r="Q5125" t="s">
        <v>58</v>
      </c>
      <c r="R5125" t="str">
        <f>IFERROR(VLOOKUP(record[[#This Row],[PCUSTID]],廠商[],2,FALSE),"")</f>
        <v/>
      </c>
      <c r="S5125" t="str">
        <f>VLOOKUP(record[[#This Row],[employeeID]],員工[],2,FALSE)</f>
        <v>謝蓁薰</v>
      </c>
    </row>
    <row r="5126" spans="6:19" hidden="1" x14ac:dyDescent="0.25">
      <c r="F5126" t="s">
        <v>1315</v>
      </c>
      <c r="G5126" t="s">
        <v>362</v>
      </c>
      <c r="H5126" t="str">
        <f>VLOOKUP(record[[#This Row],[ProcessSN]],表格2_7[],2,FALSE)</f>
        <v>30-4118-018-450</v>
      </c>
      <c r="I5126" t="str">
        <f>VLOOKUP(record[[#This Row],[ProcessSN]],表格2_7[],3,FALSE)</f>
        <v>#100SHIP</v>
      </c>
      <c r="J5126" t="s">
        <v>600</v>
      </c>
      <c r="K5126" s="195">
        <v>46029.660775462966</v>
      </c>
      <c r="L5126">
        <v>93</v>
      </c>
      <c r="M5126">
        <v>0</v>
      </c>
      <c r="N5126" s="98" t="str">
        <f>IF(record[[#This Row],[Memo]]="Browser:chrome os:android","平板報工",IF(record[[#This Row],[Memo]]=0,"委外",record[[#This Row],[Memo]]))</f>
        <v/>
      </c>
      <c r="O5126" t="s">
        <v>58</v>
      </c>
      <c r="P5126" t="s">
        <v>886</v>
      </c>
      <c r="Q5126" t="s">
        <v>58</v>
      </c>
      <c r="R5126" t="str">
        <f>IFERROR(VLOOKUP(record[[#This Row],[PCUSTID]],廠商[],2,FALSE),"")</f>
        <v/>
      </c>
      <c r="S5126" t="str">
        <f>VLOOKUP(record[[#This Row],[employeeID]],員工[],2,FALSE)</f>
        <v>謝蓁薰</v>
      </c>
    </row>
    <row r="5127" spans="6:19" hidden="1" x14ac:dyDescent="0.25">
      <c r="F5127" t="s">
        <v>956</v>
      </c>
      <c r="G5127" t="s">
        <v>362</v>
      </c>
      <c r="H5127" t="str">
        <f>VLOOKUP(record[[#This Row],[ProcessSN]],表格2_7[],2,FALSE)</f>
        <v>30-4118-018-450</v>
      </c>
      <c r="I5127" t="str">
        <f>VLOOKUP(record[[#This Row],[ProcessSN]],表格2_7[],3,FALSE)</f>
        <v>#100SHIP</v>
      </c>
      <c r="J5127" t="s">
        <v>600</v>
      </c>
      <c r="K5127" s="195">
        <v>46029.660624999997</v>
      </c>
      <c r="L5127">
        <v>5</v>
      </c>
      <c r="M5127">
        <v>0</v>
      </c>
      <c r="N5127" s="98" t="str">
        <f>IF(record[[#This Row],[Memo]]="Browser:chrome os:android","平板報工",IF(record[[#This Row],[Memo]]=0,"委外",record[[#This Row],[Memo]]))</f>
        <v/>
      </c>
      <c r="O5127" t="s">
        <v>58</v>
      </c>
      <c r="P5127" t="s">
        <v>886</v>
      </c>
      <c r="Q5127" t="s">
        <v>58</v>
      </c>
      <c r="R5127" t="str">
        <f>IFERROR(VLOOKUP(record[[#This Row],[PCUSTID]],廠商[],2,FALSE),"")</f>
        <v/>
      </c>
      <c r="S5127" t="str">
        <f>VLOOKUP(record[[#This Row],[employeeID]],員工[],2,FALSE)</f>
        <v>謝蓁薰</v>
      </c>
    </row>
    <row r="5128" spans="6:19" hidden="1" x14ac:dyDescent="0.25">
      <c r="F5128" t="s">
        <v>1415</v>
      </c>
      <c r="G5128" t="s">
        <v>401</v>
      </c>
      <c r="H5128" t="str">
        <f>VLOOKUP(record[[#This Row],[ProcessSN]],表格2_7[],2,FALSE)</f>
        <v>30-4118-018-550</v>
      </c>
      <c r="I5128" t="str">
        <f>VLOOKUP(record[[#This Row],[ProcessSN]],表格2_7[],3,FALSE)</f>
        <v>#100OQC</v>
      </c>
      <c r="J5128" t="s">
        <v>599</v>
      </c>
      <c r="K5128" s="195">
        <v>46029.656157407408</v>
      </c>
      <c r="L5128">
        <v>757</v>
      </c>
      <c r="M5128">
        <v>0</v>
      </c>
      <c r="N5128" s="98" t="str">
        <f>IF(record[[#This Row],[Memo]]="Browser:chrome os:android","平板報工",IF(record[[#This Row],[Memo]]=0,"委外",record[[#This Row],[Memo]]))</f>
        <v/>
      </c>
      <c r="O5128" t="s">
        <v>58</v>
      </c>
      <c r="P5128" t="s">
        <v>121</v>
      </c>
      <c r="Q5128" t="s">
        <v>58</v>
      </c>
      <c r="R5128" t="str">
        <f>IFERROR(VLOOKUP(record[[#This Row],[PCUSTID]],廠商[],2,FALSE),"")</f>
        <v/>
      </c>
      <c r="S5128" t="str">
        <f>VLOOKUP(record[[#This Row],[employeeID]],員工[],2,FALSE)</f>
        <v>謝素卿</v>
      </c>
    </row>
    <row r="5129" spans="6:19" hidden="1" x14ac:dyDescent="0.25">
      <c r="F5129" t="s">
        <v>1381</v>
      </c>
      <c r="G5129" t="s">
        <v>418</v>
      </c>
      <c r="H5129" t="str">
        <f>VLOOKUP(record[[#This Row],[ProcessSN]],表格2_7[],2,FALSE)</f>
        <v>30-4118-018-5XX</v>
      </c>
      <c r="I5129" t="str">
        <f>VLOOKUP(record[[#This Row],[ProcessSN]],表格2_7[],3,FALSE)</f>
        <v>#07</v>
      </c>
      <c r="J5129" t="s">
        <v>588</v>
      </c>
      <c r="K5129" s="195">
        <v>46029.621053240742</v>
      </c>
      <c r="L5129">
        <v>129</v>
      </c>
      <c r="M5129">
        <v>0</v>
      </c>
      <c r="N5129" s="98" t="str">
        <f>IF(record[[#This Row],[Memo]]="Browser:chrome os:android","平板報工",IF(record[[#This Row],[Memo]]=0,"委外",record[[#This Row],[Memo]]))</f>
        <v/>
      </c>
      <c r="O5129" t="s">
        <v>58</v>
      </c>
      <c r="P5129" t="s">
        <v>785</v>
      </c>
      <c r="Q5129" t="s">
        <v>58</v>
      </c>
      <c r="R5129" t="str">
        <f>IFERROR(VLOOKUP(record[[#This Row],[PCUSTID]],廠商[],2,FALSE),"")</f>
        <v/>
      </c>
      <c r="S5129" t="str">
        <f>VLOOKUP(record[[#This Row],[employeeID]],員工[],2,FALSE)</f>
        <v>謝刻光</v>
      </c>
    </row>
    <row r="5130" spans="6:19" hidden="1" x14ac:dyDescent="0.25">
      <c r="F5130" t="s">
        <v>1415</v>
      </c>
      <c r="G5130" t="s">
        <v>400</v>
      </c>
      <c r="H5130" t="str">
        <f>VLOOKUP(record[[#This Row],[ProcessSN]],表格2_7[],2,FALSE)</f>
        <v>30-4118-018-550</v>
      </c>
      <c r="I5130" t="str">
        <f>VLOOKUP(record[[#This Row],[ProcessSN]],表格2_7[],3,FALSE)</f>
        <v>#100</v>
      </c>
      <c r="J5130" t="s">
        <v>598</v>
      </c>
      <c r="K5130" s="195">
        <v>46029.603530092594</v>
      </c>
      <c r="L5130">
        <v>253</v>
      </c>
      <c r="M5130">
        <v>0</v>
      </c>
      <c r="N5130" s="98" t="str">
        <f>IF(record[[#This Row],[Memo]]="Browser:chrome os:android","平板報工",IF(record[[#This Row],[Memo]]=0,"委外",record[[#This Row],[Memo]]))</f>
        <v/>
      </c>
      <c r="O5130" t="s">
        <v>58</v>
      </c>
      <c r="P5130" t="s">
        <v>141</v>
      </c>
      <c r="Q5130" t="s">
        <v>58</v>
      </c>
      <c r="R5130" t="str">
        <f>IFERROR(VLOOKUP(record[[#This Row],[PCUSTID]],廠商[],2,FALSE),"")</f>
        <v/>
      </c>
      <c r="S5130" t="str">
        <f>VLOOKUP(record[[#This Row],[employeeID]],員工[],2,FALSE)</f>
        <v>蔣梅</v>
      </c>
    </row>
    <row r="5131" spans="6:19" hidden="1" x14ac:dyDescent="0.25">
      <c r="F5131" t="s">
        <v>1415</v>
      </c>
      <c r="G5131" t="s">
        <v>399</v>
      </c>
      <c r="H5131" t="str">
        <f>VLOOKUP(record[[#This Row],[ProcessSN]],表格2_7[],2,FALSE)</f>
        <v>30-4118-018-550</v>
      </c>
      <c r="I5131" t="str">
        <f>VLOOKUP(record[[#This Row],[ProcessSN]],表格2_7[],3,FALSE)</f>
        <v>#08IQC</v>
      </c>
      <c r="J5131" t="s">
        <v>583</v>
      </c>
      <c r="K5131" s="195">
        <v>46029.603368055556</v>
      </c>
      <c r="L5131">
        <v>9</v>
      </c>
      <c r="M5131">
        <v>0</v>
      </c>
      <c r="N5131" s="98" t="str">
        <f>IF(record[[#This Row],[Memo]]="Browser:chrome os:android","平板報工",IF(record[[#This Row],[Memo]]=0,"委外",record[[#This Row],[Memo]]))</f>
        <v>覆回</v>
      </c>
      <c r="O5131" t="s">
        <v>682</v>
      </c>
      <c r="P5131" t="s">
        <v>141</v>
      </c>
      <c r="Q5131" t="s">
        <v>58</v>
      </c>
      <c r="R5131" t="str">
        <f>IFERROR(VLOOKUP(record[[#This Row],[PCUSTID]],廠商[],2,FALSE),"")</f>
        <v/>
      </c>
      <c r="S5131" t="str">
        <f>VLOOKUP(record[[#This Row],[employeeID]],員工[],2,FALSE)</f>
        <v>蔣梅</v>
      </c>
    </row>
    <row r="5132" spans="6:19" hidden="1" x14ac:dyDescent="0.25">
      <c r="F5132" t="s">
        <v>1415</v>
      </c>
      <c r="G5132" t="s">
        <v>398</v>
      </c>
      <c r="H5132" t="str">
        <f>VLOOKUP(record[[#This Row],[ProcessSN]],表格2_7[],2,FALSE)</f>
        <v>30-4118-018-550</v>
      </c>
      <c r="I5132" t="str">
        <f>VLOOKUP(record[[#This Row],[ProcessSN]],表格2_7[],3,FALSE)</f>
        <v>#08RCV</v>
      </c>
      <c r="J5132" t="s">
        <v>591</v>
      </c>
      <c r="K5132" s="195">
        <v>46029.603217592594</v>
      </c>
      <c r="L5132">
        <v>0</v>
      </c>
      <c r="M5132">
        <v>14</v>
      </c>
      <c r="N5132" s="98" t="str">
        <f>IF(record[[#This Row],[Memo]]="Browser:chrome os:android","平板報工",IF(record[[#This Row],[Memo]]=0,"委外",record[[#This Row],[Memo]]))</f>
        <v/>
      </c>
      <c r="O5132" t="s">
        <v>58</v>
      </c>
      <c r="P5132" t="s">
        <v>141</v>
      </c>
      <c r="Q5132" t="s">
        <v>58</v>
      </c>
      <c r="R5132" t="str">
        <f>IFERROR(VLOOKUP(record[[#This Row],[PCUSTID]],廠商[],2,FALSE),"")</f>
        <v/>
      </c>
      <c r="S5132" t="str">
        <f>VLOOKUP(record[[#This Row],[employeeID]],員工[],2,FALSE)</f>
        <v>蔣梅</v>
      </c>
    </row>
    <row r="5133" spans="6:19" hidden="1" x14ac:dyDescent="0.25">
      <c r="F5133" t="s">
        <v>1415</v>
      </c>
      <c r="G5133" t="s">
        <v>398</v>
      </c>
      <c r="H5133" t="str">
        <f>VLOOKUP(record[[#This Row],[ProcessSN]],表格2_7[],2,FALSE)</f>
        <v>30-4118-018-550</v>
      </c>
      <c r="I5133" t="str">
        <f>VLOOKUP(record[[#This Row],[ProcessSN]],表格2_7[],3,FALSE)</f>
        <v>#08RCV</v>
      </c>
      <c r="J5133" t="s">
        <v>591</v>
      </c>
      <c r="K5133" s="195">
        <v>46029.603078703702</v>
      </c>
      <c r="L5133">
        <v>9</v>
      </c>
      <c r="M5133">
        <v>0</v>
      </c>
      <c r="N5133" s="98" t="str">
        <f>IF(record[[#This Row],[Memo]]="Browser:chrome os:android","平板報工",IF(record[[#This Row],[Memo]]=0,"委外",record[[#This Row],[Memo]]))</f>
        <v>覆回</v>
      </c>
      <c r="O5133" t="s">
        <v>682</v>
      </c>
      <c r="P5133" t="s">
        <v>141</v>
      </c>
      <c r="Q5133" t="s">
        <v>58</v>
      </c>
      <c r="R5133" t="str">
        <f>IFERROR(VLOOKUP(record[[#This Row],[PCUSTID]],廠商[],2,FALSE),"")</f>
        <v/>
      </c>
      <c r="S5133" t="str">
        <f>VLOOKUP(record[[#This Row],[employeeID]],員工[],2,FALSE)</f>
        <v>蔣梅</v>
      </c>
    </row>
    <row r="5134" spans="6:19" hidden="1" x14ac:dyDescent="0.25">
      <c r="F5134" t="s">
        <v>1381</v>
      </c>
      <c r="G5134" t="s">
        <v>420</v>
      </c>
      <c r="H5134" t="str">
        <f>VLOOKUP(record[[#This Row],[ProcessSN]],表格2_7[],2,FALSE)</f>
        <v>30-4118-018-5XX</v>
      </c>
      <c r="I5134" t="str">
        <f>VLOOKUP(record[[#This Row],[ProcessSN]],表格2_7[],3,FALSE)</f>
        <v>#07STOCK</v>
      </c>
      <c r="J5134" t="s">
        <v>592</v>
      </c>
      <c r="K5134" s="195">
        <v>46029.48537037037</v>
      </c>
      <c r="L5134">
        <v>186</v>
      </c>
      <c r="M5134">
        <v>0</v>
      </c>
      <c r="N5134" s="98" t="str">
        <f>IF(record[[#This Row],[Memo]]="Browser:chrome os:android","平板報工",IF(record[[#This Row],[Memo]]=0,"委外",record[[#This Row],[Memo]]))</f>
        <v/>
      </c>
      <c r="O5134" t="s">
        <v>58</v>
      </c>
      <c r="P5134" t="s">
        <v>186</v>
      </c>
      <c r="Q5134" t="s">
        <v>58</v>
      </c>
      <c r="R5134" t="str">
        <f>IFERROR(VLOOKUP(record[[#This Row],[PCUSTID]],廠商[],2,FALSE),"")</f>
        <v/>
      </c>
      <c r="S5134" t="str">
        <f>VLOOKUP(record[[#This Row],[employeeID]],員工[],2,FALSE)</f>
        <v>許文姍</v>
      </c>
    </row>
    <row r="5135" spans="6:19" hidden="1" x14ac:dyDescent="0.25">
      <c r="F5135" t="s">
        <v>1290</v>
      </c>
      <c r="G5135" t="s">
        <v>420</v>
      </c>
      <c r="H5135" t="str">
        <f>VLOOKUP(record[[#This Row],[ProcessSN]],表格2_7[],2,FALSE)</f>
        <v>30-4118-018-5XX</v>
      </c>
      <c r="I5135" t="str">
        <f>VLOOKUP(record[[#This Row],[ProcessSN]],表格2_7[],3,FALSE)</f>
        <v>#07STOCK</v>
      </c>
      <c r="J5135" t="s">
        <v>592</v>
      </c>
      <c r="K5135" s="195">
        <v>46029.485185185185</v>
      </c>
      <c r="L5135">
        <v>165</v>
      </c>
      <c r="M5135">
        <v>0</v>
      </c>
      <c r="N5135" s="98" t="str">
        <f>IF(record[[#This Row],[Memo]]="Browser:chrome os:android","平板報工",IF(record[[#This Row],[Memo]]=0,"委外",record[[#This Row],[Memo]]))</f>
        <v/>
      </c>
      <c r="O5135" t="s">
        <v>58</v>
      </c>
      <c r="P5135" t="s">
        <v>186</v>
      </c>
      <c r="Q5135" t="s">
        <v>58</v>
      </c>
      <c r="R5135" t="str">
        <f>IFERROR(VLOOKUP(record[[#This Row],[PCUSTID]],廠商[],2,FALSE),"")</f>
        <v/>
      </c>
      <c r="S5135" t="str">
        <f>VLOOKUP(record[[#This Row],[employeeID]],員工[],2,FALSE)</f>
        <v>許文姍</v>
      </c>
    </row>
    <row r="5136" spans="6:19" hidden="1" x14ac:dyDescent="0.25">
      <c r="F5136" t="s">
        <v>1385</v>
      </c>
      <c r="G5136" t="s">
        <v>469</v>
      </c>
      <c r="H5136" t="str">
        <f>VLOOKUP(record[[#This Row],[ProcessSN]],表格2_7[],2,FALSE)</f>
        <v>30-4118-018-XXX</v>
      </c>
      <c r="I5136" t="str">
        <f>VLOOKUP(record[[#This Row],[ProcessSN]],表格2_7[],3,FALSE)</f>
        <v>#02RCV</v>
      </c>
      <c r="J5136" t="s">
        <v>591</v>
      </c>
      <c r="K5136" s="195">
        <v>46029.476770833331</v>
      </c>
      <c r="L5136">
        <v>1824</v>
      </c>
      <c r="M5136">
        <v>0</v>
      </c>
      <c r="N5136" s="98" t="str">
        <f>IF(record[[#This Row],[Memo]]="Browser:chrome os:android","平板報工",IF(record[[#This Row],[Memo]]=0,"委外",record[[#This Row],[Memo]]))</f>
        <v/>
      </c>
      <c r="O5136" t="s">
        <v>58</v>
      </c>
      <c r="P5136" t="s">
        <v>186</v>
      </c>
      <c r="Q5136" t="s">
        <v>58</v>
      </c>
      <c r="R5136" t="str">
        <f>IFERROR(VLOOKUP(record[[#This Row],[PCUSTID]],廠商[],2,FALSE),"")</f>
        <v/>
      </c>
      <c r="S5136" t="str">
        <f>VLOOKUP(record[[#This Row],[employeeID]],員工[],2,FALSE)</f>
        <v>許文姍</v>
      </c>
    </row>
    <row r="5137" spans="6:19" hidden="1" x14ac:dyDescent="0.25">
      <c r="F5137" t="s">
        <v>1416</v>
      </c>
      <c r="G5137" t="s">
        <v>413</v>
      </c>
      <c r="H5137" t="str">
        <f>VLOOKUP(record[[#This Row],[ProcessSN]],表格2_7[],2,FALSE)</f>
        <v>30-4118-018-5XX</v>
      </c>
      <c r="I5137" t="str">
        <f>VLOOKUP(record[[#This Row],[ProcessSN]],表格2_7[],3,FALSE)</f>
        <v>#03GIVE</v>
      </c>
      <c r="J5137" t="s">
        <v>587</v>
      </c>
      <c r="K5137" s="195">
        <v>46029.469768518517</v>
      </c>
      <c r="L5137">
        <v>400</v>
      </c>
      <c r="M5137">
        <v>0</v>
      </c>
      <c r="N5137" s="98" t="str">
        <f>IF(record[[#This Row],[Memo]]="Browser:chrome os:android","平板報工",IF(record[[#This Row],[Memo]]=0,"委外",record[[#This Row],[Memo]]))</f>
        <v/>
      </c>
      <c r="O5137" t="s">
        <v>58</v>
      </c>
      <c r="P5137" t="s">
        <v>186</v>
      </c>
      <c r="Q5137" t="s">
        <v>58</v>
      </c>
      <c r="R5137" t="str">
        <f>IFERROR(VLOOKUP(record[[#This Row],[PCUSTID]],廠商[],2,FALSE),"")</f>
        <v/>
      </c>
      <c r="S5137" t="str">
        <f>VLOOKUP(record[[#This Row],[employeeID]],員工[],2,FALSE)</f>
        <v>許文姍</v>
      </c>
    </row>
    <row r="5138" spans="6:19" hidden="1" x14ac:dyDescent="0.25">
      <c r="F5138" t="s">
        <v>1290</v>
      </c>
      <c r="G5138" t="s">
        <v>419</v>
      </c>
      <c r="H5138" t="str">
        <f>VLOOKUP(record[[#This Row],[ProcessSN]],表格2_7[],2,FALSE)</f>
        <v>30-4118-018-5XX</v>
      </c>
      <c r="I5138" t="str">
        <f>VLOOKUP(record[[#This Row],[ProcessSN]],表格2_7[],3,FALSE)</f>
        <v>#07QC</v>
      </c>
      <c r="J5138" t="s">
        <v>589</v>
      </c>
      <c r="K5138" s="195">
        <v>46029.418530092589</v>
      </c>
      <c r="L5138">
        <v>165</v>
      </c>
      <c r="M5138">
        <v>0</v>
      </c>
      <c r="N5138" s="98" t="str">
        <f>IF(record[[#This Row],[Memo]]="Browser:chrome os:android","平板報工",IF(record[[#This Row],[Memo]]=0,"委外",record[[#This Row],[Memo]]))</f>
        <v>平板報工</v>
      </c>
      <c r="O5138" t="s">
        <v>643</v>
      </c>
      <c r="P5138" t="s">
        <v>99</v>
      </c>
      <c r="Q5138" t="s">
        <v>644</v>
      </c>
      <c r="R5138" t="str">
        <f>IFERROR(VLOOKUP(record[[#This Row],[PCUSTID]],廠商[],2,FALSE),"")</f>
        <v/>
      </c>
      <c r="S5138" t="str">
        <f>VLOOKUP(record[[#This Row],[employeeID]],員工[],2,FALSE)</f>
        <v>阮氏河</v>
      </c>
    </row>
    <row r="5139" spans="6:19" hidden="1" x14ac:dyDescent="0.25">
      <c r="F5139" t="s">
        <v>1381</v>
      </c>
      <c r="G5139" t="s">
        <v>419</v>
      </c>
      <c r="H5139" t="str">
        <f>VLOOKUP(record[[#This Row],[ProcessSN]],表格2_7[],2,FALSE)</f>
        <v>30-4118-018-5XX</v>
      </c>
      <c r="I5139" t="str">
        <f>VLOOKUP(record[[#This Row],[ProcessSN]],表格2_7[],3,FALSE)</f>
        <v>#07QC</v>
      </c>
      <c r="J5139" t="s">
        <v>589</v>
      </c>
      <c r="K5139" s="195">
        <v>46029.418298611112</v>
      </c>
      <c r="L5139">
        <v>186</v>
      </c>
      <c r="M5139">
        <v>0</v>
      </c>
      <c r="N5139" s="98" t="str">
        <f>IF(record[[#This Row],[Memo]]="Browser:chrome os:android","平板報工",IF(record[[#This Row],[Memo]]=0,"委外",record[[#This Row],[Memo]]))</f>
        <v>平板報工</v>
      </c>
      <c r="O5139" t="s">
        <v>643</v>
      </c>
      <c r="P5139" t="s">
        <v>99</v>
      </c>
      <c r="Q5139" t="s">
        <v>644</v>
      </c>
      <c r="R5139" t="str">
        <f>IFERROR(VLOOKUP(record[[#This Row],[PCUSTID]],廠商[],2,FALSE),"")</f>
        <v/>
      </c>
      <c r="S5139" t="str">
        <f>VLOOKUP(record[[#This Row],[employeeID]],員工[],2,FALSE)</f>
        <v>阮氏河</v>
      </c>
    </row>
    <row r="5140" spans="6:19" hidden="1" x14ac:dyDescent="0.25">
      <c r="F5140" t="s">
        <v>1439</v>
      </c>
      <c r="G5140" t="s">
        <v>397</v>
      </c>
      <c r="H5140" t="str">
        <f>VLOOKUP(record[[#This Row],[ProcessSN]],表格2_7[],2,FALSE)</f>
        <v>30-4118-018-550</v>
      </c>
      <c r="I5140" t="str">
        <f>VLOOKUP(record[[#This Row],[ProcessSN]],表格2_7[],3,FALSE)</f>
        <v>#08</v>
      </c>
      <c r="J5140" t="s">
        <v>597</v>
      </c>
      <c r="K5140" s="195">
        <v>46029.416666666664</v>
      </c>
      <c r="L5140">
        <v>351</v>
      </c>
      <c r="M5140">
        <v>0</v>
      </c>
      <c r="N5140" s="98" t="str">
        <f>IF(record[[#This Row],[Memo]]="Browser:chrome os:android","平板報工",IF(record[[#This Row],[Memo]]=0,"委外",record[[#This Row],[Memo]]))</f>
        <v>委外</v>
      </c>
      <c r="P5140" t="s">
        <v>186</v>
      </c>
      <c r="Q5140" t="s">
        <v>287</v>
      </c>
      <c r="R5140" t="str">
        <f>IFERROR(VLOOKUP(record[[#This Row],[PCUSTID]],廠商[],2,FALSE),"")</f>
        <v>泉盛</v>
      </c>
      <c r="S5140" t="str">
        <f>VLOOKUP(record[[#This Row],[employeeID]],員工[],2,FALSE)</f>
        <v>許文姍</v>
      </c>
    </row>
    <row r="5141" spans="6:19" hidden="1" x14ac:dyDescent="0.25">
      <c r="F5141" t="s">
        <v>1439</v>
      </c>
      <c r="G5141" t="s">
        <v>396</v>
      </c>
      <c r="H5141" t="str">
        <f>VLOOKUP(record[[#This Row],[ProcessSN]],表格2_7[],2,FALSE)</f>
        <v>30-4118-018-550</v>
      </c>
      <c r="I5141" t="str">
        <f>VLOOKUP(record[[#This Row],[ProcessSN]],表格2_7[],3,FALSE)</f>
        <v>#08PICK</v>
      </c>
      <c r="J5141" t="s">
        <v>582</v>
      </c>
      <c r="K5141" s="195">
        <v>46029.41642361111</v>
      </c>
      <c r="L5141">
        <v>351</v>
      </c>
      <c r="M5141">
        <v>0</v>
      </c>
      <c r="N5141" s="98" t="str">
        <f>IF(record[[#This Row],[Memo]]="Browser:chrome os:android","平板報工",IF(record[[#This Row],[Memo]]=0,"委外",record[[#This Row],[Memo]]))</f>
        <v/>
      </c>
      <c r="O5141" t="s">
        <v>58</v>
      </c>
      <c r="P5141" t="s">
        <v>186</v>
      </c>
      <c r="Q5141" t="s">
        <v>58</v>
      </c>
      <c r="R5141" t="str">
        <f>IFERROR(VLOOKUP(record[[#This Row],[PCUSTID]],廠商[],2,FALSE),"")</f>
        <v/>
      </c>
      <c r="S5141" t="str">
        <f>VLOOKUP(record[[#This Row],[employeeID]],員工[],2,FALSE)</f>
        <v>許文姍</v>
      </c>
    </row>
    <row r="5142" spans="6:19" hidden="1" x14ac:dyDescent="0.25">
      <c r="F5142" t="s">
        <v>1385</v>
      </c>
      <c r="G5142" t="s">
        <v>468</v>
      </c>
      <c r="H5142" t="str">
        <f>VLOOKUP(record[[#This Row],[ProcessSN]],表格2_7[],2,FALSE)</f>
        <v>30-4118-018-XXX</v>
      </c>
      <c r="I5142" t="str">
        <f>VLOOKUP(record[[#This Row],[ProcessSN]],表格2_7[],3,FALSE)</f>
        <v>#02</v>
      </c>
      <c r="J5142" t="s">
        <v>590</v>
      </c>
      <c r="K5142" s="195">
        <v>46029.392500000002</v>
      </c>
      <c r="L5142">
        <v>168</v>
      </c>
      <c r="M5142">
        <v>0</v>
      </c>
      <c r="N5142" s="98" t="str">
        <f>IF(record[[#This Row],[Memo]]="Browser:chrome os:android","平板報工",IF(record[[#This Row],[Memo]]=0,"委外",record[[#This Row],[Memo]]))</f>
        <v>委外</v>
      </c>
      <c r="P5142" t="s">
        <v>186</v>
      </c>
      <c r="Q5142" t="s">
        <v>216</v>
      </c>
      <c r="R5142" t="str">
        <f>IFERROR(VLOOKUP(record[[#This Row],[PCUSTID]],廠商[],2,FALSE),"")</f>
        <v>俊杰</v>
      </c>
      <c r="S5142" t="str">
        <f>VLOOKUP(record[[#This Row],[employeeID]],員工[],2,FALSE)</f>
        <v>許文姍</v>
      </c>
    </row>
    <row r="5143" spans="6:19" hidden="1" x14ac:dyDescent="0.25">
      <c r="F5143" t="s">
        <v>1406</v>
      </c>
      <c r="G5143" t="s">
        <v>468</v>
      </c>
      <c r="H5143" t="str">
        <f>VLOOKUP(record[[#This Row],[ProcessSN]],表格2_7[],2,FALSE)</f>
        <v>30-4118-018-XXX</v>
      </c>
      <c r="I5143" t="str">
        <f>VLOOKUP(record[[#This Row],[ProcessSN]],表格2_7[],3,FALSE)</f>
        <v>#02</v>
      </c>
      <c r="J5143" t="s">
        <v>590</v>
      </c>
      <c r="K5143" s="195">
        <v>46029.392361111109</v>
      </c>
      <c r="L5143">
        <v>655</v>
      </c>
      <c r="M5143">
        <v>0</v>
      </c>
      <c r="N5143" s="98" t="str">
        <f>IF(record[[#This Row],[Memo]]="Browser:chrome os:android","平板報工",IF(record[[#This Row],[Memo]]=0,"委外",record[[#This Row],[Memo]]))</f>
        <v>委外</v>
      </c>
      <c r="P5143" t="s">
        <v>186</v>
      </c>
      <c r="Q5143" t="s">
        <v>216</v>
      </c>
      <c r="R5143" t="str">
        <f>IFERROR(VLOOKUP(record[[#This Row],[PCUSTID]],廠商[],2,FALSE),"")</f>
        <v>俊杰</v>
      </c>
      <c r="S5143" t="str">
        <f>VLOOKUP(record[[#This Row],[employeeID]],員工[],2,FALSE)</f>
        <v>許文姍</v>
      </c>
    </row>
    <row r="5144" spans="6:19" hidden="1" x14ac:dyDescent="0.25">
      <c r="F5144" t="s">
        <v>1381</v>
      </c>
      <c r="G5144" t="s">
        <v>418</v>
      </c>
      <c r="H5144" t="str">
        <f>VLOOKUP(record[[#This Row],[ProcessSN]],表格2_7[],2,FALSE)</f>
        <v>30-4118-018-5XX</v>
      </c>
      <c r="I5144" t="str">
        <f>VLOOKUP(record[[#This Row],[ProcessSN]],表格2_7[],3,FALSE)</f>
        <v>#07</v>
      </c>
      <c r="J5144" t="s">
        <v>588</v>
      </c>
      <c r="K5144" s="195">
        <v>46029.38784722222</v>
      </c>
      <c r="L5144">
        <v>40</v>
      </c>
      <c r="M5144">
        <v>0</v>
      </c>
      <c r="N5144" s="98" t="str">
        <f>IF(record[[#This Row],[Memo]]="Browser:chrome os:android","平板報工",IF(record[[#This Row],[Memo]]=0,"委外",record[[#This Row],[Memo]]))</f>
        <v/>
      </c>
      <c r="O5144" t="s">
        <v>58</v>
      </c>
      <c r="P5144" t="s">
        <v>1075</v>
      </c>
      <c r="Q5144" t="s">
        <v>58</v>
      </c>
      <c r="R5144" t="str">
        <f>IFERROR(VLOOKUP(record[[#This Row],[PCUSTID]],廠商[],2,FALSE),"")</f>
        <v/>
      </c>
      <c r="S5144" t="str">
        <f>VLOOKUP(record[[#This Row],[employeeID]],員工[],2,FALSE)</f>
        <v>吳宥叡</v>
      </c>
    </row>
    <row r="5145" spans="6:19" hidden="1" x14ac:dyDescent="0.25">
      <c r="F5145" t="s">
        <v>1290</v>
      </c>
      <c r="G5145" t="s">
        <v>418</v>
      </c>
      <c r="H5145" t="str">
        <f>VLOOKUP(record[[#This Row],[ProcessSN]],表格2_7[],2,FALSE)</f>
        <v>30-4118-018-5XX</v>
      </c>
      <c r="I5145" t="str">
        <f>VLOOKUP(record[[#This Row],[ProcessSN]],表格2_7[],3,FALSE)</f>
        <v>#07</v>
      </c>
      <c r="J5145" t="s">
        <v>588</v>
      </c>
      <c r="K5145" s="195">
        <v>46029.385868055557</v>
      </c>
      <c r="L5145">
        <v>2</v>
      </c>
      <c r="M5145">
        <v>0</v>
      </c>
      <c r="N5145" s="98" t="str">
        <f>IF(record[[#This Row],[Memo]]="Browser:chrome os:android","平板報工",IF(record[[#This Row],[Memo]]=0,"委外",record[[#This Row],[Memo]]))</f>
        <v/>
      </c>
      <c r="O5145" t="s">
        <v>58</v>
      </c>
      <c r="P5145" t="s">
        <v>1075</v>
      </c>
      <c r="Q5145" t="s">
        <v>58</v>
      </c>
      <c r="R5145" t="str">
        <f>IFERROR(VLOOKUP(record[[#This Row],[PCUSTID]],廠商[],2,FALSE),"")</f>
        <v/>
      </c>
      <c r="S5145" t="str">
        <f>VLOOKUP(record[[#This Row],[employeeID]],員工[],2,FALSE)</f>
        <v>吳宥叡</v>
      </c>
    </row>
    <row r="5146" spans="6:19" hidden="1" x14ac:dyDescent="0.25">
      <c r="F5146" t="s">
        <v>1290</v>
      </c>
      <c r="G5146" t="s">
        <v>417</v>
      </c>
      <c r="H5146" t="str">
        <f>VLOOKUP(record[[#This Row],[ProcessSN]],表格2_7[],2,FALSE)</f>
        <v>30-4118-018-5XX</v>
      </c>
      <c r="I5146" t="str">
        <f>VLOOKUP(record[[#This Row],[ProcessSN]],表格2_7[],3,FALSE)</f>
        <v>#06</v>
      </c>
      <c r="J5146" t="s">
        <v>593</v>
      </c>
      <c r="K5146" s="195">
        <v>46029.385671296295</v>
      </c>
      <c r="L5146">
        <v>2</v>
      </c>
      <c r="M5146">
        <v>0</v>
      </c>
      <c r="N5146" s="98" t="str">
        <f>IF(record[[#This Row],[Memo]]="Browser:chrome os:android","平板報工",IF(record[[#This Row],[Memo]]=0,"委外",record[[#This Row],[Memo]]))</f>
        <v/>
      </c>
      <c r="O5146" t="s">
        <v>58</v>
      </c>
      <c r="P5146" t="s">
        <v>1075</v>
      </c>
      <c r="Q5146" t="s">
        <v>58</v>
      </c>
      <c r="R5146" t="str">
        <f>IFERROR(VLOOKUP(record[[#This Row],[PCUSTID]],廠商[],2,FALSE),"")</f>
        <v/>
      </c>
      <c r="S5146" t="str">
        <f>VLOOKUP(record[[#This Row],[employeeID]],員工[],2,FALSE)</f>
        <v>吳宥叡</v>
      </c>
    </row>
    <row r="5147" spans="6:19" hidden="1" x14ac:dyDescent="0.25">
      <c r="F5147" t="s">
        <v>1290</v>
      </c>
      <c r="G5147" t="s">
        <v>416</v>
      </c>
      <c r="H5147" t="str">
        <f>VLOOKUP(record[[#This Row],[ProcessSN]],表格2_7[],2,FALSE)</f>
        <v>30-4118-018-5XX</v>
      </c>
      <c r="I5147" t="str">
        <f>VLOOKUP(record[[#This Row],[ProcessSN]],表格2_7[],3,FALSE)</f>
        <v>#05</v>
      </c>
      <c r="J5147" t="s">
        <v>588</v>
      </c>
      <c r="K5147" s="195">
        <v>46029.385555555556</v>
      </c>
      <c r="L5147">
        <v>2</v>
      </c>
      <c r="M5147">
        <v>0</v>
      </c>
      <c r="N5147" s="98" t="str">
        <f>IF(record[[#This Row],[Memo]]="Browser:chrome os:android","平板報工",IF(record[[#This Row],[Memo]]=0,"委外",record[[#This Row],[Memo]]))</f>
        <v/>
      </c>
      <c r="O5147" t="s">
        <v>58</v>
      </c>
      <c r="P5147" t="s">
        <v>1075</v>
      </c>
      <c r="Q5147" t="s">
        <v>58</v>
      </c>
      <c r="R5147" t="str">
        <f>IFERROR(VLOOKUP(record[[#This Row],[PCUSTID]],廠商[],2,FALSE),"")</f>
        <v/>
      </c>
      <c r="S5147" t="str">
        <f>VLOOKUP(record[[#This Row],[employeeID]],員工[],2,FALSE)</f>
        <v>吳宥叡</v>
      </c>
    </row>
    <row r="5148" spans="6:19" hidden="1" x14ac:dyDescent="0.25">
      <c r="F5148" t="s">
        <v>1290</v>
      </c>
      <c r="G5148" t="s">
        <v>415</v>
      </c>
      <c r="H5148" t="str">
        <f>VLOOKUP(record[[#This Row],[ProcessSN]],表格2_7[],2,FALSE)</f>
        <v>30-4118-018-5XX</v>
      </c>
      <c r="I5148" t="str">
        <f>VLOOKUP(record[[#This Row],[ProcessSN]],表格2_7[],3,FALSE)</f>
        <v>#04</v>
      </c>
      <c r="J5148" t="s">
        <v>588</v>
      </c>
      <c r="K5148" s="195">
        <v>46029.385405092595</v>
      </c>
      <c r="L5148">
        <v>122</v>
      </c>
      <c r="M5148">
        <v>0</v>
      </c>
      <c r="N5148" s="98" t="str">
        <f>IF(record[[#This Row],[Memo]]="Browser:chrome os:android","平板報工",IF(record[[#This Row],[Memo]]=0,"委外",record[[#This Row],[Memo]]))</f>
        <v/>
      </c>
      <c r="O5148" t="s">
        <v>58</v>
      </c>
      <c r="P5148" t="s">
        <v>1075</v>
      </c>
      <c r="Q5148" t="s">
        <v>58</v>
      </c>
      <c r="R5148" t="str">
        <f>IFERROR(VLOOKUP(record[[#This Row],[PCUSTID]],廠商[],2,FALSE),"")</f>
        <v/>
      </c>
      <c r="S5148" t="str">
        <f>VLOOKUP(record[[#This Row],[employeeID]],員工[],2,FALSE)</f>
        <v>吳宥叡</v>
      </c>
    </row>
    <row r="5149" spans="6:19" hidden="1" x14ac:dyDescent="0.25">
      <c r="F5149" t="s">
        <v>1381</v>
      </c>
      <c r="G5149" t="s">
        <v>417</v>
      </c>
      <c r="H5149" t="str">
        <f>VLOOKUP(record[[#This Row],[ProcessSN]],表格2_7[],2,FALSE)</f>
        <v>30-4118-018-5XX</v>
      </c>
      <c r="I5149" t="str">
        <f>VLOOKUP(record[[#This Row],[ProcessSN]],表格2_7[],3,FALSE)</f>
        <v>#06</v>
      </c>
      <c r="J5149" t="s">
        <v>593</v>
      </c>
      <c r="K5149" s="195">
        <v>46029.315844907411</v>
      </c>
      <c r="L5149">
        <v>134</v>
      </c>
      <c r="M5149">
        <v>0</v>
      </c>
      <c r="N5149" s="98" t="str">
        <f>IF(record[[#This Row],[Memo]]="Browser:chrome os:android","平板報工",IF(record[[#This Row],[Memo]]=0,"委外",record[[#This Row],[Memo]]))</f>
        <v/>
      </c>
      <c r="O5149" t="s">
        <v>58</v>
      </c>
      <c r="P5149" t="s">
        <v>180</v>
      </c>
      <c r="Q5149" t="s">
        <v>58</v>
      </c>
      <c r="R5149" t="str">
        <f>IFERROR(VLOOKUP(record[[#This Row],[PCUSTID]],廠商[],2,FALSE),"")</f>
        <v/>
      </c>
      <c r="S5149" t="str">
        <f>VLOOKUP(record[[#This Row],[employeeID]],員工[],2,FALSE)</f>
        <v>黎功江</v>
      </c>
    </row>
    <row r="5150" spans="6:19" hidden="1" x14ac:dyDescent="0.25">
      <c r="F5150" t="s">
        <v>1290</v>
      </c>
      <c r="G5150" t="s">
        <v>418</v>
      </c>
      <c r="H5150" t="str">
        <f>VLOOKUP(record[[#This Row],[ProcessSN]],表格2_7[],2,FALSE)</f>
        <v>30-4118-018-5XX</v>
      </c>
      <c r="I5150" t="str">
        <f>VLOOKUP(record[[#This Row],[ProcessSN]],表格2_7[],3,FALSE)</f>
        <v>#07</v>
      </c>
      <c r="J5150" t="s">
        <v>588</v>
      </c>
      <c r="K5150" s="195">
        <v>46029.31490740741</v>
      </c>
      <c r="L5150">
        <v>63</v>
      </c>
      <c r="M5150">
        <v>0</v>
      </c>
      <c r="N5150" s="98" t="str">
        <f>IF(record[[#This Row],[Memo]]="Browser:chrome os:android","平板報工",IF(record[[#This Row],[Memo]]=0,"委外",record[[#This Row],[Memo]]))</f>
        <v/>
      </c>
      <c r="O5150" t="s">
        <v>58</v>
      </c>
      <c r="P5150" t="s">
        <v>843</v>
      </c>
      <c r="Q5150" t="s">
        <v>58</v>
      </c>
      <c r="R5150" t="str">
        <f>IFERROR(VLOOKUP(record[[#This Row],[PCUSTID]],廠商[],2,FALSE),"")</f>
        <v/>
      </c>
      <c r="S5150" t="str">
        <f>VLOOKUP(record[[#This Row],[employeeID]],員工[],2,FALSE)</f>
        <v>張楚承</v>
      </c>
    </row>
    <row r="5151" spans="6:19" hidden="1" x14ac:dyDescent="0.25">
      <c r="F5151" t="s">
        <v>1381</v>
      </c>
      <c r="G5151" t="s">
        <v>418</v>
      </c>
      <c r="H5151" t="str">
        <f>VLOOKUP(record[[#This Row],[ProcessSN]],表格2_7[],2,FALSE)</f>
        <v>30-4118-018-5XX</v>
      </c>
      <c r="I5151" t="str">
        <f>VLOOKUP(record[[#This Row],[ProcessSN]],表格2_7[],3,FALSE)</f>
        <v>#07</v>
      </c>
      <c r="J5151" t="s">
        <v>588</v>
      </c>
      <c r="K5151" s="195">
        <v>46029.314745370371</v>
      </c>
      <c r="L5151">
        <v>58</v>
      </c>
      <c r="M5151">
        <v>16</v>
      </c>
      <c r="N5151" s="98" t="str">
        <f>IF(record[[#This Row],[Memo]]="Browser:chrome os:android","平板報工",IF(record[[#This Row],[Memo]]=0,"委外",record[[#This Row],[Memo]]))</f>
        <v/>
      </c>
      <c r="O5151" t="s">
        <v>58</v>
      </c>
      <c r="P5151" t="s">
        <v>843</v>
      </c>
      <c r="Q5151" t="s">
        <v>58</v>
      </c>
      <c r="R5151" t="str">
        <f>IFERROR(VLOOKUP(record[[#This Row],[PCUSTID]],廠商[],2,FALSE),"")</f>
        <v/>
      </c>
      <c r="S5151" t="str">
        <f>VLOOKUP(record[[#This Row],[employeeID]],員工[],2,FALSE)</f>
        <v>張楚承</v>
      </c>
    </row>
    <row r="5152" spans="6:19" hidden="1" x14ac:dyDescent="0.25">
      <c r="F5152" t="s">
        <v>1416</v>
      </c>
      <c r="G5152" t="s">
        <v>416</v>
      </c>
      <c r="H5152" t="str">
        <f>VLOOKUP(record[[#This Row],[ProcessSN]],表格2_7[],2,FALSE)</f>
        <v>30-4118-018-5XX</v>
      </c>
      <c r="I5152" t="str">
        <f>VLOOKUP(record[[#This Row],[ProcessSN]],表格2_7[],3,FALSE)</f>
        <v>#05</v>
      </c>
      <c r="J5152" t="s">
        <v>588</v>
      </c>
      <c r="K5152" s="195">
        <v>46029.314363425925</v>
      </c>
      <c r="L5152">
        <v>121</v>
      </c>
      <c r="M5152">
        <v>0</v>
      </c>
      <c r="N5152" s="98" t="str">
        <f>IF(record[[#This Row],[Memo]]="Browser:chrome os:android","平板報工",IF(record[[#This Row],[Memo]]=0,"委外",record[[#This Row],[Memo]]))</f>
        <v/>
      </c>
      <c r="O5152" t="s">
        <v>58</v>
      </c>
      <c r="P5152" t="s">
        <v>843</v>
      </c>
      <c r="Q5152" t="s">
        <v>58</v>
      </c>
      <c r="R5152" t="str">
        <f>IFERROR(VLOOKUP(record[[#This Row],[PCUSTID]],廠商[],2,FALSE),"")</f>
        <v/>
      </c>
      <c r="S5152" t="str">
        <f>VLOOKUP(record[[#This Row],[employeeID]],員工[],2,FALSE)</f>
        <v>張楚承</v>
      </c>
    </row>
    <row r="5153" spans="6:19" hidden="1" x14ac:dyDescent="0.25">
      <c r="F5153" t="s">
        <v>1416</v>
      </c>
      <c r="G5153" t="s">
        <v>415</v>
      </c>
      <c r="H5153" t="str">
        <f>VLOOKUP(record[[#This Row],[ProcessSN]],表格2_7[],2,FALSE)</f>
        <v>30-4118-018-5XX</v>
      </c>
      <c r="I5153" t="str">
        <f>VLOOKUP(record[[#This Row],[ProcessSN]],表格2_7[],3,FALSE)</f>
        <v>#04</v>
      </c>
      <c r="J5153" t="s">
        <v>588</v>
      </c>
      <c r="K5153" s="195">
        <v>46029.313483796293</v>
      </c>
      <c r="L5153">
        <v>121</v>
      </c>
      <c r="M5153">
        <v>1</v>
      </c>
      <c r="N5153" s="98" t="str">
        <f>IF(record[[#This Row],[Memo]]="Browser:chrome os:android","平板報工",IF(record[[#This Row],[Memo]]=0,"委外",record[[#This Row],[Memo]]))</f>
        <v/>
      </c>
      <c r="O5153" t="s">
        <v>58</v>
      </c>
      <c r="P5153" t="s">
        <v>135</v>
      </c>
      <c r="Q5153" t="s">
        <v>58</v>
      </c>
      <c r="R5153" t="str">
        <f>IFERROR(VLOOKUP(record[[#This Row],[PCUSTID]],廠商[],2,FALSE),"")</f>
        <v/>
      </c>
      <c r="S5153" t="str">
        <f>VLOOKUP(record[[#This Row],[employeeID]],員工[],2,FALSE)</f>
        <v>阮士文</v>
      </c>
    </row>
    <row r="5154" spans="6:19" hidden="1" x14ac:dyDescent="0.25">
      <c r="F5154" t="s">
        <v>1381</v>
      </c>
      <c r="G5154" t="s">
        <v>417</v>
      </c>
      <c r="H5154" t="str">
        <f>VLOOKUP(record[[#This Row],[ProcessSN]],表格2_7[],2,FALSE)</f>
        <v>30-4118-018-5XX</v>
      </c>
      <c r="I5154" t="str">
        <f>VLOOKUP(record[[#This Row],[ProcessSN]],表格2_7[],3,FALSE)</f>
        <v>#06</v>
      </c>
      <c r="J5154" t="s">
        <v>593</v>
      </c>
      <c r="K5154" s="195">
        <v>46028.964212962965</v>
      </c>
      <c r="L5154">
        <v>133</v>
      </c>
      <c r="M5154">
        <v>0</v>
      </c>
      <c r="N5154" s="98" t="str">
        <f>IF(record[[#This Row],[Memo]]="Browser:chrome os:android","平板報工",IF(record[[#This Row],[Memo]]=0,"委外",record[[#This Row],[Memo]]))</f>
        <v/>
      </c>
      <c r="O5154" t="s">
        <v>58</v>
      </c>
      <c r="P5154" t="s">
        <v>176</v>
      </c>
      <c r="Q5154" t="s">
        <v>58</v>
      </c>
      <c r="R5154" t="str">
        <f>IFERROR(VLOOKUP(record[[#This Row],[PCUSTID]],廠商[],2,FALSE),"")</f>
        <v/>
      </c>
      <c r="S5154" t="str">
        <f>VLOOKUP(record[[#This Row],[employeeID]],員工[],2,FALSE)</f>
        <v>郭政雄</v>
      </c>
    </row>
    <row r="5155" spans="6:19" hidden="1" x14ac:dyDescent="0.25">
      <c r="F5155" t="s">
        <v>1416</v>
      </c>
      <c r="G5155" t="s">
        <v>416</v>
      </c>
      <c r="H5155" t="str">
        <f>VLOOKUP(record[[#This Row],[ProcessSN]],表格2_7[],2,FALSE)</f>
        <v>30-4118-018-5XX</v>
      </c>
      <c r="I5155" t="str">
        <f>VLOOKUP(record[[#This Row],[ProcessSN]],表格2_7[],3,FALSE)</f>
        <v>#05</v>
      </c>
      <c r="J5155" t="s">
        <v>588</v>
      </c>
      <c r="K5155" s="195">
        <v>46028.963912037034</v>
      </c>
      <c r="L5155">
        <v>132</v>
      </c>
      <c r="M5155">
        <v>0</v>
      </c>
      <c r="N5155" s="98" t="str">
        <f>IF(record[[#This Row],[Memo]]="Browser:chrome os:android","平板報工",IF(record[[#This Row],[Memo]]=0,"委外",record[[#This Row],[Memo]]))</f>
        <v/>
      </c>
      <c r="O5155" t="s">
        <v>58</v>
      </c>
      <c r="P5155" t="s">
        <v>89</v>
      </c>
      <c r="Q5155" t="s">
        <v>58</v>
      </c>
      <c r="R5155" t="str">
        <f>IFERROR(VLOOKUP(record[[#This Row],[PCUSTID]],廠商[],2,FALSE),"")</f>
        <v/>
      </c>
      <c r="S5155" t="str">
        <f>VLOOKUP(record[[#This Row],[employeeID]],員工[],2,FALSE)</f>
        <v>李美蓮</v>
      </c>
    </row>
    <row r="5156" spans="6:19" hidden="1" x14ac:dyDescent="0.25">
      <c r="F5156" t="s">
        <v>1416</v>
      </c>
      <c r="G5156" t="s">
        <v>414</v>
      </c>
      <c r="H5156" t="str">
        <f>VLOOKUP(record[[#This Row],[ProcessSN]],表格2_7[],2,FALSE)</f>
        <v>30-4118-018-5XX</v>
      </c>
      <c r="I5156" t="str">
        <f>VLOOKUP(record[[#This Row],[ProcessSN]],表格2_7[],3,FALSE)</f>
        <v>#03</v>
      </c>
      <c r="J5156" t="s">
        <v>588</v>
      </c>
      <c r="K5156" s="195">
        <v>46028.962893518517</v>
      </c>
      <c r="L5156">
        <v>200</v>
      </c>
      <c r="M5156">
        <v>0</v>
      </c>
      <c r="N5156" s="98" t="str">
        <f>IF(record[[#This Row],[Memo]]="Browser:chrome os:android","平板報工",IF(record[[#This Row],[Memo]]=0,"委外",record[[#This Row],[Memo]]))</f>
        <v/>
      </c>
      <c r="O5156" t="s">
        <v>58</v>
      </c>
      <c r="P5156" t="s">
        <v>133</v>
      </c>
      <c r="Q5156" t="s">
        <v>58</v>
      </c>
      <c r="R5156" t="str">
        <f>IFERROR(VLOOKUP(record[[#This Row],[PCUSTID]],廠商[],2,FALSE),"")</f>
        <v/>
      </c>
      <c r="S5156" t="str">
        <f>VLOOKUP(record[[#This Row],[employeeID]],員工[],2,FALSE)</f>
        <v>黎長維</v>
      </c>
    </row>
    <row r="5157" spans="6:19" hidden="1" x14ac:dyDescent="0.25">
      <c r="F5157" t="s">
        <v>1416</v>
      </c>
      <c r="G5157" t="s">
        <v>415</v>
      </c>
      <c r="H5157" t="str">
        <f>VLOOKUP(record[[#This Row],[ProcessSN]],表格2_7[],2,FALSE)</f>
        <v>30-4118-018-5XX</v>
      </c>
      <c r="I5157" t="str">
        <f>VLOOKUP(record[[#This Row],[ProcessSN]],表格2_7[],3,FALSE)</f>
        <v>#04</v>
      </c>
      <c r="J5157" t="s">
        <v>588</v>
      </c>
      <c r="K5157" s="195">
        <v>46028.962395833332</v>
      </c>
      <c r="L5157">
        <v>132</v>
      </c>
      <c r="M5157">
        <v>1</v>
      </c>
      <c r="N5157" s="98" t="str">
        <f>IF(record[[#This Row],[Memo]]="Browser:chrome os:android","平板報工",IF(record[[#This Row],[Memo]]=0,"委外",record[[#This Row],[Memo]]))</f>
        <v/>
      </c>
      <c r="O5157" t="s">
        <v>58</v>
      </c>
      <c r="P5157" t="s">
        <v>133</v>
      </c>
      <c r="Q5157" t="s">
        <v>58</v>
      </c>
      <c r="R5157" t="str">
        <f>IFERROR(VLOOKUP(record[[#This Row],[PCUSTID]],廠商[],2,FALSE),"")</f>
        <v/>
      </c>
      <c r="S5157" t="str">
        <f>VLOOKUP(record[[#This Row],[employeeID]],員工[],2,FALSE)</f>
        <v>黎長維</v>
      </c>
    </row>
    <row r="5158" spans="6:19" hidden="1" x14ac:dyDescent="0.25">
      <c r="F5158" t="s">
        <v>1290</v>
      </c>
      <c r="G5158" t="s">
        <v>418</v>
      </c>
      <c r="H5158" t="str">
        <f>VLOOKUP(record[[#This Row],[ProcessSN]],表格2_7[],2,FALSE)</f>
        <v>30-4118-018-5XX</v>
      </c>
      <c r="I5158" t="str">
        <f>VLOOKUP(record[[#This Row],[ProcessSN]],表格2_7[],3,FALSE)</f>
        <v>#07</v>
      </c>
      <c r="J5158" t="s">
        <v>588</v>
      </c>
      <c r="K5158" s="195">
        <v>46028.953935185185</v>
      </c>
      <c r="L5158">
        <v>100</v>
      </c>
      <c r="M5158">
        <v>3</v>
      </c>
      <c r="N5158" s="98" t="str">
        <f>IF(record[[#This Row],[Memo]]="Browser:chrome os:android","平板報工",IF(record[[#This Row],[Memo]]=0,"委外",record[[#This Row],[Memo]]))</f>
        <v/>
      </c>
      <c r="O5158" t="s">
        <v>58</v>
      </c>
      <c r="P5158" t="s">
        <v>89</v>
      </c>
      <c r="Q5158" t="s">
        <v>58</v>
      </c>
      <c r="R5158" t="str">
        <f>IFERROR(VLOOKUP(record[[#This Row],[PCUSTID]],廠商[],2,FALSE),"")</f>
        <v/>
      </c>
      <c r="S5158" t="str">
        <f>VLOOKUP(record[[#This Row],[employeeID]],員工[],2,FALSE)</f>
        <v>李美蓮</v>
      </c>
    </row>
    <row r="5159" spans="6:19" hidden="1" x14ac:dyDescent="0.25">
      <c r="F5159" t="s">
        <v>1381</v>
      </c>
      <c r="G5159" t="s">
        <v>418</v>
      </c>
      <c r="H5159" t="str">
        <f>VLOOKUP(record[[#This Row],[ProcessSN]],表格2_7[],2,FALSE)</f>
        <v>30-4118-018-5XX</v>
      </c>
      <c r="I5159" t="str">
        <f>VLOOKUP(record[[#This Row],[ProcessSN]],表格2_7[],3,FALSE)</f>
        <v>#07</v>
      </c>
      <c r="J5159" t="s">
        <v>588</v>
      </c>
      <c r="K5159" s="195">
        <v>46028.953634259262</v>
      </c>
      <c r="L5159">
        <v>40</v>
      </c>
      <c r="M5159">
        <v>0</v>
      </c>
      <c r="N5159" s="98" t="str">
        <f>IF(record[[#This Row],[Memo]]="Browser:chrome os:android","平板報工",IF(record[[#This Row],[Memo]]=0,"委外",record[[#This Row],[Memo]]))</f>
        <v/>
      </c>
      <c r="O5159" t="s">
        <v>58</v>
      </c>
      <c r="P5159" t="s">
        <v>89</v>
      </c>
      <c r="Q5159" t="s">
        <v>58</v>
      </c>
      <c r="R5159" t="str">
        <f>IFERROR(VLOOKUP(record[[#This Row],[PCUSTID]],廠商[],2,FALSE),"")</f>
        <v/>
      </c>
      <c r="S5159" t="str">
        <f>VLOOKUP(record[[#This Row],[employeeID]],員工[],2,FALSE)</f>
        <v>李美蓮</v>
      </c>
    </row>
    <row r="5160" spans="6:19" hidden="1" x14ac:dyDescent="0.25">
      <c r="F5160" t="s">
        <v>1415</v>
      </c>
      <c r="G5160" t="s">
        <v>400</v>
      </c>
      <c r="H5160" t="str">
        <f>VLOOKUP(record[[#This Row],[ProcessSN]],表格2_7[],2,FALSE)</f>
        <v>30-4118-018-550</v>
      </c>
      <c r="I5160" t="str">
        <f>VLOOKUP(record[[#This Row],[ProcessSN]],表格2_7[],3,FALSE)</f>
        <v>#100</v>
      </c>
      <c r="J5160" t="s">
        <v>598</v>
      </c>
      <c r="K5160" s="195">
        <v>46028.827141203707</v>
      </c>
      <c r="L5160">
        <v>504</v>
      </c>
      <c r="M5160">
        <v>0</v>
      </c>
      <c r="N5160" s="98" t="str">
        <f>IF(record[[#This Row],[Memo]]="Browser:chrome os:android","平板報工",IF(record[[#This Row],[Memo]]=0,"委外",record[[#This Row],[Memo]]))</f>
        <v>平板報工</v>
      </c>
      <c r="O5160" t="s">
        <v>643</v>
      </c>
      <c r="P5160" t="s">
        <v>141</v>
      </c>
      <c r="Q5160" t="s">
        <v>644</v>
      </c>
      <c r="R5160" t="str">
        <f>IFERROR(VLOOKUP(record[[#This Row],[PCUSTID]],廠商[],2,FALSE),"")</f>
        <v/>
      </c>
      <c r="S5160" t="str">
        <f>VLOOKUP(record[[#This Row],[employeeID]],員工[],2,FALSE)</f>
        <v>蔣梅</v>
      </c>
    </row>
    <row r="5161" spans="6:19" hidden="1" x14ac:dyDescent="0.25">
      <c r="F5161" t="s">
        <v>1407</v>
      </c>
      <c r="G5161" t="s">
        <v>358</v>
      </c>
      <c r="H5161" t="str">
        <f>VLOOKUP(record[[#This Row],[ProcessSN]],表格2_7[],2,FALSE)</f>
        <v>30-4118-018-450</v>
      </c>
      <c r="I5161" t="str">
        <f>VLOOKUP(record[[#This Row],[ProcessSN]],表格2_7[],3,FALSE)</f>
        <v>#08IQC</v>
      </c>
      <c r="J5161" t="s">
        <v>583</v>
      </c>
      <c r="K5161" s="195">
        <v>46028.708645833336</v>
      </c>
      <c r="L5161">
        <v>1040</v>
      </c>
      <c r="M5161">
        <v>0</v>
      </c>
      <c r="N5161" s="98" t="str">
        <f>IF(record[[#This Row],[Memo]]="Browser:chrome os:android","平板報工",IF(record[[#This Row],[Memo]]=0,"委外",record[[#This Row],[Memo]]))</f>
        <v/>
      </c>
      <c r="O5161" t="s">
        <v>58</v>
      </c>
      <c r="P5161" t="s">
        <v>109</v>
      </c>
      <c r="Q5161" t="s">
        <v>58</v>
      </c>
      <c r="R5161" t="str">
        <f>IFERROR(VLOOKUP(record[[#This Row],[PCUSTID]],廠商[],2,FALSE),"")</f>
        <v/>
      </c>
      <c r="S5161" t="str">
        <f>VLOOKUP(record[[#This Row],[employeeID]],員工[],2,FALSE)</f>
        <v>裴氏璧鳳</v>
      </c>
    </row>
    <row r="5162" spans="6:19" hidden="1" x14ac:dyDescent="0.25">
      <c r="F5162" t="s">
        <v>1415</v>
      </c>
      <c r="G5162" t="s">
        <v>399</v>
      </c>
      <c r="H5162" t="str">
        <f>VLOOKUP(record[[#This Row],[ProcessSN]],表格2_7[],2,FALSE)</f>
        <v>30-4118-018-550</v>
      </c>
      <c r="I5162" t="str">
        <f>VLOOKUP(record[[#This Row],[ProcessSN]],表格2_7[],3,FALSE)</f>
        <v>#08IQC</v>
      </c>
      <c r="J5162" t="s">
        <v>583</v>
      </c>
      <c r="K5162" s="195">
        <v>46028.708356481482</v>
      </c>
      <c r="L5162">
        <v>748</v>
      </c>
      <c r="M5162">
        <v>0</v>
      </c>
      <c r="N5162" s="98" t="str">
        <f>IF(record[[#This Row],[Memo]]="Browser:chrome os:android","平板報工",IF(record[[#This Row],[Memo]]=0,"委外",record[[#This Row],[Memo]]))</f>
        <v/>
      </c>
      <c r="O5162" t="s">
        <v>58</v>
      </c>
      <c r="P5162" t="s">
        <v>109</v>
      </c>
      <c r="Q5162" t="s">
        <v>58</v>
      </c>
      <c r="R5162" t="str">
        <f>IFERROR(VLOOKUP(record[[#This Row],[PCUSTID]],廠商[],2,FALSE),"")</f>
        <v/>
      </c>
      <c r="S5162" t="str">
        <f>VLOOKUP(record[[#This Row],[employeeID]],員工[],2,FALSE)</f>
        <v>裴氏璧鳳</v>
      </c>
    </row>
    <row r="5163" spans="6:19" hidden="1" x14ac:dyDescent="0.25">
      <c r="F5163" t="s">
        <v>1369</v>
      </c>
      <c r="G5163" t="s">
        <v>427</v>
      </c>
      <c r="H5163" t="str">
        <f>VLOOKUP(record[[#This Row],[ProcessSN]],表格2_7[],2,FALSE)</f>
        <v>30-4118-018-600</v>
      </c>
      <c r="I5163" t="str">
        <f>VLOOKUP(record[[#This Row],[ProcessSN]],表格2_7[],3,FALSE)</f>
        <v>#100STOCK</v>
      </c>
      <c r="J5163" t="s">
        <v>592</v>
      </c>
      <c r="K5163" s="195">
        <v>46028.681550925925</v>
      </c>
      <c r="L5163">
        <v>35</v>
      </c>
      <c r="M5163">
        <v>0</v>
      </c>
      <c r="N5163" s="98" t="str">
        <f>IF(record[[#This Row],[Memo]]="Browser:chrome os:android","平板報工",IF(record[[#This Row],[Memo]]=0,"委外",record[[#This Row],[Memo]]))</f>
        <v/>
      </c>
      <c r="O5163" t="s">
        <v>58</v>
      </c>
      <c r="P5163" t="s">
        <v>886</v>
      </c>
      <c r="Q5163" t="s">
        <v>58</v>
      </c>
      <c r="R5163" t="str">
        <f>IFERROR(VLOOKUP(record[[#This Row],[PCUSTID]],廠商[],2,FALSE),"")</f>
        <v/>
      </c>
      <c r="S5163" t="str">
        <f>VLOOKUP(record[[#This Row],[employeeID]],員工[],2,FALSE)</f>
        <v>謝蓁薰</v>
      </c>
    </row>
    <row r="5164" spans="6:19" hidden="1" x14ac:dyDescent="0.25">
      <c r="F5164" t="s">
        <v>1381</v>
      </c>
      <c r="G5164" t="s">
        <v>417</v>
      </c>
      <c r="H5164" t="str">
        <f>VLOOKUP(record[[#This Row],[ProcessSN]],表格2_7[],2,FALSE)</f>
        <v>30-4118-018-5XX</v>
      </c>
      <c r="I5164" t="str">
        <f>VLOOKUP(record[[#This Row],[ProcessSN]],表格2_7[],3,FALSE)</f>
        <v>#06</v>
      </c>
      <c r="J5164" t="s">
        <v>593</v>
      </c>
      <c r="K5164" s="195">
        <v>46028.677349537036</v>
      </c>
      <c r="L5164">
        <v>110</v>
      </c>
      <c r="M5164">
        <v>0</v>
      </c>
      <c r="N5164" s="98" t="str">
        <f>IF(record[[#This Row],[Memo]]="Browser:chrome os:android","平板報工",IF(record[[#This Row],[Memo]]=0,"委外",record[[#This Row],[Memo]]))</f>
        <v/>
      </c>
      <c r="O5164" t="s">
        <v>58</v>
      </c>
      <c r="P5164" t="s">
        <v>1413</v>
      </c>
      <c r="Q5164" t="s">
        <v>58</v>
      </c>
      <c r="R5164" t="str">
        <f>IFERROR(VLOOKUP(record[[#This Row],[PCUSTID]],廠商[],2,FALSE),"")</f>
        <v/>
      </c>
      <c r="S5164" t="str">
        <f>VLOOKUP(record[[#This Row],[employeeID]],員工[],2,FALSE)</f>
        <v>阮氏芳英(芳)</v>
      </c>
    </row>
    <row r="5165" spans="6:19" hidden="1" x14ac:dyDescent="0.25">
      <c r="F5165" t="s">
        <v>1416</v>
      </c>
      <c r="G5165" t="s">
        <v>416</v>
      </c>
      <c r="H5165" t="str">
        <f>VLOOKUP(record[[#This Row],[ProcessSN]],表格2_7[],2,FALSE)</f>
        <v>30-4118-018-5XX</v>
      </c>
      <c r="I5165" t="str">
        <f>VLOOKUP(record[[#This Row],[ProcessSN]],表格2_7[],3,FALSE)</f>
        <v>#05</v>
      </c>
      <c r="J5165" t="s">
        <v>588</v>
      </c>
      <c r="K5165" s="195">
        <v>46028.676388888889</v>
      </c>
      <c r="L5165">
        <v>20</v>
      </c>
      <c r="M5165">
        <v>0</v>
      </c>
      <c r="N5165" s="98" t="str">
        <f>IF(record[[#This Row],[Memo]]="Browser:chrome os:android","平板報工",IF(record[[#This Row],[Memo]]=0,"委外",record[[#This Row],[Memo]]))</f>
        <v/>
      </c>
      <c r="O5165" t="s">
        <v>58</v>
      </c>
      <c r="P5165" t="s">
        <v>785</v>
      </c>
      <c r="Q5165" t="s">
        <v>58</v>
      </c>
      <c r="R5165" t="str">
        <f>IFERROR(VLOOKUP(record[[#This Row],[PCUSTID]],廠商[],2,FALSE),"")</f>
        <v/>
      </c>
      <c r="S5165" t="str">
        <f>VLOOKUP(record[[#This Row],[employeeID]],員工[],2,FALSE)</f>
        <v>謝刻光</v>
      </c>
    </row>
    <row r="5166" spans="6:19" hidden="1" x14ac:dyDescent="0.25">
      <c r="F5166" t="s">
        <v>1381</v>
      </c>
      <c r="G5166" t="s">
        <v>416</v>
      </c>
      <c r="H5166" t="str">
        <f>VLOOKUP(record[[#This Row],[ProcessSN]],表格2_7[],2,FALSE)</f>
        <v>30-4118-018-5XX</v>
      </c>
      <c r="I5166" t="str">
        <f>VLOOKUP(record[[#This Row],[ProcessSN]],表格2_7[],3,FALSE)</f>
        <v>#05</v>
      </c>
      <c r="J5166" t="s">
        <v>588</v>
      </c>
      <c r="K5166" s="195">
        <v>46028.676238425927</v>
      </c>
      <c r="L5166">
        <v>115</v>
      </c>
      <c r="M5166">
        <v>0</v>
      </c>
      <c r="N5166" s="98" t="str">
        <f>IF(record[[#This Row],[Memo]]="Browser:chrome os:android","平板報工",IF(record[[#This Row],[Memo]]=0,"委外",record[[#This Row],[Memo]]))</f>
        <v/>
      </c>
      <c r="O5166" t="s">
        <v>58</v>
      </c>
      <c r="P5166" t="s">
        <v>785</v>
      </c>
      <c r="Q5166" t="s">
        <v>58</v>
      </c>
      <c r="R5166" t="str">
        <f>IFERROR(VLOOKUP(record[[#This Row],[PCUSTID]],廠商[],2,FALSE),"")</f>
        <v/>
      </c>
      <c r="S5166" t="str">
        <f>VLOOKUP(record[[#This Row],[employeeID]],員工[],2,FALSE)</f>
        <v>謝刻光</v>
      </c>
    </row>
    <row r="5167" spans="6:19" hidden="1" x14ac:dyDescent="0.25">
      <c r="F5167" t="s">
        <v>1416</v>
      </c>
      <c r="G5167" t="s">
        <v>415</v>
      </c>
      <c r="H5167" t="str">
        <f>VLOOKUP(record[[#This Row],[ProcessSN]],表格2_7[],2,FALSE)</f>
        <v>30-4118-018-5XX</v>
      </c>
      <c r="I5167" t="str">
        <f>VLOOKUP(record[[#This Row],[ProcessSN]],表格2_7[],3,FALSE)</f>
        <v>#04</v>
      </c>
      <c r="J5167" t="s">
        <v>588</v>
      </c>
      <c r="K5167" s="195">
        <v>46028.674907407411</v>
      </c>
      <c r="L5167">
        <v>20</v>
      </c>
      <c r="M5167">
        <v>11</v>
      </c>
      <c r="N5167" s="98" t="str">
        <f>IF(record[[#This Row],[Memo]]="Browser:chrome os:android","平板報工",IF(record[[#This Row],[Memo]]=0,"委外",record[[#This Row],[Memo]]))</f>
        <v/>
      </c>
      <c r="O5167" t="s">
        <v>58</v>
      </c>
      <c r="P5167" t="s">
        <v>145</v>
      </c>
      <c r="Q5167" t="s">
        <v>58</v>
      </c>
      <c r="R5167" t="str">
        <f>IFERROR(VLOOKUP(record[[#This Row],[PCUSTID]],廠商[],2,FALSE),"")</f>
        <v/>
      </c>
      <c r="S5167" t="str">
        <f>VLOOKUP(record[[#This Row],[employeeID]],員工[],2,FALSE)</f>
        <v>阮秋霞</v>
      </c>
    </row>
    <row r="5168" spans="6:19" hidden="1" x14ac:dyDescent="0.25">
      <c r="F5168" t="s">
        <v>1416</v>
      </c>
      <c r="G5168" t="s">
        <v>414</v>
      </c>
      <c r="H5168" t="str">
        <f>VLOOKUP(record[[#This Row],[ProcessSN]],表格2_7[],2,FALSE)</f>
        <v>30-4118-018-5XX</v>
      </c>
      <c r="I5168" t="str">
        <f>VLOOKUP(record[[#This Row],[ProcessSN]],表格2_7[],3,FALSE)</f>
        <v>#03</v>
      </c>
      <c r="J5168" t="s">
        <v>588</v>
      </c>
      <c r="K5168" s="195">
        <v>46028.661817129629</v>
      </c>
      <c r="L5168">
        <v>400</v>
      </c>
      <c r="M5168">
        <v>0</v>
      </c>
      <c r="N5168" s="98" t="str">
        <f>IF(record[[#This Row],[Memo]]="Browser:chrome os:android","平板報工",IF(record[[#This Row],[Memo]]=0,"委外",record[[#This Row],[Memo]]))</f>
        <v/>
      </c>
      <c r="O5168" t="s">
        <v>58</v>
      </c>
      <c r="P5168" t="s">
        <v>107</v>
      </c>
      <c r="Q5168" t="s">
        <v>58</v>
      </c>
      <c r="R5168" t="str">
        <f>IFERROR(VLOOKUP(record[[#This Row],[PCUSTID]],廠商[],2,FALSE),"")</f>
        <v/>
      </c>
      <c r="S5168" t="str">
        <f>VLOOKUP(record[[#This Row],[employeeID]],員工[],2,FALSE)</f>
        <v>黎氏順</v>
      </c>
    </row>
    <row r="5169" spans="6:19" hidden="1" x14ac:dyDescent="0.25">
      <c r="F5169" t="s">
        <v>1381</v>
      </c>
      <c r="G5169" t="s">
        <v>415</v>
      </c>
      <c r="H5169" t="str">
        <f>VLOOKUP(record[[#This Row],[ProcessSN]],表格2_7[],2,FALSE)</f>
        <v>30-4118-018-5XX</v>
      </c>
      <c r="I5169" t="str">
        <f>VLOOKUP(record[[#This Row],[ProcessSN]],表格2_7[],3,FALSE)</f>
        <v>#04</v>
      </c>
      <c r="J5169" t="s">
        <v>588</v>
      </c>
      <c r="K5169" s="195">
        <v>46028.661377314813</v>
      </c>
      <c r="L5169">
        <v>115</v>
      </c>
      <c r="M5169">
        <v>0</v>
      </c>
      <c r="N5169" s="98" t="str">
        <f>IF(record[[#This Row],[Memo]]="Browser:chrome os:android","平板報工",IF(record[[#This Row],[Memo]]=0,"委外",record[[#This Row],[Memo]]))</f>
        <v/>
      </c>
      <c r="O5169" t="s">
        <v>58</v>
      </c>
      <c r="P5169" t="s">
        <v>145</v>
      </c>
      <c r="Q5169" t="s">
        <v>58</v>
      </c>
      <c r="R5169" t="str">
        <f>IFERROR(VLOOKUP(record[[#This Row],[PCUSTID]],廠商[],2,FALSE),"")</f>
        <v/>
      </c>
      <c r="S5169" t="str">
        <f>VLOOKUP(record[[#This Row],[employeeID]],員工[],2,FALSE)</f>
        <v>阮秋霞</v>
      </c>
    </row>
    <row r="5170" spans="6:19" hidden="1" x14ac:dyDescent="0.25">
      <c r="F5170" t="s">
        <v>1415</v>
      </c>
      <c r="G5170" t="s">
        <v>398</v>
      </c>
      <c r="H5170" t="str">
        <f>VLOOKUP(record[[#This Row],[ProcessSN]],表格2_7[],2,FALSE)</f>
        <v>30-4118-018-550</v>
      </c>
      <c r="I5170" t="str">
        <f>VLOOKUP(record[[#This Row],[ProcessSN]],表格2_7[],3,FALSE)</f>
        <v>#08RCV</v>
      </c>
      <c r="J5170" t="s">
        <v>591</v>
      </c>
      <c r="K5170" s="195">
        <v>46028.652118055557</v>
      </c>
      <c r="L5170">
        <v>748</v>
      </c>
      <c r="M5170">
        <v>0</v>
      </c>
      <c r="N5170" s="98" t="str">
        <f>IF(record[[#This Row],[Memo]]="Browser:chrome os:android","平板報工",IF(record[[#This Row],[Memo]]=0,"委外",record[[#This Row],[Memo]]))</f>
        <v/>
      </c>
      <c r="O5170" t="s">
        <v>58</v>
      </c>
      <c r="P5170" t="s">
        <v>186</v>
      </c>
      <c r="Q5170" t="s">
        <v>58</v>
      </c>
      <c r="R5170" t="str">
        <f>IFERROR(VLOOKUP(record[[#This Row],[PCUSTID]],廠商[],2,FALSE),"")</f>
        <v/>
      </c>
      <c r="S5170" t="str">
        <f>VLOOKUP(record[[#This Row],[employeeID]],員工[],2,FALSE)</f>
        <v>許文姍</v>
      </c>
    </row>
    <row r="5171" spans="6:19" hidden="1" x14ac:dyDescent="0.25">
      <c r="F5171" t="s">
        <v>1391</v>
      </c>
      <c r="G5171" t="s">
        <v>426</v>
      </c>
      <c r="H5171" t="str">
        <f>VLOOKUP(record[[#This Row],[ProcessSN]],表格2_7[],2,FALSE)</f>
        <v>30-4118-018-600</v>
      </c>
      <c r="I5171" t="str">
        <f>VLOOKUP(record[[#This Row],[ProcessSN]],表格2_7[],3,FALSE)</f>
        <v>#100OQC</v>
      </c>
      <c r="J5171" t="s">
        <v>599</v>
      </c>
      <c r="K5171" s="195">
        <v>46028.646678240744</v>
      </c>
      <c r="L5171">
        <v>336</v>
      </c>
      <c r="M5171">
        <v>0</v>
      </c>
      <c r="N5171" s="98" t="str">
        <f>IF(record[[#This Row],[Memo]]="Browser:chrome os:android","平板報工",IF(record[[#This Row],[Memo]]=0,"委外",record[[#This Row],[Memo]]))</f>
        <v/>
      </c>
      <c r="O5171" t="s">
        <v>58</v>
      </c>
      <c r="P5171" t="s">
        <v>121</v>
      </c>
      <c r="Q5171" t="s">
        <v>58</v>
      </c>
      <c r="R5171" t="str">
        <f>IFERROR(VLOOKUP(record[[#This Row],[PCUSTID]],廠商[],2,FALSE),"")</f>
        <v/>
      </c>
      <c r="S5171" t="str">
        <f>VLOOKUP(record[[#This Row],[employeeID]],員工[],2,FALSE)</f>
        <v>謝素卿</v>
      </c>
    </row>
    <row r="5172" spans="6:19" hidden="1" x14ac:dyDescent="0.25">
      <c r="F5172" t="s">
        <v>1402</v>
      </c>
      <c r="G5172" t="s">
        <v>426</v>
      </c>
      <c r="H5172" t="str">
        <f>VLOOKUP(record[[#This Row],[ProcessSN]],表格2_7[],2,FALSE)</f>
        <v>30-4118-018-600</v>
      </c>
      <c r="I5172" t="str">
        <f>VLOOKUP(record[[#This Row],[ProcessSN]],表格2_7[],3,FALSE)</f>
        <v>#100OQC</v>
      </c>
      <c r="J5172" t="s">
        <v>599</v>
      </c>
      <c r="K5172" s="195">
        <v>46028.646504629629</v>
      </c>
      <c r="L5172">
        <v>108</v>
      </c>
      <c r="M5172">
        <v>0</v>
      </c>
      <c r="N5172" s="98" t="str">
        <f>IF(record[[#This Row],[Memo]]="Browser:chrome os:android","平板報工",IF(record[[#This Row],[Memo]]=0,"委外",record[[#This Row],[Memo]]))</f>
        <v/>
      </c>
      <c r="O5172" t="s">
        <v>58</v>
      </c>
      <c r="P5172" t="s">
        <v>121</v>
      </c>
      <c r="Q5172" t="s">
        <v>58</v>
      </c>
      <c r="R5172" t="str">
        <f>IFERROR(VLOOKUP(record[[#This Row],[PCUSTID]],廠商[],2,FALSE),"")</f>
        <v/>
      </c>
      <c r="S5172" t="str">
        <f>VLOOKUP(record[[#This Row],[employeeID]],員工[],2,FALSE)</f>
        <v>謝素卿</v>
      </c>
    </row>
    <row r="5173" spans="6:19" hidden="1" x14ac:dyDescent="0.25">
      <c r="F5173" t="s">
        <v>1388</v>
      </c>
      <c r="G5173" t="s">
        <v>426</v>
      </c>
      <c r="H5173" t="str">
        <f>VLOOKUP(record[[#This Row],[ProcessSN]],表格2_7[],2,FALSE)</f>
        <v>30-4118-018-600</v>
      </c>
      <c r="I5173" t="str">
        <f>VLOOKUP(record[[#This Row],[ProcessSN]],表格2_7[],3,FALSE)</f>
        <v>#100OQC</v>
      </c>
      <c r="J5173" t="s">
        <v>599</v>
      </c>
      <c r="K5173" s="195">
        <v>46028.646331018521</v>
      </c>
      <c r="L5173">
        <v>178</v>
      </c>
      <c r="M5173">
        <v>0</v>
      </c>
      <c r="N5173" s="98" t="str">
        <f>IF(record[[#This Row],[Memo]]="Browser:chrome os:android","平板報工",IF(record[[#This Row],[Memo]]=0,"委外",record[[#This Row],[Memo]]))</f>
        <v/>
      </c>
      <c r="O5173" t="s">
        <v>58</v>
      </c>
      <c r="P5173" t="s">
        <v>121</v>
      </c>
      <c r="Q5173" t="s">
        <v>58</v>
      </c>
      <c r="R5173" t="str">
        <f>IFERROR(VLOOKUP(record[[#This Row],[PCUSTID]],廠商[],2,FALSE),"")</f>
        <v/>
      </c>
      <c r="S5173" t="str">
        <f>VLOOKUP(record[[#This Row],[employeeID]],員工[],2,FALSE)</f>
        <v>謝素卿</v>
      </c>
    </row>
    <row r="5174" spans="6:19" hidden="1" x14ac:dyDescent="0.25">
      <c r="F5174" t="s">
        <v>1407</v>
      </c>
      <c r="G5174" t="s">
        <v>357</v>
      </c>
      <c r="H5174" t="str">
        <f>VLOOKUP(record[[#This Row],[ProcessSN]],表格2_7[],2,FALSE)</f>
        <v>30-4118-018-450</v>
      </c>
      <c r="I5174" t="str">
        <f>VLOOKUP(record[[#This Row],[ProcessSN]],表格2_7[],3,FALSE)</f>
        <v>#08RCV</v>
      </c>
      <c r="J5174" t="s">
        <v>591</v>
      </c>
      <c r="K5174" s="195">
        <v>46028.497662037036</v>
      </c>
      <c r="L5174">
        <v>1040</v>
      </c>
      <c r="M5174">
        <v>0</v>
      </c>
      <c r="N5174" s="98" t="str">
        <f>IF(record[[#This Row],[Memo]]="Browser:chrome os:android","平板報工",IF(record[[#This Row],[Memo]]=0,"委外",record[[#This Row],[Memo]]))</f>
        <v/>
      </c>
      <c r="O5174" t="s">
        <v>58</v>
      </c>
      <c r="P5174" t="s">
        <v>186</v>
      </c>
      <c r="Q5174" t="s">
        <v>58</v>
      </c>
      <c r="R5174" t="str">
        <f>IFERROR(VLOOKUP(record[[#This Row],[PCUSTID]],廠商[],2,FALSE),"")</f>
        <v/>
      </c>
      <c r="S5174" t="str">
        <f>VLOOKUP(record[[#This Row],[employeeID]],員工[],2,FALSE)</f>
        <v>許文姍</v>
      </c>
    </row>
    <row r="5175" spans="6:19" hidden="1" x14ac:dyDescent="0.25">
      <c r="F5175" t="s">
        <v>1381</v>
      </c>
      <c r="G5175" t="s">
        <v>420</v>
      </c>
      <c r="H5175" t="str">
        <f>VLOOKUP(record[[#This Row],[ProcessSN]],表格2_7[],2,FALSE)</f>
        <v>30-4118-018-5XX</v>
      </c>
      <c r="I5175" t="str">
        <f>VLOOKUP(record[[#This Row],[ProcessSN]],表格2_7[],3,FALSE)</f>
        <v>#07STOCK</v>
      </c>
      <c r="J5175" t="s">
        <v>592</v>
      </c>
      <c r="K5175" s="195">
        <v>46028.453842592593</v>
      </c>
      <c r="L5175">
        <v>163</v>
      </c>
      <c r="M5175">
        <v>0</v>
      </c>
      <c r="N5175" s="98" t="str">
        <f>IF(record[[#This Row],[Memo]]="Browser:chrome os:android","平板報工",IF(record[[#This Row],[Memo]]=0,"委外",record[[#This Row],[Memo]]))</f>
        <v/>
      </c>
      <c r="O5175" t="s">
        <v>58</v>
      </c>
      <c r="P5175" t="s">
        <v>186</v>
      </c>
      <c r="Q5175" t="s">
        <v>58</v>
      </c>
      <c r="R5175" t="str">
        <f>IFERROR(VLOOKUP(record[[#This Row],[PCUSTID]],廠商[],2,FALSE),"")</f>
        <v/>
      </c>
      <c r="S5175" t="str">
        <f>VLOOKUP(record[[#This Row],[employeeID]],員工[],2,FALSE)</f>
        <v>許文姍</v>
      </c>
    </row>
    <row r="5176" spans="6:19" hidden="1" x14ac:dyDescent="0.25">
      <c r="F5176" t="s">
        <v>1101</v>
      </c>
      <c r="G5176" t="s">
        <v>379</v>
      </c>
      <c r="H5176" t="str">
        <f>VLOOKUP(record[[#This Row],[ProcessSN]],表格2_7[],2,FALSE)</f>
        <v>30-4118-018-4XX</v>
      </c>
      <c r="I5176" t="str">
        <f>VLOOKUP(record[[#This Row],[ProcessSN]],表格2_7[],3,FALSE)</f>
        <v>#07STOCK</v>
      </c>
      <c r="J5176" t="s">
        <v>592</v>
      </c>
      <c r="K5176" s="195">
        <v>46028.453009259261</v>
      </c>
      <c r="L5176">
        <v>9</v>
      </c>
      <c r="M5176">
        <v>0</v>
      </c>
      <c r="N5176" s="98" t="str">
        <f>IF(record[[#This Row],[Memo]]="Browser:chrome os:android","平板報工",IF(record[[#This Row],[Memo]]=0,"委外",record[[#This Row],[Memo]]))</f>
        <v/>
      </c>
      <c r="O5176" t="s">
        <v>58</v>
      </c>
      <c r="P5176" t="s">
        <v>186</v>
      </c>
      <c r="Q5176" t="s">
        <v>58</v>
      </c>
      <c r="R5176" t="str">
        <f>IFERROR(VLOOKUP(record[[#This Row],[PCUSTID]],廠商[],2,FALSE),"")</f>
        <v/>
      </c>
      <c r="S5176" t="str">
        <f>VLOOKUP(record[[#This Row],[employeeID]],員工[],2,FALSE)</f>
        <v>許文姍</v>
      </c>
    </row>
    <row r="5177" spans="6:19" hidden="1" x14ac:dyDescent="0.25">
      <c r="F5177" t="s">
        <v>1380</v>
      </c>
      <c r="G5177" t="s">
        <v>379</v>
      </c>
      <c r="H5177" t="str">
        <f>VLOOKUP(record[[#This Row],[ProcessSN]],表格2_7[],2,FALSE)</f>
        <v>30-4118-018-4XX</v>
      </c>
      <c r="I5177" t="str">
        <f>VLOOKUP(record[[#This Row],[ProcessSN]],表格2_7[],3,FALSE)</f>
        <v>#07STOCK</v>
      </c>
      <c r="J5177" t="s">
        <v>592</v>
      </c>
      <c r="K5177" s="195">
        <v>46028.449942129628</v>
      </c>
      <c r="L5177">
        <v>163</v>
      </c>
      <c r="M5177">
        <v>0</v>
      </c>
      <c r="N5177" s="98" t="str">
        <f>IF(record[[#This Row],[Memo]]="Browser:chrome os:android","平板報工",IF(record[[#This Row],[Memo]]=0,"委外",record[[#This Row],[Memo]]))</f>
        <v/>
      </c>
      <c r="O5177" t="s">
        <v>58</v>
      </c>
      <c r="P5177" t="s">
        <v>186</v>
      </c>
      <c r="Q5177" t="s">
        <v>58</v>
      </c>
      <c r="R5177" t="str">
        <f>IFERROR(VLOOKUP(record[[#This Row],[PCUSTID]],廠商[],2,FALSE),"")</f>
        <v/>
      </c>
      <c r="S5177" t="str">
        <f>VLOOKUP(record[[#This Row],[employeeID]],員工[],2,FALSE)</f>
        <v>許文姍</v>
      </c>
    </row>
    <row r="5178" spans="6:19" hidden="1" x14ac:dyDescent="0.25">
      <c r="F5178" t="s">
        <v>1339</v>
      </c>
      <c r="G5178" t="s">
        <v>379</v>
      </c>
      <c r="H5178" t="str">
        <f>VLOOKUP(record[[#This Row],[ProcessSN]],表格2_7[],2,FALSE)</f>
        <v>30-4118-018-4XX</v>
      </c>
      <c r="I5178" t="str">
        <f>VLOOKUP(record[[#This Row],[ProcessSN]],表格2_7[],3,FALSE)</f>
        <v>#07STOCK</v>
      </c>
      <c r="J5178" t="s">
        <v>592</v>
      </c>
      <c r="K5178" s="195">
        <v>46028.44976851852</v>
      </c>
      <c r="L5178">
        <v>154</v>
      </c>
      <c r="M5178">
        <v>0</v>
      </c>
      <c r="N5178" s="98" t="str">
        <f>IF(record[[#This Row],[Memo]]="Browser:chrome os:android","平板報工",IF(record[[#This Row],[Memo]]=0,"委外",record[[#This Row],[Memo]]))</f>
        <v/>
      </c>
      <c r="O5178" t="s">
        <v>58</v>
      </c>
      <c r="P5178" t="s">
        <v>186</v>
      </c>
      <c r="Q5178" t="s">
        <v>58</v>
      </c>
      <c r="R5178" t="str">
        <f>IFERROR(VLOOKUP(record[[#This Row],[PCUSTID]],廠商[],2,FALSE),"")</f>
        <v/>
      </c>
      <c r="S5178" t="str">
        <f>VLOOKUP(record[[#This Row],[employeeID]],員工[],2,FALSE)</f>
        <v>許文姍</v>
      </c>
    </row>
    <row r="5179" spans="6:19" hidden="1" x14ac:dyDescent="0.25">
      <c r="F5179" t="s">
        <v>1317</v>
      </c>
      <c r="G5179" t="s">
        <v>403</v>
      </c>
      <c r="H5179" t="str">
        <f>VLOOKUP(record[[#This Row],[ProcessSN]],表格2_7[],2,FALSE)</f>
        <v>30-4118-018-550</v>
      </c>
      <c r="I5179" t="str">
        <f>VLOOKUP(record[[#This Row],[ProcessSN]],表格2_7[],3,FALSE)</f>
        <v>#100SHIP</v>
      </c>
      <c r="J5179" t="s">
        <v>600</v>
      </c>
      <c r="K5179" s="195">
        <v>46028.447256944448</v>
      </c>
      <c r="L5179">
        <v>2</v>
      </c>
      <c r="M5179">
        <v>0</v>
      </c>
      <c r="N5179" s="98" t="str">
        <f>IF(record[[#This Row],[Memo]]="Browser:chrome os:android","平板報工",IF(record[[#This Row],[Memo]]=0,"委外",record[[#This Row],[Memo]]))</f>
        <v>1.5露白 出組裝</v>
      </c>
      <c r="O5179" t="s">
        <v>1282</v>
      </c>
      <c r="P5179" t="s">
        <v>886</v>
      </c>
      <c r="Q5179" t="s">
        <v>58</v>
      </c>
      <c r="R5179" t="str">
        <f>IFERROR(VLOOKUP(record[[#This Row],[PCUSTID]],廠商[],2,FALSE),"")</f>
        <v/>
      </c>
      <c r="S5179" t="str">
        <f>VLOOKUP(record[[#This Row],[employeeID]],員工[],2,FALSE)</f>
        <v>謝蓁薰</v>
      </c>
    </row>
    <row r="5180" spans="6:19" hidden="1" x14ac:dyDescent="0.25">
      <c r="F5180" t="s">
        <v>1329</v>
      </c>
      <c r="G5180" t="s">
        <v>403</v>
      </c>
      <c r="H5180" t="str">
        <f>VLOOKUP(record[[#This Row],[ProcessSN]],表格2_7[],2,FALSE)</f>
        <v>30-4118-018-550</v>
      </c>
      <c r="I5180" t="str">
        <f>VLOOKUP(record[[#This Row],[ProcessSN]],表格2_7[],3,FALSE)</f>
        <v>#100SHIP</v>
      </c>
      <c r="J5180" t="s">
        <v>600</v>
      </c>
      <c r="K5180" s="195">
        <v>46028.447083333333</v>
      </c>
      <c r="L5180">
        <v>3</v>
      </c>
      <c r="M5180">
        <v>0</v>
      </c>
      <c r="N5180" s="98" t="str">
        <f>IF(record[[#This Row],[Memo]]="Browser:chrome os:android","平板報工",IF(record[[#This Row],[Memo]]=0,"委外",record[[#This Row],[Memo]]))</f>
        <v>1.5露白 出組裝</v>
      </c>
      <c r="O5180" t="s">
        <v>1282</v>
      </c>
      <c r="P5180" t="s">
        <v>886</v>
      </c>
      <c r="Q5180" t="s">
        <v>58</v>
      </c>
      <c r="R5180" t="str">
        <f>IFERROR(VLOOKUP(record[[#This Row],[PCUSTID]],廠商[],2,FALSE),"")</f>
        <v/>
      </c>
      <c r="S5180" t="str">
        <f>VLOOKUP(record[[#This Row],[employeeID]],員工[],2,FALSE)</f>
        <v>謝蓁薰</v>
      </c>
    </row>
    <row r="5181" spans="6:19" hidden="1" x14ac:dyDescent="0.25">
      <c r="F5181" t="s">
        <v>1306</v>
      </c>
      <c r="G5181" t="s">
        <v>403</v>
      </c>
      <c r="H5181" t="str">
        <f>VLOOKUP(record[[#This Row],[ProcessSN]],表格2_7[],2,FALSE)</f>
        <v>30-4118-018-550</v>
      </c>
      <c r="I5181" t="str">
        <f>VLOOKUP(record[[#This Row],[ProcessSN]],表格2_7[],3,FALSE)</f>
        <v>#100SHIP</v>
      </c>
      <c r="J5181" t="s">
        <v>600</v>
      </c>
      <c r="K5181" s="195">
        <v>46028.446863425925</v>
      </c>
      <c r="L5181">
        <v>14</v>
      </c>
      <c r="M5181">
        <v>0</v>
      </c>
      <c r="N5181" s="98" t="str">
        <f>IF(record[[#This Row],[Memo]]="Browser:chrome os:android","平板報工",IF(record[[#This Row],[Memo]]=0,"委外",record[[#This Row],[Memo]]))</f>
        <v>1.5露白 出組裝</v>
      </c>
      <c r="O5181" t="s">
        <v>1282</v>
      </c>
      <c r="P5181" t="s">
        <v>886</v>
      </c>
      <c r="Q5181" t="s">
        <v>58</v>
      </c>
      <c r="R5181" t="str">
        <f>IFERROR(VLOOKUP(record[[#This Row],[PCUSTID]],廠商[],2,FALSE),"")</f>
        <v/>
      </c>
      <c r="S5181" t="str">
        <f>VLOOKUP(record[[#This Row],[employeeID]],員工[],2,FALSE)</f>
        <v>謝蓁薰</v>
      </c>
    </row>
    <row r="5182" spans="6:19" hidden="1" x14ac:dyDescent="0.25">
      <c r="F5182" t="s">
        <v>1350</v>
      </c>
      <c r="G5182" t="s">
        <v>403</v>
      </c>
      <c r="H5182" t="str">
        <f>VLOOKUP(record[[#This Row],[ProcessSN]],表格2_7[],2,FALSE)</f>
        <v>30-4118-018-550</v>
      </c>
      <c r="I5182" t="str">
        <f>VLOOKUP(record[[#This Row],[ProcessSN]],表格2_7[],3,FALSE)</f>
        <v>#100SHIP</v>
      </c>
      <c r="J5182" t="s">
        <v>600</v>
      </c>
      <c r="K5182" s="195">
        <v>46028.44667824074</v>
      </c>
      <c r="L5182">
        <v>6</v>
      </c>
      <c r="M5182">
        <v>0</v>
      </c>
      <c r="N5182" s="98" t="str">
        <f>IF(record[[#This Row],[Memo]]="Browser:chrome os:android","平板報工",IF(record[[#This Row],[Memo]]=0,"委外",record[[#This Row],[Memo]]))</f>
        <v>1.5露白 出組裝</v>
      </c>
      <c r="O5182" t="s">
        <v>1282</v>
      </c>
      <c r="P5182" t="s">
        <v>886</v>
      </c>
      <c r="Q5182" t="s">
        <v>58</v>
      </c>
      <c r="R5182" t="str">
        <f>IFERROR(VLOOKUP(record[[#This Row],[PCUSTID]],廠商[],2,FALSE),"")</f>
        <v/>
      </c>
      <c r="S5182" t="str">
        <f>VLOOKUP(record[[#This Row],[employeeID]],員工[],2,FALSE)</f>
        <v>謝蓁薰</v>
      </c>
    </row>
    <row r="5183" spans="6:19" hidden="1" x14ac:dyDescent="0.25">
      <c r="F5183" t="s">
        <v>1366</v>
      </c>
      <c r="G5183" t="s">
        <v>403</v>
      </c>
      <c r="H5183" t="str">
        <f>VLOOKUP(record[[#This Row],[ProcessSN]],表格2_7[],2,FALSE)</f>
        <v>30-4118-018-550</v>
      </c>
      <c r="I5183" t="str">
        <f>VLOOKUP(record[[#This Row],[ProcessSN]],表格2_7[],3,FALSE)</f>
        <v>#100SHIP</v>
      </c>
      <c r="J5183" t="s">
        <v>600</v>
      </c>
      <c r="K5183" s="195">
        <v>46028.446527777778</v>
      </c>
      <c r="L5183">
        <v>217</v>
      </c>
      <c r="M5183">
        <v>0</v>
      </c>
      <c r="N5183" s="98" t="str">
        <f>IF(record[[#This Row],[Memo]]="Browser:chrome os:android","平板報工",IF(record[[#This Row],[Memo]]=0,"委外",record[[#This Row],[Memo]]))</f>
        <v/>
      </c>
      <c r="O5183" t="s">
        <v>58</v>
      </c>
      <c r="P5183" t="s">
        <v>886</v>
      </c>
      <c r="Q5183" t="s">
        <v>58</v>
      </c>
      <c r="R5183" t="str">
        <f>IFERROR(VLOOKUP(record[[#This Row],[PCUSTID]],廠商[],2,FALSE),"")</f>
        <v/>
      </c>
      <c r="S5183" t="str">
        <f>VLOOKUP(record[[#This Row],[employeeID]],員工[],2,FALSE)</f>
        <v>謝蓁薰</v>
      </c>
    </row>
    <row r="5184" spans="6:19" hidden="1" x14ac:dyDescent="0.25">
      <c r="F5184" t="s">
        <v>1432</v>
      </c>
      <c r="G5184" t="s">
        <v>356</v>
      </c>
      <c r="H5184" t="str">
        <f>VLOOKUP(record[[#This Row],[ProcessSN]],表格2_7[],2,FALSE)</f>
        <v>30-4118-018-450</v>
      </c>
      <c r="I5184" t="str">
        <f>VLOOKUP(record[[#This Row],[ProcessSN]],表格2_7[],3,FALSE)</f>
        <v>#08</v>
      </c>
      <c r="J5184" t="s">
        <v>597</v>
      </c>
      <c r="K5184" s="195">
        <v>46028.428101851852</v>
      </c>
      <c r="L5184">
        <v>326</v>
      </c>
      <c r="M5184">
        <v>0</v>
      </c>
      <c r="N5184" s="98" t="str">
        <f>IF(record[[#This Row],[Memo]]="Browser:chrome os:android","平板報工",IF(record[[#This Row],[Memo]]=0,"委外",record[[#This Row],[Memo]]))</f>
        <v>委外</v>
      </c>
      <c r="P5184" t="s">
        <v>186</v>
      </c>
      <c r="Q5184" t="s">
        <v>287</v>
      </c>
      <c r="R5184" t="str">
        <f>IFERROR(VLOOKUP(record[[#This Row],[PCUSTID]],廠商[],2,FALSE),"")</f>
        <v>泉盛</v>
      </c>
      <c r="S5184" t="str">
        <f>VLOOKUP(record[[#This Row],[employeeID]],員工[],2,FALSE)</f>
        <v>許文姍</v>
      </c>
    </row>
    <row r="5185" spans="6:19" hidden="1" x14ac:dyDescent="0.25">
      <c r="F5185" t="s">
        <v>1430</v>
      </c>
      <c r="G5185" t="s">
        <v>397</v>
      </c>
      <c r="H5185" t="str">
        <f>VLOOKUP(record[[#This Row],[ProcessSN]],表格2_7[],2,FALSE)</f>
        <v>30-4118-018-550</v>
      </c>
      <c r="I5185" t="str">
        <f>VLOOKUP(record[[#This Row],[ProcessSN]],表格2_7[],3,FALSE)</f>
        <v>#08</v>
      </c>
      <c r="J5185" t="s">
        <v>597</v>
      </c>
      <c r="K5185" s="195">
        <v>46028.427997685183</v>
      </c>
      <c r="L5185">
        <v>163</v>
      </c>
      <c r="M5185">
        <v>0</v>
      </c>
      <c r="N5185" s="98" t="str">
        <f>IF(record[[#This Row],[Memo]]="Browser:chrome os:android","平板報工",IF(record[[#This Row],[Memo]]=0,"委外",record[[#This Row],[Memo]]))</f>
        <v>委外</v>
      </c>
      <c r="P5185" t="s">
        <v>186</v>
      </c>
      <c r="Q5185" t="s">
        <v>287</v>
      </c>
      <c r="R5185" t="str">
        <f>IFERROR(VLOOKUP(record[[#This Row],[PCUSTID]],廠商[],2,FALSE),"")</f>
        <v>泉盛</v>
      </c>
      <c r="S5185" t="str">
        <f>VLOOKUP(record[[#This Row],[employeeID]],員工[],2,FALSE)</f>
        <v>許文姍</v>
      </c>
    </row>
    <row r="5186" spans="6:19" hidden="1" x14ac:dyDescent="0.25">
      <c r="F5186" t="s">
        <v>1432</v>
      </c>
      <c r="G5186" t="s">
        <v>355</v>
      </c>
      <c r="H5186" t="str">
        <f>VLOOKUP(record[[#This Row],[ProcessSN]],表格2_7[],2,FALSE)</f>
        <v>30-4118-018-450</v>
      </c>
      <c r="I5186" t="str">
        <f>VLOOKUP(record[[#This Row],[ProcessSN]],表格2_7[],3,FALSE)</f>
        <v>#08PICK</v>
      </c>
      <c r="J5186" t="s">
        <v>582</v>
      </c>
      <c r="K5186" s="195">
        <v>46028.427800925929</v>
      </c>
      <c r="L5186">
        <v>326</v>
      </c>
      <c r="M5186">
        <v>0</v>
      </c>
      <c r="N5186" s="98" t="str">
        <f>IF(record[[#This Row],[Memo]]="Browser:chrome os:android","平板報工",IF(record[[#This Row],[Memo]]=0,"委外",record[[#This Row],[Memo]]))</f>
        <v/>
      </c>
      <c r="O5186" t="s">
        <v>58</v>
      </c>
      <c r="P5186" t="s">
        <v>186</v>
      </c>
      <c r="Q5186" t="s">
        <v>58</v>
      </c>
      <c r="R5186" t="str">
        <f>IFERROR(VLOOKUP(record[[#This Row],[PCUSTID]],廠商[],2,FALSE),"")</f>
        <v/>
      </c>
      <c r="S5186" t="str">
        <f>VLOOKUP(record[[#This Row],[employeeID]],員工[],2,FALSE)</f>
        <v>許文姍</v>
      </c>
    </row>
    <row r="5187" spans="6:19" hidden="1" x14ac:dyDescent="0.25">
      <c r="F5187" t="s">
        <v>1430</v>
      </c>
      <c r="G5187" t="s">
        <v>396</v>
      </c>
      <c r="H5187" t="str">
        <f>VLOOKUP(record[[#This Row],[ProcessSN]],表格2_7[],2,FALSE)</f>
        <v>30-4118-018-550</v>
      </c>
      <c r="I5187" t="str">
        <f>VLOOKUP(record[[#This Row],[ProcessSN]],表格2_7[],3,FALSE)</f>
        <v>#08PICK</v>
      </c>
      <c r="J5187" t="s">
        <v>582</v>
      </c>
      <c r="K5187" s="195">
        <v>46028.42765046296</v>
      </c>
      <c r="L5187">
        <v>163</v>
      </c>
      <c r="M5187">
        <v>0</v>
      </c>
      <c r="N5187" s="98" t="str">
        <f>IF(record[[#This Row],[Memo]]="Browser:chrome os:android","平板報工",IF(record[[#This Row],[Memo]]=0,"委外",record[[#This Row],[Memo]]))</f>
        <v>163</v>
      </c>
      <c r="O5187" t="s">
        <v>1431</v>
      </c>
      <c r="P5187" t="s">
        <v>186</v>
      </c>
      <c r="Q5187" t="s">
        <v>58</v>
      </c>
      <c r="R5187" t="str">
        <f>IFERROR(VLOOKUP(record[[#This Row],[PCUSTID]],廠商[],2,FALSE),"")</f>
        <v/>
      </c>
      <c r="S5187" t="str">
        <f>VLOOKUP(record[[#This Row],[employeeID]],員工[],2,FALSE)</f>
        <v>許文姍</v>
      </c>
    </row>
    <row r="5188" spans="6:19" hidden="1" x14ac:dyDescent="0.25">
      <c r="F5188" t="s">
        <v>1380</v>
      </c>
      <c r="G5188" t="s">
        <v>378</v>
      </c>
      <c r="H5188" t="str">
        <f>VLOOKUP(record[[#This Row],[ProcessSN]],表格2_7[],2,FALSE)</f>
        <v>30-4118-018-4XX</v>
      </c>
      <c r="I5188" t="str">
        <f>VLOOKUP(record[[#This Row],[ProcessSN]],表格2_7[],3,FALSE)</f>
        <v>#07QC</v>
      </c>
      <c r="J5188" t="s">
        <v>589</v>
      </c>
      <c r="K5188" s="195">
        <v>46028.425474537034</v>
      </c>
      <c r="L5188">
        <v>0</v>
      </c>
      <c r="M5188">
        <v>4</v>
      </c>
      <c r="N5188" s="98" t="str">
        <f>IF(record[[#This Row],[Memo]]="Browser:chrome os:android","平板報工",IF(record[[#This Row],[Memo]]=0,"委外",record[[#This Row],[Memo]]))</f>
        <v/>
      </c>
      <c r="O5188" t="s">
        <v>58</v>
      </c>
      <c r="P5188" t="s">
        <v>141</v>
      </c>
      <c r="Q5188" t="s">
        <v>58</v>
      </c>
      <c r="R5188" t="str">
        <f>IFERROR(VLOOKUP(record[[#This Row],[PCUSTID]],廠商[],2,FALSE),"")</f>
        <v/>
      </c>
      <c r="S5188" t="str">
        <f>VLOOKUP(record[[#This Row],[employeeID]],員工[],2,FALSE)</f>
        <v>蔣梅</v>
      </c>
    </row>
    <row r="5189" spans="6:19" hidden="1" x14ac:dyDescent="0.25">
      <c r="F5189" t="s">
        <v>1380</v>
      </c>
      <c r="G5189" t="s">
        <v>377</v>
      </c>
      <c r="H5189" t="str">
        <f>VLOOKUP(record[[#This Row],[ProcessSN]],表格2_7[],2,FALSE)</f>
        <v>30-4118-018-4XX</v>
      </c>
      <c r="I5189" t="str">
        <f>VLOOKUP(record[[#This Row],[ProcessSN]],表格2_7[],3,FALSE)</f>
        <v>#07</v>
      </c>
      <c r="J5189" t="s">
        <v>588</v>
      </c>
      <c r="K5189" s="195">
        <v>46028.424513888887</v>
      </c>
      <c r="L5189">
        <v>2</v>
      </c>
      <c r="M5189">
        <v>0</v>
      </c>
      <c r="N5189" s="98" t="str">
        <f>IF(record[[#This Row],[Memo]]="Browser:chrome os:android","平板報工",IF(record[[#This Row],[Memo]]=0,"委外",record[[#This Row],[Memo]]))</f>
        <v/>
      </c>
      <c r="O5189" t="s">
        <v>58</v>
      </c>
      <c r="P5189" t="s">
        <v>789</v>
      </c>
      <c r="Q5189" t="s">
        <v>58</v>
      </c>
      <c r="R5189" t="str">
        <f>IFERROR(VLOOKUP(record[[#This Row],[PCUSTID]],廠商[],2,FALSE),"")</f>
        <v/>
      </c>
      <c r="S5189" t="str">
        <f>VLOOKUP(record[[#This Row],[employeeID]],員工[],2,FALSE)</f>
        <v>張月霞</v>
      </c>
    </row>
    <row r="5190" spans="6:19" hidden="1" x14ac:dyDescent="0.25">
      <c r="F5190" t="s">
        <v>1380</v>
      </c>
      <c r="G5190" t="s">
        <v>376</v>
      </c>
      <c r="H5190" t="str">
        <f>VLOOKUP(record[[#This Row],[ProcessSN]],表格2_7[],2,FALSE)</f>
        <v>30-4118-018-4XX</v>
      </c>
      <c r="I5190" t="str">
        <f>VLOOKUP(record[[#This Row],[ProcessSN]],表格2_7[],3,FALSE)</f>
        <v>#06</v>
      </c>
      <c r="J5190" t="s">
        <v>593</v>
      </c>
      <c r="K5190" s="195">
        <v>46028.424363425926</v>
      </c>
      <c r="L5190">
        <v>2</v>
      </c>
      <c r="M5190">
        <v>0</v>
      </c>
      <c r="N5190" s="98" t="str">
        <f>IF(record[[#This Row],[Memo]]="Browser:chrome os:android","平板報工",IF(record[[#This Row],[Memo]]=0,"委外",record[[#This Row],[Memo]]))</f>
        <v/>
      </c>
      <c r="O5190" t="s">
        <v>58</v>
      </c>
      <c r="P5190" t="s">
        <v>789</v>
      </c>
      <c r="Q5190" t="s">
        <v>58</v>
      </c>
      <c r="R5190" t="str">
        <f>IFERROR(VLOOKUP(record[[#This Row],[PCUSTID]],廠商[],2,FALSE),"")</f>
        <v/>
      </c>
      <c r="S5190" t="str">
        <f>VLOOKUP(record[[#This Row],[employeeID]],員工[],2,FALSE)</f>
        <v>張月霞</v>
      </c>
    </row>
    <row r="5191" spans="6:19" hidden="1" x14ac:dyDescent="0.25">
      <c r="F5191" t="s">
        <v>1380</v>
      </c>
      <c r="G5191" t="s">
        <v>375</v>
      </c>
      <c r="H5191" t="str">
        <f>VLOOKUP(record[[#This Row],[ProcessSN]],表格2_7[],2,FALSE)</f>
        <v>30-4118-018-4XX</v>
      </c>
      <c r="I5191" t="str">
        <f>VLOOKUP(record[[#This Row],[ProcessSN]],表格2_7[],3,FALSE)</f>
        <v>#05</v>
      </c>
      <c r="J5191" t="s">
        <v>588</v>
      </c>
      <c r="K5191" s="195">
        <v>46028.424247685187</v>
      </c>
      <c r="L5191">
        <v>2</v>
      </c>
      <c r="M5191">
        <v>0</v>
      </c>
      <c r="N5191" s="98" t="str">
        <f>IF(record[[#This Row],[Memo]]="Browser:chrome os:android","平板報工",IF(record[[#This Row],[Memo]]=0,"委外",record[[#This Row],[Memo]]))</f>
        <v/>
      </c>
      <c r="O5191" t="s">
        <v>58</v>
      </c>
      <c r="P5191" t="s">
        <v>789</v>
      </c>
      <c r="Q5191" t="s">
        <v>58</v>
      </c>
      <c r="R5191" t="str">
        <f>IFERROR(VLOOKUP(record[[#This Row],[PCUSTID]],廠商[],2,FALSE),"")</f>
        <v/>
      </c>
      <c r="S5191" t="str">
        <f>VLOOKUP(record[[#This Row],[employeeID]],員工[],2,FALSE)</f>
        <v>張月霞</v>
      </c>
    </row>
    <row r="5192" spans="6:19" hidden="1" x14ac:dyDescent="0.25">
      <c r="F5192" t="s">
        <v>1380</v>
      </c>
      <c r="G5192" t="s">
        <v>374</v>
      </c>
      <c r="H5192" t="str">
        <f>VLOOKUP(record[[#This Row],[ProcessSN]],表格2_7[],2,FALSE)</f>
        <v>30-4118-018-4XX</v>
      </c>
      <c r="I5192" t="str">
        <f>VLOOKUP(record[[#This Row],[ProcessSN]],表格2_7[],3,FALSE)</f>
        <v>#04</v>
      </c>
      <c r="J5192" t="s">
        <v>588</v>
      </c>
      <c r="K5192" s="195">
        <v>46028.424131944441</v>
      </c>
      <c r="L5192">
        <v>2</v>
      </c>
      <c r="M5192">
        <v>0</v>
      </c>
      <c r="N5192" s="98" t="str">
        <f>IF(record[[#This Row],[Memo]]="Browser:chrome os:android","平板報工",IF(record[[#This Row],[Memo]]=0,"委外",record[[#This Row],[Memo]]))</f>
        <v/>
      </c>
      <c r="O5192" t="s">
        <v>58</v>
      </c>
      <c r="P5192" t="s">
        <v>789</v>
      </c>
      <c r="Q5192" t="s">
        <v>58</v>
      </c>
      <c r="R5192" t="str">
        <f>IFERROR(VLOOKUP(record[[#This Row],[PCUSTID]],廠商[],2,FALSE),"")</f>
        <v/>
      </c>
      <c r="S5192" t="str">
        <f>VLOOKUP(record[[#This Row],[employeeID]],員工[],2,FALSE)</f>
        <v>張月霞</v>
      </c>
    </row>
    <row r="5193" spans="6:19" hidden="1" x14ac:dyDescent="0.25">
      <c r="F5193" t="s">
        <v>1380</v>
      </c>
      <c r="G5193" t="s">
        <v>373</v>
      </c>
      <c r="H5193" t="str">
        <f>VLOOKUP(record[[#This Row],[ProcessSN]],表格2_7[],2,FALSE)</f>
        <v>30-4118-018-4XX</v>
      </c>
      <c r="I5193" t="str">
        <f>VLOOKUP(record[[#This Row],[ProcessSN]],表格2_7[],3,FALSE)</f>
        <v>#03</v>
      </c>
      <c r="J5193" t="s">
        <v>588</v>
      </c>
      <c r="K5193" s="195">
        <v>46028.423981481479</v>
      </c>
      <c r="L5193">
        <v>354</v>
      </c>
      <c r="M5193">
        <v>0</v>
      </c>
      <c r="N5193" s="98" t="str">
        <f>IF(record[[#This Row],[Memo]]="Browser:chrome os:android","平板報工",IF(record[[#This Row],[Memo]]=0,"委外",record[[#This Row],[Memo]]))</f>
        <v>12/23</v>
      </c>
      <c r="O5193" t="s">
        <v>1429</v>
      </c>
      <c r="P5193" t="s">
        <v>789</v>
      </c>
      <c r="Q5193" t="s">
        <v>58</v>
      </c>
      <c r="R5193" t="str">
        <f>IFERROR(VLOOKUP(record[[#This Row],[PCUSTID]],廠商[],2,FALSE),"")</f>
        <v/>
      </c>
      <c r="S5193" t="str">
        <f>VLOOKUP(record[[#This Row],[employeeID]],員工[],2,FALSE)</f>
        <v>張月霞</v>
      </c>
    </row>
    <row r="5194" spans="6:19" hidden="1" x14ac:dyDescent="0.25">
      <c r="F5194" t="s">
        <v>1101</v>
      </c>
      <c r="G5194" t="s">
        <v>378</v>
      </c>
      <c r="H5194" t="str">
        <f>VLOOKUP(record[[#This Row],[ProcessSN]],表格2_7[],2,FALSE)</f>
        <v>30-4118-018-4XX</v>
      </c>
      <c r="I5194" t="str">
        <f>VLOOKUP(record[[#This Row],[ProcessSN]],表格2_7[],3,FALSE)</f>
        <v>#07QC</v>
      </c>
      <c r="J5194" t="s">
        <v>589</v>
      </c>
      <c r="K5194" s="195">
        <v>46028.423946759256</v>
      </c>
      <c r="L5194">
        <v>9</v>
      </c>
      <c r="M5194">
        <v>0</v>
      </c>
      <c r="N5194" s="98" t="str">
        <f>IF(record[[#This Row],[Memo]]="Browser:chrome os:android","平板報工",IF(record[[#This Row],[Memo]]=0,"委外",record[[#This Row],[Memo]]))</f>
        <v/>
      </c>
      <c r="O5194" t="s">
        <v>58</v>
      </c>
      <c r="P5194" t="s">
        <v>141</v>
      </c>
      <c r="Q5194" t="s">
        <v>58</v>
      </c>
      <c r="R5194" t="str">
        <f>IFERROR(VLOOKUP(record[[#This Row],[PCUSTID]],廠商[],2,FALSE),"")</f>
        <v/>
      </c>
      <c r="S5194" t="str">
        <f>VLOOKUP(record[[#This Row],[employeeID]],員工[],2,FALSE)</f>
        <v>蔣梅</v>
      </c>
    </row>
    <row r="5195" spans="6:19" hidden="1" x14ac:dyDescent="0.25">
      <c r="F5195" t="s">
        <v>1380</v>
      </c>
      <c r="G5195" t="s">
        <v>378</v>
      </c>
      <c r="H5195" t="str">
        <f>VLOOKUP(record[[#This Row],[ProcessSN]],表格2_7[],2,FALSE)</f>
        <v>30-4118-018-4XX</v>
      </c>
      <c r="I5195" t="str">
        <f>VLOOKUP(record[[#This Row],[ProcessSN]],表格2_7[],3,FALSE)</f>
        <v>#07QC</v>
      </c>
      <c r="J5195" t="s">
        <v>589</v>
      </c>
      <c r="K5195" s="195">
        <v>46028.423321759263</v>
      </c>
      <c r="L5195">
        <v>163</v>
      </c>
      <c r="M5195">
        <v>0</v>
      </c>
      <c r="N5195" s="98" t="str">
        <f>IF(record[[#This Row],[Memo]]="Browser:chrome os:android","平板報工",IF(record[[#This Row],[Memo]]=0,"委外",record[[#This Row],[Memo]]))</f>
        <v/>
      </c>
      <c r="O5195" t="s">
        <v>58</v>
      </c>
      <c r="P5195" t="s">
        <v>141</v>
      </c>
      <c r="Q5195" t="s">
        <v>58</v>
      </c>
      <c r="R5195" t="str">
        <f>IFERROR(VLOOKUP(record[[#This Row],[PCUSTID]],廠商[],2,FALSE),"")</f>
        <v/>
      </c>
      <c r="S5195" t="str">
        <f>VLOOKUP(record[[#This Row],[employeeID]],員工[],2,FALSE)</f>
        <v>蔣梅</v>
      </c>
    </row>
    <row r="5196" spans="6:19" hidden="1" x14ac:dyDescent="0.25">
      <c r="F5196" t="s">
        <v>1339</v>
      </c>
      <c r="G5196" t="s">
        <v>378</v>
      </c>
      <c r="H5196" t="str">
        <f>VLOOKUP(record[[#This Row],[ProcessSN]],表格2_7[],2,FALSE)</f>
        <v>30-4118-018-4XX</v>
      </c>
      <c r="I5196" t="str">
        <f>VLOOKUP(record[[#This Row],[ProcessSN]],表格2_7[],3,FALSE)</f>
        <v>#07QC</v>
      </c>
      <c r="J5196" t="s">
        <v>589</v>
      </c>
      <c r="K5196" s="195">
        <v>46028.422546296293</v>
      </c>
      <c r="L5196">
        <v>154</v>
      </c>
      <c r="M5196">
        <v>0</v>
      </c>
      <c r="N5196" s="98" t="str">
        <f>IF(record[[#This Row],[Memo]]="Browser:chrome os:android","平板報工",IF(record[[#This Row],[Memo]]=0,"委外",record[[#This Row],[Memo]]))</f>
        <v/>
      </c>
      <c r="O5196" t="s">
        <v>58</v>
      </c>
      <c r="P5196" t="s">
        <v>141</v>
      </c>
      <c r="Q5196" t="s">
        <v>58</v>
      </c>
      <c r="R5196" t="str">
        <f>IFERROR(VLOOKUP(record[[#This Row],[PCUSTID]],廠商[],2,FALSE),"")</f>
        <v/>
      </c>
      <c r="S5196" t="str">
        <f>VLOOKUP(record[[#This Row],[employeeID]],員工[],2,FALSE)</f>
        <v>蔣梅</v>
      </c>
    </row>
    <row r="5197" spans="6:19" hidden="1" x14ac:dyDescent="0.25">
      <c r="F5197" t="s">
        <v>1406</v>
      </c>
      <c r="G5197" t="s">
        <v>467</v>
      </c>
      <c r="H5197" t="str">
        <f>VLOOKUP(record[[#This Row],[ProcessSN]],表格2_7[],2,FALSE)</f>
        <v>30-4118-018-XXX</v>
      </c>
      <c r="I5197" t="str">
        <f>VLOOKUP(record[[#This Row],[ProcessSN]],表格2_7[],3,FALSE)</f>
        <v>#01QC</v>
      </c>
      <c r="J5197" t="s">
        <v>589</v>
      </c>
      <c r="K5197" s="195">
        <v>46028.352824074071</v>
      </c>
      <c r="L5197">
        <v>151</v>
      </c>
      <c r="M5197">
        <v>0</v>
      </c>
      <c r="N5197" s="98" t="str">
        <f>IF(record[[#This Row],[Memo]]="Browser:chrome os:android","平板報工",IF(record[[#This Row],[Memo]]=0,"委外",record[[#This Row],[Memo]]))</f>
        <v>平板報工</v>
      </c>
      <c r="O5197" t="s">
        <v>643</v>
      </c>
      <c r="P5197" t="s">
        <v>182</v>
      </c>
      <c r="Q5197" t="s">
        <v>644</v>
      </c>
      <c r="R5197" t="str">
        <f>IFERROR(VLOOKUP(record[[#This Row],[PCUSTID]],廠商[],2,FALSE),"")</f>
        <v/>
      </c>
      <c r="S5197" t="str">
        <f>VLOOKUP(record[[#This Row],[employeeID]],員工[],2,FALSE)</f>
        <v>梅氏和</v>
      </c>
    </row>
    <row r="5198" spans="6:19" hidden="1" x14ac:dyDescent="0.25">
      <c r="F5198" t="s">
        <v>1385</v>
      </c>
      <c r="G5198" t="s">
        <v>467</v>
      </c>
      <c r="H5198" t="str">
        <f>VLOOKUP(record[[#This Row],[ProcessSN]],表格2_7[],2,FALSE)</f>
        <v>30-4118-018-XXX</v>
      </c>
      <c r="I5198" t="str">
        <f>VLOOKUP(record[[#This Row],[ProcessSN]],表格2_7[],3,FALSE)</f>
        <v>#01QC</v>
      </c>
      <c r="J5198" t="s">
        <v>589</v>
      </c>
      <c r="K5198" s="195">
        <v>46028.352118055554</v>
      </c>
      <c r="L5198">
        <v>168</v>
      </c>
      <c r="M5198">
        <v>0</v>
      </c>
      <c r="N5198" s="98" t="str">
        <f>IF(record[[#This Row],[Memo]]="Browser:chrome os:android","平板報工",IF(record[[#This Row],[Memo]]=0,"委外",record[[#This Row],[Memo]]))</f>
        <v>平板報工</v>
      </c>
      <c r="O5198" t="s">
        <v>643</v>
      </c>
      <c r="P5198" t="s">
        <v>182</v>
      </c>
      <c r="Q5198" t="s">
        <v>644</v>
      </c>
      <c r="R5198" t="str">
        <f>IFERROR(VLOOKUP(record[[#This Row],[PCUSTID]],廠商[],2,FALSE),"")</f>
        <v/>
      </c>
      <c r="S5198" t="str">
        <f>VLOOKUP(record[[#This Row],[employeeID]],員工[],2,FALSE)</f>
        <v>梅氏和</v>
      </c>
    </row>
    <row r="5199" spans="6:19" hidden="1" x14ac:dyDescent="0.25">
      <c r="F5199" t="s">
        <v>1381</v>
      </c>
      <c r="G5199" t="s">
        <v>417</v>
      </c>
      <c r="H5199" t="str">
        <f>VLOOKUP(record[[#This Row],[ProcessSN]],表格2_7[],2,FALSE)</f>
        <v>30-4118-018-5XX</v>
      </c>
      <c r="I5199" t="str">
        <f>VLOOKUP(record[[#This Row],[ProcessSN]],表格2_7[],3,FALSE)</f>
        <v>#06</v>
      </c>
      <c r="J5199" t="s">
        <v>593</v>
      </c>
      <c r="K5199" s="195">
        <v>46028.319236111114</v>
      </c>
      <c r="L5199">
        <v>129</v>
      </c>
      <c r="M5199">
        <v>1</v>
      </c>
      <c r="N5199" s="98" t="str">
        <f>IF(record[[#This Row],[Memo]]="Browser:chrome os:android","平板報工",IF(record[[#This Row],[Memo]]=0,"委外",record[[#This Row],[Memo]]))</f>
        <v/>
      </c>
      <c r="O5199" t="s">
        <v>58</v>
      </c>
      <c r="P5199" t="s">
        <v>806</v>
      </c>
      <c r="Q5199" t="s">
        <v>58</v>
      </c>
      <c r="R5199" t="str">
        <f>IFERROR(VLOOKUP(record[[#This Row],[PCUSTID]],廠商[],2,FALSE),"")</f>
        <v/>
      </c>
      <c r="S5199" t="str">
        <f>VLOOKUP(record[[#This Row],[employeeID]],員工[],2,FALSE)</f>
        <v>方思緯</v>
      </c>
    </row>
    <row r="5200" spans="6:19" hidden="1" x14ac:dyDescent="0.25">
      <c r="F5200" t="s">
        <v>1380</v>
      </c>
      <c r="G5200" t="s">
        <v>377</v>
      </c>
      <c r="H5200" t="str">
        <f>VLOOKUP(record[[#This Row],[ProcessSN]],表格2_7[],2,FALSE)</f>
        <v>30-4118-018-4XX</v>
      </c>
      <c r="I5200" t="str">
        <f>VLOOKUP(record[[#This Row],[ProcessSN]],表格2_7[],3,FALSE)</f>
        <v>#07</v>
      </c>
      <c r="J5200" t="s">
        <v>588</v>
      </c>
      <c r="K5200" s="195">
        <v>46028.315636574072</v>
      </c>
      <c r="L5200">
        <v>117</v>
      </c>
      <c r="M5200">
        <v>0</v>
      </c>
      <c r="N5200" s="98" t="str">
        <f>IF(record[[#This Row],[Memo]]="Browser:chrome os:android","平板報工",IF(record[[#This Row],[Memo]]=0,"委外",record[[#This Row],[Memo]]))</f>
        <v/>
      </c>
      <c r="O5200" t="s">
        <v>58</v>
      </c>
      <c r="P5200" t="s">
        <v>843</v>
      </c>
      <c r="Q5200" t="s">
        <v>58</v>
      </c>
      <c r="R5200" t="str">
        <f>IFERROR(VLOOKUP(record[[#This Row],[PCUSTID]],廠商[],2,FALSE),"")</f>
        <v/>
      </c>
      <c r="S5200" t="str">
        <f>VLOOKUP(record[[#This Row],[employeeID]],員工[],2,FALSE)</f>
        <v>張楚承</v>
      </c>
    </row>
    <row r="5201" spans="6:19" hidden="1" x14ac:dyDescent="0.25">
      <c r="F5201" t="s">
        <v>1381</v>
      </c>
      <c r="G5201" t="s">
        <v>416</v>
      </c>
      <c r="H5201" t="str">
        <f>VLOOKUP(record[[#This Row],[ProcessSN]],表格2_7[],2,FALSE)</f>
        <v>30-4118-018-5XX</v>
      </c>
      <c r="I5201" t="str">
        <f>VLOOKUP(record[[#This Row],[ProcessSN]],表格2_7[],3,FALSE)</f>
        <v>#05</v>
      </c>
      <c r="J5201" t="s">
        <v>588</v>
      </c>
      <c r="K5201" s="195">
        <v>46028.315347222226</v>
      </c>
      <c r="L5201">
        <v>194</v>
      </c>
      <c r="M5201">
        <v>0</v>
      </c>
      <c r="N5201" s="98" t="str">
        <f>IF(record[[#This Row],[Memo]]="Browser:chrome os:android","平板報工",IF(record[[#This Row],[Memo]]=0,"委外",record[[#This Row],[Memo]]))</f>
        <v/>
      </c>
      <c r="O5201" t="s">
        <v>58</v>
      </c>
      <c r="P5201" t="s">
        <v>843</v>
      </c>
      <c r="Q5201" t="s">
        <v>58</v>
      </c>
      <c r="R5201" t="str">
        <f>IFERROR(VLOOKUP(record[[#This Row],[PCUSTID]],廠商[],2,FALSE),"")</f>
        <v/>
      </c>
      <c r="S5201" t="str">
        <f>VLOOKUP(record[[#This Row],[employeeID]],員工[],2,FALSE)</f>
        <v>張楚承</v>
      </c>
    </row>
    <row r="5202" spans="6:19" hidden="1" x14ac:dyDescent="0.25">
      <c r="F5202" t="s">
        <v>1381</v>
      </c>
      <c r="G5202" t="s">
        <v>415</v>
      </c>
      <c r="H5202" t="str">
        <f>VLOOKUP(record[[#This Row],[ProcessSN]],表格2_7[],2,FALSE)</f>
        <v>30-4118-018-5XX</v>
      </c>
      <c r="I5202" t="str">
        <f>VLOOKUP(record[[#This Row],[ProcessSN]],表格2_7[],3,FALSE)</f>
        <v>#04</v>
      </c>
      <c r="J5202" t="s">
        <v>588</v>
      </c>
      <c r="K5202" s="195">
        <v>46028.314363425925</v>
      </c>
      <c r="L5202">
        <v>149</v>
      </c>
      <c r="M5202">
        <v>1</v>
      </c>
      <c r="N5202" s="98" t="str">
        <f>IF(record[[#This Row],[Memo]]="Browser:chrome os:android","平板報工",IF(record[[#This Row],[Memo]]=0,"委外",record[[#This Row],[Memo]]))</f>
        <v/>
      </c>
      <c r="O5202" t="s">
        <v>58</v>
      </c>
      <c r="P5202" t="s">
        <v>135</v>
      </c>
      <c r="Q5202" t="s">
        <v>58</v>
      </c>
      <c r="R5202" t="str">
        <f>IFERROR(VLOOKUP(record[[#This Row],[PCUSTID]],廠商[],2,FALSE),"")</f>
        <v/>
      </c>
      <c r="S5202" t="str">
        <f>VLOOKUP(record[[#This Row],[employeeID]],員工[],2,FALSE)</f>
        <v>阮士文</v>
      </c>
    </row>
    <row r="5203" spans="6:19" hidden="1" x14ac:dyDescent="0.25">
      <c r="F5203" t="s">
        <v>1381</v>
      </c>
      <c r="G5203" t="s">
        <v>417</v>
      </c>
      <c r="H5203" t="str">
        <f>VLOOKUP(record[[#This Row],[ProcessSN]],表格2_7[],2,FALSE)</f>
        <v>30-4118-018-5XX</v>
      </c>
      <c r="I5203" t="str">
        <f>VLOOKUP(record[[#This Row],[ProcessSN]],表格2_7[],3,FALSE)</f>
        <v>#06</v>
      </c>
      <c r="J5203" t="s">
        <v>593</v>
      </c>
      <c r="K5203" s="195">
        <v>46027.995787037034</v>
      </c>
      <c r="L5203">
        <v>125</v>
      </c>
      <c r="M5203">
        <v>0</v>
      </c>
      <c r="N5203" s="98" t="str">
        <f>IF(record[[#This Row],[Memo]]="Browser:chrome os:android","平板報工",IF(record[[#This Row],[Memo]]=0,"委外",record[[#This Row],[Memo]]))</f>
        <v/>
      </c>
      <c r="O5203" t="s">
        <v>58</v>
      </c>
      <c r="P5203" t="s">
        <v>176</v>
      </c>
      <c r="Q5203" t="s">
        <v>58</v>
      </c>
      <c r="R5203" t="str">
        <f>IFERROR(VLOOKUP(record[[#This Row],[PCUSTID]],廠商[],2,FALSE),"")</f>
        <v/>
      </c>
      <c r="S5203" t="str">
        <f>VLOOKUP(record[[#This Row],[employeeID]],員工[],2,FALSE)</f>
        <v>郭政雄</v>
      </c>
    </row>
    <row r="5204" spans="6:19" hidden="1" x14ac:dyDescent="0.25">
      <c r="F5204" t="s">
        <v>1380</v>
      </c>
      <c r="G5204" t="s">
        <v>377</v>
      </c>
      <c r="H5204" t="str">
        <f>VLOOKUP(record[[#This Row],[ProcessSN]],表格2_7[],2,FALSE)</f>
        <v>30-4118-018-4XX</v>
      </c>
      <c r="I5204" t="str">
        <f>VLOOKUP(record[[#This Row],[ProcessSN]],表格2_7[],3,FALSE)</f>
        <v>#07</v>
      </c>
      <c r="J5204" t="s">
        <v>588</v>
      </c>
      <c r="K5204" s="195">
        <v>46027.994629629633</v>
      </c>
      <c r="L5204">
        <v>48</v>
      </c>
      <c r="M5204">
        <v>1</v>
      </c>
      <c r="N5204" s="98" t="str">
        <f>IF(record[[#This Row],[Memo]]="Browser:chrome os:android","平板報工",IF(record[[#This Row],[Memo]]=0,"委外",record[[#This Row],[Memo]]))</f>
        <v/>
      </c>
      <c r="O5204" t="s">
        <v>58</v>
      </c>
      <c r="P5204" t="s">
        <v>89</v>
      </c>
      <c r="Q5204" t="s">
        <v>58</v>
      </c>
      <c r="R5204" t="str">
        <f>IFERROR(VLOOKUP(record[[#This Row],[PCUSTID]],廠商[],2,FALSE),"")</f>
        <v/>
      </c>
      <c r="S5204" t="str">
        <f>VLOOKUP(record[[#This Row],[employeeID]],員工[],2,FALSE)</f>
        <v>李美蓮</v>
      </c>
    </row>
    <row r="5205" spans="6:19" hidden="1" x14ac:dyDescent="0.25">
      <c r="F5205" t="s">
        <v>1339</v>
      </c>
      <c r="G5205" t="s">
        <v>377</v>
      </c>
      <c r="H5205" t="str">
        <f>VLOOKUP(record[[#This Row],[ProcessSN]],表格2_7[],2,FALSE)</f>
        <v>30-4118-018-4XX</v>
      </c>
      <c r="I5205" t="str">
        <f>VLOOKUP(record[[#This Row],[ProcessSN]],表格2_7[],3,FALSE)</f>
        <v>#07</v>
      </c>
      <c r="J5205" t="s">
        <v>588</v>
      </c>
      <c r="K5205" s="195">
        <v>46027.994409722225</v>
      </c>
      <c r="L5205">
        <v>66</v>
      </c>
      <c r="M5205">
        <v>0</v>
      </c>
      <c r="N5205" s="98" t="str">
        <f>IF(record[[#This Row],[Memo]]="Browser:chrome os:android","平板報工",IF(record[[#This Row],[Memo]]=0,"委外",record[[#This Row],[Memo]]))</f>
        <v/>
      </c>
      <c r="O5205" t="s">
        <v>58</v>
      </c>
      <c r="P5205" t="s">
        <v>89</v>
      </c>
      <c r="Q5205" t="s">
        <v>58</v>
      </c>
      <c r="R5205" t="str">
        <f>IFERROR(VLOOKUP(record[[#This Row],[PCUSTID]],廠商[],2,FALSE),"")</f>
        <v/>
      </c>
      <c r="S5205" t="str">
        <f>VLOOKUP(record[[#This Row],[employeeID]],員工[],2,FALSE)</f>
        <v>李美蓮</v>
      </c>
    </row>
    <row r="5206" spans="6:19" hidden="1" x14ac:dyDescent="0.25">
      <c r="F5206" t="s">
        <v>1381</v>
      </c>
      <c r="G5206" t="s">
        <v>416</v>
      </c>
      <c r="H5206" t="str">
        <f>VLOOKUP(record[[#This Row],[ProcessSN]],表格2_7[],2,FALSE)</f>
        <v>30-4118-018-5XX</v>
      </c>
      <c r="I5206" t="str">
        <f>VLOOKUP(record[[#This Row],[ProcessSN]],表格2_7[],3,FALSE)</f>
        <v>#05</v>
      </c>
      <c r="J5206" t="s">
        <v>588</v>
      </c>
      <c r="K5206" s="195">
        <v>46027.987557870372</v>
      </c>
      <c r="L5206">
        <v>160</v>
      </c>
      <c r="M5206">
        <v>4</v>
      </c>
      <c r="N5206" s="98" t="str">
        <f>IF(record[[#This Row],[Memo]]="Browser:chrome os:android","平板報工",IF(record[[#This Row],[Memo]]=0,"委外",record[[#This Row],[Memo]]))</f>
        <v/>
      </c>
      <c r="O5206" t="s">
        <v>58</v>
      </c>
      <c r="P5206" t="s">
        <v>89</v>
      </c>
      <c r="Q5206" t="s">
        <v>58</v>
      </c>
      <c r="R5206" t="str">
        <f>IFERROR(VLOOKUP(record[[#This Row],[PCUSTID]],廠商[],2,FALSE),"")</f>
        <v/>
      </c>
      <c r="S5206" t="str">
        <f>VLOOKUP(record[[#This Row],[employeeID]],員工[],2,FALSE)</f>
        <v>李美蓮</v>
      </c>
    </row>
    <row r="5207" spans="6:19" hidden="1" x14ac:dyDescent="0.25">
      <c r="F5207" t="s">
        <v>1406</v>
      </c>
      <c r="G5207" t="s">
        <v>466</v>
      </c>
      <c r="H5207" t="str">
        <f>VLOOKUP(record[[#This Row],[ProcessSN]],表格2_7[],2,FALSE)</f>
        <v>30-4118-018-XXX</v>
      </c>
      <c r="I5207" t="str">
        <f>VLOOKUP(record[[#This Row],[ProcessSN]],表格2_7[],3,FALSE)</f>
        <v>#01-2</v>
      </c>
      <c r="J5207" t="s">
        <v>588</v>
      </c>
      <c r="K5207" s="195">
        <v>46027.986655092594</v>
      </c>
      <c r="L5207">
        <v>103</v>
      </c>
      <c r="M5207">
        <v>0</v>
      </c>
      <c r="N5207" s="98" t="str">
        <f>IF(record[[#This Row],[Memo]]="Browser:chrome os:android","平板報工",IF(record[[#This Row],[Memo]]=0,"委外",record[[#This Row],[Memo]]))</f>
        <v/>
      </c>
      <c r="O5207" t="s">
        <v>58</v>
      </c>
      <c r="P5207" t="s">
        <v>1098</v>
      </c>
      <c r="Q5207" t="s">
        <v>58</v>
      </c>
      <c r="R5207" t="str">
        <f>IFERROR(VLOOKUP(record[[#This Row],[PCUSTID]],廠商[],2,FALSE),"")</f>
        <v/>
      </c>
      <c r="S5207" t="str">
        <f>VLOOKUP(record[[#This Row],[employeeID]],員工[],2,FALSE)</f>
        <v>阮氏芳英(英)</v>
      </c>
    </row>
    <row r="5208" spans="6:19" hidden="1" x14ac:dyDescent="0.25">
      <c r="F5208" t="s">
        <v>1381</v>
      </c>
      <c r="G5208" t="s">
        <v>415</v>
      </c>
      <c r="H5208" t="str">
        <f>VLOOKUP(record[[#This Row],[ProcessSN]],表格2_7[],2,FALSE)</f>
        <v>30-4118-018-5XX</v>
      </c>
      <c r="I5208" t="str">
        <f>VLOOKUP(record[[#This Row],[ProcessSN]],表格2_7[],3,FALSE)</f>
        <v>#04</v>
      </c>
      <c r="J5208" t="s">
        <v>588</v>
      </c>
      <c r="K5208" s="195">
        <v>46027.985798611109</v>
      </c>
      <c r="L5208">
        <v>144</v>
      </c>
      <c r="M5208">
        <v>0</v>
      </c>
      <c r="N5208" s="98" t="str">
        <f>IF(record[[#This Row],[Memo]]="Browser:chrome os:android","平板報工",IF(record[[#This Row],[Memo]]=0,"委外",record[[#This Row],[Memo]]))</f>
        <v/>
      </c>
      <c r="O5208" t="s">
        <v>58</v>
      </c>
      <c r="P5208" t="s">
        <v>1098</v>
      </c>
      <c r="Q5208" t="s">
        <v>58</v>
      </c>
      <c r="R5208" t="str">
        <f>IFERROR(VLOOKUP(record[[#This Row],[PCUSTID]],廠商[],2,FALSE),"")</f>
        <v/>
      </c>
      <c r="S5208" t="str">
        <f>VLOOKUP(record[[#This Row],[employeeID]],員工[],2,FALSE)</f>
        <v>阮氏芳英(英)</v>
      </c>
    </row>
    <row r="5209" spans="6:19" hidden="1" x14ac:dyDescent="0.25">
      <c r="F5209" t="s">
        <v>1381</v>
      </c>
      <c r="G5209" t="s">
        <v>417</v>
      </c>
      <c r="H5209" t="str">
        <f>VLOOKUP(record[[#This Row],[ProcessSN]],表格2_7[],2,FALSE)</f>
        <v>30-4118-018-5XX</v>
      </c>
      <c r="I5209" t="str">
        <f>VLOOKUP(record[[#This Row],[ProcessSN]],表格2_7[],3,FALSE)</f>
        <v>#06</v>
      </c>
      <c r="J5209" t="s">
        <v>593</v>
      </c>
      <c r="K5209" s="195">
        <v>46027.974398148152</v>
      </c>
      <c r="L5209">
        <v>30</v>
      </c>
      <c r="M5209">
        <v>0</v>
      </c>
      <c r="N5209" s="98" t="str">
        <f>IF(record[[#This Row],[Memo]]="Browser:chrome os:android","平板報工",IF(record[[#This Row],[Memo]]=0,"委外",record[[#This Row],[Memo]]))</f>
        <v/>
      </c>
      <c r="O5209" t="s">
        <v>58</v>
      </c>
      <c r="P5209" t="s">
        <v>89</v>
      </c>
      <c r="Q5209" t="s">
        <v>58</v>
      </c>
      <c r="R5209" t="str">
        <f>IFERROR(VLOOKUP(record[[#This Row],[PCUSTID]],廠商[],2,FALSE),"")</f>
        <v/>
      </c>
      <c r="S5209" t="str">
        <f>VLOOKUP(record[[#This Row],[employeeID]],員工[],2,FALSE)</f>
        <v>李美蓮</v>
      </c>
    </row>
    <row r="5210" spans="6:19" hidden="1" x14ac:dyDescent="0.25">
      <c r="F5210" t="s">
        <v>1406</v>
      </c>
      <c r="G5210" t="s">
        <v>467</v>
      </c>
      <c r="H5210" t="str">
        <f>VLOOKUP(record[[#This Row],[ProcessSN]],表格2_7[],2,FALSE)</f>
        <v>30-4118-018-XXX</v>
      </c>
      <c r="I5210" t="str">
        <f>VLOOKUP(record[[#This Row],[ProcessSN]],表格2_7[],3,FALSE)</f>
        <v>#01QC</v>
      </c>
      <c r="J5210" t="s">
        <v>589</v>
      </c>
      <c r="K5210" s="195">
        <v>46027.813287037039</v>
      </c>
      <c r="L5210">
        <v>504</v>
      </c>
      <c r="M5210">
        <v>0</v>
      </c>
      <c r="N5210" s="98" t="str">
        <f>IF(record[[#This Row],[Memo]]="Browser:chrome os:android","平板報工",IF(record[[#This Row],[Memo]]=0,"委外",record[[#This Row],[Memo]]))</f>
        <v>平板報工</v>
      </c>
      <c r="O5210" t="s">
        <v>643</v>
      </c>
      <c r="P5210" t="s">
        <v>182</v>
      </c>
      <c r="Q5210" t="s">
        <v>644</v>
      </c>
      <c r="R5210" t="str">
        <f>IFERROR(VLOOKUP(record[[#This Row],[PCUSTID]],廠商[],2,FALSE),"")</f>
        <v/>
      </c>
      <c r="S5210" t="str">
        <f>VLOOKUP(record[[#This Row],[employeeID]],員工[],2,FALSE)</f>
        <v>梅氏和</v>
      </c>
    </row>
    <row r="5211" spans="6:19" hidden="1" x14ac:dyDescent="0.25">
      <c r="F5211" t="s">
        <v>1400</v>
      </c>
      <c r="G5211" t="s">
        <v>359</v>
      </c>
      <c r="H5211" t="str">
        <f>VLOOKUP(record[[#This Row],[ProcessSN]],表格2_7[],2,FALSE)</f>
        <v>30-4118-018-450</v>
      </c>
      <c r="I5211" t="str">
        <f>VLOOKUP(record[[#This Row],[ProcessSN]],表格2_7[],3,FALSE)</f>
        <v>#100</v>
      </c>
      <c r="J5211" t="s">
        <v>598</v>
      </c>
      <c r="K5211" s="195">
        <v>46027.742303240739</v>
      </c>
      <c r="L5211">
        <v>231</v>
      </c>
      <c r="M5211">
        <v>0</v>
      </c>
      <c r="N5211" s="98" t="str">
        <f>IF(record[[#This Row],[Memo]]="Browser:chrome os:android","平板報工",IF(record[[#This Row],[Memo]]=0,"委外",record[[#This Row],[Memo]]))</f>
        <v/>
      </c>
      <c r="O5211" t="s">
        <v>58</v>
      </c>
      <c r="P5211" t="s">
        <v>141</v>
      </c>
      <c r="Q5211" t="s">
        <v>58</v>
      </c>
      <c r="R5211" t="str">
        <f>IFERROR(VLOOKUP(record[[#This Row],[PCUSTID]],廠商[],2,FALSE),"")</f>
        <v/>
      </c>
      <c r="S5211" t="str">
        <f>VLOOKUP(record[[#This Row],[employeeID]],員工[],2,FALSE)</f>
        <v>蔣梅</v>
      </c>
    </row>
    <row r="5212" spans="6:19" hidden="1" x14ac:dyDescent="0.25">
      <c r="F5212" t="s">
        <v>1400</v>
      </c>
      <c r="G5212" t="s">
        <v>357</v>
      </c>
      <c r="H5212" t="str">
        <f>VLOOKUP(record[[#This Row],[ProcessSN]],表格2_7[],2,FALSE)</f>
        <v>30-4118-018-450</v>
      </c>
      <c r="I5212" t="str">
        <f>VLOOKUP(record[[#This Row],[ProcessSN]],表格2_7[],3,FALSE)</f>
        <v>#08RCV</v>
      </c>
      <c r="J5212" t="s">
        <v>591</v>
      </c>
      <c r="K5212" s="195">
        <v>46027.742129629631</v>
      </c>
      <c r="L5212">
        <v>0</v>
      </c>
      <c r="M5212">
        <v>10</v>
      </c>
      <c r="N5212" s="98" t="str">
        <f>IF(record[[#This Row],[Memo]]="Browser:chrome os:android","平板報工",IF(record[[#This Row],[Memo]]=0,"委外",record[[#This Row],[Memo]]))</f>
        <v/>
      </c>
      <c r="O5212" t="s">
        <v>58</v>
      </c>
      <c r="P5212" t="s">
        <v>141</v>
      </c>
      <c r="Q5212" t="s">
        <v>58</v>
      </c>
      <c r="R5212" t="str">
        <f>IFERROR(VLOOKUP(record[[#This Row],[PCUSTID]],廠商[],2,FALSE),"")</f>
        <v/>
      </c>
      <c r="S5212" t="str">
        <f>VLOOKUP(record[[#This Row],[employeeID]],員工[],2,FALSE)</f>
        <v>蔣梅</v>
      </c>
    </row>
    <row r="5213" spans="6:19" hidden="1" x14ac:dyDescent="0.25">
      <c r="F5213" t="s">
        <v>1400</v>
      </c>
      <c r="G5213" t="s">
        <v>358</v>
      </c>
      <c r="H5213" t="str">
        <f>VLOOKUP(record[[#This Row],[ProcessSN]],表格2_7[],2,FALSE)</f>
        <v>30-4118-018-450</v>
      </c>
      <c r="I5213" t="str">
        <f>VLOOKUP(record[[#This Row],[ProcessSN]],表格2_7[],3,FALSE)</f>
        <v>#08IQC</v>
      </c>
      <c r="J5213" t="s">
        <v>583</v>
      </c>
      <c r="K5213" s="195">
        <v>46027.741990740738</v>
      </c>
      <c r="L5213">
        <v>20</v>
      </c>
      <c r="M5213">
        <v>0</v>
      </c>
      <c r="N5213" s="98" t="str">
        <f>IF(record[[#This Row],[Memo]]="Browser:chrome os:android","平板報工",IF(record[[#This Row],[Memo]]=0,"委外",record[[#This Row],[Memo]]))</f>
        <v>覆回</v>
      </c>
      <c r="O5213" t="s">
        <v>682</v>
      </c>
      <c r="P5213" t="s">
        <v>141</v>
      </c>
      <c r="Q5213" t="s">
        <v>58</v>
      </c>
      <c r="R5213" t="str">
        <f>IFERROR(VLOOKUP(record[[#This Row],[PCUSTID]],廠商[],2,FALSE),"")</f>
        <v/>
      </c>
      <c r="S5213" t="str">
        <f>VLOOKUP(record[[#This Row],[employeeID]],員工[],2,FALSE)</f>
        <v>蔣梅</v>
      </c>
    </row>
    <row r="5214" spans="6:19" hidden="1" x14ac:dyDescent="0.25">
      <c r="F5214" t="s">
        <v>1400</v>
      </c>
      <c r="G5214" t="s">
        <v>357</v>
      </c>
      <c r="H5214" t="str">
        <f>VLOOKUP(record[[#This Row],[ProcessSN]],表格2_7[],2,FALSE)</f>
        <v>30-4118-018-450</v>
      </c>
      <c r="I5214" t="str">
        <f>VLOOKUP(record[[#This Row],[ProcessSN]],表格2_7[],3,FALSE)</f>
        <v>#08RCV</v>
      </c>
      <c r="J5214" t="s">
        <v>591</v>
      </c>
      <c r="K5214" s="195">
        <v>46027.741828703707</v>
      </c>
      <c r="L5214">
        <v>20</v>
      </c>
      <c r="M5214">
        <v>0</v>
      </c>
      <c r="N5214" s="98" t="str">
        <f>IF(record[[#This Row],[Memo]]="Browser:chrome os:android","平板報工",IF(record[[#This Row],[Memo]]=0,"委外",record[[#This Row],[Memo]]))</f>
        <v>覆回</v>
      </c>
      <c r="O5214" t="s">
        <v>682</v>
      </c>
      <c r="P5214" t="s">
        <v>141</v>
      </c>
      <c r="Q5214" t="s">
        <v>58</v>
      </c>
      <c r="R5214" t="str">
        <f>IFERROR(VLOOKUP(record[[#This Row],[PCUSTID]],廠商[],2,FALSE),"")</f>
        <v/>
      </c>
      <c r="S5214" t="str">
        <f>VLOOKUP(record[[#This Row],[employeeID]],員工[],2,FALSE)</f>
        <v>蔣梅</v>
      </c>
    </row>
    <row r="5215" spans="6:19" hidden="1" x14ac:dyDescent="0.25">
      <c r="F5215" t="s">
        <v>595</v>
      </c>
      <c r="G5215" t="s">
        <v>451</v>
      </c>
      <c r="H5215" t="str">
        <f>VLOOKUP(record[[#This Row],[ProcessSN]],表格2_7[],2,FALSE)</f>
        <v>30-4118-018-6XX</v>
      </c>
      <c r="I5215" t="str">
        <f>VLOOKUP(record[[#This Row],[ProcessSN]],表格2_7[],3,FALSE)</f>
        <v>#07</v>
      </c>
      <c r="J5215" t="s">
        <v>588</v>
      </c>
      <c r="K5215" s="195">
        <v>46027.71503472222</v>
      </c>
      <c r="L5215">
        <v>8</v>
      </c>
      <c r="M5215">
        <v>-8</v>
      </c>
      <c r="N5215" s="98" t="str">
        <f>IF(record[[#This Row],[Memo]]="Browser:chrome os:android","平板報工",IF(record[[#This Row],[Memo]]=0,"委外",record[[#This Row],[Memo]]))</f>
        <v>覆回品</v>
      </c>
      <c r="O5215" t="s">
        <v>664</v>
      </c>
      <c r="P5215" t="s">
        <v>113</v>
      </c>
      <c r="Q5215" t="s">
        <v>58</v>
      </c>
      <c r="R5215" t="str">
        <f>IFERROR(VLOOKUP(record[[#This Row],[PCUSTID]],廠商[],2,FALSE),"")</f>
        <v/>
      </c>
      <c r="S5215" t="str">
        <f>VLOOKUP(record[[#This Row],[employeeID]],員工[],2,FALSE)</f>
        <v>王奕蓁</v>
      </c>
    </row>
    <row r="5216" spans="6:19" hidden="1" x14ac:dyDescent="0.25">
      <c r="F5216" t="s">
        <v>1209</v>
      </c>
      <c r="G5216" t="s">
        <v>467</v>
      </c>
      <c r="H5216" t="str">
        <f>VLOOKUP(record[[#This Row],[ProcessSN]],表格2_7[],2,FALSE)</f>
        <v>30-4118-018-XXX</v>
      </c>
      <c r="I5216" t="str">
        <f>VLOOKUP(record[[#This Row],[ProcessSN]],表格2_7[],3,FALSE)</f>
        <v>#01QC</v>
      </c>
      <c r="J5216" t="s">
        <v>589</v>
      </c>
      <c r="K5216" s="195">
        <v>46027.710150462961</v>
      </c>
      <c r="L5216">
        <v>0</v>
      </c>
      <c r="M5216">
        <v>-3</v>
      </c>
      <c r="N5216" s="98" t="str">
        <f>IF(record[[#This Row],[Memo]]="Browser:chrome os:android","平板報工",IF(record[[#This Row],[Memo]]=0,"委外",record[[#This Row],[Memo]]))</f>
        <v>領1140299覆回</v>
      </c>
      <c r="O5216" t="s">
        <v>1427</v>
      </c>
      <c r="P5216" t="s">
        <v>113</v>
      </c>
      <c r="Q5216" t="s">
        <v>58</v>
      </c>
      <c r="R5216" t="str">
        <f>IFERROR(VLOOKUP(record[[#This Row],[PCUSTID]],廠商[],2,FALSE),"")</f>
        <v/>
      </c>
      <c r="S5216" t="str">
        <f>VLOOKUP(record[[#This Row],[employeeID]],員工[],2,FALSE)</f>
        <v>王奕蓁</v>
      </c>
    </row>
    <row r="5217" spans="6:19" hidden="1" x14ac:dyDescent="0.25">
      <c r="F5217" t="s">
        <v>1101</v>
      </c>
      <c r="G5217" t="s">
        <v>377</v>
      </c>
      <c r="H5217" t="str">
        <f>VLOOKUP(record[[#This Row],[ProcessSN]],表格2_7[],2,FALSE)</f>
        <v>30-4118-018-4XX</v>
      </c>
      <c r="I5217" t="str">
        <f>VLOOKUP(record[[#This Row],[ProcessSN]],表格2_7[],3,FALSE)</f>
        <v>#07</v>
      </c>
      <c r="J5217" t="s">
        <v>588</v>
      </c>
      <c r="K5217" s="195">
        <v>46027.707233796296</v>
      </c>
      <c r="L5217">
        <v>9</v>
      </c>
      <c r="M5217">
        <v>0</v>
      </c>
      <c r="N5217" s="98" t="str">
        <f>IF(record[[#This Row],[Memo]]="Browser:chrome os:android","平板報工",IF(record[[#This Row],[Memo]]=0,"委外",record[[#This Row],[Memo]]))</f>
        <v/>
      </c>
      <c r="O5217" t="s">
        <v>58</v>
      </c>
      <c r="P5217" t="s">
        <v>1075</v>
      </c>
      <c r="Q5217" t="s">
        <v>58</v>
      </c>
      <c r="R5217" t="str">
        <f>IFERROR(VLOOKUP(record[[#This Row],[PCUSTID]],廠商[],2,FALSE),"")</f>
        <v/>
      </c>
      <c r="S5217" t="str">
        <f>VLOOKUP(record[[#This Row],[employeeID]],員工[],2,FALSE)</f>
        <v>吳宥叡</v>
      </c>
    </row>
    <row r="5218" spans="6:19" hidden="1" x14ac:dyDescent="0.25">
      <c r="F5218" t="s">
        <v>1101</v>
      </c>
      <c r="G5218" t="s">
        <v>376</v>
      </c>
      <c r="H5218" t="str">
        <f>VLOOKUP(record[[#This Row],[ProcessSN]],表格2_7[],2,FALSE)</f>
        <v>30-4118-018-4XX</v>
      </c>
      <c r="I5218" t="str">
        <f>VLOOKUP(record[[#This Row],[ProcessSN]],表格2_7[],3,FALSE)</f>
        <v>#06</v>
      </c>
      <c r="J5218" t="s">
        <v>593</v>
      </c>
      <c r="K5218" s="195">
        <v>46027.707129629627</v>
      </c>
      <c r="L5218">
        <v>9</v>
      </c>
      <c r="M5218">
        <v>0</v>
      </c>
      <c r="N5218" s="98" t="str">
        <f>IF(record[[#This Row],[Memo]]="Browser:chrome os:android","平板報工",IF(record[[#This Row],[Memo]]=0,"委外",record[[#This Row],[Memo]]))</f>
        <v/>
      </c>
      <c r="O5218" t="s">
        <v>58</v>
      </c>
      <c r="P5218" t="s">
        <v>1075</v>
      </c>
      <c r="Q5218" t="s">
        <v>58</v>
      </c>
      <c r="R5218" t="str">
        <f>IFERROR(VLOOKUP(record[[#This Row],[PCUSTID]],廠商[],2,FALSE),"")</f>
        <v/>
      </c>
      <c r="S5218" t="str">
        <f>VLOOKUP(record[[#This Row],[employeeID]],員工[],2,FALSE)</f>
        <v>吳宥叡</v>
      </c>
    </row>
    <row r="5219" spans="6:19" hidden="1" x14ac:dyDescent="0.25">
      <c r="F5219" t="s">
        <v>1101</v>
      </c>
      <c r="G5219" t="s">
        <v>375</v>
      </c>
      <c r="H5219" t="str">
        <f>VLOOKUP(record[[#This Row],[ProcessSN]],表格2_7[],2,FALSE)</f>
        <v>30-4118-018-4XX</v>
      </c>
      <c r="I5219" t="str">
        <f>VLOOKUP(record[[#This Row],[ProcessSN]],表格2_7[],3,FALSE)</f>
        <v>#05</v>
      </c>
      <c r="J5219" t="s">
        <v>588</v>
      </c>
      <c r="K5219" s="195">
        <v>46027.707025462965</v>
      </c>
      <c r="L5219">
        <v>9</v>
      </c>
      <c r="M5219">
        <v>0</v>
      </c>
      <c r="N5219" s="98" t="str">
        <f>IF(record[[#This Row],[Memo]]="Browser:chrome os:android","平板報工",IF(record[[#This Row],[Memo]]=0,"委外",record[[#This Row],[Memo]]))</f>
        <v/>
      </c>
      <c r="O5219" t="s">
        <v>58</v>
      </c>
      <c r="P5219" t="s">
        <v>1075</v>
      </c>
      <c r="Q5219" t="s">
        <v>58</v>
      </c>
      <c r="R5219" t="str">
        <f>IFERROR(VLOOKUP(record[[#This Row],[PCUSTID]],廠商[],2,FALSE),"")</f>
        <v/>
      </c>
      <c r="S5219" t="str">
        <f>VLOOKUP(record[[#This Row],[employeeID]],員工[],2,FALSE)</f>
        <v>吳宥叡</v>
      </c>
    </row>
    <row r="5220" spans="6:19" hidden="1" x14ac:dyDescent="0.25">
      <c r="F5220" t="s">
        <v>1101</v>
      </c>
      <c r="G5220" t="s">
        <v>374</v>
      </c>
      <c r="H5220" t="str">
        <f>VLOOKUP(record[[#This Row],[ProcessSN]],表格2_7[],2,FALSE)</f>
        <v>30-4118-018-4XX</v>
      </c>
      <c r="I5220" t="str">
        <f>VLOOKUP(record[[#This Row],[ProcessSN]],表格2_7[],3,FALSE)</f>
        <v>#04</v>
      </c>
      <c r="J5220" t="s">
        <v>588</v>
      </c>
      <c r="K5220" s="195">
        <v>46027.706921296296</v>
      </c>
      <c r="L5220">
        <v>9</v>
      </c>
      <c r="M5220">
        <v>0</v>
      </c>
      <c r="N5220" s="98" t="str">
        <f>IF(record[[#This Row],[Memo]]="Browser:chrome os:android","平板報工",IF(record[[#This Row],[Memo]]=0,"委外",record[[#This Row],[Memo]]))</f>
        <v/>
      </c>
      <c r="O5220" t="s">
        <v>58</v>
      </c>
      <c r="P5220" t="s">
        <v>1075</v>
      </c>
      <c r="Q5220" t="s">
        <v>58</v>
      </c>
      <c r="R5220" t="str">
        <f>IFERROR(VLOOKUP(record[[#This Row],[PCUSTID]],廠商[],2,FALSE),"")</f>
        <v/>
      </c>
      <c r="S5220" t="str">
        <f>VLOOKUP(record[[#This Row],[employeeID]],員工[],2,FALSE)</f>
        <v>吳宥叡</v>
      </c>
    </row>
    <row r="5221" spans="6:19" hidden="1" x14ac:dyDescent="0.25">
      <c r="F5221" t="s">
        <v>1101</v>
      </c>
      <c r="G5221" t="s">
        <v>373</v>
      </c>
      <c r="H5221" t="str">
        <f>VLOOKUP(record[[#This Row],[ProcessSN]],表格2_7[],2,FALSE)</f>
        <v>30-4118-018-4XX</v>
      </c>
      <c r="I5221" t="str">
        <f>VLOOKUP(record[[#This Row],[ProcessSN]],表格2_7[],3,FALSE)</f>
        <v>#03</v>
      </c>
      <c r="J5221" t="s">
        <v>588</v>
      </c>
      <c r="K5221" s="195">
        <v>46027.706284722219</v>
      </c>
      <c r="L5221">
        <v>9</v>
      </c>
      <c r="M5221">
        <v>-9</v>
      </c>
      <c r="N5221" s="98" t="str">
        <f>IF(record[[#This Row],[Memo]]="Browser:chrome os:android","平板報工",IF(record[[#This Row],[Memo]]=0,"委外",record[[#This Row],[Memo]]))</f>
        <v>覆回</v>
      </c>
      <c r="O5221" t="s">
        <v>682</v>
      </c>
      <c r="P5221" t="s">
        <v>113</v>
      </c>
      <c r="Q5221" t="s">
        <v>58</v>
      </c>
      <c r="R5221" t="str">
        <f>IFERROR(VLOOKUP(record[[#This Row],[PCUSTID]],廠商[],2,FALSE),"")</f>
        <v/>
      </c>
      <c r="S5221" t="str">
        <f>VLOOKUP(record[[#This Row],[employeeID]],員工[],2,FALSE)</f>
        <v>王奕蓁</v>
      </c>
    </row>
    <row r="5222" spans="6:19" hidden="1" x14ac:dyDescent="0.25">
      <c r="F5222" t="s">
        <v>1391</v>
      </c>
      <c r="G5222" t="s">
        <v>425</v>
      </c>
      <c r="H5222" t="str">
        <f>VLOOKUP(record[[#This Row],[ProcessSN]],表格2_7[],2,FALSE)</f>
        <v>30-4118-018-600</v>
      </c>
      <c r="I5222" t="str">
        <f>VLOOKUP(record[[#This Row],[ProcessSN]],表格2_7[],3,FALSE)</f>
        <v>#100</v>
      </c>
      <c r="J5222" t="s">
        <v>598</v>
      </c>
      <c r="K5222" s="195">
        <v>46027.678460648145</v>
      </c>
      <c r="L5222">
        <v>336</v>
      </c>
      <c r="M5222">
        <v>0</v>
      </c>
      <c r="N5222" s="98" t="str">
        <f>IF(record[[#This Row],[Memo]]="Browser:chrome os:android","平板報工",IF(record[[#This Row],[Memo]]=0,"委外",record[[#This Row],[Memo]]))</f>
        <v/>
      </c>
      <c r="O5222" t="s">
        <v>58</v>
      </c>
      <c r="P5222" t="s">
        <v>141</v>
      </c>
      <c r="Q5222" t="s">
        <v>58</v>
      </c>
      <c r="R5222" t="str">
        <f>IFERROR(VLOOKUP(record[[#This Row],[PCUSTID]],廠商[],2,FALSE),"")</f>
        <v/>
      </c>
      <c r="S5222" t="str">
        <f>VLOOKUP(record[[#This Row],[employeeID]],員工[],2,FALSE)</f>
        <v>蔣梅</v>
      </c>
    </row>
    <row r="5223" spans="6:19" hidden="1" x14ac:dyDescent="0.25">
      <c r="F5223" t="s">
        <v>1402</v>
      </c>
      <c r="G5223" t="s">
        <v>425</v>
      </c>
      <c r="H5223" t="str">
        <f>VLOOKUP(record[[#This Row],[ProcessSN]],表格2_7[],2,FALSE)</f>
        <v>30-4118-018-600</v>
      </c>
      <c r="I5223" t="str">
        <f>VLOOKUP(record[[#This Row],[ProcessSN]],表格2_7[],3,FALSE)</f>
        <v>#100</v>
      </c>
      <c r="J5223" t="s">
        <v>598</v>
      </c>
      <c r="K5223" s="195">
        <v>46027.677627314813</v>
      </c>
      <c r="L5223">
        <v>108</v>
      </c>
      <c r="M5223">
        <v>0</v>
      </c>
      <c r="N5223" s="98" t="str">
        <f>IF(record[[#This Row],[Memo]]="Browser:chrome os:android","平板報工",IF(record[[#This Row],[Memo]]=0,"委外",record[[#This Row],[Memo]]))</f>
        <v/>
      </c>
      <c r="O5223" t="s">
        <v>58</v>
      </c>
      <c r="P5223" t="s">
        <v>141</v>
      </c>
      <c r="Q5223" t="s">
        <v>58</v>
      </c>
      <c r="R5223" t="str">
        <f>IFERROR(VLOOKUP(record[[#This Row],[PCUSTID]],廠商[],2,FALSE),"")</f>
        <v/>
      </c>
      <c r="S5223" t="str">
        <f>VLOOKUP(record[[#This Row],[employeeID]],員工[],2,FALSE)</f>
        <v>蔣梅</v>
      </c>
    </row>
    <row r="5224" spans="6:19" hidden="1" x14ac:dyDescent="0.25">
      <c r="F5224" t="s">
        <v>1388</v>
      </c>
      <c r="G5224" t="s">
        <v>425</v>
      </c>
      <c r="H5224" t="str">
        <f>VLOOKUP(record[[#This Row],[ProcessSN]],表格2_7[],2,FALSE)</f>
        <v>30-4118-018-600</v>
      </c>
      <c r="I5224" t="str">
        <f>VLOOKUP(record[[#This Row],[ProcessSN]],表格2_7[],3,FALSE)</f>
        <v>#100</v>
      </c>
      <c r="J5224" t="s">
        <v>598</v>
      </c>
      <c r="K5224" s="195">
        <v>46027.67701388889</v>
      </c>
      <c r="L5224">
        <v>178</v>
      </c>
      <c r="M5224">
        <v>0</v>
      </c>
      <c r="N5224" s="98" t="str">
        <f>IF(record[[#This Row],[Memo]]="Browser:chrome os:android","平板報工",IF(record[[#This Row],[Memo]]=0,"委外",record[[#This Row],[Memo]]))</f>
        <v/>
      </c>
      <c r="O5224" t="s">
        <v>58</v>
      </c>
      <c r="P5224" t="s">
        <v>141</v>
      </c>
      <c r="Q5224" t="s">
        <v>58</v>
      </c>
      <c r="R5224" t="str">
        <f>IFERROR(VLOOKUP(record[[#This Row],[PCUSTID]],廠商[],2,FALSE),"")</f>
        <v/>
      </c>
      <c r="S5224" t="str">
        <f>VLOOKUP(record[[#This Row],[employeeID]],員工[],2,FALSE)</f>
        <v>蔣梅</v>
      </c>
    </row>
    <row r="5225" spans="6:19" hidden="1" x14ac:dyDescent="0.25">
      <c r="F5225" t="s">
        <v>1388</v>
      </c>
      <c r="G5225" t="s">
        <v>424</v>
      </c>
      <c r="H5225" t="str">
        <f>VLOOKUP(record[[#This Row],[ProcessSN]],表格2_7[],2,FALSE)</f>
        <v>30-4118-018-600</v>
      </c>
      <c r="I5225" t="str">
        <f>VLOOKUP(record[[#This Row],[ProcessSN]],表格2_7[],3,FALSE)</f>
        <v>#08IQC</v>
      </c>
      <c r="J5225" t="s">
        <v>583</v>
      </c>
      <c r="K5225" s="195">
        <v>46027.676574074074</v>
      </c>
      <c r="L5225">
        <v>5</v>
      </c>
      <c r="M5225">
        <v>0</v>
      </c>
      <c r="N5225" s="98" t="str">
        <f>IF(record[[#This Row],[Memo]]="Browser:chrome os:android","平板報工",IF(record[[#This Row],[Memo]]=0,"委外",record[[#This Row],[Memo]]))</f>
        <v>覆回</v>
      </c>
      <c r="O5225" t="s">
        <v>682</v>
      </c>
      <c r="P5225" t="s">
        <v>141</v>
      </c>
      <c r="Q5225" t="s">
        <v>58</v>
      </c>
      <c r="R5225" t="str">
        <f>IFERROR(VLOOKUP(record[[#This Row],[PCUSTID]],廠商[],2,FALSE),"")</f>
        <v/>
      </c>
      <c r="S5225" t="str">
        <f>VLOOKUP(record[[#This Row],[employeeID]],員工[],2,FALSE)</f>
        <v>蔣梅</v>
      </c>
    </row>
    <row r="5226" spans="6:19" hidden="1" x14ac:dyDescent="0.25">
      <c r="F5226" t="s">
        <v>1388</v>
      </c>
      <c r="G5226" t="s">
        <v>423</v>
      </c>
      <c r="H5226" t="str">
        <f>VLOOKUP(record[[#This Row],[ProcessSN]],表格2_7[],2,FALSE)</f>
        <v>30-4118-018-600</v>
      </c>
      <c r="I5226" t="str">
        <f>VLOOKUP(record[[#This Row],[ProcessSN]],表格2_7[],3,FALSE)</f>
        <v>#08RCV</v>
      </c>
      <c r="J5226" t="s">
        <v>591</v>
      </c>
      <c r="K5226" s="195">
        <v>46027.676307870373</v>
      </c>
      <c r="L5226">
        <v>5</v>
      </c>
      <c r="M5226">
        <v>0</v>
      </c>
      <c r="N5226" s="98" t="str">
        <f>IF(record[[#This Row],[Memo]]="Browser:chrome os:android","平板報工",IF(record[[#This Row],[Memo]]=0,"委外",record[[#This Row],[Memo]]))</f>
        <v>覆回</v>
      </c>
      <c r="O5226" t="s">
        <v>682</v>
      </c>
      <c r="P5226" t="s">
        <v>141</v>
      </c>
      <c r="Q5226" t="s">
        <v>58</v>
      </c>
      <c r="R5226" t="str">
        <f>IFERROR(VLOOKUP(record[[#This Row],[PCUSTID]],廠商[],2,FALSE),"")</f>
        <v/>
      </c>
      <c r="S5226" t="str">
        <f>VLOOKUP(record[[#This Row],[employeeID]],員工[],2,FALSE)</f>
        <v>蔣梅</v>
      </c>
    </row>
    <row r="5227" spans="6:19" hidden="1" x14ac:dyDescent="0.25">
      <c r="F5227" t="s">
        <v>1381</v>
      </c>
      <c r="G5227" t="s">
        <v>417</v>
      </c>
      <c r="H5227" t="str">
        <f>VLOOKUP(record[[#This Row],[ProcessSN]],表格2_7[],2,FALSE)</f>
        <v>30-4118-018-5XX</v>
      </c>
      <c r="I5227" t="str">
        <f>VLOOKUP(record[[#This Row],[ProcessSN]],表格2_7[],3,FALSE)</f>
        <v>#06</v>
      </c>
      <c r="J5227" t="s">
        <v>593</v>
      </c>
      <c r="K5227" s="195">
        <v>46027.651516203703</v>
      </c>
      <c r="L5227">
        <v>0</v>
      </c>
      <c r="M5227">
        <v>1</v>
      </c>
      <c r="N5227" s="98" t="str">
        <f>IF(record[[#This Row],[Memo]]="Browser:chrome os:android","平板報工",IF(record[[#This Row],[Memo]]=0,"委外",record[[#This Row],[Memo]]))</f>
        <v/>
      </c>
      <c r="O5227" t="s">
        <v>58</v>
      </c>
      <c r="P5227" t="s">
        <v>1413</v>
      </c>
      <c r="Q5227" t="s">
        <v>58</v>
      </c>
      <c r="R5227" t="str">
        <f>IFERROR(VLOOKUP(record[[#This Row],[PCUSTID]],廠商[],2,FALSE),"")</f>
        <v/>
      </c>
      <c r="S5227" t="str">
        <f>VLOOKUP(record[[#This Row],[employeeID]],員工[],2,FALSE)</f>
        <v>阮氏芳英(芳)</v>
      </c>
    </row>
    <row r="5228" spans="6:19" hidden="1" x14ac:dyDescent="0.25">
      <c r="F5228" t="s">
        <v>1406</v>
      </c>
      <c r="G5228" t="s">
        <v>466</v>
      </c>
      <c r="H5228" t="str">
        <f>VLOOKUP(record[[#This Row],[ProcessSN]],表格2_7[],2,FALSE)</f>
        <v>30-4118-018-XXX</v>
      </c>
      <c r="I5228" t="str">
        <f>VLOOKUP(record[[#This Row],[ProcessSN]],表格2_7[],3,FALSE)</f>
        <v>#01-2</v>
      </c>
      <c r="J5228" t="s">
        <v>588</v>
      </c>
      <c r="K5228" s="195">
        <v>46027.649247685185</v>
      </c>
      <c r="L5228">
        <v>440</v>
      </c>
      <c r="M5228">
        <v>1</v>
      </c>
      <c r="N5228" s="98" t="str">
        <f>IF(record[[#This Row],[Memo]]="Browser:chrome os:android","平板報工",IF(record[[#This Row],[Memo]]=0,"委外",record[[#This Row],[Memo]]))</f>
        <v/>
      </c>
      <c r="O5228" t="s">
        <v>58</v>
      </c>
      <c r="P5228" t="s">
        <v>107</v>
      </c>
      <c r="Q5228" t="s">
        <v>58</v>
      </c>
      <c r="R5228" t="str">
        <f>IFERROR(VLOOKUP(record[[#This Row],[PCUSTID]],廠商[],2,FALSE),"")</f>
        <v/>
      </c>
      <c r="S5228" t="str">
        <f>VLOOKUP(record[[#This Row],[employeeID]],員工[],2,FALSE)</f>
        <v>黎氏順</v>
      </c>
    </row>
    <row r="5229" spans="6:19" hidden="1" x14ac:dyDescent="0.25">
      <c r="F5229" t="s">
        <v>1381</v>
      </c>
      <c r="G5229" t="s">
        <v>418</v>
      </c>
      <c r="H5229" t="str">
        <f>VLOOKUP(record[[#This Row],[ProcessSN]],表格2_7[],2,FALSE)</f>
        <v>30-4118-018-5XX</v>
      </c>
      <c r="I5229" t="str">
        <f>VLOOKUP(record[[#This Row],[ProcessSN]],表格2_7[],3,FALSE)</f>
        <v>#07</v>
      </c>
      <c r="J5229" t="s">
        <v>588</v>
      </c>
      <c r="K5229" s="195">
        <v>46027.64875</v>
      </c>
      <c r="L5229">
        <v>76</v>
      </c>
      <c r="M5229">
        <v>10</v>
      </c>
      <c r="N5229" s="98" t="str">
        <f>IF(record[[#This Row],[Memo]]="Browser:chrome os:android","平板報工",IF(record[[#This Row],[Memo]]=0,"委外",record[[#This Row],[Memo]]))</f>
        <v/>
      </c>
      <c r="O5229" t="s">
        <v>58</v>
      </c>
      <c r="P5229" t="s">
        <v>785</v>
      </c>
      <c r="Q5229" t="s">
        <v>58</v>
      </c>
      <c r="R5229" t="str">
        <f>IFERROR(VLOOKUP(record[[#This Row],[PCUSTID]],廠商[],2,FALSE),"")</f>
        <v/>
      </c>
      <c r="S5229" t="str">
        <f>VLOOKUP(record[[#This Row],[employeeID]],員工[],2,FALSE)</f>
        <v>謝刻光</v>
      </c>
    </row>
    <row r="5230" spans="6:19" hidden="1" x14ac:dyDescent="0.25">
      <c r="F5230" t="s">
        <v>1381</v>
      </c>
      <c r="G5230" t="s">
        <v>416</v>
      </c>
      <c r="H5230" t="str">
        <f>VLOOKUP(record[[#This Row],[ProcessSN]],表格2_7[],2,FALSE)</f>
        <v>30-4118-018-5XX</v>
      </c>
      <c r="I5230" t="str">
        <f>VLOOKUP(record[[#This Row],[ProcessSN]],表格2_7[],3,FALSE)</f>
        <v>#05</v>
      </c>
      <c r="J5230" t="s">
        <v>588</v>
      </c>
      <c r="K5230" s="195">
        <v>46027.648310185185</v>
      </c>
      <c r="L5230">
        <v>56</v>
      </c>
      <c r="M5230">
        <v>0</v>
      </c>
      <c r="N5230" s="98" t="str">
        <f>IF(record[[#This Row],[Memo]]="Browser:chrome os:android","平板報工",IF(record[[#This Row],[Memo]]=0,"委外",record[[#This Row],[Memo]]))</f>
        <v/>
      </c>
      <c r="O5230" t="s">
        <v>58</v>
      </c>
      <c r="P5230" t="s">
        <v>785</v>
      </c>
      <c r="Q5230" t="s">
        <v>58</v>
      </c>
      <c r="R5230" t="str">
        <f>IFERROR(VLOOKUP(record[[#This Row],[PCUSTID]],廠商[],2,FALSE),"")</f>
        <v/>
      </c>
      <c r="S5230" t="str">
        <f>VLOOKUP(record[[#This Row],[employeeID]],員工[],2,FALSE)</f>
        <v>謝刻光</v>
      </c>
    </row>
    <row r="5231" spans="6:19" hidden="1" x14ac:dyDescent="0.25">
      <c r="F5231" t="s">
        <v>1381</v>
      </c>
      <c r="G5231" t="s">
        <v>417</v>
      </c>
      <c r="H5231" t="str">
        <f>VLOOKUP(record[[#This Row],[ProcessSN]],表格2_7[],2,FALSE)</f>
        <v>30-4118-018-5XX</v>
      </c>
      <c r="I5231" t="str">
        <f>VLOOKUP(record[[#This Row],[ProcessSN]],表格2_7[],3,FALSE)</f>
        <v>#06</v>
      </c>
      <c r="J5231" t="s">
        <v>593</v>
      </c>
      <c r="K5231" s="195">
        <v>46027.647939814815</v>
      </c>
      <c r="L5231">
        <v>95</v>
      </c>
      <c r="M5231">
        <v>0</v>
      </c>
      <c r="N5231" s="98" t="str">
        <f>IF(record[[#This Row],[Memo]]="Browser:chrome os:android","平板報工",IF(record[[#This Row],[Memo]]=0,"委外",record[[#This Row],[Memo]]))</f>
        <v/>
      </c>
      <c r="O5231" t="s">
        <v>58</v>
      </c>
      <c r="P5231" t="s">
        <v>1413</v>
      </c>
      <c r="Q5231" t="s">
        <v>58</v>
      </c>
      <c r="R5231" t="str">
        <f>IFERROR(VLOOKUP(record[[#This Row],[PCUSTID]],廠商[],2,FALSE),"")</f>
        <v/>
      </c>
      <c r="S5231" t="str">
        <f>VLOOKUP(record[[#This Row],[employeeID]],員工[],2,FALSE)</f>
        <v>阮氏芳英(芳)</v>
      </c>
    </row>
    <row r="5232" spans="6:19" hidden="1" x14ac:dyDescent="0.25">
      <c r="F5232" t="s">
        <v>1381</v>
      </c>
      <c r="G5232" t="s">
        <v>415</v>
      </c>
      <c r="H5232" t="str">
        <f>VLOOKUP(record[[#This Row],[ProcessSN]],表格2_7[],2,FALSE)</f>
        <v>30-4118-018-5XX</v>
      </c>
      <c r="I5232" t="str">
        <f>VLOOKUP(record[[#This Row],[ProcessSN]],表格2_7[],3,FALSE)</f>
        <v>#04</v>
      </c>
      <c r="J5232" t="s">
        <v>588</v>
      </c>
      <c r="K5232" s="195">
        <v>46027.646041666667</v>
      </c>
      <c r="L5232">
        <v>121</v>
      </c>
      <c r="M5232">
        <v>2</v>
      </c>
      <c r="N5232" s="98" t="str">
        <f>IF(record[[#This Row],[Memo]]="Browser:chrome os:android","平板報工",IF(record[[#This Row],[Memo]]=0,"委外",record[[#This Row],[Memo]]))</f>
        <v/>
      </c>
      <c r="O5232" t="s">
        <v>58</v>
      </c>
      <c r="P5232" t="s">
        <v>145</v>
      </c>
      <c r="Q5232" t="s">
        <v>58</v>
      </c>
      <c r="R5232" t="str">
        <f>IFERROR(VLOOKUP(record[[#This Row],[PCUSTID]],廠商[],2,FALSE),"")</f>
        <v/>
      </c>
      <c r="S5232" t="str">
        <f>VLOOKUP(record[[#This Row],[employeeID]],員工[],2,FALSE)</f>
        <v>阮秋霞</v>
      </c>
    </row>
    <row r="5233" spans="6:19" hidden="1" x14ac:dyDescent="0.25">
      <c r="F5233" t="s">
        <v>989</v>
      </c>
      <c r="G5233" t="s">
        <v>467</v>
      </c>
      <c r="H5233" t="str">
        <f>VLOOKUP(record[[#This Row],[ProcessSN]],表格2_7[],2,FALSE)</f>
        <v>30-4118-018-XXX</v>
      </c>
      <c r="I5233" t="str">
        <f>VLOOKUP(record[[#This Row],[ProcessSN]],表格2_7[],3,FALSE)</f>
        <v>#01QC</v>
      </c>
      <c r="J5233" t="s">
        <v>589</v>
      </c>
      <c r="K5233" s="195">
        <v>46027.627997685187</v>
      </c>
      <c r="L5233">
        <v>0</v>
      </c>
      <c r="M5233">
        <v>-1</v>
      </c>
      <c r="N5233" s="98" t="str">
        <f>IF(record[[#This Row],[Memo]]="Browser:chrome os:android","平板報工",IF(record[[#This Row],[Memo]]=0,"委外",record[[#This Row],[Memo]]))</f>
        <v>領1140298覆回</v>
      </c>
      <c r="O5233" t="s">
        <v>1428</v>
      </c>
      <c r="P5233" t="s">
        <v>113</v>
      </c>
      <c r="Q5233" t="s">
        <v>58</v>
      </c>
      <c r="R5233" t="str">
        <f>IFERROR(VLOOKUP(record[[#This Row],[PCUSTID]],廠商[],2,FALSE),"")</f>
        <v/>
      </c>
      <c r="S5233" t="str">
        <f>VLOOKUP(record[[#This Row],[employeeID]],員工[],2,FALSE)</f>
        <v>王奕蓁</v>
      </c>
    </row>
    <row r="5234" spans="6:19" hidden="1" x14ac:dyDescent="0.25">
      <c r="F5234" t="s">
        <v>1416</v>
      </c>
      <c r="G5234" t="s">
        <v>413</v>
      </c>
      <c r="H5234" t="str">
        <f>VLOOKUP(record[[#This Row],[ProcessSN]],表格2_7[],2,FALSE)</f>
        <v>30-4118-018-5XX</v>
      </c>
      <c r="I5234" t="str">
        <f>VLOOKUP(record[[#This Row],[ProcessSN]],表格2_7[],3,FALSE)</f>
        <v>#03GIVE</v>
      </c>
      <c r="J5234" t="s">
        <v>587</v>
      </c>
      <c r="K5234" s="195">
        <v>46027.477893518517</v>
      </c>
      <c r="L5234">
        <v>600</v>
      </c>
      <c r="M5234">
        <v>0</v>
      </c>
      <c r="N5234" s="98" t="str">
        <f>IF(record[[#This Row],[Memo]]="Browser:chrome os:android","平板報工",IF(record[[#This Row],[Memo]]=0,"委外",record[[#This Row],[Memo]]))</f>
        <v/>
      </c>
      <c r="O5234" t="s">
        <v>58</v>
      </c>
      <c r="P5234" t="s">
        <v>1070</v>
      </c>
      <c r="Q5234" t="s">
        <v>58</v>
      </c>
      <c r="R5234" t="str">
        <f>IFERROR(VLOOKUP(record[[#This Row],[PCUSTID]],廠商[],2,FALSE),"")</f>
        <v/>
      </c>
      <c r="S5234" t="str">
        <f>VLOOKUP(record[[#This Row],[employeeID]],員工[],2,FALSE)</f>
        <v>陳昱佑</v>
      </c>
    </row>
    <row r="5235" spans="6:19" hidden="1" x14ac:dyDescent="0.25">
      <c r="F5235" t="s">
        <v>1381</v>
      </c>
      <c r="G5235" t="s">
        <v>419</v>
      </c>
      <c r="H5235" t="str">
        <f>VLOOKUP(record[[#This Row],[ProcessSN]],表格2_7[],2,FALSE)</f>
        <v>30-4118-018-5XX</v>
      </c>
      <c r="I5235" t="str">
        <f>VLOOKUP(record[[#This Row],[ProcessSN]],表格2_7[],3,FALSE)</f>
        <v>#07QC</v>
      </c>
      <c r="J5235" t="s">
        <v>589</v>
      </c>
      <c r="K5235" s="195">
        <v>46027.476435185185</v>
      </c>
      <c r="L5235">
        <v>0</v>
      </c>
      <c r="M5235">
        <v>21</v>
      </c>
      <c r="N5235" s="98" t="str">
        <f>IF(record[[#This Row],[Memo]]="Browser:chrome os:android","平板報工",IF(record[[#This Row],[Memo]]=0,"委外",record[[#This Row],[Memo]]))</f>
        <v>平板報工</v>
      </c>
      <c r="O5235" t="s">
        <v>643</v>
      </c>
      <c r="P5235" t="s">
        <v>141</v>
      </c>
      <c r="Q5235" t="s">
        <v>644</v>
      </c>
      <c r="R5235" t="str">
        <f>IFERROR(VLOOKUP(record[[#This Row],[PCUSTID]],廠商[],2,FALSE),"")</f>
        <v/>
      </c>
      <c r="S5235" t="str">
        <f>VLOOKUP(record[[#This Row],[employeeID]],員工[],2,FALSE)</f>
        <v>蔣梅</v>
      </c>
    </row>
    <row r="5236" spans="6:19" hidden="1" x14ac:dyDescent="0.25">
      <c r="F5236" t="s">
        <v>1381</v>
      </c>
      <c r="G5236" t="s">
        <v>419</v>
      </c>
      <c r="H5236" t="str">
        <f>VLOOKUP(record[[#This Row],[ProcessSN]],表格2_7[],2,FALSE)</f>
        <v>30-4118-018-5XX</v>
      </c>
      <c r="I5236" t="str">
        <f>VLOOKUP(record[[#This Row],[ProcessSN]],表格2_7[],3,FALSE)</f>
        <v>#07QC</v>
      </c>
      <c r="J5236" t="s">
        <v>589</v>
      </c>
      <c r="K5236" s="195">
        <v>46027.47625</v>
      </c>
      <c r="L5236">
        <v>163</v>
      </c>
      <c r="M5236">
        <v>0</v>
      </c>
      <c r="N5236" s="98" t="str">
        <f>IF(record[[#This Row],[Memo]]="Browser:chrome os:android","平板報工",IF(record[[#This Row],[Memo]]=0,"委外",record[[#This Row],[Memo]]))</f>
        <v>平板報工</v>
      </c>
      <c r="O5236" t="s">
        <v>643</v>
      </c>
      <c r="P5236" t="s">
        <v>141</v>
      </c>
      <c r="Q5236" t="s">
        <v>644</v>
      </c>
      <c r="R5236" t="str">
        <f>IFERROR(VLOOKUP(record[[#This Row],[PCUSTID]],廠商[],2,FALSE),"")</f>
        <v/>
      </c>
      <c r="S5236" t="str">
        <f>VLOOKUP(record[[#This Row],[employeeID]],員工[],2,FALSE)</f>
        <v>蔣梅</v>
      </c>
    </row>
    <row r="5237" spans="6:19" hidden="1" x14ac:dyDescent="0.25">
      <c r="F5237" t="s">
        <v>1385</v>
      </c>
      <c r="G5237" t="s">
        <v>471</v>
      </c>
      <c r="H5237" t="str">
        <f>VLOOKUP(record[[#This Row],[ProcessSN]],表格2_7[],2,FALSE)</f>
        <v>30-4118-018-XXX</v>
      </c>
      <c r="I5237" t="str">
        <f>VLOOKUP(record[[#This Row],[ProcessSN]],表格2_7[],3,FALSE)</f>
        <v>#02STOCK</v>
      </c>
      <c r="J5237" t="s">
        <v>592</v>
      </c>
      <c r="K5237" s="195">
        <v>46027.467326388891</v>
      </c>
      <c r="L5237">
        <v>1679</v>
      </c>
      <c r="M5237">
        <v>0</v>
      </c>
      <c r="N5237" s="98" t="str">
        <f>IF(record[[#This Row],[Memo]]="Browser:chrome os:android","平板報工",IF(record[[#This Row],[Memo]]=0,"委外",record[[#This Row],[Memo]]))</f>
        <v/>
      </c>
      <c r="O5237" t="s">
        <v>58</v>
      </c>
      <c r="P5237" t="s">
        <v>186</v>
      </c>
      <c r="Q5237" t="s">
        <v>58</v>
      </c>
      <c r="R5237" t="str">
        <f>IFERROR(VLOOKUP(record[[#This Row],[PCUSTID]],廠商[],2,FALSE),"")</f>
        <v/>
      </c>
      <c r="S5237" t="str">
        <f>VLOOKUP(record[[#This Row],[employeeID]],員工[],2,FALSE)</f>
        <v>許文姍</v>
      </c>
    </row>
    <row r="5238" spans="6:19" hidden="1" x14ac:dyDescent="0.25">
      <c r="F5238" t="s">
        <v>1209</v>
      </c>
      <c r="G5238" t="s">
        <v>471</v>
      </c>
      <c r="H5238" t="str">
        <f>VLOOKUP(record[[#This Row],[ProcessSN]],表格2_7[],2,FALSE)</f>
        <v>30-4118-018-XXX</v>
      </c>
      <c r="I5238" t="str">
        <f>VLOOKUP(record[[#This Row],[ProcessSN]],表格2_7[],3,FALSE)</f>
        <v>#02STOCK</v>
      </c>
      <c r="J5238" t="s">
        <v>592</v>
      </c>
      <c r="K5238" s="195">
        <v>46027.467129629629</v>
      </c>
      <c r="L5238">
        <v>8</v>
      </c>
      <c r="M5238">
        <v>0</v>
      </c>
      <c r="N5238" s="98" t="str">
        <f>IF(record[[#This Row],[Memo]]="Browser:chrome os:android","平板報工",IF(record[[#This Row],[Memo]]=0,"委外",record[[#This Row],[Memo]]))</f>
        <v/>
      </c>
      <c r="O5238" t="s">
        <v>58</v>
      </c>
      <c r="P5238" t="s">
        <v>186</v>
      </c>
      <c r="Q5238" t="s">
        <v>58</v>
      </c>
      <c r="R5238" t="str">
        <f>IFERROR(VLOOKUP(record[[#This Row],[PCUSTID]],廠商[],2,FALSE),"")</f>
        <v/>
      </c>
      <c r="S5238" t="str">
        <f>VLOOKUP(record[[#This Row],[employeeID]],員工[],2,FALSE)</f>
        <v>許文姍</v>
      </c>
    </row>
    <row r="5239" spans="6:19" hidden="1" x14ac:dyDescent="0.25">
      <c r="F5239" t="s">
        <v>581</v>
      </c>
      <c r="G5239" t="s">
        <v>471</v>
      </c>
      <c r="H5239" t="str">
        <f>VLOOKUP(record[[#This Row],[ProcessSN]],表格2_7[],2,FALSE)</f>
        <v>30-4118-018-XXX</v>
      </c>
      <c r="I5239" t="str">
        <f>VLOOKUP(record[[#This Row],[ProcessSN]],表格2_7[],3,FALSE)</f>
        <v>#02STOCK</v>
      </c>
      <c r="J5239" t="s">
        <v>592</v>
      </c>
      <c r="K5239" s="195">
        <v>46027.466898148145</v>
      </c>
      <c r="L5239">
        <v>1</v>
      </c>
      <c r="M5239">
        <v>0</v>
      </c>
      <c r="N5239" s="98" t="str">
        <f>IF(record[[#This Row],[Memo]]="Browser:chrome os:android","平板報工",IF(record[[#This Row],[Memo]]=0,"委外",record[[#This Row],[Memo]]))</f>
        <v/>
      </c>
      <c r="O5239" t="s">
        <v>58</v>
      </c>
      <c r="P5239" t="s">
        <v>186</v>
      </c>
      <c r="Q5239" t="s">
        <v>58</v>
      </c>
      <c r="R5239" t="str">
        <f>IFERROR(VLOOKUP(record[[#This Row],[PCUSTID]],廠商[],2,FALSE),"")</f>
        <v/>
      </c>
      <c r="S5239" t="str">
        <f>VLOOKUP(record[[#This Row],[employeeID]],員工[],2,FALSE)</f>
        <v>許文姍</v>
      </c>
    </row>
    <row r="5240" spans="6:19" hidden="1" x14ac:dyDescent="0.25">
      <c r="F5240" t="s">
        <v>1366</v>
      </c>
      <c r="G5240" t="s">
        <v>402</v>
      </c>
      <c r="H5240" t="str">
        <f>VLOOKUP(record[[#This Row],[ProcessSN]],表格2_7[],2,FALSE)</f>
        <v>30-4118-018-550</v>
      </c>
      <c r="I5240" t="str">
        <f>VLOOKUP(record[[#This Row],[ProcessSN]],表格2_7[],3,FALSE)</f>
        <v>#100STOCK</v>
      </c>
      <c r="J5240" t="s">
        <v>592</v>
      </c>
      <c r="K5240" s="195">
        <v>46027.452222222222</v>
      </c>
      <c r="L5240">
        <v>217</v>
      </c>
      <c r="M5240">
        <v>0</v>
      </c>
      <c r="N5240" s="98" t="str">
        <f>IF(record[[#This Row],[Memo]]="Browser:chrome os:android","平板報工",IF(record[[#This Row],[Memo]]=0,"委外",record[[#This Row],[Memo]]))</f>
        <v/>
      </c>
      <c r="O5240" t="s">
        <v>58</v>
      </c>
      <c r="P5240" t="s">
        <v>886</v>
      </c>
      <c r="Q5240" t="s">
        <v>58</v>
      </c>
      <c r="R5240" t="str">
        <f>IFERROR(VLOOKUP(record[[#This Row],[PCUSTID]],廠商[],2,FALSE),"")</f>
        <v/>
      </c>
      <c r="S5240" t="str">
        <f>VLOOKUP(record[[#This Row],[employeeID]],員工[],2,FALSE)</f>
        <v>謝蓁薰</v>
      </c>
    </row>
    <row r="5241" spans="6:19" hidden="1" x14ac:dyDescent="0.25">
      <c r="F5241" t="s">
        <v>1417</v>
      </c>
      <c r="G5241" t="s">
        <v>445</v>
      </c>
      <c r="H5241" t="str">
        <f>VLOOKUP(record[[#This Row],[ProcessSN]],表格2_7[],2,FALSE)</f>
        <v>30-4118-018-6XX</v>
      </c>
      <c r="I5241" t="str">
        <f>VLOOKUP(record[[#This Row],[ProcessSN]],表格2_7[],3,FALSE)</f>
        <v>#03PICK</v>
      </c>
      <c r="J5241" t="s">
        <v>582</v>
      </c>
      <c r="K5241" s="195">
        <v>46027.451620370368</v>
      </c>
      <c r="L5241">
        <v>1600</v>
      </c>
      <c r="M5241">
        <v>0</v>
      </c>
      <c r="N5241" s="98" t="str">
        <f>IF(record[[#This Row],[Memo]]="Browser:chrome os:android","平板報工",IF(record[[#This Row],[Memo]]=0,"委外",record[[#This Row],[Memo]]))</f>
        <v/>
      </c>
      <c r="O5241" t="s">
        <v>58</v>
      </c>
      <c r="P5241" t="s">
        <v>186</v>
      </c>
      <c r="Q5241" t="s">
        <v>58</v>
      </c>
      <c r="R5241" t="str">
        <f>IFERROR(VLOOKUP(record[[#This Row],[PCUSTID]],廠商[],2,FALSE),"")</f>
        <v/>
      </c>
      <c r="S5241" t="str">
        <f>VLOOKUP(record[[#This Row],[employeeID]],員工[],2,FALSE)</f>
        <v>許文姍</v>
      </c>
    </row>
    <row r="5242" spans="6:19" hidden="1" x14ac:dyDescent="0.25">
      <c r="F5242" t="s">
        <v>1416</v>
      </c>
      <c r="G5242" t="s">
        <v>412</v>
      </c>
      <c r="H5242" t="str">
        <f>VLOOKUP(record[[#This Row],[ProcessSN]],表格2_7[],2,FALSE)</f>
        <v>30-4118-018-5XX</v>
      </c>
      <c r="I5242" t="str">
        <f>VLOOKUP(record[[#This Row],[ProcessSN]],表格2_7[],3,FALSE)</f>
        <v>#03PICK</v>
      </c>
      <c r="J5242" t="s">
        <v>582</v>
      </c>
      <c r="K5242" s="195">
        <v>46027.451481481483</v>
      </c>
      <c r="L5242">
        <v>1000</v>
      </c>
      <c r="M5242">
        <v>0</v>
      </c>
      <c r="N5242" s="98" t="str">
        <f>IF(record[[#This Row],[Memo]]="Browser:chrome os:android","平板報工",IF(record[[#This Row],[Memo]]=0,"委外",record[[#This Row],[Memo]]))</f>
        <v/>
      </c>
      <c r="O5242" t="s">
        <v>58</v>
      </c>
      <c r="P5242" t="s">
        <v>186</v>
      </c>
      <c r="Q5242" t="s">
        <v>58</v>
      </c>
      <c r="R5242" t="str">
        <f>IFERROR(VLOOKUP(record[[#This Row],[PCUSTID]],廠商[],2,FALSE),"")</f>
        <v/>
      </c>
      <c r="S5242" t="str">
        <f>VLOOKUP(record[[#This Row],[employeeID]],員工[],2,FALSE)</f>
        <v>許文姍</v>
      </c>
    </row>
    <row r="5243" spans="6:19" hidden="1" x14ac:dyDescent="0.25">
      <c r="F5243" t="s">
        <v>1381</v>
      </c>
      <c r="G5243" t="s">
        <v>420</v>
      </c>
      <c r="H5243" t="str">
        <f>VLOOKUP(record[[#This Row],[ProcessSN]],表格2_7[],2,FALSE)</f>
        <v>30-4118-018-5XX</v>
      </c>
      <c r="I5243" t="str">
        <f>VLOOKUP(record[[#This Row],[ProcessSN]],表格2_7[],3,FALSE)</f>
        <v>#07STOCK</v>
      </c>
      <c r="J5243" t="s">
        <v>592</v>
      </c>
      <c r="K5243" s="195">
        <v>46027.438252314816</v>
      </c>
      <c r="L5243">
        <v>312</v>
      </c>
      <c r="M5243">
        <v>0</v>
      </c>
      <c r="N5243" s="98" t="str">
        <f>IF(record[[#This Row],[Memo]]="Browser:chrome os:android","平板報工",IF(record[[#This Row],[Memo]]=0,"委外",record[[#This Row],[Memo]]))</f>
        <v/>
      </c>
      <c r="O5243" t="s">
        <v>58</v>
      </c>
      <c r="P5243" t="s">
        <v>186</v>
      </c>
      <c r="Q5243" t="s">
        <v>58</v>
      </c>
      <c r="R5243" t="str">
        <f>IFERROR(VLOOKUP(record[[#This Row],[PCUSTID]],廠商[],2,FALSE),"")</f>
        <v/>
      </c>
      <c r="S5243" t="str">
        <f>VLOOKUP(record[[#This Row],[employeeID]],員工[],2,FALSE)</f>
        <v>許文姍</v>
      </c>
    </row>
    <row r="5244" spans="6:19" hidden="1" x14ac:dyDescent="0.25">
      <c r="F5244" t="s">
        <v>1315</v>
      </c>
      <c r="G5244" t="s">
        <v>362</v>
      </c>
      <c r="H5244" t="str">
        <f>VLOOKUP(record[[#This Row],[ProcessSN]],表格2_7[],2,FALSE)</f>
        <v>30-4118-018-450</v>
      </c>
      <c r="I5244" t="str">
        <f>VLOOKUP(record[[#This Row],[ProcessSN]],表格2_7[],3,FALSE)</f>
        <v>#100SHIP</v>
      </c>
      <c r="J5244" t="s">
        <v>600</v>
      </c>
      <c r="K5244" s="195">
        <v>46027.434502314813</v>
      </c>
      <c r="L5244">
        <v>1</v>
      </c>
      <c r="M5244">
        <v>0</v>
      </c>
      <c r="N5244" s="98" t="str">
        <f>IF(record[[#This Row],[Memo]]="Browser:chrome os:android","平板報工",IF(record[[#This Row],[Memo]]=0,"委外",record[[#This Row],[Memo]]))</f>
        <v/>
      </c>
      <c r="O5244" t="s">
        <v>58</v>
      </c>
      <c r="P5244" t="s">
        <v>886</v>
      </c>
      <c r="Q5244" t="s">
        <v>58</v>
      </c>
      <c r="R5244" t="str">
        <f>IFERROR(VLOOKUP(record[[#This Row],[PCUSTID]],廠商[],2,FALSE),"")</f>
        <v/>
      </c>
      <c r="S5244" t="str">
        <f>VLOOKUP(record[[#This Row],[employeeID]],員工[],2,FALSE)</f>
        <v>謝蓁薰</v>
      </c>
    </row>
    <row r="5245" spans="6:19" hidden="1" x14ac:dyDescent="0.25">
      <c r="F5245" t="s">
        <v>1415</v>
      </c>
      <c r="G5245" t="s">
        <v>397</v>
      </c>
      <c r="H5245" t="str">
        <f>VLOOKUP(record[[#This Row],[ProcessSN]],表格2_7[],2,FALSE)</f>
        <v>30-4118-018-550</v>
      </c>
      <c r="I5245" t="str">
        <f>VLOOKUP(record[[#This Row],[ProcessSN]],表格2_7[],3,FALSE)</f>
        <v>#08</v>
      </c>
      <c r="J5245" t="s">
        <v>597</v>
      </c>
      <c r="K5245" s="195">
        <v>46027.428773148145</v>
      </c>
      <c r="L5245">
        <v>771</v>
      </c>
      <c r="M5245">
        <v>0</v>
      </c>
      <c r="N5245" s="98" t="str">
        <f>IF(record[[#This Row],[Memo]]="Browser:chrome os:android","平板報工",IF(record[[#This Row],[Memo]]=0,"委外",record[[#This Row],[Memo]]))</f>
        <v>委外</v>
      </c>
      <c r="P5245" t="s">
        <v>186</v>
      </c>
      <c r="Q5245" t="s">
        <v>287</v>
      </c>
      <c r="R5245" t="str">
        <f>IFERROR(VLOOKUP(record[[#This Row],[PCUSTID]],廠商[],2,FALSE),"")</f>
        <v>泉盛</v>
      </c>
      <c r="S5245" t="str">
        <f>VLOOKUP(record[[#This Row],[employeeID]],員工[],2,FALSE)</f>
        <v>許文姍</v>
      </c>
    </row>
    <row r="5246" spans="6:19" hidden="1" x14ac:dyDescent="0.25">
      <c r="F5246" t="s">
        <v>1415</v>
      </c>
      <c r="G5246" t="s">
        <v>396</v>
      </c>
      <c r="H5246" t="str">
        <f>VLOOKUP(record[[#This Row],[ProcessSN]],表格2_7[],2,FALSE)</f>
        <v>30-4118-018-550</v>
      </c>
      <c r="I5246" t="str">
        <f>VLOOKUP(record[[#This Row],[ProcessSN]],表格2_7[],3,FALSE)</f>
        <v>#08PICK</v>
      </c>
      <c r="J5246" t="s">
        <v>582</v>
      </c>
      <c r="K5246" s="195">
        <v>46027.428680555553</v>
      </c>
      <c r="L5246">
        <v>771</v>
      </c>
      <c r="M5246">
        <v>0</v>
      </c>
      <c r="N5246" s="98" t="str">
        <f>IF(record[[#This Row],[Memo]]="Browser:chrome os:android","平板報工",IF(record[[#This Row],[Memo]]=0,"委外",record[[#This Row],[Memo]]))</f>
        <v/>
      </c>
      <c r="O5246" t="s">
        <v>58</v>
      </c>
      <c r="P5246" t="s">
        <v>186</v>
      </c>
      <c r="Q5246" t="s">
        <v>58</v>
      </c>
      <c r="R5246" t="str">
        <f>IFERROR(VLOOKUP(record[[#This Row],[PCUSTID]],廠商[],2,FALSE),"")</f>
        <v/>
      </c>
      <c r="S5246" t="str">
        <f>VLOOKUP(record[[#This Row],[employeeID]],員工[],2,FALSE)</f>
        <v>許文姍</v>
      </c>
    </row>
    <row r="5247" spans="6:19" hidden="1" x14ac:dyDescent="0.25">
      <c r="F5247" t="s">
        <v>1381</v>
      </c>
      <c r="G5247" t="s">
        <v>419</v>
      </c>
      <c r="H5247" t="str">
        <f>VLOOKUP(record[[#This Row],[ProcessSN]],表格2_7[],2,FALSE)</f>
        <v>30-4118-018-5XX</v>
      </c>
      <c r="I5247" t="str">
        <f>VLOOKUP(record[[#This Row],[ProcessSN]],表格2_7[],3,FALSE)</f>
        <v>#07QC</v>
      </c>
      <c r="J5247" t="s">
        <v>589</v>
      </c>
      <c r="K5247" s="195">
        <v>46027.427175925928</v>
      </c>
      <c r="L5247">
        <v>312</v>
      </c>
      <c r="M5247">
        <v>0</v>
      </c>
      <c r="N5247" s="98" t="str">
        <f>IF(record[[#This Row],[Memo]]="Browser:chrome os:android","平板報工",IF(record[[#This Row],[Memo]]=0,"委外",record[[#This Row],[Memo]]))</f>
        <v>平板報工</v>
      </c>
      <c r="O5247" t="s">
        <v>643</v>
      </c>
      <c r="P5247" t="s">
        <v>141</v>
      </c>
      <c r="Q5247" t="s">
        <v>644</v>
      </c>
      <c r="R5247" t="str">
        <f>IFERROR(VLOOKUP(record[[#This Row],[PCUSTID]],廠商[],2,FALSE),"")</f>
        <v/>
      </c>
      <c r="S5247" t="str">
        <f>VLOOKUP(record[[#This Row],[employeeID]],員工[],2,FALSE)</f>
        <v>蔣梅</v>
      </c>
    </row>
    <row r="5248" spans="6:19" hidden="1" x14ac:dyDescent="0.25">
      <c r="F5248" t="s">
        <v>1381</v>
      </c>
      <c r="G5248" t="s">
        <v>420</v>
      </c>
      <c r="H5248" t="str">
        <f>VLOOKUP(record[[#This Row],[ProcessSN]],表格2_7[],2,FALSE)</f>
        <v>30-4118-018-5XX</v>
      </c>
      <c r="I5248" t="str">
        <f>VLOOKUP(record[[#This Row],[ProcessSN]],表格2_7[],3,FALSE)</f>
        <v>#07STOCK</v>
      </c>
      <c r="J5248" t="s">
        <v>592</v>
      </c>
      <c r="K5248" s="195">
        <v>46027.421759259261</v>
      </c>
      <c r="L5248">
        <v>318</v>
      </c>
      <c r="M5248">
        <v>0</v>
      </c>
      <c r="N5248" s="98" t="str">
        <f>IF(record[[#This Row],[Memo]]="Browser:chrome os:android","平板報工",IF(record[[#This Row],[Memo]]=0,"委外",record[[#This Row],[Memo]]))</f>
        <v/>
      </c>
      <c r="O5248" t="s">
        <v>58</v>
      </c>
      <c r="P5248" t="s">
        <v>186</v>
      </c>
      <c r="Q5248" t="s">
        <v>58</v>
      </c>
      <c r="R5248" t="str">
        <f>IFERROR(VLOOKUP(record[[#This Row],[PCUSTID]],廠商[],2,FALSE),"")</f>
        <v/>
      </c>
      <c r="S5248" t="str">
        <f>VLOOKUP(record[[#This Row],[employeeID]],員工[],2,FALSE)</f>
        <v>許文姍</v>
      </c>
    </row>
    <row r="5249" spans="6:19" hidden="1" x14ac:dyDescent="0.25">
      <c r="F5249" t="s">
        <v>1290</v>
      </c>
      <c r="G5249" t="s">
        <v>420</v>
      </c>
      <c r="H5249" t="str">
        <f>VLOOKUP(record[[#This Row],[ProcessSN]],表格2_7[],2,FALSE)</f>
        <v>30-4118-018-5XX</v>
      </c>
      <c r="I5249" t="str">
        <f>VLOOKUP(record[[#This Row],[ProcessSN]],表格2_7[],3,FALSE)</f>
        <v>#07STOCK</v>
      </c>
      <c r="J5249" t="s">
        <v>592</v>
      </c>
      <c r="K5249" s="195">
        <v>46027.421493055554</v>
      </c>
      <c r="L5249">
        <v>138</v>
      </c>
      <c r="M5249">
        <v>0</v>
      </c>
      <c r="N5249" s="98" t="str">
        <f>IF(record[[#This Row],[Memo]]="Browser:chrome os:android","平板報工",IF(record[[#This Row],[Memo]]=0,"委外",record[[#This Row],[Memo]]))</f>
        <v/>
      </c>
      <c r="O5249" t="s">
        <v>58</v>
      </c>
      <c r="P5249" t="s">
        <v>186</v>
      </c>
      <c r="Q5249" t="s">
        <v>58</v>
      </c>
      <c r="R5249" t="str">
        <f>IFERROR(VLOOKUP(record[[#This Row],[PCUSTID]],廠商[],2,FALSE),"")</f>
        <v/>
      </c>
      <c r="S5249" t="str">
        <f>VLOOKUP(record[[#This Row],[employeeID]],員工[],2,FALSE)</f>
        <v>許文姍</v>
      </c>
    </row>
    <row r="5250" spans="6:19" hidden="1" x14ac:dyDescent="0.25">
      <c r="F5250" t="s">
        <v>1236</v>
      </c>
      <c r="G5250" t="s">
        <v>420</v>
      </c>
      <c r="H5250" t="str">
        <f>VLOOKUP(record[[#This Row],[ProcessSN]],表格2_7[],2,FALSE)</f>
        <v>30-4118-018-5XX</v>
      </c>
      <c r="I5250" t="str">
        <f>VLOOKUP(record[[#This Row],[ProcessSN]],表格2_7[],3,FALSE)</f>
        <v>#07STOCK</v>
      </c>
      <c r="J5250" t="s">
        <v>592</v>
      </c>
      <c r="K5250" s="195">
        <v>46027.421284722222</v>
      </c>
      <c r="L5250">
        <v>3</v>
      </c>
      <c r="M5250">
        <v>0</v>
      </c>
      <c r="N5250" s="98" t="str">
        <f>IF(record[[#This Row],[Memo]]="Browser:chrome os:android","平板報工",IF(record[[#This Row],[Memo]]=0,"委外",record[[#This Row],[Memo]]))</f>
        <v/>
      </c>
      <c r="O5250" t="s">
        <v>58</v>
      </c>
      <c r="P5250" t="s">
        <v>186</v>
      </c>
      <c r="Q5250" t="s">
        <v>58</v>
      </c>
      <c r="R5250" t="str">
        <f>IFERROR(VLOOKUP(record[[#This Row],[PCUSTID]],廠商[],2,FALSE),"")</f>
        <v/>
      </c>
      <c r="S5250" t="str">
        <f>VLOOKUP(record[[#This Row],[employeeID]],員工[],2,FALSE)</f>
        <v>許文姍</v>
      </c>
    </row>
    <row r="5251" spans="6:19" hidden="1" x14ac:dyDescent="0.25">
      <c r="F5251" t="s">
        <v>1406</v>
      </c>
      <c r="G5251" t="s">
        <v>468</v>
      </c>
      <c r="H5251" t="str">
        <f>VLOOKUP(record[[#This Row],[ProcessSN]],表格2_7[],2,FALSE)</f>
        <v>30-4118-018-XXX</v>
      </c>
      <c r="I5251" t="str">
        <f>VLOOKUP(record[[#This Row],[ProcessSN]],表格2_7[],3,FALSE)</f>
        <v>#02</v>
      </c>
      <c r="J5251" t="s">
        <v>590</v>
      </c>
      <c r="K5251" s="195">
        <v>46027.375532407408</v>
      </c>
      <c r="L5251">
        <v>504</v>
      </c>
      <c r="M5251">
        <v>0</v>
      </c>
      <c r="N5251" s="98" t="str">
        <f>IF(record[[#This Row],[Memo]]="Browser:chrome os:android","平板報工",IF(record[[#This Row],[Memo]]=0,"委外",record[[#This Row],[Memo]]))</f>
        <v>委外</v>
      </c>
      <c r="P5251" t="s">
        <v>186</v>
      </c>
      <c r="Q5251" t="s">
        <v>216</v>
      </c>
      <c r="R5251" t="str">
        <f>IFERROR(VLOOKUP(record[[#This Row],[PCUSTID]],廠商[],2,FALSE),"")</f>
        <v>俊杰</v>
      </c>
      <c r="S5251" t="str">
        <f>VLOOKUP(record[[#This Row],[employeeID]],員工[],2,FALSE)</f>
        <v>許文姍</v>
      </c>
    </row>
    <row r="5252" spans="6:19" hidden="1" x14ac:dyDescent="0.25">
      <c r="F5252" t="s">
        <v>1385</v>
      </c>
      <c r="G5252" t="s">
        <v>468</v>
      </c>
      <c r="H5252" t="str">
        <f>VLOOKUP(record[[#This Row],[ProcessSN]],表格2_7[],2,FALSE)</f>
        <v>30-4118-018-XXX</v>
      </c>
      <c r="I5252" t="str">
        <f>VLOOKUP(record[[#This Row],[ProcessSN]],表格2_7[],3,FALSE)</f>
        <v>#02</v>
      </c>
      <c r="J5252" t="s">
        <v>590</v>
      </c>
      <c r="K5252" s="195">
        <v>46027.3753125</v>
      </c>
      <c r="L5252">
        <v>984</v>
      </c>
      <c r="M5252">
        <v>0</v>
      </c>
      <c r="N5252" s="98" t="str">
        <f>IF(record[[#This Row],[Memo]]="Browser:chrome os:android","平板報工",IF(record[[#This Row],[Memo]]=0,"委外",record[[#This Row],[Memo]]))</f>
        <v>委外</v>
      </c>
      <c r="P5252" t="s">
        <v>186</v>
      </c>
      <c r="Q5252" t="s">
        <v>216</v>
      </c>
      <c r="R5252" t="str">
        <f>IFERROR(VLOOKUP(record[[#This Row],[PCUSTID]],廠商[],2,FALSE),"")</f>
        <v>俊杰</v>
      </c>
      <c r="S5252" t="str">
        <f>VLOOKUP(record[[#This Row],[employeeID]],員工[],2,FALSE)</f>
        <v>許文姍</v>
      </c>
    </row>
    <row r="5253" spans="6:19" hidden="1" x14ac:dyDescent="0.25">
      <c r="F5253" t="s">
        <v>1406</v>
      </c>
      <c r="G5253" t="s">
        <v>467</v>
      </c>
      <c r="H5253" t="str">
        <f>VLOOKUP(record[[#This Row],[ProcessSN]],表格2_7[],2,FALSE)</f>
        <v>30-4118-018-XXX</v>
      </c>
      <c r="I5253" t="str">
        <f>VLOOKUP(record[[#This Row],[ProcessSN]],表格2_7[],3,FALSE)</f>
        <v>#01QC</v>
      </c>
      <c r="J5253" t="s">
        <v>589</v>
      </c>
      <c r="K5253" s="195">
        <v>46027.344502314816</v>
      </c>
      <c r="L5253">
        <v>504</v>
      </c>
      <c r="M5253">
        <v>0</v>
      </c>
      <c r="N5253" s="98" t="str">
        <f>IF(record[[#This Row],[Memo]]="Browser:chrome os:android","平板報工",IF(record[[#This Row],[Memo]]=0,"委外",record[[#This Row],[Memo]]))</f>
        <v>平板報工</v>
      </c>
      <c r="O5253" t="s">
        <v>643</v>
      </c>
      <c r="P5253" t="s">
        <v>182</v>
      </c>
      <c r="Q5253" t="s">
        <v>644</v>
      </c>
      <c r="R5253" t="str">
        <f>IFERROR(VLOOKUP(record[[#This Row],[PCUSTID]],廠商[],2,FALSE),"")</f>
        <v/>
      </c>
      <c r="S5253" t="str">
        <f>VLOOKUP(record[[#This Row],[employeeID]],員工[],2,FALSE)</f>
        <v>梅氏和</v>
      </c>
    </row>
    <row r="5254" spans="6:19" hidden="1" x14ac:dyDescent="0.25">
      <c r="F5254" t="s">
        <v>1369</v>
      </c>
      <c r="G5254" t="s">
        <v>426</v>
      </c>
      <c r="H5254" t="str">
        <f>VLOOKUP(record[[#This Row],[ProcessSN]],表格2_7[],2,FALSE)</f>
        <v>30-4118-018-600</v>
      </c>
      <c r="I5254" t="str">
        <f>VLOOKUP(record[[#This Row],[ProcessSN]],表格2_7[],3,FALSE)</f>
        <v>#100OQC</v>
      </c>
      <c r="J5254" t="s">
        <v>599</v>
      </c>
      <c r="K5254" s="195">
        <v>46027.339861111112</v>
      </c>
      <c r="L5254">
        <v>243</v>
      </c>
      <c r="M5254">
        <v>0</v>
      </c>
      <c r="N5254" s="98" t="str">
        <f>IF(record[[#This Row],[Memo]]="Browser:chrome os:android","平板報工",IF(record[[#This Row],[Memo]]=0,"委外",record[[#This Row],[Memo]]))</f>
        <v/>
      </c>
      <c r="O5254" t="s">
        <v>58</v>
      </c>
      <c r="P5254" t="s">
        <v>121</v>
      </c>
      <c r="Q5254" t="s">
        <v>58</v>
      </c>
      <c r="R5254" t="str">
        <f>IFERROR(VLOOKUP(record[[#This Row],[PCUSTID]],廠商[],2,FALSE),"")</f>
        <v/>
      </c>
      <c r="S5254" t="str">
        <f>VLOOKUP(record[[#This Row],[employeeID]],員工[],2,FALSE)</f>
        <v>謝素卿</v>
      </c>
    </row>
    <row r="5255" spans="6:19" hidden="1" x14ac:dyDescent="0.25">
      <c r="F5255" t="s">
        <v>1366</v>
      </c>
      <c r="G5255" t="s">
        <v>401</v>
      </c>
      <c r="H5255" t="str">
        <f>VLOOKUP(record[[#This Row],[ProcessSN]],表格2_7[],2,FALSE)</f>
        <v>30-4118-018-550</v>
      </c>
      <c r="I5255" t="str">
        <f>VLOOKUP(record[[#This Row],[ProcessSN]],表格2_7[],3,FALSE)</f>
        <v>#100OQC</v>
      </c>
      <c r="J5255" t="s">
        <v>599</v>
      </c>
      <c r="K5255" s="195">
        <v>46027.339594907404</v>
      </c>
      <c r="L5255">
        <v>169</v>
      </c>
      <c r="M5255">
        <v>0</v>
      </c>
      <c r="N5255" s="98" t="str">
        <f>IF(record[[#This Row],[Memo]]="Browser:chrome os:android","平板報工",IF(record[[#This Row],[Memo]]=0,"委外",record[[#This Row],[Memo]]))</f>
        <v/>
      </c>
      <c r="O5255" t="s">
        <v>58</v>
      </c>
      <c r="P5255" t="s">
        <v>121</v>
      </c>
      <c r="Q5255" t="s">
        <v>58</v>
      </c>
      <c r="R5255" t="str">
        <f>IFERROR(VLOOKUP(record[[#This Row],[PCUSTID]],廠商[],2,FALSE),"")</f>
        <v/>
      </c>
      <c r="S5255" t="str">
        <f>VLOOKUP(record[[#This Row],[employeeID]],員工[],2,FALSE)</f>
        <v>謝素卿</v>
      </c>
    </row>
    <row r="5256" spans="6:19" hidden="1" x14ac:dyDescent="0.25">
      <c r="F5256" t="s">
        <v>1381</v>
      </c>
      <c r="G5256" t="s">
        <v>418</v>
      </c>
      <c r="H5256" t="str">
        <f>VLOOKUP(record[[#This Row],[ProcessSN]],表格2_7[],2,FALSE)</f>
        <v>30-4118-018-5XX</v>
      </c>
      <c r="I5256" t="str">
        <f>VLOOKUP(record[[#This Row],[ProcessSN]],表格2_7[],3,FALSE)</f>
        <v>#07</v>
      </c>
      <c r="J5256" t="s">
        <v>588</v>
      </c>
      <c r="K5256" s="195">
        <v>46026.301631944443</v>
      </c>
      <c r="L5256">
        <v>178</v>
      </c>
      <c r="M5256">
        <v>2</v>
      </c>
      <c r="N5256" s="98" t="str">
        <f>IF(record[[#This Row],[Memo]]="Browser:chrome os:android","平板報工",IF(record[[#This Row],[Memo]]=0,"委外",record[[#This Row],[Memo]]))</f>
        <v/>
      </c>
      <c r="O5256" t="s">
        <v>58</v>
      </c>
      <c r="P5256" t="s">
        <v>843</v>
      </c>
      <c r="Q5256" t="s">
        <v>58</v>
      </c>
      <c r="R5256" t="str">
        <f>IFERROR(VLOOKUP(record[[#This Row],[PCUSTID]],廠商[],2,FALSE),"")</f>
        <v/>
      </c>
      <c r="S5256" t="str">
        <f>VLOOKUP(record[[#This Row],[employeeID]],員工[],2,FALSE)</f>
        <v>張楚承</v>
      </c>
    </row>
    <row r="5257" spans="6:19" hidden="1" x14ac:dyDescent="0.25">
      <c r="F5257" t="s">
        <v>1381</v>
      </c>
      <c r="G5257" t="s">
        <v>417</v>
      </c>
      <c r="H5257" t="str">
        <f>VLOOKUP(record[[#This Row],[ProcessSN]],表格2_7[],2,FALSE)</f>
        <v>30-4118-018-5XX</v>
      </c>
      <c r="I5257" t="str">
        <f>VLOOKUP(record[[#This Row],[ProcessSN]],表格2_7[],3,FALSE)</f>
        <v>#06</v>
      </c>
      <c r="J5257" t="s">
        <v>593</v>
      </c>
      <c r="K5257" s="195">
        <v>46026.301388888889</v>
      </c>
      <c r="L5257">
        <v>133</v>
      </c>
      <c r="M5257">
        <v>0</v>
      </c>
      <c r="N5257" s="98" t="str">
        <f>IF(record[[#This Row],[Memo]]="Browser:chrome os:android","平板報工",IF(record[[#This Row],[Memo]]=0,"委外",record[[#This Row],[Memo]]))</f>
        <v/>
      </c>
      <c r="O5257" t="s">
        <v>58</v>
      </c>
      <c r="P5257" t="s">
        <v>180</v>
      </c>
      <c r="Q5257" t="s">
        <v>58</v>
      </c>
      <c r="R5257" t="str">
        <f>IFERROR(VLOOKUP(record[[#This Row],[PCUSTID]],廠商[],2,FALSE),"")</f>
        <v/>
      </c>
      <c r="S5257" t="str">
        <f>VLOOKUP(record[[#This Row],[employeeID]],員工[],2,FALSE)</f>
        <v>黎功江</v>
      </c>
    </row>
    <row r="5258" spans="6:19" hidden="1" x14ac:dyDescent="0.25">
      <c r="F5258" t="s">
        <v>1381</v>
      </c>
      <c r="G5258" t="s">
        <v>416</v>
      </c>
      <c r="H5258" t="str">
        <f>VLOOKUP(record[[#This Row],[ProcessSN]],表格2_7[],2,FALSE)</f>
        <v>30-4118-018-5XX</v>
      </c>
      <c r="I5258" t="str">
        <f>VLOOKUP(record[[#This Row],[ProcessSN]],表格2_7[],3,FALSE)</f>
        <v>#05</v>
      </c>
      <c r="J5258" t="s">
        <v>588</v>
      </c>
      <c r="K5258" s="195">
        <v>46026.301168981481</v>
      </c>
      <c r="L5258">
        <v>126</v>
      </c>
      <c r="M5258">
        <v>0</v>
      </c>
      <c r="N5258" s="98" t="str">
        <f>IF(record[[#This Row],[Memo]]="Browser:chrome os:android","平板報工",IF(record[[#This Row],[Memo]]=0,"委外",record[[#This Row],[Memo]]))</f>
        <v/>
      </c>
      <c r="O5258" t="s">
        <v>58</v>
      </c>
      <c r="P5258" t="s">
        <v>843</v>
      </c>
      <c r="Q5258" t="s">
        <v>58</v>
      </c>
      <c r="R5258" t="str">
        <f>IFERROR(VLOOKUP(record[[#This Row],[PCUSTID]],廠商[],2,FALSE),"")</f>
        <v/>
      </c>
      <c r="S5258" t="str">
        <f>VLOOKUP(record[[#This Row],[employeeID]],員工[],2,FALSE)</f>
        <v>張楚承</v>
      </c>
    </row>
    <row r="5259" spans="6:19" hidden="1" x14ac:dyDescent="0.25">
      <c r="F5259" t="s">
        <v>1381</v>
      </c>
      <c r="G5259" t="s">
        <v>415</v>
      </c>
      <c r="H5259" t="str">
        <f>VLOOKUP(record[[#This Row],[ProcessSN]],表格2_7[],2,FALSE)</f>
        <v>30-4118-018-5XX</v>
      </c>
      <c r="I5259" t="str">
        <f>VLOOKUP(record[[#This Row],[ProcessSN]],表格2_7[],3,FALSE)</f>
        <v>#04</v>
      </c>
      <c r="J5259" t="s">
        <v>588</v>
      </c>
      <c r="K5259" s="195">
        <v>46026.301006944443</v>
      </c>
      <c r="L5259">
        <v>126</v>
      </c>
      <c r="M5259">
        <v>0</v>
      </c>
      <c r="N5259" s="98" t="str">
        <f>IF(record[[#This Row],[Memo]]="Browser:chrome os:android","平板報工",IF(record[[#This Row],[Memo]]=0,"委外",record[[#This Row],[Memo]]))</f>
        <v/>
      </c>
      <c r="O5259" t="s">
        <v>58</v>
      </c>
      <c r="P5259" t="s">
        <v>843</v>
      </c>
      <c r="Q5259" t="s">
        <v>58</v>
      </c>
      <c r="R5259" t="str">
        <f>IFERROR(VLOOKUP(record[[#This Row],[PCUSTID]],廠商[],2,FALSE),"")</f>
        <v/>
      </c>
      <c r="S5259" t="str">
        <f>VLOOKUP(record[[#This Row],[employeeID]],員工[],2,FALSE)</f>
        <v>張楚承</v>
      </c>
    </row>
    <row r="5260" spans="6:19" hidden="1" x14ac:dyDescent="0.25">
      <c r="F5260" t="s">
        <v>1381</v>
      </c>
      <c r="G5260" t="s">
        <v>418</v>
      </c>
      <c r="H5260" t="str">
        <f>VLOOKUP(record[[#This Row],[ProcessSN]],表格2_7[],2,FALSE)</f>
        <v>30-4118-018-5XX</v>
      </c>
      <c r="I5260" t="str">
        <f>VLOOKUP(record[[#This Row],[ProcessSN]],表格2_7[],3,FALSE)</f>
        <v>#07</v>
      </c>
      <c r="J5260" t="s">
        <v>588</v>
      </c>
      <c r="K5260" s="195">
        <v>46025.968159722222</v>
      </c>
      <c r="L5260">
        <v>188</v>
      </c>
      <c r="M5260">
        <v>0</v>
      </c>
      <c r="N5260" s="98" t="str">
        <f>IF(record[[#This Row],[Memo]]="Browser:chrome os:android","平板報工",IF(record[[#This Row],[Memo]]=0,"委外",record[[#This Row],[Memo]]))</f>
        <v/>
      </c>
      <c r="O5260" t="s">
        <v>58</v>
      </c>
      <c r="P5260" t="s">
        <v>89</v>
      </c>
      <c r="Q5260" t="s">
        <v>58</v>
      </c>
      <c r="R5260" t="str">
        <f>IFERROR(VLOOKUP(record[[#This Row],[PCUSTID]],廠商[],2,FALSE),"")</f>
        <v/>
      </c>
      <c r="S5260" t="str">
        <f>VLOOKUP(record[[#This Row],[employeeID]],員工[],2,FALSE)</f>
        <v>李美蓮</v>
      </c>
    </row>
    <row r="5261" spans="6:19" hidden="1" x14ac:dyDescent="0.25">
      <c r="F5261" t="s">
        <v>1381</v>
      </c>
      <c r="G5261" t="s">
        <v>417</v>
      </c>
      <c r="H5261" t="str">
        <f>VLOOKUP(record[[#This Row],[ProcessSN]],表格2_7[],2,FALSE)</f>
        <v>30-4118-018-5XX</v>
      </c>
      <c r="I5261" t="str">
        <f>VLOOKUP(record[[#This Row],[ProcessSN]],表格2_7[],3,FALSE)</f>
        <v>#06</v>
      </c>
      <c r="J5261" t="s">
        <v>593</v>
      </c>
      <c r="K5261" s="195">
        <v>46025.967407407406</v>
      </c>
      <c r="L5261">
        <v>133</v>
      </c>
      <c r="M5261">
        <v>0</v>
      </c>
      <c r="N5261" s="98" t="str">
        <f>IF(record[[#This Row],[Memo]]="Browser:chrome os:android","平板報工",IF(record[[#This Row],[Memo]]=0,"委外",record[[#This Row],[Memo]]))</f>
        <v/>
      </c>
      <c r="O5261" t="s">
        <v>58</v>
      </c>
      <c r="P5261" t="s">
        <v>176</v>
      </c>
      <c r="Q5261" t="s">
        <v>58</v>
      </c>
      <c r="R5261" t="str">
        <f>IFERROR(VLOOKUP(record[[#This Row],[PCUSTID]],廠商[],2,FALSE),"")</f>
        <v/>
      </c>
      <c r="S5261" t="str">
        <f>VLOOKUP(record[[#This Row],[employeeID]],員工[],2,FALSE)</f>
        <v>郭政雄</v>
      </c>
    </row>
    <row r="5262" spans="6:19" hidden="1" x14ac:dyDescent="0.25">
      <c r="F5262" t="s">
        <v>1381</v>
      </c>
      <c r="G5262" t="s">
        <v>416</v>
      </c>
      <c r="H5262" t="str">
        <f>VLOOKUP(record[[#This Row],[ProcessSN]],表格2_7[],2,FALSE)</f>
        <v>30-4118-018-5XX</v>
      </c>
      <c r="I5262" t="str">
        <f>VLOOKUP(record[[#This Row],[ProcessSN]],表格2_7[],3,FALSE)</f>
        <v>#05</v>
      </c>
      <c r="J5262" t="s">
        <v>588</v>
      </c>
      <c r="K5262" s="195">
        <v>46025.966828703706</v>
      </c>
      <c r="L5262">
        <v>154</v>
      </c>
      <c r="M5262">
        <v>0</v>
      </c>
      <c r="N5262" s="98" t="str">
        <f>IF(record[[#This Row],[Memo]]="Browser:chrome os:android","平板報工",IF(record[[#This Row],[Memo]]=0,"委外",record[[#This Row],[Memo]]))</f>
        <v/>
      </c>
      <c r="O5262" t="s">
        <v>58</v>
      </c>
      <c r="P5262" t="s">
        <v>89</v>
      </c>
      <c r="Q5262" t="s">
        <v>58</v>
      </c>
      <c r="R5262" t="str">
        <f>IFERROR(VLOOKUP(record[[#This Row],[PCUSTID]],廠商[],2,FALSE),"")</f>
        <v/>
      </c>
      <c r="S5262" t="str">
        <f>VLOOKUP(record[[#This Row],[employeeID]],員工[],2,FALSE)</f>
        <v>李美蓮</v>
      </c>
    </row>
    <row r="5263" spans="6:19" hidden="1" x14ac:dyDescent="0.25">
      <c r="F5263" t="s">
        <v>1381</v>
      </c>
      <c r="G5263" t="s">
        <v>415</v>
      </c>
      <c r="H5263" t="str">
        <f>VLOOKUP(record[[#This Row],[ProcessSN]],表格2_7[],2,FALSE)</f>
        <v>30-4118-018-5XX</v>
      </c>
      <c r="I5263" t="str">
        <f>VLOOKUP(record[[#This Row],[ProcessSN]],表格2_7[],3,FALSE)</f>
        <v>#04</v>
      </c>
      <c r="J5263" t="s">
        <v>588</v>
      </c>
      <c r="K5263" s="195">
        <v>46025.966180555559</v>
      </c>
      <c r="L5263">
        <v>142</v>
      </c>
      <c r="M5263">
        <v>0</v>
      </c>
      <c r="N5263" s="98" t="str">
        <f>IF(record[[#This Row],[Memo]]="Browser:chrome os:android","平板報工",IF(record[[#This Row],[Memo]]=0,"委外",record[[#This Row],[Memo]]))</f>
        <v/>
      </c>
      <c r="O5263" t="s">
        <v>58</v>
      </c>
      <c r="P5263" t="s">
        <v>1098</v>
      </c>
      <c r="Q5263" t="s">
        <v>58</v>
      </c>
      <c r="R5263" t="str">
        <f>IFERROR(VLOOKUP(record[[#This Row],[PCUSTID]],廠商[],2,FALSE),"")</f>
        <v/>
      </c>
      <c r="S5263" t="str">
        <f>VLOOKUP(record[[#This Row],[employeeID]],員工[],2,FALSE)</f>
        <v>阮氏芳英(英)</v>
      </c>
    </row>
    <row r="5264" spans="6:19" hidden="1" x14ac:dyDescent="0.25">
      <c r="F5264" t="s">
        <v>1406</v>
      </c>
      <c r="G5264" t="s">
        <v>466</v>
      </c>
      <c r="H5264" t="str">
        <f>VLOOKUP(record[[#This Row],[ProcessSN]],表格2_7[],2,FALSE)</f>
        <v>30-4118-018-XXX</v>
      </c>
      <c r="I5264" t="str">
        <f>VLOOKUP(record[[#This Row],[ProcessSN]],表格2_7[],3,FALSE)</f>
        <v>#01-2</v>
      </c>
      <c r="J5264" t="s">
        <v>588</v>
      </c>
      <c r="K5264" s="195">
        <v>46025.965868055559</v>
      </c>
      <c r="L5264">
        <v>600</v>
      </c>
      <c r="M5264">
        <v>0</v>
      </c>
      <c r="N5264" s="98" t="str">
        <f>IF(record[[#This Row],[Memo]]="Browser:chrome os:android","平板報工",IF(record[[#This Row],[Memo]]=0,"委外",record[[#This Row],[Memo]]))</f>
        <v/>
      </c>
      <c r="O5264" t="s">
        <v>58</v>
      </c>
      <c r="P5264" t="s">
        <v>1098</v>
      </c>
      <c r="Q5264" t="s">
        <v>58</v>
      </c>
      <c r="R5264" t="str">
        <f>IFERROR(VLOOKUP(record[[#This Row],[PCUSTID]],廠商[],2,FALSE),"")</f>
        <v/>
      </c>
      <c r="S5264" t="str">
        <f>VLOOKUP(record[[#This Row],[employeeID]],員工[],2,FALSE)</f>
        <v>阮氏芳英(英)</v>
      </c>
    </row>
    <row r="5265" spans="6:19" hidden="1" x14ac:dyDescent="0.25">
      <c r="F5265" t="s">
        <v>1406</v>
      </c>
      <c r="G5265" t="s">
        <v>465</v>
      </c>
      <c r="H5265" t="str">
        <f>VLOOKUP(record[[#This Row],[ProcessSN]],表格2_7[],2,FALSE)</f>
        <v>30-4118-018-XXX</v>
      </c>
      <c r="I5265" t="str">
        <f>VLOOKUP(record[[#This Row],[ProcessSN]],表格2_7[],3,FALSE)</f>
        <v>#01-1</v>
      </c>
      <c r="J5265" t="s">
        <v>588</v>
      </c>
      <c r="K5265" s="195">
        <v>46025.965567129628</v>
      </c>
      <c r="L5265">
        <v>1112</v>
      </c>
      <c r="M5265">
        <v>0</v>
      </c>
      <c r="N5265" s="98" t="str">
        <f>IF(record[[#This Row],[Memo]]="Browser:chrome os:android","平板報工",IF(record[[#This Row],[Memo]]=0,"委外",record[[#This Row],[Memo]]))</f>
        <v/>
      </c>
      <c r="O5265" t="s">
        <v>58</v>
      </c>
      <c r="P5265" t="s">
        <v>1098</v>
      </c>
      <c r="Q5265" t="s">
        <v>58</v>
      </c>
      <c r="R5265" t="str">
        <f>IFERROR(VLOOKUP(record[[#This Row],[PCUSTID]],廠商[],2,FALSE),"")</f>
        <v/>
      </c>
      <c r="S5265" t="str">
        <f>VLOOKUP(record[[#This Row],[employeeID]],員工[],2,FALSE)</f>
        <v>阮氏芳英(英)</v>
      </c>
    </row>
    <row r="5266" spans="6:19" hidden="1" x14ac:dyDescent="0.25">
      <c r="F5266" t="s">
        <v>1385</v>
      </c>
      <c r="G5266" t="s">
        <v>470</v>
      </c>
      <c r="H5266" t="str">
        <f>VLOOKUP(record[[#This Row],[ProcessSN]],表格2_7[],2,FALSE)</f>
        <v>30-4118-018-XXX</v>
      </c>
      <c r="I5266" t="str">
        <f>VLOOKUP(record[[#This Row],[ProcessSN]],表格2_7[],3,FALSE)</f>
        <v>#02IQC</v>
      </c>
      <c r="J5266" t="s">
        <v>583</v>
      </c>
      <c r="K5266" s="195">
        <v>46025.707349537035</v>
      </c>
      <c r="L5266">
        <v>839</v>
      </c>
      <c r="M5266">
        <v>0</v>
      </c>
      <c r="N5266" s="98" t="str">
        <f>IF(record[[#This Row],[Memo]]="Browser:chrome os:android","平板報工",IF(record[[#This Row],[Memo]]=0,"委外",record[[#This Row],[Memo]]))</f>
        <v/>
      </c>
      <c r="O5266" t="s">
        <v>58</v>
      </c>
      <c r="P5266" t="s">
        <v>109</v>
      </c>
      <c r="Q5266" t="s">
        <v>58</v>
      </c>
      <c r="R5266" t="str">
        <f>IFERROR(VLOOKUP(record[[#This Row],[PCUSTID]],廠商[],2,FALSE),"")</f>
        <v/>
      </c>
      <c r="S5266" t="str">
        <f>VLOOKUP(record[[#This Row],[employeeID]],員工[],2,FALSE)</f>
        <v>裴氏璧鳳</v>
      </c>
    </row>
    <row r="5267" spans="6:19" hidden="1" x14ac:dyDescent="0.25">
      <c r="F5267" t="s">
        <v>1406</v>
      </c>
      <c r="G5267" t="s">
        <v>466</v>
      </c>
      <c r="H5267" t="str">
        <f>VLOOKUP(record[[#This Row],[ProcessSN]],表格2_7[],2,FALSE)</f>
        <v>30-4118-018-XXX</v>
      </c>
      <c r="I5267" t="str">
        <f>VLOOKUP(record[[#This Row],[ProcessSN]],表格2_7[],3,FALSE)</f>
        <v>#01-2</v>
      </c>
      <c r="J5267" t="s">
        <v>588</v>
      </c>
      <c r="K5267" s="195">
        <v>46025.706446759257</v>
      </c>
      <c r="L5267">
        <v>16</v>
      </c>
      <c r="M5267">
        <v>0</v>
      </c>
      <c r="N5267" s="98" t="str">
        <f>IF(record[[#This Row],[Memo]]="Browser:chrome os:android","平板報工",IF(record[[#This Row],[Memo]]=0,"委外",record[[#This Row],[Memo]]))</f>
        <v/>
      </c>
      <c r="O5267" t="s">
        <v>58</v>
      </c>
      <c r="P5267" t="s">
        <v>107</v>
      </c>
      <c r="Q5267" t="s">
        <v>58</v>
      </c>
      <c r="R5267" t="str">
        <f>IFERROR(VLOOKUP(record[[#This Row],[PCUSTID]],廠商[],2,FALSE),"")</f>
        <v/>
      </c>
      <c r="S5267" t="str">
        <f>VLOOKUP(record[[#This Row],[employeeID]],員工[],2,FALSE)</f>
        <v>黎氏順</v>
      </c>
    </row>
    <row r="5268" spans="6:19" hidden="1" x14ac:dyDescent="0.25">
      <c r="F5268" t="s">
        <v>1400</v>
      </c>
      <c r="G5268" t="s">
        <v>358</v>
      </c>
      <c r="H5268" t="str">
        <f>VLOOKUP(record[[#This Row],[ProcessSN]],表格2_7[],2,FALSE)</f>
        <v>30-4118-018-450</v>
      </c>
      <c r="I5268" t="str">
        <f>VLOOKUP(record[[#This Row],[ProcessSN]],表格2_7[],3,FALSE)</f>
        <v>#08IQC</v>
      </c>
      <c r="J5268" t="s">
        <v>583</v>
      </c>
      <c r="K5268" s="195">
        <v>46025.706435185188</v>
      </c>
      <c r="L5268">
        <v>211</v>
      </c>
      <c r="M5268">
        <v>0</v>
      </c>
      <c r="N5268" s="98" t="str">
        <f>IF(record[[#This Row],[Memo]]="Browser:chrome os:android","平板報工",IF(record[[#This Row],[Memo]]=0,"委外",record[[#This Row],[Memo]]))</f>
        <v/>
      </c>
      <c r="O5268" t="s">
        <v>58</v>
      </c>
      <c r="P5268" t="s">
        <v>109</v>
      </c>
      <c r="Q5268" t="s">
        <v>58</v>
      </c>
      <c r="R5268" t="str">
        <f>IFERROR(VLOOKUP(record[[#This Row],[PCUSTID]],廠商[],2,FALSE),"")</f>
        <v/>
      </c>
      <c r="S5268" t="str">
        <f>VLOOKUP(record[[#This Row],[employeeID]],員工[],2,FALSE)</f>
        <v>裴氏璧鳳</v>
      </c>
    </row>
    <row r="5269" spans="6:19" hidden="1" x14ac:dyDescent="0.25">
      <c r="F5269" t="s">
        <v>1388</v>
      </c>
      <c r="G5269" t="s">
        <v>424</v>
      </c>
      <c r="H5269" t="str">
        <f>VLOOKUP(record[[#This Row],[ProcessSN]],表格2_7[],2,FALSE)</f>
        <v>30-4118-018-600</v>
      </c>
      <c r="I5269" t="str">
        <f>VLOOKUP(record[[#This Row],[ProcessSN]],表格2_7[],3,FALSE)</f>
        <v>#08IQC</v>
      </c>
      <c r="J5269" t="s">
        <v>583</v>
      </c>
      <c r="K5269" s="195">
        <v>46025.70621527778</v>
      </c>
      <c r="L5269">
        <v>72</v>
      </c>
      <c r="M5269">
        <v>0</v>
      </c>
      <c r="N5269" s="98" t="str">
        <f>IF(record[[#This Row],[Memo]]="Browser:chrome os:android","平板報工",IF(record[[#This Row],[Memo]]=0,"委外",record[[#This Row],[Memo]]))</f>
        <v/>
      </c>
      <c r="O5269" t="s">
        <v>58</v>
      </c>
      <c r="P5269" t="s">
        <v>109</v>
      </c>
      <c r="Q5269" t="s">
        <v>58</v>
      </c>
      <c r="R5269" t="str">
        <f>IFERROR(VLOOKUP(record[[#This Row],[PCUSTID]],廠商[],2,FALSE),"")</f>
        <v/>
      </c>
      <c r="S5269" t="str">
        <f>VLOOKUP(record[[#This Row],[employeeID]],員工[],2,FALSE)</f>
        <v>裴氏璧鳳</v>
      </c>
    </row>
    <row r="5270" spans="6:19" hidden="1" x14ac:dyDescent="0.25">
      <c r="F5270" t="s">
        <v>1391</v>
      </c>
      <c r="G5270" t="s">
        <v>424</v>
      </c>
      <c r="H5270" t="str">
        <f>VLOOKUP(record[[#This Row],[ProcessSN]],表格2_7[],2,FALSE)</f>
        <v>30-4118-018-600</v>
      </c>
      <c r="I5270" t="str">
        <f>VLOOKUP(record[[#This Row],[ProcessSN]],表格2_7[],3,FALSE)</f>
        <v>#08IQC</v>
      </c>
      <c r="J5270" t="s">
        <v>583</v>
      </c>
      <c r="K5270" s="195">
        <v>46025.706099537034</v>
      </c>
      <c r="L5270">
        <v>397</v>
      </c>
      <c r="M5270">
        <v>0</v>
      </c>
      <c r="N5270" s="98" t="str">
        <f>IF(record[[#This Row],[Memo]]="Browser:chrome os:android","平板報工",IF(record[[#This Row],[Memo]]=0,"委外",record[[#This Row],[Memo]]))</f>
        <v/>
      </c>
      <c r="O5270" t="s">
        <v>58</v>
      </c>
      <c r="P5270" t="s">
        <v>109</v>
      </c>
      <c r="Q5270" t="s">
        <v>58</v>
      </c>
      <c r="R5270" t="str">
        <f>IFERROR(VLOOKUP(record[[#This Row],[PCUSTID]],廠商[],2,FALSE),"")</f>
        <v/>
      </c>
      <c r="S5270" t="str">
        <f>VLOOKUP(record[[#This Row],[employeeID]],員工[],2,FALSE)</f>
        <v>裴氏璧鳳</v>
      </c>
    </row>
    <row r="5271" spans="6:19" hidden="1" x14ac:dyDescent="0.25">
      <c r="F5271" t="s">
        <v>1406</v>
      </c>
      <c r="G5271" t="s">
        <v>465</v>
      </c>
      <c r="H5271" t="str">
        <f>VLOOKUP(record[[#This Row],[ProcessSN]],表格2_7[],2,FALSE)</f>
        <v>30-4118-018-XXX</v>
      </c>
      <c r="I5271" t="str">
        <f>VLOOKUP(record[[#This Row],[ProcessSN]],表格2_7[],3,FALSE)</f>
        <v>#01-1</v>
      </c>
      <c r="J5271" t="s">
        <v>588</v>
      </c>
      <c r="K5271" s="195">
        <v>46025.706064814818</v>
      </c>
      <c r="L5271">
        <v>48</v>
      </c>
      <c r="M5271">
        <v>0</v>
      </c>
      <c r="N5271" s="98" t="str">
        <f>IF(record[[#This Row],[Memo]]="Browser:chrome os:android","平板報工",IF(record[[#This Row],[Memo]]=0,"委外",record[[#This Row],[Memo]]))</f>
        <v/>
      </c>
      <c r="O5271" t="s">
        <v>58</v>
      </c>
      <c r="P5271" t="s">
        <v>107</v>
      </c>
      <c r="Q5271" t="s">
        <v>58</v>
      </c>
      <c r="R5271" t="str">
        <f>IFERROR(VLOOKUP(record[[#This Row],[PCUSTID]],廠商[],2,FALSE),"")</f>
        <v/>
      </c>
      <c r="S5271" t="str">
        <f>VLOOKUP(record[[#This Row],[employeeID]],員工[],2,FALSE)</f>
        <v>黎氏順</v>
      </c>
    </row>
    <row r="5272" spans="6:19" hidden="1" x14ac:dyDescent="0.25">
      <c r="F5272" t="s">
        <v>1406</v>
      </c>
      <c r="G5272" t="s">
        <v>464</v>
      </c>
      <c r="H5272" t="str">
        <f>VLOOKUP(record[[#This Row],[ProcessSN]],表格2_7[],2,FALSE)</f>
        <v>30-4118-018-XXX</v>
      </c>
      <c r="I5272" t="str">
        <f>VLOOKUP(record[[#This Row],[ProcessSN]],表格2_7[],3,FALSE)</f>
        <v>#01GIVE</v>
      </c>
      <c r="J5272" t="s">
        <v>587</v>
      </c>
      <c r="K5272" s="195">
        <v>46025.703182870369</v>
      </c>
      <c r="L5272">
        <v>1160</v>
      </c>
      <c r="M5272">
        <v>0</v>
      </c>
      <c r="N5272" s="98" t="str">
        <f>IF(record[[#This Row],[Memo]]="Browser:chrome os:android","平板報工",IF(record[[#This Row],[Memo]]=0,"委外",record[[#This Row],[Memo]]))</f>
        <v/>
      </c>
      <c r="O5272" t="s">
        <v>58</v>
      </c>
      <c r="P5272" t="s">
        <v>1070</v>
      </c>
      <c r="Q5272" t="s">
        <v>58</v>
      </c>
      <c r="R5272" t="str">
        <f>IFERROR(VLOOKUP(record[[#This Row],[PCUSTID]],廠商[],2,FALSE),"")</f>
        <v/>
      </c>
      <c r="S5272" t="str">
        <f>VLOOKUP(record[[#This Row],[employeeID]],員工[],2,FALSE)</f>
        <v>陳昱佑</v>
      </c>
    </row>
    <row r="5273" spans="6:19" hidden="1" x14ac:dyDescent="0.25">
      <c r="F5273" t="s">
        <v>1236</v>
      </c>
      <c r="G5273" t="s">
        <v>419</v>
      </c>
      <c r="H5273" t="str">
        <f>VLOOKUP(record[[#This Row],[ProcessSN]],表格2_7[],2,FALSE)</f>
        <v>30-4118-018-5XX</v>
      </c>
      <c r="I5273" t="str">
        <f>VLOOKUP(record[[#This Row],[ProcessSN]],表格2_7[],3,FALSE)</f>
        <v>#07QC</v>
      </c>
      <c r="J5273" t="s">
        <v>589</v>
      </c>
      <c r="K5273" s="195">
        <v>46025.691342592596</v>
      </c>
      <c r="L5273">
        <v>0</v>
      </c>
      <c r="M5273">
        <v>3</v>
      </c>
      <c r="N5273" s="98" t="str">
        <f>IF(record[[#This Row],[Memo]]="Browser:chrome os:android","平板報工",IF(record[[#This Row],[Memo]]=0,"委外",record[[#This Row],[Memo]]))</f>
        <v/>
      </c>
      <c r="O5273" t="s">
        <v>58</v>
      </c>
      <c r="P5273" t="s">
        <v>141</v>
      </c>
      <c r="Q5273" t="s">
        <v>58</v>
      </c>
      <c r="R5273" t="str">
        <f>IFERROR(VLOOKUP(record[[#This Row],[PCUSTID]],廠商[],2,FALSE),"")</f>
        <v/>
      </c>
      <c r="S5273" t="str">
        <f>VLOOKUP(record[[#This Row],[employeeID]],員工[],2,FALSE)</f>
        <v>蔣梅</v>
      </c>
    </row>
    <row r="5274" spans="6:19" hidden="1" x14ac:dyDescent="0.25">
      <c r="F5274" t="s">
        <v>1236</v>
      </c>
      <c r="G5274" t="s">
        <v>419</v>
      </c>
      <c r="H5274" t="str">
        <f>VLOOKUP(record[[#This Row],[ProcessSN]],表格2_7[],2,FALSE)</f>
        <v>30-4118-018-5XX</v>
      </c>
      <c r="I5274" t="str">
        <f>VLOOKUP(record[[#This Row],[ProcessSN]],表格2_7[],3,FALSE)</f>
        <v>#07QC</v>
      </c>
      <c r="J5274" t="s">
        <v>589</v>
      </c>
      <c r="K5274" s="195">
        <v>46025.691192129627</v>
      </c>
      <c r="L5274">
        <v>3</v>
      </c>
      <c r="M5274">
        <v>0</v>
      </c>
      <c r="N5274" s="98" t="str">
        <f>IF(record[[#This Row],[Memo]]="Browser:chrome os:android","平板報工",IF(record[[#This Row],[Memo]]=0,"委外",record[[#This Row],[Memo]]))</f>
        <v>覆回</v>
      </c>
      <c r="O5274" t="s">
        <v>682</v>
      </c>
      <c r="P5274" t="s">
        <v>141</v>
      </c>
      <c r="Q5274" t="s">
        <v>58</v>
      </c>
      <c r="R5274" t="str">
        <f>IFERROR(VLOOKUP(record[[#This Row],[PCUSTID]],廠商[],2,FALSE),"")</f>
        <v/>
      </c>
      <c r="S5274" t="str">
        <f>VLOOKUP(record[[#This Row],[employeeID]],員工[],2,FALSE)</f>
        <v>蔣梅</v>
      </c>
    </row>
    <row r="5275" spans="6:19" hidden="1" x14ac:dyDescent="0.25">
      <c r="F5275" t="s">
        <v>1381</v>
      </c>
      <c r="G5275" t="s">
        <v>419</v>
      </c>
      <c r="H5275" t="str">
        <f>VLOOKUP(record[[#This Row],[ProcessSN]],表格2_7[],2,FALSE)</f>
        <v>30-4118-018-5XX</v>
      </c>
      <c r="I5275" t="str">
        <f>VLOOKUP(record[[#This Row],[ProcessSN]],表格2_7[],3,FALSE)</f>
        <v>#07QC</v>
      </c>
      <c r="J5275" t="s">
        <v>589</v>
      </c>
      <c r="K5275" s="195">
        <v>46025.690706018519</v>
      </c>
      <c r="L5275">
        <v>0</v>
      </c>
      <c r="M5275">
        <v>9</v>
      </c>
      <c r="N5275" s="98" t="str">
        <f>IF(record[[#This Row],[Memo]]="Browser:chrome os:android","平板報工",IF(record[[#This Row],[Memo]]=0,"委外",record[[#This Row],[Memo]]))</f>
        <v/>
      </c>
      <c r="O5275" t="s">
        <v>58</v>
      </c>
      <c r="P5275" t="s">
        <v>141</v>
      </c>
      <c r="Q5275" t="s">
        <v>58</v>
      </c>
      <c r="R5275" t="str">
        <f>IFERROR(VLOOKUP(record[[#This Row],[PCUSTID]],廠商[],2,FALSE),"")</f>
        <v/>
      </c>
      <c r="S5275" t="str">
        <f>VLOOKUP(record[[#This Row],[employeeID]],員工[],2,FALSE)</f>
        <v>蔣梅</v>
      </c>
    </row>
    <row r="5276" spans="6:19" hidden="1" x14ac:dyDescent="0.25">
      <c r="F5276" t="s">
        <v>1381</v>
      </c>
      <c r="G5276" t="s">
        <v>419</v>
      </c>
      <c r="H5276" t="str">
        <f>VLOOKUP(record[[#This Row],[ProcessSN]],表格2_7[],2,FALSE)</f>
        <v>30-4118-018-5XX</v>
      </c>
      <c r="I5276" t="str">
        <f>VLOOKUP(record[[#This Row],[ProcessSN]],表格2_7[],3,FALSE)</f>
        <v>#07QC</v>
      </c>
      <c r="J5276" t="s">
        <v>589</v>
      </c>
      <c r="K5276" s="195">
        <v>46025.69054398148</v>
      </c>
      <c r="L5276">
        <v>318</v>
      </c>
      <c r="M5276">
        <v>0</v>
      </c>
      <c r="N5276" s="98" t="str">
        <f>IF(record[[#This Row],[Memo]]="Browser:chrome os:android","平板報工",IF(record[[#This Row],[Memo]]=0,"委外",record[[#This Row],[Memo]]))</f>
        <v/>
      </c>
      <c r="O5276" t="s">
        <v>58</v>
      </c>
      <c r="P5276" t="s">
        <v>141</v>
      </c>
      <c r="Q5276" t="s">
        <v>58</v>
      </c>
      <c r="R5276" t="str">
        <f>IFERROR(VLOOKUP(record[[#This Row],[PCUSTID]],廠商[],2,FALSE),"")</f>
        <v/>
      </c>
      <c r="S5276" t="str">
        <f>VLOOKUP(record[[#This Row],[employeeID]],員工[],2,FALSE)</f>
        <v>蔣梅</v>
      </c>
    </row>
    <row r="5277" spans="6:19" hidden="1" x14ac:dyDescent="0.25">
      <c r="F5277" t="s">
        <v>1290</v>
      </c>
      <c r="G5277" t="s">
        <v>419</v>
      </c>
      <c r="H5277" t="str">
        <f>VLOOKUP(record[[#This Row],[ProcessSN]],表格2_7[],2,FALSE)</f>
        <v>30-4118-018-5XX</v>
      </c>
      <c r="I5277" t="str">
        <f>VLOOKUP(record[[#This Row],[ProcessSN]],表格2_7[],3,FALSE)</f>
        <v>#07QC</v>
      </c>
      <c r="J5277" t="s">
        <v>589</v>
      </c>
      <c r="K5277" s="195">
        <v>46025.689872685187</v>
      </c>
      <c r="L5277">
        <v>138</v>
      </c>
      <c r="M5277">
        <v>0</v>
      </c>
      <c r="N5277" s="98" t="str">
        <f>IF(record[[#This Row],[Memo]]="Browser:chrome os:android","平板報工",IF(record[[#This Row],[Memo]]=0,"委外",record[[#This Row],[Memo]]))</f>
        <v/>
      </c>
      <c r="O5277" t="s">
        <v>58</v>
      </c>
      <c r="P5277" t="s">
        <v>141</v>
      </c>
      <c r="Q5277" t="s">
        <v>58</v>
      </c>
      <c r="R5277" t="str">
        <f>IFERROR(VLOOKUP(record[[#This Row],[PCUSTID]],廠商[],2,FALSE),"")</f>
        <v/>
      </c>
      <c r="S5277" t="str">
        <f>VLOOKUP(record[[#This Row],[employeeID]],員工[],2,FALSE)</f>
        <v>蔣梅</v>
      </c>
    </row>
    <row r="5278" spans="6:19" hidden="1" x14ac:dyDescent="0.25">
      <c r="F5278" t="s">
        <v>1385</v>
      </c>
      <c r="G5278" t="s">
        <v>467</v>
      </c>
      <c r="H5278" t="str">
        <f>VLOOKUP(record[[#This Row],[ProcessSN]],表格2_7[],2,FALSE)</f>
        <v>30-4118-018-XXX</v>
      </c>
      <c r="I5278" t="str">
        <f>VLOOKUP(record[[#This Row],[ProcessSN]],表格2_7[],3,FALSE)</f>
        <v>#01QC</v>
      </c>
      <c r="J5278" t="s">
        <v>589</v>
      </c>
      <c r="K5278" s="195">
        <v>46025.688784722224</v>
      </c>
      <c r="L5278">
        <v>984</v>
      </c>
      <c r="M5278">
        <v>0</v>
      </c>
      <c r="N5278" s="98" t="str">
        <f>IF(record[[#This Row],[Memo]]="Browser:chrome os:android","平板報工",IF(record[[#This Row],[Memo]]=0,"委外",record[[#This Row],[Memo]]))</f>
        <v>平板報工</v>
      </c>
      <c r="O5278" t="s">
        <v>643</v>
      </c>
      <c r="P5278" t="s">
        <v>182</v>
      </c>
      <c r="Q5278" t="s">
        <v>644</v>
      </c>
      <c r="R5278" t="str">
        <f>IFERROR(VLOOKUP(record[[#This Row],[PCUSTID]],廠商[],2,FALSE),"")</f>
        <v/>
      </c>
      <c r="S5278" t="str">
        <f>VLOOKUP(record[[#This Row],[employeeID]],員工[],2,FALSE)</f>
        <v>梅氏和</v>
      </c>
    </row>
    <row r="5279" spans="6:19" hidden="1" x14ac:dyDescent="0.25">
      <c r="F5279" t="s">
        <v>1385</v>
      </c>
      <c r="G5279" t="s">
        <v>466</v>
      </c>
      <c r="H5279" t="str">
        <f>VLOOKUP(record[[#This Row],[ProcessSN]],表格2_7[],2,FALSE)</f>
        <v>30-4118-018-XXX</v>
      </c>
      <c r="I5279" t="str">
        <f>VLOOKUP(record[[#This Row],[ProcessSN]],表格2_7[],3,FALSE)</f>
        <v>#01-2</v>
      </c>
      <c r="J5279" t="s">
        <v>588</v>
      </c>
      <c r="K5279" s="195">
        <v>46025.674259259256</v>
      </c>
      <c r="L5279">
        <v>315</v>
      </c>
      <c r="M5279">
        <v>0</v>
      </c>
      <c r="N5279" s="98" t="str">
        <f>IF(record[[#This Row],[Memo]]="Browser:chrome os:android","平板報工",IF(record[[#This Row],[Memo]]=0,"委外",record[[#This Row],[Memo]]))</f>
        <v/>
      </c>
      <c r="O5279" t="s">
        <v>58</v>
      </c>
      <c r="P5279" t="s">
        <v>101</v>
      </c>
      <c r="Q5279" t="s">
        <v>58</v>
      </c>
      <c r="R5279" t="str">
        <f>IFERROR(VLOOKUP(record[[#This Row],[PCUSTID]],廠商[],2,FALSE),"")</f>
        <v/>
      </c>
      <c r="S5279" t="str">
        <f>VLOOKUP(record[[#This Row],[employeeID]],員工[],2,FALSE)</f>
        <v>陳氏絨</v>
      </c>
    </row>
    <row r="5280" spans="6:19" hidden="1" x14ac:dyDescent="0.25">
      <c r="F5280" t="s">
        <v>1385</v>
      </c>
      <c r="G5280" t="s">
        <v>465</v>
      </c>
      <c r="H5280" t="str">
        <f>VLOOKUP(record[[#This Row],[ProcessSN]],表格2_7[],2,FALSE)</f>
        <v>30-4118-018-XXX</v>
      </c>
      <c r="I5280" t="str">
        <f>VLOOKUP(record[[#This Row],[ProcessSN]],表格2_7[],3,FALSE)</f>
        <v>#01-1</v>
      </c>
      <c r="J5280" t="s">
        <v>588</v>
      </c>
      <c r="K5280" s="195">
        <v>46025.672650462962</v>
      </c>
      <c r="L5280">
        <v>144</v>
      </c>
      <c r="M5280">
        <v>0</v>
      </c>
      <c r="N5280" s="98" t="str">
        <f>IF(record[[#This Row],[Memo]]="Browser:chrome os:android","平板報工",IF(record[[#This Row],[Memo]]=0,"委外",record[[#This Row],[Memo]]))</f>
        <v/>
      </c>
      <c r="O5280" t="s">
        <v>58</v>
      </c>
      <c r="P5280" t="s">
        <v>101</v>
      </c>
      <c r="Q5280" t="s">
        <v>58</v>
      </c>
      <c r="R5280" t="str">
        <f>IFERROR(VLOOKUP(record[[#This Row],[PCUSTID]],廠商[],2,FALSE),"")</f>
        <v/>
      </c>
      <c r="S5280" t="str">
        <f>VLOOKUP(record[[#This Row],[employeeID]],員工[],2,FALSE)</f>
        <v>陳氏絨</v>
      </c>
    </row>
    <row r="5281" spans="6:19" hidden="1" x14ac:dyDescent="0.25">
      <c r="F5281" t="s">
        <v>1381</v>
      </c>
      <c r="G5281" t="s">
        <v>417</v>
      </c>
      <c r="H5281" t="str">
        <f>VLOOKUP(record[[#This Row],[ProcessSN]],表格2_7[],2,FALSE)</f>
        <v>30-4118-018-5XX</v>
      </c>
      <c r="I5281" t="str">
        <f>VLOOKUP(record[[#This Row],[ProcessSN]],表格2_7[],3,FALSE)</f>
        <v>#06</v>
      </c>
      <c r="J5281" t="s">
        <v>593</v>
      </c>
      <c r="K5281" s="195">
        <v>46025.64634259259</v>
      </c>
      <c r="L5281">
        <v>79</v>
      </c>
      <c r="M5281">
        <v>0</v>
      </c>
      <c r="N5281" s="98" t="str">
        <f>IF(record[[#This Row],[Memo]]="Browser:chrome os:android","平板報工",IF(record[[#This Row],[Memo]]=0,"委外",record[[#This Row],[Memo]]))</f>
        <v>平板報工</v>
      </c>
      <c r="O5281" t="s">
        <v>643</v>
      </c>
      <c r="P5281" t="s">
        <v>1413</v>
      </c>
      <c r="Q5281" t="s">
        <v>644</v>
      </c>
      <c r="R5281" t="str">
        <f>IFERROR(VLOOKUP(record[[#This Row],[PCUSTID]],廠商[],2,FALSE),"")</f>
        <v/>
      </c>
      <c r="S5281" t="str">
        <f>VLOOKUP(record[[#This Row],[employeeID]],員工[],2,FALSE)</f>
        <v>阮氏芳英(芳)</v>
      </c>
    </row>
    <row r="5282" spans="6:19" hidden="1" x14ac:dyDescent="0.25">
      <c r="F5282" t="s">
        <v>1381</v>
      </c>
      <c r="G5282" t="s">
        <v>416</v>
      </c>
      <c r="H5282" t="str">
        <f>VLOOKUP(record[[#This Row],[ProcessSN]],表格2_7[],2,FALSE)</f>
        <v>30-4118-018-5XX</v>
      </c>
      <c r="I5282" t="str">
        <f>VLOOKUP(record[[#This Row],[ProcessSN]],表格2_7[],3,FALSE)</f>
        <v>#05</v>
      </c>
      <c r="J5282" t="s">
        <v>588</v>
      </c>
      <c r="K5282" s="195">
        <v>46025.643750000003</v>
      </c>
      <c r="L5282">
        <v>279</v>
      </c>
      <c r="M5282">
        <v>0</v>
      </c>
      <c r="N5282" s="98" t="str">
        <f>IF(record[[#This Row],[Memo]]="Browser:chrome os:android","平板報工",IF(record[[#This Row],[Memo]]=0,"委外",record[[#This Row],[Memo]]))</f>
        <v>平板報工</v>
      </c>
      <c r="O5282" t="s">
        <v>643</v>
      </c>
      <c r="P5282" t="s">
        <v>785</v>
      </c>
      <c r="Q5282" t="s">
        <v>644</v>
      </c>
      <c r="R5282" t="str">
        <f>IFERROR(VLOOKUP(record[[#This Row],[PCUSTID]],廠商[],2,FALSE),"")</f>
        <v/>
      </c>
      <c r="S5282" t="str">
        <f>VLOOKUP(record[[#This Row],[employeeID]],員工[],2,FALSE)</f>
        <v>謝刻光</v>
      </c>
    </row>
    <row r="5283" spans="6:19" hidden="1" x14ac:dyDescent="0.25">
      <c r="F5283" t="s">
        <v>1385</v>
      </c>
      <c r="G5283" t="s">
        <v>466</v>
      </c>
      <c r="H5283" t="str">
        <f>VLOOKUP(record[[#This Row],[ProcessSN]],表格2_7[],2,FALSE)</f>
        <v>30-4118-018-XXX</v>
      </c>
      <c r="I5283" t="str">
        <f>VLOOKUP(record[[#This Row],[ProcessSN]],表格2_7[],3,FALSE)</f>
        <v>#01-2</v>
      </c>
      <c r="J5283" t="s">
        <v>588</v>
      </c>
      <c r="K5283" s="195">
        <v>46025.641875000001</v>
      </c>
      <c r="L5283">
        <v>312</v>
      </c>
      <c r="M5283">
        <v>0</v>
      </c>
      <c r="N5283" s="98" t="str">
        <f>IF(record[[#This Row],[Memo]]="Browser:chrome os:android","平板報工",IF(record[[#This Row],[Memo]]=0,"委外",record[[#This Row],[Memo]]))</f>
        <v>平板報工</v>
      </c>
      <c r="O5283" t="s">
        <v>643</v>
      </c>
      <c r="P5283" t="s">
        <v>107</v>
      </c>
      <c r="Q5283" t="s">
        <v>644</v>
      </c>
      <c r="R5283" t="str">
        <f>IFERROR(VLOOKUP(record[[#This Row],[PCUSTID]],廠商[],2,FALSE),"")</f>
        <v/>
      </c>
      <c r="S5283" t="str">
        <f>VLOOKUP(record[[#This Row],[employeeID]],員工[],2,FALSE)</f>
        <v>黎氏順</v>
      </c>
    </row>
    <row r="5284" spans="6:19" hidden="1" x14ac:dyDescent="0.25">
      <c r="F5284" t="s">
        <v>1381</v>
      </c>
      <c r="G5284" t="s">
        <v>415</v>
      </c>
      <c r="H5284" t="str">
        <f>VLOOKUP(record[[#This Row],[ProcessSN]],表格2_7[],2,FALSE)</f>
        <v>30-4118-018-5XX</v>
      </c>
      <c r="I5284" t="str">
        <f>VLOOKUP(record[[#This Row],[ProcessSN]],表格2_7[],3,FALSE)</f>
        <v>#04</v>
      </c>
      <c r="J5284" t="s">
        <v>588</v>
      </c>
      <c r="K5284" s="195">
        <v>46025.64</v>
      </c>
      <c r="L5284">
        <v>140</v>
      </c>
      <c r="M5284">
        <v>1</v>
      </c>
      <c r="N5284" s="98" t="str">
        <f>IF(record[[#This Row],[Memo]]="Browser:chrome os:android","平板報工",IF(record[[#This Row],[Memo]]=0,"委外",record[[#This Row],[Memo]]))</f>
        <v>平板報工</v>
      </c>
      <c r="O5284" t="s">
        <v>643</v>
      </c>
      <c r="P5284" t="s">
        <v>107</v>
      </c>
      <c r="Q5284" t="s">
        <v>644</v>
      </c>
      <c r="R5284" t="str">
        <f>IFERROR(VLOOKUP(record[[#This Row],[PCUSTID]],廠商[],2,FALSE),"")</f>
        <v/>
      </c>
      <c r="S5284" t="str">
        <f>VLOOKUP(record[[#This Row],[employeeID]],員工[],2,FALSE)</f>
        <v>黎氏順</v>
      </c>
    </row>
    <row r="5285" spans="6:19" hidden="1" x14ac:dyDescent="0.25">
      <c r="F5285" t="s">
        <v>1381</v>
      </c>
      <c r="G5285" t="s">
        <v>418</v>
      </c>
      <c r="H5285" t="str">
        <f>VLOOKUP(record[[#This Row],[ProcessSN]],表格2_7[],2,FALSE)</f>
        <v>30-4118-018-5XX</v>
      </c>
      <c r="I5285" t="str">
        <f>VLOOKUP(record[[#This Row],[ProcessSN]],表格2_7[],3,FALSE)</f>
        <v>#07</v>
      </c>
      <c r="J5285" t="s">
        <v>588</v>
      </c>
      <c r="K5285" s="195">
        <v>46025.635995370372</v>
      </c>
      <c r="L5285">
        <v>210</v>
      </c>
      <c r="M5285">
        <v>6</v>
      </c>
      <c r="N5285" s="98" t="str">
        <f>IF(record[[#This Row],[Memo]]="Browser:chrome os:android","平板報工",IF(record[[#This Row],[Memo]]=0,"委外",record[[#This Row],[Memo]]))</f>
        <v>平板報工</v>
      </c>
      <c r="O5285" t="s">
        <v>643</v>
      </c>
      <c r="P5285" t="s">
        <v>785</v>
      </c>
      <c r="Q5285" t="s">
        <v>644</v>
      </c>
      <c r="R5285" t="str">
        <f>IFERROR(VLOOKUP(record[[#This Row],[PCUSTID]],廠商[],2,FALSE),"")</f>
        <v/>
      </c>
      <c r="S5285" t="str">
        <f>VLOOKUP(record[[#This Row],[employeeID]],員工[],2,FALSE)</f>
        <v>謝刻光</v>
      </c>
    </row>
    <row r="5286" spans="6:19" hidden="1" x14ac:dyDescent="0.25">
      <c r="F5286" t="s">
        <v>1385</v>
      </c>
      <c r="G5286" t="s">
        <v>469</v>
      </c>
      <c r="H5286" t="str">
        <f>VLOOKUP(record[[#This Row],[ProcessSN]],表格2_7[],2,FALSE)</f>
        <v>30-4118-018-XXX</v>
      </c>
      <c r="I5286" t="str">
        <f>VLOOKUP(record[[#This Row],[ProcessSN]],表格2_7[],3,FALSE)</f>
        <v>#02RCV</v>
      </c>
      <c r="J5286" t="s">
        <v>591</v>
      </c>
      <c r="K5286" s="195">
        <v>46025.470509259256</v>
      </c>
      <c r="L5286">
        <v>839</v>
      </c>
      <c r="M5286">
        <v>0</v>
      </c>
      <c r="N5286" s="98" t="str">
        <f>IF(record[[#This Row],[Memo]]="Browser:chrome os:android","平板報工",IF(record[[#This Row],[Memo]]=0,"委外",record[[#This Row],[Memo]]))</f>
        <v/>
      </c>
      <c r="O5286" t="s">
        <v>58</v>
      </c>
      <c r="P5286" t="s">
        <v>186</v>
      </c>
      <c r="Q5286" t="s">
        <v>58</v>
      </c>
      <c r="R5286" t="str">
        <f>IFERROR(VLOOKUP(record[[#This Row],[PCUSTID]],廠商[],2,FALSE),"")</f>
        <v/>
      </c>
      <c r="S5286" t="str">
        <f>VLOOKUP(record[[#This Row],[employeeID]],員工[],2,FALSE)</f>
        <v>許文姍</v>
      </c>
    </row>
    <row r="5287" spans="6:19" hidden="1" x14ac:dyDescent="0.25">
      <c r="F5287" t="s">
        <v>1385</v>
      </c>
      <c r="G5287" t="s">
        <v>468</v>
      </c>
      <c r="H5287" t="str">
        <f>VLOOKUP(record[[#This Row],[ProcessSN]],表格2_7[],2,FALSE)</f>
        <v>30-4118-018-XXX</v>
      </c>
      <c r="I5287" t="str">
        <f>VLOOKUP(record[[#This Row],[ProcessSN]],表格2_7[],3,FALSE)</f>
        <v>#02</v>
      </c>
      <c r="J5287" t="s">
        <v>590</v>
      </c>
      <c r="K5287" s="195">
        <v>46025.421458333331</v>
      </c>
      <c r="L5287">
        <v>840</v>
      </c>
      <c r="M5287">
        <v>0</v>
      </c>
      <c r="N5287" s="98" t="str">
        <f>IF(record[[#This Row],[Memo]]="Browser:chrome os:android","平板報工",IF(record[[#This Row],[Memo]]=0,"委外",record[[#This Row],[Memo]]))</f>
        <v>委外</v>
      </c>
      <c r="P5287" t="s">
        <v>186</v>
      </c>
      <c r="Q5287" t="s">
        <v>216</v>
      </c>
      <c r="R5287" t="str">
        <f>IFERROR(VLOOKUP(record[[#This Row],[PCUSTID]],廠商[],2,FALSE),"")</f>
        <v>俊杰</v>
      </c>
      <c r="S5287" t="str">
        <f>VLOOKUP(record[[#This Row],[employeeID]],員工[],2,FALSE)</f>
        <v>許文姍</v>
      </c>
    </row>
    <row r="5288" spans="6:19" hidden="1" x14ac:dyDescent="0.25">
      <c r="F5288" t="s">
        <v>1391</v>
      </c>
      <c r="G5288" t="s">
        <v>423</v>
      </c>
      <c r="H5288" t="str">
        <f>VLOOKUP(record[[#This Row],[ProcessSN]],表格2_7[],2,FALSE)</f>
        <v>30-4118-018-600</v>
      </c>
      <c r="I5288" t="str">
        <f>VLOOKUP(record[[#This Row],[ProcessSN]],表格2_7[],3,FALSE)</f>
        <v>#08RCV</v>
      </c>
      <c r="J5288" t="s">
        <v>591</v>
      </c>
      <c r="K5288" s="195">
        <v>46025.341874999998</v>
      </c>
      <c r="L5288">
        <v>0</v>
      </c>
      <c r="M5288">
        <v>8</v>
      </c>
      <c r="N5288" s="98" t="str">
        <f>IF(record[[#This Row],[Memo]]="Browser:chrome os:android","平板報工",IF(record[[#This Row],[Memo]]=0,"委外",record[[#This Row],[Memo]]))</f>
        <v/>
      </c>
      <c r="O5288" t="s">
        <v>58</v>
      </c>
      <c r="P5288" t="s">
        <v>186</v>
      </c>
      <c r="Q5288" t="s">
        <v>58</v>
      </c>
      <c r="R5288" t="str">
        <f>IFERROR(VLOOKUP(record[[#This Row],[PCUSTID]],廠商[],2,FALSE),"")</f>
        <v/>
      </c>
      <c r="S5288" t="str">
        <f>VLOOKUP(record[[#This Row],[employeeID]],員工[],2,FALSE)</f>
        <v>許文姍</v>
      </c>
    </row>
    <row r="5289" spans="6:19" hidden="1" x14ac:dyDescent="0.25">
      <c r="F5289" t="s">
        <v>1385</v>
      </c>
      <c r="G5289" t="s">
        <v>467</v>
      </c>
      <c r="H5289" t="str">
        <f>VLOOKUP(record[[#This Row],[ProcessSN]],表格2_7[],2,FALSE)</f>
        <v>30-4118-018-XXX</v>
      </c>
      <c r="I5289" t="str">
        <f>VLOOKUP(record[[#This Row],[ProcessSN]],表格2_7[],3,FALSE)</f>
        <v>#01QC</v>
      </c>
      <c r="J5289" t="s">
        <v>589</v>
      </c>
      <c r="K5289" s="195">
        <v>46025.340243055558</v>
      </c>
      <c r="L5289">
        <v>840</v>
      </c>
      <c r="M5289">
        <v>0</v>
      </c>
      <c r="N5289" s="98" t="str">
        <f>IF(record[[#This Row],[Memo]]="Browser:chrome os:android","平板報工",IF(record[[#This Row],[Memo]]=0,"委外",record[[#This Row],[Memo]]))</f>
        <v>平板報工</v>
      </c>
      <c r="O5289" t="s">
        <v>643</v>
      </c>
      <c r="P5289" t="s">
        <v>182</v>
      </c>
      <c r="Q5289" t="s">
        <v>644</v>
      </c>
      <c r="R5289" t="str">
        <f>IFERROR(VLOOKUP(record[[#This Row],[PCUSTID]],廠商[],2,FALSE),"")</f>
        <v/>
      </c>
      <c r="S5289" t="str">
        <f>VLOOKUP(record[[#This Row],[employeeID]],員工[],2,FALSE)</f>
        <v>梅氏和</v>
      </c>
    </row>
    <row r="5290" spans="6:19" hidden="1" x14ac:dyDescent="0.25">
      <c r="F5290" t="s">
        <v>1400</v>
      </c>
      <c r="G5290" t="s">
        <v>357</v>
      </c>
      <c r="H5290" t="str">
        <f>VLOOKUP(record[[#This Row],[ProcessSN]],表格2_7[],2,FALSE)</f>
        <v>30-4118-018-450</v>
      </c>
      <c r="I5290" t="str">
        <f>VLOOKUP(record[[#This Row],[ProcessSN]],表格2_7[],3,FALSE)</f>
        <v>#08RCV</v>
      </c>
      <c r="J5290" t="s">
        <v>591</v>
      </c>
      <c r="K5290" s="195">
        <v>46025.339814814812</v>
      </c>
      <c r="L5290">
        <v>211</v>
      </c>
      <c r="M5290">
        <v>0</v>
      </c>
      <c r="N5290" s="98" t="str">
        <f>IF(record[[#This Row],[Memo]]="Browser:chrome os:android","平板報工",IF(record[[#This Row],[Memo]]=0,"委外",record[[#This Row],[Memo]]))</f>
        <v/>
      </c>
      <c r="O5290" t="s">
        <v>58</v>
      </c>
      <c r="P5290" t="s">
        <v>186</v>
      </c>
      <c r="Q5290" t="s">
        <v>58</v>
      </c>
      <c r="R5290" t="str">
        <f>IFERROR(VLOOKUP(record[[#This Row],[PCUSTID]],廠商[],2,FALSE),"")</f>
        <v/>
      </c>
      <c r="S5290" t="str">
        <f>VLOOKUP(record[[#This Row],[employeeID]],員工[],2,FALSE)</f>
        <v>許文姍</v>
      </c>
    </row>
    <row r="5291" spans="6:19" hidden="1" x14ac:dyDescent="0.25">
      <c r="F5291" t="s">
        <v>1381</v>
      </c>
      <c r="G5291" t="s">
        <v>417</v>
      </c>
      <c r="H5291" t="str">
        <f>VLOOKUP(record[[#This Row],[ProcessSN]],表格2_7[],2,FALSE)</f>
        <v>30-4118-018-5XX</v>
      </c>
      <c r="I5291" t="str">
        <f>VLOOKUP(record[[#This Row],[ProcessSN]],表格2_7[],3,FALSE)</f>
        <v>#06</v>
      </c>
      <c r="J5291" t="s">
        <v>593</v>
      </c>
      <c r="K5291" s="195">
        <v>46025.307141203702</v>
      </c>
      <c r="L5291">
        <v>132</v>
      </c>
      <c r="M5291">
        <v>0</v>
      </c>
      <c r="N5291" s="98" t="str">
        <f>IF(record[[#This Row],[Memo]]="Browser:chrome os:android","平板報工",IF(record[[#This Row],[Memo]]=0,"委外",record[[#This Row],[Memo]]))</f>
        <v/>
      </c>
      <c r="O5291" t="s">
        <v>58</v>
      </c>
      <c r="P5291" t="s">
        <v>180</v>
      </c>
      <c r="Q5291" t="s">
        <v>58</v>
      </c>
      <c r="R5291" t="str">
        <f>IFERROR(VLOOKUP(record[[#This Row],[PCUSTID]],廠商[],2,FALSE),"")</f>
        <v/>
      </c>
      <c r="S5291" t="str">
        <f>VLOOKUP(record[[#This Row],[employeeID]],員工[],2,FALSE)</f>
        <v>黎功江</v>
      </c>
    </row>
    <row r="5292" spans="6:19" hidden="1" x14ac:dyDescent="0.25">
      <c r="F5292" t="s">
        <v>1381</v>
      </c>
      <c r="G5292" t="s">
        <v>415</v>
      </c>
      <c r="H5292" t="str">
        <f>VLOOKUP(record[[#This Row],[ProcessSN]],表格2_7[],2,FALSE)</f>
        <v>30-4118-018-5XX</v>
      </c>
      <c r="I5292" t="str">
        <f>VLOOKUP(record[[#This Row],[ProcessSN]],表格2_7[],3,FALSE)</f>
        <v>#04</v>
      </c>
      <c r="J5292" t="s">
        <v>588</v>
      </c>
      <c r="K5292" s="195">
        <v>46025.305833333332</v>
      </c>
      <c r="L5292">
        <v>151</v>
      </c>
      <c r="M5292">
        <v>0</v>
      </c>
      <c r="N5292" s="98" t="str">
        <f>IF(record[[#This Row],[Memo]]="Browser:chrome os:android","平板報工",IF(record[[#This Row],[Memo]]=0,"委外",record[[#This Row],[Memo]]))</f>
        <v/>
      </c>
      <c r="O5292" t="s">
        <v>58</v>
      </c>
      <c r="P5292" t="s">
        <v>135</v>
      </c>
      <c r="Q5292" t="s">
        <v>58</v>
      </c>
      <c r="R5292" t="str">
        <f>IFERROR(VLOOKUP(record[[#This Row],[PCUSTID]],廠商[],2,FALSE),"")</f>
        <v/>
      </c>
      <c r="S5292" t="str">
        <f>VLOOKUP(record[[#This Row],[employeeID]],員工[],2,FALSE)</f>
        <v>阮士文</v>
      </c>
    </row>
    <row r="5293" spans="6:19" hidden="1" x14ac:dyDescent="0.25">
      <c r="F5293" t="s">
        <v>1381</v>
      </c>
      <c r="G5293" t="s">
        <v>417</v>
      </c>
      <c r="H5293" t="str">
        <f>VLOOKUP(record[[#This Row],[ProcessSN]],表格2_7[],2,FALSE)</f>
        <v>30-4118-018-5XX</v>
      </c>
      <c r="I5293" t="str">
        <f>VLOOKUP(record[[#This Row],[ProcessSN]],表格2_7[],3,FALSE)</f>
        <v>#06</v>
      </c>
      <c r="J5293" t="s">
        <v>593</v>
      </c>
      <c r="K5293" s="195">
        <v>46024.992326388892</v>
      </c>
      <c r="L5293">
        <v>106</v>
      </c>
      <c r="M5293">
        <v>0</v>
      </c>
      <c r="N5293" s="98" t="str">
        <f>IF(record[[#This Row],[Memo]]="Browser:chrome os:android","平板報工",IF(record[[#This Row],[Memo]]=0,"委外",record[[#This Row],[Memo]]))</f>
        <v/>
      </c>
      <c r="O5293" t="s">
        <v>58</v>
      </c>
      <c r="P5293" t="s">
        <v>176</v>
      </c>
      <c r="Q5293" t="s">
        <v>58</v>
      </c>
      <c r="R5293" t="str">
        <f>IFERROR(VLOOKUP(record[[#This Row],[PCUSTID]],廠商[],2,FALSE),"")</f>
        <v/>
      </c>
      <c r="S5293" t="str">
        <f>VLOOKUP(record[[#This Row],[employeeID]],員工[],2,FALSE)</f>
        <v>郭政雄</v>
      </c>
    </row>
    <row r="5294" spans="6:19" hidden="1" x14ac:dyDescent="0.25">
      <c r="F5294" t="s">
        <v>1381</v>
      </c>
      <c r="G5294" t="s">
        <v>416</v>
      </c>
      <c r="H5294" t="str">
        <f>VLOOKUP(record[[#This Row],[ProcessSN]],表格2_7[],2,FALSE)</f>
        <v>30-4118-018-5XX</v>
      </c>
      <c r="I5294" t="str">
        <f>VLOOKUP(record[[#This Row],[ProcessSN]],表格2_7[],3,FALSE)</f>
        <v>#05</v>
      </c>
      <c r="J5294" t="s">
        <v>588</v>
      </c>
      <c r="K5294" s="195">
        <v>46024.991701388892</v>
      </c>
      <c r="L5294">
        <v>140</v>
      </c>
      <c r="M5294">
        <v>0</v>
      </c>
      <c r="N5294" s="98" t="str">
        <f>IF(record[[#This Row],[Memo]]="Browser:chrome os:android","平板報工",IF(record[[#This Row],[Memo]]=0,"委外",record[[#This Row],[Memo]]))</f>
        <v/>
      </c>
      <c r="O5294" t="s">
        <v>58</v>
      </c>
      <c r="P5294" t="s">
        <v>89</v>
      </c>
      <c r="Q5294" t="s">
        <v>58</v>
      </c>
      <c r="R5294" t="str">
        <f>IFERROR(VLOOKUP(record[[#This Row],[PCUSTID]],廠商[],2,FALSE),"")</f>
        <v/>
      </c>
      <c r="S5294" t="str">
        <f>VLOOKUP(record[[#This Row],[employeeID]],員工[],2,FALSE)</f>
        <v>李美蓮</v>
      </c>
    </row>
    <row r="5295" spans="6:19" hidden="1" x14ac:dyDescent="0.25">
      <c r="F5295" t="s">
        <v>1385</v>
      </c>
      <c r="G5295" t="s">
        <v>466</v>
      </c>
      <c r="H5295" t="str">
        <f>VLOOKUP(record[[#This Row],[ProcessSN]],表格2_7[],2,FALSE)</f>
        <v>30-4118-018-XXX</v>
      </c>
      <c r="I5295" t="str">
        <f>VLOOKUP(record[[#This Row],[ProcessSN]],表格2_7[],3,FALSE)</f>
        <v>#01-2</v>
      </c>
      <c r="J5295" t="s">
        <v>588</v>
      </c>
      <c r="K5295" s="195">
        <v>46024.991423611114</v>
      </c>
      <c r="L5295">
        <v>420</v>
      </c>
      <c r="M5295">
        <v>0</v>
      </c>
      <c r="N5295" s="98" t="str">
        <f>IF(record[[#This Row],[Memo]]="Browser:chrome os:android","平板報工",IF(record[[#This Row],[Memo]]=0,"委外",record[[#This Row],[Memo]]))</f>
        <v/>
      </c>
      <c r="O5295" t="s">
        <v>58</v>
      </c>
      <c r="P5295" t="s">
        <v>1098</v>
      </c>
      <c r="Q5295" t="s">
        <v>58</v>
      </c>
      <c r="R5295" t="str">
        <f>IFERROR(VLOOKUP(record[[#This Row],[PCUSTID]],廠商[],2,FALSE),"")</f>
        <v/>
      </c>
      <c r="S5295" t="str">
        <f>VLOOKUP(record[[#This Row],[employeeID]],員工[],2,FALSE)</f>
        <v>阮氏芳英(英)</v>
      </c>
    </row>
    <row r="5296" spans="6:19" hidden="1" x14ac:dyDescent="0.25">
      <c r="F5296" t="s">
        <v>1381</v>
      </c>
      <c r="G5296" t="s">
        <v>415</v>
      </c>
      <c r="H5296" t="str">
        <f>VLOOKUP(record[[#This Row],[ProcessSN]],表格2_7[],2,FALSE)</f>
        <v>30-4118-018-5XX</v>
      </c>
      <c r="I5296" t="str">
        <f>VLOOKUP(record[[#This Row],[ProcessSN]],表格2_7[],3,FALSE)</f>
        <v>#04</v>
      </c>
      <c r="J5296" t="s">
        <v>588</v>
      </c>
      <c r="K5296" s="195">
        <v>46024.991006944445</v>
      </c>
      <c r="L5296">
        <v>140</v>
      </c>
      <c r="M5296">
        <v>0</v>
      </c>
      <c r="N5296" s="98" t="str">
        <f>IF(record[[#This Row],[Memo]]="Browser:chrome os:android","平板報工",IF(record[[#This Row],[Memo]]=0,"委外",record[[#This Row],[Memo]]))</f>
        <v/>
      </c>
      <c r="O5296" t="s">
        <v>58</v>
      </c>
      <c r="P5296" t="s">
        <v>1098</v>
      </c>
      <c r="Q5296" t="s">
        <v>58</v>
      </c>
      <c r="R5296" t="str">
        <f>IFERROR(VLOOKUP(record[[#This Row],[PCUSTID]],廠商[],2,FALSE),"")</f>
        <v/>
      </c>
      <c r="S5296" t="str">
        <f>VLOOKUP(record[[#This Row],[employeeID]],員工[],2,FALSE)</f>
        <v>阮氏芳英(英)</v>
      </c>
    </row>
    <row r="5297" spans="6:19" hidden="1" x14ac:dyDescent="0.25">
      <c r="F5297" t="s">
        <v>1381</v>
      </c>
      <c r="G5297" t="s">
        <v>418</v>
      </c>
      <c r="H5297" t="str">
        <f>VLOOKUP(record[[#This Row],[ProcessSN]],表格2_7[],2,FALSE)</f>
        <v>30-4118-018-5XX</v>
      </c>
      <c r="I5297" t="str">
        <f>VLOOKUP(record[[#This Row],[ProcessSN]],表格2_7[],3,FALSE)</f>
        <v>#07</v>
      </c>
      <c r="J5297" t="s">
        <v>588</v>
      </c>
      <c r="K5297" s="195">
        <v>46024.989918981482</v>
      </c>
      <c r="L5297">
        <v>45</v>
      </c>
      <c r="M5297">
        <v>0</v>
      </c>
      <c r="N5297" s="98" t="str">
        <f>IF(record[[#This Row],[Memo]]="Browser:chrome os:android","平板報工",IF(record[[#This Row],[Memo]]=0,"委外",record[[#This Row],[Memo]]))</f>
        <v/>
      </c>
      <c r="O5297" t="s">
        <v>58</v>
      </c>
      <c r="P5297" t="s">
        <v>89</v>
      </c>
      <c r="Q5297" t="s">
        <v>58</v>
      </c>
      <c r="R5297" t="str">
        <f>IFERROR(VLOOKUP(record[[#This Row],[PCUSTID]],廠商[],2,FALSE),"")</f>
        <v/>
      </c>
      <c r="S5297" t="str">
        <f>VLOOKUP(record[[#This Row],[employeeID]],員工[],2,FALSE)</f>
        <v>李美蓮</v>
      </c>
    </row>
    <row r="5298" spans="6:19" hidden="1" x14ac:dyDescent="0.25">
      <c r="F5298" t="s">
        <v>1290</v>
      </c>
      <c r="G5298" t="s">
        <v>418</v>
      </c>
      <c r="H5298" t="str">
        <f>VLOOKUP(record[[#This Row],[ProcessSN]],表格2_7[],2,FALSE)</f>
        <v>30-4118-018-5XX</v>
      </c>
      <c r="I5298" t="str">
        <f>VLOOKUP(record[[#This Row],[ProcessSN]],表格2_7[],3,FALSE)</f>
        <v>#07</v>
      </c>
      <c r="J5298" t="s">
        <v>588</v>
      </c>
      <c r="K5298" s="195">
        <v>46024.98978009259</v>
      </c>
      <c r="L5298">
        <v>138</v>
      </c>
      <c r="M5298">
        <v>0</v>
      </c>
      <c r="N5298" s="98" t="str">
        <f>IF(record[[#This Row],[Memo]]="Browser:chrome os:android","平板報工",IF(record[[#This Row],[Memo]]=0,"委外",record[[#This Row],[Memo]]))</f>
        <v/>
      </c>
      <c r="O5298" t="s">
        <v>58</v>
      </c>
      <c r="P5298" t="s">
        <v>89</v>
      </c>
      <c r="Q5298" t="s">
        <v>58</v>
      </c>
      <c r="R5298" t="str">
        <f>IFERROR(VLOOKUP(record[[#This Row],[PCUSTID]],廠商[],2,FALSE),"")</f>
        <v/>
      </c>
      <c r="S5298" t="str">
        <f>VLOOKUP(record[[#This Row],[employeeID]],員工[],2,FALSE)</f>
        <v>李美蓮</v>
      </c>
    </row>
    <row r="5299" spans="6:19" hidden="1" x14ac:dyDescent="0.25">
      <c r="F5299" t="s">
        <v>1306</v>
      </c>
      <c r="G5299" t="s">
        <v>398</v>
      </c>
      <c r="H5299" t="str">
        <f>VLOOKUP(record[[#This Row],[ProcessSN]],表格2_7[],2,FALSE)</f>
        <v>30-4118-018-550</v>
      </c>
      <c r="I5299" t="str">
        <f>VLOOKUP(record[[#This Row],[ProcessSN]],表格2_7[],3,FALSE)</f>
        <v>#08RCV</v>
      </c>
      <c r="J5299" t="s">
        <v>591</v>
      </c>
      <c r="K5299" s="195">
        <v>46024.666307870371</v>
      </c>
      <c r="L5299">
        <v>14</v>
      </c>
      <c r="M5299">
        <v>-14</v>
      </c>
      <c r="N5299" s="98" t="str">
        <f>IF(record[[#This Row],[Memo]]="Browser:chrome os:android","平板報工",IF(record[[#This Row],[Memo]]=0,"委外",record[[#This Row],[Memo]]))</f>
        <v>1.5覆回</v>
      </c>
      <c r="O5299" t="s">
        <v>1411</v>
      </c>
      <c r="P5299" t="s">
        <v>65</v>
      </c>
      <c r="R5299" t="str">
        <f>IFERROR(VLOOKUP(record[[#This Row],[PCUSTID]],廠商[],2,FALSE),"")</f>
        <v/>
      </c>
      <c r="S5299" t="str">
        <f>VLOOKUP(record[[#This Row],[employeeID]],員工[],2,FALSE)</f>
        <v>蘇進昌</v>
      </c>
    </row>
    <row r="5300" spans="6:19" hidden="1" x14ac:dyDescent="0.25">
      <c r="F5300" t="s">
        <v>1329</v>
      </c>
      <c r="G5300" t="s">
        <v>398</v>
      </c>
      <c r="H5300" t="str">
        <f>VLOOKUP(record[[#This Row],[ProcessSN]],表格2_7[],2,FALSE)</f>
        <v>30-4118-018-550</v>
      </c>
      <c r="I5300" t="str">
        <f>VLOOKUP(record[[#This Row],[ProcessSN]],表格2_7[],3,FALSE)</f>
        <v>#08RCV</v>
      </c>
      <c r="J5300" t="s">
        <v>591</v>
      </c>
      <c r="K5300" s="195">
        <v>46024.666307870371</v>
      </c>
      <c r="L5300">
        <v>3</v>
      </c>
      <c r="M5300">
        <v>-3</v>
      </c>
      <c r="N5300" s="98" t="str">
        <f>IF(record[[#This Row],[Memo]]="Browser:chrome os:android","平板報工",IF(record[[#This Row],[Memo]]=0,"委外",record[[#This Row],[Memo]]))</f>
        <v>1.5覆回</v>
      </c>
      <c r="O5300" t="s">
        <v>1411</v>
      </c>
      <c r="P5300" t="s">
        <v>65</v>
      </c>
      <c r="R5300" t="str">
        <f>IFERROR(VLOOKUP(record[[#This Row],[PCUSTID]],廠商[],2,FALSE),"")</f>
        <v/>
      </c>
      <c r="S5300" t="str">
        <f>VLOOKUP(record[[#This Row],[employeeID]],員工[],2,FALSE)</f>
        <v>蘇進昌</v>
      </c>
    </row>
    <row r="5301" spans="6:19" hidden="1" x14ac:dyDescent="0.25">
      <c r="F5301" t="s">
        <v>1317</v>
      </c>
      <c r="G5301" t="s">
        <v>398</v>
      </c>
      <c r="H5301" t="str">
        <f>VLOOKUP(record[[#This Row],[ProcessSN]],表格2_7[],2,FALSE)</f>
        <v>30-4118-018-550</v>
      </c>
      <c r="I5301" t="str">
        <f>VLOOKUP(record[[#This Row],[ProcessSN]],表格2_7[],3,FALSE)</f>
        <v>#08RCV</v>
      </c>
      <c r="J5301" t="s">
        <v>591</v>
      </c>
      <c r="K5301" s="195">
        <v>46024.666307870371</v>
      </c>
      <c r="L5301">
        <v>2</v>
      </c>
      <c r="M5301">
        <v>-2</v>
      </c>
      <c r="N5301" s="98" t="str">
        <f>IF(record[[#This Row],[Memo]]="Browser:chrome os:android","平板報工",IF(record[[#This Row],[Memo]]=0,"委外",record[[#This Row],[Memo]]))</f>
        <v>1.5覆回</v>
      </c>
      <c r="O5301" t="s">
        <v>1411</v>
      </c>
      <c r="P5301" t="s">
        <v>65</v>
      </c>
      <c r="R5301" t="str">
        <f>IFERROR(VLOOKUP(record[[#This Row],[PCUSTID]],廠商[],2,FALSE),"")</f>
        <v/>
      </c>
      <c r="S5301" t="str">
        <f>VLOOKUP(record[[#This Row],[employeeID]],員工[],2,FALSE)</f>
        <v>蘇進昌</v>
      </c>
    </row>
    <row r="5302" spans="6:19" hidden="1" x14ac:dyDescent="0.25">
      <c r="F5302" t="s">
        <v>1350</v>
      </c>
      <c r="G5302" t="s">
        <v>398</v>
      </c>
      <c r="H5302" t="str">
        <f>VLOOKUP(record[[#This Row],[ProcessSN]],表格2_7[],2,FALSE)</f>
        <v>30-4118-018-550</v>
      </c>
      <c r="I5302" t="str">
        <f>VLOOKUP(record[[#This Row],[ProcessSN]],表格2_7[],3,FALSE)</f>
        <v>#08RCV</v>
      </c>
      <c r="J5302" t="s">
        <v>591</v>
      </c>
      <c r="K5302" s="195">
        <v>46024.666307870371</v>
      </c>
      <c r="L5302">
        <v>6</v>
      </c>
      <c r="M5302">
        <v>-6</v>
      </c>
      <c r="N5302" s="98" t="str">
        <f>IF(record[[#This Row],[Memo]]="Browser:chrome os:android","平板報工",IF(record[[#This Row],[Memo]]=0,"委外",record[[#This Row],[Memo]]))</f>
        <v>1.5覆回</v>
      </c>
      <c r="O5302" t="s">
        <v>1411</v>
      </c>
      <c r="P5302" t="s">
        <v>65</v>
      </c>
      <c r="R5302" t="str">
        <f>IFERROR(VLOOKUP(record[[#This Row],[PCUSTID]],廠商[],2,FALSE),"")</f>
        <v/>
      </c>
      <c r="S5302" t="str">
        <f>VLOOKUP(record[[#This Row],[employeeID]],員工[],2,FALSE)</f>
        <v>蘇進昌</v>
      </c>
    </row>
    <row r="5303" spans="6:19" hidden="1" x14ac:dyDescent="0.25">
      <c r="F5303" t="s">
        <v>1306</v>
      </c>
      <c r="G5303" t="s">
        <v>399</v>
      </c>
      <c r="H5303" t="str">
        <f>VLOOKUP(record[[#This Row],[ProcessSN]],表格2_7[],2,FALSE)</f>
        <v>30-4118-018-550</v>
      </c>
      <c r="I5303" t="str">
        <f>VLOOKUP(record[[#This Row],[ProcessSN]],表格2_7[],3,FALSE)</f>
        <v>#08IQC</v>
      </c>
      <c r="J5303" t="s">
        <v>583</v>
      </c>
      <c r="K5303" s="195">
        <v>46024.666307870371</v>
      </c>
      <c r="L5303">
        <v>14</v>
      </c>
      <c r="M5303">
        <v>0</v>
      </c>
      <c r="N5303" s="98" t="str">
        <f>IF(record[[#This Row],[Memo]]="Browser:chrome os:android","平板報工",IF(record[[#This Row],[Memo]]=0,"委外",record[[#This Row],[Memo]]))</f>
        <v>1.5覆回</v>
      </c>
      <c r="O5303" t="s">
        <v>1411</v>
      </c>
      <c r="P5303" t="s">
        <v>65</v>
      </c>
      <c r="R5303" t="str">
        <f>IFERROR(VLOOKUP(record[[#This Row],[PCUSTID]],廠商[],2,FALSE),"")</f>
        <v/>
      </c>
      <c r="S5303" t="str">
        <f>VLOOKUP(record[[#This Row],[employeeID]],員工[],2,FALSE)</f>
        <v>蘇進昌</v>
      </c>
    </row>
    <row r="5304" spans="6:19" hidden="1" x14ac:dyDescent="0.25">
      <c r="F5304" t="s">
        <v>1329</v>
      </c>
      <c r="G5304" t="s">
        <v>399</v>
      </c>
      <c r="H5304" t="str">
        <f>VLOOKUP(record[[#This Row],[ProcessSN]],表格2_7[],2,FALSE)</f>
        <v>30-4118-018-550</v>
      </c>
      <c r="I5304" t="str">
        <f>VLOOKUP(record[[#This Row],[ProcessSN]],表格2_7[],3,FALSE)</f>
        <v>#08IQC</v>
      </c>
      <c r="J5304" t="s">
        <v>583</v>
      </c>
      <c r="K5304" s="195">
        <v>46024.666307870371</v>
      </c>
      <c r="L5304">
        <v>3</v>
      </c>
      <c r="M5304">
        <v>0</v>
      </c>
      <c r="N5304" s="98" t="str">
        <f>IF(record[[#This Row],[Memo]]="Browser:chrome os:android","平板報工",IF(record[[#This Row],[Memo]]=0,"委外",record[[#This Row],[Memo]]))</f>
        <v>1.5覆回</v>
      </c>
      <c r="O5304" t="s">
        <v>1411</v>
      </c>
      <c r="P5304" t="s">
        <v>65</v>
      </c>
      <c r="R5304" t="str">
        <f>IFERROR(VLOOKUP(record[[#This Row],[PCUSTID]],廠商[],2,FALSE),"")</f>
        <v/>
      </c>
      <c r="S5304" t="str">
        <f>VLOOKUP(record[[#This Row],[employeeID]],員工[],2,FALSE)</f>
        <v>蘇進昌</v>
      </c>
    </row>
    <row r="5305" spans="6:19" hidden="1" x14ac:dyDescent="0.25">
      <c r="F5305" t="s">
        <v>1317</v>
      </c>
      <c r="G5305" t="s">
        <v>399</v>
      </c>
      <c r="H5305" t="str">
        <f>VLOOKUP(record[[#This Row],[ProcessSN]],表格2_7[],2,FALSE)</f>
        <v>30-4118-018-550</v>
      </c>
      <c r="I5305" t="str">
        <f>VLOOKUP(record[[#This Row],[ProcessSN]],表格2_7[],3,FALSE)</f>
        <v>#08IQC</v>
      </c>
      <c r="J5305" t="s">
        <v>583</v>
      </c>
      <c r="K5305" s="195">
        <v>46024.666307870371</v>
      </c>
      <c r="L5305">
        <v>2</v>
      </c>
      <c r="M5305">
        <v>0</v>
      </c>
      <c r="N5305" s="98" t="str">
        <f>IF(record[[#This Row],[Memo]]="Browser:chrome os:android","平板報工",IF(record[[#This Row],[Memo]]=0,"委外",record[[#This Row],[Memo]]))</f>
        <v>1.5覆回</v>
      </c>
      <c r="O5305" t="s">
        <v>1411</v>
      </c>
      <c r="P5305" t="s">
        <v>65</v>
      </c>
      <c r="R5305" t="str">
        <f>IFERROR(VLOOKUP(record[[#This Row],[PCUSTID]],廠商[],2,FALSE),"")</f>
        <v/>
      </c>
      <c r="S5305" t="str">
        <f>VLOOKUP(record[[#This Row],[employeeID]],員工[],2,FALSE)</f>
        <v>蘇進昌</v>
      </c>
    </row>
    <row r="5306" spans="6:19" hidden="1" x14ac:dyDescent="0.25">
      <c r="F5306" t="s">
        <v>1350</v>
      </c>
      <c r="G5306" t="s">
        <v>399</v>
      </c>
      <c r="H5306" t="str">
        <f>VLOOKUP(record[[#This Row],[ProcessSN]],表格2_7[],2,FALSE)</f>
        <v>30-4118-018-550</v>
      </c>
      <c r="I5306" t="str">
        <f>VLOOKUP(record[[#This Row],[ProcessSN]],表格2_7[],3,FALSE)</f>
        <v>#08IQC</v>
      </c>
      <c r="J5306" t="s">
        <v>583</v>
      </c>
      <c r="K5306" s="195">
        <v>46024.666307870371</v>
      </c>
      <c r="L5306">
        <v>6</v>
      </c>
      <c r="M5306">
        <v>0</v>
      </c>
      <c r="N5306" s="98" t="str">
        <f>IF(record[[#This Row],[Memo]]="Browser:chrome os:android","平板報工",IF(record[[#This Row],[Memo]]=0,"委外",record[[#This Row],[Memo]]))</f>
        <v>1.5覆回</v>
      </c>
      <c r="O5306" t="s">
        <v>1411</v>
      </c>
      <c r="P5306" t="s">
        <v>65</v>
      </c>
      <c r="R5306" t="str">
        <f>IFERROR(VLOOKUP(record[[#This Row],[PCUSTID]],廠商[],2,FALSE),"")</f>
        <v/>
      </c>
      <c r="S5306" t="str">
        <f>VLOOKUP(record[[#This Row],[employeeID]],員工[],2,FALSE)</f>
        <v>蘇進昌</v>
      </c>
    </row>
    <row r="5307" spans="6:19" hidden="1" x14ac:dyDescent="0.25">
      <c r="F5307" t="s">
        <v>1306</v>
      </c>
      <c r="G5307" t="s">
        <v>400</v>
      </c>
      <c r="H5307" t="str">
        <f>VLOOKUP(record[[#This Row],[ProcessSN]],表格2_7[],2,FALSE)</f>
        <v>30-4118-018-550</v>
      </c>
      <c r="I5307" t="str">
        <f>VLOOKUP(record[[#This Row],[ProcessSN]],表格2_7[],3,FALSE)</f>
        <v>#100</v>
      </c>
      <c r="J5307" t="s">
        <v>598</v>
      </c>
      <c r="K5307" s="195">
        <v>46024.666307870371</v>
      </c>
      <c r="L5307">
        <v>14</v>
      </c>
      <c r="M5307">
        <v>0</v>
      </c>
      <c r="N5307" s="98" t="str">
        <f>IF(record[[#This Row],[Memo]]="Browser:chrome os:android","平板報工",IF(record[[#This Row],[Memo]]=0,"委外",record[[#This Row],[Memo]]))</f>
        <v>1.5覆回</v>
      </c>
      <c r="O5307" t="s">
        <v>1411</v>
      </c>
      <c r="P5307" t="s">
        <v>65</v>
      </c>
      <c r="R5307" t="str">
        <f>IFERROR(VLOOKUP(record[[#This Row],[PCUSTID]],廠商[],2,FALSE),"")</f>
        <v/>
      </c>
      <c r="S5307" t="str">
        <f>VLOOKUP(record[[#This Row],[employeeID]],員工[],2,FALSE)</f>
        <v>蘇進昌</v>
      </c>
    </row>
    <row r="5308" spans="6:19" hidden="1" x14ac:dyDescent="0.25">
      <c r="F5308" t="s">
        <v>1329</v>
      </c>
      <c r="G5308" t="s">
        <v>400</v>
      </c>
      <c r="H5308" t="str">
        <f>VLOOKUP(record[[#This Row],[ProcessSN]],表格2_7[],2,FALSE)</f>
        <v>30-4118-018-550</v>
      </c>
      <c r="I5308" t="str">
        <f>VLOOKUP(record[[#This Row],[ProcessSN]],表格2_7[],3,FALSE)</f>
        <v>#100</v>
      </c>
      <c r="J5308" t="s">
        <v>598</v>
      </c>
      <c r="K5308" s="195">
        <v>46024.666307870371</v>
      </c>
      <c r="L5308">
        <v>3</v>
      </c>
      <c r="M5308">
        <v>0</v>
      </c>
      <c r="N5308" s="98" t="str">
        <f>IF(record[[#This Row],[Memo]]="Browser:chrome os:android","平板報工",IF(record[[#This Row],[Memo]]=0,"委外",record[[#This Row],[Memo]]))</f>
        <v>1.5覆回</v>
      </c>
      <c r="O5308" t="s">
        <v>1411</v>
      </c>
      <c r="P5308" t="s">
        <v>65</v>
      </c>
      <c r="R5308" t="str">
        <f>IFERROR(VLOOKUP(record[[#This Row],[PCUSTID]],廠商[],2,FALSE),"")</f>
        <v/>
      </c>
      <c r="S5308" t="str">
        <f>VLOOKUP(record[[#This Row],[employeeID]],員工[],2,FALSE)</f>
        <v>蘇進昌</v>
      </c>
    </row>
    <row r="5309" spans="6:19" hidden="1" x14ac:dyDescent="0.25">
      <c r="F5309" t="s">
        <v>1317</v>
      </c>
      <c r="G5309" t="s">
        <v>400</v>
      </c>
      <c r="H5309" t="str">
        <f>VLOOKUP(record[[#This Row],[ProcessSN]],表格2_7[],2,FALSE)</f>
        <v>30-4118-018-550</v>
      </c>
      <c r="I5309" t="str">
        <f>VLOOKUP(record[[#This Row],[ProcessSN]],表格2_7[],3,FALSE)</f>
        <v>#100</v>
      </c>
      <c r="J5309" t="s">
        <v>598</v>
      </c>
      <c r="K5309" s="195">
        <v>46024.666307870371</v>
      </c>
      <c r="L5309">
        <v>2</v>
      </c>
      <c r="M5309">
        <v>0</v>
      </c>
      <c r="N5309" s="98" t="str">
        <f>IF(record[[#This Row],[Memo]]="Browser:chrome os:android","平板報工",IF(record[[#This Row],[Memo]]=0,"委外",record[[#This Row],[Memo]]))</f>
        <v>1.5覆回</v>
      </c>
      <c r="O5309" t="s">
        <v>1411</v>
      </c>
      <c r="P5309" t="s">
        <v>65</v>
      </c>
      <c r="R5309" t="str">
        <f>IFERROR(VLOOKUP(record[[#This Row],[PCUSTID]],廠商[],2,FALSE),"")</f>
        <v/>
      </c>
      <c r="S5309" t="str">
        <f>VLOOKUP(record[[#This Row],[employeeID]],員工[],2,FALSE)</f>
        <v>蘇進昌</v>
      </c>
    </row>
    <row r="5310" spans="6:19" hidden="1" x14ac:dyDescent="0.25">
      <c r="F5310" t="s">
        <v>1350</v>
      </c>
      <c r="G5310" t="s">
        <v>400</v>
      </c>
      <c r="H5310" t="str">
        <f>VLOOKUP(record[[#This Row],[ProcessSN]],表格2_7[],2,FALSE)</f>
        <v>30-4118-018-550</v>
      </c>
      <c r="I5310" t="str">
        <f>VLOOKUP(record[[#This Row],[ProcessSN]],表格2_7[],3,FALSE)</f>
        <v>#100</v>
      </c>
      <c r="J5310" t="s">
        <v>598</v>
      </c>
      <c r="K5310" s="195">
        <v>46024.666307870371</v>
      </c>
      <c r="L5310">
        <v>6</v>
      </c>
      <c r="M5310">
        <v>0</v>
      </c>
      <c r="N5310" s="98" t="str">
        <f>IF(record[[#This Row],[Memo]]="Browser:chrome os:android","平板報工",IF(record[[#This Row],[Memo]]=0,"委外",record[[#This Row],[Memo]]))</f>
        <v>1.5覆回</v>
      </c>
      <c r="O5310" t="s">
        <v>1411</v>
      </c>
      <c r="P5310" t="s">
        <v>65</v>
      </c>
      <c r="R5310" t="str">
        <f>IFERROR(VLOOKUP(record[[#This Row],[PCUSTID]],廠商[],2,FALSE),"")</f>
        <v/>
      </c>
      <c r="S5310" t="str">
        <f>VLOOKUP(record[[#This Row],[employeeID]],員工[],2,FALSE)</f>
        <v>蘇進昌</v>
      </c>
    </row>
    <row r="5311" spans="6:19" hidden="1" x14ac:dyDescent="0.25">
      <c r="F5311" t="s">
        <v>1306</v>
      </c>
      <c r="G5311" t="s">
        <v>401</v>
      </c>
      <c r="H5311" t="str">
        <f>VLOOKUP(record[[#This Row],[ProcessSN]],表格2_7[],2,FALSE)</f>
        <v>30-4118-018-550</v>
      </c>
      <c r="I5311" t="str">
        <f>VLOOKUP(record[[#This Row],[ProcessSN]],表格2_7[],3,FALSE)</f>
        <v>#100OQC</v>
      </c>
      <c r="J5311" t="s">
        <v>599</v>
      </c>
      <c r="K5311" s="195">
        <v>46024.666307870371</v>
      </c>
      <c r="L5311">
        <v>14</v>
      </c>
      <c r="M5311">
        <v>0</v>
      </c>
      <c r="N5311" s="98" t="str">
        <f>IF(record[[#This Row],[Memo]]="Browser:chrome os:android","平板報工",IF(record[[#This Row],[Memo]]=0,"委外",record[[#This Row],[Memo]]))</f>
        <v>1.5覆回</v>
      </c>
      <c r="O5311" t="s">
        <v>1411</v>
      </c>
      <c r="P5311" t="s">
        <v>65</v>
      </c>
      <c r="R5311" t="str">
        <f>IFERROR(VLOOKUP(record[[#This Row],[PCUSTID]],廠商[],2,FALSE),"")</f>
        <v/>
      </c>
      <c r="S5311" t="str">
        <f>VLOOKUP(record[[#This Row],[employeeID]],員工[],2,FALSE)</f>
        <v>蘇進昌</v>
      </c>
    </row>
    <row r="5312" spans="6:19" hidden="1" x14ac:dyDescent="0.25">
      <c r="F5312" t="s">
        <v>1329</v>
      </c>
      <c r="G5312" t="s">
        <v>401</v>
      </c>
      <c r="H5312" t="str">
        <f>VLOOKUP(record[[#This Row],[ProcessSN]],表格2_7[],2,FALSE)</f>
        <v>30-4118-018-550</v>
      </c>
      <c r="I5312" t="str">
        <f>VLOOKUP(record[[#This Row],[ProcessSN]],表格2_7[],3,FALSE)</f>
        <v>#100OQC</v>
      </c>
      <c r="J5312" t="s">
        <v>599</v>
      </c>
      <c r="K5312" s="195">
        <v>46024.666307870371</v>
      </c>
      <c r="L5312">
        <v>3</v>
      </c>
      <c r="M5312">
        <v>0</v>
      </c>
      <c r="N5312" s="98" t="str">
        <f>IF(record[[#This Row],[Memo]]="Browser:chrome os:android","平板報工",IF(record[[#This Row],[Memo]]=0,"委外",record[[#This Row],[Memo]]))</f>
        <v>1.5覆回</v>
      </c>
      <c r="O5312" t="s">
        <v>1411</v>
      </c>
      <c r="P5312" t="s">
        <v>65</v>
      </c>
      <c r="R5312" t="str">
        <f>IFERROR(VLOOKUP(record[[#This Row],[PCUSTID]],廠商[],2,FALSE),"")</f>
        <v/>
      </c>
      <c r="S5312" t="str">
        <f>VLOOKUP(record[[#This Row],[employeeID]],員工[],2,FALSE)</f>
        <v>蘇進昌</v>
      </c>
    </row>
    <row r="5313" spans="6:19" hidden="1" x14ac:dyDescent="0.25">
      <c r="F5313" t="s">
        <v>1317</v>
      </c>
      <c r="G5313" t="s">
        <v>401</v>
      </c>
      <c r="H5313" t="str">
        <f>VLOOKUP(record[[#This Row],[ProcessSN]],表格2_7[],2,FALSE)</f>
        <v>30-4118-018-550</v>
      </c>
      <c r="I5313" t="str">
        <f>VLOOKUP(record[[#This Row],[ProcessSN]],表格2_7[],3,FALSE)</f>
        <v>#100OQC</v>
      </c>
      <c r="J5313" t="s">
        <v>599</v>
      </c>
      <c r="K5313" s="195">
        <v>46024.666307870371</v>
      </c>
      <c r="L5313">
        <v>2</v>
      </c>
      <c r="M5313">
        <v>0</v>
      </c>
      <c r="N5313" s="98" t="str">
        <f>IF(record[[#This Row],[Memo]]="Browser:chrome os:android","平板報工",IF(record[[#This Row],[Memo]]=0,"委外",record[[#This Row],[Memo]]))</f>
        <v>1.5覆回</v>
      </c>
      <c r="O5313" t="s">
        <v>1411</v>
      </c>
      <c r="P5313" t="s">
        <v>65</v>
      </c>
      <c r="R5313" t="str">
        <f>IFERROR(VLOOKUP(record[[#This Row],[PCUSTID]],廠商[],2,FALSE),"")</f>
        <v/>
      </c>
      <c r="S5313" t="str">
        <f>VLOOKUP(record[[#This Row],[employeeID]],員工[],2,FALSE)</f>
        <v>蘇進昌</v>
      </c>
    </row>
    <row r="5314" spans="6:19" hidden="1" x14ac:dyDescent="0.25">
      <c r="F5314" t="s">
        <v>1350</v>
      </c>
      <c r="G5314" t="s">
        <v>401</v>
      </c>
      <c r="H5314" t="str">
        <f>VLOOKUP(record[[#This Row],[ProcessSN]],表格2_7[],2,FALSE)</f>
        <v>30-4118-018-550</v>
      </c>
      <c r="I5314" t="str">
        <f>VLOOKUP(record[[#This Row],[ProcessSN]],表格2_7[],3,FALSE)</f>
        <v>#100OQC</v>
      </c>
      <c r="J5314" t="s">
        <v>599</v>
      </c>
      <c r="K5314" s="195">
        <v>46024.666307870371</v>
      </c>
      <c r="L5314">
        <v>6</v>
      </c>
      <c r="M5314">
        <v>0</v>
      </c>
      <c r="N5314" s="98" t="str">
        <f>IF(record[[#This Row],[Memo]]="Browser:chrome os:android","平板報工",IF(record[[#This Row],[Memo]]=0,"委外",record[[#This Row],[Memo]]))</f>
        <v>1.5覆回</v>
      </c>
      <c r="O5314" t="s">
        <v>1411</v>
      </c>
      <c r="P5314" t="s">
        <v>65</v>
      </c>
      <c r="R5314" t="str">
        <f>IFERROR(VLOOKUP(record[[#This Row],[PCUSTID]],廠商[],2,FALSE),"")</f>
        <v/>
      </c>
      <c r="S5314" t="str">
        <f>VLOOKUP(record[[#This Row],[employeeID]],員工[],2,FALSE)</f>
        <v>蘇進昌</v>
      </c>
    </row>
    <row r="5315" spans="6:19" hidden="1" x14ac:dyDescent="0.25">
      <c r="F5315" t="s">
        <v>1306</v>
      </c>
      <c r="G5315" t="s">
        <v>402</v>
      </c>
      <c r="H5315" t="str">
        <f>VLOOKUP(record[[#This Row],[ProcessSN]],表格2_7[],2,FALSE)</f>
        <v>30-4118-018-550</v>
      </c>
      <c r="I5315" t="str">
        <f>VLOOKUP(record[[#This Row],[ProcessSN]],表格2_7[],3,FALSE)</f>
        <v>#100STOCK</v>
      </c>
      <c r="J5315" t="s">
        <v>592</v>
      </c>
      <c r="K5315" s="195">
        <v>46024.666307870371</v>
      </c>
      <c r="L5315">
        <v>14</v>
      </c>
      <c r="M5315">
        <v>0</v>
      </c>
      <c r="N5315" s="98" t="str">
        <f>IF(record[[#This Row],[Memo]]="Browser:chrome os:android","平板報工",IF(record[[#This Row],[Memo]]=0,"委外",record[[#This Row],[Memo]]))</f>
        <v>1.5覆回</v>
      </c>
      <c r="O5315" t="s">
        <v>1411</v>
      </c>
      <c r="P5315" t="s">
        <v>65</v>
      </c>
      <c r="R5315" t="str">
        <f>IFERROR(VLOOKUP(record[[#This Row],[PCUSTID]],廠商[],2,FALSE),"")</f>
        <v/>
      </c>
      <c r="S5315" t="str">
        <f>VLOOKUP(record[[#This Row],[employeeID]],員工[],2,FALSE)</f>
        <v>蘇進昌</v>
      </c>
    </row>
    <row r="5316" spans="6:19" hidden="1" x14ac:dyDescent="0.25">
      <c r="F5316" t="s">
        <v>1329</v>
      </c>
      <c r="G5316" t="s">
        <v>402</v>
      </c>
      <c r="H5316" t="str">
        <f>VLOOKUP(record[[#This Row],[ProcessSN]],表格2_7[],2,FALSE)</f>
        <v>30-4118-018-550</v>
      </c>
      <c r="I5316" t="str">
        <f>VLOOKUP(record[[#This Row],[ProcessSN]],表格2_7[],3,FALSE)</f>
        <v>#100STOCK</v>
      </c>
      <c r="J5316" t="s">
        <v>592</v>
      </c>
      <c r="K5316" s="195">
        <v>46024.666307870371</v>
      </c>
      <c r="L5316">
        <v>3</v>
      </c>
      <c r="M5316">
        <v>0</v>
      </c>
      <c r="N5316" s="98" t="str">
        <f>IF(record[[#This Row],[Memo]]="Browser:chrome os:android","平板報工",IF(record[[#This Row],[Memo]]=0,"委外",record[[#This Row],[Memo]]))</f>
        <v>1.5覆回</v>
      </c>
      <c r="O5316" t="s">
        <v>1411</v>
      </c>
      <c r="P5316" t="s">
        <v>65</v>
      </c>
      <c r="R5316" t="str">
        <f>IFERROR(VLOOKUP(record[[#This Row],[PCUSTID]],廠商[],2,FALSE),"")</f>
        <v/>
      </c>
      <c r="S5316" t="str">
        <f>VLOOKUP(record[[#This Row],[employeeID]],員工[],2,FALSE)</f>
        <v>蘇進昌</v>
      </c>
    </row>
    <row r="5317" spans="6:19" hidden="1" x14ac:dyDescent="0.25">
      <c r="F5317" t="s">
        <v>1317</v>
      </c>
      <c r="G5317" t="s">
        <v>402</v>
      </c>
      <c r="H5317" t="str">
        <f>VLOOKUP(record[[#This Row],[ProcessSN]],表格2_7[],2,FALSE)</f>
        <v>30-4118-018-550</v>
      </c>
      <c r="I5317" t="str">
        <f>VLOOKUP(record[[#This Row],[ProcessSN]],表格2_7[],3,FALSE)</f>
        <v>#100STOCK</v>
      </c>
      <c r="J5317" t="s">
        <v>592</v>
      </c>
      <c r="K5317" s="195">
        <v>46024.666307870371</v>
      </c>
      <c r="L5317">
        <v>2</v>
      </c>
      <c r="M5317">
        <v>0</v>
      </c>
      <c r="N5317" s="98" t="str">
        <f>IF(record[[#This Row],[Memo]]="Browser:chrome os:android","平板報工",IF(record[[#This Row],[Memo]]=0,"委外",record[[#This Row],[Memo]]))</f>
        <v>1.5覆回</v>
      </c>
      <c r="O5317" t="s">
        <v>1411</v>
      </c>
      <c r="P5317" t="s">
        <v>65</v>
      </c>
      <c r="R5317" t="str">
        <f>IFERROR(VLOOKUP(record[[#This Row],[PCUSTID]],廠商[],2,FALSE),"")</f>
        <v/>
      </c>
      <c r="S5317" t="str">
        <f>VLOOKUP(record[[#This Row],[employeeID]],員工[],2,FALSE)</f>
        <v>蘇進昌</v>
      </c>
    </row>
    <row r="5318" spans="6:19" hidden="1" x14ac:dyDescent="0.25">
      <c r="F5318" t="s">
        <v>1350</v>
      </c>
      <c r="G5318" t="s">
        <v>402</v>
      </c>
      <c r="H5318" t="str">
        <f>VLOOKUP(record[[#This Row],[ProcessSN]],表格2_7[],2,FALSE)</f>
        <v>30-4118-018-550</v>
      </c>
      <c r="I5318" t="str">
        <f>VLOOKUP(record[[#This Row],[ProcessSN]],表格2_7[],3,FALSE)</f>
        <v>#100STOCK</v>
      </c>
      <c r="J5318" t="s">
        <v>592</v>
      </c>
      <c r="K5318" s="195">
        <v>46024.666307870371</v>
      </c>
      <c r="L5318">
        <v>6</v>
      </c>
      <c r="M5318">
        <v>0</v>
      </c>
      <c r="N5318" s="98" t="str">
        <f>IF(record[[#This Row],[Memo]]="Browser:chrome os:android","平板報工",IF(record[[#This Row],[Memo]]=0,"委外",record[[#This Row],[Memo]]))</f>
        <v>1.5覆回</v>
      </c>
      <c r="O5318" t="s">
        <v>1411</v>
      </c>
      <c r="P5318" t="s">
        <v>65</v>
      </c>
      <c r="R5318" t="str">
        <f>IFERROR(VLOOKUP(record[[#This Row],[PCUSTID]],廠商[],2,FALSE),"")</f>
        <v/>
      </c>
      <c r="S5318" t="str">
        <f>VLOOKUP(record[[#This Row],[employeeID]],員工[],2,FALSE)</f>
        <v>蘇進昌</v>
      </c>
    </row>
    <row r="5319" spans="6:19" hidden="1" x14ac:dyDescent="0.25">
      <c r="F5319" t="s">
        <v>1315</v>
      </c>
      <c r="G5319" t="s">
        <v>357</v>
      </c>
      <c r="H5319" t="str">
        <f>VLOOKUP(record[[#This Row],[ProcessSN]],表格2_7[],2,FALSE)</f>
        <v>30-4118-018-450</v>
      </c>
      <c r="I5319" t="str">
        <f>VLOOKUP(record[[#This Row],[ProcessSN]],表格2_7[],3,FALSE)</f>
        <v>#08RCV</v>
      </c>
      <c r="J5319" t="s">
        <v>591</v>
      </c>
      <c r="K5319" s="195">
        <v>46024.666307870371</v>
      </c>
      <c r="L5319">
        <v>4</v>
      </c>
      <c r="M5319">
        <v>-4</v>
      </c>
      <c r="N5319" s="98" t="str">
        <f>IF(record[[#This Row],[Memo]]="Browser:chrome os:android","平板報工",IF(record[[#This Row],[Memo]]=0,"委外",record[[#This Row],[Memo]]))</f>
        <v>1.5覆回</v>
      </c>
      <c r="O5319" t="s">
        <v>1411</v>
      </c>
      <c r="P5319" t="s">
        <v>65</v>
      </c>
      <c r="R5319" t="str">
        <f>IFERROR(VLOOKUP(record[[#This Row],[PCUSTID]],廠商[],2,FALSE),"")</f>
        <v/>
      </c>
      <c r="S5319" t="str">
        <f>VLOOKUP(record[[#This Row],[employeeID]],員工[],2,FALSE)</f>
        <v>蘇進昌</v>
      </c>
    </row>
    <row r="5320" spans="6:19" hidden="1" x14ac:dyDescent="0.25">
      <c r="F5320" t="s">
        <v>1315</v>
      </c>
      <c r="G5320" t="s">
        <v>358</v>
      </c>
      <c r="H5320" t="str">
        <f>VLOOKUP(record[[#This Row],[ProcessSN]],表格2_7[],2,FALSE)</f>
        <v>30-4118-018-450</v>
      </c>
      <c r="I5320" t="str">
        <f>VLOOKUP(record[[#This Row],[ProcessSN]],表格2_7[],3,FALSE)</f>
        <v>#08IQC</v>
      </c>
      <c r="J5320" t="s">
        <v>583</v>
      </c>
      <c r="K5320" s="195">
        <v>46024.666307870371</v>
      </c>
      <c r="L5320">
        <v>4</v>
      </c>
      <c r="M5320">
        <v>0</v>
      </c>
      <c r="N5320" s="98" t="str">
        <f>IF(record[[#This Row],[Memo]]="Browser:chrome os:android","平板報工",IF(record[[#This Row],[Memo]]=0,"委外",record[[#This Row],[Memo]]))</f>
        <v>1.5覆回</v>
      </c>
      <c r="O5320" t="s">
        <v>1411</v>
      </c>
      <c r="P5320" t="s">
        <v>65</v>
      </c>
      <c r="R5320" t="str">
        <f>IFERROR(VLOOKUP(record[[#This Row],[PCUSTID]],廠商[],2,FALSE),"")</f>
        <v/>
      </c>
      <c r="S5320" t="str">
        <f>VLOOKUP(record[[#This Row],[employeeID]],員工[],2,FALSE)</f>
        <v>蘇進昌</v>
      </c>
    </row>
    <row r="5321" spans="6:19" hidden="1" x14ac:dyDescent="0.25">
      <c r="F5321" t="s">
        <v>1315</v>
      </c>
      <c r="G5321" t="s">
        <v>359</v>
      </c>
      <c r="H5321" t="str">
        <f>VLOOKUP(record[[#This Row],[ProcessSN]],表格2_7[],2,FALSE)</f>
        <v>30-4118-018-450</v>
      </c>
      <c r="I5321" t="str">
        <f>VLOOKUP(record[[#This Row],[ProcessSN]],表格2_7[],3,FALSE)</f>
        <v>#100</v>
      </c>
      <c r="J5321" t="s">
        <v>598</v>
      </c>
      <c r="K5321" s="195">
        <v>46024.666307870371</v>
      </c>
      <c r="L5321">
        <v>4</v>
      </c>
      <c r="M5321">
        <v>0</v>
      </c>
      <c r="N5321" s="98" t="str">
        <f>IF(record[[#This Row],[Memo]]="Browser:chrome os:android","平板報工",IF(record[[#This Row],[Memo]]=0,"委外",record[[#This Row],[Memo]]))</f>
        <v>1.5覆回</v>
      </c>
      <c r="O5321" t="s">
        <v>1411</v>
      </c>
      <c r="P5321" t="s">
        <v>65</v>
      </c>
      <c r="R5321" t="str">
        <f>IFERROR(VLOOKUP(record[[#This Row],[PCUSTID]],廠商[],2,FALSE),"")</f>
        <v/>
      </c>
      <c r="S5321" t="str">
        <f>VLOOKUP(record[[#This Row],[employeeID]],員工[],2,FALSE)</f>
        <v>蘇進昌</v>
      </c>
    </row>
    <row r="5322" spans="6:19" hidden="1" x14ac:dyDescent="0.25">
      <c r="F5322" t="s">
        <v>1315</v>
      </c>
      <c r="G5322" t="s">
        <v>360</v>
      </c>
      <c r="H5322" t="str">
        <f>VLOOKUP(record[[#This Row],[ProcessSN]],表格2_7[],2,FALSE)</f>
        <v>30-4118-018-450</v>
      </c>
      <c r="I5322" t="str">
        <f>VLOOKUP(record[[#This Row],[ProcessSN]],表格2_7[],3,FALSE)</f>
        <v>#100OQC</v>
      </c>
      <c r="J5322" t="s">
        <v>599</v>
      </c>
      <c r="K5322" s="195">
        <v>46024.666307870371</v>
      </c>
      <c r="L5322">
        <v>4</v>
      </c>
      <c r="M5322">
        <v>0</v>
      </c>
      <c r="N5322" s="98" t="str">
        <f>IF(record[[#This Row],[Memo]]="Browser:chrome os:android","平板報工",IF(record[[#This Row],[Memo]]=0,"委外",record[[#This Row],[Memo]]))</f>
        <v>1.5覆回</v>
      </c>
      <c r="O5322" t="s">
        <v>1411</v>
      </c>
      <c r="P5322" t="s">
        <v>65</v>
      </c>
      <c r="R5322" t="str">
        <f>IFERROR(VLOOKUP(record[[#This Row],[PCUSTID]],廠商[],2,FALSE),"")</f>
        <v/>
      </c>
      <c r="S5322" t="str">
        <f>VLOOKUP(record[[#This Row],[employeeID]],員工[],2,FALSE)</f>
        <v>蘇進昌</v>
      </c>
    </row>
    <row r="5323" spans="6:19" hidden="1" x14ac:dyDescent="0.25">
      <c r="F5323" t="s">
        <v>1315</v>
      </c>
      <c r="G5323" t="s">
        <v>361</v>
      </c>
      <c r="H5323" t="str">
        <f>VLOOKUP(record[[#This Row],[ProcessSN]],表格2_7[],2,FALSE)</f>
        <v>30-4118-018-450</v>
      </c>
      <c r="I5323" t="str">
        <f>VLOOKUP(record[[#This Row],[ProcessSN]],表格2_7[],3,FALSE)</f>
        <v>#100STOCK</v>
      </c>
      <c r="J5323" t="s">
        <v>592</v>
      </c>
      <c r="K5323" s="195">
        <v>46024.666307870371</v>
      </c>
      <c r="L5323">
        <v>4</v>
      </c>
      <c r="M5323">
        <v>0</v>
      </c>
      <c r="N5323" s="98" t="str">
        <f>IF(record[[#This Row],[Memo]]="Browser:chrome os:android","平板報工",IF(record[[#This Row],[Memo]]=0,"委外",record[[#This Row],[Memo]]))</f>
        <v>1.5覆回</v>
      </c>
      <c r="O5323" t="s">
        <v>1411</v>
      </c>
      <c r="P5323" t="s">
        <v>65</v>
      </c>
      <c r="R5323" t="str">
        <f>IFERROR(VLOOKUP(record[[#This Row],[PCUSTID]],廠商[],2,FALSE),"")</f>
        <v/>
      </c>
      <c r="S5323" t="str">
        <f>VLOOKUP(record[[#This Row],[employeeID]],員工[],2,FALSE)</f>
        <v>蘇進昌</v>
      </c>
    </row>
    <row r="5324" spans="6:19" hidden="1" x14ac:dyDescent="0.25">
      <c r="F5324" t="s">
        <v>1335</v>
      </c>
      <c r="G5324" t="s">
        <v>423</v>
      </c>
      <c r="H5324" t="str">
        <f>VLOOKUP(record[[#This Row],[ProcessSN]],表格2_7[],2,FALSE)</f>
        <v>30-4118-018-600</v>
      </c>
      <c r="I5324" t="str">
        <f>VLOOKUP(record[[#This Row],[ProcessSN]],表格2_7[],3,FALSE)</f>
        <v>#08RCV</v>
      </c>
      <c r="J5324" t="s">
        <v>591</v>
      </c>
      <c r="K5324" s="195">
        <v>46024.666307870371</v>
      </c>
      <c r="L5324">
        <v>3</v>
      </c>
      <c r="M5324">
        <v>-3</v>
      </c>
      <c r="N5324" s="98" t="str">
        <f>IF(record[[#This Row],[Memo]]="Browser:chrome os:android","平板報工",IF(record[[#This Row],[Memo]]=0,"委外",record[[#This Row],[Memo]]))</f>
        <v>1.5覆回</v>
      </c>
      <c r="O5324" t="s">
        <v>1411</v>
      </c>
      <c r="P5324" t="s">
        <v>65</v>
      </c>
      <c r="R5324" t="str">
        <f>IFERROR(VLOOKUP(record[[#This Row],[PCUSTID]],廠商[],2,FALSE),"")</f>
        <v/>
      </c>
      <c r="S5324" t="str">
        <f>VLOOKUP(record[[#This Row],[employeeID]],員工[],2,FALSE)</f>
        <v>蘇進昌</v>
      </c>
    </row>
    <row r="5325" spans="6:19" hidden="1" x14ac:dyDescent="0.25">
      <c r="F5325" t="s">
        <v>1335</v>
      </c>
      <c r="G5325" t="s">
        <v>424</v>
      </c>
      <c r="H5325" t="str">
        <f>VLOOKUP(record[[#This Row],[ProcessSN]],表格2_7[],2,FALSE)</f>
        <v>30-4118-018-600</v>
      </c>
      <c r="I5325" t="str">
        <f>VLOOKUP(record[[#This Row],[ProcessSN]],表格2_7[],3,FALSE)</f>
        <v>#08IQC</v>
      </c>
      <c r="J5325" t="s">
        <v>583</v>
      </c>
      <c r="K5325" s="195">
        <v>46024.666307870371</v>
      </c>
      <c r="L5325">
        <v>3</v>
      </c>
      <c r="M5325">
        <v>0</v>
      </c>
      <c r="N5325" s="98" t="str">
        <f>IF(record[[#This Row],[Memo]]="Browser:chrome os:android","平板報工",IF(record[[#This Row],[Memo]]=0,"委外",record[[#This Row],[Memo]]))</f>
        <v>1.5覆回</v>
      </c>
      <c r="O5325" t="s">
        <v>1411</v>
      </c>
      <c r="P5325" t="s">
        <v>65</v>
      </c>
      <c r="R5325" t="str">
        <f>IFERROR(VLOOKUP(record[[#This Row],[PCUSTID]],廠商[],2,FALSE),"")</f>
        <v/>
      </c>
      <c r="S5325" t="str">
        <f>VLOOKUP(record[[#This Row],[employeeID]],員工[],2,FALSE)</f>
        <v>蘇進昌</v>
      </c>
    </row>
    <row r="5326" spans="6:19" hidden="1" x14ac:dyDescent="0.25">
      <c r="F5326" t="s">
        <v>1335</v>
      </c>
      <c r="G5326" t="s">
        <v>425</v>
      </c>
      <c r="H5326" t="str">
        <f>VLOOKUP(record[[#This Row],[ProcessSN]],表格2_7[],2,FALSE)</f>
        <v>30-4118-018-600</v>
      </c>
      <c r="I5326" t="str">
        <f>VLOOKUP(record[[#This Row],[ProcessSN]],表格2_7[],3,FALSE)</f>
        <v>#100</v>
      </c>
      <c r="J5326" t="s">
        <v>598</v>
      </c>
      <c r="K5326" s="195">
        <v>46024.666307870371</v>
      </c>
      <c r="L5326">
        <v>3</v>
      </c>
      <c r="M5326">
        <v>0</v>
      </c>
      <c r="N5326" s="98" t="str">
        <f>IF(record[[#This Row],[Memo]]="Browser:chrome os:android","平板報工",IF(record[[#This Row],[Memo]]=0,"委外",record[[#This Row],[Memo]]))</f>
        <v>1.5覆回</v>
      </c>
      <c r="O5326" t="s">
        <v>1411</v>
      </c>
      <c r="P5326" t="s">
        <v>65</v>
      </c>
      <c r="R5326" t="str">
        <f>IFERROR(VLOOKUP(record[[#This Row],[PCUSTID]],廠商[],2,FALSE),"")</f>
        <v/>
      </c>
      <c r="S5326" t="str">
        <f>VLOOKUP(record[[#This Row],[employeeID]],員工[],2,FALSE)</f>
        <v>蘇進昌</v>
      </c>
    </row>
    <row r="5327" spans="6:19" hidden="1" x14ac:dyDescent="0.25">
      <c r="F5327" t="s">
        <v>1335</v>
      </c>
      <c r="G5327" t="s">
        <v>426</v>
      </c>
      <c r="H5327" t="str">
        <f>VLOOKUP(record[[#This Row],[ProcessSN]],表格2_7[],2,FALSE)</f>
        <v>30-4118-018-600</v>
      </c>
      <c r="I5327" t="str">
        <f>VLOOKUP(record[[#This Row],[ProcessSN]],表格2_7[],3,FALSE)</f>
        <v>#100OQC</v>
      </c>
      <c r="J5327" t="s">
        <v>599</v>
      </c>
      <c r="K5327" s="195">
        <v>46024.666307870371</v>
      </c>
      <c r="L5327">
        <v>3</v>
      </c>
      <c r="M5327">
        <v>0</v>
      </c>
      <c r="N5327" s="98" t="str">
        <f>IF(record[[#This Row],[Memo]]="Browser:chrome os:android","平板報工",IF(record[[#This Row],[Memo]]=0,"委外",record[[#This Row],[Memo]]))</f>
        <v>1.5覆回</v>
      </c>
      <c r="O5327" t="s">
        <v>1411</v>
      </c>
      <c r="P5327" t="s">
        <v>65</v>
      </c>
      <c r="R5327" t="str">
        <f>IFERROR(VLOOKUP(record[[#This Row],[PCUSTID]],廠商[],2,FALSE),"")</f>
        <v/>
      </c>
      <c r="S5327" t="str">
        <f>VLOOKUP(record[[#This Row],[employeeID]],員工[],2,FALSE)</f>
        <v>蘇進昌</v>
      </c>
    </row>
    <row r="5328" spans="6:19" hidden="1" x14ac:dyDescent="0.25">
      <c r="F5328" t="s">
        <v>1335</v>
      </c>
      <c r="G5328" t="s">
        <v>427</v>
      </c>
      <c r="H5328" t="str">
        <f>VLOOKUP(record[[#This Row],[ProcessSN]],表格2_7[],2,FALSE)</f>
        <v>30-4118-018-600</v>
      </c>
      <c r="I5328" t="str">
        <f>VLOOKUP(record[[#This Row],[ProcessSN]],表格2_7[],3,FALSE)</f>
        <v>#100STOCK</v>
      </c>
      <c r="J5328" t="s">
        <v>592</v>
      </c>
      <c r="K5328" s="195">
        <v>46024.666307870371</v>
      </c>
      <c r="L5328">
        <v>3</v>
      </c>
      <c r="M5328">
        <v>0</v>
      </c>
      <c r="N5328" s="98" t="str">
        <f>IF(record[[#This Row],[Memo]]="Browser:chrome os:android","平板報工",IF(record[[#This Row],[Memo]]=0,"委外",record[[#This Row],[Memo]]))</f>
        <v>1.5覆回</v>
      </c>
      <c r="O5328" t="s">
        <v>1411</v>
      </c>
      <c r="P5328" t="s">
        <v>65</v>
      </c>
      <c r="R5328" t="str">
        <f>IFERROR(VLOOKUP(record[[#This Row],[PCUSTID]],廠商[],2,FALSE),"")</f>
        <v/>
      </c>
      <c r="S5328" t="str">
        <f>VLOOKUP(record[[#This Row],[employeeID]],員工[],2,FALSE)</f>
        <v>蘇進昌</v>
      </c>
    </row>
    <row r="5329" spans="6:19" hidden="1" x14ac:dyDescent="0.25">
      <c r="F5329" t="s">
        <v>1391</v>
      </c>
      <c r="G5329" t="s">
        <v>423</v>
      </c>
      <c r="H5329" t="str">
        <f>VLOOKUP(record[[#This Row],[ProcessSN]],表格2_7[],2,FALSE)</f>
        <v>30-4118-018-600</v>
      </c>
      <c r="I5329" t="str">
        <f>VLOOKUP(record[[#This Row],[ProcessSN]],表格2_7[],3,FALSE)</f>
        <v>#08RCV</v>
      </c>
      <c r="J5329" t="s">
        <v>591</v>
      </c>
      <c r="K5329" s="195">
        <v>46024.65488425926</v>
      </c>
      <c r="L5329">
        <v>0</v>
      </c>
      <c r="M5329">
        <v>7</v>
      </c>
      <c r="N5329" s="98" t="str">
        <f>IF(record[[#This Row],[Memo]]="Browser:chrome os:android","平板報工",IF(record[[#This Row],[Memo]]=0,"委外",record[[#This Row],[Memo]]))</f>
        <v/>
      </c>
      <c r="O5329" t="s">
        <v>58</v>
      </c>
      <c r="P5329" t="s">
        <v>186</v>
      </c>
      <c r="Q5329" t="s">
        <v>58</v>
      </c>
      <c r="R5329" t="str">
        <f>IFERROR(VLOOKUP(record[[#This Row],[PCUSTID]],廠商[],2,FALSE),"")</f>
        <v/>
      </c>
      <c r="S5329" t="str">
        <f>VLOOKUP(record[[#This Row],[employeeID]],員工[],2,FALSE)</f>
        <v>許文姍</v>
      </c>
    </row>
    <row r="5330" spans="6:19" hidden="1" x14ac:dyDescent="0.25">
      <c r="F5330" t="s">
        <v>1388</v>
      </c>
      <c r="G5330" t="s">
        <v>423</v>
      </c>
      <c r="H5330" t="str">
        <f>VLOOKUP(record[[#This Row],[ProcessSN]],表格2_7[],2,FALSE)</f>
        <v>30-4118-018-600</v>
      </c>
      <c r="I5330" t="str">
        <f>VLOOKUP(record[[#This Row],[ProcessSN]],表格2_7[],3,FALSE)</f>
        <v>#08RCV</v>
      </c>
      <c r="J5330" t="s">
        <v>591</v>
      </c>
      <c r="K5330" s="195">
        <v>46024.654629629629</v>
      </c>
      <c r="L5330">
        <v>72</v>
      </c>
      <c r="M5330">
        <v>0</v>
      </c>
      <c r="N5330" s="98" t="str">
        <f>IF(record[[#This Row],[Memo]]="Browser:chrome os:android","平板報工",IF(record[[#This Row],[Memo]]=0,"委外",record[[#This Row],[Memo]]))</f>
        <v/>
      </c>
      <c r="O5330" t="s">
        <v>58</v>
      </c>
      <c r="P5330" t="s">
        <v>186</v>
      </c>
      <c r="Q5330" t="s">
        <v>58</v>
      </c>
      <c r="R5330" t="str">
        <f>IFERROR(VLOOKUP(record[[#This Row],[PCUSTID]],廠商[],2,FALSE),"")</f>
        <v/>
      </c>
      <c r="S5330" t="str">
        <f>VLOOKUP(record[[#This Row],[employeeID]],員工[],2,FALSE)</f>
        <v>許文姍</v>
      </c>
    </row>
    <row r="5331" spans="6:19" hidden="1" x14ac:dyDescent="0.25">
      <c r="F5331" t="s">
        <v>1391</v>
      </c>
      <c r="G5331" t="s">
        <v>423</v>
      </c>
      <c r="H5331" t="str">
        <f>VLOOKUP(record[[#This Row],[ProcessSN]],表格2_7[],2,FALSE)</f>
        <v>30-4118-018-600</v>
      </c>
      <c r="I5331" t="str">
        <f>VLOOKUP(record[[#This Row],[ProcessSN]],表格2_7[],3,FALSE)</f>
        <v>#08RCV</v>
      </c>
      <c r="J5331" t="s">
        <v>591</v>
      </c>
      <c r="K5331" s="195">
        <v>46024.653865740744</v>
      </c>
      <c r="L5331">
        <v>397</v>
      </c>
      <c r="M5331">
        <v>0</v>
      </c>
      <c r="N5331" s="98" t="str">
        <f>IF(record[[#This Row],[Memo]]="Browser:chrome os:android","平板報工",IF(record[[#This Row],[Memo]]=0,"委外",record[[#This Row],[Memo]]))</f>
        <v/>
      </c>
      <c r="O5331" t="s">
        <v>58</v>
      </c>
      <c r="P5331" t="s">
        <v>186</v>
      </c>
      <c r="Q5331" t="s">
        <v>58</v>
      </c>
      <c r="R5331" t="str">
        <f>IFERROR(VLOOKUP(record[[#This Row],[PCUSTID]],廠商[],2,FALSE),"")</f>
        <v/>
      </c>
      <c r="S5331" t="str">
        <f>VLOOKUP(record[[#This Row],[employeeID]],員工[],2,FALSE)</f>
        <v>許文姍</v>
      </c>
    </row>
    <row r="5332" spans="6:19" hidden="1" x14ac:dyDescent="0.25">
      <c r="F5332" t="s">
        <v>1385</v>
      </c>
      <c r="G5332" t="s">
        <v>466</v>
      </c>
      <c r="H5332" t="str">
        <f>VLOOKUP(record[[#This Row],[ProcessSN]],表格2_7[],2,FALSE)</f>
        <v>30-4118-018-XXX</v>
      </c>
      <c r="I5332" t="str">
        <f>VLOOKUP(record[[#This Row],[ProcessSN]],表格2_7[],3,FALSE)</f>
        <v>#01-2</v>
      </c>
      <c r="J5332" t="s">
        <v>588</v>
      </c>
      <c r="K5332" s="195">
        <v>46024.650173611109</v>
      </c>
      <c r="L5332">
        <v>424</v>
      </c>
      <c r="M5332">
        <v>0</v>
      </c>
      <c r="N5332" s="98" t="str">
        <f>IF(record[[#This Row],[Memo]]="Browser:chrome os:android","平板報工",IF(record[[#This Row],[Memo]]=0,"委外",record[[#This Row],[Memo]]))</f>
        <v>平板報工</v>
      </c>
      <c r="O5332" t="s">
        <v>643</v>
      </c>
      <c r="P5332" t="s">
        <v>107</v>
      </c>
      <c r="Q5332" t="s">
        <v>644</v>
      </c>
      <c r="R5332" t="str">
        <f>IFERROR(VLOOKUP(record[[#This Row],[PCUSTID]],廠商[],2,FALSE),"")</f>
        <v/>
      </c>
      <c r="S5332" t="str">
        <f>VLOOKUP(record[[#This Row],[employeeID]],員工[],2,FALSE)</f>
        <v>黎氏順</v>
      </c>
    </row>
    <row r="5333" spans="6:19" hidden="1" x14ac:dyDescent="0.25">
      <c r="F5333" t="s">
        <v>1385</v>
      </c>
      <c r="G5333" t="s">
        <v>465</v>
      </c>
      <c r="H5333" t="str">
        <f>VLOOKUP(record[[#This Row],[ProcessSN]],表格2_7[],2,FALSE)</f>
        <v>30-4118-018-XXX</v>
      </c>
      <c r="I5333" t="str">
        <f>VLOOKUP(record[[#This Row],[ProcessSN]],表格2_7[],3,FALSE)</f>
        <v>#01-1</v>
      </c>
      <c r="J5333" t="s">
        <v>588</v>
      </c>
      <c r="K5333" s="195">
        <v>46024.649884259263</v>
      </c>
      <c r="L5333">
        <v>576</v>
      </c>
      <c r="M5333">
        <v>0</v>
      </c>
      <c r="N5333" s="98" t="str">
        <f>IF(record[[#This Row],[Memo]]="Browser:chrome os:android","平板報工",IF(record[[#This Row],[Memo]]=0,"委外",record[[#This Row],[Memo]]))</f>
        <v>平板報工</v>
      </c>
      <c r="O5333" t="s">
        <v>643</v>
      </c>
      <c r="P5333" t="s">
        <v>107</v>
      </c>
      <c r="Q5333" t="s">
        <v>644</v>
      </c>
      <c r="R5333" t="str">
        <f>IFERROR(VLOOKUP(record[[#This Row],[PCUSTID]],廠商[],2,FALSE),"")</f>
        <v/>
      </c>
      <c r="S5333" t="str">
        <f>VLOOKUP(record[[#This Row],[employeeID]],員工[],2,FALSE)</f>
        <v>黎氏順</v>
      </c>
    </row>
    <row r="5334" spans="6:19" hidden="1" x14ac:dyDescent="0.25">
      <c r="F5334" t="s">
        <v>1381</v>
      </c>
      <c r="G5334" t="s">
        <v>417</v>
      </c>
      <c r="H5334" t="str">
        <f>VLOOKUP(record[[#This Row],[ProcessSN]],表格2_7[],2,FALSE)</f>
        <v>30-4118-018-5XX</v>
      </c>
      <c r="I5334" t="str">
        <f>VLOOKUP(record[[#This Row],[ProcessSN]],表格2_7[],3,FALSE)</f>
        <v>#06</v>
      </c>
      <c r="J5334" t="s">
        <v>593</v>
      </c>
      <c r="K5334" s="195">
        <v>46024.64638888889</v>
      </c>
      <c r="L5334">
        <v>92</v>
      </c>
      <c r="M5334">
        <v>0</v>
      </c>
      <c r="N5334" s="98" t="str">
        <f>IF(record[[#This Row],[Memo]]="Browser:chrome os:android","平板報工",IF(record[[#This Row],[Memo]]=0,"委外",record[[#This Row],[Memo]]))</f>
        <v>平板報工</v>
      </c>
      <c r="O5334" t="s">
        <v>643</v>
      </c>
      <c r="P5334" t="s">
        <v>789</v>
      </c>
      <c r="Q5334" t="s">
        <v>644</v>
      </c>
      <c r="R5334" t="str">
        <f>IFERROR(VLOOKUP(record[[#This Row],[PCUSTID]],廠商[],2,FALSE),"")</f>
        <v/>
      </c>
      <c r="S5334" t="str">
        <f>VLOOKUP(record[[#This Row],[employeeID]],員工[],2,FALSE)</f>
        <v>張月霞</v>
      </c>
    </row>
    <row r="5335" spans="6:19" hidden="1" x14ac:dyDescent="0.25">
      <c r="F5335" t="s">
        <v>1385</v>
      </c>
      <c r="G5335" t="s">
        <v>467</v>
      </c>
      <c r="H5335" t="str">
        <f>VLOOKUP(record[[#This Row],[ProcessSN]],表格2_7[],2,FALSE)</f>
        <v>30-4118-018-XXX</v>
      </c>
      <c r="I5335" t="str">
        <f>VLOOKUP(record[[#This Row],[ProcessSN]],表格2_7[],3,FALSE)</f>
        <v>#01QC</v>
      </c>
      <c r="J5335" t="s">
        <v>589</v>
      </c>
      <c r="K5335" s="195">
        <v>46024.645011574074</v>
      </c>
      <c r="L5335">
        <v>1007</v>
      </c>
      <c r="M5335">
        <v>0</v>
      </c>
      <c r="N5335" s="98" t="str">
        <f>IF(record[[#This Row],[Memo]]="Browser:chrome os:android","平板報工",IF(record[[#This Row],[Memo]]=0,"委外",record[[#This Row],[Memo]]))</f>
        <v/>
      </c>
      <c r="O5335" t="s">
        <v>58</v>
      </c>
      <c r="P5335" t="s">
        <v>182</v>
      </c>
      <c r="Q5335" t="s">
        <v>58</v>
      </c>
      <c r="R5335" t="str">
        <f>IFERROR(VLOOKUP(record[[#This Row],[PCUSTID]],廠商[],2,FALSE),"")</f>
        <v/>
      </c>
      <c r="S5335" t="str">
        <f>VLOOKUP(record[[#This Row],[employeeID]],員工[],2,FALSE)</f>
        <v>梅氏和</v>
      </c>
    </row>
    <row r="5336" spans="6:19" hidden="1" x14ac:dyDescent="0.25">
      <c r="F5336" t="s">
        <v>1385</v>
      </c>
      <c r="G5336" t="s">
        <v>468</v>
      </c>
      <c r="H5336" t="str">
        <f>VLOOKUP(record[[#This Row],[ProcessSN]],表格2_7[],2,FALSE)</f>
        <v>30-4118-018-XXX</v>
      </c>
      <c r="I5336" t="str">
        <f>VLOOKUP(record[[#This Row],[ProcessSN]],表格2_7[],3,FALSE)</f>
        <v>#02</v>
      </c>
      <c r="J5336" t="s">
        <v>590</v>
      </c>
      <c r="K5336" s="195">
        <v>46024.644328703704</v>
      </c>
      <c r="L5336">
        <v>1007</v>
      </c>
      <c r="M5336">
        <v>0</v>
      </c>
      <c r="N5336" s="98" t="str">
        <f>IF(record[[#This Row],[Memo]]="Browser:chrome os:android","平板報工",IF(record[[#This Row],[Memo]]=0,"委外",record[[#This Row],[Memo]]))</f>
        <v/>
      </c>
      <c r="O5336" t="s">
        <v>58</v>
      </c>
      <c r="P5336" t="s">
        <v>186</v>
      </c>
      <c r="Q5336" t="s">
        <v>58</v>
      </c>
      <c r="R5336" t="str">
        <f>IFERROR(VLOOKUP(record[[#This Row],[PCUSTID]],廠商[],2,FALSE),"")</f>
        <v/>
      </c>
      <c r="S5336" t="str">
        <f>VLOOKUP(record[[#This Row],[employeeID]],員工[],2,FALSE)</f>
        <v>許文姍</v>
      </c>
    </row>
    <row r="5337" spans="6:19" hidden="1" x14ac:dyDescent="0.25">
      <c r="F5337" t="s">
        <v>1381</v>
      </c>
      <c r="G5337" t="s">
        <v>416</v>
      </c>
      <c r="H5337" t="str">
        <f>VLOOKUP(record[[#This Row],[ProcessSN]],表格2_7[],2,FALSE)</f>
        <v>30-4118-018-5XX</v>
      </c>
      <c r="I5337" t="str">
        <f>VLOOKUP(record[[#This Row],[ProcessSN]],表格2_7[],3,FALSE)</f>
        <v>#05</v>
      </c>
      <c r="J5337" t="s">
        <v>588</v>
      </c>
      <c r="K5337" s="195">
        <v>46024.64371527778</v>
      </c>
      <c r="L5337">
        <v>135</v>
      </c>
      <c r="M5337">
        <v>0</v>
      </c>
      <c r="N5337" s="98" t="str">
        <f>IF(record[[#This Row],[Memo]]="Browser:chrome os:android","平板報工",IF(record[[#This Row],[Memo]]=0,"委外",record[[#This Row],[Memo]]))</f>
        <v>平板報工</v>
      </c>
      <c r="O5337" t="s">
        <v>643</v>
      </c>
      <c r="P5337" t="s">
        <v>785</v>
      </c>
      <c r="Q5337" t="s">
        <v>644</v>
      </c>
      <c r="R5337" t="str">
        <f>IFERROR(VLOOKUP(record[[#This Row],[PCUSTID]],廠商[],2,FALSE),"")</f>
        <v/>
      </c>
      <c r="S5337" t="str">
        <f>VLOOKUP(record[[#This Row],[employeeID]],員工[],2,FALSE)</f>
        <v>謝刻光</v>
      </c>
    </row>
    <row r="5338" spans="6:19" hidden="1" x14ac:dyDescent="0.25">
      <c r="F5338" t="s">
        <v>1381</v>
      </c>
      <c r="G5338" t="s">
        <v>415</v>
      </c>
      <c r="H5338" t="str">
        <f>VLOOKUP(record[[#This Row],[ProcessSN]],表格2_7[],2,FALSE)</f>
        <v>30-4118-018-5XX</v>
      </c>
      <c r="I5338" t="str">
        <f>VLOOKUP(record[[#This Row],[ProcessSN]],表格2_7[],3,FALSE)</f>
        <v>#04</v>
      </c>
      <c r="J5338" t="s">
        <v>588</v>
      </c>
      <c r="K5338" s="195">
        <v>46024.640856481485</v>
      </c>
      <c r="L5338">
        <v>135</v>
      </c>
      <c r="M5338">
        <v>0</v>
      </c>
      <c r="N5338" s="98" t="str">
        <f>IF(record[[#This Row],[Memo]]="Browser:chrome os:android","平板報工",IF(record[[#This Row],[Memo]]=0,"委外",record[[#This Row],[Memo]]))</f>
        <v>平板報工</v>
      </c>
      <c r="O5338" t="s">
        <v>643</v>
      </c>
      <c r="P5338" t="s">
        <v>789</v>
      </c>
      <c r="Q5338" t="s">
        <v>644</v>
      </c>
      <c r="R5338" t="str">
        <f>IFERROR(VLOOKUP(record[[#This Row],[PCUSTID]],廠商[],2,FALSE),"")</f>
        <v/>
      </c>
      <c r="S5338" t="str">
        <f>VLOOKUP(record[[#This Row],[employeeID]],員工[],2,FALSE)</f>
        <v>張月霞</v>
      </c>
    </row>
    <row r="5339" spans="6:19" hidden="1" x14ac:dyDescent="0.25">
      <c r="F5339" t="s">
        <v>1385</v>
      </c>
      <c r="G5339" t="s">
        <v>470</v>
      </c>
      <c r="H5339" t="str">
        <f>VLOOKUP(record[[#This Row],[ProcessSN]],表格2_7[],2,FALSE)</f>
        <v>30-4118-018-XXX</v>
      </c>
      <c r="I5339" t="str">
        <f>VLOOKUP(record[[#This Row],[ProcessSN]],表格2_7[],3,FALSE)</f>
        <v>#02IQC</v>
      </c>
      <c r="J5339" t="s">
        <v>583</v>
      </c>
      <c r="K5339" s="195">
        <v>46024.597858796296</v>
      </c>
      <c r="L5339">
        <v>840</v>
      </c>
      <c r="M5339">
        <v>0</v>
      </c>
      <c r="N5339" s="98" t="str">
        <f>IF(record[[#This Row],[Memo]]="Browser:chrome os:android","平板報工",IF(record[[#This Row],[Memo]]=0,"委外",record[[#This Row],[Memo]]))</f>
        <v/>
      </c>
      <c r="O5339" t="s">
        <v>58</v>
      </c>
      <c r="P5339" t="s">
        <v>109</v>
      </c>
      <c r="Q5339" t="s">
        <v>58</v>
      </c>
      <c r="R5339" t="str">
        <f>IFERROR(VLOOKUP(record[[#This Row],[PCUSTID]],廠商[],2,FALSE),"")</f>
        <v/>
      </c>
      <c r="S5339" t="str">
        <f>VLOOKUP(record[[#This Row],[employeeID]],員工[],2,FALSE)</f>
        <v>裴氏璧鳳</v>
      </c>
    </row>
    <row r="5340" spans="6:19" hidden="1" x14ac:dyDescent="0.25">
      <c r="F5340" t="s">
        <v>1366</v>
      </c>
      <c r="G5340" t="s">
        <v>400</v>
      </c>
      <c r="H5340" t="str">
        <f>VLOOKUP(record[[#This Row],[ProcessSN]],表格2_7[],2,FALSE)</f>
        <v>30-4118-018-550</v>
      </c>
      <c r="I5340" t="str">
        <f>VLOOKUP(record[[#This Row],[ProcessSN]],表格2_7[],3,FALSE)</f>
        <v>#100</v>
      </c>
      <c r="J5340" t="s">
        <v>598</v>
      </c>
      <c r="K5340" s="195">
        <v>46024.577615740738</v>
      </c>
      <c r="L5340">
        <v>169</v>
      </c>
      <c r="M5340">
        <v>0</v>
      </c>
      <c r="N5340" s="98" t="str">
        <f>IF(record[[#This Row],[Memo]]="Browser:chrome os:android","平板報工",IF(record[[#This Row],[Memo]]=0,"委外",record[[#This Row],[Memo]]))</f>
        <v>平板報工</v>
      </c>
      <c r="O5340" t="s">
        <v>643</v>
      </c>
      <c r="P5340" t="s">
        <v>141</v>
      </c>
      <c r="Q5340" t="s">
        <v>644</v>
      </c>
      <c r="R5340" t="str">
        <f>IFERROR(VLOOKUP(record[[#This Row],[PCUSTID]],廠商[],2,FALSE),"")</f>
        <v/>
      </c>
      <c r="S5340" t="str">
        <f>VLOOKUP(record[[#This Row],[employeeID]],員工[],2,FALSE)</f>
        <v>蔣梅</v>
      </c>
    </row>
    <row r="5341" spans="6:19" hidden="1" x14ac:dyDescent="0.25">
      <c r="F5341" t="s">
        <v>1369</v>
      </c>
      <c r="G5341" t="s">
        <v>425</v>
      </c>
      <c r="H5341" t="str">
        <f>VLOOKUP(record[[#This Row],[ProcessSN]],表格2_7[],2,FALSE)</f>
        <v>30-4118-018-600</v>
      </c>
      <c r="I5341" t="str">
        <f>VLOOKUP(record[[#This Row],[ProcessSN]],表格2_7[],3,FALSE)</f>
        <v>#100</v>
      </c>
      <c r="J5341" t="s">
        <v>598</v>
      </c>
      <c r="K5341" s="195">
        <v>46024.491724537038</v>
      </c>
      <c r="L5341">
        <v>243</v>
      </c>
      <c r="M5341">
        <v>0</v>
      </c>
      <c r="N5341" s="98" t="str">
        <f>IF(record[[#This Row],[Memo]]="Browser:chrome os:android","平板報工",IF(record[[#This Row],[Memo]]=0,"委外",record[[#This Row],[Memo]]))</f>
        <v/>
      </c>
      <c r="O5341" t="s">
        <v>58</v>
      </c>
      <c r="P5341" t="s">
        <v>141</v>
      </c>
      <c r="Q5341" t="s">
        <v>58</v>
      </c>
      <c r="R5341" t="str">
        <f>IFERROR(VLOOKUP(record[[#This Row],[PCUSTID]],廠商[],2,FALSE),"")</f>
        <v/>
      </c>
      <c r="S5341" t="str">
        <f>VLOOKUP(record[[#This Row],[employeeID]],員工[],2,FALSE)</f>
        <v>蔣梅</v>
      </c>
    </row>
    <row r="5342" spans="6:19" hidden="1" x14ac:dyDescent="0.25">
      <c r="F5342" t="s">
        <v>1369</v>
      </c>
      <c r="G5342" t="s">
        <v>424</v>
      </c>
      <c r="H5342" t="str">
        <f>VLOOKUP(record[[#This Row],[ProcessSN]],表格2_7[],2,FALSE)</f>
        <v>30-4118-018-600</v>
      </c>
      <c r="I5342" t="str">
        <f>VLOOKUP(record[[#This Row],[ProcessSN]],表格2_7[],3,FALSE)</f>
        <v>#08IQC</v>
      </c>
      <c r="J5342" t="s">
        <v>583</v>
      </c>
      <c r="K5342" s="195">
        <v>46024.491493055553</v>
      </c>
      <c r="L5342">
        <v>30</v>
      </c>
      <c r="M5342">
        <v>0</v>
      </c>
      <c r="N5342" s="98" t="str">
        <f>IF(record[[#This Row],[Memo]]="Browser:chrome os:android","平板報工",IF(record[[#This Row],[Memo]]=0,"委外",record[[#This Row],[Memo]]))</f>
        <v>覆回</v>
      </c>
      <c r="O5342" t="s">
        <v>682</v>
      </c>
      <c r="P5342" t="s">
        <v>141</v>
      </c>
      <c r="Q5342" t="s">
        <v>58</v>
      </c>
      <c r="R5342" t="str">
        <f>IFERROR(VLOOKUP(record[[#This Row],[PCUSTID]],廠商[],2,FALSE),"")</f>
        <v/>
      </c>
      <c r="S5342" t="str">
        <f>VLOOKUP(record[[#This Row],[employeeID]],員工[],2,FALSE)</f>
        <v>蔣梅</v>
      </c>
    </row>
    <row r="5343" spans="6:19" hidden="1" x14ac:dyDescent="0.25">
      <c r="F5343" t="s">
        <v>1369</v>
      </c>
      <c r="G5343" t="s">
        <v>423</v>
      </c>
      <c r="H5343" t="str">
        <f>VLOOKUP(record[[#This Row],[ProcessSN]],表格2_7[],2,FALSE)</f>
        <v>30-4118-018-600</v>
      </c>
      <c r="I5343" t="str">
        <f>VLOOKUP(record[[#This Row],[ProcessSN]],表格2_7[],3,FALSE)</f>
        <v>#08RCV</v>
      </c>
      <c r="J5343" t="s">
        <v>591</v>
      </c>
      <c r="K5343" s="195">
        <v>46024.491342592592</v>
      </c>
      <c r="L5343">
        <v>0</v>
      </c>
      <c r="M5343">
        <v>79</v>
      </c>
      <c r="N5343" s="98" t="str">
        <f>IF(record[[#This Row],[Memo]]="Browser:chrome os:android","平板報工",IF(record[[#This Row],[Memo]]=0,"委外",record[[#This Row],[Memo]]))</f>
        <v/>
      </c>
      <c r="O5343" t="s">
        <v>58</v>
      </c>
      <c r="P5343" t="s">
        <v>141</v>
      </c>
      <c r="Q5343" t="s">
        <v>58</v>
      </c>
      <c r="R5343" t="str">
        <f>IFERROR(VLOOKUP(record[[#This Row],[PCUSTID]],廠商[],2,FALSE),"")</f>
        <v/>
      </c>
      <c r="S5343" t="str">
        <f>VLOOKUP(record[[#This Row],[employeeID]],員工[],2,FALSE)</f>
        <v>蔣梅</v>
      </c>
    </row>
    <row r="5344" spans="6:19" hidden="1" x14ac:dyDescent="0.25">
      <c r="F5344" t="s">
        <v>1369</v>
      </c>
      <c r="G5344" t="s">
        <v>423</v>
      </c>
      <c r="H5344" t="str">
        <f>VLOOKUP(record[[#This Row],[ProcessSN]],表格2_7[],2,FALSE)</f>
        <v>30-4118-018-600</v>
      </c>
      <c r="I5344" t="str">
        <f>VLOOKUP(record[[#This Row],[ProcessSN]],表格2_7[],3,FALSE)</f>
        <v>#08RCV</v>
      </c>
      <c r="J5344" t="s">
        <v>591</v>
      </c>
      <c r="K5344" s="195">
        <v>46024.49119212963</v>
      </c>
      <c r="L5344">
        <v>30</v>
      </c>
      <c r="M5344">
        <v>0</v>
      </c>
      <c r="N5344" s="98" t="str">
        <f>IF(record[[#This Row],[Memo]]="Browser:chrome os:android","平板報工",IF(record[[#This Row],[Memo]]=0,"委外",record[[#This Row],[Memo]]))</f>
        <v>覆回</v>
      </c>
      <c r="O5344" t="s">
        <v>682</v>
      </c>
      <c r="P5344" t="s">
        <v>141</v>
      </c>
      <c r="Q5344" t="s">
        <v>58</v>
      </c>
      <c r="R5344" t="str">
        <f>IFERROR(VLOOKUP(record[[#This Row],[PCUSTID]],廠商[],2,FALSE),"")</f>
        <v/>
      </c>
      <c r="S5344" t="str">
        <f>VLOOKUP(record[[#This Row],[employeeID]],員工[],2,FALSE)</f>
        <v>蔣梅</v>
      </c>
    </row>
    <row r="5345" spans="6:19" hidden="1" x14ac:dyDescent="0.25">
      <c r="F5345" t="s">
        <v>1385</v>
      </c>
      <c r="G5345" t="s">
        <v>469</v>
      </c>
      <c r="H5345" t="str">
        <f>VLOOKUP(record[[#This Row],[ProcessSN]],表格2_7[],2,FALSE)</f>
        <v>30-4118-018-XXX</v>
      </c>
      <c r="I5345" t="str">
        <f>VLOOKUP(record[[#This Row],[ProcessSN]],表格2_7[],3,FALSE)</f>
        <v>#02RCV</v>
      </c>
      <c r="J5345" t="s">
        <v>591</v>
      </c>
      <c r="K5345" s="195">
        <v>46024.449212962965</v>
      </c>
      <c r="L5345">
        <v>840</v>
      </c>
      <c r="M5345">
        <v>0</v>
      </c>
      <c r="N5345" s="98" t="str">
        <f>IF(record[[#This Row],[Memo]]="Browser:chrome os:android","平板報工",IF(record[[#This Row],[Memo]]=0,"委外",record[[#This Row],[Memo]]))</f>
        <v/>
      </c>
      <c r="O5345" t="s">
        <v>58</v>
      </c>
      <c r="P5345" t="s">
        <v>186</v>
      </c>
      <c r="Q5345" t="s">
        <v>58</v>
      </c>
      <c r="R5345" t="str">
        <f>IFERROR(VLOOKUP(record[[#This Row],[PCUSTID]],廠商[],2,FALSE),"")</f>
        <v/>
      </c>
      <c r="S5345" t="str">
        <f>VLOOKUP(record[[#This Row],[employeeID]],員工[],2,FALSE)</f>
        <v>許文姍</v>
      </c>
    </row>
    <row r="5346" spans="6:19" hidden="1" x14ac:dyDescent="0.25">
      <c r="F5346" t="s">
        <v>1388</v>
      </c>
      <c r="G5346" t="s">
        <v>424</v>
      </c>
      <c r="H5346" t="str">
        <f>VLOOKUP(record[[#This Row],[ProcessSN]],表格2_7[],2,FALSE)</f>
        <v>30-4118-018-600</v>
      </c>
      <c r="I5346" t="str">
        <f>VLOOKUP(record[[#This Row],[ProcessSN]],表格2_7[],3,FALSE)</f>
        <v>#08IQC</v>
      </c>
      <c r="J5346" t="s">
        <v>583</v>
      </c>
      <c r="K5346" s="195">
        <v>46024.351898148147</v>
      </c>
      <c r="L5346">
        <v>101</v>
      </c>
      <c r="M5346">
        <v>0</v>
      </c>
      <c r="N5346" s="98" t="str">
        <f>IF(record[[#This Row],[Memo]]="Browser:chrome os:android","平板報工",IF(record[[#This Row],[Memo]]=0,"委外",record[[#This Row],[Memo]]))</f>
        <v/>
      </c>
      <c r="O5346" t="s">
        <v>58</v>
      </c>
      <c r="P5346" t="s">
        <v>109</v>
      </c>
      <c r="Q5346" t="s">
        <v>58</v>
      </c>
      <c r="R5346" t="str">
        <f>IFERROR(VLOOKUP(record[[#This Row],[PCUSTID]],廠商[],2,FALSE),"")</f>
        <v/>
      </c>
      <c r="S5346" t="str">
        <f>VLOOKUP(record[[#This Row],[employeeID]],員工[],2,FALSE)</f>
        <v>裴氏璧鳳</v>
      </c>
    </row>
    <row r="5347" spans="6:19" hidden="1" x14ac:dyDescent="0.25">
      <c r="F5347" t="s">
        <v>1388</v>
      </c>
      <c r="G5347" t="s">
        <v>423</v>
      </c>
      <c r="H5347" t="str">
        <f>VLOOKUP(record[[#This Row],[ProcessSN]],表格2_7[],2,FALSE)</f>
        <v>30-4118-018-600</v>
      </c>
      <c r="I5347" t="str">
        <f>VLOOKUP(record[[#This Row],[ProcessSN]],表格2_7[],3,FALSE)</f>
        <v>#08RCV</v>
      </c>
      <c r="J5347" t="s">
        <v>591</v>
      </c>
      <c r="K5347" s="195">
        <v>46024.347673611112</v>
      </c>
      <c r="L5347">
        <v>101</v>
      </c>
      <c r="M5347">
        <v>0</v>
      </c>
      <c r="N5347" s="98" t="str">
        <f>IF(record[[#This Row],[Memo]]="Browser:chrome os:android","平板報工",IF(record[[#This Row],[Memo]]=0,"委外",record[[#This Row],[Memo]]))</f>
        <v/>
      </c>
      <c r="O5347" t="s">
        <v>58</v>
      </c>
      <c r="P5347" t="s">
        <v>186</v>
      </c>
      <c r="Q5347" t="s">
        <v>58</v>
      </c>
      <c r="R5347" t="str">
        <f>IFERROR(VLOOKUP(record[[#This Row],[PCUSTID]],廠商[],2,FALSE),"")</f>
        <v/>
      </c>
      <c r="S5347" t="str">
        <f>VLOOKUP(record[[#This Row],[employeeID]],員工[],2,FALSE)</f>
        <v>許文姍</v>
      </c>
    </row>
    <row r="5348" spans="6:19" hidden="1" x14ac:dyDescent="0.25">
      <c r="F5348" t="s">
        <v>1381</v>
      </c>
      <c r="G5348" t="s">
        <v>417</v>
      </c>
      <c r="H5348" t="str">
        <f>VLOOKUP(record[[#This Row],[ProcessSN]],表格2_7[],2,FALSE)</f>
        <v>30-4118-018-5XX</v>
      </c>
      <c r="I5348" t="str">
        <f>VLOOKUP(record[[#This Row],[ProcessSN]],表格2_7[],3,FALSE)</f>
        <v>#06</v>
      </c>
      <c r="J5348" t="s">
        <v>593</v>
      </c>
      <c r="K5348" s="195">
        <v>46023.308333333334</v>
      </c>
      <c r="L5348">
        <v>134</v>
      </c>
      <c r="M5348">
        <v>0</v>
      </c>
      <c r="N5348" s="98" t="str">
        <f>IF(record[[#This Row],[Memo]]="Browser:chrome os:android","平板報工",IF(record[[#This Row],[Memo]]=0,"委外",record[[#This Row],[Memo]]))</f>
        <v/>
      </c>
      <c r="O5348" t="s">
        <v>58</v>
      </c>
      <c r="P5348" t="s">
        <v>180</v>
      </c>
      <c r="Q5348" t="s">
        <v>58</v>
      </c>
      <c r="R5348" t="str">
        <f>IFERROR(VLOOKUP(record[[#This Row],[PCUSTID]],廠商[],2,FALSE),"")</f>
        <v/>
      </c>
      <c r="S5348" t="str">
        <f>VLOOKUP(record[[#This Row],[employeeID]],員工[],2,FALSE)</f>
        <v>黎功江</v>
      </c>
    </row>
    <row r="5349" spans="6:19" hidden="1" x14ac:dyDescent="0.25">
      <c r="F5349" t="s">
        <v>1381</v>
      </c>
      <c r="G5349" t="s">
        <v>416</v>
      </c>
      <c r="H5349" t="str">
        <f>VLOOKUP(record[[#This Row],[ProcessSN]],表格2_7[],2,FALSE)</f>
        <v>30-4118-018-5XX</v>
      </c>
      <c r="I5349" t="str">
        <f>VLOOKUP(record[[#This Row],[ProcessSN]],表格2_7[],3,FALSE)</f>
        <v>#05</v>
      </c>
      <c r="J5349" t="s">
        <v>588</v>
      </c>
      <c r="K5349" s="195">
        <v>46023.307129629633</v>
      </c>
      <c r="L5349">
        <v>140</v>
      </c>
      <c r="M5349">
        <v>2</v>
      </c>
      <c r="N5349" s="98" t="str">
        <f>IF(record[[#This Row],[Memo]]="Browser:chrome os:android","平板報工",IF(record[[#This Row],[Memo]]=0,"委外",record[[#This Row],[Memo]]))</f>
        <v/>
      </c>
      <c r="O5349" t="s">
        <v>58</v>
      </c>
      <c r="P5349" t="s">
        <v>843</v>
      </c>
      <c r="Q5349" t="s">
        <v>58</v>
      </c>
      <c r="R5349" t="str">
        <f>IFERROR(VLOOKUP(record[[#This Row],[PCUSTID]],廠商[],2,FALSE),"")</f>
        <v/>
      </c>
      <c r="S5349" t="str">
        <f>VLOOKUP(record[[#This Row],[employeeID]],員工[],2,FALSE)</f>
        <v>張楚承</v>
      </c>
    </row>
    <row r="5350" spans="6:19" hidden="1" x14ac:dyDescent="0.25">
      <c r="F5350" t="s">
        <v>1381</v>
      </c>
      <c r="G5350" t="s">
        <v>415</v>
      </c>
      <c r="H5350" t="str">
        <f>VLOOKUP(record[[#This Row],[ProcessSN]],表格2_7[],2,FALSE)</f>
        <v>30-4118-018-5XX</v>
      </c>
      <c r="I5350" t="str">
        <f>VLOOKUP(record[[#This Row],[ProcessSN]],表格2_7[],3,FALSE)</f>
        <v>#04</v>
      </c>
      <c r="J5350" t="s">
        <v>588</v>
      </c>
      <c r="K5350" s="195">
        <v>46023.306238425925</v>
      </c>
      <c r="L5350">
        <v>142</v>
      </c>
      <c r="M5350">
        <v>0</v>
      </c>
      <c r="N5350" s="98" t="str">
        <f>IF(record[[#This Row],[Memo]]="Browser:chrome os:android","平板報工",IF(record[[#This Row],[Memo]]=0,"委外",record[[#This Row],[Memo]]))</f>
        <v/>
      </c>
      <c r="O5350" t="s">
        <v>58</v>
      </c>
      <c r="P5350" t="s">
        <v>135</v>
      </c>
      <c r="Q5350" t="s">
        <v>58</v>
      </c>
      <c r="R5350" t="str">
        <f>IFERROR(VLOOKUP(record[[#This Row],[PCUSTID]],廠商[],2,FALSE),"")</f>
        <v/>
      </c>
      <c r="S5350" t="str">
        <f>VLOOKUP(record[[#This Row],[employeeID]],員工[],2,FALSE)</f>
        <v>阮士文</v>
      </c>
    </row>
    <row r="5351" spans="6:19" hidden="1" x14ac:dyDescent="0.25">
      <c r="F5351" t="s">
        <v>1381</v>
      </c>
      <c r="G5351" t="s">
        <v>416</v>
      </c>
      <c r="H5351" t="str">
        <f>VLOOKUP(record[[#This Row],[ProcessSN]],表格2_7[],2,FALSE)</f>
        <v>30-4118-018-5XX</v>
      </c>
      <c r="I5351" t="str">
        <f>VLOOKUP(record[[#This Row],[ProcessSN]],表格2_7[],3,FALSE)</f>
        <v>#05</v>
      </c>
      <c r="J5351" t="s">
        <v>588</v>
      </c>
      <c r="K5351" s="195">
        <v>46022.971747685187</v>
      </c>
      <c r="L5351">
        <v>131</v>
      </c>
      <c r="M5351">
        <v>0</v>
      </c>
      <c r="N5351" s="98" t="str">
        <f>IF(record[[#This Row],[Memo]]="Browser:chrome os:android","平板報工",IF(record[[#This Row],[Memo]]=0,"委外",record[[#This Row],[Memo]]))</f>
        <v/>
      </c>
      <c r="O5351" t="s">
        <v>58</v>
      </c>
      <c r="P5351" t="s">
        <v>89</v>
      </c>
      <c r="Q5351" t="s">
        <v>58</v>
      </c>
      <c r="R5351" t="str">
        <f>IFERROR(VLOOKUP(record[[#This Row],[PCUSTID]],廠商[],2,FALSE),"")</f>
        <v/>
      </c>
      <c r="S5351" t="str">
        <f>VLOOKUP(record[[#This Row],[employeeID]],員工[],2,FALSE)</f>
        <v>李美蓮</v>
      </c>
    </row>
    <row r="5352" spans="6:19" hidden="1" x14ac:dyDescent="0.25">
      <c r="F5352" t="s">
        <v>1385</v>
      </c>
      <c r="G5352" t="s">
        <v>466</v>
      </c>
      <c r="H5352" t="str">
        <f>VLOOKUP(record[[#This Row],[ProcessSN]],表格2_7[],2,FALSE)</f>
        <v>30-4118-018-XXX</v>
      </c>
      <c r="I5352" t="str">
        <f>VLOOKUP(record[[#This Row],[ProcessSN]],表格2_7[],3,FALSE)</f>
        <v>#01-2</v>
      </c>
      <c r="J5352" t="s">
        <v>588</v>
      </c>
      <c r="K5352" s="195">
        <v>46022.971180555556</v>
      </c>
      <c r="L5352">
        <v>443</v>
      </c>
      <c r="M5352">
        <v>0</v>
      </c>
      <c r="N5352" s="98" t="str">
        <f>IF(record[[#This Row],[Memo]]="Browser:chrome os:android","平板報工",IF(record[[#This Row],[Memo]]=0,"委外",record[[#This Row],[Memo]]))</f>
        <v/>
      </c>
      <c r="O5352" t="s">
        <v>58</v>
      </c>
      <c r="P5352" t="s">
        <v>1098</v>
      </c>
      <c r="Q5352" t="s">
        <v>58</v>
      </c>
      <c r="R5352" t="str">
        <f>IFERROR(VLOOKUP(record[[#This Row],[PCUSTID]],廠商[],2,FALSE),"")</f>
        <v/>
      </c>
      <c r="S5352" t="str">
        <f>VLOOKUP(record[[#This Row],[employeeID]],員工[],2,FALSE)</f>
        <v>阮氏芳英(英)</v>
      </c>
    </row>
    <row r="5353" spans="6:19" hidden="1" x14ac:dyDescent="0.25">
      <c r="F5353" t="s">
        <v>1385</v>
      </c>
      <c r="G5353" t="s">
        <v>465</v>
      </c>
      <c r="H5353" t="str">
        <f>VLOOKUP(record[[#This Row],[ProcessSN]],表格2_7[],2,FALSE)</f>
        <v>30-4118-018-XXX</v>
      </c>
      <c r="I5353" t="str">
        <f>VLOOKUP(record[[#This Row],[ProcessSN]],表格2_7[],3,FALSE)</f>
        <v>#01-1</v>
      </c>
      <c r="J5353" t="s">
        <v>588</v>
      </c>
      <c r="K5353" s="195">
        <v>46022.970949074072</v>
      </c>
      <c r="L5353">
        <v>747</v>
      </c>
      <c r="M5353">
        <v>0</v>
      </c>
      <c r="N5353" s="98" t="str">
        <f>IF(record[[#This Row],[Memo]]="Browser:chrome os:android","平板報工",IF(record[[#This Row],[Memo]]=0,"委外",record[[#This Row],[Memo]]))</f>
        <v/>
      </c>
      <c r="O5353" t="s">
        <v>58</v>
      </c>
      <c r="P5353" t="s">
        <v>1098</v>
      </c>
      <c r="Q5353" t="s">
        <v>58</v>
      </c>
      <c r="R5353" t="str">
        <f>IFERROR(VLOOKUP(record[[#This Row],[PCUSTID]],廠商[],2,FALSE),"")</f>
        <v/>
      </c>
      <c r="S5353" t="str">
        <f>VLOOKUP(record[[#This Row],[employeeID]],員工[],2,FALSE)</f>
        <v>阮氏芳英(英)</v>
      </c>
    </row>
    <row r="5354" spans="6:19" hidden="1" x14ac:dyDescent="0.25">
      <c r="F5354" t="s">
        <v>1381</v>
      </c>
      <c r="G5354" t="s">
        <v>415</v>
      </c>
      <c r="H5354" t="str">
        <f>VLOOKUP(record[[#This Row],[ProcessSN]],表格2_7[],2,FALSE)</f>
        <v>30-4118-018-5XX</v>
      </c>
      <c r="I5354" t="str">
        <f>VLOOKUP(record[[#This Row],[ProcessSN]],表格2_7[],3,FALSE)</f>
        <v>#04</v>
      </c>
      <c r="J5354" t="s">
        <v>588</v>
      </c>
      <c r="K5354" s="195">
        <v>46022.969895833332</v>
      </c>
      <c r="L5354">
        <v>131</v>
      </c>
      <c r="M5354">
        <v>0</v>
      </c>
      <c r="N5354" s="98" t="str">
        <f>IF(record[[#This Row],[Memo]]="Browser:chrome os:android","平板報工",IF(record[[#This Row],[Memo]]=0,"委外",record[[#This Row],[Memo]]))</f>
        <v/>
      </c>
      <c r="O5354" t="s">
        <v>58</v>
      </c>
      <c r="P5354" t="s">
        <v>133</v>
      </c>
      <c r="Q5354" t="s">
        <v>58</v>
      </c>
      <c r="R5354" t="str">
        <f>IFERROR(VLOOKUP(record[[#This Row],[PCUSTID]],廠商[],2,FALSE),"")</f>
        <v/>
      </c>
      <c r="S5354" t="str">
        <f>VLOOKUP(record[[#This Row],[employeeID]],員工[],2,FALSE)</f>
        <v>黎長維</v>
      </c>
    </row>
    <row r="5355" spans="6:19" hidden="1" x14ac:dyDescent="0.25">
      <c r="F5355" t="s">
        <v>1381</v>
      </c>
      <c r="G5355" t="s">
        <v>417</v>
      </c>
      <c r="H5355" t="str">
        <f>VLOOKUP(record[[#This Row],[ProcessSN]],表格2_7[],2,FALSE)</f>
        <v>30-4118-018-5XX</v>
      </c>
      <c r="I5355" t="str">
        <f>VLOOKUP(record[[#This Row],[ProcessSN]],表格2_7[],3,FALSE)</f>
        <v>#06</v>
      </c>
      <c r="J5355" t="s">
        <v>593</v>
      </c>
      <c r="K5355" s="195">
        <v>46022.968923611108</v>
      </c>
      <c r="L5355">
        <v>105</v>
      </c>
      <c r="M5355">
        <v>0</v>
      </c>
      <c r="N5355" s="98" t="str">
        <f>IF(record[[#This Row],[Memo]]="Browser:chrome os:android","平板報工",IF(record[[#This Row],[Memo]]=0,"委外",record[[#This Row],[Memo]]))</f>
        <v/>
      </c>
      <c r="O5355" t="s">
        <v>58</v>
      </c>
      <c r="P5355" t="s">
        <v>133</v>
      </c>
      <c r="Q5355" t="s">
        <v>58</v>
      </c>
      <c r="R5355" t="str">
        <f>IFERROR(VLOOKUP(record[[#This Row],[PCUSTID]],廠商[],2,FALSE),"")</f>
        <v/>
      </c>
      <c r="S5355" t="str">
        <f>VLOOKUP(record[[#This Row],[employeeID]],員工[],2,FALSE)</f>
        <v>黎長維</v>
      </c>
    </row>
    <row r="5356" spans="6:19" hidden="1" x14ac:dyDescent="0.25">
      <c r="F5356" t="s">
        <v>1290</v>
      </c>
      <c r="G5356" t="s">
        <v>417</v>
      </c>
      <c r="H5356" t="str">
        <f>VLOOKUP(record[[#This Row],[ProcessSN]],表格2_7[],2,FALSE)</f>
        <v>30-4118-018-5XX</v>
      </c>
      <c r="I5356" t="str">
        <f>VLOOKUP(record[[#This Row],[ProcessSN]],表格2_7[],3,FALSE)</f>
        <v>#06</v>
      </c>
      <c r="J5356" t="s">
        <v>593</v>
      </c>
      <c r="K5356" s="195">
        <v>46022.788622685184</v>
      </c>
      <c r="L5356">
        <v>28</v>
      </c>
      <c r="M5356">
        <v>0</v>
      </c>
      <c r="N5356" s="98" t="str">
        <f>IF(record[[#This Row],[Memo]]="Browser:chrome os:android","平板報工",IF(record[[#This Row],[Memo]]=0,"委外",record[[#This Row],[Memo]]))</f>
        <v/>
      </c>
      <c r="O5356" t="s">
        <v>58</v>
      </c>
      <c r="P5356" t="s">
        <v>133</v>
      </c>
      <c r="Q5356" t="s">
        <v>58</v>
      </c>
      <c r="R5356" t="str">
        <f>IFERROR(VLOOKUP(record[[#This Row],[PCUSTID]],廠商[],2,FALSE),"")</f>
        <v/>
      </c>
      <c r="S5356" t="str">
        <f>VLOOKUP(record[[#This Row],[employeeID]],員工[],2,FALSE)</f>
        <v>黎長維</v>
      </c>
    </row>
    <row r="5357" spans="6:19" hidden="1" x14ac:dyDescent="0.25">
      <c r="F5357" t="s">
        <v>1402</v>
      </c>
      <c r="G5357" t="s">
        <v>424</v>
      </c>
      <c r="H5357" t="str">
        <f>VLOOKUP(record[[#This Row],[ProcessSN]],表格2_7[],2,FALSE)</f>
        <v>30-4118-018-600</v>
      </c>
      <c r="I5357" t="str">
        <f>VLOOKUP(record[[#This Row],[ProcessSN]],表格2_7[],3,FALSE)</f>
        <v>#08IQC</v>
      </c>
      <c r="J5357" t="s">
        <v>583</v>
      </c>
      <c r="K5357" s="195">
        <v>46022.727303240739</v>
      </c>
      <c r="L5357">
        <v>108</v>
      </c>
      <c r="M5357">
        <v>0</v>
      </c>
      <c r="N5357" s="98" t="str">
        <f>IF(record[[#This Row],[Memo]]="Browser:chrome os:android","平板報工",IF(record[[#This Row],[Memo]]=0,"委外",record[[#This Row],[Memo]]))</f>
        <v/>
      </c>
      <c r="O5357" t="s">
        <v>58</v>
      </c>
      <c r="P5357" t="s">
        <v>109</v>
      </c>
      <c r="Q5357" t="s">
        <v>58</v>
      </c>
      <c r="R5357" t="str">
        <f>IFERROR(VLOOKUP(record[[#This Row],[PCUSTID]],廠商[],2,FALSE),"")</f>
        <v/>
      </c>
      <c r="S5357" t="str">
        <f>VLOOKUP(record[[#This Row],[employeeID]],員工[],2,FALSE)</f>
        <v>裴氏璧鳳</v>
      </c>
    </row>
    <row r="5358" spans="6:19" hidden="1" x14ac:dyDescent="0.25">
      <c r="F5358" t="s">
        <v>1406</v>
      </c>
      <c r="G5358" t="s">
        <v>463</v>
      </c>
      <c r="H5358" t="str">
        <f>VLOOKUP(record[[#This Row],[ProcessSN]],表格2_7[],2,FALSE)</f>
        <v>30-4118-018-XXX</v>
      </c>
      <c r="I5358" t="str">
        <f>VLOOKUP(record[[#This Row],[ProcessSN]],表格2_7[],3,FALSE)</f>
        <v>#00IQC</v>
      </c>
      <c r="J5358" t="s">
        <v>583</v>
      </c>
      <c r="K5358" s="195">
        <v>46022.726944444446</v>
      </c>
      <c r="L5358">
        <v>1160</v>
      </c>
      <c r="M5358">
        <v>0</v>
      </c>
      <c r="N5358" s="98" t="str">
        <f>IF(record[[#This Row],[Memo]]="Browser:chrome os:android","平板報工",IF(record[[#This Row],[Memo]]=0,"委外",record[[#This Row],[Memo]]))</f>
        <v/>
      </c>
      <c r="O5358" t="s">
        <v>58</v>
      </c>
      <c r="P5358" t="s">
        <v>109</v>
      </c>
      <c r="Q5358" t="s">
        <v>58</v>
      </c>
      <c r="R5358" t="str">
        <f>IFERROR(VLOOKUP(record[[#This Row],[PCUSTID]],廠商[],2,FALSE),"")</f>
        <v/>
      </c>
      <c r="S5358" t="str">
        <f>VLOOKUP(record[[#This Row],[employeeID]],員工[],2,FALSE)</f>
        <v>裴氏璧鳳</v>
      </c>
    </row>
    <row r="5359" spans="6:19" hidden="1" x14ac:dyDescent="0.25">
      <c r="F5359" t="s">
        <v>1402</v>
      </c>
      <c r="G5359" t="s">
        <v>423</v>
      </c>
      <c r="H5359" t="str">
        <f>VLOOKUP(record[[#This Row],[ProcessSN]],表格2_7[],2,FALSE)</f>
        <v>30-4118-018-600</v>
      </c>
      <c r="I5359" t="str">
        <f>VLOOKUP(record[[#This Row],[ProcessSN]],表格2_7[],3,FALSE)</f>
        <v>#08RCV</v>
      </c>
      <c r="J5359" t="s">
        <v>591</v>
      </c>
      <c r="K5359" s="195">
        <v>46022.653622685182</v>
      </c>
      <c r="L5359">
        <v>0</v>
      </c>
      <c r="M5359">
        <v>31</v>
      </c>
      <c r="N5359" s="98" t="str">
        <f>IF(record[[#This Row],[Memo]]="Browser:chrome os:android","平板報工",IF(record[[#This Row],[Memo]]=0,"委外",record[[#This Row],[Memo]]))</f>
        <v/>
      </c>
      <c r="O5359" t="s">
        <v>58</v>
      </c>
      <c r="P5359" t="s">
        <v>186</v>
      </c>
      <c r="Q5359" t="s">
        <v>58</v>
      </c>
      <c r="R5359" t="str">
        <f>IFERROR(VLOOKUP(record[[#This Row],[PCUSTID]],廠商[],2,FALSE),"")</f>
        <v/>
      </c>
      <c r="S5359" t="str">
        <f>VLOOKUP(record[[#This Row],[employeeID]],員工[],2,FALSE)</f>
        <v>許文姍</v>
      </c>
    </row>
    <row r="5360" spans="6:19" hidden="1" x14ac:dyDescent="0.25">
      <c r="F5360" t="s">
        <v>1402</v>
      </c>
      <c r="G5360" t="s">
        <v>423</v>
      </c>
      <c r="H5360" t="str">
        <f>VLOOKUP(record[[#This Row],[ProcessSN]],表格2_7[],2,FALSE)</f>
        <v>30-4118-018-600</v>
      </c>
      <c r="I5360" t="str">
        <f>VLOOKUP(record[[#This Row],[ProcessSN]],表格2_7[],3,FALSE)</f>
        <v>#08RCV</v>
      </c>
      <c r="J5360" t="s">
        <v>591</v>
      </c>
      <c r="K5360" s="195">
        <v>46022.653483796297</v>
      </c>
      <c r="L5360">
        <v>108</v>
      </c>
      <c r="M5360">
        <v>0</v>
      </c>
      <c r="N5360" s="98" t="str">
        <f>IF(record[[#This Row],[Memo]]="Browser:chrome os:android","平板報工",IF(record[[#This Row],[Memo]]=0,"委外",record[[#This Row],[Memo]]))</f>
        <v/>
      </c>
      <c r="O5360" t="s">
        <v>58</v>
      </c>
      <c r="P5360" t="s">
        <v>186</v>
      </c>
      <c r="Q5360" t="s">
        <v>58</v>
      </c>
      <c r="R5360" t="str">
        <f>IFERROR(VLOOKUP(record[[#This Row],[PCUSTID]],廠商[],2,FALSE),"")</f>
        <v/>
      </c>
      <c r="S5360" t="str">
        <f>VLOOKUP(record[[#This Row],[employeeID]],員工[],2,FALSE)</f>
        <v>許文姍</v>
      </c>
    </row>
    <row r="5361" spans="6:19" hidden="1" x14ac:dyDescent="0.25">
      <c r="F5361" t="s">
        <v>1380</v>
      </c>
      <c r="G5361" t="s">
        <v>379</v>
      </c>
      <c r="H5361" t="str">
        <f>VLOOKUP(record[[#This Row],[ProcessSN]],表格2_7[],2,FALSE)</f>
        <v>30-4118-018-4XX</v>
      </c>
      <c r="I5361" t="str">
        <f>VLOOKUP(record[[#This Row],[ProcessSN]],表格2_7[],3,FALSE)</f>
        <v>#07STOCK</v>
      </c>
      <c r="J5361" t="s">
        <v>592</v>
      </c>
      <c r="K5361" s="195">
        <v>46022.649780092594</v>
      </c>
      <c r="L5361">
        <v>168</v>
      </c>
      <c r="M5361">
        <v>0</v>
      </c>
      <c r="N5361" s="98" t="str">
        <f>IF(record[[#This Row],[Memo]]="Browser:chrome os:android","平板報工",IF(record[[#This Row],[Memo]]=0,"委外",record[[#This Row],[Memo]]))</f>
        <v/>
      </c>
      <c r="O5361" t="s">
        <v>58</v>
      </c>
      <c r="P5361" t="s">
        <v>186</v>
      </c>
      <c r="Q5361" t="s">
        <v>58</v>
      </c>
      <c r="R5361" t="str">
        <f>IFERROR(VLOOKUP(record[[#This Row],[PCUSTID]],廠商[],2,FALSE),"")</f>
        <v/>
      </c>
      <c r="S5361" t="str">
        <f>VLOOKUP(record[[#This Row],[employeeID]],員工[],2,FALSE)</f>
        <v>許文姍</v>
      </c>
    </row>
    <row r="5362" spans="6:19" hidden="1" x14ac:dyDescent="0.25">
      <c r="F5362" t="s">
        <v>1339</v>
      </c>
      <c r="G5362" t="s">
        <v>379</v>
      </c>
      <c r="H5362" t="str">
        <f>VLOOKUP(record[[#This Row],[ProcessSN]],表格2_7[],2,FALSE)</f>
        <v>30-4118-018-4XX</v>
      </c>
      <c r="I5362" t="str">
        <f>VLOOKUP(record[[#This Row],[ProcessSN]],表格2_7[],3,FALSE)</f>
        <v>#07STOCK</v>
      </c>
      <c r="J5362" t="s">
        <v>592</v>
      </c>
      <c r="K5362" s="195">
        <v>46022.64947916667</v>
      </c>
      <c r="L5362">
        <v>952</v>
      </c>
      <c r="M5362">
        <v>0</v>
      </c>
      <c r="N5362" s="98" t="str">
        <f>IF(record[[#This Row],[Memo]]="Browser:chrome os:android","平板報工",IF(record[[#This Row],[Memo]]=0,"委外",record[[#This Row],[Memo]]))</f>
        <v/>
      </c>
      <c r="O5362" t="s">
        <v>58</v>
      </c>
      <c r="P5362" t="s">
        <v>186</v>
      </c>
      <c r="Q5362" t="s">
        <v>58</v>
      </c>
      <c r="R5362" t="str">
        <f>IFERROR(VLOOKUP(record[[#This Row],[PCUSTID]],廠商[],2,FALSE),"")</f>
        <v/>
      </c>
      <c r="S5362" t="str">
        <f>VLOOKUP(record[[#This Row],[employeeID]],員工[],2,FALSE)</f>
        <v>許文姍</v>
      </c>
    </row>
    <row r="5363" spans="6:19" hidden="1" x14ac:dyDescent="0.25">
      <c r="F5363" t="s">
        <v>1380</v>
      </c>
      <c r="G5363" t="s">
        <v>378</v>
      </c>
      <c r="H5363" t="str">
        <f>VLOOKUP(record[[#This Row],[ProcessSN]],表格2_7[],2,FALSE)</f>
        <v>30-4118-018-4XX</v>
      </c>
      <c r="I5363" t="str">
        <f>VLOOKUP(record[[#This Row],[ProcessSN]],表格2_7[],3,FALSE)</f>
        <v>#07QC</v>
      </c>
      <c r="J5363" t="s">
        <v>589</v>
      </c>
      <c r="K5363" s="195">
        <v>46022.6484375</v>
      </c>
      <c r="L5363">
        <v>168</v>
      </c>
      <c r="M5363">
        <v>0</v>
      </c>
      <c r="N5363" s="98" t="str">
        <f>IF(record[[#This Row],[Memo]]="Browser:chrome os:android","平板報工",IF(record[[#This Row],[Memo]]=0,"委外",record[[#This Row],[Memo]]))</f>
        <v/>
      </c>
      <c r="O5363" t="s">
        <v>58</v>
      </c>
      <c r="P5363" t="s">
        <v>141</v>
      </c>
      <c r="Q5363" t="s">
        <v>58</v>
      </c>
      <c r="R5363" t="str">
        <f>IFERROR(VLOOKUP(record[[#This Row],[PCUSTID]],廠商[],2,FALSE),"")</f>
        <v/>
      </c>
      <c r="S5363" t="str">
        <f>VLOOKUP(record[[#This Row],[employeeID]],員工[],2,FALSE)</f>
        <v>蔣梅</v>
      </c>
    </row>
    <row r="5364" spans="6:19" hidden="1" x14ac:dyDescent="0.25">
      <c r="F5364" t="s">
        <v>1380</v>
      </c>
      <c r="G5364" t="s">
        <v>377</v>
      </c>
      <c r="H5364" t="str">
        <f>VLOOKUP(record[[#This Row],[ProcessSN]],表格2_7[],2,FALSE)</f>
        <v>30-4118-018-4XX</v>
      </c>
      <c r="I5364" t="str">
        <f>VLOOKUP(record[[#This Row],[ProcessSN]],表格2_7[],3,FALSE)</f>
        <v>#07</v>
      </c>
      <c r="J5364" t="s">
        <v>588</v>
      </c>
      <c r="K5364" s="195">
        <v>46022.648356481484</v>
      </c>
      <c r="L5364">
        <v>85</v>
      </c>
      <c r="M5364">
        <v>0</v>
      </c>
      <c r="N5364" s="98" t="str">
        <f>IF(record[[#This Row],[Memo]]="Browser:chrome os:android","平板報工",IF(record[[#This Row],[Memo]]=0,"委外",record[[#This Row],[Memo]]))</f>
        <v>補</v>
      </c>
      <c r="O5364" t="s">
        <v>690</v>
      </c>
      <c r="P5364" t="s">
        <v>785</v>
      </c>
      <c r="Q5364" t="s">
        <v>58</v>
      </c>
      <c r="R5364" t="str">
        <f>IFERROR(VLOOKUP(record[[#This Row],[PCUSTID]],廠商[],2,FALSE),"")</f>
        <v/>
      </c>
      <c r="S5364" t="str">
        <f>VLOOKUP(record[[#This Row],[employeeID]],員工[],2,FALSE)</f>
        <v>謝刻光</v>
      </c>
    </row>
    <row r="5365" spans="6:19" hidden="1" x14ac:dyDescent="0.25">
      <c r="F5365" t="s">
        <v>1339</v>
      </c>
      <c r="G5365" t="s">
        <v>378</v>
      </c>
      <c r="H5365" t="str">
        <f>VLOOKUP(record[[#This Row],[ProcessSN]],表格2_7[],2,FALSE)</f>
        <v>30-4118-018-4XX</v>
      </c>
      <c r="I5365" t="str">
        <f>VLOOKUP(record[[#This Row],[ProcessSN]],表格2_7[],3,FALSE)</f>
        <v>#07QC</v>
      </c>
      <c r="J5365" t="s">
        <v>589</v>
      </c>
      <c r="K5365" s="195">
        <v>46022.646770833337</v>
      </c>
      <c r="L5365">
        <v>952</v>
      </c>
      <c r="M5365">
        <v>0</v>
      </c>
      <c r="N5365" s="98" t="str">
        <f>IF(record[[#This Row],[Memo]]="Browser:chrome os:android","平板報工",IF(record[[#This Row],[Memo]]=0,"委外",record[[#This Row],[Memo]]))</f>
        <v/>
      </c>
      <c r="O5365" t="s">
        <v>58</v>
      </c>
      <c r="P5365" t="s">
        <v>141</v>
      </c>
      <c r="Q5365" t="s">
        <v>58</v>
      </c>
      <c r="R5365" t="str">
        <f>IFERROR(VLOOKUP(record[[#This Row],[PCUSTID]],廠商[],2,FALSE),"")</f>
        <v/>
      </c>
      <c r="S5365" t="str">
        <f>VLOOKUP(record[[#This Row],[employeeID]],員工[],2,FALSE)</f>
        <v>蔣梅</v>
      </c>
    </row>
    <row r="5366" spans="6:19" hidden="1" x14ac:dyDescent="0.25">
      <c r="F5366" t="s">
        <v>1407</v>
      </c>
      <c r="G5366" t="s">
        <v>356</v>
      </c>
      <c r="H5366" t="str">
        <f>VLOOKUP(record[[#This Row],[ProcessSN]],表格2_7[],2,FALSE)</f>
        <v>30-4118-018-450</v>
      </c>
      <c r="I5366" t="str">
        <f>VLOOKUP(record[[#This Row],[ProcessSN]],表格2_7[],3,FALSE)</f>
        <v>#08</v>
      </c>
      <c r="J5366" t="s">
        <v>597</v>
      </c>
      <c r="K5366" s="195">
        <v>46022.64603009259</v>
      </c>
      <c r="L5366">
        <v>1120</v>
      </c>
      <c r="M5366">
        <v>0</v>
      </c>
      <c r="N5366" s="98" t="str">
        <f>IF(record[[#This Row],[Memo]]="Browser:chrome os:android","平板報工",IF(record[[#This Row],[Memo]]=0,"委外",record[[#This Row],[Memo]]))</f>
        <v>委外</v>
      </c>
      <c r="P5366" t="s">
        <v>186</v>
      </c>
      <c r="Q5366" t="s">
        <v>287</v>
      </c>
      <c r="R5366" t="str">
        <f>IFERROR(VLOOKUP(record[[#This Row],[PCUSTID]],廠商[],2,FALSE),"")</f>
        <v>泉盛</v>
      </c>
      <c r="S5366" t="str">
        <f>VLOOKUP(record[[#This Row],[employeeID]],員工[],2,FALSE)</f>
        <v>許文姍</v>
      </c>
    </row>
    <row r="5367" spans="6:19" hidden="1" x14ac:dyDescent="0.25">
      <c r="F5367" t="s">
        <v>1407</v>
      </c>
      <c r="G5367" t="s">
        <v>355</v>
      </c>
      <c r="H5367" t="str">
        <f>VLOOKUP(record[[#This Row],[ProcessSN]],表格2_7[],2,FALSE)</f>
        <v>30-4118-018-450</v>
      </c>
      <c r="I5367" t="str">
        <f>VLOOKUP(record[[#This Row],[ProcessSN]],表格2_7[],3,FALSE)</f>
        <v>#08PICK</v>
      </c>
      <c r="J5367" t="s">
        <v>582</v>
      </c>
      <c r="K5367" s="195">
        <v>46022.64576388889</v>
      </c>
      <c r="L5367">
        <v>1120</v>
      </c>
      <c r="M5367">
        <v>0</v>
      </c>
      <c r="N5367" s="98" t="str">
        <f>IF(record[[#This Row],[Memo]]="Browser:chrome os:android","平板報工",IF(record[[#This Row],[Memo]]=0,"委外",record[[#This Row],[Memo]]))</f>
        <v/>
      </c>
      <c r="O5367" t="s">
        <v>58</v>
      </c>
      <c r="P5367" t="s">
        <v>186</v>
      </c>
      <c r="Q5367" t="s">
        <v>58</v>
      </c>
      <c r="R5367" t="str">
        <f>IFERROR(VLOOKUP(record[[#This Row],[PCUSTID]],廠商[],2,FALSE),"")</f>
        <v/>
      </c>
      <c r="S5367" t="str">
        <f>VLOOKUP(record[[#This Row],[employeeID]],員工[],2,FALSE)</f>
        <v>許文姍</v>
      </c>
    </row>
    <row r="5368" spans="6:19" hidden="1" x14ac:dyDescent="0.25">
      <c r="F5368" t="s">
        <v>1385</v>
      </c>
      <c r="G5368" t="s">
        <v>466</v>
      </c>
      <c r="H5368" t="str">
        <f>VLOOKUP(record[[#This Row],[ProcessSN]],表格2_7[],2,FALSE)</f>
        <v>30-4118-018-XXX</v>
      </c>
      <c r="I5368" t="str">
        <f>VLOOKUP(record[[#This Row],[ProcessSN]],表格2_7[],3,FALSE)</f>
        <v>#01-2</v>
      </c>
      <c r="J5368" t="s">
        <v>588</v>
      </c>
      <c r="K5368" s="195">
        <v>46022.641944444447</v>
      </c>
      <c r="L5368">
        <v>366</v>
      </c>
      <c r="M5368">
        <v>0</v>
      </c>
      <c r="N5368" s="98" t="str">
        <f>IF(record[[#This Row],[Memo]]="Browser:chrome os:android","平板報工",IF(record[[#This Row],[Memo]]=0,"委外",record[[#This Row],[Memo]]))</f>
        <v/>
      </c>
      <c r="O5368" t="s">
        <v>58</v>
      </c>
      <c r="P5368" t="s">
        <v>107</v>
      </c>
      <c r="Q5368" t="s">
        <v>58</v>
      </c>
      <c r="R5368" t="str">
        <f>IFERROR(VLOOKUP(record[[#This Row],[PCUSTID]],廠商[],2,FALSE),"")</f>
        <v/>
      </c>
      <c r="S5368" t="str">
        <f>VLOOKUP(record[[#This Row],[employeeID]],員工[],2,FALSE)</f>
        <v>黎氏順</v>
      </c>
    </row>
    <row r="5369" spans="6:19" hidden="1" x14ac:dyDescent="0.25">
      <c r="F5369" t="s">
        <v>1385</v>
      </c>
      <c r="G5369" t="s">
        <v>465</v>
      </c>
      <c r="H5369" t="str">
        <f>VLOOKUP(record[[#This Row],[ProcessSN]],表格2_7[],2,FALSE)</f>
        <v>30-4118-018-XXX</v>
      </c>
      <c r="I5369" t="str">
        <f>VLOOKUP(record[[#This Row],[ProcessSN]],表格2_7[],3,FALSE)</f>
        <v>#01-1</v>
      </c>
      <c r="J5369" t="s">
        <v>588</v>
      </c>
      <c r="K5369" s="195">
        <v>46022.641585648147</v>
      </c>
      <c r="L5369">
        <v>285</v>
      </c>
      <c r="M5369">
        <v>0</v>
      </c>
      <c r="N5369" s="98" t="str">
        <f>IF(record[[#This Row],[Memo]]="Browser:chrome os:android","平板報工",IF(record[[#This Row],[Memo]]=0,"委外",record[[#This Row],[Memo]]))</f>
        <v/>
      </c>
      <c r="O5369" t="s">
        <v>58</v>
      </c>
      <c r="P5369" t="s">
        <v>107</v>
      </c>
      <c r="Q5369" t="s">
        <v>58</v>
      </c>
      <c r="R5369" t="str">
        <f>IFERROR(VLOOKUP(record[[#This Row],[PCUSTID]],廠商[],2,FALSE),"")</f>
        <v/>
      </c>
      <c r="S5369" t="str">
        <f>VLOOKUP(record[[#This Row],[employeeID]],員工[],2,FALSE)</f>
        <v>黎氏順</v>
      </c>
    </row>
    <row r="5370" spans="6:19" hidden="1" x14ac:dyDescent="0.25">
      <c r="F5370" t="s">
        <v>1380</v>
      </c>
      <c r="G5370" t="s">
        <v>377</v>
      </c>
      <c r="H5370" t="str">
        <f>VLOOKUP(record[[#This Row],[ProcessSN]],表格2_7[],2,FALSE)</f>
        <v>30-4118-018-4XX</v>
      </c>
      <c r="I5370" t="str">
        <f>VLOOKUP(record[[#This Row],[ProcessSN]],表格2_7[],3,FALSE)</f>
        <v>#07</v>
      </c>
      <c r="J5370" t="s">
        <v>588</v>
      </c>
      <c r="K5370" s="195">
        <v>46022.640717592592</v>
      </c>
      <c r="L5370">
        <v>83</v>
      </c>
      <c r="M5370">
        <v>0</v>
      </c>
      <c r="N5370" s="98" t="str">
        <f>IF(record[[#This Row],[Memo]]="Browser:chrome os:android","平板報工",IF(record[[#This Row],[Memo]]=0,"委外",record[[#This Row],[Memo]]))</f>
        <v/>
      </c>
      <c r="O5370" t="s">
        <v>58</v>
      </c>
      <c r="P5370" t="s">
        <v>785</v>
      </c>
      <c r="Q5370" t="s">
        <v>58</v>
      </c>
      <c r="R5370" t="str">
        <f>IFERROR(VLOOKUP(record[[#This Row],[PCUSTID]],廠商[],2,FALSE),"")</f>
        <v/>
      </c>
      <c r="S5370" t="str">
        <f>VLOOKUP(record[[#This Row],[employeeID]],員工[],2,FALSE)</f>
        <v>謝刻光</v>
      </c>
    </row>
    <row r="5371" spans="6:19" hidden="1" x14ac:dyDescent="0.25">
      <c r="F5371" t="s">
        <v>1381</v>
      </c>
      <c r="G5371" t="s">
        <v>416</v>
      </c>
      <c r="H5371" t="str">
        <f>VLOOKUP(record[[#This Row],[ProcessSN]],表格2_7[],2,FALSE)</f>
        <v>30-4118-018-5XX</v>
      </c>
      <c r="I5371" t="str">
        <f>VLOOKUP(record[[#This Row],[ProcessSN]],表格2_7[],3,FALSE)</f>
        <v>#05</v>
      </c>
      <c r="J5371" t="s">
        <v>588</v>
      </c>
      <c r="K5371" s="195">
        <v>46022.639791666668</v>
      </c>
      <c r="L5371">
        <v>135</v>
      </c>
      <c r="M5371">
        <v>0</v>
      </c>
      <c r="N5371" s="98" t="str">
        <f>IF(record[[#This Row],[Memo]]="Browser:chrome os:android","平板報工",IF(record[[#This Row],[Memo]]=0,"委外",record[[#This Row],[Memo]]))</f>
        <v/>
      </c>
      <c r="O5371" t="s">
        <v>58</v>
      </c>
      <c r="P5371" t="s">
        <v>789</v>
      </c>
      <c r="Q5371" t="s">
        <v>58</v>
      </c>
      <c r="R5371" t="str">
        <f>IFERROR(VLOOKUP(record[[#This Row],[PCUSTID]],廠商[],2,FALSE),"")</f>
        <v/>
      </c>
      <c r="S5371" t="str">
        <f>VLOOKUP(record[[#This Row],[employeeID]],員工[],2,FALSE)</f>
        <v>張月霞</v>
      </c>
    </row>
    <row r="5372" spans="6:19" hidden="1" x14ac:dyDescent="0.25">
      <c r="F5372" t="s">
        <v>1381</v>
      </c>
      <c r="G5372" t="s">
        <v>415</v>
      </c>
      <c r="H5372" t="str">
        <f>VLOOKUP(record[[#This Row],[ProcessSN]],表格2_7[],2,FALSE)</f>
        <v>30-4118-018-5XX</v>
      </c>
      <c r="I5372" t="str">
        <f>VLOOKUP(record[[#This Row],[ProcessSN]],表格2_7[],3,FALSE)</f>
        <v>#04</v>
      </c>
      <c r="J5372" t="s">
        <v>588</v>
      </c>
      <c r="K5372" s="195">
        <v>46022.639386574076</v>
      </c>
      <c r="L5372">
        <v>135</v>
      </c>
      <c r="M5372">
        <v>4</v>
      </c>
      <c r="N5372" s="98" t="str">
        <f>IF(record[[#This Row],[Memo]]="Browser:chrome os:android","平板報工",IF(record[[#This Row],[Memo]]=0,"委外",record[[#This Row],[Memo]]))</f>
        <v/>
      </c>
      <c r="O5372" t="s">
        <v>58</v>
      </c>
      <c r="P5372" t="s">
        <v>789</v>
      </c>
      <c r="Q5372" t="s">
        <v>58</v>
      </c>
      <c r="R5372" t="str">
        <f>IFERROR(VLOOKUP(record[[#This Row],[PCUSTID]],廠商[],2,FALSE),"")</f>
        <v/>
      </c>
      <c r="S5372" t="str">
        <f>VLOOKUP(record[[#This Row],[employeeID]],員工[],2,FALSE)</f>
        <v>張月霞</v>
      </c>
    </row>
    <row r="5373" spans="6:19" hidden="1" x14ac:dyDescent="0.25">
      <c r="F5373" t="s">
        <v>1290</v>
      </c>
      <c r="G5373" t="s">
        <v>417</v>
      </c>
      <c r="H5373" t="str">
        <f>VLOOKUP(record[[#This Row],[ProcessSN]],表格2_7[],2,FALSE)</f>
        <v>30-4118-018-5XX</v>
      </c>
      <c r="I5373" t="str">
        <f>VLOOKUP(record[[#This Row],[ProcessSN]],表格2_7[],3,FALSE)</f>
        <v>#06</v>
      </c>
      <c r="J5373" t="s">
        <v>593</v>
      </c>
      <c r="K5373" s="195">
        <v>46022.612002314818</v>
      </c>
      <c r="L5373">
        <v>110</v>
      </c>
      <c r="M5373">
        <v>0</v>
      </c>
      <c r="N5373" s="98" t="str">
        <f>IF(record[[#This Row],[Memo]]="Browser:chrome os:android","平板報工",IF(record[[#This Row],[Memo]]=0,"委外",record[[#This Row],[Memo]]))</f>
        <v/>
      </c>
      <c r="O5373" t="s">
        <v>58</v>
      </c>
      <c r="P5373" t="s">
        <v>166</v>
      </c>
      <c r="Q5373" t="s">
        <v>58</v>
      </c>
      <c r="R5373" t="str">
        <f>IFERROR(VLOOKUP(record[[#This Row],[PCUSTID]],廠商[],2,FALSE),"")</f>
        <v/>
      </c>
      <c r="S5373" t="str">
        <f>VLOOKUP(record[[#This Row],[employeeID]],員工[],2,FALSE)</f>
        <v>阮懷香</v>
      </c>
    </row>
    <row r="5374" spans="6:19" hidden="1" x14ac:dyDescent="0.25">
      <c r="F5374" t="s">
        <v>1380</v>
      </c>
      <c r="G5374" t="s">
        <v>376</v>
      </c>
      <c r="H5374" t="str">
        <f>VLOOKUP(record[[#This Row],[ProcessSN]],表格2_7[],2,FALSE)</f>
        <v>30-4118-018-4XX</v>
      </c>
      <c r="I5374" t="str">
        <f>VLOOKUP(record[[#This Row],[ProcessSN]],表格2_7[],3,FALSE)</f>
        <v>#06</v>
      </c>
      <c r="J5374" t="s">
        <v>593</v>
      </c>
      <c r="K5374" s="195">
        <v>46022.611747685187</v>
      </c>
      <c r="L5374">
        <v>6</v>
      </c>
      <c r="M5374">
        <v>0</v>
      </c>
      <c r="N5374" s="98" t="str">
        <f>IF(record[[#This Row],[Memo]]="Browser:chrome os:android","平板報工",IF(record[[#This Row],[Memo]]=0,"委外",record[[#This Row],[Memo]]))</f>
        <v/>
      </c>
      <c r="O5374" t="s">
        <v>58</v>
      </c>
      <c r="P5374" t="s">
        <v>166</v>
      </c>
      <c r="Q5374" t="s">
        <v>58</v>
      </c>
      <c r="R5374" t="str">
        <f>IFERROR(VLOOKUP(record[[#This Row],[PCUSTID]],廠商[],2,FALSE),"")</f>
        <v/>
      </c>
      <c r="S5374" t="str">
        <f>VLOOKUP(record[[#This Row],[employeeID]],員工[],2,FALSE)</f>
        <v>阮懷香</v>
      </c>
    </row>
    <row r="5375" spans="6:19" hidden="1" x14ac:dyDescent="0.25">
      <c r="F5375" t="s">
        <v>1406</v>
      </c>
      <c r="G5375" t="s">
        <v>462</v>
      </c>
      <c r="H5375" t="str">
        <f>VLOOKUP(record[[#This Row],[ProcessSN]],表格2_7[],2,FALSE)</f>
        <v>30-4118-018-XXX</v>
      </c>
      <c r="I5375" t="str">
        <f>VLOOKUP(record[[#This Row],[ProcessSN]],表格2_7[],3,FALSE)</f>
        <v>#00PICK</v>
      </c>
      <c r="J5375" t="s">
        <v>582</v>
      </c>
      <c r="K5375" s="195">
        <v>46022.547465277778</v>
      </c>
      <c r="L5375">
        <v>1160</v>
      </c>
      <c r="M5375">
        <v>0</v>
      </c>
      <c r="N5375" s="98" t="str">
        <f>IF(record[[#This Row],[Memo]]="Browser:chrome os:android","平板報工",IF(record[[#This Row],[Memo]]=0,"委外",record[[#This Row],[Memo]]))</f>
        <v/>
      </c>
      <c r="O5375" t="s">
        <v>58</v>
      </c>
      <c r="P5375" t="s">
        <v>186</v>
      </c>
      <c r="Q5375" t="s">
        <v>58</v>
      </c>
      <c r="R5375" t="str">
        <f>IFERROR(VLOOKUP(record[[#This Row],[PCUSTID]],廠商[],2,FALSE),"")</f>
        <v/>
      </c>
      <c r="S5375" t="str">
        <f>VLOOKUP(record[[#This Row],[employeeID]],員工[],2,FALSE)</f>
        <v>許文姍</v>
      </c>
    </row>
    <row r="5376" spans="6:19" hidden="1" x14ac:dyDescent="0.25">
      <c r="F5376" t="s">
        <v>1385</v>
      </c>
      <c r="G5376" t="s">
        <v>468</v>
      </c>
      <c r="H5376" t="str">
        <f>VLOOKUP(record[[#This Row],[ProcessSN]],表格2_7[],2,FALSE)</f>
        <v>30-4118-018-XXX</v>
      </c>
      <c r="I5376" t="str">
        <f>VLOOKUP(record[[#This Row],[ProcessSN]],表格2_7[],3,FALSE)</f>
        <v>#02</v>
      </c>
      <c r="J5376" t="s">
        <v>590</v>
      </c>
      <c r="K5376" s="195">
        <v>46022.389398148145</v>
      </c>
      <c r="L5376">
        <v>840</v>
      </c>
      <c r="M5376">
        <v>0</v>
      </c>
      <c r="N5376" s="98" t="str">
        <f>IF(record[[#This Row],[Memo]]="Browser:chrome os:android","平板報工",IF(record[[#This Row],[Memo]]=0,"委外",record[[#This Row],[Memo]]))</f>
        <v>委外</v>
      </c>
      <c r="P5376" t="s">
        <v>186</v>
      </c>
      <c r="Q5376" t="s">
        <v>216</v>
      </c>
      <c r="R5376" t="str">
        <f>IFERROR(VLOOKUP(record[[#This Row],[PCUSTID]],廠商[],2,FALSE),"")</f>
        <v>俊杰</v>
      </c>
      <c r="S5376" t="str">
        <f>VLOOKUP(record[[#This Row],[employeeID]],員工[],2,FALSE)</f>
        <v>許文姍</v>
      </c>
    </row>
    <row r="5377" spans="6:19" hidden="1" x14ac:dyDescent="0.25">
      <c r="F5377" t="s">
        <v>1315</v>
      </c>
      <c r="G5377" t="s">
        <v>361</v>
      </c>
      <c r="H5377" t="str">
        <f>VLOOKUP(record[[#This Row],[ProcessSN]],表格2_7[],2,FALSE)</f>
        <v>30-4118-018-450</v>
      </c>
      <c r="I5377" t="str">
        <f>VLOOKUP(record[[#This Row],[ProcessSN]],表格2_7[],3,FALSE)</f>
        <v>#100STOCK</v>
      </c>
      <c r="J5377" t="s">
        <v>592</v>
      </c>
      <c r="K5377" s="195">
        <v>46022.379803240743</v>
      </c>
      <c r="L5377">
        <v>1</v>
      </c>
      <c r="M5377">
        <v>0</v>
      </c>
      <c r="N5377" s="98" t="str">
        <f>IF(record[[#This Row],[Memo]]="Browser:chrome os:android","平板報工",IF(record[[#This Row],[Memo]]=0,"委外",record[[#This Row],[Memo]]))</f>
        <v/>
      </c>
      <c r="O5377" t="s">
        <v>58</v>
      </c>
      <c r="P5377" t="s">
        <v>886</v>
      </c>
      <c r="Q5377" t="s">
        <v>58</v>
      </c>
      <c r="R5377" t="str">
        <f>IFERROR(VLOOKUP(record[[#This Row],[PCUSTID]],廠商[],2,FALSE),"")</f>
        <v/>
      </c>
      <c r="S5377" t="str">
        <f>VLOOKUP(record[[#This Row],[employeeID]],員工[],2,FALSE)</f>
        <v>謝蓁薰</v>
      </c>
    </row>
    <row r="5378" spans="6:19" hidden="1" x14ac:dyDescent="0.25">
      <c r="F5378" t="s">
        <v>956</v>
      </c>
      <c r="G5378" t="s">
        <v>361</v>
      </c>
      <c r="H5378" t="str">
        <f>VLOOKUP(record[[#This Row],[ProcessSN]],表格2_7[],2,FALSE)</f>
        <v>30-4118-018-450</v>
      </c>
      <c r="I5378" t="str">
        <f>VLOOKUP(record[[#This Row],[ProcessSN]],表格2_7[],3,FALSE)</f>
        <v>#100STOCK</v>
      </c>
      <c r="J5378" t="s">
        <v>592</v>
      </c>
      <c r="K5378" s="195">
        <v>46022.379629629628</v>
      </c>
      <c r="L5378">
        <v>44</v>
      </c>
      <c r="M5378">
        <v>0</v>
      </c>
      <c r="N5378" s="98" t="str">
        <f>IF(record[[#This Row],[Memo]]="Browser:chrome os:android","平板報工",IF(record[[#This Row],[Memo]]=0,"委外",record[[#This Row],[Memo]]))</f>
        <v/>
      </c>
      <c r="O5378" t="s">
        <v>58</v>
      </c>
      <c r="P5378" t="s">
        <v>886</v>
      </c>
      <c r="Q5378" t="s">
        <v>58</v>
      </c>
      <c r="R5378" t="str">
        <f>IFERROR(VLOOKUP(record[[#This Row],[PCUSTID]],廠商[],2,FALSE),"")</f>
        <v/>
      </c>
      <c r="S5378" t="str">
        <f>VLOOKUP(record[[#This Row],[employeeID]],員工[],2,FALSE)</f>
        <v>謝蓁薰</v>
      </c>
    </row>
    <row r="5379" spans="6:19" hidden="1" x14ac:dyDescent="0.25">
      <c r="F5379" t="s">
        <v>1380</v>
      </c>
      <c r="G5379" t="s">
        <v>376</v>
      </c>
      <c r="H5379" t="str">
        <f>VLOOKUP(record[[#This Row],[ProcessSN]],表格2_7[],2,FALSE)</f>
        <v>30-4118-018-4XX</v>
      </c>
      <c r="I5379" t="str">
        <f>VLOOKUP(record[[#This Row],[ProcessSN]],表格2_7[],3,FALSE)</f>
        <v>#06</v>
      </c>
      <c r="J5379" t="s">
        <v>593</v>
      </c>
      <c r="K5379" s="195">
        <v>46022.320717592593</v>
      </c>
      <c r="L5379">
        <v>133</v>
      </c>
      <c r="M5379">
        <v>0</v>
      </c>
      <c r="N5379" s="98" t="str">
        <f>IF(record[[#This Row],[Memo]]="Browser:chrome os:android","平板報工",IF(record[[#This Row],[Memo]]=0,"委外",record[[#This Row],[Memo]]))</f>
        <v/>
      </c>
      <c r="O5379" t="s">
        <v>58</v>
      </c>
      <c r="P5379" t="s">
        <v>180</v>
      </c>
      <c r="Q5379" t="s">
        <v>58</v>
      </c>
      <c r="R5379" t="str">
        <f>IFERROR(VLOOKUP(record[[#This Row],[PCUSTID]],廠商[],2,FALSE),"")</f>
        <v/>
      </c>
      <c r="S5379" t="str">
        <f>VLOOKUP(record[[#This Row],[employeeID]],員工[],2,FALSE)</f>
        <v>黎功江</v>
      </c>
    </row>
    <row r="5380" spans="6:19" hidden="1" x14ac:dyDescent="0.25">
      <c r="F5380" t="s">
        <v>1339</v>
      </c>
      <c r="G5380" t="s">
        <v>377</v>
      </c>
      <c r="H5380" t="str">
        <f>VLOOKUP(record[[#This Row],[ProcessSN]],表格2_7[],2,FALSE)</f>
        <v>30-4118-018-4XX</v>
      </c>
      <c r="I5380" t="str">
        <f>VLOOKUP(record[[#This Row],[ProcessSN]],表格2_7[],3,FALSE)</f>
        <v>#07</v>
      </c>
      <c r="J5380" t="s">
        <v>588</v>
      </c>
      <c r="K5380" s="195">
        <v>46022.320439814815</v>
      </c>
      <c r="L5380">
        <v>259</v>
      </c>
      <c r="M5380">
        <v>0</v>
      </c>
      <c r="N5380" s="98" t="str">
        <f>IF(record[[#This Row],[Memo]]="Browser:chrome os:android","平板報工",IF(record[[#This Row],[Memo]]=0,"委外",record[[#This Row],[Memo]]))</f>
        <v/>
      </c>
      <c r="O5380" t="s">
        <v>58</v>
      </c>
      <c r="P5380" t="s">
        <v>843</v>
      </c>
      <c r="Q5380" t="s">
        <v>58</v>
      </c>
      <c r="R5380" t="str">
        <f>IFERROR(VLOOKUP(record[[#This Row],[PCUSTID]],廠商[],2,FALSE),"")</f>
        <v/>
      </c>
      <c r="S5380" t="str">
        <f>VLOOKUP(record[[#This Row],[employeeID]],員工[],2,FALSE)</f>
        <v>張楚承</v>
      </c>
    </row>
    <row r="5381" spans="6:19" hidden="1" x14ac:dyDescent="0.25">
      <c r="F5381" t="s">
        <v>1381</v>
      </c>
      <c r="G5381" t="s">
        <v>416</v>
      </c>
      <c r="H5381" t="str">
        <f>VLOOKUP(record[[#This Row],[ProcessSN]],表格2_7[],2,FALSE)</f>
        <v>30-4118-018-5XX</v>
      </c>
      <c r="I5381" t="str">
        <f>VLOOKUP(record[[#This Row],[ProcessSN]],表格2_7[],3,FALSE)</f>
        <v>#05</v>
      </c>
      <c r="J5381" t="s">
        <v>588</v>
      </c>
      <c r="K5381" s="195">
        <v>46022.320196759261</v>
      </c>
      <c r="L5381">
        <v>132</v>
      </c>
      <c r="M5381">
        <v>0</v>
      </c>
      <c r="N5381" s="98" t="str">
        <f>IF(record[[#This Row],[Memo]]="Browser:chrome os:android","平板報工",IF(record[[#This Row],[Memo]]=0,"委外",record[[#This Row],[Memo]]))</f>
        <v/>
      </c>
      <c r="O5381" t="s">
        <v>58</v>
      </c>
      <c r="P5381" t="s">
        <v>843</v>
      </c>
      <c r="Q5381" t="s">
        <v>58</v>
      </c>
      <c r="R5381" t="str">
        <f>IFERROR(VLOOKUP(record[[#This Row],[PCUSTID]],廠商[],2,FALSE),"")</f>
        <v/>
      </c>
      <c r="S5381" t="str">
        <f>VLOOKUP(record[[#This Row],[employeeID]],員工[],2,FALSE)</f>
        <v>張楚承</v>
      </c>
    </row>
    <row r="5382" spans="6:19" hidden="1" x14ac:dyDescent="0.25">
      <c r="F5382" t="s">
        <v>1290</v>
      </c>
      <c r="G5382" t="s">
        <v>416</v>
      </c>
      <c r="H5382" t="str">
        <f>VLOOKUP(record[[#This Row],[ProcessSN]],表格2_7[],2,FALSE)</f>
        <v>30-4118-018-5XX</v>
      </c>
      <c r="I5382" t="str">
        <f>VLOOKUP(record[[#This Row],[ProcessSN]],表格2_7[],3,FALSE)</f>
        <v>#05</v>
      </c>
      <c r="J5382" t="s">
        <v>588</v>
      </c>
      <c r="K5382" s="195">
        <v>46022.320034722223</v>
      </c>
      <c r="L5382">
        <v>11</v>
      </c>
      <c r="M5382">
        <v>0</v>
      </c>
      <c r="N5382" s="98" t="str">
        <f>IF(record[[#This Row],[Memo]]="Browser:chrome os:android","平板報工",IF(record[[#This Row],[Memo]]=0,"委外",record[[#This Row],[Memo]]))</f>
        <v/>
      </c>
      <c r="O5382" t="s">
        <v>58</v>
      </c>
      <c r="P5382" t="s">
        <v>843</v>
      </c>
      <c r="Q5382" t="s">
        <v>58</v>
      </c>
      <c r="R5382" t="str">
        <f>IFERROR(VLOOKUP(record[[#This Row],[PCUSTID]],廠商[],2,FALSE),"")</f>
        <v/>
      </c>
      <c r="S5382" t="str">
        <f>VLOOKUP(record[[#This Row],[employeeID]],員工[],2,FALSE)</f>
        <v>張楚承</v>
      </c>
    </row>
    <row r="5383" spans="6:19" hidden="1" x14ac:dyDescent="0.25">
      <c r="F5383" t="s">
        <v>1381</v>
      </c>
      <c r="G5383" t="s">
        <v>415</v>
      </c>
      <c r="H5383" t="str">
        <f>VLOOKUP(record[[#This Row],[ProcessSN]],表格2_7[],2,FALSE)</f>
        <v>30-4118-018-5XX</v>
      </c>
      <c r="I5383" t="str">
        <f>VLOOKUP(record[[#This Row],[ProcessSN]],表格2_7[],3,FALSE)</f>
        <v>#04</v>
      </c>
      <c r="J5383" t="s">
        <v>588</v>
      </c>
      <c r="K5383" s="195">
        <v>46022.319421296299</v>
      </c>
      <c r="L5383">
        <v>132</v>
      </c>
      <c r="M5383">
        <v>1</v>
      </c>
      <c r="N5383" s="98" t="str">
        <f>IF(record[[#This Row],[Memo]]="Browser:chrome os:android","平板報工",IF(record[[#This Row],[Memo]]=0,"委外",record[[#This Row],[Memo]]))</f>
        <v/>
      </c>
      <c r="O5383" t="s">
        <v>58</v>
      </c>
      <c r="P5383" t="s">
        <v>135</v>
      </c>
      <c r="Q5383" t="s">
        <v>58</v>
      </c>
      <c r="R5383" t="str">
        <f>IFERROR(VLOOKUP(record[[#This Row],[PCUSTID]],廠商[],2,FALSE),"")</f>
        <v/>
      </c>
      <c r="S5383" t="str">
        <f>VLOOKUP(record[[#This Row],[employeeID]],員工[],2,FALSE)</f>
        <v>阮士文</v>
      </c>
    </row>
    <row r="5384" spans="6:19" hidden="1" x14ac:dyDescent="0.25">
      <c r="F5384" t="s">
        <v>1290</v>
      </c>
      <c r="G5384" t="s">
        <v>415</v>
      </c>
      <c r="H5384" t="str">
        <f>VLOOKUP(record[[#This Row],[ProcessSN]],表格2_7[],2,FALSE)</f>
        <v>30-4118-018-5XX</v>
      </c>
      <c r="I5384" t="str">
        <f>VLOOKUP(record[[#This Row],[ProcessSN]],表格2_7[],3,FALSE)</f>
        <v>#04</v>
      </c>
      <c r="J5384" t="s">
        <v>588</v>
      </c>
      <c r="K5384" s="195">
        <v>46022.319155092591</v>
      </c>
      <c r="L5384">
        <v>1</v>
      </c>
      <c r="M5384">
        <v>0</v>
      </c>
      <c r="N5384" s="98" t="str">
        <f>IF(record[[#This Row],[Memo]]="Browser:chrome os:android","平板報工",IF(record[[#This Row],[Memo]]=0,"委外",record[[#This Row],[Memo]]))</f>
        <v/>
      </c>
      <c r="O5384" t="s">
        <v>58</v>
      </c>
      <c r="P5384" t="s">
        <v>135</v>
      </c>
      <c r="Q5384" t="s">
        <v>58</v>
      </c>
      <c r="R5384" t="str">
        <f>IFERROR(VLOOKUP(record[[#This Row],[PCUSTID]],廠商[],2,FALSE),"")</f>
        <v/>
      </c>
      <c r="S5384" t="str">
        <f>VLOOKUP(record[[#This Row],[employeeID]],員工[],2,FALSE)</f>
        <v>阮士文</v>
      </c>
    </row>
    <row r="5385" spans="6:19" hidden="1" x14ac:dyDescent="0.25">
      <c r="F5385" t="s">
        <v>1385</v>
      </c>
      <c r="G5385" t="s">
        <v>466</v>
      </c>
      <c r="H5385" t="str">
        <f>VLOOKUP(record[[#This Row],[ProcessSN]],表格2_7[],2,FALSE)</f>
        <v>30-4118-018-XXX</v>
      </c>
      <c r="I5385" t="str">
        <f>VLOOKUP(record[[#This Row],[ProcessSN]],表格2_7[],3,FALSE)</f>
        <v>#01-2</v>
      </c>
      <c r="J5385" t="s">
        <v>588</v>
      </c>
      <c r="K5385" s="195">
        <v>46021.977256944447</v>
      </c>
      <c r="L5385">
        <v>600</v>
      </c>
      <c r="M5385">
        <v>0</v>
      </c>
      <c r="N5385" s="98" t="str">
        <f>IF(record[[#This Row],[Memo]]="Browser:chrome os:android","平板報工",IF(record[[#This Row],[Memo]]=0,"委外",record[[#This Row],[Memo]]))</f>
        <v/>
      </c>
      <c r="O5385" t="s">
        <v>58</v>
      </c>
      <c r="P5385" t="s">
        <v>1098</v>
      </c>
      <c r="Q5385" t="s">
        <v>58</v>
      </c>
      <c r="R5385" t="str">
        <f>IFERROR(VLOOKUP(record[[#This Row],[PCUSTID]],廠商[],2,FALSE),"")</f>
        <v/>
      </c>
      <c r="S5385" t="str">
        <f>VLOOKUP(record[[#This Row],[employeeID]],員工[],2,FALSE)</f>
        <v>阮氏芳英(英)</v>
      </c>
    </row>
    <row r="5386" spans="6:19" hidden="1" x14ac:dyDescent="0.25">
      <c r="F5386" t="s">
        <v>1385</v>
      </c>
      <c r="G5386" t="s">
        <v>465</v>
      </c>
      <c r="H5386" t="str">
        <f>VLOOKUP(record[[#This Row],[ProcessSN]],表格2_7[],2,FALSE)</f>
        <v>30-4118-018-XXX</v>
      </c>
      <c r="I5386" t="str">
        <f>VLOOKUP(record[[#This Row],[ProcessSN]],表格2_7[],3,FALSE)</f>
        <v>#01-1</v>
      </c>
      <c r="J5386" t="s">
        <v>588</v>
      </c>
      <c r="K5386" s="195">
        <v>46021.977037037039</v>
      </c>
      <c r="L5386">
        <v>744</v>
      </c>
      <c r="M5386">
        <v>0</v>
      </c>
      <c r="N5386" s="98" t="str">
        <f>IF(record[[#This Row],[Memo]]="Browser:chrome os:android","平板報工",IF(record[[#This Row],[Memo]]=0,"委外",record[[#This Row],[Memo]]))</f>
        <v/>
      </c>
      <c r="O5386" t="s">
        <v>58</v>
      </c>
      <c r="P5386" t="s">
        <v>1098</v>
      </c>
      <c r="Q5386" t="s">
        <v>58</v>
      </c>
      <c r="R5386" t="str">
        <f>IFERROR(VLOOKUP(record[[#This Row],[PCUSTID]],廠商[],2,FALSE),"")</f>
        <v/>
      </c>
      <c r="S5386" t="str">
        <f>VLOOKUP(record[[#This Row],[employeeID]],員工[],2,FALSE)</f>
        <v>阮氏芳英(英)</v>
      </c>
    </row>
    <row r="5387" spans="6:19" hidden="1" x14ac:dyDescent="0.25">
      <c r="F5387" t="s">
        <v>1339</v>
      </c>
      <c r="G5387" t="s">
        <v>377</v>
      </c>
      <c r="H5387" t="str">
        <f>VLOOKUP(record[[#This Row],[ProcessSN]],表格2_7[],2,FALSE)</f>
        <v>30-4118-018-4XX</v>
      </c>
      <c r="I5387" t="str">
        <f>VLOOKUP(record[[#This Row],[ProcessSN]],表格2_7[],3,FALSE)</f>
        <v>#07</v>
      </c>
      <c r="J5387" t="s">
        <v>588</v>
      </c>
      <c r="K5387" s="195">
        <v>46021.967129629629</v>
      </c>
      <c r="L5387">
        <v>255</v>
      </c>
      <c r="M5387">
        <v>0</v>
      </c>
      <c r="N5387" s="98" t="str">
        <f>IF(record[[#This Row],[Memo]]="Browser:chrome os:android","平板報工",IF(record[[#This Row],[Memo]]=0,"委外",record[[#This Row],[Memo]]))</f>
        <v/>
      </c>
      <c r="O5387" t="s">
        <v>58</v>
      </c>
      <c r="P5387" t="s">
        <v>89</v>
      </c>
      <c r="Q5387" t="s">
        <v>58</v>
      </c>
      <c r="R5387" t="str">
        <f>IFERROR(VLOOKUP(record[[#This Row],[PCUSTID]],廠商[],2,FALSE),"")</f>
        <v/>
      </c>
      <c r="S5387" t="str">
        <f>VLOOKUP(record[[#This Row],[employeeID]],員工[],2,FALSE)</f>
        <v>李美蓮</v>
      </c>
    </row>
    <row r="5388" spans="6:19" hidden="1" x14ac:dyDescent="0.25">
      <c r="F5388" t="s">
        <v>1290</v>
      </c>
      <c r="G5388" t="s">
        <v>416</v>
      </c>
      <c r="H5388" t="str">
        <f>VLOOKUP(record[[#This Row],[ProcessSN]],表格2_7[],2,FALSE)</f>
        <v>30-4118-018-5XX</v>
      </c>
      <c r="I5388" t="str">
        <f>VLOOKUP(record[[#This Row],[ProcessSN]],表格2_7[],3,FALSE)</f>
        <v>#05</v>
      </c>
      <c r="J5388" t="s">
        <v>588</v>
      </c>
      <c r="K5388" s="195">
        <v>46021.966828703706</v>
      </c>
      <c r="L5388">
        <v>120</v>
      </c>
      <c r="M5388">
        <v>0</v>
      </c>
      <c r="N5388" s="98" t="str">
        <f>IF(record[[#This Row],[Memo]]="Browser:chrome os:android","平板報工",IF(record[[#This Row],[Memo]]=0,"委外",record[[#This Row],[Memo]]))</f>
        <v/>
      </c>
      <c r="O5388" t="s">
        <v>58</v>
      </c>
      <c r="P5388" t="s">
        <v>89</v>
      </c>
      <c r="Q5388" t="s">
        <v>58</v>
      </c>
      <c r="R5388" t="str">
        <f>IFERROR(VLOOKUP(record[[#This Row],[PCUSTID]],廠商[],2,FALSE),"")</f>
        <v/>
      </c>
      <c r="S5388" t="str">
        <f>VLOOKUP(record[[#This Row],[employeeID]],員工[],2,FALSE)</f>
        <v>李美蓮</v>
      </c>
    </row>
    <row r="5389" spans="6:19" hidden="1" x14ac:dyDescent="0.25">
      <c r="F5389" t="s">
        <v>1380</v>
      </c>
      <c r="G5389" t="s">
        <v>376</v>
      </c>
      <c r="H5389" t="str">
        <f>VLOOKUP(record[[#This Row],[ProcessSN]],表格2_7[],2,FALSE)</f>
        <v>30-4118-018-4XX</v>
      </c>
      <c r="I5389" t="str">
        <f>VLOOKUP(record[[#This Row],[ProcessSN]],表格2_7[],3,FALSE)</f>
        <v>#06</v>
      </c>
      <c r="J5389" t="s">
        <v>593</v>
      </c>
      <c r="K5389" s="195">
        <v>46021.965405092589</v>
      </c>
      <c r="L5389">
        <v>133</v>
      </c>
      <c r="M5389">
        <v>0</v>
      </c>
      <c r="N5389" s="98" t="str">
        <f>IF(record[[#This Row],[Memo]]="Browser:chrome os:android","平板報工",IF(record[[#This Row],[Memo]]=0,"委外",record[[#This Row],[Memo]]))</f>
        <v/>
      </c>
      <c r="O5389" t="s">
        <v>58</v>
      </c>
      <c r="P5389" t="s">
        <v>133</v>
      </c>
      <c r="Q5389" t="s">
        <v>58</v>
      </c>
      <c r="R5389" t="str">
        <f>IFERROR(VLOOKUP(record[[#This Row],[PCUSTID]],廠商[],2,FALSE),"")</f>
        <v/>
      </c>
      <c r="S5389" t="str">
        <f>VLOOKUP(record[[#This Row],[employeeID]],員工[],2,FALSE)</f>
        <v>黎長維</v>
      </c>
    </row>
    <row r="5390" spans="6:19" hidden="1" x14ac:dyDescent="0.25">
      <c r="F5390" t="s">
        <v>1385</v>
      </c>
      <c r="G5390" t="s">
        <v>467</v>
      </c>
      <c r="H5390" t="str">
        <f>VLOOKUP(record[[#This Row],[ProcessSN]],表格2_7[],2,FALSE)</f>
        <v>30-4118-018-XXX</v>
      </c>
      <c r="I5390" t="str">
        <f>VLOOKUP(record[[#This Row],[ProcessSN]],表格2_7[],3,FALSE)</f>
        <v>#01QC</v>
      </c>
      <c r="J5390" t="s">
        <v>589</v>
      </c>
      <c r="K5390" s="195">
        <v>46021.671064814815</v>
      </c>
      <c r="L5390">
        <v>840</v>
      </c>
      <c r="M5390">
        <v>0</v>
      </c>
      <c r="N5390" s="98" t="str">
        <f>IF(record[[#This Row],[Memo]]="Browser:chrome os:android","平板報工",IF(record[[#This Row],[Memo]]=0,"委外",record[[#This Row],[Memo]]))</f>
        <v>平板報工</v>
      </c>
      <c r="O5390" t="s">
        <v>643</v>
      </c>
      <c r="P5390" t="s">
        <v>182</v>
      </c>
      <c r="Q5390" t="s">
        <v>644</v>
      </c>
      <c r="R5390" t="str">
        <f>IFERROR(VLOOKUP(record[[#This Row],[PCUSTID]],廠商[],2,FALSE),"")</f>
        <v/>
      </c>
      <c r="S5390" t="str">
        <f>VLOOKUP(record[[#This Row],[employeeID]],員工[],2,FALSE)</f>
        <v>梅氏和</v>
      </c>
    </row>
    <row r="5391" spans="6:19" hidden="1" x14ac:dyDescent="0.25">
      <c r="F5391" t="s">
        <v>1366</v>
      </c>
      <c r="G5391" t="s">
        <v>401</v>
      </c>
      <c r="H5391" t="str">
        <f>VLOOKUP(record[[#This Row],[ProcessSN]],表格2_7[],2,FALSE)</f>
        <v>30-4118-018-550</v>
      </c>
      <c r="I5391" t="str">
        <f>VLOOKUP(record[[#This Row],[ProcessSN]],表格2_7[],3,FALSE)</f>
        <v>#100OQC</v>
      </c>
      <c r="J5391" t="s">
        <v>599</v>
      </c>
      <c r="K5391" s="195">
        <v>46021.664733796293</v>
      </c>
      <c r="L5391">
        <v>141</v>
      </c>
      <c r="M5391">
        <v>0</v>
      </c>
      <c r="N5391" s="98" t="str">
        <f>IF(record[[#This Row],[Memo]]="Browser:chrome os:android","平板報工",IF(record[[#This Row],[Memo]]=0,"委外",record[[#This Row],[Memo]]))</f>
        <v/>
      </c>
      <c r="O5391" t="s">
        <v>58</v>
      </c>
      <c r="P5391" t="s">
        <v>121</v>
      </c>
      <c r="Q5391" t="s">
        <v>58</v>
      </c>
      <c r="R5391" t="str">
        <f>IFERROR(VLOOKUP(record[[#This Row],[PCUSTID]],廠商[],2,FALSE),"")</f>
        <v/>
      </c>
      <c r="S5391" t="str">
        <f>VLOOKUP(record[[#This Row],[employeeID]],員工[],2,FALSE)</f>
        <v>謝素卿</v>
      </c>
    </row>
    <row r="5392" spans="6:19" hidden="1" x14ac:dyDescent="0.25">
      <c r="F5392" t="s">
        <v>1366</v>
      </c>
      <c r="G5392" t="s">
        <v>400</v>
      </c>
      <c r="H5392" t="str">
        <f>VLOOKUP(record[[#This Row],[ProcessSN]],表格2_7[],2,FALSE)</f>
        <v>30-4118-018-550</v>
      </c>
      <c r="I5392" t="str">
        <f>VLOOKUP(record[[#This Row],[ProcessSN]],表格2_7[],3,FALSE)</f>
        <v>#100</v>
      </c>
      <c r="J5392" t="s">
        <v>598</v>
      </c>
      <c r="K5392" s="195">
        <v>46021.644537037035</v>
      </c>
      <c r="L5392">
        <v>141</v>
      </c>
      <c r="M5392">
        <v>0</v>
      </c>
      <c r="N5392" s="98" t="str">
        <f>IF(record[[#This Row],[Memo]]="Browser:chrome os:android","平板報工",IF(record[[#This Row],[Memo]]=0,"委外",record[[#This Row],[Memo]]))</f>
        <v/>
      </c>
      <c r="O5392" t="s">
        <v>58</v>
      </c>
      <c r="P5392" t="s">
        <v>141</v>
      </c>
      <c r="Q5392" t="s">
        <v>58</v>
      </c>
      <c r="R5392" t="str">
        <f>IFERROR(VLOOKUP(record[[#This Row],[PCUSTID]],廠商[],2,FALSE),"")</f>
        <v/>
      </c>
      <c r="S5392" t="str">
        <f>VLOOKUP(record[[#This Row],[employeeID]],員工[],2,FALSE)</f>
        <v>蔣梅</v>
      </c>
    </row>
    <row r="5393" spans="6:19" hidden="1" x14ac:dyDescent="0.25">
      <c r="F5393" t="s">
        <v>1366</v>
      </c>
      <c r="G5393" t="s">
        <v>399</v>
      </c>
      <c r="H5393" t="str">
        <f>VLOOKUP(record[[#This Row],[ProcessSN]],表格2_7[],2,FALSE)</f>
        <v>30-4118-018-550</v>
      </c>
      <c r="I5393" t="str">
        <f>VLOOKUP(record[[#This Row],[ProcessSN]],表格2_7[],3,FALSE)</f>
        <v>#08IQC</v>
      </c>
      <c r="J5393" t="s">
        <v>583</v>
      </c>
      <c r="K5393" s="195">
        <v>46021.644282407404</v>
      </c>
      <c r="L5393">
        <v>20</v>
      </c>
      <c r="M5393">
        <v>0</v>
      </c>
      <c r="N5393" s="98" t="str">
        <f>IF(record[[#This Row],[Memo]]="Browser:chrome os:android","平板報工",IF(record[[#This Row],[Memo]]=0,"委外",record[[#This Row],[Memo]]))</f>
        <v>覆回</v>
      </c>
      <c r="O5393" t="s">
        <v>682</v>
      </c>
      <c r="P5393" t="s">
        <v>141</v>
      </c>
      <c r="Q5393" t="s">
        <v>58</v>
      </c>
      <c r="R5393" t="str">
        <f>IFERROR(VLOOKUP(record[[#This Row],[PCUSTID]],廠商[],2,FALSE),"")</f>
        <v/>
      </c>
      <c r="S5393" t="str">
        <f>VLOOKUP(record[[#This Row],[employeeID]],員工[],2,FALSE)</f>
        <v>蔣梅</v>
      </c>
    </row>
    <row r="5394" spans="6:19" hidden="1" x14ac:dyDescent="0.25">
      <c r="F5394" t="s">
        <v>1366</v>
      </c>
      <c r="G5394" t="s">
        <v>398</v>
      </c>
      <c r="H5394" t="str">
        <f>VLOOKUP(record[[#This Row],[ProcessSN]],表格2_7[],2,FALSE)</f>
        <v>30-4118-018-550</v>
      </c>
      <c r="I5394" t="str">
        <f>VLOOKUP(record[[#This Row],[ProcessSN]],表格2_7[],3,FALSE)</f>
        <v>#08RCV</v>
      </c>
      <c r="J5394" t="s">
        <v>591</v>
      </c>
      <c r="K5394" s="195">
        <v>46021.643946759257</v>
      </c>
      <c r="L5394">
        <v>0</v>
      </c>
      <c r="M5394">
        <v>19</v>
      </c>
      <c r="N5394" s="98" t="str">
        <f>IF(record[[#This Row],[Memo]]="Browser:chrome os:android","平板報工",IF(record[[#This Row],[Memo]]=0,"委外",record[[#This Row],[Memo]]))</f>
        <v/>
      </c>
      <c r="O5394" t="s">
        <v>58</v>
      </c>
      <c r="P5394" t="s">
        <v>141</v>
      </c>
      <c r="Q5394" t="s">
        <v>58</v>
      </c>
      <c r="R5394" t="str">
        <f>IFERROR(VLOOKUP(record[[#This Row],[PCUSTID]],廠商[],2,FALSE),"")</f>
        <v/>
      </c>
      <c r="S5394" t="str">
        <f>VLOOKUP(record[[#This Row],[employeeID]],員工[],2,FALSE)</f>
        <v>蔣梅</v>
      </c>
    </row>
    <row r="5395" spans="6:19" hidden="1" x14ac:dyDescent="0.25">
      <c r="F5395" t="s">
        <v>1366</v>
      </c>
      <c r="G5395" t="s">
        <v>398</v>
      </c>
      <c r="H5395" t="str">
        <f>VLOOKUP(record[[#This Row],[ProcessSN]],表格2_7[],2,FALSE)</f>
        <v>30-4118-018-550</v>
      </c>
      <c r="I5395" t="str">
        <f>VLOOKUP(record[[#This Row],[ProcessSN]],表格2_7[],3,FALSE)</f>
        <v>#08RCV</v>
      </c>
      <c r="J5395" t="s">
        <v>591</v>
      </c>
      <c r="K5395" s="195">
        <v>46021.643738425926</v>
      </c>
      <c r="L5395">
        <v>20</v>
      </c>
      <c r="M5395">
        <v>0</v>
      </c>
      <c r="N5395" s="98" t="str">
        <f>IF(record[[#This Row],[Memo]]="Browser:chrome os:android","平板報工",IF(record[[#This Row],[Memo]]=0,"委外",record[[#This Row],[Memo]]))</f>
        <v>覆回</v>
      </c>
      <c r="O5395" t="s">
        <v>682</v>
      </c>
      <c r="P5395" t="s">
        <v>141</v>
      </c>
      <c r="Q5395" t="s">
        <v>58</v>
      </c>
      <c r="R5395" t="str">
        <f>IFERROR(VLOOKUP(record[[#This Row],[PCUSTID]],廠商[],2,FALSE),"")</f>
        <v/>
      </c>
      <c r="S5395" t="str">
        <f>VLOOKUP(record[[#This Row],[employeeID]],員工[],2,FALSE)</f>
        <v>蔣梅</v>
      </c>
    </row>
    <row r="5396" spans="6:19" hidden="1" x14ac:dyDescent="0.25">
      <c r="F5396" t="s">
        <v>1385</v>
      </c>
      <c r="G5396" t="s">
        <v>466</v>
      </c>
      <c r="H5396" t="str">
        <f>VLOOKUP(record[[#This Row],[ProcessSN]],表格2_7[],2,FALSE)</f>
        <v>30-4118-018-XXX</v>
      </c>
      <c r="I5396" t="str">
        <f>VLOOKUP(record[[#This Row],[ProcessSN]],表格2_7[],3,FALSE)</f>
        <v>#01-2</v>
      </c>
      <c r="J5396" t="s">
        <v>588</v>
      </c>
      <c r="K5396" s="195">
        <v>46021.643217592595</v>
      </c>
      <c r="L5396">
        <v>360</v>
      </c>
      <c r="M5396">
        <v>0</v>
      </c>
      <c r="N5396" s="98" t="str">
        <f>IF(record[[#This Row],[Memo]]="Browser:chrome os:android","平板報工",IF(record[[#This Row],[Memo]]=0,"委外",record[[#This Row],[Memo]]))</f>
        <v/>
      </c>
      <c r="O5396" t="s">
        <v>58</v>
      </c>
      <c r="P5396" t="s">
        <v>107</v>
      </c>
      <c r="Q5396" t="s">
        <v>58</v>
      </c>
      <c r="R5396" t="str">
        <f>IFERROR(VLOOKUP(record[[#This Row],[PCUSTID]],廠商[],2,FALSE),"")</f>
        <v/>
      </c>
      <c r="S5396" t="str">
        <f>VLOOKUP(record[[#This Row],[employeeID]],員工[],2,FALSE)</f>
        <v>黎氏順</v>
      </c>
    </row>
    <row r="5397" spans="6:19" hidden="1" x14ac:dyDescent="0.25">
      <c r="F5397" t="s">
        <v>1385</v>
      </c>
      <c r="G5397" t="s">
        <v>465</v>
      </c>
      <c r="H5397" t="str">
        <f>VLOOKUP(record[[#This Row],[ProcessSN]],表格2_7[],2,FALSE)</f>
        <v>30-4118-018-XXX</v>
      </c>
      <c r="I5397" t="str">
        <f>VLOOKUP(record[[#This Row],[ProcessSN]],表格2_7[],3,FALSE)</f>
        <v>#01-1</v>
      </c>
      <c r="J5397" t="s">
        <v>588</v>
      </c>
      <c r="K5397" s="195">
        <v>46021.643043981479</v>
      </c>
      <c r="L5397">
        <v>353</v>
      </c>
      <c r="M5397">
        <v>0</v>
      </c>
      <c r="N5397" s="98" t="str">
        <f>IF(record[[#This Row],[Memo]]="Browser:chrome os:android","平板報工",IF(record[[#This Row],[Memo]]=0,"委外",record[[#This Row],[Memo]]))</f>
        <v/>
      </c>
      <c r="O5397" t="s">
        <v>58</v>
      </c>
      <c r="P5397" t="s">
        <v>107</v>
      </c>
      <c r="Q5397" t="s">
        <v>58</v>
      </c>
      <c r="R5397" t="str">
        <f>IFERROR(VLOOKUP(record[[#This Row],[PCUSTID]],廠商[],2,FALSE),"")</f>
        <v/>
      </c>
      <c r="S5397" t="str">
        <f>VLOOKUP(record[[#This Row],[employeeID]],員工[],2,FALSE)</f>
        <v>黎氏順</v>
      </c>
    </row>
    <row r="5398" spans="6:19" hidden="1" x14ac:dyDescent="0.25">
      <c r="F5398" t="s">
        <v>1339</v>
      </c>
      <c r="G5398" t="s">
        <v>377</v>
      </c>
      <c r="H5398" t="str">
        <f>VLOOKUP(record[[#This Row],[ProcessSN]],表格2_7[],2,FALSE)</f>
        <v>30-4118-018-4XX</v>
      </c>
      <c r="I5398" t="str">
        <f>VLOOKUP(record[[#This Row],[ProcessSN]],表格2_7[],3,FALSE)</f>
        <v>#07</v>
      </c>
      <c r="J5398" t="s">
        <v>588</v>
      </c>
      <c r="K5398" s="195">
        <v>46021.642442129632</v>
      </c>
      <c r="L5398">
        <v>259</v>
      </c>
      <c r="M5398">
        <v>5</v>
      </c>
      <c r="N5398" s="98" t="str">
        <f>IF(record[[#This Row],[Memo]]="Browser:chrome os:android","平板報工",IF(record[[#This Row],[Memo]]=0,"委外",record[[#This Row],[Memo]]))</f>
        <v/>
      </c>
      <c r="O5398" t="s">
        <v>58</v>
      </c>
      <c r="P5398" t="s">
        <v>785</v>
      </c>
      <c r="Q5398" t="s">
        <v>58</v>
      </c>
      <c r="R5398" t="str">
        <f>IFERROR(VLOOKUP(record[[#This Row],[PCUSTID]],廠商[],2,FALSE),"")</f>
        <v/>
      </c>
      <c r="S5398" t="str">
        <f>VLOOKUP(record[[#This Row],[employeeID]],員工[],2,FALSE)</f>
        <v>謝刻光</v>
      </c>
    </row>
    <row r="5399" spans="6:19" hidden="1" x14ac:dyDescent="0.25">
      <c r="F5399" t="s">
        <v>1380</v>
      </c>
      <c r="G5399" t="s">
        <v>375</v>
      </c>
      <c r="H5399" t="str">
        <f>VLOOKUP(record[[#This Row],[ProcessSN]],表格2_7[],2,FALSE)</f>
        <v>30-4118-018-4XX</v>
      </c>
      <c r="I5399" t="str">
        <f>VLOOKUP(record[[#This Row],[ProcessSN]],表格2_7[],3,FALSE)</f>
        <v>#05</v>
      </c>
      <c r="J5399" t="s">
        <v>588</v>
      </c>
      <c r="K5399" s="195">
        <v>46021.624826388892</v>
      </c>
      <c r="L5399">
        <v>136</v>
      </c>
      <c r="M5399">
        <v>0</v>
      </c>
      <c r="N5399" s="98" t="str">
        <f>IF(record[[#This Row],[Memo]]="Browser:chrome os:android","平板報工",IF(record[[#This Row],[Memo]]=0,"委外",record[[#This Row],[Memo]]))</f>
        <v/>
      </c>
      <c r="O5399" t="s">
        <v>58</v>
      </c>
      <c r="P5399" t="s">
        <v>785</v>
      </c>
      <c r="Q5399" t="s">
        <v>58</v>
      </c>
      <c r="R5399" t="str">
        <f>IFERROR(VLOOKUP(record[[#This Row],[PCUSTID]],廠商[],2,FALSE),"")</f>
        <v/>
      </c>
      <c r="S5399" t="str">
        <f>VLOOKUP(record[[#This Row],[employeeID]],員工[],2,FALSE)</f>
        <v>謝刻光</v>
      </c>
    </row>
    <row r="5400" spans="6:19" hidden="1" x14ac:dyDescent="0.25">
      <c r="F5400" t="s">
        <v>1380</v>
      </c>
      <c r="G5400" t="s">
        <v>374</v>
      </c>
      <c r="H5400" t="str">
        <f>VLOOKUP(record[[#This Row],[ProcessSN]],表格2_7[],2,FALSE)</f>
        <v>30-4118-018-4XX</v>
      </c>
      <c r="I5400" t="str">
        <f>VLOOKUP(record[[#This Row],[ProcessSN]],表格2_7[],3,FALSE)</f>
        <v>#04</v>
      </c>
      <c r="J5400" t="s">
        <v>588</v>
      </c>
      <c r="K5400" s="195">
        <v>46021.624583333331</v>
      </c>
      <c r="L5400">
        <v>126</v>
      </c>
      <c r="M5400">
        <v>0</v>
      </c>
      <c r="N5400" s="98" t="str">
        <f>IF(record[[#This Row],[Memo]]="Browser:chrome os:android","平板報工",IF(record[[#This Row],[Memo]]=0,"委外",record[[#This Row],[Memo]]))</f>
        <v/>
      </c>
      <c r="O5400" t="s">
        <v>58</v>
      </c>
      <c r="P5400" t="s">
        <v>789</v>
      </c>
      <c r="Q5400" t="s">
        <v>58</v>
      </c>
      <c r="R5400" t="str">
        <f>IFERROR(VLOOKUP(record[[#This Row],[PCUSTID]],廠商[],2,FALSE),"")</f>
        <v/>
      </c>
      <c r="S5400" t="str">
        <f>VLOOKUP(record[[#This Row],[employeeID]],員工[],2,FALSE)</f>
        <v>張月霞</v>
      </c>
    </row>
    <row r="5401" spans="6:19" hidden="1" x14ac:dyDescent="0.25">
      <c r="F5401" t="s">
        <v>1380</v>
      </c>
      <c r="G5401" t="s">
        <v>376</v>
      </c>
      <c r="H5401" t="str">
        <f>VLOOKUP(record[[#This Row],[ProcessSN]],表格2_7[],2,FALSE)</f>
        <v>30-4118-018-4XX</v>
      </c>
      <c r="I5401" t="str">
        <f>VLOOKUP(record[[#This Row],[ProcessSN]],表格2_7[],3,FALSE)</f>
        <v>#06</v>
      </c>
      <c r="J5401" t="s">
        <v>593</v>
      </c>
      <c r="K5401" s="195">
        <v>46021.615324074075</v>
      </c>
      <c r="L5401">
        <v>62</v>
      </c>
      <c r="M5401">
        <v>0</v>
      </c>
      <c r="N5401" s="98" t="str">
        <f>IF(record[[#This Row],[Memo]]="Browser:chrome os:android","平板報工",IF(record[[#This Row],[Memo]]=0,"委外",record[[#This Row],[Memo]]))</f>
        <v/>
      </c>
      <c r="O5401" t="s">
        <v>58</v>
      </c>
      <c r="P5401" t="s">
        <v>166</v>
      </c>
      <c r="Q5401" t="s">
        <v>58</v>
      </c>
      <c r="R5401" t="str">
        <f>IFERROR(VLOOKUP(record[[#This Row],[PCUSTID]],廠商[],2,FALSE),"")</f>
        <v/>
      </c>
      <c r="S5401" t="str">
        <f>VLOOKUP(record[[#This Row],[employeeID]],員工[],2,FALSE)</f>
        <v>阮懷香</v>
      </c>
    </row>
    <row r="5402" spans="6:19" hidden="1" x14ac:dyDescent="0.25">
      <c r="F5402" t="s">
        <v>1339</v>
      </c>
      <c r="G5402" t="s">
        <v>376</v>
      </c>
      <c r="H5402" t="str">
        <f>VLOOKUP(record[[#This Row],[ProcessSN]],表格2_7[],2,FALSE)</f>
        <v>30-4118-018-4XX</v>
      </c>
      <c r="I5402" t="str">
        <f>VLOOKUP(record[[#This Row],[ProcessSN]],表格2_7[],3,FALSE)</f>
        <v>#06</v>
      </c>
      <c r="J5402" t="s">
        <v>593</v>
      </c>
      <c r="K5402" s="195">
        <v>46021.615081018521</v>
      </c>
      <c r="L5402">
        <v>46</v>
      </c>
      <c r="M5402">
        <v>0</v>
      </c>
      <c r="N5402" s="98" t="str">
        <f>IF(record[[#This Row],[Memo]]="Browser:chrome os:android","平板報工",IF(record[[#This Row],[Memo]]=0,"委外",record[[#This Row],[Memo]]))</f>
        <v/>
      </c>
      <c r="O5402" t="s">
        <v>58</v>
      </c>
      <c r="P5402" t="s">
        <v>166</v>
      </c>
      <c r="Q5402" t="s">
        <v>58</v>
      </c>
      <c r="R5402" t="str">
        <f>IFERROR(VLOOKUP(record[[#This Row],[PCUSTID]],廠商[],2,FALSE),"")</f>
        <v/>
      </c>
      <c r="S5402" t="str">
        <f>VLOOKUP(record[[#This Row],[employeeID]],員工[],2,FALSE)</f>
        <v>阮懷香</v>
      </c>
    </row>
    <row r="5403" spans="6:19" hidden="1" x14ac:dyDescent="0.25">
      <c r="F5403" t="s">
        <v>1400</v>
      </c>
      <c r="G5403" t="s">
        <v>356</v>
      </c>
      <c r="H5403" t="str">
        <f>VLOOKUP(record[[#This Row],[ProcessSN]],表格2_7[],2,FALSE)</f>
        <v>30-4118-018-450</v>
      </c>
      <c r="I5403" t="str">
        <f>VLOOKUP(record[[#This Row],[ProcessSN]],表格2_7[],3,FALSE)</f>
        <v>#08</v>
      </c>
      <c r="J5403" t="s">
        <v>597</v>
      </c>
      <c r="K5403" s="195">
        <v>46021.606249999997</v>
      </c>
      <c r="L5403">
        <v>241</v>
      </c>
      <c r="M5403">
        <v>0</v>
      </c>
      <c r="N5403" s="98" t="str">
        <f>IF(record[[#This Row],[Memo]]="Browser:chrome os:android","平板報工",IF(record[[#This Row],[Memo]]=0,"委外",record[[#This Row],[Memo]]))</f>
        <v>委外</v>
      </c>
      <c r="P5403" t="s">
        <v>186</v>
      </c>
      <c r="Q5403" t="s">
        <v>287</v>
      </c>
      <c r="R5403" t="str">
        <f>IFERROR(VLOOKUP(record[[#This Row],[PCUSTID]],廠商[],2,FALSE),"")</f>
        <v>泉盛</v>
      </c>
      <c r="S5403" t="str">
        <f>VLOOKUP(record[[#This Row],[employeeID]],員工[],2,FALSE)</f>
        <v>許文姍</v>
      </c>
    </row>
    <row r="5404" spans="6:19" hidden="1" x14ac:dyDescent="0.25">
      <c r="F5404" t="s">
        <v>1402</v>
      </c>
      <c r="G5404" t="s">
        <v>422</v>
      </c>
      <c r="H5404" t="str">
        <f>VLOOKUP(record[[#This Row],[ProcessSN]],表格2_7[],2,FALSE)</f>
        <v>30-4118-018-600</v>
      </c>
      <c r="I5404" t="str">
        <f>VLOOKUP(record[[#This Row],[ProcessSN]],表格2_7[],3,FALSE)</f>
        <v>#08</v>
      </c>
      <c r="J5404" t="s">
        <v>597</v>
      </c>
      <c r="K5404" s="195">
        <v>46021.606122685182</v>
      </c>
      <c r="L5404">
        <v>139</v>
      </c>
      <c r="M5404">
        <v>0</v>
      </c>
      <c r="N5404" s="98" t="str">
        <f>IF(record[[#This Row],[Memo]]="Browser:chrome os:android","平板報工",IF(record[[#This Row],[Memo]]=0,"委外",record[[#This Row],[Memo]]))</f>
        <v>委外</v>
      </c>
      <c r="P5404" t="s">
        <v>186</v>
      </c>
      <c r="Q5404" t="s">
        <v>287</v>
      </c>
      <c r="R5404" t="str">
        <f>IFERROR(VLOOKUP(record[[#This Row],[PCUSTID]],廠商[],2,FALSE),"")</f>
        <v>泉盛</v>
      </c>
      <c r="S5404" t="str">
        <f>VLOOKUP(record[[#This Row],[employeeID]],員工[],2,FALSE)</f>
        <v>許文姍</v>
      </c>
    </row>
    <row r="5405" spans="6:19" hidden="1" x14ac:dyDescent="0.25">
      <c r="F5405" t="s">
        <v>1400</v>
      </c>
      <c r="G5405" t="s">
        <v>355</v>
      </c>
      <c r="H5405" t="str">
        <f>VLOOKUP(record[[#This Row],[ProcessSN]],表格2_7[],2,FALSE)</f>
        <v>30-4118-018-450</v>
      </c>
      <c r="I5405" t="str">
        <f>VLOOKUP(record[[#This Row],[ProcessSN]],表格2_7[],3,FALSE)</f>
        <v>#08PICK</v>
      </c>
      <c r="J5405" t="s">
        <v>582</v>
      </c>
      <c r="K5405" s="195">
        <v>46021.605821759258</v>
      </c>
      <c r="L5405">
        <v>241</v>
      </c>
      <c r="M5405">
        <v>0</v>
      </c>
      <c r="N5405" s="98" t="str">
        <f>IF(record[[#This Row],[Memo]]="Browser:chrome os:android","平板報工",IF(record[[#This Row],[Memo]]=0,"委外",record[[#This Row],[Memo]]))</f>
        <v/>
      </c>
      <c r="O5405" t="s">
        <v>58</v>
      </c>
      <c r="P5405" t="s">
        <v>186</v>
      </c>
      <c r="Q5405" t="s">
        <v>58</v>
      </c>
      <c r="R5405" t="str">
        <f>IFERROR(VLOOKUP(record[[#This Row],[PCUSTID]],廠商[],2,FALSE),"")</f>
        <v/>
      </c>
      <c r="S5405" t="str">
        <f>VLOOKUP(record[[#This Row],[employeeID]],員工[],2,FALSE)</f>
        <v>許文姍</v>
      </c>
    </row>
    <row r="5406" spans="6:19" hidden="1" x14ac:dyDescent="0.25">
      <c r="F5406" t="s">
        <v>1402</v>
      </c>
      <c r="G5406" t="s">
        <v>421</v>
      </c>
      <c r="H5406" t="str">
        <f>VLOOKUP(record[[#This Row],[ProcessSN]],表格2_7[],2,FALSE)</f>
        <v>30-4118-018-600</v>
      </c>
      <c r="I5406" t="str">
        <f>VLOOKUP(record[[#This Row],[ProcessSN]],表格2_7[],3,FALSE)</f>
        <v>#08PICK</v>
      </c>
      <c r="J5406" t="s">
        <v>582</v>
      </c>
      <c r="K5406" s="195">
        <v>46021.60565972222</v>
      </c>
      <c r="L5406">
        <v>139</v>
      </c>
      <c r="M5406">
        <v>0</v>
      </c>
      <c r="N5406" s="98" t="str">
        <f>IF(record[[#This Row],[Memo]]="Browser:chrome os:android","平板報工",IF(record[[#This Row],[Memo]]=0,"委外",record[[#This Row],[Memo]]))</f>
        <v/>
      </c>
      <c r="O5406" t="s">
        <v>58</v>
      </c>
      <c r="P5406" t="s">
        <v>186</v>
      </c>
      <c r="Q5406" t="s">
        <v>58</v>
      </c>
      <c r="R5406" t="str">
        <f>IFERROR(VLOOKUP(record[[#This Row],[PCUSTID]],廠商[],2,FALSE),"")</f>
        <v/>
      </c>
      <c r="S5406" t="str">
        <f>VLOOKUP(record[[#This Row],[employeeID]],員工[],2,FALSE)</f>
        <v>許文姍</v>
      </c>
    </row>
    <row r="5407" spans="6:19" hidden="1" x14ac:dyDescent="0.25">
      <c r="F5407" t="s">
        <v>1333</v>
      </c>
      <c r="G5407" t="s">
        <v>453</v>
      </c>
      <c r="H5407" t="str">
        <f>VLOOKUP(record[[#This Row],[ProcessSN]],表格2_7[],2,FALSE)</f>
        <v>30-4118-018-6XX</v>
      </c>
      <c r="I5407" t="str">
        <f>VLOOKUP(record[[#This Row],[ProcessSN]],表格2_7[],3,FALSE)</f>
        <v>#07STOCK</v>
      </c>
      <c r="J5407" t="s">
        <v>592</v>
      </c>
      <c r="K5407" s="195">
        <v>46021.604143518518</v>
      </c>
      <c r="L5407">
        <v>139</v>
      </c>
      <c r="M5407">
        <v>0</v>
      </c>
      <c r="N5407" s="98" t="str">
        <f>IF(record[[#This Row],[Memo]]="Browser:chrome os:android","平板報工",IF(record[[#This Row],[Memo]]=0,"委外",record[[#This Row],[Memo]]))</f>
        <v/>
      </c>
      <c r="O5407" t="s">
        <v>58</v>
      </c>
      <c r="P5407" t="s">
        <v>186</v>
      </c>
      <c r="Q5407" t="s">
        <v>58</v>
      </c>
      <c r="R5407" t="str">
        <f>IFERROR(VLOOKUP(record[[#This Row],[PCUSTID]],廠商[],2,FALSE),"")</f>
        <v/>
      </c>
      <c r="S5407" t="str">
        <f>VLOOKUP(record[[#This Row],[employeeID]],員工[],2,FALSE)</f>
        <v>許文姍</v>
      </c>
    </row>
    <row r="5408" spans="6:19" hidden="1" x14ac:dyDescent="0.25">
      <c r="F5408" t="s">
        <v>1339</v>
      </c>
      <c r="G5408" t="s">
        <v>379</v>
      </c>
      <c r="H5408" t="str">
        <f>VLOOKUP(record[[#This Row],[ProcessSN]],表格2_7[],2,FALSE)</f>
        <v>30-4118-018-4XX</v>
      </c>
      <c r="I5408" t="str">
        <f>VLOOKUP(record[[#This Row],[ProcessSN]],表格2_7[],3,FALSE)</f>
        <v>#07STOCK</v>
      </c>
      <c r="J5408" t="s">
        <v>592</v>
      </c>
      <c r="K5408" s="195">
        <v>46021.597233796296</v>
      </c>
      <c r="L5408">
        <v>164</v>
      </c>
      <c r="M5408">
        <v>0</v>
      </c>
      <c r="N5408" s="98" t="str">
        <f>IF(record[[#This Row],[Memo]]="Browser:chrome os:android","平板報工",IF(record[[#This Row],[Memo]]=0,"委外",record[[#This Row],[Memo]]))</f>
        <v/>
      </c>
      <c r="O5408" t="s">
        <v>58</v>
      </c>
      <c r="P5408" t="s">
        <v>186</v>
      </c>
      <c r="Q5408" t="s">
        <v>58</v>
      </c>
      <c r="R5408" t="str">
        <f>IFERROR(VLOOKUP(record[[#This Row],[PCUSTID]],廠商[],2,FALSE),"")</f>
        <v/>
      </c>
      <c r="S5408" t="str">
        <f>VLOOKUP(record[[#This Row],[employeeID]],員工[],2,FALSE)</f>
        <v>許文姍</v>
      </c>
    </row>
    <row r="5409" spans="6:19" hidden="1" x14ac:dyDescent="0.25">
      <c r="F5409" t="s">
        <v>1270</v>
      </c>
      <c r="G5409" t="s">
        <v>379</v>
      </c>
      <c r="H5409" t="str">
        <f>VLOOKUP(record[[#This Row],[ProcessSN]],表格2_7[],2,FALSE)</f>
        <v>30-4118-018-4XX</v>
      </c>
      <c r="I5409" t="str">
        <f>VLOOKUP(record[[#This Row],[ProcessSN]],表格2_7[],3,FALSE)</f>
        <v>#07STOCK</v>
      </c>
      <c r="J5409" t="s">
        <v>592</v>
      </c>
      <c r="K5409" s="195">
        <v>46021.597083333334</v>
      </c>
      <c r="L5409">
        <v>77</v>
      </c>
      <c r="M5409">
        <v>0</v>
      </c>
      <c r="N5409" s="98" t="str">
        <f>IF(record[[#This Row],[Memo]]="Browser:chrome os:android","平板報工",IF(record[[#This Row],[Memo]]=0,"委外",record[[#This Row],[Memo]]))</f>
        <v/>
      </c>
      <c r="O5409" t="s">
        <v>58</v>
      </c>
      <c r="P5409" t="s">
        <v>186</v>
      </c>
      <c r="Q5409" t="s">
        <v>58</v>
      </c>
      <c r="R5409" t="str">
        <f>IFERROR(VLOOKUP(record[[#This Row],[PCUSTID]],廠商[],2,FALSE),"")</f>
        <v/>
      </c>
      <c r="S5409" t="str">
        <f>VLOOKUP(record[[#This Row],[employeeID]],員工[],2,FALSE)</f>
        <v>許文姍</v>
      </c>
    </row>
    <row r="5410" spans="6:19" hidden="1" x14ac:dyDescent="0.25">
      <c r="F5410" t="s">
        <v>1333</v>
      </c>
      <c r="G5410" t="s">
        <v>451</v>
      </c>
      <c r="H5410" t="str">
        <f>VLOOKUP(record[[#This Row],[ProcessSN]],表格2_7[],2,FALSE)</f>
        <v>30-4118-018-6XX</v>
      </c>
      <c r="I5410" t="str">
        <f>VLOOKUP(record[[#This Row],[ProcessSN]],表格2_7[],3,FALSE)</f>
        <v>#07</v>
      </c>
      <c r="J5410" t="s">
        <v>588</v>
      </c>
      <c r="K5410" s="195">
        <v>46021.547835648147</v>
      </c>
      <c r="L5410">
        <v>106</v>
      </c>
      <c r="M5410">
        <v>29</v>
      </c>
      <c r="N5410" s="98" t="str">
        <f>IF(record[[#This Row],[Memo]]="Browser:chrome os:android","平板報工",IF(record[[#This Row],[Memo]]=0,"委外",record[[#This Row],[Memo]]))</f>
        <v>品保拿走</v>
      </c>
      <c r="O5410" t="s">
        <v>1398</v>
      </c>
      <c r="P5410" t="s">
        <v>789</v>
      </c>
      <c r="Q5410" t="s">
        <v>58</v>
      </c>
      <c r="R5410" t="str">
        <f>IFERROR(VLOOKUP(record[[#This Row],[PCUSTID]],廠商[],2,FALSE),"")</f>
        <v/>
      </c>
      <c r="S5410" t="str">
        <f>VLOOKUP(record[[#This Row],[employeeID]],員工[],2,FALSE)</f>
        <v>張月霞</v>
      </c>
    </row>
    <row r="5411" spans="6:19" hidden="1" x14ac:dyDescent="0.25">
      <c r="F5411" t="s">
        <v>1333</v>
      </c>
      <c r="G5411" t="s">
        <v>452</v>
      </c>
      <c r="H5411" t="str">
        <f>VLOOKUP(record[[#This Row],[ProcessSN]],表格2_7[],2,FALSE)</f>
        <v>30-4118-018-6XX</v>
      </c>
      <c r="I5411" t="str">
        <f>VLOOKUP(record[[#This Row],[ProcessSN]],表格2_7[],3,FALSE)</f>
        <v>#07QC</v>
      </c>
      <c r="J5411" t="s">
        <v>589</v>
      </c>
      <c r="K5411" s="195">
        <v>46021.546458333331</v>
      </c>
      <c r="L5411">
        <v>136</v>
      </c>
      <c r="M5411">
        <v>0</v>
      </c>
      <c r="N5411" s="98" t="str">
        <f>IF(record[[#This Row],[Memo]]="Browser:chrome os:android","平板報工",IF(record[[#This Row],[Memo]]=0,"委外",record[[#This Row],[Memo]]))</f>
        <v/>
      </c>
      <c r="O5411" t="s">
        <v>58</v>
      </c>
      <c r="P5411" t="s">
        <v>141</v>
      </c>
      <c r="Q5411" t="s">
        <v>58</v>
      </c>
      <c r="R5411" t="str">
        <f>IFERROR(VLOOKUP(record[[#This Row],[PCUSTID]],廠商[],2,FALSE),"")</f>
        <v/>
      </c>
      <c r="S5411" t="str">
        <f>VLOOKUP(record[[#This Row],[employeeID]],員工[],2,FALSE)</f>
        <v>蔣梅</v>
      </c>
    </row>
    <row r="5412" spans="6:19" hidden="1" x14ac:dyDescent="0.25">
      <c r="F5412" t="s">
        <v>1333</v>
      </c>
      <c r="G5412" t="s">
        <v>452</v>
      </c>
      <c r="H5412" t="str">
        <f>VLOOKUP(record[[#This Row],[ProcessSN]],表格2_7[],2,FALSE)</f>
        <v>30-4118-018-6XX</v>
      </c>
      <c r="I5412" t="str">
        <f>VLOOKUP(record[[#This Row],[ProcessSN]],表格2_7[],3,FALSE)</f>
        <v>#07QC</v>
      </c>
      <c r="J5412" t="s">
        <v>589</v>
      </c>
      <c r="K5412" s="195">
        <v>46021.546238425923</v>
      </c>
      <c r="L5412">
        <v>3</v>
      </c>
      <c r="M5412">
        <v>0</v>
      </c>
      <c r="N5412" s="98" t="str">
        <f>IF(record[[#This Row],[Memo]]="Browser:chrome os:android","平板報工",IF(record[[#This Row],[Memo]]=0,"委外",record[[#This Row],[Memo]]))</f>
        <v/>
      </c>
      <c r="O5412" t="s">
        <v>58</v>
      </c>
      <c r="P5412" t="s">
        <v>141</v>
      </c>
      <c r="Q5412" t="s">
        <v>58</v>
      </c>
      <c r="R5412" t="str">
        <f>IFERROR(VLOOKUP(record[[#This Row],[PCUSTID]],廠商[],2,FALSE),"")</f>
        <v/>
      </c>
      <c r="S5412" t="str">
        <f>VLOOKUP(record[[#This Row],[employeeID]],員工[],2,FALSE)</f>
        <v>蔣梅</v>
      </c>
    </row>
    <row r="5413" spans="6:19" hidden="1" x14ac:dyDescent="0.25">
      <c r="F5413" t="s">
        <v>1333</v>
      </c>
      <c r="G5413" t="s">
        <v>452</v>
      </c>
      <c r="H5413" t="str">
        <f>VLOOKUP(record[[#This Row],[ProcessSN]],表格2_7[],2,FALSE)</f>
        <v>30-4118-018-6XX</v>
      </c>
      <c r="I5413" t="str">
        <f>VLOOKUP(record[[#This Row],[ProcessSN]],表格2_7[],3,FALSE)</f>
        <v>#07QC</v>
      </c>
      <c r="J5413" t="s">
        <v>589</v>
      </c>
      <c r="K5413" s="195">
        <v>46021.546087962961</v>
      </c>
      <c r="L5413">
        <v>0</v>
      </c>
      <c r="M5413">
        <v>9</v>
      </c>
      <c r="N5413" s="98" t="str">
        <f>IF(record[[#This Row],[Memo]]="Browser:chrome os:android","平板報工",IF(record[[#This Row],[Memo]]=0,"委外",record[[#This Row],[Memo]]))</f>
        <v/>
      </c>
      <c r="O5413" t="s">
        <v>58</v>
      </c>
      <c r="P5413" t="s">
        <v>141</v>
      </c>
      <c r="Q5413" t="s">
        <v>58</v>
      </c>
      <c r="R5413" t="str">
        <f>IFERROR(VLOOKUP(record[[#This Row],[PCUSTID]],廠商[],2,FALSE),"")</f>
        <v/>
      </c>
      <c r="S5413" t="str">
        <f>VLOOKUP(record[[#This Row],[employeeID]],員工[],2,FALSE)</f>
        <v>蔣梅</v>
      </c>
    </row>
    <row r="5414" spans="6:19" hidden="1" x14ac:dyDescent="0.25">
      <c r="F5414" t="s">
        <v>1339</v>
      </c>
      <c r="G5414" t="s">
        <v>378</v>
      </c>
      <c r="H5414" t="str">
        <f>VLOOKUP(record[[#This Row],[ProcessSN]],表格2_7[],2,FALSE)</f>
        <v>30-4118-018-4XX</v>
      </c>
      <c r="I5414" t="str">
        <f>VLOOKUP(record[[#This Row],[ProcessSN]],表格2_7[],3,FALSE)</f>
        <v>#07QC</v>
      </c>
      <c r="J5414" t="s">
        <v>589</v>
      </c>
      <c r="K5414" s="195">
        <v>46021.545428240737</v>
      </c>
      <c r="L5414">
        <v>0</v>
      </c>
      <c r="M5414">
        <v>3</v>
      </c>
      <c r="N5414" s="98" t="str">
        <f>IF(record[[#This Row],[Memo]]="Browser:chrome os:android","平板報工",IF(record[[#This Row],[Memo]]=0,"委外",record[[#This Row],[Memo]]))</f>
        <v/>
      </c>
      <c r="O5414" t="s">
        <v>58</v>
      </c>
      <c r="P5414" t="s">
        <v>141</v>
      </c>
      <c r="Q5414" t="s">
        <v>58</v>
      </c>
      <c r="R5414" t="str">
        <f>IFERROR(VLOOKUP(record[[#This Row],[PCUSTID]],廠商[],2,FALSE),"")</f>
        <v/>
      </c>
      <c r="S5414" t="str">
        <f>VLOOKUP(record[[#This Row],[employeeID]],員工[],2,FALSE)</f>
        <v>蔣梅</v>
      </c>
    </row>
    <row r="5415" spans="6:19" hidden="1" x14ac:dyDescent="0.25">
      <c r="F5415" t="s">
        <v>1339</v>
      </c>
      <c r="G5415" t="s">
        <v>378</v>
      </c>
      <c r="H5415" t="str">
        <f>VLOOKUP(record[[#This Row],[ProcessSN]],表格2_7[],2,FALSE)</f>
        <v>30-4118-018-4XX</v>
      </c>
      <c r="I5415" t="str">
        <f>VLOOKUP(record[[#This Row],[ProcessSN]],表格2_7[],3,FALSE)</f>
        <v>#07QC</v>
      </c>
      <c r="J5415" t="s">
        <v>589</v>
      </c>
      <c r="K5415" s="195">
        <v>46021.545277777775</v>
      </c>
      <c r="L5415">
        <v>24</v>
      </c>
      <c r="M5415">
        <v>0</v>
      </c>
      <c r="N5415" s="98" t="str">
        <f>IF(record[[#This Row],[Memo]]="Browser:chrome os:android","平板報工",IF(record[[#This Row],[Memo]]=0,"委外",record[[#This Row],[Memo]]))</f>
        <v/>
      </c>
      <c r="O5415" t="s">
        <v>58</v>
      </c>
      <c r="P5415" t="s">
        <v>141</v>
      </c>
      <c r="Q5415" t="s">
        <v>58</v>
      </c>
      <c r="R5415" t="str">
        <f>IFERROR(VLOOKUP(record[[#This Row],[PCUSTID]],廠商[],2,FALSE),"")</f>
        <v/>
      </c>
      <c r="S5415" t="str">
        <f>VLOOKUP(record[[#This Row],[employeeID]],員工[],2,FALSE)</f>
        <v>蔣梅</v>
      </c>
    </row>
    <row r="5416" spans="6:19" hidden="1" x14ac:dyDescent="0.25">
      <c r="F5416" t="s">
        <v>1270</v>
      </c>
      <c r="G5416" t="s">
        <v>378</v>
      </c>
      <c r="H5416" t="str">
        <f>VLOOKUP(record[[#This Row],[ProcessSN]],表格2_7[],2,FALSE)</f>
        <v>30-4118-018-4XX</v>
      </c>
      <c r="I5416" t="str">
        <f>VLOOKUP(record[[#This Row],[ProcessSN]],表格2_7[],3,FALSE)</f>
        <v>#07QC</v>
      </c>
      <c r="J5416" t="s">
        <v>589</v>
      </c>
      <c r="K5416" s="195">
        <v>46021.544745370367</v>
      </c>
      <c r="L5416">
        <v>15</v>
      </c>
      <c r="M5416">
        <v>0</v>
      </c>
      <c r="N5416" s="98" t="str">
        <f>IF(record[[#This Row],[Memo]]="Browser:chrome os:android","平板報工",IF(record[[#This Row],[Memo]]=0,"委外",record[[#This Row],[Memo]]))</f>
        <v/>
      </c>
      <c r="O5416" t="s">
        <v>58</v>
      </c>
      <c r="P5416" t="s">
        <v>141</v>
      </c>
      <c r="Q5416" t="s">
        <v>58</v>
      </c>
      <c r="R5416" t="str">
        <f>IFERROR(VLOOKUP(record[[#This Row],[PCUSTID]],廠商[],2,FALSE),"")</f>
        <v/>
      </c>
      <c r="S5416" t="str">
        <f>VLOOKUP(record[[#This Row],[employeeID]],員工[],2,FALSE)</f>
        <v>蔣梅</v>
      </c>
    </row>
    <row r="5417" spans="6:19" hidden="1" x14ac:dyDescent="0.25">
      <c r="F5417" t="s">
        <v>1339</v>
      </c>
      <c r="G5417" t="s">
        <v>378</v>
      </c>
      <c r="H5417" t="str">
        <f>VLOOKUP(record[[#This Row],[ProcessSN]],表格2_7[],2,FALSE)</f>
        <v>30-4118-018-4XX</v>
      </c>
      <c r="I5417" t="str">
        <f>VLOOKUP(record[[#This Row],[ProcessSN]],表格2_7[],3,FALSE)</f>
        <v>#07QC</v>
      </c>
      <c r="J5417" t="s">
        <v>589</v>
      </c>
      <c r="K5417" s="195">
        <v>46021.45071759259</v>
      </c>
      <c r="L5417">
        <v>140</v>
      </c>
      <c r="M5417">
        <v>0</v>
      </c>
      <c r="N5417" s="98" t="str">
        <f>IF(record[[#This Row],[Memo]]="Browser:chrome os:android","平板報工",IF(record[[#This Row],[Memo]]=0,"委外",record[[#This Row],[Memo]]))</f>
        <v>平板報工</v>
      </c>
      <c r="O5417" t="s">
        <v>643</v>
      </c>
      <c r="P5417" t="s">
        <v>141</v>
      </c>
      <c r="Q5417" t="s">
        <v>644</v>
      </c>
      <c r="R5417" t="str">
        <f>IFERROR(VLOOKUP(record[[#This Row],[PCUSTID]],廠商[],2,FALSE),"")</f>
        <v/>
      </c>
      <c r="S5417" t="str">
        <f>VLOOKUP(record[[#This Row],[employeeID]],員工[],2,FALSE)</f>
        <v>蔣梅</v>
      </c>
    </row>
    <row r="5418" spans="6:19" hidden="1" x14ac:dyDescent="0.25">
      <c r="F5418" t="s">
        <v>1270</v>
      </c>
      <c r="G5418" t="s">
        <v>378</v>
      </c>
      <c r="H5418" t="str">
        <f>VLOOKUP(record[[#This Row],[ProcessSN]],表格2_7[],2,FALSE)</f>
        <v>30-4118-018-4XX</v>
      </c>
      <c r="I5418" t="str">
        <f>VLOOKUP(record[[#This Row],[ProcessSN]],表格2_7[],3,FALSE)</f>
        <v>#07QC</v>
      </c>
      <c r="J5418" t="s">
        <v>589</v>
      </c>
      <c r="K5418" s="195">
        <v>46021.450231481482</v>
      </c>
      <c r="L5418">
        <v>62</v>
      </c>
      <c r="M5418">
        <v>0</v>
      </c>
      <c r="N5418" s="98" t="str">
        <f>IF(record[[#This Row],[Memo]]="Browser:chrome os:android","平板報工",IF(record[[#This Row],[Memo]]=0,"委外",record[[#This Row],[Memo]]))</f>
        <v>平板報工</v>
      </c>
      <c r="O5418" t="s">
        <v>643</v>
      </c>
      <c r="P5418" t="s">
        <v>141</v>
      </c>
      <c r="Q5418" t="s">
        <v>644</v>
      </c>
      <c r="R5418" t="str">
        <f>IFERROR(VLOOKUP(record[[#This Row],[PCUSTID]],廠商[],2,FALSE),"")</f>
        <v/>
      </c>
      <c r="S5418" t="str">
        <f>VLOOKUP(record[[#This Row],[employeeID]],員工[],2,FALSE)</f>
        <v>蔣梅</v>
      </c>
    </row>
    <row r="5419" spans="6:19" hidden="1" x14ac:dyDescent="0.25">
      <c r="F5419" t="s">
        <v>1339</v>
      </c>
      <c r="G5419" t="s">
        <v>376</v>
      </c>
      <c r="H5419" t="str">
        <f>VLOOKUP(record[[#This Row],[ProcessSN]],表格2_7[],2,FALSE)</f>
        <v>30-4118-018-4XX</v>
      </c>
      <c r="I5419" t="str">
        <f>VLOOKUP(record[[#This Row],[ProcessSN]],表格2_7[],3,FALSE)</f>
        <v>#06</v>
      </c>
      <c r="J5419" t="s">
        <v>593</v>
      </c>
      <c r="K5419" s="195">
        <v>46021.316006944442</v>
      </c>
      <c r="L5419">
        <v>133</v>
      </c>
      <c r="M5419">
        <v>0</v>
      </c>
      <c r="N5419" s="98" t="str">
        <f>IF(record[[#This Row],[Memo]]="Browser:chrome os:android","平板報工",IF(record[[#This Row],[Memo]]=0,"委外",record[[#This Row],[Memo]]))</f>
        <v/>
      </c>
      <c r="O5419" t="s">
        <v>58</v>
      </c>
      <c r="P5419" t="s">
        <v>180</v>
      </c>
      <c r="Q5419" t="s">
        <v>58</v>
      </c>
      <c r="R5419" t="str">
        <f>IFERROR(VLOOKUP(record[[#This Row],[PCUSTID]],廠商[],2,FALSE),"")</f>
        <v/>
      </c>
      <c r="S5419" t="str">
        <f>VLOOKUP(record[[#This Row],[employeeID]],員工[],2,FALSE)</f>
        <v>黎功江</v>
      </c>
    </row>
    <row r="5420" spans="6:19" hidden="1" x14ac:dyDescent="0.25">
      <c r="F5420" t="s">
        <v>1339</v>
      </c>
      <c r="G5420" t="s">
        <v>377</v>
      </c>
      <c r="H5420" t="str">
        <f>VLOOKUP(record[[#This Row],[ProcessSN]],表格2_7[],2,FALSE)</f>
        <v>30-4118-018-4XX</v>
      </c>
      <c r="I5420" t="str">
        <f>VLOOKUP(record[[#This Row],[ProcessSN]],表格2_7[],3,FALSE)</f>
        <v>#07</v>
      </c>
      <c r="J5420" t="s">
        <v>588</v>
      </c>
      <c r="K5420" s="195">
        <v>46021.315763888888</v>
      </c>
      <c r="L5420">
        <v>226</v>
      </c>
      <c r="M5420">
        <v>0</v>
      </c>
      <c r="N5420" s="98" t="str">
        <f>IF(record[[#This Row],[Memo]]="Browser:chrome os:android","平板報工",IF(record[[#This Row],[Memo]]=0,"委外",record[[#This Row],[Memo]]))</f>
        <v/>
      </c>
      <c r="O5420" t="s">
        <v>58</v>
      </c>
      <c r="P5420" t="s">
        <v>843</v>
      </c>
      <c r="Q5420" t="s">
        <v>58</v>
      </c>
      <c r="R5420" t="str">
        <f>IFERROR(VLOOKUP(record[[#This Row],[PCUSTID]],廠商[],2,FALSE),"")</f>
        <v/>
      </c>
      <c r="S5420" t="str">
        <f>VLOOKUP(record[[#This Row],[employeeID]],員工[],2,FALSE)</f>
        <v>張楚承</v>
      </c>
    </row>
    <row r="5421" spans="6:19" hidden="1" x14ac:dyDescent="0.25">
      <c r="F5421" t="s">
        <v>1380</v>
      </c>
      <c r="G5421" t="s">
        <v>375</v>
      </c>
      <c r="H5421" t="str">
        <f>VLOOKUP(record[[#This Row],[ProcessSN]],表格2_7[],2,FALSE)</f>
        <v>30-4118-018-4XX</v>
      </c>
      <c r="I5421" t="str">
        <f>VLOOKUP(record[[#This Row],[ProcessSN]],表格2_7[],3,FALSE)</f>
        <v>#05</v>
      </c>
      <c r="J5421" t="s">
        <v>588</v>
      </c>
      <c r="K5421" s="195">
        <v>46021.315567129626</v>
      </c>
      <c r="L5421">
        <v>131</v>
      </c>
      <c r="M5421">
        <v>0</v>
      </c>
      <c r="N5421" s="98" t="str">
        <f>IF(record[[#This Row],[Memo]]="Browser:chrome os:android","平板報工",IF(record[[#This Row],[Memo]]=0,"委外",record[[#This Row],[Memo]]))</f>
        <v/>
      </c>
      <c r="O5421" t="s">
        <v>58</v>
      </c>
      <c r="P5421" t="s">
        <v>843</v>
      </c>
      <c r="Q5421" t="s">
        <v>58</v>
      </c>
      <c r="R5421" t="str">
        <f>IFERROR(VLOOKUP(record[[#This Row],[PCUSTID]],廠商[],2,FALSE),"")</f>
        <v/>
      </c>
      <c r="S5421" t="str">
        <f>VLOOKUP(record[[#This Row],[employeeID]],員工[],2,FALSE)</f>
        <v>張楚承</v>
      </c>
    </row>
    <row r="5422" spans="6:19" hidden="1" x14ac:dyDescent="0.25">
      <c r="F5422" t="s">
        <v>1380</v>
      </c>
      <c r="G5422" t="s">
        <v>374</v>
      </c>
      <c r="H5422" t="str">
        <f>VLOOKUP(record[[#This Row],[ProcessSN]],表格2_7[],2,FALSE)</f>
        <v>30-4118-018-4XX</v>
      </c>
      <c r="I5422" t="str">
        <f>VLOOKUP(record[[#This Row],[ProcessSN]],表格2_7[],3,FALSE)</f>
        <v>#04</v>
      </c>
      <c r="J5422" t="s">
        <v>588</v>
      </c>
      <c r="K5422" s="195">
        <v>46021.314756944441</v>
      </c>
      <c r="L5422">
        <v>141</v>
      </c>
      <c r="M5422">
        <v>0</v>
      </c>
      <c r="N5422" s="98" t="str">
        <f>IF(record[[#This Row],[Memo]]="Browser:chrome os:android","平板報工",IF(record[[#This Row],[Memo]]=0,"委外",record[[#This Row],[Memo]]))</f>
        <v/>
      </c>
      <c r="O5422" t="s">
        <v>58</v>
      </c>
      <c r="P5422" t="s">
        <v>135</v>
      </c>
      <c r="Q5422" t="s">
        <v>58</v>
      </c>
      <c r="R5422" t="str">
        <f>IFERROR(VLOOKUP(record[[#This Row],[PCUSTID]],廠商[],2,FALSE),"")</f>
        <v/>
      </c>
      <c r="S5422" t="str">
        <f>VLOOKUP(record[[#This Row],[employeeID]],員工[],2,FALSE)</f>
        <v>阮士文</v>
      </c>
    </row>
    <row r="5423" spans="6:19" hidden="1" x14ac:dyDescent="0.25">
      <c r="F5423" t="s">
        <v>1385</v>
      </c>
      <c r="G5423" t="s">
        <v>466</v>
      </c>
      <c r="H5423" t="str">
        <f>VLOOKUP(record[[#This Row],[ProcessSN]],表格2_7[],2,FALSE)</f>
        <v>30-4118-018-XXX</v>
      </c>
      <c r="I5423" t="str">
        <f>VLOOKUP(record[[#This Row],[ProcessSN]],表格2_7[],3,FALSE)</f>
        <v>#01-2</v>
      </c>
      <c r="J5423" t="s">
        <v>588</v>
      </c>
      <c r="K5423" s="195">
        <v>46020.98814814815</v>
      </c>
      <c r="L5423">
        <v>600</v>
      </c>
      <c r="M5423">
        <v>0</v>
      </c>
      <c r="N5423" s="98" t="str">
        <f>IF(record[[#This Row],[Memo]]="Browser:chrome os:android","平板報工",IF(record[[#This Row],[Memo]]=0,"委外",record[[#This Row],[Memo]]))</f>
        <v/>
      </c>
      <c r="O5423" t="s">
        <v>58</v>
      </c>
      <c r="P5423" t="s">
        <v>1098</v>
      </c>
      <c r="Q5423" t="s">
        <v>58</v>
      </c>
      <c r="R5423" t="str">
        <f>IFERROR(VLOOKUP(record[[#This Row],[PCUSTID]],廠商[],2,FALSE),"")</f>
        <v/>
      </c>
      <c r="S5423" t="str">
        <f>VLOOKUP(record[[#This Row],[employeeID]],員工[],2,FALSE)</f>
        <v>阮氏芳英(英)</v>
      </c>
    </row>
    <row r="5424" spans="6:19" hidden="1" x14ac:dyDescent="0.25">
      <c r="F5424" t="s">
        <v>1385</v>
      </c>
      <c r="G5424" t="s">
        <v>465</v>
      </c>
      <c r="H5424" t="str">
        <f>VLOOKUP(record[[#This Row],[ProcessSN]],表格2_7[],2,FALSE)</f>
        <v>30-4118-018-XXX</v>
      </c>
      <c r="I5424" t="str">
        <f>VLOOKUP(record[[#This Row],[ProcessSN]],表格2_7[],3,FALSE)</f>
        <v>#01-1</v>
      </c>
      <c r="J5424" t="s">
        <v>588</v>
      </c>
      <c r="K5424" s="195">
        <v>46020.987708333334</v>
      </c>
      <c r="L5424">
        <v>991</v>
      </c>
      <c r="M5424">
        <v>0</v>
      </c>
      <c r="N5424" s="98" t="str">
        <f>IF(record[[#This Row],[Memo]]="Browser:chrome os:android","平板報工",IF(record[[#This Row],[Memo]]=0,"委外",record[[#This Row],[Memo]]))</f>
        <v/>
      </c>
      <c r="O5424" t="s">
        <v>58</v>
      </c>
      <c r="P5424" t="s">
        <v>1098</v>
      </c>
      <c r="Q5424" t="s">
        <v>58</v>
      </c>
      <c r="R5424" t="str">
        <f>IFERROR(VLOOKUP(record[[#This Row],[PCUSTID]],廠商[],2,FALSE),"")</f>
        <v/>
      </c>
      <c r="S5424" t="str">
        <f>VLOOKUP(record[[#This Row],[employeeID]],員工[],2,FALSE)</f>
        <v>阮氏芳英(英)</v>
      </c>
    </row>
    <row r="5425" spans="6:19" hidden="1" x14ac:dyDescent="0.25">
      <c r="F5425" t="s">
        <v>1380</v>
      </c>
      <c r="G5425" t="s">
        <v>375</v>
      </c>
      <c r="H5425" t="str">
        <f>VLOOKUP(record[[#This Row],[ProcessSN]],表格2_7[],2,FALSE)</f>
        <v>30-4118-018-4XX</v>
      </c>
      <c r="I5425" t="str">
        <f>VLOOKUP(record[[#This Row],[ProcessSN]],表格2_7[],3,FALSE)</f>
        <v>#05</v>
      </c>
      <c r="J5425" t="s">
        <v>588</v>
      </c>
      <c r="K5425" s="195">
        <v>46020.986967592595</v>
      </c>
      <c r="L5425">
        <v>67</v>
      </c>
      <c r="M5425">
        <v>0</v>
      </c>
      <c r="N5425" s="98" t="str">
        <f>IF(record[[#This Row],[Memo]]="Browser:chrome os:android","平板報工",IF(record[[#This Row],[Memo]]=0,"委外",record[[#This Row],[Memo]]))</f>
        <v/>
      </c>
      <c r="O5425" t="s">
        <v>58</v>
      </c>
      <c r="P5425" t="s">
        <v>89</v>
      </c>
      <c r="Q5425" t="s">
        <v>58</v>
      </c>
      <c r="R5425" t="str">
        <f>IFERROR(VLOOKUP(record[[#This Row],[PCUSTID]],廠商[],2,FALSE),"")</f>
        <v/>
      </c>
      <c r="S5425" t="str">
        <f>VLOOKUP(record[[#This Row],[employeeID]],員工[],2,FALSE)</f>
        <v>李美蓮</v>
      </c>
    </row>
    <row r="5426" spans="6:19" hidden="1" x14ac:dyDescent="0.25">
      <c r="F5426" t="s">
        <v>1380</v>
      </c>
      <c r="G5426" t="s">
        <v>374</v>
      </c>
      <c r="H5426" t="str">
        <f>VLOOKUP(record[[#This Row],[ProcessSN]],表格2_7[],2,FALSE)</f>
        <v>30-4118-018-4XX</v>
      </c>
      <c r="I5426" t="str">
        <f>VLOOKUP(record[[#This Row],[ProcessSN]],表格2_7[],3,FALSE)</f>
        <v>#04</v>
      </c>
      <c r="J5426" t="s">
        <v>588</v>
      </c>
      <c r="K5426" s="195">
        <v>46020.986018518517</v>
      </c>
      <c r="L5426">
        <v>67</v>
      </c>
      <c r="M5426">
        <v>0</v>
      </c>
      <c r="N5426" s="98" t="str">
        <f>IF(record[[#This Row],[Memo]]="Browser:chrome os:android","平板報工",IF(record[[#This Row],[Memo]]=0,"委外",record[[#This Row],[Memo]]))</f>
        <v/>
      </c>
      <c r="O5426" t="s">
        <v>58</v>
      </c>
      <c r="P5426" t="s">
        <v>133</v>
      </c>
      <c r="Q5426" t="s">
        <v>58</v>
      </c>
      <c r="R5426" t="str">
        <f>IFERROR(VLOOKUP(record[[#This Row],[PCUSTID]],廠商[],2,FALSE),"")</f>
        <v/>
      </c>
      <c r="S5426" t="str">
        <f>VLOOKUP(record[[#This Row],[employeeID]],員工[],2,FALSE)</f>
        <v>黎長維</v>
      </c>
    </row>
    <row r="5427" spans="6:19" hidden="1" x14ac:dyDescent="0.25">
      <c r="F5427" t="s">
        <v>1339</v>
      </c>
      <c r="G5427" t="s">
        <v>377</v>
      </c>
      <c r="H5427" t="str">
        <f>VLOOKUP(record[[#This Row],[ProcessSN]],表格2_7[],2,FALSE)</f>
        <v>30-4118-018-4XX</v>
      </c>
      <c r="I5427" t="str">
        <f>VLOOKUP(record[[#This Row],[ProcessSN]],表格2_7[],3,FALSE)</f>
        <v>#07</v>
      </c>
      <c r="J5427" t="s">
        <v>588</v>
      </c>
      <c r="K5427" s="195">
        <v>46020.95103009259</v>
      </c>
      <c r="L5427">
        <v>185</v>
      </c>
      <c r="M5427">
        <v>0</v>
      </c>
      <c r="N5427" s="98" t="str">
        <f>IF(record[[#This Row],[Memo]]="Browser:chrome os:android","平板報工",IF(record[[#This Row],[Memo]]=0,"委外",record[[#This Row],[Memo]]))</f>
        <v/>
      </c>
      <c r="O5427" t="s">
        <v>58</v>
      </c>
      <c r="P5427" t="s">
        <v>89</v>
      </c>
      <c r="Q5427" t="s">
        <v>58</v>
      </c>
      <c r="R5427" t="str">
        <f>IFERROR(VLOOKUP(record[[#This Row],[PCUSTID]],廠商[],2,FALSE),"")</f>
        <v/>
      </c>
      <c r="S5427" t="str">
        <f>VLOOKUP(record[[#This Row],[employeeID]],員工[],2,FALSE)</f>
        <v>李美蓮</v>
      </c>
    </row>
    <row r="5428" spans="6:19" hidden="1" x14ac:dyDescent="0.25">
      <c r="F5428" t="s">
        <v>1339</v>
      </c>
      <c r="G5428" t="s">
        <v>376</v>
      </c>
      <c r="H5428" t="str">
        <f>VLOOKUP(record[[#This Row],[ProcessSN]],表格2_7[],2,FALSE)</f>
        <v>30-4118-018-4XX</v>
      </c>
      <c r="I5428" t="str">
        <f>VLOOKUP(record[[#This Row],[ProcessSN]],表格2_7[],3,FALSE)</f>
        <v>#06</v>
      </c>
      <c r="J5428" t="s">
        <v>593</v>
      </c>
      <c r="K5428" s="195">
        <v>46020.950671296298</v>
      </c>
      <c r="L5428">
        <v>133</v>
      </c>
      <c r="M5428">
        <v>0</v>
      </c>
      <c r="N5428" s="98" t="str">
        <f>IF(record[[#This Row],[Memo]]="Browser:chrome os:android","平板報工",IF(record[[#This Row],[Memo]]=0,"委外",record[[#This Row],[Memo]]))</f>
        <v/>
      </c>
      <c r="O5428" t="s">
        <v>58</v>
      </c>
      <c r="P5428" t="s">
        <v>176</v>
      </c>
      <c r="Q5428" t="s">
        <v>58</v>
      </c>
      <c r="R5428" t="str">
        <f>IFERROR(VLOOKUP(record[[#This Row],[PCUSTID]],廠商[],2,FALSE),"")</f>
        <v/>
      </c>
      <c r="S5428" t="str">
        <f>VLOOKUP(record[[#This Row],[employeeID]],員工[],2,FALSE)</f>
        <v>郭政雄</v>
      </c>
    </row>
    <row r="5429" spans="6:19" hidden="1" x14ac:dyDescent="0.25">
      <c r="F5429" t="s">
        <v>1366</v>
      </c>
      <c r="G5429" t="s">
        <v>399</v>
      </c>
      <c r="H5429" t="str">
        <f>VLOOKUP(record[[#This Row],[ProcessSN]],表格2_7[],2,FALSE)</f>
        <v>30-4118-018-550</v>
      </c>
      <c r="I5429" t="str">
        <f>VLOOKUP(record[[#This Row],[ProcessSN]],表格2_7[],3,FALSE)</f>
        <v>#08IQC</v>
      </c>
      <c r="J5429" t="s">
        <v>583</v>
      </c>
      <c r="K5429" s="195">
        <v>46020.74894675926</v>
      </c>
      <c r="L5429">
        <v>169</v>
      </c>
      <c r="M5429">
        <v>0</v>
      </c>
      <c r="N5429" s="98" t="str">
        <f>IF(record[[#This Row],[Memo]]="Browser:chrome os:android","平板報工",IF(record[[#This Row],[Memo]]=0,"委外",record[[#This Row],[Memo]]))</f>
        <v/>
      </c>
      <c r="O5429" t="s">
        <v>58</v>
      </c>
      <c r="P5429" t="s">
        <v>109</v>
      </c>
      <c r="Q5429" t="s">
        <v>58</v>
      </c>
      <c r="R5429" t="str">
        <f>IFERROR(VLOOKUP(record[[#This Row],[PCUSTID]],廠商[],2,FALSE),"")</f>
        <v/>
      </c>
      <c r="S5429" t="str">
        <f>VLOOKUP(record[[#This Row],[employeeID]],員工[],2,FALSE)</f>
        <v>裴氏璧鳳</v>
      </c>
    </row>
    <row r="5430" spans="6:19" hidden="1" x14ac:dyDescent="0.25">
      <c r="F5430" t="s">
        <v>1339</v>
      </c>
      <c r="G5430" t="s">
        <v>375</v>
      </c>
      <c r="H5430" t="str">
        <f>VLOOKUP(record[[#This Row],[ProcessSN]],表格2_7[],2,FALSE)</f>
        <v>30-4118-018-4XX</v>
      </c>
      <c r="I5430" t="str">
        <f>VLOOKUP(record[[#This Row],[ProcessSN]],表格2_7[],3,FALSE)</f>
        <v>#05</v>
      </c>
      <c r="J5430" t="s">
        <v>588</v>
      </c>
      <c r="K5430" s="195">
        <v>46020.737233796295</v>
      </c>
      <c r="L5430">
        <v>63</v>
      </c>
      <c r="M5430">
        <v>0</v>
      </c>
      <c r="N5430" s="98" t="str">
        <f>IF(record[[#This Row],[Memo]]="Browser:chrome os:android","平板報工",IF(record[[#This Row],[Memo]]=0,"委外",record[[#This Row],[Memo]]))</f>
        <v/>
      </c>
      <c r="O5430" t="s">
        <v>58</v>
      </c>
      <c r="P5430" t="s">
        <v>89</v>
      </c>
      <c r="Q5430" t="s">
        <v>58</v>
      </c>
      <c r="R5430" t="str">
        <f>IFERROR(VLOOKUP(record[[#This Row],[PCUSTID]],廠商[],2,FALSE),"")</f>
        <v/>
      </c>
      <c r="S5430" t="str">
        <f>VLOOKUP(record[[#This Row],[employeeID]],員工[],2,FALSE)</f>
        <v>李美蓮</v>
      </c>
    </row>
    <row r="5431" spans="6:19" hidden="1" x14ac:dyDescent="0.25">
      <c r="F5431" t="s">
        <v>1339</v>
      </c>
      <c r="G5431" t="s">
        <v>374</v>
      </c>
      <c r="H5431" t="str">
        <f>VLOOKUP(record[[#This Row],[ProcessSN]],表格2_7[],2,FALSE)</f>
        <v>30-4118-018-4XX</v>
      </c>
      <c r="I5431" t="str">
        <f>VLOOKUP(record[[#This Row],[ProcessSN]],表格2_7[],3,FALSE)</f>
        <v>#04</v>
      </c>
      <c r="J5431" t="s">
        <v>588</v>
      </c>
      <c r="K5431" s="195">
        <v>46020.736979166664</v>
      </c>
      <c r="L5431">
        <v>63</v>
      </c>
      <c r="M5431">
        <v>0</v>
      </c>
      <c r="N5431" s="98" t="str">
        <f>IF(record[[#This Row],[Memo]]="Browser:chrome os:android","平板報工",IF(record[[#This Row],[Memo]]=0,"委外",record[[#This Row],[Memo]]))</f>
        <v/>
      </c>
      <c r="O5431" t="s">
        <v>58</v>
      </c>
      <c r="P5431" t="s">
        <v>133</v>
      </c>
      <c r="Q5431" t="s">
        <v>58</v>
      </c>
      <c r="R5431" t="str">
        <f>IFERROR(VLOOKUP(record[[#This Row],[PCUSTID]],廠商[],2,FALSE),"")</f>
        <v/>
      </c>
      <c r="S5431" t="str">
        <f>VLOOKUP(record[[#This Row],[employeeID]],員工[],2,FALSE)</f>
        <v>黎長維</v>
      </c>
    </row>
    <row r="5432" spans="6:19" hidden="1" x14ac:dyDescent="0.25">
      <c r="F5432" t="s">
        <v>956</v>
      </c>
      <c r="G5432" t="s">
        <v>360</v>
      </c>
      <c r="H5432" t="str">
        <f>VLOOKUP(record[[#This Row],[ProcessSN]],表格2_7[],2,FALSE)</f>
        <v>30-4118-018-450</v>
      </c>
      <c r="I5432" t="str">
        <f>VLOOKUP(record[[#This Row],[ProcessSN]],表格2_7[],3,FALSE)</f>
        <v>#100OQC</v>
      </c>
      <c r="J5432" t="s">
        <v>599</v>
      </c>
      <c r="K5432" s="195">
        <v>46020.695752314816</v>
      </c>
      <c r="L5432">
        <v>0</v>
      </c>
      <c r="M5432">
        <v>83</v>
      </c>
      <c r="N5432" s="98" t="str">
        <f>IF(record[[#This Row],[Memo]]="Browser:chrome os:android","平板報工",IF(record[[#This Row],[Memo]]=0,"委外",record[[#This Row],[Memo]]))</f>
        <v>內徑面粗Ra0.318~0.368 Rz1.852~2.215</v>
      </c>
      <c r="O5432" t="s">
        <v>1397</v>
      </c>
      <c r="P5432" t="s">
        <v>141</v>
      </c>
      <c r="Q5432" t="s">
        <v>58</v>
      </c>
      <c r="R5432" t="str">
        <f>IFERROR(VLOOKUP(record[[#This Row],[PCUSTID]],廠商[],2,FALSE),"")</f>
        <v/>
      </c>
      <c r="S5432" t="str">
        <f>VLOOKUP(record[[#This Row],[employeeID]],員工[],2,FALSE)</f>
        <v>蔣梅</v>
      </c>
    </row>
    <row r="5433" spans="6:19" hidden="1" x14ac:dyDescent="0.25">
      <c r="F5433" t="s">
        <v>956</v>
      </c>
      <c r="G5433" t="s">
        <v>360</v>
      </c>
      <c r="H5433" t="str">
        <f>VLOOKUP(record[[#This Row],[ProcessSN]],表格2_7[],2,FALSE)</f>
        <v>30-4118-018-450</v>
      </c>
      <c r="I5433" t="str">
        <f>VLOOKUP(record[[#This Row],[ProcessSN]],表格2_7[],3,FALSE)</f>
        <v>#100OQC</v>
      </c>
      <c r="J5433" t="s">
        <v>599</v>
      </c>
      <c r="K5433" s="195">
        <v>46020.694675925923</v>
      </c>
      <c r="L5433">
        <v>68</v>
      </c>
      <c r="M5433">
        <v>0</v>
      </c>
      <c r="N5433" s="98" t="str">
        <f>IF(record[[#This Row],[Memo]]="Browser:chrome os:android","平板報工",IF(record[[#This Row],[Memo]]=0,"委外",record[[#This Row],[Memo]]))</f>
        <v>覆回面粗混出</v>
      </c>
      <c r="O5433" t="s">
        <v>1396</v>
      </c>
      <c r="P5433" t="s">
        <v>141</v>
      </c>
      <c r="Q5433" t="s">
        <v>58</v>
      </c>
      <c r="R5433" t="str">
        <f>IFERROR(VLOOKUP(record[[#This Row],[PCUSTID]],廠商[],2,FALSE),"")</f>
        <v/>
      </c>
      <c r="S5433" t="str">
        <f>VLOOKUP(record[[#This Row],[employeeID]],員工[],2,FALSE)</f>
        <v>蔣梅</v>
      </c>
    </row>
    <row r="5434" spans="6:19" hidden="1" x14ac:dyDescent="0.25">
      <c r="F5434" t="s">
        <v>1339</v>
      </c>
      <c r="G5434" t="s">
        <v>376</v>
      </c>
      <c r="H5434" t="str">
        <f>VLOOKUP(record[[#This Row],[ProcessSN]],表格2_7[],2,FALSE)</f>
        <v>30-4118-018-4XX</v>
      </c>
      <c r="I5434" t="str">
        <f>VLOOKUP(record[[#This Row],[ProcessSN]],表格2_7[],3,FALSE)</f>
        <v>#06</v>
      </c>
      <c r="J5434" t="s">
        <v>593</v>
      </c>
      <c r="K5434" s="195">
        <v>46020.640486111108</v>
      </c>
      <c r="L5434">
        <v>115</v>
      </c>
      <c r="M5434">
        <v>0</v>
      </c>
      <c r="N5434" s="98" t="str">
        <f>IF(record[[#This Row],[Memo]]="Browser:chrome os:android","平板報工",IF(record[[#This Row],[Memo]]=0,"委外",record[[#This Row],[Memo]]))</f>
        <v/>
      </c>
      <c r="O5434" t="s">
        <v>58</v>
      </c>
      <c r="P5434" t="s">
        <v>166</v>
      </c>
      <c r="Q5434" t="s">
        <v>58</v>
      </c>
      <c r="R5434" t="str">
        <f>IFERROR(VLOOKUP(record[[#This Row],[PCUSTID]],廠商[],2,FALSE),"")</f>
        <v/>
      </c>
      <c r="S5434" t="str">
        <f>VLOOKUP(record[[#This Row],[employeeID]],員工[],2,FALSE)</f>
        <v>阮懷香</v>
      </c>
    </row>
    <row r="5435" spans="6:19" hidden="1" x14ac:dyDescent="0.25">
      <c r="F5435" t="s">
        <v>1339</v>
      </c>
      <c r="G5435" t="s">
        <v>375</v>
      </c>
      <c r="H5435" t="str">
        <f>VLOOKUP(record[[#This Row],[ProcessSN]],表格2_7[],2,FALSE)</f>
        <v>30-4118-018-4XX</v>
      </c>
      <c r="I5435" t="str">
        <f>VLOOKUP(record[[#This Row],[ProcessSN]],表格2_7[],3,FALSE)</f>
        <v>#05</v>
      </c>
      <c r="J5435" t="s">
        <v>588</v>
      </c>
      <c r="K5435" s="195">
        <v>46020.63989583333</v>
      </c>
      <c r="L5435">
        <v>138</v>
      </c>
      <c r="M5435">
        <v>0</v>
      </c>
      <c r="N5435" s="98" t="str">
        <f>IF(record[[#This Row],[Memo]]="Browser:chrome os:android","平板報工",IF(record[[#This Row],[Memo]]=0,"委外",record[[#This Row],[Memo]]))</f>
        <v/>
      </c>
      <c r="O5435" t="s">
        <v>58</v>
      </c>
      <c r="P5435" t="s">
        <v>107</v>
      </c>
      <c r="Q5435" t="s">
        <v>58</v>
      </c>
      <c r="R5435" t="str">
        <f>IFERROR(VLOOKUP(record[[#This Row],[PCUSTID]],廠商[],2,FALSE),"")</f>
        <v/>
      </c>
      <c r="S5435" t="str">
        <f>VLOOKUP(record[[#This Row],[employeeID]],員工[],2,FALSE)</f>
        <v>黎氏順</v>
      </c>
    </row>
    <row r="5436" spans="6:19" hidden="1" x14ac:dyDescent="0.25">
      <c r="F5436" t="s">
        <v>1339</v>
      </c>
      <c r="G5436" t="s">
        <v>377</v>
      </c>
      <c r="H5436" t="str">
        <f>VLOOKUP(record[[#This Row],[ProcessSN]],表格2_7[],2,FALSE)</f>
        <v>30-4118-018-4XX</v>
      </c>
      <c r="I5436" t="str">
        <f>VLOOKUP(record[[#This Row],[ProcessSN]],表格2_7[],3,FALSE)</f>
        <v>#07</v>
      </c>
      <c r="J5436" t="s">
        <v>588</v>
      </c>
      <c r="K5436" s="195">
        <v>46020.639618055553</v>
      </c>
      <c r="L5436">
        <v>66</v>
      </c>
      <c r="M5436">
        <v>0</v>
      </c>
      <c r="N5436" s="98" t="str">
        <f>IF(record[[#This Row],[Memo]]="Browser:chrome os:android","平板報工",IF(record[[#This Row],[Memo]]=0,"委外",record[[#This Row],[Memo]]))</f>
        <v/>
      </c>
      <c r="O5436" t="s">
        <v>58</v>
      </c>
      <c r="P5436" t="s">
        <v>789</v>
      </c>
      <c r="Q5436" t="s">
        <v>58</v>
      </c>
      <c r="R5436" t="str">
        <f>IFERROR(VLOOKUP(record[[#This Row],[PCUSTID]],廠商[],2,FALSE),"")</f>
        <v/>
      </c>
      <c r="S5436" t="str">
        <f>VLOOKUP(record[[#This Row],[employeeID]],員工[],2,FALSE)</f>
        <v>張月霞</v>
      </c>
    </row>
    <row r="5437" spans="6:19" hidden="1" x14ac:dyDescent="0.25">
      <c r="F5437" t="s">
        <v>1270</v>
      </c>
      <c r="G5437" t="s">
        <v>377</v>
      </c>
      <c r="H5437" t="str">
        <f>VLOOKUP(record[[#This Row],[ProcessSN]],表格2_7[],2,FALSE)</f>
        <v>30-4118-018-4XX</v>
      </c>
      <c r="I5437" t="str">
        <f>VLOOKUP(record[[#This Row],[ProcessSN]],表格2_7[],3,FALSE)</f>
        <v>#07</v>
      </c>
      <c r="J5437" t="s">
        <v>588</v>
      </c>
      <c r="K5437" s="195">
        <v>46020.639398148145</v>
      </c>
      <c r="L5437">
        <v>77</v>
      </c>
      <c r="M5437">
        <v>0</v>
      </c>
      <c r="N5437" s="98" t="str">
        <f>IF(record[[#This Row],[Memo]]="Browser:chrome os:android","平板報工",IF(record[[#This Row],[Memo]]=0,"委外",record[[#This Row],[Memo]]))</f>
        <v/>
      </c>
      <c r="O5437" t="s">
        <v>58</v>
      </c>
      <c r="P5437" t="s">
        <v>789</v>
      </c>
      <c r="Q5437" t="s">
        <v>58</v>
      </c>
      <c r="R5437" t="str">
        <f>IFERROR(VLOOKUP(record[[#This Row],[PCUSTID]],廠商[],2,FALSE),"")</f>
        <v/>
      </c>
      <c r="S5437" t="str">
        <f>VLOOKUP(record[[#This Row],[employeeID]],員工[],2,FALSE)</f>
        <v>張月霞</v>
      </c>
    </row>
    <row r="5438" spans="6:19" hidden="1" x14ac:dyDescent="0.25">
      <c r="F5438" t="s">
        <v>1339</v>
      </c>
      <c r="G5438" t="s">
        <v>374</v>
      </c>
      <c r="H5438" t="str">
        <f>VLOOKUP(record[[#This Row],[ProcessSN]],表格2_7[],2,FALSE)</f>
        <v>30-4118-018-4XX</v>
      </c>
      <c r="I5438" t="str">
        <f>VLOOKUP(record[[#This Row],[ProcessSN]],表格2_7[],3,FALSE)</f>
        <v>#04</v>
      </c>
      <c r="J5438" t="s">
        <v>588</v>
      </c>
      <c r="K5438" s="195">
        <v>46020.638738425929</v>
      </c>
      <c r="L5438">
        <v>138</v>
      </c>
      <c r="M5438">
        <v>0</v>
      </c>
      <c r="N5438" s="98" t="str">
        <f>IF(record[[#This Row],[Memo]]="Browser:chrome os:android","平板報工",IF(record[[#This Row],[Memo]]=0,"委外",record[[#This Row],[Memo]]))</f>
        <v/>
      </c>
      <c r="O5438" t="s">
        <v>58</v>
      </c>
      <c r="P5438" t="s">
        <v>789</v>
      </c>
      <c r="Q5438" t="s">
        <v>58</v>
      </c>
      <c r="R5438" t="str">
        <f>IFERROR(VLOOKUP(record[[#This Row],[PCUSTID]],廠商[],2,FALSE),"")</f>
        <v/>
      </c>
      <c r="S5438" t="str">
        <f>VLOOKUP(record[[#This Row],[employeeID]],員工[],2,FALSE)</f>
        <v>張月霞</v>
      </c>
    </row>
    <row r="5439" spans="6:19" hidden="1" x14ac:dyDescent="0.25">
      <c r="F5439" t="s">
        <v>1366</v>
      </c>
      <c r="G5439" t="s">
        <v>398</v>
      </c>
      <c r="H5439" t="str">
        <f>VLOOKUP(record[[#This Row],[ProcessSN]],表格2_7[],2,FALSE)</f>
        <v>30-4118-018-550</v>
      </c>
      <c r="I5439" t="str">
        <f>VLOOKUP(record[[#This Row],[ProcessSN]],表格2_7[],3,FALSE)</f>
        <v>#08RCV</v>
      </c>
      <c r="J5439" t="s">
        <v>591</v>
      </c>
      <c r="K5439" s="195">
        <v>46020.605486111112</v>
      </c>
      <c r="L5439">
        <v>0</v>
      </c>
      <c r="M5439">
        <v>4</v>
      </c>
      <c r="N5439" s="98" t="str">
        <f>IF(record[[#This Row],[Memo]]="Browser:chrome os:android","平板報工",IF(record[[#This Row],[Memo]]=0,"委外",record[[#This Row],[Memo]]))</f>
        <v/>
      </c>
      <c r="O5439" t="s">
        <v>58</v>
      </c>
      <c r="P5439" t="s">
        <v>186</v>
      </c>
      <c r="Q5439" t="s">
        <v>58</v>
      </c>
      <c r="R5439" t="str">
        <f>IFERROR(VLOOKUP(record[[#This Row],[PCUSTID]],廠商[],2,FALSE),"")</f>
        <v/>
      </c>
      <c r="S5439" t="str">
        <f>VLOOKUP(record[[#This Row],[employeeID]],員工[],2,FALSE)</f>
        <v>許文姍</v>
      </c>
    </row>
    <row r="5440" spans="6:19" hidden="1" x14ac:dyDescent="0.25">
      <c r="F5440" t="s">
        <v>1366</v>
      </c>
      <c r="G5440" t="s">
        <v>398</v>
      </c>
      <c r="H5440" t="str">
        <f>VLOOKUP(record[[#This Row],[ProcessSN]],表格2_7[],2,FALSE)</f>
        <v>30-4118-018-550</v>
      </c>
      <c r="I5440" t="str">
        <f>VLOOKUP(record[[#This Row],[ProcessSN]],表格2_7[],3,FALSE)</f>
        <v>#08RCV</v>
      </c>
      <c r="J5440" t="s">
        <v>591</v>
      </c>
      <c r="K5440" s="195">
        <v>46020.60533564815</v>
      </c>
      <c r="L5440">
        <v>169</v>
      </c>
      <c r="M5440">
        <v>0</v>
      </c>
      <c r="N5440" s="98" t="str">
        <f>IF(record[[#This Row],[Memo]]="Browser:chrome os:android","平板報工",IF(record[[#This Row],[Memo]]=0,"委外",record[[#This Row],[Memo]]))</f>
        <v/>
      </c>
      <c r="O5440" t="s">
        <v>58</v>
      </c>
      <c r="P5440" t="s">
        <v>186</v>
      </c>
      <c r="Q5440" t="s">
        <v>58</v>
      </c>
      <c r="R5440" t="str">
        <f>IFERROR(VLOOKUP(record[[#This Row],[PCUSTID]],廠商[],2,FALSE),"")</f>
        <v/>
      </c>
      <c r="S5440" t="str">
        <f>VLOOKUP(record[[#This Row],[employeeID]],員工[],2,FALSE)</f>
        <v>許文姍</v>
      </c>
    </row>
    <row r="5441" spans="6:19" hidden="1" x14ac:dyDescent="0.25">
      <c r="F5441" t="s">
        <v>1391</v>
      </c>
      <c r="G5441" t="s">
        <v>422</v>
      </c>
      <c r="H5441" t="str">
        <f>VLOOKUP(record[[#This Row],[ProcessSN]],表格2_7[],2,FALSE)</f>
        <v>30-4118-018-600</v>
      </c>
      <c r="I5441" t="str">
        <f>VLOOKUP(record[[#This Row],[ProcessSN]],表格2_7[],3,FALSE)</f>
        <v>#08</v>
      </c>
      <c r="J5441" t="s">
        <v>597</v>
      </c>
      <c r="K5441" s="195">
        <v>46020.559039351851</v>
      </c>
      <c r="L5441">
        <v>431</v>
      </c>
      <c r="M5441">
        <v>0</v>
      </c>
      <c r="N5441" s="98" t="str">
        <f>IF(record[[#This Row],[Memo]]="Browser:chrome os:android","平板報工",IF(record[[#This Row],[Memo]]=0,"委外",record[[#This Row],[Memo]]))</f>
        <v>委外</v>
      </c>
      <c r="P5441" t="s">
        <v>186</v>
      </c>
      <c r="Q5441" t="s">
        <v>287</v>
      </c>
      <c r="R5441" t="str">
        <f>IFERROR(VLOOKUP(record[[#This Row],[PCUSTID]],廠商[],2,FALSE),"")</f>
        <v>泉盛</v>
      </c>
      <c r="S5441" t="str">
        <f>VLOOKUP(record[[#This Row],[employeeID]],員工[],2,FALSE)</f>
        <v>許文姍</v>
      </c>
    </row>
    <row r="5442" spans="6:19" hidden="1" x14ac:dyDescent="0.25">
      <c r="F5442" t="s">
        <v>1388</v>
      </c>
      <c r="G5442" t="s">
        <v>422</v>
      </c>
      <c r="H5442" t="str">
        <f>VLOOKUP(record[[#This Row],[ProcessSN]],表格2_7[],2,FALSE)</f>
        <v>30-4118-018-600</v>
      </c>
      <c r="I5442" t="str">
        <f>VLOOKUP(record[[#This Row],[ProcessSN]],表格2_7[],3,FALSE)</f>
        <v>#08</v>
      </c>
      <c r="J5442" t="s">
        <v>597</v>
      </c>
      <c r="K5442" s="195">
        <v>46020.558877314812</v>
      </c>
      <c r="L5442">
        <v>178</v>
      </c>
      <c r="M5442">
        <v>0</v>
      </c>
      <c r="N5442" s="98" t="str">
        <f>IF(record[[#This Row],[Memo]]="Browser:chrome os:android","平板報工",IF(record[[#This Row],[Memo]]=0,"委外",record[[#This Row],[Memo]]))</f>
        <v>委外</v>
      </c>
      <c r="P5442" t="s">
        <v>186</v>
      </c>
      <c r="Q5442" t="s">
        <v>287</v>
      </c>
      <c r="R5442" t="str">
        <f>IFERROR(VLOOKUP(record[[#This Row],[PCUSTID]],廠商[],2,FALSE),"")</f>
        <v>泉盛</v>
      </c>
      <c r="S5442" t="str">
        <f>VLOOKUP(record[[#This Row],[employeeID]],員工[],2,FALSE)</f>
        <v>許文姍</v>
      </c>
    </row>
    <row r="5443" spans="6:19" hidden="1" x14ac:dyDescent="0.25">
      <c r="F5443" t="s">
        <v>1391</v>
      </c>
      <c r="G5443" t="s">
        <v>421</v>
      </c>
      <c r="H5443" t="str">
        <f>VLOOKUP(record[[#This Row],[ProcessSN]],表格2_7[],2,FALSE)</f>
        <v>30-4118-018-600</v>
      </c>
      <c r="I5443" t="str">
        <f>VLOOKUP(record[[#This Row],[ProcessSN]],表格2_7[],3,FALSE)</f>
        <v>#08PICK</v>
      </c>
      <c r="J5443" t="s">
        <v>582</v>
      </c>
      <c r="K5443" s="195">
        <v>46020.557881944442</v>
      </c>
      <c r="L5443">
        <v>431</v>
      </c>
      <c r="M5443">
        <v>0</v>
      </c>
      <c r="N5443" s="98" t="str">
        <f>IF(record[[#This Row],[Memo]]="Browser:chrome os:android","平板報工",IF(record[[#This Row],[Memo]]=0,"委外",record[[#This Row],[Memo]]))</f>
        <v/>
      </c>
      <c r="O5443" t="s">
        <v>58</v>
      </c>
      <c r="P5443" t="s">
        <v>186</v>
      </c>
      <c r="Q5443" t="s">
        <v>58</v>
      </c>
      <c r="R5443" t="str">
        <f>IFERROR(VLOOKUP(record[[#This Row],[PCUSTID]],廠商[],2,FALSE),"")</f>
        <v/>
      </c>
      <c r="S5443" t="str">
        <f>VLOOKUP(record[[#This Row],[employeeID]],員工[],2,FALSE)</f>
        <v>許文姍</v>
      </c>
    </row>
    <row r="5444" spans="6:19" hidden="1" x14ac:dyDescent="0.25">
      <c r="F5444" t="s">
        <v>1333</v>
      </c>
      <c r="G5444" t="s">
        <v>453</v>
      </c>
      <c r="H5444" t="str">
        <f>VLOOKUP(record[[#This Row],[ProcessSN]],表格2_7[],2,FALSE)</f>
        <v>30-4118-018-6XX</v>
      </c>
      <c r="I5444" t="str">
        <f>VLOOKUP(record[[#This Row],[ProcessSN]],表格2_7[],3,FALSE)</f>
        <v>#07STOCK</v>
      </c>
      <c r="J5444" t="s">
        <v>592</v>
      </c>
      <c r="K5444" s="195">
        <v>46020.556608796294</v>
      </c>
      <c r="L5444">
        <v>377</v>
      </c>
      <c r="M5444">
        <v>0</v>
      </c>
      <c r="N5444" s="98" t="str">
        <f>IF(record[[#This Row],[Memo]]="Browser:chrome os:android","平板報工",IF(record[[#This Row],[Memo]]=0,"委外",record[[#This Row],[Memo]]))</f>
        <v/>
      </c>
      <c r="O5444" t="s">
        <v>58</v>
      </c>
      <c r="P5444" t="s">
        <v>186</v>
      </c>
      <c r="Q5444" t="s">
        <v>58</v>
      </c>
      <c r="R5444" t="str">
        <f>IFERROR(VLOOKUP(record[[#This Row],[PCUSTID]],廠商[],2,FALSE),"")</f>
        <v/>
      </c>
      <c r="S5444" t="str">
        <f>VLOOKUP(record[[#This Row],[employeeID]],員工[],2,FALSE)</f>
        <v>許文姍</v>
      </c>
    </row>
    <row r="5445" spans="6:19" hidden="1" x14ac:dyDescent="0.25">
      <c r="F5445" t="s">
        <v>1324</v>
      </c>
      <c r="G5445" t="s">
        <v>453</v>
      </c>
      <c r="H5445" t="str">
        <f>VLOOKUP(record[[#This Row],[ProcessSN]],表格2_7[],2,FALSE)</f>
        <v>30-4118-018-6XX</v>
      </c>
      <c r="I5445" t="str">
        <f>VLOOKUP(record[[#This Row],[ProcessSN]],表格2_7[],3,FALSE)</f>
        <v>#07STOCK</v>
      </c>
      <c r="J5445" t="s">
        <v>592</v>
      </c>
      <c r="K5445" s="195">
        <v>46020.556296296294</v>
      </c>
      <c r="L5445">
        <v>4</v>
      </c>
      <c r="M5445">
        <v>0</v>
      </c>
      <c r="N5445" s="98" t="str">
        <f>IF(record[[#This Row],[Memo]]="Browser:chrome os:android","平板報工",IF(record[[#This Row],[Memo]]=0,"委外",record[[#This Row],[Memo]]))</f>
        <v/>
      </c>
      <c r="O5445" t="s">
        <v>58</v>
      </c>
      <c r="P5445" t="s">
        <v>186</v>
      </c>
      <c r="Q5445" t="s">
        <v>58</v>
      </c>
      <c r="R5445" t="str">
        <f>IFERROR(VLOOKUP(record[[#This Row],[PCUSTID]],廠商[],2,FALSE),"")</f>
        <v/>
      </c>
      <c r="S5445" t="str">
        <f>VLOOKUP(record[[#This Row],[employeeID]],員工[],2,FALSE)</f>
        <v>許文姍</v>
      </c>
    </row>
    <row r="5446" spans="6:19" hidden="1" x14ac:dyDescent="0.25">
      <c r="F5446" t="s">
        <v>1327</v>
      </c>
      <c r="G5446" t="s">
        <v>453</v>
      </c>
      <c r="H5446" t="str">
        <f>VLOOKUP(record[[#This Row],[ProcessSN]],表格2_7[],2,FALSE)</f>
        <v>30-4118-018-6XX</v>
      </c>
      <c r="I5446" t="str">
        <f>VLOOKUP(record[[#This Row],[ProcessSN]],表格2_7[],3,FALSE)</f>
        <v>#07STOCK</v>
      </c>
      <c r="J5446" t="s">
        <v>592</v>
      </c>
      <c r="K5446" s="195">
        <v>46020.55609953704</v>
      </c>
      <c r="L5446">
        <v>50</v>
      </c>
      <c r="M5446">
        <v>0</v>
      </c>
      <c r="N5446" s="98" t="str">
        <f>IF(record[[#This Row],[Memo]]="Browser:chrome os:android","平板報工",IF(record[[#This Row],[Memo]]=0,"委外",record[[#This Row],[Memo]]))</f>
        <v/>
      </c>
      <c r="O5446" t="s">
        <v>58</v>
      </c>
      <c r="P5446" t="s">
        <v>186</v>
      </c>
      <c r="Q5446" t="s">
        <v>58</v>
      </c>
      <c r="R5446" t="str">
        <f>IFERROR(VLOOKUP(record[[#This Row],[PCUSTID]],廠商[],2,FALSE),"")</f>
        <v/>
      </c>
      <c r="S5446" t="str">
        <f>VLOOKUP(record[[#This Row],[employeeID]],員工[],2,FALSE)</f>
        <v>許文姍</v>
      </c>
    </row>
    <row r="5447" spans="6:19" hidden="1" x14ac:dyDescent="0.25">
      <c r="F5447" t="s">
        <v>1327</v>
      </c>
      <c r="G5447" t="s">
        <v>452</v>
      </c>
      <c r="H5447" t="str">
        <f>VLOOKUP(record[[#This Row],[ProcessSN]],表格2_7[],2,FALSE)</f>
        <v>30-4118-018-6XX</v>
      </c>
      <c r="I5447" t="str">
        <f>VLOOKUP(record[[#This Row],[ProcessSN]],表格2_7[],3,FALSE)</f>
        <v>#07QC</v>
      </c>
      <c r="J5447" t="s">
        <v>589</v>
      </c>
      <c r="K5447" s="195">
        <v>46020.547523148147</v>
      </c>
      <c r="L5447">
        <v>50</v>
      </c>
      <c r="M5447">
        <v>0</v>
      </c>
      <c r="N5447" s="98" t="str">
        <f>IF(record[[#This Row],[Memo]]="Browser:chrome os:android","平板報工",IF(record[[#This Row],[Memo]]=0,"委外",record[[#This Row],[Memo]]))</f>
        <v>覆回</v>
      </c>
      <c r="O5447" t="s">
        <v>682</v>
      </c>
      <c r="P5447" t="s">
        <v>141</v>
      </c>
      <c r="Q5447" t="s">
        <v>58</v>
      </c>
      <c r="R5447" t="str">
        <f>IFERROR(VLOOKUP(record[[#This Row],[PCUSTID]],廠商[],2,FALSE),"")</f>
        <v/>
      </c>
      <c r="S5447" t="str">
        <f>VLOOKUP(record[[#This Row],[employeeID]],員工[],2,FALSE)</f>
        <v>蔣梅</v>
      </c>
    </row>
    <row r="5448" spans="6:19" hidden="1" x14ac:dyDescent="0.25">
      <c r="F5448" t="s">
        <v>1324</v>
      </c>
      <c r="G5448" t="s">
        <v>452</v>
      </c>
      <c r="H5448" t="str">
        <f>VLOOKUP(record[[#This Row],[ProcessSN]],表格2_7[],2,FALSE)</f>
        <v>30-4118-018-6XX</v>
      </c>
      <c r="I5448" t="str">
        <f>VLOOKUP(record[[#This Row],[ProcessSN]],表格2_7[],3,FALSE)</f>
        <v>#07QC</v>
      </c>
      <c r="J5448" t="s">
        <v>589</v>
      </c>
      <c r="K5448" s="195">
        <v>46020.546851851854</v>
      </c>
      <c r="L5448">
        <v>0</v>
      </c>
      <c r="M5448">
        <v>29</v>
      </c>
      <c r="N5448" s="98" t="str">
        <f>IF(record[[#This Row],[Memo]]="Browser:chrome os:android","平板報工",IF(record[[#This Row],[Memo]]=0,"委外",record[[#This Row],[Memo]]))</f>
        <v/>
      </c>
      <c r="O5448" t="s">
        <v>58</v>
      </c>
      <c r="P5448" t="s">
        <v>141</v>
      </c>
      <c r="Q5448" t="s">
        <v>58</v>
      </c>
      <c r="R5448" t="str">
        <f>IFERROR(VLOOKUP(record[[#This Row],[PCUSTID]],廠商[],2,FALSE),"")</f>
        <v/>
      </c>
      <c r="S5448" t="str">
        <f>VLOOKUP(record[[#This Row],[employeeID]],員工[],2,FALSE)</f>
        <v>蔣梅</v>
      </c>
    </row>
    <row r="5449" spans="6:19" hidden="1" x14ac:dyDescent="0.25">
      <c r="F5449" t="s">
        <v>1324</v>
      </c>
      <c r="G5449" t="s">
        <v>452</v>
      </c>
      <c r="H5449" t="str">
        <f>VLOOKUP(record[[#This Row],[ProcessSN]],表格2_7[],2,FALSE)</f>
        <v>30-4118-018-6XX</v>
      </c>
      <c r="I5449" t="str">
        <f>VLOOKUP(record[[#This Row],[ProcessSN]],表格2_7[],3,FALSE)</f>
        <v>#07QC</v>
      </c>
      <c r="J5449" t="s">
        <v>589</v>
      </c>
      <c r="K5449" s="195">
        <v>46020.546689814815</v>
      </c>
      <c r="L5449">
        <v>4</v>
      </c>
      <c r="M5449">
        <v>0</v>
      </c>
      <c r="N5449" s="98" t="str">
        <f>IF(record[[#This Row],[Memo]]="Browser:chrome os:android","平板報工",IF(record[[#This Row],[Memo]]=0,"委外",record[[#This Row],[Memo]]))</f>
        <v>覆回</v>
      </c>
      <c r="O5449" t="s">
        <v>682</v>
      </c>
      <c r="P5449" t="s">
        <v>141</v>
      </c>
      <c r="Q5449" t="s">
        <v>58</v>
      </c>
      <c r="R5449" t="str">
        <f>IFERROR(VLOOKUP(record[[#This Row],[PCUSTID]],廠商[],2,FALSE),"")</f>
        <v/>
      </c>
      <c r="S5449" t="str">
        <f>VLOOKUP(record[[#This Row],[employeeID]],員工[],2,FALSE)</f>
        <v>蔣梅</v>
      </c>
    </row>
    <row r="5450" spans="6:19" hidden="1" x14ac:dyDescent="0.25">
      <c r="F5450" t="s">
        <v>1333</v>
      </c>
      <c r="G5450" t="s">
        <v>452</v>
      </c>
      <c r="H5450" t="str">
        <f>VLOOKUP(record[[#This Row],[ProcessSN]],表格2_7[],2,FALSE)</f>
        <v>30-4118-018-6XX</v>
      </c>
      <c r="I5450" t="str">
        <f>VLOOKUP(record[[#This Row],[ProcessSN]],表格2_7[],3,FALSE)</f>
        <v>#07QC</v>
      </c>
      <c r="J5450" t="s">
        <v>589</v>
      </c>
      <c r="K5450" s="195">
        <v>46020.545381944445</v>
      </c>
      <c r="L5450">
        <v>377</v>
      </c>
      <c r="M5450">
        <v>0</v>
      </c>
      <c r="N5450" s="98" t="str">
        <f>IF(record[[#This Row],[Memo]]="Browser:chrome os:android","平板報工",IF(record[[#This Row],[Memo]]=0,"委外",record[[#This Row],[Memo]]))</f>
        <v/>
      </c>
      <c r="O5450" t="s">
        <v>58</v>
      </c>
      <c r="P5450" t="s">
        <v>141</v>
      </c>
      <c r="Q5450" t="s">
        <v>58</v>
      </c>
      <c r="R5450" t="str">
        <f>IFERROR(VLOOKUP(record[[#This Row],[PCUSTID]],廠商[],2,FALSE),"")</f>
        <v/>
      </c>
      <c r="S5450" t="str">
        <f>VLOOKUP(record[[#This Row],[employeeID]],員工[],2,FALSE)</f>
        <v>蔣梅</v>
      </c>
    </row>
    <row r="5451" spans="6:19" hidden="1" x14ac:dyDescent="0.25">
      <c r="F5451" t="s">
        <v>1388</v>
      </c>
      <c r="G5451" t="s">
        <v>421</v>
      </c>
      <c r="H5451" t="str">
        <f>VLOOKUP(record[[#This Row],[ProcessSN]],表格2_7[],2,FALSE)</f>
        <v>30-4118-018-600</v>
      </c>
      <c r="I5451" t="str">
        <f>VLOOKUP(record[[#This Row],[ProcessSN]],表格2_7[],3,FALSE)</f>
        <v>#08PICK</v>
      </c>
      <c r="J5451" t="s">
        <v>582</v>
      </c>
      <c r="K5451" s="195">
        <v>46020.446284722224</v>
      </c>
      <c r="L5451">
        <v>178</v>
      </c>
      <c r="M5451">
        <v>0</v>
      </c>
      <c r="N5451" s="98" t="str">
        <f>IF(record[[#This Row],[Memo]]="Browser:chrome os:android","平板報工",IF(record[[#This Row],[Memo]]=0,"委外",record[[#This Row],[Memo]]))</f>
        <v/>
      </c>
      <c r="O5451" t="s">
        <v>58</v>
      </c>
      <c r="P5451" t="s">
        <v>186</v>
      </c>
      <c r="Q5451" t="s">
        <v>58</v>
      </c>
      <c r="R5451" t="str">
        <f>IFERROR(VLOOKUP(record[[#This Row],[PCUSTID]],廠商[],2,FALSE),"")</f>
        <v/>
      </c>
      <c r="S5451" t="str">
        <f>VLOOKUP(record[[#This Row],[employeeID]],員工[],2,FALSE)</f>
        <v>許文姍</v>
      </c>
    </row>
    <row r="5452" spans="6:19" hidden="1" x14ac:dyDescent="0.25">
      <c r="F5452" t="s">
        <v>1339</v>
      </c>
      <c r="G5452" t="s">
        <v>376</v>
      </c>
      <c r="H5452" t="str">
        <f>VLOOKUP(record[[#This Row],[ProcessSN]],表格2_7[],2,FALSE)</f>
        <v>30-4118-018-4XX</v>
      </c>
      <c r="I5452" t="str">
        <f>VLOOKUP(record[[#This Row],[ProcessSN]],表格2_7[],3,FALSE)</f>
        <v>#06</v>
      </c>
      <c r="J5452" t="s">
        <v>593</v>
      </c>
      <c r="K5452" s="195">
        <v>46020.444687499999</v>
      </c>
      <c r="L5452">
        <v>62</v>
      </c>
      <c r="M5452">
        <v>0</v>
      </c>
      <c r="N5452" s="98" t="str">
        <f>IF(record[[#This Row],[Memo]]="Browser:chrome os:android","平板報工",IF(record[[#This Row],[Memo]]=0,"委外",record[[#This Row],[Memo]]))</f>
        <v>12/25</v>
      </c>
      <c r="O5452" t="s">
        <v>1390</v>
      </c>
      <c r="P5452" t="s">
        <v>166</v>
      </c>
      <c r="Q5452" t="s">
        <v>58</v>
      </c>
      <c r="R5452" t="str">
        <f>IFERROR(VLOOKUP(record[[#This Row],[PCUSTID]],廠商[],2,FALSE),"")</f>
        <v/>
      </c>
      <c r="S5452" t="str">
        <f>VLOOKUP(record[[#This Row],[employeeID]],員工[],2,FALSE)</f>
        <v>阮懷香</v>
      </c>
    </row>
    <row r="5453" spans="6:19" hidden="1" x14ac:dyDescent="0.25">
      <c r="F5453" t="s">
        <v>1339</v>
      </c>
      <c r="G5453" t="s">
        <v>375</v>
      </c>
      <c r="H5453" t="str">
        <f>VLOOKUP(record[[#This Row],[ProcessSN]],表格2_7[],2,FALSE)</f>
        <v>30-4118-018-4XX</v>
      </c>
      <c r="I5453" t="str">
        <f>VLOOKUP(record[[#This Row],[ProcessSN]],表格2_7[],3,FALSE)</f>
        <v>#05</v>
      </c>
      <c r="J5453" t="s">
        <v>588</v>
      </c>
      <c r="K5453" s="195">
        <v>46020.443969907406</v>
      </c>
      <c r="L5453">
        <v>72</v>
      </c>
      <c r="M5453">
        <v>0</v>
      </c>
      <c r="N5453" s="98" t="str">
        <f>IF(record[[#This Row],[Memo]]="Browser:chrome os:android","平板報工",IF(record[[#This Row],[Memo]]=0,"委外",record[[#This Row],[Memo]]))</f>
        <v>12/25</v>
      </c>
      <c r="O5453" t="s">
        <v>1390</v>
      </c>
      <c r="P5453" t="s">
        <v>107</v>
      </c>
      <c r="Q5453" t="s">
        <v>58</v>
      </c>
      <c r="R5453" t="str">
        <f>IFERROR(VLOOKUP(record[[#This Row],[PCUSTID]],廠商[],2,FALSE),"")</f>
        <v/>
      </c>
      <c r="S5453" t="str">
        <f>VLOOKUP(record[[#This Row],[employeeID]],員工[],2,FALSE)</f>
        <v>黎氏順</v>
      </c>
    </row>
    <row r="5454" spans="6:19" hidden="1" x14ac:dyDescent="0.25">
      <c r="F5454" t="s">
        <v>1333</v>
      </c>
      <c r="G5454" t="s">
        <v>451</v>
      </c>
      <c r="H5454" t="str">
        <f>VLOOKUP(record[[#This Row],[ProcessSN]],表格2_7[],2,FALSE)</f>
        <v>30-4118-018-6XX</v>
      </c>
      <c r="I5454" t="str">
        <f>VLOOKUP(record[[#This Row],[ProcessSN]],表格2_7[],3,FALSE)</f>
        <v>#07</v>
      </c>
      <c r="J5454" t="s">
        <v>588</v>
      </c>
      <c r="K5454" s="195">
        <v>46020.443553240744</v>
      </c>
      <c r="L5454">
        <v>102</v>
      </c>
      <c r="M5454">
        <v>0</v>
      </c>
      <c r="N5454" s="98" t="str">
        <f>IF(record[[#This Row],[Memo]]="Browser:chrome os:android","平板報工",IF(record[[#This Row],[Memo]]=0,"委外",record[[#This Row],[Memo]]))</f>
        <v>12/25</v>
      </c>
      <c r="O5454" t="s">
        <v>1390</v>
      </c>
      <c r="P5454" t="s">
        <v>789</v>
      </c>
      <c r="Q5454" t="s">
        <v>58</v>
      </c>
      <c r="R5454" t="str">
        <f>IFERROR(VLOOKUP(record[[#This Row],[PCUSTID]],廠商[],2,FALSE),"")</f>
        <v/>
      </c>
      <c r="S5454" t="str">
        <f>VLOOKUP(record[[#This Row],[employeeID]],員工[],2,FALSE)</f>
        <v>張月霞</v>
      </c>
    </row>
    <row r="5455" spans="6:19" hidden="1" x14ac:dyDescent="0.25">
      <c r="F5455" t="s">
        <v>1339</v>
      </c>
      <c r="G5455" t="s">
        <v>374</v>
      </c>
      <c r="H5455" t="str">
        <f>VLOOKUP(record[[#This Row],[ProcessSN]],表格2_7[],2,FALSE)</f>
        <v>30-4118-018-4XX</v>
      </c>
      <c r="I5455" t="str">
        <f>VLOOKUP(record[[#This Row],[ProcessSN]],表格2_7[],3,FALSE)</f>
        <v>#04</v>
      </c>
      <c r="J5455" t="s">
        <v>588</v>
      </c>
      <c r="K5455" s="195">
        <v>46020.443310185183</v>
      </c>
      <c r="L5455">
        <v>72</v>
      </c>
      <c r="M5455">
        <v>0</v>
      </c>
      <c r="N5455" s="98" t="str">
        <f>IF(record[[#This Row],[Memo]]="Browser:chrome os:android","平板報工",IF(record[[#This Row],[Memo]]=0,"委外",record[[#This Row],[Memo]]))</f>
        <v>12/25</v>
      </c>
      <c r="O5455" t="s">
        <v>1390</v>
      </c>
      <c r="P5455" t="s">
        <v>789</v>
      </c>
      <c r="Q5455" t="s">
        <v>58</v>
      </c>
      <c r="R5455" t="str">
        <f>IFERROR(VLOOKUP(record[[#This Row],[PCUSTID]],廠商[],2,FALSE),"")</f>
        <v/>
      </c>
      <c r="S5455" t="str">
        <f>VLOOKUP(record[[#This Row],[employeeID]],員工[],2,FALSE)</f>
        <v>張月霞</v>
      </c>
    </row>
    <row r="5456" spans="6:19" hidden="1" x14ac:dyDescent="0.25">
      <c r="F5456" t="s">
        <v>1338</v>
      </c>
      <c r="G5456" t="s">
        <v>453</v>
      </c>
      <c r="H5456" t="str">
        <f>VLOOKUP(record[[#This Row],[ProcessSN]],表格2_7[],2,FALSE)</f>
        <v>30-4118-018-6XX</v>
      </c>
      <c r="I5456" t="str">
        <f>VLOOKUP(record[[#This Row],[ProcessSN]],表格2_7[],3,FALSE)</f>
        <v>#07STOCK</v>
      </c>
      <c r="J5456" t="s">
        <v>592</v>
      </c>
      <c r="K5456" s="195">
        <v>46020.441412037035</v>
      </c>
      <c r="L5456">
        <v>178</v>
      </c>
      <c r="M5456">
        <v>0</v>
      </c>
      <c r="N5456" s="98" t="str">
        <f>IF(record[[#This Row],[Memo]]="Browser:chrome os:android","平板報工",IF(record[[#This Row],[Memo]]=0,"委外",record[[#This Row],[Memo]]))</f>
        <v/>
      </c>
      <c r="O5456" t="s">
        <v>58</v>
      </c>
      <c r="P5456" t="s">
        <v>186</v>
      </c>
      <c r="Q5456" t="s">
        <v>58</v>
      </c>
      <c r="R5456" t="str">
        <f>IFERROR(VLOOKUP(record[[#This Row],[PCUSTID]],廠商[],2,FALSE),"")</f>
        <v/>
      </c>
      <c r="S5456" t="str">
        <f>VLOOKUP(record[[#This Row],[employeeID]],員工[],2,FALSE)</f>
        <v>許文姍</v>
      </c>
    </row>
    <row r="5457" spans="6:19" hidden="1" x14ac:dyDescent="0.25">
      <c r="F5457" t="s">
        <v>1339</v>
      </c>
      <c r="G5457" t="s">
        <v>376</v>
      </c>
      <c r="H5457" t="str">
        <f>VLOOKUP(record[[#This Row],[ProcessSN]],表格2_7[],2,FALSE)</f>
        <v>30-4118-018-4XX</v>
      </c>
      <c r="I5457" t="str">
        <f>VLOOKUP(record[[#This Row],[ProcessSN]],表格2_7[],3,FALSE)</f>
        <v>#06</v>
      </c>
      <c r="J5457" t="s">
        <v>593</v>
      </c>
      <c r="K5457" s="195">
        <v>46020.411840277775</v>
      </c>
      <c r="L5457">
        <v>129</v>
      </c>
      <c r="M5457">
        <v>0</v>
      </c>
      <c r="N5457" s="98" t="str">
        <f>IF(record[[#This Row],[Memo]]="Browser:chrome os:android","平板報工",IF(record[[#This Row],[Memo]]=0,"委外",record[[#This Row],[Memo]]))</f>
        <v>12/24</v>
      </c>
      <c r="O5457" t="s">
        <v>1386</v>
      </c>
      <c r="P5457" t="s">
        <v>180</v>
      </c>
      <c r="Q5457" t="s">
        <v>58</v>
      </c>
      <c r="R5457" t="str">
        <f>IFERROR(VLOOKUP(record[[#This Row],[PCUSTID]],廠商[],2,FALSE),"")</f>
        <v/>
      </c>
      <c r="S5457" t="str">
        <f>VLOOKUP(record[[#This Row],[employeeID]],員工[],2,FALSE)</f>
        <v>黎功江</v>
      </c>
    </row>
    <row r="5458" spans="6:19" hidden="1" x14ac:dyDescent="0.25">
      <c r="F5458" t="s">
        <v>1339</v>
      </c>
      <c r="G5458" t="s">
        <v>375</v>
      </c>
      <c r="H5458" t="str">
        <f>VLOOKUP(record[[#This Row],[ProcessSN]],表格2_7[],2,FALSE)</f>
        <v>30-4118-018-4XX</v>
      </c>
      <c r="I5458" t="str">
        <f>VLOOKUP(record[[#This Row],[ProcessSN]],表格2_7[],3,FALSE)</f>
        <v>#05</v>
      </c>
      <c r="J5458" t="s">
        <v>588</v>
      </c>
      <c r="K5458" s="195">
        <v>46020.411516203705</v>
      </c>
      <c r="L5458">
        <v>131</v>
      </c>
      <c r="M5458">
        <v>0</v>
      </c>
      <c r="N5458" s="98" t="str">
        <f>IF(record[[#This Row],[Memo]]="Browser:chrome os:android","平板報工",IF(record[[#This Row],[Memo]]=0,"委外",record[[#This Row],[Memo]]))</f>
        <v>12/24</v>
      </c>
      <c r="O5458" t="s">
        <v>1386</v>
      </c>
      <c r="P5458" t="s">
        <v>691</v>
      </c>
      <c r="Q5458" t="s">
        <v>58</v>
      </c>
      <c r="R5458" t="str">
        <f>IFERROR(VLOOKUP(record[[#This Row],[PCUSTID]],廠商[],2,FALSE),"")</f>
        <v/>
      </c>
      <c r="S5458" t="str">
        <f>VLOOKUP(record[[#This Row],[employeeID]],員工[],2,FALSE)</f>
        <v>武氏賢</v>
      </c>
    </row>
    <row r="5459" spans="6:19" hidden="1" x14ac:dyDescent="0.25">
      <c r="F5459" t="s">
        <v>1333</v>
      </c>
      <c r="G5459" t="s">
        <v>451</v>
      </c>
      <c r="H5459" t="str">
        <f>VLOOKUP(record[[#This Row],[ProcessSN]],表格2_7[],2,FALSE)</f>
        <v>30-4118-018-6XX</v>
      </c>
      <c r="I5459" t="str">
        <f>VLOOKUP(record[[#This Row],[ProcessSN]],表格2_7[],3,FALSE)</f>
        <v>#07</v>
      </c>
      <c r="J5459" t="s">
        <v>588</v>
      </c>
      <c r="K5459" s="195">
        <v>46020.411157407405</v>
      </c>
      <c r="L5459">
        <v>262</v>
      </c>
      <c r="M5459">
        <v>0</v>
      </c>
      <c r="N5459" s="98" t="str">
        <f>IF(record[[#This Row],[Memo]]="Browser:chrome os:android","平板報工",IF(record[[#This Row],[Memo]]=0,"委外",record[[#This Row],[Memo]]))</f>
        <v>12/24</v>
      </c>
      <c r="O5459" t="s">
        <v>1386</v>
      </c>
      <c r="P5459" t="s">
        <v>691</v>
      </c>
      <c r="Q5459" t="s">
        <v>58</v>
      </c>
      <c r="R5459" t="str">
        <f>IFERROR(VLOOKUP(record[[#This Row],[PCUSTID]],廠商[],2,FALSE),"")</f>
        <v/>
      </c>
      <c r="S5459" t="str">
        <f>VLOOKUP(record[[#This Row],[employeeID]],員工[],2,FALSE)</f>
        <v>武氏賢</v>
      </c>
    </row>
    <row r="5460" spans="6:19" hidden="1" x14ac:dyDescent="0.25">
      <c r="F5460" t="s">
        <v>1339</v>
      </c>
      <c r="G5460" t="s">
        <v>374</v>
      </c>
      <c r="H5460" t="str">
        <f>VLOOKUP(record[[#This Row],[ProcessSN]],表格2_7[],2,FALSE)</f>
        <v>30-4118-018-4XX</v>
      </c>
      <c r="I5460" t="str">
        <f>VLOOKUP(record[[#This Row],[ProcessSN]],表格2_7[],3,FALSE)</f>
        <v>#04</v>
      </c>
      <c r="J5460" t="s">
        <v>588</v>
      </c>
      <c r="K5460" s="195">
        <v>46020.410671296297</v>
      </c>
      <c r="L5460">
        <v>131</v>
      </c>
      <c r="M5460">
        <v>0</v>
      </c>
      <c r="N5460" s="98" t="str">
        <f>IF(record[[#This Row],[Memo]]="Browser:chrome os:android","平板報工",IF(record[[#This Row],[Memo]]=0,"委外",record[[#This Row],[Memo]]))</f>
        <v>12/24</v>
      </c>
      <c r="O5460" t="s">
        <v>1386</v>
      </c>
      <c r="P5460" t="s">
        <v>691</v>
      </c>
      <c r="Q5460" t="s">
        <v>58</v>
      </c>
      <c r="R5460" t="str">
        <f>IFERROR(VLOOKUP(record[[#This Row],[PCUSTID]],廠商[],2,FALSE),"")</f>
        <v/>
      </c>
      <c r="S5460" t="str">
        <f>VLOOKUP(record[[#This Row],[employeeID]],員工[],2,FALSE)</f>
        <v>武氏賢</v>
      </c>
    </row>
    <row r="5461" spans="6:19" hidden="1" x14ac:dyDescent="0.25">
      <c r="F5461" t="s">
        <v>1338</v>
      </c>
      <c r="G5461" t="s">
        <v>452</v>
      </c>
      <c r="H5461" t="str">
        <f>VLOOKUP(record[[#This Row],[ProcessSN]],表格2_7[],2,FALSE)</f>
        <v>30-4118-018-6XX</v>
      </c>
      <c r="I5461" t="str">
        <f>VLOOKUP(record[[#This Row],[ProcessSN]],表格2_7[],3,FALSE)</f>
        <v>#07QC</v>
      </c>
      <c r="J5461" t="s">
        <v>589</v>
      </c>
      <c r="K5461" s="195">
        <v>46020.407708333332</v>
      </c>
      <c r="L5461">
        <v>178</v>
      </c>
      <c r="M5461">
        <v>0</v>
      </c>
      <c r="N5461" s="98" t="str">
        <f>IF(record[[#This Row],[Memo]]="Browser:chrome os:android","平板報工",IF(record[[#This Row],[Memo]]=0,"委外",record[[#This Row],[Memo]]))</f>
        <v/>
      </c>
      <c r="O5461" t="s">
        <v>58</v>
      </c>
      <c r="P5461" t="s">
        <v>141</v>
      </c>
      <c r="Q5461" t="s">
        <v>58</v>
      </c>
      <c r="R5461" t="str">
        <f>IFERROR(VLOOKUP(record[[#This Row],[PCUSTID]],廠商[],2,FALSE),"")</f>
        <v/>
      </c>
      <c r="S5461" t="str">
        <f>VLOOKUP(record[[#This Row],[employeeID]],員工[],2,FALSE)</f>
        <v>蔣梅</v>
      </c>
    </row>
    <row r="5462" spans="6:19" hidden="1" x14ac:dyDescent="0.25">
      <c r="F5462" t="s">
        <v>1339</v>
      </c>
      <c r="G5462" t="s">
        <v>376</v>
      </c>
      <c r="H5462" t="str">
        <f>VLOOKUP(record[[#This Row],[ProcessSN]],表格2_7[],2,FALSE)</f>
        <v>30-4118-018-4XX</v>
      </c>
      <c r="I5462" t="str">
        <f>VLOOKUP(record[[#This Row],[ProcessSN]],表格2_7[],3,FALSE)</f>
        <v>#06</v>
      </c>
      <c r="J5462" t="s">
        <v>593</v>
      </c>
      <c r="K5462" s="195">
        <v>46020.406469907408</v>
      </c>
      <c r="L5462">
        <v>125</v>
      </c>
      <c r="M5462">
        <v>0</v>
      </c>
      <c r="N5462" s="98" t="str">
        <f>IF(record[[#This Row],[Memo]]="Browser:chrome os:android","平板報工",IF(record[[#This Row],[Memo]]=0,"委外",record[[#This Row],[Memo]]))</f>
        <v>12/24</v>
      </c>
      <c r="O5462" t="s">
        <v>1386</v>
      </c>
      <c r="P5462" t="s">
        <v>176</v>
      </c>
      <c r="Q5462" t="s">
        <v>58</v>
      </c>
      <c r="R5462" t="str">
        <f>IFERROR(VLOOKUP(record[[#This Row],[PCUSTID]],廠商[],2,FALSE),"")</f>
        <v/>
      </c>
      <c r="S5462" t="str">
        <f>VLOOKUP(record[[#This Row],[employeeID]],員工[],2,FALSE)</f>
        <v>郭政雄</v>
      </c>
    </row>
    <row r="5463" spans="6:19" hidden="1" x14ac:dyDescent="0.25">
      <c r="F5463" t="s">
        <v>1338</v>
      </c>
      <c r="G5463" t="s">
        <v>451</v>
      </c>
      <c r="H5463" t="str">
        <f>VLOOKUP(record[[#This Row],[ProcessSN]],表格2_7[],2,FALSE)</f>
        <v>30-4118-018-6XX</v>
      </c>
      <c r="I5463" t="str">
        <f>VLOOKUP(record[[#This Row],[ProcessSN]],表格2_7[],3,FALSE)</f>
        <v>#07</v>
      </c>
      <c r="J5463" t="s">
        <v>588</v>
      </c>
      <c r="K5463" s="195">
        <v>46020.405821759261</v>
      </c>
      <c r="L5463">
        <v>178</v>
      </c>
      <c r="M5463">
        <v>0</v>
      </c>
      <c r="N5463" s="98" t="str">
        <f>IF(record[[#This Row],[Memo]]="Browser:chrome os:android","平板報工",IF(record[[#This Row],[Memo]]=0,"委外",record[[#This Row],[Memo]]))</f>
        <v>12/24</v>
      </c>
      <c r="O5463" t="s">
        <v>1386</v>
      </c>
      <c r="P5463" t="s">
        <v>89</v>
      </c>
      <c r="Q5463" t="s">
        <v>58</v>
      </c>
      <c r="R5463" t="str">
        <f>IFERROR(VLOOKUP(record[[#This Row],[PCUSTID]],廠商[],2,FALSE),"")</f>
        <v/>
      </c>
      <c r="S5463" t="str">
        <f>VLOOKUP(record[[#This Row],[employeeID]],員工[],2,FALSE)</f>
        <v>李美蓮</v>
      </c>
    </row>
    <row r="5464" spans="6:19" hidden="1" x14ac:dyDescent="0.25">
      <c r="F5464" t="s">
        <v>1339</v>
      </c>
      <c r="G5464" t="s">
        <v>375</v>
      </c>
      <c r="H5464" t="str">
        <f>VLOOKUP(record[[#This Row],[ProcessSN]],表格2_7[],2,FALSE)</f>
        <v>30-4118-018-4XX</v>
      </c>
      <c r="I5464" t="str">
        <f>VLOOKUP(record[[#This Row],[ProcessSN]],表格2_7[],3,FALSE)</f>
        <v>#05</v>
      </c>
      <c r="J5464" t="s">
        <v>588</v>
      </c>
      <c r="K5464" s="195">
        <v>46020.405486111114</v>
      </c>
      <c r="L5464">
        <v>145</v>
      </c>
      <c r="M5464">
        <v>0</v>
      </c>
      <c r="N5464" s="98" t="str">
        <f>IF(record[[#This Row],[Memo]]="Browser:chrome os:android","平板報工",IF(record[[#This Row],[Memo]]=0,"委外",record[[#This Row],[Memo]]))</f>
        <v>12/24</v>
      </c>
      <c r="O5464" t="s">
        <v>1386</v>
      </c>
      <c r="P5464" t="s">
        <v>89</v>
      </c>
      <c r="Q5464" t="s">
        <v>58</v>
      </c>
      <c r="R5464" t="str">
        <f>IFERROR(VLOOKUP(record[[#This Row],[PCUSTID]],廠商[],2,FALSE),"")</f>
        <v/>
      </c>
      <c r="S5464" t="str">
        <f>VLOOKUP(record[[#This Row],[employeeID]],員工[],2,FALSE)</f>
        <v>李美蓮</v>
      </c>
    </row>
    <row r="5465" spans="6:19" hidden="1" x14ac:dyDescent="0.25">
      <c r="F5465" t="s">
        <v>1381</v>
      </c>
      <c r="G5465" t="s">
        <v>414</v>
      </c>
      <c r="H5465" t="str">
        <f>VLOOKUP(record[[#This Row],[ProcessSN]],表格2_7[],2,FALSE)</f>
        <v>30-4118-018-5XX</v>
      </c>
      <c r="I5465" t="str">
        <f>VLOOKUP(record[[#This Row],[ProcessSN]],表格2_7[],3,FALSE)</f>
        <v>#03</v>
      </c>
      <c r="J5465" t="s">
        <v>588</v>
      </c>
      <c r="K5465" s="195">
        <v>46020.405150462961</v>
      </c>
      <c r="L5465">
        <v>475</v>
      </c>
      <c r="M5465">
        <v>5</v>
      </c>
      <c r="N5465" s="98" t="str">
        <f>IF(record[[#This Row],[Memo]]="Browser:chrome os:android","平板報工",IF(record[[#This Row],[Memo]]=0,"委外",record[[#This Row],[Memo]]))</f>
        <v xml:space="preserve">12/24 </v>
      </c>
      <c r="O5465" t="s">
        <v>1387</v>
      </c>
      <c r="P5465" t="s">
        <v>843</v>
      </c>
      <c r="Q5465" t="s">
        <v>58</v>
      </c>
      <c r="R5465" t="str">
        <f>IFERROR(VLOOKUP(record[[#This Row],[PCUSTID]],廠商[],2,FALSE),"")</f>
        <v/>
      </c>
      <c r="S5465" t="str">
        <f>VLOOKUP(record[[#This Row],[employeeID]],員工[],2,FALSE)</f>
        <v>張楚承</v>
      </c>
    </row>
    <row r="5466" spans="6:19" hidden="1" x14ac:dyDescent="0.25">
      <c r="F5466" t="s">
        <v>1339</v>
      </c>
      <c r="G5466" t="s">
        <v>374</v>
      </c>
      <c r="H5466" t="str">
        <f>VLOOKUP(record[[#This Row],[ProcessSN]],表格2_7[],2,FALSE)</f>
        <v>30-4118-018-4XX</v>
      </c>
      <c r="I5466" t="str">
        <f>VLOOKUP(record[[#This Row],[ProcessSN]],表格2_7[],3,FALSE)</f>
        <v>#04</v>
      </c>
      <c r="J5466" t="s">
        <v>588</v>
      </c>
      <c r="K5466" s="195">
        <v>46020.404166666667</v>
      </c>
      <c r="L5466">
        <v>145</v>
      </c>
      <c r="M5466">
        <v>0</v>
      </c>
      <c r="N5466" s="98" t="str">
        <f>IF(record[[#This Row],[Memo]]="Browser:chrome os:android","平板報工",IF(record[[#This Row],[Memo]]=0,"委外",record[[#This Row],[Memo]]))</f>
        <v>12/24</v>
      </c>
      <c r="O5466" t="s">
        <v>1386</v>
      </c>
      <c r="P5466" t="s">
        <v>843</v>
      </c>
      <c r="Q5466" t="s">
        <v>58</v>
      </c>
      <c r="R5466" t="str">
        <f>IFERROR(VLOOKUP(record[[#This Row],[PCUSTID]],廠商[],2,FALSE),"")</f>
        <v/>
      </c>
      <c r="S5466" t="str">
        <f>VLOOKUP(record[[#This Row],[employeeID]],員工[],2,FALSE)</f>
        <v>張楚承</v>
      </c>
    </row>
    <row r="5467" spans="6:19" hidden="1" x14ac:dyDescent="0.25">
      <c r="F5467" t="s">
        <v>1339</v>
      </c>
      <c r="G5467" t="s">
        <v>376</v>
      </c>
      <c r="H5467" t="str">
        <f>VLOOKUP(record[[#This Row],[ProcessSN]],表格2_7[],2,FALSE)</f>
        <v>30-4118-018-4XX</v>
      </c>
      <c r="I5467" t="str">
        <f>VLOOKUP(record[[#This Row],[ProcessSN]],表格2_7[],3,FALSE)</f>
        <v>#06</v>
      </c>
      <c r="J5467" t="s">
        <v>593</v>
      </c>
      <c r="K5467" s="195">
        <v>46020.399583333332</v>
      </c>
      <c r="L5467">
        <v>115</v>
      </c>
      <c r="M5467">
        <v>0</v>
      </c>
      <c r="N5467" s="98" t="str">
        <f>IF(record[[#This Row],[Memo]]="Browser:chrome os:android","平板報工",IF(record[[#This Row],[Memo]]=0,"委外",record[[#This Row],[Memo]]))</f>
        <v>12/24</v>
      </c>
      <c r="O5467" t="s">
        <v>1386</v>
      </c>
      <c r="P5467" t="s">
        <v>166</v>
      </c>
      <c r="Q5467" t="s">
        <v>58</v>
      </c>
      <c r="R5467" t="str">
        <f>IFERROR(VLOOKUP(record[[#This Row],[PCUSTID]],廠商[],2,FALSE),"")</f>
        <v/>
      </c>
      <c r="S5467" t="str">
        <f>VLOOKUP(record[[#This Row],[employeeID]],員工[],2,FALSE)</f>
        <v>阮懷香</v>
      </c>
    </row>
    <row r="5468" spans="6:19" hidden="1" x14ac:dyDescent="0.25">
      <c r="F5468" t="s">
        <v>1339</v>
      </c>
      <c r="G5468" t="s">
        <v>375</v>
      </c>
      <c r="H5468" t="str">
        <f>VLOOKUP(record[[#This Row],[ProcessSN]],表格2_7[],2,FALSE)</f>
        <v>30-4118-018-4XX</v>
      </c>
      <c r="I5468" t="str">
        <f>VLOOKUP(record[[#This Row],[ProcessSN]],表格2_7[],3,FALSE)</f>
        <v>#05</v>
      </c>
      <c r="J5468" t="s">
        <v>588</v>
      </c>
      <c r="K5468" s="195">
        <v>46020.398842592593</v>
      </c>
      <c r="L5468">
        <v>137</v>
      </c>
      <c r="M5468">
        <v>0</v>
      </c>
      <c r="N5468" s="98" t="str">
        <f>IF(record[[#This Row],[Memo]]="Browser:chrome os:android","平板報工",IF(record[[#This Row],[Memo]]=0,"委外",record[[#This Row],[Memo]]))</f>
        <v>12/24</v>
      </c>
      <c r="O5468" t="s">
        <v>1386</v>
      </c>
      <c r="P5468" t="s">
        <v>145</v>
      </c>
      <c r="Q5468" t="s">
        <v>58</v>
      </c>
      <c r="R5468" t="str">
        <f>IFERROR(VLOOKUP(record[[#This Row],[PCUSTID]],廠商[],2,FALSE),"")</f>
        <v/>
      </c>
      <c r="S5468" t="str">
        <f>VLOOKUP(record[[#This Row],[employeeID]],員工[],2,FALSE)</f>
        <v>阮秋霞</v>
      </c>
    </row>
    <row r="5469" spans="6:19" hidden="1" x14ac:dyDescent="0.25">
      <c r="F5469" t="s">
        <v>1381</v>
      </c>
      <c r="G5469" t="s">
        <v>414</v>
      </c>
      <c r="H5469" t="str">
        <f>VLOOKUP(record[[#This Row],[ProcessSN]],表格2_7[],2,FALSE)</f>
        <v>30-4118-018-5XX</v>
      </c>
      <c r="I5469" t="str">
        <f>VLOOKUP(record[[#This Row],[ProcessSN]],表格2_7[],3,FALSE)</f>
        <v>#03</v>
      </c>
      <c r="J5469" t="s">
        <v>588</v>
      </c>
      <c r="K5469" s="195">
        <v>46020.398564814815</v>
      </c>
      <c r="L5469">
        <v>405</v>
      </c>
      <c r="M5469">
        <v>0</v>
      </c>
      <c r="N5469" s="98" t="str">
        <f>IF(record[[#This Row],[Memo]]="Browser:chrome os:android","平板報工",IF(record[[#This Row],[Memo]]=0,"委外",record[[#This Row],[Memo]]))</f>
        <v>12/24</v>
      </c>
      <c r="O5469" t="s">
        <v>1386</v>
      </c>
      <c r="P5469" t="s">
        <v>789</v>
      </c>
      <c r="Q5469" t="s">
        <v>58</v>
      </c>
      <c r="R5469" t="str">
        <f>IFERROR(VLOOKUP(record[[#This Row],[PCUSTID]],廠商[],2,FALSE),"")</f>
        <v/>
      </c>
      <c r="S5469" t="str">
        <f>VLOOKUP(record[[#This Row],[employeeID]],員工[],2,FALSE)</f>
        <v>張月霞</v>
      </c>
    </row>
    <row r="5470" spans="6:19" hidden="1" x14ac:dyDescent="0.25">
      <c r="F5470" t="s">
        <v>1339</v>
      </c>
      <c r="G5470" t="s">
        <v>374</v>
      </c>
      <c r="H5470" t="str">
        <f>VLOOKUP(record[[#This Row],[ProcessSN]],表格2_7[],2,FALSE)</f>
        <v>30-4118-018-4XX</v>
      </c>
      <c r="I5470" t="str">
        <f>VLOOKUP(record[[#This Row],[ProcessSN]],表格2_7[],3,FALSE)</f>
        <v>#04</v>
      </c>
      <c r="J5470" t="s">
        <v>588</v>
      </c>
      <c r="K5470" s="195">
        <v>46020.397812499999</v>
      </c>
      <c r="L5470">
        <v>137</v>
      </c>
      <c r="M5470">
        <v>0</v>
      </c>
      <c r="N5470" s="98" t="str">
        <f>IF(record[[#This Row],[Memo]]="Browser:chrome os:android","平板報工",IF(record[[#This Row],[Memo]]=0,"委外",record[[#This Row],[Memo]]))</f>
        <v>12/24</v>
      </c>
      <c r="O5470" t="s">
        <v>1386</v>
      </c>
      <c r="P5470" t="s">
        <v>789</v>
      </c>
      <c r="Q5470" t="s">
        <v>58</v>
      </c>
      <c r="R5470" t="str">
        <f>IFERROR(VLOOKUP(record[[#This Row],[PCUSTID]],廠商[],2,FALSE),"")</f>
        <v/>
      </c>
      <c r="S5470" t="str">
        <f>VLOOKUP(record[[#This Row],[employeeID]],員工[],2,FALSE)</f>
        <v>張月霞</v>
      </c>
    </row>
    <row r="5471" spans="6:19" hidden="1" x14ac:dyDescent="0.25">
      <c r="F5471" t="s">
        <v>1209</v>
      </c>
      <c r="G5471" t="s">
        <v>471</v>
      </c>
      <c r="H5471" t="str">
        <f>VLOOKUP(record[[#This Row],[ProcessSN]],表格2_7[],2,FALSE)</f>
        <v>30-4118-018-XXX</v>
      </c>
      <c r="I5471" t="str">
        <f>VLOOKUP(record[[#This Row],[ProcessSN]],表格2_7[],3,FALSE)</f>
        <v>#02STOCK</v>
      </c>
      <c r="J5471" t="s">
        <v>592</v>
      </c>
      <c r="K5471" s="195">
        <v>46016.492002314815</v>
      </c>
      <c r="L5471">
        <v>2</v>
      </c>
      <c r="M5471">
        <v>0</v>
      </c>
      <c r="N5471" s="98" t="str">
        <f>IF(record[[#This Row],[Memo]]="Browser:chrome os:android","平板報工",IF(record[[#This Row],[Memo]]=0,"委外",record[[#This Row],[Memo]]))</f>
        <v/>
      </c>
      <c r="O5471" t="s">
        <v>58</v>
      </c>
      <c r="P5471" t="s">
        <v>113</v>
      </c>
      <c r="Q5471" t="s">
        <v>58</v>
      </c>
      <c r="R5471" t="str">
        <f>IFERROR(VLOOKUP(record[[#This Row],[PCUSTID]],廠商[],2,FALSE),"")</f>
        <v/>
      </c>
      <c r="S5471" t="str">
        <f>VLOOKUP(record[[#This Row],[employeeID]],員工[],2,FALSE)</f>
        <v>王奕蓁</v>
      </c>
    </row>
    <row r="5472" spans="6:19" hidden="1" x14ac:dyDescent="0.25">
      <c r="F5472" t="s">
        <v>1285</v>
      </c>
      <c r="G5472" t="s">
        <v>471</v>
      </c>
      <c r="H5472" t="str">
        <f>VLOOKUP(record[[#This Row],[ProcessSN]],表格2_7[],2,FALSE)</f>
        <v>30-4118-018-XXX</v>
      </c>
      <c r="I5472" t="str">
        <f>VLOOKUP(record[[#This Row],[ProcessSN]],表格2_7[],3,FALSE)</f>
        <v>#02STOCK</v>
      </c>
      <c r="J5472" t="s">
        <v>592</v>
      </c>
      <c r="K5472" s="195">
        <v>46016.491770833331</v>
      </c>
      <c r="L5472">
        <v>394</v>
      </c>
      <c r="M5472">
        <v>0</v>
      </c>
      <c r="N5472" s="98" t="str">
        <f>IF(record[[#This Row],[Memo]]="Browser:chrome os:android","平板報工",IF(record[[#This Row],[Memo]]=0,"委外",record[[#This Row],[Memo]]))</f>
        <v/>
      </c>
      <c r="O5472" t="s">
        <v>58</v>
      </c>
      <c r="P5472" t="s">
        <v>113</v>
      </c>
      <c r="Q5472" t="s">
        <v>58</v>
      </c>
      <c r="R5472" t="str">
        <f>IFERROR(VLOOKUP(record[[#This Row],[PCUSTID]],廠商[],2,FALSE),"")</f>
        <v/>
      </c>
      <c r="S5472" t="str">
        <f>VLOOKUP(record[[#This Row],[employeeID]],員工[],2,FALSE)</f>
        <v>王奕蓁</v>
      </c>
    </row>
    <row r="5473" spans="6:19" hidden="1" x14ac:dyDescent="0.25">
      <c r="F5473" t="s">
        <v>1385</v>
      </c>
      <c r="G5473" t="s">
        <v>464</v>
      </c>
      <c r="H5473" t="str">
        <f>VLOOKUP(record[[#This Row],[ProcessSN]],表格2_7[],2,FALSE)</f>
        <v>30-4118-018-XXX</v>
      </c>
      <c r="I5473" t="str">
        <f>VLOOKUP(record[[#This Row],[ProcessSN]],表格2_7[],3,FALSE)</f>
        <v>#01GIVE</v>
      </c>
      <c r="J5473" t="s">
        <v>587</v>
      </c>
      <c r="K5473" s="195">
        <v>46016.402280092596</v>
      </c>
      <c r="L5473">
        <v>3840</v>
      </c>
      <c r="M5473">
        <v>0</v>
      </c>
      <c r="N5473" s="98" t="str">
        <f>IF(record[[#This Row],[Memo]]="Browser:chrome os:android","平板報工",IF(record[[#This Row],[Memo]]=0,"委外",record[[#This Row],[Memo]]))</f>
        <v/>
      </c>
      <c r="O5473" t="s">
        <v>58</v>
      </c>
      <c r="P5473" t="s">
        <v>1070</v>
      </c>
      <c r="Q5473" t="s">
        <v>58</v>
      </c>
      <c r="R5473" t="str">
        <f>IFERROR(VLOOKUP(record[[#This Row],[PCUSTID]],廠商[],2,FALSE),"")</f>
        <v/>
      </c>
      <c r="S5473" t="str">
        <f>VLOOKUP(record[[#This Row],[employeeID]],員工[],2,FALSE)</f>
        <v>陳昱佑</v>
      </c>
    </row>
    <row r="5474" spans="6:19" hidden="1" x14ac:dyDescent="0.25">
      <c r="F5474" t="s">
        <v>1315</v>
      </c>
      <c r="G5474" t="s">
        <v>360</v>
      </c>
      <c r="H5474" t="str">
        <f>VLOOKUP(record[[#This Row],[ProcessSN]],表格2_7[],2,FALSE)</f>
        <v>30-4118-018-450</v>
      </c>
      <c r="I5474" t="str">
        <f>VLOOKUP(record[[#This Row],[ProcessSN]],表格2_7[],3,FALSE)</f>
        <v>#100OQC</v>
      </c>
      <c r="J5474" t="s">
        <v>599</v>
      </c>
      <c r="K5474" s="195">
        <v>46016.34710648148</v>
      </c>
      <c r="L5474">
        <v>1</v>
      </c>
      <c r="M5474">
        <v>0</v>
      </c>
      <c r="N5474" s="98" t="str">
        <f>IF(record[[#This Row],[Memo]]="Browser:chrome os:android","平板報工",IF(record[[#This Row],[Memo]]=0,"委外",record[[#This Row],[Memo]]))</f>
        <v/>
      </c>
      <c r="O5474" t="s">
        <v>58</v>
      </c>
      <c r="P5474" t="s">
        <v>121</v>
      </c>
      <c r="Q5474" t="s">
        <v>58</v>
      </c>
      <c r="R5474" t="str">
        <f>IFERROR(VLOOKUP(record[[#This Row],[PCUSTID]],廠商[],2,FALSE),"")</f>
        <v/>
      </c>
      <c r="S5474" t="str">
        <f>VLOOKUP(record[[#This Row],[employeeID]],員工[],2,FALSE)</f>
        <v>謝素卿</v>
      </c>
    </row>
    <row r="5475" spans="6:19" hidden="1" x14ac:dyDescent="0.25">
      <c r="F5475" t="s">
        <v>1366</v>
      </c>
      <c r="G5475" t="s">
        <v>403</v>
      </c>
      <c r="H5475" t="str">
        <f>VLOOKUP(record[[#This Row],[ProcessSN]],表格2_7[],2,FALSE)</f>
        <v>30-4118-018-550</v>
      </c>
      <c r="I5475" t="str">
        <f>VLOOKUP(record[[#This Row],[ProcessSN]],表格2_7[],3,FALSE)</f>
        <v>#100SHIP</v>
      </c>
      <c r="J5475" t="s">
        <v>600</v>
      </c>
      <c r="K5475" s="195">
        <v>46015.714699074073</v>
      </c>
      <c r="L5475">
        <v>160</v>
      </c>
      <c r="M5475">
        <v>0</v>
      </c>
      <c r="N5475" s="98" t="str">
        <f>IF(record[[#This Row],[Memo]]="Browser:chrome os:android","平板報工",IF(record[[#This Row],[Memo]]=0,"委外",record[[#This Row],[Memo]]))</f>
        <v/>
      </c>
      <c r="O5475" t="s">
        <v>58</v>
      </c>
      <c r="P5475" t="s">
        <v>886</v>
      </c>
      <c r="Q5475" t="s">
        <v>58</v>
      </c>
      <c r="R5475" t="str">
        <f>IFERROR(VLOOKUP(record[[#This Row],[PCUSTID]],廠商[],2,FALSE),"")</f>
        <v/>
      </c>
      <c r="S5475" t="str">
        <f>VLOOKUP(record[[#This Row],[employeeID]],員工[],2,FALSE)</f>
        <v>謝蓁薰</v>
      </c>
    </row>
    <row r="5476" spans="6:19" hidden="1" x14ac:dyDescent="0.25">
      <c r="F5476" t="s">
        <v>1350</v>
      </c>
      <c r="G5476" t="s">
        <v>403</v>
      </c>
      <c r="H5476" t="str">
        <f>VLOOKUP(record[[#This Row],[ProcessSN]],表格2_7[],2,FALSE)</f>
        <v>30-4118-018-550</v>
      </c>
      <c r="I5476" t="str">
        <f>VLOOKUP(record[[#This Row],[ProcessSN]],表格2_7[],3,FALSE)</f>
        <v>#100SHIP</v>
      </c>
      <c r="J5476" t="s">
        <v>600</v>
      </c>
      <c r="K5476" s="195">
        <v>46015.714571759258</v>
      </c>
      <c r="L5476">
        <v>121</v>
      </c>
      <c r="M5476">
        <v>0</v>
      </c>
      <c r="N5476" s="98" t="str">
        <f>IF(record[[#This Row],[Memo]]="Browser:chrome os:android","平板報工",IF(record[[#This Row],[Memo]]=0,"委外",record[[#This Row],[Memo]]))</f>
        <v/>
      </c>
      <c r="O5476" t="s">
        <v>58</v>
      </c>
      <c r="P5476" t="s">
        <v>886</v>
      </c>
      <c r="Q5476" t="s">
        <v>58</v>
      </c>
      <c r="R5476" t="str">
        <f>IFERROR(VLOOKUP(record[[#This Row],[PCUSTID]],廠商[],2,FALSE),"")</f>
        <v/>
      </c>
      <c r="S5476" t="str">
        <f>VLOOKUP(record[[#This Row],[employeeID]],員工[],2,FALSE)</f>
        <v>謝蓁薰</v>
      </c>
    </row>
    <row r="5477" spans="6:19" hidden="1" x14ac:dyDescent="0.25">
      <c r="F5477" t="s">
        <v>1306</v>
      </c>
      <c r="G5477" t="s">
        <v>403</v>
      </c>
      <c r="H5477" t="str">
        <f>VLOOKUP(record[[#This Row],[ProcessSN]],表格2_7[],2,FALSE)</f>
        <v>30-4118-018-550</v>
      </c>
      <c r="I5477" t="str">
        <f>VLOOKUP(record[[#This Row],[ProcessSN]],表格2_7[],3,FALSE)</f>
        <v>#100SHIP</v>
      </c>
      <c r="J5477" t="s">
        <v>600</v>
      </c>
      <c r="K5477" s="195">
        <v>46015.714421296296</v>
      </c>
      <c r="L5477">
        <v>2</v>
      </c>
      <c r="M5477">
        <v>0</v>
      </c>
      <c r="N5477" s="98" t="str">
        <f>IF(record[[#This Row],[Memo]]="Browser:chrome os:android","平板報工",IF(record[[#This Row],[Memo]]=0,"委外",record[[#This Row],[Memo]]))</f>
        <v/>
      </c>
      <c r="O5477" t="s">
        <v>58</v>
      </c>
      <c r="P5477" t="s">
        <v>886</v>
      </c>
      <c r="Q5477" t="s">
        <v>58</v>
      </c>
      <c r="R5477" t="str">
        <f>IFERROR(VLOOKUP(record[[#This Row],[PCUSTID]],廠商[],2,FALSE),"")</f>
        <v/>
      </c>
      <c r="S5477" t="str">
        <f>VLOOKUP(record[[#This Row],[employeeID]],員工[],2,FALSE)</f>
        <v>謝蓁薰</v>
      </c>
    </row>
    <row r="5478" spans="6:19" hidden="1" x14ac:dyDescent="0.25">
      <c r="F5478" t="s">
        <v>1302</v>
      </c>
      <c r="G5478" t="s">
        <v>403</v>
      </c>
      <c r="H5478" t="str">
        <f>VLOOKUP(record[[#This Row],[ProcessSN]],表格2_7[],2,FALSE)</f>
        <v>30-4118-018-550</v>
      </c>
      <c r="I5478" t="str">
        <f>VLOOKUP(record[[#This Row],[ProcessSN]],表格2_7[],3,FALSE)</f>
        <v>#100SHIP</v>
      </c>
      <c r="J5478" t="s">
        <v>600</v>
      </c>
      <c r="K5478" s="195">
        <v>46015.714247685188</v>
      </c>
      <c r="L5478">
        <v>3</v>
      </c>
      <c r="M5478">
        <v>0</v>
      </c>
      <c r="N5478" s="98" t="str">
        <f>IF(record[[#This Row],[Memo]]="Browser:chrome os:android","平板報工",IF(record[[#This Row],[Memo]]=0,"委外",record[[#This Row],[Memo]]))</f>
        <v/>
      </c>
      <c r="O5478" t="s">
        <v>58</v>
      </c>
      <c r="P5478" t="s">
        <v>886</v>
      </c>
      <c r="Q5478" t="s">
        <v>58</v>
      </c>
      <c r="R5478" t="str">
        <f>IFERROR(VLOOKUP(record[[#This Row],[PCUSTID]],廠商[],2,FALSE),"")</f>
        <v/>
      </c>
      <c r="S5478" t="str">
        <f>VLOOKUP(record[[#This Row],[employeeID]],員工[],2,FALSE)</f>
        <v>謝蓁薰</v>
      </c>
    </row>
    <row r="5479" spans="6:19" hidden="1" x14ac:dyDescent="0.25">
      <c r="F5479" t="s">
        <v>1306</v>
      </c>
      <c r="G5479" t="s">
        <v>402</v>
      </c>
      <c r="H5479" t="str">
        <f>VLOOKUP(record[[#This Row],[ProcessSN]],表格2_7[],2,FALSE)</f>
        <v>30-4118-018-550</v>
      </c>
      <c r="I5479" t="str">
        <f>VLOOKUP(record[[#This Row],[ProcessSN]],表格2_7[],3,FALSE)</f>
        <v>#100STOCK</v>
      </c>
      <c r="J5479" t="s">
        <v>592</v>
      </c>
      <c r="K5479" s="195">
        <v>46015.714004629626</v>
      </c>
      <c r="L5479">
        <v>2</v>
      </c>
      <c r="M5479">
        <v>0</v>
      </c>
      <c r="N5479" s="98" t="str">
        <f>IF(record[[#This Row],[Memo]]="Browser:chrome os:android","平板報工",IF(record[[#This Row],[Memo]]=0,"委外",record[[#This Row],[Memo]]))</f>
        <v/>
      </c>
      <c r="O5479" t="s">
        <v>58</v>
      </c>
      <c r="P5479" t="s">
        <v>886</v>
      </c>
      <c r="Q5479" t="s">
        <v>58</v>
      </c>
      <c r="R5479" t="str">
        <f>IFERROR(VLOOKUP(record[[#This Row],[PCUSTID]],廠商[],2,FALSE),"")</f>
        <v/>
      </c>
      <c r="S5479" t="str">
        <f>VLOOKUP(record[[#This Row],[employeeID]],員工[],2,FALSE)</f>
        <v>謝蓁薰</v>
      </c>
    </row>
    <row r="5480" spans="6:19" hidden="1" x14ac:dyDescent="0.25">
      <c r="F5480" t="s">
        <v>1302</v>
      </c>
      <c r="G5480" t="s">
        <v>402</v>
      </c>
      <c r="H5480" t="str">
        <f>VLOOKUP(record[[#This Row],[ProcessSN]],表格2_7[],2,FALSE)</f>
        <v>30-4118-018-550</v>
      </c>
      <c r="I5480" t="str">
        <f>VLOOKUP(record[[#This Row],[ProcessSN]],表格2_7[],3,FALSE)</f>
        <v>#100STOCK</v>
      </c>
      <c r="J5480" t="s">
        <v>592</v>
      </c>
      <c r="K5480" s="195">
        <v>46015.713831018518</v>
      </c>
      <c r="L5480">
        <v>3</v>
      </c>
      <c r="M5480">
        <v>0</v>
      </c>
      <c r="N5480" s="98" t="str">
        <f>IF(record[[#This Row],[Memo]]="Browser:chrome os:android","平板報工",IF(record[[#This Row],[Memo]]=0,"委外",record[[#This Row],[Memo]]))</f>
        <v/>
      </c>
      <c r="O5480" t="s">
        <v>58</v>
      </c>
      <c r="P5480" t="s">
        <v>886</v>
      </c>
      <c r="Q5480" t="s">
        <v>58</v>
      </c>
      <c r="R5480" t="str">
        <f>IFERROR(VLOOKUP(record[[#This Row],[PCUSTID]],廠商[],2,FALSE),"")</f>
        <v/>
      </c>
      <c r="S5480" t="str">
        <f>VLOOKUP(record[[#This Row],[employeeID]],員工[],2,FALSE)</f>
        <v>謝蓁薰</v>
      </c>
    </row>
    <row r="5481" spans="6:19" hidden="1" x14ac:dyDescent="0.25">
      <c r="F5481" t="s">
        <v>1369</v>
      </c>
      <c r="G5481" t="s">
        <v>428</v>
      </c>
      <c r="H5481" t="str">
        <f>VLOOKUP(record[[#This Row],[ProcessSN]],表格2_7[],2,FALSE)</f>
        <v>30-4118-018-600</v>
      </c>
      <c r="I5481" t="str">
        <f>VLOOKUP(record[[#This Row],[ProcessSN]],表格2_7[],3,FALSE)</f>
        <v>#100SHIP</v>
      </c>
      <c r="J5481" t="s">
        <v>600</v>
      </c>
      <c r="K5481" s="195">
        <v>46015.713125000002</v>
      </c>
      <c r="L5481">
        <v>561</v>
      </c>
      <c r="M5481">
        <v>0</v>
      </c>
      <c r="N5481" s="98" t="str">
        <f>IF(record[[#This Row],[Memo]]="Browser:chrome os:android","平板報工",IF(record[[#This Row],[Memo]]=0,"委外",record[[#This Row],[Memo]]))</f>
        <v/>
      </c>
      <c r="O5481" t="s">
        <v>58</v>
      </c>
      <c r="P5481" t="s">
        <v>886</v>
      </c>
      <c r="Q5481" t="s">
        <v>58</v>
      </c>
      <c r="R5481" t="str">
        <f>IFERROR(VLOOKUP(record[[#This Row],[PCUSTID]],廠商[],2,FALSE),"")</f>
        <v/>
      </c>
      <c r="S5481" t="str">
        <f>VLOOKUP(record[[#This Row],[employeeID]],員工[],2,FALSE)</f>
        <v>謝蓁薰</v>
      </c>
    </row>
    <row r="5482" spans="6:19" hidden="1" x14ac:dyDescent="0.25">
      <c r="F5482" t="s">
        <v>1335</v>
      </c>
      <c r="G5482" t="s">
        <v>428</v>
      </c>
      <c r="H5482" t="str">
        <f>VLOOKUP(record[[#This Row],[ProcessSN]],表格2_7[],2,FALSE)</f>
        <v>30-4118-018-600</v>
      </c>
      <c r="I5482" t="str">
        <f>VLOOKUP(record[[#This Row],[ProcessSN]],表格2_7[],3,FALSE)</f>
        <v>#100SHIP</v>
      </c>
      <c r="J5482" t="s">
        <v>600</v>
      </c>
      <c r="K5482" s="195">
        <v>46015.712997685187</v>
      </c>
      <c r="L5482">
        <v>84</v>
      </c>
      <c r="M5482">
        <v>0</v>
      </c>
      <c r="N5482" s="98" t="str">
        <f>IF(record[[#This Row],[Memo]]="Browser:chrome os:android","平板報工",IF(record[[#This Row],[Memo]]=0,"委外",record[[#This Row],[Memo]]))</f>
        <v/>
      </c>
      <c r="O5482" t="s">
        <v>58</v>
      </c>
      <c r="P5482" t="s">
        <v>886</v>
      </c>
      <c r="Q5482" t="s">
        <v>58</v>
      </c>
      <c r="R5482" t="str">
        <f>IFERROR(VLOOKUP(record[[#This Row],[PCUSTID]],廠商[],2,FALSE),"")</f>
        <v/>
      </c>
      <c r="S5482" t="str">
        <f>VLOOKUP(record[[#This Row],[employeeID]],員工[],2,FALSE)</f>
        <v>謝蓁薰</v>
      </c>
    </row>
    <row r="5483" spans="6:19" hidden="1" x14ac:dyDescent="0.25">
      <c r="F5483" t="s">
        <v>1335</v>
      </c>
      <c r="G5483" t="s">
        <v>427</v>
      </c>
      <c r="H5483" t="str">
        <f>VLOOKUP(record[[#This Row],[ProcessSN]],表格2_7[],2,FALSE)</f>
        <v>30-4118-018-600</v>
      </c>
      <c r="I5483" t="str">
        <f>VLOOKUP(record[[#This Row],[ProcessSN]],表格2_7[],3,FALSE)</f>
        <v>#100STOCK</v>
      </c>
      <c r="J5483" t="s">
        <v>592</v>
      </c>
      <c r="K5483" s="195">
        <v>46015.712893518517</v>
      </c>
      <c r="L5483">
        <v>84</v>
      </c>
      <c r="M5483">
        <v>0</v>
      </c>
      <c r="N5483" s="98" t="str">
        <f>IF(record[[#This Row],[Memo]]="Browser:chrome os:android","平板報工",IF(record[[#This Row],[Memo]]=0,"委外",record[[#This Row],[Memo]]))</f>
        <v/>
      </c>
      <c r="O5483" t="s">
        <v>58</v>
      </c>
      <c r="P5483" t="s">
        <v>886</v>
      </c>
      <c r="Q5483" t="s">
        <v>58</v>
      </c>
      <c r="R5483" t="str">
        <f>IFERROR(VLOOKUP(record[[#This Row],[PCUSTID]],廠商[],2,FALSE),"")</f>
        <v/>
      </c>
      <c r="S5483" t="str">
        <f>VLOOKUP(record[[#This Row],[employeeID]],員工[],2,FALSE)</f>
        <v>謝蓁薰</v>
      </c>
    </row>
    <row r="5484" spans="6:19" hidden="1" x14ac:dyDescent="0.25">
      <c r="F5484" t="s">
        <v>1366</v>
      </c>
      <c r="G5484" t="s">
        <v>402</v>
      </c>
      <c r="H5484" t="str">
        <f>VLOOKUP(record[[#This Row],[ProcessSN]],表格2_7[],2,FALSE)</f>
        <v>30-4118-018-550</v>
      </c>
      <c r="I5484" t="str">
        <f>VLOOKUP(record[[#This Row],[ProcessSN]],表格2_7[],3,FALSE)</f>
        <v>#100STOCK</v>
      </c>
      <c r="J5484" t="s">
        <v>592</v>
      </c>
      <c r="K5484" s="195">
        <v>46015.710775462961</v>
      </c>
      <c r="L5484">
        <v>160</v>
      </c>
      <c r="M5484">
        <v>0</v>
      </c>
      <c r="N5484" s="98" t="str">
        <f>IF(record[[#This Row],[Memo]]="Browser:chrome os:android","平板報工",IF(record[[#This Row],[Memo]]=0,"委外",record[[#This Row],[Memo]]))</f>
        <v/>
      </c>
      <c r="O5484" t="s">
        <v>58</v>
      </c>
      <c r="P5484" t="s">
        <v>886</v>
      </c>
      <c r="Q5484" t="s">
        <v>58</v>
      </c>
      <c r="R5484" t="str">
        <f>IFERROR(VLOOKUP(record[[#This Row],[PCUSTID]],廠商[],2,FALSE),"")</f>
        <v/>
      </c>
      <c r="S5484" t="str">
        <f>VLOOKUP(record[[#This Row],[employeeID]],員工[],2,FALSE)</f>
        <v>謝蓁薰</v>
      </c>
    </row>
    <row r="5485" spans="6:19" hidden="1" x14ac:dyDescent="0.25">
      <c r="F5485" t="s">
        <v>1369</v>
      </c>
      <c r="G5485" t="s">
        <v>427</v>
      </c>
      <c r="H5485" t="str">
        <f>VLOOKUP(record[[#This Row],[ProcessSN]],表格2_7[],2,FALSE)</f>
        <v>30-4118-018-600</v>
      </c>
      <c r="I5485" t="str">
        <f>VLOOKUP(record[[#This Row],[ProcessSN]],表格2_7[],3,FALSE)</f>
        <v>#100STOCK</v>
      </c>
      <c r="J5485" t="s">
        <v>592</v>
      </c>
      <c r="K5485" s="195">
        <v>46015.710578703707</v>
      </c>
      <c r="L5485">
        <v>561</v>
      </c>
      <c r="M5485">
        <v>0</v>
      </c>
      <c r="N5485" s="98" t="str">
        <f>IF(record[[#This Row],[Memo]]="Browser:chrome os:android","平板報工",IF(record[[#This Row],[Memo]]=0,"委外",record[[#This Row],[Memo]]))</f>
        <v/>
      </c>
      <c r="O5485" t="s">
        <v>58</v>
      </c>
      <c r="P5485" t="s">
        <v>886</v>
      </c>
      <c r="Q5485" t="s">
        <v>58</v>
      </c>
      <c r="R5485" t="str">
        <f>IFERROR(VLOOKUP(record[[#This Row],[PCUSTID]],廠商[],2,FALSE),"")</f>
        <v/>
      </c>
      <c r="S5485" t="str">
        <f>VLOOKUP(record[[#This Row],[employeeID]],員工[],2,FALSE)</f>
        <v>謝蓁薰</v>
      </c>
    </row>
    <row r="5486" spans="6:19" hidden="1" x14ac:dyDescent="0.25">
      <c r="F5486" t="s">
        <v>1369</v>
      </c>
      <c r="G5486" t="s">
        <v>426</v>
      </c>
      <c r="H5486" t="str">
        <f>VLOOKUP(record[[#This Row],[ProcessSN]],表格2_7[],2,FALSE)</f>
        <v>30-4118-018-600</v>
      </c>
      <c r="I5486" t="str">
        <f>VLOOKUP(record[[#This Row],[ProcessSN]],表格2_7[],3,FALSE)</f>
        <v>#100OQC</v>
      </c>
      <c r="J5486" t="s">
        <v>599</v>
      </c>
      <c r="K5486" s="195">
        <v>46015.708113425928</v>
      </c>
      <c r="L5486">
        <v>561</v>
      </c>
      <c r="M5486">
        <v>0</v>
      </c>
      <c r="N5486" s="98" t="str">
        <f>IF(record[[#This Row],[Memo]]="Browser:chrome os:android","平板報工",IF(record[[#This Row],[Memo]]=0,"委外",record[[#This Row],[Memo]]))</f>
        <v/>
      </c>
      <c r="O5486" t="s">
        <v>58</v>
      </c>
      <c r="P5486" t="s">
        <v>121</v>
      </c>
      <c r="Q5486" t="s">
        <v>58</v>
      </c>
      <c r="R5486" t="str">
        <f>IFERROR(VLOOKUP(record[[#This Row],[PCUSTID]],廠商[],2,FALSE),"")</f>
        <v/>
      </c>
      <c r="S5486" t="str">
        <f>VLOOKUP(record[[#This Row],[employeeID]],員工[],2,FALSE)</f>
        <v>謝素卿</v>
      </c>
    </row>
    <row r="5487" spans="6:19" hidden="1" x14ac:dyDescent="0.25">
      <c r="F5487" t="s">
        <v>1366</v>
      </c>
      <c r="G5487" t="s">
        <v>401</v>
      </c>
      <c r="H5487" t="str">
        <f>VLOOKUP(record[[#This Row],[ProcessSN]],表格2_7[],2,FALSE)</f>
        <v>30-4118-018-550</v>
      </c>
      <c r="I5487" t="str">
        <f>VLOOKUP(record[[#This Row],[ProcessSN]],表格2_7[],3,FALSE)</f>
        <v>#100OQC</v>
      </c>
      <c r="J5487" t="s">
        <v>599</v>
      </c>
      <c r="K5487" s="195">
        <v>46015.707743055558</v>
      </c>
      <c r="L5487">
        <v>160</v>
      </c>
      <c r="M5487">
        <v>0</v>
      </c>
      <c r="N5487" s="98" t="str">
        <f>IF(record[[#This Row],[Memo]]="Browser:chrome os:android","平板報工",IF(record[[#This Row],[Memo]]=0,"委外",record[[#This Row],[Memo]]))</f>
        <v/>
      </c>
      <c r="O5487" t="s">
        <v>58</v>
      </c>
      <c r="P5487" t="s">
        <v>121</v>
      </c>
      <c r="Q5487" t="s">
        <v>58</v>
      </c>
      <c r="R5487" t="str">
        <f>IFERROR(VLOOKUP(record[[#This Row],[PCUSTID]],廠商[],2,FALSE),"")</f>
        <v/>
      </c>
      <c r="S5487" t="str">
        <f>VLOOKUP(record[[#This Row],[employeeID]],員工[],2,FALSE)</f>
        <v>謝素卿</v>
      </c>
    </row>
    <row r="5488" spans="6:19" hidden="1" x14ac:dyDescent="0.25">
      <c r="F5488" t="s">
        <v>1306</v>
      </c>
      <c r="G5488" t="s">
        <v>401</v>
      </c>
      <c r="H5488" t="str">
        <f>VLOOKUP(record[[#This Row],[ProcessSN]],表格2_7[],2,FALSE)</f>
        <v>30-4118-018-550</v>
      </c>
      <c r="I5488" t="str">
        <f>VLOOKUP(record[[#This Row],[ProcessSN]],表格2_7[],3,FALSE)</f>
        <v>#100OQC</v>
      </c>
      <c r="J5488" t="s">
        <v>599</v>
      </c>
      <c r="K5488" s="195">
        <v>46015.707615740743</v>
      </c>
      <c r="L5488">
        <v>2</v>
      </c>
      <c r="M5488">
        <v>0</v>
      </c>
      <c r="N5488" s="98" t="str">
        <f>IF(record[[#This Row],[Memo]]="Browser:chrome os:android","平板報工",IF(record[[#This Row],[Memo]]=0,"委外",record[[#This Row],[Memo]]))</f>
        <v/>
      </c>
      <c r="O5488" t="s">
        <v>58</v>
      </c>
      <c r="P5488" t="s">
        <v>121</v>
      </c>
      <c r="Q5488" t="s">
        <v>58</v>
      </c>
      <c r="R5488" t="str">
        <f>IFERROR(VLOOKUP(record[[#This Row],[PCUSTID]],廠商[],2,FALSE),"")</f>
        <v/>
      </c>
      <c r="S5488" t="str">
        <f>VLOOKUP(record[[#This Row],[employeeID]],員工[],2,FALSE)</f>
        <v>謝素卿</v>
      </c>
    </row>
    <row r="5489" spans="6:19" hidden="1" x14ac:dyDescent="0.25">
      <c r="F5489" t="s">
        <v>1302</v>
      </c>
      <c r="G5489" t="s">
        <v>401</v>
      </c>
      <c r="H5489" t="str">
        <f>VLOOKUP(record[[#This Row],[ProcessSN]],表格2_7[],2,FALSE)</f>
        <v>30-4118-018-550</v>
      </c>
      <c r="I5489" t="str">
        <f>VLOOKUP(record[[#This Row],[ProcessSN]],表格2_7[],3,FALSE)</f>
        <v>#100OQC</v>
      </c>
      <c r="J5489" t="s">
        <v>599</v>
      </c>
      <c r="K5489" s="195">
        <v>46015.707476851851</v>
      </c>
      <c r="L5489">
        <v>3</v>
      </c>
      <c r="M5489">
        <v>0</v>
      </c>
      <c r="N5489" s="98" t="str">
        <f>IF(record[[#This Row],[Memo]]="Browser:chrome os:android","平板報工",IF(record[[#This Row],[Memo]]=0,"委外",record[[#This Row],[Memo]]))</f>
        <v/>
      </c>
      <c r="O5489" t="s">
        <v>58</v>
      </c>
      <c r="P5489" t="s">
        <v>121</v>
      </c>
      <c r="Q5489" t="s">
        <v>58</v>
      </c>
      <c r="R5489" t="str">
        <f>IFERROR(VLOOKUP(record[[#This Row],[PCUSTID]],廠商[],2,FALSE),"")</f>
        <v/>
      </c>
      <c r="S5489" t="str">
        <f>VLOOKUP(record[[#This Row],[employeeID]],員工[],2,FALSE)</f>
        <v>謝素卿</v>
      </c>
    </row>
    <row r="5490" spans="6:19" hidden="1" x14ac:dyDescent="0.25">
      <c r="F5490" t="s">
        <v>1369</v>
      </c>
      <c r="G5490" t="s">
        <v>425</v>
      </c>
      <c r="H5490" t="str">
        <f>VLOOKUP(record[[#This Row],[ProcessSN]],表格2_7[],2,FALSE)</f>
        <v>30-4118-018-600</v>
      </c>
      <c r="I5490" t="str">
        <f>VLOOKUP(record[[#This Row],[ProcessSN]],表格2_7[],3,FALSE)</f>
        <v>#100</v>
      </c>
      <c r="J5490" t="s">
        <v>598</v>
      </c>
      <c r="K5490" s="195">
        <v>46015.668935185182</v>
      </c>
      <c r="L5490">
        <v>561</v>
      </c>
      <c r="M5490">
        <v>0</v>
      </c>
      <c r="N5490" s="98" t="str">
        <f>IF(record[[#This Row],[Memo]]="Browser:chrome os:android","平板報工",IF(record[[#This Row],[Memo]]=0,"委外",record[[#This Row],[Memo]]))</f>
        <v/>
      </c>
      <c r="O5490" t="s">
        <v>58</v>
      </c>
      <c r="P5490" t="s">
        <v>141</v>
      </c>
      <c r="Q5490" t="s">
        <v>58</v>
      </c>
      <c r="R5490" t="str">
        <f>IFERROR(VLOOKUP(record[[#This Row],[PCUSTID]],廠商[],2,FALSE),"")</f>
        <v/>
      </c>
      <c r="S5490" t="str">
        <f>VLOOKUP(record[[#This Row],[employeeID]],員工[],2,FALSE)</f>
        <v>蔣梅</v>
      </c>
    </row>
    <row r="5491" spans="6:19" hidden="1" x14ac:dyDescent="0.25">
      <c r="F5491" t="s">
        <v>1366</v>
      </c>
      <c r="G5491" t="s">
        <v>400</v>
      </c>
      <c r="H5491" t="str">
        <f>VLOOKUP(record[[#This Row],[ProcessSN]],表格2_7[],2,FALSE)</f>
        <v>30-4118-018-550</v>
      </c>
      <c r="I5491" t="str">
        <f>VLOOKUP(record[[#This Row],[ProcessSN]],表格2_7[],3,FALSE)</f>
        <v>#100</v>
      </c>
      <c r="J5491" t="s">
        <v>598</v>
      </c>
      <c r="K5491" s="195">
        <v>46015.668657407405</v>
      </c>
      <c r="L5491">
        <v>160</v>
      </c>
      <c r="M5491">
        <v>0</v>
      </c>
      <c r="N5491" s="98" t="str">
        <f>IF(record[[#This Row],[Memo]]="Browser:chrome os:android","平板報工",IF(record[[#This Row],[Memo]]=0,"委外",record[[#This Row],[Memo]]))</f>
        <v/>
      </c>
      <c r="O5491" t="s">
        <v>58</v>
      </c>
      <c r="P5491" t="s">
        <v>141</v>
      </c>
      <c r="Q5491" t="s">
        <v>58</v>
      </c>
      <c r="R5491" t="str">
        <f>IFERROR(VLOOKUP(record[[#This Row],[PCUSTID]],廠商[],2,FALSE),"")</f>
        <v/>
      </c>
      <c r="S5491" t="str">
        <f>VLOOKUP(record[[#This Row],[employeeID]],員工[],2,FALSE)</f>
        <v>蔣梅</v>
      </c>
    </row>
    <row r="5492" spans="6:19" hidden="1" x14ac:dyDescent="0.25">
      <c r="F5492" t="s">
        <v>1366</v>
      </c>
      <c r="G5492" t="s">
        <v>399</v>
      </c>
      <c r="H5492" t="str">
        <f>VLOOKUP(record[[#This Row],[ProcessSN]],表格2_7[],2,FALSE)</f>
        <v>30-4118-018-550</v>
      </c>
      <c r="I5492" t="str">
        <f>VLOOKUP(record[[#This Row],[ProcessSN]],表格2_7[],3,FALSE)</f>
        <v>#08IQC</v>
      </c>
      <c r="J5492" t="s">
        <v>583</v>
      </c>
      <c r="K5492" s="195">
        <v>46015.577627314815</v>
      </c>
      <c r="L5492">
        <v>281</v>
      </c>
      <c r="M5492">
        <v>0</v>
      </c>
      <c r="N5492" s="98" t="str">
        <f>IF(record[[#This Row],[Memo]]="Browser:chrome os:android","平板報工",IF(record[[#This Row],[Memo]]=0,"委外",record[[#This Row],[Memo]]))</f>
        <v/>
      </c>
      <c r="O5492" t="s">
        <v>58</v>
      </c>
      <c r="P5492" t="s">
        <v>109</v>
      </c>
      <c r="Q5492" t="s">
        <v>58</v>
      </c>
      <c r="R5492" t="str">
        <f>IFERROR(VLOOKUP(record[[#This Row],[PCUSTID]],廠商[],2,FALSE),"")</f>
        <v/>
      </c>
      <c r="S5492" t="str">
        <f>VLOOKUP(record[[#This Row],[employeeID]],員工[],2,FALSE)</f>
        <v>裴氏璧鳳</v>
      </c>
    </row>
    <row r="5493" spans="6:19" hidden="1" x14ac:dyDescent="0.25">
      <c r="F5493" t="s">
        <v>1369</v>
      </c>
      <c r="G5493" t="s">
        <v>424</v>
      </c>
      <c r="H5493" t="str">
        <f>VLOOKUP(record[[#This Row],[ProcessSN]],表格2_7[],2,FALSE)</f>
        <v>30-4118-018-600</v>
      </c>
      <c r="I5493" t="str">
        <f>VLOOKUP(record[[#This Row],[ProcessSN]],表格2_7[],3,FALSE)</f>
        <v>#08IQC</v>
      </c>
      <c r="J5493" t="s">
        <v>583</v>
      </c>
      <c r="K5493" s="195">
        <v>46015.577499999999</v>
      </c>
      <c r="L5493">
        <v>774</v>
      </c>
      <c r="M5493">
        <v>0</v>
      </c>
      <c r="N5493" s="98" t="str">
        <f>IF(record[[#This Row],[Memo]]="Browser:chrome os:android","平板報工",IF(record[[#This Row],[Memo]]=0,"委外",record[[#This Row],[Memo]]))</f>
        <v/>
      </c>
      <c r="O5493" t="s">
        <v>58</v>
      </c>
      <c r="P5493" t="s">
        <v>109</v>
      </c>
      <c r="Q5493" t="s">
        <v>58</v>
      </c>
      <c r="R5493" t="str">
        <f>IFERROR(VLOOKUP(record[[#This Row],[PCUSTID]],廠商[],2,FALSE),"")</f>
        <v/>
      </c>
      <c r="S5493" t="str">
        <f>VLOOKUP(record[[#This Row],[employeeID]],員工[],2,FALSE)</f>
        <v>裴氏璧鳳</v>
      </c>
    </row>
    <row r="5494" spans="6:19" hidden="1" x14ac:dyDescent="0.25">
      <c r="F5494" t="s">
        <v>1385</v>
      </c>
      <c r="G5494" t="s">
        <v>463</v>
      </c>
      <c r="H5494" t="str">
        <f>VLOOKUP(record[[#This Row],[ProcessSN]],表格2_7[],2,FALSE)</f>
        <v>30-4118-018-XXX</v>
      </c>
      <c r="I5494" t="str">
        <f>VLOOKUP(record[[#This Row],[ProcessSN]],表格2_7[],3,FALSE)</f>
        <v>#00IQC</v>
      </c>
      <c r="J5494" t="s">
        <v>583</v>
      </c>
      <c r="K5494" s="195">
        <v>46015.567118055558</v>
      </c>
      <c r="L5494">
        <v>3840</v>
      </c>
      <c r="M5494">
        <v>0</v>
      </c>
      <c r="N5494" s="98" t="str">
        <f>IF(record[[#This Row],[Memo]]="Browser:chrome os:android","平板報工",IF(record[[#This Row],[Memo]]=0,"委外",record[[#This Row],[Memo]]))</f>
        <v/>
      </c>
      <c r="O5494" t="s">
        <v>58</v>
      </c>
      <c r="P5494" t="s">
        <v>109</v>
      </c>
      <c r="Q5494" t="s">
        <v>58</v>
      </c>
      <c r="R5494" t="str">
        <f>IFERROR(VLOOKUP(record[[#This Row],[PCUSTID]],廠商[],2,FALSE),"")</f>
        <v/>
      </c>
      <c r="S5494" t="str">
        <f>VLOOKUP(record[[#This Row],[employeeID]],員工[],2,FALSE)</f>
        <v>裴氏璧鳳</v>
      </c>
    </row>
    <row r="5495" spans="6:19" hidden="1" x14ac:dyDescent="0.25">
      <c r="F5495" t="s">
        <v>1315</v>
      </c>
      <c r="G5495" t="s">
        <v>362</v>
      </c>
      <c r="H5495" t="str">
        <f>VLOOKUP(record[[#This Row],[ProcessSN]],表格2_7[],2,FALSE)</f>
        <v>30-4118-018-450</v>
      </c>
      <c r="I5495" t="str">
        <f>VLOOKUP(record[[#This Row],[ProcessSN]],表格2_7[],3,FALSE)</f>
        <v>#100SHIP</v>
      </c>
      <c r="J5495" t="s">
        <v>600</v>
      </c>
      <c r="K5495" s="195">
        <v>46015.503333333334</v>
      </c>
      <c r="L5495">
        <v>9</v>
      </c>
      <c r="M5495">
        <v>0</v>
      </c>
      <c r="N5495" s="98" t="str">
        <f>IF(record[[#This Row],[Memo]]="Browser:chrome os:android","平板報工",IF(record[[#This Row],[Memo]]=0,"委外",record[[#This Row],[Memo]]))</f>
        <v/>
      </c>
      <c r="O5495" t="s">
        <v>58</v>
      </c>
      <c r="P5495" t="s">
        <v>886</v>
      </c>
      <c r="Q5495" t="s">
        <v>58</v>
      </c>
      <c r="R5495" t="str">
        <f>IFERROR(VLOOKUP(record[[#This Row],[PCUSTID]],廠商[],2,FALSE),"")</f>
        <v/>
      </c>
      <c r="S5495" t="str">
        <f>VLOOKUP(record[[#This Row],[employeeID]],員工[],2,FALSE)</f>
        <v>謝蓁薰</v>
      </c>
    </row>
    <row r="5496" spans="6:19" hidden="1" x14ac:dyDescent="0.25">
      <c r="F5496" t="s">
        <v>1350</v>
      </c>
      <c r="G5496" t="s">
        <v>403</v>
      </c>
      <c r="H5496" t="str">
        <f>VLOOKUP(record[[#This Row],[ProcessSN]],表格2_7[],2,FALSE)</f>
        <v>30-4118-018-550</v>
      </c>
      <c r="I5496" t="str">
        <f>VLOOKUP(record[[#This Row],[ProcessSN]],表格2_7[],3,FALSE)</f>
        <v>#100SHIP</v>
      </c>
      <c r="J5496" t="s">
        <v>600</v>
      </c>
      <c r="K5496" s="195">
        <v>46015.501747685186</v>
      </c>
      <c r="L5496">
        <v>97</v>
      </c>
      <c r="M5496">
        <v>0</v>
      </c>
      <c r="N5496" s="98" t="str">
        <f>IF(record[[#This Row],[Memo]]="Browser:chrome os:android","平板報工",IF(record[[#This Row],[Memo]]=0,"委外",record[[#This Row],[Memo]]))</f>
        <v/>
      </c>
      <c r="O5496" t="s">
        <v>58</v>
      </c>
      <c r="P5496" t="s">
        <v>886</v>
      </c>
      <c r="Q5496" t="s">
        <v>58</v>
      </c>
      <c r="R5496" t="str">
        <f>IFERROR(VLOOKUP(record[[#This Row],[PCUSTID]],廠商[],2,FALSE),"")</f>
        <v/>
      </c>
      <c r="S5496" t="str">
        <f>VLOOKUP(record[[#This Row],[employeeID]],員工[],2,FALSE)</f>
        <v>謝蓁薰</v>
      </c>
    </row>
    <row r="5497" spans="6:19" hidden="1" x14ac:dyDescent="0.25">
      <c r="F5497" t="s">
        <v>1315</v>
      </c>
      <c r="G5497" t="s">
        <v>362</v>
      </c>
      <c r="H5497" t="str">
        <f>VLOOKUP(record[[#This Row],[ProcessSN]],表格2_7[],2,FALSE)</f>
        <v>30-4118-018-450</v>
      </c>
      <c r="I5497" t="str">
        <f>VLOOKUP(record[[#This Row],[ProcessSN]],表格2_7[],3,FALSE)</f>
        <v>#100SHIP</v>
      </c>
      <c r="J5497" t="s">
        <v>600</v>
      </c>
      <c r="K5497" s="195">
        <v>46015.501620370371</v>
      </c>
      <c r="L5497">
        <v>1</v>
      </c>
      <c r="M5497">
        <v>0</v>
      </c>
      <c r="N5497" s="98" t="str">
        <f>IF(record[[#This Row],[Memo]]="Browser:chrome os:android","平板報工",IF(record[[#This Row],[Memo]]=0,"委外",record[[#This Row],[Memo]]))</f>
        <v/>
      </c>
      <c r="O5497" t="s">
        <v>58</v>
      </c>
      <c r="P5497" t="s">
        <v>886</v>
      </c>
      <c r="Q5497" t="s">
        <v>58</v>
      </c>
      <c r="R5497" t="str">
        <f>IFERROR(VLOOKUP(record[[#This Row],[PCUSTID]],廠商[],2,FALSE),"")</f>
        <v/>
      </c>
      <c r="S5497" t="str">
        <f>VLOOKUP(record[[#This Row],[employeeID]],員工[],2,FALSE)</f>
        <v>謝蓁薰</v>
      </c>
    </row>
    <row r="5498" spans="6:19" hidden="1" x14ac:dyDescent="0.25">
      <c r="F5498" t="s">
        <v>1277</v>
      </c>
      <c r="G5498" t="s">
        <v>362</v>
      </c>
      <c r="H5498" t="str">
        <f>VLOOKUP(record[[#This Row],[ProcessSN]],表格2_7[],2,FALSE)</f>
        <v>30-4118-018-450</v>
      </c>
      <c r="I5498" t="str">
        <f>VLOOKUP(record[[#This Row],[ProcessSN]],表格2_7[],3,FALSE)</f>
        <v>#100SHIP</v>
      </c>
      <c r="J5498" t="s">
        <v>600</v>
      </c>
      <c r="K5498" s="195">
        <v>46015.501446759263</v>
      </c>
      <c r="L5498">
        <v>6</v>
      </c>
      <c r="M5498">
        <v>0</v>
      </c>
      <c r="N5498" s="98" t="str">
        <f>IF(record[[#This Row],[Memo]]="Browser:chrome os:android","平板報工",IF(record[[#This Row],[Memo]]=0,"委外",record[[#This Row],[Memo]]))</f>
        <v/>
      </c>
      <c r="O5498" t="s">
        <v>58</v>
      </c>
      <c r="P5498" t="s">
        <v>886</v>
      </c>
      <c r="Q5498" t="s">
        <v>58</v>
      </c>
      <c r="R5498" t="str">
        <f>IFERROR(VLOOKUP(record[[#This Row],[PCUSTID]],廠商[],2,FALSE),"")</f>
        <v/>
      </c>
      <c r="S5498" t="str">
        <f>VLOOKUP(record[[#This Row],[employeeID]],員工[],2,FALSE)</f>
        <v>謝蓁薰</v>
      </c>
    </row>
    <row r="5499" spans="6:19" hidden="1" x14ac:dyDescent="0.25">
      <c r="F5499" t="s">
        <v>1277</v>
      </c>
      <c r="G5499" t="s">
        <v>362</v>
      </c>
      <c r="H5499" t="str">
        <f>VLOOKUP(record[[#This Row],[ProcessSN]],表格2_7[],2,FALSE)</f>
        <v>30-4118-018-450</v>
      </c>
      <c r="I5499" t="str">
        <f>VLOOKUP(record[[#This Row],[ProcessSN]],表格2_7[],3,FALSE)</f>
        <v>#100SHIP</v>
      </c>
      <c r="J5499" t="s">
        <v>600</v>
      </c>
      <c r="K5499" s="195">
        <v>46015.49962962963</v>
      </c>
      <c r="L5499">
        <v>4</v>
      </c>
      <c r="M5499">
        <v>0</v>
      </c>
      <c r="N5499" s="98" t="str">
        <f>IF(record[[#This Row],[Memo]]="Browser:chrome os:android","平板報工",IF(record[[#This Row],[Memo]]=0,"委外",record[[#This Row],[Memo]]))</f>
        <v/>
      </c>
      <c r="O5499" t="s">
        <v>58</v>
      </c>
      <c r="P5499" t="s">
        <v>886</v>
      </c>
      <c r="Q5499" t="s">
        <v>58</v>
      </c>
      <c r="R5499" t="str">
        <f>IFERROR(VLOOKUP(record[[#This Row],[PCUSTID]],廠商[],2,FALSE),"")</f>
        <v/>
      </c>
      <c r="S5499" t="str">
        <f>VLOOKUP(record[[#This Row],[employeeID]],員工[],2,FALSE)</f>
        <v>謝蓁薰</v>
      </c>
    </row>
    <row r="5500" spans="6:19" hidden="1" x14ac:dyDescent="0.25">
      <c r="F5500" t="s">
        <v>1385</v>
      </c>
      <c r="G5500" t="s">
        <v>462</v>
      </c>
      <c r="H5500" t="str">
        <f>VLOOKUP(record[[#This Row],[ProcessSN]],表格2_7[],2,FALSE)</f>
        <v>30-4118-018-XXX</v>
      </c>
      <c r="I5500" t="str">
        <f>VLOOKUP(record[[#This Row],[ProcessSN]],表格2_7[],3,FALSE)</f>
        <v>#00PICK</v>
      </c>
      <c r="J5500" t="s">
        <v>582</v>
      </c>
      <c r="K5500" s="195">
        <v>46015.457152777781</v>
      </c>
      <c r="L5500">
        <v>3840</v>
      </c>
      <c r="M5500">
        <v>0</v>
      </c>
      <c r="N5500" s="98" t="str">
        <f>IF(record[[#This Row],[Memo]]="Browser:chrome os:android","平板報工",IF(record[[#This Row],[Memo]]=0,"委外",record[[#This Row],[Memo]]))</f>
        <v/>
      </c>
      <c r="O5500" t="s">
        <v>58</v>
      </c>
      <c r="P5500" t="s">
        <v>186</v>
      </c>
      <c r="Q5500" t="s">
        <v>58</v>
      </c>
      <c r="R5500" t="str">
        <f>IFERROR(VLOOKUP(record[[#This Row],[PCUSTID]],廠商[],2,FALSE),"")</f>
        <v/>
      </c>
      <c r="S5500" t="str">
        <f>VLOOKUP(record[[#This Row],[employeeID]],員工[],2,FALSE)</f>
        <v>許文姍</v>
      </c>
    </row>
    <row r="5501" spans="6:19" hidden="1" x14ac:dyDescent="0.25">
      <c r="F5501" t="s">
        <v>1366</v>
      </c>
      <c r="G5501" t="s">
        <v>398</v>
      </c>
      <c r="H5501" t="str">
        <f>VLOOKUP(record[[#This Row],[ProcessSN]],表格2_7[],2,FALSE)</f>
        <v>30-4118-018-550</v>
      </c>
      <c r="I5501" t="str">
        <f>VLOOKUP(record[[#This Row],[ProcessSN]],表格2_7[],3,FALSE)</f>
        <v>#08RCV</v>
      </c>
      <c r="J5501" t="s">
        <v>591</v>
      </c>
      <c r="K5501" s="195">
        <v>46015.447500000002</v>
      </c>
      <c r="L5501">
        <v>281</v>
      </c>
      <c r="M5501">
        <v>0</v>
      </c>
      <c r="N5501" s="98" t="str">
        <f>IF(record[[#This Row],[Memo]]="Browser:chrome os:android","平板報工",IF(record[[#This Row],[Memo]]=0,"委外",record[[#This Row],[Memo]]))</f>
        <v/>
      </c>
      <c r="O5501" t="s">
        <v>58</v>
      </c>
      <c r="P5501" t="s">
        <v>186</v>
      </c>
      <c r="Q5501" t="s">
        <v>58</v>
      </c>
      <c r="R5501" t="str">
        <f>IFERROR(VLOOKUP(record[[#This Row],[PCUSTID]],廠商[],2,FALSE),"")</f>
        <v/>
      </c>
      <c r="S5501" t="str">
        <f>VLOOKUP(record[[#This Row],[employeeID]],員工[],2,FALSE)</f>
        <v>許文姍</v>
      </c>
    </row>
    <row r="5502" spans="6:19" hidden="1" x14ac:dyDescent="0.25">
      <c r="F5502" t="s">
        <v>1369</v>
      </c>
      <c r="G5502" t="s">
        <v>423</v>
      </c>
      <c r="H5502" t="str">
        <f>VLOOKUP(record[[#This Row],[ProcessSN]],表格2_7[],2,FALSE)</f>
        <v>30-4118-018-600</v>
      </c>
      <c r="I5502" t="str">
        <f>VLOOKUP(record[[#This Row],[ProcessSN]],表格2_7[],3,FALSE)</f>
        <v>#08RCV</v>
      </c>
      <c r="J5502" t="s">
        <v>591</v>
      </c>
      <c r="K5502" s="195">
        <v>46015.447025462963</v>
      </c>
      <c r="L5502">
        <v>774</v>
      </c>
      <c r="M5502">
        <v>0</v>
      </c>
      <c r="N5502" s="98" t="str">
        <f>IF(record[[#This Row],[Memo]]="Browser:chrome os:android","平板報工",IF(record[[#This Row],[Memo]]=0,"委外",record[[#This Row],[Memo]]))</f>
        <v/>
      </c>
      <c r="O5502" t="s">
        <v>58</v>
      </c>
      <c r="P5502" t="s">
        <v>186</v>
      </c>
      <c r="Q5502" t="s">
        <v>58</v>
      </c>
      <c r="R5502" t="str">
        <f>IFERROR(VLOOKUP(record[[#This Row],[PCUSTID]],廠商[],2,FALSE),"")</f>
        <v/>
      </c>
      <c r="S5502" t="str">
        <f>VLOOKUP(record[[#This Row],[employeeID]],員工[],2,FALSE)</f>
        <v>許文姍</v>
      </c>
    </row>
    <row r="5503" spans="6:19" hidden="1" x14ac:dyDescent="0.25">
      <c r="F5503" t="s">
        <v>1339</v>
      </c>
      <c r="G5503" t="s">
        <v>376</v>
      </c>
      <c r="H5503" t="str">
        <f>VLOOKUP(record[[#This Row],[ProcessSN]],表格2_7[],2,FALSE)</f>
        <v>30-4118-018-4XX</v>
      </c>
      <c r="I5503" t="str">
        <f>VLOOKUP(record[[#This Row],[ProcessSN]],表格2_7[],3,FALSE)</f>
        <v>#06</v>
      </c>
      <c r="J5503" t="s">
        <v>593</v>
      </c>
      <c r="K5503" s="195">
        <v>46015.30641203704</v>
      </c>
      <c r="L5503">
        <v>133</v>
      </c>
      <c r="M5503">
        <v>0</v>
      </c>
      <c r="N5503" s="98" t="str">
        <f>IF(record[[#This Row],[Memo]]="Browser:chrome os:android","平板報工",IF(record[[#This Row],[Memo]]=0,"委外",record[[#This Row],[Memo]]))</f>
        <v/>
      </c>
      <c r="O5503" t="s">
        <v>58</v>
      </c>
      <c r="P5503" t="s">
        <v>180</v>
      </c>
      <c r="Q5503" t="s">
        <v>58</v>
      </c>
      <c r="R5503" t="str">
        <f>IFERROR(VLOOKUP(record[[#This Row],[PCUSTID]],廠商[],2,FALSE),"")</f>
        <v/>
      </c>
      <c r="S5503" t="str">
        <f>VLOOKUP(record[[#This Row],[employeeID]],員工[],2,FALSE)</f>
        <v>黎功江</v>
      </c>
    </row>
    <row r="5504" spans="6:19" hidden="1" x14ac:dyDescent="0.25">
      <c r="F5504" t="s">
        <v>1339</v>
      </c>
      <c r="G5504" t="s">
        <v>375</v>
      </c>
      <c r="H5504" t="str">
        <f>VLOOKUP(record[[#This Row],[ProcessSN]],表格2_7[],2,FALSE)</f>
        <v>30-4118-018-4XX</v>
      </c>
      <c r="I5504" t="str">
        <f>VLOOKUP(record[[#This Row],[ProcessSN]],表格2_7[],3,FALSE)</f>
        <v>#05</v>
      </c>
      <c r="J5504" t="s">
        <v>588</v>
      </c>
      <c r="K5504" s="195">
        <v>46015.305601851855</v>
      </c>
      <c r="L5504">
        <v>125</v>
      </c>
      <c r="M5504">
        <v>0</v>
      </c>
      <c r="N5504" s="98" t="str">
        <f>IF(record[[#This Row],[Memo]]="Browser:chrome os:android","平板報工",IF(record[[#This Row],[Memo]]=0,"委外",record[[#This Row],[Memo]]))</f>
        <v/>
      </c>
      <c r="O5504" t="s">
        <v>58</v>
      </c>
      <c r="P5504" t="s">
        <v>843</v>
      </c>
      <c r="Q5504" t="s">
        <v>58</v>
      </c>
      <c r="R5504" t="str">
        <f>IFERROR(VLOOKUP(record[[#This Row],[PCUSTID]],廠商[],2,FALSE),"")</f>
        <v/>
      </c>
      <c r="S5504" t="str">
        <f>VLOOKUP(record[[#This Row],[employeeID]],員工[],2,FALSE)</f>
        <v>張楚承</v>
      </c>
    </row>
    <row r="5505" spans="6:19" hidden="1" x14ac:dyDescent="0.25">
      <c r="F5505" t="s">
        <v>1339</v>
      </c>
      <c r="G5505" t="s">
        <v>374</v>
      </c>
      <c r="H5505" t="str">
        <f>VLOOKUP(record[[#This Row],[ProcessSN]],表格2_7[],2,FALSE)</f>
        <v>30-4118-018-4XX</v>
      </c>
      <c r="I5505" t="str">
        <f>VLOOKUP(record[[#This Row],[ProcessSN]],表格2_7[],3,FALSE)</f>
        <v>#04</v>
      </c>
      <c r="J5505" t="s">
        <v>588</v>
      </c>
      <c r="K5505" s="195">
        <v>46015.305104166669</v>
      </c>
      <c r="L5505">
        <v>125</v>
      </c>
      <c r="M5505">
        <v>2</v>
      </c>
      <c r="N5505" s="98" t="str">
        <f>IF(record[[#This Row],[Memo]]="Browser:chrome os:android","平板報工",IF(record[[#This Row],[Memo]]=0,"委外",record[[#This Row],[Memo]]))</f>
        <v/>
      </c>
      <c r="O5505" t="s">
        <v>58</v>
      </c>
      <c r="P5505" t="s">
        <v>135</v>
      </c>
      <c r="Q5505" t="s">
        <v>58</v>
      </c>
      <c r="R5505" t="str">
        <f>IFERROR(VLOOKUP(record[[#This Row],[PCUSTID]],廠商[],2,FALSE),"")</f>
        <v/>
      </c>
      <c r="S5505" t="str">
        <f>VLOOKUP(record[[#This Row],[employeeID]],員工[],2,FALSE)</f>
        <v>阮士文</v>
      </c>
    </row>
    <row r="5506" spans="6:19" hidden="1" x14ac:dyDescent="0.25">
      <c r="F5506" t="s">
        <v>1339</v>
      </c>
      <c r="G5506" t="s">
        <v>375</v>
      </c>
      <c r="H5506" t="str">
        <f>VLOOKUP(record[[#This Row],[ProcessSN]],表格2_7[],2,FALSE)</f>
        <v>30-4118-018-4XX</v>
      </c>
      <c r="I5506" t="str">
        <f>VLOOKUP(record[[#This Row],[ProcessSN]],表格2_7[],3,FALSE)</f>
        <v>#05</v>
      </c>
      <c r="J5506" t="s">
        <v>588</v>
      </c>
      <c r="K5506" s="195">
        <v>46014.986354166664</v>
      </c>
      <c r="L5506">
        <v>144</v>
      </c>
      <c r="M5506">
        <v>0</v>
      </c>
      <c r="N5506" s="98" t="str">
        <f>IF(record[[#This Row],[Memo]]="Browser:chrome os:android","平板報工",IF(record[[#This Row],[Memo]]=0,"委外",record[[#This Row],[Memo]]))</f>
        <v/>
      </c>
      <c r="O5506" t="s">
        <v>58</v>
      </c>
      <c r="P5506" t="s">
        <v>89</v>
      </c>
      <c r="Q5506" t="s">
        <v>58</v>
      </c>
      <c r="R5506" t="str">
        <f>IFERROR(VLOOKUP(record[[#This Row],[PCUSTID]],廠商[],2,FALSE),"")</f>
        <v/>
      </c>
      <c r="S5506" t="str">
        <f>VLOOKUP(record[[#This Row],[employeeID]],員工[],2,FALSE)</f>
        <v>李美蓮</v>
      </c>
    </row>
    <row r="5507" spans="6:19" hidden="1" x14ac:dyDescent="0.25">
      <c r="F5507" t="s">
        <v>1380</v>
      </c>
      <c r="G5507" t="s">
        <v>373</v>
      </c>
      <c r="H5507" t="str">
        <f>VLOOKUP(record[[#This Row],[ProcessSN]],表格2_7[],2,FALSE)</f>
        <v>30-4118-018-4XX</v>
      </c>
      <c r="I5507" t="str">
        <f>VLOOKUP(record[[#This Row],[ProcessSN]],表格2_7[],3,FALSE)</f>
        <v>#03</v>
      </c>
      <c r="J5507" t="s">
        <v>588</v>
      </c>
      <c r="K5507" s="195">
        <v>46014.985752314817</v>
      </c>
      <c r="L5507">
        <v>42</v>
      </c>
      <c r="M5507">
        <v>0</v>
      </c>
      <c r="N5507" s="98" t="str">
        <f>IF(record[[#This Row],[Memo]]="Browser:chrome os:android","平板報工",IF(record[[#This Row],[Memo]]=0,"委外",record[[#This Row],[Memo]]))</f>
        <v/>
      </c>
      <c r="O5507" t="s">
        <v>58</v>
      </c>
      <c r="P5507" t="s">
        <v>1098</v>
      </c>
      <c r="Q5507" t="s">
        <v>58</v>
      </c>
      <c r="R5507" t="str">
        <f>IFERROR(VLOOKUP(record[[#This Row],[PCUSTID]],廠商[],2,FALSE),"")</f>
        <v/>
      </c>
      <c r="S5507" t="str">
        <f>VLOOKUP(record[[#This Row],[employeeID]],員工[],2,FALSE)</f>
        <v>阮氏芳英(英)</v>
      </c>
    </row>
    <row r="5508" spans="6:19" hidden="1" x14ac:dyDescent="0.25">
      <c r="F5508" t="s">
        <v>1339</v>
      </c>
      <c r="G5508" t="s">
        <v>374</v>
      </c>
      <c r="H5508" t="str">
        <f>VLOOKUP(record[[#This Row],[ProcessSN]],表格2_7[],2,FALSE)</f>
        <v>30-4118-018-4XX</v>
      </c>
      <c r="I5508" t="str">
        <f>VLOOKUP(record[[#This Row],[ProcessSN]],表格2_7[],3,FALSE)</f>
        <v>#04</v>
      </c>
      <c r="J5508" t="s">
        <v>588</v>
      </c>
      <c r="K5508" s="195">
        <v>46014.981782407405</v>
      </c>
      <c r="L5508">
        <v>144</v>
      </c>
      <c r="M5508">
        <v>0</v>
      </c>
      <c r="N5508" s="98" t="str">
        <f>IF(record[[#This Row],[Memo]]="Browser:chrome os:android","平板報工",IF(record[[#This Row],[Memo]]=0,"委外",record[[#This Row],[Memo]]))</f>
        <v/>
      </c>
      <c r="O5508" t="s">
        <v>58</v>
      </c>
      <c r="P5508" t="s">
        <v>1098</v>
      </c>
      <c r="Q5508" t="s">
        <v>58</v>
      </c>
      <c r="R5508" t="str">
        <f>IFERROR(VLOOKUP(record[[#This Row],[PCUSTID]],廠商[],2,FALSE),"")</f>
        <v/>
      </c>
      <c r="S5508" t="str">
        <f>VLOOKUP(record[[#This Row],[employeeID]],員工[],2,FALSE)</f>
        <v>阮氏芳英(英)</v>
      </c>
    </row>
    <row r="5509" spans="6:19" hidden="1" x14ac:dyDescent="0.25">
      <c r="F5509" t="s">
        <v>1381</v>
      </c>
      <c r="G5509" t="s">
        <v>414</v>
      </c>
      <c r="H5509" t="str">
        <f>VLOOKUP(record[[#This Row],[ProcessSN]],表格2_7[],2,FALSE)</f>
        <v>30-4118-018-5XX</v>
      </c>
      <c r="I5509" t="str">
        <f>VLOOKUP(record[[#This Row],[ProcessSN]],表格2_7[],3,FALSE)</f>
        <v>#03</v>
      </c>
      <c r="J5509" t="s">
        <v>588</v>
      </c>
      <c r="K5509" s="195">
        <v>46014.980775462966</v>
      </c>
      <c r="L5509">
        <v>1032</v>
      </c>
      <c r="M5509">
        <v>0</v>
      </c>
      <c r="N5509" s="98" t="str">
        <f>IF(record[[#This Row],[Memo]]="Browser:chrome os:android","平板報工",IF(record[[#This Row],[Memo]]=0,"委外",record[[#This Row],[Memo]]))</f>
        <v/>
      </c>
      <c r="O5509" t="s">
        <v>58</v>
      </c>
      <c r="P5509" t="s">
        <v>1098</v>
      </c>
      <c r="Q5509" t="s">
        <v>58</v>
      </c>
      <c r="R5509" t="str">
        <f>IFERROR(VLOOKUP(record[[#This Row],[PCUSTID]],廠商[],2,FALSE),"")</f>
        <v/>
      </c>
      <c r="S5509" t="str">
        <f>VLOOKUP(record[[#This Row],[employeeID]],員工[],2,FALSE)</f>
        <v>阮氏芳英(英)</v>
      </c>
    </row>
    <row r="5510" spans="6:19" hidden="1" x14ac:dyDescent="0.25">
      <c r="F5510" t="s">
        <v>1339</v>
      </c>
      <c r="G5510" t="s">
        <v>376</v>
      </c>
      <c r="H5510" t="str">
        <f>VLOOKUP(record[[#This Row],[ProcessSN]],表格2_7[],2,FALSE)</f>
        <v>30-4118-018-4XX</v>
      </c>
      <c r="I5510" t="str">
        <f>VLOOKUP(record[[#This Row],[ProcessSN]],表格2_7[],3,FALSE)</f>
        <v>#06</v>
      </c>
      <c r="J5510" t="s">
        <v>593</v>
      </c>
      <c r="K5510" s="195">
        <v>46014.979085648149</v>
      </c>
      <c r="L5510">
        <v>125</v>
      </c>
      <c r="M5510">
        <v>0</v>
      </c>
      <c r="N5510" s="98" t="str">
        <f>IF(record[[#This Row],[Memo]]="Browser:chrome os:android","平板報工",IF(record[[#This Row],[Memo]]=0,"委外",record[[#This Row],[Memo]]))</f>
        <v/>
      </c>
      <c r="O5510" t="s">
        <v>58</v>
      </c>
      <c r="P5510" t="s">
        <v>176</v>
      </c>
      <c r="Q5510" t="s">
        <v>58</v>
      </c>
      <c r="R5510" t="str">
        <f>IFERROR(VLOOKUP(record[[#This Row],[PCUSTID]],廠商[],2,FALSE),"")</f>
        <v/>
      </c>
      <c r="S5510" t="str">
        <f>VLOOKUP(record[[#This Row],[employeeID]],員工[],2,FALSE)</f>
        <v>郭政雄</v>
      </c>
    </row>
    <row r="5511" spans="6:19" hidden="1" x14ac:dyDescent="0.25">
      <c r="F5511" t="s">
        <v>1339</v>
      </c>
      <c r="G5511" t="s">
        <v>376</v>
      </c>
      <c r="H5511" t="str">
        <f>VLOOKUP(record[[#This Row],[ProcessSN]],表格2_7[],2,FALSE)</f>
        <v>30-4118-018-4XX</v>
      </c>
      <c r="I5511" t="str">
        <f>VLOOKUP(record[[#This Row],[ProcessSN]],表格2_7[],3,FALSE)</f>
        <v>#06</v>
      </c>
      <c r="J5511" t="s">
        <v>593</v>
      </c>
      <c r="K5511" s="195">
        <v>46014.646018518521</v>
      </c>
      <c r="L5511">
        <v>115</v>
      </c>
      <c r="M5511">
        <v>0</v>
      </c>
      <c r="N5511" s="98" t="str">
        <f>IF(record[[#This Row],[Memo]]="Browser:chrome os:android","平板報工",IF(record[[#This Row],[Memo]]=0,"委外",record[[#This Row],[Memo]]))</f>
        <v/>
      </c>
      <c r="O5511" t="s">
        <v>58</v>
      </c>
      <c r="P5511" t="s">
        <v>166</v>
      </c>
      <c r="Q5511" t="s">
        <v>58</v>
      </c>
      <c r="R5511" t="str">
        <f>IFERROR(VLOOKUP(record[[#This Row],[PCUSTID]],廠商[],2,FALSE),"")</f>
        <v/>
      </c>
      <c r="S5511" t="str">
        <f>VLOOKUP(record[[#This Row],[employeeID]],員工[],2,FALSE)</f>
        <v>阮懷香</v>
      </c>
    </row>
    <row r="5512" spans="6:19" hidden="1" x14ac:dyDescent="0.25">
      <c r="F5512" t="s">
        <v>1339</v>
      </c>
      <c r="G5512" t="s">
        <v>375</v>
      </c>
      <c r="H5512" t="str">
        <f>VLOOKUP(record[[#This Row],[ProcessSN]],表格2_7[],2,FALSE)</f>
        <v>30-4118-018-4XX</v>
      </c>
      <c r="I5512" t="str">
        <f>VLOOKUP(record[[#This Row],[ProcessSN]],表格2_7[],3,FALSE)</f>
        <v>#05</v>
      </c>
      <c r="J5512" t="s">
        <v>588</v>
      </c>
      <c r="K5512" s="195">
        <v>46014.644930555558</v>
      </c>
      <c r="L5512">
        <v>139</v>
      </c>
      <c r="M5512">
        <v>0</v>
      </c>
      <c r="N5512" s="98" t="str">
        <f>IF(record[[#This Row],[Memo]]="Browser:chrome os:android","平板報工",IF(record[[#This Row],[Memo]]=0,"委外",record[[#This Row],[Memo]]))</f>
        <v/>
      </c>
      <c r="O5512" t="s">
        <v>58</v>
      </c>
      <c r="P5512" t="s">
        <v>785</v>
      </c>
      <c r="Q5512" t="s">
        <v>58</v>
      </c>
      <c r="R5512" t="str">
        <f>IFERROR(VLOOKUP(record[[#This Row],[PCUSTID]],廠商[],2,FALSE),"")</f>
        <v/>
      </c>
      <c r="S5512" t="str">
        <f>VLOOKUP(record[[#This Row],[employeeID]],員工[],2,FALSE)</f>
        <v>謝刻光</v>
      </c>
    </row>
    <row r="5513" spans="6:19" hidden="1" x14ac:dyDescent="0.25">
      <c r="F5513" t="s">
        <v>1339</v>
      </c>
      <c r="G5513" t="s">
        <v>374</v>
      </c>
      <c r="H5513" t="str">
        <f>VLOOKUP(record[[#This Row],[ProcessSN]],表格2_7[],2,FALSE)</f>
        <v>30-4118-018-4XX</v>
      </c>
      <c r="I5513" t="str">
        <f>VLOOKUP(record[[#This Row],[ProcessSN]],表格2_7[],3,FALSE)</f>
        <v>#04</v>
      </c>
      <c r="J5513" t="s">
        <v>588</v>
      </c>
      <c r="K5513" s="195">
        <v>46014.644699074073</v>
      </c>
      <c r="L5513">
        <v>139</v>
      </c>
      <c r="M5513">
        <v>0</v>
      </c>
      <c r="N5513" s="98" t="str">
        <f>IF(record[[#This Row],[Memo]]="Browser:chrome os:android","平板報工",IF(record[[#This Row],[Memo]]=0,"委外",record[[#This Row],[Memo]]))</f>
        <v/>
      </c>
      <c r="O5513" t="s">
        <v>58</v>
      </c>
      <c r="P5513" t="s">
        <v>789</v>
      </c>
      <c r="Q5513" t="s">
        <v>58</v>
      </c>
      <c r="R5513" t="str">
        <f>IFERROR(VLOOKUP(record[[#This Row],[PCUSTID]],廠商[],2,FALSE),"")</f>
        <v/>
      </c>
      <c r="S5513" t="str">
        <f>VLOOKUP(record[[#This Row],[employeeID]],員工[],2,FALSE)</f>
        <v>張月霞</v>
      </c>
    </row>
    <row r="5514" spans="6:19" hidden="1" x14ac:dyDescent="0.25">
      <c r="F5514" t="s">
        <v>581</v>
      </c>
      <c r="G5514" t="s">
        <v>470</v>
      </c>
      <c r="H5514" t="str">
        <f>VLOOKUP(record[[#This Row],[ProcessSN]],表格2_7[],2,FALSE)</f>
        <v>30-4118-018-XXX</v>
      </c>
      <c r="I5514" t="str">
        <f>VLOOKUP(record[[#This Row],[ProcessSN]],表格2_7[],3,FALSE)</f>
        <v>#02IQC</v>
      </c>
      <c r="J5514" t="s">
        <v>583</v>
      </c>
      <c r="K5514" s="195">
        <v>46014.599178240744</v>
      </c>
      <c r="L5514">
        <v>1</v>
      </c>
      <c r="M5514">
        <v>0</v>
      </c>
      <c r="N5514" s="98" t="str">
        <f>IF(record[[#This Row],[Memo]]="Browser:chrome os:android","平板報工",IF(record[[#This Row],[Memo]]=0,"委外",record[[#This Row],[Memo]]))</f>
        <v/>
      </c>
      <c r="O5514" t="s">
        <v>58</v>
      </c>
      <c r="P5514" t="s">
        <v>109</v>
      </c>
      <c r="Q5514" t="s">
        <v>58</v>
      </c>
      <c r="R5514" t="str">
        <f>IFERROR(VLOOKUP(record[[#This Row],[PCUSTID]],廠商[],2,FALSE),"")</f>
        <v/>
      </c>
      <c r="S5514" t="str">
        <f>VLOOKUP(record[[#This Row],[employeeID]],員工[],2,FALSE)</f>
        <v>裴氏璧鳳</v>
      </c>
    </row>
    <row r="5515" spans="6:19" hidden="1" x14ac:dyDescent="0.25">
      <c r="F5515" t="s">
        <v>1209</v>
      </c>
      <c r="G5515" t="s">
        <v>470</v>
      </c>
      <c r="H5515" t="str">
        <f>VLOOKUP(record[[#This Row],[ProcessSN]],表格2_7[],2,FALSE)</f>
        <v>30-4118-018-XXX</v>
      </c>
      <c r="I5515" t="str">
        <f>VLOOKUP(record[[#This Row],[ProcessSN]],表格2_7[],3,FALSE)</f>
        <v>#02IQC</v>
      </c>
      <c r="J5515" t="s">
        <v>583</v>
      </c>
      <c r="K5515" s="195">
        <v>46014.599074074074</v>
      </c>
      <c r="L5515">
        <v>10</v>
      </c>
      <c r="M5515">
        <v>0</v>
      </c>
      <c r="N5515" s="98" t="str">
        <f>IF(record[[#This Row],[Memo]]="Browser:chrome os:android","平板報工",IF(record[[#This Row],[Memo]]=0,"委外",record[[#This Row],[Memo]]))</f>
        <v/>
      </c>
      <c r="O5515" t="s">
        <v>58</v>
      </c>
      <c r="P5515" t="s">
        <v>109</v>
      </c>
      <c r="Q5515" t="s">
        <v>58</v>
      </c>
      <c r="R5515" t="str">
        <f>IFERROR(VLOOKUP(record[[#This Row],[PCUSTID]],廠商[],2,FALSE),"")</f>
        <v/>
      </c>
      <c r="S5515" t="str">
        <f>VLOOKUP(record[[#This Row],[employeeID]],員工[],2,FALSE)</f>
        <v>裴氏璧鳳</v>
      </c>
    </row>
    <row r="5516" spans="6:19" hidden="1" x14ac:dyDescent="0.25">
      <c r="F5516" t="s">
        <v>1285</v>
      </c>
      <c r="G5516" t="s">
        <v>470</v>
      </c>
      <c r="H5516" t="str">
        <f>VLOOKUP(record[[#This Row],[ProcessSN]],表格2_7[],2,FALSE)</f>
        <v>30-4118-018-XXX</v>
      </c>
      <c r="I5516" t="str">
        <f>VLOOKUP(record[[#This Row],[ProcessSN]],表格2_7[],3,FALSE)</f>
        <v>#02IQC</v>
      </c>
      <c r="J5516" t="s">
        <v>583</v>
      </c>
      <c r="K5516" s="195">
        <v>46014.598935185182</v>
      </c>
      <c r="L5516">
        <v>394</v>
      </c>
      <c r="M5516">
        <v>0</v>
      </c>
      <c r="N5516" s="98" t="str">
        <f>IF(record[[#This Row],[Memo]]="Browser:chrome os:android","平板報工",IF(record[[#This Row],[Memo]]=0,"委外",record[[#This Row],[Memo]]))</f>
        <v/>
      </c>
      <c r="O5516" t="s">
        <v>58</v>
      </c>
      <c r="P5516" t="s">
        <v>109</v>
      </c>
      <c r="Q5516" t="s">
        <v>58</v>
      </c>
      <c r="R5516" t="str">
        <f>IFERROR(VLOOKUP(record[[#This Row],[PCUSTID]],廠商[],2,FALSE),"")</f>
        <v/>
      </c>
      <c r="S5516" t="str">
        <f>VLOOKUP(record[[#This Row],[employeeID]],員工[],2,FALSE)</f>
        <v>裴氏璧鳳</v>
      </c>
    </row>
    <row r="5517" spans="6:19" hidden="1" x14ac:dyDescent="0.25">
      <c r="F5517" t="s">
        <v>1381</v>
      </c>
      <c r="G5517" t="s">
        <v>413</v>
      </c>
      <c r="H5517" t="str">
        <f>VLOOKUP(record[[#This Row],[ProcessSN]],表格2_7[],2,FALSE)</f>
        <v>30-4118-018-5XX</v>
      </c>
      <c r="I5517" t="str">
        <f>VLOOKUP(record[[#This Row],[ProcessSN]],表格2_7[],3,FALSE)</f>
        <v>#03GIVE</v>
      </c>
      <c r="J5517" t="s">
        <v>587</v>
      </c>
      <c r="K5517" s="195">
        <v>46014.588101851848</v>
      </c>
      <c r="L5517">
        <v>1917</v>
      </c>
      <c r="M5517">
        <v>0</v>
      </c>
      <c r="N5517" s="98" t="str">
        <f>IF(record[[#This Row],[Memo]]="Browser:chrome os:android","平板報工",IF(record[[#This Row],[Memo]]=0,"委外",record[[#This Row],[Memo]]))</f>
        <v/>
      </c>
      <c r="O5517" t="s">
        <v>58</v>
      </c>
      <c r="P5517" t="s">
        <v>1070</v>
      </c>
      <c r="Q5517" t="s">
        <v>58</v>
      </c>
      <c r="R5517" t="str">
        <f>IFERROR(VLOOKUP(record[[#This Row],[PCUSTID]],廠商[],2,FALSE),"")</f>
        <v/>
      </c>
      <c r="S5517" t="str">
        <f>VLOOKUP(record[[#This Row],[employeeID]],員工[],2,FALSE)</f>
        <v>陳昱佑</v>
      </c>
    </row>
    <row r="5518" spans="6:19" hidden="1" x14ac:dyDescent="0.25">
      <c r="F5518" t="s">
        <v>1381</v>
      </c>
      <c r="G5518" t="s">
        <v>412</v>
      </c>
      <c r="H5518" t="str">
        <f>VLOOKUP(record[[#This Row],[ProcessSN]],表格2_7[],2,FALSE)</f>
        <v>30-4118-018-5XX</v>
      </c>
      <c r="I5518" t="str">
        <f>VLOOKUP(record[[#This Row],[ProcessSN]],表格2_7[],3,FALSE)</f>
        <v>#03PICK</v>
      </c>
      <c r="J5518" t="s">
        <v>582</v>
      </c>
      <c r="K5518" s="195">
        <v>46014.587916666664</v>
      </c>
      <c r="L5518">
        <v>1917</v>
      </c>
      <c r="M5518">
        <v>0</v>
      </c>
      <c r="N5518" s="98" t="str">
        <f>IF(record[[#This Row],[Memo]]="Browser:chrome os:android","平板報工",IF(record[[#This Row],[Memo]]=0,"委外",record[[#This Row],[Memo]]))</f>
        <v/>
      </c>
      <c r="O5518" t="s">
        <v>58</v>
      </c>
      <c r="P5518" t="s">
        <v>1070</v>
      </c>
      <c r="Q5518" t="s">
        <v>58</v>
      </c>
      <c r="R5518" t="str">
        <f>IFERROR(VLOOKUP(record[[#This Row],[PCUSTID]],廠商[],2,FALSE),"")</f>
        <v/>
      </c>
      <c r="S5518" t="str">
        <f>VLOOKUP(record[[#This Row],[employeeID]],員工[],2,FALSE)</f>
        <v>陳昱佑</v>
      </c>
    </row>
    <row r="5519" spans="6:19" hidden="1" x14ac:dyDescent="0.25">
      <c r="F5519" t="s">
        <v>1380</v>
      </c>
      <c r="G5519" t="s">
        <v>372</v>
      </c>
      <c r="H5519" t="str">
        <f>VLOOKUP(record[[#This Row],[ProcessSN]],表格2_7[],2,FALSE)</f>
        <v>30-4118-018-4XX</v>
      </c>
      <c r="I5519" t="str">
        <f>VLOOKUP(record[[#This Row],[ProcessSN]],表格2_7[],3,FALSE)</f>
        <v>#03GIVE</v>
      </c>
      <c r="J5519" t="s">
        <v>587</v>
      </c>
      <c r="K5519" s="195">
        <v>46014.587569444448</v>
      </c>
      <c r="L5519">
        <v>396</v>
      </c>
      <c r="M5519">
        <v>0</v>
      </c>
      <c r="N5519" s="98" t="str">
        <f>IF(record[[#This Row],[Memo]]="Browser:chrome os:android","平板報工",IF(record[[#This Row],[Memo]]=0,"委外",record[[#This Row],[Memo]]))</f>
        <v/>
      </c>
      <c r="O5519" t="s">
        <v>58</v>
      </c>
      <c r="P5519" t="s">
        <v>1070</v>
      </c>
      <c r="Q5519" t="s">
        <v>58</v>
      </c>
      <c r="R5519" t="str">
        <f>IFERROR(VLOOKUP(record[[#This Row],[PCUSTID]],廠商[],2,FALSE),"")</f>
        <v/>
      </c>
      <c r="S5519" t="str">
        <f>VLOOKUP(record[[#This Row],[employeeID]],員工[],2,FALSE)</f>
        <v>陳昱佑</v>
      </c>
    </row>
    <row r="5520" spans="6:19" hidden="1" x14ac:dyDescent="0.25">
      <c r="F5520" t="s">
        <v>1380</v>
      </c>
      <c r="G5520" t="s">
        <v>371</v>
      </c>
      <c r="H5520" t="str">
        <f>VLOOKUP(record[[#This Row],[ProcessSN]],表格2_7[],2,FALSE)</f>
        <v>30-4118-018-4XX</v>
      </c>
      <c r="I5520" t="str">
        <f>VLOOKUP(record[[#This Row],[ProcessSN]],表格2_7[],3,FALSE)</f>
        <v>#03PICK</v>
      </c>
      <c r="J5520" t="s">
        <v>582</v>
      </c>
      <c r="K5520" s="195">
        <v>46014.587407407409</v>
      </c>
      <c r="L5520">
        <v>396</v>
      </c>
      <c r="M5520">
        <v>0</v>
      </c>
      <c r="N5520" s="98" t="str">
        <f>IF(record[[#This Row],[Memo]]="Browser:chrome os:android","平板報工",IF(record[[#This Row],[Memo]]=0,"委外",record[[#This Row],[Memo]]))</f>
        <v/>
      </c>
      <c r="O5520" t="s">
        <v>58</v>
      </c>
      <c r="P5520" t="s">
        <v>1070</v>
      </c>
      <c r="Q5520" t="s">
        <v>58</v>
      </c>
      <c r="R5520" t="str">
        <f>IFERROR(VLOOKUP(record[[#This Row],[PCUSTID]],廠商[],2,FALSE),"")</f>
        <v/>
      </c>
      <c r="S5520" t="str">
        <f>VLOOKUP(record[[#This Row],[employeeID]],員工[],2,FALSE)</f>
        <v>陳昱佑</v>
      </c>
    </row>
    <row r="5521" spans="6:19" hidden="1" x14ac:dyDescent="0.25">
      <c r="F5521" t="s">
        <v>1285</v>
      </c>
      <c r="G5521" t="s">
        <v>471</v>
      </c>
      <c r="H5521" t="str">
        <f>VLOOKUP(record[[#This Row],[ProcessSN]],表格2_7[],2,FALSE)</f>
        <v>30-4118-018-XXX</v>
      </c>
      <c r="I5521" t="str">
        <f>VLOOKUP(record[[#This Row],[ProcessSN]],表格2_7[],3,FALSE)</f>
        <v>#02STOCK</v>
      </c>
      <c r="J5521" t="s">
        <v>592</v>
      </c>
      <c r="K5521" s="195">
        <v>46014.573194444441</v>
      </c>
      <c r="L5521">
        <v>504</v>
      </c>
      <c r="M5521">
        <v>0</v>
      </c>
      <c r="N5521" s="98" t="str">
        <f>IF(record[[#This Row],[Memo]]="Browser:chrome os:android","平板報工",IF(record[[#This Row],[Memo]]=0,"委外",record[[#This Row],[Memo]]))</f>
        <v/>
      </c>
      <c r="O5521" t="s">
        <v>58</v>
      </c>
      <c r="P5521" t="s">
        <v>125</v>
      </c>
      <c r="Q5521" t="s">
        <v>58</v>
      </c>
      <c r="R5521" t="str">
        <f>IFERROR(VLOOKUP(record[[#This Row],[PCUSTID]],廠商[],2,FALSE),"")</f>
        <v/>
      </c>
      <c r="S5521" t="str">
        <f>VLOOKUP(record[[#This Row],[employeeID]],員工[],2,FALSE)</f>
        <v>黃瓈巧</v>
      </c>
    </row>
    <row r="5522" spans="6:19" hidden="1" x14ac:dyDescent="0.25">
      <c r="F5522" t="s">
        <v>1350</v>
      </c>
      <c r="G5522" t="s">
        <v>402</v>
      </c>
      <c r="H5522" t="str">
        <f>VLOOKUP(record[[#This Row],[ProcessSN]],表格2_7[],2,FALSE)</f>
        <v>30-4118-018-550</v>
      </c>
      <c r="I5522" t="str">
        <f>VLOOKUP(record[[#This Row],[ProcessSN]],表格2_7[],3,FALSE)</f>
        <v>#100STOCK</v>
      </c>
      <c r="J5522" t="s">
        <v>592</v>
      </c>
      <c r="K5522" s="195">
        <v>46014.566701388889</v>
      </c>
      <c r="L5522">
        <v>218</v>
      </c>
      <c r="M5522">
        <v>0</v>
      </c>
      <c r="N5522" s="98" t="str">
        <f>IF(record[[#This Row],[Memo]]="Browser:chrome os:android","平板報工",IF(record[[#This Row],[Memo]]=0,"委外",record[[#This Row],[Memo]]))</f>
        <v/>
      </c>
      <c r="O5522" t="s">
        <v>58</v>
      </c>
      <c r="P5522" t="s">
        <v>886</v>
      </c>
      <c r="Q5522" t="s">
        <v>58</v>
      </c>
      <c r="R5522" t="str">
        <f>IFERROR(VLOOKUP(record[[#This Row],[PCUSTID]],廠商[],2,FALSE),"")</f>
        <v/>
      </c>
      <c r="S5522" t="str">
        <f>VLOOKUP(record[[#This Row],[employeeID]],員工[],2,FALSE)</f>
        <v>謝蓁薰</v>
      </c>
    </row>
    <row r="5523" spans="6:19" hidden="1" x14ac:dyDescent="0.25">
      <c r="F5523" t="s">
        <v>581</v>
      </c>
      <c r="G5523" t="s">
        <v>469</v>
      </c>
      <c r="H5523" t="str">
        <f>VLOOKUP(record[[#This Row],[ProcessSN]],表格2_7[],2,FALSE)</f>
        <v>30-4118-018-XXX</v>
      </c>
      <c r="I5523" t="str">
        <f>VLOOKUP(record[[#This Row],[ProcessSN]],表格2_7[],3,FALSE)</f>
        <v>#02RCV</v>
      </c>
      <c r="J5523" t="s">
        <v>591</v>
      </c>
      <c r="K5523" s="195">
        <v>46014.560833333337</v>
      </c>
      <c r="L5523">
        <v>1</v>
      </c>
      <c r="M5523">
        <v>0</v>
      </c>
      <c r="N5523" s="98" t="str">
        <f>IF(record[[#This Row],[Memo]]="Browser:chrome os:android","平板報工",IF(record[[#This Row],[Memo]]=0,"委外",record[[#This Row],[Memo]]))</f>
        <v/>
      </c>
      <c r="O5523" t="s">
        <v>58</v>
      </c>
      <c r="P5523" t="s">
        <v>186</v>
      </c>
      <c r="Q5523" t="s">
        <v>58</v>
      </c>
      <c r="R5523" t="str">
        <f>IFERROR(VLOOKUP(record[[#This Row],[PCUSTID]],廠商[],2,FALSE),"")</f>
        <v/>
      </c>
      <c r="S5523" t="str">
        <f>VLOOKUP(record[[#This Row],[employeeID]],員工[],2,FALSE)</f>
        <v>許文姍</v>
      </c>
    </row>
    <row r="5524" spans="6:19" hidden="1" x14ac:dyDescent="0.25">
      <c r="F5524" t="s">
        <v>1209</v>
      </c>
      <c r="G5524" t="s">
        <v>469</v>
      </c>
      <c r="H5524" t="str">
        <f>VLOOKUP(record[[#This Row],[ProcessSN]],表格2_7[],2,FALSE)</f>
        <v>30-4118-018-XXX</v>
      </c>
      <c r="I5524" t="str">
        <f>VLOOKUP(record[[#This Row],[ProcessSN]],表格2_7[],3,FALSE)</f>
        <v>#02RCV</v>
      </c>
      <c r="J5524" t="s">
        <v>591</v>
      </c>
      <c r="K5524" s="195">
        <v>46014.560671296298</v>
      </c>
      <c r="L5524">
        <v>10</v>
      </c>
      <c r="M5524">
        <v>0</v>
      </c>
      <c r="N5524" s="98" t="str">
        <f>IF(record[[#This Row],[Memo]]="Browser:chrome os:android","平板報工",IF(record[[#This Row],[Memo]]=0,"委外",record[[#This Row],[Memo]]))</f>
        <v/>
      </c>
      <c r="O5524" t="s">
        <v>58</v>
      </c>
      <c r="P5524" t="s">
        <v>186</v>
      </c>
      <c r="Q5524" t="s">
        <v>58</v>
      </c>
      <c r="R5524" t="str">
        <f>IFERROR(VLOOKUP(record[[#This Row],[PCUSTID]],廠商[],2,FALSE),"")</f>
        <v/>
      </c>
      <c r="S5524" t="str">
        <f>VLOOKUP(record[[#This Row],[employeeID]],員工[],2,FALSE)</f>
        <v>許文姍</v>
      </c>
    </row>
    <row r="5525" spans="6:19" hidden="1" x14ac:dyDescent="0.25">
      <c r="F5525" t="s">
        <v>1285</v>
      </c>
      <c r="G5525" t="s">
        <v>469</v>
      </c>
      <c r="H5525" t="str">
        <f>VLOOKUP(record[[#This Row],[ProcessSN]],表格2_7[],2,FALSE)</f>
        <v>30-4118-018-XXX</v>
      </c>
      <c r="I5525" t="str">
        <f>VLOOKUP(record[[#This Row],[ProcessSN]],表格2_7[],3,FALSE)</f>
        <v>#02RCV</v>
      </c>
      <c r="J5525" t="s">
        <v>591</v>
      </c>
      <c r="K5525" s="195">
        <v>46014.560532407406</v>
      </c>
      <c r="L5525">
        <v>394</v>
      </c>
      <c r="M5525">
        <v>0</v>
      </c>
      <c r="N5525" s="98" t="str">
        <f>IF(record[[#This Row],[Memo]]="Browser:chrome os:android","平板報工",IF(record[[#This Row],[Memo]]=0,"委外",record[[#This Row],[Memo]]))</f>
        <v/>
      </c>
      <c r="O5525" t="s">
        <v>58</v>
      </c>
      <c r="P5525" t="s">
        <v>186</v>
      </c>
      <c r="Q5525" t="s">
        <v>58</v>
      </c>
      <c r="R5525" t="str">
        <f>IFERROR(VLOOKUP(record[[#This Row],[PCUSTID]],廠商[],2,FALSE),"")</f>
        <v/>
      </c>
      <c r="S5525" t="str">
        <f>VLOOKUP(record[[#This Row],[employeeID]],員工[],2,FALSE)</f>
        <v>許文姍</v>
      </c>
    </row>
    <row r="5526" spans="6:19" hidden="1" x14ac:dyDescent="0.25">
      <c r="F5526" t="s">
        <v>1350</v>
      </c>
      <c r="G5526" t="s">
        <v>403</v>
      </c>
      <c r="H5526" t="str">
        <f>VLOOKUP(record[[#This Row],[ProcessSN]],表格2_7[],2,FALSE)</f>
        <v>30-4118-018-550</v>
      </c>
      <c r="I5526" t="str">
        <f>VLOOKUP(record[[#This Row],[ProcessSN]],表格2_7[],3,FALSE)</f>
        <v>#100SHIP</v>
      </c>
      <c r="J5526" t="s">
        <v>600</v>
      </c>
      <c r="K5526" s="195">
        <v>46014.560347222221</v>
      </c>
      <c r="L5526">
        <v>2</v>
      </c>
      <c r="M5526">
        <v>0</v>
      </c>
      <c r="N5526" s="98" t="str">
        <f>IF(record[[#This Row],[Memo]]="Browser:chrome os:android","平板報工",IF(record[[#This Row],[Memo]]=0,"委外",record[[#This Row],[Memo]]))</f>
        <v/>
      </c>
      <c r="O5526" t="s">
        <v>58</v>
      </c>
      <c r="P5526" t="s">
        <v>886</v>
      </c>
      <c r="Q5526" t="s">
        <v>58</v>
      </c>
      <c r="R5526" t="str">
        <f>IFERROR(VLOOKUP(record[[#This Row],[PCUSTID]],廠商[],2,FALSE),"")</f>
        <v/>
      </c>
      <c r="S5526" t="str">
        <f>VLOOKUP(record[[#This Row],[employeeID]],員工[],2,FALSE)</f>
        <v>謝蓁薰</v>
      </c>
    </row>
    <row r="5527" spans="6:19" hidden="1" x14ac:dyDescent="0.25">
      <c r="F5527" t="s">
        <v>1350</v>
      </c>
      <c r="G5527" t="s">
        <v>402</v>
      </c>
      <c r="H5527" t="str">
        <f>VLOOKUP(record[[#This Row],[ProcessSN]],表格2_7[],2,FALSE)</f>
        <v>30-4118-018-550</v>
      </c>
      <c r="I5527" t="str">
        <f>VLOOKUP(record[[#This Row],[ProcessSN]],表格2_7[],3,FALSE)</f>
        <v>#100STOCK</v>
      </c>
      <c r="J5527" t="s">
        <v>592</v>
      </c>
      <c r="K5527" s="195">
        <v>46014.386064814818</v>
      </c>
      <c r="L5527">
        <v>2</v>
      </c>
      <c r="M5527">
        <v>0</v>
      </c>
      <c r="N5527" s="98" t="str">
        <f>IF(record[[#This Row],[Memo]]="Browser:chrome os:android","平板報工",IF(record[[#This Row],[Memo]]=0,"委外",record[[#This Row],[Memo]]))</f>
        <v/>
      </c>
      <c r="O5527" t="s">
        <v>58</v>
      </c>
      <c r="P5527" t="s">
        <v>886</v>
      </c>
      <c r="Q5527" t="s">
        <v>58</v>
      </c>
      <c r="R5527" t="str">
        <f>IFERROR(VLOOKUP(record[[#This Row],[PCUSTID]],廠商[],2,FALSE),"")</f>
        <v/>
      </c>
      <c r="S5527" t="str">
        <f>VLOOKUP(record[[#This Row],[employeeID]],員工[],2,FALSE)</f>
        <v>謝蓁薰</v>
      </c>
    </row>
    <row r="5528" spans="6:19" hidden="1" x14ac:dyDescent="0.25">
      <c r="F5528" t="s">
        <v>1339</v>
      </c>
      <c r="G5528" t="s">
        <v>376</v>
      </c>
      <c r="H5528" t="str">
        <f>VLOOKUP(record[[#This Row],[ProcessSN]],表格2_7[],2,FALSE)</f>
        <v>30-4118-018-4XX</v>
      </c>
      <c r="I5528" t="str">
        <f>VLOOKUP(record[[#This Row],[ProcessSN]],表格2_7[],3,FALSE)</f>
        <v>#06</v>
      </c>
      <c r="J5528" t="s">
        <v>593</v>
      </c>
      <c r="K5528" s="195">
        <v>46014.321701388886</v>
      </c>
      <c r="L5528">
        <v>90</v>
      </c>
      <c r="M5528">
        <v>0</v>
      </c>
      <c r="N5528" s="98" t="str">
        <f>IF(record[[#This Row],[Memo]]="Browser:chrome os:android","平板報工",IF(record[[#This Row],[Memo]]=0,"委外",record[[#This Row],[Memo]]))</f>
        <v/>
      </c>
      <c r="O5528" t="s">
        <v>58</v>
      </c>
      <c r="P5528" t="s">
        <v>180</v>
      </c>
      <c r="Q5528" t="s">
        <v>58</v>
      </c>
      <c r="R5528" t="str">
        <f>IFERROR(VLOOKUP(record[[#This Row],[PCUSTID]],廠商[],2,FALSE),"")</f>
        <v/>
      </c>
      <c r="S5528" t="str">
        <f>VLOOKUP(record[[#This Row],[employeeID]],員工[],2,FALSE)</f>
        <v>黎功江</v>
      </c>
    </row>
    <row r="5529" spans="6:19" hidden="1" x14ac:dyDescent="0.25">
      <c r="F5529" t="s">
        <v>1270</v>
      </c>
      <c r="G5529" t="s">
        <v>376</v>
      </c>
      <c r="H5529" t="str">
        <f>VLOOKUP(record[[#This Row],[ProcessSN]],表格2_7[],2,FALSE)</f>
        <v>30-4118-018-4XX</v>
      </c>
      <c r="I5529" t="str">
        <f>VLOOKUP(record[[#This Row],[ProcessSN]],表格2_7[],3,FALSE)</f>
        <v>#06</v>
      </c>
      <c r="J5529" t="s">
        <v>593</v>
      </c>
      <c r="K5529" s="195">
        <v>46014.321516203701</v>
      </c>
      <c r="L5529">
        <v>41</v>
      </c>
      <c r="M5529">
        <v>0</v>
      </c>
      <c r="N5529" s="98" t="str">
        <f>IF(record[[#This Row],[Memo]]="Browser:chrome os:android","平板報工",IF(record[[#This Row],[Memo]]=0,"委外",record[[#This Row],[Memo]]))</f>
        <v/>
      </c>
      <c r="O5529" t="s">
        <v>58</v>
      </c>
      <c r="P5529" t="s">
        <v>180</v>
      </c>
      <c r="Q5529" t="s">
        <v>58</v>
      </c>
      <c r="R5529" t="str">
        <f>IFERROR(VLOOKUP(record[[#This Row],[PCUSTID]],廠商[],2,FALSE),"")</f>
        <v/>
      </c>
      <c r="S5529" t="str">
        <f>VLOOKUP(record[[#This Row],[employeeID]],員工[],2,FALSE)</f>
        <v>黎功江</v>
      </c>
    </row>
    <row r="5530" spans="6:19" hidden="1" x14ac:dyDescent="0.25">
      <c r="F5530" t="s">
        <v>1339</v>
      </c>
      <c r="G5530" t="s">
        <v>375</v>
      </c>
      <c r="H5530" t="str">
        <f>VLOOKUP(record[[#This Row],[ProcessSN]],表格2_7[],2,FALSE)</f>
        <v>30-4118-018-4XX</v>
      </c>
      <c r="I5530" t="str">
        <f>VLOOKUP(record[[#This Row],[ProcessSN]],表格2_7[],3,FALSE)</f>
        <v>#05</v>
      </c>
      <c r="J5530" t="s">
        <v>588</v>
      </c>
      <c r="K5530" s="195">
        <v>46014.320567129631</v>
      </c>
      <c r="L5530">
        <v>103</v>
      </c>
      <c r="M5530">
        <v>0</v>
      </c>
      <c r="N5530" s="98" t="str">
        <f>IF(record[[#This Row],[Memo]]="Browser:chrome os:android","平板報工",IF(record[[#This Row],[Memo]]=0,"委外",record[[#This Row],[Memo]]))</f>
        <v/>
      </c>
      <c r="O5530" t="s">
        <v>58</v>
      </c>
      <c r="P5530" t="s">
        <v>135</v>
      </c>
      <c r="Q5530" t="s">
        <v>58</v>
      </c>
      <c r="R5530" t="str">
        <f>IFERROR(VLOOKUP(record[[#This Row],[PCUSTID]],廠商[],2,FALSE),"")</f>
        <v/>
      </c>
      <c r="S5530" t="str">
        <f>VLOOKUP(record[[#This Row],[employeeID]],員工[],2,FALSE)</f>
        <v>阮士文</v>
      </c>
    </row>
    <row r="5531" spans="6:19" hidden="1" x14ac:dyDescent="0.25">
      <c r="F5531" t="s">
        <v>1339</v>
      </c>
      <c r="G5531" t="s">
        <v>374</v>
      </c>
      <c r="H5531" t="str">
        <f>VLOOKUP(record[[#This Row],[ProcessSN]],表格2_7[],2,FALSE)</f>
        <v>30-4118-018-4XX</v>
      </c>
      <c r="I5531" t="str">
        <f>VLOOKUP(record[[#This Row],[ProcessSN]],表格2_7[],3,FALSE)</f>
        <v>#04</v>
      </c>
      <c r="J5531" t="s">
        <v>588</v>
      </c>
      <c r="K5531" s="195">
        <v>46014.320416666669</v>
      </c>
      <c r="L5531">
        <v>103</v>
      </c>
      <c r="M5531">
        <v>5</v>
      </c>
      <c r="N5531" s="98" t="str">
        <f>IF(record[[#This Row],[Memo]]="Browser:chrome os:android","平板報工",IF(record[[#This Row],[Memo]]=0,"委外",record[[#This Row],[Memo]]))</f>
        <v/>
      </c>
      <c r="O5531" t="s">
        <v>58</v>
      </c>
      <c r="P5531" t="s">
        <v>135</v>
      </c>
      <c r="Q5531" t="s">
        <v>58</v>
      </c>
      <c r="R5531" t="str">
        <f>IFERROR(VLOOKUP(record[[#This Row],[PCUSTID]],廠商[],2,FALSE),"")</f>
        <v/>
      </c>
      <c r="S5531" t="str">
        <f>VLOOKUP(record[[#This Row],[employeeID]],員工[],2,FALSE)</f>
        <v>阮士文</v>
      </c>
    </row>
    <row r="5532" spans="6:19" hidden="1" x14ac:dyDescent="0.25">
      <c r="F5532" t="s">
        <v>1270</v>
      </c>
      <c r="G5532" t="s">
        <v>376</v>
      </c>
      <c r="H5532" t="str">
        <f>VLOOKUP(record[[#This Row],[ProcessSN]],表格2_7[],2,FALSE)</f>
        <v>30-4118-018-4XX</v>
      </c>
      <c r="I5532" t="str">
        <f>VLOOKUP(record[[#This Row],[ProcessSN]],表格2_7[],3,FALSE)</f>
        <v>#06</v>
      </c>
      <c r="J5532" t="s">
        <v>593</v>
      </c>
      <c r="K5532" s="195">
        <v>46013.989050925928</v>
      </c>
      <c r="L5532">
        <v>36</v>
      </c>
      <c r="M5532">
        <v>0</v>
      </c>
      <c r="N5532" s="98" t="str">
        <f>IF(record[[#This Row],[Memo]]="Browser:chrome os:android","平板報工",IF(record[[#This Row],[Memo]]=0,"委外",record[[#This Row],[Memo]]))</f>
        <v/>
      </c>
      <c r="O5532" t="s">
        <v>58</v>
      </c>
      <c r="P5532" t="s">
        <v>176</v>
      </c>
      <c r="Q5532" t="s">
        <v>58</v>
      </c>
      <c r="R5532" t="str">
        <f>IFERROR(VLOOKUP(record[[#This Row],[PCUSTID]],廠商[],2,FALSE),"")</f>
        <v/>
      </c>
      <c r="S5532" t="str">
        <f>VLOOKUP(record[[#This Row],[employeeID]],員工[],2,FALSE)</f>
        <v>郭政雄</v>
      </c>
    </row>
    <row r="5533" spans="6:19" hidden="1" x14ac:dyDescent="0.25">
      <c r="F5533" t="s">
        <v>1339</v>
      </c>
      <c r="G5533" t="s">
        <v>375</v>
      </c>
      <c r="H5533" t="str">
        <f>VLOOKUP(record[[#This Row],[ProcessSN]],表格2_7[],2,FALSE)</f>
        <v>30-4118-018-4XX</v>
      </c>
      <c r="I5533" t="str">
        <f>VLOOKUP(record[[#This Row],[ProcessSN]],表格2_7[],3,FALSE)</f>
        <v>#05</v>
      </c>
      <c r="J5533" t="s">
        <v>588</v>
      </c>
      <c r="K5533" s="195">
        <v>46013.988020833334</v>
      </c>
      <c r="L5533">
        <v>124</v>
      </c>
      <c r="M5533">
        <v>1</v>
      </c>
      <c r="N5533" s="98" t="str">
        <f>IF(record[[#This Row],[Memo]]="Browser:chrome os:android","平板報工",IF(record[[#This Row],[Memo]]=0,"委外",record[[#This Row],[Memo]]))</f>
        <v/>
      </c>
      <c r="O5533" t="s">
        <v>58</v>
      </c>
      <c r="P5533" t="s">
        <v>89</v>
      </c>
      <c r="Q5533" t="s">
        <v>58</v>
      </c>
      <c r="R5533" t="str">
        <f>IFERROR(VLOOKUP(record[[#This Row],[PCUSTID]],廠商[],2,FALSE),"")</f>
        <v/>
      </c>
      <c r="S5533" t="str">
        <f>VLOOKUP(record[[#This Row],[employeeID]],員工[],2,FALSE)</f>
        <v>李美蓮</v>
      </c>
    </row>
    <row r="5534" spans="6:19" hidden="1" x14ac:dyDescent="0.25">
      <c r="F5534" t="s">
        <v>1339</v>
      </c>
      <c r="G5534" t="s">
        <v>374</v>
      </c>
      <c r="H5534" t="str">
        <f>VLOOKUP(record[[#This Row],[ProcessSN]],表格2_7[],2,FALSE)</f>
        <v>30-4118-018-4XX</v>
      </c>
      <c r="I5534" t="str">
        <f>VLOOKUP(record[[#This Row],[ProcessSN]],表格2_7[],3,FALSE)</f>
        <v>#04</v>
      </c>
      <c r="J5534" t="s">
        <v>588</v>
      </c>
      <c r="K5534" s="195">
        <v>46013.987129629626</v>
      </c>
      <c r="L5534">
        <v>125</v>
      </c>
      <c r="M5534">
        <v>0</v>
      </c>
      <c r="N5534" s="98" t="str">
        <f>IF(record[[#This Row],[Memo]]="Browser:chrome os:android","平板報工",IF(record[[#This Row],[Memo]]=0,"委外",record[[#This Row],[Memo]]))</f>
        <v/>
      </c>
      <c r="O5534" t="s">
        <v>58</v>
      </c>
      <c r="P5534" t="s">
        <v>1098</v>
      </c>
      <c r="Q5534" t="s">
        <v>58</v>
      </c>
      <c r="R5534" t="str">
        <f>IFERROR(VLOOKUP(record[[#This Row],[PCUSTID]],廠商[],2,FALSE),"")</f>
        <v/>
      </c>
      <c r="S5534" t="str">
        <f>VLOOKUP(record[[#This Row],[employeeID]],員工[],2,FALSE)</f>
        <v>阮氏芳英(英)</v>
      </c>
    </row>
    <row r="5535" spans="6:19" hidden="1" x14ac:dyDescent="0.25">
      <c r="F5535" t="s">
        <v>1338</v>
      </c>
      <c r="G5535" t="s">
        <v>450</v>
      </c>
      <c r="H5535" t="str">
        <f>VLOOKUP(record[[#This Row],[ProcessSN]],表格2_7[],2,FALSE)</f>
        <v>30-4118-018-6XX</v>
      </c>
      <c r="I5535" t="str">
        <f>VLOOKUP(record[[#This Row],[ProcessSN]],表格2_7[],3,FALSE)</f>
        <v>#06</v>
      </c>
      <c r="J5535" t="s">
        <v>593</v>
      </c>
      <c r="K5535" s="195">
        <v>46013.898032407407</v>
      </c>
      <c r="L5535">
        <v>97</v>
      </c>
      <c r="M5535">
        <v>2</v>
      </c>
      <c r="N5535" s="98" t="str">
        <f>IF(record[[#This Row],[Memo]]="Browser:chrome os:android","平板報工",IF(record[[#This Row],[Memo]]=0,"委外",record[[#This Row],[Memo]]))</f>
        <v>#4不良PSC</v>
      </c>
      <c r="O5535" t="s">
        <v>1379</v>
      </c>
      <c r="P5535" t="s">
        <v>176</v>
      </c>
      <c r="Q5535" t="s">
        <v>58</v>
      </c>
      <c r="R5535" t="str">
        <f>IFERROR(VLOOKUP(record[[#This Row],[PCUSTID]],廠商[],2,FALSE),"")</f>
        <v/>
      </c>
      <c r="S5535" t="str">
        <f>VLOOKUP(record[[#This Row],[employeeID]],員工[],2,FALSE)</f>
        <v>郭政雄</v>
      </c>
    </row>
    <row r="5536" spans="6:19" hidden="1" x14ac:dyDescent="0.25">
      <c r="F5536" t="s">
        <v>1338</v>
      </c>
      <c r="G5536" t="s">
        <v>449</v>
      </c>
      <c r="H5536" t="str">
        <f>VLOOKUP(record[[#This Row],[ProcessSN]],表格2_7[],2,FALSE)</f>
        <v>30-4118-018-6XX</v>
      </c>
      <c r="I5536" t="str">
        <f>VLOOKUP(record[[#This Row],[ProcessSN]],表格2_7[],3,FALSE)</f>
        <v>#05</v>
      </c>
      <c r="J5536" t="s">
        <v>588</v>
      </c>
      <c r="K5536" s="195">
        <v>46013.894803240742</v>
      </c>
      <c r="L5536">
        <v>27</v>
      </c>
      <c r="M5536">
        <v>0</v>
      </c>
      <c r="N5536" s="98" t="str">
        <f>IF(record[[#This Row],[Memo]]="Browser:chrome os:android","平板報工",IF(record[[#This Row],[Memo]]=0,"委外",record[[#This Row],[Memo]]))</f>
        <v>補報生產12/22</v>
      </c>
      <c r="O5536" t="s">
        <v>1378</v>
      </c>
      <c r="P5536" t="s">
        <v>127</v>
      </c>
      <c r="Q5536" t="s">
        <v>58</v>
      </c>
      <c r="R5536" t="str">
        <f>IFERROR(VLOOKUP(record[[#This Row],[PCUSTID]],廠商[],2,FALSE),"")</f>
        <v/>
      </c>
      <c r="S5536" t="str">
        <f>VLOOKUP(record[[#This Row],[employeeID]],員工[],2,FALSE)</f>
        <v>潘雪梅</v>
      </c>
    </row>
    <row r="5537" spans="6:19" hidden="1" x14ac:dyDescent="0.25">
      <c r="F5537" t="s">
        <v>1338</v>
      </c>
      <c r="G5537" t="s">
        <v>448</v>
      </c>
      <c r="H5537" t="str">
        <f>VLOOKUP(record[[#This Row],[ProcessSN]],表格2_7[],2,FALSE)</f>
        <v>30-4118-018-6XX</v>
      </c>
      <c r="I5537" t="str">
        <f>VLOOKUP(record[[#This Row],[ProcessSN]],表格2_7[],3,FALSE)</f>
        <v>#04</v>
      </c>
      <c r="J5537" t="s">
        <v>588</v>
      </c>
      <c r="K5537" s="195">
        <v>46013.894166666665</v>
      </c>
      <c r="L5537">
        <v>27</v>
      </c>
      <c r="M5537">
        <v>0</v>
      </c>
      <c r="N5537" s="98" t="str">
        <f>IF(record[[#This Row],[Memo]]="Browser:chrome os:android","平板報工",IF(record[[#This Row],[Memo]]=0,"委外",record[[#This Row],[Memo]]))</f>
        <v>補報生產</v>
      </c>
      <c r="O5537" t="s">
        <v>1377</v>
      </c>
      <c r="P5537" t="s">
        <v>127</v>
      </c>
      <c r="Q5537" t="s">
        <v>58</v>
      </c>
      <c r="R5537" t="str">
        <f>IFERROR(VLOOKUP(record[[#This Row],[PCUSTID]],廠商[],2,FALSE),"")</f>
        <v/>
      </c>
      <c r="S5537" t="str">
        <f>VLOOKUP(record[[#This Row],[employeeID]],員工[],2,FALSE)</f>
        <v>潘雪梅</v>
      </c>
    </row>
    <row r="5538" spans="6:19" hidden="1" x14ac:dyDescent="0.25">
      <c r="F5538" t="s">
        <v>1285</v>
      </c>
      <c r="G5538" t="s">
        <v>470</v>
      </c>
      <c r="H5538" t="str">
        <f>VLOOKUP(record[[#This Row],[ProcessSN]],表格2_7[],2,FALSE)</f>
        <v>30-4118-018-XXX</v>
      </c>
      <c r="I5538" t="str">
        <f>VLOOKUP(record[[#This Row],[ProcessSN]],表格2_7[],3,FALSE)</f>
        <v>#02IQC</v>
      </c>
      <c r="J5538" t="s">
        <v>583</v>
      </c>
      <c r="K5538" s="195">
        <v>46013.713321759256</v>
      </c>
      <c r="L5538">
        <v>504</v>
      </c>
      <c r="M5538">
        <v>0</v>
      </c>
      <c r="N5538" s="98" t="str">
        <f>IF(record[[#This Row],[Memo]]="Browser:chrome os:android","平板報工",IF(record[[#This Row],[Memo]]=0,"委外",record[[#This Row],[Memo]]))</f>
        <v/>
      </c>
      <c r="O5538" t="s">
        <v>58</v>
      </c>
      <c r="P5538" t="s">
        <v>109</v>
      </c>
      <c r="Q5538" t="s">
        <v>58</v>
      </c>
      <c r="R5538" t="str">
        <f>IFERROR(VLOOKUP(record[[#This Row],[PCUSTID]],廠商[],2,FALSE),"")</f>
        <v/>
      </c>
      <c r="S5538" t="str">
        <f>VLOOKUP(record[[#This Row],[employeeID]],員工[],2,FALSE)</f>
        <v>裴氏璧鳳</v>
      </c>
    </row>
    <row r="5539" spans="6:19" hidden="1" x14ac:dyDescent="0.25">
      <c r="F5539" t="s">
        <v>1350</v>
      </c>
      <c r="G5539" t="s">
        <v>403</v>
      </c>
      <c r="H5539" t="str">
        <f>VLOOKUP(record[[#This Row],[ProcessSN]],表格2_7[],2,FALSE)</f>
        <v>30-4118-018-550</v>
      </c>
      <c r="I5539" t="str">
        <f>VLOOKUP(record[[#This Row],[ProcessSN]],表格2_7[],3,FALSE)</f>
        <v>#100SHIP</v>
      </c>
      <c r="J5539" t="s">
        <v>600</v>
      </c>
      <c r="K5539" s="195">
        <v>46013.70716435185</v>
      </c>
      <c r="L5539">
        <v>104</v>
      </c>
      <c r="M5539">
        <v>0</v>
      </c>
      <c r="N5539" s="98" t="str">
        <f>IF(record[[#This Row],[Memo]]="Browser:chrome os:android","平板報工",IF(record[[#This Row],[Memo]]=0,"委外",record[[#This Row],[Memo]]))</f>
        <v/>
      </c>
      <c r="O5539" t="s">
        <v>58</v>
      </c>
      <c r="P5539" t="s">
        <v>886</v>
      </c>
      <c r="Q5539" t="s">
        <v>58</v>
      </c>
      <c r="R5539" t="str">
        <f>IFERROR(VLOOKUP(record[[#This Row],[PCUSTID]],廠商[],2,FALSE),"")</f>
        <v/>
      </c>
      <c r="S5539" t="str">
        <f>VLOOKUP(record[[#This Row],[employeeID]],員工[],2,FALSE)</f>
        <v>謝蓁薰</v>
      </c>
    </row>
    <row r="5540" spans="6:19" hidden="1" x14ac:dyDescent="0.25">
      <c r="F5540" t="s">
        <v>1342</v>
      </c>
      <c r="G5540" t="s">
        <v>403</v>
      </c>
      <c r="H5540" t="str">
        <f>VLOOKUP(record[[#This Row],[ProcessSN]],表格2_7[],2,FALSE)</f>
        <v>30-4118-018-550</v>
      </c>
      <c r="I5540" t="str">
        <f>VLOOKUP(record[[#This Row],[ProcessSN]],表格2_7[],3,FALSE)</f>
        <v>#100SHIP</v>
      </c>
      <c r="J5540" t="s">
        <v>600</v>
      </c>
      <c r="K5540" s="195">
        <v>46013.707013888888</v>
      </c>
      <c r="L5540">
        <v>153</v>
      </c>
      <c r="M5540">
        <v>0</v>
      </c>
      <c r="N5540" s="98" t="str">
        <f>IF(record[[#This Row],[Memo]]="Browser:chrome os:android","平板報工",IF(record[[#This Row],[Memo]]=0,"委外",record[[#This Row],[Memo]]))</f>
        <v/>
      </c>
      <c r="O5540" t="s">
        <v>58</v>
      </c>
      <c r="P5540" t="s">
        <v>886</v>
      </c>
      <c r="Q5540" t="s">
        <v>58</v>
      </c>
      <c r="R5540" t="str">
        <f>IFERROR(VLOOKUP(record[[#This Row],[PCUSTID]],廠商[],2,FALSE),"")</f>
        <v/>
      </c>
      <c r="S5540" t="str">
        <f>VLOOKUP(record[[#This Row],[employeeID]],員工[],2,FALSE)</f>
        <v>謝蓁薰</v>
      </c>
    </row>
    <row r="5541" spans="6:19" hidden="1" x14ac:dyDescent="0.25">
      <c r="F5541" t="s">
        <v>1350</v>
      </c>
      <c r="G5541" t="s">
        <v>402</v>
      </c>
      <c r="H5541" t="str">
        <f>VLOOKUP(record[[#This Row],[ProcessSN]],表格2_7[],2,FALSE)</f>
        <v>30-4118-018-550</v>
      </c>
      <c r="I5541" t="str">
        <f>VLOOKUP(record[[#This Row],[ProcessSN]],表格2_7[],3,FALSE)</f>
        <v>#100STOCK</v>
      </c>
      <c r="J5541" t="s">
        <v>592</v>
      </c>
      <c r="K5541" s="195">
        <v>46013.706921296296</v>
      </c>
      <c r="L5541">
        <v>104</v>
      </c>
      <c r="M5541">
        <v>0</v>
      </c>
      <c r="N5541" s="98" t="str">
        <f>IF(record[[#This Row],[Memo]]="Browser:chrome os:android","平板報工",IF(record[[#This Row],[Memo]]=0,"委外",record[[#This Row],[Memo]]))</f>
        <v/>
      </c>
      <c r="O5541" t="s">
        <v>58</v>
      </c>
      <c r="P5541" t="s">
        <v>886</v>
      </c>
      <c r="Q5541" t="s">
        <v>58</v>
      </c>
      <c r="R5541" t="str">
        <f>IFERROR(VLOOKUP(record[[#This Row],[PCUSTID]],廠商[],2,FALSE),"")</f>
        <v/>
      </c>
      <c r="S5541" t="str">
        <f>VLOOKUP(record[[#This Row],[employeeID]],員工[],2,FALSE)</f>
        <v>謝蓁薰</v>
      </c>
    </row>
    <row r="5542" spans="6:19" hidden="1" x14ac:dyDescent="0.25">
      <c r="F5542" t="s">
        <v>1342</v>
      </c>
      <c r="G5542" t="s">
        <v>402</v>
      </c>
      <c r="H5542" t="str">
        <f>VLOOKUP(record[[#This Row],[ProcessSN]],表格2_7[],2,FALSE)</f>
        <v>30-4118-018-550</v>
      </c>
      <c r="I5542" t="str">
        <f>VLOOKUP(record[[#This Row],[ProcessSN]],表格2_7[],3,FALSE)</f>
        <v>#100STOCK</v>
      </c>
      <c r="J5542" t="s">
        <v>592</v>
      </c>
      <c r="K5542" s="195">
        <v>46013.706817129627</v>
      </c>
      <c r="L5542">
        <v>153</v>
      </c>
      <c r="M5542">
        <v>0</v>
      </c>
      <c r="N5542" s="98" t="str">
        <f>IF(record[[#This Row],[Memo]]="Browser:chrome os:android","平板報工",IF(record[[#This Row],[Memo]]=0,"委外",record[[#This Row],[Memo]]))</f>
        <v/>
      </c>
      <c r="O5542" t="s">
        <v>58</v>
      </c>
      <c r="P5542" t="s">
        <v>886</v>
      </c>
      <c r="Q5542" t="s">
        <v>58</v>
      </c>
      <c r="R5542" t="str">
        <f>IFERROR(VLOOKUP(record[[#This Row],[PCUSTID]],廠商[],2,FALSE),"")</f>
        <v/>
      </c>
      <c r="S5542" t="str">
        <f>VLOOKUP(record[[#This Row],[employeeID]],員工[],2,FALSE)</f>
        <v>謝蓁薰</v>
      </c>
    </row>
    <row r="5543" spans="6:19" hidden="1" x14ac:dyDescent="0.25">
      <c r="F5543" t="s">
        <v>1329</v>
      </c>
      <c r="G5543" t="s">
        <v>403</v>
      </c>
      <c r="H5543" t="str">
        <f>VLOOKUP(record[[#This Row],[ProcessSN]],表格2_7[],2,FALSE)</f>
        <v>30-4118-018-550</v>
      </c>
      <c r="I5543" t="str">
        <f>VLOOKUP(record[[#This Row],[ProcessSN]],表格2_7[],3,FALSE)</f>
        <v>#100SHIP</v>
      </c>
      <c r="J5543" t="s">
        <v>600</v>
      </c>
      <c r="K5543" s="195">
        <v>46013.706712962965</v>
      </c>
      <c r="L5543">
        <v>29</v>
      </c>
      <c r="M5543">
        <v>0</v>
      </c>
      <c r="N5543" s="98" t="str">
        <f>IF(record[[#This Row],[Memo]]="Browser:chrome os:android","平板報工",IF(record[[#This Row],[Memo]]=0,"委外",record[[#This Row],[Memo]]))</f>
        <v/>
      </c>
      <c r="O5543" t="s">
        <v>58</v>
      </c>
      <c r="P5543" t="s">
        <v>886</v>
      </c>
      <c r="Q5543" t="s">
        <v>58</v>
      </c>
      <c r="R5543" t="str">
        <f>IFERROR(VLOOKUP(record[[#This Row],[PCUSTID]],廠商[],2,FALSE),"")</f>
        <v/>
      </c>
      <c r="S5543" t="str">
        <f>VLOOKUP(record[[#This Row],[employeeID]],員工[],2,FALSE)</f>
        <v>謝蓁薰</v>
      </c>
    </row>
    <row r="5544" spans="6:19" hidden="1" x14ac:dyDescent="0.25">
      <c r="F5544" t="s">
        <v>1350</v>
      </c>
      <c r="G5544" t="s">
        <v>401</v>
      </c>
      <c r="H5544" t="str">
        <f>VLOOKUP(record[[#This Row],[ProcessSN]],表格2_7[],2,FALSE)</f>
        <v>30-4118-018-550</v>
      </c>
      <c r="I5544" t="str">
        <f>VLOOKUP(record[[#This Row],[ProcessSN]],表格2_7[],3,FALSE)</f>
        <v>#100OQC</v>
      </c>
      <c r="J5544" t="s">
        <v>599</v>
      </c>
      <c r="K5544" s="195">
        <v>46013.704212962963</v>
      </c>
      <c r="L5544">
        <v>324</v>
      </c>
      <c r="M5544">
        <v>0</v>
      </c>
      <c r="N5544" s="98" t="str">
        <f>IF(record[[#This Row],[Memo]]="Browser:chrome os:android","平板報工",IF(record[[#This Row],[Memo]]=0,"委外",record[[#This Row],[Memo]]))</f>
        <v/>
      </c>
      <c r="O5544" t="s">
        <v>58</v>
      </c>
      <c r="P5544" t="s">
        <v>121</v>
      </c>
      <c r="Q5544" t="s">
        <v>58</v>
      </c>
      <c r="R5544" t="str">
        <f>IFERROR(VLOOKUP(record[[#This Row],[PCUSTID]],廠商[],2,FALSE),"")</f>
        <v/>
      </c>
      <c r="S5544" t="str">
        <f>VLOOKUP(record[[#This Row],[employeeID]],員工[],2,FALSE)</f>
        <v>謝素卿</v>
      </c>
    </row>
    <row r="5545" spans="6:19" hidden="1" x14ac:dyDescent="0.25">
      <c r="F5545" t="s">
        <v>1342</v>
      </c>
      <c r="G5545" t="s">
        <v>401</v>
      </c>
      <c r="H5545" t="str">
        <f>VLOOKUP(record[[#This Row],[ProcessSN]],表格2_7[],2,FALSE)</f>
        <v>30-4118-018-550</v>
      </c>
      <c r="I5545" t="str">
        <f>VLOOKUP(record[[#This Row],[ProcessSN]],表格2_7[],3,FALSE)</f>
        <v>#100OQC</v>
      </c>
      <c r="J5545" t="s">
        <v>599</v>
      </c>
      <c r="K5545" s="195">
        <v>46013.703958333332</v>
      </c>
      <c r="L5545">
        <v>153</v>
      </c>
      <c r="M5545">
        <v>0</v>
      </c>
      <c r="N5545" s="98" t="str">
        <f>IF(record[[#This Row],[Memo]]="Browser:chrome os:android","平板報工",IF(record[[#This Row],[Memo]]=0,"委外",record[[#This Row],[Memo]]))</f>
        <v/>
      </c>
      <c r="O5545" t="s">
        <v>58</v>
      </c>
      <c r="P5545" t="s">
        <v>121</v>
      </c>
      <c r="Q5545" t="s">
        <v>58</v>
      </c>
      <c r="R5545" t="str">
        <f>IFERROR(VLOOKUP(record[[#This Row],[PCUSTID]],廠商[],2,FALSE),"")</f>
        <v/>
      </c>
      <c r="S5545" t="str">
        <f>VLOOKUP(record[[#This Row],[employeeID]],員工[],2,FALSE)</f>
        <v>謝素卿</v>
      </c>
    </row>
    <row r="5546" spans="6:19" hidden="1" x14ac:dyDescent="0.25">
      <c r="F5546" t="s">
        <v>1350</v>
      </c>
      <c r="G5546" t="s">
        <v>398</v>
      </c>
      <c r="H5546" t="str">
        <f>VLOOKUP(record[[#This Row],[ProcessSN]],表格2_7[],2,FALSE)</f>
        <v>30-4118-018-550</v>
      </c>
      <c r="I5546" t="str">
        <f>VLOOKUP(record[[#This Row],[ProcessSN]],表格2_7[],3,FALSE)</f>
        <v>#08RCV</v>
      </c>
      <c r="J5546" t="s">
        <v>591</v>
      </c>
      <c r="K5546" s="195">
        <v>46013.681516203702</v>
      </c>
      <c r="L5546">
        <v>0</v>
      </c>
      <c r="M5546">
        <v>12</v>
      </c>
      <c r="N5546" s="98" t="str">
        <f>IF(record[[#This Row],[Memo]]="Browser:chrome os:android","平板報工",IF(record[[#This Row],[Memo]]=0,"委外",record[[#This Row],[Memo]]))</f>
        <v/>
      </c>
      <c r="O5546" t="s">
        <v>58</v>
      </c>
      <c r="P5546" t="s">
        <v>141</v>
      </c>
      <c r="Q5546" t="s">
        <v>58</v>
      </c>
      <c r="R5546" t="str">
        <f>IFERROR(VLOOKUP(record[[#This Row],[PCUSTID]],廠商[],2,FALSE),"")</f>
        <v/>
      </c>
      <c r="S5546" t="str">
        <f>VLOOKUP(record[[#This Row],[employeeID]],員工[],2,FALSE)</f>
        <v>蔣梅</v>
      </c>
    </row>
    <row r="5547" spans="6:19" hidden="1" x14ac:dyDescent="0.25">
      <c r="F5547" t="s">
        <v>1350</v>
      </c>
      <c r="G5547" t="s">
        <v>400</v>
      </c>
      <c r="H5547" t="str">
        <f>VLOOKUP(record[[#This Row],[ProcessSN]],表格2_7[],2,FALSE)</f>
        <v>30-4118-018-550</v>
      </c>
      <c r="I5547" t="str">
        <f>VLOOKUP(record[[#This Row],[ProcessSN]],表格2_7[],3,FALSE)</f>
        <v>#100</v>
      </c>
      <c r="J5547" t="s">
        <v>598</v>
      </c>
      <c r="K5547" s="195">
        <v>46013.68041666667</v>
      </c>
      <c r="L5547">
        <v>324</v>
      </c>
      <c r="M5547">
        <v>0</v>
      </c>
      <c r="N5547" s="98" t="str">
        <f>IF(record[[#This Row],[Memo]]="Browser:chrome os:android","平板報工",IF(record[[#This Row],[Memo]]=0,"委外",record[[#This Row],[Memo]]))</f>
        <v/>
      </c>
      <c r="O5547" t="s">
        <v>58</v>
      </c>
      <c r="P5547" t="s">
        <v>141</v>
      </c>
      <c r="Q5547" t="s">
        <v>58</v>
      </c>
      <c r="R5547" t="str">
        <f>IFERROR(VLOOKUP(record[[#This Row],[PCUSTID]],廠商[],2,FALSE),"")</f>
        <v/>
      </c>
      <c r="S5547" t="str">
        <f>VLOOKUP(record[[#This Row],[employeeID]],員工[],2,FALSE)</f>
        <v>蔣梅</v>
      </c>
    </row>
    <row r="5548" spans="6:19" hidden="1" x14ac:dyDescent="0.25">
      <c r="F5548" t="s">
        <v>1350</v>
      </c>
      <c r="G5548" t="s">
        <v>399</v>
      </c>
      <c r="H5548" t="str">
        <f>VLOOKUP(record[[#This Row],[ProcessSN]],表格2_7[],2,FALSE)</f>
        <v>30-4118-018-550</v>
      </c>
      <c r="I5548" t="str">
        <f>VLOOKUP(record[[#This Row],[ProcessSN]],表格2_7[],3,FALSE)</f>
        <v>#08IQC</v>
      </c>
      <c r="J5548" t="s">
        <v>583</v>
      </c>
      <c r="K5548" s="195">
        <v>46013.680277777778</v>
      </c>
      <c r="L5548">
        <v>9</v>
      </c>
      <c r="M5548">
        <v>0</v>
      </c>
      <c r="N5548" s="98" t="str">
        <f>IF(record[[#This Row],[Memo]]="Browser:chrome os:android","平板報工",IF(record[[#This Row],[Memo]]=0,"委外",record[[#This Row],[Memo]]))</f>
        <v>覆回</v>
      </c>
      <c r="O5548" t="s">
        <v>682</v>
      </c>
      <c r="P5548" t="s">
        <v>141</v>
      </c>
      <c r="Q5548" t="s">
        <v>58</v>
      </c>
      <c r="R5548" t="str">
        <f>IFERROR(VLOOKUP(record[[#This Row],[PCUSTID]],廠商[],2,FALSE),"")</f>
        <v/>
      </c>
      <c r="S5548" t="str">
        <f>VLOOKUP(record[[#This Row],[employeeID]],員工[],2,FALSE)</f>
        <v>蔣梅</v>
      </c>
    </row>
    <row r="5549" spans="6:19" hidden="1" x14ac:dyDescent="0.25">
      <c r="F5549" t="s">
        <v>1350</v>
      </c>
      <c r="G5549" t="s">
        <v>398</v>
      </c>
      <c r="H5549" t="str">
        <f>VLOOKUP(record[[#This Row],[ProcessSN]],表格2_7[],2,FALSE)</f>
        <v>30-4118-018-550</v>
      </c>
      <c r="I5549" t="str">
        <f>VLOOKUP(record[[#This Row],[ProcessSN]],表格2_7[],3,FALSE)</f>
        <v>#08RCV</v>
      </c>
      <c r="J5549" t="s">
        <v>591</v>
      </c>
      <c r="K5549" s="195">
        <v>46013.680104166669</v>
      </c>
      <c r="L5549">
        <v>9</v>
      </c>
      <c r="M5549">
        <v>0</v>
      </c>
      <c r="N5549" s="98" t="str">
        <f>IF(record[[#This Row],[Memo]]="Browser:chrome os:android","平板報工",IF(record[[#This Row],[Memo]]=0,"委外",record[[#This Row],[Memo]]))</f>
        <v>覆回</v>
      </c>
      <c r="O5549" t="s">
        <v>682</v>
      </c>
      <c r="P5549" t="s">
        <v>141</v>
      </c>
      <c r="Q5549" t="s">
        <v>58</v>
      </c>
      <c r="R5549" t="str">
        <f>IFERROR(VLOOKUP(record[[#This Row],[PCUSTID]],廠商[],2,FALSE),"")</f>
        <v/>
      </c>
      <c r="S5549" t="str">
        <f>VLOOKUP(record[[#This Row],[employeeID]],員工[],2,FALSE)</f>
        <v>蔣梅</v>
      </c>
    </row>
    <row r="5550" spans="6:19" hidden="1" x14ac:dyDescent="0.25">
      <c r="F5550" t="s">
        <v>1342</v>
      </c>
      <c r="G5550" t="s">
        <v>400</v>
      </c>
      <c r="H5550" t="str">
        <f>VLOOKUP(record[[#This Row],[ProcessSN]],表格2_7[],2,FALSE)</f>
        <v>30-4118-018-550</v>
      </c>
      <c r="I5550" t="str">
        <f>VLOOKUP(record[[#This Row],[ProcessSN]],表格2_7[],3,FALSE)</f>
        <v>#100</v>
      </c>
      <c r="J5550" t="s">
        <v>598</v>
      </c>
      <c r="K5550" s="195">
        <v>46013.67863425926</v>
      </c>
      <c r="L5550">
        <v>153</v>
      </c>
      <c r="M5550">
        <v>0</v>
      </c>
      <c r="N5550" s="98" t="str">
        <f>IF(record[[#This Row],[Memo]]="Browser:chrome os:android","平板報工",IF(record[[#This Row],[Memo]]=0,"委外",record[[#This Row],[Memo]]))</f>
        <v/>
      </c>
      <c r="O5550" t="s">
        <v>58</v>
      </c>
      <c r="P5550" t="s">
        <v>141</v>
      </c>
      <c r="Q5550" t="s">
        <v>58</v>
      </c>
      <c r="R5550" t="str">
        <f>IFERROR(VLOOKUP(record[[#This Row],[PCUSTID]],廠商[],2,FALSE),"")</f>
        <v/>
      </c>
      <c r="S5550" t="str">
        <f>VLOOKUP(record[[#This Row],[employeeID]],員工[],2,FALSE)</f>
        <v>蔣梅</v>
      </c>
    </row>
    <row r="5551" spans="6:19" hidden="1" x14ac:dyDescent="0.25">
      <c r="F5551" t="s">
        <v>1306</v>
      </c>
      <c r="G5551" t="s">
        <v>400</v>
      </c>
      <c r="H5551" t="str">
        <f>VLOOKUP(record[[#This Row],[ProcessSN]],表格2_7[],2,FALSE)</f>
        <v>30-4118-018-550</v>
      </c>
      <c r="I5551" t="str">
        <f>VLOOKUP(record[[#This Row],[ProcessSN]],表格2_7[],3,FALSE)</f>
        <v>#100</v>
      </c>
      <c r="J5551" t="s">
        <v>598</v>
      </c>
      <c r="K5551" s="195">
        <v>46013.678333333337</v>
      </c>
      <c r="L5551">
        <v>2</v>
      </c>
      <c r="M5551">
        <v>0</v>
      </c>
      <c r="N5551" s="98" t="str">
        <f>IF(record[[#This Row],[Memo]]="Browser:chrome os:android","平板報工",IF(record[[#This Row],[Memo]]=0,"委外",record[[#This Row],[Memo]]))</f>
        <v>覆回</v>
      </c>
      <c r="O5551" t="s">
        <v>682</v>
      </c>
      <c r="P5551" t="s">
        <v>141</v>
      </c>
      <c r="Q5551" t="s">
        <v>58</v>
      </c>
      <c r="R5551" t="str">
        <f>IFERROR(VLOOKUP(record[[#This Row],[PCUSTID]],廠商[],2,FALSE),"")</f>
        <v/>
      </c>
      <c r="S5551" t="str">
        <f>VLOOKUP(record[[#This Row],[employeeID]],員工[],2,FALSE)</f>
        <v>蔣梅</v>
      </c>
    </row>
    <row r="5552" spans="6:19" hidden="1" x14ac:dyDescent="0.25">
      <c r="F5552" t="s">
        <v>1306</v>
      </c>
      <c r="G5552" t="s">
        <v>399</v>
      </c>
      <c r="H5552" t="str">
        <f>VLOOKUP(record[[#This Row],[ProcessSN]],表格2_7[],2,FALSE)</f>
        <v>30-4118-018-550</v>
      </c>
      <c r="I5552" t="str">
        <f>VLOOKUP(record[[#This Row],[ProcessSN]],表格2_7[],3,FALSE)</f>
        <v>#08IQC</v>
      </c>
      <c r="J5552" t="s">
        <v>583</v>
      </c>
      <c r="K5552" s="195">
        <v>46013.678182870368</v>
      </c>
      <c r="L5552">
        <v>2</v>
      </c>
      <c r="M5552">
        <v>0</v>
      </c>
      <c r="N5552" s="98" t="str">
        <f>IF(record[[#This Row],[Memo]]="Browser:chrome os:android","平板報工",IF(record[[#This Row],[Memo]]=0,"委外",record[[#This Row],[Memo]]))</f>
        <v>覆回</v>
      </c>
      <c r="O5552" t="s">
        <v>682</v>
      </c>
      <c r="P5552" t="s">
        <v>141</v>
      </c>
      <c r="Q5552" t="s">
        <v>58</v>
      </c>
      <c r="R5552" t="str">
        <f>IFERROR(VLOOKUP(record[[#This Row],[PCUSTID]],廠商[],2,FALSE),"")</f>
        <v/>
      </c>
      <c r="S5552" t="str">
        <f>VLOOKUP(record[[#This Row],[employeeID]],員工[],2,FALSE)</f>
        <v>蔣梅</v>
      </c>
    </row>
    <row r="5553" spans="6:19" hidden="1" x14ac:dyDescent="0.25">
      <c r="F5553" t="s">
        <v>1306</v>
      </c>
      <c r="G5553" t="s">
        <v>398</v>
      </c>
      <c r="H5553" t="str">
        <f>VLOOKUP(record[[#This Row],[ProcessSN]],表格2_7[],2,FALSE)</f>
        <v>30-4118-018-550</v>
      </c>
      <c r="I5553" t="str">
        <f>VLOOKUP(record[[#This Row],[ProcessSN]],表格2_7[],3,FALSE)</f>
        <v>#08RCV</v>
      </c>
      <c r="J5553" t="s">
        <v>591</v>
      </c>
      <c r="K5553" s="195">
        <v>46013.678020833337</v>
      </c>
      <c r="L5553">
        <v>0</v>
      </c>
      <c r="M5553">
        <v>29</v>
      </c>
      <c r="N5553" s="98" t="str">
        <f>IF(record[[#This Row],[Memo]]="Browser:chrome os:android","平板報工",IF(record[[#This Row],[Memo]]=0,"委外",record[[#This Row],[Memo]]))</f>
        <v/>
      </c>
      <c r="O5553" t="s">
        <v>58</v>
      </c>
      <c r="P5553" t="s">
        <v>141</v>
      </c>
      <c r="Q5553" t="s">
        <v>58</v>
      </c>
      <c r="R5553" t="str">
        <f>IFERROR(VLOOKUP(record[[#This Row],[PCUSTID]],廠商[],2,FALSE),"")</f>
        <v/>
      </c>
      <c r="S5553" t="str">
        <f>VLOOKUP(record[[#This Row],[employeeID]],員工[],2,FALSE)</f>
        <v>蔣梅</v>
      </c>
    </row>
    <row r="5554" spans="6:19" hidden="1" x14ac:dyDescent="0.25">
      <c r="F5554" t="s">
        <v>1306</v>
      </c>
      <c r="G5554" t="s">
        <v>398</v>
      </c>
      <c r="H5554" t="str">
        <f>VLOOKUP(record[[#This Row],[ProcessSN]],表格2_7[],2,FALSE)</f>
        <v>30-4118-018-550</v>
      </c>
      <c r="I5554" t="str">
        <f>VLOOKUP(record[[#This Row],[ProcessSN]],表格2_7[],3,FALSE)</f>
        <v>#08RCV</v>
      </c>
      <c r="J5554" t="s">
        <v>591</v>
      </c>
      <c r="K5554" s="195">
        <v>46013.677881944444</v>
      </c>
      <c r="L5554">
        <v>2</v>
      </c>
      <c r="M5554">
        <v>0</v>
      </c>
      <c r="N5554" s="98" t="str">
        <f>IF(record[[#This Row],[Memo]]="Browser:chrome os:android","平板報工",IF(record[[#This Row],[Memo]]=0,"委外",record[[#This Row],[Memo]]))</f>
        <v>覆回</v>
      </c>
      <c r="O5554" t="s">
        <v>682</v>
      </c>
      <c r="P5554" t="s">
        <v>141</v>
      </c>
      <c r="Q5554" t="s">
        <v>58</v>
      </c>
      <c r="R5554" t="str">
        <f>IFERROR(VLOOKUP(record[[#This Row],[PCUSTID]],廠商[],2,FALSE),"")</f>
        <v/>
      </c>
      <c r="S5554" t="str">
        <f>VLOOKUP(record[[#This Row],[employeeID]],員工[],2,FALSE)</f>
        <v>蔣梅</v>
      </c>
    </row>
    <row r="5555" spans="6:19" hidden="1" x14ac:dyDescent="0.25">
      <c r="F5555" t="s">
        <v>1302</v>
      </c>
      <c r="G5555" t="s">
        <v>400</v>
      </c>
      <c r="H5555" t="str">
        <f>VLOOKUP(record[[#This Row],[ProcessSN]],表格2_7[],2,FALSE)</f>
        <v>30-4118-018-550</v>
      </c>
      <c r="I5555" t="str">
        <f>VLOOKUP(record[[#This Row],[ProcessSN]],表格2_7[],3,FALSE)</f>
        <v>#100</v>
      </c>
      <c r="J5555" t="s">
        <v>598</v>
      </c>
      <c r="K5555" s="195">
        <v>46013.67732638889</v>
      </c>
      <c r="L5555">
        <v>3</v>
      </c>
      <c r="M5555">
        <v>0</v>
      </c>
      <c r="N5555" s="98" t="str">
        <f>IF(record[[#This Row],[Memo]]="Browser:chrome os:android","平板報工",IF(record[[#This Row],[Memo]]=0,"委外",record[[#This Row],[Memo]]))</f>
        <v>覆回</v>
      </c>
      <c r="O5555" t="s">
        <v>682</v>
      </c>
      <c r="P5555" t="s">
        <v>141</v>
      </c>
      <c r="Q5555" t="s">
        <v>58</v>
      </c>
      <c r="R5555" t="str">
        <f>IFERROR(VLOOKUP(record[[#This Row],[PCUSTID]],廠商[],2,FALSE),"")</f>
        <v/>
      </c>
      <c r="S5555" t="str">
        <f>VLOOKUP(record[[#This Row],[employeeID]],員工[],2,FALSE)</f>
        <v>蔣梅</v>
      </c>
    </row>
    <row r="5556" spans="6:19" hidden="1" x14ac:dyDescent="0.25">
      <c r="F5556" t="s">
        <v>1302</v>
      </c>
      <c r="G5556" t="s">
        <v>399</v>
      </c>
      <c r="H5556" t="str">
        <f>VLOOKUP(record[[#This Row],[ProcessSN]],表格2_7[],2,FALSE)</f>
        <v>30-4118-018-550</v>
      </c>
      <c r="I5556" t="str">
        <f>VLOOKUP(record[[#This Row],[ProcessSN]],表格2_7[],3,FALSE)</f>
        <v>#08IQC</v>
      </c>
      <c r="J5556" t="s">
        <v>583</v>
      </c>
      <c r="K5556" s="195">
        <v>46013.677187499998</v>
      </c>
      <c r="L5556">
        <v>3</v>
      </c>
      <c r="M5556">
        <v>0</v>
      </c>
      <c r="N5556" s="98" t="str">
        <f>IF(record[[#This Row],[Memo]]="Browser:chrome os:android","平板報工",IF(record[[#This Row],[Memo]]=0,"委外",record[[#This Row],[Memo]]))</f>
        <v>覆回</v>
      </c>
      <c r="O5556" t="s">
        <v>682</v>
      </c>
      <c r="P5556" t="s">
        <v>141</v>
      </c>
      <c r="Q5556" t="s">
        <v>58</v>
      </c>
      <c r="R5556" t="str">
        <f>IFERROR(VLOOKUP(record[[#This Row],[PCUSTID]],廠商[],2,FALSE),"")</f>
        <v/>
      </c>
      <c r="S5556" t="str">
        <f>VLOOKUP(record[[#This Row],[employeeID]],員工[],2,FALSE)</f>
        <v>蔣梅</v>
      </c>
    </row>
    <row r="5557" spans="6:19" hidden="1" x14ac:dyDescent="0.25">
      <c r="F5557" t="s">
        <v>1302</v>
      </c>
      <c r="G5557" t="s">
        <v>398</v>
      </c>
      <c r="H5557" t="str">
        <f>VLOOKUP(record[[#This Row],[ProcessSN]],表格2_7[],2,FALSE)</f>
        <v>30-4118-018-550</v>
      </c>
      <c r="I5557" t="str">
        <f>VLOOKUP(record[[#This Row],[ProcessSN]],表格2_7[],3,FALSE)</f>
        <v>#08RCV</v>
      </c>
      <c r="J5557" t="s">
        <v>591</v>
      </c>
      <c r="K5557" s="195">
        <v>46013.676979166667</v>
      </c>
      <c r="L5557">
        <v>0</v>
      </c>
      <c r="M5557">
        <v>5</v>
      </c>
      <c r="N5557" s="98" t="str">
        <f>IF(record[[#This Row],[Memo]]="Browser:chrome os:android","平板報工",IF(record[[#This Row],[Memo]]=0,"委外",record[[#This Row],[Memo]]))</f>
        <v/>
      </c>
      <c r="O5557" t="s">
        <v>58</v>
      </c>
      <c r="P5557" t="s">
        <v>141</v>
      </c>
      <c r="Q5557" t="s">
        <v>58</v>
      </c>
      <c r="R5557" t="str">
        <f>IFERROR(VLOOKUP(record[[#This Row],[PCUSTID]],廠商[],2,FALSE),"")</f>
        <v/>
      </c>
      <c r="S5557" t="str">
        <f>VLOOKUP(record[[#This Row],[employeeID]],員工[],2,FALSE)</f>
        <v>蔣梅</v>
      </c>
    </row>
    <row r="5558" spans="6:19" hidden="1" x14ac:dyDescent="0.25">
      <c r="F5558" t="s">
        <v>1302</v>
      </c>
      <c r="G5558" t="s">
        <v>398</v>
      </c>
      <c r="H5558" t="str">
        <f>VLOOKUP(record[[#This Row],[ProcessSN]],表格2_7[],2,FALSE)</f>
        <v>30-4118-018-550</v>
      </c>
      <c r="I5558" t="str">
        <f>VLOOKUP(record[[#This Row],[ProcessSN]],表格2_7[],3,FALSE)</f>
        <v>#08RCV</v>
      </c>
      <c r="J5558" t="s">
        <v>591</v>
      </c>
      <c r="K5558" s="195">
        <v>46013.676828703705</v>
      </c>
      <c r="L5558">
        <v>3</v>
      </c>
      <c r="M5558">
        <v>0</v>
      </c>
      <c r="N5558" s="98" t="str">
        <f>IF(record[[#This Row],[Memo]]="Browser:chrome os:android","平板報工",IF(record[[#This Row],[Memo]]=0,"委外",record[[#This Row],[Memo]]))</f>
        <v>覆回</v>
      </c>
      <c r="O5558" t="s">
        <v>682</v>
      </c>
      <c r="P5558" t="s">
        <v>141</v>
      </c>
      <c r="Q5558" t="s">
        <v>58</v>
      </c>
      <c r="R5558" t="str">
        <f>IFERROR(VLOOKUP(record[[#This Row],[PCUSTID]],廠商[],2,FALSE),"")</f>
        <v/>
      </c>
      <c r="S5558" t="str">
        <f>VLOOKUP(record[[#This Row],[employeeID]],員工[],2,FALSE)</f>
        <v>蔣梅</v>
      </c>
    </row>
    <row r="5559" spans="6:19" hidden="1" x14ac:dyDescent="0.25">
      <c r="F5559" t="s">
        <v>1315</v>
      </c>
      <c r="G5559" t="s">
        <v>359</v>
      </c>
      <c r="H5559" t="str">
        <f>VLOOKUP(record[[#This Row],[ProcessSN]],表格2_7[],2,FALSE)</f>
        <v>30-4118-018-450</v>
      </c>
      <c r="I5559" t="str">
        <f>VLOOKUP(record[[#This Row],[ProcessSN]],表格2_7[],3,FALSE)</f>
        <v>#100</v>
      </c>
      <c r="J5559" t="s">
        <v>598</v>
      </c>
      <c r="K5559" s="195">
        <v>46013.675393518519</v>
      </c>
      <c r="L5559">
        <v>1</v>
      </c>
      <c r="M5559">
        <v>0</v>
      </c>
      <c r="N5559" s="98" t="str">
        <f>IF(record[[#This Row],[Memo]]="Browser:chrome os:android","平板報工",IF(record[[#This Row],[Memo]]=0,"委外",record[[#This Row],[Memo]]))</f>
        <v/>
      </c>
      <c r="O5559" t="s">
        <v>58</v>
      </c>
      <c r="P5559" t="s">
        <v>141</v>
      </c>
      <c r="Q5559" t="s">
        <v>58</v>
      </c>
      <c r="R5559" t="str">
        <f>IFERROR(VLOOKUP(record[[#This Row],[PCUSTID]],廠商[],2,FALSE),"")</f>
        <v/>
      </c>
      <c r="S5559" t="str">
        <f>VLOOKUP(record[[#This Row],[employeeID]],員工[],2,FALSE)</f>
        <v>蔣梅</v>
      </c>
    </row>
    <row r="5560" spans="6:19" hidden="1" x14ac:dyDescent="0.25">
      <c r="F5560" t="s">
        <v>1277</v>
      </c>
      <c r="G5560" t="s">
        <v>362</v>
      </c>
      <c r="H5560" t="str">
        <f>VLOOKUP(record[[#This Row],[ProcessSN]],表格2_7[],2,FALSE)</f>
        <v>30-4118-018-450</v>
      </c>
      <c r="I5560" t="str">
        <f>VLOOKUP(record[[#This Row],[ProcessSN]],表格2_7[],3,FALSE)</f>
        <v>#100SHIP</v>
      </c>
      <c r="J5560" t="s">
        <v>600</v>
      </c>
      <c r="K5560" s="195">
        <v>46013.674826388888</v>
      </c>
      <c r="L5560">
        <v>60</v>
      </c>
      <c r="M5560">
        <v>0</v>
      </c>
      <c r="N5560" s="98" t="str">
        <f>IF(record[[#This Row],[Memo]]="Browser:chrome os:android","平板報工",IF(record[[#This Row],[Memo]]=0,"委外",record[[#This Row],[Memo]]))</f>
        <v/>
      </c>
      <c r="O5560" t="s">
        <v>58</v>
      </c>
      <c r="P5560" t="s">
        <v>886</v>
      </c>
      <c r="Q5560" t="s">
        <v>58</v>
      </c>
      <c r="R5560" t="str">
        <f>IFERROR(VLOOKUP(record[[#This Row],[PCUSTID]],廠商[],2,FALSE),"")</f>
        <v/>
      </c>
      <c r="S5560" t="str">
        <f>VLOOKUP(record[[#This Row],[employeeID]],員工[],2,FALSE)</f>
        <v>謝蓁薰</v>
      </c>
    </row>
    <row r="5561" spans="6:19" hidden="1" x14ac:dyDescent="0.25">
      <c r="F5561" t="s">
        <v>1277</v>
      </c>
      <c r="G5561" t="s">
        <v>362</v>
      </c>
      <c r="H5561" t="str">
        <f>VLOOKUP(record[[#This Row],[ProcessSN]],表格2_7[],2,FALSE)</f>
        <v>30-4118-018-450</v>
      </c>
      <c r="I5561" t="str">
        <f>VLOOKUP(record[[#This Row],[ProcessSN]],表格2_7[],3,FALSE)</f>
        <v>#100SHIP</v>
      </c>
      <c r="J5561" t="s">
        <v>600</v>
      </c>
      <c r="K5561" s="195">
        <v>46013.674456018518</v>
      </c>
      <c r="L5561">
        <v>24</v>
      </c>
      <c r="M5561">
        <v>0</v>
      </c>
      <c r="N5561" s="98" t="str">
        <f>IF(record[[#This Row],[Memo]]="Browser:chrome os:android","平板報工",IF(record[[#This Row],[Memo]]=0,"委外",record[[#This Row],[Memo]]))</f>
        <v/>
      </c>
      <c r="O5561" t="s">
        <v>58</v>
      </c>
      <c r="P5561" t="s">
        <v>886</v>
      </c>
      <c r="Q5561" t="s">
        <v>58</v>
      </c>
      <c r="R5561" t="str">
        <f>IFERROR(VLOOKUP(record[[#This Row],[PCUSTID]],廠商[],2,FALSE),"")</f>
        <v/>
      </c>
      <c r="S5561" t="str">
        <f>VLOOKUP(record[[#This Row],[employeeID]],員工[],2,FALSE)</f>
        <v>謝蓁薰</v>
      </c>
    </row>
    <row r="5562" spans="6:19" hidden="1" x14ac:dyDescent="0.25">
      <c r="F5562" t="s">
        <v>1329</v>
      </c>
      <c r="G5562" t="s">
        <v>403</v>
      </c>
      <c r="H5562" t="str">
        <f>VLOOKUP(record[[#This Row],[ProcessSN]],表格2_7[],2,FALSE)</f>
        <v>30-4118-018-550</v>
      </c>
      <c r="I5562" t="str">
        <f>VLOOKUP(record[[#This Row],[ProcessSN]],表格2_7[],3,FALSE)</f>
        <v>#100SHIP</v>
      </c>
      <c r="J5562" t="s">
        <v>600</v>
      </c>
      <c r="K5562" s="195">
        <v>46013.673344907409</v>
      </c>
      <c r="L5562">
        <v>120</v>
      </c>
      <c r="M5562">
        <v>0</v>
      </c>
      <c r="N5562" s="98" t="str">
        <f>IF(record[[#This Row],[Memo]]="Browser:chrome os:android","平板報工",IF(record[[#This Row],[Memo]]=0,"委外",record[[#This Row],[Memo]]))</f>
        <v/>
      </c>
      <c r="O5562" t="s">
        <v>58</v>
      </c>
      <c r="P5562" t="s">
        <v>886</v>
      </c>
      <c r="Q5562" t="s">
        <v>58</v>
      </c>
      <c r="R5562" t="str">
        <f>IFERROR(VLOOKUP(record[[#This Row],[PCUSTID]],廠商[],2,FALSE),"")</f>
        <v/>
      </c>
      <c r="S5562" t="str">
        <f>VLOOKUP(record[[#This Row],[employeeID]],員工[],2,FALSE)</f>
        <v>謝蓁薰</v>
      </c>
    </row>
    <row r="5563" spans="6:19" hidden="1" x14ac:dyDescent="0.25">
      <c r="F5563" t="s">
        <v>1338</v>
      </c>
      <c r="G5563" t="s">
        <v>450</v>
      </c>
      <c r="H5563" t="str">
        <f>VLOOKUP(record[[#This Row],[ProcessSN]],表格2_7[],2,FALSE)</f>
        <v>30-4118-018-6XX</v>
      </c>
      <c r="I5563" t="str">
        <f>VLOOKUP(record[[#This Row],[ProcessSN]],表格2_7[],3,FALSE)</f>
        <v>#06</v>
      </c>
      <c r="J5563" t="s">
        <v>593</v>
      </c>
      <c r="K5563" s="195">
        <v>46013.647488425922</v>
      </c>
      <c r="L5563">
        <v>81</v>
      </c>
      <c r="M5563">
        <v>0</v>
      </c>
      <c r="N5563" s="98" t="str">
        <f>IF(record[[#This Row],[Memo]]="Browser:chrome os:android","平板報工",IF(record[[#This Row],[Memo]]=0,"委外",record[[#This Row],[Memo]]))</f>
        <v/>
      </c>
      <c r="O5563" t="s">
        <v>58</v>
      </c>
      <c r="P5563" t="s">
        <v>166</v>
      </c>
      <c r="Q5563" t="s">
        <v>58</v>
      </c>
      <c r="R5563" t="str">
        <f>IFERROR(VLOOKUP(record[[#This Row],[PCUSTID]],廠商[],2,FALSE),"")</f>
        <v/>
      </c>
      <c r="S5563" t="str">
        <f>VLOOKUP(record[[#This Row],[employeeID]],員工[],2,FALSE)</f>
        <v>阮懷香</v>
      </c>
    </row>
    <row r="5564" spans="6:19" hidden="1" x14ac:dyDescent="0.25">
      <c r="F5564" t="s">
        <v>1270</v>
      </c>
      <c r="G5564" t="s">
        <v>375</v>
      </c>
      <c r="H5564" t="str">
        <f>VLOOKUP(record[[#This Row],[ProcessSN]],表格2_7[],2,FALSE)</f>
        <v>30-4118-018-4XX</v>
      </c>
      <c r="I5564" t="str">
        <f>VLOOKUP(record[[#This Row],[ProcessSN]],表格2_7[],3,FALSE)</f>
        <v>#05</v>
      </c>
      <c r="J5564" t="s">
        <v>588</v>
      </c>
      <c r="K5564" s="195">
        <v>46013.644108796296</v>
      </c>
      <c r="L5564">
        <v>77</v>
      </c>
      <c r="M5564">
        <v>0</v>
      </c>
      <c r="N5564" s="98" t="str">
        <f>IF(record[[#This Row],[Memo]]="Browser:chrome os:android","平板報工",IF(record[[#This Row],[Memo]]=0,"委外",record[[#This Row],[Memo]]))</f>
        <v/>
      </c>
      <c r="O5564" t="s">
        <v>58</v>
      </c>
      <c r="P5564" t="s">
        <v>789</v>
      </c>
      <c r="Q5564" t="s">
        <v>58</v>
      </c>
      <c r="R5564" t="str">
        <f>IFERROR(VLOOKUP(record[[#This Row],[PCUSTID]],廠商[],2,FALSE),"")</f>
        <v/>
      </c>
      <c r="S5564" t="str">
        <f>VLOOKUP(record[[#This Row],[employeeID]],員工[],2,FALSE)</f>
        <v>張月霞</v>
      </c>
    </row>
    <row r="5565" spans="6:19" hidden="1" x14ac:dyDescent="0.25">
      <c r="F5565" t="s">
        <v>1270</v>
      </c>
      <c r="G5565" t="s">
        <v>374</v>
      </c>
      <c r="H5565" t="str">
        <f>VLOOKUP(record[[#This Row],[ProcessSN]],表格2_7[],2,FALSE)</f>
        <v>30-4118-018-4XX</v>
      </c>
      <c r="I5565" t="str">
        <f>VLOOKUP(record[[#This Row],[ProcessSN]],表格2_7[],3,FALSE)</f>
        <v>#04</v>
      </c>
      <c r="J5565" t="s">
        <v>588</v>
      </c>
      <c r="K5565" s="195">
        <v>46013.643946759257</v>
      </c>
      <c r="L5565">
        <v>77</v>
      </c>
      <c r="M5565">
        <v>0</v>
      </c>
      <c r="N5565" s="98" t="str">
        <f>IF(record[[#This Row],[Memo]]="Browser:chrome os:android","平板報工",IF(record[[#This Row],[Memo]]=0,"委外",record[[#This Row],[Memo]]))</f>
        <v/>
      </c>
      <c r="O5565" t="s">
        <v>58</v>
      </c>
      <c r="P5565" t="s">
        <v>789</v>
      </c>
      <c r="Q5565" t="s">
        <v>58</v>
      </c>
      <c r="R5565" t="str">
        <f>IFERROR(VLOOKUP(record[[#This Row],[PCUSTID]],廠商[],2,FALSE),"")</f>
        <v/>
      </c>
      <c r="S5565" t="str">
        <f>VLOOKUP(record[[#This Row],[employeeID]],員工[],2,FALSE)</f>
        <v>張月霞</v>
      </c>
    </row>
    <row r="5566" spans="6:19" hidden="1" x14ac:dyDescent="0.25">
      <c r="F5566" t="s">
        <v>1333</v>
      </c>
      <c r="G5566" t="s">
        <v>450</v>
      </c>
      <c r="H5566" t="str">
        <f>VLOOKUP(record[[#This Row],[ProcessSN]],表格2_7[],2,FALSE)</f>
        <v>30-4118-018-6XX</v>
      </c>
      <c r="I5566" t="str">
        <f>VLOOKUP(record[[#This Row],[ProcessSN]],表格2_7[],3,FALSE)</f>
        <v>#06</v>
      </c>
      <c r="J5566" t="s">
        <v>593</v>
      </c>
      <c r="K5566" s="195">
        <v>46013.643530092595</v>
      </c>
      <c r="L5566">
        <v>28</v>
      </c>
      <c r="M5566">
        <v>0</v>
      </c>
      <c r="N5566" s="98" t="str">
        <f>IF(record[[#This Row],[Memo]]="Browser:chrome os:android","平板報工",IF(record[[#This Row],[Memo]]=0,"委外",record[[#This Row],[Memo]]))</f>
        <v/>
      </c>
      <c r="O5566" t="s">
        <v>58</v>
      </c>
      <c r="P5566" t="s">
        <v>785</v>
      </c>
      <c r="Q5566" t="s">
        <v>58</v>
      </c>
      <c r="R5566" t="str">
        <f>IFERROR(VLOOKUP(record[[#This Row],[PCUSTID]],廠商[],2,FALSE),"")</f>
        <v/>
      </c>
      <c r="S5566" t="str">
        <f>VLOOKUP(record[[#This Row],[employeeID]],員工[],2,FALSE)</f>
        <v>謝刻光</v>
      </c>
    </row>
    <row r="5567" spans="6:19" hidden="1" x14ac:dyDescent="0.25">
      <c r="F5567" t="s">
        <v>1350</v>
      </c>
      <c r="G5567" t="s">
        <v>399</v>
      </c>
      <c r="H5567" t="str">
        <f>VLOOKUP(record[[#This Row],[ProcessSN]],表格2_7[],2,FALSE)</f>
        <v>30-4118-018-550</v>
      </c>
      <c r="I5567" t="str">
        <f>VLOOKUP(record[[#This Row],[ProcessSN]],表格2_7[],3,FALSE)</f>
        <v>#08IQC</v>
      </c>
      <c r="J5567" t="s">
        <v>583</v>
      </c>
      <c r="K5567" s="195">
        <v>46013.635104166664</v>
      </c>
      <c r="L5567">
        <v>315</v>
      </c>
      <c r="M5567">
        <v>0</v>
      </c>
      <c r="N5567" s="98" t="str">
        <f>IF(record[[#This Row],[Memo]]="Browser:chrome os:android","平板報工",IF(record[[#This Row],[Memo]]=0,"委外",record[[#This Row],[Memo]]))</f>
        <v/>
      </c>
      <c r="O5567" t="s">
        <v>58</v>
      </c>
      <c r="P5567" t="s">
        <v>109</v>
      </c>
      <c r="Q5567" t="s">
        <v>58</v>
      </c>
      <c r="R5567" t="str">
        <f>IFERROR(VLOOKUP(record[[#This Row],[PCUSTID]],廠商[],2,FALSE),"")</f>
        <v/>
      </c>
      <c r="S5567" t="str">
        <f>VLOOKUP(record[[#This Row],[employeeID]],員工[],2,FALSE)</f>
        <v>裴氏璧鳳</v>
      </c>
    </row>
    <row r="5568" spans="6:19" hidden="1" x14ac:dyDescent="0.25">
      <c r="F5568" t="s">
        <v>1350</v>
      </c>
      <c r="G5568" t="s">
        <v>398</v>
      </c>
      <c r="H5568" t="str">
        <f>VLOOKUP(record[[#This Row],[ProcessSN]],表格2_7[],2,FALSE)</f>
        <v>30-4118-018-550</v>
      </c>
      <c r="I5568" t="str">
        <f>VLOOKUP(record[[#This Row],[ProcessSN]],表格2_7[],3,FALSE)</f>
        <v>#08RCV</v>
      </c>
      <c r="J5568" t="s">
        <v>591</v>
      </c>
      <c r="K5568" s="195">
        <v>46013.625243055554</v>
      </c>
      <c r="L5568">
        <v>315</v>
      </c>
      <c r="M5568">
        <v>0</v>
      </c>
      <c r="N5568" s="98" t="str">
        <f>IF(record[[#This Row],[Memo]]="Browser:chrome os:android","平板報工",IF(record[[#This Row],[Memo]]=0,"委外",record[[#This Row],[Memo]]))</f>
        <v/>
      </c>
      <c r="O5568" t="s">
        <v>58</v>
      </c>
      <c r="P5568" t="s">
        <v>186</v>
      </c>
      <c r="Q5568" t="s">
        <v>58</v>
      </c>
      <c r="R5568" t="str">
        <f>IFERROR(VLOOKUP(record[[#This Row],[PCUSTID]],廠商[],2,FALSE),"")</f>
        <v/>
      </c>
      <c r="S5568" t="str">
        <f>VLOOKUP(record[[#This Row],[employeeID]],員工[],2,FALSE)</f>
        <v>許文姍</v>
      </c>
    </row>
    <row r="5569" spans="6:19" hidden="1" x14ac:dyDescent="0.25">
      <c r="F5569" t="s">
        <v>1369</v>
      </c>
      <c r="G5569" t="s">
        <v>422</v>
      </c>
      <c r="H5569" t="str">
        <f>VLOOKUP(record[[#This Row],[ProcessSN]],表格2_7[],2,FALSE)</f>
        <v>30-4118-018-600</v>
      </c>
      <c r="I5569" t="str">
        <f>VLOOKUP(record[[#This Row],[ProcessSN]],表格2_7[],3,FALSE)</f>
        <v>#08</v>
      </c>
      <c r="J5569" t="s">
        <v>597</v>
      </c>
      <c r="K5569" s="195">
        <v>46013.582025462965</v>
      </c>
      <c r="L5569">
        <v>883</v>
      </c>
      <c r="M5569">
        <v>0</v>
      </c>
      <c r="N5569" s="98" t="str">
        <f>IF(record[[#This Row],[Memo]]="Browser:chrome os:android","平板報工",IF(record[[#This Row],[Memo]]=0,"委外",record[[#This Row],[Memo]]))</f>
        <v>委外</v>
      </c>
      <c r="P5569" t="s">
        <v>186</v>
      </c>
      <c r="Q5569" t="s">
        <v>287</v>
      </c>
      <c r="R5569" t="str">
        <f>IFERROR(VLOOKUP(record[[#This Row],[PCUSTID]],廠商[],2,FALSE),"")</f>
        <v>泉盛</v>
      </c>
      <c r="S5569" t="str">
        <f>VLOOKUP(record[[#This Row],[employeeID]],員工[],2,FALSE)</f>
        <v>許文姍</v>
      </c>
    </row>
    <row r="5570" spans="6:19" hidden="1" x14ac:dyDescent="0.25">
      <c r="F5570" t="s">
        <v>1366</v>
      </c>
      <c r="G5570" t="s">
        <v>397</v>
      </c>
      <c r="H5570" t="str">
        <f>VLOOKUP(record[[#This Row],[ProcessSN]],表格2_7[],2,FALSE)</f>
        <v>30-4118-018-550</v>
      </c>
      <c r="I5570" t="str">
        <f>VLOOKUP(record[[#This Row],[ProcessSN]],表格2_7[],3,FALSE)</f>
        <v>#08</v>
      </c>
      <c r="J5570" t="s">
        <v>597</v>
      </c>
      <c r="K5570" s="195">
        <v>46013.581875000003</v>
      </c>
      <c r="L5570">
        <v>493</v>
      </c>
      <c r="M5570">
        <v>0</v>
      </c>
      <c r="N5570" s="98" t="str">
        <f>IF(record[[#This Row],[Memo]]="Browser:chrome os:android","平板報工",IF(record[[#This Row],[Memo]]=0,"委外",record[[#This Row],[Memo]]))</f>
        <v>委外</v>
      </c>
      <c r="P5570" t="s">
        <v>186</v>
      </c>
      <c r="Q5570" t="s">
        <v>287</v>
      </c>
      <c r="R5570" t="str">
        <f>IFERROR(VLOOKUP(record[[#This Row],[PCUSTID]],廠商[],2,FALSE),"")</f>
        <v>泉盛</v>
      </c>
      <c r="S5570" t="str">
        <f>VLOOKUP(record[[#This Row],[employeeID]],員工[],2,FALSE)</f>
        <v>許文姍</v>
      </c>
    </row>
    <row r="5571" spans="6:19" hidden="1" x14ac:dyDescent="0.25">
      <c r="F5571" t="s">
        <v>1369</v>
      </c>
      <c r="G5571" t="s">
        <v>421</v>
      </c>
      <c r="H5571" t="str">
        <f>VLOOKUP(record[[#This Row],[ProcessSN]],表格2_7[],2,FALSE)</f>
        <v>30-4118-018-600</v>
      </c>
      <c r="I5571" t="str">
        <f>VLOOKUP(record[[#This Row],[ProcessSN]],表格2_7[],3,FALSE)</f>
        <v>#08PICK</v>
      </c>
      <c r="J5571" t="s">
        <v>582</v>
      </c>
      <c r="K5571" s="195">
        <v>46013.581446759257</v>
      </c>
      <c r="L5571">
        <v>883</v>
      </c>
      <c r="M5571">
        <v>0</v>
      </c>
      <c r="N5571" s="98" t="str">
        <f>IF(record[[#This Row],[Memo]]="Browser:chrome os:android","平板報工",IF(record[[#This Row],[Memo]]=0,"委外",record[[#This Row],[Memo]]))</f>
        <v/>
      </c>
      <c r="O5571" t="s">
        <v>58</v>
      </c>
      <c r="P5571" t="s">
        <v>186</v>
      </c>
      <c r="Q5571" t="s">
        <v>58</v>
      </c>
      <c r="R5571" t="str">
        <f>IFERROR(VLOOKUP(record[[#This Row],[PCUSTID]],廠商[],2,FALSE),"")</f>
        <v/>
      </c>
      <c r="S5571" t="str">
        <f>VLOOKUP(record[[#This Row],[employeeID]],員工[],2,FALSE)</f>
        <v>許文姍</v>
      </c>
    </row>
    <row r="5572" spans="6:19" hidden="1" x14ac:dyDescent="0.25">
      <c r="F5572" t="s">
        <v>1333</v>
      </c>
      <c r="G5572" t="s">
        <v>453</v>
      </c>
      <c r="H5572" t="str">
        <f>VLOOKUP(record[[#This Row],[ProcessSN]],表格2_7[],2,FALSE)</f>
        <v>30-4118-018-6XX</v>
      </c>
      <c r="I5572" t="str">
        <f>VLOOKUP(record[[#This Row],[ProcessSN]],表格2_7[],3,FALSE)</f>
        <v>#07STOCK</v>
      </c>
      <c r="J5572" t="s">
        <v>592</v>
      </c>
      <c r="K5572" s="195">
        <v>46013.579872685186</v>
      </c>
      <c r="L5572">
        <v>281</v>
      </c>
      <c r="M5572">
        <v>0</v>
      </c>
      <c r="N5572" s="98" t="str">
        <f>IF(record[[#This Row],[Memo]]="Browser:chrome os:android","平板報工",IF(record[[#This Row],[Memo]]=0,"委外",record[[#This Row],[Memo]]))</f>
        <v/>
      </c>
      <c r="O5572" t="s">
        <v>58</v>
      </c>
      <c r="P5572" t="s">
        <v>186</v>
      </c>
      <c r="Q5572" t="s">
        <v>58</v>
      </c>
      <c r="R5572" t="str">
        <f>IFERROR(VLOOKUP(record[[#This Row],[PCUSTID]],廠商[],2,FALSE),"")</f>
        <v/>
      </c>
      <c r="S5572" t="str">
        <f>VLOOKUP(record[[#This Row],[employeeID]],員工[],2,FALSE)</f>
        <v>許文姍</v>
      </c>
    </row>
    <row r="5573" spans="6:19" hidden="1" x14ac:dyDescent="0.25">
      <c r="F5573" t="s">
        <v>1327</v>
      </c>
      <c r="G5573" t="s">
        <v>453</v>
      </c>
      <c r="H5573" t="str">
        <f>VLOOKUP(record[[#This Row],[ProcessSN]],表格2_7[],2,FALSE)</f>
        <v>30-4118-018-6XX</v>
      </c>
      <c r="I5573" t="str">
        <f>VLOOKUP(record[[#This Row],[ProcessSN]],表格2_7[],3,FALSE)</f>
        <v>#07STOCK</v>
      </c>
      <c r="J5573" t="s">
        <v>592</v>
      </c>
      <c r="K5573" s="195">
        <v>46013.579375000001</v>
      </c>
      <c r="L5573">
        <v>285</v>
      </c>
      <c r="M5573">
        <v>0</v>
      </c>
      <c r="N5573" s="98" t="str">
        <f>IF(record[[#This Row],[Memo]]="Browser:chrome os:android","平板報工",IF(record[[#This Row],[Memo]]=0,"委外",record[[#This Row],[Memo]]))</f>
        <v/>
      </c>
      <c r="O5573" t="s">
        <v>58</v>
      </c>
      <c r="P5573" t="s">
        <v>186</v>
      </c>
      <c r="Q5573" t="s">
        <v>58</v>
      </c>
      <c r="R5573" t="str">
        <f>IFERROR(VLOOKUP(record[[#This Row],[PCUSTID]],廠商[],2,FALSE),"")</f>
        <v/>
      </c>
      <c r="S5573" t="str">
        <f>VLOOKUP(record[[#This Row],[employeeID]],員工[],2,FALSE)</f>
        <v>許文姍</v>
      </c>
    </row>
    <row r="5574" spans="6:19" hidden="1" x14ac:dyDescent="0.25">
      <c r="F5574" t="s">
        <v>1324</v>
      </c>
      <c r="G5574" t="s">
        <v>453</v>
      </c>
      <c r="H5574" t="str">
        <f>VLOOKUP(record[[#This Row],[ProcessSN]],表格2_7[],2,FALSE)</f>
        <v>30-4118-018-6XX</v>
      </c>
      <c r="I5574" t="str">
        <f>VLOOKUP(record[[#This Row],[ProcessSN]],表格2_7[],3,FALSE)</f>
        <v>#07STOCK</v>
      </c>
      <c r="J5574" t="s">
        <v>592</v>
      </c>
      <c r="K5574" s="195">
        <v>46013.578715277778</v>
      </c>
      <c r="L5574">
        <v>299</v>
      </c>
      <c r="M5574">
        <v>0</v>
      </c>
      <c r="N5574" s="98" t="str">
        <f>IF(record[[#This Row],[Memo]]="Browser:chrome os:android","平板報工",IF(record[[#This Row],[Memo]]=0,"委外",record[[#This Row],[Memo]]))</f>
        <v/>
      </c>
      <c r="O5574" t="s">
        <v>58</v>
      </c>
      <c r="P5574" t="s">
        <v>186</v>
      </c>
      <c r="Q5574" t="s">
        <v>58</v>
      </c>
      <c r="R5574" t="str">
        <f>IFERROR(VLOOKUP(record[[#This Row],[PCUSTID]],廠商[],2,FALSE),"")</f>
        <v/>
      </c>
      <c r="S5574" t="str">
        <f>VLOOKUP(record[[#This Row],[employeeID]],員工[],2,FALSE)</f>
        <v>許文姍</v>
      </c>
    </row>
    <row r="5575" spans="6:19" hidden="1" x14ac:dyDescent="0.25">
      <c r="F5575" t="s">
        <v>1099</v>
      </c>
      <c r="G5575" t="s">
        <v>453</v>
      </c>
      <c r="H5575" t="str">
        <f>VLOOKUP(record[[#This Row],[ProcessSN]],表格2_7[],2,FALSE)</f>
        <v>30-4118-018-6XX</v>
      </c>
      <c r="I5575" t="str">
        <f>VLOOKUP(record[[#This Row],[ProcessSN]],表格2_7[],3,FALSE)</f>
        <v>#07STOCK</v>
      </c>
      <c r="J5575" t="s">
        <v>592</v>
      </c>
      <c r="K5575" s="195">
        <v>46013.578483796293</v>
      </c>
      <c r="L5575">
        <v>8</v>
      </c>
      <c r="M5575">
        <v>0</v>
      </c>
      <c r="N5575" s="98" t="str">
        <f>IF(record[[#This Row],[Memo]]="Browser:chrome os:android","平板報工",IF(record[[#This Row],[Memo]]=0,"委外",record[[#This Row],[Memo]]))</f>
        <v/>
      </c>
      <c r="O5575" t="s">
        <v>58</v>
      </c>
      <c r="P5575" t="s">
        <v>186</v>
      </c>
      <c r="Q5575" t="s">
        <v>58</v>
      </c>
      <c r="R5575" t="str">
        <f>IFERROR(VLOOKUP(record[[#This Row],[PCUSTID]],廠商[],2,FALSE),"")</f>
        <v/>
      </c>
      <c r="S5575" t="str">
        <f>VLOOKUP(record[[#This Row],[employeeID]],員工[],2,FALSE)</f>
        <v>許文姍</v>
      </c>
    </row>
    <row r="5576" spans="6:19" hidden="1" x14ac:dyDescent="0.25">
      <c r="F5576" t="s">
        <v>1025</v>
      </c>
      <c r="G5576" t="s">
        <v>453</v>
      </c>
      <c r="H5576" t="str">
        <f>VLOOKUP(record[[#This Row],[ProcessSN]],表格2_7[],2,FALSE)</f>
        <v>30-4118-018-6XX</v>
      </c>
      <c r="I5576" t="str">
        <f>VLOOKUP(record[[#This Row],[ProcessSN]],表格2_7[],3,FALSE)</f>
        <v>#07STOCK</v>
      </c>
      <c r="J5576" t="s">
        <v>592</v>
      </c>
      <c r="K5576" s="195">
        <v>46013.578263888892</v>
      </c>
      <c r="L5576">
        <v>10</v>
      </c>
      <c r="M5576">
        <v>0</v>
      </c>
      <c r="N5576" s="98" t="str">
        <f>IF(record[[#This Row],[Memo]]="Browser:chrome os:android","平板報工",IF(record[[#This Row],[Memo]]=0,"委外",record[[#This Row],[Memo]]))</f>
        <v/>
      </c>
      <c r="O5576" t="s">
        <v>58</v>
      </c>
      <c r="P5576" t="s">
        <v>186</v>
      </c>
      <c r="Q5576" t="s">
        <v>58</v>
      </c>
      <c r="R5576" t="str">
        <f>IFERROR(VLOOKUP(record[[#This Row],[PCUSTID]],廠商[],2,FALSE),"")</f>
        <v/>
      </c>
      <c r="S5576" t="str">
        <f>VLOOKUP(record[[#This Row],[employeeID]],員工[],2,FALSE)</f>
        <v>許文姍</v>
      </c>
    </row>
    <row r="5577" spans="6:19" hidden="1" x14ac:dyDescent="0.25">
      <c r="F5577" t="s">
        <v>1275</v>
      </c>
      <c r="G5577" t="s">
        <v>420</v>
      </c>
      <c r="H5577" t="str">
        <f>VLOOKUP(record[[#This Row],[ProcessSN]],表格2_7[],2,FALSE)</f>
        <v>30-4118-018-5XX</v>
      </c>
      <c r="I5577" t="str">
        <f>VLOOKUP(record[[#This Row],[ProcessSN]],表格2_7[],3,FALSE)</f>
        <v>#07STOCK</v>
      </c>
      <c r="J5577" t="s">
        <v>592</v>
      </c>
      <c r="K5577" s="195">
        <v>46013.576689814814</v>
      </c>
      <c r="L5577">
        <v>1</v>
      </c>
      <c r="M5577">
        <v>0</v>
      </c>
      <c r="N5577" s="98" t="str">
        <f>IF(record[[#This Row],[Memo]]="Browser:chrome os:android","平板報工",IF(record[[#This Row],[Memo]]=0,"委外",record[[#This Row],[Memo]]))</f>
        <v/>
      </c>
      <c r="O5577" t="s">
        <v>58</v>
      </c>
      <c r="P5577" t="s">
        <v>186</v>
      </c>
      <c r="Q5577" t="s">
        <v>58</v>
      </c>
      <c r="R5577" t="str">
        <f>IFERROR(VLOOKUP(record[[#This Row],[PCUSTID]],廠商[],2,FALSE),"")</f>
        <v/>
      </c>
      <c r="S5577" t="str">
        <f>VLOOKUP(record[[#This Row],[employeeID]],員工[],2,FALSE)</f>
        <v>許文姍</v>
      </c>
    </row>
    <row r="5578" spans="6:19" hidden="1" x14ac:dyDescent="0.25">
      <c r="F5578" t="s">
        <v>1290</v>
      </c>
      <c r="G5578" t="s">
        <v>420</v>
      </c>
      <c r="H5578" t="str">
        <f>VLOOKUP(record[[#This Row],[ProcessSN]],表格2_7[],2,FALSE)</f>
        <v>30-4118-018-5XX</v>
      </c>
      <c r="I5578" t="str">
        <f>VLOOKUP(record[[#This Row],[ProcessSN]],表格2_7[],3,FALSE)</f>
        <v>#07STOCK</v>
      </c>
      <c r="J5578" t="s">
        <v>592</v>
      </c>
      <c r="K5578" s="195">
        <v>46013.576550925929</v>
      </c>
      <c r="L5578">
        <v>492</v>
      </c>
      <c r="M5578">
        <v>0</v>
      </c>
      <c r="N5578" s="98" t="str">
        <f>IF(record[[#This Row],[Memo]]="Browser:chrome os:android","平板報工",IF(record[[#This Row],[Memo]]=0,"委外",record[[#This Row],[Memo]]))</f>
        <v/>
      </c>
      <c r="O5578" t="s">
        <v>58</v>
      </c>
      <c r="P5578" t="s">
        <v>186</v>
      </c>
      <c r="Q5578" t="s">
        <v>58</v>
      </c>
      <c r="R5578" t="str">
        <f>IFERROR(VLOOKUP(record[[#This Row],[PCUSTID]],廠商[],2,FALSE),"")</f>
        <v/>
      </c>
      <c r="S5578" t="str">
        <f>VLOOKUP(record[[#This Row],[employeeID]],員工[],2,FALSE)</f>
        <v>許文姍</v>
      </c>
    </row>
    <row r="5579" spans="6:19" hidden="1" x14ac:dyDescent="0.25">
      <c r="F5579" t="s">
        <v>1333</v>
      </c>
      <c r="G5579" t="s">
        <v>452</v>
      </c>
      <c r="H5579" t="str">
        <f>VLOOKUP(record[[#This Row],[ProcessSN]],表格2_7[],2,FALSE)</f>
        <v>30-4118-018-6XX</v>
      </c>
      <c r="I5579" t="str">
        <f>VLOOKUP(record[[#This Row],[ProcessSN]],表格2_7[],3,FALSE)</f>
        <v>#07QC</v>
      </c>
      <c r="J5579" t="s">
        <v>589</v>
      </c>
      <c r="K5579" s="195">
        <v>46013.57230324074</v>
      </c>
      <c r="L5579">
        <v>281</v>
      </c>
      <c r="M5579">
        <v>0</v>
      </c>
      <c r="N5579" s="98" t="str">
        <f>IF(record[[#This Row],[Memo]]="Browser:chrome os:android","平板報工",IF(record[[#This Row],[Memo]]=0,"委外",record[[#This Row],[Memo]]))</f>
        <v/>
      </c>
      <c r="O5579" t="s">
        <v>58</v>
      </c>
      <c r="P5579" t="s">
        <v>141</v>
      </c>
      <c r="Q5579" t="s">
        <v>58</v>
      </c>
      <c r="R5579" t="str">
        <f>IFERROR(VLOOKUP(record[[#This Row],[PCUSTID]],廠商[],2,FALSE),"")</f>
        <v/>
      </c>
      <c r="S5579" t="str">
        <f>VLOOKUP(record[[#This Row],[employeeID]],員工[],2,FALSE)</f>
        <v>蔣梅</v>
      </c>
    </row>
    <row r="5580" spans="6:19" hidden="1" x14ac:dyDescent="0.25">
      <c r="F5580" t="s">
        <v>1327</v>
      </c>
      <c r="G5580" t="s">
        <v>452</v>
      </c>
      <c r="H5580" t="str">
        <f>VLOOKUP(record[[#This Row],[ProcessSN]],表格2_7[],2,FALSE)</f>
        <v>30-4118-018-6XX</v>
      </c>
      <c r="I5580" t="str">
        <f>VLOOKUP(record[[#This Row],[ProcessSN]],表格2_7[],3,FALSE)</f>
        <v>#07QC</v>
      </c>
      <c r="J5580" t="s">
        <v>589</v>
      </c>
      <c r="K5580" s="195">
        <v>46013.571979166663</v>
      </c>
      <c r="L5580">
        <v>285</v>
      </c>
      <c r="M5580">
        <v>0</v>
      </c>
      <c r="N5580" s="98" t="str">
        <f>IF(record[[#This Row],[Memo]]="Browser:chrome os:android","平板報工",IF(record[[#This Row],[Memo]]=0,"委外",record[[#This Row],[Memo]]))</f>
        <v/>
      </c>
      <c r="O5580" t="s">
        <v>58</v>
      </c>
      <c r="P5580" t="s">
        <v>141</v>
      </c>
      <c r="Q5580" t="s">
        <v>58</v>
      </c>
      <c r="R5580" t="str">
        <f>IFERROR(VLOOKUP(record[[#This Row],[PCUSTID]],廠商[],2,FALSE),"")</f>
        <v/>
      </c>
      <c r="S5580" t="str">
        <f>VLOOKUP(record[[#This Row],[employeeID]],員工[],2,FALSE)</f>
        <v>蔣梅</v>
      </c>
    </row>
    <row r="5581" spans="6:19" hidden="1" x14ac:dyDescent="0.25">
      <c r="F5581" t="s">
        <v>1324</v>
      </c>
      <c r="G5581" t="s">
        <v>452</v>
      </c>
      <c r="H5581" t="str">
        <f>VLOOKUP(record[[#This Row],[ProcessSN]],表格2_7[],2,FALSE)</f>
        <v>30-4118-018-6XX</v>
      </c>
      <c r="I5581" t="str">
        <f>VLOOKUP(record[[#This Row],[ProcessSN]],表格2_7[],3,FALSE)</f>
        <v>#07QC</v>
      </c>
      <c r="J5581" t="s">
        <v>589</v>
      </c>
      <c r="K5581" s="195">
        <v>46013.571412037039</v>
      </c>
      <c r="L5581">
        <v>299</v>
      </c>
      <c r="M5581">
        <v>0</v>
      </c>
      <c r="N5581" s="98" t="str">
        <f>IF(record[[#This Row],[Memo]]="Browser:chrome os:android","平板報工",IF(record[[#This Row],[Memo]]=0,"委外",record[[#This Row],[Memo]]))</f>
        <v/>
      </c>
      <c r="O5581" t="s">
        <v>58</v>
      </c>
      <c r="P5581" t="s">
        <v>141</v>
      </c>
      <c r="Q5581" t="s">
        <v>58</v>
      </c>
      <c r="R5581" t="str">
        <f>IFERROR(VLOOKUP(record[[#This Row],[PCUSTID]],廠商[],2,FALSE),"")</f>
        <v/>
      </c>
      <c r="S5581" t="str">
        <f>VLOOKUP(record[[#This Row],[employeeID]],員工[],2,FALSE)</f>
        <v>蔣梅</v>
      </c>
    </row>
    <row r="5582" spans="6:19" hidden="1" x14ac:dyDescent="0.25">
      <c r="F5582" t="s">
        <v>1099</v>
      </c>
      <c r="G5582" t="s">
        <v>452</v>
      </c>
      <c r="H5582" t="str">
        <f>VLOOKUP(record[[#This Row],[ProcessSN]],表格2_7[],2,FALSE)</f>
        <v>30-4118-018-6XX</v>
      </c>
      <c r="I5582" t="str">
        <f>VLOOKUP(record[[#This Row],[ProcessSN]],表格2_7[],3,FALSE)</f>
        <v>#07QC</v>
      </c>
      <c r="J5582" t="s">
        <v>589</v>
      </c>
      <c r="K5582" s="195">
        <v>46013.571134259262</v>
      </c>
      <c r="L5582">
        <v>8</v>
      </c>
      <c r="M5582">
        <v>0</v>
      </c>
      <c r="N5582" s="98" t="str">
        <f>IF(record[[#This Row],[Memo]]="Browser:chrome os:android","平板報工",IF(record[[#This Row],[Memo]]=0,"委外",record[[#This Row],[Memo]]))</f>
        <v/>
      </c>
      <c r="O5582" t="s">
        <v>58</v>
      </c>
      <c r="P5582" t="s">
        <v>141</v>
      </c>
      <c r="Q5582" t="s">
        <v>58</v>
      </c>
      <c r="R5582" t="str">
        <f>IFERROR(VLOOKUP(record[[#This Row],[PCUSTID]],廠商[],2,FALSE),"")</f>
        <v/>
      </c>
      <c r="S5582" t="str">
        <f>VLOOKUP(record[[#This Row],[employeeID]],員工[],2,FALSE)</f>
        <v>蔣梅</v>
      </c>
    </row>
    <row r="5583" spans="6:19" hidden="1" x14ac:dyDescent="0.25">
      <c r="F5583" t="s">
        <v>1025</v>
      </c>
      <c r="G5583" t="s">
        <v>452</v>
      </c>
      <c r="H5583" t="str">
        <f>VLOOKUP(record[[#This Row],[ProcessSN]],表格2_7[],2,FALSE)</f>
        <v>30-4118-018-6XX</v>
      </c>
      <c r="I5583" t="str">
        <f>VLOOKUP(record[[#This Row],[ProcessSN]],表格2_7[],3,FALSE)</f>
        <v>#07QC</v>
      </c>
      <c r="J5583" t="s">
        <v>589</v>
      </c>
      <c r="K5583" s="195">
        <v>46013.570925925924</v>
      </c>
      <c r="L5583">
        <v>10</v>
      </c>
      <c r="M5583">
        <v>0</v>
      </c>
      <c r="N5583" s="98" t="str">
        <f>IF(record[[#This Row],[Memo]]="Browser:chrome os:android","平板報工",IF(record[[#This Row],[Memo]]=0,"委外",record[[#This Row],[Memo]]))</f>
        <v/>
      </c>
      <c r="O5583" t="s">
        <v>58</v>
      </c>
      <c r="P5583" t="s">
        <v>141</v>
      </c>
      <c r="Q5583" t="s">
        <v>58</v>
      </c>
      <c r="R5583" t="str">
        <f>IFERROR(VLOOKUP(record[[#This Row],[PCUSTID]],廠商[],2,FALSE),"")</f>
        <v/>
      </c>
      <c r="S5583" t="str">
        <f>VLOOKUP(record[[#This Row],[employeeID]],員工[],2,FALSE)</f>
        <v>蔣梅</v>
      </c>
    </row>
    <row r="5584" spans="6:19" hidden="1" x14ac:dyDescent="0.25">
      <c r="F5584" t="s">
        <v>1352</v>
      </c>
      <c r="G5584" t="s">
        <v>451</v>
      </c>
      <c r="H5584" t="str">
        <f>VLOOKUP(record[[#This Row],[ProcessSN]],表格2_7[],2,FALSE)</f>
        <v>30-4118-018-6XX</v>
      </c>
      <c r="I5584" t="str">
        <f>VLOOKUP(record[[#This Row],[ProcessSN]],表格2_7[],3,FALSE)</f>
        <v>#07</v>
      </c>
      <c r="J5584" t="s">
        <v>588</v>
      </c>
      <c r="K5584" s="195">
        <v>46013.570069444446</v>
      </c>
      <c r="L5584">
        <v>1</v>
      </c>
      <c r="M5584">
        <v>0</v>
      </c>
      <c r="N5584" s="98" t="str">
        <f>IF(record[[#This Row],[Memo]]="Browser:chrome os:android","平板報工",IF(record[[#This Row],[Memo]]=0,"委外",record[[#This Row],[Memo]]))</f>
        <v/>
      </c>
      <c r="O5584" t="s">
        <v>58</v>
      </c>
      <c r="P5584" t="s">
        <v>1075</v>
      </c>
      <c r="Q5584" t="s">
        <v>58</v>
      </c>
      <c r="R5584" t="str">
        <f>IFERROR(VLOOKUP(record[[#This Row],[PCUSTID]],廠商[],2,FALSE),"")</f>
        <v/>
      </c>
      <c r="S5584" t="str">
        <f>VLOOKUP(record[[#This Row],[employeeID]],員工[],2,FALSE)</f>
        <v>吳宥叡</v>
      </c>
    </row>
    <row r="5585" spans="6:19" hidden="1" x14ac:dyDescent="0.25">
      <c r="F5585" t="s">
        <v>1290</v>
      </c>
      <c r="G5585" t="s">
        <v>419</v>
      </c>
      <c r="H5585" t="str">
        <f>VLOOKUP(record[[#This Row],[ProcessSN]],表格2_7[],2,FALSE)</f>
        <v>30-4118-018-5XX</v>
      </c>
      <c r="I5585" t="str">
        <f>VLOOKUP(record[[#This Row],[ProcessSN]],表格2_7[],3,FALSE)</f>
        <v>#07QC</v>
      </c>
      <c r="J5585" t="s">
        <v>589</v>
      </c>
      <c r="K5585" s="195">
        <v>46013.566238425927</v>
      </c>
      <c r="L5585">
        <v>0</v>
      </c>
      <c r="M5585">
        <v>6</v>
      </c>
      <c r="N5585" s="98" t="str">
        <f>IF(record[[#This Row],[Memo]]="Browser:chrome os:android","平板報工",IF(record[[#This Row],[Memo]]=0,"委外",record[[#This Row],[Memo]]))</f>
        <v/>
      </c>
      <c r="O5585" t="s">
        <v>58</v>
      </c>
      <c r="P5585" t="s">
        <v>141</v>
      </c>
      <c r="Q5585" t="s">
        <v>58</v>
      </c>
      <c r="R5585" t="str">
        <f>IFERROR(VLOOKUP(record[[#This Row],[PCUSTID]],廠商[],2,FALSE),"")</f>
        <v/>
      </c>
      <c r="S5585" t="str">
        <f>VLOOKUP(record[[#This Row],[employeeID]],員工[],2,FALSE)</f>
        <v>蔣梅</v>
      </c>
    </row>
    <row r="5586" spans="6:19" hidden="1" x14ac:dyDescent="0.25">
      <c r="F5586" t="s">
        <v>1290</v>
      </c>
      <c r="G5586" t="s">
        <v>419</v>
      </c>
      <c r="H5586" t="str">
        <f>VLOOKUP(record[[#This Row],[ProcessSN]],表格2_7[],2,FALSE)</f>
        <v>30-4118-018-5XX</v>
      </c>
      <c r="I5586" t="str">
        <f>VLOOKUP(record[[#This Row],[ProcessSN]],表格2_7[],3,FALSE)</f>
        <v>#07QC</v>
      </c>
      <c r="J5586" t="s">
        <v>589</v>
      </c>
      <c r="K5586" s="195">
        <v>46013.566076388888</v>
      </c>
      <c r="L5586">
        <v>3</v>
      </c>
      <c r="M5586">
        <v>0</v>
      </c>
      <c r="N5586" s="98" t="str">
        <f>IF(record[[#This Row],[Memo]]="Browser:chrome os:android","平板報工",IF(record[[#This Row],[Memo]]=0,"委外",record[[#This Row],[Memo]]))</f>
        <v>覆回</v>
      </c>
      <c r="O5586" t="s">
        <v>682</v>
      </c>
      <c r="P5586" t="s">
        <v>141</v>
      </c>
      <c r="Q5586" t="s">
        <v>58</v>
      </c>
      <c r="R5586" t="str">
        <f>IFERROR(VLOOKUP(record[[#This Row],[PCUSTID]],廠商[],2,FALSE),"")</f>
        <v/>
      </c>
      <c r="S5586" t="str">
        <f>VLOOKUP(record[[#This Row],[employeeID]],員工[],2,FALSE)</f>
        <v>蔣梅</v>
      </c>
    </row>
    <row r="5587" spans="6:19" hidden="1" x14ac:dyDescent="0.25">
      <c r="F5587" t="s">
        <v>1275</v>
      </c>
      <c r="G5587" t="s">
        <v>419</v>
      </c>
      <c r="H5587" t="str">
        <f>VLOOKUP(record[[#This Row],[ProcessSN]],表格2_7[],2,FALSE)</f>
        <v>30-4118-018-5XX</v>
      </c>
      <c r="I5587" t="str">
        <f>VLOOKUP(record[[#This Row],[ProcessSN]],表格2_7[],3,FALSE)</f>
        <v>#07QC</v>
      </c>
      <c r="J5587" t="s">
        <v>589</v>
      </c>
      <c r="K5587" s="195">
        <v>46013.565451388888</v>
      </c>
      <c r="L5587">
        <v>1</v>
      </c>
      <c r="M5587">
        <v>0</v>
      </c>
      <c r="N5587" s="98" t="str">
        <f>IF(record[[#This Row],[Memo]]="Browser:chrome os:android","平板報工",IF(record[[#This Row],[Memo]]=0,"委外",record[[#This Row],[Memo]]))</f>
        <v>覆回</v>
      </c>
      <c r="O5587" t="s">
        <v>682</v>
      </c>
      <c r="P5587" t="s">
        <v>141</v>
      </c>
      <c r="Q5587" t="s">
        <v>58</v>
      </c>
      <c r="R5587" t="str">
        <f>IFERROR(VLOOKUP(record[[#This Row],[PCUSTID]],廠商[],2,FALSE),"")</f>
        <v/>
      </c>
      <c r="S5587" t="str">
        <f>VLOOKUP(record[[#This Row],[employeeID]],員工[],2,FALSE)</f>
        <v>蔣梅</v>
      </c>
    </row>
    <row r="5588" spans="6:19" hidden="1" x14ac:dyDescent="0.25">
      <c r="F5588" t="s">
        <v>1366</v>
      </c>
      <c r="G5588" t="s">
        <v>396</v>
      </c>
      <c r="H5588" t="str">
        <f>VLOOKUP(record[[#This Row],[ProcessSN]],表格2_7[],2,FALSE)</f>
        <v>30-4118-018-550</v>
      </c>
      <c r="I5588" t="str">
        <f>VLOOKUP(record[[#This Row],[ProcessSN]],表格2_7[],3,FALSE)</f>
        <v>#08PICK</v>
      </c>
      <c r="J5588" t="s">
        <v>582</v>
      </c>
      <c r="K5588" s="195">
        <v>46013.555752314816</v>
      </c>
      <c r="L5588">
        <v>493</v>
      </c>
      <c r="M5588">
        <v>0</v>
      </c>
      <c r="N5588" s="98" t="str">
        <f>IF(record[[#This Row],[Memo]]="Browser:chrome os:android","平板報工",IF(record[[#This Row],[Memo]]=0,"委外",record[[#This Row],[Memo]]))</f>
        <v/>
      </c>
      <c r="O5588" t="s">
        <v>58</v>
      </c>
      <c r="P5588" t="s">
        <v>186</v>
      </c>
      <c r="Q5588" t="s">
        <v>58</v>
      </c>
      <c r="R5588" t="str">
        <f>IFERROR(VLOOKUP(record[[#This Row],[PCUSTID]],廠商[],2,FALSE),"")</f>
        <v/>
      </c>
      <c r="S5588" t="str">
        <f>VLOOKUP(record[[#This Row],[employeeID]],員工[],2,FALSE)</f>
        <v>許文姍</v>
      </c>
    </row>
    <row r="5589" spans="6:19" hidden="1" x14ac:dyDescent="0.25">
      <c r="F5589" t="s">
        <v>1285</v>
      </c>
      <c r="G5589" t="s">
        <v>471</v>
      </c>
      <c r="H5589" t="str">
        <f>VLOOKUP(record[[#This Row],[ProcessSN]],表格2_7[],2,FALSE)</f>
        <v>30-4118-018-XXX</v>
      </c>
      <c r="I5589" t="str">
        <f>VLOOKUP(record[[#This Row],[ProcessSN]],表格2_7[],3,FALSE)</f>
        <v>#02STOCK</v>
      </c>
      <c r="J5589" t="s">
        <v>592</v>
      </c>
      <c r="K5589" s="195">
        <v>46013.545335648145</v>
      </c>
      <c r="L5589">
        <v>1413</v>
      </c>
      <c r="M5589">
        <v>0</v>
      </c>
      <c r="N5589" s="98" t="str">
        <f>IF(record[[#This Row],[Memo]]="Browser:chrome os:android","平板報工",IF(record[[#This Row],[Memo]]=0,"委外",record[[#This Row],[Memo]]))</f>
        <v/>
      </c>
      <c r="O5589" t="s">
        <v>58</v>
      </c>
      <c r="P5589" t="s">
        <v>125</v>
      </c>
      <c r="Q5589" t="s">
        <v>58</v>
      </c>
      <c r="R5589" t="str">
        <f>IFERROR(VLOOKUP(record[[#This Row],[PCUSTID]],廠商[],2,FALSE),"")</f>
        <v/>
      </c>
      <c r="S5589" t="str">
        <f>VLOOKUP(record[[#This Row],[employeeID]],員工[],2,FALSE)</f>
        <v>黃瓈巧</v>
      </c>
    </row>
    <row r="5590" spans="6:19" hidden="1" x14ac:dyDescent="0.25">
      <c r="F5590" t="s">
        <v>1285</v>
      </c>
      <c r="G5590" t="s">
        <v>469</v>
      </c>
      <c r="H5590" t="str">
        <f>VLOOKUP(record[[#This Row],[ProcessSN]],表格2_7[],2,FALSE)</f>
        <v>30-4118-018-XXX</v>
      </c>
      <c r="I5590" t="str">
        <f>VLOOKUP(record[[#This Row],[ProcessSN]],表格2_7[],3,FALSE)</f>
        <v>#02RCV</v>
      </c>
      <c r="J5590" t="s">
        <v>591</v>
      </c>
      <c r="K5590" s="195">
        <v>46013.47892361111</v>
      </c>
      <c r="L5590">
        <v>504</v>
      </c>
      <c r="M5590">
        <v>0</v>
      </c>
      <c r="N5590" s="98" t="str">
        <f>IF(record[[#This Row],[Memo]]="Browser:chrome os:android","平板報工",IF(record[[#This Row],[Memo]]=0,"委外",record[[#This Row],[Memo]]))</f>
        <v/>
      </c>
      <c r="O5590" t="s">
        <v>58</v>
      </c>
      <c r="P5590" t="s">
        <v>186</v>
      </c>
      <c r="Q5590" t="s">
        <v>58</v>
      </c>
      <c r="R5590" t="str">
        <f>IFERROR(VLOOKUP(record[[#This Row],[PCUSTID]],廠商[],2,FALSE),"")</f>
        <v/>
      </c>
      <c r="S5590" t="str">
        <f>VLOOKUP(record[[#This Row],[employeeID]],員工[],2,FALSE)</f>
        <v>許文姍</v>
      </c>
    </row>
    <row r="5591" spans="6:19" hidden="1" x14ac:dyDescent="0.25">
      <c r="F5591" t="s">
        <v>581</v>
      </c>
      <c r="G5591" t="s">
        <v>468</v>
      </c>
      <c r="H5591" t="str">
        <f>VLOOKUP(record[[#This Row],[ProcessSN]],表格2_7[],2,FALSE)</f>
        <v>30-4118-018-XXX</v>
      </c>
      <c r="I5591" t="str">
        <f>VLOOKUP(record[[#This Row],[ProcessSN]],表格2_7[],3,FALSE)</f>
        <v>#02</v>
      </c>
      <c r="J5591" t="s">
        <v>590</v>
      </c>
      <c r="K5591" s="195">
        <v>46013.387650462966</v>
      </c>
      <c r="L5591">
        <v>1</v>
      </c>
      <c r="M5591">
        <v>0</v>
      </c>
      <c r="N5591" s="98" t="str">
        <f>IF(record[[#This Row],[Memo]]="Browser:chrome os:android","平板報工",IF(record[[#This Row],[Memo]]=0,"委外",record[[#This Row],[Memo]]))</f>
        <v>委外</v>
      </c>
      <c r="P5591" t="s">
        <v>186</v>
      </c>
      <c r="Q5591" t="s">
        <v>216</v>
      </c>
      <c r="R5591" t="str">
        <f>IFERROR(VLOOKUP(record[[#This Row],[PCUSTID]],廠商[],2,FALSE),"")</f>
        <v>俊杰</v>
      </c>
      <c r="S5591" t="str">
        <f>VLOOKUP(record[[#This Row],[employeeID]],員工[],2,FALSE)</f>
        <v>許文姍</v>
      </c>
    </row>
    <row r="5592" spans="6:19" hidden="1" x14ac:dyDescent="0.25">
      <c r="F5592" t="s">
        <v>1209</v>
      </c>
      <c r="G5592" t="s">
        <v>468</v>
      </c>
      <c r="H5592" t="str">
        <f>VLOOKUP(record[[#This Row],[ProcessSN]],表格2_7[],2,FALSE)</f>
        <v>30-4118-018-XXX</v>
      </c>
      <c r="I5592" t="str">
        <f>VLOOKUP(record[[#This Row],[ProcessSN]],表格2_7[],3,FALSE)</f>
        <v>#02</v>
      </c>
      <c r="J5592" t="s">
        <v>590</v>
      </c>
      <c r="K5592" s="195">
        <v>46013.387071759258</v>
      </c>
      <c r="L5592">
        <v>10</v>
      </c>
      <c r="M5592">
        <v>0</v>
      </c>
      <c r="N5592" s="98" t="str">
        <f>IF(record[[#This Row],[Memo]]="Browser:chrome os:android","平板報工",IF(record[[#This Row],[Memo]]=0,"委外",record[[#This Row],[Memo]]))</f>
        <v>委外</v>
      </c>
      <c r="P5592" t="s">
        <v>186</v>
      </c>
      <c r="Q5592" t="s">
        <v>216</v>
      </c>
      <c r="R5592" t="str">
        <f>IFERROR(VLOOKUP(record[[#This Row],[PCUSTID]],廠商[],2,FALSE),"")</f>
        <v>俊杰</v>
      </c>
      <c r="S5592" t="str">
        <f>VLOOKUP(record[[#This Row],[employeeID]],員工[],2,FALSE)</f>
        <v>許文姍</v>
      </c>
    </row>
    <row r="5593" spans="6:19" hidden="1" x14ac:dyDescent="0.25">
      <c r="F5593" t="s">
        <v>1329</v>
      </c>
      <c r="G5593" t="s">
        <v>402</v>
      </c>
      <c r="H5593" t="str">
        <f>VLOOKUP(record[[#This Row],[ProcessSN]],表格2_7[],2,FALSE)</f>
        <v>30-4118-018-550</v>
      </c>
      <c r="I5593" t="str">
        <f>VLOOKUP(record[[#This Row],[ProcessSN]],表格2_7[],3,FALSE)</f>
        <v>#100STOCK</v>
      </c>
      <c r="J5593" t="s">
        <v>592</v>
      </c>
      <c r="K5593" s="195">
        <v>46013.37295138889</v>
      </c>
      <c r="L5593">
        <v>149</v>
      </c>
      <c r="M5593">
        <v>0</v>
      </c>
      <c r="N5593" s="98" t="str">
        <f>IF(record[[#This Row],[Memo]]="Browser:chrome os:android","平板報工",IF(record[[#This Row],[Memo]]=0,"委外",record[[#This Row],[Memo]]))</f>
        <v/>
      </c>
      <c r="O5593" t="s">
        <v>58</v>
      </c>
      <c r="P5593" t="s">
        <v>886</v>
      </c>
      <c r="Q5593" t="s">
        <v>58</v>
      </c>
      <c r="R5593" t="str">
        <f>IFERROR(VLOOKUP(record[[#This Row],[PCUSTID]],廠商[],2,FALSE),"")</f>
        <v/>
      </c>
      <c r="S5593" t="str">
        <f>VLOOKUP(record[[#This Row],[employeeID]],員工[],2,FALSE)</f>
        <v>謝蓁薰</v>
      </c>
    </row>
    <row r="5594" spans="6:19" hidden="1" x14ac:dyDescent="0.25">
      <c r="F5594" t="s">
        <v>1333</v>
      </c>
      <c r="G5594" t="s">
        <v>451</v>
      </c>
      <c r="H5594" t="str">
        <f>VLOOKUP(record[[#This Row],[ProcessSN]],表格2_7[],2,FALSE)</f>
        <v>30-4118-018-6XX</v>
      </c>
      <c r="I5594" t="str">
        <f>VLOOKUP(record[[#This Row],[ProcessSN]],表格2_7[],3,FALSE)</f>
        <v>#07</v>
      </c>
      <c r="J5594" t="s">
        <v>588</v>
      </c>
      <c r="K5594" s="195">
        <v>46013.365439814814</v>
      </c>
      <c r="L5594">
        <v>2</v>
      </c>
      <c r="M5594">
        <v>0</v>
      </c>
      <c r="N5594" s="98" t="str">
        <f>IF(record[[#This Row],[Memo]]="Browser:chrome os:android","平板報工",IF(record[[#This Row],[Memo]]=0,"委外",record[[#This Row],[Memo]]))</f>
        <v/>
      </c>
      <c r="O5594" t="s">
        <v>58</v>
      </c>
      <c r="P5594" t="s">
        <v>1098</v>
      </c>
      <c r="Q5594" t="s">
        <v>58</v>
      </c>
      <c r="R5594" t="str">
        <f>IFERROR(VLOOKUP(record[[#This Row],[PCUSTID]],廠商[],2,FALSE),"")</f>
        <v/>
      </c>
      <c r="S5594" t="str">
        <f>VLOOKUP(record[[#This Row],[employeeID]],員工[],2,FALSE)</f>
        <v>阮氏芳英(英)</v>
      </c>
    </row>
    <row r="5595" spans="6:19" hidden="1" x14ac:dyDescent="0.25">
      <c r="F5595" t="s">
        <v>1333</v>
      </c>
      <c r="G5595" t="s">
        <v>450</v>
      </c>
      <c r="H5595" t="str">
        <f>VLOOKUP(record[[#This Row],[ProcessSN]],表格2_7[],2,FALSE)</f>
        <v>30-4118-018-6XX</v>
      </c>
      <c r="I5595" t="str">
        <f>VLOOKUP(record[[#This Row],[ProcessSN]],表格2_7[],3,FALSE)</f>
        <v>#06</v>
      </c>
      <c r="J5595" t="s">
        <v>593</v>
      </c>
      <c r="K5595" s="195">
        <v>46013.365300925929</v>
      </c>
      <c r="L5595">
        <v>2</v>
      </c>
      <c r="M5595">
        <v>0</v>
      </c>
      <c r="N5595" s="98" t="str">
        <f>IF(record[[#This Row],[Memo]]="Browser:chrome os:android","平板報工",IF(record[[#This Row],[Memo]]=0,"委外",record[[#This Row],[Memo]]))</f>
        <v/>
      </c>
      <c r="O5595" t="s">
        <v>58</v>
      </c>
      <c r="P5595" t="s">
        <v>1098</v>
      </c>
      <c r="Q5595" t="s">
        <v>58</v>
      </c>
      <c r="R5595" t="str">
        <f>IFERROR(VLOOKUP(record[[#This Row],[PCUSTID]],廠商[],2,FALSE),"")</f>
        <v/>
      </c>
      <c r="S5595" t="str">
        <f>VLOOKUP(record[[#This Row],[employeeID]],員工[],2,FALSE)</f>
        <v>阮氏芳英(英)</v>
      </c>
    </row>
    <row r="5596" spans="6:19" hidden="1" x14ac:dyDescent="0.25">
      <c r="F5596" t="s">
        <v>1333</v>
      </c>
      <c r="G5596" t="s">
        <v>449</v>
      </c>
      <c r="H5596" t="str">
        <f>VLOOKUP(record[[#This Row],[ProcessSN]],表格2_7[],2,FALSE)</f>
        <v>30-4118-018-6XX</v>
      </c>
      <c r="I5596" t="str">
        <f>VLOOKUP(record[[#This Row],[ProcessSN]],表格2_7[],3,FALSE)</f>
        <v>#05</v>
      </c>
      <c r="J5596" t="s">
        <v>588</v>
      </c>
      <c r="K5596" s="195">
        <v>46013.365069444444</v>
      </c>
      <c r="L5596">
        <v>2</v>
      </c>
      <c r="M5596">
        <v>0</v>
      </c>
      <c r="N5596" s="98" t="str">
        <f>IF(record[[#This Row],[Memo]]="Browser:chrome os:android","平板報工",IF(record[[#This Row],[Memo]]=0,"委外",record[[#This Row],[Memo]]))</f>
        <v/>
      </c>
      <c r="O5596" t="s">
        <v>58</v>
      </c>
      <c r="P5596" t="s">
        <v>1098</v>
      </c>
      <c r="Q5596" t="s">
        <v>58</v>
      </c>
      <c r="R5596" t="str">
        <f>IFERROR(VLOOKUP(record[[#This Row],[PCUSTID]],廠商[],2,FALSE),"")</f>
        <v/>
      </c>
      <c r="S5596" t="str">
        <f>VLOOKUP(record[[#This Row],[employeeID]],員工[],2,FALSE)</f>
        <v>阮氏芳英(英)</v>
      </c>
    </row>
    <row r="5597" spans="6:19" hidden="1" x14ac:dyDescent="0.25">
      <c r="F5597" t="s">
        <v>1333</v>
      </c>
      <c r="G5597" t="s">
        <v>448</v>
      </c>
      <c r="H5597" t="str">
        <f>VLOOKUP(record[[#This Row],[ProcessSN]],表格2_7[],2,FALSE)</f>
        <v>30-4118-018-6XX</v>
      </c>
      <c r="I5597" t="str">
        <f>VLOOKUP(record[[#This Row],[ProcessSN]],表格2_7[],3,FALSE)</f>
        <v>#04</v>
      </c>
      <c r="J5597" t="s">
        <v>588</v>
      </c>
      <c r="K5597" s="195">
        <v>46013.364942129629</v>
      </c>
      <c r="L5597">
        <v>2</v>
      </c>
      <c r="M5597">
        <v>0</v>
      </c>
      <c r="N5597" s="98" t="str">
        <f>IF(record[[#This Row],[Memo]]="Browser:chrome os:android","平板報工",IF(record[[#This Row],[Memo]]=0,"委外",record[[#This Row],[Memo]]))</f>
        <v/>
      </c>
      <c r="O5597" t="s">
        <v>58</v>
      </c>
      <c r="P5597" t="s">
        <v>1098</v>
      </c>
      <c r="Q5597" t="s">
        <v>58</v>
      </c>
      <c r="R5597" t="str">
        <f>IFERROR(VLOOKUP(record[[#This Row],[PCUSTID]],廠商[],2,FALSE),"")</f>
        <v/>
      </c>
      <c r="S5597" t="str">
        <f>VLOOKUP(record[[#This Row],[employeeID]],員工[],2,FALSE)</f>
        <v>阮氏芳英(英)</v>
      </c>
    </row>
    <row r="5598" spans="6:19" hidden="1" x14ac:dyDescent="0.25">
      <c r="F5598" t="s">
        <v>1333</v>
      </c>
      <c r="G5598" t="s">
        <v>447</v>
      </c>
      <c r="H5598" t="str">
        <f>VLOOKUP(record[[#This Row],[ProcessSN]],表格2_7[],2,FALSE)</f>
        <v>30-4118-018-6XX</v>
      </c>
      <c r="I5598" t="str">
        <f>VLOOKUP(record[[#This Row],[ProcessSN]],表格2_7[],3,FALSE)</f>
        <v>#03</v>
      </c>
      <c r="J5598" t="s">
        <v>588</v>
      </c>
      <c r="K5598" s="195">
        <v>46013.364814814813</v>
      </c>
      <c r="L5598">
        <v>840</v>
      </c>
      <c r="M5598">
        <v>0</v>
      </c>
      <c r="N5598" s="98" t="str">
        <f>IF(record[[#This Row],[Memo]]="Browser:chrome os:android","平板報工",IF(record[[#This Row],[Memo]]=0,"委外",record[[#This Row],[Memo]]))</f>
        <v xml:space="preserve">12/16 </v>
      </c>
      <c r="O5598" t="s">
        <v>1365</v>
      </c>
      <c r="P5598" t="s">
        <v>1098</v>
      </c>
      <c r="Q5598" t="s">
        <v>58</v>
      </c>
      <c r="R5598" t="str">
        <f>IFERROR(VLOOKUP(record[[#This Row],[PCUSTID]],廠商[],2,FALSE),"")</f>
        <v/>
      </c>
      <c r="S5598" t="str">
        <f>VLOOKUP(record[[#This Row],[employeeID]],員工[],2,FALSE)</f>
        <v>阮氏芳英(英)</v>
      </c>
    </row>
    <row r="5599" spans="6:19" hidden="1" x14ac:dyDescent="0.25">
      <c r="F5599" t="s">
        <v>1327</v>
      </c>
      <c r="G5599" t="s">
        <v>451</v>
      </c>
      <c r="H5599" t="str">
        <f>VLOOKUP(record[[#This Row],[ProcessSN]],表格2_7[],2,FALSE)</f>
        <v>30-4118-018-6XX</v>
      </c>
      <c r="I5599" t="str">
        <f>VLOOKUP(record[[#This Row],[ProcessSN]],表格2_7[],3,FALSE)</f>
        <v>#07</v>
      </c>
      <c r="J5599" t="s">
        <v>588</v>
      </c>
      <c r="K5599" s="195">
        <v>46013.36414351852</v>
      </c>
      <c r="L5599">
        <v>10</v>
      </c>
      <c r="M5599">
        <v>0</v>
      </c>
      <c r="N5599" s="98" t="str">
        <f>IF(record[[#This Row],[Memo]]="Browser:chrome os:android","平板報工",IF(record[[#This Row],[Memo]]=0,"委外",record[[#This Row],[Memo]]))</f>
        <v/>
      </c>
      <c r="O5599" t="s">
        <v>58</v>
      </c>
      <c r="P5599" t="s">
        <v>1098</v>
      </c>
      <c r="Q5599" t="s">
        <v>58</v>
      </c>
      <c r="R5599" t="str">
        <f>IFERROR(VLOOKUP(record[[#This Row],[PCUSTID]],廠商[],2,FALSE),"")</f>
        <v/>
      </c>
      <c r="S5599" t="str">
        <f>VLOOKUP(record[[#This Row],[employeeID]],員工[],2,FALSE)</f>
        <v>阮氏芳英(英)</v>
      </c>
    </row>
    <row r="5600" spans="6:19" hidden="1" x14ac:dyDescent="0.25">
      <c r="F5600" t="s">
        <v>1327</v>
      </c>
      <c r="G5600" t="s">
        <v>450</v>
      </c>
      <c r="H5600" t="str">
        <f>VLOOKUP(record[[#This Row],[ProcessSN]],表格2_7[],2,FALSE)</f>
        <v>30-4118-018-6XX</v>
      </c>
      <c r="I5600" t="str">
        <f>VLOOKUP(record[[#This Row],[ProcessSN]],表格2_7[],3,FALSE)</f>
        <v>#06</v>
      </c>
      <c r="J5600" t="s">
        <v>593</v>
      </c>
      <c r="K5600" s="195">
        <v>46013.363969907405</v>
      </c>
      <c r="L5600">
        <v>10</v>
      </c>
      <c r="M5600">
        <v>0</v>
      </c>
      <c r="N5600" s="98" t="str">
        <f>IF(record[[#This Row],[Memo]]="Browser:chrome os:android","平板報工",IF(record[[#This Row],[Memo]]=0,"委外",record[[#This Row],[Memo]]))</f>
        <v/>
      </c>
      <c r="O5600" t="s">
        <v>58</v>
      </c>
      <c r="P5600" t="s">
        <v>1098</v>
      </c>
      <c r="Q5600" t="s">
        <v>58</v>
      </c>
      <c r="R5600" t="str">
        <f>IFERROR(VLOOKUP(record[[#This Row],[PCUSTID]],廠商[],2,FALSE),"")</f>
        <v/>
      </c>
      <c r="S5600" t="str">
        <f>VLOOKUP(record[[#This Row],[employeeID]],員工[],2,FALSE)</f>
        <v>阮氏芳英(英)</v>
      </c>
    </row>
    <row r="5601" spans="6:19" hidden="1" x14ac:dyDescent="0.25">
      <c r="F5601" t="s">
        <v>1327</v>
      </c>
      <c r="G5601" t="s">
        <v>449</v>
      </c>
      <c r="H5601" t="str">
        <f>VLOOKUP(record[[#This Row],[ProcessSN]],表格2_7[],2,FALSE)</f>
        <v>30-4118-018-6XX</v>
      </c>
      <c r="I5601" t="str">
        <f>VLOOKUP(record[[#This Row],[ProcessSN]],表格2_7[],3,FALSE)</f>
        <v>#05</v>
      </c>
      <c r="J5601" t="s">
        <v>588</v>
      </c>
      <c r="K5601" s="195">
        <v>46013.363819444443</v>
      </c>
      <c r="L5601">
        <v>10</v>
      </c>
      <c r="M5601">
        <v>0</v>
      </c>
      <c r="N5601" s="98" t="str">
        <f>IF(record[[#This Row],[Memo]]="Browser:chrome os:android","平板報工",IF(record[[#This Row],[Memo]]=0,"委外",record[[#This Row],[Memo]]))</f>
        <v>12/16</v>
      </c>
      <c r="O5601" t="s">
        <v>1364</v>
      </c>
      <c r="P5601" t="s">
        <v>1098</v>
      </c>
      <c r="Q5601" t="s">
        <v>58</v>
      </c>
      <c r="R5601" t="str">
        <f>IFERROR(VLOOKUP(record[[#This Row],[PCUSTID]],廠商[],2,FALSE),"")</f>
        <v/>
      </c>
      <c r="S5601" t="str">
        <f>VLOOKUP(record[[#This Row],[employeeID]],員工[],2,FALSE)</f>
        <v>阮氏芳英(英)</v>
      </c>
    </row>
    <row r="5602" spans="6:19" hidden="1" x14ac:dyDescent="0.25">
      <c r="F5602" t="s">
        <v>1327</v>
      </c>
      <c r="G5602" t="s">
        <v>448</v>
      </c>
      <c r="H5602" t="str">
        <f>VLOOKUP(record[[#This Row],[ProcessSN]],表格2_7[],2,FALSE)</f>
        <v>30-4118-018-6XX</v>
      </c>
      <c r="I5602" t="str">
        <f>VLOOKUP(record[[#This Row],[ProcessSN]],表格2_7[],3,FALSE)</f>
        <v>#04</v>
      </c>
      <c r="J5602" t="s">
        <v>588</v>
      </c>
      <c r="K5602" s="195">
        <v>46013.363506944443</v>
      </c>
      <c r="L5602">
        <v>82</v>
      </c>
      <c r="M5602">
        <v>0</v>
      </c>
      <c r="N5602" s="98" t="str">
        <f>IF(record[[#This Row],[Memo]]="Browser:chrome os:android","平板報工",IF(record[[#This Row],[Memo]]=0,"委外",record[[#This Row],[Memo]]))</f>
        <v/>
      </c>
      <c r="O5602" t="s">
        <v>58</v>
      </c>
      <c r="P5602" t="s">
        <v>1098</v>
      </c>
      <c r="Q5602" t="s">
        <v>58</v>
      </c>
      <c r="R5602" t="str">
        <f>IFERROR(VLOOKUP(record[[#This Row],[PCUSTID]],廠商[],2,FALSE),"")</f>
        <v/>
      </c>
      <c r="S5602" t="str">
        <f>VLOOKUP(record[[#This Row],[employeeID]],員工[],2,FALSE)</f>
        <v>阮氏芳英(英)</v>
      </c>
    </row>
    <row r="5603" spans="6:19" hidden="1" x14ac:dyDescent="0.25">
      <c r="F5603" t="s">
        <v>1285</v>
      </c>
      <c r="G5603" t="s">
        <v>470</v>
      </c>
      <c r="H5603" t="str">
        <f>VLOOKUP(record[[#This Row],[ProcessSN]],表格2_7[],2,FALSE)</f>
        <v>30-4118-018-XXX</v>
      </c>
      <c r="I5603" t="str">
        <f>VLOOKUP(record[[#This Row],[ProcessSN]],表格2_7[],3,FALSE)</f>
        <v>#02IQC</v>
      </c>
      <c r="J5603" t="s">
        <v>583</v>
      </c>
      <c r="K5603" s="195">
        <v>46013.358749999999</v>
      </c>
      <c r="L5603">
        <v>1413</v>
      </c>
      <c r="M5603">
        <v>0</v>
      </c>
      <c r="N5603" s="98" t="str">
        <f>IF(record[[#This Row],[Memo]]="Browser:chrome os:android","平板報工",IF(record[[#This Row],[Memo]]=0,"委外",record[[#This Row],[Memo]]))</f>
        <v/>
      </c>
      <c r="O5603" t="s">
        <v>58</v>
      </c>
      <c r="P5603" t="s">
        <v>109</v>
      </c>
      <c r="Q5603" t="s">
        <v>58</v>
      </c>
      <c r="R5603" t="str">
        <f>IFERROR(VLOOKUP(record[[#This Row],[PCUSTID]],廠商[],2,FALSE),"")</f>
        <v/>
      </c>
      <c r="S5603" t="str">
        <f>VLOOKUP(record[[#This Row],[employeeID]],員工[],2,FALSE)</f>
        <v>裴氏璧鳳</v>
      </c>
    </row>
    <row r="5604" spans="6:19" hidden="1" x14ac:dyDescent="0.25">
      <c r="F5604" t="s">
        <v>1285</v>
      </c>
      <c r="G5604" t="s">
        <v>469</v>
      </c>
      <c r="H5604" t="str">
        <f>VLOOKUP(record[[#This Row],[ProcessSN]],表格2_7[],2,FALSE)</f>
        <v>30-4118-018-XXX</v>
      </c>
      <c r="I5604" t="str">
        <f>VLOOKUP(record[[#This Row],[ProcessSN]],表格2_7[],3,FALSE)</f>
        <v>#02RCV</v>
      </c>
      <c r="J5604" t="s">
        <v>591</v>
      </c>
      <c r="K5604" s="195">
        <v>46013.346689814818</v>
      </c>
      <c r="L5604">
        <v>1413</v>
      </c>
      <c r="M5604">
        <v>0</v>
      </c>
      <c r="N5604" s="98" t="str">
        <f>IF(record[[#This Row],[Memo]]="Browser:chrome os:android","平板報工",IF(record[[#This Row],[Memo]]=0,"委外",record[[#This Row],[Memo]]))</f>
        <v/>
      </c>
      <c r="O5604" t="s">
        <v>58</v>
      </c>
      <c r="P5604" t="s">
        <v>186</v>
      </c>
      <c r="Q5604" t="s">
        <v>58</v>
      </c>
      <c r="R5604" t="str">
        <f>IFERROR(VLOOKUP(record[[#This Row],[PCUSTID]],廠商[],2,FALSE),"")</f>
        <v/>
      </c>
      <c r="S5604" t="str">
        <f>VLOOKUP(record[[#This Row],[employeeID]],員工[],2,FALSE)</f>
        <v>許文姍</v>
      </c>
    </row>
    <row r="5605" spans="6:19" hidden="1" x14ac:dyDescent="0.25">
      <c r="F5605" t="s">
        <v>1324</v>
      </c>
      <c r="G5605" t="s">
        <v>451</v>
      </c>
      <c r="H5605" t="str">
        <f>VLOOKUP(record[[#This Row],[ProcessSN]],表格2_7[],2,FALSE)</f>
        <v>30-4118-018-6XX</v>
      </c>
      <c r="I5605" t="str">
        <f>VLOOKUP(record[[#This Row],[ProcessSN]],表格2_7[],3,FALSE)</f>
        <v>#07</v>
      </c>
      <c r="J5605" t="s">
        <v>588</v>
      </c>
      <c r="K5605" s="195">
        <v>46011.321643518517</v>
      </c>
      <c r="L5605">
        <v>24</v>
      </c>
      <c r="M5605">
        <v>18</v>
      </c>
      <c r="N5605" s="98" t="str">
        <f>IF(record[[#This Row],[Memo]]="Browser:chrome os:android","平板報工",IF(record[[#This Row],[Memo]]=0,"委外",record[[#This Row],[Memo]]))</f>
        <v>早班12/19</v>
      </c>
      <c r="O5605" t="s">
        <v>1363</v>
      </c>
      <c r="P5605" t="s">
        <v>135</v>
      </c>
      <c r="Q5605" t="s">
        <v>58</v>
      </c>
      <c r="R5605" t="str">
        <f>IFERROR(VLOOKUP(record[[#This Row],[PCUSTID]],廠商[],2,FALSE),"")</f>
        <v/>
      </c>
      <c r="S5605" t="str">
        <f>VLOOKUP(record[[#This Row],[employeeID]],員工[],2,FALSE)</f>
        <v>阮士文</v>
      </c>
    </row>
    <row r="5606" spans="6:19" hidden="1" x14ac:dyDescent="0.25">
      <c r="F5606" t="s">
        <v>1333</v>
      </c>
      <c r="G5606" t="s">
        <v>451</v>
      </c>
      <c r="H5606" t="str">
        <f>VLOOKUP(record[[#This Row],[ProcessSN]],表格2_7[],2,FALSE)</f>
        <v>30-4118-018-6XX</v>
      </c>
      <c r="I5606" t="str">
        <f>VLOOKUP(record[[#This Row],[ProcessSN]],表格2_7[],3,FALSE)</f>
        <v>#07</v>
      </c>
      <c r="J5606" t="s">
        <v>588</v>
      </c>
      <c r="K5606" s="195">
        <v>46011.321296296293</v>
      </c>
      <c r="L5606">
        <v>81</v>
      </c>
      <c r="M5606">
        <v>0</v>
      </c>
      <c r="N5606" s="98" t="str">
        <f>IF(record[[#This Row],[Memo]]="Browser:chrome os:android","平板報工",IF(record[[#This Row],[Memo]]=0,"委外",record[[#This Row],[Memo]]))</f>
        <v>早班12/19</v>
      </c>
      <c r="O5606" t="s">
        <v>1363</v>
      </c>
      <c r="P5606" t="s">
        <v>135</v>
      </c>
      <c r="Q5606" t="s">
        <v>58</v>
      </c>
      <c r="R5606" t="str">
        <f>IFERROR(VLOOKUP(record[[#This Row],[PCUSTID]],廠商[],2,FALSE),"")</f>
        <v/>
      </c>
      <c r="S5606" t="str">
        <f>VLOOKUP(record[[#This Row],[employeeID]],員工[],2,FALSE)</f>
        <v>阮士文</v>
      </c>
    </row>
    <row r="5607" spans="6:19" hidden="1" x14ac:dyDescent="0.25">
      <c r="F5607" t="s">
        <v>1333</v>
      </c>
      <c r="G5607" t="s">
        <v>450</v>
      </c>
      <c r="H5607" t="str">
        <f>VLOOKUP(record[[#This Row],[ProcessSN]],表格2_7[],2,FALSE)</f>
        <v>30-4118-018-6XX</v>
      </c>
      <c r="I5607" t="str">
        <f>VLOOKUP(record[[#This Row],[ProcessSN]],表格2_7[],3,FALSE)</f>
        <v>#06</v>
      </c>
      <c r="J5607" t="s">
        <v>593</v>
      </c>
      <c r="K5607" s="195">
        <v>46011.313101851854</v>
      </c>
      <c r="L5607">
        <v>133</v>
      </c>
      <c r="M5607">
        <v>0</v>
      </c>
      <c r="N5607" s="98" t="str">
        <f>IF(record[[#This Row],[Memo]]="Browser:chrome os:android","平板報工",IF(record[[#This Row],[Memo]]=0,"委外",record[[#This Row],[Memo]]))</f>
        <v/>
      </c>
      <c r="O5607" t="s">
        <v>58</v>
      </c>
      <c r="P5607" t="s">
        <v>180</v>
      </c>
      <c r="Q5607" t="s">
        <v>58</v>
      </c>
      <c r="R5607" t="str">
        <f>IFERROR(VLOOKUP(record[[#This Row],[PCUSTID]],廠商[],2,FALSE),"")</f>
        <v/>
      </c>
      <c r="S5607" t="str">
        <f>VLOOKUP(record[[#This Row],[employeeID]],員工[],2,FALSE)</f>
        <v>黎功江</v>
      </c>
    </row>
    <row r="5608" spans="6:19" hidden="1" x14ac:dyDescent="0.25">
      <c r="F5608" t="s">
        <v>1333</v>
      </c>
      <c r="G5608" t="s">
        <v>449</v>
      </c>
      <c r="H5608" t="str">
        <f>VLOOKUP(record[[#This Row],[ProcessSN]],表格2_7[],2,FALSE)</f>
        <v>30-4118-018-6XX</v>
      </c>
      <c r="I5608" t="str">
        <f>VLOOKUP(record[[#This Row],[ProcessSN]],表格2_7[],3,FALSE)</f>
        <v>#05</v>
      </c>
      <c r="J5608" t="s">
        <v>588</v>
      </c>
      <c r="K5608" s="195">
        <v>46011.312442129631</v>
      </c>
      <c r="L5608">
        <v>83</v>
      </c>
      <c r="M5608">
        <v>0</v>
      </c>
      <c r="N5608" s="98" t="str">
        <f>IF(record[[#This Row],[Memo]]="Browser:chrome os:android","平板報工",IF(record[[#This Row],[Memo]]=0,"委外",record[[#This Row],[Memo]]))</f>
        <v/>
      </c>
      <c r="O5608" t="s">
        <v>58</v>
      </c>
      <c r="P5608" t="s">
        <v>89</v>
      </c>
      <c r="Q5608" t="s">
        <v>58</v>
      </c>
      <c r="R5608" t="str">
        <f>IFERROR(VLOOKUP(record[[#This Row],[PCUSTID]],廠商[],2,FALSE),"")</f>
        <v/>
      </c>
      <c r="S5608" t="str">
        <f>VLOOKUP(record[[#This Row],[employeeID]],員工[],2,FALSE)</f>
        <v>李美蓮</v>
      </c>
    </row>
    <row r="5609" spans="6:19" hidden="1" x14ac:dyDescent="0.25">
      <c r="F5609" t="s">
        <v>1333</v>
      </c>
      <c r="G5609" t="s">
        <v>448</v>
      </c>
      <c r="H5609" t="str">
        <f>VLOOKUP(record[[#This Row],[ProcessSN]],表格2_7[],2,FALSE)</f>
        <v>30-4118-018-6XX</v>
      </c>
      <c r="I5609" t="str">
        <f>VLOOKUP(record[[#This Row],[ProcessSN]],表格2_7[],3,FALSE)</f>
        <v>#04</v>
      </c>
      <c r="J5609" t="s">
        <v>588</v>
      </c>
      <c r="K5609" s="195">
        <v>46011.3121875</v>
      </c>
      <c r="L5609">
        <v>83</v>
      </c>
      <c r="M5609">
        <v>0</v>
      </c>
      <c r="N5609" s="98" t="str">
        <f>IF(record[[#This Row],[Memo]]="Browser:chrome os:android","平板報工",IF(record[[#This Row],[Memo]]=0,"委外",record[[#This Row],[Memo]]))</f>
        <v/>
      </c>
      <c r="O5609" t="s">
        <v>58</v>
      </c>
      <c r="P5609" t="s">
        <v>89</v>
      </c>
      <c r="Q5609" t="s">
        <v>58</v>
      </c>
      <c r="R5609" t="str">
        <f>IFERROR(VLOOKUP(record[[#This Row],[PCUSTID]],廠商[],2,FALSE),"")</f>
        <v/>
      </c>
      <c r="S5609" t="str">
        <f>VLOOKUP(record[[#This Row],[employeeID]],員工[],2,FALSE)</f>
        <v>李美蓮</v>
      </c>
    </row>
    <row r="5610" spans="6:19" hidden="1" x14ac:dyDescent="0.25">
      <c r="F5610" t="s">
        <v>1324</v>
      </c>
      <c r="G5610" t="s">
        <v>451</v>
      </c>
      <c r="H5610" t="str">
        <f>VLOOKUP(record[[#This Row],[ProcessSN]],表格2_7[],2,FALSE)</f>
        <v>30-4118-018-6XX</v>
      </c>
      <c r="I5610" t="str">
        <f>VLOOKUP(record[[#This Row],[ProcessSN]],表格2_7[],3,FALSE)</f>
        <v>#07</v>
      </c>
      <c r="J5610" t="s">
        <v>588</v>
      </c>
      <c r="K5610" s="195">
        <v>46011.310682870368</v>
      </c>
      <c r="L5610">
        <v>184</v>
      </c>
      <c r="M5610">
        <v>0</v>
      </c>
      <c r="N5610" s="98" t="str">
        <f>IF(record[[#This Row],[Memo]]="Browser:chrome os:android","平板報工",IF(record[[#This Row],[Memo]]=0,"委外",record[[#This Row],[Memo]]))</f>
        <v/>
      </c>
      <c r="O5610" t="s">
        <v>58</v>
      </c>
      <c r="P5610" t="s">
        <v>89</v>
      </c>
      <c r="Q5610" t="s">
        <v>58</v>
      </c>
      <c r="R5610" t="str">
        <f>IFERROR(VLOOKUP(record[[#This Row],[PCUSTID]],廠商[],2,FALSE),"")</f>
        <v/>
      </c>
      <c r="S5610" t="str">
        <f>VLOOKUP(record[[#This Row],[employeeID]],員工[],2,FALSE)</f>
        <v>李美蓮</v>
      </c>
    </row>
    <row r="5611" spans="6:19" hidden="1" x14ac:dyDescent="0.25">
      <c r="F5611" t="s">
        <v>1324</v>
      </c>
      <c r="G5611" t="s">
        <v>451</v>
      </c>
      <c r="H5611" t="str">
        <f>VLOOKUP(record[[#This Row],[ProcessSN]],表格2_7[],2,FALSE)</f>
        <v>30-4118-018-6XX</v>
      </c>
      <c r="I5611" t="str">
        <f>VLOOKUP(record[[#This Row],[ProcessSN]],表格2_7[],3,FALSE)</f>
        <v>#07</v>
      </c>
      <c r="J5611" t="s">
        <v>588</v>
      </c>
      <c r="K5611" s="195">
        <v>46011.310370370367</v>
      </c>
      <c r="L5611">
        <v>89</v>
      </c>
      <c r="M5611">
        <v>0</v>
      </c>
      <c r="N5611" s="98" t="str">
        <f>IF(record[[#This Row],[Memo]]="Browser:chrome os:android","平板報工",IF(record[[#This Row],[Memo]]=0,"委外",record[[#This Row],[Memo]]))</f>
        <v/>
      </c>
      <c r="O5611" t="s">
        <v>58</v>
      </c>
      <c r="P5611" t="s">
        <v>843</v>
      </c>
      <c r="Q5611" t="s">
        <v>58</v>
      </c>
      <c r="R5611" t="str">
        <f>IFERROR(VLOOKUP(record[[#This Row],[PCUSTID]],廠商[],2,FALSE),"")</f>
        <v/>
      </c>
      <c r="S5611" t="str">
        <f>VLOOKUP(record[[#This Row],[employeeID]],員工[],2,FALSE)</f>
        <v>張楚承</v>
      </c>
    </row>
    <row r="5612" spans="6:19" hidden="1" x14ac:dyDescent="0.25">
      <c r="F5612" t="s">
        <v>1333</v>
      </c>
      <c r="G5612" t="s">
        <v>451</v>
      </c>
      <c r="H5612" t="str">
        <f>VLOOKUP(record[[#This Row],[ProcessSN]],表格2_7[],2,FALSE)</f>
        <v>30-4118-018-6XX</v>
      </c>
      <c r="I5612" t="str">
        <f>VLOOKUP(record[[#This Row],[ProcessSN]],表格2_7[],3,FALSE)</f>
        <v>#07</v>
      </c>
      <c r="J5612" t="s">
        <v>588</v>
      </c>
      <c r="K5612" s="195">
        <v>46011.310104166667</v>
      </c>
      <c r="L5612">
        <v>168</v>
      </c>
      <c r="M5612">
        <v>0</v>
      </c>
      <c r="N5612" s="98" t="str">
        <f>IF(record[[#This Row],[Memo]]="Browser:chrome os:android","平板報工",IF(record[[#This Row],[Memo]]=0,"委外",record[[#This Row],[Memo]]))</f>
        <v/>
      </c>
      <c r="O5612" t="s">
        <v>58</v>
      </c>
      <c r="P5612" t="s">
        <v>843</v>
      </c>
      <c r="Q5612" t="s">
        <v>58</v>
      </c>
      <c r="R5612" t="str">
        <f>IFERROR(VLOOKUP(record[[#This Row],[PCUSTID]],廠商[],2,FALSE),"")</f>
        <v/>
      </c>
      <c r="S5612" t="str">
        <f>VLOOKUP(record[[#This Row],[employeeID]],員工[],2,FALSE)</f>
        <v>張楚承</v>
      </c>
    </row>
    <row r="5613" spans="6:19" hidden="1" x14ac:dyDescent="0.25">
      <c r="F5613" t="s">
        <v>1338</v>
      </c>
      <c r="G5613" t="s">
        <v>449</v>
      </c>
      <c r="H5613" t="str">
        <f>VLOOKUP(record[[#This Row],[ProcessSN]],表格2_7[],2,FALSE)</f>
        <v>30-4118-018-6XX</v>
      </c>
      <c r="I5613" t="str">
        <f>VLOOKUP(record[[#This Row],[ProcessSN]],表格2_7[],3,FALSE)</f>
        <v>#05</v>
      </c>
      <c r="J5613" t="s">
        <v>588</v>
      </c>
      <c r="K5613" s="195">
        <v>46011.309270833335</v>
      </c>
      <c r="L5613">
        <v>135</v>
      </c>
      <c r="M5613">
        <v>0</v>
      </c>
      <c r="N5613" s="98" t="str">
        <f>IF(record[[#This Row],[Memo]]="Browser:chrome os:android","平板報工",IF(record[[#This Row],[Memo]]=0,"委外",record[[#This Row],[Memo]]))</f>
        <v/>
      </c>
      <c r="O5613" t="s">
        <v>58</v>
      </c>
      <c r="P5613" t="s">
        <v>843</v>
      </c>
      <c r="Q5613" t="s">
        <v>58</v>
      </c>
      <c r="R5613" t="str">
        <f>IFERROR(VLOOKUP(record[[#This Row],[PCUSTID]],廠商[],2,FALSE),"")</f>
        <v/>
      </c>
      <c r="S5613" t="str">
        <f>VLOOKUP(record[[#This Row],[employeeID]],員工[],2,FALSE)</f>
        <v>張楚承</v>
      </c>
    </row>
    <row r="5614" spans="6:19" hidden="1" x14ac:dyDescent="0.25">
      <c r="F5614" t="s">
        <v>1338</v>
      </c>
      <c r="G5614" t="s">
        <v>448</v>
      </c>
      <c r="H5614" t="str">
        <f>VLOOKUP(record[[#This Row],[ProcessSN]],表格2_7[],2,FALSE)</f>
        <v>30-4118-018-6XX</v>
      </c>
      <c r="I5614" t="str">
        <f>VLOOKUP(record[[#This Row],[ProcessSN]],表格2_7[],3,FALSE)</f>
        <v>#04</v>
      </c>
      <c r="J5614" t="s">
        <v>588</v>
      </c>
      <c r="K5614" s="195">
        <v>46011.308761574073</v>
      </c>
      <c r="L5614">
        <v>135</v>
      </c>
      <c r="M5614">
        <v>0</v>
      </c>
      <c r="N5614" s="98" t="str">
        <f>IF(record[[#This Row],[Memo]]="Browser:chrome os:android","平板報工",IF(record[[#This Row],[Memo]]=0,"委外",record[[#This Row],[Memo]]))</f>
        <v/>
      </c>
      <c r="O5614" t="s">
        <v>58</v>
      </c>
      <c r="P5614" t="s">
        <v>135</v>
      </c>
      <c r="Q5614" t="s">
        <v>58</v>
      </c>
      <c r="R5614" t="str">
        <f>IFERROR(VLOOKUP(record[[#This Row],[PCUSTID]],廠商[],2,FALSE),"")</f>
        <v/>
      </c>
      <c r="S5614" t="str">
        <f>VLOOKUP(record[[#This Row],[employeeID]],員工[],2,FALSE)</f>
        <v>阮士文</v>
      </c>
    </row>
    <row r="5615" spans="6:19" hidden="1" x14ac:dyDescent="0.25">
      <c r="F5615" t="s">
        <v>1338</v>
      </c>
      <c r="G5615" t="s">
        <v>449</v>
      </c>
      <c r="H5615" t="str">
        <f>VLOOKUP(record[[#This Row],[ProcessSN]],表格2_7[],2,FALSE)</f>
        <v>30-4118-018-6XX</v>
      </c>
      <c r="I5615" t="str">
        <f>VLOOKUP(record[[#This Row],[ProcessSN]],表格2_7[],3,FALSE)</f>
        <v>#05</v>
      </c>
      <c r="J5615" t="s">
        <v>588</v>
      </c>
      <c r="K5615" s="195">
        <v>46011.308553240742</v>
      </c>
      <c r="L5615">
        <v>18</v>
      </c>
      <c r="M5615">
        <v>0</v>
      </c>
      <c r="N5615" s="98" t="str">
        <f>IF(record[[#This Row],[Memo]]="Browser:chrome os:android","平板報工",IF(record[[#This Row],[Memo]]=0,"委外",record[[#This Row],[Memo]]))</f>
        <v/>
      </c>
      <c r="O5615" t="s">
        <v>58</v>
      </c>
      <c r="P5615" t="s">
        <v>89</v>
      </c>
      <c r="Q5615" t="s">
        <v>58</v>
      </c>
      <c r="R5615" t="str">
        <f>IFERROR(VLOOKUP(record[[#This Row],[PCUSTID]],廠商[],2,FALSE),"")</f>
        <v/>
      </c>
      <c r="S5615" t="str">
        <f>VLOOKUP(record[[#This Row],[employeeID]],員工[],2,FALSE)</f>
        <v>李美蓮</v>
      </c>
    </row>
    <row r="5616" spans="6:19" hidden="1" x14ac:dyDescent="0.25">
      <c r="F5616" t="s">
        <v>1338</v>
      </c>
      <c r="G5616" t="s">
        <v>448</v>
      </c>
      <c r="H5616" t="str">
        <f>VLOOKUP(record[[#This Row],[ProcessSN]],表格2_7[],2,FALSE)</f>
        <v>30-4118-018-6XX</v>
      </c>
      <c r="I5616" t="str">
        <f>VLOOKUP(record[[#This Row],[ProcessSN]],表格2_7[],3,FALSE)</f>
        <v>#04</v>
      </c>
      <c r="J5616" t="s">
        <v>588</v>
      </c>
      <c r="K5616" s="195">
        <v>46011.308391203704</v>
      </c>
      <c r="L5616">
        <v>18</v>
      </c>
      <c r="M5616">
        <v>0</v>
      </c>
      <c r="N5616" s="98" t="str">
        <f>IF(record[[#This Row],[Memo]]="Browser:chrome os:android","平板報工",IF(record[[#This Row],[Memo]]=0,"委外",record[[#This Row],[Memo]]))</f>
        <v/>
      </c>
      <c r="O5616" t="s">
        <v>58</v>
      </c>
      <c r="P5616" t="s">
        <v>89</v>
      </c>
      <c r="Q5616" t="s">
        <v>58</v>
      </c>
      <c r="R5616" t="str">
        <f>IFERROR(VLOOKUP(record[[#This Row],[PCUSTID]],廠商[],2,FALSE),"")</f>
        <v/>
      </c>
      <c r="S5616" t="str">
        <f>VLOOKUP(record[[#This Row],[employeeID]],員工[],2,FALSE)</f>
        <v>李美蓮</v>
      </c>
    </row>
    <row r="5617" spans="6:19" hidden="1" x14ac:dyDescent="0.25">
      <c r="F5617" t="s">
        <v>1333</v>
      </c>
      <c r="G5617" t="s">
        <v>450</v>
      </c>
      <c r="H5617" t="str">
        <f>VLOOKUP(record[[#This Row],[ProcessSN]],表格2_7[],2,FALSE)</f>
        <v>30-4118-018-6XX</v>
      </c>
      <c r="I5617" t="str">
        <f>VLOOKUP(record[[#This Row],[ProcessSN]],表格2_7[],3,FALSE)</f>
        <v>#06</v>
      </c>
      <c r="J5617" t="s">
        <v>593</v>
      </c>
      <c r="K5617" s="195">
        <v>46010.943657407406</v>
      </c>
      <c r="L5617">
        <v>110</v>
      </c>
      <c r="M5617">
        <v>0</v>
      </c>
      <c r="N5617" s="98" t="str">
        <f>IF(record[[#This Row],[Memo]]="Browser:chrome os:android","平板報工",IF(record[[#This Row],[Memo]]=0,"委外",record[[#This Row],[Memo]]))</f>
        <v/>
      </c>
      <c r="O5617" t="s">
        <v>58</v>
      </c>
      <c r="P5617" t="s">
        <v>176</v>
      </c>
      <c r="Q5617" t="s">
        <v>58</v>
      </c>
      <c r="R5617" t="str">
        <f>IFERROR(VLOOKUP(record[[#This Row],[PCUSTID]],廠商[],2,FALSE),"")</f>
        <v/>
      </c>
      <c r="S5617" t="str">
        <f>VLOOKUP(record[[#This Row],[employeeID]],員工[],2,FALSE)</f>
        <v>郭政雄</v>
      </c>
    </row>
    <row r="5618" spans="6:19" hidden="1" x14ac:dyDescent="0.25">
      <c r="F5618" t="s">
        <v>1262</v>
      </c>
      <c r="G5618" t="s">
        <v>403</v>
      </c>
      <c r="H5618" t="str">
        <f>VLOOKUP(record[[#This Row],[ProcessSN]],表格2_7[],2,FALSE)</f>
        <v>30-4118-018-550</v>
      </c>
      <c r="I5618" t="str">
        <f>VLOOKUP(record[[#This Row],[ProcessSN]],表格2_7[],3,FALSE)</f>
        <v>#100SHIP</v>
      </c>
      <c r="J5618" t="s">
        <v>600</v>
      </c>
      <c r="K5618" s="195">
        <v>46010.718460648146</v>
      </c>
      <c r="L5618">
        <v>36</v>
      </c>
      <c r="M5618">
        <v>0</v>
      </c>
      <c r="N5618" s="98" t="str">
        <f>IF(record[[#This Row],[Memo]]="Browser:chrome os:android","平板報工",IF(record[[#This Row],[Memo]]=0,"委外",record[[#This Row],[Memo]]))</f>
        <v/>
      </c>
      <c r="O5618" t="s">
        <v>58</v>
      </c>
      <c r="P5618" t="s">
        <v>886</v>
      </c>
      <c r="Q5618" t="s">
        <v>58</v>
      </c>
      <c r="R5618" t="str">
        <f>IFERROR(VLOOKUP(record[[#This Row],[PCUSTID]],廠商[],2,FALSE),"")</f>
        <v/>
      </c>
      <c r="S5618" t="str">
        <f>VLOOKUP(record[[#This Row],[employeeID]],員工[],2,FALSE)</f>
        <v>謝蓁薰</v>
      </c>
    </row>
    <row r="5619" spans="6:19" hidden="1" x14ac:dyDescent="0.25">
      <c r="F5619" t="s">
        <v>1286</v>
      </c>
      <c r="G5619" t="s">
        <v>362</v>
      </c>
      <c r="H5619" t="str">
        <f>VLOOKUP(record[[#This Row],[ProcessSN]],表格2_7[],2,FALSE)</f>
        <v>30-4118-018-450</v>
      </c>
      <c r="I5619" t="str">
        <f>VLOOKUP(record[[#This Row],[ProcessSN]],表格2_7[],3,FALSE)</f>
        <v>#100SHIP</v>
      </c>
      <c r="J5619" t="s">
        <v>600</v>
      </c>
      <c r="K5619" s="195">
        <v>46010.718333333331</v>
      </c>
      <c r="L5619">
        <v>8</v>
      </c>
      <c r="M5619">
        <v>0</v>
      </c>
      <c r="N5619" s="98" t="str">
        <f>IF(record[[#This Row],[Memo]]="Browser:chrome os:android","平板報工",IF(record[[#This Row],[Memo]]=0,"委外",record[[#This Row],[Memo]]))</f>
        <v/>
      </c>
      <c r="O5619" t="s">
        <v>58</v>
      </c>
      <c r="P5619" t="s">
        <v>886</v>
      </c>
      <c r="Q5619" t="s">
        <v>58</v>
      </c>
      <c r="R5619" t="str">
        <f>IFERROR(VLOOKUP(record[[#This Row],[PCUSTID]],廠商[],2,FALSE),"")</f>
        <v/>
      </c>
      <c r="S5619" t="str">
        <f>VLOOKUP(record[[#This Row],[employeeID]],員工[],2,FALSE)</f>
        <v>謝蓁薰</v>
      </c>
    </row>
    <row r="5620" spans="6:19" hidden="1" x14ac:dyDescent="0.25">
      <c r="F5620" t="s">
        <v>1277</v>
      </c>
      <c r="G5620" t="s">
        <v>362</v>
      </c>
      <c r="H5620" t="str">
        <f>VLOOKUP(record[[#This Row],[ProcessSN]],表格2_7[],2,FALSE)</f>
        <v>30-4118-018-450</v>
      </c>
      <c r="I5620" t="str">
        <f>VLOOKUP(record[[#This Row],[ProcessSN]],表格2_7[],3,FALSE)</f>
        <v>#100SHIP</v>
      </c>
      <c r="J5620" t="s">
        <v>600</v>
      </c>
      <c r="K5620" s="195">
        <v>46010.717731481483</v>
      </c>
      <c r="L5620">
        <v>46</v>
      </c>
      <c r="M5620">
        <v>0</v>
      </c>
      <c r="N5620" s="98" t="str">
        <f>IF(record[[#This Row],[Memo]]="Browser:chrome os:android","平板報工",IF(record[[#This Row],[Memo]]=0,"委外",record[[#This Row],[Memo]]))</f>
        <v/>
      </c>
      <c r="O5620" t="s">
        <v>58</v>
      </c>
      <c r="P5620" t="s">
        <v>886</v>
      </c>
      <c r="Q5620" t="s">
        <v>58</v>
      </c>
      <c r="R5620" t="str">
        <f>IFERROR(VLOOKUP(record[[#This Row],[PCUSTID]],廠商[],2,FALSE),"")</f>
        <v/>
      </c>
      <c r="S5620" t="str">
        <f>VLOOKUP(record[[#This Row],[employeeID]],員工[],2,FALSE)</f>
        <v>謝蓁薰</v>
      </c>
    </row>
    <row r="5621" spans="6:19" hidden="1" x14ac:dyDescent="0.25">
      <c r="F5621" t="s">
        <v>1262</v>
      </c>
      <c r="G5621" t="s">
        <v>402</v>
      </c>
      <c r="H5621" t="str">
        <f>VLOOKUP(record[[#This Row],[ProcessSN]],表格2_7[],2,FALSE)</f>
        <v>30-4118-018-550</v>
      </c>
      <c r="I5621" t="str">
        <f>VLOOKUP(record[[#This Row],[ProcessSN]],表格2_7[],3,FALSE)</f>
        <v>#100STOCK</v>
      </c>
      <c r="J5621" t="s">
        <v>592</v>
      </c>
      <c r="K5621" s="195">
        <v>46010.716423611113</v>
      </c>
      <c r="L5621">
        <v>36</v>
      </c>
      <c r="M5621">
        <v>0</v>
      </c>
      <c r="N5621" s="98" t="str">
        <f>IF(record[[#This Row],[Memo]]="Browser:chrome os:android","平板報工",IF(record[[#This Row],[Memo]]=0,"委外",record[[#This Row],[Memo]]))</f>
        <v/>
      </c>
      <c r="O5621" t="s">
        <v>58</v>
      </c>
      <c r="P5621" t="s">
        <v>65</v>
      </c>
      <c r="Q5621" t="s">
        <v>58</v>
      </c>
      <c r="R5621" t="str">
        <f>IFERROR(VLOOKUP(record[[#This Row],[PCUSTID]],廠商[],2,FALSE),"")</f>
        <v/>
      </c>
      <c r="S5621" t="str">
        <f>VLOOKUP(record[[#This Row],[employeeID]],員工[],2,FALSE)</f>
        <v>蘇進昌</v>
      </c>
    </row>
    <row r="5622" spans="6:19" hidden="1" x14ac:dyDescent="0.25">
      <c r="F5622" t="s">
        <v>1262</v>
      </c>
      <c r="G5622" t="s">
        <v>401</v>
      </c>
      <c r="H5622" t="str">
        <f>VLOOKUP(record[[#This Row],[ProcessSN]],表格2_7[],2,FALSE)</f>
        <v>30-4118-018-550</v>
      </c>
      <c r="I5622" t="str">
        <f>VLOOKUP(record[[#This Row],[ProcessSN]],表格2_7[],3,FALSE)</f>
        <v>#100OQC</v>
      </c>
      <c r="J5622" t="s">
        <v>599</v>
      </c>
      <c r="K5622" s="195">
        <v>46010.716354166667</v>
      </c>
      <c r="L5622">
        <v>36</v>
      </c>
      <c r="M5622">
        <v>0</v>
      </c>
      <c r="N5622" s="98" t="str">
        <f>IF(record[[#This Row],[Memo]]="Browser:chrome os:android","平板報工",IF(record[[#This Row],[Memo]]=0,"委外",record[[#This Row],[Memo]]))</f>
        <v/>
      </c>
      <c r="O5622" t="s">
        <v>58</v>
      </c>
      <c r="P5622" t="s">
        <v>65</v>
      </c>
      <c r="Q5622" t="s">
        <v>58</v>
      </c>
      <c r="R5622" t="str">
        <f>IFERROR(VLOOKUP(record[[#This Row],[PCUSTID]],廠商[],2,FALSE),"")</f>
        <v/>
      </c>
      <c r="S5622" t="str">
        <f>VLOOKUP(record[[#This Row],[employeeID]],員工[],2,FALSE)</f>
        <v>蘇進昌</v>
      </c>
    </row>
    <row r="5623" spans="6:19" hidden="1" x14ac:dyDescent="0.25">
      <c r="F5623" t="s">
        <v>1262</v>
      </c>
      <c r="G5623" t="s">
        <v>400</v>
      </c>
      <c r="H5623" t="str">
        <f>VLOOKUP(record[[#This Row],[ProcessSN]],表格2_7[],2,FALSE)</f>
        <v>30-4118-018-550</v>
      </c>
      <c r="I5623" t="str">
        <f>VLOOKUP(record[[#This Row],[ProcessSN]],表格2_7[],3,FALSE)</f>
        <v>#100</v>
      </c>
      <c r="J5623" t="s">
        <v>598</v>
      </c>
      <c r="K5623" s="195">
        <v>46010.716296296298</v>
      </c>
      <c r="L5623">
        <v>36</v>
      </c>
      <c r="M5623">
        <v>0</v>
      </c>
      <c r="N5623" s="98" t="str">
        <f>IF(record[[#This Row],[Memo]]="Browser:chrome os:android","平板報工",IF(record[[#This Row],[Memo]]=0,"委外",record[[#This Row],[Memo]]))</f>
        <v/>
      </c>
      <c r="O5623" t="s">
        <v>58</v>
      </c>
      <c r="P5623" t="s">
        <v>65</v>
      </c>
      <c r="Q5623" t="s">
        <v>58</v>
      </c>
      <c r="R5623" t="str">
        <f>IFERROR(VLOOKUP(record[[#This Row],[PCUSTID]],廠商[],2,FALSE),"")</f>
        <v/>
      </c>
      <c r="S5623" t="str">
        <f>VLOOKUP(record[[#This Row],[employeeID]],員工[],2,FALSE)</f>
        <v>蘇進昌</v>
      </c>
    </row>
    <row r="5624" spans="6:19" hidden="1" x14ac:dyDescent="0.25">
      <c r="F5624" t="s">
        <v>1262</v>
      </c>
      <c r="G5624" t="s">
        <v>399</v>
      </c>
      <c r="H5624" t="str">
        <f>VLOOKUP(record[[#This Row],[ProcessSN]],表格2_7[],2,FALSE)</f>
        <v>30-4118-018-550</v>
      </c>
      <c r="I5624" t="str">
        <f>VLOOKUP(record[[#This Row],[ProcessSN]],表格2_7[],3,FALSE)</f>
        <v>#08IQC</v>
      </c>
      <c r="J5624" t="s">
        <v>583</v>
      </c>
      <c r="K5624" s="195">
        <v>46010.716226851851</v>
      </c>
      <c r="L5624">
        <v>36</v>
      </c>
      <c r="M5624">
        <v>0</v>
      </c>
      <c r="N5624" s="98" t="str">
        <f>IF(record[[#This Row],[Memo]]="Browser:chrome os:android","平板報工",IF(record[[#This Row],[Memo]]=0,"委外",record[[#This Row],[Memo]]))</f>
        <v/>
      </c>
      <c r="O5624" t="s">
        <v>58</v>
      </c>
      <c r="P5624" t="s">
        <v>65</v>
      </c>
      <c r="Q5624" t="s">
        <v>58</v>
      </c>
      <c r="R5624" t="str">
        <f>IFERROR(VLOOKUP(record[[#This Row],[PCUSTID]],廠商[],2,FALSE),"")</f>
        <v/>
      </c>
      <c r="S5624" t="str">
        <f>VLOOKUP(record[[#This Row],[employeeID]],員工[],2,FALSE)</f>
        <v>蘇進昌</v>
      </c>
    </row>
    <row r="5625" spans="6:19" hidden="1" x14ac:dyDescent="0.25">
      <c r="F5625" t="s">
        <v>1286</v>
      </c>
      <c r="G5625" t="s">
        <v>361</v>
      </c>
      <c r="H5625" t="str">
        <f>VLOOKUP(record[[#This Row],[ProcessSN]],表格2_7[],2,FALSE)</f>
        <v>30-4118-018-450</v>
      </c>
      <c r="I5625" t="str">
        <f>VLOOKUP(record[[#This Row],[ProcessSN]],表格2_7[],3,FALSE)</f>
        <v>#100STOCK</v>
      </c>
      <c r="J5625" t="s">
        <v>592</v>
      </c>
      <c r="K5625" s="195">
        <v>46010.716099537036</v>
      </c>
      <c r="L5625">
        <v>8</v>
      </c>
      <c r="M5625">
        <v>0</v>
      </c>
      <c r="N5625" s="98" t="str">
        <f>IF(record[[#This Row],[Memo]]="Browser:chrome os:android","平板報工",IF(record[[#This Row],[Memo]]=0,"委外",record[[#This Row],[Memo]]))</f>
        <v/>
      </c>
      <c r="O5625" t="s">
        <v>58</v>
      </c>
      <c r="P5625" t="s">
        <v>65</v>
      </c>
      <c r="Q5625" t="s">
        <v>58</v>
      </c>
      <c r="R5625" t="str">
        <f>IFERROR(VLOOKUP(record[[#This Row],[PCUSTID]],廠商[],2,FALSE),"")</f>
        <v/>
      </c>
      <c r="S5625" t="str">
        <f>VLOOKUP(record[[#This Row],[employeeID]],員工[],2,FALSE)</f>
        <v>蘇進昌</v>
      </c>
    </row>
    <row r="5626" spans="6:19" hidden="1" x14ac:dyDescent="0.25">
      <c r="F5626" t="s">
        <v>1286</v>
      </c>
      <c r="G5626" t="s">
        <v>360</v>
      </c>
      <c r="H5626" t="str">
        <f>VLOOKUP(record[[#This Row],[ProcessSN]],表格2_7[],2,FALSE)</f>
        <v>30-4118-018-450</v>
      </c>
      <c r="I5626" t="str">
        <f>VLOOKUP(record[[#This Row],[ProcessSN]],表格2_7[],3,FALSE)</f>
        <v>#100OQC</v>
      </c>
      <c r="J5626" t="s">
        <v>599</v>
      </c>
      <c r="K5626" s="195">
        <v>46010.715914351851</v>
      </c>
      <c r="L5626">
        <v>8</v>
      </c>
      <c r="M5626">
        <v>0</v>
      </c>
      <c r="N5626" s="98" t="str">
        <f>IF(record[[#This Row],[Memo]]="Browser:chrome os:android","平板報工",IF(record[[#This Row],[Memo]]=0,"委外",record[[#This Row],[Memo]]))</f>
        <v/>
      </c>
      <c r="O5626" t="s">
        <v>58</v>
      </c>
      <c r="P5626" t="s">
        <v>65</v>
      </c>
      <c r="Q5626" t="s">
        <v>58</v>
      </c>
      <c r="R5626" t="str">
        <f>IFERROR(VLOOKUP(record[[#This Row],[PCUSTID]],廠商[],2,FALSE),"")</f>
        <v/>
      </c>
      <c r="S5626" t="str">
        <f>VLOOKUP(record[[#This Row],[employeeID]],員工[],2,FALSE)</f>
        <v>蘇進昌</v>
      </c>
    </row>
    <row r="5627" spans="6:19" hidden="1" x14ac:dyDescent="0.25">
      <c r="F5627" t="s">
        <v>1286</v>
      </c>
      <c r="G5627" t="s">
        <v>359</v>
      </c>
      <c r="H5627" t="str">
        <f>VLOOKUP(record[[#This Row],[ProcessSN]],表格2_7[],2,FALSE)</f>
        <v>30-4118-018-450</v>
      </c>
      <c r="I5627" t="str">
        <f>VLOOKUP(record[[#This Row],[ProcessSN]],表格2_7[],3,FALSE)</f>
        <v>#100</v>
      </c>
      <c r="J5627" t="s">
        <v>598</v>
      </c>
      <c r="K5627" s="195">
        <v>46010.715868055559</v>
      </c>
      <c r="L5627">
        <v>8</v>
      </c>
      <c r="M5627">
        <v>0</v>
      </c>
      <c r="N5627" s="98" t="str">
        <f>IF(record[[#This Row],[Memo]]="Browser:chrome os:android","平板報工",IF(record[[#This Row],[Memo]]=0,"委外",record[[#This Row],[Memo]]))</f>
        <v/>
      </c>
      <c r="O5627" t="s">
        <v>58</v>
      </c>
      <c r="P5627" t="s">
        <v>65</v>
      </c>
      <c r="Q5627" t="s">
        <v>58</v>
      </c>
      <c r="R5627" t="str">
        <f>IFERROR(VLOOKUP(record[[#This Row],[PCUSTID]],廠商[],2,FALSE),"")</f>
        <v/>
      </c>
      <c r="S5627" t="str">
        <f>VLOOKUP(record[[#This Row],[employeeID]],員工[],2,FALSE)</f>
        <v>蘇進昌</v>
      </c>
    </row>
    <row r="5628" spans="6:19" hidden="1" x14ac:dyDescent="0.25">
      <c r="F5628" t="s">
        <v>1286</v>
      </c>
      <c r="G5628" t="s">
        <v>358</v>
      </c>
      <c r="H5628" t="str">
        <f>VLOOKUP(record[[#This Row],[ProcessSN]],表格2_7[],2,FALSE)</f>
        <v>30-4118-018-450</v>
      </c>
      <c r="I5628" t="str">
        <f>VLOOKUP(record[[#This Row],[ProcessSN]],表格2_7[],3,FALSE)</f>
        <v>#08IQC</v>
      </c>
      <c r="J5628" t="s">
        <v>583</v>
      </c>
      <c r="K5628" s="195">
        <v>46010.715787037036</v>
      </c>
      <c r="L5628">
        <v>8</v>
      </c>
      <c r="M5628">
        <v>0</v>
      </c>
      <c r="N5628" s="98" t="str">
        <f>IF(record[[#This Row],[Memo]]="Browser:chrome os:android","平板報工",IF(record[[#This Row],[Memo]]=0,"委外",record[[#This Row],[Memo]]))</f>
        <v/>
      </c>
      <c r="O5628" t="s">
        <v>58</v>
      </c>
      <c r="P5628" t="s">
        <v>65</v>
      </c>
      <c r="Q5628" t="s">
        <v>58</v>
      </c>
      <c r="R5628" t="str">
        <f>IFERROR(VLOOKUP(record[[#This Row],[PCUSTID]],廠商[],2,FALSE),"")</f>
        <v/>
      </c>
      <c r="S5628" t="str">
        <f>VLOOKUP(record[[#This Row],[employeeID]],員工[],2,FALSE)</f>
        <v>蘇進昌</v>
      </c>
    </row>
    <row r="5629" spans="6:19" hidden="1" x14ac:dyDescent="0.25">
      <c r="F5629" t="s">
        <v>1329</v>
      </c>
      <c r="G5629" t="s">
        <v>403</v>
      </c>
      <c r="H5629" t="str">
        <f>VLOOKUP(record[[#This Row],[ProcessSN]],表格2_7[],2,FALSE)</f>
        <v>30-4118-018-550</v>
      </c>
      <c r="I5629" t="str">
        <f>VLOOKUP(record[[#This Row],[ProcessSN]],表格2_7[],3,FALSE)</f>
        <v>#100SHIP</v>
      </c>
      <c r="J5629" t="s">
        <v>600</v>
      </c>
      <c r="K5629" s="195">
        <v>46010.689675925925</v>
      </c>
      <c r="L5629">
        <v>271</v>
      </c>
      <c r="M5629">
        <v>0</v>
      </c>
      <c r="N5629" s="98" t="str">
        <f>IF(record[[#This Row],[Memo]]="Browser:chrome os:android","平板報工",IF(record[[#This Row],[Memo]]=0,"委外",record[[#This Row],[Memo]]))</f>
        <v/>
      </c>
      <c r="O5629" t="s">
        <v>58</v>
      </c>
      <c r="P5629" t="s">
        <v>886</v>
      </c>
      <c r="Q5629" t="s">
        <v>58</v>
      </c>
      <c r="R5629" t="str">
        <f>IFERROR(VLOOKUP(record[[#This Row],[PCUSTID]],廠商[],2,FALSE),"")</f>
        <v/>
      </c>
      <c r="S5629" t="str">
        <f>VLOOKUP(record[[#This Row],[employeeID]],員工[],2,FALSE)</f>
        <v>謝蓁薰</v>
      </c>
    </row>
    <row r="5630" spans="6:19" hidden="1" x14ac:dyDescent="0.25">
      <c r="F5630" t="s">
        <v>1341</v>
      </c>
      <c r="G5630" t="s">
        <v>428</v>
      </c>
      <c r="H5630" t="str">
        <f>VLOOKUP(record[[#This Row],[ProcessSN]],表格2_7[],2,FALSE)</f>
        <v>30-4118-018-600</v>
      </c>
      <c r="I5630" t="str">
        <f>VLOOKUP(record[[#This Row],[ProcessSN]],表格2_7[],3,FALSE)</f>
        <v>#100SHIP</v>
      </c>
      <c r="J5630" t="s">
        <v>600</v>
      </c>
      <c r="K5630" s="195">
        <v>46010.688807870371</v>
      </c>
      <c r="L5630">
        <v>134</v>
      </c>
      <c r="M5630">
        <v>0</v>
      </c>
      <c r="N5630" s="98" t="str">
        <f>IF(record[[#This Row],[Memo]]="Browser:chrome os:android","平板報工",IF(record[[#This Row],[Memo]]=0,"委外",record[[#This Row],[Memo]]))</f>
        <v/>
      </c>
      <c r="O5630" t="s">
        <v>58</v>
      </c>
      <c r="P5630" t="s">
        <v>886</v>
      </c>
      <c r="Q5630" t="s">
        <v>58</v>
      </c>
      <c r="R5630" t="str">
        <f>IFERROR(VLOOKUP(record[[#This Row],[PCUSTID]],廠商[],2,FALSE),"")</f>
        <v/>
      </c>
      <c r="S5630" t="str">
        <f>VLOOKUP(record[[#This Row],[employeeID]],員工[],2,FALSE)</f>
        <v>謝蓁薰</v>
      </c>
    </row>
    <row r="5631" spans="6:19" hidden="1" x14ac:dyDescent="0.25">
      <c r="F5631" t="s">
        <v>1335</v>
      </c>
      <c r="G5631" t="s">
        <v>428</v>
      </c>
      <c r="H5631" t="str">
        <f>VLOOKUP(record[[#This Row],[ProcessSN]],表格2_7[],2,FALSE)</f>
        <v>30-4118-018-600</v>
      </c>
      <c r="I5631" t="str">
        <f>VLOOKUP(record[[#This Row],[ProcessSN]],表格2_7[],3,FALSE)</f>
        <v>#100SHIP</v>
      </c>
      <c r="J5631" t="s">
        <v>600</v>
      </c>
      <c r="K5631" s="195">
        <v>46010.688692129632</v>
      </c>
      <c r="L5631">
        <v>143</v>
      </c>
      <c r="M5631">
        <v>0</v>
      </c>
      <c r="N5631" s="98" t="str">
        <f>IF(record[[#This Row],[Memo]]="Browser:chrome os:android","平板報工",IF(record[[#This Row],[Memo]]=0,"委外",record[[#This Row],[Memo]]))</f>
        <v/>
      </c>
      <c r="O5631" t="s">
        <v>58</v>
      </c>
      <c r="P5631" t="s">
        <v>886</v>
      </c>
      <c r="Q5631" t="s">
        <v>58</v>
      </c>
      <c r="R5631" t="str">
        <f>IFERROR(VLOOKUP(record[[#This Row],[PCUSTID]],廠商[],2,FALSE),"")</f>
        <v/>
      </c>
      <c r="S5631" t="str">
        <f>VLOOKUP(record[[#This Row],[employeeID]],員工[],2,FALSE)</f>
        <v>謝蓁薰</v>
      </c>
    </row>
    <row r="5632" spans="6:19" hidden="1" x14ac:dyDescent="0.25">
      <c r="F5632" t="s">
        <v>1260</v>
      </c>
      <c r="G5632" t="s">
        <v>428</v>
      </c>
      <c r="H5632" t="str">
        <f>VLOOKUP(record[[#This Row],[ProcessSN]],表格2_7[],2,FALSE)</f>
        <v>30-4118-018-600</v>
      </c>
      <c r="I5632" t="str">
        <f>VLOOKUP(record[[#This Row],[ProcessSN]],表格2_7[],3,FALSE)</f>
        <v>#100SHIP</v>
      </c>
      <c r="J5632" t="s">
        <v>600</v>
      </c>
      <c r="K5632" s="195">
        <v>46010.68855324074</v>
      </c>
      <c r="L5632">
        <v>127</v>
      </c>
      <c r="M5632">
        <v>0</v>
      </c>
      <c r="N5632" s="98" t="str">
        <f>IF(record[[#This Row],[Memo]]="Browser:chrome os:android","平板報工",IF(record[[#This Row],[Memo]]=0,"委外",record[[#This Row],[Memo]]))</f>
        <v/>
      </c>
      <c r="O5632" t="s">
        <v>58</v>
      </c>
      <c r="P5632" t="s">
        <v>886</v>
      </c>
      <c r="Q5632" t="s">
        <v>58</v>
      </c>
      <c r="R5632" t="str">
        <f>IFERROR(VLOOKUP(record[[#This Row],[PCUSTID]],廠商[],2,FALSE),"")</f>
        <v/>
      </c>
      <c r="S5632" t="str">
        <f>VLOOKUP(record[[#This Row],[employeeID]],員工[],2,FALSE)</f>
        <v>謝蓁薰</v>
      </c>
    </row>
    <row r="5633" spans="6:19" hidden="1" x14ac:dyDescent="0.25">
      <c r="F5633" t="s">
        <v>1341</v>
      </c>
      <c r="G5633" t="s">
        <v>427</v>
      </c>
      <c r="H5633" t="str">
        <f>VLOOKUP(record[[#This Row],[ProcessSN]],表格2_7[],2,FALSE)</f>
        <v>30-4118-018-600</v>
      </c>
      <c r="I5633" t="str">
        <f>VLOOKUP(record[[#This Row],[ProcessSN]],表格2_7[],3,FALSE)</f>
        <v>#100STOCK</v>
      </c>
      <c r="J5633" t="s">
        <v>592</v>
      </c>
      <c r="K5633" s="195">
        <v>46010.687708333331</v>
      </c>
      <c r="L5633">
        <v>134</v>
      </c>
      <c r="M5633">
        <v>0</v>
      </c>
      <c r="N5633" s="98" t="str">
        <f>IF(record[[#This Row],[Memo]]="Browser:chrome os:android","平板報工",IF(record[[#This Row],[Memo]]=0,"委外",record[[#This Row],[Memo]]))</f>
        <v/>
      </c>
      <c r="O5633" t="s">
        <v>58</v>
      </c>
      <c r="P5633" t="s">
        <v>886</v>
      </c>
      <c r="Q5633" t="s">
        <v>58</v>
      </c>
      <c r="R5633" t="str">
        <f>IFERROR(VLOOKUP(record[[#This Row],[PCUSTID]],廠商[],2,FALSE),"")</f>
        <v/>
      </c>
      <c r="S5633" t="str">
        <f>VLOOKUP(record[[#This Row],[employeeID]],員工[],2,FALSE)</f>
        <v>謝蓁薰</v>
      </c>
    </row>
    <row r="5634" spans="6:19" hidden="1" x14ac:dyDescent="0.25">
      <c r="F5634" t="s">
        <v>1335</v>
      </c>
      <c r="G5634" t="s">
        <v>427</v>
      </c>
      <c r="H5634" t="str">
        <f>VLOOKUP(record[[#This Row],[ProcessSN]],表格2_7[],2,FALSE)</f>
        <v>30-4118-018-600</v>
      </c>
      <c r="I5634" t="str">
        <f>VLOOKUP(record[[#This Row],[ProcessSN]],表格2_7[],3,FALSE)</f>
        <v>#100STOCK</v>
      </c>
      <c r="J5634" t="s">
        <v>592</v>
      </c>
      <c r="K5634" s="195">
        <v>46010.687604166669</v>
      </c>
      <c r="L5634">
        <v>143</v>
      </c>
      <c r="M5634">
        <v>0</v>
      </c>
      <c r="N5634" s="98" t="str">
        <f>IF(record[[#This Row],[Memo]]="Browser:chrome os:android","平板報工",IF(record[[#This Row],[Memo]]=0,"委外",record[[#This Row],[Memo]]))</f>
        <v/>
      </c>
      <c r="O5634" t="s">
        <v>58</v>
      </c>
      <c r="P5634" t="s">
        <v>886</v>
      </c>
      <c r="Q5634" t="s">
        <v>58</v>
      </c>
      <c r="R5634" t="str">
        <f>IFERROR(VLOOKUP(record[[#This Row],[PCUSTID]],廠商[],2,FALSE),"")</f>
        <v/>
      </c>
      <c r="S5634" t="str">
        <f>VLOOKUP(record[[#This Row],[employeeID]],員工[],2,FALSE)</f>
        <v>謝蓁薰</v>
      </c>
    </row>
    <row r="5635" spans="6:19" hidden="1" x14ac:dyDescent="0.25">
      <c r="F5635" t="s">
        <v>1341</v>
      </c>
      <c r="G5635" t="s">
        <v>426</v>
      </c>
      <c r="H5635" t="str">
        <f>VLOOKUP(record[[#This Row],[ProcessSN]],表格2_7[],2,FALSE)</f>
        <v>30-4118-018-600</v>
      </c>
      <c r="I5635" t="str">
        <f>VLOOKUP(record[[#This Row],[ProcessSN]],表格2_7[],3,FALSE)</f>
        <v>#100OQC</v>
      </c>
      <c r="J5635" t="s">
        <v>599</v>
      </c>
      <c r="K5635" s="195">
        <v>46010.682141203702</v>
      </c>
      <c r="L5635">
        <v>134</v>
      </c>
      <c r="M5635">
        <v>0</v>
      </c>
      <c r="N5635" s="98" t="str">
        <f>IF(record[[#This Row],[Memo]]="Browser:chrome os:android","平板報工",IF(record[[#This Row],[Memo]]=0,"委外",record[[#This Row],[Memo]]))</f>
        <v/>
      </c>
      <c r="O5635" t="s">
        <v>58</v>
      </c>
      <c r="P5635" t="s">
        <v>121</v>
      </c>
      <c r="Q5635" t="s">
        <v>58</v>
      </c>
      <c r="R5635" t="str">
        <f>IFERROR(VLOOKUP(record[[#This Row],[PCUSTID]],廠商[],2,FALSE),"")</f>
        <v/>
      </c>
      <c r="S5635" t="str">
        <f>VLOOKUP(record[[#This Row],[employeeID]],員工[],2,FALSE)</f>
        <v>謝素卿</v>
      </c>
    </row>
    <row r="5636" spans="6:19" hidden="1" x14ac:dyDescent="0.25">
      <c r="F5636" t="s">
        <v>1335</v>
      </c>
      <c r="G5636" t="s">
        <v>426</v>
      </c>
      <c r="H5636" t="str">
        <f>VLOOKUP(record[[#This Row],[ProcessSN]],表格2_7[],2,FALSE)</f>
        <v>30-4118-018-600</v>
      </c>
      <c r="I5636" t="str">
        <f>VLOOKUP(record[[#This Row],[ProcessSN]],表格2_7[],3,FALSE)</f>
        <v>#100OQC</v>
      </c>
      <c r="J5636" t="s">
        <v>599</v>
      </c>
      <c r="K5636" s="195">
        <v>46010.681956018518</v>
      </c>
      <c r="L5636">
        <v>227</v>
      </c>
      <c r="M5636">
        <v>0</v>
      </c>
      <c r="N5636" s="98" t="str">
        <f>IF(record[[#This Row],[Memo]]="Browser:chrome os:android","平板報工",IF(record[[#This Row],[Memo]]=0,"委外",record[[#This Row],[Memo]]))</f>
        <v/>
      </c>
      <c r="O5636" t="s">
        <v>58</v>
      </c>
      <c r="P5636" t="s">
        <v>121</v>
      </c>
      <c r="Q5636" t="s">
        <v>58</v>
      </c>
      <c r="R5636" t="str">
        <f>IFERROR(VLOOKUP(record[[#This Row],[PCUSTID]],廠商[],2,FALSE),"")</f>
        <v/>
      </c>
      <c r="S5636" t="str">
        <f>VLOOKUP(record[[#This Row],[employeeID]],員工[],2,FALSE)</f>
        <v>謝素卿</v>
      </c>
    </row>
    <row r="5637" spans="6:19" hidden="1" x14ac:dyDescent="0.25">
      <c r="F5637" t="s">
        <v>1209</v>
      </c>
      <c r="G5637" t="s">
        <v>467</v>
      </c>
      <c r="H5637" t="str">
        <f>VLOOKUP(record[[#This Row],[ProcessSN]],表格2_7[],2,FALSE)</f>
        <v>30-4118-018-XXX</v>
      </c>
      <c r="I5637" t="str">
        <f>VLOOKUP(record[[#This Row],[ProcessSN]],表格2_7[],3,FALSE)</f>
        <v>#01QC</v>
      </c>
      <c r="J5637" t="s">
        <v>589</v>
      </c>
      <c r="K5637" s="195">
        <v>46010.671956018516</v>
      </c>
      <c r="L5637">
        <v>0</v>
      </c>
      <c r="M5637">
        <v>3</v>
      </c>
      <c r="N5637" s="98" t="str">
        <f>IF(record[[#This Row],[Memo]]="Browser:chrome os:android","平板報工",IF(record[[#This Row],[Memo]]=0,"委外",record[[#This Row],[Memo]]))</f>
        <v>領1140299</v>
      </c>
      <c r="O5637" t="s">
        <v>1362</v>
      </c>
      <c r="P5637" t="s">
        <v>186</v>
      </c>
      <c r="Q5637" t="s">
        <v>58</v>
      </c>
      <c r="R5637" t="str">
        <f>IFERROR(VLOOKUP(record[[#This Row],[PCUSTID]],廠商[],2,FALSE),"")</f>
        <v/>
      </c>
      <c r="S5637" t="str">
        <f>VLOOKUP(record[[#This Row],[employeeID]],員工[],2,FALSE)</f>
        <v>許文姍</v>
      </c>
    </row>
    <row r="5638" spans="6:19" hidden="1" x14ac:dyDescent="0.25">
      <c r="F5638" t="s">
        <v>989</v>
      </c>
      <c r="G5638" t="s">
        <v>467</v>
      </c>
      <c r="H5638" t="str">
        <f>VLOOKUP(record[[#This Row],[ProcessSN]],表格2_7[],2,FALSE)</f>
        <v>30-4118-018-XXX</v>
      </c>
      <c r="I5638" t="str">
        <f>VLOOKUP(record[[#This Row],[ProcessSN]],表格2_7[],3,FALSE)</f>
        <v>#01QC</v>
      </c>
      <c r="J5638" t="s">
        <v>589</v>
      </c>
      <c r="K5638" s="195">
        <v>46010.671053240738</v>
      </c>
      <c r="L5638">
        <v>0</v>
      </c>
      <c r="M5638">
        <v>1</v>
      </c>
      <c r="N5638" s="98" t="str">
        <f>IF(record[[#This Row],[Memo]]="Browser:chrome os:android","平板報工",IF(record[[#This Row],[Memo]]=0,"委外",record[[#This Row],[Memo]]))</f>
        <v>領1140298</v>
      </c>
      <c r="O5638" t="s">
        <v>1361</v>
      </c>
      <c r="P5638" t="s">
        <v>186</v>
      </c>
      <c r="Q5638" t="s">
        <v>58</v>
      </c>
      <c r="R5638" t="str">
        <f>IFERROR(VLOOKUP(record[[#This Row],[PCUSTID]],廠商[],2,FALSE),"")</f>
        <v/>
      </c>
      <c r="S5638" t="str">
        <f>VLOOKUP(record[[#This Row],[employeeID]],員工[],2,FALSE)</f>
        <v>許文姍</v>
      </c>
    </row>
    <row r="5639" spans="6:19" hidden="1" x14ac:dyDescent="0.25">
      <c r="F5639" t="s">
        <v>1285</v>
      </c>
      <c r="G5639" t="s">
        <v>467</v>
      </c>
      <c r="H5639" t="str">
        <f>VLOOKUP(record[[#This Row],[ProcessSN]],表格2_7[],2,FALSE)</f>
        <v>30-4118-018-XXX</v>
      </c>
      <c r="I5639" t="str">
        <f>VLOOKUP(record[[#This Row],[ProcessSN]],表格2_7[],3,FALSE)</f>
        <v>#01QC</v>
      </c>
      <c r="J5639" t="s">
        <v>589</v>
      </c>
      <c r="K5639" s="195">
        <v>46010.670393518521</v>
      </c>
      <c r="L5639">
        <v>0</v>
      </c>
      <c r="M5639">
        <v>1</v>
      </c>
      <c r="N5639" s="98" t="str">
        <f>IF(record[[#This Row],[Memo]]="Browser:chrome os:android","平板報工",IF(record[[#This Row],[Memo]]=0,"委外",record[[#This Row],[Memo]]))</f>
        <v>領1140297</v>
      </c>
      <c r="O5639" t="s">
        <v>1360</v>
      </c>
      <c r="P5639" t="s">
        <v>186</v>
      </c>
      <c r="Q5639" t="s">
        <v>58</v>
      </c>
      <c r="R5639" t="str">
        <f>IFERROR(VLOOKUP(record[[#This Row],[PCUSTID]],廠商[],2,FALSE),"")</f>
        <v/>
      </c>
      <c r="S5639" t="str">
        <f>VLOOKUP(record[[#This Row],[employeeID]],員工[],2,FALSE)</f>
        <v>許文姍</v>
      </c>
    </row>
    <row r="5640" spans="6:19" hidden="1" x14ac:dyDescent="0.25">
      <c r="F5640" t="s">
        <v>849</v>
      </c>
      <c r="G5640" t="s">
        <v>467</v>
      </c>
      <c r="H5640" t="str">
        <f>VLOOKUP(record[[#This Row],[ProcessSN]],表格2_7[],2,FALSE)</f>
        <v>30-4118-018-XXX</v>
      </c>
      <c r="I5640" t="str">
        <f>VLOOKUP(record[[#This Row],[ProcessSN]],表格2_7[],3,FALSE)</f>
        <v>#01QC</v>
      </c>
      <c r="J5640" t="s">
        <v>589</v>
      </c>
      <c r="K5640" s="195">
        <v>46010.669710648152</v>
      </c>
      <c r="L5640">
        <v>0</v>
      </c>
      <c r="M5640">
        <v>1</v>
      </c>
      <c r="N5640" s="98" t="str">
        <f>IF(record[[#This Row],[Memo]]="Browser:chrome os:android","平板報工",IF(record[[#This Row],[Memo]]=0,"委外",record[[#This Row],[Memo]]))</f>
        <v>領1140296</v>
      </c>
      <c r="O5640" t="s">
        <v>1359</v>
      </c>
      <c r="P5640" t="s">
        <v>186</v>
      </c>
      <c r="Q5640" t="s">
        <v>58</v>
      </c>
      <c r="R5640" t="str">
        <f>IFERROR(VLOOKUP(record[[#This Row],[PCUSTID]],廠商[],2,FALSE),"")</f>
        <v/>
      </c>
      <c r="S5640" t="str">
        <f>VLOOKUP(record[[#This Row],[employeeID]],員工[],2,FALSE)</f>
        <v>許文姍</v>
      </c>
    </row>
    <row r="5641" spans="6:19" hidden="1" x14ac:dyDescent="0.25">
      <c r="F5641" t="s">
        <v>1099</v>
      </c>
      <c r="G5641" t="s">
        <v>451</v>
      </c>
      <c r="H5641" t="str">
        <f>VLOOKUP(record[[#This Row],[ProcessSN]],表格2_7[],2,FALSE)</f>
        <v>30-4118-018-6XX</v>
      </c>
      <c r="I5641" t="str">
        <f>VLOOKUP(record[[#This Row],[ProcessSN]],表格2_7[],3,FALSE)</f>
        <v>#07</v>
      </c>
      <c r="J5641" t="s">
        <v>588</v>
      </c>
      <c r="K5641" s="195">
        <v>46010.661030092589</v>
      </c>
      <c r="L5641">
        <v>8</v>
      </c>
      <c r="M5641">
        <v>0</v>
      </c>
      <c r="N5641" s="98" t="str">
        <f>IF(record[[#This Row],[Memo]]="Browser:chrome os:android","平板報工",IF(record[[#This Row],[Memo]]=0,"委外",record[[#This Row],[Memo]]))</f>
        <v/>
      </c>
      <c r="O5641" t="s">
        <v>58</v>
      </c>
      <c r="P5641" t="s">
        <v>1075</v>
      </c>
      <c r="Q5641" t="s">
        <v>58</v>
      </c>
      <c r="R5641" t="str">
        <f>IFERROR(VLOOKUP(record[[#This Row],[PCUSTID]],廠商[],2,FALSE),"")</f>
        <v/>
      </c>
      <c r="S5641" t="str">
        <f>VLOOKUP(record[[#This Row],[employeeID]],員工[],2,FALSE)</f>
        <v>吳宥叡</v>
      </c>
    </row>
    <row r="5642" spans="6:19" hidden="1" x14ac:dyDescent="0.25">
      <c r="F5642" t="s">
        <v>1099</v>
      </c>
      <c r="G5642" t="s">
        <v>450</v>
      </c>
      <c r="H5642" t="str">
        <f>VLOOKUP(record[[#This Row],[ProcessSN]],表格2_7[],2,FALSE)</f>
        <v>30-4118-018-6XX</v>
      </c>
      <c r="I5642" t="str">
        <f>VLOOKUP(record[[#This Row],[ProcessSN]],表格2_7[],3,FALSE)</f>
        <v>#06</v>
      </c>
      <c r="J5642" t="s">
        <v>593</v>
      </c>
      <c r="K5642" s="195">
        <v>46010.660868055558</v>
      </c>
      <c r="L5642">
        <v>5</v>
      </c>
      <c r="M5642">
        <v>0</v>
      </c>
      <c r="N5642" s="98" t="str">
        <f>IF(record[[#This Row],[Memo]]="Browser:chrome os:android","平板報工",IF(record[[#This Row],[Memo]]=0,"委外",record[[#This Row],[Memo]]))</f>
        <v/>
      </c>
      <c r="O5642" t="s">
        <v>58</v>
      </c>
      <c r="P5642" t="s">
        <v>1075</v>
      </c>
      <c r="Q5642" t="s">
        <v>58</v>
      </c>
      <c r="R5642" t="str">
        <f>IFERROR(VLOOKUP(record[[#This Row],[PCUSTID]],廠商[],2,FALSE),"")</f>
        <v/>
      </c>
      <c r="S5642" t="str">
        <f>VLOOKUP(record[[#This Row],[employeeID]],員工[],2,FALSE)</f>
        <v>吳宥叡</v>
      </c>
    </row>
    <row r="5643" spans="6:19" hidden="1" x14ac:dyDescent="0.25">
      <c r="F5643" t="s">
        <v>1209</v>
      </c>
      <c r="G5643" t="s">
        <v>467</v>
      </c>
      <c r="H5643" t="str">
        <f>VLOOKUP(record[[#This Row],[ProcessSN]],表格2_7[],2,FALSE)</f>
        <v>30-4118-018-XXX</v>
      </c>
      <c r="I5643" t="str">
        <f>VLOOKUP(record[[#This Row],[ProcessSN]],表格2_7[],3,FALSE)</f>
        <v>#01QC</v>
      </c>
      <c r="J5643" t="s">
        <v>589</v>
      </c>
      <c r="K5643" s="195">
        <v>46010.655451388891</v>
      </c>
      <c r="L5643">
        <v>10</v>
      </c>
      <c r="M5643">
        <v>0</v>
      </c>
      <c r="N5643" s="98" t="str">
        <f>IF(record[[#This Row],[Memo]]="Browser:chrome os:android","平板報工",IF(record[[#This Row],[Memo]]=0,"委外",record[[#This Row],[Memo]]))</f>
        <v>覆回指定做4XX</v>
      </c>
      <c r="O5643" t="s">
        <v>1357</v>
      </c>
      <c r="P5643" t="s">
        <v>186</v>
      </c>
      <c r="Q5643" t="s">
        <v>58</v>
      </c>
      <c r="R5643" t="str">
        <f>IFERROR(VLOOKUP(record[[#This Row],[PCUSTID]],廠商[],2,FALSE),"")</f>
        <v/>
      </c>
      <c r="S5643" t="str">
        <f>VLOOKUP(record[[#This Row],[employeeID]],員工[],2,FALSE)</f>
        <v>許文姍</v>
      </c>
    </row>
    <row r="5644" spans="6:19" hidden="1" x14ac:dyDescent="0.25">
      <c r="F5644" t="s">
        <v>1209</v>
      </c>
      <c r="G5644" t="s">
        <v>466</v>
      </c>
      <c r="H5644" t="str">
        <f>VLOOKUP(record[[#This Row],[ProcessSN]],表格2_7[],2,FALSE)</f>
        <v>30-4118-018-XXX</v>
      </c>
      <c r="I5644" t="str">
        <f>VLOOKUP(record[[#This Row],[ProcessSN]],表格2_7[],3,FALSE)</f>
        <v>#01-2</v>
      </c>
      <c r="J5644" t="s">
        <v>588</v>
      </c>
      <c r="K5644" s="195">
        <v>46010.655127314814</v>
      </c>
      <c r="L5644">
        <v>10</v>
      </c>
      <c r="M5644">
        <v>0</v>
      </c>
      <c r="N5644" s="98" t="str">
        <f>IF(record[[#This Row],[Memo]]="Browser:chrome os:android","平板報工",IF(record[[#This Row],[Memo]]=0,"委外",record[[#This Row],[Memo]]))</f>
        <v>覆回指定做4XX</v>
      </c>
      <c r="O5644" t="s">
        <v>1357</v>
      </c>
      <c r="P5644" t="s">
        <v>186</v>
      </c>
      <c r="Q5644" t="s">
        <v>58</v>
      </c>
      <c r="R5644" t="str">
        <f>IFERROR(VLOOKUP(record[[#This Row],[PCUSTID]],廠商[],2,FALSE),"")</f>
        <v/>
      </c>
      <c r="S5644" t="str">
        <f>VLOOKUP(record[[#This Row],[employeeID]],員工[],2,FALSE)</f>
        <v>許文姍</v>
      </c>
    </row>
    <row r="5645" spans="6:19" hidden="1" x14ac:dyDescent="0.25">
      <c r="F5645" t="s">
        <v>1355</v>
      </c>
      <c r="G5645" t="s">
        <v>451</v>
      </c>
      <c r="H5645" t="str">
        <f>VLOOKUP(record[[#This Row],[ProcessSN]],表格2_7[],2,FALSE)</f>
        <v>30-4118-018-6XX</v>
      </c>
      <c r="I5645" t="str">
        <f>VLOOKUP(record[[#This Row],[ProcessSN]],表格2_7[],3,FALSE)</f>
        <v>#07</v>
      </c>
      <c r="J5645" t="s">
        <v>588</v>
      </c>
      <c r="K5645" s="195">
        <v>46010.653784722221</v>
      </c>
      <c r="L5645">
        <v>658</v>
      </c>
      <c r="M5645">
        <v>0</v>
      </c>
      <c r="N5645" s="98" t="str">
        <f>IF(record[[#This Row],[Memo]]="Browser:chrome os:android","平板報工",IF(record[[#This Row],[Memo]]=0,"委外",record[[#This Row],[Memo]]))</f>
        <v>12/19覆回*10pcs</v>
      </c>
      <c r="O5645" t="s">
        <v>1356</v>
      </c>
      <c r="P5645" t="s">
        <v>1075</v>
      </c>
      <c r="Q5645" t="s">
        <v>58</v>
      </c>
      <c r="R5645" t="str">
        <f>IFERROR(VLOOKUP(record[[#This Row],[PCUSTID]],廠商[],2,FALSE),"")</f>
        <v/>
      </c>
      <c r="S5645" t="str">
        <f>VLOOKUP(record[[#This Row],[employeeID]],員工[],2,FALSE)</f>
        <v>吳宥叡</v>
      </c>
    </row>
    <row r="5646" spans="6:19" hidden="1" x14ac:dyDescent="0.25">
      <c r="F5646" t="s">
        <v>1355</v>
      </c>
      <c r="G5646" t="s">
        <v>450</v>
      </c>
      <c r="H5646" t="str">
        <f>VLOOKUP(record[[#This Row],[ProcessSN]],表格2_7[],2,FALSE)</f>
        <v>30-4118-018-6XX</v>
      </c>
      <c r="I5646" t="str">
        <f>VLOOKUP(record[[#This Row],[ProcessSN]],表格2_7[],3,FALSE)</f>
        <v>#06</v>
      </c>
      <c r="J5646" t="s">
        <v>593</v>
      </c>
      <c r="K5646" s="195">
        <v>46010.653310185182</v>
      </c>
      <c r="L5646">
        <v>4</v>
      </c>
      <c r="M5646">
        <v>0</v>
      </c>
      <c r="N5646" s="98" t="str">
        <f>IF(record[[#This Row],[Memo]]="Browser:chrome os:android","平板報工",IF(record[[#This Row],[Memo]]=0,"委外",record[[#This Row],[Memo]]))</f>
        <v>12/19覆回*4pcs</v>
      </c>
      <c r="O5646" t="s">
        <v>1354</v>
      </c>
      <c r="P5646" t="s">
        <v>1075</v>
      </c>
      <c r="Q5646" t="s">
        <v>58</v>
      </c>
      <c r="R5646" t="str">
        <f>IFERROR(VLOOKUP(record[[#This Row],[PCUSTID]],廠商[],2,FALSE),"")</f>
        <v/>
      </c>
      <c r="S5646" t="str">
        <f>VLOOKUP(record[[#This Row],[employeeID]],員工[],2,FALSE)</f>
        <v>吳宥叡</v>
      </c>
    </row>
    <row r="5647" spans="6:19" hidden="1" x14ac:dyDescent="0.25">
      <c r="F5647" t="s">
        <v>1355</v>
      </c>
      <c r="G5647" t="s">
        <v>449</v>
      </c>
      <c r="H5647" t="str">
        <f>VLOOKUP(record[[#This Row],[ProcessSN]],表格2_7[],2,FALSE)</f>
        <v>30-4118-018-6XX</v>
      </c>
      <c r="I5647" t="str">
        <f>VLOOKUP(record[[#This Row],[ProcessSN]],表格2_7[],3,FALSE)</f>
        <v>#05</v>
      </c>
      <c r="J5647" t="s">
        <v>588</v>
      </c>
      <c r="K5647" s="195">
        <v>46010.653136574074</v>
      </c>
      <c r="L5647">
        <v>4</v>
      </c>
      <c r="M5647">
        <v>0</v>
      </c>
      <c r="N5647" s="98" t="str">
        <f>IF(record[[#This Row],[Memo]]="Browser:chrome os:android","平板報工",IF(record[[#This Row],[Memo]]=0,"委外",record[[#This Row],[Memo]]))</f>
        <v>12/19覆回*4pcs</v>
      </c>
      <c r="O5647" t="s">
        <v>1354</v>
      </c>
      <c r="P5647" t="s">
        <v>1075</v>
      </c>
      <c r="Q5647" t="s">
        <v>58</v>
      </c>
      <c r="R5647" t="str">
        <f>IFERROR(VLOOKUP(record[[#This Row],[PCUSTID]],廠商[],2,FALSE),"")</f>
        <v/>
      </c>
      <c r="S5647" t="str">
        <f>VLOOKUP(record[[#This Row],[employeeID]],員工[],2,FALSE)</f>
        <v>吳宥叡</v>
      </c>
    </row>
    <row r="5648" spans="6:19" hidden="1" x14ac:dyDescent="0.25">
      <c r="F5648" t="s">
        <v>1355</v>
      </c>
      <c r="G5648" t="s">
        <v>448</v>
      </c>
      <c r="H5648" t="str">
        <f>VLOOKUP(record[[#This Row],[ProcessSN]],表格2_7[],2,FALSE)</f>
        <v>30-4118-018-6XX</v>
      </c>
      <c r="I5648" t="str">
        <f>VLOOKUP(record[[#This Row],[ProcessSN]],表格2_7[],3,FALSE)</f>
        <v>#04</v>
      </c>
      <c r="J5648" t="s">
        <v>588</v>
      </c>
      <c r="K5648" s="195">
        <v>46010.652962962966</v>
      </c>
      <c r="L5648">
        <v>4</v>
      </c>
      <c r="M5648">
        <v>0</v>
      </c>
      <c r="N5648" s="98" t="str">
        <f>IF(record[[#This Row],[Memo]]="Browser:chrome os:android","平板報工",IF(record[[#This Row],[Memo]]=0,"委外",record[[#This Row],[Memo]]))</f>
        <v>12/19覆回*4pcs</v>
      </c>
      <c r="O5648" t="s">
        <v>1354</v>
      </c>
      <c r="P5648" t="s">
        <v>1075</v>
      </c>
      <c r="Q5648" t="s">
        <v>58</v>
      </c>
      <c r="R5648" t="str">
        <f>IFERROR(VLOOKUP(record[[#This Row],[PCUSTID]],廠商[],2,FALSE),"")</f>
        <v/>
      </c>
      <c r="S5648" t="str">
        <f>VLOOKUP(record[[#This Row],[employeeID]],員工[],2,FALSE)</f>
        <v>吳宥叡</v>
      </c>
    </row>
    <row r="5649" spans="6:19" hidden="1" x14ac:dyDescent="0.25">
      <c r="F5649" t="s">
        <v>1025</v>
      </c>
      <c r="G5649" t="s">
        <v>447</v>
      </c>
      <c r="H5649" t="str">
        <f>VLOOKUP(record[[#This Row],[ProcessSN]],表格2_7[],2,FALSE)</f>
        <v>30-4118-018-6XX</v>
      </c>
      <c r="I5649" t="str">
        <f>VLOOKUP(record[[#This Row],[ProcessSN]],表格2_7[],3,FALSE)</f>
        <v>#03</v>
      </c>
      <c r="J5649" t="s">
        <v>588</v>
      </c>
      <c r="K5649" s="195">
        <v>46010.65283564815</v>
      </c>
      <c r="L5649">
        <v>420</v>
      </c>
      <c r="M5649">
        <v>0</v>
      </c>
      <c r="N5649" s="98" t="str">
        <f>IF(record[[#This Row],[Memo]]="Browser:chrome os:android","平板報工",IF(record[[#This Row],[Memo]]=0,"委外",record[[#This Row],[Memo]]))</f>
        <v>12/19覆回*4pcs</v>
      </c>
      <c r="O5649" t="s">
        <v>1354</v>
      </c>
      <c r="P5649" t="s">
        <v>1075</v>
      </c>
      <c r="Q5649" t="s">
        <v>58</v>
      </c>
      <c r="R5649" t="str">
        <f>IFERROR(VLOOKUP(record[[#This Row],[PCUSTID]],廠商[],2,FALSE),"")</f>
        <v/>
      </c>
      <c r="S5649" t="str">
        <f>VLOOKUP(record[[#This Row],[employeeID]],員工[],2,FALSE)</f>
        <v>吳宥叡</v>
      </c>
    </row>
    <row r="5650" spans="6:19" hidden="1" x14ac:dyDescent="0.25">
      <c r="F5650" t="s">
        <v>1286</v>
      </c>
      <c r="G5650" t="s">
        <v>357</v>
      </c>
      <c r="H5650" t="str">
        <f>VLOOKUP(record[[#This Row],[ProcessSN]],表格2_7[],2,FALSE)</f>
        <v>30-4118-018-450</v>
      </c>
      <c r="I5650" t="str">
        <f>VLOOKUP(record[[#This Row],[ProcessSN]],表格2_7[],3,FALSE)</f>
        <v>#08RCV</v>
      </c>
      <c r="J5650" t="s">
        <v>591</v>
      </c>
      <c r="K5650" s="195">
        <v>46010.650104166663</v>
      </c>
      <c r="L5650">
        <v>8</v>
      </c>
      <c r="M5650">
        <v>-8</v>
      </c>
      <c r="N5650" s="98" t="str">
        <f>IF(record[[#This Row],[Memo]]="Browser:chrome os:android","平板報工",IF(record[[#This Row],[Memo]]=0,"委外",record[[#This Row],[Memo]]))</f>
        <v>覆回品</v>
      </c>
      <c r="O5650" t="s">
        <v>664</v>
      </c>
      <c r="P5650" t="s">
        <v>65</v>
      </c>
      <c r="Q5650" t="s">
        <v>58</v>
      </c>
      <c r="R5650" t="str">
        <f>IFERROR(VLOOKUP(record[[#This Row],[PCUSTID]],廠商[],2,FALSE),"")</f>
        <v/>
      </c>
      <c r="S5650" t="str">
        <f>VLOOKUP(record[[#This Row],[employeeID]],員工[],2,FALSE)</f>
        <v>蘇進昌</v>
      </c>
    </row>
    <row r="5651" spans="6:19" hidden="1" x14ac:dyDescent="0.25">
      <c r="F5651" t="s">
        <v>1262</v>
      </c>
      <c r="G5651" t="s">
        <v>398</v>
      </c>
      <c r="H5651" t="str">
        <f>VLOOKUP(record[[#This Row],[ProcessSN]],表格2_7[],2,FALSE)</f>
        <v>30-4118-018-550</v>
      </c>
      <c r="I5651" t="str">
        <f>VLOOKUP(record[[#This Row],[ProcessSN]],表格2_7[],3,FALSE)</f>
        <v>#08RCV</v>
      </c>
      <c r="J5651" t="s">
        <v>591</v>
      </c>
      <c r="K5651" s="195">
        <v>46010.650104166663</v>
      </c>
      <c r="L5651">
        <v>36</v>
      </c>
      <c r="M5651">
        <v>-36</v>
      </c>
      <c r="N5651" s="98" t="str">
        <f>IF(record[[#This Row],[Memo]]="Browser:chrome os:android","平板報工",IF(record[[#This Row],[Memo]]=0,"委外",record[[#This Row],[Memo]]))</f>
        <v>覆回品</v>
      </c>
      <c r="O5651" t="s">
        <v>664</v>
      </c>
      <c r="P5651" t="s">
        <v>65</v>
      </c>
      <c r="Q5651" t="s">
        <v>58</v>
      </c>
      <c r="R5651" t="str">
        <f>IFERROR(VLOOKUP(record[[#This Row],[PCUSTID]],廠商[],2,FALSE),"")</f>
        <v/>
      </c>
      <c r="S5651" t="str">
        <f>VLOOKUP(record[[#This Row],[employeeID]],員工[],2,FALSE)</f>
        <v>蘇進昌</v>
      </c>
    </row>
    <row r="5652" spans="6:19" hidden="1" x14ac:dyDescent="0.25">
      <c r="F5652" t="s">
        <v>1341</v>
      </c>
      <c r="G5652" t="s">
        <v>425</v>
      </c>
      <c r="H5652" t="str">
        <f>VLOOKUP(record[[#This Row],[ProcessSN]],表格2_7[],2,FALSE)</f>
        <v>30-4118-018-600</v>
      </c>
      <c r="I5652" t="str">
        <f>VLOOKUP(record[[#This Row],[ProcessSN]],表格2_7[],3,FALSE)</f>
        <v>#100</v>
      </c>
      <c r="J5652" t="s">
        <v>598</v>
      </c>
      <c r="K5652" s="195">
        <v>46010.647615740738</v>
      </c>
      <c r="L5652">
        <v>134</v>
      </c>
      <c r="M5652">
        <v>0</v>
      </c>
      <c r="N5652" s="98" t="str">
        <f>IF(record[[#This Row],[Memo]]="Browser:chrome os:android","平板報工",IF(record[[#This Row],[Memo]]=0,"委外",record[[#This Row],[Memo]]))</f>
        <v/>
      </c>
      <c r="O5652" t="s">
        <v>58</v>
      </c>
      <c r="P5652" t="s">
        <v>141</v>
      </c>
      <c r="Q5652" t="s">
        <v>58</v>
      </c>
      <c r="R5652" t="str">
        <f>IFERROR(VLOOKUP(record[[#This Row],[PCUSTID]],廠商[],2,FALSE),"")</f>
        <v/>
      </c>
      <c r="S5652" t="str">
        <f>VLOOKUP(record[[#This Row],[employeeID]],員工[],2,FALSE)</f>
        <v>蔣梅</v>
      </c>
    </row>
    <row r="5653" spans="6:19" hidden="1" x14ac:dyDescent="0.25">
      <c r="F5653" t="s">
        <v>1335</v>
      </c>
      <c r="G5653" t="s">
        <v>425</v>
      </c>
      <c r="H5653" t="str">
        <f>VLOOKUP(record[[#This Row],[ProcessSN]],表格2_7[],2,FALSE)</f>
        <v>30-4118-018-600</v>
      </c>
      <c r="I5653" t="str">
        <f>VLOOKUP(record[[#This Row],[ProcessSN]],表格2_7[],3,FALSE)</f>
        <v>#100</v>
      </c>
      <c r="J5653" t="s">
        <v>598</v>
      </c>
      <c r="K5653" s="195">
        <v>46010.647465277776</v>
      </c>
      <c r="L5653">
        <v>83</v>
      </c>
      <c r="M5653">
        <v>0</v>
      </c>
      <c r="N5653" s="98" t="str">
        <f>IF(record[[#This Row],[Memo]]="Browser:chrome os:android","平板報工",IF(record[[#This Row],[Memo]]=0,"委外",record[[#This Row],[Memo]]))</f>
        <v/>
      </c>
      <c r="O5653" t="s">
        <v>58</v>
      </c>
      <c r="P5653" t="s">
        <v>141</v>
      </c>
      <c r="Q5653" t="s">
        <v>58</v>
      </c>
      <c r="R5653" t="str">
        <f>IFERROR(VLOOKUP(record[[#This Row],[PCUSTID]],廠商[],2,FALSE),"")</f>
        <v/>
      </c>
      <c r="S5653" t="str">
        <f>VLOOKUP(record[[#This Row],[employeeID]],員工[],2,FALSE)</f>
        <v>蔣梅</v>
      </c>
    </row>
    <row r="5654" spans="6:19" hidden="1" x14ac:dyDescent="0.25">
      <c r="F5654" t="s">
        <v>1335</v>
      </c>
      <c r="G5654" t="s">
        <v>425</v>
      </c>
      <c r="H5654" t="str">
        <f>VLOOKUP(record[[#This Row],[ProcessSN]],表格2_7[],2,FALSE)</f>
        <v>30-4118-018-600</v>
      </c>
      <c r="I5654" t="str">
        <f>VLOOKUP(record[[#This Row],[ProcessSN]],表格2_7[],3,FALSE)</f>
        <v>#100</v>
      </c>
      <c r="J5654" t="s">
        <v>598</v>
      </c>
      <c r="K5654" s="195">
        <v>46010.647280092591</v>
      </c>
      <c r="L5654">
        <v>144</v>
      </c>
      <c r="M5654">
        <v>0</v>
      </c>
      <c r="N5654" s="98" t="str">
        <f>IF(record[[#This Row],[Memo]]="Browser:chrome os:android","平板報工",IF(record[[#This Row],[Memo]]=0,"委外",record[[#This Row],[Memo]]))</f>
        <v/>
      </c>
      <c r="O5654" t="s">
        <v>58</v>
      </c>
      <c r="P5654" t="s">
        <v>99</v>
      </c>
      <c r="Q5654" t="s">
        <v>58</v>
      </c>
      <c r="R5654" t="str">
        <f>IFERROR(VLOOKUP(record[[#This Row],[PCUSTID]],廠商[],2,FALSE),"")</f>
        <v/>
      </c>
      <c r="S5654" t="str">
        <f>VLOOKUP(record[[#This Row],[employeeID]],員工[],2,FALSE)</f>
        <v>阮氏河</v>
      </c>
    </row>
    <row r="5655" spans="6:19" hidden="1" x14ac:dyDescent="0.25">
      <c r="F5655" t="s">
        <v>1335</v>
      </c>
      <c r="G5655" t="s">
        <v>424</v>
      </c>
      <c r="H5655" t="str">
        <f>VLOOKUP(record[[#This Row],[ProcessSN]],表格2_7[],2,FALSE)</f>
        <v>30-4118-018-600</v>
      </c>
      <c r="I5655" t="str">
        <f>VLOOKUP(record[[#This Row],[ProcessSN]],表格2_7[],3,FALSE)</f>
        <v>#08IQC</v>
      </c>
      <c r="J5655" t="s">
        <v>583</v>
      </c>
      <c r="K5655" s="195">
        <v>46010.647094907406</v>
      </c>
      <c r="L5655">
        <v>41</v>
      </c>
      <c r="M5655">
        <v>0</v>
      </c>
      <c r="N5655" s="98" t="str">
        <f>IF(record[[#This Row],[Memo]]="Browser:chrome os:android","平板報工",IF(record[[#This Row],[Memo]]=0,"委外",record[[#This Row],[Memo]]))</f>
        <v>覆回</v>
      </c>
      <c r="O5655" t="s">
        <v>682</v>
      </c>
      <c r="P5655" t="s">
        <v>141</v>
      </c>
      <c r="Q5655" t="s">
        <v>58</v>
      </c>
      <c r="R5655" t="str">
        <f>IFERROR(VLOOKUP(record[[#This Row],[PCUSTID]],廠商[],2,FALSE),"")</f>
        <v/>
      </c>
      <c r="S5655" t="str">
        <f>VLOOKUP(record[[#This Row],[employeeID]],員工[],2,FALSE)</f>
        <v>蔣梅</v>
      </c>
    </row>
    <row r="5656" spans="6:19" hidden="1" x14ac:dyDescent="0.25">
      <c r="F5656" t="s">
        <v>1324</v>
      </c>
      <c r="G5656" t="s">
        <v>451</v>
      </c>
      <c r="H5656" t="str">
        <f>VLOOKUP(record[[#This Row],[ProcessSN]],表格2_7[],2,FALSE)</f>
        <v>30-4118-018-6XX</v>
      </c>
      <c r="I5656" t="str">
        <f>VLOOKUP(record[[#This Row],[ProcessSN]],表格2_7[],3,FALSE)</f>
        <v>#07</v>
      </c>
      <c r="J5656" t="s">
        <v>588</v>
      </c>
      <c r="K5656" s="195">
        <v>46010.64675925926</v>
      </c>
      <c r="L5656">
        <v>1</v>
      </c>
      <c r="M5656">
        <v>0</v>
      </c>
      <c r="N5656" s="98" t="str">
        <f>IF(record[[#This Row],[Memo]]="Browser:chrome os:android","平板報工",IF(record[[#This Row],[Memo]]=0,"委外",record[[#This Row],[Memo]]))</f>
        <v>12/19覆回*1PCS</v>
      </c>
      <c r="O5656" t="s">
        <v>1353</v>
      </c>
      <c r="P5656" t="s">
        <v>1075</v>
      </c>
      <c r="Q5656" t="s">
        <v>58</v>
      </c>
      <c r="R5656" t="str">
        <f>IFERROR(VLOOKUP(record[[#This Row],[PCUSTID]],廠商[],2,FALSE),"")</f>
        <v/>
      </c>
      <c r="S5656" t="str">
        <f>VLOOKUP(record[[#This Row],[employeeID]],員工[],2,FALSE)</f>
        <v>吳宥叡</v>
      </c>
    </row>
    <row r="5657" spans="6:19" hidden="1" x14ac:dyDescent="0.25">
      <c r="F5657" t="s">
        <v>1352</v>
      </c>
      <c r="G5657" t="s">
        <v>450</v>
      </c>
      <c r="H5657" t="str">
        <f>VLOOKUP(record[[#This Row],[ProcessSN]],表格2_7[],2,FALSE)</f>
        <v>30-4118-018-6XX</v>
      </c>
      <c r="I5657" t="str">
        <f>VLOOKUP(record[[#This Row],[ProcessSN]],表格2_7[],3,FALSE)</f>
        <v>#06</v>
      </c>
      <c r="J5657" t="s">
        <v>593</v>
      </c>
      <c r="K5657" s="195">
        <v>46010.646504629629</v>
      </c>
      <c r="L5657">
        <v>1</v>
      </c>
      <c r="M5657">
        <v>0</v>
      </c>
      <c r="N5657" s="98" t="str">
        <f>IF(record[[#This Row],[Memo]]="Browser:chrome os:android","平板報工",IF(record[[#This Row],[Memo]]=0,"委外",record[[#This Row],[Memo]]))</f>
        <v>12/19覆回*1PCS</v>
      </c>
      <c r="O5657" t="s">
        <v>1353</v>
      </c>
      <c r="P5657" t="s">
        <v>1075</v>
      </c>
      <c r="Q5657" t="s">
        <v>58</v>
      </c>
      <c r="R5657" t="str">
        <f>IFERROR(VLOOKUP(record[[#This Row],[PCUSTID]],廠商[],2,FALSE),"")</f>
        <v/>
      </c>
      <c r="S5657" t="str">
        <f>VLOOKUP(record[[#This Row],[employeeID]],員工[],2,FALSE)</f>
        <v>吳宥叡</v>
      </c>
    </row>
    <row r="5658" spans="6:19" hidden="1" x14ac:dyDescent="0.25">
      <c r="F5658" t="s">
        <v>1333</v>
      </c>
      <c r="G5658" t="s">
        <v>450</v>
      </c>
      <c r="H5658" t="str">
        <f>VLOOKUP(record[[#This Row],[ProcessSN]],表格2_7[],2,FALSE)</f>
        <v>30-4118-018-6XX</v>
      </c>
      <c r="I5658" t="str">
        <f>VLOOKUP(record[[#This Row],[ProcessSN]],表格2_7[],3,FALSE)</f>
        <v>#06</v>
      </c>
      <c r="J5658" t="s">
        <v>593</v>
      </c>
      <c r="K5658" s="195">
        <v>46010.645925925928</v>
      </c>
      <c r="L5658">
        <v>115</v>
      </c>
      <c r="M5658">
        <v>2</v>
      </c>
      <c r="N5658" s="98" t="str">
        <f>IF(record[[#This Row],[Memo]]="Browser:chrome os:android","平板報工",IF(record[[#This Row],[Memo]]=0,"委外",record[[#This Row],[Memo]]))</f>
        <v/>
      </c>
      <c r="O5658" t="s">
        <v>58</v>
      </c>
      <c r="P5658" t="s">
        <v>166</v>
      </c>
      <c r="Q5658" t="s">
        <v>58</v>
      </c>
      <c r="R5658" t="str">
        <f>IFERROR(VLOOKUP(record[[#This Row],[PCUSTID]],廠商[],2,FALSE),"")</f>
        <v/>
      </c>
      <c r="S5658" t="str">
        <f>VLOOKUP(record[[#This Row],[employeeID]],員工[],2,FALSE)</f>
        <v>阮懷香</v>
      </c>
    </row>
    <row r="5659" spans="6:19" hidden="1" x14ac:dyDescent="0.25">
      <c r="F5659" t="s">
        <v>1290</v>
      </c>
      <c r="G5659" t="s">
        <v>419</v>
      </c>
      <c r="H5659" t="str">
        <f>VLOOKUP(record[[#This Row],[ProcessSN]],表格2_7[],2,FALSE)</f>
        <v>30-4118-018-5XX</v>
      </c>
      <c r="I5659" t="str">
        <f>VLOOKUP(record[[#This Row],[ProcessSN]],表格2_7[],3,FALSE)</f>
        <v>#07QC</v>
      </c>
      <c r="J5659" t="s">
        <v>589</v>
      </c>
      <c r="K5659" s="195">
        <v>46010.645636574074</v>
      </c>
      <c r="L5659">
        <v>489</v>
      </c>
      <c r="M5659">
        <v>0</v>
      </c>
      <c r="N5659" s="98" t="str">
        <f>IF(record[[#This Row],[Memo]]="Browser:chrome os:android","平板報工",IF(record[[#This Row],[Memo]]=0,"委外",record[[#This Row],[Memo]]))</f>
        <v/>
      </c>
      <c r="O5659" t="s">
        <v>58</v>
      </c>
      <c r="P5659" t="s">
        <v>141</v>
      </c>
      <c r="Q5659" t="s">
        <v>58</v>
      </c>
      <c r="R5659" t="str">
        <f>IFERROR(VLOOKUP(record[[#This Row],[PCUSTID]],廠商[],2,FALSE),"")</f>
        <v/>
      </c>
      <c r="S5659" t="str">
        <f>VLOOKUP(record[[#This Row],[employeeID]],員工[],2,FALSE)</f>
        <v>蔣梅</v>
      </c>
    </row>
    <row r="5660" spans="6:19" hidden="1" x14ac:dyDescent="0.25">
      <c r="F5660" t="s">
        <v>1333</v>
      </c>
      <c r="G5660" t="s">
        <v>449</v>
      </c>
      <c r="H5660" t="str">
        <f>VLOOKUP(record[[#This Row],[ProcessSN]],表格2_7[],2,FALSE)</f>
        <v>30-4118-018-6XX</v>
      </c>
      <c r="I5660" t="str">
        <f>VLOOKUP(record[[#This Row],[ProcessSN]],表格2_7[],3,FALSE)</f>
        <v>#05</v>
      </c>
      <c r="J5660" t="s">
        <v>588</v>
      </c>
      <c r="K5660" s="195">
        <v>46010.639803240738</v>
      </c>
      <c r="L5660">
        <v>127</v>
      </c>
      <c r="M5660">
        <v>0</v>
      </c>
      <c r="N5660" s="98" t="str">
        <f>IF(record[[#This Row],[Memo]]="Browser:chrome os:android","平板報工",IF(record[[#This Row],[Memo]]=0,"委外",record[[#This Row],[Memo]]))</f>
        <v/>
      </c>
      <c r="O5660" t="s">
        <v>58</v>
      </c>
      <c r="P5660" t="s">
        <v>789</v>
      </c>
      <c r="Q5660" t="s">
        <v>58</v>
      </c>
      <c r="R5660" t="str">
        <f>IFERROR(VLOOKUP(record[[#This Row],[PCUSTID]],廠商[],2,FALSE),"")</f>
        <v/>
      </c>
      <c r="S5660" t="str">
        <f>VLOOKUP(record[[#This Row],[employeeID]],員工[],2,FALSE)</f>
        <v>張月霞</v>
      </c>
    </row>
    <row r="5661" spans="6:19" hidden="1" x14ac:dyDescent="0.25">
      <c r="F5661" t="s">
        <v>1333</v>
      </c>
      <c r="G5661" t="s">
        <v>448</v>
      </c>
      <c r="H5661" t="str">
        <f>VLOOKUP(record[[#This Row],[ProcessSN]],表格2_7[],2,FALSE)</f>
        <v>30-4118-018-6XX</v>
      </c>
      <c r="I5661" t="str">
        <f>VLOOKUP(record[[#This Row],[ProcessSN]],表格2_7[],3,FALSE)</f>
        <v>#04</v>
      </c>
      <c r="J5661" t="s">
        <v>588</v>
      </c>
      <c r="K5661" s="195">
        <v>46010.639641203707</v>
      </c>
      <c r="L5661">
        <v>127</v>
      </c>
      <c r="M5661">
        <v>0</v>
      </c>
      <c r="N5661" s="98" t="str">
        <f>IF(record[[#This Row],[Memo]]="Browser:chrome os:android","平板報工",IF(record[[#This Row],[Memo]]=0,"委外",record[[#This Row],[Memo]]))</f>
        <v/>
      </c>
      <c r="O5661" t="s">
        <v>58</v>
      </c>
      <c r="P5661" t="s">
        <v>789</v>
      </c>
      <c r="Q5661" t="s">
        <v>58</v>
      </c>
      <c r="R5661" t="str">
        <f>IFERROR(VLOOKUP(record[[#This Row],[PCUSTID]],廠商[],2,FALSE),"")</f>
        <v/>
      </c>
      <c r="S5661" t="str">
        <f>VLOOKUP(record[[#This Row],[employeeID]],員工[],2,FALSE)</f>
        <v>張月霞</v>
      </c>
    </row>
    <row r="5662" spans="6:19" hidden="1" x14ac:dyDescent="0.25">
      <c r="F5662" t="s">
        <v>1277</v>
      </c>
      <c r="G5662" t="s">
        <v>362</v>
      </c>
      <c r="H5662" t="str">
        <f>VLOOKUP(record[[#This Row],[ProcessSN]],表格2_7[],2,FALSE)</f>
        <v>30-4118-018-450</v>
      </c>
      <c r="I5662" t="str">
        <f>VLOOKUP(record[[#This Row],[ProcessSN]],表格2_7[],3,FALSE)</f>
        <v>#100SHIP</v>
      </c>
      <c r="J5662" t="s">
        <v>600</v>
      </c>
      <c r="K5662" s="195">
        <v>46010.598009259258</v>
      </c>
      <c r="L5662">
        <v>2</v>
      </c>
      <c r="M5662">
        <v>0</v>
      </c>
      <c r="N5662" s="98" t="str">
        <f>IF(record[[#This Row],[Memo]]="Browser:chrome os:android","平板報工",IF(record[[#This Row],[Memo]]=0,"委外",record[[#This Row],[Memo]]))</f>
        <v/>
      </c>
      <c r="O5662" t="s">
        <v>58</v>
      </c>
      <c r="P5662" t="s">
        <v>886</v>
      </c>
      <c r="Q5662" t="s">
        <v>58</v>
      </c>
      <c r="R5662" t="str">
        <f>IFERROR(VLOOKUP(record[[#This Row],[PCUSTID]],廠商[],2,FALSE),"")</f>
        <v/>
      </c>
      <c r="S5662" t="str">
        <f>VLOOKUP(record[[#This Row],[employeeID]],員工[],2,FALSE)</f>
        <v>謝蓁薰</v>
      </c>
    </row>
    <row r="5663" spans="6:19" hidden="1" x14ac:dyDescent="0.25">
      <c r="F5663" t="s">
        <v>1339</v>
      </c>
      <c r="G5663" t="s">
        <v>373</v>
      </c>
      <c r="H5663" t="str">
        <f>VLOOKUP(record[[#This Row],[ProcessSN]],表格2_7[],2,FALSE)</f>
        <v>30-4118-018-4XX</v>
      </c>
      <c r="I5663" t="str">
        <f>VLOOKUP(record[[#This Row],[ProcessSN]],表格2_7[],3,FALSE)</f>
        <v>#03</v>
      </c>
      <c r="J5663" t="s">
        <v>588</v>
      </c>
      <c r="K5663" s="195">
        <v>46010.593043981484</v>
      </c>
      <c r="L5663">
        <v>168</v>
      </c>
      <c r="M5663">
        <v>0</v>
      </c>
      <c r="N5663" s="98" t="str">
        <f>IF(record[[#This Row],[Memo]]="Browser:chrome os:android","平板報工",IF(record[[#This Row],[Memo]]=0,"委外",record[[#This Row],[Memo]]))</f>
        <v>12/18 補</v>
      </c>
      <c r="O5663" t="s">
        <v>1351</v>
      </c>
      <c r="P5663" t="s">
        <v>1098</v>
      </c>
      <c r="Q5663" t="s">
        <v>58</v>
      </c>
      <c r="R5663" t="str">
        <f>IFERROR(VLOOKUP(record[[#This Row],[PCUSTID]],廠商[],2,FALSE),"")</f>
        <v/>
      </c>
      <c r="S5663" t="str">
        <f>VLOOKUP(record[[#This Row],[employeeID]],員工[],2,FALSE)</f>
        <v>阮氏芳英(英)</v>
      </c>
    </row>
    <row r="5664" spans="6:19" hidden="1" x14ac:dyDescent="0.25">
      <c r="F5664" t="s">
        <v>1339</v>
      </c>
      <c r="G5664" t="s">
        <v>373</v>
      </c>
      <c r="H5664" t="str">
        <f>VLOOKUP(record[[#This Row],[ProcessSN]],表格2_7[],2,FALSE)</f>
        <v>30-4118-018-4XX</v>
      </c>
      <c r="I5664" t="str">
        <f>VLOOKUP(record[[#This Row],[ProcessSN]],表格2_7[],3,FALSE)</f>
        <v>#03</v>
      </c>
      <c r="J5664" t="s">
        <v>588</v>
      </c>
      <c r="K5664" s="195">
        <v>46010.590914351851</v>
      </c>
      <c r="L5664">
        <v>153</v>
      </c>
      <c r="M5664">
        <v>0</v>
      </c>
      <c r="N5664" s="98" t="str">
        <f>IF(record[[#This Row],[Memo]]="Browser:chrome os:android","平板報工",IF(record[[#This Row],[Memo]]=0,"委外",record[[#This Row],[Memo]]))</f>
        <v/>
      </c>
      <c r="O5664" t="s">
        <v>58</v>
      </c>
      <c r="P5664" t="s">
        <v>789</v>
      </c>
      <c r="Q5664" t="s">
        <v>58</v>
      </c>
      <c r="R5664" t="str">
        <f>IFERROR(VLOOKUP(record[[#This Row],[PCUSTID]],廠商[],2,FALSE),"")</f>
        <v/>
      </c>
      <c r="S5664" t="str">
        <f>VLOOKUP(record[[#This Row],[employeeID]],員工[],2,FALSE)</f>
        <v>張月霞</v>
      </c>
    </row>
    <row r="5665" spans="6:19" hidden="1" x14ac:dyDescent="0.25">
      <c r="F5665" t="s">
        <v>1260</v>
      </c>
      <c r="G5665" t="s">
        <v>428</v>
      </c>
      <c r="H5665" t="str">
        <f>VLOOKUP(record[[#This Row],[ProcessSN]],表格2_7[],2,FALSE)</f>
        <v>30-4118-018-600</v>
      </c>
      <c r="I5665" t="str">
        <f>VLOOKUP(record[[#This Row],[ProcessSN]],表格2_7[],3,FALSE)</f>
        <v>#100SHIP</v>
      </c>
      <c r="J5665" t="s">
        <v>600</v>
      </c>
      <c r="K5665" s="195">
        <v>46010.590104166666</v>
      </c>
      <c r="L5665">
        <v>5</v>
      </c>
      <c r="M5665">
        <v>0</v>
      </c>
      <c r="N5665" s="98" t="str">
        <f>IF(record[[#This Row],[Memo]]="Browser:chrome os:android","平板報工",IF(record[[#This Row],[Memo]]=0,"委外",record[[#This Row],[Memo]]))</f>
        <v/>
      </c>
      <c r="O5665" t="s">
        <v>58</v>
      </c>
      <c r="P5665" t="s">
        <v>886</v>
      </c>
      <c r="Q5665" t="s">
        <v>58</v>
      </c>
      <c r="R5665" t="str">
        <f>IFERROR(VLOOKUP(record[[#This Row],[PCUSTID]],廠商[],2,FALSE),"")</f>
        <v/>
      </c>
      <c r="S5665" t="str">
        <f>VLOOKUP(record[[#This Row],[employeeID]],員工[],2,FALSE)</f>
        <v>謝蓁薰</v>
      </c>
    </row>
    <row r="5666" spans="6:19" hidden="1" x14ac:dyDescent="0.25">
      <c r="F5666" t="s">
        <v>1342</v>
      </c>
      <c r="G5666" t="s">
        <v>399</v>
      </c>
      <c r="H5666" t="str">
        <f>VLOOKUP(record[[#This Row],[ProcessSN]],表格2_7[],2,FALSE)</f>
        <v>30-4118-018-550</v>
      </c>
      <c r="I5666" t="str">
        <f>VLOOKUP(record[[#This Row],[ProcessSN]],表格2_7[],3,FALSE)</f>
        <v>#08IQC</v>
      </c>
      <c r="J5666" t="s">
        <v>583</v>
      </c>
      <c r="K5666" s="195">
        <v>46010.580949074072</v>
      </c>
      <c r="L5666">
        <v>153</v>
      </c>
      <c r="M5666">
        <v>0</v>
      </c>
      <c r="N5666" s="98" t="str">
        <f>IF(record[[#This Row],[Memo]]="Browser:chrome os:android","平板報工",IF(record[[#This Row],[Memo]]=0,"委外",record[[#This Row],[Memo]]))</f>
        <v/>
      </c>
      <c r="O5666" t="s">
        <v>58</v>
      </c>
      <c r="P5666" t="s">
        <v>109</v>
      </c>
      <c r="Q5666" t="s">
        <v>58</v>
      </c>
      <c r="R5666" t="str">
        <f>IFERROR(VLOOKUP(record[[#This Row],[PCUSTID]],廠商[],2,FALSE),"")</f>
        <v/>
      </c>
      <c r="S5666" t="str">
        <f>VLOOKUP(record[[#This Row],[employeeID]],員工[],2,FALSE)</f>
        <v>裴氏璧鳳</v>
      </c>
    </row>
    <row r="5667" spans="6:19" hidden="1" x14ac:dyDescent="0.25">
      <c r="F5667" t="s">
        <v>1342</v>
      </c>
      <c r="G5667" t="s">
        <v>398</v>
      </c>
      <c r="H5667" t="str">
        <f>VLOOKUP(record[[#This Row],[ProcessSN]],表格2_7[],2,FALSE)</f>
        <v>30-4118-018-550</v>
      </c>
      <c r="I5667" t="str">
        <f>VLOOKUP(record[[#This Row],[ProcessSN]],表格2_7[],3,FALSE)</f>
        <v>#08RCV</v>
      </c>
      <c r="J5667" t="s">
        <v>591</v>
      </c>
      <c r="K5667" s="195">
        <v>46010.575266203705</v>
      </c>
      <c r="L5667">
        <v>0</v>
      </c>
      <c r="M5667">
        <v>13</v>
      </c>
      <c r="N5667" s="98" t="str">
        <f>IF(record[[#This Row],[Memo]]="Browser:chrome os:android","平板報工",IF(record[[#This Row],[Memo]]=0,"委外",record[[#This Row],[Memo]]))</f>
        <v/>
      </c>
      <c r="O5667" t="s">
        <v>58</v>
      </c>
      <c r="P5667" t="s">
        <v>186</v>
      </c>
      <c r="Q5667" t="s">
        <v>58</v>
      </c>
      <c r="R5667" t="str">
        <f>IFERROR(VLOOKUP(record[[#This Row],[PCUSTID]],廠商[],2,FALSE),"")</f>
        <v/>
      </c>
      <c r="S5667" t="str">
        <f>VLOOKUP(record[[#This Row],[employeeID]],員工[],2,FALSE)</f>
        <v>許文姍</v>
      </c>
    </row>
    <row r="5668" spans="6:19" hidden="1" x14ac:dyDescent="0.25">
      <c r="F5668" t="s">
        <v>1342</v>
      </c>
      <c r="G5668" t="s">
        <v>398</v>
      </c>
      <c r="H5668" t="str">
        <f>VLOOKUP(record[[#This Row],[ProcessSN]],表格2_7[],2,FALSE)</f>
        <v>30-4118-018-550</v>
      </c>
      <c r="I5668" t="str">
        <f>VLOOKUP(record[[#This Row],[ProcessSN]],表格2_7[],3,FALSE)</f>
        <v>#08RCV</v>
      </c>
      <c r="J5668" t="s">
        <v>591</v>
      </c>
      <c r="K5668" s="195">
        <v>46010.574988425928</v>
      </c>
      <c r="L5668">
        <v>153</v>
      </c>
      <c r="M5668">
        <v>0</v>
      </c>
      <c r="N5668" s="98" t="str">
        <f>IF(record[[#This Row],[Memo]]="Browser:chrome os:android","平板報工",IF(record[[#This Row],[Memo]]=0,"委外",record[[#This Row],[Memo]]))</f>
        <v/>
      </c>
      <c r="O5668" t="s">
        <v>58</v>
      </c>
      <c r="P5668" t="s">
        <v>186</v>
      </c>
      <c r="Q5668" t="s">
        <v>58</v>
      </c>
      <c r="R5668" t="str">
        <f>IFERROR(VLOOKUP(record[[#This Row],[PCUSTID]],廠商[],2,FALSE),"")</f>
        <v/>
      </c>
      <c r="S5668" t="str">
        <f>VLOOKUP(record[[#This Row],[employeeID]],員工[],2,FALSE)</f>
        <v>許文姍</v>
      </c>
    </row>
    <row r="5669" spans="6:19" hidden="1" x14ac:dyDescent="0.25">
      <c r="F5669" t="s">
        <v>1335</v>
      </c>
      <c r="G5669" t="s">
        <v>424</v>
      </c>
      <c r="H5669" t="str">
        <f>VLOOKUP(record[[#This Row],[ProcessSN]],表格2_7[],2,FALSE)</f>
        <v>30-4118-018-600</v>
      </c>
      <c r="I5669" t="str">
        <f>VLOOKUP(record[[#This Row],[ProcessSN]],表格2_7[],3,FALSE)</f>
        <v>#08IQC</v>
      </c>
      <c r="J5669" t="s">
        <v>583</v>
      </c>
      <c r="K5669" s="195">
        <v>46010.564456018517</v>
      </c>
      <c r="L5669">
        <v>186</v>
      </c>
      <c r="M5669">
        <v>0</v>
      </c>
      <c r="N5669" s="98" t="str">
        <f>IF(record[[#This Row],[Memo]]="Browser:chrome os:android","平板報工",IF(record[[#This Row],[Memo]]=0,"委外",record[[#This Row],[Memo]]))</f>
        <v/>
      </c>
      <c r="O5669" t="s">
        <v>58</v>
      </c>
      <c r="P5669" t="s">
        <v>109</v>
      </c>
      <c r="Q5669" t="s">
        <v>58</v>
      </c>
      <c r="R5669" t="str">
        <f>IFERROR(VLOOKUP(record[[#This Row],[PCUSTID]],廠商[],2,FALSE),"")</f>
        <v/>
      </c>
      <c r="S5669" t="str">
        <f>VLOOKUP(record[[#This Row],[employeeID]],員工[],2,FALSE)</f>
        <v>裴氏璧鳳</v>
      </c>
    </row>
    <row r="5670" spans="6:19" hidden="1" x14ac:dyDescent="0.25">
      <c r="F5670" t="s">
        <v>1341</v>
      </c>
      <c r="G5670" t="s">
        <v>424</v>
      </c>
      <c r="H5670" t="str">
        <f>VLOOKUP(record[[#This Row],[ProcessSN]],表格2_7[],2,FALSE)</f>
        <v>30-4118-018-600</v>
      </c>
      <c r="I5670" t="str">
        <f>VLOOKUP(record[[#This Row],[ProcessSN]],表格2_7[],3,FALSE)</f>
        <v>#08IQC</v>
      </c>
      <c r="J5670" t="s">
        <v>583</v>
      </c>
      <c r="K5670" s="195">
        <v>46010.564027777778</v>
      </c>
      <c r="L5670">
        <v>134</v>
      </c>
      <c r="M5670">
        <v>0</v>
      </c>
      <c r="N5670" s="98" t="str">
        <f>IF(record[[#This Row],[Memo]]="Browser:chrome os:android","平板報工",IF(record[[#This Row],[Memo]]=0,"委外",record[[#This Row],[Memo]]))</f>
        <v/>
      </c>
      <c r="O5670" t="s">
        <v>58</v>
      </c>
      <c r="P5670" t="s">
        <v>109</v>
      </c>
      <c r="Q5670" t="s">
        <v>58</v>
      </c>
      <c r="R5670" t="str">
        <f>IFERROR(VLOOKUP(record[[#This Row],[PCUSTID]],廠商[],2,FALSE),"")</f>
        <v/>
      </c>
      <c r="S5670" t="str">
        <f>VLOOKUP(record[[#This Row],[employeeID]],員工[],2,FALSE)</f>
        <v>裴氏璧鳳</v>
      </c>
    </row>
    <row r="5671" spans="6:19" hidden="1" x14ac:dyDescent="0.25">
      <c r="F5671" t="s">
        <v>1335</v>
      </c>
      <c r="G5671" t="s">
        <v>423</v>
      </c>
      <c r="H5671" t="str">
        <f>VLOOKUP(record[[#This Row],[ProcessSN]],表格2_7[],2,FALSE)</f>
        <v>30-4118-018-600</v>
      </c>
      <c r="I5671" t="str">
        <f>VLOOKUP(record[[#This Row],[ProcessSN]],表格2_7[],3,FALSE)</f>
        <v>#08RCV</v>
      </c>
      <c r="J5671" t="s">
        <v>591</v>
      </c>
      <c r="K5671" s="195">
        <v>46010.553842592592</v>
      </c>
      <c r="L5671">
        <v>41</v>
      </c>
      <c r="M5671">
        <v>-41</v>
      </c>
      <c r="N5671" s="98" t="str">
        <f>IF(record[[#This Row],[Memo]]="Browser:chrome os:android","平板報工",IF(record[[#This Row],[Memo]]=0,"委外",record[[#This Row],[Memo]]))</f>
        <v>覆回品</v>
      </c>
      <c r="O5671" t="s">
        <v>664</v>
      </c>
      <c r="P5671" t="s">
        <v>113</v>
      </c>
      <c r="Q5671" t="s">
        <v>58</v>
      </c>
      <c r="R5671" t="str">
        <f>IFERROR(VLOOKUP(record[[#This Row],[PCUSTID]],廠商[],2,FALSE),"")</f>
        <v/>
      </c>
      <c r="S5671" t="str">
        <f>VLOOKUP(record[[#This Row],[employeeID]],員工[],2,FALSE)</f>
        <v>王奕蓁</v>
      </c>
    </row>
    <row r="5672" spans="6:19" hidden="1" x14ac:dyDescent="0.25">
      <c r="F5672" t="s">
        <v>1335</v>
      </c>
      <c r="G5672" t="s">
        <v>423</v>
      </c>
      <c r="H5672" t="str">
        <f>VLOOKUP(record[[#This Row],[ProcessSN]],表格2_7[],2,FALSE)</f>
        <v>30-4118-018-600</v>
      </c>
      <c r="I5672" t="str">
        <f>VLOOKUP(record[[#This Row],[ProcessSN]],表格2_7[],3,FALSE)</f>
        <v>#08RCV</v>
      </c>
      <c r="J5672" t="s">
        <v>591</v>
      </c>
      <c r="K5672" s="195">
        <v>46010.490648148145</v>
      </c>
      <c r="L5672">
        <v>0</v>
      </c>
      <c r="M5672">
        <v>63</v>
      </c>
      <c r="N5672" s="98" t="str">
        <f>IF(record[[#This Row],[Memo]]="Browser:chrome os:android","平板報工",IF(record[[#This Row],[Memo]]=0,"委外",record[[#This Row],[Memo]]))</f>
        <v/>
      </c>
      <c r="O5672" t="s">
        <v>58</v>
      </c>
      <c r="P5672" t="s">
        <v>186</v>
      </c>
      <c r="Q5672" t="s">
        <v>58</v>
      </c>
      <c r="R5672" t="str">
        <f>IFERROR(VLOOKUP(record[[#This Row],[PCUSTID]],廠商[],2,FALSE),"")</f>
        <v/>
      </c>
      <c r="S5672" t="str">
        <f>VLOOKUP(record[[#This Row],[employeeID]],員工[],2,FALSE)</f>
        <v>許文姍</v>
      </c>
    </row>
    <row r="5673" spans="6:19" hidden="1" x14ac:dyDescent="0.25">
      <c r="F5673" t="s">
        <v>1335</v>
      </c>
      <c r="G5673" t="s">
        <v>423</v>
      </c>
      <c r="H5673" t="str">
        <f>VLOOKUP(record[[#This Row],[ProcessSN]],表格2_7[],2,FALSE)</f>
        <v>30-4118-018-600</v>
      </c>
      <c r="I5673" t="str">
        <f>VLOOKUP(record[[#This Row],[ProcessSN]],表格2_7[],3,FALSE)</f>
        <v>#08RCV</v>
      </c>
      <c r="J5673" t="s">
        <v>591</v>
      </c>
      <c r="K5673" s="195">
        <v>46010.49009259259</v>
      </c>
      <c r="L5673">
        <v>186</v>
      </c>
      <c r="M5673">
        <v>0</v>
      </c>
      <c r="N5673" s="98" t="str">
        <f>IF(record[[#This Row],[Memo]]="Browser:chrome os:android","平板報工",IF(record[[#This Row],[Memo]]=0,"委外",record[[#This Row],[Memo]]))</f>
        <v/>
      </c>
      <c r="O5673" t="s">
        <v>58</v>
      </c>
      <c r="P5673" t="s">
        <v>186</v>
      </c>
      <c r="Q5673" t="s">
        <v>58</v>
      </c>
      <c r="R5673" t="str">
        <f>IFERROR(VLOOKUP(record[[#This Row],[PCUSTID]],廠商[],2,FALSE),"")</f>
        <v/>
      </c>
      <c r="S5673" t="str">
        <f>VLOOKUP(record[[#This Row],[employeeID]],員工[],2,FALSE)</f>
        <v>許文姍</v>
      </c>
    </row>
    <row r="5674" spans="6:19" hidden="1" x14ac:dyDescent="0.25">
      <c r="F5674" t="s">
        <v>1341</v>
      </c>
      <c r="G5674" t="s">
        <v>423</v>
      </c>
      <c r="H5674" t="str">
        <f>VLOOKUP(record[[#This Row],[ProcessSN]],表格2_7[],2,FALSE)</f>
        <v>30-4118-018-600</v>
      </c>
      <c r="I5674" t="str">
        <f>VLOOKUP(record[[#This Row],[ProcessSN]],表格2_7[],3,FALSE)</f>
        <v>#08RCV</v>
      </c>
      <c r="J5674" t="s">
        <v>591</v>
      </c>
      <c r="K5674" s="195">
        <v>46010.489953703705</v>
      </c>
      <c r="L5674">
        <v>134</v>
      </c>
      <c r="M5674">
        <v>0</v>
      </c>
      <c r="N5674" s="98" t="str">
        <f>IF(record[[#This Row],[Memo]]="Browser:chrome os:android","平板報工",IF(record[[#This Row],[Memo]]=0,"委外",record[[#This Row],[Memo]]))</f>
        <v/>
      </c>
      <c r="O5674" t="s">
        <v>58</v>
      </c>
      <c r="P5674" t="s">
        <v>186</v>
      </c>
      <c r="Q5674" t="s">
        <v>58</v>
      </c>
      <c r="R5674" t="str">
        <f>IFERROR(VLOOKUP(record[[#This Row],[PCUSTID]],廠商[],2,FALSE),"")</f>
        <v/>
      </c>
      <c r="S5674" t="str">
        <f>VLOOKUP(record[[#This Row],[employeeID]],員工[],2,FALSE)</f>
        <v>許文姍</v>
      </c>
    </row>
    <row r="5675" spans="6:19" hidden="1" x14ac:dyDescent="0.25">
      <c r="F5675" t="s">
        <v>1329</v>
      </c>
      <c r="G5675" t="s">
        <v>402</v>
      </c>
      <c r="H5675" t="str">
        <f>VLOOKUP(record[[#This Row],[ProcessSN]],表格2_7[],2,FALSE)</f>
        <v>30-4118-018-550</v>
      </c>
      <c r="I5675" t="str">
        <f>VLOOKUP(record[[#This Row],[ProcessSN]],表格2_7[],3,FALSE)</f>
        <v>#100STOCK</v>
      </c>
      <c r="J5675" t="s">
        <v>592</v>
      </c>
      <c r="K5675" s="195">
        <v>46010.43917824074</v>
      </c>
      <c r="L5675">
        <v>271</v>
      </c>
      <c r="M5675">
        <v>0</v>
      </c>
      <c r="N5675" s="98" t="str">
        <f>IF(record[[#This Row],[Memo]]="Browser:chrome os:android","平板報工",IF(record[[#This Row],[Memo]]=0,"委外",record[[#This Row],[Memo]]))</f>
        <v/>
      </c>
      <c r="O5675" t="s">
        <v>58</v>
      </c>
      <c r="P5675" t="s">
        <v>886</v>
      </c>
      <c r="Q5675" t="s">
        <v>58</v>
      </c>
      <c r="R5675" t="str">
        <f>IFERROR(VLOOKUP(record[[#This Row],[PCUSTID]],廠商[],2,FALSE),"")</f>
        <v/>
      </c>
      <c r="S5675" t="str">
        <f>VLOOKUP(record[[#This Row],[employeeID]],員工[],2,FALSE)</f>
        <v>謝蓁薰</v>
      </c>
    </row>
    <row r="5676" spans="6:19" hidden="1" x14ac:dyDescent="0.25">
      <c r="F5676" t="s">
        <v>1350</v>
      </c>
      <c r="G5676" t="s">
        <v>397</v>
      </c>
      <c r="H5676" t="str">
        <f>VLOOKUP(record[[#This Row],[ProcessSN]],表格2_7[],2,FALSE)</f>
        <v>30-4118-018-550</v>
      </c>
      <c r="I5676" t="str">
        <f>VLOOKUP(record[[#This Row],[ProcessSN]],表格2_7[],3,FALSE)</f>
        <v>#08</v>
      </c>
      <c r="J5676" t="s">
        <v>597</v>
      </c>
      <c r="K5676" s="195">
        <v>46010.425567129627</v>
      </c>
      <c r="L5676">
        <v>336</v>
      </c>
      <c r="M5676">
        <v>0</v>
      </c>
      <c r="N5676" s="98" t="str">
        <f>IF(record[[#This Row],[Memo]]="Browser:chrome os:android","平板報工",IF(record[[#This Row],[Memo]]=0,"委外",record[[#This Row],[Memo]]))</f>
        <v>委外</v>
      </c>
      <c r="P5676" t="s">
        <v>186</v>
      </c>
      <c r="Q5676" t="s">
        <v>287</v>
      </c>
      <c r="R5676" t="str">
        <f>IFERROR(VLOOKUP(record[[#This Row],[PCUSTID]],廠商[],2,FALSE),"")</f>
        <v>泉盛</v>
      </c>
      <c r="S5676" t="str">
        <f>VLOOKUP(record[[#This Row],[employeeID]],員工[],2,FALSE)</f>
        <v>許文姍</v>
      </c>
    </row>
    <row r="5677" spans="6:19" hidden="1" x14ac:dyDescent="0.25">
      <c r="F5677" t="s">
        <v>1350</v>
      </c>
      <c r="G5677" t="s">
        <v>396</v>
      </c>
      <c r="H5677" t="str">
        <f>VLOOKUP(record[[#This Row],[ProcessSN]],表格2_7[],2,FALSE)</f>
        <v>30-4118-018-550</v>
      </c>
      <c r="I5677" t="str">
        <f>VLOOKUP(record[[#This Row],[ProcessSN]],表格2_7[],3,FALSE)</f>
        <v>#08PICK</v>
      </c>
      <c r="J5677" t="s">
        <v>582</v>
      </c>
      <c r="K5677" s="195">
        <v>46010.422812500001</v>
      </c>
      <c r="L5677">
        <v>336</v>
      </c>
      <c r="M5677">
        <v>0</v>
      </c>
      <c r="N5677" s="98" t="str">
        <f>IF(record[[#This Row],[Memo]]="Browser:chrome os:android","平板報工",IF(record[[#This Row],[Memo]]=0,"委外",record[[#This Row],[Memo]]))</f>
        <v/>
      </c>
      <c r="O5677" t="s">
        <v>58</v>
      </c>
      <c r="P5677" t="s">
        <v>186</v>
      </c>
      <c r="Q5677" t="s">
        <v>58</v>
      </c>
      <c r="R5677" t="str">
        <f>IFERROR(VLOOKUP(record[[#This Row],[PCUSTID]],廠商[],2,FALSE),"")</f>
        <v/>
      </c>
      <c r="S5677" t="str">
        <f>VLOOKUP(record[[#This Row],[employeeID]],員工[],2,FALSE)</f>
        <v>許文姍</v>
      </c>
    </row>
    <row r="5678" spans="6:19" hidden="1" x14ac:dyDescent="0.25">
      <c r="F5678" t="s">
        <v>1290</v>
      </c>
      <c r="G5678" t="s">
        <v>420</v>
      </c>
      <c r="H5678" t="str">
        <f>VLOOKUP(record[[#This Row],[ProcessSN]],表格2_7[],2,FALSE)</f>
        <v>30-4118-018-5XX</v>
      </c>
      <c r="I5678" t="str">
        <f>VLOOKUP(record[[#This Row],[ProcessSN]],表格2_7[],3,FALSE)</f>
        <v>#07STOCK</v>
      </c>
      <c r="J5678" t="s">
        <v>592</v>
      </c>
      <c r="K5678" s="195">
        <v>46010.421840277777</v>
      </c>
      <c r="L5678">
        <v>336</v>
      </c>
      <c r="M5678">
        <v>0</v>
      </c>
      <c r="N5678" s="98" t="str">
        <f>IF(record[[#This Row],[Memo]]="Browser:chrome os:android","平板報工",IF(record[[#This Row],[Memo]]=0,"委外",record[[#This Row],[Memo]]))</f>
        <v/>
      </c>
      <c r="O5678" t="s">
        <v>58</v>
      </c>
      <c r="P5678" t="s">
        <v>186</v>
      </c>
      <c r="Q5678" t="s">
        <v>58</v>
      </c>
      <c r="R5678" t="str">
        <f>IFERROR(VLOOKUP(record[[#This Row],[PCUSTID]],廠商[],2,FALSE),"")</f>
        <v/>
      </c>
      <c r="S5678" t="str">
        <f>VLOOKUP(record[[#This Row],[employeeID]],員工[],2,FALSE)</f>
        <v>許文姍</v>
      </c>
    </row>
    <row r="5679" spans="6:19" hidden="1" x14ac:dyDescent="0.25">
      <c r="F5679" t="s">
        <v>1290</v>
      </c>
      <c r="G5679" t="s">
        <v>419</v>
      </c>
      <c r="H5679" t="str">
        <f>VLOOKUP(record[[#This Row],[ProcessSN]],表格2_7[],2,FALSE)</f>
        <v>30-4118-018-5XX</v>
      </c>
      <c r="I5679" t="str">
        <f>VLOOKUP(record[[#This Row],[ProcessSN]],表格2_7[],3,FALSE)</f>
        <v>#07QC</v>
      </c>
      <c r="J5679" t="s">
        <v>589</v>
      </c>
      <c r="K5679" s="195">
        <v>46010.41746527778</v>
      </c>
      <c r="L5679">
        <v>336</v>
      </c>
      <c r="M5679">
        <v>0</v>
      </c>
      <c r="N5679" s="98" t="str">
        <f>IF(record[[#This Row],[Memo]]="Browser:chrome os:android","平板報工",IF(record[[#This Row],[Memo]]=0,"委外",record[[#This Row],[Memo]]))</f>
        <v/>
      </c>
      <c r="O5679" t="s">
        <v>58</v>
      </c>
      <c r="P5679" t="s">
        <v>141</v>
      </c>
      <c r="Q5679" t="s">
        <v>58</v>
      </c>
      <c r="R5679" t="str">
        <f>IFERROR(VLOOKUP(record[[#This Row],[PCUSTID]],廠商[],2,FALSE),"")</f>
        <v/>
      </c>
      <c r="S5679" t="str">
        <f>VLOOKUP(record[[#This Row],[employeeID]],員工[],2,FALSE)</f>
        <v>蔣梅</v>
      </c>
    </row>
    <row r="5680" spans="6:19" hidden="1" x14ac:dyDescent="0.25">
      <c r="F5680" t="s">
        <v>1333</v>
      </c>
      <c r="G5680" t="s">
        <v>450</v>
      </c>
      <c r="H5680" t="str">
        <f>VLOOKUP(record[[#This Row],[ProcessSN]],表格2_7[],2,FALSE)</f>
        <v>30-4118-018-6XX</v>
      </c>
      <c r="I5680" t="str">
        <f>VLOOKUP(record[[#This Row],[ProcessSN]],表格2_7[],3,FALSE)</f>
        <v>#06</v>
      </c>
      <c r="J5680" t="s">
        <v>593</v>
      </c>
      <c r="K5680" s="195">
        <v>46010.318935185183</v>
      </c>
      <c r="L5680">
        <v>131</v>
      </c>
      <c r="M5680">
        <v>0</v>
      </c>
      <c r="N5680" s="98" t="str">
        <f>IF(record[[#This Row],[Memo]]="Browser:chrome os:android","平板報工",IF(record[[#This Row],[Memo]]=0,"委外",record[[#This Row],[Memo]]))</f>
        <v/>
      </c>
      <c r="O5680" t="s">
        <v>58</v>
      </c>
      <c r="P5680" t="s">
        <v>180</v>
      </c>
      <c r="Q5680" t="s">
        <v>58</v>
      </c>
      <c r="R5680" t="str">
        <f>IFERROR(VLOOKUP(record[[#This Row],[PCUSTID]],廠商[],2,FALSE),"")</f>
        <v/>
      </c>
      <c r="S5680" t="str">
        <f>VLOOKUP(record[[#This Row],[employeeID]],員工[],2,FALSE)</f>
        <v>黎功江</v>
      </c>
    </row>
    <row r="5681" spans="6:19" hidden="1" x14ac:dyDescent="0.25">
      <c r="F5681" t="s">
        <v>1333</v>
      </c>
      <c r="G5681" t="s">
        <v>451</v>
      </c>
      <c r="H5681" t="str">
        <f>VLOOKUP(record[[#This Row],[ProcessSN]],表格2_7[],2,FALSE)</f>
        <v>30-4118-018-6XX</v>
      </c>
      <c r="I5681" t="str">
        <f>VLOOKUP(record[[#This Row],[ProcessSN]],表格2_7[],3,FALSE)</f>
        <v>#07</v>
      </c>
      <c r="J5681" t="s">
        <v>588</v>
      </c>
      <c r="K5681" s="195">
        <v>46010.316840277781</v>
      </c>
      <c r="L5681">
        <v>85</v>
      </c>
      <c r="M5681">
        <v>0</v>
      </c>
      <c r="N5681" s="98" t="str">
        <f>IF(record[[#This Row],[Memo]]="Browser:chrome os:android","平板報工",IF(record[[#This Row],[Memo]]=0,"委外",record[[#This Row],[Memo]]))</f>
        <v/>
      </c>
      <c r="O5681" t="s">
        <v>58</v>
      </c>
      <c r="P5681" t="s">
        <v>843</v>
      </c>
      <c r="Q5681" t="s">
        <v>58</v>
      </c>
      <c r="R5681" t="str">
        <f>IFERROR(VLOOKUP(record[[#This Row],[PCUSTID]],廠商[],2,FALSE),"")</f>
        <v/>
      </c>
      <c r="S5681" t="str">
        <f>VLOOKUP(record[[#This Row],[employeeID]],員工[],2,FALSE)</f>
        <v>張楚承</v>
      </c>
    </row>
    <row r="5682" spans="6:19" hidden="1" x14ac:dyDescent="0.25">
      <c r="F5682" t="s">
        <v>1327</v>
      </c>
      <c r="G5682" t="s">
        <v>451</v>
      </c>
      <c r="H5682" t="str">
        <f>VLOOKUP(record[[#This Row],[ProcessSN]],表格2_7[],2,FALSE)</f>
        <v>30-4118-018-6XX</v>
      </c>
      <c r="I5682" t="str">
        <f>VLOOKUP(record[[#This Row],[ProcessSN]],表格2_7[],3,FALSE)</f>
        <v>#07</v>
      </c>
      <c r="J5682" t="s">
        <v>588</v>
      </c>
      <c r="K5682" s="195">
        <v>46010.316655092596</v>
      </c>
      <c r="L5682">
        <v>137</v>
      </c>
      <c r="M5682">
        <v>0</v>
      </c>
      <c r="N5682" s="98" t="str">
        <f>IF(record[[#This Row],[Memo]]="Browser:chrome os:android","平板報工",IF(record[[#This Row],[Memo]]=0,"委外",record[[#This Row],[Memo]]))</f>
        <v/>
      </c>
      <c r="O5682" t="s">
        <v>58</v>
      </c>
      <c r="P5682" t="s">
        <v>843</v>
      </c>
      <c r="Q5682" t="s">
        <v>58</v>
      </c>
      <c r="R5682" t="str">
        <f>IFERROR(VLOOKUP(record[[#This Row],[PCUSTID]],廠商[],2,FALSE),"")</f>
        <v/>
      </c>
      <c r="S5682" t="str">
        <f>VLOOKUP(record[[#This Row],[employeeID]],員工[],2,FALSE)</f>
        <v>張楚承</v>
      </c>
    </row>
    <row r="5683" spans="6:19" hidden="1" x14ac:dyDescent="0.25">
      <c r="F5683" t="s">
        <v>1333</v>
      </c>
      <c r="G5683" t="s">
        <v>449</v>
      </c>
      <c r="H5683" t="str">
        <f>VLOOKUP(record[[#This Row],[ProcessSN]],表格2_7[],2,FALSE)</f>
        <v>30-4118-018-6XX</v>
      </c>
      <c r="I5683" t="str">
        <f>VLOOKUP(record[[#This Row],[ProcessSN]],表格2_7[],3,FALSE)</f>
        <v>#05</v>
      </c>
      <c r="J5683" t="s">
        <v>588</v>
      </c>
      <c r="K5683" s="195">
        <v>46010.316423611112</v>
      </c>
      <c r="L5683">
        <v>125</v>
      </c>
      <c r="M5683">
        <v>0</v>
      </c>
      <c r="N5683" s="98" t="str">
        <f>IF(record[[#This Row],[Memo]]="Browser:chrome os:android","平板報工",IF(record[[#This Row],[Memo]]=0,"委外",record[[#This Row],[Memo]]))</f>
        <v/>
      </c>
      <c r="O5683" t="s">
        <v>58</v>
      </c>
      <c r="P5683" t="s">
        <v>843</v>
      </c>
      <c r="Q5683" t="s">
        <v>58</v>
      </c>
      <c r="R5683" t="str">
        <f>IFERROR(VLOOKUP(record[[#This Row],[PCUSTID]],廠商[],2,FALSE),"")</f>
        <v/>
      </c>
      <c r="S5683" t="str">
        <f>VLOOKUP(record[[#This Row],[employeeID]],員工[],2,FALSE)</f>
        <v>張楚承</v>
      </c>
    </row>
    <row r="5684" spans="6:19" hidden="1" x14ac:dyDescent="0.25">
      <c r="F5684" t="s">
        <v>1333</v>
      </c>
      <c r="G5684" t="s">
        <v>448</v>
      </c>
      <c r="H5684" t="str">
        <f>VLOOKUP(record[[#This Row],[ProcessSN]],表格2_7[],2,FALSE)</f>
        <v>30-4118-018-6XX</v>
      </c>
      <c r="I5684" t="str">
        <f>VLOOKUP(record[[#This Row],[ProcessSN]],表格2_7[],3,FALSE)</f>
        <v>#04</v>
      </c>
      <c r="J5684" t="s">
        <v>588</v>
      </c>
      <c r="K5684" s="195">
        <v>46010.315393518518</v>
      </c>
      <c r="L5684">
        <v>125</v>
      </c>
      <c r="M5684">
        <v>0</v>
      </c>
      <c r="N5684" s="98" t="str">
        <f>IF(record[[#This Row],[Memo]]="Browser:chrome os:android","平板報工",IF(record[[#This Row],[Memo]]=0,"委外",record[[#This Row],[Memo]]))</f>
        <v/>
      </c>
      <c r="O5684" t="s">
        <v>58</v>
      </c>
      <c r="P5684" t="s">
        <v>135</v>
      </c>
      <c r="Q5684" t="s">
        <v>58</v>
      </c>
      <c r="R5684" t="str">
        <f>IFERROR(VLOOKUP(record[[#This Row],[PCUSTID]],廠商[],2,FALSE),"")</f>
        <v/>
      </c>
      <c r="S5684" t="str">
        <f>VLOOKUP(record[[#This Row],[employeeID]],員工[],2,FALSE)</f>
        <v>阮士文</v>
      </c>
    </row>
    <row r="5685" spans="6:19" hidden="1" x14ac:dyDescent="0.25">
      <c r="F5685" t="s">
        <v>1209</v>
      </c>
      <c r="G5685" t="s">
        <v>465</v>
      </c>
      <c r="H5685" t="str">
        <f>VLOOKUP(record[[#This Row],[ProcessSN]],表格2_7[],2,FALSE)</f>
        <v>30-4118-018-XXX</v>
      </c>
      <c r="I5685" t="str">
        <f>VLOOKUP(record[[#This Row],[ProcessSN]],表格2_7[],3,FALSE)</f>
        <v>#01-1</v>
      </c>
      <c r="J5685" t="s">
        <v>588</v>
      </c>
      <c r="K5685" s="195">
        <v>46010.301666666666</v>
      </c>
      <c r="L5685">
        <v>10</v>
      </c>
      <c r="M5685">
        <v>-10</v>
      </c>
      <c r="N5685" s="98" t="str">
        <f>IF(record[[#This Row],[Memo]]="Browser:chrome os:android","平板報工",IF(record[[#This Row],[Memo]]=0,"委外",record[[#This Row],[Memo]]))</f>
        <v>覆回需做4xx</v>
      </c>
      <c r="O5685" t="s">
        <v>1358</v>
      </c>
      <c r="P5685" t="s">
        <v>65</v>
      </c>
      <c r="Q5685" t="s">
        <v>58</v>
      </c>
      <c r="R5685" t="str">
        <f>IFERROR(VLOOKUP(record[[#This Row],[PCUSTID]],廠商[],2,FALSE),"")</f>
        <v/>
      </c>
      <c r="S5685" t="str">
        <f>VLOOKUP(record[[#This Row],[employeeID]],員工[],2,FALSE)</f>
        <v>蘇進昌</v>
      </c>
    </row>
    <row r="5686" spans="6:19" hidden="1" x14ac:dyDescent="0.25">
      <c r="F5686" t="s">
        <v>1339</v>
      </c>
      <c r="G5686" t="s">
        <v>373</v>
      </c>
      <c r="H5686" t="str">
        <f>VLOOKUP(record[[#This Row],[ProcessSN]],表格2_7[],2,FALSE)</f>
        <v>30-4118-018-4XX</v>
      </c>
      <c r="I5686" t="str">
        <f>VLOOKUP(record[[#This Row],[ProcessSN]],表格2_7[],3,FALSE)</f>
        <v>#03</v>
      </c>
      <c r="J5686" t="s">
        <v>588</v>
      </c>
      <c r="K5686" s="195">
        <v>46010.009444444448</v>
      </c>
      <c r="L5686">
        <v>0</v>
      </c>
      <c r="M5686">
        <v>2</v>
      </c>
      <c r="N5686" s="98" t="str">
        <f>IF(record[[#This Row],[Memo]]="Browser:chrome os:android","平板報工",IF(record[[#This Row],[Memo]]=0,"委外",record[[#This Row],[Memo]]))</f>
        <v/>
      </c>
      <c r="O5686" t="s">
        <v>58</v>
      </c>
      <c r="P5686" t="s">
        <v>1098</v>
      </c>
      <c r="Q5686" t="s">
        <v>58</v>
      </c>
      <c r="R5686" t="str">
        <f>IFERROR(VLOOKUP(record[[#This Row],[PCUSTID]],廠商[],2,FALSE),"")</f>
        <v/>
      </c>
      <c r="S5686" t="str">
        <f>VLOOKUP(record[[#This Row],[employeeID]],員工[],2,FALSE)</f>
        <v>阮氏芳英(英)</v>
      </c>
    </row>
    <row r="5687" spans="6:19" hidden="1" x14ac:dyDescent="0.25">
      <c r="F5687" t="s">
        <v>1333</v>
      </c>
      <c r="G5687" t="s">
        <v>450</v>
      </c>
      <c r="H5687" t="str">
        <f>VLOOKUP(record[[#This Row],[ProcessSN]],表格2_7[],2,FALSE)</f>
        <v>30-4118-018-6XX</v>
      </c>
      <c r="I5687" t="str">
        <f>VLOOKUP(record[[#This Row],[ProcessSN]],表格2_7[],3,FALSE)</f>
        <v>#06</v>
      </c>
      <c r="J5687" t="s">
        <v>593</v>
      </c>
      <c r="K5687" s="195">
        <v>46009.979780092595</v>
      </c>
      <c r="L5687">
        <v>128</v>
      </c>
      <c r="M5687">
        <v>0</v>
      </c>
      <c r="N5687" s="98" t="str">
        <f>IF(record[[#This Row],[Memo]]="Browser:chrome os:android","平板報工",IF(record[[#This Row],[Memo]]=0,"委外",record[[#This Row],[Memo]]))</f>
        <v/>
      </c>
      <c r="O5687" t="s">
        <v>58</v>
      </c>
      <c r="P5687" t="s">
        <v>176</v>
      </c>
      <c r="Q5687" t="s">
        <v>58</v>
      </c>
      <c r="R5687" t="str">
        <f>IFERROR(VLOOKUP(record[[#This Row],[PCUSTID]],廠商[],2,FALSE),"")</f>
        <v/>
      </c>
      <c r="S5687" t="str">
        <f>VLOOKUP(record[[#This Row],[employeeID]],員工[],2,FALSE)</f>
        <v>郭政雄</v>
      </c>
    </row>
    <row r="5688" spans="6:19" hidden="1" x14ac:dyDescent="0.25">
      <c r="F5688" t="s">
        <v>1327</v>
      </c>
      <c r="G5688" t="s">
        <v>451</v>
      </c>
      <c r="H5688" t="str">
        <f>VLOOKUP(record[[#This Row],[ProcessSN]],表格2_7[],2,FALSE)</f>
        <v>30-4118-018-6XX</v>
      </c>
      <c r="I5688" t="str">
        <f>VLOOKUP(record[[#This Row],[ProcessSN]],表格2_7[],3,FALSE)</f>
        <v>#07</v>
      </c>
      <c r="J5688" t="s">
        <v>588</v>
      </c>
      <c r="K5688" s="195">
        <v>46009.979328703703</v>
      </c>
      <c r="L5688">
        <v>188</v>
      </c>
      <c r="M5688">
        <v>0</v>
      </c>
      <c r="N5688" s="98" t="str">
        <f>IF(record[[#This Row],[Memo]]="Browser:chrome os:android","平板報工",IF(record[[#This Row],[Memo]]=0,"委外",record[[#This Row],[Memo]]))</f>
        <v/>
      </c>
      <c r="O5688" t="s">
        <v>58</v>
      </c>
      <c r="P5688" t="s">
        <v>89</v>
      </c>
      <c r="Q5688" t="s">
        <v>58</v>
      </c>
      <c r="R5688" t="str">
        <f>IFERROR(VLOOKUP(record[[#This Row],[PCUSTID]],廠商[],2,FALSE),"")</f>
        <v/>
      </c>
      <c r="S5688" t="str">
        <f>VLOOKUP(record[[#This Row],[employeeID]],員工[],2,FALSE)</f>
        <v>李美蓮</v>
      </c>
    </row>
    <row r="5689" spans="6:19" hidden="1" x14ac:dyDescent="0.25">
      <c r="F5689" t="s">
        <v>1333</v>
      </c>
      <c r="G5689" t="s">
        <v>449</v>
      </c>
      <c r="H5689" t="str">
        <f>VLOOKUP(record[[#This Row],[ProcessSN]],表格2_7[],2,FALSE)</f>
        <v>30-4118-018-6XX</v>
      </c>
      <c r="I5689" t="str">
        <f>VLOOKUP(record[[#This Row],[ProcessSN]],表格2_7[],3,FALSE)</f>
        <v>#05</v>
      </c>
      <c r="J5689" t="s">
        <v>588</v>
      </c>
      <c r="K5689" s="195">
        <v>46009.978993055556</v>
      </c>
      <c r="L5689">
        <v>124</v>
      </c>
      <c r="M5689">
        <v>0</v>
      </c>
      <c r="N5689" s="98" t="str">
        <f>IF(record[[#This Row],[Memo]]="Browser:chrome os:android","平板報工",IF(record[[#This Row],[Memo]]=0,"委外",record[[#This Row],[Memo]]))</f>
        <v/>
      </c>
      <c r="O5689" t="s">
        <v>58</v>
      </c>
      <c r="P5689" t="s">
        <v>89</v>
      </c>
      <c r="Q5689" t="s">
        <v>58</v>
      </c>
      <c r="R5689" t="str">
        <f>IFERROR(VLOOKUP(record[[#This Row],[PCUSTID]],廠商[],2,FALSE),"")</f>
        <v/>
      </c>
      <c r="S5689" t="str">
        <f>VLOOKUP(record[[#This Row],[employeeID]],員工[],2,FALSE)</f>
        <v>李美蓮</v>
      </c>
    </row>
    <row r="5690" spans="6:19" hidden="1" x14ac:dyDescent="0.25">
      <c r="F5690" t="s">
        <v>1339</v>
      </c>
      <c r="G5690" t="s">
        <v>373</v>
      </c>
      <c r="H5690" t="str">
        <f>VLOOKUP(record[[#This Row],[ProcessSN]],表格2_7[],2,FALSE)</f>
        <v>30-4118-018-4XX</v>
      </c>
      <c r="I5690" t="str">
        <f>VLOOKUP(record[[#This Row],[ProcessSN]],表格2_7[],3,FALSE)</f>
        <v>#03</v>
      </c>
      <c r="J5690" t="s">
        <v>588</v>
      </c>
      <c r="K5690" s="195">
        <v>46009.97861111111</v>
      </c>
      <c r="L5690">
        <v>696</v>
      </c>
      <c r="M5690">
        <v>0</v>
      </c>
      <c r="N5690" s="98" t="str">
        <f>IF(record[[#This Row],[Memo]]="Browser:chrome os:android","平板報工",IF(record[[#This Row],[Memo]]=0,"委外",record[[#This Row],[Memo]]))</f>
        <v/>
      </c>
      <c r="O5690" t="s">
        <v>58</v>
      </c>
      <c r="P5690" t="s">
        <v>1098</v>
      </c>
      <c r="Q5690" t="s">
        <v>58</v>
      </c>
      <c r="R5690" t="str">
        <f>IFERROR(VLOOKUP(record[[#This Row],[PCUSTID]],廠商[],2,FALSE),"")</f>
        <v/>
      </c>
      <c r="S5690" t="str">
        <f>VLOOKUP(record[[#This Row],[employeeID]],員工[],2,FALSE)</f>
        <v>阮氏芳英(英)</v>
      </c>
    </row>
    <row r="5691" spans="6:19" hidden="1" x14ac:dyDescent="0.25">
      <c r="F5691" t="s">
        <v>1333</v>
      </c>
      <c r="G5691" t="s">
        <v>448</v>
      </c>
      <c r="H5691" t="str">
        <f>VLOOKUP(record[[#This Row],[ProcessSN]],表格2_7[],2,FALSE)</f>
        <v>30-4118-018-6XX</v>
      </c>
      <c r="I5691" t="str">
        <f>VLOOKUP(record[[#This Row],[ProcessSN]],表格2_7[],3,FALSE)</f>
        <v>#04</v>
      </c>
      <c r="J5691" t="s">
        <v>588</v>
      </c>
      <c r="K5691" s="195">
        <v>46009.978206018517</v>
      </c>
      <c r="L5691">
        <v>124</v>
      </c>
      <c r="M5691">
        <v>0</v>
      </c>
      <c r="N5691" s="98" t="str">
        <f>IF(record[[#This Row],[Memo]]="Browser:chrome os:android","平板報工",IF(record[[#This Row],[Memo]]=0,"委外",record[[#This Row],[Memo]]))</f>
        <v/>
      </c>
      <c r="O5691" t="s">
        <v>58</v>
      </c>
      <c r="P5691" t="s">
        <v>1098</v>
      </c>
      <c r="Q5691" t="s">
        <v>58</v>
      </c>
      <c r="R5691" t="str">
        <f>IFERROR(VLOOKUP(record[[#This Row],[PCUSTID]],廠商[],2,FALSE),"")</f>
        <v/>
      </c>
      <c r="S5691" t="str">
        <f>VLOOKUP(record[[#This Row],[employeeID]],員工[],2,FALSE)</f>
        <v>阮氏芳英(英)</v>
      </c>
    </row>
    <row r="5692" spans="6:19" hidden="1" x14ac:dyDescent="0.25">
      <c r="F5692" t="s">
        <v>849</v>
      </c>
      <c r="G5692" t="s">
        <v>467</v>
      </c>
      <c r="H5692" t="str">
        <f>VLOOKUP(record[[#This Row],[ProcessSN]],表格2_7[],2,FALSE)</f>
        <v>30-4118-018-XXX</v>
      </c>
      <c r="I5692" t="str">
        <f>VLOOKUP(record[[#This Row],[ProcessSN]],表格2_7[],3,FALSE)</f>
        <v>#01QC</v>
      </c>
      <c r="J5692" t="s">
        <v>589</v>
      </c>
      <c r="K5692" s="195">
        <v>46009.707430555558</v>
      </c>
      <c r="L5692">
        <v>40</v>
      </c>
      <c r="M5692">
        <v>0</v>
      </c>
      <c r="N5692" s="98" t="str">
        <f>IF(record[[#This Row],[Memo]]="Browser:chrome os:android","平板報工",IF(record[[#This Row],[Memo]]=0,"委外",record[[#This Row],[Memo]]))</f>
        <v/>
      </c>
      <c r="O5692" t="s">
        <v>58</v>
      </c>
      <c r="P5692" t="s">
        <v>182</v>
      </c>
      <c r="Q5692" t="s">
        <v>58</v>
      </c>
      <c r="R5692" t="str">
        <f>IFERROR(VLOOKUP(record[[#This Row],[PCUSTID]],廠商[],2,FALSE),"")</f>
        <v/>
      </c>
      <c r="S5692" t="str">
        <f>VLOOKUP(record[[#This Row],[employeeID]],員工[],2,FALSE)</f>
        <v>梅氏和</v>
      </c>
    </row>
    <row r="5693" spans="6:19" hidden="1" x14ac:dyDescent="0.25">
      <c r="F5693" t="s">
        <v>1285</v>
      </c>
      <c r="G5693" t="s">
        <v>467</v>
      </c>
      <c r="H5693" t="str">
        <f>VLOOKUP(record[[#This Row],[ProcessSN]],表格2_7[],2,FALSE)</f>
        <v>30-4118-018-XXX</v>
      </c>
      <c r="I5693" t="str">
        <f>VLOOKUP(record[[#This Row],[ProcessSN]],表格2_7[],3,FALSE)</f>
        <v>#01QC</v>
      </c>
      <c r="J5693" t="s">
        <v>589</v>
      </c>
      <c r="K5693" s="195">
        <v>46009.694421296299</v>
      </c>
      <c r="L5693">
        <v>1303</v>
      </c>
      <c r="M5693">
        <v>0</v>
      </c>
      <c r="N5693" s="98" t="str">
        <f>IF(record[[#This Row],[Memo]]="Browser:chrome os:android","平板報工",IF(record[[#This Row],[Memo]]=0,"委外",record[[#This Row],[Memo]]))</f>
        <v/>
      </c>
      <c r="O5693" t="s">
        <v>58</v>
      </c>
      <c r="P5693" t="s">
        <v>182</v>
      </c>
      <c r="Q5693" t="s">
        <v>58</v>
      </c>
      <c r="R5693" t="str">
        <f>IFERROR(VLOOKUP(record[[#This Row],[PCUSTID]],廠商[],2,FALSE),"")</f>
        <v/>
      </c>
      <c r="S5693" t="str">
        <f>VLOOKUP(record[[#This Row],[employeeID]],員工[],2,FALSE)</f>
        <v>梅氏和</v>
      </c>
    </row>
    <row r="5694" spans="6:19" hidden="1" x14ac:dyDescent="0.25">
      <c r="F5694" t="s">
        <v>1285</v>
      </c>
      <c r="G5694" t="s">
        <v>468</v>
      </c>
      <c r="H5694" t="str">
        <f>VLOOKUP(record[[#This Row],[ProcessSN]],表格2_7[],2,FALSE)</f>
        <v>30-4118-018-XXX</v>
      </c>
      <c r="I5694" t="str">
        <f>VLOOKUP(record[[#This Row],[ProcessSN]],表格2_7[],3,FALSE)</f>
        <v>#02</v>
      </c>
      <c r="J5694" t="s">
        <v>590</v>
      </c>
      <c r="K5694" s="195">
        <v>46009.691527777781</v>
      </c>
      <c r="L5694">
        <v>1639</v>
      </c>
      <c r="M5694">
        <v>0</v>
      </c>
      <c r="N5694" s="98" t="str">
        <f>IF(record[[#This Row],[Memo]]="Browser:chrome os:android","平板報工",IF(record[[#This Row],[Memo]]=0,"委外",record[[#This Row],[Memo]]))</f>
        <v/>
      </c>
      <c r="O5694" t="s">
        <v>58</v>
      </c>
      <c r="P5694" t="s">
        <v>186</v>
      </c>
      <c r="Q5694" t="s">
        <v>58</v>
      </c>
      <c r="R5694" t="str">
        <f>IFERROR(VLOOKUP(record[[#This Row],[PCUSTID]],廠商[],2,FALSE),"")</f>
        <v/>
      </c>
      <c r="S5694" t="str">
        <f>VLOOKUP(record[[#This Row],[employeeID]],員工[],2,FALSE)</f>
        <v>許文姍</v>
      </c>
    </row>
    <row r="5695" spans="6:19" hidden="1" x14ac:dyDescent="0.25">
      <c r="F5695" t="s">
        <v>1315</v>
      </c>
      <c r="G5695" t="s">
        <v>358</v>
      </c>
      <c r="H5695" t="str">
        <f>VLOOKUP(record[[#This Row],[ProcessSN]],表格2_7[],2,FALSE)</f>
        <v>30-4118-018-450</v>
      </c>
      <c r="I5695" t="str">
        <f>VLOOKUP(record[[#This Row],[ProcessSN]],表格2_7[],3,FALSE)</f>
        <v>#08IQC</v>
      </c>
      <c r="J5695" t="s">
        <v>583</v>
      </c>
      <c r="K5695" s="195">
        <v>46009.690162037034</v>
      </c>
      <c r="L5695">
        <v>1</v>
      </c>
      <c r="M5695">
        <v>0</v>
      </c>
      <c r="N5695" s="98" t="str">
        <f>IF(record[[#This Row],[Memo]]="Browser:chrome os:android","平板報工",IF(record[[#This Row],[Memo]]=0,"委外",record[[#This Row],[Memo]]))</f>
        <v/>
      </c>
      <c r="O5695" t="s">
        <v>58</v>
      </c>
      <c r="P5695" t="s">
        <v>109</v>
      </c>
      <c r="Q5695" t="s">
        <v>58</v>
      </c>
      <c r="R5695" t="str">
        <f>IFERROR(VLOOKUP(record[[#This Row],[PCUSTID]],廠商[],2,FALSE),"")</f>
        <v/>
      </c>
      <c r="S5695" t="str">
        <f>VLOOKUP(record[[#This Row],[employeeID]],員工[],2,FALSE)</f>
        <v>裴氏璧鳳</v>
      </c>
    </row>
    <row r="5696" spans="6:19" hidden="1" x14ac:dyDescent="0.25">
      <c r="F5696" t="s">
        <v>1181</v>
      </c>
      <c r="G5696" t="s">
        <v>428</v>
      </c>
      <c r="H5696" t="str">
        <f>VLOOKUP(record[[#This Row],[ProcessSN]],表格2_7[],2,FALSE)</f>
        <v>30-4118-018-600</v>
      </c>
      <c r="I5696" t="str">
        <f>VLOOKUP(record[[#This Row],[ProcessSN]],表格2_7[],3,FALSE)</f>
        <v>#100SHIP</v>
      </c>
      <c r="J5696" t="s">
        <v>600</v>
      </c>
      <c r="K5696" s="195">
        <v>46009.689120370371</v>
      </c>
      <c r="L5696">
        <v>9</v>
      </c>
      <c r="M5696">
        <v>0</v>
      </c>
      <c r="N5696" s="98" t="str">
        <f>IF(record[[#This Row],[Memo]]="Browser:chrome os:android","平板報工",IF(record[[#This Row],[Memo]]=0,"委外",record[[#This Row],[Memo]]))</f>
        <v>1.5露白 出組裝</v>
      </c>
      <c r="O5696" t="s">
        <v>1282</v>
      </c>
      <c r="P5696" t="s">
        <v>886</v>
      </c>
      <c r="Q5696" t="s">
        <v>58</v>
      </c>
      <c r="R5696" t="str">
        <f>IFERROR(VLOOKUP(record[[#This Row],[PCUSTID]],廠商[],2,FALSE),"")</f>
        <v/>
      </c>
      <c r="S5696" t="str">
        <f>VLOOKUP(record[[#This Row],[employeeID]],員工[],2,FALSE)</f>
        <v>謝蓁薰</v>
      </c>
    </row>
    <row r="5697" spans="6:19" hidden="1" x14ac:dyDescent="0.25">
      <c r="F5697" t="s">
        <v>1260</v>
      </c>
      <c r="G5697" t="s">
        <v>428</v>
      </c>
      <c r="H5697" t="str">
        <f>VLOOKUP(record[[#This Row],[ProcessSN]],表格2_7[],2,FALSE)</f>
        <v>30-4118-018-600</v>
      </c>
      <c r="I5697" t="str">
        <f>VLOOKUP(record[[#This Row],[ProcessSN]],表格2_7[],3,FALSE)</f>
        <v>#100SHIP</v>
      </c>
      <c r="J5697" t="s">
        <v>600</v>
      </c>
      <c r="K5697" s="195">
        <v>46009.682187500002</v>
      </c>
      <c r="L5697">
        <v>34</v>
      </c>
      <c r="M5697">
        <v>0</v>
      </c>
      <c r="N5697" s="98" t="str">
        <f>IF(record[[#This Row],[Memo]]="Browser:chrome os:android","平板報工",IF(record[[#This Row],[Memo]]=0,"委外",record[[#This Row],[Memo]]))</f>
        <v/>
      </c>
      <c r="O5697" t="s">
        <v>58</v>
      </c>
      <c r="P5697" t="s">
        <v>886</v>
      </c>
      <c r="Q5697" t="s">
        <v>58</v>
      </c>
      <c r="R5697" t="str">
        <f>IFERROR(VLOOKUP(record[[#This Row],[PCUSTID]],廠商[],2,FALSE),"")</f>
        <v/>
      </c>
      <c r="S5697" t="str">
        <f>VLOOKUP(record[[#This Row],[employeeID]],員工[],2,FALSE)</f>
        <v>謝蓁薰</v>
      </c>
    </row>
    <row r="5698" spans="6:19" hidden="1" x14ac:dyDescent="0.25">
      <c r="F5698" t="s">
        <v>1181</v>
      </c>
      <c r="G5698" t="s">
        <v>427</v>
      </c>
      <c r="H5698" t="str">
        <f>VLOOKUP(record[[#This Row],[ProcessSN]],表格2_7[],2,FALSE)</f>
        <v>30-4118-018-600</v>
      </c>
      <c r="I5698" t="str">
        <f>VLOOKUP(record[[#This Row],[ProcessSN]],表格2_7[],3,FALSE)</f>
        <v>#100STOCK</v>
      </c>
      <c r="J5698" t="s">
        <v>592</v>
      </c>
      <c r="K5698" s="195">
        <v>46009.679849537039</v>
      </c>
      <c r="L5698">
        <v>9</v>
      </c>
      <c r="M5698">
        <v>0</v>
      </c>
      <c r="N5698" s="98" t="str">
        <f>IF(record[[#This Row],[Memo]]="Browser:chrome os:android","平板報工",IF(record[[#This Row],[Memo]]=0,"委外",record[[#This Row],[Memo]]))</f>
        <v/>
      </c>
      <c r="O5698" t="s">
        <v>58</v>
      </c>
      <c r="P5698" t="s">
        <v>65</v>
      </c>
      <c r="Q5698" t="s">
        <v>58</v>
      </c>
      <c r="R5698" t="str">
        <f>IFERROR(VLOOKUP(record[[#This Row],[PCUSTID]],廠商[],2,FALSE),"")</f>
        <v/>
      </c>
      <c r="S5698" t="str">
        <f>VLOOKUP(record[[#This Row],[employeeID]],員工[],2,FALSE)</f>
        <v>蘇進昌</v>
      </c>
    </row>
    <row r="5699" spans="6:19" hidden="1" x14ac:dyDescent="0.25">
      <c r="F5699" t="s">
        <v>1181</v>
      </c>
      <c r="G5699" t="s">
        <v>426</v>
      </c>
      <c r="H5699" t="str">
        <f>VLOOKUP(record[[#This Row],[ProcessSN]],表格2_7[],2,FALSE)</f>
        <v>30-4118-018-600</v>
      </c>
      <c r="I5699" t="str">
        <f>VLOOKUP(record[[#This Row],[ProcessSN]],表格2_7[],3,FALSE)</f>
        <v>#100OQC</v>
      </c>
      <c r="J5699" t="s">
        <v>599</v>
      </c>
      <c r="K5699" s="195">
        <v>46009.679791666669</v>
      </c>
      <c r="L5699">
        <v>9</v>
      </c>
      <c r="M5699">
        <v>0</v>
      </c>
      <c r="N5699" s="98" t="str">
        <f>IF(record[[#This Row],[Memo]]="Browser:chrome os:android","平板報工",IF(record[[#This Row],[Memo]]=0,"委外",record[[#This Row],[Memo]]))</f>
        <v/>
      </c>
      <c r="O5699" t="s">
        <v>58</v>
      </c>
      <c r="P5699" t="s">
        <v>65</v>
      </c>
      <c r="Q5699" t="s">
        <v>58</v>
      </c>
      <c r="R5699" t="str">
        <f>IFERROR(VLOOKUP(record[[#This Row],[PCUSTID]],廠商[],2,FALSE),"")</f>
        <v/>
      </c>
      <c r="S5699" t="str">
        <f>VLOOKUP(record[[#This Row],[employeeID]],員工[],2,FALSE)</f>
        <v>蘇進昌</v>
      </c>
    </row>
    <row r="5700" spans="6:19" hidden="1" x14ac:dyDescent="0.25">
      <c r="F5700" t="s">
        <v>1181</v>
      </c>
      <c r="G5700" t="s">
        <v>425</v>
      </c>
      <c r="H5700" t="str">
        <f>VLOOKUP(record[[#This Row],[ProcessSN]],表格2_7[],2,FALSE)</f>
        <v>30-4118-018-600</v>
      </c>
      <c r="I5700" t="str">
        <f>VLOOKUP(record[[#This Row],[ProcessSN]],表格2_7[],3,FALSE)</f>
        <v>#100</v>
      </c>
      <c r="J5700" t="s">
        <v>598</v>
      </c>
      <c r="K5700" s="195">
        <v>46009.6797337963</v>
      </c>
      <c r="L5700">
        <v>9</v>
      </c>
      <c r="M5700">
        <v>0</v>
      </c>
      <c r="N5700" s="98" t="str">
        <f>IF(record[[#This Row],[Memo]]="Browser:chrome os:android","平板報工",IF(record[[#This Row],[Memo]]=0,"委外",record[[#This Row],[Memo]]))</f>
        <v/>
      </c>
      <c r="O5700" t="s">
        <v>58</v>
      </c>
      <c r="P5700" t="s">
        <v>65</v>
      </c>
      <c r="Q5700" t="s">
        <v>58</v>
      </c>
      <c r="R5700" t="str">
        <f>IFERROR(VLOOKUP(record[[#This Row],[PCUSTID]],廠商[],2,FALSE),"")</f>
        <v/>
      </c>
      <c r="S5700" t="str">
        <f>VLOOKUP(record[[#This Row],[employeeID]],員工[],2,FALSE)</f>
        <v>蘇進昌</v>
      </c>
    </row>
    <row r="5701" spans="6:19" hidden="1" x14ac:dyDescent="0.25">
      <c r="F5701" t="s">
        <v>1181</v>
      </c>
      <c r="G5701" t="s">
        <v>424</v>
      </c>
      <c r="H5701" t="str">
        <f>VLOOKUP(record[[#This Row],[ProcessSN]],表格2_7[],2,FALSE)</f>
        <v>30-4118-018-600</v>
      </c>
      <c r="I5701" t="str">
        <f>VLOOKUP(record[[#This Row],[ProcessSN]],表格2_7[],3,FALSE)</f>
        <v>#08IQC</v>
      </c>
      <c r="J5701" t="s">
        <v>583</v>
      </c>
      <c r="K5701" s="195">
        <v>46009.679675925923</v>
      </c>
      <c r="L5701">
        <v>9</v>
      </c>
      <c r="M5701">
        <v>0</v>
      </c>
      <c r="N5701" s="98" t="str">
        <f>IF(record[[#This Row],[Memo]]="Browser:chrome os:android","平板報工",IF(record[[#This Row],[Memo]]=0,"委外",record[[#This Row],[Memo]]))</f>
        <v/>
      </c>
      <c r="O5701" t="s">
        <v>58</v>
      </c>
      <c r="P5701" t="s">
        <v>65</v>
      </c>
      <c r="Q5701" t="s">
        <v>58</v>
      </c>
      <c r="R5701" t="str">
        <f>IFERROR(VLOOKUP(record[[#This Row],[PCUSTID]],廠商[],2,FALSE),"")</f>
        <v/>
      </c>
      <c r="S5701" t="str">
        <f>VLOOKUP(record[[#This Row],[employeeID]],員工[],2,FALSE)</f>
        <v>蘇進昌</v>
      </c>
    </row>
    <row r="5702" spans="6:19" hidden="1" x14ac:dyDescent="0.25">
      <c r="F5702" t="s">
        <v>1333</v>
      </c>
      <c r="G5702" t="s">
        <v>450</v>
      </c>
      <c r="H5702" t="str">
        <f>VLOOKUP(record[[#This Row],[ProcessSN]],表格2_7[],2,FALSE)</f>
        <v>30-4118-018-6XX</v>
      </c>
      <c r="I5702" t="str">
        <f>VLOOKUP(record[[#This Row],[ProcessSN]],表格2_7[],3,FALSE)</f>
        <v>#06</v>
      </c>
      <c r="J5702" t="s">
        <v>593</v>
      </c>
      <c r="K5702" s="195">
        <v>46009.66300925926</v>
      </c>
      <c r="L5702">
        <v>116</v>
      </c>
      <c r="M5702">
        <v>0</v>
      </c>
      <c r="N5702" s="98" t="str">
        <f>IF(record[[#This Row],[Memo]]="Browser:chrome os:android","平板報工",IF(record[[#This Row],[Memo]]=0,"委外",record[[#This Row],[Memo]]))</f>
        <v/>
      </c>
      <c r="O5702" t="s">
        <v>58</v>
      </c>
      <c r="P5702" t="s">
        <v>166</v>
      </c>
      <c r="Q5702" t="s">
        <v>58</v>
      </c>
      <c r="R5702" t="str">
        <f>IFERROR(VLOOKUP(record[[#This Row],[PCUSTID]],廠商[],2,FALSE),"")</f>
        <v/>
      </c>
      <c r="S5702" t="str">
        <f>VLOOKUP(record[[#This Row],[employeeID]],員工[],2,FALSE)</f>
        <v>阮懷香</v>
      </c>
    </row>
    <row r="5703" spans="6:19" hidden="1" x14ac:dyDescent="0.25">
      <c r="F5703" t="s">
        <v>1290</v>
      </c>
      <c r="G5703" t="s">
        <v>418</v>
      </c>
      <c r="H5703" t="str">
        <f>VLOOKUP(record[[#This Row],[ProcessSN]],表格2_7[],2,FALSE)</f>
        <v>30-4118-018-5XX</v>
      </c>
      <c r="I5703" t="str">
        <f>VLOOKUP(record[[#This Row],[ProcessSN]],表格2_7[],3,FALSE)</f>
        <v>#07</v>
      </c>
      <c r="J5703" t="s">
        <v>588</v>
      </c>
      <c r="K5703" s="195">
        <v>46009.662187499998</v>
      </c>
      <c r="L5703">
        <v>231</v>
      </c>
      <c r="M5703">
        <v>4</v>
      </c>
      <c r="N5703" s="98" t="str">
        <f>IF(record[[#This Row],[Memo]]="Browser:chrome os:android","平板報工",IF(record[[#This Row],[Memo]]=0,"委外",record[[#This Row],[Memo]]))</f>
        <v/>
      </c>
      <c r="O5703" t="s">
        <v>58</v>
      </c>
      <c r="P5703" t="s">
        <v>785</v>
      </c>
      <c r="Q5703" t="s">
        <v>58</v>
      </c>
      <c r="R5703" t="str">
        <f>IFERROR(VLOOKUP(record[[#This Row],[PCUSTID]],廠商[],2,FALSE),"")</f>
        <v/>
      </c>
      <c r="S5703" t="str">
        <f>VLOOKUP(record[[#This Row],[employeeID]],員工[],2,FALSE)</f>
        <v>謝刻光</v>
      </c>
    </row>
    <row r="5704" spans="6:19" hidden="1" x14ac:dyDescent="0.25">
      <c r="F5704" t="s">
        <v>1339</v>
      </c>
      <c r="G5704" t="s">
        <v>373</v>
      </c>
      <c r="H5704" t="str">
        <f>VLOOKUP(record[[#This Row],[ProcessSN]],表格2_7[],2,FALSE)</f>
        <v>30-4118-018-4XX</v>
      </c>
      <c r="I5704" t="str">
        <f>VLOOKUP(record[[#This Row],[ProcessSN]],表格2_7[],3,FALSE)</f>
        <v>#03</v>
      </c>
      <c r="J5704" t="s">
        <v>588</v>
      </c>
      <c r="K5704" s="195">
        <v>46009.661666666667</v>
      </c>
      <c r="L5704">
        <v>312</v>
      </c>
      <c r="M5704">
        <v>0</v>
      </c>
      <c r="N5704" s="98" t="str">
        <f>IF(record[[#This Row],[Memo]]="Browser:chrome os:android","平板報工",IF(record[[#This Row],[Memo]]=0,"委外",record[[#This Row],[Memo]]))</f>
        <v/>
      </c>
      <c r="O5704" t="s">
        <v>58</v>
      </c>
      <c r="P5704" t="s">
        <v>789</v>
      </c>
      <c r="Q5704" t="s">
        <v>58</v>
      </c>
      <c r="R5704" t="str">
        <f>IFERROR(VLOOKUP(record[[#This Row],[PCUSTID]],廠商[],2,FALSE),"")</f>
        <v/>
      </c>
      <c r="S5704" t="str">
        <f>VLOOKUP(record[[#This Row],[employeeID]],員工[],2,FALSE)</f>
        <v>張月霞</v>
      </c>
    </row>
    <row r="5705" spans="6:19" hidden="1" x14ac:dyDescent="0.25">
      <c r="F5705" t="s">
        <v>1338</v>
      </c>
      <c r="G5705" t="s">
        <v>447</v>
      </c>
      <c r="H5705" t="str">
        <f>VLOOKUP(record[[#This Row],[ProcessSN]],表格2_7[],2,FALSE)</f>
        <v>30-4118-018-6XX</v>
      </c>
      <c r="I5705" t="str">
        <f>VLOOKUP(record[[#This Row],[ProcessSN]],表格2_7[],3,FALSE)</f>
        <v>#03</v>
      </c>
      <c r="J5705" t="s">
        <v>588</v>
      </c>
      <c r="K5705" s="195">
        <v>46009.661215277774</v>
      </c>
      <c r="L5705">
        <v>180</v>
      </c>
      <c r="M5705">
        <v>0</v>
      </c>
      <c r="N5705" s="98" t="str">
        <f>IF(record[[#This Row],[Memo]]="Browser:chrome os:android","平板報工",IF(record[[#This Row],[Memo]]=0,"委外",record[[#This Row],[Memo]]))</f>
        <v/>
      </c>
      <c r="O5705" t="s">
        <v>58</v>
      </c>
      <c r="P5705" t="s">
        <v>789</v>
      </c>
      <c r="Q5705" t="s">
        <v>58</v>
      </c>
      <c r="R5705" t="str">
        <f>IFERROR(VLOOKUP(record[[#This Row],[PCUSTID]],廠商[],2,FALSE),"")</f>
        <v/>
      </c>
      <c r="S5705" t="str">
        <f>VLOOKUP(record[[#This Row],[employeeID]],員工[],2,FALSE)</f>
        <v>張月霞</v>
      </c>
    </row>
    <row r="5706" spans="6:19" hidden="1" x14ac:dyDescent="0.25">
      <c r="F5706" t="s">
        <v>1333</v>
      </c>
      <c r="G5706" t="s">
        <v>449</v>
      </c>
      <c r="H5706" t="str">
        <f>VLOOKUP(record[[#This Row],[ProcessSN]],表格2_7[],2,FALSE)</f>
        <v>30-4118-018-6XX</v>
      </c>
      <c r="I5706" t="str">
        <f>VLOOKUP(record[[#This Row],[ProcessSN]],表格2_7[],3,FALSE)</f>
        <v>#05</v>
      </c>
      <c r="J5706" t="s">
        <v>588</v>
      </c>
      <c r="K5706" s="195">
        <v>46009.661030092589</v>
      </c>
      <c r="L5706">
        <v>125</v>
      </c>
      <c r="M5706">
        <v>0</v>
      </c>
      <c r="N5706" s="98" t="str">
        <f>IF(record[[#This Row],[Memo]]="Browser:chrome os:android","平板報工",IF(record[[#This Row],[Memo]]=0,"委外",record[[#This Row],[Memo]]))</f>
        <v/>
      </c>
      <c r="O5706" t="s">
        <v>58</v>
      </c>
      <c r="P5706" t="s">
        <v>789</v>
      </c>
      <c r="Q5706" t="s">
        <v>58</v>
      </c>
      <c r="R5706" t="str">
        <f>IFERROR(VLOOKUP(record[[#This Row],[PCUSTID]],廠商[],2,FALSE),"")</f>
        <v/>
      </c>
      <c r="S5706" t="str">
        <f>VLOOKUP(record[[#This Row],[employeeID]],員工[],2,FALSE)</f>
        <v>張月霞</v>
      </c>
    </row>
    <row r="5707" spans="6:19" hidden="1" x14ac:dyDescent="0.25">
      <c r="F5707" t="s">
        <v>1333</v>
      </c>
      <c r="G5707" t="s">
        <v>448</v>
      </c>
      <c r="H5707" t="str">
        <f>VLOOKUP(record[[#This Row],[ProcessSN]],表格2_7[],2,FALSE)</f>
        <v>30-4118-018-6XX</v>
      </c>
      <c r="I5707" t="str">
        <f>VLOOKUP(record[[#This Row],[ProcessSN]],表格2_7[],3,FALSE)</f>
        <v>#04</v>
      </c>
      <c r="J5707" t="s">
        <v>588</v>
      </c>
      <c r="K5707" s="195">
        <v>46009.660613425927</v>
      </c>
      <c r="L5707">
        <v>125</v>
      </c>
      <c r="M5707">
        <v>1</v>
      </c>
      <c r="N5707" s="98" t="str">
        <f>IF(record[[#This Row],[Memo]]="Browser:chrome os:android","平板報工",IF(record[[#This Row],[Memo]]=0,"委外",record[[#This Row],[Memo]]))</f>
        <v/>
      </c>
      <c r="O5707" t="s">
        <v>58</v>
      </c>
      <c r="P5707" t="s">
        <v>789</v>
      </c>
      <c r="Q5707" t="s">
        <v>58</v>
      </c>
      <c r="R5707" t="str">
        <f>IFERROR(VLOOKUP(record[[#This Row],[PCUSTID]],廠商[],2,FALSE),"")</f>
        <v/>
      </c>
      <c r="S5707" t="str">
        <f>VLOOKUP(record[[#This Row],[employeeID]],員工[],2,FALSE)</f>
        <v>張月霞</v>
      </c>
    </row>
    <row r="5708" spans="6:19" hidden="1" x14ac:dyDescent="0.25">
      <c r="F5708" t="s">
        <v>1181</v>
      </c>
      <c r="G5708" t="s">
        <v>423</v>
      </c>
      <c r="H5708" t="str">
        <f>VLOOKUP(record[[#This Row],[ProcessSN]],表格2_7[],2,FALSE)</f>
        <v>30-4118-018-600</v>
      </c>
      <c r="I5708" t="str">
        <f>VLOOKUP(record[[#This Row],[ProcessSN]],表格2_7[],3,FALSE)</f>
        <v>#08RCV</v>
      </c>
      <c r="J5708" t="s">
        <v>591</v>
      </c>
      <c r="K5708" s="195">
        <v>46009.647719907407</v>
      </c>
      <c r="L5708">
        <v>9</v>
      </c>
      <c r="M5708">
        <v>-9</v>
      </c>
      <c r="N5708" s="98" t="str">
        <f>IF(record[[#This Row],[Memo]]="Browser:chrome os:android","平板報工",IF(record[[#This Row],[Memo]]=0,"委外",record[[#This Row],[Memo]]))</f>
        <v>覆回</v>
      </c>
      <c r="O5708" t="s">
        <v>682</v>
      </c>
      <c r="P5708" t="s">
        <v>65</v>
      </c>
      <c r="Q5708" t="s">
        <v>58</v>
      </c>
      <c r="R5708" t="str">
        <f>IFERROR(VLOOKUP(record[[#This Row],[PCUSTID]],廠商[],2,FALSE),"")</f>
        <v/>
      </c>
      <c r="S5708" t="str">
        <f>VLOOKUP(record[[#This Row],[employeeID]],員工[],2,FALSE)</f>
        <v>蘇進昌</v>
      </c>
    </row>
    <row r="5709" spans="6:19" hidden="1" x14ac:dyDescent="0.25">
      <c r="F5709" t="s">
        <v>1329</v>
      </c>
      <c r="G5709" t="s">
        <v>401</v>
      </c>
      <c r="H5709" t="str">
        <f>VLOOKUP(record[[#This Row],[ProcessSN]],表格2_7[],2,FALSE)</f>
        <v>30-4118-018-550</v>
      </c>
      <c r="I5709" t="str">
        <f>VLOOKUP(record[[#This Row],[ProcessSN]],表格2_7[],3,FALSE)</f>
        <v>#100OQC</v>
      </c>
      <c r="J5709" t="s">
        <v>599</v>
      </c>
      <c r="K5709" s="195">
        <v>46009.625717592593</v>
      </c>
      <c r="L5709">
        <v>415</v>
      </c>
      <c r="M5709">
        <v>0</v>
      </c>
      <c r="N5709" s="98" t="str">
        <f>IF(record[[#This Row],[Memo]]="Browser:chrome os:android","平板報工",IF(record[[#This Row],[Memo]]=0,"委外",record[[#This Row],[Memo]]))</f>
        <v/>
      </c>
      <c r="O5709" t="s">
        <v>58</v>
      </c>
      <c r="P5709" t="s">
        <v>121</v>
      </c>
      <c r="Q5709" t="s">
        <v>58</v>
      </c>
      <c r="R5709" t="str">
        <f>IFERROR(VLOOKUP(record[[#This Row],[PCUSTID]],廠商[],2,FALSE),"")</f>
        <v/>
      </c>
      <c r="S5709" t="str">
        <f>VLOOKUP(record[[#This Row],[employeeID]],員工[],2,FALSE)</f>
        <v>謝素卿</v>
      </c>
    </row>
    <row r="5710" spans="6:19" hidden="1" x14ac:dyDescent="0.25">
      <c r="F5710" t="s">
        <v>1315</v>
      </c>
      <c r="G5710" t="s">
        <v>357</v>
      </c>
      <c r="H5710" t="str">
        <f>VLOOKUP(record[[#This Row],[ProcessSN]],表格2_7[],2,FALSE)</f>
        <v>30-4118-018-450</v>
      </c>
      <c r="I5710" t="str">
        <f>VLOOKUP(record[[#This Row],[ProcessSN]],表格2_7[],3,FALSE)</f>
        <v>#08RCV</v>
      </c>
      <c r="J5710" t="s">
        <v>591</v>
      </c>
      <c r="K5710" s="195">
        <v>46009.590254629627</v>
      </c>
      <c r="L5710">
        <v>0</v>
      </c>
      <c r="M5710">
        <v>13</v>
      </c>
      <c r="N5710" s="98" t="str">
        <f>IF(record[[#This Row],[Memo]]="Browser:chrome os:android","平板報工",IF(record[[#This Row],[Memo]]=0,"委外",record[[#This Row],[Memo]]))</f>
        <v>覆回</v>
      </c>
      <c r="O5710" t="s">
        <v>682</v>
      </c>
      <c r="P5710" t="s">
        <v>186</v>
      </c>
      <c r="Q5710" t="s">
        <v>58</v>
      </c>
      <c r="R5710" t="str">
        <f>IFERROR(VLOOKUP(record[[#This Row],[PCUSTID]],廠商[],2,FALSE),"")</f>
        <v/>
      </c>
      <c r="S5710" t="str">
        <f>VLOOKUP(record[[#This Row],[employeeID]],員工[],2,FALSE)</f>
        <v>許文姍</v>
      </c>
    </row>
    <row r="5711" spans="6:19" hidden="1" x14ac:dyDescent="0.25">
      <c r="F5711" t="s">
        <v>1315</v>
      </c>
      <c r="G5711" t="s">
        <v>357</v>
      </c>
      <c r="H5711" t="str">
        <f>VLOOKUP(record[[#This Row],[ProcessSN]],表格2_7[],2,FALSE)</f>
        <v>30-4118-018-450</v>
      </c>
      <c r="I5711" t="str">
        <f>VLOOKUP(record[[#This Row],[ProcessSN]],表格2_7[],3,FALSE)</f>
        <v>#08RCV</v>
      </c>
      <c r="J5711" t="s">
        <v>591</v>
      </c>
      <c r="K5711" s="195">
        <v>46009.590011574073</v>
      </c>
      <c r="L5711">
        <v>1</v>
      </c>
      <c r="M5711">
        <v>0</v>
      </c>
      <c r="N5711" s="98" t="str">
        <f>IF(record[[#This Row],[Memo]]="Browser:chrome os:android","平板報工",IF(record[[#This Row],[Memo]]=0,"委外",record[[#This Row],[Memo]]))</f>
        <v>覆回</v>
      </c>
      <c r="O5711" t="s">
        <v>682</v>
      </c>
      <c r="P5711" t="s">
        <v>186</v>
      </c>
      <c r="Q5711" t="s">
        <v>58</v>
      </c>
      <c r="R5711" t="str">
        <f>IFERROR(VLOOKUP(record[[#This Row],[PCUSTID]],廠商[],2,FALSE),"")</f>
        <v/>
      </c>
      <c r="S5711" t="str">
        <f>VLOOKUP(record[[#This Row],[employeeID]],員工[],2,FALSE)</f>
        <v>許文姍</v>
      </c>
    </row>
    <row r="5712" spans="6:19" hidden="1" x14ac:dyDescent="0.25">
      <c r="F5712" t="s">
        <v>1329</v>
      </c>
      <c r="G5712" t="s">
        <v>400</v>
      </c>
      <c r="H5712" t="str">
        <f>VLOOKUP(record[[#This Row],[ProcessSN]],表格2_7[],2,FALSE)</f>
        <v>30-4118-018-550</v>
      </c>
      <c r="I5712" t="str">
        <f>VLOOKUP(record[[#This Row],[ProcessSN]],表格2_7[],3,FALSE)</f>
        <v>#100</v>
      </c>
      <c r="J5712" t="s">
        <v>598</v>
      </c>
      <c r="K5712" s="195">
        <v>46009.489212962966</v>
      </c>
      <c r="L5712">
        <v>415</v>
      </c>
      <c r="M5712">
        <v>0</v>
      </c>
      <c r="N5712" s="98" t="str">
        <f>IF(record[[#This Row],[Memo]]="Browser:chrome os:android","平板報工",IF(record[[#This Row],[Memo]]=0,"委外",record[[#This Row],[Memo]]))</f>
        <v/>
      </c>
      <c r="O5712" t="s">
        <v>58</v>
      </c>
      <c r="P5712" t="s">
        <v>141</v>
      </c>
      <c r="Q5712" t="s">
        <v>58</v>
      </c>
      <c r="R5712" t="str">
        <f>IFERROR(VLOOKUP(record[[#This Row],[PCUSTID]],廠商[],2,FALSE),"")</f>
        <v/>
      </c>
      <c r="S5712" t="str">
        <f>VLOOKUP(record[[#This Row],[employeeID]],員工[],2,FALSE)</f>
        <v>蔣梅</v>
      </c>
    </row>
    <row r="5713" spans="6:19" hidden="1" x14ac:dyDescent="0.25">
      <c r="F5713" t="s">
        <v>1329</v>
      </c>
      <c r="G5713" t="s">
        <v>399</v>
      </c>
      <c r="H5713" t="str">
        <f>VLOOKUP(record[[#This Row],[ProcessSN]],表格2_7[],2,FALSE)</f>
        <v>30-4118-018-550</v>
      </c>
      <c r="I5713" t="str">
        <f>VLOOKUP(record[[#This Row],[ProcessSN]],表格2_7[],3,FALSE)</f>
        <v>#08IQC</v>
      </c>
      <c r="J5713" t="s">
        <v>583</v>
      </c>
      <c r="K5713" s="195">
        <v>46009.488958333335</v>
      </c>
      <c r="L5713">
        <v>16</v>
      </c>
      <c r="M5713">
        <v>0</v>
      </c>
      <c r="N5713" s="98" t="str">
        <f>IF(record[[#This Row],[Memo]]="Browser:chrome os:android","平板報工",IF(record[[#This Row],[Memo]]=0,"委外",record[[#This Row],[Memo]]))</f>
        <v>覆回</v>
      </c>
      <c r="O5713" t="s">
        <v>682</v>
      </c>
      <c r="P5713" t="s">
        <v>141</v>
      </c>
      <c r="Q5713" t="s">
        <v>58</v>
      </c>
      <c r="R5713" t="str">
        <f>IFERROR(VLOOKUP(record[[#This Row],[PCUSTID]],廠商[],2,FALSE),"")</f>
        <v/>
      </c>
      <c r="S5713" t="str">
        <f>VLOOKUP(record[[#This Row],[employeeID]],員工[],2,FALSE)</f>
        <v>蔣梅</v>
      </c>
    </row>
    <row r="5714" spans="6:19" hidden="1" x14ac:dyDescent="0.25">
      <c r="F5714" t="s">
        <v>1329</v>
      </c>
      <c r="G5714" t="s">
        <v>398</v>
      </c>
      <c r="H5714" t="str">
        <f>VLOOKUP(record[[#This Row],[ProcessSN]],表格2_7[],2,FALSE)</f>
        <v>30-4118-018-550</v>
      </c>
      <c r="I5714" t="str">
        <f>VLOOKUP(record[[#This Row],[ProcessSN]],表格2_7[],3,FALSE)</f>
        <v>#08RCV</v>
      </c>
      <c r="J5714" t="s">
        <v>591</v>
      </c>
      <c r="K5714" s="195">
        <v>46009.488749999997</v>
      </c>
      <c r="L5714">
        <v>0</v>
      </c>
      <c r="M5714">
        <v>14</v>
      </c>
      <c r="N5714" s="98" t="str">
        <f>IF(record[[#This Row],[Memo]]="Browser:chrome os:android","平板報工",IF(record[[#This Row],[Memo]]=0,"委外",record[[#This Row],[Memo]]))</f>
        <v/>
      </c>
      <c r="O5714" t="s">
        <v>58</v>
      </c>
      <c r="P5714" t="s">
        <v>141</v>
      </c>
      <c r="Q5714" t="s">
        <v>58</v>
      </c>
      <c r="R5714" t="str">
        <f>IFERROR(VLOOKUP(record[[#This Row],[PCUSTID]],廠商[],2,FALSE),"")</f>
        <v/>
      </c>
      <c r="S5714" t="str">
        <f>VLOOKUP(record[[#This Row],[employeeID]],員工[],2,FALSE)</f>
        <v>蔣梅</v>
      </c>
    </row>
    <row r="5715" spans="6:19" hidden="1" x14ac:dyDescent="0.25">
      <c r="F5715" t="s">
        <v>1329</v>
      </c>
      <c r="G5715" t="s">
        <v>398</v>
      </c>
      <c r="H5715" t="str">
        <f>VLOOKUP(record[[#This Row],[ProcessSN]],表格2_7[],2,FALSE)</f>
        <v>30-4118-018-550</v>
      </c>
      <c r="I5715" t="str">
        <f>VLOOKUP(record[[#This Row],[ProcessSN]],表格2_7[],3,FALSE)</f>
        <v>#08RCV</v>
      </c>
      <c r="J5715" t="s">
        <v>591</v>
      </c>
      <c r="K5715" s="195">
        <v>46009.488576388889</v>
      </c>
      <c r="L5715">
        <v>16</v>
      </c>
      <c r="M5715">
        <v>0</v>
      </c>
      <c r="N5715" s="98" t="str">
        <f>IF(record[[#This Row],[Memo]]="Browser:chrome os:android","平板報工",IF(record[[#This Row],[Memo]]=0,"委外",record[[#This Row],[Memo]]))</f>
        <v>覆回</v>
      </c>
      <c r="O5715" t="s">
        <v>682</v>
      </c>
      <c r="P5715" t="s">
        <v>141</v>
      </c>
      <c r="Q5715" t="s">
        <v>58</v>
      </c>
      <c r="R5715" t="str">
        <f>IFERROR(VLOOKUP(record[[#This Row],[PCUSTID]],廠商[],2,FALSE),"")</f>
        <v/>
      </c>
      <c r="S5715" t="str">
        <f>VLOOKUP(record[[#This Row],[employeeID]],員工[],2,FALSE)</f>
        <v>蔣梅</v>
      </c>
    </row>
    <row r="5716" spans="6:19" hidden="1" x14ac:dyDescent="0.25">
      <c r="F5716" t="s">
        <v>1333</v>
      </c>
      <c r="G5716" t="s">
        <v>450</v>
      </c>
      <c r="H5716" t="str">
        <f>VLOOKUP(record[[#This Row],[ProcessSN]],表格2_7[],2,FALSE)</f>
        <v>30-4118-018-6XX</v>
      </c>
      <c r="I5716" t="str">
        <f>VLOOKUP(record[[#This Row],[ProcessSN]],表格2_7[],3,FALSE)</f>
        <v>#06</v>
      </c>
      <c r="J5716" t="s">
        <v>593</v>
      </c>
      <c r="K5716" s="195">
        <v>46009.314965277779</v>
      </c>
      <c r="L5716">
        <v>72</v>
      </c>
      <c r="M5716">
        <v>0</v>
      </c>
      <c r="N5716" s="98" t="str">
        <f>IF(record[[#This Row],[Memo]]="Browser:chrome os:android","平板報工",IF(record[[#This Row],[Memo]]=0,"委外",record[[#This Row],[Memo]]))</f>
        <v/>
      </c>
      <c r="O5716" t="s">
        <v>58</v>
      </c>
      <c r="P5716" t="s">
        <v>180</v>
      </c>
      <c r="Q5716" t="s">
        <v>58</v>
      </c>
      <c r="R5716" t="str">
        <f>IFERROR(VLOOKUP(record[[#This Row],[PCUSTID]],廠商[],2,FALSE),"")</f>
        <v/>
      </c>
      <c r="S5716" t="str">
        <f>VLOOKUP(record[[#This Row],[employeeID]],員工[],2,FALSE)</f>
        <v>黎功江</v>
      </c>
    </row>
    <row r="5717" spans="6:19" hidden="1" x14ac:dyDescent="0.25">
      <c r="F5717" t="s">
        <v>1327</v>
      </c>
      <c r="G5717" t="s">
        <v>450</v>
      </c>
      <c r="H5717" t="str">
        <f>VLOOKUP(record[[#This Row],[ProcessSN]],表格2_7[],2,FALSE)</f>
        <v>30-4118-018-6XX</v>
      </c>
      <c r="I5717" t="str">
        <f>VLOOKUP(record[[#This Row],[ProcessSN]],表格2_7[],3,FALSE)</f>
        <v>#06</v>
      </c>
      <c r="J5717" t="s">
        <v>593</v>
      </c>
      <c r="K5717" s="195">
        <v>46009.314803240741</v>
      </c>
      <c r="L5717">
        <v>62</v>
      </c>
      <c r="M5717">
        <v>0</v>
      </c>
      <c r="N5717" s="98" t="str">
        <f>IF(record[[#This Row],[Memo]]="Browser:chrome os:android","平板報工",IF(record[[#This Row],[Memo]]=0,"委外",record[[#This Row],[Memo]]))</f>
        <v/>
      </c>
      <c r="O5717" t="s">
        <v>58</v>
      </c>
      <c r="P5717" t="s">
        <v>180</v>
      </c>
      <c r="Q5717" t="s">
        <v>58</v>
      </c>
      <c r="R5717" t="str">
        <f>IFERROR(VLOOKUP(record[[#This Row],[PCUSTID]],廠商[],2,FALSE),"")</f>
        <v/>
      </c>
      <c r="S5717" t="str">
        <f>VLOOKUP(record[[#This Row],[employeeID]],員工[],2,FALSE)</f>
        <v>黎功江</v>
      </c>
    </row>
    <row r="5718" spans="6:19" hidden="1" x14ac:dyDescent="0.25">
      <c r="F5718" t="s">
        <v>1333</v>
      </c>
      <c r="G5718" t="s">
        <v>449</v>
      </c>
      <c r="H5718" t="str">
        <f>VLOOKUP(record[[#This Row],[ProcessSN]],表格2_7[],2,FALSE)</f>
        <v>30-4118-018-6XX</v>
      </c>
      <c r="I5718" t="str">
        <f>VLOOKUP(record[[#This Row],[ProcessSN]],表格2_7[],3,FALSE)</f>
        <v>#05</v>
      </c>
      <c r="J5718" t="s">
        <v>588</v>
      </c>
      <c r="K5718" s="195">
        <v>46009.314212962963</v>
      </c>
      <c r="L5718">
        <v>121</v>
      </c>
      <c r="M5718">
        <v>0</v>
      </c>
      <c r="N5718" s="98" t="str">
        <f>IF(record[[#This Row],[Memo]]="Browser:chrome os:android","平板報工",IF(record[[#This Row],[Memo]]=0,"委外",record[[#This Row],[Memo]]))</f>
        <v/>
      </c>
      <c r="O5718" t="s">
        <v>58</v>
      </c>
      <c r="P5718" t="s">
        <v>843</v>
      </c>
      <c r="Q5718" t="s">
        <v>58</v>
      </c>
      <c r="R5718" t="str">
        <f>IFERROR(VLOOKUP(record[[#This Row],[PCUSTID]],廠商[],2,FALSE),"")</f>
        <v/>
      </c>
      <c r="S5718" t="str">
        <f>VLOOKUP(record[[#This Row],[employeeID]],員工[],2,FALSE)</f>
        <v>張楚承</v>
      </c>
    </row>
    <row r="5719" spans="6:19" hidden="1" x14ac:dyDescent="0.25">
      <c r="F5719" t="s">
        <v>1290</v>
      </c>
      <c r="G5719" t="s">
        <v>418</v>
      </c>
      <c r="H5719" t="str">
        <f>VLOOKUP(record[[#This Row],[ProcessSN]],表格2_7[],2,FALSE)</f>
        <v>30-4118-018-5XX</v>
      </c>
      <c r="I5719" t="str">
        <f>VLOOKUP(record[[#This Row],[ProcessSN]],表格2_7[],3,FALSE)</f>
        <v>#07</v>
      </c>
      <c r="J5719" t="s">
        <v>588</v>
      </c>
      <c r="K5719" s="195">
        <v>46009.313831018517</v>
      </c>
      <c r="L5719">
        <v>233</v>
      </c>
      <c r="M5719">
        <v>0</v>
      </c>
      <c r="N5719" s="98" t="str">
        <f>IF(record[[#This Row],[Memo]]="Browser:chrome os:android","平板報工",IF(record[[#This Row],[Memo]]=0,"委外",record[[#This Row],[Memo]]))</f>
        <v/>
      </c>
      <c r="O5719" t="s">
        <v>58</v>
      </c>
      <c r="P5719" t="s">
        <v>843</v>
      </c>
      <c r="Q5719" t="s">
        <v>58</v>
      </c>
      <c r="R5719" t="str">
        <f>IFERROR(VLOOKUP(record[[#This Row],[PCUSTID]],廠商[],2,FALSE),"")</f>
        <v/>
      </c>
      <c r="S5719" t="str">
        <f>VLOOKUP(record[[#This Row],[employeeID]],員工[],2,FALSE)</f>
        <v>張楚承</v>
      </c>
    </row>
    <row r="5720" spans="6:19" hidden="1" x14ac:dyDescent="0.25">
      <c r="F5720" t="s">
        <v>1333</v>
      </c>
      <c r="G5720" t="s">
        <v>448</v>
      </c>
      <c r="H5720" t="str">
        <f>VLOOKUP(record[[#This Row],[ProcessSN]],表格2_7[],2,FALSE)</f>
        <v>30-4118-018-6XX</v>
      </c>
      <c r="I5720" t="str">
        <f>VLOOKUP(record[[#This Row],[ProcessSN]],表格2_7[],3,FALSE)</f>
        <v>#04</v>
      </c>
      <c r="J5720" t="s">
        <v>588</v>
      </c>
      <c r="K5720" s="195">
        <v>46009.313009259262</v>
      </c>
      <c r="L5720">
        <v>115</v>
      </c>
      <c r="M5720">
        <v>0</v>
      </c>
      <c r="N5720" s="98" t="str">
        <f>IF(record[[#This Row],[Memo]]="Browser:chrome os:android","平板報工",IF(record[[#This Row],[Memo]]=0,"委外",record[[#This Row],[Memo]]))</f>
        <v/>
      </c>
      <c r="O5720" t="s">
        <v>58</v>
      </c>
      <c r="P5720" t="s">
        <v>135</v>
      </c>
      <c r="Q5720" t="s">
        <v>58</v>
      </c>
      <c r="R5720" t="str">
        <f>IFERROR(VLOOKUP(record[[#This Row],[PCUSTID]],廠商[],2,FALSE),"")</f>
        <v/>
      </c>
      <c r="S5720" t="str">
        <f>VLOOKUP(record[[#This Row],[employeeID]],員工[],2,FALSE)</f>
        <v>阮士文</v>
      </c>
    </row>
    <row r="5721" spans="6:19" hidden="1" x14ac:dyDescent="0.25">
      <c r="F5721" t="s">
        <v>1327</v>
      </c>
      <c r="G5721" t="s">
        <v>450</v>
      </c>
      <c r="H5721" t="str">
        <f>VLOOKUP(record[[#This Row],[ProcessSN]],表格2_7[],2,FALSE)</f>
        <v>30-4118-018-6XX</v>
      </c>
      <c r="I5721" t="str">
        <f>VLOOKUP(record[[#This Row],[ProcessSN]],表格2_7[],3,FALSE)</f>
        <v>#06</v>
      </c>
      <c r="J5721" t="s">
        <v>593</v>
      </c>
      <c r="K5721" s="195">
        <v>46008.96402777778</v>
      </c>
      <c r="L5721">
        <v>107</v>
      </c>
      <c r="M5721">
        <v>0</v>
      </c>
      <c r="N5721" s="98" t="str">
        <f>IF(record[[#This Row],[Memo]]="Browser:chrome os:android","平板報工",IF(record[[#This Row],[Memo]]=0,"委外",record[[#This Row],[Memo]]))</f>
        <v/>
      </c>
      <c r="O5721" t="s">
        <v>58</v>
      </c>
      <c r="P5721" t="s">
        <v>176</v>
      </c>
      <c r="Q5721" t="s">
        <v>58</v>
      </c>
      <c r="R5721" t="str">
        <f>IFERROR(VLOOKUP(record[[#This Row],[PCUSTID]],廠商[],2,FALSE),"")</f>
        <v/>
      </c>
      <c r="S5721" t="str">
        <f>VLOOKUP(record[[#This Row],[employeeID]],員工[],2,FALSE)</f>
        <v>郭政雄</v>
      </c>
    </row>
    <row r="5722" spans="6:19" hidden="1" x14ac:dyDescent="0.25">
      <c r="F5722" t="s">
        <v>1333</v>
      </c>
      <c r="G5722" t="s">
        <v>449</v>
      </c>
      <c r="H5722" t="str">
        <f>VLOOKUP(record[[#This Row],[ProcessSN]],表格2_7[],2,FALSE)</f>
        <v>30-4118-018-6XX</v>
      </c>
      <c r="I5722" t="str">
        <f>VLOOKUP(record[[#This Row],[ProcessSN]],表格2_7[],3,FALSE)</f>
        <v>#05</v>
      </c>
      <c r="J5722" t="s">
        <v>588</v>
      </c>
      <c r="K5722" s="195">
        <v>46008.961145833331</v>
      </c>
      <c r="L5722">
        <v>130</v>
      </c>
      <c r="M5722">
        <v>0</v>
      </c>
      <c r="N5722" s="98" t="str">
        <f>IF(record[[#This Row],[Memo]]="Browser:chrome os:android","平板報工",IF(record[[#This Row],[Memo]]=0,"委外",record[[#This Row],[Memo]]))</f>
        <v/>
      </c>
      <c r="O5722" t="s">
        <v>58</v>
      </c>
      <c r="P5722" t="s">
        <v>1098</v>
      </c>
      <c r="Q5722" t="s">
        <v>58</v>
      </c>
      <c r="R5722" t="str">
        <f>IFERROR(VLOOKUP(record[[#This Row],[PCUSTID]],廠商[],2,FALSE),"")</f>
        <v/>
      </c>
      <c r="S5722" t="str">
        <f>VLOOKUP(record[[#This Row],[employeeID]],員工[],2,FALSE)</f>
        <v>阮氏芳英(英)</v>
      </c>
    </row>
    <row r="5723" spans="6:19" hidden="1" x14ac:dyDescent="0.25">
      <c r="F5723" t="s">
        <v>1327</v>
      </c>
      <c r="G5723" t="s">
        <v>449</v>
      </c>
      <c r="H5723" t="str">
        <f>VLOOKUP(record[[#This Row],[ProcessSN]],表格2_7[],2,FALSE)</f>
        <v>30-4118-018-6XX</v>
      </c>
      <c r="I5723" t="str">
        <f>VLOOKUP(record[[#This Row],[ProcessSN]],表格2_7[],3,FALSE)</f>
        <v>#05</v>
      </c>
      <c r="J5723" t="s">
        <v>588</v>
      </c>
      <c r="K5723" s="195">
        <v>46008.960659722223</v>
      </c>
      <c r="L5723">
        <v>96</v>
      </c>
      <c r="M5723">
        <v>0</v>
      </c>
      <c r="N5723" s="98" t="str">
        <f>IF(record[[#This Row],[Memo]]="Browser:chrome os:android","平板報工",IF(record[[#This Row],[Memo]]=0,"委外",record[[#This Row],[Memo]]))</f>
        <v/>
      </c>
      <c r="O5723" t="s">
        <v>58</v>
      </c>
      <c r="P5723" t="s">
        <v>1098</v>
      </c>
      <c r="Q5723" t="s">
        <v>58</v>
      </c>
      <c r="R5723" t="str">
        <f>IFERROR(VLOOKUP(record[[#This Row],[PCUSTID]],廠商[],2,FALSE),"")</f>
        <v/>
      </c>
      <c r="S5723" t="str">
        <f>VLOOKUP(record[[#This Row],[employeeID]],員工[],2,FALSE)</f>
        <v>阮氏芳英(英)</v>
      </c>
    </row>
    <row r="5724" spans="6:19" hidden="1" x14ac:dyDescent="0.25">
      <c r="F5724" t="s">
        <v>1333</v>
      </c>
      <c r="G5724" t="s">
        <v>448</v>
      </c>
      <c r="H5724" t="str">
        <f>VLOOKUP(record[[#This Row],[ProcessSN]],表格2_7[],2,FALSE)</f>
        <v>30-4118-018-6XX</v>
      </c>
      <c r="I5724" t="str">
        <f>VLOOKUP(record[[#This Row],[ProcessSN]],表格2_7[],3,FALSE)</f>
        <v>#04</v>
      </c>
      <c r="J5724" t="s">
        <v>588</v>
      </c>
      <c r="K5724" s="195">
        <v>46008.959421296298</v>
      </c>
      <c r="L5724">
        <v>130</v>
      </c>
      <c r="M5724">
        <v>0</v>
      </c>
      <c r="N5724" s="98" t="str">
        <f>IF(record[[#This Row],[Memo]]="Browser:chrome os:android","平板報工",IF(record[[#This Row],[Memo]]=0,"委外",record[[#This Row],[Memo]]))</f>
        <v/>
      </c>
      <c r="O5724" t="s">
        <v>58</v>
      </c>
      <c r="P5724" t="s">
        <v>89</v>
      </c>
      <c r="Q5724" t="s">
        <v>58</v>
      </c>
      <c r="R5724" t="str">
        <f>IFERROR(VLOOKUP(record[[#This Row],[PCUSTID]],廠商[],2,FALSE),"")</f>
        <v/>
      </c>
      <c r="S5724" t="str">
        <f>VLOOKUP(record[[#This Row],[employeeID]],員工[],2,FALSE)</f>
        <v>李美蓮</v>
      </c>
    </row>
    <row r="5725" spans="6:19" hidden="1" x14ac:dyDescent="0.25">
      <c r="F5725" t="s">
        <v>1290</v>
      </c>
      <c r="G5725" t="s">
        <v>418</v>
      </c>
      <c r="H5725" t="str">
        <f>VLOOKUP(record[[#This Row],[ProcessSN]],表格2_7[],2,FALSE)</f>
        <v>30-4118-018-5XX</v>
      </c>
      <c r="I5725" t="str">
        <f>VLOOKUP(record[[#This Row],[ProcessSN]],表格2_7[],3,FALSE)</f>
        <v>#07</v>
      </c>
      <c r="J5725" t="s">
        <v>588</v>
      </c>
      <c r="K5725" s="195">
        <v>46008.924131944441</v>
      </c>
      <c r="L5725">
        <v>185</v>
      </c>
      <c r="M5725">
        <v>0</v>
      </c>
      <c r="N5725" s="98" t="str">
        <f>IF(record[[#This Row],[Memo]]="Browser:chrome os:android","平板報工",IF(record[[#This Row],[Memo]]=0,"委外",record[[#This Row],[Memo]]))</f>
        <v/>
      </c>
      <c r="O5725" t="s">
        <v>58</v>
      </c>
      <c r="P5725" t="s">
        <v>89</v>
      </c>
      <c r="Q5725" t="s">
        <v>58</v>
      </c>
      <c r="R5725" t="str">
        <f>IFERROR(VLOOKUP(record[[#This Row],[PCUSTID]],廠商[],2,FALSE),"")</f>
        <v/>
      </c>
      <c r="S5725" t="str">
        <f>VLOOKUP(record[[#This Row],[employeeID]],員工[],2,FALSE)</f>
        <v>李美蓮</v>
      </c>
    </row>
    <row r="5726" spans="6:19" hidden="1" x14ac:dyDescent="0.25">
      <c r="F5726" t="s">
        <v>1290</v>
      </c>
      <c r="G5726" t="s">
        <v>417</v>
      </c>
      <c r="H5726" t="str">
        <f>VLOOKUP(record[[#This Row],[ProcessSN]],表格2_7[],2,FALSE)</f>
        <v>30-4118-018-5XX</v>
      </c>
      <c r="I5726" t="str">
        <f>VLOOKUP(record[[#This Row],[ProcessSN]],表格2_7[],3,FALSE)</f>
        <v>#06</v>
      </c>
      <c r="J5726" t="s">
        <v>593</v>
      </c>
      <c r="K5726" s="195">
        <v>46008.742361111108</v>
      </c>
      <c r="L5726">
        <v>26</v>
      </c>
      <c r="M5726">
        <v>0</v>
      </c>
      <c r="N5726" s="98" t="str">
        <f>IF(record[[#This Row],[Memo]]="Browser:chrome os:android","平板報工",IF(record[[#This Row],[Memo]]=0,"委外",record[[#This Row],[Memo]]))</f>
        <v/>
      </c>
      <c r="O5726" t="s">
        <v>58</v>
      </c>
      <c r="P5726" t="s">
        <v>176</v>
      </c>
      <c r="Q5726" t="s">
        <v>58</v>
      </c>
      <c r="R5726" t="str">
        <f>IFERROR(VLOOKUP(record[[#This Row],[PCUSTID]],廠商[],2,FALSE),"")</f>
        <v/>
      </c>
      <c r="S5726" t="str">
        <f>VLOOKUP(record[[#This Row],[employeeID]],員工[],2,FALSE)</f>
        <v>郭政雄</v>
      </c>
    </row>
    <row r="5727" spans="6:19" hidden="1" x14ac:dyDescent="0.25">
      <c r="F5727" t="s">
        <v>1285</v>
      </c>
      <c r="G5727" t="s">
        <v>471</v>
      </c>
      <c r="H5727" t="str">
        <f>VLOOKUP(record[[#This Row],[ProcessSN]],表格2_7[],2,FALSE)</f>
        <v>30-4118-018-XXX</v>
      </c>
      <c r="I5727" t="str">
        <f>VLOOKUP(record[[#This Row],[ProcessSN]],表格2_7[],3,FALSE)</f>
        <v>#02STOCK</v>
      </c>
      <c r="J5727" t="s">
        <v>592</v>
      </c>
      <c r="K5727" s="195">
        <v>46008.727303240739</v>
      </c>
      <c r="L5727">
        <v>1331</v>
      </c>
      <c r="M5727">
        <v>0</v>
      </c>
      <c r="N5727" s="98" t="str">
        <f>IF(record[[#This Row],[Memo]]="Browser:chrome os:android","平板報工",IF(record[[#This Row],[Memo]]=0,"委外",record[[#This Row],[Memo]]))</f>
        <v/>
      </c>
      <c r="O5727" t="s">
        <v>58</v>
      </c>
      <c r="P5727" t="s">
        <v>113</v>
      </c>
      <c r="Q5727" t="s">
        <v>58</v>
      </c>
      <c r="R5727" t="str">
        <f>IFERROR(VLOOKUP(record[[#This Row],[PCUSTID]],廠商[],2,FALSE),"")</f>
        <v/>
      </c>
      <c r="S5727" t="str">
        <f>VLOOKUP(record[[#This Row],[employeeID]],員工[],2,FALSE)</f>
        <v>王奕蓁</v>
      </c>
    </row>
    <row r="5728" spans="6:19" hidden="1" x14ac:dyDescent="0.25">
      <c r="F5728" t="s">
        <v>1285</v>
      </c>
      <c r="G5728" t="s">
        <v>471</v>
      </c>
      <c r="H5728" t="str">
        <f>VLOOKUP(record[[#This Row],[ProcessSN]],表格2_7[],2,FALSE)</f>
        <v>30-4118-018-XXX</v>
      </c>
      <c r="I5728" t="str">
        <f>VLOOKUP(record[[#This Row],[ProcessSN]],表格2_7[],3,FALSE)</f>
        <v>#02STOCK</v>
      </c>
      <c r="J5728" t="s">
        <v>592</v>
      </c>
      <c r="K5728" s="195">
        <v>46008.727175925924</v>
      </c>
      <c r="L5728">
        <v>180</v>
      </c>
      <c r="M5728">
        <v>0</v>
      </c>
      <c r="N5728" s="98" t="str">
        <f>IF(record[[#This Row],[Memo]]="Browser:chrome os:android","平板報工",IF(record[[#This Row],[Memo]]=0,"委外",record[[#This Row],[Memo]]))</f>
        <v/>
      </c>
      <c r="O5728" t="s">
        <v>58</v>
      </c>
      <c r="P5728" t="s">
        <v>113</v>
      </c>
      <c r="Q5728" t="s">
        <v>58</v>
      </c>
      <c r="R5728" t="str">
        <f>IFERROR(VLOOKUP(record[[#This Row],[PCUSTID]],廠商[],2,FALSE),"")</f>
        <v/>
      </c>
      <c r="S5728" t="str">
        <f>VLOOKUP(record[[#This Row],[employeeID]],員工[],2,FALSE)</f>
        <v>王奕蓁</v>
      </c>
    </row>
    <row r="5729" spans="6:19" hidden="1" x14ac:dyDescent="0.25">
      <c r="F5729" t="s">
        <v>1289</v>
      </c>
      <c r="G5729" t="s">
        <v>403</v>
      </c>
      <c r="H5729" t="str">
        <f>VLOOKUP(record[[#This Row],[ProcessSN]],表格2_7[],2,FALSE)</f>
        <v>30-4118-018-550</v>
      </c>
      <c r="I5729" t="str">
        <f>VLOOKUP(record[[#This Row],[ProcessSN]],表格2_7[],3,FALSE)</f>
        <v>#100SHIP</v>
      </c>
      <c r="J5729" t="s">
        <v>600</v>
      </c>
      <c r="K5729" s="195">
        <v>46008.701284722221</v>
      </c>
      <c r="L5729">
        <v>155</v>
      </c>
      <c r="M5729">
        <v>0</v>
      </c>
      <c r="N5729" s="98" t="str">
        <f>IF(record[[#This Row],[Memo]]="Browser:chrome os:android","平板報工",IF(record[[#This Row],[Memo]]=0,"委外",record[[#This Row],[Memo]]))</f>
        <v/>
      </c>
      <c r="O5729" t="s">
        <v>58</v>
      </c>
      <c r="P5729" t="s">
        <v>886</v>
      </c>
      <c r="Q5729" t="s">
        <v>58</v>
      </c>
      <c r="R5729" t="str">
        <f>IFERROR(VLOOKUP(record[[#This Row],[PCUSTID]],廠商[],2,FALSE),"")</f>
        <v/>
      </c>
      <c r="S5729" t="str">
        <f>VLOOKUP(record[[#This Row],[employeeID]],員工[],2,FALSE)</f>
        <v>謝蓁薰</v>
      </c>
    </row>
    <row r="5730" spans="6:19" hidden="1" x14ac:dyDescent="0.25">
      <c r="F5730" t="s">
        <v>1329</v>
      </c>
      <c r="G5730" t="s">
        <v>403</v>
      </c>
      <c r="H5730" t="str">
        <f>VLOOKUP(record[[#This Row],[ProcessSN]],表格2_7[],2,FALSE)</f>
        <v>30-4118-018-550</v>
      </c>
      <c r="I5730" t="str">
        <f>VLOOKUP(record[[#This Row],[ProcessSN]],表格2_7[],3,FALSE)</f>
        <v>#100SHIP</v>
      </c>
      <c r="J5730" t="s">
        <v>600</v>
      </c>
      <c r="K5730" s="195">
        <v>46008.69976851852</v>
      </c>
      <c r="L5730">
        <v>67</v>
      </c>
      <c r="M5730">
        <v>0</v>
      </c>
      <c r="N5730" s="98" t="str">
        <f>IF(record[[#This Row],[Memo]]="Browser:chrome os:android","平板報工",IF(record[[#This Row],[Memo]]=0,"委外",record[[#This Row],[Memo]]))</f>
        <v/>
      </c>
      <c r="O5730" t="s">
        <v>58</v>
      </c>
      <c r="P5730" t="s">
        <v>886</v>
      </c>
      <c r="Q5730" t="s">
        <v>58</v>
      </c>
      <c r="R5730" t="str">
        <f>IFERROR(VLOOKUP(record[[#This Row],[PCUSTID]],廠商[],2,FALSE),"")</f>
        <v/>
      </c>
      <c r="S5730" t="str">
        <f>VLOOKUP(record[[#This Row],[employeeID]],員工[],2,FALSE)</f>
        <v>謝蓁薰</v>
      </c>
    </row>
    <row r="5731" spans="6:19" hidden="1" x14ac:dyDescent="0.25">
      <c r="F5731" t="s">
        <v>1317</v>
      </c>
      <c r="G5731" t="s">
        <v>403</v>
      </c>
      <c r="H5731" t="str">
        <f>VLOOKUP(record[[#This Row],[ProcessSN]],表格2_7[],2,FALSE)</f>
        <v>30-4118-018-550</v>
      </c>
      <c r="I5731" t="str">
        <f>VLOOKUP(record[[#This Row],[ProcessSN]],表格2_7[],3,FALSE)</f>
        <v>#100SHIP</v>
      </c>
      <c r="J5731" t="s">
        <v>600</v>
      </c>
      <c r="K5731" s="195">
        <v>46008.699629629627</v>
      </c>
      <c r="L5731">
        <v>139</v>
      </c>
      <c r="M5731">
        <v>0</v>
      </c>
      <c r="N5731" s="98" t="str">
        <f>IF(record[[#This Row],[Memo]]="Browser:chrome os:android","平板報工",IF(record[[#This Row],[Memo]]=0,"委外",record[[#This Row],[Memo]]))</f>
        <v/>
      </c>
      <c r="O5731" t="s">
        <v>58</v>
      </c>
      <c r="P5731" t="s">
        <v>886</v>
      </c>
      <c r="Q5731" t="s">
        <v>58</v>
      </c>
      <c r="R5731" t="str">
        <f>IFERROR(VLOOKUP(record[[#This Row],[PCUSTID]],廠商[],2,FALSE),"")</f>
        <v/>
      </c>
      <c r="S5731" t="str">
        <f>VLOOKUP(record[[#This Row],[employeeID]],員工[],2,FALSE)</f>
        <v>謝蓁薰</v>
      </c>
    </row>
    <row r="5732" spans="6:19" hidden="1" x14ac:dyDescent="0.25">
      <c r="F5732" t="s">
        <v>1306</v>
      </c>
      <c r="G5732" t="s">
        <v>403</v>
      </c>
      <c r="H5732" t="str">
        <f>VLOOKUP(record[[#This Row],[ProcessSN]],表格2_7[],2,FALSE)</f>
        <v>30-4118-018-550</v>
      </c>
      <c r="I5732" t="str">
        <f>VLOOKUP(record[[#This Row],[ProcessSN]],表格2_7[],3,FALSE)</f>
        <v>#100SHIP</v>
      </c>
      <c r="J5732" t="s">
        <v>600</v>
      </c>
      <c r="K5732" s="195">
        <v>46008.699479166666</v>
      </c>
      <c r="L5732">
        <v>394</v>
      </c>
      <c r="M5732">
        <v>0</v>
      </c>
      <c r="N5732" s="98" t="str">
        <f>IF(record[[#This Row],[Memo]]="Browser:chrome os:android","平板報工",IF(record[[#This Row],[Memo]]=0,"委外",record[[#This Row],[Memo]]))</f>
        <v/>
      </c>
      <c r="O5732" t="s">
        <v>58</v>
      </c>
      <c r="P5732" t="s">
        <v>886</v>
      </c>
      <c r="Q5732" t="s">
        <v>58</v>
      </c>
      <c r="R5732" t="str">
        <f>IFERROR(VLOOKUP(record[[#This Row],[PCUSTID]],廠商[],2,FALSE),"")</f>
        <v/>
      </c>
      <c r="S5732" t="str">
        <f>VLOOKUP(record[[#This Row],[employeeID]],員工[],2,FALSE)</f>
        <v>謝蓁薰</v>
      </c>
    </row>
    <row r="5733" spans="6:19" hidden="1" x14ac:dyDescent="0.25">
      <c r="F5733" t="s">
        <v>1285</v>
      </c>
      <c r="G5733" t="s">
        <v>470</v>
      </c>
      <c r="H5733" t="str">
        <f>VLOOKUP(record[[#This Row],[ProcessSN]],表格2_7[],2,FALSE)</f>
        <v>30-4118-018-XXX</v>
      </c>
      <c r="I5733" t="str">
        <f>VLOOKUP(record[[#This Row],[ProcessSN]],表格2_7[],3,FALSE)</f>
        <v>#02IQC</v>
      </c>
      <c r="J5733" t="s">
        <v>583</v>
      </c>
      <c r="K5733" s="195">
        <v>46008.699363425927</v>
      </c>
      <c r="L5733">
        <v>1511</v>
      </c>
      <c r="M5733">
        <v>0</v>
      </c>
      <c r="N5733" s="98" t="str">
        <f>IF(record[[#This Row],[Memo]]="Browser:chrome os:android","平板報工",IF(record[[#This Row],[Memo]]=0,"委外",record[[#This Row],[Memo]]))</f>
        <v/>
      </c>
      <c r="O5733" t="s">
        <v>58</v>
      </c>
      <c r="P5733" t="s">
        <v>109</v>
      </c>
      <c r="Q5733" t="s">
        <v>58</v>
      </c>
      <c r="R5733" t="str">
        <f>IFERROR(VLOOKUP(record[[#This Row],[PCUSTID]],廠商[],2,FALSE),"")</f>
        <v/>
      </c>
      <c r="S5733" t="str">
        <f>VLOOKUP(record[[#This Row],[employeeID]],員工[],2,FALSE)</f>
        <v>裴氏璧鳳</v>
      </c>
    </row>
    <row r="5734" spans="6:19" hidden="1" x14ac:dyDescent="0.25">
      <c r="F5734" t="s">
        <v>1302</v>
      </c>
      <c r="G5734" t="s">
        <v>403</v>
      </c>
      <c r="H5734" t="str">
        <f>VLOOKUP(record[[#This Row],[ProcessSN]],表格2_7[],2,FALSE)</f>
        <v>30-4118-018-550</v>
      </c>
      <c r="I5734" t="str">
        <f>VLOOKUP(record[[#This Row],[ProcessSN]],表格2_7[],3,FALSE)</f>
        <v>#100SHIP</v>
      </c>
      <c r="J5734" t="s">
        <v>600</v>
      </c>
      <c r="K5734" s="195">
        <v>46008.699305555558</v>
      </c>
      <c r="L5734">
        <v>48</v>
      </c>
      <c r="M5734">
        <v>0</v>
      </c>
      <c r="N5734" s="98" t="str">
        <f>IF(record[[#This Row],[Memo]]="Browser:chrome os:android","平板報工",IF(record[[#This Row],[Memo]]=0,"委外",record[[#This Row],[Memo]]))</f>
        <v/>
      </c>
      <c r="O5734" t="s">
        <v>58</v>
      </c>
      <c r="P5734" t="s">
        <v>886</v>
      </c>
      <c r="Q5734" t="s">
        <v>58</v>
      </c>
      <c r="R5734" t="str">
        <f>IFERROR(VLOOKUP(record[[#This Row],[PCUSTID]],廠商[],2,FALSE),"")</f>
        <v/>
      </c>
      <c r="S5734" t="str">
        <f>VLOOKUP(record[[#This Row],[employeeID]],員工[],2,FALSE)</f>
        <v>謝蓁薰</v>
      </c>
    </row>
    <row r="5735" spans="6:19" hidden="1" x14ac:dyDescent="0.25">
      <c r="F5735" t="s">
        <v>1339</v>
      </c>
      <c r="G5735" t="s">
        <v>372</v>
      </c>
      <c r="H5735" t="str">
        <f>VLOOKUP(record[[#This Row],[ProcessSN]],表格2_7[],2,FALSE)</f>
        <v>30-4118-018-4XX</v>
      </c>
      <c r="I5735" t="str">
        <f>VLOOKUP(record[[#This Row],[ProcessSN]],表格2_7[],3,FALSE)</f>
        <v>#03GIVE</v>
      </c>
      <c r="J5735" t="s">
        <v>587</v>
      </c>
      <c r="K5735" s="195">
        <v>46008.698067129626</v>
      </c>
      <c r="L5735">
        <v>1331</v>
      </c>
      <c r="M5735">
        <v>0</v>
      </c>
      <c r="N5735" s="98" t="str">
        <f>IF(record[[#This Row],[Memo]]="Browser:chrome os:android","平板報工",IF(record[[#This Row],[Memo]]=0,"委外",record[[#This Row],[Memo]]))</f>
        <v/>
      </c>
      <c r="O5735" t="s">
        <v>58</v>
      </c>
      <c r="P5735" t="s">
        <v>1070</v>
      </c>
      <c r="Q5735" t="s">
        <v>58</v>
      </c>
      <c r="R5735" t="str">
        <f>IFERROR(VLOOKUP(record[[#This Row],[PCUSTID]],廠商[],2,FALSE),"")</f>
        <v/>
      </c>
      <c r="S5735" t="str">
        <f>VLOOKUP(record[[#This Row],[employeeID]],員工[],2,FALSE)</f>
        <v>陳昱佑</v>
      </c>
    </row>
    <row r="5736" spans="6:19" hidden="1" x14ac:dyDescent="0.25">
      <c r="F5736" t="s">
        <v>1338</v>
      </c>
      <c r="G5736" t="s">
        <v>446</v>
      </c>
      <c r="H5736" t="str">
        <f>VLOOKUP(record[[#This Row],[ProcessSN]],表格2_7[],2,FALSE)</f>
        <v>30-4118-018-6XX</v>
      </c>
      <c r="I5736" t="str">
        <f>VLOOKUP(record[[#This Row],[ProcessSN]],表格2_7[],3,FALSE)</f>
        <v>#03GIVE</v>
      </c>
      <c r="J5736" t="s">
        <v>587</v>
      </c>
      <c r="K5736" s="195">
        <v>46008.697754629633</v>
      </c>
      <c r="L5736">
        <v>180</v>
      </c>
      <c r="M5736">
        <v>0</v>
      </c>
      <c r="N5736" s="98" t="str">
        <f>IF(record[[#This Row],[Memo]]="Browser:chrome os:android","平板報工",IF(record[[#This Row],[Memo]]=0,"委外",record[[#This Row],[Memo]]))</f>
        <v/>
      </c>
      <c r="O5736" t="s">
        <v>58</v>
      </c>
      <c r="P5736" t="s">
        <v>1070</v>
      </c>
      <c r="Q5736" t="s">
        <v>58</v>
      </c>
      <c r="R5736" t="str">
        <f>IFERROR(VLOOKUP(record[[#This Row],[PCUSTID]],廠商[],2,FALSE),"")</f>
        <v/>
      </c>
      <c r="S5736" t="str">
        <f>VLOOKUP(record[[#This Row],[employeeID]],員工[],2,FALSE)</f>
        <v>陳昱佑</v>
      </c>
    </row>
    <row r="5737" spans="6:19" hidden="1" x14ac:dyDescent="0.25">
      <c r="F5737" t="s">
        <v>1329</v>
      </c>
      <c r="G5737" t="s">
        <v>402</v>
      </c>
      <c r="H5737" t="str">
        <f>VLOOKUP(record[[#This Row],[ProcessSN]],表格2_7[],2,FALSE)</f>
        <v>30-4118-018-550</v>
      </c>
      <c r="I5737" t="str">
        <f>VLOOKUP(record[[#This Row],[ProcessSN]],表格2_7[],3,FALSE)</f>
        <v>#100STOCK</v>
      </c>
      <c r="J5737" t="s">
        <v>592</v>
      </c>
      <c r="K5737" s="195">
        <v>46008.696377314816</v>
      </c>
      <c r="L5737">
        <v>67</v>
      </c>
      <c r="M5737">
        <v>0</v>
      </c>
      <c r="N5737" s="98" t="str">
        <f>IF(record[[#This Row],[Memo]]="Browser:chrome os:android","平板報工",IF(record[[#This Row],[Memo]]=0,"委外",record[[#This Row],[Memo]]))</f>
        <v/>
      </c>
      <c r="O5737" t="s">
        <v>58</v>
      </c>
      <c r="P5737" t="s">
        <v>886</v>
      </c>
      <c r="Q5737" t="s">
        <v>58</v>
      </c>
      <c r="R5737" t="str">
        <f>IFERROR(VLOOKUP(record[[#This Row],[PCUSTID]],廠商[],2,FALSE),"")</f>
        <v/>
      </c>
      <c r="S5737" t="str">
        <f>VLOOKUP(record[[#This Row],[employeeID]],員工[],2,FALSE)</f>
        <v>謝蓁薰</v>
      </c>
    </row>
    <row r="5738" spans="6:19" hidden="1" x14ac:dyDescent="0.25">
      <c r="F5738" t="s">
        <v>1329</v>
      </c>
      <c r="G5738" t="s">
        <v>401</v>
      </c>
      <c r="H5738" t="str">
        <f>VLOOKUP(record[[#This Row],[ProcessSN]],表格2_7[],2,FALSE)</f>
        <v>30-4118-018-550</v>
      </c>
      <c r="I5738" t="str">
        <f>VLOOKUP(record[[#This Row],[ProcessSN]],表格2_7[],3,FALSE)</f>
        <v>#100OQC</v>
      </c>
      <c r="J5738" t="s">
        <v>599</v>
      </c>
      <c r="K5738" s="195">
        <v>46008.695868055554</v>
      </c>
      <c r="L5738">
        <v>72</v>
      </c>
      <c r="M5738">
        <v>0</v>
      </c>
      <c r="N5738" s="98" t="str">
        <f>IF(record[[#This Row],[Memo]]="Browser:chrome os:android","平板報工",IF(record[[#This Row],[Memo]]=0,"委外",record[[#This Row],[Memo]]))</f>
        <v/>
      </c>
      <c r="O5738" t="s">
        <v>58</v>
      </c>
      <c r="P5738" t="s">
        <v>121</v>
      </c>
      <c r="Q5738" t="s">
        <v>58</v>
      </c>
      <c r="R5738" t="str">
        <f>IFERROR(VLOOKUP(record[[#This Row],[PCUSTID]],廠商[],2,FALSE),"")</f>
        <v/>
      </c>
      <c r="S5738" t="str">
        <f>VLOOKUP(record[[#This Row],[employeeID]],員工[],2,FALSE)</f>
        <v>謝素卿</v>
      </c>
    </row>
    <row r="5739" spans="6:19" hidden="1" x14ac:dyDescent="0.25">
      <c r="F5739" t="s">
        <v>1315</v>
      </c>
      <c r="G5739" t="s">
        <v>361</v>
      </c>
      <c r="H5739" t="str">
        <f>VLOOKUP(record[[#This Row],[ProcessSN]],表格2_7[],2,FALSE)</f>
        <v>30-4118-018-450</v>
      </c>
      <c r="I5739" t="str">
        <f>VLOOKUP(record[[#This Row],[ProcessSN]],表格2_7[],3,FALSE)</f>
        <v>#100STOCK</v>
      </c>
      <c r="J5739" t="s">
        <v>592</v>
      </c>
      <c r="K5739" s="195">
        <v>46008.670370370368</v>
      </c>
      <c r="L5739">
        <v>219</v>
      </c>
      <c r="M5739">
        <v>0</v>
      </c>
      <c r="N5739" s="98" t="str">
        <f>IF(record[[#This Row],[Memo]]="Browser:chrome os:android","平板報工",IF(record[[#This Row],[Memo]]=0,"委外",record[[#This Row],[Memo]]))</f>
        <v/>
      </c>
      <c r="O5739" t="s">
        <v>58</v>
      </c>
      <c r="P5739" t="s">
        <v>886</v>
      </c>
      <c r="Q5739" t="s">
        <v>58</v>
      </c>
      <c r="R5739" t="str">
        <f>IFERROR(VLOOKUP(record[[#This Row],[PCUSTID]],廠商[],2,FALSE),"")</f>
        <v/>
      </c>
      <c r="S5739" t="str">
        <f>VLOOKUP(record[[#This Row],[employeeID]],員工[],2,FALSE)</f>
        <v>謝蓁薰</v>
      </c>
    </row>
    <row r="5740" spans="6:19" hidden="1" x14ac:dyDescent="0.25">
      <c r="F5740" t="s">
        <v>1277</v>
      </c>
      <c r="G5740" t="s">
        <v>361</v>
      </c>
      <c r="H5740" t="str">
        <f>VLOOKUP(record[[#This Row],[ProcessSN]],表格2_7[],2,FALSE)</f>
        <v>30-4118-018-450</v>
      </c>
      <c r="I5740" t="str">
        <f>VLOOKUP(record[[#This Row],[ProcessSN]],表格2_7[],3,FALSE)</f>
        <v>#100STOCK</v>
      </c>
      <c r="J5740" t="s">
        <v>592</v>
      </c>
      <c r="K5740" s="195">
        <v>46008.670219907406</v>
      </c>
      <c r="L5740">
        <v>142</v>
      </c>
      <c r="M5740">
        <v>0</v>
      </c>
      <c r="N5740" s="98" t="str">
        <f>IF(record[[#This Row],[Memo]]="Browser:chrome os:android","平板報工",IF(record[[#This Row],[Memo]]=0,"委外",record[[#This Row],[Memo]]))</f>
        <v/>
      </c>
      <c r="O5740" t="s">
        <v>58</v>
      </c>
      <c r="P5740" t="s">
        <v>886</v>
      </c>
      <c r="Q5740" t="s">
        <v>58</v>
      </c>
      <c r="R5740" t="str">
        <f>IFERROR(VLOOKUP(record[[#This Row],[PCUSTID]],廠商[],2,FALSE),"")</f>
        <v/>
      </c>
      <c r="S5740" t="str">
        <f>VLOOKUP(record[[#This Row],[employeeID]],員工[],2,FALSE)</f>
        <v>謝蓁薰</v>
      </c>
    </row>
    <row r="5741" spans="6:19" hidden="1" x14ac:dyDescent="0.25">
      <c r="F5741" t="s">
        <v>1290</v>
      </c>
      <c r="G5741" t="s">
        <v>417</v>
      </c>
      <c r="H5741" t="str">
        <f>VLOOKUP(record[[#This Row],[ProcessSN]],表格2_7[],2,FALSE)</f>
        <v>30-4118-018-5XX</v>
      </c>
      <c r="I5741" t="str">
        <f>VLOOKUP(record[[#This Row],[ProcessSN]],表格2_7[],3,FALSE)</f>
        <v>#06</v>
      </c>
      <c r="J5741" t="s">
        <v>593</v>
      </c>
      <c r="K5741" s="195">
        <v>46008.659421296295</v>
      </c>
      <c r="L5741">
        <v>70</v>
      </c>
      <c r="M5741">
        <v>0</v>
      </c>
      <c r="N5741" s="98" t="str">
        <f>IF(record[[#This Row],[Memo]]="Browser:chrome os:android","平板報工",IF(record[[#This Row],[Memo]]=0,"委外",record[[#This Row],[Memo]]))</f>
        <v/>
      </c>
      <c r="O5741" t="s">
        <v>58</v>
      </c>
      <c r="P5741" t="s">
        <v>166</v>
      </c>
      <c r="Q5741" t="s">
        <v>58</v>
      </c>
      <c r="R5741" t="str">
        <f>IFERROR(VLOOKUP(record[[#This Row],[PCUSTID]],廠商[],2,FALSE),"")</f>
        <v/>
      </c>
      <c r="S5741" t="str">
        <f>VLOOKUP(record[[#This Row],[employeeID]],員工[],2,FALSE)</f>
        <v>阮懷香</v>
      </c>
    </row>
    <row r="5742" spans="6:19" hidden="1" x14ac:dyDescent="0.25">
      <c r="F5742" t="s">
        <v>1290</v>
      </c>
      <c r="G5742" t="s">
        <v>418</v>
      </c>
      <c r="H5742" t="str">
        <f>VLOOKUP(record[[#This Row],[ProcessSN]],表格2_7[],2,FALSE)</f>
        <v>30-4118-018-5XX</v>
      </c>
      <c r="I5742" t="str">
        <f>VLOOKUP(record[[#This Row],[ProcessSN]],表格2_7[],3,FALSE)</f>
        <v>#07</v>
      </c>
      <c r="J5742" t="s">
        <v>588</v>
      </c>
      <c r="K5742" s="195">
        <v>46008.658773148149</v>
      </c>
      <c r="L5742">
        <v>185</v>
      </c>
      <c r="M5742">
        <v>1</v>
      </c>
      <c r="N5742" s="98" t="str">
        <f>IF(record[[#This Row],[Memo]]="Browser:chrome os:android","平板報工",IF(record[[#This Row],[Memo]]=0,"委外",record[[#This Row],[Memo]]))</f>
        <v/>
      </c>
      <c r="O5742" t="s">
        <v>58</v>
      </c>
      <c r="P5742" t="s">
        <v>785</v>
      </c>
      <c r="Q5742" t="s">
        <v>58</v>
      </c>
      <c r="R5742" t="str">
        <f>IFERROR(VLOOKUP(record[[#This Row],[PCUSTID]],廠商[],2,FALSE),"")</f>
        <v/>
      </c>
      <c r="S5742" t="str">
        <f>VLOOKUP(record[[#This Row],[employeeID]],員工[],2,FALSE)</f>
        <v>謝刻光</v>
      </c>
    </row>
    <row r="5743" spans="6:19" hidden="1" x14ac:dyDescent="0.25">
      <c r="F5743" t="s">
        <v>1333</v>
      </c>
      <c r="G5743" t="s">
        <v>448</v>
      </c>
      <c r="H5743" t="str">
        <f>VLOOKUP(record[[#This Row],[ProcessSN]],表格2_7[],2,FALSE)</f>
        <v>30-4118-018-6XX</v>
      </c>
      <c r="I5743" t="str">
        <f>VLOOKUP(record[[#This Row],[ProcessSN]],表格2_7[],3,FALSE)</f>
        <v>#04</v>
      </c>
      <c r="J5743" t="s">
        <v>588</v>
      </c>
      <c r="K5743" s="195">
        <v>46008.658032407409</v>
      </c>
      <c r="L5743">
        <v>6</v>
      </c>
      <c r="M5743">
        <v>2</v>
      </c>
      <c r="N5743" s="98" t="str">
        <f>IF(record[[#This Row],[Memo]]="Browser:chrome os:android","平板報工",IF(record[[#This Row],[Memo]]=0,"委外",record[[#This Row],[Memo]]))</f>
        <v/>
      </c>
      <c r="O5743" t="s">
        <v>58</v>
      </c>
      <c r="P5743" t="s">
        <v>789</v>
      </c>
      <c r="Q5743" t="s">
        <v>58</v>
      </c>
      <c r="R5743" t="str">
        <f>IFERROR(VLOOKUP(record[[#This Row],[PCUSTID]],廠商[],2,FALSE),"")</f>
        <v/>
      </c>
      <c r="S5743" t="str">
        <f>VLOOKUP(record[[#This Row],[employeeID]],員工[],2,FALSE)</f>
        <v>張月霞</v>
      </c>
    </row>
    <row r="5744" spans="6:19" hidden="1" x14ac:dyDescent="0.25">
      <c r="F5744" t="s">
        <v>1327</v>
      </c>
      <c r="G5744" t="s">
        <v>449</v>
      </c>
      <c r="H5744" t="str">
        <f>VLOOKUP(record[[#This Row],[ProcessSN]],表格2_7[],2,FALSE)</f>
        <v>30-4118-018-6XX</v>
      </c>
      <c r="I5744" t="str">
        <f>VLOOKUP(record[[#This Row],[ProcessSN]],表格2_7[],3,FALSE)</f>
        <v>#05</v>
      </c>
      <c r="J5744" t="s">
        <v>588</v>
      </c>
      <c r="K5744" s="195">
        <v>46008.657870370371</v>
      </c>
      <c r="L5744">
        <v>32</v>
      </c>
      <c r="M5744">
        <v>0</v>
      </c>
      <c r="N5744" s="98" t="str">
        <f>IF(record[[#This Row],[Memo]]="Browser:chrome os:android","平板報工",IF(record[[#This Row],[Memo]]=0,"委外",record[[#This Row],[Memo]]))</f>
        <v/>
      </c>
      <c r="O5744" t="s">
        <v>58</v>
      </c>
      <c r="P5744" t="s">
        <v>789</v>
      </c>
      <c r="Q5744" t="s">
        <v>58</v>
      </c>
      <c r="R5744" t="str">
        <f>IFERROR(VLOOKUP(record[[#This Row],[PCUSTID]],廠商[],2,FALSE),"")</f>
        <v/>
      </c>
      <c r="S5744" t="str">
        <f>VLOOKUP(record[[#This Row],[employeeID]],員工[],2,FALSE)</f>
        <v>張月霞</v>
      </c>
    </row>
    <row r="5745" spans="6:19" hidden="1" x14ac:dyDescent="0.25">
      <c r="F5745" t="s">
        <v>1327</v>
      </c>
      <c r="G5745" t="s">
        <v>448</v>
      </c>
      <c r="H5745" t="str">
        <f>VLOOKUP(record[[#This Row],[ProcessSN]],表格2_7[],2,FALSE)</f>
        <v>30-4118-018-6XX</v>
      </c>
      <c r="I5745" t="str">
        <f>VLOOKUP(record[[#This Row],[ProcessSN]],表格2_7[],3,FALSE)</f>
        <v>#04</v>
      </c>
      <c r="J5745" t="s">
        <v>588</v>
      </c>
      <c r="K5745" s="195">
        <v>46008.657708333332</v>
      </c>
      <c r="L5745">
        <v>128</v>
      </c>
      <c r="M5745">
        <v>0</v>
      </c>
      <c r="N5745" s="98" t="str">
        <f>IF(record[[#This Row],[Memo]]="Browser:chrome os:android","平板報工",IF(record[[#This Row],[Memo]]=0,"委外",record[[#This Row],[Memo]]))</f>
        <v/>
      </c>
      <c r="O5745" t="s">
        <v>58</v>
      </c>
      <c r="P5745" t="s">
        <v>789</v>
      </c>
      <c r="Q5745" t="s">
        <v>58</v>
      </c>
      <c r="R5745" t="str">
        <f>IFERROR(VLOOKUP(record[[#This Row],[PCUSTID]],廠商[],2,FALSE),"")</f>
        <v/>
      </c>
      <c r="S5745" t="str">
        <f>VLOOKUP(record[[#This Row],[employeeID]],員工[],2,FALSE)</f>
        <v>張月霞</v>
      </c>
    </row>
    <row r="5746" spans="6:19" hidden="1" x14ac:dyDescent="0.25">
      <c r="F5746" t="s">
        <v>1260</v>
      </c>
      <c r="G5746" t="s">
        <v>427</v>
      </c>
      <c r="H5746" t="str">
        <f>VLOOKUP(record[[#This Row],[ProcessSN]],表格2_7[],2,FALSE)</f>
        <v>30-4118-018-600</v>
      </c>
      <c r="I5746" t="str">
        <f>VLOOKUP(record[[#This Row],[ProcessSN]],表格2_7[],3,FALSE)</f>
        <v>#100STOCK</v>
      </c>
      <c r="J5746" t="s">
        <v>592</v>
      </c>
      <c r="K5746" s="195">
        <v>46008.639374999999</v>
      </c>
      <c r="L5746">
        <v>166</v>
      </c>
      <c r="M5746">
        <v>0</v>
      </c>
      <c r="N5746" s="98" t="str">
        <f>IF(record[[#This Row],[Memo]]="Browser:chrome os:android","平板報工",IF(record[[#This Row],[Memo]]=0,"委外",record[[#This Row],[Memo]]))</f>
        <v/>
      </c>
      <c r="O5746" t="s">
        <v>58</v>
      </c>
      <c r="P5746" t="s">
        <v>886</v>
      </c>
      <c r="Q5746" t="s">
        <v>58</v>
      </c>
      <c r="R5746" t="str">
        <f>IFERROR(VLOOKUP(record[[#This Row],[PCUSTID]],廠商[],2,FALSE),"")</f>
        <v/>
      </c>
      <c r="S5746" t="str">
        <f>VLOOKUP(record[[#This Row],[employeeID]],員工[],2,FALSE)</f>
        <v>謝蓁薰</v>
      </c>
    </row>
    <row r="5747" spans="6:19" hidden="1" x14ac:dyDescent="0.25">
      <c r="F5747" t="s">
        <v>1329</v>
      </c>
      <c r="G5747" t="s">
        <v>400</v>
      </c>
      <c r="H5747" t="str">
        <f>VLOOKUP(record[[#This Row],[ProcessSN]],表格2_7[],2,FALSE)</f>
        <v>30-4118-018-550</v>
      </c>
      <c r="I5747" t="str">
        <f>VLOOKUP(record[[#This Row],[ProcessSN]],表格2_7[],3,FALSE)</f>
        <v>#100</v>
      </c>
      <c r="J5747" t="s">
        <v>598</v>
      </c>
      <c r="K5747" s="195">
        <v>46008.619062500002</v>
      </c>
      <c r="L5747">
        <v>72</v>
      </c>
      <c r="M5747">
        <v>0</v>
      </c>
      <c r="N5747" s="98" t="str">
        <f>IF(record[[#This Row],[Memo]]="Browser:chrome os:android","平板報工",IF(record[[#This Row],[Memo]]=0,"委外",record[[#This Row],[Memo]]))</f>
        <v>平板報工</v>
      </c>
      <c r="O5747" t="s">
        <v>643</v>
      </c>
      <c r="P5747" t="s">
        <v>99</v>
      </c>
      <c r="Q5747" t="s">
        <v>644</v>
      </c>
      <c r="R5747" t="str">
        <f>IFERROR(VLOOKUP(record[[#This Row],[PCUSTID]],廠商[],2,FALSE),"")</f>
        <v/>
      </c>
      <c r="S5747" t="str">
        <f>VLOOKUP(record[[#This Row],[employeeID]],員工[],2,FALSE)</f>
        <v>阮氏河</v>
      </c>
    </row>
    <row r="5748" spans="6:19" hidden="1" x14ac:dyDescent="0.25">
      <c r="F5748" t="s">
        <v>1327</v>
      </c>
      <c r="G5748" t="s">
        <v>449</v>
      </c>
      <c r="H5748" t="str">
        <f>VLOOKUP(record[[#This Row],[ProcessSN]],表格2_7[],2,FALSE)</f>
        <v>30-4118-018-6XX</v>
      </c>
      <c r="I5748" t="str">
        <f>VLOOKUP(record[[#This Row],[ProcessSN]],表格2_7[],3,FALSE)</f>
        <v>#05</v>
      </c>
      <c r="J5748" t="s">
        <v>588</v>
      </c>
      <c r="K5748" s="195">
        <v>46008.611909722225</v>
      </c>
      <c r="L5748">
        <v>71</v>
      </c>
      <c r="M5748">
        <v>1</v>
      </c>
      <c r="N5748" s="98" t="str">
        <f>IF(record[[#This Row],[Memo]]="Browser:chrome os:android","平板報工",IF(record[[#This Row],[Memo]]=0,"委外",record[[#This Row],[Memo]]))</f>
        <v>12/17覆回*1pcs</v>
      </c>
      <c r="O5748" t="s">
        <v>1343</v>
      </c>
      <c r="P5748" t="s">
        <v>1075</v>
      </c>
      <c r="Q5748" t="s">
        <v>58</v>
      </c>
      <c r="R5748" t="str">
        <f>IFERROR(VLOOKUP(record[[#This Row],[PCUSTID]],廠商[],2,FALSE),"")</f>
        <v/>
      </c>
      <c r="S5748" t="str">
        <f>VLOOKUP(record[[#This Row],[employeeID]],員工[],2,FALSE)</f>
        <v>吳宥叡</v>
      </c>
    </row>
    <row r="5749" spans="6:19" hidden="1" x14ac:dyDescent="0.25">
      <c r="F5749" t="s">
        <v>1329</v>
      </c>
      <c r="G5749" t="s">
        <v>399</v>
      </c>
      <c r="H5749" t="str">
        <f>VLOOKUP(record[[#This Row],[ProcessSN]],表格2_7[],2,FALSE)</f>
        <v>30-4118-018-550</v>
      </c>
      <c r="I5749" t="str">
        <f>VLOOKUP(record[[#This Row],[ProcessSN]],表格2_7[],3,FALSE)</f>
        <v>#08IQC</v>
      </c>
      <c r="J5749" t="s">
        <v>583</v>
      </c>
      <c r="K5749" s="195">
        <v>46008.608900462961</v>
      </c>
      <c r="L5749">
        <v>471</v>
      </c>
      <c r="M5749">
        <v>0</v>
      </c>
      <c r="N5749" s="98" t="str">
        <f>IF(record[[#This Row],[Memo]]="Browser:chrome os:android","平板報工",IF(record[[#This Row],[Memo]]=0,"委外",record[[#This Row],[Memo]]))</f>
        <v/>
      </c>
      <c r="O5749" t="s">
        <v>58</v>
      </c>
      <c r="P5749" t="s">
        <v>109</v>
      </c>
      <c r="Q5749" t="s">
        <v>58</v>
      </c>
      <c r="R5749" t="str">
        <f>IFERROR(VLOOKUP(record[[#This Row],[PCUSTID]],廠商[],2,FALSE),"")</f>
        <v/>
      </c>
      <c r="S5749" t="str">
        <f>VLOOKUP(record[[#This Row],[employeeID]],員工[],2,FALSE)</f>
        <v>裴氏璧鳳</v>
      </c>
    </row>
    <row r="5750" spans="6:19" hidden="1" x14ac:dyDescent="0.25">
      <c r="F5750" t="s">
        <v>1260</v>
      </c>
      <c r="G5750" t="s">
        <v>428</v>
      </c>
      <c r="H5750" t="str">
        <f>VLOOKUP(record[[#This Row],[ProcessSN]],表格2_7[],2,FALSE)</f>
        <v>30-4118-018-600</v>
      </c>
      <c r="I5750" t="str">
        <f>VLOOKUP(record[[#This Row],[ProcessSN]],表格2_7[],3,FALSE)</f>
        <v>#100SHIP</v>
      </c>
      <c r="J5750" t="s">
        <v>600</v>
      </c>
      <c r="K5750" s="195">
        <v>46008.600335648145</v>
      </c>
      <c r="L5750">
        <v>43</v>
      </c>
      <c r="M5750">
        <v>0</v>
      </c>
      <c r="N5750" s="98" t="str">
        <f>IF(record[[#This Row],[Memo]]="Browser:chrome os:android","平板報工",IF(record[[#This Row],[Memo]]=0,"委外",record[[#This Row],[Memo]]))</f>
        <v/>
      </c>
      <c r="O5750" t="s">
        <v>58</v>
      </c>
      <c r="P5750" t="s">
        <v>886</v>
      </c>
      <c r="Q5750" t="s">
        <v>58</v>
      </c>
      <c r="R5750" t="str">
        <f>IFERROR(VLOOKUP(record[[#This Row],[PCUSTID]],廠商[],2,FALSE),"")</f>
        <v/>
      </c>
      <c r="S5750" t="str">
        <f>VLOOKUP(record[[#This Row],[employeeID]],員工[],2,FALSE)</f>
        <v>謝蓁薰</v>
      </c>
    </row>
    <row r="5751" spans="6:19" hidden="1" x14ac:dyDescent="0.25">
      <c r="F5751" t="s">
        <v>1173</v>
      </c>
      <c r="G5751" t="s">
        <v>428</v>
      </c>
      <c r="H5751" t="str">
        <f>VLOOKUP(record[[#This Row],[ProcessSN]],表格2_7[],2,FALSE)</f>
        <v>30-4118-018-600</v>
      </c>
      <c r="I5751" t="str">
        <f>VLOOKUP(record[[#This Row],[ProcessSN]],表格2_7[],3,FALSE)</f>
        <v>#100SHIP</v>
      </c>
      <c r="J5751" t="s">
        <v>600</v>
      </c>
      <c r="K5751" s="195">
        <v>46008.600069444445</v>
      </c>
      <c r="L5751">
        <v>90</v>
      </c>
      <c r="M5751">
        <v>0</v>
      </c>
      <c r="N5751" s="98" t="str">
        <f>IF(record[[#This Row],[Memo]]="Browser:chrome os:android","平板報工",IF(record[[#This Row],[Memo]]=0,"委外",record[[#This Row],[Memo]]))</f>
        <v/>
      </c>
      <c r="O5751" t="s">
        <v>58</v>
      </c>
      <c r="P5751" t="s">
        <v>886</v>
      </c>
      <c r="Q5751" t="s">
        <v>58</v>
      </c>
      <c r="R5751" t="str">
        <f>IFERROR(VLOOKUP(record[[#This Row],[PCUSTID]],廠商[],2,FALSE),"")</f>
        <v/>
      </c>
      <c r="S5751" t="str">
        <f>VLOOKUP(record[[#This Row],[employeeID]],員工[],2,FALSE)</f>
        <v>謝蓁薰</v>
      </c>
    </row>
    <row r="5752" spans="6:19" hidden="1" x14ac:dyDescent="0.25">
      <c r="F5752" t="s">
        <v>1173</v>
      </c>
      <c r="G5752" t="s">
        <v>427</v>
      </c>
      <c r="H5752" t="str">
        <f>VLOOKUP(record[[#This Row],[ProcessSN]],表格2_7[],2,FALSE)</f>
        <v>30-4118-018-600</v>
      </c>
      <c r="I5752" t="str">
        <f>VLOOKUP(record[[#This Row],[ProcessSN]],表格2_7[],3,FALSE)</f>
        <v>#100STOCK</v>
      </c>
      <c r="J5752" t="s">
        <v>592</v>
      </c>
      <c r="K5752" s="195">
        <v>46008.599861111114</v>
      </c>
      <c r="L5752">
        <v>1</v>
      </c>
      <c r="M5752">
        <v>0</v>
      </c>
      <c r="N5752" s="98" t="str">
        <f>IF(record[[#This Row],[Memo]]="Browser:chrome os:android","平板報工",IF(record[[#This Row],[Memo]]=0,"委外",record[[#This Row],[Memo]]))</f>
        <v/>
      </c>
      <c r="O5752" t="s">
        <v>58</v>
      </c>
      <c r="P5752" t="s">
        <v>886</v>
      </c>
      <c r="Q5752" t="s">
        <v>58</v>
      </c>
      <c r="R5752" t="str">
        <f>IFERROR(VLOOKUP(record[[#This Row],[PCUSTID]],廠商[],2,FALSE),"")</f>
        <v/>
      </c>
      <c r="S5752" t="str">
        <f>VLOOKUP(record[[#This Row],[employeeID]],員工[],2,FALSE)</f>
        <v>謝蓁薰</v>
      </c>
    </row>
    <row r="5753" spans="6:19" hidden="1" x14ac:dyDescent="0.25">
      <c r="F5753" t="s">
        <v>1260</v>
      </c>
      <c r="G5753" t="s">
        <v>427</v>
      </c>
      <c r="H5753" t="str">
        <f>VLOOKUP(record[[#This Row],[ProcessSN]],表格2_7[],2,FALSE)</f>
        <v>30-4118-018-600</v>
      </c>
      <c r="I5753" t="str">
        <f>VLOOKUP(record[[#This Row],[ProcessSN]],表格2_7[],3,FALSE)</f>
        <v>#100STOCK</v>
      </c>
      <c r="J5753" t="s">
        <v>592</v>
      </c>
      <c r="K5753" s="195">
        <v>46008.599699074075</v>
      </c>
      <c r="L5753">
        <v>43</v>
      </c>
      <c r="M5753">
        <v>0</v>
      </c>
      <c r="N5753" s="98" t="str">
        <f>IF(record[[#This Row],[Memo]]="Browser:chrome os:android","平板報工",IF(record[[#This Row],[Memo]]=0,"委外",record[[#This Row],[Memo]]))</f>
        <v/>
      </c>
      <c r="O5753" t="s">
        <v>58</v>
      </c>
      <c r="P5753" t="s">
        <v>886</v>
      </c>
      <c r="Q5753" t="s">
        <v>58</v>
      </c>
      <c r="R5753" t="str">
        <f>IFERROR(VLOOKUP(record[[#This Row],[PCUSTID]],廠商[],2,FALSE),"")</f>
        <v/>
      </c>
      <c r="S5753" t="str">
        <f>VLOOKUP(record[[#This Row],[employeeID]],員工[],2,FALSE)</f>
        <v>謝蓁薰</v>
      </c>
    </row>
    <row r="5754" spans="6:19" hidden="1" x14ac:dyDescent="0.25">
      <c r="F5754" t="s">
        <v>1315</v>
      </c>
      <c r="G5754" t="s">
        <v>362</v>
      </c>
      <c r="H5754" t="str">
        <f>VLOOKUP(record[[#This Row],[ProcessSN]],表格2_7[],2,FALSE)</f>
        <v>30-4118-018-450</v>
      </c>
      <c r="I5754" t="str">
        <f>VLOOKUP(record[[#This Row],[ProcessSN]],表格2_7[],3,FALSE)</f>
        <v>#100SHIP</v>
      </c>
      <c r="J5754" t="s">
        <v>600</v>
      </c>
      <c r="K5754" s="195">
        <v>46008.598854166667</v>
      </c>
      <c r="L5754">
        <v>108</v>
      </c>
      <c r="M5754">
        <v>0</v>
      </c>
      <c r="N5754" s="98" t="str">
        <f>IF(record[[#This Row],[Memo]]="Browser:chrome os:android","平板報工",IF(record[[#This Row],[Memo]]=0,"委外",record[[#This Row],[Memo]]))</f>
        <v/>
      </c>
      <c r="O5754" t="s">
        <v>58</v>
      </c>
      <c r="P5754" t="s">
        <v>886</v>
      </c>
      <c r="Q5754" t="s">
        <v>58</v>
      </c>
      <c r="R5754" t="str">
        <f>IFERROR(VLOOKUP(record[[#This Row],[PCUSTID]],廠商[],2,FALSE),"")</f>
        <v/>
      </c>
      <c r="S5754" t="str">
        <f>VLOOKUP(record[[#This Row],[employeeID]],員工[],2,FALSE)</f>
        <v>謝蓁薰</v>
      </c>
    </row>
    <row r="5755" spans="6:19" hidden="1" x14ac:dyDescent="0.25">
      <c r="F5755" t="s">
        <v>1277</v>
      </c>
      <c r="G5755" t="s">
        <v>362</v>
      </c>
      <c r="H5755" t="str">
        <f>VLOOKUP(record[[#This Row],[ProcessSN]],表格2_7[],2,FALSE)</f>
        <v>30-4118-018-450</v>
      </c>
      <c r="I5755" t="str">
        <f>VLOOKUP(record[[#This Row],[ProcessSN]],表格2_7[],3,FALSE)</f>
        <v>#100SHIP</v>
      </c>
      <c r="J5755" t="s">
        <v>600</v>
      </c>
      <c r="K5755" s="195">
        <v>46008.598680555559</v>
      </c>
      <c r="L5755">
        <v>57</v>
      </c>
      <c r="M5755">
        <v>0</v>
      </c>
      <c r="N5755" s="98" t="str">
        <f>IF(record[[#This Row],[Memo]]="Browser:chrome os:android","平板報工",IF(record[[#This Row],[Memo]]=0,"委外",record[[#This Row],[Memo]]))</f>
        <v/>
      </c>
      <c r="O5755" t="s">
        <v>58</v>
      </c>
      <c r="P5755" t="s">
        <v>886</v>
      </c>
      <c r="Q5755" t="s">
        <v>58</v>
      </c>
      <c r="R5755" t="str">
        <f>IFERROR(VLOOKUP(record[[#This Row],[PCUSTID]],廠商[],2,FALSE),"")</f>
        <v/>
      </c>
      <c r="S5755" t="str">
        <f>VLOOKUP(record[[#This Row],[employeeID]],員工[],2,FALSE)</f>
        <v>謝蓁薰</v>
      </c>
    </row>
    <row r="5756" spans="6:19" hidden="1" x14ac:dyDescent="0.25">
      <c r="F5756" t="s">
        <v>1315</v>
      </c>
      <c r="G5756" t="s">
        <v>361</v>
      </c>
      <c r="H5756" t="str">
        <f>VLOOKUP(record[[#This Row],[ProcessSN]],表格2_7[],2,FALSE)</f>
        <v>30-4118-018-450</v>
      </c>
      <c r="I5756" t="str">
        <f>VLOOKUP(record[[#This Row],[ProcessSN]],表格2_7[],3,FALSE)</f>
        <v>#100STOCK</v>
      </c>
      <c r="J5756" t="s">
        <v>592</v>
      </c>
      <c r="K5756" s="195">
        <v>46008.598576388889</v>
      </c>
      <c r="L5756">
        <v>108</v>
      </c>
      <c r="M5756">
        <v>0</v>
      </c>
      <c r="N5756" s="98" t="str">
        <f>IF(record[[#This Row],[Memo]]="Browser:chrome os:android","平板報工",IF(record[[#This Row],[Memo]]=0,"委外",record[[#This Row],[Memo]]))</f>
        <v/>
      </c>
      <c r="O5756" t="s">
        <v>58</v>
      </c>
      <c r="P5756" t="s">
        <v>886</v>
      </c>
      <c r="Q5756" t="s">
        <v>58</v>
      </c>
      <c r="R5756" t="str">
        <f>IFERROR(VLOOKUP(record[[#This Row],[PCUSTID]],廠商[],2,FALSE),"")</f>
        <v/>
      </c>
      <c r="S5756" t="str">
        <f>VLOOKUP(record[[#This Row],[employeeID]],員工[],2,FALSE)</f>
        <v>謝蓁薰</v>
      </c>
    </row>
    <row r="5757" spans="6:19" hidden="1" x14ac:dyDescent="0.25">
      <c r="F5757" t="s">
        <v>1329</v>
      </c>
      <c r="G5757" t="s">
        <v>398</v>
      </c>
      <c r="H5757" t="str">
        <f>VLOOKUP(record[[#This Row],[ProcessSN]],表格2_7[],2,FALSE)</f>
        <v>30-4118-018-550</v>
      </c>
      <c r="I5757" t="str">
        <f>VLOOKUP(record[[#This Row],[ProcessSN]],表格2_7[],3,FALSE)</f>
        <v>#08RCV</v>
      </c>
      <c r="J5757" t="s">
        <v>591</v>
      </c>
      <c r="K5757" s="195">
        <v>46008.572418981479</v>
      </c>
      <c r="L5757">
        <v>471</v>
      </c>
      <c r="M5757">
        <v>0</v>
      </c>
      <c r="N5757" s="98" t="str">
        <f>IF(record[[#This Row],[Memo]]="Browser:chrome os:android","平板報工",IF(record[[#This Row],[Memo]]=0,"委外",record[[#This Row],[Memo]]))</f>
        <v/>
      </c>
      <c r="O5757" t="s">
        <v>58</v>
      </c>
      <c r="P5757" t="s">
        <v>186</v>
      </c>
      <c r="Q5757" t="s">
        <v>58</v>
      </c>
      <c r="R5757" t="str">
        <f>IFERROR(VLOOKUP(record[[#This Row],[PCUSTID]],廠商[],2,FALSE),"")</f>
        <v/>
      </c>
      <c r="S5757" t="str">
        <f>VLOOKUP(record[[#This Row],[employeeID]],員工[],2,FALSE)</f>
        <v>許文姍</v>
      </c>
    </row>
    <row r="5758" spans="6:19" hidden="1" x14ac:dyDescent="0.25">
      <c r="F5758" t="s">
        <v>1317</v>
      </c>
      <c r="G5758" t="s">
        <v>402</v>
      </c>
      <c r="H5758" t="str">
        <f>VLOOKUP(record[[#This Row],[ProcessSN]],表格2_7[],2,FALSE)</f>
        <v>30-4118-018-550</v>
      </c>
      <c r="I5758" t="str">
        <f>VLOOKUP(record[[#This Row],[ProcessSN]],表格2_7[],3,FALSE)</f>
        <v>#100STOCK</v>
      </c>
      <c r="J5758" t="s">
        <v>592</v>
      </c>
      <c r="K5758" s="195">
        <v>46008.5705787037</v>
      </c>
      <c r="L5758">
        <v>139</v>
      </c>
      <c r="M5758">
        <v>0</v>
      </c>
      <c r="N5758" s="98" t="str">
        <f>IF(record[[#This Row],[Memo]]="Browser:chrome os:android","平板報工",IF(record[[#This Row],[Memo]]=0,"委外",record[[#This Row],[Memo]]))</f>
        <v/>
      </c>
      <c r="O5758" t="s">
        <v>58</v>
      </c>
      <c r="P5758" t="s">
        <v>886</v>
      </c>
      <c r="Q5758" t="s">
        <v>58</v>
      </c>
      <c r="R5758" t="str">
        <f>IFERROR(VLOOKUP(record[[#This Row],[PCUSTID]],廠商[],2,FALSE),"")</f>
        <v/>
      </c>
      <c r="S5758" t="str">
        <f>VLOOKUP(record[[#This Row],[employeeID]],員工[],2,FALSE)</f>
        <v>謝蓁薰</v>
      </c>
    </row>
    <row r="5759" spans="6:19" hidden="1" x14ac:dyDescent="0.25">
      <c r="F5759" t="s">
        <v>1306</v>
      </c>
      <c r="G5759" t="s">
        <v>402</v>
      </c>
      <c r="H5759" t="str">
        <f>VLOOKUP(record[[#This Row],[ProcessSN]],表格2_7[],2,FALSE)</f>
        <v>30-4118-018-550</v>
      </c>
      <c r="I5759" t="str">
        <f>VLOOKUP(record[[#This Row],[ProcessSN]],表格2_7[],3,FALSE)</f>
        <v>#100STOCK</v>
      </c>
      <c r="J5759" t="s">
        <v>592</v>
      </c>
      <c r="K5759" s="195">
        <v>46008.570451388892</v>
      </c>
      <c r="L5759">
        <v>394</v>
      </c>
      <c r="M5759">
        <v>0</v>
      </c>
      <c r="N5759" s="98" t="str">
        <f>IF(record[[#This Row],[Memo]]="Browser:chrome os:android","平板報工",IF(record[[#This Row],[Memo]]=0,"委外",record[[#This Row],[Memo]]))</f>
        <v/>
      </c>
      <c r="O5759" t="s">
        <v>58</v>
      </c>
      <c r="P5759" t="s">
        <v>886</v>
      </c>
      <c r="Q5759" t="s">
        <v>58</v>
      </c>
      <c r="R5759" t="str">
        <f>IFERROR(VLOOKUP(record[[#This Row],[PCUSTID]],廠商[],2,FALSE),"")</f>
        <v/>
      </c>
      <c r="S5759" t="str">
        <f>VLOOKUP(record[[#This Row],[employeeID]],員工[],2,FALSE)</f>
        <v>謝蓁薰</v>
      </c>
    </row>
    <row r="5760" spans="6:19" hidden="1" x14ac:dyDescent="0.25">
      <c r="F5760" t="s">
        <v>1342</v>
      </c>
      <c r="G5760" t="s">
        <v>397</v>
      </c>
      <c r="H5760" t="str">
        <f>VLOOKUP(record[[#This Row],[ProcessSN]],表格2_7[],2,FALSE)</f>
        <v>30-4118-018-550</v>
      </c>
      <c r="I5760" t="str">
        <f>VLOOKUP(record[[#This Row],[ProcessSN]],表格2_7[],3,FALSE)</f>
        <v>#08</v>
      </c>
      <c r="J5760" t="s">
        <v>597</v>
      </c>
      <c r="K5760" s="195">
        <v>46008.557199074072</v>
      </c>
      <c r="L5760">
        <v>166</v>
      </c>
      <c r="M5760">
        <v>0</v>
      </c>
      <c r="N5760" s="98" t="str">
        <f>IF(record[[#This Row],[Memo]]="Browser:chrome os:android","平板報工",IF(record[[#This Row],[Memo]]=0,"委外",record[[#This Row],[Memo]]))</f>
        <v>委外</v>
      </c>
      <c r="P5760" t="s">
        <v>186</v>
      </c>
      <c r="Q5760" t="s">
        <v>287</v>
      </c>
      <c r="R5760" t="str">
        <f>IFERROR(VLOOKUP(record[[#This Row],[PCUSTID]],廠商[],2,FALSE),"")</f>
        <v>泉盛</v>
      </c>
      <c r="S5760" t="str">
        <f>VLOOKUP(record[[#This Row],[employeeID]],員工[],2,FALSE)</f>
        <v>許文姍</v>
      </c>
    </row>
    <row r="5761" spans="6:19" hidden="1" x14ac:dyDescent="0.25">
      <c r="F5761" t="s">
        <v>1341</v>
      </c>
      <c r="G5761" t="s">
        <v>422</v>
      </c>
      <c r="H5761" t="str">
        <f>VLOOKUP(record[[#This Row],[ProcessSN]],表格2_7[],2,FALSE)</f>
        <v>30-4118-018-600</v>
      </c>
      <c r="I5761" t="str">
        <f>VLOOKUP(record[[#This Row],[ProcessSN]],表格2_7[],3,FALSE)</f>
        <v>#08</v>
      </c>
      <c r="J5761" t="s">
        <v>597</v>
      </c>
      <c r="K5761" s="195">
        <v>46008.557002314818</v>
      </c>
      <c r="L5761">
        <v>134</v>
      </c>
      <c r="M5761">
        <v>0</v>
      </c>
      <c r="N5761" s="98" t="str">
        <f>IF(record[[#This Row],[Memo]]="Browser:chrome os:android","平板報工",IF(record[[#This Row],[Memo]]=0,"委外",record[[#This Row],[Memo]]))</f>
        <v>委外</v>
      </c>
      <c r="P5761" t="s">
        <v>186</v>
      </c>
      <c r="Q5761" t="s">
        <v>287</v>
      </c>
      <c r="R5761" t="str">
        <f>IFERROR(VLOOKUP(record[[#This Row],[PCUSTID]],廠商[],2,FALSE),"")</f>
        <v>泉盛</v>
      </c>
      <c r="S5761" t="str">
        <f>VLOOKUP(record[[#This Row],[employeeID]],員工[],2,FALSE)</f>
        <v>許文姍</v>
      </c>
    </row>
    <row r="5762" spans="6:19" hidden="1" x14ac:dyDescent="0.25">
      <c r="F5762" t="s">
        <v>1342</v>
      </c>
      <c r="G5762" t="s">
        <v>396</v>
      </c>
      <c r="H5762" t="str">
        <f>VLOOKUP(record[[#This Row],[ProcessSN]],表格2_7[],2,FALSE)</f>
        <v>30-4118-018-550</v>
      </c>
      <c r="I5762" t="str">
        <f>VLOOKUP(record[[#This Row],[ProcessSN]],表格2_7[],3,FALSE)</f>
        <v>#08PICK</v>
      </c>
      <c r="J5762" t="s">
        <v>582</v>
      </c>
      <c r="K5762" s="195">
        <v>46008.555648148147</v>
      </c>
      <c r="L5762">
        <v>166</v>
      </c>
      <c r="M5762">
        <v>0</v>
      </c>
      <c r="N5762" s="98" t="str">
        <f>IF(record[[#This Row],[Memo]]="Browser:chrome os:android","平板報工",IF(record[[#This Row],[Memo]]=0,"委外",record[[#This Row],[Memo]]))</f>
        <v/>
      </c>
      <c r="O5762" t="s">
        <v>58</v>
      </c>
      <c r="P5762" t="s">
        <v>186</v>
      </c>
      <c r="Q5762" t="s">
        <v>58</v>
      </c>
      <c r="R5762" t="str">
        <f>IFERROR(VLOOKUP(record[[#This Row],[PCUSTID]],廠商[],2,FALSE),"")</f>
        <v/>
      </c>
      <c r="S5762" t="str">
        <f>VLOOKUP(record[[#This Row],[employeeID]],員工[],2,FALSE)</f>
        <v>許文姍</v>
      </c>
    </row>
    <row r="5763" spans="6:19" hidden="1" x14ac:dyDescent="0.25">
      <c r="F5763" t="s">
        <v>1341</v>
      </c>
      <c r="G5763" t="s">
        <v>421</v>
      </c>
      <c r="H5763" t="str">
        <f>VLOOKUP(record[[#This Row],[ProcessSN]],表格2_7[],2,FALSE)</f>
        <v>30-4118-018-600</v>
      </c>
      <c r="I5763" t="str">
        <f>VLOOKUP(record[[#This Row],[ProcessSN]],表格2_7[],3,FALSE)</f>
        <v>#08PICK</v>
      </c>
      <c r="J5763" t="s">
        <v>582</v>
      </c>
      <c r="K5763" s="195">
        <v>46008.555532407408</v>
      </c>
      <c r="L5763">
        <v>134</v>
      </c>
      <c r="M5763">
        <v>0</v>
      </c>
      <c r="N5763" s="98" t="str">
        <f>IF(record[[#This Row],[Memo]]="Browser:chrome os:android","平板報工",IF(record[[#This Row],[Memo]]=0,"委外",record[[#This Row],[Memo]]))</f>
        <v/>
      </c>
      <c r="O5763" t="s">
        <v>58</v>
      </c>
      <c r="P5763" t="s">
        <v>186</v>
      </c>
      <c r="Q5763" t="s">
        <v>58</v>
      </c>
      <c r="R5763" t="str">
        <f>IFERROR(VLOOKUP(record[[#This Row],[PCUSTID]],廠商[],2,FALSE),"")</f>
        <v/>
      </c>
      <c r="S5763" t="str">
        <f>VLOOKUP(record[[#This Row],[employeeID]],員工[],2,FALSE)</f>
        <v>許文姍</v>
      </c>
    </row>
    <row r="5764" spans="6:19" hidden="1" x14ac:dyDescent="0.25">
      <c r="F5764" t="s">
        <v>1324</v>
      </c>
      <c r="G5764" t="s">
        <v>453</v>
      </c>
      <c r="H5764" t="str">
        <f>VLOOKUP(record[[#This Row],[ProcessSN]],表格2_7[],2,FALSE)</f>
        <v>30-4118-018-6XX</v>
      </c>
      <c r="I5764" t="str">
        <f>VLOOKUP(record[[#This Row],[ProcessSN]],表格2_7[],3,FALSE)</f>
        <v>#07STOCK</v>
      </c>
      <c r="J5764" t="s">
        <v>592</v>
      </c>
      <c r="K5764" s="195">
        <v>46008.554560185185</v>
      </c>
      <c r="L5764">
        <v>134</v>
      </c>
      <c r="M5764">
        <v>0</v>
      </c>
      <c r="N5764" s="98" t="str">
        <f>IF(record[[#This Row],[Memo]]="Browser:chrome os:android","平板報工",IF(record[[#This Row],[Memo]]=0,"委外",record[[#This Row],[Memo]]))</f>
        <v/>
      </c>
      <c r="O5764" t="s">
        <v>58</v>
      </c>
      <c r="P5764" t="s">
        <v>186</v>
      </c>
      <c r="Q5764" t="s">
        <v>58</v>
      </c>
      <c r="R5764" t="str">
        <f>IFERROR(VLOOKUP(record[[#This Row],[PCUSTID]],廠商[],2,FALSE),"")</f>
        <v/>
      </c>
      <c r="S5764" t="str">
        <f>VLOOKUP(record[[#This Row],[employeeID]],員工[],2,FALSE)</f>
        <v>許文姍</v>
      </c>
    </row>
    <row r="5765" spans="6:19" hidden="1" x14ac:dyDescent="0.25">
      <c r="F5765" t="s">
        <v>1290</v>
      </c>
      <c r="G5765" t="s">
        <v>420</v>
      </c>
      <c r="H5765" t="str">
        <f>VLOOKUP(record[[#This Row],[ProcessSN]],表格2_7[],2,FALSE)</f>
        <v>30-4118-018-5XX</v>
      </c>
      <c r="I5765" t="str">
        <f>VLOOKUP(record[[#This Row],[ProcessSN]],表格2_7[],3,FALSE)</f>
        <v>#07STOCK</v>
      </c>
      <c r="J5765" t="s">
        <v>592</v>
      </c>
      <c r="K5765" s="195">
        <v>46008.554375</v>
      </c>
      <c r="L5765">
        <v>166</v>
      </c>
      <c r="M5765">
        <v>0</v>
      </c>
      <c r="N5765" s="98" t="str">
        <f>IF(record[[#This Row],[Memo]]="Browser:chrome os:android","平板報工",IF(record[[#This Row],[Memo]]=0,"委外",record[[#This Row],[Memo]]))</f>
        <v/>
      </c>
      <c r="O5765" t="s">
        <v>58</v>
      </c>
      <c r="P5765" t="s">
        <v>186</v>
      </c>
      <c r="Q5765" t="s">
        <v>58</v>
      </c>
      <c r="R5765" t="str">
        <f>IFERROR(VLOOKUP(record[[#This Row],[PCUSTID]],廠商[],2,FALSE),"")</f>
        <v/>
      </c>
      <c r="S5765" t="str">
        <f>VLOOKUP(record[[#This Row],[employeeID]],員工[],2,FALSE)</f>
        <v>許文姍</v>
      </c>
    </row>
    <row r="5766" spans="6:19" hidden="1" x14ac:dyDescent="0.25">
      <c r="F5766" t="s">
        <v>1327</v>
      </c>
      <c r="G5766" t="s">
        <v>450</v>
      </c>
      <c r="H5766" t="str">
        <f>VLOOKUP(record[[#This Row],[ProcessSN]],表格2_7[],2,FALSE)</f>
        <v>30-4118-018-6XX</v>
      </c>
      <c r="I5766" t="str">
        <f>VLOOKUP(record[[#This Row],[ProcessSN]],表格2_7[],3,FALSE)</f>
        <v>#06</v>
      </c>
      <c r="J5766" t="s">
        <v>593</v>
      </c>
      <c r="K5766" s="195">
        <v>46008.484675925924</v>
      </c>
      <c r="L5766">
        <v>45</v>
      </c>
      <c r="M5766">
        <v>0</v>
      </c>
      <c r="N5766" s="98" t="str">
        <f>IF(record[[#This Row],[Memo]]="Browser:chrome os:android","平板報工",IF(record[[#This Row],[Memo]]=0,"委外",record[[#This Row],[Memo]]))</f>
        <v/>
      </c>
      <c r="O5766" t="s">
        <v>58</v>
      </c>
      <c r="P5766" t="s">
        <v>166</v>
      </c>
      <c r="Q5766" t="s">
        <v>58</v>
      </c>
      <c r="R5766" t="str">
        <f>IFERROR(VLOOKUP(record[[#This Row],[PCUSTID]],廠商[],2,FALSE),"")</f>
        <v/>
      </c>
      <c r="S5766" t="str">
        <f>VLOOKUP(record[[#This Row],[employeeID]],員工[],2,FALSE)</f>
        <v>阮懷香</v>
      </c>
    </row>
    <row r="5767" spans="6:19" hidden="1" x14ac:dyDescent="0.25">
      <c r="F5767" t="s">
        <v>1277</v>
      </c>
      <c r="G5767" t="s">
        <v>360</v>
      </c>
      <c r="H5767" t="str">
        <f>VLOOKUP(record[[#This Row],[ProcessSN]],表格2_7[],2,FALSE)</f>
        <v>30-4118-018-450</v>
      </c>
      <c r="I5767" t="str">
        <f>VLOOKUP(record[[#This Row],[ProcessSN]],表格2_7[],3,FALSE)</f>
        <v>#100OQC</v>
      </c>
      <c r="J5767" t="s">
        <v>599</v>
      </c>
      <c r="K5767" s="195">
        <v>46008.454699074071</v>
      </c>
      <c r="L5767">
        <v>142</v>
      </c>
      <c r="M5767">
        <v>0</v>
      </c>
      <c r="N5767" s="98" t="str">
        <f>IF(record[[#This Row],[Memo]]="Browser:chrome os:android","平板報工",IF(record[[#This Row],[Memo]]=0,"委外",record[[#This Row],[Memo]]))</f>
        <v/>
      </c>
      <c r="O5767" t="s">
        <v>58</v>
      </c>
      <c r="P5767" t="s">
        <v>121</v>
      </c>
      <c r="Q5767" t="s">
        <v>58</v>
      </c>
      <c r="R5767" t="str">
        <f>IFERROR(VLOOKUP(record[[#This Row],[PCUSTID]],廠商[],2,FALSE),"")</f>
        <v/>
      </c>
      <c r="S5767" t="str">
        <f>VLOOKUP(record[[#This Row],[employeeID]],員工[],2,FALSE)</f>
        <v>謝素卿</v>
      </c>
    </row>
    <row r="5768" spans="6:19" hidden="1" x14ac:dyDescent="0.25">
      <c r="F5768" t="s">
        <v>1315</v>
      </c>
      <c r="G5768" t="s">
        <v>360</v>
      </c>
      <c r="H5768" t="str">
        <f>VLOOKUP(record[[#This Row],[ProcessSN]],表格2_7[],2,FALSE)</f>
        <v>30-4118-018-450</v>
      </c>
      <c r="I5768" t="str">
        <f>VLOOKUP(record[[#This Row],[ProcessSN]],表格2_7[],3,FALSE)</f>
        <v>#100OQC</v>
      </c>
      <c r="J5768" t="s">
        <v>599</v>
      </c>
      <c r="K5768" s="195">
        <v>46008.454560185186</v>
      </c>
      <c r="L5768">
        <v>327</v>
      </c>
      <c r="M5768">
        <v>0</v>
      </c>
      <c r="N5768" s="98" t="str">
        <f>IF(record[[#This Row],[Memo]]="Browser:chrome os:android","平板報工",IF(record[[#This Row],[Memo]]=0,"委外",record[[#This Row],[Memo]]))</f>
        <v/>
      </c>
      <c r="O5768" t="s">
        <v>58</v>
      </c>
      <c r="P5768" t="s">
        <v>121</v>
      </c>
      <c r="Q5768" t="s">
        <v>58</v>
      </c>
      <c r="R5768" t="str">
        <f>IFERROR(VLOOKUP(record[[#This Row],[PCUSTID]],廠商[],2,FALSE),"")</f>
        <v/>
      </c>
      <c r="S5768" t="str">
        <f>VLOOKUP(record[[#This Row],[employeeID]],員工[],2,FALSE)</f>
        <v>謝素卿</v>
      </c>
    </row>
    <row r="5769" spans="6:19" hidden="1" x14ac:dyDescent="0.25">
      <c r="F5769" t="s">
        <v>1260</v>
      </c>
      <c r="G5769" t="s">
        <v>426</v>
      </c>
      <c r="H5769" t="str">
        <f>VLOOKUP(record[[#This Row],[ProcessSN]],表格2_7[],2,FALSE)</f>
        <v>30-4118-018-600</v>
      </c>
      <c r="I5769" t="str">
        <f>VLOOKUP(record[[#This Row],[ProcessSN]],表格2_7[],3,FALSE)</f>
        <v>#100OQC</v>
      </c>
      <c r="J5769" t="s">
        <v>599</v>
      </c>
      <c r="K5769" s="195">
        <v>46008.453946759262</v>
      </c>
      <c r="L5769">
        <v>209</v>
      </c>
      <c r="M5769">
        <v>0</v>
      </c>
      <c r="N5769" s="98" t="str">
        <f>IF(record[[#This Row],[Memo]]="Browser:chrome os:android","平板報工",IF(record[[#This Row],[Memo]]=0,"委外",record[[#This Row],[Memo]]))</f>
        <v/>
      </c>
      <c r="O5769" t="s">
        <v>58</v>
      </c>
      <c r="P5769" t="s">
        <v>121</v>
      </c>
      <c r="Q5769" t="s">
        <v>58</v>
      </c>
      <c r="R5769" t="str">
        <f>IFERROR(VLOOKUP(record[[#This Row],[PCUSTID]],廠商[],2,FALSE),"")</f>
        <v/>
      </c>
      <c r="S5769" t="str">
        <f>VLOOKUP(record[[#This Row],[employeeID]],員工[],2,FALSE)</f>
        <v>謝素卿</v>
      </c>
    </row>
    <row r="5770" spans="6:19" hidden="1" x14ac:dyDescent="0.25">
      <c r="F5770" t="s">
        <v>1173</v>
      </c>
      <c r="G5770" t="s">
        <v>426</v>
      </c>
      <c r="H5770" t="str">
        <f>VLOOKUP(record[[#This Row],[ProcessSN]],表格2_7[],2,FALSE)</f>
        <v>30-4118-018-600</v>
      </c>
      <c r="I5770" t="str">
        <f>VLOOKUP(record[[#This Row],[ProcessSN]],表格2_7[],3,FALSE)</f>
        <v>#100OQC</v>
      </c>
      <c r="J5770" t="s">
        <v>599</v>
      </c>
      <c r="K5770" s="195">
        <v>46008.453784722224</v>
      </c>
      <c r="L5770">
        <v>1</v>
      </c>
      <c r="M5770">
        <v>0</v>
      </c>
      <c r="N5770" s="98" t="str">
        <f>IF(record[[#This Row],[Memo]]="Browser:chrome os:android","平板報工",IF(record[[#This Row],[Memo]]=0,"委外",record[[#This Row],[Memo]]))</f>
        <v/>
      </c>
      <c r="O5770" t="s">
        <v>58</v>
      </c>
      <c r="P5770" t="s">
        <v>121</v>
      </c>
      <c r="Q5770" t="s">
        <v>58</v>
      </c>
      <c r="R5770" t="str">
        <f>IFERROR(VLOOKUP(record[[#This Row],[PCUSTID]],廠商[],2,FALSE),"")</f>
        <v/>
      </c>
      <c r="S5770" t="str">
        <f>VLOOKUP(record[[#This Row],[employeeID]],員工[],2,FALSE)</f>
        <v>謝素卿</v>
      </c>
    </row>
    <row r="5771" spans="6:19" hidden="1" x14ac:dyDescent="0.25">
      <c r="F5771" t="s">
        <v>922</v>
      </c>
      <c r="G5771" t="s">
        <v>466</v>
      </c>
      <c r="H5771" t="str">
        <f>VLOOKUP(record[[#This Row],[ProcessSN]],表格2_7[],2,FALSE)</f>
        <v>30-4118-018-XXX</v>
      </c>
      <c r="I5771" t="str">
        <f>VLOOKUP(record[[#This Row],[ProcessSN]],表格2_7[],3,FALSE)</f>
        <v>#01-2</v>
      </c>
      <c r="J5771" t="s">
        <v>588</v>
      </c>
      <c r="K5771" s="195">
        <v>46008.445185185185</v>
      </c>
      <c r="L5771">
        <v>0</v>
      </c>
      <c r="M5771">
        <v>2</v>
      </c>
      <c r="N5771" s="98" t="str">
        <f>IF(record[[#This Row],[Memo]]="Browser:chrome os:android","平板報工",IF(record[[#This Row],[Memo]]=0,"委外",record[[#This Row],[Memo]]))</f>
        <v>領1140253</v>
      </c>
      <c r="O5771" t="s">
        <v>1340</v>
      </c>
      <c r="P5771" t="s">
        <v>125</v>
      </c>
      <c r="Q5771" t="s">
        <v>58</v>
      </c>
      <c r="R5771" t="str">
        <f>IFERROR(VLOOKUP(record[[#This Row],[PCUSTID]],廠商[],2,FALSE),"")</f>
        <v/>
      </c>
      <c r="S5771" t="str">
        <f>VLOOKUP(record[[#This Row],[employeeID]],員工[],2,FALSE)</f>
        <v>黃瓈巧</v>
      </c>
    </row>
    <row r="5772" spans="6:19" hidden="1" x14ac:dyDescent="0.25">
      <c r="F5772" t="s">
        <v>732</v>
      </c>
      <c r="G5772" t="s">
        <v>465</v>
      </c>
      <c r="H5772" t="str">
        <f>VLOOKUP(record[[#This Row],[ProcessSN]],表格2_7[],2,FALSE)</f>
        <v>30-4118-018-XXX</v>
      </c>
      <c r="I5772" t="str">
        <f>VLOOKUP(record[[#This Row],[ProcessSN]],表格2_7[],3,FALSE)</f>
        <v>#01-1</v>
      </c>
      <c r="J5772" t="s">
        <v>588</v>
      </c>
      <c r="K5772" s="195">
        <v>46008.444918981484</v>
      </c>
      <c r="L5772">
        <v>0</v>
      </c>
      <c r="M5772">
        <v>1</v>
      </c>
      <c r="N5772" s="98" t="str">
        <f>IF(record[[#This Row],[Memo]]="Browser:chrome os:android","平板報工",IF(record[[#This Row],[Memo]]=0,"委外",record[[#This Row],[Memo]]))</f>
        <v>領1140253</v>
      </c>
      <c r="O5772" t="s">
        <v>1340</v>
      </c>
      <c r="P5772" t="s">
        <v>125</v>
      </c>
      <c r="Q5772" t="s">
        <v>58</v>
      </c>
      <c r="R5772" t="str">
        <f>IFERROR(VLOOKUP(record[[#This Row],[PCUSTID]],廠商[],2,FALSE),"")</f>
        <v/>
      </c>
      <c r="S5772" t="str">
        <f>VLOOKUP(record[[#This Row],[employeeID]],員工[],2,FALSE)</f>
        <v>黃瓈巧</v>
      </c>
    </row>
    <row r="5773" spans="6:19" hidden="1" x14ac:dyDescent="0.25">
      <c r="F5773" t="s">
        <v>1290</v>
      </c>
      <c r="G5773" t="s">
        <v>419</v>
      </c>
      <c r="H5773" t="str">
        <f>VLOOKUP(record[[#This Row],[ProcessSN]],表格2_7[],2,FALSE)</f>
        <v>30-4118-018-5XX</v>
      </c>
      <c r="I5773" t="str">
        <f>VLOOKUP(record[[#This Row],[ProcessSN]],表格2_7[],3,FALSE)</f>
        <v>#07QC</v>
      </c>
      <c r="J5773" t="s">
        <v>589</v>
      </c>
      <c r="K5773" s="195">
        <v>46008.440474537034</v>
      </c>
      <c r="L5773">
        <v>0</v>
      </c>
      <c r="M5773">
        <v>2</v>
      </c>
      <c r="N5773" s="98" t="str">
        <f>IF(record[[#This Row],[Memo]]="Browser:chrome os:android","平板報工",IF(record[[#This Row],[Memo]]=0,"委外",record[[#This Row],[Memo]]))</f>
        <v>平板報工</v>
      </c>
      <c r="O5773" t="s">
        <v>643</v>
      </c>
      <c r="P5773" t="s">
        <v>141</v>
      </c>
      <c r="Q5773" t="s">
        <v>644</v>
      </c>
      <c r="R5773" t="str">
        <f>IFERROR(VLOOKUP(record[[#This Row],[PCUSTID]],廠商[],2,FALSE),"")</f>
        <v/>
      </c>
      <c r="S5773" t="str">
        <f>VLOOKUP(record[[#This Row],[employeeID]],員工[],2,FALSE)</f>
        <v>蔣梅</v>
      </c>
    </row>
    <row r="5774" spans="6:19" hidden="1" x14ac:dyDescent="0.25">
      <c r="F5774" t="s">
        <v>1290</v>
      </c>
      <c r="G5774" t="s">
        <v>419</v>
      </c>
      <c r="H5774" t="str">
        <f>VLOOKUP(record[[#This Row],[ProcessSN]],表格2_7[],2,FALSE)</f>
        <v>30-4118-018-5XX</v>
      </c>
      <c r="I5774" t="str">
        <f>VLOOKUP(record[[#This Row],[ProcessSN]],表格2_7[],3,FALSE)</f>
        <v>#07QC</v>
      </c>
      <c r="J5774" t="s">
        <v>589</v>
      </c>
      <c r="K5774" s="195">
        <v>46008.440266203703</v>
      </c>
      <c r="L5774">
        <v>166</v>
      </c>
      <c r="M5774">
        <v>0</v>
      </c>
      <c r="N5774" s="98" t="str">
        <f>IF(record[[#This Row],[Memo]]="Browser:chrome os:android","平板報工",IF(record[[#This Row],[Memo]]=0,"委外",record[[#This Row],[Memo]]))</f>
        <v>平板報工</v>
      </c>
      <c r="O5774" t="s">
        <v>643</v>
      </c>
      <c r="P5774" t="s">
        <v>141</v>
      </c>
      <c r="Q5774" t="s">
        <v>644</v>
      </c>
      <c r="R5774" t="str">
        <f>IFERROR(VLOOKUP(record[[#This Row],[PCUSTID]],廠商[],2,FALSE),"")</f>
        <v/>
      </c>
      <c r="S5774" t="str">
        <f>VLOOKUP(record[[#This Row],[employeeID]],員工[],2,FALSE)</f>
        <v>蔣梅</v>
      </c>
    </row>
    <row r="5775" spans="6:19" hidden="1" x14ac:dyDescent="0.25">
      <c r="F5775" t="s">
        <v>1339</v>
      </c>
      <c r="G5775" t="s">
        <v>371</v>
      </c>
      <c r="H5775" t="str">
        <f>VLOOKUP(record[[#This Row],[ProcessSN]],表格2_7[],2,FALSE)</f>
        <v>30-4118-018-4XX</v>
      </c>
      <c r="I5775" t="str">
        <f>VLOOKUP(record[[#This Row],[ProcessSN]],表格2_7[],3,FALSE)</f>
        <v>#03PICK</v>
      </c>
      <c r="J5775" t="s">
        <v>582</v>
      </c>
      <c r="K5775" s="195">
        <v>46008.403333333335</v>
      </c>
      <c r="L5775">
        <v>1331</v>
      </c>
      <c r="M5775">
        <v>0</v>
      </c>
      <c r="N5775" s="98" t="str">
        <f>IF(record[[#This Row],[Memo]]="Browser:chrome os:android","平板報工",IF(record[[#This Row],[Memo]]=0,"委外",record[[#This Row],[Memo]]))</f>
        <v/>
      </c>
      <c r="O5775" t="s">
        <v>58</v>
      </c>
      <c r="P5775" t="s">
        <v>186</v>
      </c>
      <c r="Q5775" t="s">
        <v>58</v>
      </c>
      <c r="R5775" t="str">
        <f>IFERROR(VLOOKUP(record[[#This Row],[PCUSTID]],廠商[],2,FALSE),"")</f>
        <v/>
      </c>
      <c r="S5775" t="str">
        <f>VLOOKUP(record[[#This Row],[employeeID]],員工[],2,FALSE)</f>
        <v>許文姍</v>
      </c>
    </row>
    <row r="5776" spans="6:19" hidden="1" x14ac:dyDescent="0.25">
      <c r="F5776" t="s">
        <v>1338</v>
      </c>
      <c r="G5776" t="s">
        <v>445</v>
      </c>
      <c r="H5776" t="str">
        <f>VLOOKUP(record[[#This Row],[ProcessSN]],表格2_7[],2,FALSE)</f>
        <v>30-4118-018-6XX</v>
      </c>
      <c r="I5776" t="str">
        <f>VLOOKUP(record[[#This Row],[ProcessSN]],表格2_7[],3,FALSE)</f>
        <v>#03PICK</v>
      </c>
      <c r="J5776" t="s">
        <v>582</v>
      </c>
      <c r="K5776" s="195">
        <v>46008.403217592589</v>
      </c>
      <c r="L5776">
        <v>180</v>
      </c>
      <c r="M5776">
        <v>0</v>
      </c>
      <c r="N5776" s="98" t="str">
        <f>IF(record[[#This Row],[Memo]]="Browser:chrome os:android","平板報工",IF(record[[#This Row],[Memo]]=0,"委外",record[[#This Row],[Memo]]))</f>
        <v/>
      </c>
      <c r="O5776" t="s">
        <v>58</v>
      </c>
      <c r="P5776" t="s">
        <v>186</v>
      </c>
      <c r="Q5776" t="s">
        <v>58</v>
      </c>
      <c r="R5776" t="str">
        <f>IFERROR(VLOOKUP(record[[#This Row],[PCUSTID]],廠商[],2,FALSE),"")</f>
        <v/>
      </c>
      <c r="S5776" t="str">
        <f>VLOOKUP(record[[#This Row],[employeeID]],員工[],2,FALSE)</f>
        <v>許文姍</v>
      </c>
    </row>
    <row r="5777" spans="6:19" hidden="1" x14ac:dyDescent="0.25">
      <c r="F5777" t="s">
        <v>1285</v>
      </c>
      <c r="G5777" t="s">
        <v>469</v>
      </c>
      <c r="H5777" t="str">
        <f>VLOOKUP(record[[#This Row],[ProcessSN]],表格2_7[],2,FALSE)</f>
        <v>30-4118-018-XXX</v>
      </c>
      <c r="I5777" t="str">
        <f>VLOOKUP(record[[#This Row],[ProcessSN]],表格2_7[],3,FALSE)</f>
        <v>#02RCV</v>
      </c>
      <c r="J5777" t="s">
        <v>591</v>
      </c>
      <c r="K5777" s="195">
        <v>46008.401701388888</v>
      </c>
      <c r="L5777">
        <v>0</v>
      </c>
      <c r="M5777">
        <v>1</v>
      </c>
      <c r="N5777" s="98" t="str">
        <f>IF(record[[#This Row],[Memo]]="Browser:chrome os:android","平板報工",IF(record[[#This Row],[Memo]]=0,"委外",record[[#This Row],[Memo]]))</f>
        <v/>
      </c>
      <c r="O5777" t="s">
        <v>58</v>
      </c>
      <c r="P5777" t="s">
        <v>186</v>
      </c>
      <c r="Q5777" t="s">
        <v>58</v>
      </c>
      <c r="R5777" t="str">
        <f>IFERROR(VLOOKUP(record[[#This Row],[PCUSTID]],廠商[],2,FALSE),"")</f>
        <v/>
      </c>
      <c r="S5777" t="str">
        <f>VLOOKUP(record[[#This Row],[employeeID]],員工[],2,FALSE)</f>
        <v>許文姍</v>
      </c>
    </row>
    <row r="5778" spans="6:19" hidden="1" x14ac:dyDescent="0.25">
      <c r="F5778" t="s">
        <v>1285</v>
      </c>
      <c r="G5778" t="s">
        <v>469</v>
      </c>
      <c r="H5778" t="str">
        <f>VLOOKUP(record[[#This Row],[ProcessSN]],表格2_7[],2,FALSE)</f>
        <v>30-4118-018-XXX</v>
      </c>
      <c r="I5778" t="str">
        <f>VLOOKUP(record[[#This Row],[ProcessSN]],表格2_7[],3,FALSE)</f>
        <v>#02RCV</v>
      </c>
      <c r="J5778" t="s">
        <v>591</v>
      </c>
      <c r="K5778" s="195">
        <v>46008.401574074072</v>
      </c>
      <c r="L5778">
        <v>1511</v>
      </c>
      <c r="M5778">
        <v>0</v>
      </c>
      <c r="N5778" s="98" t="str">
        <f>IF(record[[#This Row],[Memo]]="Browser:chrome os:android","平板報工",IF(record[[#This Row],[Memo]]=0,"委外",record[[#This Row],[Memo]]))</f>
        <v/>
      </c>
      <c r="O5778" t="s">
        <v>58</v>
      </c>
      <c r="P5778" t="s">
        <v>186</v>
      </c>
      <c r="Q5778" t="s">
        <v>58</v>
      </c>
      <c r="R5778" t="str">
        <f>IFERROR(VLOOKUP(record[[#This Row],[PCUSTID]],廠商[],2,FALSE),"")</f>
        <v/>
      </c>
      <c r="S5778" t="str">
        <f>VLOOKUP(record[[#This Row],[employeeID]],員工[],2,FALSE)</f>
        <v>許文姍</v>
      </c>
    </row>
    <row r="5779" spans="6:19" hidden="1" x14ac:dyDescent="0.25">
      <c r="F5779" t="s">
        <v>1324</v>
      </c>
      <c r="G5779" t="s">
        <v>452</v>
      </c>
      <c r="H5779" t="str">
        <f>VLOOKUP(record[[#This Row],[ProcessSN]],表格2_7[],2,FALSE)</f>
        <v>30-4118-018-6XX</v>
      </c>
      <c r="I5779" t="str">
        <f>VLOOKUP(record[[#This Row],[ProcessSN]],表格2_7[],3,FALSE)</f>
        <v>#07QC</v>
      </c>
      <c r="J5779" t="s">
        <v>589</v>
      </c>
      <c r="K5779" s="195">
        <v>46008.399895833332</v>
      </c>
      <c r="L5779">
        <v>134</v>
      </c>
      <c r="M5779">
        <v>0</v>
      </c>
      <c r="N5779" s="98" t="str">
        <f>IF(record[[#This Row],[Memo]]="Browser:chrome os:android","平板報工",IF(record[[#This Row],[Memo]]=0,"委外",record[[#This Row],[Memo]]))</f>
        <v>平板報工</v>
      </c>
      <c r="O5779" t="s">
        <v>643</v>
      </c>
      <c r="P5779" t="s">
        <v>141</v>
      </c>
      <c r="Q5779" t="s">
        <v>644</v>
      </c>
      <c r="R5779" t="str">
        <f>IFERROR(VLOOKUP(record[[#This Row],[PCUSTID]],廠商[],2,FALSE),"")</f>
        <v/>
      </c>
      <c r="S5779" t="str">
        <f>VLOOKUP(record[[#This Row],[employeeID]],員工[],2,FALSE)</f>
        <v>蔣梅</v>
      </c>
    </row>
    <row r="5780" spans="6:19" hidden="1" x14ac:dyDescent="0.25">
      <c r="F5780" t="s">
        <v>1335</v>
      </c>
      <c r="G5780" t="s">
        <v>422</v>
      </c>
      <c r="H5780" t="str">
        <f>VLOOKUP(record[[#This Row],[ProcessSN]],表格2_7[],2,FALSE)</f>
        <v>30-4118-018-600</v>
      </c>
      <c r="I5780" t="str">
        <f>VLOOKUP(record[[#This Row],[ProcessSN]],表格2_7[],3,FALSE)</f>
        <v>#08</v>
      </c>
      <c r="J5780" t="s">
        <v>597</v>
      </c>
      <c r="K5780" s="195">
        <v>46008.392835648148</v>
      </c>
      <c r="L5780">
        <v>249</v>
      </c>
      <c r="M5780">
        <v>0</v>
      </c>
      <c r="N5780" s="98" t="str">
        <f>IF(record[[#This Row],[Memo]]="Browser:chrome os:android","平板報工",IF(record[[#This Row],[Memo]]=0,"委外",record[[#This Row],[Memo]]))</f>
        <v>委外</v>
      </c>
      <c r="P5780" t="s">
        <v>186</v>
      </c>
      <c r="Q5780" t="s">
        <v>287</v>
      </c>
      <c r="R5780" t="str">
        <f>IFERROR(VLOOKUP(record[[#This Row],[PCUSTID]],廠商[],2,FALSE),"")</f>
        <v>泉盛</v>
      </c>
      <c r="S5780" t="str">
        <f>VLOOKUP(record[[#This Row],[employeeID]],員工[],2,FALSE)</f>
        <v>許文姍</v>
      </c>
    </row>
    <row r="5781" spans="6:19" hidden="1" x14ac:dyDescent="0.25">
      <c r="F5781" t="s">
        <v>1327</v>
      </c>
      <c r="G5781" t="s">
        <v>450</v>
      </c>
      <c r="H5781" t="str">
        <f>VLOOKUP(record[[#This Row],[ProcessSN]],表格2_7[],2,FALSE)</f>
        <v>30-4118-018-6XX</v>
      </c>
      <c r="I5781" t="str">
        <f>VLOOKUP(record[[#This Row],[ProcessSN]],表格2_7[],3,FALSE)</f>
        <v>#06</v>
      </c>
      <c r="J5781" t="s">
        <v>593</v>
      </c>
      <c r="K5781" s="195">
        <v>46008.308564814812</v>
      </c>
      <c r="L5781">
        <v>111</v>
      </c>
      <c r="M5781">
        <v>0</v>
      </c>
      <c r="N5781" s="98" t="str">
        <f>IF(record[[#This Row],[Memo]]="Browser:chrome os:android","平板報工",IF(record[[#This Row],[Memo]]=0,"委外",record[[#This Row],[Memo]]))</f>
        <v/>
      </c>
      <c r="O5781" t="s">
        <v>58</v>
      </c>
      <c r="P5781" t="s">
        <v>180</v>
      </c>
      <c r="Q5781" t="s">
        <v>58</v>
      </c>
      <c r="R5781" t="str">
        <f>IFERROR(VLOOKUP(record[[#This Row],[PCUSTID]],廠商[],2,FALSE),"")</f>
        <v/>
      </c>
      <c r="S5781" t="str">
        <f>VLOOKUP(record[[#This Row],[employeeID]],員工[],2,FALSE)</f>
        <v>黎功江</v>
      </c>
    </row>
    <row r="5782" spans="6:19" hidden="1" x14ac:dyDescent="0.25">
      <c r="F5782" t="s">
        <v>1324</v>
      </c>
      <c r="G5782" t="s">
        <v>450</v>
      </c>
      <c r="H5782" t="str">
        <f>VLOOKUP(record[[#This Row],[ProcessSN]],表格2_7[],2,FALSE)</f>
        <v>30-4118-018-6XX</v>
      </c>
      <c r="I5782" t="str">
        <f>VLOOKUP(record[[#This Row],[ProcessSN]],表格2_7[],3,FALSE)</f>
        <v>#06</v>
      </c>
      <c r="J5782" t="s">
        <v>593</v>
      </c>
      <c r="K5782" s="195">
        <v>46008.308368055557</v>
      </c>
      <c r="L5782">
        <v>39</v>
      </c>
      <c r="M5782">
        <v>0</v>
      </c>
      <c r="N5782" s="98" t="str">
        <f>IF(record[[#This Row],[Memo]]="Browser:chrome os:android","平板報工",IF(record[[#This Row],[Memo]]=0,"委外",record[[#This Row],[Memo]]))</f>
        <v/>
      </c>
      <c r="O5782" t="s">
        <v>58</v>
      </c>
      <c r="P5782" t="s">
        <v>180</v>
      </c>
      <c r="Q5782" t="s">
        <v>58</v>
      </c>
      <c r="R5782" t="str">
        <f>IFERROR(VLOOKUP(record[[#This Row],[PCUSTID]],廠商[],2,FALSE),"")</f>
        <v/>
      </c>
      <c r="S5782" t="str">
        <f>VLOOKUP(record[[#This Row],[employeeID]],員工[],2,FALSE)</f>
        <v>黎功江</v>
      </c>
    </row>
    <row r="5783" spans="6:19" hidden="1" x14ac:dyDescent="0.25">
      <c r="F5783" t="s">
        <v>1327</v>
      </c>
      <c r="G5783" t="s">
        <v>449</v>
      </c>
      <c r="H5783" t="str">
        <f>VLOOKUP(record[[#This Row],[ProcessSN]],表格2_7[],2,FALSE)</f>
        <v>30-4118-018-6XX</v>
      </c>
      <c r="I5783" t="str">
        <f>VLOOKUP(record[[#This Row],[ProcessSN]],表格2_7[],3,FALSE)</f>
        <v>#05</v>
      </c>
      <c r="J5783" t="s">
        <v>588</v>
      </c>
      <c r="K5783" s="195">
        <v>46008.307581018518</v>
      </c>
      <c r="L5783">
        <v>126</v>
      </c>
      <c r="M5783">
        <v>0</v>
      </c>
      <c r="N5783" s="98" t="str">
        <f>IF(record[[#This Row],[Memo]]="Browser:chrome os:android","平板報工",IF(record[[#This Row],[Memo]]=0,"委外",record[[#This Row],[Memo]]))</f>
        <v/>
      </c>
      <c r="O5783" t="s">
        <v>58</v>
      </c>
      <c r="P5783" t="s">
        <v>843</v>
      </c>
      <c r="Q5783" t="s">
        <v>58</v>
      </c>
      <c r="R5783" t="str">
        <f>IFERROR(VLOOKUP(record[[#This Row],[PCUSTID]],廠商[],2,FALSE),"")</f>
        <v/>
      </c>
      <c r="S5783" t="str">
        <f>VLOOKUP(record[[#This Row],[employeeID]],員工[],2,FALSE)</f>
        <v>張楚承</v>
      </c>
    </row>
    <row r="5784" spans="6:19" hidden="1" x14ac:dyDescent="0.25">
      <c r="F5784" t="s">
        <v>1327</v>
      </c>
      <c r="G5784" t="s">
        <v>448</v>
      </c>
      <c r="H5784" t="str">
        <f>VLOOKUP(record[[#This Row],[ProcessSN]],表格2_7[],2,FALSE)</f>
        <v>30-4118-018-6XX</v>
      </c>
      <c r="I5784" t="str">
        <f>VLOOKUP(record[[#This Row],[ProcessSN]],表格2_7[],3,FALSE)</f>
        <v>#04</v>
      </c>
      <c r="J5784" t="s">
        <v>588</v>
      </c>
      <c r="K5784" s="195">
        <v>46008.30741898148</v>
      </c>
      <c r="L5784">
        <v>126</v>
      </c>
      <c r="M5784">
        <v>0</v>
      </c>
      <c r="N5784" s="98" t="str">
        <f>IF(record[[#This Row],[Memo]]="Browser:chrome os:android","平板報工",IF(record[[#This Row],[Memo]]=0,"委外",record[[#This Row],[Memo]]))</f>
        <v/>
      </c>
      <c r="O5784" t="s">
        <v>58</v>
      </c>
      <c r="P5784" t="s">
        <v>843</v>
      </c>
      <c r="Q5784" t="s">
        <v>58</v>
      </c>
      <c r="R5784" t="str">
        <f>IFERROR(VLOOKUP(record[[#This Row],[PCUSTID]],廠商[],2,FALSE),"")</f>
        <v/>
      </c>
      <c r="S5784" t="str">
        <f>VLOOKUP(record[[#This Row],[employeeID]],員工[],2,FALSE)</f>
        <v>張楚承</v>
      </c>
    </row>
    <row r="5785" spans="6:19" hidden="1" x14ac:dyDescent="0.25">
      <c r="F5785" t="s">
        <v>1290</v>
      </c>
      <c r="G5785" t="s">
        <v>417</v>
      </c>
      <c r="H5785" t="str">
        <f>VLOOKUP(record[[#This Row],[ProcessSN]],表格2_7[],2,FALSE)</f>
        <v>30-4118-018-5XX</v>
      </c>
      <c r="I5785" t="str">
        <f>VLOOKUP(record[[#This Row],[ProcessSN]],表格2_7[],3,FALSE)</f>
        <v>#06</v>
      </c>
      <c r="J5785" t="s">
        <v>593</v>
      </c>
      <c r="K5785" s="195">
        <v>46007.985462962963</v>
      </c>
      <c r="L5785">
        <v>120</v>
      </c>
      <c r="M5785">
        <v>0</v>
      </c>
      <c r="N5785" s="98" t="str">
        <f>IF(record[[#This Row],[Memo]]="Browser:chrome os:android","平板報工",IF(record[[#This Row],[Memo]]=0,"委外",record[[#This Row],[Memo]]))</f>
        <v/>
      </c>
      <c r="O5785" t="s">
        <v>58</v>
      </c>
      <c r="P5785" t="s">
        <v>176</v>
      </c>
      <c r="Q5785" t="s">
        <v>58</v>
      </c>
      <c r="R5785" t="str">
        <f>IFERROR(VLOOKUP(record[[#This Row],[PCUSTID]],廠商[],2,FALSE),"")</f>
        <v/>
      </c>
      <c r="S5785" t="str">
        <f>VLOOKUP(record[[#This Row],[employeeID]],員工[],2,FALSE)</f>
        <v>郭政雄</v>
      </c>
    </row>
    <row r="5786" spans="6:19" hidden="1" x14ac:dyDescent="0.25">
      <c r="F5786" t="s">
        <v>1324</v>
      </c>
      <c r="G5786" t="s">
        <v>450</v>
      </c>
      <c r="H5786" t="str">
        <f>VLOOKUP(record[[#This Row],[ProcessSN]],表格2_7[],2,FALSE)</f>
        <v>30-4118-018-6XX</v>
      </c>
      <c r="I5786" t="str">
        <f>VLOOKUP(record[[#This Row],[ProcessSN]],表格2_7[],3,FALSE)</f>
        <v>#06</v>
      </c>
      <c r="J5786" t="s">
        <v>593</v>
      </c>
      <c r="K5786" s="195">
        <v>46007.985185185185</v>
      </c>
      <c r="L5786">
        <v>120</v>
      </c>
      <c r="M5786">
        <v>0</v>
      </c>
      <c r="N5786" s="98" t="str">
        <f>IF(record[[#This Row],[Memo]]="Browser:chrome os:android","平板報工",IF(record[[#This Row],[Memo]]=0,"委外",record[[#This Row],[Memo]]))</f>
        <v/>
      </c>
      <c r="O5786" t="s">
        <v>58</v>
      </c>
      <c r="P5786" t="s">
        <v>176</v>
      </c>
      <c r="Q5786" t="s">
        <v>58</v>
      </c>
      <c r="R5786" t="str">
        <f>IFERROR(VLOOKUP(record[[#This Row],[PCUSTID]],廠商[],2,FALSE),"")</f>
        <v/>
      </c>
      <c r="S5786" t="str">
        <f>VLOOKUP(record[[#This Row],[employeeID]],員工[],2,FALSE)</f>
        <v>郭政雄</v>
      </c>
    </row>
    <row r="5787" spans="6:19" hidden="1" x14ac:dyDescent="0.25">
      <c r="F5787" t="s">
        <v>1324</v>
      </c>
      <c r="G5787" t="s">
        <v>449</v>
      </c>
      <c r="H5787" t="str">
        <f>VLOOKUP(record[[#This Row],[ProcessSN]],表格2_7[],2,FALSE)</f>
        <v>30-4118-018-6XX</v>
      </c>
      <c r="I5787" t="str">
        <f>VLOOKUP(record[[#This Row],[ProcessSN]],表格2_7[],3,FALSE)</f>
        <v>#05</v>
      </c>
      <c r="J5787" t="s">
        <v>588</v>
      </c>
      <c r="K5787" s="195">
        <v>46007.983287037037</v>
      </c>
      <c r="L5787">
        <v>36</v>
      </c>
      <c r="M5787">
        <v>0</v>
      </c>
      <c r="N5787" s="98" t="str">
        <f>IF(record[[#This Row],[Memo]]="Browser:chrome os:android","平板報工",IF(record[[#This Row],[Memo]]=0,"委外",record[[#This Row],[Memo]]))</f>
        <v/>
      </c>
      <c r="O5787" t="s">
        <v>58</v>
      </c>
      <c r="P5787" t="s">
        <v>89</v>
      </c>
      <c r="Q5787" t="s">
        <v>58</v>
      </c>
      <c r="R5787" t="str">
        <f>IFERROR(VLOOKUP(record[[#This Row],[PCUSTID]],廠商[],2,FALSE),"")</f>
        <v/>
      </c>
      <c r="S5787" t="str">
        <f>VLOOKUP(record[[#This Row],[employeeID]],員工[],2,FALSE)</f>
        <v>李美蓮</v>
      </c>
    </row>
    <row r="5788" spans="6:19" hidden="1" x14ac:dyDescent="0.25">
      <c r="F5788" t="s">
        <v>1324</v>
      </c>
      <c r="G5788" t="s">
        <v>448</v>
      </c>
      <c r="H5788" t="str">
        <f>VLOOKUP(record[[#This Row],[ProcessSN]],表格2_7[],2,FALSE)</f>
        <v>30-4118-018-6XX</v>
      </c>
      <c r="I5788" t="str">
        <f>VLOOKUP(record[[#This Row],[ProcessSN]],表格2_7[],3,FALSE)</f>
        <v>#04</v>
      </c>
      <c r="J5788" t="s">
        <v>588</v>
      </c>
      <c r="K5788" s="195">
        <v>46007.982314814813</v>
      </c>
      <c r="L5788">
        <v>25</v>
      </c>
      <c r="M5788">
        <v>0</v>
      </c>
      <c r="N5788" s="98" t="str">
        <f>IF(record[[#This Row],[Memo]]="Browser:chrome os:android","平板報工",IF(record[[#This Row],[Memo]]=0,"委外",record[[#This Row],[Memo]]))</f>
        <v/>
      </c>
      <c r="O5788" t="s">
        <v>58</v>
      </c>
      <c r="P5788" t="s">
        <v>1098</v>
      </c>
      <c r="Q5788" t="s">
        <v>58</v>
      </c>
      <c r="R5788" t="str">
        <f>IFERROR(VLOOKUP(record[[#This Row],[PCUSTID]],廠商[],2,FALSE),"")</f>
        <v/>
      </c>
      <c r="S5788" t="str">
        <f>VLOOKUP(record[[#This Row],[employeeID]],員工[],2,FALSE)</f>
        <v>阮氏芳英(英)</v>
      </c>
    </row>
    <row r="5789" spans="6:19" hidden="1" x14ac:dyDescent="0.25">
      <c r="F5789" t="s">
        <v>1290</v>
      </c>
      <c r="G5789" t="s">
        <v>417</v>
      </c>
      <c r="H5789" t="str">
        <f>VLOOKUP(record[[#This Row],[ProcessSN]],表格2_7[],2,FALSE)</f>
        <v>30-4118-018-5XX</v>
      </c>
      <c r="I5789" t="str">
        <f>VLOOKUP(record[[#This Row],[ProcessSN]],表格2_7[],3,FALSE)</f>
        <v>#06</v>
      </c>
      <c r="J5789" t="s">
        <v>593</v>
      </c>
      <c r="K5789" s="195">
        <v>46007.674768518518</v>
      </c>
      <c r="L5789">
        <v>112</v>
      </c>
      <c r="M5789">
        <v>0</v>
      </c>
      <c r="N5789" s="98" t="str">
        <f>IF(record[[#This Row],[Memo]]="Browser:chrome os:android","平板報工",IF(record[[#This Row],[Memo]]=0,"委外",record[[#This Row],[Memo]]))</f>
        <v/>
      </c>
      <c r="O5789" t="s">
        <v>58</v>
      </c>
      <c r="P5789" t="s">
        <v>166</v>
      </c>
      <c r="Q5789" t="s">
        <v>58</v>
      </c>
      <c r="R5789" t="str">
        <f>IFERROR(VLOOKUP(record[[#This Row],[PCUSTID]],廠商[],2,FALSE),"")</f>
        <v/>
      </c>
      <c r="S5789" t="str">
        <f>VLOOKUP(record[[#This Row],[employeeID]],員工[],2,FALSE)</f>
        <v>阮懷香</v>
      </c>
    </row>
    <row r="5790" spans="6:19" hidden="1" x14ac:dyDescent="0.25">
      <c r="F5790" t="s">
        <v>1277</v>
      </c>
      <c r="G5790" t="s">
        <v>359</v>
      </c>
      <c r="H5790" t="str">
        <f>VLOOKUP(record[[#This Row],[ProcessSN]],表格2_7[],2,FALSE)</f>
        <v>30-4118-018-450</v>
      </c>
      <c r="I5790" t="str">
        <f>VLOOKUP(record[[#This Row],[ProcessSN]],表格2_7[],3,FALSE)</f>
        <v>#100</v>
      </c>
      <c r="J5790" t="s">
        <v>598</v>
      </c>
      <c r="K5790" s="195">
        <v>46007.669953703706</v>
      </c>
      <c r="L5790">
        <v>142</v>
      </c>
      <c r="M5790">
        <v>0</v>
      </c>
      <c r="N5790" s="98" t="str">
        <f>IF(record[[#This Row],[Memo]]="Browser:chrome os:android","平板報工",IF(record[[#This Row],[Memo]]=0,"委外",record[[#This Row],[Memo]]))</f>
        <v xml:space="preserve">覆回 </v>
      </c>
      <c r="O5790" t="s">
        <v>1337</v>
      </c>
      <c r="P5790" t="s">
        <v>141</v>
      </c>
      <c r="Q5790" t="s">
        <v>58</v>
      </c>
      <c r="R5790" t="str">
        <f>IFERROR(VLOOKUP(record[[#This Row],[PCUSTID]],廠商[],2,FALSE),"")</f>
        <v/>
      </c>
      <c r="S5790" t="str">
        <f>VLOOKUP(record[[#This Row],[employeeID]],員工[],2,FALSE)</f>
        <v>蔣梅</v>
      </c>
    </row>
    <row r="5791" spans="6:19" hidden="1" x14ac:dyDescent="0.25">
      <c r="F5791" t="s">
        <v>1277</v>
      </c>
      <c r="G5791" t="s">
        <v>358</v>
      </c>
      <c r="H5791" t="str">
        <f>VLOOKUP(record[[#This Row],[ProcessSN]],表格2_7[],2,FALSE)</f>
        <v>30-4118-018-450</v>
      </c>
      <c r="I5791" t="str">
        <f>VLOOKUP(record[[#This Row],[ProcessSN]],表格2_7[],3,FALSE)</f>
        <v>#08IQC</v>
      </c>
      <c r="J5791" t="s">
        <v>583</v>
      </c>
      <c r="K5791" s="195">
        <v>46007.669803240744</v>
      </c>
      <c r="L5791">
        <v>22</v>
      </c>
      <c r="M5791">
        <v>0</v>
      </c>
      <c r="N5791" s="98" t="str">
        <f>IF(record[[#This Row],[Memo]]="Browser:chrome os:android","平板報工",IF(record[[#This Row],[Memo]]=0,"委外",record[[#This Row],[Memo]]))</f>
        <v xml:space="preserve">覆回 </v>
      </c>
      <c r="O5791" t="s">
        <v>1337</v>
      </c>
      <c r="P5791" t="s">
        <v>141</v>
      </c>
      <c r="Q5791" t="s">
        <v>58</v>
      </c>
      <c r="R5791" t="str">
        <f>IFERROR(VLOOKUP(record[[#This Row],[PCUSTID]],廠商[],2,FALSE),"")</f>
        <v/>
      </c>
      <c r="S5791" t="str">
        <f>VLOOKUP(record[[#This Row],[employeeID]],員工[],2,FALSE)</f>
        <v>蔣梅</v>
      </c>
    </row>
    <row r="5792" spans="6:19" hidden="1" x14ac:dyDescent="0.25">
      <c r="F5792" t="s">
        <v>1277</v>
      </c>
      <c r="G5792" t="s">
        <v>357</v>
      </c>
      <c r="H5792" t="str">
        <f>VLOOKUP(record[[#This Row],[ProcessSN]],表格2_7[],2,FALSE)</f>
        <v>30-4118-018-450</v>
      </c>
      <c r="I5792" t="str">
        <f>VLOOKUP(record[[#This Row],[ProcessSN]],表格2_7[],3,FALSE)</f>
        <v>#08RCV</v>
      </c>
      <c r="J5792" t="s">
        <v>591</v>
      </c>
      <c r="K5792" s="195">
        <v>46007.669618055559</v>
      </c>
      <c r="L5792">
        <v>22</v>
      </c>
      <c r="M5792">
        <v>0</v>
      </c>
      <c r="N5792" s="98" t="str">
        <f>IF(record[[#This Row],[Memo]]="Browser:chrome os:android","平板報工",IF(record[[#This Row],[Memo]]=0,"委外",record[[#This Row],[Memo]]))</f>
        <v xml:space="preserve">覆回 </v>
      </c>
      <c r="O5792" t="s">
        <v>1337</v>
      </c>
      <c r="P5792" t="s">
        <v>141</v>
      </c>
      <c r="Q5792" t="s">
        <v>58</v>
      </c>
      <c r="R5792" t="str">
        <f>IFERROR(VLOOKUP(record[[#This Row],[PCUSTID]],廠商[],2,FALSE),"")</f>
        <v/>
      </c>
      <c r="S5792" t="str">
        <f>VLOOKUP(record[[#This Row],[employeeID]],員工[],2,FALSE)</f>
        <v>蔣梅</v>
      </c>
    </row>
    <row r="5793" spans="6:19" hidden="1" x14ac:dyDescent="0.25">
      <c r="F5793" t="s">
        <v>1315</v>
      </c>
      <c r="G5793" t="s">
        <v>359</v>
      </c>
      <c r="H5793" t="str">
        <f>VLOOKUP(record[[#This Row],[ProcessSN]],表格2_7[],2,FALSE)</f>
        <v>30-4118-018-450</v>
      </c>
      <c r="I5793" t="str">
        <f>VLOOKUP(record[[#This Row],[ProcessSN]],表格2_7[],3,FALSE)</f>
        <v>#100</v>
      </c>
      <c r="J5793" t="s">
        <v>598</v>
      </c>
      <c r="K5793" s="195">
        <v>46007.668124999997</v>
      </c>
      <c r="L5793">
        <v>327</v>
      </c>
      <c r="M5793">
        <v>0</v>
      </c>
      <c r="N5793" s="98" t="str">
        <f>IF(record[[#This Row],[Memo]]="Browser:chrome os:android","平板報工",IF(record[[#This Row],[Memo]]=0,"委外",record[[#This Row],[Memo]]))</f>
        <v/>
      </c>
      <c r="O5793" t="s">
        <v>58</v>
      </c>
      <c r="P5793" t="s">
        <v>141</v>
      </c>
      <c r="Q5793" t="s">
        <v>58</v>
      </c>
      <c r="R5793" t="str">
        <f>IFERROR(VLOOKUP(record[[#This Row],[PCUSTID]],廠商[],2,FALSE),"")</f>
        <v/>
      </c>
      <c r="S5793" t="str">
        <f>VLOOKUP(record[[#This Row],[employeeID]],員工[],2,FALSE)</f>
        <v>蔣梅</v>
      </c>
    </row>
    <row r="5794" spans="6:19" hidden="1" x14ac:dyDescent="0.25">
      <c r="F5794" t="s">
        <v>1315</v>
      </c>
      <c r="G5794" t="s">
        <v>358</v>
      </c>
      <c r="H5794" t="str">
        <f>VLOOKUP(record[[#This Row],[ProcessSN]],表格2_7[],2,FALSE)</f>
        <v>30-4118-018-450</v>
      </c>
      <c r="I5794" t="str">
        <f>VLOOKUP(record[[#This Row],[ProcessSN]],表格2_7[],3,FALSE)</f>
        <v>#08IQC</v>
      </c>
      <c r="J5794" t="s">
        <v>583</v>
      </c>
      <c r="K5794" s="195">
        <v>46007.667372685188</v>
      </c>
      <c r="L5794">
        <v>2</v>
      </c>
      <c r="M5794">
        <v>0</v>
      </c>
      <c r="N5794" s="98" t="str">
        <f>IF(record[[#This Row],[Memo]]="Browser:chrome os:android","平板報工",IF(record[[#This Row],[Memo]]=0,"委外",record[[#This Row],[Memo]]))</f>
        <v>覆回</v>
      </c>
      <c r="O5794" t="s">
        <v>682</v>
      </c>
      <c r="P5794" t="s">
        <v>141</v>
      </c>
      <c r="Q5794" t="s">
        <v>58</v>
      </c>
      <c r="R5794" t="str">
        <f>IFERROR(VLOOKUP(record[[#This Row],[PCUSTID]],廠商[],2,FALSE),"")</f>
        <v/>
      </c>
      <c r="S5794" t="str">
        <f>VLOOKUP(record[[#This Row],[employeeID]],員工[],2,FALSE)</f>
        <v>蔣梅</v>
      </c>
    </row>
    <row r="5795" spans="6:19" hidden="1" x14ac:dyDescent="0.25">
      <c r="F5795" t="s">
        <v>1315</v>
      </c>
      <c r="G5795" t="s">
        <v>357</v>
      </c>
      <c r="H5795" t="str">
        <f>VLOOKUP(record[[#This Row],[ProcessSN]],表格2_7[],2,FALSE)</f>
        <v>30-4118-018-450</v>
      </c>
      <c r="I5795" t="str">
        <f>VLOOKUP(record[[#This Row],[ProcessSN]],表格2_7[],3,FALSE)</f>
        <v>#08RCV</v>
      </c>
      <c r="J5795" t="s">
        <v>591</v>
      </c>
      <c r="K5795" s="195">
        <v>46007.666990740741</v>
      </c>
      <c r="L5795">
        <v>2</v>
      </c>
      <c r="M5795">
        <v>0</v>
      </c>
      <c r="N5795" s="98" t="str">
        <f>IF(record[[#This Row],[Memo]]="Browser:chrome os:android","平板報工",IF(record[[#This Row],[Memo]]=0,"委外",record[[#This Row],[Memo]]))</f>
        <v>覆回</v>
      </c>
      <c r="O5795" t="s">
        <v>682</v>
      </c>
      <c r="P5795" t="s">
        <v>141</v>
      </c>
      <c r="Q5795" t="s">
        <v>58</v>
      </c>
      <c r="R5795" t="str">
        <f>IFERROR(VLOOKUP(record[[#This Row],[PCUSTID]],廠商[],2,FALSE),"")</f>
        <v/>
      </c>
      <c r="S5795" t="str">
        <f>VLOOKUP(record[[#This Row],[employeeID]],員工[],2,FALSE)</f>
        <v>蔣梅</v>
      </c>
    </row>
    <row r="5796" spans="6:19" hidden="1" x14ac:dyDescent="0.25">
      <c r="F5796" t="s">
        <v>1324</v>
      </c>
      <c r="G5796" t="s">
        <v>450</v>
      </c>
      <c r="H5796" t="str">
        <f>VLOOKUP(record[[#This Row],[ProcessSN]],表格2_7[],2,FALSE)</f>
        <v>30-4118-018-6XX</v>
      </c>
      <c r="I5796" t="str">
        <f>VLOOKUP(record[[#This Row],[ProcessSN]],表格2_7[],3,FALSE)</f>
        <v>#06</v>
      </c>
      <c r="J5796" t="s">
        <v>593</v>
      </c>
      <c r="K5796" s="195">
        <v>46007.664965277778</v>
      </c>
      <c r="L5796">
        <v>85</v>
      </c>
      <c r="M5796">
        <v>0</v>
      </c>
      <c r="N5796" s="98" t="str">
        <f>IF(record[[#This Row],[Memo]]="Browser:chrome os:android","平板報工",IF(record[[#This Row],[Memo]]=0,"委外",record[[#This Row],[Memo]]))</f>
        <v/>
      </c>
      <c r="O5796" t="s">
        <v>58</v>
      </c>
      <c r="P5796" t="s">
        <v>166</v>
      </c>
      <c r="Q5796" t="s">
        <v>58</v>
      </c>
      <c r="R5796" t="str">
        <f>IFERROR(VLOOKUP(record[[#This Row],[PCUSTID]],廠商[],2,FALSE),"")</f>
        <v/>
      </c>
      <c r="S5796" t="str">
        <f>VLOOKUP(record[[#This Row],[employeeID]],員工[],2,FALSE)</f>
        <v>阮懷香</v>
      </c>
    </row>
    <row r="5797" spans="6:19" hidden="1" x14ac:dyDescent="0.25">
      <c r="F5797" t="s">
        <v>1324</v>
      </c>
      <c r="G5797" t="s">
        <v>449</v>
      </c>
      <c r="H5797" t="str">
        <f>VLOOKUP(record[[#This Row],[ProcessSN]],表格2_7[],2,FALSE)</f>
        <v>30-4118-018-6XX</v>
      </c>
      <c r="I5797" t="str">
        <f>VLOOKUP(record[[#This Row],[ProcessSN]],表格2_7[],3,FALSE)</f>
        <v>#05</v>
      </c>
      <c r="J5797" t="s">
        <v>588</v>
      </c>
      <c r="K5797" s="195">
        <v>46007.660497685189</v>
      </c>
      <c r="L5797">
        <v>118</v>
      </c>
      <c r="M5797">
        <v>2</v>
      </c>
      <c r="N5797" s="98" t="str">
        <f>IF(record[[#This Row],[Memo]]="Browser:chrome os:android","平板報工",IF(record[[#This Row],[Memo]]=0,"委外",record[[#This Row],[Memo]]))</f>
        <v/>
      </c>
      <c r="O5797" t="s">
        <v>58</v>
      </c>
      <c r="P5797" t="s">
        <v>789</v>
      </c>
      <c r="Q5797" t="s">
        <v>58</v>
      </c>
      <c r="R5797" t="str">
        <f>IFERROR(VLOOKUP(record[[#This Row],[PCUSTID]],廠商[],2,FALSE),"")</f>
        <v/>
      </c>
      <c r="S5797" t="str">
        <f>VLOOKUP(record[[#This Row],[employeeID]],員工[],2,FALSE)</f>
        <v>張月霞</v>
      </c>
    </row>
    <row r="5798" spans="6:19" hidden="1" x14ac:dyDescent="0.25">
      <c r="F5798" t="s">
        <v>1324</v>
      </c>
      <c r="G5798" t="s">
        <v>448</v>
      </c>
      <c r="H5798" t="str">
        <f>VLOOKUP(record[[#This Row],[ProcessSN]],表格2_7[],2,FALSE)</f>
        <v>30-4118-018-6XX</v>
      </c>
      <c r="I5798" t="str">
        <f>VLOOKUP(record[[#This Row],[ProcessSN]],表格2_7[],3,FALSE)</f>
        <v>#04</v>
      </c>
      <c r="J5798" t="s">
        <v>588</v>
      </c>
      <c r="K5798" s="195">
        <v>46007.660208333335</v>
      </c>
      <c r="L5798">
        <v>120</v>
      </c>
      <c r="M5798">
        <v>0</v>
      </c>
      <c r="N5798" s="98" t="str">
        <f>IF(record[[#This Row],[Memo]]="Browser:chrome os:android","平板報工",IF(record[[#This Row],[Memo]]=0,"委外",record[[#This Row],[Memo]]))</f>
        <v/>
      </c>
      <c r="O5798" t="s">
        <v>58</v>
      </c>
      <c r="P5798" t="s">
        <v>145</v>
      </c>
      <c r="Q5798" t="s">
        <v>58</v>
      </c>
      <c r="R5798" t="str">
        <f>IFERROR(VLOOKUP(record[[#This Row],[PCUSTID]],廠商[],2,FALSE),"")</f>
        <v/>
      </c>
      <c r="S5798" t="str">
        <f>VLOOKUP(record[[#This Row],[employeeID]],員工[],2,FALSE)</f>
        <v>阮秋霞</v>
      </c>
    </row>
    <row r="5799" spans="6:19" hidden="1" x14ac:dyDescent="0.25">
      <c r="F5799" t="s">
        <v>1173</v>
      </c>
      <c r="G5799" t="s">
        <v>428</v>
      </c>
      <c r="H5799" t="str">
        <f>VLOOKUP(record[[#This Row],[ProcessSN]],表格2_7[],2,FALSE)</f>
        <v>30-4118-018-600</v>
      </c>
      <c r="I5799" t="str">
        <f>VLOOKUP(record[[#This Row],[ProcessSN]],表格2_7[],3,FALSE)</f>
        <v>#100SHIP</v>
      </c>
      <c r="J5799" t="s">
        <v>600</v>
      </c>
      <c r="K5799" s="195">
        <v>46007.616180555553</v>
      </c>
      <c r="L5799">
        <v>29</v>
      </c>
      <c r="M5799">
        <v>0</v>
      </c>
      <c r="N5799" s="98" t="str">
        <f>IF(record[[#This Row],[Memo]]="Browser:chrome os:android","平板報工",IF(record[[#This Row],[Memo]]=0,"委外",record[[#This Row],[Memo]]))</f>
        <v/>
      </c>
      <c r="O5799" t="s">
        <v>58</v>
      </c>
      <c r="P5799" t="s">
        <v>886</v>
      </c>
      <c r="Q5799" t="s">
        <v>58</v>
      </c>
      <c r="R5799" t="str">
        <f>IFERROR(VLOOKUP(record[[#This Row],[PCUSTID]],廠商[],2,FALSE),"")</f>
        <v/>
      </c>
      <c r="S5799" t="str">
        <f>VLOOKUP(record[[#This Row],[employeeID]],員工[],2,FALSE)</f>
        <v>謝蓁薰</v>
      </c>
    </row>
    <row r="5800" spans="6:19" hidden="1" x14ac:dyDescent="0.25">
      <c r="F5800" t="s">
        <v>1302</v>
      </c>
      <c r="G5800" t="s">
        <v>403</v>
      </c>
      <c r="H5800" t="str">
        <f>VLOOKUP(record[[#This Row],[ProcessSN]],表格2_7[],2,FALSE)</f>
        <v>30-4118-018-550</v>
      </c>
      <c r="I5800" t="str">
        <f>VLOOKUP(record[[#This Row],[ProcessSN]],表格2_7[],3,FALSE)</f>
        <v>#100SHIP</v>
      </c>
      <c r="J5800" t="s">
        <v>600</v>
      </c>
      <c r="K5800" s="195">
        <v>46007.616006944445</v>
      </c>
      <c r="L5800">
        <v>280</v>
      </c>
      <c r="M5800">
        <v>0</v>
      </c>
      <c r="N5800" s="98" t="str">
        <f>IF(record[[#This Row],[Memo]]="Browser:chrome os:android","平板報工",IF(record[[#This Row],[Memo]]=0,"委外",record[[#This Row],[Memo]]))</f>
        <v/>
      </c>
      <c r="O5800" t="s">
        <v>58</v>
      </c>
      <c r="P5800" t="s">
        <v>886</v>
      </c>
      <c r="Q5800" t="s">
        <v>58</v>
      </c>
      <c r="R5800" t="str">
        <f>IFERROR(VLOOKUP(record[[#This Row],[PCUSTID]],廠商[],2,FALSE),"")</f>
        <v/>
      </c>
      <c r="S5800" t="str">
        <f>VLOOKUP(record[[#This Row],[employeeID]],員工[],2,FALSE)</f>
        <v>謝蓁薰</v>
      </c>
    </row>
    <row r="5801" spans="6:19" hidden="1" x14ac:dyDescent="0.25">
      <c r="F5801" t="s">
        <v>1289</v>
      </c>
      <c r="G5801" t="s">
        <v>403</v>
      </c>
      <c r="H5801" t="str">
        <f>VLOOKUP(record[[#This Row],[ProcessSN]],表格2_7[],2,FALSE)</f>
        <v>30-4118-018-550</v>
      </c>
      <c r="I5801" t="str">
        <f>VLOOKUP(record[[#This Row],[ProcessSN]],表格2_7[],3,FALSE)</f>
        <v>#100SHIP</v>
      </c>
      <c r="J5801" t="s">
        <v>600</v>
      </c>
      <c r="K5801" s="195">
        <v>46007.615868055553</v>
      </c>
      <c r="L5801">
        <v>115</v>
      </c>
      <c r="M5801">
        <v>0</v>
      </c>
      <c r="N5801" s="98" t="str">
        <f>IF(record[[#This Row],[Memo]]="Browser:chrome os:android","平板報工",IF(record[[#This Row],[Memo]]=0,"委外",record[[#This Row],[Memo]]))</f>
        <v/>
      </c>
      <c r="O5801" t="s">
        <v>58</v>
      </c>
      <c r="P5801" t="s">
        <v>886</v>
      </c>
      <c r="Q5801" t="s">
        <v>58</v>
      </c>
      <c r="R5801" t="str">
        <f>IFERROR(VLOOKUP(record[[#This Row],[PCUSTID]],廠商[],2,FALSE),"")</f>
        <v/>
      </c>
      <c r="S5801" t="str">
        <f>VLOOKUP(record[[#This Row],[employeeID]],員工[],2,FALSE)</f>
        <v>謝蓁薰</v>
      </c>
    </row>
    <row r="5802" spans="6:19" hidden="1" x14ac:dyDescent="0.25">
      <c r="F5802" t="s">
        <v>1277</v>
      </c>
      <c r="G5802" t="s">
        <v>362</v>
      </c>
      <c r="H5802" t="str">
        <f>VLOOKUP(record[[#This Row],[ProcessSN]],表格2_7[],2,FALSE)</f>
        <v>30-4118-018-450</v>
      </c>
      <c r="I5802" t="str">
        <f>VLOOKUP(record[[#This Row],[ProcessSN]],表格2_7[],3,FALSE)</f>
        <v>#100SHIP</v>
      </c>
      <c r="J5802" t="s">
        <v>600</v>
      </c>
      <c r="K5802" s="195">
        <v>46007.615740740737</v>
      </c>
      <c r="L5802">
        <v>11</v>
      </c>
      <c r="M5802">
        <v>0</v>
      </c>
      <c r="N5802" s="98" t="str">
        <f>IF(record[[#This Row],[Memo]]="Browser:chrome os:android","平板報工",IF(record[[#This Row],[Memo]]=0,"委外",record[[#This Row],[Memo]]))</f>
        <v/>
      </c>
      <c r="O5802" t="s">
        <v>58</v>
      </c>
      <c r="P5802" t="s">
        <v>886</v>
      </c>
      <c r="Q5802" t="s">
        <v>58</v>
      </c>
      <c r="R5802" t="str">
        <f>IFERROR(VLOOKUP(record[[#This Row],[PCUSTID]],廠商[],2,FALSE),"")</f>
        <v/>
      </c>
      <c r="S5802" t="str">
        <f>VLOOKUP(record[[#This Row],[employeeID]],員工[],2,FALSE)</f>
        <v>謝蓁薰</v>
      </c>
    </row>
    <row r="5803" spans="6:19" hidden="1" x14ac:dyDescent="0.25">
      <c r="F5803" t="s">
        <v>1260</v>
      </c>
      <c r="G5803" t="s">
        <v>425</v>
      </c>
      <c r="H5803" t="str">
        <f>VLOOKUP(record[[#This Row],[ProcessSN]],表格2_7[],2,FALSE)</f>
        <v>30-4118-018-600</v>
      </c>
      <c r="I5803" t="str">
        <f>VLOOKUP(record[[#This Row],[ProcessSN]],表格2_7[],3,FALSE)</f>
        <v>#100</v>
      </c>
      <c r="J5803" t="s">
        <v>598</v>
      </c>
      <c r="K5803" s="195">
        <v>46007.569456018522</v>
      </c>
      <c r="L5803">
        <v>209</v>
      </c>
      <c r="M5803">
        <v>0</v>
      </c>
      <c r="N5803" s="98" t="str">
        <f>IF(record[[#This Row],[Memo]]="Browser:chrome os:android","平板報工",IF(record[[#This Row],[Memo]]=0,"委外",record[[#This Row],[Memo]]))</f>
        <v>覆回</v>
      </c>
      <c r="O5803" t="s">
        <v>682</v>
      </c>
      <c r="P5803" t="s">
        <v>141</v>
      </c>
      <c r="Q5803" t="s">
        <v>58</v>
      </c>
      <c r="R5803" t="str">
        <f>IFERROR(VLOOKUP(record[[#This Row],[PCUSTID]],廠商[],2,FALSE),"")</f>
        <v/>
      </c>
      <c r="S5803" t="str">
        <f>VLOOKUP(record[[#This Row],[employeeID]],員工[],2,FALSE)</f>
        <v>蔣梅</v>
      </c>
    </row>
    <row r="5804" spans="6:19" hidden="1" x14ac:dyDescent="0.25">
      <c r="F5804" t="s">
        <v>1260</v>
      </c>
      <c r="G5804" t="s">
        <v>424</v>
      </c>
      <c r="H5804" t="str">
        <f>VLOOKUP(record[[#This Row],[ProcessSN]],表格2_7[],2,FALSE)</f>
        <v>30-4118-018-600</v>
      </c>
      <c r="I5804" t="str">
        <f>VLOOKUP(record[[#This Row],[ProcessSN]],表格2_7[],3,FALSE)</f>
        <v>#08IQC</v>
      </c>
      <c r="J5804" t="s">
        <v>583</v>
      </c>
      <c r="K5804" s="195">
        <v>46007.568599537037</v>
      </c>
      <c r="L5804">
        <v>17</v>
      </c>
      <c r="M5804">
        <v>0</v>
      </c>
      <c r="N5804" s="98" t="str">
        <f>IF(record[[#This Row],[Memo]]="Browser:chrome os:android","平板報工",IF(record[[#This Row],[Memo]]=0,"委外",record[[#This Row],[Memo]]))</f>
        <v>覆回</v>
      </c>
      <c r="O5804" t="s">
        <v>682</v>
      </c>
      <c r="P5804" t="s">
        <v>141</v>
      </c>
      <c r="Q5804" t="s">
        <v>58</v>
      </c>
      <c r="R5804" t="str">
        <f>IFERROR(VLOOKUP(record[[#This Row],[PCUSTID]],廠商[],2,FALSE),"")</f>
        <v/>
      </c>
      <c r="S5804" t="str">
        <f>VLOOKUP(record[[#This Row],[employeeID]],員工[],2,FALSE)</f>
        <v>蔣梅</v>
      </c>
    </row>
    <row r="5805" spans="6:19" hidden="1" x14ac:dyDescent="0.25">
      <c r="F5805" t="s">
        <v>1260</v>
      </c>
      <c r="G5805" t="s">
        <v>423</v>
      </c>
      <c r="H5805" t="str">
        <f>VLOOKUP(record[[#This Row],[ProcessSN]],表格2_7[],2,FALSE)</f>
        <v>30-4118-018-600</v>
      </c>
      <c r="I5805" t="str">
        <f>VLOOKUP(record[[#This Row],[ProcessSN]],表格2_7[],3,FALSE)</f>
        <v>#08RCV</v>
      </c>
      <c r="J5805" t="s">
        <v>591</v>
      </c>
      <c r="K5805" s="195">
        <v>46007.568425925929</v>
      </c>
      <c r="L5805">
        <v>17</v>
      </c>
      <c r="M5805">
        <v>0</v>
      </c>
      <c r="N5805" s="98" t="str">
        <f>IF(record[[#This Row],[Memo]]="Browser:chrome os:android","平板報工",IF(record[[#This Row],[Memo]]=0,"委外",record[[#This Row],[Memo]]))</f>
        <v>覆回</v>
      </c>
      <c r="O5805" t="s">
        <v>682</v>
      </c>
      <c r="P5805" t="s">
        <v>141</v>
      </c>
      <c r="Q5805" t="s">
        <v>58</v>
      </c>
      <c r="R5805" t="str">
        <f>IFERROR(VLOOKUP(record[[#This Row],[PCUSTID]],廠商[],2,FALSE),"")</f>
        <v/>
      </c>
      <c r="S5805" t="str">
        <f>VLOOKUP(record[[#This Row],[employeeID]],員工[],2,FALSE)</f>
        <v>蔣梅</v>
      </c>
    </row>
    <row r="5806" spans="6:19" hidden="1" x14ac:dyDescent="0.25">
      <c r="F5806" t="s">
        <v>1173</v>
      </c>
      <c r="G5806" t="s">
        <v>423</v>
      </c>
      <c r="H5806" t="str">
        <f>VLOOKUP(record[[#This Row],[ProcessSN]],表格2_7[],2,FALSE)</f>
        <v>30-4118-018-600</v>
      </c>
      <c r="I5806" t="str">
        <f>VLOOKUP(record[[#This Row],[ProcessSN]],表格2_7[],3,FALSE)</f>
        <v>#08RCV</v>
      </c>
      <c r="J5806" t="s">
        <v>591</v>
      </c>
      <c r="K5806" s="195">
        <v>46007.567314814813</v>
      </c>
      <c r="L5806">
        <v>0</v>
      </c>
      <c r="M5806">
        <v>26</v>
      </c>
      <c r="N5806" s="98" t="str">
        <f>IF(record[[#This Row],[Memo]]="Browser:chrome os:android","平板報工",IF(record[[#This Row],[Memo]]=0,"委外",record[[#This Row],[Memo]]))</f>
        <v/>
      </c>
      <c r="O5806" t="s">
        <v>58</v>
      </c>
      <c r="P5806" t="s">
        <v>141</v>
      </c>
      <c r="Q5806" t="s">
        <v>58</v>
      </c>
      <c r="R5806" t="str">
        <f>IFERROR(VLOOKUP(record[[#This Row],[PCUSTID]],廠商[],2,FALSE),"")</f>
        <v/>
      </c>
      <c r="S5806" t="str">
        <f>VLOOKUP(record[[#This Row],[employeeID]],員工[],2,FALSE)</f>
        <v>蔣梅</v>
      </c>
    </row>
    <row r="5807" spans="6:19" hidden="1" x14ac:dyDescent="0.25">
      <c r="F5807" t="s">
        <v>1173</v>
      </c>
      <c r="G5807" t="s">
        <v>425</v>
      </c>
      <c r="H5807" t="str">
        <f>VLOOKUP(record[[#This Row],[ProcessSN]],表格2_7[],2,FALSE)</f>
        <v>30-4118-018-600</v>
      </c>
      <c r="I5807" t="str">
        <f>VLOOKUP(record[[#This Row],[ProcessSN]],表格2_7[],3,FALSE)</f>
        <v>#100</v>
      </c>
      <c r="J5807" t="s">
        <v>598</v>
      </c>
      <c r="K5807" s="195">
        <v>46007.567141203705</v>
      </c>
      <c r="L5807">
        <v>1</v>
      </c>
      <c r="M5807">
        <v>0</v>
      </c>
      <c r="N5807" s="98" t="str">
        <f>IF(record[[#This Row],[Memo]]="Browser:chrome os:android","平板報工",IF(record[[#This Row],[Memo]]=0,"委外",record[[#This Row],[Memo]]))</f>
        <v>覆回</v>
      </c>
      <c r="O5807" t="s">
        <v>682</v>
      </c>
      <c r="P5807" t="s">
        <v>141</v>
      </c>
      <c r="Q5807" t="s">
        <v>58</v>
      </c>
      <c r="R5807" t="str">
        <f>IFERROR(VLOOKUP(record[[#This Row],[PCUSTID]],廠商[],2,FALSE),"")</f>
        <v/>
      </c>
      <c r="S5807" t="str">
        <f>VLOOKUP(record[[#This Row],[employeeID]],員工[],2,FALSE)</f>
        <v>蔣梅</v>
      </c>
    </row>
    <row r="5808" spans="6:19" hidden="1" x14ac:dyDescent="0.25">
      <c r="F5808" t="s">
        <v>1173</v>
      </c>
      <c r="G5808" t="s">
        <v>424</v>
      </c>
      <c r="H5808" t="str">
        <f>VLOOKUP(record[[#This Row],[ProcessSN]],表格2_7[],2,FALSE)</f>
        <v>30-4118-018-600</v>
      </c>
      <c r="I5808" t="str">
        <f>VLOOKUP(record[[#This Row],[ProcessSN]],表格2_7[],3,FALSE)</f>
        <v>#08IQC</v>
      </c>
      <c r="J5808" t="s">
        <v>583</v>
      </c>
      <c r="K5808" s="195">
        <v>46007.56690972222</v>
      </c>
      <c r="L5808">
        <v>1</v>
      </c>
      <c r="M5808">
        <v>0</v>
      </c>
      <c r="N5808" s="98" t="str">
        <f>IF(record[[#This Row],[Memo]]="Browser:chrome os:android","平板報工",IF(record[[#This Row],[Memo]]=0,"委外",record[[#This Row],[Memo]]))</f>
        <v>覆回</v>
      </c>
      <c r="O5808" t="s">
        <v>682</v>
      </c>
      <c r="P5808" t="s">
        <v>141</v>
      </c>
      <c r="Q5808" t="s">
        <v>58</v>
      </c>
      <c r="R5808" t="str">
        <f>IFERROR(VLOOKUP(record[[#This Row],[PCUSTID]],廠商[],2,FALSE),"")</f>
        <v/>
      </c>
      <c r="S5808" t="str">
        <f>VLOOKUP(record[[#This Row],[employeeID]],員工[],2,FALSE)</f>
        <v>蔣梅</v>
      </c>
    </row>
    <row r="5809" spans="6:19" hidden="1" x14ac:dyDescent="0.25">
      <c r="F5809" t="s">
        <v>1173</v>
      </c>
      <c r="G5809" t="s">
        <v>423</v>
      </c>
      <c r="H5809" t="str">
        <f>VLOOKUP(record[[#This Row],[ProcessSN]],表格2_7[],2,FALSE)</f>
        <v>30-4118-018-600</v>
      </c>
      <c r="I5809" t="str">
        <f>VLOOKUP(record[[#This Row],[ProcessSN]],表格2_7[],3,FALSE)</f>
        <v>#08RCV</v>
      </c>
      <c r="J5809" t="s">
        <v>591</v>
      </c>
      <c r="K5809" s="195">
        <v>46007.566678240742</v>
      </c>
      <c r="L5809">
        <v>1</v>
      </c>
      <c r="M5809">
        <v>0</v>
      </c>
      <c r="N5809" s="98" t="str">
        <f>IF(record[[#This Row],[Memo]]="Browser:chrome os:android","平板報工",IF(record[[#This Row],[Memo]]=0,"委外",record[[#This Row],[Memo]]))</f>
        <v>覆回</v>
      </c>
      <c r="O5809" t="s">
        <v>682</v>
      </c>
      <c r="P5809" t="s">
        <v>141</v>
      </c>
      <c r="Q5809" t="s">
        <v>58</v>
      </c>
      <c r="R5809" t="str">
        <f>IFERROR(VLOOKUP(record[[#This Row],[PCUSTID]],廠商[],2,FALSE),"")</f>
        <v/>
      </c>
      <c r="S5809" t="str">
        <f>VLOOKUP(record[[#This Row],[employeeID]],員工[],2,FALSE)</f>
        <v>蔣梅</v>
      </c>
    </row>
    <row r="5810" spans="6:19" hidden="1" x14ac:dyDescent="0.25">
      <c r="F5810" t="s">
        <v>1324</v>
      </c>
      <c r="G5810" t="s">
        <v>453</v>
      </c>
      <c r="H5810" t="str">
        <f>VLOOKUP(record[[#This Row],[ProcessSN]],表格2_7[],2,FALSE)</f>
        <v>30-4118-018-6XX</v>
      </c>
      <c r="I5810" t="str">
        <f>VLOOKUP(record[[#This Row],[ProcessSN]],表格2_7[],3,FALSE)</f>
        <v>#07STOCK</v>
      </c>
      <c r="J5810" t="s">
        <v>592</v>
      </c>
      <c r="K5810" s="195">
        <v>46007.467870370368</v>
      </c>
      <c r="L5810">
        <v>249</v>
      </c>
      <c r="M5810">
        <v>0</v>
      </c>
      <c r="N5810" s="98" t="str">
        <f>IF(record[[#This Row],[Memo]]="Browser:chrome os:android","平板報工",IF(record[[#This Row],[Memo]]=0,"委外",record[[#This Row],[Memo]]))</f>
        <v/>
      </c>
      <c r="O5810" t="s">
        <v>58</v>
      </c>
      <c r="P5810" t="s">
        <v>113</v>
      </c>
      <c r="Q5810" t="s">
        <v>58</v>
      </c>
      <c r="R5810" t="str">
        <f>IFERROR(VLOOKUP(record[[#This Row],[PCUSTID]],廠商[],2,FALSE),"")</f>
        <v/>
      </c>
      <c r="S5810" t="str">
        <f>VLOOKUP(record[[#This Row],[employeeID]],員工[],2,FALSE)</f>
        <v>王奕蓁</v>
      </c>
    </row>
    <row r="5811" spans="6:19" hidden="1" x14ac:dyDescent="0.25">
      <c r="F5811" t="s">
        <v>1335</v>
      </c>
      <c r="G5811" t="s">
        <v>421</v>
      </c>
      <c r="H5811" t="str">
        <f>VLOOKUP(record[[#This Row],[ProcessSN]],表格2_7[],2,FALSE)</f>
        <v>30-4118-018-600</v>
      </c>
      <c r="I5811" t="str">
        <f>VLOOKUP(record[[#This Row],[ProcessSN]],表格2_7[],3,FALSE)</f>
        <v>#08PICK</v>
      </c>
      <c r="J5811" t="s">
        <v>582</v>
      </c>
      <c r="K5811" s="195">
        <v>46007.45722222222</v>
      </c>
      <c r="L5811">
        <v>249</v>
      </c>
      <c r="M5811">
        <v>0</v>
      </c>
      <c r="N5811" s="98" t="str">
        <f>IF(record[[#This Row],[Memo]]="Browser:chrome os:android","平板報工",IF(record[[#This Row],[Memo]]=0,"委外",record[[#This Row],[Memo]]))</f>
        <v/>
      </c>
      <c r="O5811" t="s">
        <v>58</v>
      </c>
      <c r="P5811" t="s">
        <v>113</v>
      </c>
      <c r="Q5811" t="s">
        <v>58</v>
      </c>
      <c r="R5811" t="str">
        <f>IFERROR(VLOOKUP(record[[#This Row],[PCUSTID]],廠商[],2,FALSE),"")</f>
        <v/>
      </c>
      <c r="S5811" t="str">
        <f>VLOOKUP(record[[#This Row],[employeeID]],員工[],2,FALSE)</f>
        <v>王奕蓁</v>
      </c>
    </row>
    <row r="5812" spans="6:19" hidden="1" x14ac:dyDescent="0.25">
      <c r="F5812" t="s">
        <v>1324</v>
      </c>
      <c r="G5812" t="s">
        <v>452</v>
      </c>
      <c r="H5812" t="str">
        <f>VLOOKUP(record[[#This Row],[ProcessSN]],表格2_7[],2,FALSE)</f>
        <v>30-4118-018-6XX</v>
      </c>
      <c r="I5812" t="str">
        <f>VLOOKUP(record[[#This Row],[ProcessSN]],表格2_7[],3,FALSE)</f>
        <v>#07QC</v>
      </c>
      <c r="J5812" t="s">
        <v>589</v>
      </c>
      <c r="K5812" s="195">
        <v>46007.450520833336</v>
      </c>
      <c r="L5812">
        <v>0</v>
      </c>
      <c r="M5812">
        <v>85</v>
      </c>
      <c r="N5812" s="98" t="str">
        <f>IF(record[[#This Row],[Memo]]="Browser:chrome os:android","平板報工",IF(record[[#This Row],[Memo]]=0,"委外",record[[#This Row],[Memo]]))</f>
        <v>平板報工</v>
      </c>
      <c r="O5812" t="s">
        <v>643</v>
      </c>
      <c r="P5812" t="s">
        <v>141</v>
      </c>
      <c r="Q5812" t="s">
        <v>644</v>
      </c>
      <c r="R5812" t="str">
        <f>IFERROR(VLOOKUP(record[[#This Row],[PCUSTID]],廠商[],2,FALSE),"")</f>
        <v/>
      </c>
      <c r="S5812" t="str">
        <f>VLOOKUP(record[[#This Row],[employeeID]],員工[],2,FALSE)</f>
        <v>蔣梅</v>
      </c>
    </row>
    <row r="5813" spans="6:19" hidden="1" x14ac:dyDescent="0.25">
      <c r="F5813" t="s">
        <v>1324</v>
      </c>
      <c r="G5813" t="s">
        <v>452</v>
      </c>
      <c r="H5813" t="str">
        <f>VLOOKUP(record[[#This Row],[ProcessSN]],表格2_7[],2,FALSE)</f>
        <v>30-4118-018-6XX</v>
      </c>
      <c r="I5813" t="str">
        <f>VLOOKUP(record[[#This Row],[ProcessSN]],表格2_7[],3,FALSE)</f>
        <v>#07QC</v>
      </c>
      <c r="J5813" t="s">
        <v>589</v>
      </c>
      <c r="K5813" s="195">
        <v>46007.450300925928</v>
      </c>
      <c r="L5813">
        <v>249</v>
      </c>
      <c r="M5813">
        <v>0</v>
      </c>
      <c r="N5813" s="98" t="str">
        <f>IF(record[[#This Row],[Memo]]="Browser:chrome os:android","平板報工",IF(record[[#This Row],[Memo]]=0,"委外",record[[#This Row],[Memo]]))</f>
        <v>平板報工</v>
      </c>
      <c r="O5813" t="s">
        <v>643</v>
      </c>
      <c r="P5813" t="s">
        <v>141</v>
      </c>
      <c r="Q5813" t="s">
        <v>644</v>
      </c>
      <c r="R5813" t="str">
        <f>IFERROR(VLOOKUP(record[[#This Row],[PCUSTID]],廠商[],2,FALSE),"")</f>
        <v/>
      </c>
      <c r="S5813" t="str">
        <f>VLOOKUP(record[[#This Row],[employeeID]],員工[],2,FALSE)</f>
        <v>蔣梅</v>
      </c>
    </row>
    <row r="5814" spans="6:19" hidden="1" x14ac:dyDescent="0.25">
      <c r="F5814" t="s">
        <v>1324</v>
      </c>
      <c r="G5814" t="s">
        <v>451</v>
      </c>
      <c r="H5814" t="str">
        <f>VLOOKUP(record[[#This Row],[ProcessSN]],表格2_7[],2,FALSE)</f>
        <v>30-4118-018-6XX</v>
      </c>
      <c r="I5814" t="str">
        <f>VLOOKUP(record[[#This Row],[ProcessSN]],表格2_7[],3,FALSE)</f>
        <v>#07</v>
      </c>
      <c r="J5814" t="s">
        <v>588</v>
      </c>
      <c r="K5814" s="195">
        <v>46007.417997685188</v>
      </c>
      <c r="L5814">
        <v>59</v>
      </c>
      <c r="M5814">
        <v>1</v>
      </c>
      <c r="N5814" s="98" t="str">
        <f>IF(record[[#This Row],[Memo]]="Browser:chrome os:android","平板報工",IF(record[[#This Row],[Memo]]=0,"委外",record[[#This Row],[Memo]]))</f>
        <v/>
      </c>
      <c r="O5814" t="s">
        <v>58</v>
      </c>
      <c r="P5814" t="s">
        <v>785</v>
      </c>
      <c r="Q5814" t="s">
        <v>58</v>
      </c>
      <c r="R5814" t="str">
        <f>IFERROR(VLOOKUP(record[[#This Row],[PCUSTID]],廠商[],2,FALSE),"")</f>
        <v/>
      </c>
      <c r="S5814" t="str">
        <f>VLOOKUP(record[[#This Row],[employeeID]],員工[],2,FALSE)</f>
        <v>謝刻光</v>
      </c>
    </row>
    <row r="5815" spans="6:19" hidden="1" x14ac:dyDescent="0.25">
      <c r="F5815" t="s">
        <v>1333</v>
      </c>
      <c r="G5815" t="s">
        <v>446</v>
      </c>
      <c r="H5815" t="str">
        <f>VLOOKUP(record[[#This Row],[ProcessSN]],表格2_7[],2,FALSE)</f>
        <v>30-4118-018-6XX</v>
      </c>
      <c r="I5815" t="str">
        <f>VLOOKUP(record[[#This Row],[ProcessSN]],表格2_7[],3,FALSE)</f>
        <v>#03GIVE</v>
      </c>
      <c r="J5815" t="s">
        <v>587</v>
      </c>
      <c r="K5815" s="195">
        <v>46007.395289351851</v>
      </c>
      <c r="L5815">
        <v>840</v>
      </c>
      <c r="M5815">
        <v>0</v>
      </c>
      <c r="N5815" s="98" t="str">
        <f>IF(record[[#This Row],[Memo]]="Browser:chrome os:android","平板報工",IF(record[[#This Row],[Memo]]=0,"委外",record[[#This Row],[Memo]]))</f>
        <v/>
      </c>
      <c r="O5815" t="s">
        <v>58</v>
      </c>
      <c r="P5815" t="s">
        <v>1070</v>
      </c>
      <c r="Q5815" t="s">
        <v>58</v>
      </c>
      <c r="R5815" t="str">
        <f>IFERROR(VLOOKUP(record[[#This Row],[PCUSTID]],廠商[],2,FALSE),"")</f>
        <v/>
      </c>
      <c r="S5815" t="str">
        <f>VLOOKUP(record[[#This Row],[employeeID]],員工[],2,FALSE)</f>
        <v>陳昱佑</v>
      </c>
    </row>
    <row r="5816" spans="6:19" hidden="1" x14ac:dyDescent="0.25">
      <c r="F5816" t="s">
        <v>1333</v>
      </c>
      <c r="G5816" t="s">
        <v>445</v>
      </c>
      <c r="H5816" t="str">
        <f>VLOOKUP(record[[#This Row],[ProcessSN]],表格2_7[],2,FALSE)</f>
        <v>30-4118-018-6XX</v>
      </c>
      <c r="I5816" t="str">
        <f>VLOOKUP(record[[#This Row],[ProcessSN]],表格2_7[],3,FALSE)</f>
        <v>#03PICK</v>
      </c>
      <c r="J5816" t="s">
        <v>582</v>
      </c>
      <c r="K5816" s="195">
        <v>46007.343819444446</v>
      </c>
      <c r="L5816">
        <v>840</v>
      </c>
      <c r="M5816">
        <v>0</v>
      </c>
      <c r="N5816" s="98" t="str">
        <f>IF(record[[#This Row],[Memo]]="Browser:chrome os:android","平板報工",IF(record[[#This Row],[Memo]]=0,"委外",record[[#This Row],[Memo]]))</f>
        <v/>
      </c>
      <c r="O5816" t="s">
        <v>58</v>
      </c>
      <c r="P5816" t="s">
        <v>65</v>
      </c>
      <c r="Q5816" t="s">
        <v>58</v>
      </c>
      <c r="R5816" t="str">
        <f>IFERROR(VLOOKUP(record[[#This Row],[PCUSTID]],廠商[],2,FALSE),"")</f>
        <v/>
      </c>
      <c r="S5816" t="str">
        <f>VLOOKUP(record[[#This Row],[employeeID]],員工[],2,FALSE)</f>
        <v>蘇進昌</v>
      </c>
    </row>
    <row r="5817" spans="6:19" hidden="1" x14ac:dyDescent="0.25">
      <c r="F5817" t="s">
        <v>1285</v>
      </c>
      <c r="G5817" t="s">
        <v>471</v>
      </c>
      <c r="H5817" t="str">
        <f>VLOOKUP(record[[#This Row],[ProcessSN]],表格2_7[],2,FALSE)</f>
        <v>30-4118-018-XXX</v>
      </c>
      <c r="I5817" t="str">
        <f>VLOOKUP(record[[#This Row],[ProcessSN]],表格2_7[],3,FALSE)</f>
        <v>#02STOCK</v>
      </c>
      <c r="J5817" t="s">
        <v>592</v>
      </c>
      <c r="K5817" s="195">
        <v>46007.343738425923</v>
      </c>
      <c r="L5817">
        <v>840</v>
      </c>
      <c r="M5817">
        <v>0</v>
      </c>
      <c r="N5817" s="98" t="str">
        <f>IF(record[[#This Row],[Memo]]="Browser:chrome os:android","平板報工",IF(record[[#This Row],[Memo]]=0,"委外",record[[#This Row],[Memo]]))</f>
        <v/>
      </c>
      <c r="O5817" t="s">
        <v>58</v>
      </c>
      <c r="P5817" t="s">
        <v>65</v>
      </c>
      <c r="Q5817" t="s">
        <v>58</v>
      </c>
      <c r="R5817" t="str">
        <f>IFERROR(VLOOKUP(record[[#This Row],[PCUSTID]],廠商[],2,FALSE),"")</f>
        <v/>
      </c>
      <c r="S5817" t="str">
        <f>VLOOKUP(record[[#This Row],[employeeID]],員工[],2,FALSE)</f>
        <v>蘇進昌</v>
      </c>
    </row>
    <row r="5818" spans="6:19" hidden="1" x14ac:dyDescent="0.25">
      <c r="F5818" t="s">
        <v>1324</v>
      </c>
      <c r="G5818" t="s">
        <v>451</v>
      </c>
      <c r="H5818" t="str">
        <f>VLOOKUP(record[[#This Row],[ProcessSN]],表格2_7[],2,FALSE)</f>
        <v>30-4118-018-6XX</v>
      </c>
      <c r="I5818" t="str">
        <f>VLOOKUP(record[[#This Row],[ProcessSN]],表格2_7[],3,FALSE)</f>
        <v>#07</v>
      </c>
      <c r="J5818" t="s">
        <v>588</v>
      </c>
      <c r="K5818" s="195">
        <v>46007.306030092594</v>
      </c>
      <c r="L5818">
        <v>225</v>
      </c>
      <c r="M5818">
        <v>0</v>
      </c>
      <c r="N5818" s="98" t="str">
        <f>IF(record[[#This Row],[Memo]]="Browser:chrome os:android","平板報工",IF(record[[#This Row],[Memo]]=0,"委外",record[[#This Row],[Memo]]))</f>
        <v/>
      </c>
      <c r="O5818" t="s">
        <v>58</v>
      </c>
      <c r="P5818" t="s">
        <v>843</v>
      </c>
      <c r="Q5818" t="s">
        <v>58</v>
      </c>
      <c r="R5818" t="str">
        <f>IFERROR(VLOOKUP(record[[#This Row],[PCUSTID]],廠商[],2,FALSE),"")</f>
        <v/>
      </c>
      <c r="S5818" t="str">
        <f>VLOOKUP(record[[#This Row],[employeeID]],員工[],2,FALSE)</f>
        <v>張楚承</v>
      </c>
    </row>
    <row r="5819" spans="6:19" hidden="1" x14ac:dyDescent="0.25">
      <c r="F5819" t="s">
        <v>1324</v>
      </c>
      <c r="G5819" t="s">
        <v>450</v>
      </c>
      <c r="H5819" t="str">
        <f>VLOOKUP(record[[#This Row],[ProcessSN]],表格2_7[],2,FALSE)</f>
        <v>30-4118-018-6XX</v>
      </c>
      <c r="I5819" t="str">
        <f>VLOOKUP(record[[#This Row],[ProcessSN]],表格2_7[],3,FALSE)</f>
        <v>#06</v>
      </c>
      <c r="J5819" t="s">
        <v>593</v>
      </c>
      <c r="K5819" s="195">
        <v>46007.305717592593</v>
      </c>
      <c r="L5819">
        <v>140</v>
      </c>
      <c r="M5819">
        <v>5</v>
      </c>
      <c r="N5819" s="98" t="str">
        <f>IF(record[[#This Row],[Memo]]="Browser:chrome os:android","平板報工",IF(record[[#This Row],[Memo]]=0,"委外",record[[#This Row],[Memo]]))</f>
        <v/>
      </c>
      <c r="O5819" t="s">
        <v>58</v>
      </c>
      <c r="P5819" t="s">
        <v>843</v>
      </c>
      <c r="Q5819" t="s">
        <v>58</v>
      </c>
      <c r="R5819" t="str">
        <f>IFERROR(VLOOKUP(record[[#This Row],[PCUSTID]],廠商[],2,FALSE),"")</f>
        <v/>
      </c>
      <c r="S5819" t="str">
        <f>VLOOKUP(record[[#This Row],[employeeID]],員工[],2,FALSE)</f>
        <v>張楚承</v>
      </c>
    </row>
    <row r="5820" spans="6:19" hidden="1" x14ac:dyDescent="0.25">
      <c r="F5820" t="s">
        <v>1324</v>
      </c>
      <c r="G5820" t="s">
        <v>449</v>
      </c>
      <c r="H5820" t="str">
        <f>VLOOKUP(record[[#This Row],[ProcessSN]],表格2_7[],2,FALSE)</f>
        <v>30-4118-018-6XX</v>
      </c>
      <c r="I5820" t="str">
        <f>VLOOKUP(record[[#This Row],[ProcessSN]],表格2_7[],3,FALSE)</f>
        <v>#05</v>
      </c>
      <c r="J5820" t="s">
        <v>588</v>
      </c>
      <c r="K5820" s="195">
        <v>46007.305486111109</v>
      </c>
      <c r="L5820">
        <v>126</v>
      </c>
      <c r="M5820">
        <v>0</v>
      </c>
      <c r="N5820" s="98" t="str">
        <f>IF(record[[#This Row],[Memo]]="Browser:chrome os:android","平板報工",IF(record[[#This Row],[Memo]]=0,"委外",record[[#This Row],[Memo]]))</f>
        <v/>
      </c>
      <c r="O5820" t="s">
        <v>58</v>
      </c>
      <c r="P5820" t="s">
        <v>843</v>
      </c>
      <c r="Q5820" t="s">
        <v>58</v>
      </c>
      <c r="R5820" t="str">
        <f>IFERROR(VLOOKUP(record[[#This Row],[PCUSTID]],廠商[],2,FALSE),"")</f>
        <v/>
      </c>
      <c r="S5820" t="str">
        <f>VLOOKUP(record[[#This Row],[employeeID]],員工[],2,FALSE)</f>
        <v>張楚承</v>
      </c>
    </row>
    <row r="5821" spans="6:19" hidden="1" x14ac:dyDescent="0.25">
      <c r="F5821" t="s">
        <v>1285</v>
      </c>
      <c r="G5821" t="s">
        <v>466</v>
      </c>
      <c r="H5821" t="str">
        <f>VLOOKUP(record[[#This Row],[ProcessSN]],表格2_7[],2,FALSE)</f>
        <v>30-4118-018-XXX</v>
      </c>
      <c r="I5821" t="str">
        <f>VLOOKUP(record[[#This Row],[ProcessSN]],表格2_7[],3,FALSE)</f>
        <v>#01-2</v>
      </c>
      <c r="J5821" t="s">
        <v>588</v>
      </c>
      <c r="K5821" s="195">
        <v>46007.304259259261</v>
      </c>
      <c r="L5821">
        <v>429</v>
      </c>
      <c r="M5821">
        <v>0</v>
      </c>
      <c r="N5821" s="98" t="str">
        <f>IF(record[[#This Row],[Memo]]="Browser:chrome os:android","平板報工",IF(record[[#This Row],[Memo]]=0,"委外",record[[#This Row],[Memo]]))</f>
        <v/>
      </c>
      <c r="O5821" t="s">
        <v>58</v>
      </c>
      <c r="P5821" t="s">
        <v>135</v>
      </c>
      <c r="Q5821" t="s">
        <v>58</v>
      </c>
      <c r="R5821" t="str">
        <f>IFERROR(VLOOKUP(record[[#This Row],[PCUSTID]],廠商[],2,FALSE),"")</f>
        <v/>
      </c>
      <c r="S5821" t="str">
        <f>VLOOKUP(record[[#This Row],[employeeID]],員工[],2,FALSE)</f>
        <v>阮士文</v>
      </c>
    </row>
    <row r="5822" spans="6:19" hidden="1" x14ac:dyDescent="0.25">
      <c r="F5822" t="s">
        <v>1324</v>
      </c>
      <c r="G5822" t="s">
        <v>448</v>
      </c>
      <c r="H5822" t="str">
        <f>VLOOKUP(record[[#This Row],[ProcessSN]],表格2_7[],2,FALSE)</f>
        <v>30-4118-018-6XX</v>
      </c>
      <c r="I5822" t="str">
        <f>VLOOKUP(record[[#This Row],[ProcessSN]],表格2_7[],3,FALSE)</f>
        <v>#04</v>
      </c>
      <c r="J5822" t="s">
        <v>588</v>
      </c>
      <c r="K5822" s="195">
        <v>46007.304039351853</v>
      </c>
      <c r="L5822">
        <v>126</v>
      </c>
      <c r="M5822">
        <v>0</v>
      </c>
      <c r="N5822" s="98" t="str">
        <f>IF(record[[#This Row],[Memo]]="Browser:chrome os:android","平板報工",IF(record[[#This Row],[Memo]]=0,"委外",record[[#This Row],[Memo]]))</f>
        <v/>
      </c>
      <c r="O5822" t="s">
        <v>58</v>
      </c>
      <c r="P5822" t="s">
        <v>135</v>
      </c>
      <c r="Q5822" t="s">
        <v>58</v>
      </c>
      <c r="R5822" t="str">
        <f>IFERROR(VLOOKUP(record[[#This Row],[PCUSTID]],廠商[],2,FALSE),"")</f>
        <v/>
      </c>
      <c r="S5822" t="str">
        <f>VLOOKUP(record[[#This Row],[employeeID]],員工[],2,FALSE)</f>
        <v>阮士文</v>
      </c>
    </row>
    <row r="5823" spans="6:19" hidden="1" x14ac:dyDescent="0.25">
      <c r="F5823" t="s">
        <v>1324</v>
      </c>
      <c r="G5823" t="s">
        <v>451</v>
      </c>
      <c r="H5823" t="str">
        <f>VLOOKUP(record[[#This Row],[ProcessSN]],表格2_7[],2,FALSE)</f>
        <v>30-4118-018-6XX</v>
      </c>
      <c r="I5823" t="str">
        <f>VLOOKUP(record[[#This Row],[ProcessSN]],表格2_7[],3,FALSE)</f>
        <v>#07</v>
      </c>
      <c r="J5823" t="s">
        <v>588</v>
      </c>
      <c r="K5823" s="195">
        <v>46006.973668981482</v>
      </c>
      <c r="L5823">
        <v>185</v>
      </c>
      <c r="M5823">
        <v>0</v>
      </c>
      <c r="N5823" s="98" t="str">
        <f>IF(record[[#This Row],[Memo]]="Browser:chrome os:android","平板報工",IF(record[[#This Row],[Memo]]=0,"委外",record[[#This Row],[Memo]]))</f>
        <v/>
      </c>
      <c r="O5823" t="s">
        <v>58</v>
      </c>
      <c r="P5823" t="s">
        <v>89</v>
      </c>
      <c r="Q5823" t="s">
        <v>58</v>
      </c>
      <c r="R5823" t="str">
        <f>IFERROR(VLOOKUP(record[[#This Row],[PCUSTID]],廠商[],2,FALSE),"")</f>
        <v/>
      </c>
      <c r="S5823" t="str">
        <f>VLOOKUP(record[[#This Row],[employeeID]],員工[],2,FALSE)</f>
        <v>李美蓮</v>
      </c>
    </row>
    <row r="5824" spans="6:19" hidden="1" x14ac:dyDescent="0.25">
      <c r="F5824" t="s">
        <v>1324</v>
      </c>
      <c r="G5824" t="s">
        <v>450</v>
      </c>
      <c r="H5824" t="str">
        <f>VLOOKUP(record[[#This Row],[ProcessSN]],表格2_7[],2,FALSE)</f>
        <v>30-4118-018-6XX</v>
      </c>
      <c r="I5824" t="str">
        <f>VLOOKUP(record[[#This Row],[ProcessSN]],表格2_7[],3,FALSE)</f>
        <v>#06</v>
      </c>
      <c r="J5824" t="s">
        <v>593</v>
      </c>
      <c r="K5824" s="195">
        <v>46006.973217592589</v>
      </c>
      <c r="L5824">
        <v>100</v>
      </c>
      <c r="M5824">
        <v>0</v>
      </c>
      <c r="N5824" s="98" t="str">
        <f>IF(record[[#This Row],[Memo]]="Browser:chrome os:android","平板報工",IF(record[[#This Row],[Memo]]=0,"委外",record[[#This Row],[Memo]]))</f>
        <v/>
      </c>
      <c r="O5824" t="s">
        <v>58</v>
      </c>
      <c r="P5824" t="s">
        <v>176</v>
      </c>
      <c r="Q5824" t="s">
        <v>58</v>
      </c>
      <c r="R5824" t="str">
        <f>IFERROR(VLOOKUP(record[[#This Row],[PCUSTID]],廠商[],2,FALSE),"")</f>
        <v/>
      </c>
      <c r="S5824" t="str">
        <f>VLOOKUP(record[[#This Row],[employeeID]],員工[],2,FALSE)</f>
        <v>郭政雄</v>
      </c>
    </row>
    <row r="5825" spans="6:19" hidden="1" x14ac:dyDescent="0.25">
      <c r="F5825" t="s">
        <v>1324</v>
      </c>
      <c r="G5825" t="s">
        <v>449</v>
      </c>
      <c r="H5825" t="str">
        <f>VLOOKUP(record[[#This Row],[ProcessSN]],表格2_7[],2,FALSE)</f>
        <v>30-4118-018-6XX</v>
      </c>
      <c r="I5825" t="str">
        <f>VLOOKUP(record[[#This Row],[ProcessSN]],表格2_7[],3,FALSE)</f>
        <v>#05</v>
      </c>
      <c r="J5825" t="s">
        <v>588</v>
      </c>
      <c r="K5825" s="195">
        <v>46006.97246527778</v>
      </c>
      <c r="L5825">
        <v>199</v>
      </c>
      <c r="M5825">
        <v>0</v>
      </c>
      <c r="N5825" s="98" t="str">
        <f>IF(record[[#This Row],[Memo]]="Browser:chrome os:android","平板報工",IF(record[[#This Row],[Memo]]=0,"委外",record[[#This Row],[Memo]]))</f>
        <v/>
      </c>
      <c r="O5825" t="s">
        <v>58</v>
      </c>
      <c r="P5825" t="s">
        <v>89</v>
      </c>
      <c r="Q5825" t="s">
        <v>58</v>
      </c>
      <c r="R5825" t="str">
        <f>IFERROR(VLOOKUP(record[[#This Row],[PCUSTID]],廠商[],2,FALSE),"")</f>
        <v/>
      </c>
      <c r="S5825" t="str">
        <f>VLOOKUP(record[[#This Row],[employeeID]],員工[],2,FALSE)</f>
        <v>李美蓮</v>
      </c>
    </row>
    <row r="5826" spans="6:19" hidden="1" x14ac:dyDescent="0.25">
      <c r="F5826" t="s">
        <v>1324</v>
      </c>
      <c r="G5826" t="s">
        <v>448</v>
      </c>
      <c r="H5826" t="str">
        <f>VLOOKUP(record[[#This Row],[ProcessSN]],表格2_7[],2,FALSE)</f>
        <v>30-4118-018-6XX</v>
      </c>
      <c r="I5826" t="str">
        <f>VLOOKUP(record[[#This Row],[ProcessSN]],表格2_7[],3,FALSE)</f>
        <v>#04</v>
      </c>
      <c r="J5826" t="s">
        <v>588</v>
      </c>
      <c r="K5826" s="195">
        <v>46006.97210648148</v>
      </c>
      <c r="L5826">
        <v>135</v>
      </c>
      <c r="M5826">
        <v>0</v>
      </c>
      <c r="N5826" s="98" t="str">
        <f>IF(record[[#This Row],[Memo]]="Browser:chrome os:android","平板報工",IF(record[[#This Row],[Memo]]=0,"委外",record[[#This Row],[Memo]]))</f>
        <v/>
      </c>
      <c r="O5826" t="s">
        <v>58</v>
      </c>
      <c r="P5826" t="s">
        <v>806</v>
      </c>
      <c r="Q5826" t="s">
        <v>58</v>
      </c>
      <c r="R5826" t="str">
        <f>IFERROR(VLOOKUP(record[[#This Row],[PCUSTID]],廠商[],2,FALSE),"")</f>
        <v/>
      </c>
      <c r="S5826" t="str">
        <f>VLOOKUP(record[[#This Row],[employeeID]],員工[],2,FALSE)</f>
        <v>方思緯</v>
      </c>
    </row>
    <row r="5827" spans="6:19" hidden="1" x14ac:dyDescent="0.25">
      <c r="F5827" t="s">
        <v>1290</v>
      </c>
      <c r="G5827" t="s">
        <v>417</v>
      </c>
      <c r="H5827" t="str">
        <f>VLOOKUP(record[[#This Row],[ProcessSN]],表格2_7[],2,FALSE)</f>
        <v>30-4118-018-5XX</v>
      </c>
      <c r="I5827" t="str">
        <f>VLOOKUP(record[[#This Row],[ProcessSN]],表格2_7[],3,FALSE)</f>
        <v>#06</v>
      </c>
      <c r="J5827" t="s">
        <v>593</v>
      </c>
      <c r="K5827" s="195">
        <v>46006.965891203705</v>
      </c>
      <c r="L5827">
        <v>133</v>
      </c>
      <c r="M5827">
        <v>0</v>
      </c>
      <c r="N5827" s="98" t="str">
        <f>IF(record[[#This Row],[Memo]]="Browser:chrome os:android","平板報工",IF(record[[#This Row],[Memo]]=0,"委外",record[[#This Row],[Memo]]))</f>
        <v/>
      </c>
      <c r="O5827" t="s">
        <v>58</v>
      </c>
      <c r="P5827" t="s">
        <v>176</v>
      </c>
      <c r="Q5827" t="s">
        <v>58</v>
      </c>
      <c r="R5827" t="str">
        <f>IFERROR(VLOOKUP(record[[#This Row],[PCUSTID]],廠商[],2,FALSE),"")</f>
        <v/>
      </c>
      <c r="S5827" t="str">
        <f>VLOOKUP(record[[#This Row],[employeeID]],員工[],2,FALSE)</f>
        <v>郭政雄</v>
      </c>
    </row>
    <row r="5828" spans="6:19" hidden="1" x14ac:dyDescent="0.25">
      <c r="F5828" t="s">
        <v>1285</v>
      </c>
      <c r="G5828" t="s">
        <v>466</v>
      </c>
      <c r="H5828" t="str">
        <f>VLOOKUP(record[[#This Row],[ProcessSN]],表格2_7[],2,FALSE)</f>
        <v>30-4118-018-XXX</v>
      </c>
      <c r="I5828" t="str">
        <f>VLOOKUP(record[[#This Row],[ProcessSN]],表格2_7[],3,FALSE)</f>
        <v>#01-2</v>
      </c>
      <c r="J5828" t="s">
        <v>588</v>
      </c>
      <c r="K5828" s="195">
        <v>46006.962766203702</v>
      </c>
      <c r="L5828">
        <v>487</v>
      </c>
      <c r="M5828">
        <v>0</v>
      </c>
      <c r="N5828" s="98" t="str">
        <f>IF(record[[#This Row],[Memo]]="Browser:chrome os:android","平板報工",IF(record[[#This Row],[Memo]]=0,"委外",record[[#This Row],[Memo]]))</f>
        <v/>
      </c>
      <c r="O5828" t="s">
        <v>58</v>
      </c>
      <c r="P5828" t="s">
        <v>1098</v>
      </c>
      <c r="Q5828" t="s">
        <v>58</v>
      </c>
      <c r="R5828" t="str">
        <f>IFERROR(VLOOKUP(record[[#This Row],[PCUSTID]],廠商[],2,FALSE),"")</f>
        <v/>
      </c>
      <c r="S5828" t="str">
        <f>VLOOKUP(record[[#This Row],[employeeID]],員工[],2,FALSE)</f>
        <v>阮氏芳英(英)</v>
      </c>
    </row>
    <row r="5829" spans="6:19" hidden="1" x14ac:dyDescent="0.25">
      <c r="F5829" t="s">
        <v>1285</v>
      </c>
      <c r="G5829" t="s">
        <v>470</v>
      </c>
      <c r="H5829" t="str">
        <f>VLOOKUP(record[[#This Row],[ProcessSN]],表格2_7[],2,FALSE)</f>
        <v>30-4118-018-XXX</v>
      </c>
      <c r="I5829" t="str">
        <f>VLOOKUP(record[[#This Row],[ProcessSN]],表格2_7[],3,FALSE)</f>
        <v>#02IQC</v>
      </c>
      <c r="J5829" t="s">
        <v>583</v>
      </c>
      <c r="K5829" s="195">
        <v>46006.705034722225</v>
      </c>
      <c r="L5829">
        <v>840</v>
      </c>
      <c r="M5829">
        <v>0</v>
      </c>
      <c r="N5829" s="98" t="str">
        <f>IF(record[[#This Row],[Memo]]="Browser:chrome os:android","平板報工",IF(record[[#This Row],[Memo]]=0,"委外",record[[#This Row],[Memo]]))</f>
        <v/>
      </c>
      <c r="O5829" t="s">
        <v>58</v>
      </c>
      <c r="P5829" t="s">
        <v>109</v>
      </c>
      <c r="Q5829" t="s">
        <v>58</v>
      </c>
      <c r="R5829" t="str">
        <f>IFERROR(VLOOKUP(record[[#This Row],[PCUSTID]],廠商[],2,FALSE),"")</f>
        <v/>
      </c>
      <c r="S5829" t="str">
        <f>VLOOKUP(record[[#This Row],[employeeID]],員工[],2,FALSE)</f>
        <v>裴氏璧鳳</v>
      </c>
    </row>
    <row r="5830" spans="6:19" hidden="1" x14ac:dyDescent="0.25">
      <c r="F5830" t="s">
        <v>1317</v>
      </c>
      <c r="G5830" t="s">
        <v>401</v>
      </c>
      <c r="H5830" t="str">
        <f>VLOOKUP(record[[#This Row],[ProcessSN]],表格2_7[],2,FALSE)</f>
        <v>30-4118-018-550</v>
      </c>
      <c r="I5830" t="str">
        <f>VLOOKUP(record[[#This Row],[ProcessSN]],表格2_7[],3,FALSE)</f>
        <v>#100OQC</v>
      </c>
      <c r="J5830" t="s">
        <v>599</v>
      </c>
      <c r="K5830" s="195">
        <v>46006.702511574076</v>
      </c>
      <c r="L5830">
        <v>139</v>
      </c>
      <c r="M5830">
        <v>0</v>
      </c>
      <c r="N5830" s="98" t="str">
        <f>IF(record[[#This Row],[Memo]]="Browser:chrome os:android","平板報工",IF(record[[#This Row],[Memo]]=0,"委外",record[[#This Row],[Memo]]))</f>
        <v/>
      </c>
      <c r="O5830" t="s">
        <v>58</v>
      </c>
      <c r="P5830" t="s">
        <v>121</v>
      </c>
      <c r="Q5830" t="s">
        <v>58</v>
      </c>
      <c r="R5830" t="str">
        <f>IFERROR(VLOOKUP(record[[#This Row],[PCUSTID]],廠商[],2,FALSE),"")</f>
        <v/>
      </c>
      <c r="S5830" t="str">
        <f>VLOOKUP(record[[#This Row],[employeeID]],員工[],2,FALSE)</f>
        <v>謝素卿</v>
      </c>
    </row>
    <row r="5831" spans="6:19" hidden="1" x14ac:dyDescent="0.25">
      <c r="F5831" t="s">
        <v>1306</v>
      </c>
      <c r="G5831" t="s">
        <v>401</v>
      </c>
      <c r="H5831" t="str">
        <f>VLOOKUP(record[[#This Row],[ProcessSN]],表格2_7[],2,FALSE)</f>
        <v>30-4118-018-550</v>
      </c>
      <c r="I5831" t="str">
        <f>VLOOKUP(record[[#This Row],[ProcessSN]],表格2_7[],3,FALSE)</f>
        <v>#100OQC</v>
      </c>
      <c r="J5831" t="s">
        <v>599</v>
      </c>
      <c r="K5831" s="195">
        <v>46006.702314814815</v>
      </c>
      <c r="L5831">
        <v>394</v>
      </c>
      <c r="M5831">
        <v>0</v>
      </c>
      <c r="N5831" s="98" t="str">
        <f>IF(record[[#This Row],[Memo]]="Browser:chrome os:android","平板報工",IF(record[[#This Row],[Memo]]=0,"委外",record[[#This Row],[Memo]]))</f>
        <v/>
      </c>
      <c r="O5831" t="s">
        <v>58</v>
      </c>
      <c r="P5831" t="s">
        <v>121</v>
      </c>
      <c r="Q5831" t="s">
        <v>58</v>
      </c>
      <c r="R5831" t="str">
        <f>IFERROR(VLOOKUP(record[[#This Row],[PCUSTID]],廠商[],2,FALSE),"")</f>
        <v/>
      </c>
      <c r="S5831" t="str">
        <f>VLOOKUP(record[[#This Row],[employeeID]],員工[],2,FALSE)</f>
        <v>謝素卿</v>
      </c>
    </row>
    <row r="5832" spans="6:19" hidden="1" x14ac:dyDescent="0.25">
      <c r="F5832" t="s">
        <v>1285</v>
      </c>
      <c r="G5832" t="s">
        <v>467</v>
      </c>
      <c r="H5832" t="str">
        <f>VLOOKUP(record[[#This Row],[ProcessSN]],表格2_7[],2,FALSE)</f>
        <v>30-4118-018-XXX</v>
      </c>
      <c r="I5832" t="str">
        <f>VLOOKUP(record[[#This Row],[ProcessSN]],表格2_7[],3,FALSE)</f>
        <v>#01QC</v>
      </c>
      <c r="J5832" t="s">
        <v>589</v>
      </c>
      <c r="K5832" s="195">
        <v>46006.679085648146</v>
      </c>
      <c r="L5832">
        <v>336</v>
      </c>
      <c r="M5832">
        <v>0</v>
      </c>
      <c r="N5832" s="98" t="str">
        <f>IF(record[[#This Row],[Memo]]="Browser:chrome os:android","平板報工",IF(record[[#This Row],[Memo]]=0,"委外",record[[#This Row],[Memo]]))</f>
        <v>平板報工</v>
      </c>
      <c r="O5832" t="s">
        <v>643</v>
      </c>
      <c r="P5832" t="s">
        <v>182</v>
      </c>
      <c r="Q5832" t="s">
        <v>644</v>
      </c>
      <c r="R5832" t="str">
        <f>IFERROR(VLOOKUP(record[[#This Row],[PCUSTID]],廠商[],2,FALSE),"")</f>
        <v/>
      </c>
      <c r="S5832" t="str">
        <f>VLOOKUP(record[[#This Row],[employeeID]],員工[],2,FALSE)</f>
        <v>梅氏和</v>
      </c>
    </row>
    <row r="5833" spans="6:19" hidden="1" x14ac:dyDescent="0.25">
      <c r="F5833" t="s">
        <v>1290</v>
      </c>
      <c r="G5833" t="s">
        <v>417</v>
      </c>
      <c r="H5833" t="str">
        <f>VLOOKUP(record[[#This Row],[ProcessSN]],表格2_7[],2,FALSE)</f>
        <v>30-4118-018-5XX</v>
      </c>
      <c r="I5833" t="str">
        <f>VLOOKUP(record[[#This Row],[ProcessSN]],表格2_7[],3,FALSE)</f>
        <v>#06</v>
      </c>
      <c r="J5833" t="s">
        <v>593</v>
      </c>
      <c r="K5833" s="195">
        <v>46006.677731481483</v>
      </c>
      <c r="L5833">
        <v>10</v>
      </c>
      <c r="M5833">
        <v>0</v>
      </c>
      <c r="N5833" s="98" t="str">
        <f>IF(record[[#This Row],[Memo]]="Browser:chrome os:android","平板報工",IF(record[[#This Row],[Memo]]=0,"委外",record[[#This Row],[Memo]]))</f>
        <v/>
      </c>
      <c r="O5833" t="s">
        <v>58</v>
      </c>
      <c r="P5833" t="s">
        <v>166</v>
      </c>
      <c r="Q5833" t="s">
        <v>58</v>
      </c>
      <c r="R5833" t="str">
        <f>IFERROR(VLOOKUP(record[[#This Row],[PCUSTID]],廠商[],2,FALSE),"")</f>
        <v/>
      </c>
      <c r="S5833" t="str">
        <f>VLOOKUP(record[[#This Row],[employeeID]],員工[],2,FALSE)</f>
        <v>阮懷香</v>
      </c>
    </row>
    <row r="5834" spans="6:19" hidden="1" x14ac:dyDescent="0.25">
      <c r="F5834" t="s">
        <v>1324</v>
      </c>
      <c r="G5834" t="s">
        <v>450</v>
      </c>
      <c r="H5834" t="str">
        <f>VLOOKUP(record[[#This Row],[ProcessSN]],表格2_7[],2,FALSE)</f>
        <v>30-4118-018-6XX</v>
      </c>
      <c r="I5834" t="str">
        <f>VLOOKUP(record[[#This Row],[ProcessSN]],表格2_7[],3,FALSE)</f>
        <v>#06</v>
      </c>
      <c r="J5834" t="s">
        <v>593</v>
      </c>
      <c r="K5834" s="195">
        <v>46006.677557870367</v>
      </c>
      <c r="L5834">
        <v>111</v>
      </c>
      <c r="M5834">
        <v>0</v>
      </c>
      <c r="N5834" s="98" t="str">
        <f>IF(record[[#This Row],[Memo]]="Browser:chrome os:android","平板報工",IF(record[[#This Row],[Memo]]=0,"委外",record[[#This Row],[Memo]]))</f>
        <v/>
      </c>
      <c r="O5834" t="s">
        <v>58</v>
      </c>
      <c r="P5834" t="s">
        <v>166</v>
      </c>
      <c r="Q5834" t="s">
        <v>58</v>
      </c>
      <c r="R5834" t="str">
        <f>IFERROR(VLOOKUP(record[[#This Row],[PCUSTID]],廠商[],2,FALSE),"")</f>
        <v/>
      </c>
      <c r="S5834" t="str">
        <f>VLOOKUP(record[[#This Row],[employeeID]],員工[],2,FALSE)</f>
        <v>阮懷香</v>
      </c>
    </row>
    <row r="5835" spans="6:19" hidden="1" x14ac:dyDescent="0.25">
      <c r="F5835" t="s">
        <v>1290</v>
      </c>
      <c r="G5835" t="s">
        <v>418</v>
      </c>
      <c r="H5835" t="str">
        <f>VLOOKUP(record[[#This Row],[ProcessSN]],表格2_7[],2,FALSE)</f>
        <v>30-4118-018-5XX</v>
      </c>
      <c r="I5835" t="str">
        <f>VLOOKUP(record[[#This Row],[ProcessSN]],表格2_7[],3,FALSE)</f>
        <v>#07</v>
      </c>
      <c r="J5835" t="s">
        <v>588</v>
      </c>
      <c r="K5835" s="195">
        <v>46006.677141203705</v>
      </c>
      <c r="L5835">
        <v>168</v>
      </c>
      <c r="M5835">
        <v>0</v>
      </c>
      <c r="N5835" s="98" t="str">
        <f>IF(record[[#This Row],[Memo]]="Browser:chrome os:android","平板報工",IF(record[[#This Row],[Memo]]=0,"委外",record[[#This Row],[Memo]]))</f>
        <v/>
      </c>
      <c r="O5835" t="s">
        <v>58</v>
      </c>
      <c r="P5835" t="s">
        <v>785</v>
      </c>
      <c r="Q5835" t="s">
        <v>58</v>
      </c>
      <c r="R5835" t="str">
        <f>IFERROR(VLOOKUP(record[[#This Row],[PCUSTID]],廠商[],2,FALSE),"")</f>
        <v/>
      </c>
      <c r="S5835" t="str">
        <f>VLOOKUP(record[[#This Row],[employeeID]],員工[],2,FALSE)</f>
        <v>謝刻光</v>
      </c>
    </row>
    <row r="5836" spans="6:19" hidden="1" x14ac:dyDescent="0.25">
      <c r="F5836" t="s">
        <v>1324</v>
      </c>
      <c r="G5836" t="s">
        <v>451</v>
      </c>
      <c r="H5836" t="str">
        <f>VLOOKUP(record[[#This Row],[ProcessSN]],表格2_7[],2,FALSE)</f>
        <v>30-4118-018-6XX</v>
      </c>
      <c r="I5836" t="str">
        <f>VLOOKUP(record[[#This Row],[ProcessSN]],表格2_7[],3,FALSE)</f>
        <v>#07</v>
      </c>
      <c r="J5836" t="s">
        <v>588</v>
      </c>
      <c r="K5836" s="195">
        <v>46006.67696759259</v>
      </c>
      <c r="L5836">
        <v>32</v>
      </c>
      <c r="M5836">
        <v>0</v>
      </c>
      <c r="N5836" s="98" t="str">
        <f>IF(record[[#This Row],[Memo]]="Browser:chrome os:android","平板報工",IF(record[[#This Row],[Memo]]=0,"委外",record[[#This Row],[Memo]]))</f>
        <v/>
      </c>
      <c r="O5836" t="s">
        <v>58</v>
      </c>
      <c r="P5836" t="s">
        <v>785</v>
      </c>
      <c r="Q5836" t="s">
        <v>58</v>
      </c>
      <c r="R5836" t="str">
        <f>IFERROR(VLOOKUP(record[[#This Row],[PCUSTID]],廠商[],2,FALSE),"")</f>
        <v/>
      </c>
      <c r="S5836" t="str">
        <f>VLOOKUP(record[[#This Row],[employeeID]],員工[],2,FALSE)</f>
        <v>謝刻光</v>
      </c>
    </row>
    <row r="5837" spans="6:19" hidden="1" x14ac:dyDescent="0.25">
      <c r="F5837" t="s">
        <v>1285</v>
      </c>
      <c r="G5837" t="s">
        <v>466</v>
      </c>
      <c r="H5837" t="str">
        <f>VLOOKUP(record[[#This Row],[ProcessSN]],表格2_7[],2,FALSE)</f>
        <v>30-4118-018-XXX</v>
      </c>
      <c r="I5837" t="str">
        <f>VLOOKUP(record[[#This Row],[ProcessSN]],表格2_7[],3,FALSE)</f>
        <v>#01-2</v>
      </c>
      <c r="J5837" t="s">
        <v>588</v>
      </c>
      <c r="K5837" s="195">
        <v>46006.676446759258</v>
      </c>
      <c r="L5837">
        <v>404</v>
      </c>
      <c r="M5837">
        <v>0</v>
      </c>
      <c r="N5837" s="98" t="str">
        <f>IF(record[[#This Row],[Memo]]="Browser:chrome os:android","平板報工",IF(record[[#This Row],[Memo]]=0,"委外",record[[#This Row],[Memo]]))</f>
        <v/>
      </c>
      <c r="O5837" t="s">
        <v>58</v>
      </c>
      <c r="P5837" t="s">
        <v>107</v>
      </c>
      <c r="Q5837" t="s">
        <v>58</v>
      </c>
      <c r="R5837" t="str">
        <f>IFERROR(VLOOKUP(record[[#This Row],[PCUSTID]],廠商[],2,FALSE),"")</f>
        <v/>
      </c>
      <c r="S5837" t="str">
        <f>VLOOKUP(record[[#This Row],[employeeID]],員工[],2,FALSE)</f>
        <v>黎氏順</v>
      </c>
    </row>
    <row r="5838" spans="6:19" hidden="1" x14ac:dyDescent="0.25">
      <c r="F5838" t="s">
        <v>1324</v>
      </c>
      <c r="G5838" t="s">
        <v>449</v>
      </c>
      <c r="H5838" t="str">
        <f>VLOOKUP(record[[#This Row],[ProcessSN]],表格2_7[],2,FALSE)</f>
        <v>30-4118-018-6XX</v>
      </c>
      <c r="I5838" t="str">
        <f>VLOOKUP(record[[#This Row],[ProcessSN]],表格2_7[],3,FALSE)</f>
        <v>#05</v>
      </c>
      <c r="J5838" t="s">
        <v>588</v>
      </c>
      <c r="K5838" s="195">
        <v>46006.675937499997</v>
      </c>
      <c r="L5838">
        <v>35</v>
      </c>
      <c r="M5838">
        <v>0</v>
      </c>
      <c r="N5838" s="98" t="str">
        <f>IF(record[[#This Row],[Memo]]="Browser:chrome os:android","平板報工",IF(record[[#This Row],[Memo]]=0,"委外",record[[#This Row],[Memo]]))</f>
        <v/>
      </c>
      <c r="O5838" t="s">
        <v>58</v>
      </c>
      <c r="P5838" t="s">
        <v>107</v>
      </c>
      <c r="Q5838" t="s">
        <v>58</v>
      </c>
      <c r="R5838" t="str">
        <f>IFERROR(VLOOKUP(record[[#This Row],[PCUSTID]],廠商[],2,FALSE),"")</f>
        <v/>
      </c>
      <c r="S5838" t="str">
        <f>VLOOKUP(record[[#This Row],[employeeID]],員工[],2,FALSE)</f>
        <v>黎氏順</v>
      </c>
    </row>
    <row r="5839" spans="6:19" hidden="1" x14ac:dyDescent="0.25">
      <c r="F5839" t="s">
        <v>1324</v>
      </c>
      <c r="G5839" t="s">
        <v>448</v>
      </c>
      <c r="H5839" t="str">
        <f>VLOOKUP(record[[#This Row],[ProcessSN]],表格2_7[],2,FALSE)</f>
        <v>30-4118-018-6XX</v>
      </c>
      <c r="I5839" t="str">
        <f>VLOOKUP(record[[#This Row],[ProcessSN]],表格2_7[],3,FALSE)</f>
        <v>#04</v>
      </c>
      <c r="J5839" t="s">
        <v>588</v>
      </c>
      <c r="K5839" s="195">
        <v>46006.674224537041</v>
      </c>
      <c r="L5839">
        <v>110</v>
      </c>
      <c r="M5839">
        <v>0</v>
      </c>
      <c r="N5839" s="98" t="str">
        <f>IF(record[[#This Row],[Memo]]="Browser:chrome os:android","平板報工",IF(record[[#This Row],[Memo]]=0,"委外",record[[#This Row],[Memo]]))</f>
        <v/>
      </c>
      <c r="O5839" t="s">
        <v>58</v>
      </c>
      <c r="P5839" t="s">
        <v>107</v>
      </c>
      <c r="Q5839" t="s">
        <v>58</v>
      </c>
      <c r="R5839" t="str">
        <f>IFERROR(VLOOKUP(record[[#This Row],[PCUSTID]],廠商[],2,FALSE),"")</f>
        <v/>
      </c>
      <c r="S5839" t="str">
        <f>VLOOKUP(record[[#This Row],[employeeID]],員工[],2,FALSE)</f>
        <v>黎氏順</v>
      </c>
    </row>
    <row r="5840" spans="6:19" hidden="1" x14ac:dyDescent="0.25">
      <c r="F5840" t="s">
        <v>1317</v>
      </c>
      <c r="G5840" t="s">
        <v>400</v>
      </c>
      <c r="H5840" t="str">
        <f>VLOOKUP(record[[#This Row],[ProcessSN]],表格2_7[],2,FALSE)</f>
        <v>30-4118-018-550</v>
      </c>
      <c r="I5840" t="str">
        <f>VLOOKUP(record[[#This Row],[ProcessSN]],表格2_7[],3,FALSE)</f>
        <v>#100</v>
      </c>
      <c r="J5840" t="s">
        <v>598</v>
      </c>
      <c r="K5840" s="195">
        <v>46006.660011574073</v>
      </c>
      <c r="L5840">
        <v>139</v>
      </c>
      <c r="M5840">
        <v>0</v>
      </c>
      <c r="N5840" s="98" t="str">
        <f>IF(record[[#This Row],[Memo]]="Browser:chrome os:android","平板報工",IF(record[[#This Row],[Memo]]=0,"委外",record[[#This Row],[Memo]]))</f>
        <v/>
      </c>
      <c r="O5840" t="s">
        <v>58</v>
      </c>
      <c r="P5840" t="s">
        <v>141</v>
      </c>
      <c r="Q5840" t="s">
        <v>58</v>
      </c>
      <c r="R5840" t="str">
        <f>IFERROR(VLOOKUP(record[[#This Row],[PCUSTID]],廠商[],2,FALSE),"")</f>
        <v/>
      </c>
      <c r="S5840" t="str">
        <f>VLOOKUP(record[[#This Row],[employeeID]],員工[],2,FALSE)</f>
        <v>蔣梅</v>
      </c>
    </row>
    <row r="5841" spans="6:19" hidden="1" x14ac:dyDescent="0.25">
      <c r="F5841" t="s">
        <v>1306</v>
      </c>
      <c r="G5841" t="s">
        <v>400</v>
      </c>
      <c r="H5841" t="str">
        <f>VLOOKUP(record[[#This Row],[ProcessSN]],表格2_7[],2,FALSE)</f>
        <v>30-4118-018-550</v>
      </c>
      <c r="I5841" t="str">
        <f>VLOOKUP(record[[#This Row],[ProcessSN]],表格2_7[],3,FALSE)</f>
        <v>#100</v>
      </c>
      <c r="J5841" t="s">
        <v>598</v>
      </c>
      <c r="K5841" s="195">
        <v>46006.659884259258</v>
      </c>
      <c r="L5841">
        <v>394</v>
      </c>
      <c r="M5841">
        <v>0</v>
      </c>
      <c r="N5841" s="98" t="str">
        <f>IF(record[[#This Row],[Memo]]="Browser:chrome os:android","平板報工",IF(record[[#This Row],[Memo]]=0,"委外",record[[#This Row],[Memo]]))</f>
        <v/>
      </c>
      <c r="O5841" t="s">
        <v>58</v>
      </c>
      <c r="P5841" t="s">
        <v>141</v>
      </c>
      <c r="Q5841" t="s">
        <v>58</v>
      </c>
      <c r="R5841" t="str">
        <f>IFERROR(VLOOKUP(record[[#This Row],[PCUSTID]],廠商[],2,FALSE),"")</f>
        <v/>
      </c>
      <c r="S5841" t="str">
        <f>VLOOKUP(record[[#This Row],[employeeID]],員工[],2,FALSE)</f>
        <v>蔣梅</v>
      </c>
    </row>
    <row r="5842" spans="6:19" hidden="1" x14ac:dyDescent="0.25">
      <c r="F5842" t="s">
        <v>1306</v>
      </c>
      <c r="G5842" t="s">
        <v>399</v>
      </c>
      <c r="H5842" t="str">
        <f>VLOOKUP(record[[#This Row],[ProcessSN]],表格2_7[],2,FALSE)</f>
        <v>30-4118-018-550</v>
      </c>
      <c r="I5842" t="str">
        <f>VLOOKUP(record[[#This Row],[ProcessSN]],表格2_7[],3,FALSE)</f>
        <v>#08IQC</v>
      </c>
      <c r="J5842" t="s">
        <v>583</v>
      </c>
      <c r="K5842" s="195">
        <v>46006.659733796296</v>
      </c>
      <c r="L5842">
        <v>69</v>
      </c>
      <c r="M5842">
        <v>0</v>
      </c>
      <c r="N5842" s="98" t="str">
        <f>IF(record[[#This Row],[Memo]]="Browser:chrome os:android","平板報工",IF(record[[#This Row],[Memo]]=0,"委外",record[[#This Row],[Memo]]))</f>
        <v>覆回</v>
      </c>
      <c r="O5842" t="s">
        <v>682</v>
      </c>
      <c r="P5842" t="s">
        <v>141</v>
      </c>
      <c r="Q5842" t="s">
        <v>58</v>
      </c>
      <c r="R5842" t="str">
        <f>IFERROR(VLOOKUP(record[[#This Row],[PCUSTID]],廠商[],2,FALSE),"")</f>
        <v/>
      </c>
      <c r="S5842" t="str">
        <f>VLOOKUP(record[[#This Row],[employeeID]],員工[],2,FALSE)</f>
        <v>蔣梅</v>
      </c>
    </row>
    <row r="5843" spans="6:19" hidden="1" x14ac:dyDescent="0.25">
      <c r="F5843" t="s">
        <v>1306</v>
      </c>
      <c r="G5843" t="s">
        <v>398</v>
      </c>
      <c r="H5843" t="str">
        <f>VLOOKUP(record[[#This Row],[ProcessSN]],表格2_7[],2,FALSE)</f>
        <v>30-4118-018-550</v>
      </c>
      <c r="I5843" t="str">
        <f>VLOOKUP(record[[#This Row],[ProcessSN]],表格2_7[],3,FALSE)</f>
        <v>#08RCV</v>
      </c>
      <c r="J5843" t="s">
        <v>591</v>
      </c>
      <c r="K5843" s="195">
        <v>46006.65934027778</v>
      </c>
      <c r="L5843">
        <v>69</v>
      </c>
      <c r="M5843">
        <v>0</v>
      </c>
      <c r="N5843" s="98" t="str">
        <f>IF(record[[#This Row],[Memo]]="Browser:chrome os:android","平板報工",IF(record[[#This Row],[Memo]]=0,"委外",record[[#This Row],[Memo]]))</f>
        <v>覆回</v>
      </c>
      <c r="O5843" t="s">
        <v>682</v>
      </c>
      <c r="P5843" t="s">
        <v>141</v>
      </c>
      <c r="Q5843" t="s">
        <v>58</v>
      </c>
      <c r="R5843" t="str">
        <f>IFERROR(VLOOKUP(record[[#This Row],[PCUSTID]],廠商[],2,FALSE),"")</f>
        <v/>
      </c>
      <c r="S5843" t="str">
        <f>VLOOKUP(record[[#This Row],[employeeID]],員工[],2,FALSE)</f>
        <v>蔣梅</v>
      </c>
    </row>
    <row r="5844" spans="6:19" hidden="1" x14ac:dyDescent="0.25">
      <c r="F5844" t="s">
        <v>1302</v>
      </c>
      <c r="G5844" t="s">
        <v>402</v>
      </c>
      <c r="H5844" t="str">
        <f>VLOOKUP(record[[#This Row],[ProcessSN]],表格2_7[],2,FALSE)</f>
        <v>30-4118-018-550</v>
      </c>
      <c r="I5844" t="str">
        <f>VLOOKUP(record[[#This Row],[ProcessSN]],表格2_7[],3,FALSE)</f>
        <v>#100STOCK</v>
      </c>
      <c r="J5844" t="s">
        <v>592</v>
      </c>
      <c r="K5844" s="195">
        <v>46006.582199074073</v>
      </c>
      <c r="L5844">
        <v>328</v>
      </c>
      <c r="M5844">
        <v>0</v>
      </c>
      <c r="N5844" s="98" t="str">
        <f>IF(record[[#This Row],[Memo]]="Browser:chrome os:android","平板報工",IF(record[[#This Row],[Memo]]=0,"委外",record[[#This Row],[Memo]]))</f>
        <v/>
      </c>
      <c r="O5844" t="s">
        <v>58</v>
      </c>
      <c r="P5844" t="s">
        <v>886</v>
      </c>
      <c r="Q5844" t="s">
        <v>58</v>
      </c>
      <c r="R5844" t="str">
        <f>IFERROR(VLOOKUP(record[[#This Row],[PCUSTID]],廠商[],2,FALSE),"")</f>
        <v/>
      </c>
      <c r="S5844" t="str">
        <f>VLOOKUP(record[[#This Row],[employeeID]],員工[],2,FALSE)</f>
        <v>謝蓁薰</v>
      </c>
    </row>
    <row r="5845" spans="6:19" hidden="1" x14ac:dyDescent="0.25">
      <c r="F5845" t="s">
        <v>1289</v>
      </c>
      <c r="G5845" t="s">
        <v>402</v>
      </c>
      <c r="H5845" t="str">
        <f>VLOOKUP(record[[#This Row],[ProcessSN]],表格2_7[],2,FALSE)</f>
        <v>30-4118-018-550</v>
      </c>
      <c r="I5845" t="str">
        <f>VLOOKUP(record[[#This Row],[ProcessSN]],表格2_7[],3,FALSE)</f>
        <v>#100STOCK</v>
      </c>
      <c r="J5845" t="s">
        <v>592</v>
      </c>
      <c r="K5845" s="195">
        <v>46006.582071759258</v>
      </c>
      <c r="L5845">
        <v>270</v>
      </c>
      <c r="M5845">
        <v>0</v>
      </c>
      <c r="N5845" s="98" t="str">
        <f>IF(record[[#This Row],[Memo]]="Browser:chrome os:android","平板報工",IF(record[[#This Row],[Memo]]=0,"委外",record[[#This Row],[Memo]]))</f>
        <v/>
      </c>
      <c r="O5845" t="s">
        <v>58</v>
      </c>
      <c r="P5845" t="s">
        <v>886</v>
      </c>
      <c r="Q5845" t="s">
        <v>58</v>
      </c>
      <c r="R5845" t="str">
        <f>IFERROR(VLOOKUP(record[[#This Row],[PCUSTID]],廠商[],2,FALSE),"")</f>
        <v/>
      </c>
      <c r="S5845" t="str">
        <f>VLOOKUP(record[[#This Row],[employeeID]],員工[],2,FALSE)</f>
        <v>謝蓁薰</v>
      </c>
    </row>
    <row r="5846" spans="6:19" hidden="1" x14ac:dyDescent="0.25">
      <c r="F5846" t="s">
        <v>1277</v>
      </c>
      <c r="G5846" t="s">
        <v>361</v>
      </c>
      <c r="H5846" t="str">
        <f>VLOOKUP(record[[#This Row],[ProcessSN]],表格2_7[],2,FALSE)</f>
        <v>30-4118-018-450</v>
      </c>
      <c r="I5846" t="str">
        <f>VLOOKUP(record[[#This Row],[ProcessSN]],表格2_7[],3,FALSE)</f>
        <v>#100STOCK</v>
      </c>
      <c r="J5846" t="s">
        <v>592</v>
      </c>
      <c r="K5846" s="195">
        <v>46006.560520833336</v>
      </c>
      <c r="L5846">
        <v>68</v>
      </c>
      <c r="M5846">
        <v>0</v>
      </c>
      <c r="N5846" s="98" t="str">
        <f>IF(record[[#This Row],[Memo]]="Browser:chrome os:android","平板報工",IF(record[[#This Row],[Memo]]=0,"委外",record[[#This Row],[Memo]]))</f>
        <v/>
      </c>
      <c r="O5846" t="s">
        <v>58</v>
      </c>
      <c r="P5846" t="s">
        <v>886</v>
      </c>
      <c r="Q5846" t="s">
        <v>58</v>
      </c>
      <c r="R5846" t="str">
        <f>IFERROR(VLOOKUP(record[[#This Row],[PCUSTID]],廠商[],2,FALSE),"")</f>
        <v/>
      </c>
      <c r="S5846" t="str">
        <f>VLOOKUP(record[[#This Row],[employeeID]],員工[],2,FALSE)</f>
        <v>謝蓁薰</v>
      </c>
    </row>
    <row r="5847" spans="6:19" hidden="1" x14ac:dyDescent="0.25">
      <c r="F5847" t="s">
        <v>1329</v>
      </c>
      <c r="G5847" t="s">
        <v>397</v>
      </c>
      <c r="H5847" t="str">
        <f>VLOOKUP(record[[#This Row],[ProcessSN]],表格2_7[],2,FALSE)</f>
        <v>30-4118-018-550</v>
      </c>
      <c r="I5847" t="str">
        <f>VLOOKUP(record[[#This Row],[ProcessSN]],表格2_7[],3,FALSE)</f>
        <v>#08</v>
      </c>
      <c r="J5847" t="s">
        <v>597</v>
      </c>
      <c r="K5847" s="195">
        <v>46006.559120370373</v>
      </c>
      <c r="L5847">
        <v>501</v>
      </c>
      <c r="M5847">
        <v>0</v>
      </c>
      <c r="N5847" s="98" t="str">
        <f>IF(record[[#This Row],[Memo]]="Browser:chrome os:android","平板報工",IF(record[[#This Row],[Memo]]=0,"委外",record[[#This Row],[Memo]]))</f>
        <v>委外</v>
      </c>
      <c r="P5847" t="s">
        <v>186</v>
      </c>
      <c r="Q5847" t="s">
        <v>287</v>
      </c>
      <c r="R5847" t="str">
        <f>IFERROR(VLOOKUP(record[[#This Row],[PCUSTID]],廠商[],2,FALSE),"")</f>
        <v>泉盛</v>
      </c>
      <c r="S5847" t="str">
        <f>VLOOKUP(record[[#This Row],[employeeID]],員工[],2,FALSE)</f>
        <v>許文姍</v>
      </c>
    </row>
    <row r="5848" spans="6:19" hidden="1" x14ac:dyDescent="0.25">
      <c r="F5848" t="s">
        <v>1173</v>
      </c>
      <c r="G5848" t="s">
        <v>428</v>
      </c>
      <c r="H5848" t="str">
        <f>VLOOKUP(record[[#This Row],[ProcessSN]],表格2_7[],2,FALSE)</f>
        <v>30-4118-018-600</v>
      </c>
      <c r="I5848" t="str">
        <f>VLOOKUP(record[[#This Row],[ProcessSN]],表格2_7[],3,FALSE)</f>
        <v>#100SHIP</v>
      </c>
      <c r="J5848" t="s">
        <v>600</v>
      </c>
      <c r="K5848" s="195">
        <v>46006.556597222225</v>
      </c>
      <c r="L5848">
        <v>27</v>
      </c>
      <c r="M5848">
        <v>0</v>
      </c>
      <c r="N5848" s="98" t="str">
        <f>IF(record[[#This Row],[Memo]]="Browser:chrome os:android","平板報工",IF(record[[#This Row],[Memo]]=0,"委外",record[[#This Row],[Memo]]))</f>
        <v/>
      </c>
      <c r="O5848" t="s">
        <v>58</v>
      </c>
      <c r="P5848" t="s">
        <v>886</v>
      </c>
      <c r="Q5848" t="s">
        <v>58</v>
      </c>
      <c r="R5848" t="str">
        <f>IFERROR(VLOOKUP(record[[#This Row],[PCUSTID]],廠商[],2,FALSE),"")</f>
        <v/>
      </c>
      <c r="S5848" t="str">
        <f>VLOOKUP(record[[#This Row],[employeeID]],員工[],2,FALSE)</f>
        <v>謝蓁薰</v>
      </c>
    </row>
    <row r="5849" spans="6:19" hidden="1" x14ac:dyDescent="0.25">
      <c r="F5849" t="s">
        <v>1277</v>
      </c>
      <c r="G5849" t="s">
        <v>362</v>
      </c>
      <c r="H5849" t="str">
        <f>VLOOKUP(record[[#This Row],[ProcessSN]],表格2_7[],2,FALSE)</f>
        <v>30-4118-018-450</v>
      </c>
      <c r="I5849" t="str">
        <f>VLOOKUP(record[[#This Row],[ProcessSN]],表格2_7[],3,FALSE)</f>
        <v>#100SHIP</v>
      </c>
      <c r="J5849" t="s">
        <v>600</v>
      </c>
      <c r="K5849" s="195">
        <v>46006.556296296294</v>
      </c>
      <c r="L5849">
        <v>2</v>
      </c>
      <c r="M5849">
        <v>0</v>
      </c>
      <c r="N5849" s="98" t="str">
        <f>IF(record[[#This Row],[Memo]]="Browser:chrome os:android","平板報工",IF(record[[#This Row],[Memo]]=0,"委外",record[[#This Row],[Memo]]))</f>
        <v/>
      </c>
      <c r="O5849" t="s">
        <v>58</v>
      </c>
      <c r="P5849" t="s">
        <v>886</v>
      </c>
      <c r="Q5849" t="s">
        <v>58</v>
      </c>
      <c r="R5849" t="str">
        <f>IFERROR(VLOOKUP(record[[#This Row],[PCUSTID]],廠商[],2,FALSE),"")</f>
        <v/>
      </c>
      <c r="S5849" t="str">
        <f>VLOOKUP(record[[#This Row],[employeeID]],員工[],2,FALSE)</f>
        <v>謝蓁薰</v>
      </c>
    </row>
    <row r="5850" spans="6:19" hidden="1" x14ac:dyDescent="0.25">
      <c r="F5850" t="s">
        <v>1277</v>
      </c>
      <c r="G5850" t="s">
        <v>361</v>
      </c>
      <c r="H5850" t="str">
        <f>VLOOKUP(record[[#This Row],[ProcessSN]],表格2_7[],2,FALSE)</f>
        <v>30-4118-018-450</v>
      </c>
      <c r="I5850" t="str">
        <f>VLOOKUP(record[[#This Row],[ProcessSN]],表格2_7[],3,FALSE)</f>
        <v>#100STOCK</v>
      </c>
      <c r="J5850" t="s">
        <v>592</v>
      </c>
      <c r="K5850" s="195">
        <v>46006.556157407409</v>
      </c>
      <c r="L5850">
        <v>2</v>
      </c>
      <c r="M5850">
        <v>0</v>
      </c>
      <c r="N5850" s="98" t="str">
        <f>IF(record[[#This Row],[Memo]]="Browser:chrome os:android","平板報工",IF(record[[#This Row],[Memo]]=0,"委外",record[[#This Row],[Memo]]))</f>
        <v/>
      </c>
      <c r="O5850" t="s">
        <v>58</v>
      </c>
      <c r="P5850" t="s">
        <v>886</v>
      </c>
      <c r="Q5850" t="s">
        <v>58</v>
      </c>
      <c r="R5850" t="str">
        <f>IFERROR(VLOOKUP(record[[#This Row],[PCUSTID]],廠商[],2,FALSE),"")</f>
        <v/>
      </c>
      <c r="S5850" t="str">
        <f>VLOOKUP(record[[#This Row],[employeeID]],員工[],2,FALSE)</f>
        <v>謝蓁薰</v>
      </c>
    </row>
    <row r="5851" spans="6:19" hidden="1" x14ac:dyDescent="0.25">
      <c r="F5851" t="s">
        <v>1286</v>
      </c>
      <c r="G5851" t="s">
        <v>362</v>
      </c>
      <c r="H5851" t="str">
        <f>VLOOKUP(record[[#This Row],[ProcessSN]],表格2_7[],2,FALSE)</f>
        <v>30-4118-018-450</v>
      </c>
      <c r="I5851" t="str">
        <f>VLOOKUP(record[[#This Row],[ProcessSN]],表格2_7[],3,FALSE)</f>
        <v>#100SHIP</v>
      </c>
      <c r="J5851" t="s">
        <v>600</v>
      </c>
      <c r="K5851" s="195">
        <v>46006.556006944447</v>
      </c>
      <c r="L5851">
        <v>31</v>
      </c>
      <c r="M5851">
        <v>0</v>
      </c>
      <c r="N5851" s="98" t="str">
        <f>IF(record[[#This Row],[Memo]]="Browser:chrome os:android","平板報工",IF(record[[#This Row],[Memo]]=0,"委外",record[[#This Row],[Memo]]))</f>
        <v/>
      </c>
      <c r="O5851" t="s">
        <v>58</v>
      </c>
      <c r="P5851" t="s">
        <v>886</v>
      </c>
      <c r="Q5851" t="s">
        <v>58</v>
      </c>
      <c r="R5851" t="str">
        <f>IFERROR(VLOOKUP(record[[#This Row],[PCUSTID]],廠商[],2,FALSE),"")</f>
        <v/>
      </c>
      <c r="S5851" t="str">
        <f>VLOOKUP(record[[#This Row],[employeeID]],員工[],2,FALSE)</f>
        <v>謝蓁薰</v>
      </c>
    </row>
    <row r="5852" spans="6:19" hidden="1" x14ac:dyDescent="0.25">
      <c r="F5852" t="s">
        <v>1329</v>
      </c>
      <c r="G5852" t="s">
        <v>396</v>
      </c>
      <c r="H5852" t="str">
        <f>VLOOKUP(record[[#This Row],[ProcessSN]],表格2_7[],2,FALSE)</f>
        <v>30-4118-018-550</v>
      </c>
      <c r="I5852" t="str">
        <f>VLOOKUP(record[[#This Row],[ProcessSN]],表格2_7[],3,FALSE)</f>
        <v>#08PICK</v>
      </c>
      <c r="J5852" t="s">
        <v>582</v>
      </c>
      <c r="K5852" s="195">
        <v>46006.550798611112</v>
      </c>
      <c r="L5852">
        <v>501</v>
      </c>
      <c r="M5852">
        <v>0</v>
      </c>
      <c r="N5852" s="98" t="str">
        <f>IF(record[[#This Row],[Memo]]="Browser:chrome os:android","平板報工",IF(record[[#This Row],[Memo]]=0,"委外",record[[#This Row],[Memo]]))</f>
        <v/>
      </c>
      <c r="O5852" t="s">
        <v>58</v>
      </c>
      <c r="P5852" t="s">
        <v>186</v>
      </c>
      <c r="Q5852" t="s">
        <v>58</v>
      </c>
      <c r="R5852" t="str">
        <f>IFERROR(VLOOKUP(record[[#This Row],[PCUSTID]],廠商[],2,FALSE),"")</f>
        <v/>
      </c>
      <c r="S5852" t="str">
        <f>VLOOKUP(record[[#This Row],[employeeID]],員工[],2,FALSE)</f>
        <v>許文姍</v>
      </c>
    </row>
    <row r="5853" spans="6:19" hidden="1" x14ac:dyDescent="0.25">
      <c r="F5853" t="s">
        <v>1253</v>
      </c>
      <c r="G5853" t="s">
        <v>420</v>
      </c>
      <c r="H5853" t="str">
        <f>VLOOKUP(record[[#This Row],[ProcessSN]],表格2_7[],2,FALSE)</f>
        <v>30-4118-018-5XX</v>
      </c>
      <c r="I5853" t="str">
        <f>VLOOKUP(record[[#This Row],[ProcessSN]],表格2_7[],3,FALSE)</f>
        <v>#07STOCK</v>
      </c>
      <c r="J5853" t="s">
        <v>592</v>
      </c>
      <c r="K5853" s="195">
        <v>46006.495057870372</v>
      </c>
      <c r="L5853">
        <v>1</v>
      </c>
      <c r="M5853">
        <v>0</v>
      </c>
      <c r="N5853" s="98" t="str">
        <f>IF(record[[#This Row],[Memo]]="Browser:chrome os:android","平板報工",IF(record[[#This Row],[Memo]]=0,"委外",record[[#This Row],[Memo]]))</f>
        <v/>
      </c>
      <c r="O5853" t="s">
        <v>58</v>
      </c>
      <c r="P5853" t="s">
        <v>186</v>
      </c>
      <c r="Q5853" t="s">
        <v>58</v>
      </c>
      <c r="R5853" t="str">
        <f>IFERROR(VLOOKUP(record[[#This Row],[PCUSTID]],廠商[],2,FALSE),"")</f>
        <v/>
      </c>
      <c r="S5853" t="str">
        <f>VLOOKUP(record[[#This Row],[employeeID]],員工[],2,FALSE)</f>
        <v>許文姍</v>
      </c>
    </row>
    <row r="5854" spans="6:19" hidden="1" x14ac:dyDescent="0.25">
      <c r="F5854" t="s">
        <v>1275</v>
      </c>
      <c r="G5854" t="s">
        <v>420</v>
      </c>
      <c r="H5854" t="str">
        <f>VLOOKUP(record[[#This Row],[ProcessSN]],表格2_7[],2,FALSE)</f>
        <v>30-4118-018-5XX</v>
      </c>
      <c r="I5854" t="str">
        <f>VLOOKUP(record[[#This Row],[ProcessSN]],表格2_7[],3,FALSE)</f>
        <v>#07STOCK</v>
      </c>
      <c r="J5854" t="s">
        <v>592</v>
      </c>
      <c r="K5854" s="195">
        <v>46006.494942129626</v>
      </c>
      <c r="L5854">
        <v>500</v>
      </c>
      <c r="M5854">
        <v>0</v>
      </c>
      <c r="N5854" s="98" t="str">
        <f>IF(record[[#This Row],[Memo]]="Browser:chrome os:android","平板報工",IF(record[[#This Row],[Memo]]=0,"委外",record[[#This Row],[Memo]]))</f>
        <v/>
      </c>
      <c r="O5854" t="s">
        <v>58</v>
      </c>
      <c r="P5854" t="s">
        <v>186</v>
      </c>
      <c r="Q5854" t="s">
        <v>58</v>
      </c>
      <c r="R5854" t="str">
        <f>IFERROR(VLOOKUP(record[[#This Row],[PCUSTID]],廠商[],2,FALSE),"")</f>
        <v/>
      </c>
      <c r="S5854" t="str">
        <f>VLOOKUP(record[[#This Row],[employeeID]],員工[],2,FALSE)</f>
        <v>許文姍</v>
      </c>
    </row>
    <row r="5855" spans="6:19" hidden="1" x14ac:dyDescent="0.25">
      <c r="F5855" t="s">
        <v>1285</v>
      </c>
      <c r="G5855" t="s">
        <v>469</v>
      </c>
      <c r="H5855" t="str">
        <f>VLOOKUP(record[[#This Row],[ProcessSN]],表格2_7[],2,FALSE)</f>
        <v>30-4118-018-XXX</v>
      </c>
      <c r="I5855" t="str">
        <f>VLOOKUP(record[[#This Row],[ProcessSN]],表格2_7[],3,FALSE)</f>
        <v>#02RCV</v>
      </c>
      <c r="J5855" t="s">
        <v>591</v>
      </c>
      <c r="K5855" s="195">
        <v>46006.488541666666</v>
      </c>
      <c r="L5855">
        <v>840</v>
      </c>
      <c r="M5855">
        <v>0</v>
      </c>
      <c r="N5855" s="98" t="str">
        <f>IF(record[[#This Row],[Memo]]="Browser:chrome os:android","平板報工",IF(record[[#This Row],[Memo]]=0,"委外",record[[#This Row],[Memo]]))</f>
        <v/>
      </c>
      <c r="O5855" t="s">
        <v>58</v>
      </c>
      <c r="P5855" t="s">
        <v>186</v>
      </c>
      <c r="Q5855" t="s">
        <v>58</v>
      </c>
      <c r="R5855" t="str">
        <f>IFERROR(VLOOKUP(record[[#This Row],[PCUSTID]],廠商[],2,FALSE),"")</f>
        <v/>
      </c>
      <c r="S5855" t="str">
        <f>VLOOKUP(record[[#This Row],[employeeID]],員工[],2,FALSE)</f>
        <v>許文姍</v>
      </c>
    </row>
    <row r="5856" spans="6:19" hidden="1" x14ac:dyDescent="0.25">
      <c r="F5856" t="s">
        <v>1225</v>
      </c>
      <c r="G5856" t="s">
        <v>418</v>
      </c>
      <c r="H5856" t="str">
        <f>VLOOKUP(record[[#This Row],[ProcessSN]],表格2_7[],2,FALSE)</f>
        <v>30-4118-018-5XX</v>
      </c>
      <c r="I5856" t="str">
        <f>VLOOKUP(record[[#This Row],[ProcessSN]],表格2_7[],3,FALSE)</f>
        <v>#07</v>
      </c>
      <c r="J5856" t="s">
        <v>588</v>
      </c>
      <c r="K5856" s="195">
        <v>46006.483981481484</v>
      </c>
      <c r="L5856">
        <v>0</v>
      </c>
      <c r="M5856">
        <v>1</v>
      </c>
      <c r="N5856" s="98" t="str">
        <f>IF(record[[#This Row],[Memo]]="Browser:chrome os:android","平板報工",IF(record[[#This Row],[Memo]]=0,"委外",record[[#This Row],[Memo]]))</f>
        <v/>
      </c>
      <c r="O5856" t="s">
        <v>58</v>
      </c>
      <c r="P5856" t="s">
        <v>119</v>
      </c>
      <c r="Q5856" t="s">
        <v>58</v>
      </c>
      <c r="R5856" t="str">
        <f>IFERROR(VLOOKUP(record[[#This Row],[PCUSTID]],廠商[],2,FALSE),"")</f>
        <v/>
      </c>
      <c r="S5856" t="str">
        <f>VLOOKUP(record[[#This Row],[employeeID]],員工[],2,FALSE)</f>
        <v>廖俊彥</v>
      </c>
    </row>
    <row r="5857" spans="6:19" hidden="1" x14ac:dyDescent="0.25">
      <c r="F5857" t="s">
        <v>1275</v>
      </c>
      <c r="G5857" t="s">
        <v>418</v>
      </c>
      <c r="H5857" t="str">
        <f>VLOOKUP(record[[#This Row],[ProcessSN]],表格2_7[],2,FALSE)</f>
        <v>30-4118-018-5XX</v>
      </c>
      <c r="I5857" t="str">
        <f>VLOOKUP(record[[#This Row],[ProcessSN]],表格2_7[],3,FALSE)</f>
        <v>#07</v>
      </c>
      <c r="J5857" t="s">
        <v>588</v>
      </c>
      <c r="K5857" s="195">
        <v>46006.483842592592</v>
      </c>
      <c r="L5857">
        <v>1</v>
      </c>
      <c r="M5857">
        <v>0</v>
      </c>
      <c r="N5857" s="98" t="str">
        <f>IF(record[[#This Row],[Memo]]="Browser:chrome os:android","平板報工",IF(record[[#This Row],[Memo]]=0,"委外",record[[#This Row],[Memo]]))</f>
        <v/>
      </c>
      <c r="O5857" t="s">
        <v>58</v>
      </c>
      <c r="P5857" t="s">
        <v>119</v>
      </c>
      <c r="Q5857" t="s">
        <v>58</v>
      </c>
      <c r="R5857" t="str">
        <f>IFERROR(VLOOKUP(record[[#This Row],[PCUSTID]],廠商[],2,FALSE),"")</f>
        <v/>
      </c>
      <c r="S5857" t="str">
        <f>VLOOKUP(record[[#This Row],[employeeID]],員工[],2,FALSE)</f>
        <v>廖俊彥</v>
      </c>
    </row>
    <row r="5858" spans="6:19" hidden="1" x14ac:dyDescent="0.25">
      <c r="F5858" t="s">
        <v>1275</v>
      </c>
      <c r="G5858" t="s">
        <v>419</v>
      </c>
      <c r="H5858" t="str">
        <f>VLOOKUP(record[[#This Row],[ProcessSN]],表格2_7[],2,FALSE)</f>
        <v>30-4118-018-5XX</v>
      </c>
      <c r="I5858" t="str">
        <f>VLOOKUP(record[[#This Row],[ProcessSN]],表格2_7[],3,FALSE)</f>
        <v>#07QC</v>
      </c>
      <c r="J5858" t="s">
        <v>589</v>
      </c>
      <c r="K5858" s="195">
        <v>46006.471620370372</v>
      </c>
      <c r="L5858">
        <v>0</v>
      </c>
      <c r="M5858">
        <v>1</v>
      </c>
      <c r="N5858" s="98" t="str">
        <f>IF(record[[#This Row],[Memo]]="Browser:chrome os:android","平板報工",IF(record[[#This Row],[Memo]]=0,"委外",record[[#This Row],[Memo]]))</f>
        <v/>
      </c>
      <c r="O5858" t="s">
        <v>58</v>
      </c>
      <c r="P5858" t="s">
        <v>141</v>
      </c>
      <c r="Q5858" t="s">
        <v>58</v>
      </c>
      <c r="R5858" t="str">
        <f>IFERROR(VLOOKUP(record[[#This Row],[PCUSTID]],廠商[],2,FALSE),"")</f>
        <v/>
      </c>
      <c r="S5858" t="str">
        <f>VLOOKUP(record[[#This Row],[employeeID]],員工[],2,FALSE)</f>
        <v>蔣梅</v>
      </c>
    </row>
    <row r="5859" spans="6:19" hidden="1" x14ac:dyDescent="0.25">
      <c r="F5859" t="s">
        <v>1275</v>
      </c>
      <c r="G5859" t="s">
        <v>419</v>
      </c>
      <c r="H5859" t="str">
        <f>VLOOKUP(record[[#This Row],[ProcessSN]],表格2_7[],2,FALSE)</f>
        <v>30-4118-018-5XX</v>
      </c>
      <c r="I5859" t="str">
        <f>VLOOKUP(record[[#This Row],[ProcessSN]],表格2_7[],3,FALSE)</f>
        <v>#07QC</v>
      </c>
      <c r="J5859" t="s">
        <v>589</v>
      </c>
      <c r="K5859" s="195">
        <v>46006.471400462964</v>
      </c>
      <c r="L5859">
        <v>500</v>
      </c>
      <c r="M5859">
        <v>0</v>
      </c>
      <c r="N5859" s="98" t="str">
        <f>IF(record[[#This Row],[Memo]]="Browser:chrome os:android","平板報工",IF(record[[#This Row],[Memo]]=0,"委外",record[[#This Row],[Memo]]))</f>
        <v/>
      </c>
      <c r="O5859" t="s">
        <v>58</v>
      </c>
      <c r="P5859" t="s">
        <v>141</v>
      </c>
      <c r="Q5859" t="s">
        <v>58</v>
      </c>
      <c r="R5859" t="str">
        <f>IFERROR(VLOOKUP(record[[#This Row],[PCUSTID]],廠商[],2,FALSE),"")</f>
        <v/>
      </c>
      <c r="S5859" t="str">
        <f>VLOOKUP(record[[#This Row],[employeeID]],員工[],2,FALSE)</f>
        <v>蔣梅</v>
      </c>
    </row>
    <row r="5860" spans="6:19" hidden="1" x14ac:dyDescent="0.25">
      <c r="F5860" t="s">
        <v>1253</v>
      </c>
      <c r="G5860" t="s">
        <v>419</v>
      </c>
      <c r="H5860" t="str">
        <f>VLOOKUP(record[[#This Row],[ProcessSN]],表格2_7[],2,FALSE)</f>
        <v>30-4118-018-5XX</v>
      </c>
      <c r="I5860" t="str">
        <f>VLOOKUP(record[[#This Row],[ProcessSN]],表格2_7[],3,FALSE)</f>
        <v>#07QC</v>
      </c>
      <c r="J5860" t="s">
        <v>589</v>
      </c>
      <c r="K5860" s="195">
        <v>46006.471180555556</v>
      </c>
      <c r="L5860">
        <v>1</v>
      </c>
      <c r="M5860">
        <v>0</v>
      </c>
      <c r="N5860" s="98" t="str">
        <f>IF(record[[#This Row],[Memo]]="Browser:chrome os:android","平板報工",IF(record[[#This Row],[Memo]]=0,"委外",record[[#This Row],[Memo]]))</f>
        <v/>
      </c>
      <c r="O5860" t="s">
        <v>58</v>
      </c>
      <c r="P5860" t="s">
        <v>141</v>
      </c>
      <c r="Q5860" t="s">
        <v>58</v>
      </c>
      <c r="R5860" t="str">
        <f>IFERROR(VLOOKUP(record[[#This Row],[PCUSTID]],廠商[],2,FALSE),"")</f>
        <v/>
      </c>
      <c r="S5860" t="str">
        <f>VLOOKUP(record[[#This Row],[employeeID]],員工[],2,FALSE)</f>
        <v>蔣梅</v>
      </c>
    </row>
    <row r="5861" spans="6:19" hidden="1" x14ac:dyDescent="0.25">
      <c r="F5861" t="s">
        <v>1277</v>
      </c>
      <c r="G5861" t="s">
        <v>360</v>
      </c>
      <c r="H5861" t="str">
        <f>VLOOKUP(record[[#This Row],[ProcessSN]],表格2_7[],2,FALSE)</f>
        <v>30-4118-018-450</v>
      </c>
      <c r="I5861" t="str">
        <f>VLOOKUP(record[[#This Row],[ProcessSN]],表格2_7[],3,FALSE)</f>
        <v>#100OQC</v>
      </c>
      <c r="J5861" t="s">
        <v>599</v>
      </c>
      <c r="K5861" s="195">
        <v>46006.370393518519</v>
      </c>
      <c r="L5861">
        <v>70</v>
      </c>
      <c r="M5861">
        <v>0</v>
      </c>
      <c r="N5861" s="98" t="str">
        <f>IF(record[[#This Row],[Memo]]="Browser:chrome os:android","平板報工",IF(record[[#This Row],[Memo]]=0,"委外",record[[#This Row],[Memo]]))</f>
        <v/>
      </c>
      <c r="O5861" t="s">
        <v>58</v>
      </c>
      <c r="P5861" t="s">
        <v>121</v>
      </c>
      <c r="Q5861" t="s">
        <v>58</v>
      </c>
      <c r="R5861" t="str">
        <f>IFERROR(VLOOKUP(record[[#This Row],[PCUSTID]],廠商[],2,FALSE),"")</f>
        <v/>
      </c>
      <c r="S5861" t="str">
        <f>VLOOKUP(record[[#This Row],[employeeID]],員工[],2,FALSE)</f>
        <v>謝素卿</v>
      </c>
    </row>
    <row r="5862" spans="6:19" hidden="1" x14ac:dyDescent="0.25">
      <c r="F5862" t="s">
        <v>1285</v>
      </c>
      <c r="G5862" t="s">
        <v>468</v>
      </c>
      <c r="H5862" t="str">
        <f>VLOOKUP(record[[#This Row],[ProcessSN]],表格2_7[],2,FALSE)</f>
        <v>30-4118-018-XXX</v>
      </c>
      <c r="I5862" t="str">
        <f>VLOOKUP(record[[#This Row],[ProcessSN]],表格2_7[],3,FALSE)</f>
        <v>#02</v>
      </c>
      <c r="J5862" t="s">
        <v>590</v>
      </c>
      <c r="K5862" s="195">
        <v>46006.357511574075</v>
      </c>
      <c r="L5862">
        <v>1008</v>
      </c>
      <c r="M5862">
        <v>0</v>
      </c>
      <c r="N5862" s="98" t="str">
        <f>IF(record[[#This Row],[Memo]]="Browser:chrome os:android","平板報工",IF(record[[#This Row],[Memo]]=0,"委外",record[[#This Row],[Memo]]))</f>
        <v>委外</v>
      </c>
      <c r="P5862" t="s">
        <v>186</v>
      </c>
      <c r="Q5862" t="s">
        <v>216</v>
      </c>
      <c r="R5862" t="str">
        <f>IFERROR(VLOOKUP(record[[#This Row],[PCUSTID]],廠商[],2,FALSE),"")</f>
        <v>俊杰</v>
      </c>
      <c r="S5862" t="str">
        <f>VLOOKUP(record[[#This Row],[employeeID]],員工[],2,FALSE)</f>
        <v>許文姍</v>
      </c>
    </row>
    <row r="5863" spans="6:19" hidden="1" x14ac:dyDescent="0.25">
      <c r="F5863" t="s">
        <v>1285</v>
      </c>
      <c r="G5863" t="s">
        <v>467</v>
      </c>
      <c r="H5863" t="str">
        <f>VLOOKUP(record[[#This Row],[ProcessSN]],表格2_7[],2,FALSE)</f>
        <v>30-4118-018-XXX</v>
      </c>
      <c r="I5863" t="str">
        <f>VLOOKUP(record[[#This Row],[ProcessSN]],表格2_7[],3,FALSE)</f>
        <v>#01QC</v>
      </c>
      <c r="J5863" t="s">
        <v>589</v>
      </c>
      <c r="K5863" s="195">
        <v>46006.354872685188</v>
      </c>
      <c r="L5863">
        <v>1008</v>
      </c>
      <c r="M5863">
        <v>0</v>
      </c>
      <c r="N5863" s="98" t="str">
        <f>IF(record[[#This Row],[Memo]]="Browser:chrome os:android","平板報工",IF(record[[#This Row],[Memo]]=0,"委外",record[[#This Row],[Memo]]))</f>
        <v>平板報工</v>
      </c>
      <c r="O5863" t="s">
        <v>643</v>
      </c>
      <c r="P5863" t="s">
        <v>182</v>
      </c>
      <c r="Q5863" t="s">
        <v>644</v>
      </c>
      <c r="R5863" t="str">
        <f>IFERROR(VLOOKUP(record[[#This Row],[PCUSTID]],廠商[],2,FALSE),"")</f>
        <v/>
      </c>
      <c r="S5863" t="str">
        <f>VLOOKUP(record[[#This Row],[employeeID]],員工[],2,FALSE)</f>
        <v>梅氏和</v>
      </c>
    </row>
    <row r="5864" spans="6:19" hidden="1" x14ac:dyDescent="0.25">
      <c r="F5864" t="s">
        <v>1324</v>
      </c>
      <c r="G5864" t="s">
        <v>450</v>
      </c>
      <c r="H5864" t="str">
        <f>VLOOKUP(record[[#This Row],[ProcessSN]],表格2_7[],2,FALSE)</f>
        <v>30-4118-018-6XX</v>
      </c>
      <c r="I5864" t="str">
        <f>VLOOKUP(record[[#This Row],[ProcessSN]],表格2_7[],3,FALSE)</f>
        <v>#06</v>
      </c>
      <c r="J5864" t="s">
        <v>593</v>
      </c>
      <c r="K5864" s="195">
        <v>46004.308171296296</v>
      </c>
      <c r="L5864">
        <v>133</v>
      </c>
      <c r="M5864">
        <v>0</v>
      </c>
      <c r="N5864" s="98" t="str">
        <f>IF(record[[#This Row],[Memo]]="Browser:chrome os:android","平板報工",IF(record[[#This Row],[Memo]]=0,"委外",record[[#This Row],[Memo]]))</f>
        <v/>
      </c>
      <c r="O5864" t="s">
        <v>58</v>
      </c>
      <c r="P5864" t="s">
        <v>180</v>
      </c>
      <c r="Q5864" t="s">
        <v>58</v>
      </c>
      <c r="R5864" t="str">
        <f>IFERROR(VLOOKUP(record[[#This Row],[PCUSTID]],廠商[],2,FALSE),"")</f>
        <v/>
      </c>
      <c r="S5864" t="str">
        <f>VLOOKUP(record[[#This Row],[employeeID]],員工[],2,FALSE)</f>
        <v>黎功江</v>
      </c>
    </row>
    <row r="5865" spans="6:19" hidden="1" x14ac:dyDescent="0.25">
      <c r="F5865" t="s">
        <v>1275</v>
      </c>
      <c r="G5865" t="s">
        <v>418</v>
      </c>
      <c r="H5865" t="str">
        <f>VLOOKUP(record[[#This Row],[ProcessSN]],表格2_7[],2,FALSE)</f>
        <v>30-4118-018-5XX</v>
      </c>
      <c r="I5865" t="str">
        <f>VLOOKUP(record[[#This Row],[ProcessSN]],表格2_7[],3,FALSE)</f>
        <v>#07</v>
      </c>
      <c r="J5865" t="s">
        <v>588</v>
      </c>
      <c r="K5865" s="195">
        <v>46004.307488425926</v>
      </c>
      <c r="L5865">
        <v>268</v>
      </c>
      <c r="M5865">
        <v>0</v>
      </c>
      <c r="N5865" s="98" t="str">
        <f>IF(record[[#This Row],[Memo]]="Browser:chrome os:android","平板報工",IF(record[[#This Row],[Memo]]=0,"委外",record[[#This Row],[Memo]]))</f>
        <v/>
      </c>
      <c r="O5865" t="s">
        <v>58</v>
      </c>
      <c r="P5865" t="s">
        <v>843</v>
      </c>
      <c r="Q5865" t="s">
        <v>58</v>
      </c>
      <c r="R5865" t="str">
        <f>IFERROR(VLOOKUP(record[[#This Row],[PCUSTID]],廠商[],2,FALSE),"")</f>
        <v/>
      </c>
      <c r="S5865" t="str">
        <f>VLOOKUP(record[[#This Row],[employeeID]],員工[],2,FALSE)</f>
        <v>張楚承</v>
      </c>
    </row>
    <row r="5866" spans="6:19" hidden="1" x14ac:dyDescent="0.25">
      <c r="F5866" t="s">
        <v>1324</v>
      </c>
      <c r="G5866" t="s">
        <v>449</v>
      </c>
      <c r="H5866" t="str">
        <f>VLOOKUP(record[[#This Row],[ProcessSN]],表格2_7[],2,FALSE)</f>
        <v>30-4118-018-6XX</v>
      </c>
      <c r="I5866" t="str">
        <f>VLOOKUP(record[[#This Row],[ProcessSN]],表格2_7[],3,FALSE)</f>
        <v>#05</v>
      </c>
      <c r="J5866" t="s">
        <v>588</v>
      </c>
      <c r="K5866" s="195">
        <v>46004.307187500002</v>
      </c>
      <c r="L5866">
        <v>120</v>
      </c>
      <c r="M5866">
        <v>1</v>
      </c>
      <c r="N5866" s="98" t="str">
        <f>IF(record[[#This Row],[Memo]]="Browser:chrome os:android","平板報工",IF(record[[#This Row],[Memo]]=0,"委外",record[[#This Row],[Memo]]))</f>
        <v/>
      </c>
      <c r="O5866" t="s">
        <v>58</v>
      </c>
      <c r="P5866" t="s">
        <v>843</v>
      </c>
      <c r="Q5866" t="s">
        <v>58</v>
      </c>
      <c r="R5866" t="str">
        <f>IFERROR(VLOOKUP(record[[#This Row],[PCUSTID]],廠商[],2,FALSE),"")</f>
        <v/>
      </c>
      <c r="S5866" t="str">
        <f>VLOOKUP(record[[#This Row],[employeeID]],員工[],2,FALSE)</f>
        <v>張楚承</v>
      </c>
    </row>
    <row r="5867" spans="6:19" hidden="1" x14ac:dyDescent="0.25">
      <c r="F5867" t="s">
        <v>1324</v>
      </c>
      <c r="G5867" t="s">
        <v>448</v>
      </c>
      <c r="H5867" t="str">
        <f>VLOOKUP(record[[#This Row],[ProcessSN]],表格2_7[],2,FALSE)</f>
        <v>30-4118-018-6XX</v>
      </c>
      <c r="I5867" t="str">
        <f>VLOOKUP(record[[#This Row],[ProcessSN]],表格2_7[],3,FALSE)</f>
        <v>#04</v>
      </c>
      <c r="J5867" t="s">
        <v>588</v>
      </c>
      <c r="K5867" s="195">
        <v>46004.306643518517</v>
      </c>
      <c r="L5867">
        <v>121</v>
      </c>
      <c r="M5867">
        <v>0</v>
      </c>
      <c r="N5867" s="98" t="str">
        <f>IF(record[[#This Row],[Memo]]="Browser:chrome os:android","平板報工",IF(record[[#This Row],[Memo]]=0,"委外",record[[#This Row],[Memo]]))</f>
        <v/>
      </c>
      <c r="O5867" t="s">
        <v>58</v>
      </c>
      <c r="P5867" t="s">
        <v>135</v>
      </c>
      <c r="Q5867" t="s">
        <v>58</v>
      </c>
      <c r="R5867" t="str">
        <f>IFERROR(VLOOKUP(record[[#This Row],[PCUSTID]],廠商[],2,FALSE),"")</f>
        <v/>
      </c>
      <c r="S5867" t="str">
        <f>VLOOKUP(record[[#This Row],[employeeID]],員工[],2,FALSE)</f>
        <v>阮士文</v>
      </c>
    </row>
    <row r="5868" spans="6:19" hidden="1" x14ac:dyDescent="0.25">
      <c r="F5868" t="s">
        <v>1324</v>
      </c>
      <c r="G5868" t="s">
        <v>448</v>
      </c>
      <c r="H5868" t="str">
        <f>VLOOKUP(record[[#This Row],[ProcessSN]],表格2_7[],2,FALSE)</f>
        <v>30-4118-018-6XX</v>
      </c>
      <c r="I5868" t="str">
        <f>VLOOKUP(record[[#This Row],[ProcessSN]],表格2_7[],3,FALSE)</f>
        <v>#04</v>
      </c>
      <c r="J5868" t="s">
        <v>588</v>
      </c>
      <c r="K5868" s="195">
        <v>46004.017824074072</v>
      </c>
      <c r="L5868">
        <v>125</v>
      </c>
      <c r="M5868">
        <v>0</v>
      </c>
      <c r="N5868" s="98" t="str">
        <f>IF(record[[#This Row],[Memo]]="Browser:chrome os:android","平板報工",IF(record[[#This Row],[Memo]]=0,"委外",record[[#This Row],[Memo]]))</f>
        <v/>
      </c>
      <c r="O5868" t="s">
        <v>58</v>
      </c>
      <c r="P5868" t="s">
        <v>806</v>
      </c>
      <c r="Q5868" t="s">
        <v>58</v>
      </c>
      <c r="R5868" t="str">
        <f>IFERROR(VLOOKUP(record[[#This Row],[PCUSTID]],廠商[],2,FALSE),"")</f>
        <v/>
      </c>
      <c r="S5868" t="str">
        <f>VLOOKUP(record[[#This Row],[employeeID]],員工[],2,FALSE)</f>
        <v>方思緯</v>
      </c>
    </row>
    <row r="5869" spans="6:19" hidden="1" x14ac:dyDescent="0.25">
      <c r="F5869" t="s">
        <v>1327</v>
      </c>
      <c r="G5869" t="s">
        <v>447</v>
      </c>
      <c r="H5869" t="str">
        <f>VLOOKUP(record[[#This Row],[ProcessSN]],表格2_7[],2,FALSE)</f>
        <v>30-4118-018-6XX</v>
      </c>
      <c r="I5869" t="str">
        <f>VLOOKUP(record[[#This Row],[ProcessSN]],表格2_7[],3,FALSE)</f>
        <v>#03</v>
      </c>
      <c r="J5869" t="s">
        <v>588</v>
      </c>
      <c r="K5869" s="195">
        <v>46003.976990740739</v>
      </c>
      <c r="L5869">
        <v>336</v>
      </c>
      <c r="M5869">
        <v>0</v>
      </c>
      <c r="N5869" s="98" t="str">
        <f>IF(record[[#This Row],[Memo]]="Browser:chrome os:android","平板報工",IF(record[[#This Row],[Memo]]=0,"委外",record[[#This Row],[Memo]]))</f>
        <v/>
      </c>
      <c r="O5869" t="s">
        <v>58</v>
      </c>
      <c r="P5869" t="s">
        <v>1098</v>
      </c>
      <c r="Q5869" t="s">
        <v>58</v>
      </c>
      <c r="R5869" t="str">
        <f>IFERROR(VLOOKUP(record[[#This Row],[PCUSTID]],廠商[],2,FALSE),"")</f>
        <v/>
      </c>
      <c r="S5869" t="str">
        <f>VLOOKUP(record[[#This Row],[employeeID]],員工[],2,FALSE)</f>
        <v>阮氏芳英(英)</v>
      </c>
    </row>
    <row r="5870" spans="6:19" hidden="1" x14ac:dyDescent="0.25">
      <c r="F5870" t="s">
        <v>1290</v>
      </c>
      <c r="G5870" t="s">
        <v>417</v>
      </c>
      <c r="H5870" t="str">
        <f>VLOOKUP(record[[#This Row],[ProcessSN]],表格2_7[],2,FALSE)</f>
        <v>30-4118-018-5XX</v>
      </c>
      <c r="I5870" t="str">
        <f>VLOOKUP(record[[#This Row],[ProcessSN]],表格2_7[],3,FALSE)</f>
        <v>#06</v>
      </c>
      <c r="J5870" t="s">
        <v>593</v>
      </c>
      <c r="K5870" s="195">
        <v>46003.972812499997</v>
      </c>
      <c r="L5870">
        <v>133</v>
      </c>
      <c r="M5870">
        <v>0</v>
      </c>
      <c r="N5870" s="98" t="str">
        <f>IF(record[[#This Row],[Memo]]="Browser:chrome os:android","平板報工",IF(record[[#This Row],[Memo]]=0,"委外",record[[#This Row],[Memo]]))</f>
        <v/>
      </c>
      <c r="O5870" t="s">
        <v>58</v>
      </c>
      <c r="P5870" t="s">
        <v>176</v>
      </c>
      <c r="Q5870" t="s">
        <v>58</v>
      </c>
      <c r="R5870" t="str">
        <f>IFERROR(VLOOKUP(record[[#This Row],[PCUSTID]],廠商[],2,FALSE),"")</f>
        <v/>
      </c>
      <c r="S5870" t="str">
        <f>VLOOKUP(record[[#This Row],[employeeID]],員工[],2,FALSE)</f>
        <v>郭政雄</v>
      </c>
    </row>
    <row r="5871" spans="6:19" hidden="1" x14ac:dyDescent="0.25">
      <c r="F5871" t="s">
        <v>1324</v>
      </c>
      <c r="G5871" t="s">
        <v>450</v>
      </c>
      <c r="H5871" t="str">
        <f>VLOOKUP(record[[#This Row],[ProcessSN]],表格2_7[],2,FALSE)</f>
        <v>30-4118-018-6XX</v>
      </c>
      <c r="I5871" t="str">
        <f>VLOOKUP(record[[#This Row],[ProcessSN]],表格2_7[],3,FALSE)</f>
        <v>#06</v>
      </c>
      <c r="J5871" t="s">
        <v>593</v>
      </c>
      <c r="K5871" s="195">
        <v>46003.972488425927</v>
      </c>
      <c r="L5871">
        <v>90</v>
      </c>
      <c r="M5871">
        <v>0</v>
      </c>
      <c r="N5871" s="98" t="str">
        <f>IF(record[[#This Row],[Memo]]="Browser:chrome os:android","平板報工",IF(record[[#This Row],[Memo]]=0,"委外",record[[#This Row],[Memo]]))</f>
        <v/>
      </c>
      <c r="O5871" t="s">
        <v>58</v>
      </c>
      <c r="P5871" t="s">
        <v>176</v>
      </c>
      <c r="Q5871" t="s">
        <v>58</v>
      </c>
      <c r="R5871" t="str">
        <f>IFERROR(VLOOKUP(record[[#This Row],[PCUSTID]],廠商[],2,FALSE),"")</f>
        <v/>
      </c>
      <c r="S5871" t="str">
        <f>VLOOKUP(record[[#This Row],[employeeID]],員工[],2,FALSE)</f>
        <v>郭政雄</v>
      </c>
    </row>
    <row r="5872" spans="6:19" hidden="1" x14ac:dyDescent="0.25">
      <c r="F5872" t="s">
        <v>1285</v>
      </c>
      <c r="G5872" t="s">
        <v>466</v>
      </c>
      <c r="H5872" t="str">
        <f>VLOOKUP(record[[#This Row],[ProcessSN]],表格2_7[],2,FALSE)</f>
        <v>30-4118-018-XXX</v>
      </c>
      <c r="I5872" t="str">
        <f>VLOOKUP(record[[#This Row],[ProcessSN]],表格2_7[],3,FALSE)</f>
        <v>#01-2</v>
      </c>
      <c r="J5872" t="s">
        <v>588</v>
      </c>
      <c r="K5872" s="195">
        <v>46003.968680555554</v>
      </c>
      <c r="L5872">
        <v>587</v>
      </c>
      <c r="M5872">
        <v>0</v>
      </c>
      <c r="N5872" s="98" t="str">
        <f>IF(record[[#This Row],[Memo]]="Browser:chrome os:android","平板報工",IF(record[[#This Row],[Memo]]=0,"委外",record[[#This Row],[Memo]]))</f>
        <v/>
      </c>
      <c r="O5872" t="s">
        <v>58</v>
      </c>
      <c r="P5872" t="s">
        <v>1098</v>
      </c>
      <c r="Q5872" t="s">
        <v>58</v>
      </c>
      <c r="R5872" t="str">
        <f>IFERROR(VLOOKUP(record[[#This Row],[PCUSTID]],廠商[],2,FALSE),"")</f>
        <v/>
      </c>
      <c r="S5872" t="str">
        <f>VLOOKUP(record[[#This Row],[employeeID]],員工[],2,FALSE)</f>
        <v>阮氏芳英(英)</v>
      </c>
    </row>
    <row r="5873" spans="6:19" hidden="1" x14ac:dyDescent="0.25">
      <c r="F5873" t="s">
        <v>1275</v>
      </c>
      <c r="G5873" t="s">
        <v>418</v>
      </c>
      <c r="H5873" t="str">
        <f>VLOOKUP(record[[#This Row],[ProcessSN]],表格2_7[],2,FALSE)</f>
        <v>30-4118-018-5XX</v>
      </c>
      <c r="I5873" t="str">
        <f>VLOOKUP(record[[#This Row],[ProcessSN]],表格2_7[],3,FALSE)</f>
        <v>#07</v>
      </c>
      <c r="J5873" t="s">
        <v>588</v>
      </c>
      <c r="K5873" s="195">
        <v>46003.967581018522</v>
      </c>
      <c r="L5873">
        <v>185</v>
      </c>
      <c r="M5873">
        <v>0</v>
      </c>
      <c r="N5873" s="98" t="str">
        <f>IF(record[[#This Row],[Memo]]="Browser:chrome os:android","平板報工",IF(record[[#This Row],[Memo]]=0,"委外",record[[#This Row],[Memo]]))</f>
        <v/>
      </c>
      <c r="O5873" t="s">
        <v>58</v>
      </c>
      <c r="P5873" t="s">
        <v>89</v>
      </c>
      <c r="Q5873" t="s">
        <v>58</v>
      </c>
      <c r="R5873" t="str">
        <f>IFERROR(VLOOKUP(record[[#This Row],[PCUSTID]],廠商[],2,FALSE),"")</f>
        <v/>
      </c>
      <c r="S5873" t="str">
        <f>VLOOKUP(record[[#This Row],[employeeID]],員工[],2,FALSE)</f>
        <v>李美蓮</v>
      </c>
    </row>
    <row r="5874" spans="6:19" hidden="1" x14ac:dyDescent="0.25">
      <c r="F5874" t="s">
        <v>1324</v>
      </c>
      <c r="G5874" t="s">
        <v>449</v>
      </c>
      <c r="H5874" t="str">
        <f>VLOOKUP(record[[#This Row],[ProcessSN]],表格2_7[],2,FALSE)</f>
        <v>30-4118-018-6XX</v>
      </c>
      <c r="I5874" t="str">
        <f>VLOOKUP(record[[#This Row],[ProcessSN]],表格2_7[],3,FALSE)</f>
        <v>#05</v>
      </c>
      <c r="J5874" t="s">
        <v>588</v>
      </c>
      <c r="K5874" s="195">
        <v>46003.966458333336</v>
      </c>
      <c r="L5874">
        <v>190</v>
      </c>
      <c r="M5874">
        <v>0</v>
      </c>
      <c r="N5874" s="98" t="str">
        <f>IF(record[[#This Row],[Memo]]="Browser:chrome os:android","平板報工",IF(record[[#This Row],[Memo]]=0,"委外",record[[#This Row],[Memo]]))</f>
        <v/>
      </c>
      <c r="O5874" t="s">
        <v>58</v>
      </c>
      <c r="P5874" t="s">
        <v>89</v>
      </c>
      <c r="Q5874" t="s">
        <v>58</v>
      </c>
      <c r="R5874" t="str">
        <f>IFERROR(VLOOKUP(record[[#This Row],[PCUSTID]],廠商[],2,FALSE),"")</f>
        <v/>
      </c>
      <c r="S5874" t="str">
        <f>VLOOKUP(record[[#This Row],[employeeID]],員工[],2,FALSE)</f>
        <v>李美蓮</v>
      </c>
    </row>
    <row r="5875" spans="6:19" hidden="1" x14ac:dyDescent="0.25">
      <c r="F5875" t="s">
        <v>1315</v>
      </c>
      <c r="G5875" t="s">
        <v>358</v>
      </c>
      <c r="H5875" t="str">
        <f>VLOOKUP(record[[#This Row],[ProcessSN]],表格2_7[],2,FALSE)</f>
        <v>30-4118-018-450</v>
      </c>
      <c r="I5875" t="str">
        <f>VLOOKUP(record[[#This Row],[ProcessSN]],表格2_7[],3,FALSE)</f>
        <v>#08IQC</v>
      </c>
      <c r="J5875" t="s">
        <v>583</v>
      </c>
      <c r="K5875" s="195">
        <v>46003.722766203704</v>
      </c>
      <c r="L5875">
        <v>325</v>
      </c>
      <c r="M5875">
        <v>0</v>
      </c>
      <c r="N5875" s="98" t="str">
        <f>IF(record[[#This Row],[Memo]]="Browser:chrome os:android","平板報工",IF(record[[#This Row],[Memo]]=0,"委外",record[[#This Row],[Memo]]))</f>
        <v/>
      </c>
      <c r="O5875" t="s">
        <v>58</v>
      </c>
      <c r="P5875" t="s">
        <v>109</v>
      </c>
      <c r="Q5875" t="s">
        <v>58</v>
      </c>
      <c r="R5875" t="str">
        <f>IFERROR(VLOOKUP(record[[#This Row],[PCUSTID]],廠商[],2,FALSE),"")</f>
        <v/>
      </c>
      <c r="S5875" t="str">
        <f>VLOOKUP(record[[#This Row],[employeeID]],員工[],2,FALSE)</f>
        <v>裴氏璧鳳</v>
      </c>
    </row>
    <row r="5876" spans="6:19" hidden="1" x14ac:dyDescent="0.25">
      <c r="F5876" t="s">
        <v>1317</v>
      </c>
      <c r="G5876" t="s">
        <v>399</v>
      </c>
      <c r="H5876" t="str">
        <f>VLOOKUP(record[[#This Row],[ProcessSN]],表格2_7[],2,FALSE)</f>
        <v>30-4118-018-550</v>
      </c>
      <c r="I5876" t="str">
        <f>VLOOKUP(record[[#This Row],[ProcessSN]],表格2_7[],3,FALSE)</f>
        <v>#08IQC</v>
      </c>
      <c r="J5876" t="s">
        <v>583</v>
      </c>
      <c r="K5876" s="195">
        <v>46003.722662037035</v>
      </c>
      <c r="L5876">
        <v>139</v>
      </c>
      <c r="M5876">
        <v>0</v>
      </c>
      <c r="N5876" s="98" t="str">
        <f>IF(record[[#This Row],[Memo]]="Browser:chrome os:android","平板報工",IF(record[[#This Row],[Memo]]=0,"委外",record[[#This Row],[Memo]]))</f>
        <v/>
      </c>
      <c r="O5876" t="s">
        <v>58</v>
      </c>
      <c r="P5876" t="s">
        <v>109</v>
      </c>
      <c r="Q5876" t="s">
        <v>58</v>
      </c>
      <c r="R5876" t="str">
        <f>IFERROR(VLOOKUP(record[[#This Row],[PCUSTID]],廠商[],2,FALSE),"")</f>
        <v/>
      </c>
      <c r="S5876" t="str">
        <f>VLOOKUP(record[[#This Row],[employeeID]],員工[],2,FALSE)</f>
        <v>裴氏璧鳳</v>
      </c>
    </row>
    <row r="5877" spans="6:19" hidden="1" x14ac:dyDescent="0.25">
      <c r="F5877" t="s">
        <v>1302</v>
      </c>
      <c r="G5877" t="s">
        <v>401</v>
      </c>
      <c r="H5877" t="str">
        <f>VLOOKUP(record[[#This Row],[ProcessSN]],表格2_7[],2,FALSE)</f>
        <v>30-4118-018-550</v>
      </c>
      <c r="I5877" t="str">
        <f>VLOOKUP(record[[#This Row],[ProcessSN]],表格2_7[],3,FALSE)</f>
        <v>#100OQC</v>
      </c>
      <c r="J5877" t="s">
        <v>599</v>
      </c>
      <c r="K5877" s="195">
        <v>46003.698437500003</v>
      </c>
      <c r="L5877">
        <v>328</v>
      </c>
      <c r="M5877">
        <v>0</v>
      </c>
      <c r="N5877" s="98" t="str">
        <f>IF(record[[#This Row],[Memo]]="Browser:chrome os:android","平板報工",IF(record[[#This Row],[Memo]]=0,"委外",record[[#This Row],[Memo]]))</f>
        <v/>
      </c>
      <c r="O5877" t="s">
        <v>58</v>
      </c>
      <c r="P5877" t="s">
        <v>121</v>
      </c>
      <c r="Q5877" t="s">
        <v>58</v>
      </c>
      <c r="R5877" t="str">
        <f>IFERROR(VLOOKUP(record[[#This Row],[PCUSTID]],廠商[],2,FALSE),"")</f>
        <v/>
      </c>
      <c r="S5877" t="str">
        <f>VLOOKUP(record[[#This Row],[employeeID]],員工[],2,FALSE)</f>
        <v>謝素卿</v>
      </c>
    </row>
    <row r="5878" spans="6:19" hidden="1" x14ac:dyDescent="0.25">
      <c r="F5878" t="s">
        <v>1290</v>
      </c>
      <c r="G5878" t="s">
        <v>417</v>
      </c>
      <c r="H5878" t="str">
        <f>VLOOKUP(record[[#This Row],[ProcessSN]],表格2_7[],2,FALSE)</f>
        <v>30-4118-018-5XX</v>
      </c>
      <c r="I5878" t="str">
        <f>VLOOKUP(record[[#This Row],[ProcessSN]],表格2_7[],3,FALSE)</f>
        <v>#06</v>
      </c>
      <c r="J5878" t="s">
        <v>593</v>
      </c>
      <c r="K5878" s="195">
        <v>46003.651701388888</v>
      </c>
      <c r="L5878">
        <v>95</v>
      </c>
      <c r="M5878">
        <v>0</v>
      </c>
      <c r="N5878" s="98" t="str">
        <f>IF(record[[#This Row],[Memo]]="Browser:chrome os:android","平板報工",IF(record[[#This Row],[Memo]]=0,"委外",record[[#This Row],[Memo]]))</f>
        <v/>
      </c>
      <c r="O5878" t="s">
        <v>58</v>
      </c>
      <c r="P5878" t="s">
        <v>111</v>
      </c>
      <c r="Q5878" t="s">
        <v>58</v>
      </c>
      <c r="R5878" t="str">
        <f>IFERROR(VLOOKUP(record[[#This Row],[PCUSTID]],廠商[],2,FALSE),"")</f>
        <v/>
      </c>
      <c r="S5878" t="str">
        <f>VLOOKUP(record[[#This Row],[employeeID]],員工[],2,FALSE)</f>
        <v>江栩妘</v>
      </c>
    </row>
    <row r="5879" spans="6:19" hidden="1" x14ac:dyDescent="0.25">
      <c r="F5879" t="s">
        <v>1275</v>
      </c>
      <c r="G5879" t="s">
        <v>418</v>
      </c>
      <c r="H5879" t="str">
        <f>VLOOKUP(record[[#This Row],[ProcessSN]],表格2_7[],2,FALSE)</f>
        <v>30-4118-018-5XX</v>
      </c>
      <c r="I5879" t="str">
        <f>VLOOKUP(record[[#This Row],[ProcessSN]],表格2_7[],3,FALSE)</f>
        <v>#07</v>
      </c>
      <c r="J5879" t="s">
        <v>588</v>
      </c>
      <c r="K5879" s="195">
        <v>46003.65116898148</v>
      </c>
      <c r="L5879">
        <v>48</v>
      </c>
      <c r="M5879">
        <v>0</v>
      </c>
      <c r="N5879" s="98" t="str">
        <f>IF(record[[#This Row],[Memo]]="Browser:chrome os:android","平板報工",IF(record[[#This Row],[Memo]]=0,"委外",record[[#This Row],[Memo]]))</f>
        <v/>
      </c>
      <c r="O5879" t="s">
        <v>58</v>
      </c>
      <c r="P5879" t="s">
        <v>785</v>
      </c>
      <c r="Q5879" t="s">
        <v>58</v>
      </c>
      <c r="R5879" t="str">
        <f>IFERROR(VLOOKUP(record[[#This Row],[PCUSTID]],廠商[],2,FALSE),"")</f>
        <v/>
      </c>
      <c r="S5879" t="str">
        <f>VLOOKUP(record[[#This Row],[employeeID]],員工[],2,FALSE)</f>
        <v>謝刻光</v>
      </c>
    </row>
    <row r="5880" spans="6:19" hidden="1" x14ac:dyDescent="0.25">
      <c r="F5880" t="s">
        <v>1290</v>
      </c>
      <c r="G5880" t="s">
        <v>416</v>
      </c>
      <c r="H5880" t="str">
        <f>VLOOKUP(record[[#This Row],[ProcessSN]],表格2_7[],2,FALSE)</f>
        <v>30-4118-018-5XX</v>
      </c>
      <c r="I5880" t="str">
        <f>VLOOKUP(record[[#This Row],[ProcessSN]],表格2_7[],3,FALSE)</f>
        <v>#05</v>
      </c>
      <c r="J5880" t="s">
        <v>588</v>
      </c>
      <c r="K5880" s="195">
        <v>46003.649652777778</v>
      </c>
      <c r="L5880">
        <v>73</v>
      </c>
      <c r="M5880">
        <v>0</v>
      </c>
      <c r="N5880" s="98" t="str">
        <f>IF(record[[#This Row],[Memo]]="Browser:chrome os:android","平板報工",IF(record[[#This Row],[Memo]]=0,"委外",record[[#This Row],[Memo]]))</f>
        <v/>
      </c>
      <c r="O5880" t="s">
        <v>58</v>
      </c>
      <c r="P5880" t="s">
        <v>785</v>
      </c>
      <c r="Q5880" t="s">
        <v>58</v>
      </c>
      <c r="R5880" t="str">
        <f>IFERROR(VLOOKUP(record[[#This Row],[PCUSTID]],廠商[],2,FALSE),"")</f>
        <v/>
      </c>
      <c r="S5880" t="str">
        <f>VLOOKUP(record[[#This Row],[employeeID]],員工[],2,FALSE)</f>
        <v>謝刻光</v>
      </c>
    </row>
    <row r="5881" spans="6:19" hidden="1" x14ac:dyDescent="0.25">
      <c r="F5881" t="s">
        <v>1285</v>
      </c>
      <c r="G5881" t="s">
        <v>466</v>
      </c>
      <c r="H5881" t="str">
        <f>VLOOKUP(record[[#This Row],[ProcessSN]],表格2_7[],2,FALSE)</f>
        <v>30-4118-018-XXX</v>
      </c>
      <c r="I5881" t="str">
        <f>VLOOKUP(record[[#This Row],[ProcessSN]],表格2_7[],3,FALSE)</f>
        <v>#01-2</v>
      </c>
      <c r="J5881" t="s">
        <v>588</v>
      </c>
      <c r="K5881" s="195">
        <v>46003.649351851855</v>
      </c>
      <c r="L5881">
        <v>170</v>
      </c>
      <c r="M5881">
        <v>0</v>
      </c>
      <c r="N5881" s="98" t="str">
        <f>IF(record[[#This Row],[Memo]]="Browser:chrome os:android","平板報工",IF(record[[#This Row],[Memo]]=0,"委外",record[[#This Row],[Memo]]))</f>
        <v/>
      </c>
      <c r="O5881" t="s">
        <v>58</v>
      </c>
      <c r="P5881" t="s">
        <v>107</v>
      </c>
      <c r="Q5881" t="s">
        <v>58</v>
      </c>
      <c r="R5881" t="str">
        <f>IFERROR(VLOOKUP(record[[#This Row],[PCUSTID]],廠商[],2,FALSE),"")</f>
        <v/>
      </c>
      <c r="S5881" t="str">
        <f>VLOOKUP(record[[#This Row],[employeeID]],員工[],2,FALSE)</f>
        <v>黎氏順</v>
      </c>
    </row>
    <row r="5882" spans="6:19" hidden="1" x14ac:dyDescent="0.25">
      <c r="F5882" t="s">
        <v>1324</v>
      </c>
      <c r="G5882" t="s">
        <v>448</v>
      </c>
      <c r="H5882" t="str">
        <f>VLOOKUP(record[[#This Row],[ProcessSN]],表格2_7[],2,FALSE)</f>
        <v>30-4118-018-6XX</v>
      </c>
      <c r="I5882" t="str">
        <f>VLOOKUP(record[[#This Row],[ProcessSN]],表格2_7[],3,FALSE)</f>
        <v>#04</v>
      </c>
      <c r="J5882" t="s">
        <v>588</v>
      </c>
      <c r="K5882" s="195">
        <v>46003.648587962962</v>
      </c>
      <c r="L5882">
        <v>65</v>
      </c>
      <c r="M5882">
        <v>0</v>
      </c>
      <c r="N5882" s="98" t="str">
        <f>IF(record[[#This Row],[Memo]]="Browser:chrome os:android","平板報工",IF(record[[#This Row],[Memo]]=0,"委外",record[[#This Row],[Memo]]))</f>
        <v/>
      </c>
      <c r="O5882" t="s">
        <v>58</v>
      </c>
      <c r="P5882" t="s">
        <v>107</v>
      </c>
      <c r="Q5882" t="s">
        <v>58</v>
      </c>
      <c r="R5882" t="str">
        <f>IFERROR(VLOOKUP(record[[#This Row],[PCUSTID]],廠商[],2,FALSE),"")</f>
        <v/>
      </c>
      <c r="S5882" t="str">
        <f>VLOOKUP(record[[#This Row],[employeeID]],員工[],2,FALSE)</f>
        <v>黎氏順</v>
      </c>
    </row>
    <row r="5883" spans="6:19" hidden="1" x14ac:dyDescent="0.25">
      <c r="F5883" t="s">
        <v>1290</v>
      </c>
      <c r="G5883" t="s">
        <v>415</v>
      </c>
      <c r="H5883" t="str">
        <f>VLOOKUP(record[[#This Row],[ProcessSN]],表格2_7[],2,FALSE)</f>
        <v>30-4118-018-5XX</v>
      </c>
      <c r="I5883" t="str">
        <f>VLOOKUP(record[[#This Row],[ProcessSN]],表格2_7[],3,FALSE)</f>
        <v>#04</v>
      </c>
      <c r="J5883" t="s">
        <v>588</v>
      </c>
      <c r="K5883" s="195">
        <v>46003.648287037038</v>
      </c>
      <c r="L5883">
        <v>73</v>
      </c>
      <c r="M5883">
        <v>0</v>
      </c>
      <c r="N5883" s="98" t="str">
        <f>IF(record[[#This Row],[Memo]]="Browser:chrome os:android","平板報工",IF(record[[#This Row],[Memo]]=0,"委外",record[[#This Row],[Memo]]))</f>
        <v/>
      </c>
      <c r="O5883" t="s">
        <v>58</v>
      </c>
      <c r="P5883" t="s">
        <v>107</v>
      </c>
      <c r="Q5883" t="s">
        <v>58</v>
      </c>
      <c r="R5883" t="str">
        <f>IFERROR(VLOOKUP(record[[#This Row],[PCUSTID]],廠商[],2,FALSE),"")</f>
        <v/>
      </c>
      <c r="S5883" t="str">
        <f>VLOOKUP(record[[#This Row],[employeeID]],員工[],2,FALSE)</f>
        <v>黎氏順</v>
      </c>
    </row>
    <row r="5884" spans="6:19" hidden="1" x14ac:dyDescent="0.25">
      <c r="F5884" t="s">
        <v>1302</v>
      </c>
      <c r="G5884" t="s">
        <v>400</v>
      </c>
      <c r="H5884" t="str">
        <f>VLOOKUP(record[[#This Row],[ProcessSN]],表格2_7[],2,FALSE)</f>
        <v>30-4118-018-550</v>
      </c>
      <c r="I5884" t="str">
        <f>VLOOKUP(record[[#This Row],[ProcessSN]],表格2_7[],3,FALSE)</f>
        <v>#100</v>
      </c>
      <c r="J5884" t="s">
        <v>598</v>
      </c>
      <c r="K5884" s="195">
        <v>46003.616712962961</v>
      </c>
      <c r="L5884">
        <v>328</v>
      </c>
      <c r="M5884">
        <v>0</v>
      </c>
      <c r="N5884" s="98" t="str">
        <f>IF(record[[#This Row],[Memo]]="Browser:chrome os:android","平板報工",IF(record[[#This Row],[Memo]]=0,"委外",record[[#This Row],[Memo]]))</f>
        <v/>
      </c>
      <c r="O5884" t="s">
        <v>58</v>
      </c>
      <c r="P5884" t="s">
        <v>141</v>
      </c>
      <c r="Q5884" t="s">
        <v>58</v>
      </c>
      <c r="R5884" t="str">
        <f>IFERROR(VLOOKUP(record[[#This Row],[PCUSTID]],廠商[],2,FALSE),"")</f>
        <v/>
      </c>
      <c r="S5884" t="str">
        <f>VLOOKUP(record[[#This Row],[employeeID]],員工[],2,FALSE)</f>
        <v>蔣梅</v>
      </c>
    </row>
    <row r="5885" spans="6:19" hidden="1" x14ac:dyDescent="0.25">
      <c r="F5885" t="s">
        <v>1302</v>
      </c>
      <c r="G5885" t="s">
        <v>399</v>
      </c>
      <c r="H5885" t="str">
        <f>VLOOKUP(record[[#This Row],[ProcessSN]],表格2_7[],2,FALSE)</f>
        <v>30-4118-018-550</v>
      </c>
      <c r="I5885" t="str">
        <f>VLOOKUP(record[[#This Row],[ProcessSN]],表格2_7[],3,FALSE)</f>
        <v>#08IQC</v>
      </c>
      <c r="J5885" t="s">
        <v>583</v>
      </c>
      <c r="K5885" s="195">
        <v>46003.616412037038</v>
      </c>
      <c r="L5885">
        <v>23</v>
      </c>
      <c r="M5885">
        <v>0</v>
      </c>
      <c r="N5885" s="98" t="str">
        <f>IF(record[[#This Row],[Memo]]="Browser:chrome os:android","平板報工",IF(record[[#This Row],[Memo]]=0,"委外",record[[#This Row],[Memo]]))</f>
        <v>覆回</v>
      </c>
      <c r="O5885" t="s">
        <v>682</v>
      </c>
      <c r="P5885" t="s">
        <v>141</v>
      </c>
      <c r="Q5885" t="s">
        <v>58</v>
      </c>
      <c r="R5885" t="str">
        <f>IFERROR(VLOOKUP(record[[#This Row],[PCUSTID]],廠商[],2,FALSE),"")</f>
        <v/>
      </c>
      <c r="S5885" t="str">
        <f>VLOOKUP(record[[#This Row],[employeeID]],員工[],2,FALSE)</f>
        <v>蔣梅</v>
      </c>
    </row>
    <row r="5886" spans="6:19" hidden="1" x14ac:dyDescent="0.25">
      <c r="F5886" t="s">
        <v>1302</v>
      </c>
      <c r="G5886" t="s">
        <v>398</v>
      </c>
      <c r="H5886" t="str">
        <f>VLOOKUP(record[[#This Row],[ProcessSN]],表格2_7[],2,FALSE)</f>
        <v>30-4118-018-550</v>
      </c>
      <c r="I5886" t="str">
        <f>VLOOKUP(record[[#This Row],[ProcessSN]],表格2_7[],3,FALSE)</f>
        <v>#08RCV</v>
      </c>
      <c r="J5886" t="s">
        <v>591</v>
      </c>
      <c r="K5886" s="195">
        <v>46003.616018518522</v>
      </c>
      <c r="L5886">
        <v>23</v>
      </c>
      <c r="M5886">
        <v>0</v>
      </c>
      <c r="N5886" s="98" t="str">
        <f>IF(record[[#This Row],[Memo]]="Browser:chrome os:android","平板報工",IF(record[[#This Row],[Memo]]=0,"委外",record[[#This Row],[Memo]]))</f>
        <v>覆回</v>
      </c>
      <c r="O5886" t="s">
        <v>682</v>
      </c>
      <c r="P5886" t="s">
        <v>141</v>
      </c>
      <c r="Q5886" t="s">
        <v>58</v>
      </c>
      <c r="R5886" t="str">
        <f>IFERROR(VLOOKUP(record[[#This Row],[PCUSTID]],廠商[],2,FALSE),"")</f>
        <v/>
      </c>
      <c r="S5886" t="str">
        <f>VLOOKUP(record[[#This Row],[employeeID]],員工[],2,FALSE)</f>
        <v>蔣梅</v>
      </c>
    </row>
    <row r="5887" spans="6:19" hidden="1" x14ac:dyDescent="0.25">
      <c r="F5887" t="s">
        <v>1173</v>
      </c>
      <c r="G5887" t="s">
        <v>428</v>
      </c>
      <c r="H5887" t="str">
        <f>VLOOKUP(record[[#This Row],[ProcessSN]],表格2_7[],2,FALSE)</f>
        <v>30-4118-018-600</v>
      </c>
      <c r="I5887" t="str">
        <f>VLOOKUP(record[[#This Row],[ProcessSN]],表格2_7[],3,FALSE)</f>
        <v>#100SHIP</v>
      </c>
      <c r="J5887" t="s">
        <v>600</v>
      </c>
      <c r="K5887" s="195">
        <v>46003.599791666667</v>
      </c>
      <c r="L5887">
        <v>4</v>
      </c>
      <c r="M5887">
        <v>0</v>
      </c>
      <c r="N5887" s="98" t="str">
        <f>IF(record[[#This Row],[Memo]]="Browser:chrome os:android","平板報工",IF(record[[#This Row],[Memo]]=0,"委外",record[[#This Row],[Memo]]))</f>
        <v/>
      </c>
      <c r="O5887" t="s">
        <v>58</v>
      </c>
      <c r="P5887" t="s">
        <v>886</v>
      </c>
      <c r="Q5887" t="s">
        <v>58</v>
      </c>
      <c r="R5887" t="str">
        <f>IFERROR(VLOOKUP(record[[#This Row],[PCUSTID]],廠商[],2,FALSE),"")</f>
        <v/>
      </c>
      <c r="S5887" t="str">
        <f>VLOOKUP(record[[#This Row],[employeeID]],員工[],2,FALSE)</f>
        <v>謝蓁薰</v>
      </c>
    </row>
    <row r="5888" spans="6:19" hidden="1" x14ac:dyDescent="0.25">
      <c r="F5888" t="s">
        <v>1289</v>
      </c>
      <c r="G5888" t="s">
        <v>403</v>
      </c>
      <c r="H5888" t="str">
        <f>VLOOKUP(record[[#This Row],[ProcessSN]],表格2_7[],2,FALSE)</f>
        <v>30-4118-018-550</v>
      </c>
      <c r="I5888" t="str">
        <f>VLOOKUP(record[[#This Row],[ProcessSN]],表格2_7[],3,FALSE)</f>
        <v>#100SHIP</v>
      </c>
      <c r="J5888" t="s">
        <v>600</v>
      </c>
      <c r="K5888" s="195">
        <v>46003.599641203706</v>
      </c>
      <c r="L5888">
        <v>71</v>
      </c>
      <c r="M5888">
        <v>0</v>
      </c>
      <c r="N5888" s="98" t="str">
        <f>IF(record[[#This Row],[Memo]]="Browser:chrome os:android","平板報工",IF(record[[#This Row],[Memo]]=0,"委外",record[[#This Row],[Memo]]))</f>
        <v/>
      </c>
      <c r="O5888" t="s">
        <v>58</v>
      </c>
      <c r="P5888" t="s">
        <v>886</v>
      </c>
      <c r="Q5888" t="s">
        <v>58</v>
      </c>
      <c r="R5888" t="str">
        <f>IFERROR(VLOOKUP(record[[#This Row],[PCUSTID]],廠商[],2,FALSE),"")</f>
        <v/>
      </c>
      <c r="S5888" t="str">
        <f>VLOOKUP(record[[#This Row],[employeeID]],員工[],2,FALSE)</f>
        <v>謝蓁薰</v>
      </c>
    </row>
    <row r="5889" spans="6:19" hidden="1" x14ac:dyDescent="0.25">
      <c r="F5889" t="s">
        <v>1278</v>
      </c>
      <c r="G5889" t="s">
        <v>403</v>
      </c>
      <c r="H5889" t="str">
        <f>VLOOKUP(record[[#This Row],[ProcessSN]],表格2_7[],2,FALSE)</f>
        <v>30-4118-018-550</v>
      </c>
      <c r="I5889" t="str">
        <f>VLOOKUP(record[[#This Row],[ProcessSN]],表格2_7[],3,FALSE)</f>
        <v>#100SHIP</v>
      </c>
      <c r="J5889" t="s">
        <v>600</v>
      </c>
      <c r="K5889" s="195">
        <v>46003.599502314813</v>
      </c>
      <c r="L5889">
        <v>164</v>
      </c>
      <c r="M5889">
        <v>0</v>
      </c>
      <c r="N5889" s="98" t="str">
        <f>IF(record[[#This Row],[Memo]]="Browser:chrome os:android","平板報工",IF(record[[#This Row],[Memo]]=0,"委外",record[[#This Row],[Memo]]))</f>
        <v/>
      </c>
      <c r="O5889" t="s">
        <v>58</v>
      </c>
      <c r="P5889" t="s">
        <v>886</v>
      </c>
      <c r="Q5889" t="s">
        <v>58</v>
      </c>
      <c r="R5889" t="str">
        <f>IFERROR(VLOOKUP(record[[#This Row],[PCUSTID]],廠商[],2,FALSE),"")</f>
        <v/>
      </c>
      <c r="S5889" t="str">
        <f>VLOOKUP(record[[#This Row],[employeeID]],員工[],2,FALSE)</f>
        <v>謝蓁薰</v>
      </c>
    </row>
    <row r="5890" spans="6:19" hidden="1" x14ac:dyDescent="0.25">
      <c r="F5890" t="s">
        <v>1261</v>
      </c>
      <c r="G5890" t="s">
        <v>403</v>
      </c>
      <c r="H5890" t="str">
        <f>VLOOKUP(record[[#This Row],[ProcessSN]],表格2_7[],2,FALSE)</f>
        <v>30-4118-018-550</v>
      </c>
      <c r="I5890" t="str">
        <f>VLOOKUP(record[[#This Row],[ProcessSN]],表格2_7[],3,FALSE)</f>
        <v>#100SHIP</v>
      </c>
      <c r="J5890" t="s">
        <v>600</v>
      </c>
      <c r="K5890" s="195">
        <v>46003.599340277775</v>
      </c>
      <c r="L5890">
        <v>196</v>
      </c>
      <c r="M5890">
        <v>0</v>
      </c>
      <c r="N5890" s="98" t="str">
        <f>IF(record[[#This Row],[Memo]]="Browser:chrome os:android","平板報工",IF(record[[#This Row],[Memo]]=0,"委外",record[[#This Row],[Memo]]))</f>
        <v/>
      </c>
      <c r="O5890" t="s">
        <v>58</v>
      </c>
      <c r="P5890" t="s">
        <v>886</v>
      </c>
      <c r="Q5890" t="s">
        <v>58</v>
      </c>
      <c r="R5890" t="str">
        <f>IFERROR(VLOOKUP(record[[#This Row],[PCUSTID]],廠商[],2,FALSE),"")</f>
        <v/>
      </c>
      <c r="S5890" t="str">
        <f>VLOOKUP(record[[#This Row],[employeeID]],員工[],2,FALSE)</f>
        <v>謝蓁薰</v>
      </c>
    </row>
    <row r="5891" spans="6:19" hidden="1" x14ac:dyDescent="0.25">
      <c r="F5891" t="s">
        <v>1262</v>
      </c>
      <c r="G5891" t="s">
        <v>403</v>
      </c>
      <c r="H5891" t="str">
        <f>VLOOKUP(record[[#This Row],[ProcessSN]],表格2_7[],2,FALSE)</f>
        <v>30-4118-018-550</v>
      </c>
      <c r="I5891" t="str">
        <f>VLOOKUP(record[[#This Row],[ProcessSN]],表格2_7[],3,FALSE)</f>
        <v>#100SHIP</v>
      </c>
      <c r="J5891" t="s">
        <v>600</v>
      </c>
      <c r="K5891" s="195">
        <v>46003.59915509259</v>
      </c>
      <c r="L5891">
        <v>448</v>
      </c>
      <c r="M5891">
        <v>0</v>
      </c>
      <c r="N5891" s="98" t="str">
        <f>IF(record[[#This Row],[Memo]]="Browser:chrome os:android","平板報工",IF(record[[#This Row],[Memo]]=0,"委外",record[[#This Row],[Memo]]))</f>
        <v/>
      </c>
      <c r="O5891" t="s">
        <v>58</v>
      </c>
      <c r="P5891" t="s">
        <v>886</v>
      </c>
      <c r="Q5891" t="s">
        <v>58</v>
      </c>
      <c r="R5891" t="str">
        <f>IFERROR(VLOOKUP(record[[#This Row],[PCUSTID]],廠商[],2,FALSE),"")</f>
        <v/>
      </c>
      <c r="S5891" t="str">
        <f>VLOOKUP(record[[#This Row],[employeeID]],員工[],2,FALSE)</f>
        <v>謝蓁薰</v>
      </c>
    </row>
    <row r="5892" spans="6:19" hidden="1" x14ac:dyDescent="0.25">
      <c r="F5892" t="s">
        <v>1255</v>
      </c>
      <c r="G5892" t="s">
        <v>403</v>
      </c>
      <c r="H5892" t="str">
        <f>VLOOKUP(record[[#This Row],[ProcessSN]],表格2_7[],2,FALSE)</f>
        <v>30-4118-018-550</v>
      </c>
      <c r="I5892" t="str">
        <f>VLOOKUP(record[[#This Row],[ProcessSN]],表格2_7[],3,FALSE)</f>
        <v>#100SHIP</v>
      </c>
      <c r="J5892" t="s">
        <v>600</v>
      </c>
      <c r="K5892" s="195">
        <v>46003.599039351851</v>
      </c>
      <c r="L5892">
        <v>307</v>
      </c>
      <c r="M5892">
        <v>0</v>
      </c>
      <c r="N5892" s="98" t="str">
        <f>IF(record[[#This Row],[Memo]]="Browser:chrome os:android","平板報工",IF(record[[#This Row],[Memo]]=0,"委外",record[[#This Row],[Memo]]))</f>
        <v/>
      </c>
      <c r="O5892" t="s">
        <v>58</v>
      </c>
      <c r="P5892" t="s">
        <v>886</v>
      </c>
      <c r="Q5892" t="s">
        <v>58</v>
      </c>
      <c r="R5892" t="str">
        <f>IFERROR(VLOOKUP(record[[#This Row],[PCUSTID]],廠商[],2,FALSE),"")</f>
        <v/>
      </c>
      <c r="S5892" t="str">
        <f>VLOOKUP(record[[#This Row],[employeeID]],員工[],2,FALSE)</f>
        <v>謝蓁薰</v>
      </c>
    </row>
    <row r="5893" spans="6:19" hidden="1" x14ac:dyDescent="0.25">
      <c r="F5893" t="s">
        <v>1250</v>
      </c>
      <c r="G5893" t="s">
        <v>403</v>
      </c>
      <c r="H5893" t="str">
        <f>VLOOKUP(record[[#This Row],[ProcessSN]],表格2_7[],2,FALSE)</f>
        <v>30-4118-018-550</v>
      </c>
      <c r="I5893" t="str">
        <f>VLOOKUP(record[[#This Row],[ProcessSN]],表格2_7[],3,FALSE)</f>
        <v>#100SHIP</v>
      </c>
      <c r="J5893" t="s">
        <v>600</v>
      </c>
      <c r="K5893" s="195">
        <v>46003.598912037036</v>
      </c>
      <c r="L5893">
        <v>97</v>
      </c>
      <c r="M5893">
        <v>0</v>
      </c>
      <c r="N5893" s="98" t="str">
        <f>IF(record[[#This Row],[Memo]]="Browser:chrome os:android","平板報工",IF(record[[#This Row],[Memo]]=0,"委外",record[[#This Row],[Memo]]))</f>
        <v/>
      </c>
      <c r="O5893" t="s">
        <v>58</v>
      </c>
      <c r="P5893" t="s">
        <v>886</v>
      </c>
      <c r="Q5893" t="s">
        <v>58</v>
      </c>
      <c r="R5893" t="str">
        <f>IFERROR(VLOOKUP(record[[#This Row],[PCUSTID]],廠商[],2,FALSE),"")</f>
        <v/>
      </c>
      <c r="S5893" t="str">
        <f>VLOOKUP(record[[#This Row],[employeeID]],員工[],2,FALSE)</f>
        <v>謝蓁薰</v>
      </c>
    </row>
    <row r="5894" spans="6:19" hidden="1" x14ac:dyDescent="0.25">
      <c r="F5894" t="s">
        <v>1286</v>
      </c>
      <c r="G5894" t="s">
        <v>362</v>
      </c>
      <c r="H5894" t="str">
        <f>VLOOKUP(record[[#This Row],[ProcessSN]],表格2_7[],2,FALSE)</f>
        <v>30-4118-018-450</v>
      </c>
      <c r="I5894" t="str">
        <f>VLOOKUP(record[[#This Row],[ProcessSN]],表格2_7[],3,FALSE)</f>
        <v>#100SHIP</v>
      </c>
      <c r="J5894" t="s">
        <v>600</v>
      </c>
      <c r="K5894" s="195">
        <v>46003.598749999997</v>
      </c>
      <c r="L5894">
        <v>100</v>
      </c>
      <c r="M5894">
        <v>0</v>
      </c>
      <c r="N5894" s="98" t="str">
        <f>IF(record[[#This Row],[Memo]]="Browser:chrome os:android","平板報工",IF(record[[#This Row],[Memo]]=0,"委外",record[[#This Row],[Memo]]))</f>
        <v/>
      </c>
      <c r="O5894" t="s">
        <v>58</v>
      </c>
      <c r="P5894" t="s">
        <v>886</v>
      </c>
      <c r="Q5894" t="s">
        <v>58</v>
      </c>
      <c r="R5894" t="str">
        <f>IFERROR(VLOOKUP(record[[#This Row],[PCUSTID]],廠商[],2,FALSE),"")</f>
        <v/>
      </c>
      <c r="S5894" t="str">
        <f>VLOOKUP(record[[#This Row],[employeeID]],員工[],2,FALSE)</f>
        <v>謝蓁薰</v>
      </c>
    </row>
    <row r="5895" spans="6:19" hidden="1" x14ac:dyDescent="0.25">
      <c r="F5895" t="s">
        <v>1277</v>
      </c>
      <c r="G5895" t="s">
        <v>359</v>
      </c>
      <c r="H5895" t="str">
        <f>VLOOKUP(record[[#This Row],[ProcessSN]],表格2_7[],2,FALSE)</f>
        <v>30-4118-018-450</v>
      </c>
      <c r="I5895" t="str">
        <f>VLOOKUP(record[[#This Row],[ProcessSN]],表格2_7[],3,FALSE)</f>
        <v>#100</v>
      </c>
      <c r="J5895" t="s">
        <v>598</v>
      </c>
      <c r="K5895" s="195">
        <v>46003.495462962965</v>
      </c>
      <c r="L5895">
        <v>70</v>
      </c>
      <c r="M5895">
        <v>0</v>
      </c>
      <c r="N5895" s="98" t="str">
        <f>IF(record[[#This Row],[Memo]]="Browser:chrome os:android","平板報工",IF(record[[#This Row],[Memo]]=0,"委外",record[[#This Row],[Memo]]))</f>
        <v>覆回</v>
      </c>
      <c r="O5895" t="s">
        <v>682</v>
      </c>
      <c r="P5895" t="s">
        <v>141</v>
      </c>
      <c r="Q5895" t="s">
        <v>58</v>
      </c>
      <c r="R5895" t="str">
        <f>IFERROR(VLOOKUP(record[[#This Row],[PCUSTID]],廠商[],2,FALSE),"")</f>
        <v/>
      </c>
      <c r="S5895" t="str">
        <f>VLOOKUP(record[[#This Row],[employeeID]],員工[],2,FALSE)</f>
        <v>蔣梅</v>
      </c>
    </row>
    <row r="5896" spans="6:19" hidden="1" x14ac:dyDescent="0.25">
      <c r="F5896" t="s">
        <v>1315</v>
      </c>
      <c r="G5896" t="s">
        <v>357</v>
      </c>
      <c r="H5896" t="str">
        <f>VLOOKUP(record[[#This Row],[ProcessSN]],表格2_7[],2,FALSE)</f>
        <v>30-4118-018-450</v>
      </c>
      <c r="I5896" t="str">
        <f>VLOOKUP(record[[#This Row],[ProcessSN]],表格2_7[],3,FALSE)</f>
        <v>#08RCV</v>
      </c>
      <c r="J5896" t="s">
        <v>591</v>
      </c>
      <c r="K5896" s="195">
        <v>46003.485127314816</v>
      </c>
      <c r="L5896">
        <v>325</v>
      </c>
      <c r="M5896">
        <v>0</v>
      </c>
      <c r="N5896" s="98" t="str">
        <f>IF(record[[#This Row],[Memo]]="Browser:chrome os:android","平板報工",IF(record[[#This Row],[Memo]]=0,"委外",record[[#This Row],[Memo]]))</f>
        <v/>
      </c>
      <c r="O5896" t="s">
        <v>58</v>
      </c>
      <c r="P5896" t="s">
        <v>186</v>
      </c>
      <c r="Q5896" t="s">
        <v>58</v>
      </c>
      <c r="R5896" t="str">
        <f>IFERROR(VLOOKUP(record[[#This Row],[PCUSTID]],廠商[],2,FALSE),"")</f>
        <v/>
      </c>
      <c r="S5896" t="str">
        <f>VLOOKUP(record[[#This Row],[employeeID]],員工[],2,FALSE)</f>
        <v>許文姍</v>
      </c>
    </row>
    <row r="5897" spans="6:19" hidden="1" x14ac:dyDescent="0.25">
      <c r="F5897" t="s">
        <v>1317</v>
      </c>
      <c r="G5897" t="s">
        <v>398</v>
      </c>
      <c r="H5897" t="str">
        <f>VLOOKUP(record[[#This Row],[ProcessSN]],表格2_7[],2,FALSE)</f>
        <v>30-4118-018-550</v>
      </c>
      <c r="I5897" t="str">
        <f>VLOOKUP(record[[#This Row],[ProcessSN]],表格2_7[],3,FALSE)</f>
        <v>#08RCV</v>
      </c>
      <c r="J5897" t="s">
        <v>591</v>
      </c>
      <c r="K5897" s="195">
        <v>46003.484976851854</v>
      </c>
      <c r="L5897">
        <v>0</v>
      </c>
      <c r="M5897">
        <v>6</v>
      </c>
      <c r="N5897" s="98" t="str">
        <f>IF(record[[#This Row],[Memo]]="Browser:chrome os:android","平板報工",IF(record[[#This Row],[Memo]]=0,"委外",record[[#This Row],[Memo]]))</f>
        <v/>
      </c>
      <c r="O5897" t="s">
        <v>58</v>
      </c>
      <c r="P5897" t="s">
        <v>186</v>
      </c>
      <c r="Q5897" t="s">
        <v>58</v>
      </c>
      <c r="R5897" t="str">
        <f>IFERROR(VLOOKUP(record[[#This Row],[PCUSTID]],廠商[],2,FALSE),"")</f>
        <v/>
      </c>
      <c r="S5897" t="str">
        <f>VLOOKUP(record[[#This Row],[employeeID]],員工[],2,FALSE)</f>
        <v>許文姍</v>
      </c>
    </row>
    <row r="5898" spans="6:19" hidden="1" x14ac:dyDescent="0.25">
      <c r="F5898" t="s">
        <v>1317</v>
      </c>
      <c r="G5898" t="s">
        <v>398</v>
      </c>
      <c r="H5898" t="str">
        <f>VLOOKUP(record[[#This Row],[ProcessSN]],表格2_7[],2,FALSE)</f>
        <v>30-4118-018-550</v>
      </c>
      <c r="I5898" t="str">
        <f>VLOOKUP(record[[#This Row],[ProcessSN]],表格2_7[],3,FALSE)</f>
        <v>#08RCV</v>
      </c>
      <c r="J5898" t="s">
        <v>591</v>
      </c>
      <c r="K5898" s="195">
        <v>46003.484803240739</v>
      </c>
      <c r="L5898">
        <v>139</v>
      </c>
      <c r="M5898">
        <v>0</v>
      </c>
      <c r="N5898" s="98" t="str">
        <f>IF(record[[#This Row],[Memo]]="Browser:chrome os:android","平板報工",IF(record[[#This Row],[Memo]]=0,"委外",record[[#This Row],[Memo]]))</f>
        <v/>
      </c>
      <c r="O5898" t="s">
        <v>58</v>
      </c>
      <c r="P5898" t="s">
        <v>186</v>
      </c>
      <c r="Q5898" t="s">
        <v>58</v>
      </c>
      <c r="R5898" t="str">
        <f>IFERROR(VLOOKUP(record[[#This Row],[PCUSTID]],廠商[],2,FALSE),"")</f>
        <v/>
      </c>
      <c r="S5898" t="str">
        <f>VLOOKUP(record[[#This Row],[employeeID]],員工[],2,FALSE)</f>
        <v>許文姍</v>
      </c>
    </row>
    <row r="5899" spans="6:19" hidden="1" x14ac:dyDescent="0.25">
      <c r="F5899" t="s">
        <v>1285</v>
      </c>
      <c r="G5899" t="s">
        <v>471</v>
      </c>
      <c r="H5899" t="str">
        <f>VLOOKUP(record[[#This Row],[ProcessSN]],表格2_7[],2,FALSE)</f>
        <v>30-4118-018-XXX</v>
      </c>
      <c r="I5899" t="str">
        <f>VLOOKUP(record[[#This Row],[ProcessSN]],表格2_7[],3,FALSE)</f>
        <v>#02STOCK</v>
      </c>
      <c r="J5899" t="s">
        <v>592</v>
      </c>
      <c r="K5899" s="195">
        <v>46003.389525462961</v>
      </c>
      <c r="L5899">
        <v>336</v>
      </c>
      <c r="M5899">
        <v>0</v>
      </c>
      <c r="N5899" s="98" t="str">
        <f>IF(record[[#This Row],[Memo]]="Browser:chrome os:android","平板報工",IF(record[[#This Row],[Memo]]=0,"委外",record[[#This Row],[Memo]]))</f>
        <v/>
      </c>
      <c r="O5899" t="s">
        <v>58</v>
      </c>
      <c r="P5899" t="s">
        <v>186</v>
      </c>
      <c r="Q5899" t="s">
        <v>58</v>
      </c>
      <c r="R5899" t="str">
        <f>IFERROR(VLOOKUP(record[[#This Row],[PCUSTID]],廠商[],2,FALSE),"")</f>
        <v/>
      </c>
      <c r="S5899" t="str">
        <f>VLOOKUP(record[[#This Row],[employeeID]],員工[],2,FALSE)</f>
        <v>許文姍</v>
      </c>
    </row>
    <row r="5900" spans="6:19" hidden="1" x14ac:dyDescent="0.25">
      <c r="F5900" t="s">
        <v>1327</v>
      </c>
      <c r="G5900" t="s">
        <v>446</v>
      </c>
      <c r="H5900" t="str">
        <f>VLOOKUP(record[[#This Row],[ProcessSN]],表格2_7[],2,FALSE)</f>
        <v>30-4118-018-6XX</v>
      </c>
      <c r="I5900" t="str">
        <f>VLOOKUP(record[[#This Row],[ProcessSN]],表格2_7[],3,FALSE)</f>
        <v>#03GIVE</v>
      </c>
      <c r="J5900" t="s">
        <v>587</v>
      </c>
      <c r="K5900" s="195">
        <v>46003.388784722221</v>
      </c>
      <c r="L5900">
        <v>336</v>
      </c>
      <c r="M5900">
        <v>0</v>
      </c>
      <c r="N5900" s="98" t="str">
        <f>IF(record[[#This Row],[Memo]]="Browser:chrome os:android","平板報工",IF(record[[#This Row],[Memo]]=0,"委外",record[[#This Row],[Memo]]))</f>
        <v/>
      </c>
      <c r="O5900" t="s">
        <v>58</v>
      </c>
      <c r="P5900" t="s">
        <v>1070</v>
      </c>
      <c r="Q5900" t="s">
        <v>58</v>
      </c>
      <c r="R5900" t="str">
        <f>IFERROR(VLOOKUP(record[[#This Row],[PCUSTID]],廠商[],2,FALSE),"")</f>
        <v/>
      </c>
      <c r="S5900" t="str">
        <f>VLOOKUP(record[[#This Row],[employeeID]],員工[],2,FALSE)</f>
        <v>陳昱佑</v>
      </c>
    </row>
    <row r="5901" spans="6:19" hidden="1" x14ac:dyDescent="0.25">
      <c r="F5901" t="s">
        <v>1327</v>
      </c>
      <c r="G5901" t="s">
        <v>445</v>
      </c>
      <c r="H5901" t="str">
        <f>VLOOKUP(record[[#This Row],[ProcessSN]],表格2_7[],2,FALSE)</f>
        <v>30-4118-018-6XX</v>
      </c>
      <c r="I5901" t="str">
        <f>VLOOKUP(record[[#This Row],[ProcessSN]],表格2_7[],3,FALSE)</f>
        <v>#03PICK</v>
      </c>
      <c r="J5901" t="s">
        <v>582</v>
      </c>
      <c r="K5901" s="195">
        <v>46003.388657407406</v>
      </c>
      <c r="L5901">
        <v>336</v>
      </c>
      <c r="M5901">
        <v>0</v>
      </c>
      <c r="N5901" s="98" t="str">
        <f>IF(record[[#This Row],[Memo]]="Browser:chrome os:android","平板報工",IF(record[[#This Row],[Memo]]=0,"委外",record[[#This Row],[Memo]]))</f>
        <v/>
      </c>
      <c r="O5901" t="s">
        <v>58</v>
      </c>
      <c r="P5901" t="s">
        <v>1070</v>
      </c>
      <c r="Q5901" t="s">
        <v>58</v>
      </c>
      <c r="R5901" t="str">
        <f>IFERROR(VLOOKUP(record[[#This Row],[PCUSTID]],廠商[],2,FALSE),"")</f>
        <v/>
      </c>
      <c r="S5901" t="str">
        <f>VLOOKUP(record[[#This Row],[employeeID]],員工[],2,FALSE)</f>
        <v>陳昱佑</v>
      </c>
    </row>
    <row r="5902" spans="6:19" hidden="1" x14ac:dyDescent="0.25">
      <c r="F5902" t="s">
        <v>1285</v>
      </c>
      <c r="G5902" t="s">
        <v>470</v>
      </c>
      <c r="H5902" t="str">
        <f>VLOOKUP(record[[#This Row],[ProcessSN]],表格2_7[],2,FALSE)</f>
        <v>30-4118-018-XXX</v>
      </c>
      <c r="I5902" t="str">
        <f>VLOOKUP(record[[#This Row],[ProcessSN]],表格2_7[],3,FALSE)</f>
        <v>#02IQC</v>
      </c>
      <c r="J5902" t="s">
        <v>583</v>
      </c>
      <c r="K5902" s="195">
        <v>46003.388356481482</v>
      </c>
      <c r="L5902">
        <v>336</v>
      </c>
      <c r="M5902">
        <v>0</v>
      </c>
      <c r="N5902" s="98" t="str">
        <f>IF(record[[#This Row],[Memo]]="Browser:chrome os:android","平板報工",IF(record[[#This Row],[Memo]]=0,"委外",record[[#This Row],[Memo]]))</f>
        <v/>
      </c>
      <c r="O5902" t="s">
        <v>58</v>
      </c>
      <c r="P5902" t="s">
        <v>109</v>
      </c>
      <c r="Q5902" t="s">
        <v>58</v>
      </c>
      <c r="R5902" t="str">
        <f>IFERROR(VLOOKUP(record[[#This Row],[PCUSTID]],廠商[],2,FALSE),"")</f>
        <v/>
      </c>
      <c r="S5902" t="str">
        <f>VLOOKUP(record[[#This Row],[employeeID]],員工[],2,FALSE)</f>
        <v>裴氏璧鳳</v>
      </c>
    </row>
    <row r="5903" spans="6:19" hidden="1" x14ac:dyDescent="0.25">
      <c r="F5903" t="s">
        <v>1285</v>
      </c>
      <c r="G5903" t="s">
        <v>469</v>
      </c>
      <c r="H5903" t="str">
        <f>VLOOKUP(record[[#This Row],[ProcessSN]],表格2_7[],2,FALSE)</f>
        <v>30-4118-018-XXX</v>
      </c>
      <c r="I5903" t="str">
        <f>VLOOKUP(record[[#This Row],[ProcessSN]],表格2_7[],3,FALSE)</f>
        <v>#02RCV</v>
      </c>
      <c r="J5903" t="s">
        <v>591</v>
      </c>
      <c r="K5903" s="195">
        <v>46003.377708333333</v>
      </c>
      <c r="L5903">
        <v>336</v>
      </c>
      <c r="M5903">
        <v>0</v>
      </c>
      <c r="N5903" s="98" t="str">
        <f>IF(record[[#This Row],[Memo]]="Browser:chrome os:android","平板報工",IF(record[[#This Row],[Memo]]=0,"委外",record[[#This Row],[Memo]]))</f>
        <v/>
      </c>
      <c r="O5903" t="s">
        <v>58</v>
      </c>
      <c r="P5903" t="s">
        <v>186</v>
      </c>
      <c r="Q5903" t="s">
        <v>58</v>
      </c>
      <c r="R5903" t="str">
        <f>IFERROR(VLOOKUP(record[[#This Row],[PCUSTID]],廠商[],2,FALSE),"")</f>
        <v/>
      </c>
      <c r="S5903" t="str">
        <f>VLOOKUP(record[[#This Row],[employeeID]],員工[],2,FALSE)</f>
        <v>許文姍</v>
      </c>
    </row>
    <row r="5904" spans="6:19" hidden="1" x14ac:dyDescent="0.25">
      <c r="F5904" t="s">
        <v>1286</v>
      </c>
      <c r="G5904" t="s">
        <v>361</v>
      </c>
      <c r="H5904" t="str">
        <f>VLOOKUP(record[[#This Row],[ProcessSN]],表格2_7[],2,FALSE)</f>
        <v>30-4118-018-450</v>
      </c>
      <c r="I5904" t="str">
        <f>VLOOKUP(record[[#This Row],[ProcessSN]],表格2_7[],3,FALSE)</f>
        <v>#100STOCK</v>
      </c>
      <c r="J5904" t="s">
        <v>592</v>
      </c>
      <c r="K5904" s="195">
        <v>46003.364421296297</v>
      </c>
      <c r="L5904">
        <v>131</v>
      </c>
      <c r="M5904">
        <v>0</v>
      </c>
      <c r="N5904" s="98" t="str">
        <f>IF(record[[#This Row],[Memo]]="Browser:chrome os:android","平板報工",IF(record[[#This Row],[Memo]]=0,"委外",record[[#This Row],[Memo]]))</f>
        <v/>
      </c>
      <c r="O5904" t="s">
        <v>58</v>
      </c>
      <c r="P5904" t="s">
        <v>886</v>
      </c>
      <c r="Q5904" t="s">
        <v>58</v>
      </c>
      <c r="R5904" t="str">
        <f>IFERROR(VLOOKUP(record[[#This Row],[PCUSTID]],廠商[],2,FALSE),"")</f>
        <v/>
      </c>
      <c r="S5904" t="str">
        <f>VLOOKUP(record[[#This Row],[employeeID]],員工[],2,FALSE)</f>
        <v>謝蓁薰</v>
      </c>
    </row>
    <row r="5905" spans="6:19" hidden="1" x14ac:dyDescent="0.25">
      <c r="F5905" t="s">
        <v>1285</v>
      </c>
      <c r="G5905" t="s">
        <v>468</v>
      </c>
      <c r="H5905" t="str">
        <f>VLOOKUP(record[[#This Row],[ProcessSN]],表格2_7[],2,FALSE)</f>
        <v>30-4118-018-XXX</v>
      </c>
      <c r="I5905" t="str">
        <f>VLOOKUP(record[[#This Row],[ProcessSN]],表格2_7[],3,FALSE)</f>
        <v>#02</v>
      </c>
      <c r="J5905" t="s">
        <v>590</v>
      </c>
      <c r="K5905" s="195">
        <v>46003.36277777778</v>
      </c>
      <c r="L5905">
        <v>1512</v>
      </c>
      <c r="M5905">
        <v>0</v>
      </c>
      <c r="N5905" s="98" t="str">
        <f>IF(record[[#This Row],[Memo]]="Browser:chrome os:android","平板報工",IF(record[[#This Row],[Memo]]=0,"委外",record[[#This Row],[Memo]]))</f>
        <v>委外</v>
      </c>
      <c r="P5905" t="s">
        <v>186</v>
      </c>
      <c r="Q5905" t="s">
        <v>216</v>
      </c>
      <c r="R5905" t="str">
        <f>IFERROR(VLOOKUP(record[[#This Row],[PCUSTID]],廠商[],2,FALSE),"")</f>
        <v>俊杰</v>
      </c>
      <c r="S5905" t="str">
        <f>VLOOKUP(record[[#This Row],[employeeID]],員工[],2,FALSE)</f>
        <v>許文姍</v>
      </c>
    </row>
    <row r="5906" spans="6:19" hidden="1" x14ac:dyDescent="0.25">
      <c r="F5906" t="s">
        <v>1289</v>
      </c>
      <c r="G5906" t="s">
        <v>402</v>
      </c>
      <c r="H5906" t="str">
        <f>VLOOKUP(record[[#This Row],[ProcessSN]],表格2_7[],2,FALSE)</f>
        <v>30-4118-018-550</v>
      </c>
      <c r="I5906" t="str">
        <f>VLOOKUP(record[[#This Row],[ProcessSN]],表格2_7[],3,FALSE)</f>
        <v>#100STOCK</v>
      </c>
      <c r="J5906" t="s">
        <v>592</v>
      </c>
      <c r="K5906" s="195">
        <v>46003.356608796297</v>
      </c>
      <c r="L5906">
        <v>71</v>
      </c>
      <c r="M5906">
        <v>0</v>
      </c>
      <c r="N5906" s="98" t="str">
        <f>IF(record[[#This Row],[Memo]]="Browser:chrome os:android","平板報工",IF(record[[#This Row],[Memo]]=0,"委外",record[[#This Row],[Memo]]))</f>
        <v/>
      </c>
      <c r="O5906" t="s">
        <v>58</v>
      </c>
      <c r="P5906" t="s">
        <v>886</v>
      </c>
      <c r="Q5906" t="s">
        <v>58</v>
      </c>
      <c r="R5906" t="str">
        <f>IFERROR(VLOOKUP(record[[#This Row],[PCUSTID]],廠商[],2,FALSE),"")</f>
        <v/>
      </c>
      <c r="S5906" t="str">
        <f>VLOOKUP(record[[#This Row],[employeeID]],員工[],2,FALSE)</f>
        <v>謝蓁薰</v>
      </c>
    </row>
    <row r="5907" spans="6:19" hidden="1" x14ac:dyDescent="0.25">
      <c r="F5907" t="s">
        <v>1278</v>
      </c>
      <c r="G5907" t="s">
        <v>402</v>
      </c>
      <c r="H5907" t="str">
        <f>VLOOKUP(record[[#This Row],[ProcessSN]],表格2_7[],2,FALSE)</f>
        <v>30-4118-018-550</v>
      </c>
      <c r="I5907" t="str">
        <f>VLOOKUP(record[[#This Row],[ProcessSN]],表格2_7[],3,FALSE)</f>
        <v>#100STOCK</v>
      </c>
      <c r="J5907" t="s">
        <v>592</v>
      </c>
      <c r="K5907" s="195">
        <v>46003.355509259258</v>
      </c>
      <c r="L5907">
        <v>164</v>
      </c>
      <c r="M5907">
        <v>0</v>
      </c>
      <c r="N5907" s="98" t="str">
        <f>IF(record[[#This Row],[Memo]]="Browser:chrome os:android","平板報工",IF(record[[#This Row],[Memo]]=0,"委外",record[[#This Row],[Memo]]))</f>
        <v/>
      </c>
      <c r="O5907" t="s">
        <v>58</v>
      </c>
      <c r="P5907" t="s">
        <v>886</v>
      </c>
      <c r="Q5907" t="s">
        <v>58</v>
      </c>
      <c r="R5907" t="str">
        <f>IFERROR(VLOOKUP(record[[#This Row],[PCUSTID]],廠商[],2,FALSE),"")</f>
        <v/>
      </c>
      <c r="S5907" t="str">
        <f>VLOOKUP(record[[#This Row],[employeeID]],員工[],2,FALSE)</f>
        <v>謝蓁薰</v>
      </c>
    </row>
    <row r="5908" spans="6:19" hidden="1" x14ac:dyDescent="0.25">
      <c r="F5908" t="s">
        <v>1261</v>
      </c>
      <c r="G5908" t="s">
        <v>402</v>
      </c>
      <c r="H5908" t="str">
        <f>VLOOKUP(record[[#This Row],[ProcessSN]],表格2_7[],2,FALSE)</f>
        <v>30-4118-018-550</v>
      </c>
      <c r="I5908" t="str">
        <f>VLOOKUP(record[[#This Row],[ProcessSN]],表格2_7[],3,FALSE)</f>
        <v>#100STOCK</v>
      </c>
      <c r="J5908" t="s">
        <v>592</v>
      </c>
      <c r="K5908" s="195">
        <v>46003.353888888887</v>
      </c>
      <c r="L5908">
        <v>196</v>
      </c>
      <c r="M5908">
        <v>0</v>
      </c>
      <c r="N5908" s="98" t="str">
        <f>IF(record[[#This Row],[Memo]]="Browser:chrome os:android","平板報工",IF(record[[#This Row],[Memo]]=0,"委外",record[[#This Row],[Memo]]))</f>
        <v/>
      </c>
      <c r="O5908" t="s">
        <v>58</v>
      </c>
      <c r="P5908" t="s">
        <v>886</v>
      </c>
      <c r="Q5908" t="s">
        <v>58</v>
      </c>
      <c r="R5908" t="str">
        <f>IFERROR(VLOOKUP(record[[#This Row],[PCUSTID]],廠商[],2,FALSE),"")</f>
        <v/>
      </c>
      <c r="S5908" t="str">
        <f>VLOOKUP(record[[#This Row],[employeeID]],員工[],2,FALSE)</f>
        <v>謝蓁薰</v>
      </c>
    </row>
    <row r="5909" spans="6:19" hidden="1" x14ac:dyDescent="0.25">
      <c r="F5909" t="s">
        <v>1262</v>
      </c>
      <c r="G5909" t="s">
        <v>402</v>
      </c>
      <c r="H5909" t="str">
        <f>VLOOKUP(record[[#This Row],[ProcessSN]],表格2_7[],2,FALSE)</f>
        <v>30-4118-018-550</v>
      </c>
      <c r="I5909" t="str">
        <f>VLOOKUP(record[[#This Row],[ProcessSN]],表格2_7[],3,FALSE)</f>
        <v>#100STOCK</v>
      </c>
      <c r="J5909" t="s">
        <v>592</v>
      </c>
      <c r="K5909" s="195">
        <v>46003.353472222225</v>
      </c>
      <c r="L5909">
        <v>448</v>
      </c>
      <c r="M5909">
        <v>0</v>
      </c>
      <c r="N5909" s="98" t="str">
        <f>IF(record[[#This Row],[Memo]]="Browser:chrome os:android","平板報工",IF(record[[#This Row],[Memo]]=0,"委外",record[[#This Row],[Memo]]))</f>
        <v/>
      </c>
      <c r="O5909" t="s">
        <v>58</v>
      </c>
      <c r="P5909" t="s">
        <v>886</v>
      </c>
      <c r="Q5909" t="s">
        <v>58</v>
      </c>
      <c r="R5909" t="str">
        <f>IFERROR(VLOOKUP(record[[#This Row],[PCUSTID]],廠商[],2,FALSE),"")</f>
        <v/>
      </c>
      <c r="S5909" t="str">
        <f>VLOOKUP(record[[#This Row],[employeeID]],員工[],2,FALSE)</f>
        <v>謝蓁薰</v>
      </c>
    </row>
    <row r="5910" spans="6:19" hidden="1" x14ac:dyDescent="0.25">
      <c r="F5910" t="s">
        <v>1255</v>
      </c>
      <c r="G5910" t="s">
        <v>402</v>
      </c>
      <c r="H5910" t="str">
        <f>VLOOKUP(record[[#This Row],[ProcessSN]],表格2_7[],2,FALSE)</f>
        <v>30-4118-018-550</v>
      </c>
      <c r="I5910" t="str">
        <f>VLOOKUP(record[[#This Row],[ProcessSN]],表格2_7[],3,FALSE)</f>
        <v>#100STOCK</v>
      </c>
      <c r="J5910" t="s">
        <v>592</v>
      </c>
      <c r="K5910" s="195">
        <v>46003.352037037039</v>
      </c>
      <c r="L5910">
        <v>307</v>
      </c>
      <c r="M5910">
        <v>0</v>
      </c>
      <c r="N5910" s="98" t="str">
        <f>IF(record[[#This Row],[Memo]]="Browser:chrome os:android","平板報工",IF(record[[#This Row],[Memo]]=0,"委外",record[[#This Row],[Memo]]))</f>
        <v/>
      </c>
      <c r="O5910" t="s">
        <v>58</v>
      </c>
      <c r="P5910" t="s">
        <v>886</v>
      </c>
      <c r="Q5910" t="s">
        <v>58</v>
      </c>
      <c r="R5910" t="str">
        <f>IFERROR(VLOOKUP(record[[#This Row],[PCUSTID]],廠商[],2,FALSE),"")</f>
        <v/>
      </c>
      <c r="S5910" t="str">
        <f>VLOOKUP(record[[#This Row],[employeeID]],員工[],2,FALSE)</f>
        <v>謝蓁薰</v>
      </c>
    </row>
    <row r="5911" spans="6:19" hidden="1" x14ac:dyDescent="0.25">
      <c r="F5911" t="s">
        <v>1250</v>
      </c>
      <c r="G5911" t="s">
        <v>402</v>
      </c>
      <c r="H5911" t="str">
        <f>VLOOKUP(record[[#This Row],[ProcessSN]],表格2_7[],2,FALSE)</f>
        <v>30-4118-018-550</v>
      </c>
      <c r="I5911" t="str">
        <f>VLOOKUP(record[[#This Row],[ProcessSN]],表格2_7[],3,FALSE)</f>
        <v>#100STOCK</v>
      </c>
      <c r="J5911" t="s">
        <v>592</v>
      </c>
      <c r="K5911" s="195">
        <v>46003.351099537038</v>
      </c>
      <c r="L5911">
        <v>97</v>
      </c>
      <c r="M5911">
        <v>0</v>
      </c>
      <c r="N5911" s="98" t="str">
        <f>IF(record[[#This Row],[Memo]]="Browser:chrome os:android","平板報工",IF(record[[#This Row],[Memo]]=0,"委外",record[[#This Row],[Memo]]))</f>
        <v/>
      </c>
      <c r="O5911" t="s">
        <v>58</v>
      </c>
      <c r="P5911" t="s">
        <v>886</v>
      </c>
      <c r="Q5911" t="s">
        <v>58</v>
      </c>
      <c r="R5911" t="str">
        <f>IFERROR(VLOOKUP(record[[#This Row],[PCUSTID]],廠商[],2,FALSE),"")</f>
        <v/>
      </c>
      <c r="S5911" t="str">
        <f>VLOOKUP(record[[#This Row],[employeeID]],員工[],2,FALSE)</f>
        <v>謝蓁薰</v>
      </c>
    </row>
    <row r="5912" spans="6:19" hidden="1" x14ac:dyDescent="0.25">
      <c r="F5912" t="s">
        <v>1290</v>
      </c>
      <c r="G5912" t="s">
        <v>417</v>
      </c>
      <c r="H5912" t="str">
        <f>VLOOKUP(record[[#This Row],[ProcessSN]],表格2_7[],2,FALSE)</f>
        <v>30-4118-018-5XX</v>
      </c>
      <c r="I5912" t="str">
        <f>VLOOKUP(record[[#This Row],[ProcessSN]],表格2_7[],3,FALSE)</f>
        <v>#06</v>
      </c>
      <c r="J5912" t="s">
        <v>593</v>
      </c>
      <c r="K5912" s="195">
        <v>46003.311851851853</v>
      </c>
      <c r="L5912">
        <v>148</v>
      </c>
      <c r="M5912">
        <v>0</v>
      </c>
      <c r="N5912" s="98" t="str">
        <f>IF(record[[#This Row],[Memo]]="Browser:chrome os:android","平板報工",IF(record[[#This Row],[Memo]]=0,"委外",record[[#This Row],[Memo]]))</f>
        <v/>
      </c>
      <c r="O5912" t="s">
        <v>58</v>
      </c>
      <c r="P5912" t="s">
        <v>180</v>
      </c>
      <c r="Q5912" t="s">
        <v>58</v>
      </c>
      <c r="R5912" t="str">
        <f>IFERROR(VLOOKUP(record[[#This Row],[PCUSTID]],廠商[],2,FALSE),"")</f>
        <v/>
      </c>
      <c r="S5912" t="str">
        <f>VLOOKUP(record[[#This Row],[employeeID]],員工[],2,FALSE)</f>
        <v>黎功江</v>
      </c>
    </row>
    <row r="5913" spans="6:19" hidden="1" x14ac:dyDescent="0.25">
      <c r="F5913" t="s">
        <v>1290</v>
      </c>
      <c r="G5913" t="s">
        <v>416</v>
      </c>
      <c r="H5913" t="str">
        <f>VLOOKUP(record[[#This Row],[ProcessSN]],表格2_7[],2,FALSE)</f>
        <v>30-4118-018-5XX</v>
      </c>
      <c r="I5913" t="str">
        <f>VLOOKUP(record[[#This Row],[ProcessSN]],表格2_7[],3,FALSE)</f>
        <v>#05</v>
      </c>
      <c r="J5913" t="s">
        <v>588</v>
      </c>
      <c r="K5913" s="195">
        <v>46003.310254629629</v>
      </c>
      <c r="L5913">
        <v>128</v>
      </c>
      <c r="M5913">
        <v>0</v>
      </c>
      <c r="N5913" s="98" t="str">
        <f>IF(record[[#This Row],[Memo]]="Browser:chrome os:android","平板報工",IF(record[[#This Row],[Memo]]=0,"委外",record[[#This Row],[Memo]]))</f>
        <v/>
      </c>
      <c r="O5913" t="s">
        <v>58</v>
      </c>
      <c r="P5913" t="s">
        <v>135</v>
      </c>
      <c r="Q5913" t="s">
        <v>58</v>
      </c>
      <c r="R5913" t="str">
        <f>IFERROR(VLOOKUP(record[[#This Row],[PCUSTID]],廠商[],2,FALSE),"")</f>
        <v/>
      </c>
      <c r="S5913" t="str">
        <f>VLOOKUP(record[[#This Row],[employeeID]],員工[],2,FALSE)</f>
        <v>阮士文</v>
      </c>
    </row>
    <row r="5914" spans="6:19" hidden="1" x14ac:dyDescent="0.25">
      <c r="F5914" t="s">
        <v>1290</v>
      </c>
      <c r="G5914" t="s">
        <v>415</v>
      </c>
      <c r="H5914" t="str">
        <f>VLOOKUP(record[[#This Row],[ProcessSN]],表格2_7[],2,FALSE)</f>
        <v>30-4118-018-5XX</v>
      </c>
      <c r="I5914" t="str">
        <f>VLOOKUP(record[[#This Row],[ProcessSN]],表格2_7[],3,FALSE)</f>
        <v>#04</v>
      </c>
      <c r="J5914" t="s">
        <v>588</v>
      </c>
      <c r="K5914" s="195">
        <v>46003.310057870367</v>
      </c>
      <c r="L5914">
        <v>138</v>
      </c>
      <c r="M5914">
        <v>1</v>
      </c>
      <c r="N5914" s="98" t="str">
        <f>IF(record[[#This Row],[Memo]]="Browser:chrome os:android","平板報工",IF(record[[#This Row],[Memo]]=0,"委外",record[[#This Row],[Memo]]))</f>
        <v/>
      </c>
      <c r="O5914" t="s">
        <v>58</v>
      </c>
      <c r="P5914" t="s">
        <v>135</v>
      </c>
      <c r="Q5914" t="s">
        <v>58</v>
      </c>
      <c r="R5914" t="str">
        <f>IFERROR(VLOOKUP(record[[#This Row],[PCUSTID]],廠商[],2,FALSE),"")</f>
        <v/>
      </c>
      <c r="S5914" t="str">
        <f>VLOOKUP(record[[#This Row],[employeeID]],員工[],2,FALSE)</f>
        <v>阮士文</v>
      </c>
    </row>
    <row r="5915" spans="6:19" hidden="1" x14ac:dyDescent="0.25">
      <c r="F5915" t="s">
        <v>1290</v>
      </c>
      <c r="G5915" t="s">
        <v>416</v>
      </c>
      <c r="H5915" t="str">
        <f>VLOOKUP(record[[#This Row],[ProcessSN]],表格2_7[],2,FALSE)</f>
        <v>30-4118-018-5XX</v>
      </c>
      <c r="I5915" t="str">
        <f>VLOOKUP(record[[#This Row],[ProcessSN]],表格2_7[],3,FALSE)</f>
        <v>#05</v>
      </c>
      <c r="J5915" t="s">
        <v>588</v>
      </c>
      <c r="K5915" s="195">
        <v>46002.968969907408</v>
      </c>
      <c r="L5915">
        <v>161</v>
      </c>
      <c r="M5915">
        <v>0</v>
      </c>
      <c r="N5915" s="98" t="str">
        <f>IF(record[[#This Row],[Memo]]="Browser:chrome os:android","平板報工",IF(record[[#This Row],[Memo]]=0,"委外",record[[#This Row],[Memo]]))</f>
        <v/>
      </c>
      <c r="O5915" t="s">
        <v>58</v>
      </c>
      <c r="P5915" t="s">
        <v>89</v>
      </c>
      <c r="Q5915" t="s">
        <v>58</v>
      </c>
      <c r="R5915" t="str">
        <f>IFERROR(VLOOKUP(record[[#This Row],[PCUSTID]],廠商[],2,FALSE),"")</f>
        <v/>
      </c>
      <c r="S5915" t="str">
        <f>VLOOKUP(record[[#This Row],[employeeID]],員工[],2,FALSE)</f>
        <v>李美蓮</v>
      </c>
    </row>
    <row r="5916" spans="6:19" hidden="1" x14ac:dyDescent="0.25">
      <c r="F5916" t="s">
        <v>1290</v>
      </c>
      <c r="G5916" t="s">
        <v>415</v>
      </c>
      <c r="H5916" t="str">
        <f>VLOOKUP(record[[#This Row],[ProcessSN]],表格2_7[],2,FALSE)</f>
        <v>30-4118-018-5XX</v>
      </c>
      <c r="I5916" t="str">
        <f>VLOOKUP(record[[#This Row],[ProcessSN]],表格2_7[],3,FALSE)</f>
        <v>#04</v>
      </c>
      <c r="J5916" t="s">
        <v>588</v>
      </c>
      <c r="K5916" s="195">
        <v>46002.961157407408</v>
      </c>
      <c r="L5916">
        <v>140</v>
      </c>
      <c r="M5916">
        <v>0</v>
      </c>
      <c r="N5916" s="98" t="str">
        <f>IF(record[[#This Row],[Memo]]="Browser:chrome os:android","平板報工",IF(record[[#This Row],[Memo]]=0,"委外",record[[#This Row],[Memo]]))</f>
        <v/>
      </c>
      <c r="O5916" t="s">
        <v>58</v>
      </c>
      <c r="P5916" t="s">
        <v>806</v>
      </c>
      <c r="Q5916" t="s">
        <v>58</v>
      </c>
      <c r="R5916" t="str">
        <f>IFERROR(VLOOKUP(record[[#This Row],[PCUSTID]],廠商[],2,FALSE),"")</f>
        <v/>
      </c>
      <c r="S5916" t="str">
        <f>VLOOKUP(record[[#This Row],[employeeID]],員工[],2,FALSE)</f>
        <v>方思緯</v>
      </c>
    </row>
    <row r="5917" spans="6:19" hidden="1" x14ac:dyDescent="0.25">
      <c r="F5917" t="s">
        <v>1290</v>
      </c>
      <c r="G5917" t="s">
        <v>417</v>
      </c>
      <c r="H5917" t="str">
        <f>VLOOKUP(record[[#This Row],[ProcessSN]],表格2_7[],2,FALSE)</f>
        <v>30-4118-018-5XX</v>
      </c>
      <c r="I5917" t="str">
        <f>VLOOKUP(record[[#This Row],[ProcessSN]],表格2_7[],3,FALSE)</f>
        <v>#06</v>
      </c>
      <c r="J5917" t="s">
        <v>593</v>
      </c>
      <c r="K5917" s="195">
        <v>46002.942418981482</v>
      </c>
      <c r="L5917">
        <v>133</v>
      </c>
      <c r="M5917">
        <v>0</v>
      </c>
      <c r="N5917" s="98" t="str">
        <f>IF(record[[#This Row],[Memo]]="Browser:chrome os:android","平板報工",IF(record[[#This Row],[Memo]]=0,"委外",record[[#This Row],[Memo]]))</f>
        <v/>
      </c>
      <c r="O5917" t="s">
        <v>58</v>
      </c>
      <c r="P5917" t="s">
        <v>176</v>
      </c>
      <c r="Q5917" t="s">
        <v>58</v>
      </c>
      <c r="R5917" t="str">
        <f>IFERROR(VLOOKUP(record[[#This Row],[PCUSTID]],廠商[],2,FALSE),"")</f>
        <v/>
      </c>
      <c r="S5917" t="str">
        <f>VLOOKUP(record[[#This Row],[employeeID]],員工[],2,FALSE)</f>
        <v>郭政雄</v>
      </c>
    </row>
    <row r="5918" spans="6:19" hidden="1" x14ac:dyDescent="0.25">
      <c r="F5918" t="s">
        <v>1285</v>
      </c>
      <c r="G5918" t="s">
        <v>466</v>
      </c>
      <c r="H5918" t="str">
        <f>VLOOKUP(record[[#This Row],[ProcessSN]],表格2_7[],2,FALSE)</f>
        <v>30-4118-018-XXX</v>
      </c>
      <c r="I5918" t="str">
        <f>VLOOKUP(record[[#This Row],[ProcessSN]],表格2_7[],3,FALSE)</f>
        <v>#01-2</v>
      </c>
      <c r="J5918" t="s">
        <v>588</v>
      </c>
      <c r="K5918" s="195">
        <v>46002.811377314814</v>
      </c>
      <c r="L5918">
        <v>108</v>
      </c>
      <c r="M5918">
        <v>0</v>
      </c>
      <c r="N5918" s="98" t="str">
        <f>IF(record[[#This Row],[Memo]]="Browser:chrome os:android","平板報工",IF(record[[#This Row],[Memo]]=0,"委外",record[[#This Row],[Memo]]))</f>
        <v/>
      </c>
      <c r="O5918" t="s">
        <v>58</v>
      </c>
      <c r="P5918" t="s">
        <v>1098</v>
      </c>
      <c r="Q5918" t="s">
        <v>58</v>
      </c>
      <c r="R5918" t="str">
        <f>IFERROR(VLOOKUP(record[[#This Row],[PCUSTID]],廠商[],2,FALSE),"")</f>
        <v/>
      </c>
      <c r="S5918" t="str">
        <f>VLOOKUP(record[[#This Row],[employeeID]],員工[],2,FALSE)</f>
        <v>阮氏芳英(英)</v>
      </c>
    </row>
    <row r="5919" spans="6:19" hidden="1" x14ac:dyDescent="0.25">
      <c r="F5919" t="s">
        <v>1324</v>
      </c>
      <c r="G5919" t="s">
        <v>447</v>
      </c>
      <c r="H5919" t="str">
        <f>VLOOKUP(record[[#This Row],[ProcessSN]],表格2_7[],2,FALSE)</f>
        <v>30-4118-018-6XX</v>
      </c>
      <c r="I5919" t="str">
        <f>VLOOKUP(record[[#This Row],[ProcessSN]],表格2_7[],3,FALSE)</f>
        <v>#03</v>
      </c>
      <c r="J5919" t="s">
        <v>588</v>
      </c>
      <c r="K5919" s="195">
        <v>46002.810833333337</v>
      </c>
      <c r="L5919">
        <v>491</v>
      </c>
      <c r="M5919">
        <v>0</v>
      </c>
      <c r="N5919" s="98" t="str">
        <f>IF(record[[#This Row],[Memo]]="Browser:chrome os:android","平板報工",IF(record[[#This Row],[Memo]]=0,"委外",record[[#This Row],[Memo]]))</f>
        <v/>
      </c>
      <c r="O5919" t="s">
        <v>58</v>
      </c>
      <c r="P5919" t="s">
        <v>1098</v>
      </c>
      <c r="Q5919" t="s">
        <v>58</v>
      </c>
      <c r="R5919" t="str">
        <f>IFERROR(VLOOKUP(record[[#This Row],[PCUSTID]],廠商[],2,FALSE),"")</f>
        <v/>
      </c>
      <c r="S5919" t="str">
        <f>VLOOKUP(record[[#This Row],[employeeID]],員工[],2,FALSE)</f>
        <v>阮氏芳英(英)</v>
      </c>
    </row>
    <row r="5920" spans="6:19" hidden="1" x14ac:dyDescent="0.25">
      <c r="F5920" t="s">
        <v>1289</v>
      </c>
      <c r="G5920" t="s">
        <v>401</v>
      </c>
      <c r="H5920" t="str">
        <f>VLOOKUP(record[[#This Row],[ProcessSN]],表格2_7[],2,FALSE)</f>
        <v>30-4118-018-550</v>
      </c>
      <c r="I5920" t="str">
        <f>VLOOKUP(record[[#This Row],[ProcessSN]],表格2_7[],3,FALSE)</f>
        <v>#100OQC</v>
      </c>
      <c r="J5920" t="s">
        <v>599</v>
      </c>
      <c r="K5920" s="195">
        <v>46002.720486111109</v>
      </c>
      <c r="L5920">
        <v>270</v>
      </c>
      <c r="M5920">
        <v>0</v>
      </c>
      <c r="N5920" s="98" t="str">
        <f>IF(record[[#This Row],[Memo]]="Browser:chrome os:android","平板報工",IF(record[[#This Row],[Memo]]=0,"委外",record[[#This Row],[Memo]]))</f>
        <v/>
      </c>
      <c r="O5920" t="s">
        <v>58</v>
      </c>
      <c r="P5920" t="s">
        <v>121</v>
      </c>
      <c r="Q5920" t="s">
        <v>58</v>
      </c>
      <c r="R5920" t="str">
        <f>IFERROR(VLOOKUP(record[[#This Row],[PCUSTID]],廠商[],2,FALSE),"")</f>
        <v/>
      </c>
      <c r="S5920" t="str">
        <f>VLOOKUP(record[[#This Row],[employeeID]],員工[],2,FALSE)</f>
        <v>謝素卿</v>
      </c>
    </row>
    <row r="5921" spans="6:19" hidden="1" x14ac:dyDescent="0.25">
      <c r="F5921" t="s">
        <v>1306</v>
      </c>
      <c r="G5921" t="s">
        <v>399</v>
      </c>
      <c r="H5921" t="str">
        <f>VLOOKUP(record[[#This Row],[ProcessSN]],表格2_7[],2,FALSE)</f>
        <v>30-4118-018-550</v>
      </c>
      <c r="I5921" t="str">
        <f>VLOOKUP(record[[#This Row],[ProcessSN]],表格2_7[],3,FALSE)</f>
        <v>#08IQC</v>
      </c>
      <c r="J5921" t="s">
        <v>583</v>
      </c>
      <c r="K5921" s="195">
        <v>46002.705196759256</v>
      </c>
      <c r="L5921">
        <v>325</v>
      </c>
      <c r="M5921">
        <v>0</v>
      </c>
      <c r="N5921" s="98" t="str">
        <f>IF(record[[#This Row],[Memo]]="Browser:chrome os:android","平板報工",IF(record[[#This Row],[Memo]]=0,"委外",record[[#This Row],[Memo]]))</f>
        <v/>
      </c>
      <c r="O5921" t="s">
        <v>58</v>
      </c>
      <c r="P5921" t="s">
        <v>109</v>
      </c>
      <c r="Q5921" t="s">
        <v>58</v>
      </c>
      <c r="R5921" t="str">
        <f>IFERROR(VLOOKUP(record[[#This Row],[PCUSTID]],廠商[],2,FALSE),"")</f>
        <v/>
      </c>
      <c r="S5921" t="str">
        <f>VLOOKUP(record[[#This Row],[employeeID]],員工[],2,FALSE)</f>
        <v>裴氏璧鳳</v>
      </c>
    </row>
    <row r="5922" spans="6:19" hidden="1" x14ac:dyDescent="0.25">
      <c r="F5922" t="s">
        <v>1289</v>
      </c>
      <c r="G5922" t="s">
        <v>400</v>
      </c>
      <c r="H5922" t="str">
        <f>VLOOKUP(record[[#This Row],[ProcessSN]],表格2_7[],2,FALSE)</f>
        <v>30-4118-018-550</v>
      </c>
      <c r="I5922" t="str">
        <f>VLOOKUP(record[[#This Row],[ProcessSN]],表格2_7[],3,FALSE)</f>
        <v>#100</v>
      </c>
      <c r="J5922" t="s">
        <v>598</v>
      </c>
      <c r="K5922" s="195">
        <v>46002.691354166665</v>
      </c>
      <c r="L5922">
        <v>270</v>
      </c>
      <c r="M5922">
        <v>0</v>
      </c>
      <c r="N5922" s="98" t="str">
        <f>IF(record[[#This Row],[Memo]]="Browser:chrome os:android","平板報工",IF(record[[#This Row],[Memo]]=0,"委外",record[[#This Row],[Memo]]))</f>
        <v>平板報工</v>
      </c>
      <c r="O5922" t="s">
        <v>643</v>
      </c>
      <c r="P5922" t="s">
        <v>141</v>
      </c>
      <c r="Q5922" t="s">
        <v>644</v>
      </c>
      <c r="R5922" t="str">
        <f>IFERROR(VLOOKUP(record[[#This Row],[PCUSTID]],廠商[],2,FALSE),"")</f>
        <v/>
      </c>
      <c r="S5922" t="str">
        <f>VLOOKUP(record[[#This Row],[employeeID]],員工[],2,FALSE)</f>
        <v>蔣梅</v>
      </c>
    </row>
    <row r="5923" spans="6:19" hidden="1" x14ac:dyDescent="0.25">
      <c r="F5923" t="s">
        <v>1285</v>
      </c>
      <c r="G5923" t="s">
        <v>467</v>
      </c>
      <c r="H5923" t="str">
        <f>VLOOKUP(record[[#This Row],[ProcessSN]],表格2_7[],2,FALSE)</f>
        <v>30-4118-018-XXX</v>
      </c>
      <c r="I5923" t="str">
        <f>VLOOKUP(record[[#This Row],[ProcessSN]],表格2_7[],3,FALSE)</f>
        <v>#01QC</v>
      </c>
      <c r="J5923" t="s">
        <v>589</v>
      </c>
      <c r="K5923" s="195">
        <v>46002.685289351852</v>
      </c>
      <c r="L5923">
        <v>504</v>
      </c>
      <c r="M5923">
        <v>0</v>
      </c>
      <c r="N5923" s="98" t="str">
        <f>IF(record[[#This Row],[Memo]]="Browser:chrome os:android","平板報工",IF(record[[#This Row],[Memo]]=0,"委外",record[[#This Row],[Memo]]))</f>
        <v>平板報工</v>
      </c>
      <c r="O5923" t="s">
        <v>643</v>
      </c>
      <c r="P5923" t="s">
        <v>182</v>
      </c>
      <c r="Q5923" t="s">
        <v>644</v>
      </c>
      <c r="R5923" t="str">
        <f>IFERROR(VLOOKUP(record[[#This Row],[PCUSTID]],廠商[],2,FALSE),"")</f>
        <v/>
      </c>
      <c r="S5923" t="str">
        <f>VLOOKUP(record[[#This Row],[employeeID]],員工[],2,FALSE)</f>
        <v>梅氏和</v>
      </c>
    </row>
    <row r="5924" spans="6:19" hidden="1" x14ac:dyDescent="0.25">
      <c r="F5924" t="s">
        <v>1306</v>
      </c>
      <c r="G5924" t="s">
        <v>398</v>
      </c>
      <c r="H5924" t="str">
        <f>VLOOKUP(record[[#This Row],[ProcessSN]],表格2_7[],2,FALSE)</f>
        <v>30-4118-018-550</v>
      </c>
      <c r="I5924" t="str">
        <f>VLOOKUP(record[[#This Row],[ProcessSN]],表格2_7[],3,FALSE)</f>
        <v>#08RCV</v>
      </c>
      <c r="J5924" t="s">
        <v>591</v>
      </c>
      <c r="K5924" s="195">
        <v>46002.663263888891</v>
      </c>
      <c r="L5924">
        <v>325</v>
      </c>
      <c r="M5924">
        <v>0</v>
      </c>
      <c r="N5924" s="98" t="str">
        <f>IF(record[[#This Row],[Memo]]="Browser:chrome os:android","平板報工",IF(record[[#This Row],[Memo]]=0,"委外",record[[#This Row],[Memo]]))</f>
        <v/>
      </c>
      <c r="O5924" t="s">
        <v>58</v>
      </c>
      <c r="P5924" t="s">
        <v>186</v>
      </c>
      <c r="Q5924" t="s">
        <v>58</v>
      </c>
      <c r="R5924" t="str">
        <f>IFERROR(VLOOKUP(record[[#This Row],[PCUSTID]],廠商[],2,FALSE),"")</f>
        <v/>
      </c>
      <c r="S5924" t="str">
        <f>VLOOKUP(record[[#This Row],[employeeID]],員工[],2,FALSE)</f>
        <v>許文姍</v>
      </c>
    </row>
    <row r="5925" spans="6:19" hidden="1" x14ac:dyDescent="0.25">
      <c r="F5925" t="s">
        <v>1285</v>
      </c>
      <c r="G5925" t="s">
        <v>466</v>
      </c>
      <c r="H5925" t="str">
        <f>VLOOKUP(record[[#This Row],[ProcessSN]],表格2_7[],2,FALSE)</f>
        <v>30-4118-018-XXX</v>
      </c>
      <c r="I5925" t="str">
        <f>VLOOKUP(record[[#This Row],[ProcessSN]],表格2_7[],3,FALSE)</f>
        <v>#01-2</v>
      </c>
      <c r="J5925" t="s">
        <v>588</v>
      </c>
      <c r="K5925" s="195">
        <v>46002.641759259262</v>
      </c>
      <c r="L5925">
        <v>540</v>
      </c>
      <c r="M5925">
        <v>0</v>
      </c>
      <c r="N5925" s="98" t="str">
        <f>IF(record[[#This Row],[Memo]]="Browser:chrome os:android","平板報工",IF(record[[#This Row],[Memo]]=0,"委外",record[[#This Row],[Memo]]))</f>
        <v/>
      </c>
      <c r="O5925" t="s">
        <v>58</v>
      </c>
      <c r="P5925" t="s">
        <v>787</v>
      </c>
      <c r="Q5925" t="s">
        <v>58</v>
      </c>
      <c r="R5925" t="str">
        <f>IFERROR(VLOOKUP(record[[#This Row],[PCUSTID]],廠商[],2,FALSE),"")</f>
        <v/>
      </c>
      <c r="S5925" t="str">
        <f>VLOOKUP(record[[#This Row],[employeeID]],員工[],2,FALSE)</f>
        <v>陳羿錡</v>
      </c>
    </row>
    <row r="5926" spans="6:19" hidden="1" x14ac:dyDescent="0.25">
      <c r="F5926" t="s">
        <v>1324</v>
      </c>
      <c r="G5926" t="s">
        <v>447</v>
      </c>
      <c r="H5926" t="str">
        <f>VLOOKUP(record[[#This Row],[ProcessSN]],表格2_7[],2,FALSE)</f>
        <v>30-4118-018-6XX</v>
      </c>
      <c r="I5926" t="str">
        <f>VLOOKUP(record[[#This Row],[ProcessSN]],表格2_7[],3,FALSE)</f>
        <v>#03</v>
      </c>
      <c r="J5926" t="s">
        <v>588</v>
      </c>
      <c r="K5926" s="195">
        <v>46002.641493055555</v>
      </c>
      <c r="L5926">
        <v>336</v>
      </c>
      <c r="M5926">
        <v>0</v>
      </c>
      <c r="N5926" s="98" t="str">
        <f>IF(record[[#This Row],[Memo]]="Browser:chrome os:android","平板報工",IF(record[[#This Row],[Memo]]=0,"委外",record[[#This Row],[Memo]]))</f>
        <v/>
      </c>
      <c r="O5926" t="s">
        <v>58</v>
      </c>
      <c r="P5926" t="s">
        <v>787</v>
      </c>
      <c r="Q5926" t="s">
        <v>58</v>
      </c>
      <c r="R5926" t="str">
        <f>IFERROR(VLOOKUP(record[[#This Row],[PCUSTID]],廠商[],2,FALSE),"")</f>
        <v/>
      </c>
      <c r="S5926" t="str">
        <f>VLOOKUP(record[[#This Row],[employeeID]],員工[],2,FALSE)</f>
        <v>陳羿錡</v>
      </c>
    </row>
    <row r="5927" spans="6:19" hidden="1" x14ac:dyDescent="0.25">
      <c r="F5927" t="s">
        <v>1289</v>
      </c>
      <c r="G5927" t="s">
        <v>401</v>
      </c>
      <c r="H5927" t="str">
        <f>VLOOKUP(record[[#This Row],[ProcessSN]],表格2_7[],2,FALSE)</f>
        <v>30-4118-018-550</v>
      </c>
      <c r="I5927" t="str">
        <f>VLOOKUP(record[[#This Row],[ProcessSN]],表格2_7[],3,FALSE)</f>
        <v>#100OQC</v>
      </c>
      <c r="J5927" t="s">
        <v>599</v>
      </c>
      <c r="K5927" s="195">
        <v>46002.636666666665</v>
      </c>
      <c r="L5927">
        <v>71</v>
      </c>
      <c r="M5927">
        <v>0</v>
      </c>
      <c r="N5927" s="98" t="str">
        <f>IF(record[[#This Row],[Memo]]="Browser:chrome os:android","平板報工",IF(record[[#This Row],[Memo]]=0,"委外",record[[#This Row],[Memo]]))</f>
        <v/>
      </c>
      <c r="O5927" t="s">
        <v>58</v>
      </c>
      <c r="P5927" t="s">
        <v>121</v>
      </c>
      <c r="Q5927" t="s">
        <v>58</v>
      </c>
      <c r="R5927" t="str">
        <f>IFERROR(VLOOKUP(record[[#This Row],[PCUSTID]],廠商[],2,FALSE),"")</f>
        <v/>
      </c>
      <c r="S5927" t="str">
        <f>VLOOKUP(record[[#This Row],[employeeID]],員工[],2,FALSE)</f>
        <v>謝素卿</v>
      </c>
    </row>
    <row r="5928" spans="6:19" hidden="1" x14ac:dyDescent="0.25">
      <c r="F5928" t="s">
        <v>1278</v>
      </c>
      <c r="G5928" t="s">
        <v>401</v>
      </c>
      <c r="H5928" t="str">
        <f>VLOOKUP(record[[#This Row],[ProcessSN]],表格2_7[],2,FALSE)</f>
        <v>30-4118-018-550</v>
      </c>
      <c r="I5928" t="str">
        <f>VLOOKUP(record[[#This Row],[ProcessSN]],表格2_7[],3,FALSE)</f>
        <v>#100OQC</v>
      </c>
      <c r="J5928" t="s">
        <v>599</v>
      </c>
      <c r="K5928" s="195">
        <v>46002.636516203704</v>
      </c>
      <c r="L5928">
        <v>164</v>
      </c>
      <c r="M5928">
        <v>0</v>
      </c>
      <c r="N5928" s="98" t="str">
        <f>IF(record[[#This Row],[Memo]]="Browser:chrome os:android","平板報工",IF(record[[#This Row],[Memo]]=0,"委外",record[[#This Row],[Memo]]))</f>
        <v/>
      </c>
      <c r="O5928" t="s">
        <v>58</v>
      </c>
      <c r="P5928" t="s">
        <v>121</v>
      </c>
      <c r="Q5928" t="s">
        <v>58</v>
      </c>
      <c r="R5928" t="str">
        <f>IFERROR(VLOOKUP(record[[#This Row],[PCUSTID]],廠商[],2,FALSE),"")</f>
        <v/>
      </c>
      <c r="S5928" t="str">
        <f>VLOOKUP(record[[#This Row],[employeeID]],員工[],2,FALSE)</f>
        <v>謝素卿</v>
      </c>
    </row>
    <row r="5929" spans="6:19" hidden="1" x14ac:dyDescent="0.25">
      <c r="F5929" t="s">
        <v>1285</v>
      </c>
      <c r="G5929" t="s">
        <v>468</v>
      </c>
      <c r="H5929" t="str">
        <f>VLOOKUP(record[[#This Row],[ProcessSN]],表格2_7[],2,FALSE)</f>
        <v>30-4118-018-XXX</v>
      </c>
      <c r="I5929" t="str">
        <f>VLOOKUP(record[[#This Row],[ProcessSN]],表格2_7[],3,FALSE)</f>
        <v>#02</v>
      </c>
      <c r="J5929" t="s">
        <v>590</v>
      </c>
      <c r="K5929" s="195">
        <v>46002.635011574072</v>
      </c>
      <c r="L5929">
        <v>840</v>
      </c>
      <c r="M5929">
        <v>0</v>
      </c>
      <c r="N5929" s="98" t="str">
        <f>IF(record[[#This Row],[Memo]]="Browser:chrome os:android","平板報工",IF(record[[#This Row],[Memo]]=0,"委外",record[[#This Row],[Memo]]))</f>
        <v>委外</v>
      </c>
      <c r="P5929" t="s">
        <v>186</v>
      </c>
      <c r="Q5929" t="s">
        <v>216</v>
      </c>
      <c r="R5929" t="str">
        <f>IFERROR(VLOOKUP(record[[#This Row],[PCUSTID]],廠商[],2,FALSE),"")</f>
        <v>俊杰</v>
      </c>
      <c r="S5929" t="str">
        <f>VLOOKUP(record[[#This Row],[employeeID]],員工[],2,FALSE)</f>
        <v>許文姍</v>
      </c>
    </row>
    <row r="5930" spans="6:19" hidden="1" x14ac:dyDescent="0.25">
      <c r="F5930" t="s">
        <v>1290</v>
      </c>
      <c r="G5930" t="s">
        <v>416</v>
      </c>
      <c r="H5930" t="str">
        <f>VLOOKUP(record[[#This Row],[ProcessSN]],表格2_7[],2,FALSE)</f>
        <v>30-4118-018-5XX</v>
      </c>
      <c r="I5930" t="str">
        <f>VLOOKUP(record[[#This Row],[ProcessSN]],表格2_7[],3,FALSE)</f>
        <v>#05</v>
      </c>
      <c r="J5930" t="s">
        <v>588</v>
      </c>
      <c r="K5930" s="195">
        <v>46002.630578703705</v>
      </c>
      <c r="L5930">
        <v>284</v>
      </c>
      <c r="M5930">
        <v>0</v>
      </c>
      <c r="N5930" s="98" t="str">
        <f>IF(record[[#This Row],[Memo]]="Browser:chrome os:android","平板報工",IF(record[[#This Row],[Memo]]=0,"委外",record[[#This Row],[Memo]]))</f>
        <v/>
      </c>
      <c r="O5930" t="s">
        <v>58</v>
      </c>
      <c r="P5930" t="s">
        <v>785</v>
      </c>
      <c r="Q5930" t="s">
        <v>58</v>
      </c>
      <c r="R5930" t="str">
        <f>IFERROR(VLOOKUP(record[[#This Row],[PCUSTID]],廠商[],2,FALSE),"")</f>
        <v/>
      </c>
      <c r="S5930" t="str">
        <f>VLOOKUP(record[[#This Row],[employeeID]],員工[],2,FALSE)</f>
        <v>謝刻光</v>
      </c>
    </row>
    <row r="5931" spans="6:19" hidden="1" x14ac:dyDescent="0.25">
      <c r="F5931" t="s">
        <v>1290</v>
      </c>
      <c r="G5931" t="s">
        <v>417</v>
      </c>
      <c r="H5931" t="str">
        <f>VLOOKUP(record[[#This Row],[ProcessSN]],表格2_7[],2,FALSE)</f>
        <v>30-4118-018-5XX</v>
      </c>
      <c r="I5931" t="str">
        <f>VLOOKUP(record[[#This Row],[ProcessSN]],表格2_7[],3,FALSE)</f>
        <v>#06</v>
      </c>
      <c r="J5931" t="s">
        <v>593</v>
      </c>
      <c r="K5931" s="195">
        <v>46002.63008101852</v>
      </c>
      <c r="L5931">
        <v>185</v>
      </c>
      <c r="M5931">
        <v>0</v>
      </c>
      <c r="N5931" s="98" t="str">
        <f>IF(record[[#This Row],[Memo]]="Browser:chrome os:android","平板報工",IF(record[[#This Row],[Memo]]=0,"委外",record[[#This Row],[Memo]]))</f>
        <v/>
      </c>
      <c r="O5931" t="s">
        <v>58</v>
      </c>
      <c r="P5931" t="s">
        <v>145</v>
      </c>
      <c r="Q5931" t="s">
        <v>58</v>
      </c>
      <c r="R5931" t="str">
        <f>IFERROR(VLOOKUP(record[[#This Row],[PCUSTID]],廠商[],2,FALSE),"")</f>
        <v/>
      </c>
      <c r="S5931" t="str">
        <f>VLOOKUP(record[[#This Row],[employeeID]],員工[],2,FALSE)</f>
        <v>阮秋霞</v>
      </c>
    </row>
    <row r="5932" spans="6:19" hidden="1" x14ac:dyDescent="0.25">
      <c r="F5932" t="s">
        <v>1290</v>
      </c>
      <c r="G5932" t="s">
        <v>415</v>
      </c>
      <c r="H5932" t="str">
        <f>VLOOKUP(record[[#This Row],[ProcessSN]],表格2_7[],2,FALSE)</f>
        <v>30-4118-018-5XX</v>
      </c>
      <c r="I5932" t="str">
        <f>VLOOKUP(record[[#This Row],[ProcessSN]],表格2_7[],3,FALSE)</f>
        <v>#04</v>
      </c>
      <c r="J5932" t="s">
        <v>588</v>
      </c>
      <c r="K5932" s="195">
        <v>46002.629490740743</v>
      </c>
      <c r="L5932">
        <v>132</v>
      </c>
      <c r="M5932">
        <v>0</v>
      </c>
      <c r="N5932" s="98" t="str">
        <f>IF(record[[#This Row],[Memo]]="Browser:chrome os:android","平板報工",IF(record[[#This Row],[Memo]]=0,"委外",record[[#This Row],[Memo]]))</f>
        <v/>
      </c>
      <c r="O5932" t="s">
        <v>58</v>
      </c>
      <c r="P5932" t="s">
        <v>145</v>
      </c>
      <c r="Q5932" t="s">
        <v>58</v>
      </c>
      <c r="R5932" t="str">
        <f>IFERROR(VLOOKUP(record[[#This Row],[PCUSTID]],廠商[],2,FALSE),"")</f>
        <v/>
      </c>
      <c r="S5932" t="str">
        <f>VLOOKUP(record[[#This Row],[employeeID]],員工[],2,FALSE)</f>
        <v>阮秋霞</v>
      </c>
    </row>
    <row r="5933" spans="6:19" hidden="1" x14ac:dyDescent="0.25">
      <c r="F5933" t="s">
        <v>1289</v>
      </c>
      <c r="G5933" t="s">
        <v>400</v>
      </c>
      <c r="H5933" t="str">
        <f>VLOOKUP(record[[#This Row],[ProcessSN]],表格2_7[],2,FALSE)</f>
        <v>30-4118-018-550</v>
      </c>
      <c r="I5933" t="str">
        <f>VLOOKUP(record[[#This Row],[ProcessSN]],表格2_7[],3,FALSE)</f>
        <v>#100</v>
      </c>
      <c r="J5933" t="s">
        <v>598</v>
      </c>
      <c r="K5933" s="195">
        <v>46002.620115740741</v>
      </c>
      <c r="L5933">
        <v>71</v>
      </c>
      <c r="M5933">
        <v>0</v>
      </c>
      <c r="N5933" s="98" t="str">
        <f>IF(record[[#This Row],[Memo]]="Browser:chrome os:android","平板報工",IF(record[[#This Row],[Memo]]=0,"委外",record[[#This Row],[Memo]]))</f>
        <v/>
      </c>
      <c r="O5933" t="s">
        <v>58</v>
      </c>
      <c r="P5933" t="s">
        <v>141</v>
      </c>
      <c r="Q5933" t="s">
        <v>58</v>
      </c>
      <c r="R5933" t="str">
        <f>IFERROR(VLOOKUP(record[[#This Row],[PCUSTID]],廠商[],2,FALSE),"")</f>
        <v/>
      </c>
      <c r="S5933" t="str">
        <f>VLOOKUP(record[[#This Row],[employeeID]],員工[],2,FALSE)</f>
        <v>蔣梅</v>
      </c>
    </row>
    <row r="5934" spans="6:19" hidden="1" x14ac:dyDescent="0.25">
      <c r="F5934" t="s">
        <v>1278</v>
      </c>
      <c r="G5934" t="s">
        <v>400</v>
      </c>
      <c r="H5934" t="str">
        <f>VLOOKUP(record[[#This Row],[ProcessSN]],表格2_7[],2,FALSE)</f>
        <v>30-4118-018-550</v>
      </c>
      <c r="I5934" t="str">
        <f>VLOOKUP(record[[#This Row],[ProcessSN]],表格2_7[],3,FALSE)</f>
        <v>#100</v>
      </c>
      <c r="J5934" t="s">
        <v>598</v>
      </c>
      <c r="K5934" s="195">
        <v>46002.619803240741</v>
      </c>
      <c r="L5934">
        <v>164</v>
      </c>
      <c r="M5934">
        <v>0</v>
      </c>
      <c r="N5934" s="98" t="str">
        <f>IF(record[[#This Row],[Memo]]="Browser:chrome os:android","平板報工",IF(record[[#This Row],[Memo]]=0,"委外",record[[#This Row],[Memo]]))</f>
        <v/>
      </c>
      <c r="O5934" t="s">
        <v>58</v>
      </c>
      <c r="P5934" t="s">
        <v>141</v>
      </c>
      <c r="Q5934" t="s">
        <v>58</v>
      </c>
      <c r="R5934" t="str">
        <f>IFERROR(VLOOKUP(record[[#This Row],[PCUSTID]],廠商[],2,FALSE),"")</f>
        <v/>
      </c>
      <c r="S5934" t="str">
        <f>VLOOKUP(record[[#This Row],[employeeID]],員工[],2,FALSE)</f>
        <v>蔣梅</v>
      </c>
    </row>
    <row r="5935" spans="6:19" hidden="1" x14ac:dyDescent="0.25">
      <c r="F5935" t="s">
        <v>1262</v>
      </c>
      <c r="G5935" t="s">
        <v>401</v>
      </c>
      <c r="H5935" t="str">
        <f>VLOOKUP(record[[#This Row],[ProcessSN]],表格2_7[],2,FALSE)</f>
        <v>30-4118-018-550</v>
      </c>
      <c r="I5935" t="str">
        <f>VLOOKUP(record[[#This Row],[ProcessSN]],表格2_7[],3,FALSE)</f>
        <v>#100OQC</v>
      </c>
      <c r="J5935" t="s">
        <v>599</v>
      </c>
      <c r="K5935" s="195">
        <v>46002.601342592592</v>
      </c>
      <c r="L5935">
        <v>448</v>
      </c>
      <c r="M5935">
        <v>0</v>
      </c>
      <c r="N5935" s="98" t="str">
        <f>IF(record[[#This Row],[Memo]]="Browser:chrome os:android","平板報工",IF(record[[#This Row],[Memo]]=0,"委外",record[[#This Row],[Memo]]))</f>
        <v/>
      </c>
      <c r="O5935" t="s">
        <v>58</v>
      </c>
      <c r="P5935" t="s">
        <v>121</v>
      </c>
      <c r="Q5935" t="s">
        <v>58</v>
      </c>
      <c r="R5935" t="str">
        <f>IFERROR(VLOOKUP(record[[#This Row],[PCUSTID]],廠商[],2,FALSE),"")</f>
        <v/>
      </c>
      <c r="S5935" t="str">
        <f>VLOOKUP(record[[#This Row],[employeeID]],員工[],2,FALSE)</f>
        <v>謝素卿</v>
      </c>
    </row>
    <row r="5936" spans="6:19" hidden="1" x14ac:dyDescent="0.25">
      <c r="F5936" t="s">
        <v>1261</v>
      </c>
      <c r="G5936" t="s">
        <v>401</v>
      </c>
      <c r="H5936" t="str">
        <f>VLOOKUP(record[[#This Row],[ProcessSN]],表格2_7[],2,FALSE)</f>
        <v>30-4118-018-550</v>
      </c>
      <c r="I5936" t="str">
        <f>VLOOKUP(record[[#This Row],[ProcessSN]],表格2_7[],3,FALSE)</f>
        <v>#100OQC</v>
      </c>
      <c r="J5936" t="s">
        <v>599</v>
      </c>
      <c r="K5936" s="195">
        <v>46002.601203703707</v>
      </c>
      <c r="L5936">
        <v>196</v>
      </c>
      <c r="M5936">
        <v>0</v>
      </c>
      <c r="N5936" s="98" t="str">
        <f>IF(record[[#This Row],[Memo]]="Browser:chrome os:android","平板報工",IF(record[[#This Row],[Memo]]=0,"委外",record[[#This Row],[Memo]]))</f>
        <v/>
      </c>
      <c r="O5936" t="s">
        <v>58</v>
      </c>
      <c r="P5936" t="s">
        <v>121</v>
      </c>
      <c r="Q5936" t="s">
        <v>58</v>
      </c>
      <c r="R5936" t="str">
        <f>IFERROR(VLOOKUP(record[[#This Row],[PCUSTID]],廠商[],2,FALSE),"")</f>
        <v/>
      </c>
      <c r="S5936" t="str">
        <f>VLOOKUP(record[[#This Row],[employeeID]],員工[],2,FALSE)</f>
        <v>謝素卿</v>
      </c>
    </row>
    <row r="5937" spans="6:19" hidden="1" x14ac:dyDescent="0.25">
      <c r="F5937" t="s">
        <v>1286</v>
      </c>
      <c r="G5937" t="s">
        <v>362</v>
      </c>
      <c r="H5937" t="str">
        <f>VLOOKUP(record[[#This Row],[ProcessSN]],表格2_7[],2,FALSE)</f>
        <v>30-4118-018-450</v>
      </c>
      <c r="I5937" t="str">
        <f>VLOOKUP(record[[#This Row],[ProcessSN]],表格2_7[],3,FALSE)</f>
        <v>#100SHIP</v>
      </c>
      <c r="J5937" t="s">
        <v>600</v>
      </c>
      <c r="K5937" s="195">
        <v>46002.559618055559</v>
      </c>
      <c r="L5937">
        <v>50</v>
      </c>
      <c r="M5937">
        <v>0</v>
      </c>
      <c r="N5937" s="98" t="str">
        <f>IF(record[[#This Row],[Memo]]="Browser:chrome os:android","平板報工",IF(record[[#This Row],[Memo]]=0,"委外",record[[#This Row],[Memo]]))</f>
        <v/>
      </c>
      <c r="O5937" t="s">
        <v>58</v>
      </c>
      <c r="P5937" t="s">
        <v>886</v>
      </c>
      <c r="Q5937" t="s">
        <v>58</v>
      </c>
      <c r="R5937" t="str">
        <f>IFERROR(VLOOKUP(record[[#This Row],[PCUSTID]],廠商[],2,FALSE),"")</f>
        <v/>
      </c>
      <c r="S5937" t="str">
        <f>VLOOKUP(record[[#This Row],[employeeID]],員工[],2,FALSE)</f>
        <v>謝蓁薰</v>
      </c>
    </row>
    <row r="5938" spans="6:19" hidden="1" x14ac:dyDescent="0.25">
      <c r="F5938" t="s">
        <v>1286</v>
      </c>
      <c r="G5938" t="s">
        <v>361</v>
      </c>
      <c r="H5938" t="str">
        <f>VLOOKUP(record[[#This Row],[ProcessSN]],表格2_7[],2,FALSE)</f>
        <v>30-4118-018-450</v>
      </c>
      <c r="I5938" t="str">
        <f>VLOOKUP(record[[#This Row],[ProcessSN]],表格2_7[],3,FALSE)</f>
        <v>#100STOCK</v>
      </c>
      <c r="J5938" t="s">
        <v>592</v>
      </c>
      <c r="K5938" s="195">
        <v>46002.452372685184</v>
      </c>
      <c r="L5938">
        <v>50</v>
      </c>
      <c r="M5938">
        <v>0</v>
      </c>
      <c r="N5938" s="98" t="str">
        <f>IF(record[[#This Row],[Memo]]="Browser:chrome os:android","平板報工",IF(record[[#This Row],[Memo]]=0,"委外",record[[#This Row],[Memo]]))</f>
        <v/>
      </c>
      <c r="O5938" t="s">
        <v>58</v>
      </c>
      <c r="P5938" t="s">
        <v>886</v>
      </c>
      <c r="Q5938" t="s">
        <v>58</v>
      </c>
      <c r="R5938" t="str">
        <f>IFERROR(VLOOKUP(record[[#This Row],[PCUSTID]],廠商[],2,FALSE),"")</f>
        <v/>
      </c>
      <c r="S5938" t="str">
        <f>VLOOKUP(record[[#This Row],[employeeID]],員工[],2,FALSE)</f>
        <v>謝蓁薰</v>
      </c>
    </row>
    <row r="5939" spans="6:19" hidden="1" x14ac:dyDescent="0.25">
      <c r="F5939" t="s">
        <v>1324</v>
      </c>
      <c r="G5939" t="s">
        <v>446</v>
      </c>
      <c r="H5939" t="str">
        <f>VLOOKUP(record[[#This Row],[ProcessSN]],表格2_7[],2,FALSE)</f>
        <v>30-4118-018-6XX</v>
      </c>
      <c r="I5939" t="str">
        <f>VLOOKUP(record[[#This Row],[ProcessSN]],表格2_7[],3,FALSE)</f>
        <v>#03GIVE</v>
      </c>
      <c r="J5939" t="s">
        <v>587</v>
      </c>
      <c r="K5939" s="195">
        <v>46002.379317129627</v>
      </c>
      <c r="L5939">
        <v>827</v>
      </c>
      <c r="M5939">
        <v>0</v>
      </c>
      <c r="N5939" s="98" t="str">
        <f>IF(record[[#This Row],[Memo]]="Browser:chrome os:android","平板報工",IF(record[[#This Row],[Memo]]=0,"委外",record[[#This Row],[Memo]]))</f>
        <v/>
      </c>
      <c r="O5939" t="s">
        <v>58</v>
      </c>
      <c r="P5939" t="s">
        <v>1070</v>
      </c>
      <c r="Q5939" t="s">
        <v>58</v>
      </c>
      <c r="R5939" t="str">
        <f>IFERROR(VLOOKUP(record[[#This Row],[PCUSTID]],廠商[],2,FALSE),"")</f>
        <v/>
      </c>
      <c r="S5939" t="str">
        <f>VLOOKUP(record[[#This Row],[employeeID]],員工[],2,FALSE)</f>
        <v>陳昱佑</v>
      </c>
    </row>
    <row r="5940" spans="6:19" hidden="1" x14ac:dyDescent="0.25">
      <c r="F5940" t="s">
        <v>1209</v>
      </c>
      <c r="G5940" t="s">
        <v>471</v>
      </c>
      <c r="H5940" t="str">
        <f>VLOOKUP(record[[#This Row],[ProcessSN]],表格2_7[],2,FALSE)</f>
        <v>30-4118-018-XXX</v>
      </c>
      <c r="I5940" t="str">
        <f>VLOOKUP(record[[#This Row],[ProcessSN]],表格2_7[],3,FALSE)</f>
        <v>#02STOCK</v>
      </c>
      <c r="J5940" t="s">
        <v>592</v>
      </c>
      <c r="K5940" s="195">
        <v>46002.361666666664</v>
      </c>
      <c r="L5940">
        <v>827</v>
      </c>
      <c r="M5940">
        <v>0</v>
      </c>
      <c r="N5940" s="98" t="str">
        <f>IF(record[[#This Row],[Memo]]="Browser:chrome os:android","平板報工",IF(record[[#This Row],[Memo]]=0,"委外",record[[#This Row],[Memo]]))</f>
        <v/>
      </c>
      <c r="O5940" t="s">
        <v>58</v>
      </c>
      <c r="P5940" t="s">
        <v>113</v>
      </c>
      <c r="Q5940" t="s">
        <v>58</v>
      </c>
      <c r="R5940" t="str">
        <f>IFERROR(VLOOKUP(record[[#This Row],[PCUSTID]],廠商[],2,FALSE),"")</f>
        <v/>
      </c>
      <c r="S5940" t="str">
        <f>VLOOKUP(record[[#This Row],[employeeID]],員工[],2,FALSE)</f>
        <v>王奕蓁</v>
      </c>
    </row>
    <row r="5941" spans="6:19" hidden="1" x14ac:dyDescent="0.25">
      <c r="F5941" t="s">
        <v>1324</v>
      </c>
      <c r="G5941" t="s">
        <v>445</v>
      </c>
      <c r="H5941" t="str">
        <f>VLOOKUP(record[[#This Row],[ProcessSN]],表格2_7[],2,FALSE)</f>
        <v>30-4118-018-6XX</v>
      </c>
      <c r="I5941" t="str">
        <f>VLOOKUP(record[[#This Row],[ProcessSN]],表格2_7[],3,FALSE)</f>
        <v>#03PICK</v>
      </c>
      <c r="J5941" t="s">
        <v>582</v>
      </c>
      <c r="K5941" s="195">
        <v>46002.361527777779</v>
      </c>
      <c r="L5941">
        <v>827</v>
      </c>
      <c r="M5941">
        <v>0</v>
      </c>
      <c r="N5941" s="98" t="str">
        <f>IF(record[[#This Row],[Memo]]="Browser:chrome os:android","平板報工",IF(record[[#This Row],[Memo]]=0,"委外",record[[#This Row],[Memo]]))</f>
        <v/>
      </c>
      <c r="O5941" t="s">
        <v>58</v>
      </c>
      <c r="P5941" t="s">
        <v>113</v>
      </c>
      <c r="Q5941" t="s">
        <v>58</v>
      </c>
      <c r="R5941" t="str">
        <f>IFERROR(VLOOKUP(record[[#This Row],[PCUSTID]],廠商[],2,FALSE),"")</f>
        <v/>
      </c>
      <c r="S5941" t="str">
        <f>VLOOKUP(record[[#This Row],[employeeID]],員工[],2,FALSE)</f>
        <v>王奕蓁</v>
      </c>
    </row>
    <row r="5942" spans="6:19" hidden="1" x14ac:dyDescent="0.25">
      <c r="F5942" t="s">
        <v>1285</v>
      </c>
      <c r="G5942" t="s">
        <v>465</v>
      </c>
      <c r="H5942" t="str">
        <f>VLOOKUP(record[[#This Row],[ProcessSN]],表格2_7[],2,FALSE)</f>
        <v>30-4118-018-XXX</v>
      </c>
      <c r="I5942" t="str">
        <f>VLOOKUP(record[[#This Row],[ProcessSN]],表格2_7[],3,FALSE)</f>
        <v>#01-1</v>
      </c>
      <c r="J5942" t="s">
        <v>588</v>
      </c>
      <c r="K5942" s="195">
        <v>46002.357164351852</v>
      </c>
      <c r="L5942">
        <v>168</v>
      </c>
      <c r="M5942">
        <v>0</v>
      </c>
      <c r="N5942" s="98" t="str">
        <f>IF(record[[#This Row],[Memo]]="Browser:chrome os:android","平板報工",IF(record[[#This Row],[Memo]]=0,"委外",record[[#This Row],[Memo]]))</f>
        <v/>
      </c>
      <c r="O5942" t="s">
        <v>58</v>
      </c>
      <c r="P5942" t="s">
        <v>107</v>
      </c>
      <c r="Q5942" t="s">
        <v>58</v>
      </c>
      <c r="R5942" t="str">
        <f>IFERROR(VLOOKUP(record[[#This Row],[PCUSTID]],廠商[],2,FALSE),"")</f>
        <v/>
      </c>
      <c r="S5942" t="str">
        <f>VLOOKUP(record[[#This Row],[employeeID]],員工[],2,FALSE)</f>
        <v>黎氏順</v>
      </c>
    </row>
    <row r="5943" spans="6:19" hidden="1" x14ac:dyDescent="0.25">
      <c r="F5943" t="s">
        <v>1285</v>
      </c>
      <c r="G5943" t="s">
        <v>467</v>
      </c>
      <c r="H5943" t="str">
        <f>VLOOKUP(record[[#This Row],[ProcessSN]],表格2_7[],2,FALSE)</f>
        <v>30-4118-018-XXX</v>
      </c>
      <c r="I5943" t="str">
        <f>VLOOKUP(record[[#This Row],[ProcessSN]],表格2_7[],3,FALSE)</f>
        <v>#01QC</v>
      </c>
      <c r="J5943" t="s">
        <v>589</v>
      </c>
      <c r="K5943" s="195">
        <v>46002.34983796296</v>
      </c>
      <c r="L5943">
        <v>672</v>
      </c>
      <c r="M5943">
        <v>0</v>
      </c>
      <c r="N5943" s="98" t="str">
        <f>IF(record[[#This Row],[Memo]]="Browser:chrome os:android","平板報工",IF(record[[#This Row],[Memo]]=0,"委外",record[[#This Row],[Memo]]))</f>
        <v>平板報工</v>
      </c>
      <c r="O5943" t="s">
        <v>643</v>
      </c>
      <c r="P5943" t="s">
        <v>182</v>
      </c>
      <c r="Q5943" t="s">
        <v>644</v>
      </c>
      <c r="R5943" t="str">
        <f>IFERROR(VLOOKUP(record[[#This Row],[PCUSTID]],廠商[],2,FALSE),"")</f>
        <v/>
      </c>
      <c r="S5943" t="str">
        <f>VLOOKUP(record[[#This Row],[employeeID]],員工[],2,FALSE)</f>
        <v>梅氏和</v>
      </c>
    </row>
    <row r="5944" spans="6:19" hidden="1" x14ac:dyDescent="0.25">
      <c r="F5944" t="s">
        <v>1290</v>
      </c>
      <c r="G5944" t="s">
        <v>416</v>
      </c>
      <c r="H5944" t="str">
        <f>VLOOKUP(record[[#This Row],[ProcessSN]],表格2_7[],2,FALSE)</f>
        <v>30-4118-018-5XX</v>
      </c>
      <c r="I5944" t="str">
        <f>VLOOKUP(record[[#This Row],[ProcessSN]],表格2_7[],3,FALSE)</f>
        <v>#05</v>
      </c>
      <c r="J5944" t="s">
        <v>588</v>
      </c>
      <c r="K5944" s="195">
        <v>46002.313460648147</v>
      </c>
      <c r="L5944">
        <v>250</v>
      </c>
      <c r="M5944">
        <v>0</v>
      </c>
      <c r="N5944" s="98" t="str">
        <f>IF(record[[#This Row],[Memo]]="Browser:chrome os:android","平板報工",IF(record[[#This Row],[Memo]]=0,"委外",record[[#This Row],[Memo]]))</f>
        <v/>
      </c>
      <c r="O5944" t="s">
        <v>58</v>
      </c>
      <c r="P5944" t="s">
        <v>843</v>
      </c>
      <c r="Q5944" t="s">
        <v>58</v>
      </c>
      <c r="R5944" t="str">
        <f>IFERROR(VLOOKUP(record[[#This Row],[PCUSTID]],廠商[],2,FALSE),"")</f>
        <v/>
      </c>
      <c r="S5944" t="str">
        <f>VLOOKUP(record[[#This Row],[employeeID]],員工[],2,FALSE)</f>
        <v>張楚承</v>
      </c>
    </row>
    <row r="5945" spans="6:19" hidden="1" x14ac:dyDescent="0.25">
      <c r="F5945" t="s">
        <v>1285</v>
      </c>
      <c r="G5945" t="s">
        <v>466</v>
      </c>
      <c r="H5945" t="str">
        <f>VLOOKUP(record[[#This Row],[ProcessSN]],表格2_7[],2,FALSE)</f>
        <v>30-4118-018-XXX</v>
      </c>
      <c r="I5945" t="str">
        <f>VLOOKUP(record[[#This Row],[ProcessSN]],表格2_7[],3,FALSE)</f>
        <v>#01-2</v>
      </c>
      <c r="J5945" t="s">
        <v>588</v>
      </c>
      <c r="K5945" s="195">
        <v>46002.313206018516</v>
      </c>
      <c r="L5945">
        <v>418</v>
      </c>
      <c r="M5945">
        <v>0</v>
      </c>
      <c r="N5945" s="98" t="str">
        <f>IF(record[[#This Row],[Memo]]="Browser:chrome os:android","平板報工",IF(record[[#This Row],[Memo]]=0,"委外",record[[#This Row],[Memo]]))</f>
        <v/>
      </c>
      <c r="O5945" t="s">
        <v>58</v>
      </c>
      <c r="P5945" t="s">
        <v>135</v>
      </c>
      <c r="Q5945" t="s">
        <v>58</v>
      </c>
      <c r="R5945" t="str">
        <f>IFERROR(VLOOKUP(record[[#This Row],[PCUSTID]],廠商[],2,FALSE),"")</f>
        <v/>
      </c>
      <c r="S5945" t="str">
        <f>VLOOKUP(record[[#This Row],[employeeID]],員工[],2,FALSE)</f>
        <v>阮士文</v>
      </c>
    </row>
    <row r="5946" spans="6:19" hidden="1" x14ac:dyDescent="0.25">
      <c r="F5946" t="s">
        <v>1290</v>
      </c>
      <c r="G5946" t="s">
        <v>415</v>
      </c>
      <c r="H5946" t="str">
        <f>VLOOKUP(record[[#This Row],[ProcessSN]],表格2_7[],2,FALSE)</f>
        <v>30-4118-018-5XX</v>
      </c>
      <c r="I5946" t="str">
        <f>VLOOKUP(record[[#This Row],[ProcessSN]],表格2_7[],3,FALSE)</f>
        <v>#04</v>
      </c>
      <c r="J5946" t="s">
        <v>588</v>
      </c>
      <c r="K5946" s="195">
        <v>46002.312673611108</v>
      </c>
      <c r="L5946">
        <v>133</v>
      </c>
      <c r="M5946">
        <v>1</v>
      </c>
      <c r="N5946" s="98" t="str">
        <f>IF(record[[#This Row],[Memo]]="Browser:chrome os:android","平板報工",IF(record[[#This Row],[Memo]]=0,"委外",record[[#This Row],[Memo]]))</f>
        <v/>
      </c>
      <c r="O5946" t="s">
        <v>58</v>
      </c>
      <c r="P5946" t="s">
        <v>135</v>
      </c>
      <c r="Q5946" t="s">
        <v>58</v>
      </c>
      <c r="R5946" t="str">
        <f>IFERROR(VLOOKUP(record[[#This Row],[PCUSTID]],廠商[],2,FALSE),"")</f>
        <v/>
      </c>
      <c r="S5946" t="str">
        <f>VLOOKUP(record[[#This Row],[employeeID]],員工[],2,FALSE)</f>
        <v>阮士文</v>
      </c>
    </row>
    <row r="5947" spans="6:19" hidden="1" x14ac:dyDescent="0.25">
      <c r="F5947" t="s">
        <v>1290</v>
      </c>
      <c r="G5947" t="s">
        <v>417</v>
      </c>
      <c r="H5947" t="str">
        <f>VLOOKUP(record[[#This Row],[ProcessSN]],表格2_7[],2,FALSE)</f>
        <v>30-4118-018-5XX</v>
      </c>
      <c r="I5947" t="str">
        <f>VLOOKUP(record[[#This Row],[ProcessSN]],表格2_7[],3,FALSE)</f>
        <v>#06</v>
      </c>
      <c r="J5947" t="s">
        <v>593</v>
      </c>
      <c r="K5947" s="195">
        <v>46001.97383101852</v>
      </c>
      <c r="L5947">
        <v>8</v>
      </c>
      <c r="M5947">
        <v>0</v>
      </c>
      <c r="N5947" s="98" t="str">
        <f>IF(record[[#This Row],[Memo]]="Browser:chrome os:android","平板報工",IF(record[[#This Row],[Memo]]=0,"委外",record[[#This Row],[Memo]]))</f>
        <v/>
      </c>
      <c r="O5947" t="s">
        <v>58</v>
      </c>
      <c r="P5947" t="s">
        <v>176</v>
      </c>
      <c r="Q5947" t="s">
        <v>58</v>
      </c>
      <c r="R5947" t="str">
        <f>IFERROR(VLOOKUP(record[[#This Row],[PCUSTID]],廠商[],2,FALSE),"")</f>
        <v/>
      </c>
      <c r="S5947" t="str">
        <f>VLOOKUP(record[[#This Row],[employeeID]],員工[],2,FALSE)</f>
        <v>郭政雄</v>
      </c>
    </row>
    <row r="5948" spans="6:19" hidden="1" x14ac:dyDescent="0.25">
      <c r="F5948" t="s">
        <v>1290</v>
      </c>
      <c r="G5948" t="s">
        <v>415</v>
      </c>
      <c r="H5948" t="str">
        <f>VLOOKUP(record[[#This Row],[ProcessSN]],表格2_7[],2,FALSE)</f>
        <v>30-4118-018-5XX</v>
      </c>
      <c r="I5948" t="str">
        <f>VLOOKUP(record[[#This Row],[ProcessSN]],表格2_7[],3,FALSE)</f>
        <v>#04</v>
      </c>
      <c r="J5948" t="s">
        <v>588</v>
      </c>
      <c r="K5948" s="195">
        <v>46001.972349537034</v>
      </c>
      <c r="L5948">
        <v>135</v>
      </c>
      <c r="M5948">
        <v>0</v>
      </c>
      <c r="N5948" s="98" t="str">
        <f>IF(record[[#This Row],[Memo]]="Browser:chrome os:android","平板報工",IF(record[[#This Row],[Memo]]=0,"委外",record[[#This Row],[Memo]]))</f>
        <v/>
      </c>
      <c r="O5948" t="s">
        <v>58</v>
      </c>
      <c r="P5948" t="s">
        <v>806</v>
      </c>
      <c r="Q5948" t="s">
        <v>58</v>
      </c>
      <c r="R5948" t="str">
        <f>IFERROR(VLOOKUP(record[[#This Row],[PCUSTID]],廠商[],2,FALSE),"")</f>
        <v/>
      </c>
      <c r="S5948" t="str">
        <f>VLOOKUP(record[[#This Row],[employeeID]],員工[],2,FALSE)</f>
        <v>方思緯</v>
      </c>
    </row>
    <row r="5949" spans="6:19" hidden="1" x14ac:dyDescent="0.25">
      <c r="F5949" t="s">
        <v>1285</v>
      </c>
      <c r="G5949" t="s">
        <v>466</v>
      </c>
      <c r="H5949" t="str">
        <f>VLOOKUP(record[[#This Row],[ProcessSN]],表格2_7[],2,FALSE)</f>
        <v>30-4118-018-XXX</v>
      </c>
      <c r="I5949" t="str">
        <f>VLOOKUP(record[[#This Row],[ProcessSN]],表格2_7[],3,FALSE)</f>
        <v>#01-2</v>
      </c>
      <c r="J5949" t="s">
        <v>588</v>
      </c>
      <c r="K5949" s="195">
        <v>46001.97184027778</v>
      </c>
      <c r="L5949">
        <v>539</v>
      </c>
      <c r="M5949">
        <v>0</v>
      </c>
      <c r="N5949" s="98" t="str">
        <f>IF(record[[#This Row],[Memo]]="Browser:chrome os:android","平板報工",IF(record[[#This Row],[Memo]]=0,"委外",record[[#This Row],[Memo]]))</f>
        <v/>
      </c>
      <c r="O5949" t="s">
        <v>58</v>
      </c>
      <c r="P5949" t="s">
        <v>1098</v>
      </c>
      <c r="Q5949" t="s">
        <v>58</v>
      </c>
      <c r="R5949" t="str">
        <f>IFERROR(VLOOKUP(record[[#This Row],[PCUSTID]],廠商[],2,FALSE),"")</f>
        <v/>
      </c>
      <c r="S5949" t="str">
        <f>VLOOKUP(record[[#This Row],[employeeID]],員工[],2,FALSE)</f>
        <v>阮氏芳英(英)</v>
      </c>
    </row>
    <row r="5950" spans="6:19" hidden="1" x14ac:dyDescent="0.25">
      <c r="F5950" t="s">
        <v>1285</v>
      </c>
      <c r="G5950" t="s">
        <v>465</v>
      </c>
      <c r="H5950" t="str">
        <f>VLOOKUP(record[[#This Row],[ProcessSN]],表格2_7[],2,FALSE)</f>
        <v>30-4118-018-XXX</v>
      </c>
      <c r="I5950" t="str">
        <f>VLOOKUP(record[[#This Row],[ProcessSN]],表格2_7[],3,FALSE)</f>
        <v>#01-1</v>
      </c>
      <c r="J5950" t="s">
        <v>588</v>
      </c>
      <c r="K5950" s="195">
        <v>46001.971550925926</v>
      </c>
      <c r="L5950">
        <v>968</v>
      </c>
      <c r="M5950">
        <v>0</v>
      </c>
      <c r="N5950" s="98" t="str">
        <f>IF(record[[#This Row],[Memo]]="Browser:chrome os:android","平板報工",IF(record[[#This Row],[Memo]]=0,"委外",record[[#This Row],[Memo]]))</f>
        <v/>
      </c>
      <c r="O5950" t="s">
        <v>58</v>
      </c>
      <c r="P5950" t="s">
        <v>1098</v>
      </c>
      <c r="Q5950" t="s">
        <v>58</v>
      </c>
      <c r="R5950" t="str">
        <f>IFERROR(VLOOKUP(record[[#This Row],[PCUSTID]],廠商[],2,FALSE),"")</f>
        <v/>
      </c>
      <c r="S5950" t="str">
        <f>VLOOKUP(record[[#This Row],[employeeID]],員工[],2,FALSE)</f>
        <v>阮氏芳英(英)</v>
      </c>
    </row>
    <row r="5951" spans="6:19" hidden="1" x14ac:dyDescent="0.25">
      <c r="F5951" t="s">
        <v>1290</v>
      </c>
      <c r="G5951" t="s">
        <v>416</v>
      </c>
      <c r="H5951" t="str">
        <f>VLOOKUP(record[[#This Row],[ProcessSN]],表格2_7[],2,FALSE)</f>
        <v>30-4118-018-5XX</v>
      </c>
      <c r="I5951" t="str">
        <f>VLOOKUP(record[[#This Row],[ProcessSN]],表格2_7[],3,FALSE)</f>
        <v>#05</v>
      </c>
      <c r="J5951" t="s">
        <v>588</v>
      </c>
      <c r="K5951" s="195">
        <v>46001.970590277779</v>
      </c>
      <c r="L5951">
        <v>284</v>
      </c>
      <c r="M5951">
        <v>0</v>
      </c>
      <c r="N5951" s="98" t="str">
        <f>IF(record[[#This Row],[Memo]]="Browser:chrome os:android","平板報工",IF(record[[#This Row],[Memo]]=0,"委外",record[[#This Row],[Memo]]))</f>
        <v/>
      </c>
      <c r="O5951" t="s">
        <v>58</v>
      </c>
      <c r="P5951" t="s">
        <v>89</v>
      </c>
      <c r="Q5951" t="s">
        <v>58</v>
      </c>
      <c r="R5951" t="str">
        <f>IFERROR(VLOOKUP(record[[#This Row],[PCUSTID]],廠商[],2,FALSE),"")</f>
        <v/>
      </c>
      <c r="S5951" t="str">
        <f>VLOOKUP(record[[#This Row],[employeeID]],員工[],2,FALSE)</f>
        <v>李美蓮</v>
      </c>
    </row>
    <row r="5952" spans="6:19" hidden="1" x14ac:dyDescent="0.25">
      <c r="F5952" t="s">
        <v>1275</v>
      </c>
      <c r="G5952" t="s">
        <v>417</v>
      </c>
      <c r="H5952" t="str">
        <f>VLOOKUP(record[[#This Row],[ProcessSN]],表格2_7[],2,FALSE)</f>
        <v>30-4118-018-5XX</v>
      </c>
      <c r="I5952" t="str">
        <f>VLOOKUP(record[[#This Row],[ProcessSN]],表格2_7[],3,FALSE)</f>
        <v>#06</v>
      </c>
      <c r="J5952" t="s">
        <v>593</v>
      </c>
      <c r="K5952" s="195">
        <v>46001.793877314813</v>
      </c>
      <c r="L5952">
        <v>126</v>
      </c>
      <c r="M5952">
        <v>1</v>
      </c>
      <c r="N5952" s="98" t="str">
        <f>IF(record[[#This Row],[Memo]]="Browser:chrome os:android","平板報工",IF(record[[#This Row],[Memo]]=0,"委外",record[[#This Row],[Memo]]))</f>
        <v/>
      </c>
      <c r="O5952" t="s">
        <v>58</v>
      </c>
      <c r="P5952" t="s">
        <v>176</v>
      </c>
      <c r="Q5952" t="s">
        <v>58</v>
      </c>
      <c r="R5952" t="str">
        <f>IFERROR(VLOOKUP(record[[#This Row],[PCUSTID]],廠商[],2,FALSE),"")</f>
        <v/>
      </c>
      <c r="S5952" t="str">
        <f>VLOOKUP(record[[#This Row],[employeeID]],員工[],2,FALSE)</f>
        <v>郭政雄</v>
      </c>
    </row>
    <row r="5953" spans="6:19" hidden="1" x14ac:dyDescent="0.25">
      <c r="F5953" t="s">
        <v>1302</v>
      </c>
      <c r="G5953" t="s">
        <v>399</v>
      </c>
      <c r="H5953" t="str">
        <f>VLOOKUP(record[[#This Row],[ProcessSN]],表格2_7[],2,FALSE)</f>
        <v>30-4118-018-550</v>
      </c>
      <c r="I5953" t="str">
        <f>VLOOKUP(record[[#This Row],[ProcessSN]],表格2_7[],3,FALSE)</f>
        <v>#08IQC</v>
      </c>
      <c r="J5953" t="s">
        <v>583</v>
      </c>
      <c r="K5953" s="195">
        <v>46001.686689814815</v>
      </c>
      <c r="L5953">
        <v>305</v>
      </c>
      <c r="M5953">
        <v>0</v>
      </c>
      <c r="N5953" s="98" t="str">
        <f>IF(record[[#This Row],[Memo]]="Browser:chrome os:android","平板報工",IF(record[[#This Row],[Memo]]=0,"委外",record[[#This Row],[Memo]]))</f>
        <v/>
      </c>
      <c r="O5953" t="s">
        <v>58</v>
      </c>
      <c r="P5953" t="s">
        <v>109</v>
      </c>
      <c r="Q5953" t="s">
        <v>58</v>
      </c>
      <c r="R5953" t="str">
        <f>IFERROR(VLOOKUP(record[[#This Row],[PCUSTID]],廠商[],2,FALSE),"")</f>
        <v/>
      </c>
      <c r="S5953" t="str">
        <f>VLOOKUP(record[[#This Row],[employeeID]],員工[],2,FALSE)</f>
        <v>裴氏璧鳳</v>
      </c>
    </row>
    <row r="5954" spans="6:19" hidden="1" x14ac:dyDescent="0.25">
      <c r="F5954" t="s">
        <v>1285</v>
      </c>
      <c r="G5954" t="s">
        <v>467</v>
      </c>
      <c r="H5954" t="str">
        <f>VLOOKUP(record[[#This Row],[ProcessSN]],表格2_7[],2,FALSE)</f>
        <v>30-4118-018-XXX</v>
      </c>
      <c r="I5954" t="str">
        <f>VLOOKUP(record[[#This Row],[ProcessSN]],表格2_7[],3,FALSE)</f>
        <v>#01QC</v>
      </c>
      <c r="J5954" t="s">
        <v>589</v>
      </c>
      <c r="K5954" s="195">
        <v>46001.680995370371</v>
      </c>
      <c r="L5954">
        <v>1176</v>
      </c>
      <c r="M5954">
        <v>0</v>
      </c>
      <c r="N5954" s="98" t="str">
        <f>IF(record[[#This Row],[Memo]]="Browser:chrome os:android","平板報工",IF(record[[#This Row],[Memo]]=0,"委外",record[[#This Row],[Memo]]))</f>
        <v>平板報工</v>
      </c>
      <c r="O5954" t="s">
        <v>643</v>
      </c>
      <c r="P5954" t="s">
        <v>182</v>
      </c>
      <c r="Q5954" t="s">
        <v>644</v>
      </c>
      <c r="R5954" t="str">
        <f>IFERROR(VLOOKUP(record[[#This Row],[PCUSTID]],廠商[],2,FALSE),"")</f>
        <v/>
      </c>
      <c r="S5954" t="str">
        <f>VLOOKUP(record[[#This Row],[employeeID]],員工[],2,FALSE)</f>
        <v>梅氏和</v>
      </c>
    </row>
    <row r="5955" spans="6:19" hidden="1" x14ac:dyDescent="0.25">
      <c r="F5955" t="s">
        <v>1209</v>
      </c>
      <c r="G5955" t="s">
        <v>470</v>
      </c>
      <c r="H5955" t="str">
        <f>VLOOKUP(record[[#This Row],[ProcessSN]],表格2_7[],2,FALSE)</f>
        <v>30-4118-018-XXX</v>
      </c>
      <c r="I5955" t="str">
        <f>VLOOKUP(record[[#This Row],[ProcessSN]],表格2_7[],3,FALSE)</f>
        <v>#02IQC</v>
      </c>
      <c r="J5955" t="s">
        <v>583</v>
      </c>
      <c r="K5955" s="195">
        <v>46001.666168981479</v>
      </c>
      <c r="L5955">
        <v>827</v>
      </c>
      <c r="M5955">
        <v>0</v>
      </c>
      <c r="N5955" s="98" t="str">
        <f>IF(record[[#This Row],[Memo]]="Browser:chrome os:android","平板報工",IF(record[[#This Row],[Memo]]=0,"委外",record[[#This Row],[Memo]]))</f>
        <v/>
      </c>
      <c r="O5955" t="s">
        <v>58</v>
      </c>
      <c r="P5955" t="s">
        <v>109</v>
      </c>
      <c r="Q5955" t="s">
        <v>58</v>
      </c>
      <c r="R5955" t="str">
        <f>IFERROR(VLOOKUP(record[[#This Row],[PCUSTID]],廠商[],2,FALSE),"")</f>
        <v/>
      </c>
      <c r="S5955" t="str">
        <f>VLOOKUP(record[[#This Row],[employeeID]],員工[],2,FALSE)</f>
        <v>裴氏璧鳳</v>
      </c>
    </row>
    <row r="5956" spans="6:19" hidden="1" x14ac:dyDescent="0.25">
      <c r="F5956" t="s">
        <v>1302</v>
      </c>
      <c r="G5956" t="s">
        <v>398</v>
      </c>
      <c r="H5956" t="str">
        <f>VLOOKUP(record[[#This Row],[ProcessSN]],表格2_7[],2,FALSE)</f>
        <v>30-4118-018-550</v>
      </c>
      <c r="I5956" t="str">
        <f>VLOOKUP(record[[#This Row],[ProcessSN]],表格2_7[],3,FALSE)</f>
        <v>#08RCV</v>
      </c>
      <c r="J5956" t="s">
        <v>591</v>
      </c>
      <c r="K5956" s="195">
        <v>46001.663726851853</v>
      </c>
      <c r="L5956">
        <v>305</v>
      </c>
      <c r="M5956">
        <v>0</v>
      </c>
      <c r="N5956" s="98" t="str">
        <f>IF(record[[#This Row],[Memo]]="Browser:chrome os:android","平板報工",IF(record[[#This Row],[Memo]]=0,"委外",record[[#This Row],[Memo]]))</f>
        <v/>
      </c>
      <c r="O5956" t="s">
        <v>58</v>
      </c>
      <c r="P5956" t="s">
        <v>186</v>
      </c>
      <c r="Q5956" t="s">
        <v>58</v>
      </c>
      <c r="R5956" t="str">
        <f>IFERROR(VLOOKUP(record[[#This Row],[PCUSTID]],廠商[],2,FALSE),"")</f>
        <v/>
      </c>
      <c r="S5956" t="str">
        <f>VLOOKUP(record[[#This Row],[employeeID]],員工[],2,FALSE)</f>
        <v>許文姍</v>
      </c>
    </row>
    <row r="5957" spans="6:19" hidden="1" x14ac:dyDescent="0.25">
      <c r="F5957" t="s">
        <v>1286</v>
      </c>
      <c r="G5957" t="s">
        <v>362</v>
      </c>
      <c r="H5957" t="str">
        <f>VLOOKUP(record[[#This Row],[ProcessSN]],表格2_7[],2,FALSE)</f>
        <v>30-4118-018-450</v>
      </c>
      <c r="I5957" t="str">
        <f>VLOOKUP(record[[#This Row],[ProcessSN]],表格2_7[],3,FALSE)</f>
        <v>#100SHIP</v>
      </c>
      <c r="J5957" t="s">
        <v>600</v>
      </c>
      <c r="K5957" s="195">
        <v>46001.662974537037</v>
      </c>
      <c r="L5957">
        <v>50</v>
      </c>
      <c r="M5957">
        <v>0</v>
      </c>
      <c r="N5957" s="98" t="str">
        <f>IF(record[[#This Row],[Memo]]="Browser:chrome os:android","平板報工",IF(record[[#This Row],[Memo]]=0,"委外",record[[#This Row],[Memo]]))</f>
        <v/>
      </c>
      <c r="O5957" t="s">
        <v>58</v>
      </c>
      <c r="P5957" t="s">
        <v>886</v>
      </c>
      <c r="Q5957" t="s">
        <v>58</v>
      </c>
      <c r="R5957" t="str">
        <f>IFERROR(VLOOKUP(record[[#This Row],[PCUSTID]],廠商[],2,FALSE),"")</f>
        <v/>
      </c>
      <c r="S5957" t="str">
        <f>VLOOKUP(record[[#This Row],[employeeID]],員工[],2,FALSE)</f>
        <v>謝蓁薰</v>
      </c>
    </row>
    <row r="5958" spans="6:19" hidden="1" x14ac:dyDescent="0.25">
      <c r="F5958" t="s">
        <v>1286</v>
      </c>
      <c r="G5958" t="s">
        <v>361</v>
      </c>
      <c r="H5958" t="str">
        <f>VLOOKUP(record[[#This Row],[ProcessSN]],表格2_7[],2,FALSE)</f>
        <v>30-4118-018-450</v>
      </c>
      <c r="I5958" t="str">
        <f>VLOOKUP(record[[#This Row],[ProcessSN]],表格2_7[],3,FALSE)</f>
        <v>#100STOCK</v>
      </c>
      <c r="J5958" t="s">
        <v>592</v>
      </c>
      <c r="K5958" s="195">
        <v>46001.662835648145</v>
      </c>
      <c r="L5958">
        <v>50</v>
      </c>
      <c r="M5958">
        <v>0</v>
      </c>
      <c r="N5958" s="98" t="str">
        <f>IF(record[[#This Row],[Memo]]="Browser:chrome os:android","平板報工",IF(record[[#This Row],[Memo]]=0,"委外",record[[#This Row],[Memo]]))</f>
        <v/>
      </c>
      <c r="O5958" t="s">
        <v>58</v>
      </c>
      <c r="P5958" t="s">
        <v>886</v>
      </c>
      <c r="Q5958" t="s">
        <v>58</v>
      </c>
      <c r="R5958" t="str">
        <f>IFERROR(VLOOKUP(record[[#This Row],[PCUSTID]],廠商[],2,FALSE),"")</f>
        <v/>
      </c>
      <c r="S5958" t="str">
        <f>VLOOKUP(record[[#This Row],[employeeID]],員工[],2,FALSE)</f>
        <v>謝蓁薰</v>
      </c>
    </row>
    <row r="5959" spans="6:19" hidden="1" x14ac:dyDescent="0.25">
      <c r="F5959" t="s">
        <v>1275</v>
      </c>
      <c r="G5959" t="s">
        <v>417</v>
      </c>
      <c r="H5959" t="str">
        <f>VLOOKUP(record[[#This Row],[ProcessSN]],表格2_7[],2,FALSE)</f>
        <v>30-4118-018-5XX</v>
      </c>
      <c r="I5959" t="str">
        <f>VLOOKUP(record[[#This Row],[ProcessSN]],表格2_7[],3,FALSE)</f>
        <v>#06</v>
      </c>
      <c r="J5959" t="s">
        <v>593</v>
      </c>
      <c r="K5959" s="195">
        <v>46001.658564814818</v>
      </c>
      <c r="L5959">
        <v>110</v>
      </c>
      <c r="M5959">
        <v>0</v>
      </c>
      <c r="N5959" s="98" t="str">
        <f>IF(record[[#This Row],[Memo]]="Browser:chrome os:android","平板報工",IF(record[[#This Row],[Memo]]=0,"委外",record[[#This Row],[Memo]]))</f>
        <v/>
      </c>
      <c r="O5959" t="s">
        <v>58</v>
      </c>
      <c r="P5959" t="s">
        <v>145</v>
      </c>
      <c r="Q5959" t="s">
        <v>58</v>
      </c>
      <c r="R5959" t="str">
        <f>IFERROR(VLOOKUP(record[[#This Row],[PCUSTID]],廠商[],2,FALSE),"")</f>
        <v/>
      </c>
      <c r="S5959" t="str">
        <f>VLOOKUP(record[[#This Row],[employeeID]],員工[],2,FALSE)</f>
        <v>阮秋霞</v>
      </c>
    </row>
    <row r="5960" spans="6:19" hidden="1" x14ac:dyDescent="0.25">
      <c r="F5960" t="s">
        <v>1285</v>
      </c>
      <c r="G5960" t="s">
        <v>466</v>
      </c>
      <c r="H5960" t="str">
        <f>VLOOKUP(record[[#This Row],[ProcessSN]],表格2_7[],2,FALSE)</f>
        <v>30-4118-018-XXX</v>
      </c>
      <c r="I5960" t="str">
        <f>VLOOKUP(record[[#This Row],[ProcessSN]],表格2_7[],3,FALSE)</f>
        <v>#01-2</v>
      </c>
      <c r="J5960" t="s">
        <v>588</v>
      </c>
      <c r="K5960" s="195">
        <v>46001.654953703706</v>
      </c>
      <c r="L5960">
        <v>504</v>
      </c>
      <c r="M5960">
        <v>0</v>
      </c>
      <c r="N5960" s="98" t="str">
        <f>IF(record[[#This Row],[Memo]]="Browser:chrome os:android","平板報工",IF(record[[#This Row],[Memo]]=0,"委外",record[[#This Row],[Memo]]))</f>
        <v/>
      </c>
      <c r="O5960" t="s">
        <v>58</v>
      </c>
      <c r="P5960" t="s">
        <v>107</v>
      </c>
      <c r="Q5960" t="s">
        <v>58</v>
      </c>
      <c r="R5960" t="str">
        <f>IFERROR(VLOOKUP(record[[#This Row],[PCUSTID]],廠商[],2,FALSE),"")</f>
        <v/>
      </c>
      <c r="S5960" t="str">
        <f>VLOOKUP(record[[#This Row],[employeeID]],員工[],2,FALSE)</f>
        <v>黎氏順</v>
      </c>
    </row>
    <row r="5961" spans="6:19" hidden="1" x14ac:dyDescent="0.25">
      <c r="F5961" t="s">
        <v>1285</v>
      </c>
      <c r="G5961" t="s">
        <v>465</v>
      </c>
      <c r="H5961" t="str">
        <f>VLOOKUP(record[[#This Row],[ProcessSN]],表格2_7[],2,FALSE)</f>
        <v>30-4118-018-XXX</v>
      </c>
      <c r="I5961" t="str">
        <f>VLOOKUP(record[[#This Row],[ProcessSN]],表格2_7[],3,FALSE)</f>
        <v>#01-1</v>
      </c>
      <c r="J5961" t="s">
        <v>588</v>
      </c>
      <c r="K5961" s="195">
        <v>46001.654004629629</v>
      </c>
      <c r="L5961">
        <v>494</v>
      </c>
      <c r="M5961">
        <v>0</v>
      </c>
      <c r="N5961" s="98" t="str">
        <f>IF(record[[#This Row],[Memo]]="Browser:chrome os:android","平板報工",IF(record[[#This Row],[Memo]]=0,"委外",record[[#This Row],[Memo]]))</f>
        <v/>
      </c>
      <c r="O5961" t="s">
        <v>58</v>
      </c>
      <c r="P5961" t="s">
        <v>107</v>
      </c>
      <c r="Q5961" t="s">
        <v>58</v>
      </c>
      <c r="R5961" t="str">
        <f>IFERROR(VLOOKUP(record[[#This Row],[PCUSTID]],廠商[],2,FALSE),"")</f>
        <v/>
      </c>
      <c r="S5961" t="str">
        <f>VLOOKUP(record[[#This Row],[employeeID]],員工[],2,FALSE)</f>
        <v>黎氏順</v>
      </c>
    </row>
    <row r="5962" spans="6:19" hidden="1" x14ac:dyDescent="0.25">
      <c r="F5962" t="s">
        <v>1275</v>
      </c>
      <c r="G5962" t="s">
        <v>416</v>
      </c>
      <c r="H5962" t="str">
        <f>VLOOKUP(record[[#This Row],[ProcessSN]],表格2_7[],2,FALSE)</f>
        <v>30-4118-018-5XX</v>
      </c>
      <c r="I5962" t="str">
        <f>VLOOKUP(record[[#This Row],[ProcessSN]],表格2_7[],3,FALSE)</f>
        <v>#05</v>
      </c>
      <c r="J5962" t="s">
        <v>588</v>
      </c>
      <c r="K5962" s="195">
        <v>46001.653298611112</v>
      </c>
      <c r="L5962">
        <v>118</v>
      </c>
      <c r="M5962">
        <v>0</v>
      </c>
      <c r="N5962" s="98" t="str">
        <f>IF(record[[#This Row],[Memo]]="Browser:chrome os:android","平板報工",IF(record[[#This Row],[Memo]]=0,"委外",record[[#This Row],[Memo]]))</f>
        <v/>
      </c>
      <c r="O5962" t="s">
        <v>58</v>
      </c>
      <c r="P5962" t="s">
        <v>785</v>
      </c>
      <c r="Q5962" t="s">
        <v>58</v>
      </c>
      <c r="R5962" t="str">
        <f>IFERROR(VLOOKUP(record[[#This Row],[PCUSTID]],廠商[],2,FALSE),"")</f>
        <v/>
      </c>
      <c r="S5962" t="str">
        <f>VLOOKUP(record[[#This Row],[employeeID]],員工[],2,FALSE)</f>
        <v>謝刻光</v>
      </c>
    </row>
    <row r="5963" spans="6:19" hidden="1" x14ac:dyDescent="0.25">
      <c r="F5963" t="s">
        <v>1290</v>
      </c>
      <c r="G5963" t="s">
        <v>415</v>
      </c>
      <c r="H5963" t="str">
        <f>VLOOKUP(record[[#This Row],[ProcessSN]],表格2_7[],2,FALSE)</f>
        <v>30-4118-018-5XX</v>
      </c>
      <c r="I5963" t="str">
        <f>VLOOKUP(record[[#This Row],[ProcessSN]],表格2_7[],3,FALSE)</f>
        <v>#04</v>
      </c>
      <c r="J5963" t="s">
        <v>588</v>
      </c>
      <c r="K5963" s="195">
        <v>46001.652731481481</v>
      </c>
      <c r="L5963">
        <v>136</v>
      </c>
      <c r="M5963">
        <v>0</v>
      </c>
      <c r="N5963" s="98" t="str">
        <f>IF(record[[#This Row],[Memo]]="Browser:chrome os:android","平板報工",IF(record[[#This Row],[Memo]]=0,"委外",record[[#This Row],[Memo]]))</f>
        <v/>
      </c>
      <c r="O5963" t="s">
        <v>58</v>
      </c>
      <c r="P5963" t="s">
        <v>145</v>
      </c>
      <c r="Q5963" t="s">
        <v>58</v>
      </c>
      <c r="R5963" t="str">
        <f>IFERROR(VLOOKUP(record[[#This Row],[PCUSTID]],廠商[],2,FALSE),"")</f>
        <v/>
      </c>
      <c r="S5963" t="str">
        <f>VLOOKUP(record[[#This Row],[employeeID]],員工[],2,FALSE)</f>
        <v>阮秋霞</v>
      </c>
    </row>
    <row r="5964" spans="6:19" hidden="1" x14ac:dyDescent="0.25">
      <c r="F5964" t="s">
        <v>1286</v>
      </c>
      <c r="G5964" t="s">
        <v>360</v>
      </c>
      <c r="H5964" t="str">
        <f>VLOOKUP(record[[#This Row],[ProcessSN]],表格2_7[],2,FALSE)</f>
        <v>30-4118-018-450</v>
      </c>
      <c r="I5964" t="str">
        <f>VLOOKUP(record[[#This Row],[ProcessSN]],表格2_7[],3,FALSE)</f>
        <v>#100OQC</v>
      </c>
      <c r="J5964" t="s">
        <v>599</v>
      </c>
      <c r="K5964" s="195">
        <v>46001.643634259257</v>
      </c>
      <c r="L5964">
        <v>231</v>
      </c>
      <c r="M5964">
        <v>0</v>
      </c>
      <c r="N5964" s="98" t="str">
        <f>IF(record[[#This Row],[Memo]]="Browser:chrome os:android","平板報工",IF(record[[#This Row],[Memo]]=0,"委外",record[[#This Row],[Memo]]))</f>
        <v/>
      </c>
      <c r="O5964" t="s">
        <v>58</v>
      </c>
      <c r="P5964" t="s">
        <v>121</v>
      </c>
      <c r="Q5964" t="s">
        <v>58</v>
      </c>
      <c r="R5964" t="str">
        <f>IFERROR(VLOOKUP(record[[#This Row],[PCUSTID]],廠商[],2,FALSE),"")</f>
        <v/>
      </c>
      <c r="S5964" t="str">
        <f>VLOOKUP(record[[#This Row],[employeeID]],員工[],2,FALSE)</f>
        <v>謝素卿</v>
      </c>
    </row>
    <row r="5965" spans="6:19" hidden="1" x14ac:dyDescent="0.25">
      <c r="F5965" t="s">
        <v>1315</v>
      </c>
      <c r="G5965" t="s">
        <v>356</v>
      </c>
      <c r="H5965" t="str">
        <f>VLOOKUP(record[[#This Row],[ProcessSN]],表格2_7[],2,FALSE)</f>
        <v>30-4118-018-450</v>
      </c>
      <c r="I5965" t="str">
        <f>VLOOKUP(record[[#This Row],[ProcessSN]],表格2_7[],3,FALSE)</f>
        <v>#08</v>
      </c>
      <c r="J5965" t="s">
        <v>597</v>
      </c>
      <c r="K5965" s="195">
        <v>46001.63003472222</v>
      </c>
      <c r="L5965">
        <v>341</v>
      </c>
      <c r="M5965">
        <v>0</v>
      </c>
      <c r="N5965" s="98" t="str">
        <f>IF(record[[#This Row],[Memo]]="Browser:chrome os:android","平板報工",IF(record[[#This Row],[Memo]]=0,"委外",record[[#This Row],[Memo]]))</f>
        <v>委外</v>
      </c>
      <c r="P5965" t="s">
        <v>186</v>
      </c>
      <c r="Q5965" t="s">
        <v>287</v>
      </c>
      <c r="R5965" t="str">
        <f>IFERROR(VLOOKUP(record[[#This Row],[PCUSTID]],廠商[],2,FALSE),"")</f>
        <v>泉盛</v>
      </c>
      <c r="S5965" t="str">
        <f>VLOOKUP(record[[#This Row],[employeeID]],員工[],2,FALSE)</f>
        <v>許文姍</v>
      </c>
    </row>
    <row r="5966" spans="6:19" hidden="1" x14ac:dyDescent="0.25">
      <c r="F5966" t="s">
        <v>1317</v>
      </c>
      <c r="G5966" t="s">
        <v>397</v>
      </c>
      <c r="H5966" t="str">
        <f>VLOOKUP(record[[#This Row],[ProcessSN]],表格2_7[],2,FALSE)</f>
        <v>30-4118-018-550</v>
      </c>
      <c r="I5966" t="str">
        <f>VLOOKUP(record[[#This Row],[ProcessSN]],表格2_7[],3,FALSE)</f>
        <v>#08</v>
      </c>
      <c r="J5966" t="s">
        <v>597</v>
      </c>
      <c r="K5966" s="195">
        <v>46001.628587962965</v>
      </c>
      <c r="L5966">
        <v>145</v>
      </c>
      <c r="M5966">
        <v>0</v>
      </c>
      <c r="N5966" s="98" t="str">
        <f>IF(record[[#This Row],[Memo]]="Browser:chrome os:android","平板報工",IF(record[[#This Row],[Memo]]=0,"委外",record[[#This Row],[Memo]]))</f>
        <v>委外</v>
      </c>
      <c r="P5966" t="s">
        <v>186</v>
      </c>
      <c r="Q5966" t="s">
        <v>287</v>
      </c>
      <c r="R5966" t="str">
        <f>IFERROR(VLOOKUP(record[[#This Row],[PCUSTID]],廠商[],2,FALSE),"")</f>
        <v>泉盛</v>
      </c>
      <c r="S5966" t="str">
        <f>VLOOKUP(record[[#This Row],[employeeID]],員工[],2,FALSE)</f>
        <v>許文姍</v>
      </c>
    </row>
    <row r="5967" spans="6:19" hidden="1" x14ac:dyDescent="0.25">
      <c r="F5967" t="s">
        <v>1286</v>
      </c>
      <c r="G5967" t="s">
        <v>359</v>
      </c>
      <c r="H5967" t="str">
        <f>VLOOKUP(record[[#This Row],[ProcessSN]],表格2_7[],2,FALSE)</f>
        <v>30-4118-018-450</v>
      </c>
      <c r="I5967" t="str">
        <f>VLOOKUP(record[[#This Row],[ProcessSN]],表格2_7[],3,FALSE)</f>
        <v>#100</v>
      </c>
      <c r="J5967" t="s">
        <v>598</v>
      </c>
      <c r="K5967" s="195">
        <v>46001.616539351853</v>
      </c>
      <c r="L5967">
        <v>231</v>
      </c>
      <c r="M5967">
        <v>0</v>
      </c>
      <c r="N5967" s="98" t="str">
        <f>IF(record[[#This Row],[Memo]]="Browser:chrome os:android","平板報工",IF(record[[#This Row],[Memo]]=0,"委外",record[[#This Row],[Memo]]))</f>
        <v/>
      </c>
      <c r="O5967" t="s">
        <v>58</v>
      </c>
      <c r="P5967" t="s">
        <v>141</v>
      </c>
      <c r="Q5967" t="s">
        <v>58</v>
      </c>
      <c r="R5967" t="str">
        <f>IFERROR(VLOOKUP(record[[#This Row],[PCUSTID]],廠商[],2,FALSE),"")</f>
        <v/>
      </c>
      <c r="S5967" t="str">
        <f>VLOOKUP(record[[#This Row],[employeeID]],員工[],2,FALSE)</f>
        <v>蔣梅</v>
      </c>
    </row>
    <row r="5968" spans="6:19" hidden="1" x14ac:dyDescent="0.25">
      <c r="F5968" t="s">
        <v>1286</v>
      </c>
      <c r="G5968" t="s">
        <v>358</v>
      </c>
      <c r="H5968" t="str">
        <f>VLOOKUP(record[[#This Row],[ProcessSN]],表格2_7[],2,FALSE)</f>
        <v>30-4118-018-450</v>
      </c>
      <c r="I5968" t="str">
        <f>VLOOKUP(record[[#This Row],[ProcessSN]],表格2_7[],3,FALSE)</f>
        <v>#08IQC</v>
      </c>
      <c r="J5968" t="s">
        <v>583</v>
      </c>
      <c r="K5968" s="195">
        <v>46001.616284722222</v>
      </c>
      <c r="L5968">
        <v>12</v>
      </c>
      <c r="M5968">
        <v>0</v>
      </c>
      <c r="N5968" s="98" t="str">
        <f>IF(record[[#This Row],[Memo]]="Browser:chrome os:android","平板報工",IF(record[[#This Row],[Memo]]=0,"委外",record[[#This Row],[Memo]]))</f>
        <v>覆回</v>
      </c>
      <c r="O5968" t="s">
        <v>682</v>
      </c>
      <c r="P5968" t="s">
        <v>141</v>
      </c>
      <c r="Q5968" t="s">
        <v>58</v>
      </c>
      <c r="R5968" t="str">
        <f>IFERROR(VLOOKUP(record[[#This Row],[PCUSTID]],廠商[],2,FALSE),"")</f>
        <v/>
      </c>
      <c r="S5968" t="str">
        <f>VLOOKUP(record[[#This Row],[employeeID]],員工[],2,FALSE)</f>
        <v>蔣梅</v>
      </c>
    </row>
    <row r="5969" spans="6:19" hidden="1" x14ac:dyDescent="0.25">
      <c r="F5969" t="s">
        <v>1286</v>
      </c>
      <c r="G5969" t="s">
        <v>357</v>
      </c>
      <c r="H5969" t="str">
        <f>VLOOKUP(record[[#This Row],[ProcessSN]],表格2_7[],2,FALSE)</f>
        <v>30-4118-018-450</v>
      </c>
      <c r="I5969" t="str">
        <f>VLOOKUP(record[[#This Row],[ProcessSN]],表格2_7[],3,FALSE)</f>
        <v>#08RCV</v>
      </c>
      <c r="J5969" t="s">
        <v>591</v>
      </c>
      <c r="K5969" s="195">
        <v>46001.616006944445</v>
      </c>
      <c r="L5969">
        <v>0</v>
      </c>
      <c r="M5969">
        <v>17</v>
      </c>
      <c r="N5969" s="98" t="str">
        <f>IF(record[[#This Row],[Memo]]="Browser:chrome os:android","平板報工",IF(record[[#This Row],[Memo]]=0,"委外",record[[#This Row],[Memo]]))</f>
        <v/>
      </c>
      <c r="O5969" t="s">
        <v>58</v>
      </c>
      <c r="P5969" t="s">
        <v>141</v>
      </c>
      <c r="Q5969" t="s">
        <v>58</v>
      </c>
      <c r="R5969" t="str">
        <f>IFERROR(VLOOKUP(record[[#This Row],[PCUSTID]],廠商[],2,FALSE),"")</f>
        <v/>
      </c>
      <c r="S5969" t="str">
        <f>VLOOKUP(record[[#This Row],[employeeID]],員工[],2,FALSE)</f>
        <v>蔣梅</v>
      </c>
    </row>
    <row r="5970" spans="6:19" hidden="1" x14ac:dyDescent="0.25">
      <c r="F5970" t="s">
        <v>1286</v>
      </c>
      <c r="G5970" t="s">
        <v>357</v>
      </c>
      <c r="H5970" t="str">
        <f>VLOOKUP(record[[#This Row],[ProcessSN]],表格2_7[],2,FALSE)</f>
        <v>30-4118-018-450</v>
      </c>
      <c r="I5970" t="str">
        <f>VLOOKUP(record[[#This Row],[ProcessSN]],表格2_7[],3,FALSE)</f>
        <v>#08RCV</v>
      </c>
      <c r="J5970" t="s">
        <v>591</v>
      </c>
      <c r="K5970" s="195">
        <v>46001.61582175926</v>
      </c>
      <c r="L5970">
        <v>12</v>
      </c>
      <c r="M5970">
        <v>0</v>
      </c>
      <c r="N5970" s="98" t="str">
        <f>IF(record[[#This Row],[Memo]]="Browser:chrome os:android","平板報工",IF(record[[#This Row],[Memo]]=0,"委外",record[[#This Row],[Memo]]))</f>
        <v>覆回</v>
      </c>
      <c r="O5970" t="s">
        <v>682</v>
      </c>
      <c r="P5970" t="s">
        <v>141</v>
      </c>
      <c r="Q5970" t="s">
        <v>58</v>
      </c>
      <c r="R5970" t="str">
        <f>IFERROR(VLOOKUP(record[[#This Row],[PCUSTID]],廠商[],2,FALSE),"")</f>
        <v/>
      </c>
      <c r="S5970" t="str">
        <f>VLOOKUP(record[[#This Row],[employeeID]],員工[],2,FALSE)</f>
        <v>蔣梅</v>
      </c>
    </row>
    <row r="5971" spans="6:19" hidden="1" x14ac:dyDescent="0.25">
      <c r="F5971" t="s">
        <v>1253</v>
      </c>
      <c r="G5971" t="s">
        <v>418</v>
      </c>
      <c r="H5971" t="str">
        <f>VLOOKUP(record[[#This Row],[ProcessSN]],表格2_7[],2,FALSE)</f>
        <v>30-4118-018-5XX</v>
      </c>
      <c r="I5971" t="str">
        <f>VLOOKUP(record[[#This Row],[ProcessSN]],表格2_7[],3,FALSE)</f>
        <v>#07</v>
      </c>
      <c r="J5971" t="s">
        <v>588</v>
      </c>
      <c r="K5971" s="195">
        <v>46001.602708333332</v>
      </c>
      <c r="L5971">
        <v>167</v>
      </c>
      <c r="M5971">
        <v>0</v>
      </c>
      <c r="N5971" s="98" t="str">
        <f>IF(record[[#This Row],[Memo]]="Browser:chrome os:android","平板報工",IF(record[[#This Row],[Memo]]=0,"委外",record[[#This Row],[Memo]]))</f>
        <v>12/4</v>
      </c>
      <c r="O5971" t="s">
        <v>1304</v>
      </c>
      <c r="P5971" t="s">
        <v>785</v>
      </c>
      <c r="Q5971" t="s">
        <v>58</v>
      </c>
      <c r="R5971" t="str">
        <f>IFERROR(VLOOKUP(record[[#This Row],[PCUSTID]],廠商[],2,FALSE),"")</f>
        <v/>
      </c>
      <c r="S5971" t="str">
        <f>VLOOKUP(record[[#This Row],[employeeID]],員工[],2,FALSE)</f>
        <v>謝刻光</v>
      </c>
    </row>
    <row r="5972" spans="6:19" hidden="1" x14ac:dyDescent="0.25">
      <c r="F5972" t="s">
        <v>1315</v>
      </c>
      <c r="G5972" t="s">
        <v>355</v>
      </c>
      <c r="H5972" t="str">
        <f>VLOOKUP(record[[#This Row],[ProcessSN]],表格2_7[],2,FALSE)</f>
        <v>30-4118-018-450</v>
      </c>
      <c r="I5972" t="str">
        <f>VLOOKUP(record[[#This Row],[ProcessSN]],表格2_7[],3,FALSE)</f>
        <v>#08PICK</v>
      </c>
      <c r="J5972" t="s">
        <v>582</v>
      </c>
      <c r="K5972" s="195">
        <v>46001.551435185182</v>
      </c>
      <c r="L5972">
        <v>341</v>
      </c>
      <c r="M5972">
        <v>0</v>
      </c>
      <c r="N5972" s="98" t="str">
        <f>IF(record[[#This Row],[Memo]]="Browser:chrome os:android","平板報工",IF(record[[#This Row],[Memo]]=0,"委外",record[[#This Row],[Memo]]))</f>
        <v>341</v>
      </c>
      <c r="O5972" t="s">
        <v>1318</v>
      </c>
      <c r="P5972" t="s">
        <v>186</v>
      </c>
      <c r="Q5972" t="s">
        <v>58</v>
      </c>
      <c r="R5972" t="str">
        <f>IFERROR(VLOOKUP(record[[#This Row],[PCUSTID]],廠商[],2,FALSE),"")</f>
        <v/>
      </c>
      <c r="S5972" t="str">
        <f>VLOOKUP(record[[#This Row],[employeeID]],員工[],2,FALSE)</f>
        <v>許文姍</v>
      </c>
    </row>
    <row r="5973" spans="6:19" hidden="1" x14ac:dyDescent="0.25">
      <c r="F5973" t="s">
        <v>1317</v>
      </c>
      <c r="G5973" t="s">
        <v>396</v>
      </c>
      <c r="H5973" t="str">
        <f>VLOOKUP(record[[#This Row],[ProcessSN]],表格2_7[],2,FALSE)</f>
        <v>30-4118-018-550</v>
      </c>
      <c r="I5973" t="str">
        <f>VLOOKUP(record[[#This Row],[ProcessSN]],表格2_7[],3,FALSE)</f>
        <v>#08PICK</v>
      </c>
      <c r="J5973" t="s">
        <v>582</v>
      </c>
      <c r="K5973" s="195">
        <v>46001.551319444443</v>
      </c>
      <c r="L5973">
        <v>145</v>
      </c>
      <c r="M5973">
        <v>0</v>
      </c>
      <c r="N5973" s="98" t="str">
        <f>IF(record[[#This Row],[Memo]]="Browser:chrome os:android","平板報工",IF(record[[#This Row],[Memo]]=0,"委外",record[[#This Row],[Memo]]))</f>
        <v/>
      </c>
      <c r="O5973" t="s">
        <v>58</v>
      </c>
      <c r="P5973" t="s">
        <v>186</v>
      </c>
      <c r="Q5973" t="s">
        <v>58</v>
      </c>
      <c r="R5973" t="str">
        <f>IFERROR(VLOOKUP(record[[#This Row],[PCUSTID]],廠商[],2,FALSE),"")</f>
        <v/>
      </c>
      <c r="S5973" t="str">
        <f>VLOOKUP(record[[#This Row],[employeeID]],員工[],2,FALSE)</f>
        <v>許文姍</v>
      </c>
    </row>
    <row r="5974" spans="6:19" hidden="1" x14ac:dyDescent="0.25">
      <c r="F5974" t="s">
        <v>1270</v>
      </c>
      <c r="G5974" t="s">
        <v>379</v>
      </c>
      <c r="H5974" t="str">
        <f>VLOOKUP(record[[#This Row],[ProcessSN]],表格2_7[],2,FALSE)</f>
        <v>30-4118-018-4XX</v>
      </c>
      <c r="I5974" t="str">
        <f>VLOOKUP(record[[#This Row],[ProcessSN]],表格2_7[],3,FALSE)</f>
        <v>#07STOCK</v>
      </c>
      <c r="J5974" t="s">
        <v>592</v>
      </c>
      <c r="K5974" s="195">
        <v>46001.548680555556</v>
      </c>
      <c r="L5974">
        <v>325</v>
      </c>
      <c r="M5974">
        <v>0</v>
      </c>
      <c r="N5974" s="98" t="str">
        <f>IF(record[[#This Row],[Memo]]="Browser:chrome os:android","平板報工",IF(record[[#This Row],[Memo]]=0,"委外",record[[#This Row],[Memo]]))</f>
        <v/>
      </c>
      <c r="O5974" t="s">
        <v>58</v>
      </c>
      <c r="P5974" t="s">
        <v>186</v>
      </c>
      <c r="Q5974" t="s">
        <v>58</v>
      </c>
      <c r="R5974" t="str">
        <f>IFERROR(VLOOKUP(record[[#This Row],[PCUSTID]],廠商[],2,FALSE),"")</f>
        <v/>
      </c>
      <c r="S5974" t="str">
        <f>VLOOKUP(record[[#This Row],[employeeID]],員工[],2,FALSE)</f>
        <v>許文姍</v>
      </c>
    </row>
    <row r="5975" spans="6:19" hidden="1" x14ac:dyDescent="0.25">
      <c r="F5975" t="s">
        <v>1179</v>
      </c>
      <c r="G5975" t="s">
        <v>379</v>
      </c>
      <c r="H5975" t="str">
        <f>VLOOKUP(record[[#This Row],[ProcessSN]],表格2_7[],2,FALSE)</f>
        <v>30-4118-018-4XX</v>
      </c>
      <c r="I5975" t="str">
        <f>VLOOKUP(record[[#This Row],[ProcessSN]],表格2_7[],3,FALSE)</f>
        <v>#07STOCK</v>
      </c>
      <c r="J5975" t="s">
        <v>592</v>
      </c>
      <c r="K5975" s="195">
        <v>46001.548460648148</v>
      </c>
      <c r="L5975">
        <v>16</v>
      </c>
      <c r="M5975">
        <v>0</v>
      </c>
      <c r="N5975" s="98" t="str">
        <f>IF(record[[#This Row],[Memo]]="Browser:chrome os:android","平板報工",IF(record[[#This Row],[Memo]]=0,"委外",record[[#This Row],[Memo]]))</f>
        <v/>
      </c>
      <c r="O5975" t="s">
        <v>58</v>
      </c>
      <c r="P5975" t="s">
        <v>186</v>
      </c>
      <c r="Q5975" t="s">
        <v>58</v>
      </c>
      <c r="R5975" t="str">
        <f>IFERROR(VLOOKUP(record[[#This Row],[PCUSTID]],廠商[],2,FALSE),"")</f>
        <v/>
      </c>
      <c r="S5975" t="str">
        <f>VLOOKUP(record[[#This Row],[employeeID]],員工[],2,FALSE)</f>
        <v>許文姍</v>
      </c>
    </row>
    <row r="5976" spans="6:19" hidden="1" x14ac:dyDescent="0.25">
      <c r="F5976" t="s">
        <v>1253</v>
      </c>
      <c r="G5976" t="s">
        <v>420</v>
      </c>
      <c r="H5976" t="str">
        <f>VLOOKUP(record[[#This Row],[ProcessSN]],表格2_7[],2,FALSE)</f>
        <v>30-4118-018-5XX</v>
      </c>
      <c r="I5976" t="str">
        <f>VLOOKUP(record[[#This Row],[ProcessSN]],表格2_7[],3,FALSE)</f>
        <v>#07STOCK</v>
      </c>
      <c r="J5976" t="s">
        <v>592</v>
      </c>
      <c r="K5976" s="195">
        <v>46001.547858796293</v>
      </c>
      <c r="L5976">
        <v>1</v>
      </c>
      <c r="M5976">
        <v>0</v>
      </c>
      <c r="N5976" s="98" t="str">
        <f>IF(record[[#This Row],[Memo]]="Browser:chrome os:android","平板報工",IF(record[[#This Row],[Memo]]=0,"委外",record[[#This Row],[Memo]]))</f>
        <v/>
      </c>
      <c r="O5976" t="s">
        <v>58</v>
      </c>
      <c r="P5976" t="s">
        <v>186</v>
      </c>
      <c r="Q5976" t="s">
        <v>58</v>
      </c>
      <c r="R5976" t="str">
        <f>IFERROR(VLOOKUP(record[[#This Row],[PCUSTID]],廠商[],2,FALSE),"")</f>
        <v/>
      </c>
      <c r="S5976" t="str">
        <f>VLOOKUP(record[[#This Row],[employeeID]],員工[],2,FALSE)</f>
        <v>許文姍</v>
      </c>
    </row>
    <row r="5977" spans="6:19" hidden="1" x14ac:dyDescent="0.25">
      <c r="F5977" t="s">
        <v>1275</v>
      </c>
      <c r="G5977" t="s">
        <v>420</v>
      </c>
      <c r="H5977" t="str">
        <f>VLOOKUP(record[[#This Row],[ProcessSN]],表格2_7[],2,FALSE)</f>
        <v>30-4118-018-5XX</v>
      </c>
      <c r="I5977" t="str">
        <f>VLOOKUP(record[[#This Row],[ProcessSN]],表格2_7[],3,FALSE)</f>
        <v>#07STOCK</v>
      </c>
      <c r="J5977" t="s">
        <v>592</v>
      </c>
      <c r="K5977" s="195">
        <v>46001.547731481478</v>
      </c>
      <c r="L5977">
        <v>144</v>
      </c>
      <c r="M5977">
        <v>0</v>
      </c>
      <c r="N5977" s="98" t="str">
        <f>IF(record[[#This Row],[Memo]]="Browser:chrome os:android","平板報工",IF(record[[#This Row],[Memo]]=0,"委外",record[[#This Row],[Memo]]))</f>
        <v/>
      </c>
      <c r="O5977" t="s">
        <v>58</v>
      </c>
      <c r="P5977" t="s">
        <v>186</v>
      </c>
      <c r="Q5977" t="s">
        <v>58</v>
      </c>
      <c r="R5977" t="str">
        <f>IFERROR(VLOOKUP(record[[#This Row],[PCUSTID]],廠商[],2,FALSE),"")</f>
        <v/>
      </c>
      <c r="S5977" t="str">
        <f>VLOOKUP(record[[#This Row],[employeeID]],員工[],2,FALSE)</f>
        <v>許文姍</v>
      </c>
    </row>
    <row r="5978" spans="6:19" hidden="1" x14ac:dyDescent="0.25">
      <c r="F5978" t="s">
        <v>1253</v>
      </c>
      <c r="G5978" t="s">
        <v>419</v>
      </c>
      <c r="H5978" t="str">
        <f>VLOOKUP(record[[#This Row],[ProcessSN]],表格2_7[],2,FALSE)</f>
        <v>30-4118-018-5XX</v>
      </c>
      <c r="I5978" t="str">
        <f>VLOOKUP(record[[#This Row],[ProcessSN]],表格2_7[],3,FALSE)</f>
        <v>#07QC</v>
      </c>
      <c r="J5978" t="s">
        <v>589</v>
      </c>
      <c r="K5978" s="195">
        <v>46001.495324074072</v>
      </c>
      <c r="L5978">
        <v>1</v>
      </c>
      <c r="M5978">
        <v>0</v>
      </c>
      <c r="N5978" s="98" t="str">
        <f>IF(record[[#This Row],[Memo]]="Browser:chrome os:android","平板報工",IF(record[[#This Row],[Memo]]=0,"委外",record[[#This Row],[Memo]]))</f>
        <v/>
      </c>
      <c r="O5978" t="s">
        <v>58</v>
      </c>
      <c r="P5978" t="s">
        <v>141</v>
      </c>
      <c r="Q5978" t="s">
        <v>58</v>
      </c>
      <c r="R5978" t="str">
        <f>IFERROR(VLOOKUP(record[[#This Row],[PCUSTID]],廠商[],2,FALSE),"")</f>
        <v/>
      </c>
      <c r="S5978" t="str">
        <f>VLOOKUP(record[[#This Row],[employeeID]],員工[],2,FALSE)</f>
        <v>蔣梅</v>
      </c>
    </row>
    <row r="5979" spans="6:19" hidden="1" x14ac:dyDescent="0.25">
      <c r="F5979" t="s">
        <v>1270</v>
      </c>
      <c r="G5979" t="s">
        <v>378</v>
      </c>
      <c r="H5979" t="str">
        <f>VLOOKUP(record[[#This Row],[ProcessSN]],表格2_7[],2,FALSE)</f>
        <v>30-4118-018-4XX</v>
      </c>
      <c r="I5979" t="str">
        <f>VLOOKUP(record[[#This Row],[ProcessSN]],表格2_7[],3,FALSE)</f>
        <v>#07QC</v>
      </c>
      <c r="J5979" t="s">
        <v>589</v>
      </c>
      <c r="K5979" s="195">
        <v>46001.49046296296</v>
      </c>
      <c r="L5979">
        <v>325</v>
      </c>
      <c r="M5979">
        <v>0</v>
      </c>
      <c r="N5979" s="98" t="str">
        <f>IF(record[[#This Row],[Memo]]="Browser:chrome os:android","平板報工",IF(record[[#This Row],[Memo]]=0,"委外",record[[#This Row],[Memo]]))</f>
        <v/>
      </c>
      <c r="O5979" t="s">
        <v>58</v>
      </c>
      <c r="P5979" t="s">
        <v>141</v>
      </c>
      <c r="Q5979" t="s">
        <v>58</v>
      </c>
      <c r="R5979" t="str">
        <f>IFERROR(VLOOKUP(record[[#This Row],[PCUSTID]],廠商[],2,FALSE),"")</f>
        <v/>
      </c>
      <c r="S5979" t="str">
        <f>VLOOKUP(record[[#This Row],[employeeID]],員工[],2,FALSE)</f>
        <v>蔣梅</v>
      </c>
    </row>
    <row r="5980" spans="6:19" hidden="1" x14ac:dyDescent="0.25">
      <c r="F5980" t="s">
        <v>1179</v>
      </c>
      <c r="G5980" t="s">
        <v>378</v>
      </c>
      <c r="H5980" t="str">
        <f>VLOOKUP(record[[#This Row],[ProcessSN]],表格2_7[],2,FALSE)</f>
        <v>30-4118-018-4XX</v>
      </c>
      <c r="I5980" t="str">
        <f>VLOOKUP(record[[#This Row],[ProcessSN]],表格2_7[],3,FALSE)</f>
        <v>#07QC</v>
      </c>
      <c r="J5980" t="s">
        <v>589</v>
      </c>
      <c r="K5980" s="195">
        <v>46001.490277777775</v>
      </c>
      <c r="L5980">
        <v>16</v>
      </c>
      <c r="M5980">
        <v>0</v>
      </c>
      <c r="N5980" s="98" t="str">
        <f>IF(record[[#This Row],[Memo]]="Browser:chrome os:android","平板報工",IF(record[[#This Row],[Memo]]=0,"委外",record[[#This Row],[Memo]]))</f>
        <v/>
      </c>
      <c r="O5980" t="s">
        <v>58</v>
      </c>
      <c r="P5980" t="s">
        <v>141</v>
      </c>
      <c r="Q5980" t="s">
        <v>58</v>
      </c>
      <c r="R5980" t="str">
        <f>IFERROR(VLOOKUP(record[[#This Row],[PCUSTID]],廠商[],2,FALSE),"")</f>
        <v/>
      </c>
      <c r="S5980" t="str">
        <f>VLOOKUP(record[[#This Row],[employeeID]],員工[],2,FALSE)</f>
        <v>蔣梅</v>
      </c>
    </row>
    <row r="5981" spans="6:19" hidden="1" x14ac:dyDescent="0.25">
      <c r="F5981" t="s">
        <v>1173</v>
      </c>
      <c r="G5981" t="s">
        <v>428</v>
      </c>
      <c r="H5981" t="str">
        <f>VLOOKUP(record[[#This Row],[ProcessSN]],表格2_7[],2,FALSE)</f>
        <v>30-4118-018-600</v>
      </c>
      <c r="I5981" t="str">
        <f>VLOOKUP(record[[#This Row],[ProcessSN]],表格2_7[],3,FALSE)</f>
        <v>#100SHIP</v>
      </c>
      <c r="J5981" t="s">
        <v>600</v>
      </c>
      <c r="K5981" s="195">
        <v>46001.489340277774</v>
      </c>
      <c r="L5981">
        <v>152</v>
      </c>
      <c r="M5981">
        <v>0</v>
      </c>
      <c r="N5981" s="98" t="str">
        <f>IF(record[[#This Row],[Memo]]="Browser:chrome os:android","平板報工",IF(record[[#This Row],[Memo]]=0,"委外",record[[#This Row],[Memo]]))</f>
        <v/>
      </c>
      <c r="O5981" t="s">
        <v>58</v>
      </c>
      <c r="P5981" t="s">
        <v>886</v>
      </c>
      <c r="Q5981" t="s">
        <v>58</v>
      </c>
      <c r="R5981" t="str">
        <f>IFERROR(VLOOKUP(record[[#This Row],[PCUSTID]],廠商[],2,FALSE),"")</f>
        <v/>
      </c>
      <c r="S5981" t="str">
        <f>VLOOKUP(record[[#This Row],[employeeID]],員工[],2,FALSE)</f>
        <v>謝蓁薰</v>
      </c>
    </row>
    <row r="5982" spans="6:19" hidden="1" x14ac:dyDescent="0.25">
      <c r="F5982" t="s">
        <v>1181</v>
      </c>
      <c r="G5982" t="s">
        <v>428</v>
      </c>
      <c r="H5982" t="str">
        <f>VLOOKUP(record[[#This Row],[ProcessSN]],表格2_7[],2,FALSE)</f>
        <v>30-4118-018-600</v>
      </c>
      <c r="I5982" t="str">
        <f>VLOOKUP(record[[#This Row],[ProcessSN]],表格2_7[],3,FALSE)</f>
        <v>#100SHIP</v>
      </c>
      <c r="J5982" t="s">
        <v>600</v>
      </c>
      <c r="K5982" s="195">
        <v>46001.489108796297</v>
      </c>
      <c r="L5982">
        <v>101</v>
      </c>
      <c r="M5982">
        <v>0</v>
      </c>
      <c r="N5982" s="98" t="str">
        <f>IF(record[[#This Row],[Memo]]="Browser:chrome os:android","平板報工",IF(record[[#This Row],[Memo]]=0,"委外",record[[#This Row],[Memo]]))</f>
        <v/>
      </c>
      <c r="O5982" t="s">
        <v>58</v>
      </c>
      <c r="P5982" t="s">
        <v>886</v>
      </c>
      <c r="Q5982" t="s">
        <v>58</v>
      </c>
      <c r="R5982" t="str">
        <f>IFERROR(VLOOKUP(record[[#This Row],[PCUSTID]],廠商[],2,FALSE),"")</f>
        <v/>
      </c>
      <c r="S5982" t="str">
        <f>VLOOKUP(record[[#This Row],[employeeID]],員工[],2,FALSE)</f>
        <v>謝蓁薰</v>
      </c>
    </row>
    <row r="5983" spans="6:19" hidden="1" x14ac:dyDescent="0.25">
      <c r="F5983" t="s">
        <v>1209</v>
      </c>
      <c r="G5983" t="s">
        <v>469</v>
      </c>
      <c r="H5983" t="str">
        <f>VLOOKUP(record[[#This Row],[ProcessSN]],表格2_7[],2,FALSE)</f>
        <v>30-4118-018-XXX</v>
      </c>
      <c r="I5983" t="str">
        <f>VLOOKUP(record[[#This Row],[ProcessSN]],表格2_7[],3,FALSE)</f>
        <v>#02RCV</v>
      </c>
      <c r="J5983" t="s">
        <v>591</v>
      </c>
      <c r="K5983" s="195">
        <v>46001.475868055553</v>
      </c>
      <c r="L5983">
        <v>827</v>
      </c>
      <c r="M5983">
        <v>0</v>
      </c>
      <c r="N5983" s="98" t="str">
        <f>IF(record[[#This Row],[Memo]]="Browser:chrome os:android","平板報工",IF(record[[#This Row],[Memo]]=0,"委外",record[[#This Row],[Memo]]))</f>
        <v/>
      </c>
      <c r="O5983" t="s">
        <v>58</v>
      </c>
      <c r="P5983" t="s">
        <v>186</v>
      </c>
      <c r="Q5983" t="s">
        <v>58</v>
      </c>
      <c r="R5983" t="str">
        <f>IFERROR(VLOOKUP(record[[#This Row],[PCUSTID]],廠商[],2,FALSE),"")</f>
        <v/>
      </c>
      <c r="S5983" t="str">
        <f>VLOOKUP(record[[#This Row],[employeeID]],員工[],2,FALSE)</f>
        <v>許文姍</v>
      </c>
    </row>
    <row r="5984" spans="6:19" hidden="1" x14ac:dyDescent="0.25">
      <c r="F5984" t="s">
        <v>1275</v>
      </c>
      <c r="G5984" t="s">
        <v>419</v>
      </c>
      <c r="H5984" t="str">
        <f>VLOOKUP(record[[#This Row],[ProcessSN]],表格2_7[],2,FALSE)</f>
        <v>30-4118-018-5XX</v>
      </c>
      <c r="I5984" t="str">
        <f>VLOOKUP(record[[#This Row],[ProcessSN]],表格2_7[],3,FALSE)</f>
        <v>#07QC</v>
      </c>
      <c r="J5984" t="s">
        <v>589</v>
      </c>
      <c r="K5984" s="195">
        <v>46001.399363425924</v>
      </c>
      <c r="L5984">
        <v>0</v>
      </c>
      <c r="M5984">
        <v>5</v>
      </c>
      <c r="N5984" s="98" t="str">
        <f>IF(record[[#This Row],[Memo]]="Browser:chrome os:android","平板報工",IF(record[[#This Row],[Memo]]=0,"委外",record[[#This Row],[Memo]]))</f>
        <v>平板報工</v>
      </c>
      <c r="O5984" t="s">
        <v>643</v>
      </c>
      <c r="P5984" t="s">
        <v>141</v>
      </c>
      <c r="Q5984" t="s">
        <v>644</v>
      </c>
      <c r="R5984" t="str">
        <f>IFERROR(VLOOKUP(record[[#This Row],[PCUSTID]],廠商[],2,FALSE),"")</f>
        <v/>
      </c>
      <c r="S5984" t="str">
        <f>VLOOKUP(record[[#This Row],[employeeID]],員工[],2,FALSE)</f>
        <v>蔣梅</v>
      </c>
    </row>
    <row r="5985" spans="6:19" hidden="1" x14ac:dyDescent="0.25">
      <c r="F5985" t="s">
        <v>1275</v>
      </c>
      <c r="G5985" t="s">
        <v>419</v>
      </c>
      <c r="H5985" t="str">
        <f>VLOOKUP(record[[#This Row],[ProcessSN]],表格2_7[],2,FALSE)</f>
        <v>30-4118-018-5XX</v>
      </c>
      <c r="I5985" t="str">
        <f>VLOOKUP(record[[#This Row],[ProcessSN]],表格2_7[],3,FALSE)</f>
        <v>#07QC</v>
      </c>
      <c r="J5985" t="s">
        <v>589</v>
      </c>
      <c r="K5985" s="195">
        <v>46001.39916666667</v>
      </c>
      <c r="L5985">
        <v>144</v>
      </c>
      <c r="M5985">
        <v>0</v>
      </c>
      <c r="N5985" s="98" t="str">
        <f>IF(record[[#This Row],[Memo]]="Browser:chrome os:android","平板報工",IF(record[[#This Row],[Memo]]=0,"委外",record[[#This Row],[Memo]]))</f>
        <v>平板報工</v>
      </c>
      <c r="O5985" t="s">
        <v>643</v>
      </c>
      <c r="P5985" t="s">
        <v>141</v>
      </c>
      <c r="Q5985" t="s">
        <v>644</v>
      </c>
      <c r="R5985" t="str">
        <f>IFERROR(VLOOKUP(record[[#This Row],[PCUSTID]],廠商[],2,FALSE),"")</f>
        <v/>
      </c>
      <c r="S5985" t="str">
        <f>VLOOKUP(record[[#This Row],[employeeID]],員工[],2,FALSE)</f>
        <v>蔣梅</v>
      </c>
    </row>
    <row r="5986" spans="6:19" hidden="1" x14ac:dyDescent="0.25">
      <c r="F5986" t="s">
        <v>1275</v>
      </c>
      <c r="G5986" t="s">
        <v>417</v>
      </c>
      <c r="H5986" t="str">
        <f>VLOOKUP(record[[#This Row],[ProcessSN]],表格2_7[],2,FALSE)</f>
        <v>30-4118-018-5XX</v>
      </c>
      <c r="I5986" t="str">
        <f>VLOOKUP(record[[#This Row],[ProcessSN]],表格2_7[],3,FALSE)</f>
        <v>#06</v>
      </c>
      <c r="J5986" t="s">
        <v>593</v>
      </c>
      <c r="K5986" s="195">
        <v>46001.316493055558</v>
      </c>
      <c r="L5986">
        <v>133</v>
      </c>
      <c r="M5986">
        <v>0</v>
      </c>
      <c r="N5986" s="98" t="str">
        <f>IF(record[[#This Row],[Memo]]="Browser:chrome os:android","平板報工",IF(record[[#This Row],[Memo]]=0,"委外",record[[#This Row],[Memo]]))</f>
        <v/>
      </c>
      <c r="O5986" t="s">
        <v>58</v>
      </c>
      <c r="P5986" t="s">
        <v>180</v>
      </c>
      <c r="Q5986" t="s">
        <v>58</v>
      </c>
      <c r="R5986" t="str">
        <f>IFERROR(VLOOKUP(record[[#This Row],[PCUSTID]],廠商[],2,FALSE),"")</f>
        <v/>
      </c>
      <c r="S5986" t="str">
        <f>VLOOKUP(record[[#This Row],[employeeID]],員工[],2,FALSE)</f>
        <v>黎功江</v>
      </c>
    </row>
    <row r="5987" spans="6:19" hidden="1" x14ac:dyDescent="0.25">
      <c r="F5987" t="s">
        <v>1285</v>
      </c>
      <c r="G5987" t="s">
        <v>465</v>
      </c>
      <c r="H5987" t="str">
        <f>VLOOKUP(record[[#This Row],[ProcessSN]],表格2_7[],2,FALSE)</f>
        <v>30-4118-018-XXX</v>
      </c>
      <c r="I5987" t="str">
        <f>VLOOKUP(record[[#This Row],[ProcessSN]],表格2_7[],3,FALSE)</f>
        <v>#01-1</v>
      </c>
      <c r="J5987" t="s">
        <v>588</v>
      </c>
      <c r="K5987" s="195">
        <v>46001.315393518518</v>
      </c>
      <c r="L5987">
        <v>820</v>
      </c>
      <c r="M5987">
        <v>0</v>
      </c>
      <c r="N5987" s="98" t="str">
        <f>IF(record[[#This Row],[Memo]]="Browser:chrome os:android","平板報工",IF(record[[#This Row],[Memo]]=0,"委外",record[[#This Row],[Memo]]))</f>
        <v/>
      </c>
      <c r="O5987" t="s">
        <v>58</v>
      </c>
      <c r="P5987" t="s">
        <v>843</v>
      </c>
      <c r="Q5987" t="s">
        <v>58</v>
      </c>
      <c r="R5987" t="str">
        <f>IFERROR(VLOOKUP(record[[#This Row],[PCUSTID]],廠商[],2,FALSE),"")</f>
        <v/>
      </c>
      <c r="S5987" t="str">
        <f>VLOOKUP(record[[#This Row],[employeeID]],員工[],2,FALSE)</f>
        <v>張楚承</v>
      </c>
    </row>
    <row r="5988" spans="6:19" hidden="1" x14ac:dyDescent="0.25">
      <c r="F5988" t="s">
        <v>1285</v>
      </c>
      <c r="G5988" t="s">
        <v>466</v>
      </c>
      <c r="H5988" t="str">
        <f>VLOOKUP(record[[#This Row],[ProcessSN]],表格2_7[],2,FALSE)</f>
        <v>30-4118-018-XXX</v>
      </c>
      <c r="I5988" t="str">
        <f>VLOOKUP(record[[#This Row],[ProcessSN]],表格2_7[],3,FALSE)</f>
        <v>#01-2</v>
      </c>
      <c r="J5988" t="s">
        <v>588</v>
      </c>
      <c r="K5988" s="195">
        <v>46001.314699074072</v>
      </c>
      <c r="L5988">
        <v>306</v>
      </c>
      <c r="M5988">
        <v>0</v>
      </c>
      <c r="N5988" s="98" t="str">
        <f>IF(record[[#This Row],[Memo]]="Browser:chrome os:android","平板報工",IF(record[[#This Row],[Memo]]=0,"委外",record[[#This Row],[Memo]]))</f>
        <v/>
      </c>
      <c r="O5988" t="s">
        <v>58</v>
      </c>
      <c r="P5988" t="s">
        <v>843</v>
      </c>
      <c r="Q5988" t="s">
        <v>58</v>
      </c>
      <c r="R5988" t="str">
        <f>IFERROR(VLOOKUP(record[[#This Row],[PCUSTID]],廠商[],2,FALSE),"")</f>
        <v/>
      </c>
      <c r="S5988" t="str">
        <f>VLOOKUP(record[[#This Row],[employeeID]],員工[],2,FALSE)</f>
        <v>張楚承</v>
      </c>
    </row>
    <row r="5989" spans="6:19" hidden="1" x14ac:dyDescent="0.25">
      <c r="F5989" t="s">
        <v>1275</v>
      </c>
      <c r="G5989" t="s">
        <v>416</v>
      </c>
      <c r="H5989" t="str">
        <f>VLOOKUP(record[[#This Row],[ProcessSN]],表格2_7[],2,FALSE)</f>
        <v>30-4118-018-5XX</v>
      </c>
      <c r="I5989" t="str">
        <f>VLOOKUP(record[[#This Row],[ProcessSN]],表格2_7[],3,FALSE)</f>
        <v>#05</v>
      </c>
      <c r="J5989" t="s">
        <v>588</v>
      </c>
      <c r="K5989" s="195">
        <v>46001.313009259262</v>
      </c>
      <c r="L5989">
        <v>182</v>
      </c>
      <c r="M5989">
        <v>0</v>
      </c>
      <c r="N5989" s="98" t="str">
        <f>IF(record[[#This Row],[Memo]]="Browser:chrome os:android","平板報工",IF(record[[#This Row],[Memo]]=0,"委外",record[[#This Row],[Memo]]))</f>
        <v/>
      </c>
      <c r="O5989" t="s">
        <v>58</v>
      </c>
      <c r="P5989" t="s">
        <v>135</v>
      </c>
      <c r="Q5989" t="s">
        <v>58</v>
      </c>
      <c r="R5989" t="str">
        <f>IFERROR(VLOOKUP(record[[#This Row],[PCUSTID]],廠商[],2,FALSE),"")</f>
        <v/>
      </c>
      <c r="S5989" t="str">
        <f>VLOOKUP(record[[#This Row],[employeeID]],員工[],2,FALSE)</f>
        <v>阮士文</v>
      </c>
    </row>
    <row r="5990" spans="6:19" hidden="1" x14ac:dyDescent="0.25">
      <c r="F5990" t="s">
        <v>1290</v>
      </c>
      <c r="G5990" t="s">
        <v>415</v>
      </c>
      <c r="H5990" t="str">
        <f>VLOOKUP(record[[#This Row],[ProcessSN]],表格2_7[],2,FALSE)</f>
        <v>30-4118-018-5XX</v>
      </c>
      <c r="I5990" t="str">
        <f>VLOOKUP(record[[#This Row],[ProcessSN]],表格2_7[],3,FALSE)</f>
        <v>#04</v>
      </c>
      <c r="J5990" t="s">
        <v>588</v>
      </c>
      <c r="K5990" s="195">
        <v>46001.312743055554</v>
      </c>
      <c r="L5990">
        <v>138</v>
      </c>
      <c r="M5990">
        <v>0</v>
      </c>
      <c r="N5990" s="98" t="str">
        <f>IF(record[[#This Row],[Memo]]="Browser:chrome os:android","平板報工",IF(record[[#This Row],[Memo]]=0,"委外",record[[#This Row],[Memo]]))</f>
        <v/>
      </c>
      <c r="O5990" t="s">
        <v>58</v>
      </c>
      <c r="P5990" t="s">
        <v>135</v>
      </c>
      <c r="Q5990" t="s">
        <v>58</v>
      </c>
      <c r="R5990" t="str">
        <f>IFERROR(VLOOKUP(record[[#This Row],[PCUSTID]],廠商[],2,FALSE),"")</f>
        <v/>
      </c>
      <c r="S5990" t="str">
        <f>VLOOKUP(record[[#This Row],[employeeID]],員工[],2,FALSE)</f>
        <v>阮士文</v>
      </c>
    </row>
    <row r="5991" spans="6:19" hidden="1" x14ac:dyDescent="0.25">
      <c r="F5991" t="s">
        <v>1285</v>
      </c>
      <c r="G5991" t="s">
        <v>466</v>
      </c>
      <c r="H5991" t="str">
        <f>VLOOKUP(record[[#This Row],[ProcessSN]],表格2_7[],2,FALSE)</f>
        <v>30-4118-018-XXX</v>
      </c>
      <c r="I5991" t="str">
        <f>VLOOKUP(record[[#This Row],[ProcessSN]],表格2_7[],3,FALSE)</f>
        <v>#01-2</v>
      </c>
      <c r="J5991" t="s">
        <v>588</v>
      </c>
      <c r="K5991" s="195">
        <v>46000.968576388892</v>
      </c>
      <c r="L5991">
        <v>508</v>
      </c>
      <c r="M5991">
        <v>0</v>
      </c>
      <c r="N5991" s="98" t="str">
        <f>IF(record[[#This Row],[Memo]]="Browser:chrome os:android","平板報工",IF(record[[#This Row],[Memo]]=0,"委外",record[[#This Row],[Memo]]))</f>
        <v/>
      </c>
      <c r="O5991" t="s">
        <v>58</v>
      </c>
      <c r="P5991" t="s">
        <v>806</v>
      </c>
      <c r="Q5991" t="s">
        <v>58</v>
      </c>
      <c r="R5991" t="str">
        <f>IFERROR(VLOOKUP(record[[#This Row],[PCUSTID]],廠商[],2,FALSE),"")</f>
        <v/>
      </c>
      <c r="S5991" t="str">
        <f>VLOOKUP(record[[#This Row],[employeeID]],員工[],2,FALSE)</f>
        <v>方思緯</v>
      </c>
    </row>
    <row r="5992" spans="6:19" hidden="1" x14ac:dyDescent="0.25">
      <c r="F5992" t="s">
        <v>1285</v>
      </c>
      <c r="G5992" t="s">
        <v>465</v>
      </c>
      <c r="H5992" t="str">
        <f>VLOOKUP(record[[#This Row],[ProcessSN]],表格2_7[],2,FALSE)</f>
        <v>30-4118-018-XXX</v>
      </c>
      <c r="I5992" t="str">
        <f>VLOOKUP(record[[#This Row],[ProcessSN]],表格2_7[],3,FALSE)</f>
        <v>#01-1</v>
      </c>
      <c r="J5992" t="s">
        <v>588</v>
      </c>
      <c r="K5992" s="195">
        <v>46000.968148148146</v>
      </c>
      <c r="L5992">
        <v>750</v>
      </c>
      <c r="M5992">
        <v>0</v>
      </c>
      <c r="N5992" s="98" t="str">
        <f>IF(record[[#This Row],[Memo]]="Browser:chrome os:android","平板報工",IF(record[[#This Row],[Memo]]=0,"委外",record[[#This Row],[Memo]]))</f>
        <v/>
      </c>
      <c r="O5992" t="s">
        <v>58</v>
      </c>
      <c r="P5992" t="s">
        <v>89</v>
      </c>
      <c r="Q5992" t="s">
        <v>58</v>
      </c>
      <c r="R5992" t="str">
        <f>IFERROR(VLOOKUP(record[[#This Row],[PCUSTID]],廠商[],2,FALSE),"")</f>
        <v/>
      </c>
      <c r="S5992" t="str">
        <f>VLOOKUP(record[[#This Row],[employeeID]],員工[],2,FALSE)</f>
        <v>李美蓮</v>
      </c>
    </row>
    <row r="5993" spans="6:19" hidden="1" x14ac:dyDescent="0.25">
      <c r="F5993" t="s">
        <v>1290</v>
      </c>
      <c r="G5993" t="s">
        <v>415</v>
      </c>
      <c r="H5993" t="str">
        <f>VLOOKUP(record[[#This Row],[ProcessSN]],表格2_7[],2,FALSE)</f>
        <v>30-4118-018-5XX</v>
      </c>
      <c r="I5993" t="str">
        <f>VLOOKUP(record[[#This Row],[ProcessSN]],表格2_7[],3,FALSE)</f>
        <v>#04</v>
      </c>
      <c r="J5993" t="s">
        <v>588</v>
      </c>
      <c r="K5993" s="195">
        <v>46000.967719907407</v>
      </c>
      <c r="L5993">
        <v>135</v>
      </c>
      <c r="M5993">
        <v>0</v>
      </c>
      <c r="N5993" s="98" t="str">
        <f>IF(record[[#This Row],[Memo]]="Browser:chrome os:android","平板報工",IF(record[[#This Row],[Memo]]=0,"委外",record[[#This Row],[Memo]]))</f>
        <v/>
      </c>
      <c r="O5993" t="s">
        <v>58</v>
      </c>
      <c r="P5993" t="s">
        <v>806</v>
      </c>
      <c r="Q5993" t="s">
        <v>58</v>
      </c>
      <c r="R5993" t="str">
        <f>IFERROR(VLOOKUP(record[[#This Row],[PCUSTID]],廠商[],2,FALSE),"")</f>
        <v/>
      </c>
      <c r="S5993" t="str">
        <f>VLOOKUP(record[[#This Row],[employeeID]],員工[],2,FALSE)</f>
        <v>方思緯</v>
      </c>
    </row>
    <row r="5994" spans="6:19" hidden="1" x14ac:dyDescent="0.25">
      <c r="F5994" t="s">
        <v>1275</v>
      </c>
      <c r="G5994" t="s">
        <v>417</v>
      </c>
      <c r="H5994" t="str">
        <f>VLOOKUP(record[[#This Row],[ProcessSN]],表格2_7[],2,FALSE)</f>
        <v>30-4118-018-5XX</v>
      </c>
      <c r="I5994" t="str">
        <f>VLOOKUP(record[[#This Row],[ProcessSN]],表格2_7[],3,FALSE)</f>
        <v>#06</v>
      </c>
      <c r="J5994" t="s">
        <v>593</v>
      </c>
      <c r="K5994" s="195">
        <v>46000.965312499997</v>
      </c>
      <c r="L5994">
        <v>133</v>
      </c>
      <c r="M5994">
        <v>0</v>
      </c>
      <c r="N5994" s="98" t="str">
        <f>IF(record[[#This Row],[Memo]]="Browser:chrome os:android","平板報工",IF(record[[#This Row],[Memo]]=0,"委外",record[[#This Row],[Memo]]))</f>
        <v/>
      </c>
      <c r="O5994" t="s">
        <v>58</v>
      </c>
      <c r="P5994" t="s">
        <v>176</v>
      </c>
      <c r="Q5994" t="s">
        <v>58</v>
      </c>
      <c r="R5994" t="str">
        <f>IFERROR(VLOOKUP(record[[#This Row],[PCUSTID]],廠商[],2,FALSE),"")</f>
        <v/>
      </c>
      <c r="S5994" t="str">
        <f>VLOOKUP(record[[#This Row],[employeeID]],員工[],2,FALSE)</f>
        <v>郭政雄</v>
      </c>
    </row>
    <row r="5995" spans="6:19" hidden="1" x14ac:dyDescent="0.25">
      <c r="F5995" t="s">
        <v>1275</v>
      </c>
      <c r="G5995" t="s">
        <v>416</v>
      </c>
      <c r="H5995" t="str">
        <f>VLOOKUP(record[[#This Row],[ProcessSN]],表格2_7[],2,FALSE)</f>
        <v>30-4118-018-5XX</v>
      </c>
      <c r="I5995" t="str">
        <f>VLOOKUP(record[[#This Row],[ProcessSN]],表格2_7[],3,FALSE)</f>
        <v>#05</v>
      </c>
      <c r="J5995" t="s">
        <v>588</v>
      </c>
      <c r="K5995" s="195">
        <v>46000.96465277778</v>
      </c>
      <c r="L5995">
        <v>130</v>
      </c>
      <c r="M5995">
        <v>0</v>
      </c>
      <c r="N5995" s="98" t="str">
        <f>IF(record[[#This Row],[Memo]]="Browser:chrome os:android","平板報工",IF(record[[#This Row],[Memo]]=0,"委外",record[[#This Row],[Memo]]))</f>
        <v/>
      </c>
      <c r="O5995" t="s">
        <v>58</v>
      </c>
      <c r="P5995" t="s">
        <v>1098</v>
      </c>
      <c r="Q5995" t="s">
        <v>58</v>
      </c>
      <c r="R5995" t="str">
        <f>IFERROR(VLOOKUP(record[[#This Row],[PCUSTID]],廠商[],2,FALSE),"")</f>
        <v/>
      </c>
      <c r="S5995" t="str">
        <f>VLOOKUP(record[[#This Row],[employeeID]],員工[],2,FALSE)</f>
        <v>阮氏芳英(英)</v>
      </c>
    </row>
    <row r="5996" spans="6:19" hidden="1" x14ac:dyDescent="0.25">
      <c r="F5996" t="s">
        <v>1270</v>
      </c>
      <c r="G5996" t="s">
        <v>377</v>
      </c>
      <c r="H5996" t="str">
        <f>VLOOKUP(record[[#This Row],[ProcessSN]],表格2_7[],2,FALSE)</f>
        <v>30-4118-018-4XX</v>
      </c>
      <c r="I5996" t="str">
        <f>VLOOKUP(record[[#This Row],[ProcessSN]],表格2_7[],3,FALSE)</f>
        <v>#07</v>
      </c>
      <c r="J5996" t="s">
        <v>588</v>
      </c>
      <c r="K5996" s="195">
        <v>46000.914479166669</v>
      </c>
      <c r="L5996">
        <v>190</v>
      </c>
      <c r="M5996">
        <v>0</v>
      </c>
      <c r="N5996" s="98" t="str">
        <f>IF(record[[#This Row],[Memo]]="Browser:chrome os:android","平板報工",IF(record[[#This Row],[Memo]]=0,"委外",record[[#This Row],[Memo]]))</f>
        <v/>
      </c>
      <c r="O5996" t="s">
        <v>58</v>
      </c>
      <c r="P5996" t="s">
        <v>89</v>
      </c>
      <c r="Q5996" t="s">
        <v>58</v>
      </c>
      <c r="R5996" t="str">
        <f>IFERROR(VLOOKUP(record[[#This Row],[PCUSTID]],廠商[],2,FALSE),"")</f>
        <v/>
      </c>
      <c r="S5996" t="str">
        <f>VLOOKUP(record[[#This Row],[employeeID]],員工[],2,FALSE)</f>
        <v>李美蓮</v>
      </c>
    </row>
    <row r="5997" spans="6:19" hidden="1" x14ac:dyDescent="0.25">
      <c r="F5997" t="s">
        <v>1179</v>
      </c>
      <c r="G5997" t="s">
        <v>377</v>
      </c>
      <c r="H5997" t="str">
        <f>VLOOKUP(record[[#This Row],[ProcessSN]],表格2_7[],2,FALSE)</f>
        <v>30-4118-018-4XX</v>
      </c>
      <c r="I5997" t="str">
        <f>VLOOKUP(record[[#This Row],[ProcessSN]],表格2_7[],3,FALSE)</f>
        <v>#07</v>
      </c>
      <c r="J5997" t="s">
        <v>588</v>
      </c>
      <c r="K5997" s="195">
        <v>46000.913981481484</v>
      </c>
      <c r="L5997">
        <v>16</v>
      </c>
      <c r="M5997">
        <v>0</v>
      </c>
      <c r="N5997" s="98" t="str">
        <f>IF(record[[#This Row],[Memo]]="Browser:chrome os:android","平板報工",IF(record[[#This Row],[Memo]]=0,"委外",record[[#This Row],[Memo]]))</f>
        <v/>
      </c>
      <c r="O5997" t="s">
        <v>58</v>
      </c>
      <c r="P5997" t="s">
        <v>89</v>
      </c>
      <c r="Q5997" t="s">
        <v>58</v>
      </c>
      <c r="R5997" t="str">
        <f>IFERROR(VLOOKUP(record[[#This Row],[PCUSTID]],廠商[],2,FALSE),"")</f>
        <v/>
      </c>
      <c r="S5997" t="str">
        <f>VLOOKUP(record[[#This Row],[employeeID]],員工[],2,FALSE)</f>
        <v>李美蓮</v>
      </c>
    </row>
    <row r="5998" spans="6:19" hidden="1" x14ac:dyDescent="0.25">
      <c r="F5998" t="s">
        <v>1277</v>
      </c>
      <c r="G5998" t="s">
        <v>358</v>
      </c>
      <c r="H5998" t="str">
        <f>VLOOKUP(record[[#This Row],[ProcessSN]],表格2_7[],2,FALSE)</f>
        <v>30-4118-018-450</v>
      </c>
      <c r="I5998" t="str">
        <f>VLOOKUP(record[[#This Row],[ProcessSN]],表格2_7[],3,FALSE)</f>
        <v>#08IQC</v>
      </c>
      <c r="J5998" t="s">
        <v>583</v>
      </c>
      <c r="K5998" s="195">
        <v>46000.736898148149</v>
      </c>
      <c r="L5998">
        <v>120</v>
      </c>
      <c r="M5998">
        <v>0</v>
      </c>
      <c r="N5998" s="98" t="str">
        <f>IF(record[[#This Row],[Memo]]="Browser:chrome os:android","平板報工",IF(record[[#This Row],[Memo]]=0,"委外",record[[#This Row],[Memo]]))</f>
        <v/>
      </c>
      <c r="O5998" t="s">
        <v>58</v>
      </c>
      <c r="P5998" t="s">
        <v>109</v>
      </c>
      <c r="Q5998" t="s">
        <v>58</v>
      </c>
      <c r="R5998" t="str">
        <f>IFERROR(VLOOKUP(record[[#This Row],[PCUSTID]],廠商[],2,FALSE),"")</f>
        <v/>
      </c>
      <c r="S5998" t="str">
        <f>VLOOKUP(record[[#This Row],[employeeID]],員工[],2,FALSE)</f>
        <v>裴氏璧鳳</v>
      </c>
    </row>
    <row r="5999" spans="6:19" hidden="1" x14ac:dyDescent="0.25">
      <c r="F5999" t="s">
        <v>1289</v>
      </c>
      <c r="G5999" t="s">
        <v>399</v>
      </c>
      <c r="H5999" t="str">
        <f>VLOOKUP(record[[#This Row],[ProcessSN]],表格2_7[],2,FALSE)</f>
        <v>30-4118-018-550</v>
      </c>
      <c r="I5999" t="str">
        <f>VLOOKUP(record[[#This Row],[ProcessSN]],表格2_7[],3,FALSE)</f>
        <v>#08IQC</v>
      </c>
      <c r="J5999" t="s">
        <v>583</v>
      </c>
      <c r="K5999" s="195">
        <v>46000.736134259256</v>
      </c>
      <c r="L5999">
        <v>341</v>
      </c>
      <c r="M5999">
        <v>0</v>
      </c>
      <c r="N5999" s="98" t="str">
        <f>IF(record[[#This Row],[Memo]]="Browser:chrome os:android","平板報工",IF(record[[#This Row],[Memo]]=0,"委外",record[[#This Row],[Memo]]))</f>
        <v/>
      </c>
      <c r="O5999" t="s">
        <v>58</v>
      </c>
      <c r="P5999" t="s">
        <v>109</v>
      </c>
      <c r="Q5999" t="s">
        <v>58</v>
      </c>
      <c r="R5999" t="str">
        <f>IFERROR(VLOOKUP(record[[#This Row],[PCUSTID]],廠商[],2,FALSE),"")</f>
        <v/>
      </c>
      <c r="S5999" t="str">
        <f>VLOOKUP(record[[#This Row],[employeeID]],員工[],2,FALSE)</f>
        <v>裴氏璧鳳</v>
      </c>
    </row>
    <row r="6000" spans="6:19" hidden="1" x14ac:dyDescent="0.25">
      <c r="F6000" t="s">
        <v>1278</v>
      </c>
      <c r="G6000" t="s">
        <v>399</v>
      </c>
      <c r="H6000" t="str">
        <f>VLOOKUP(record[[#This Row],[ProcessSN]],表格2_7[],2,FALSE)</f>
        <v>30-4118-018-550</v>
      </c>
      <c r="I6000" t="str">
        <f>VLOOKUP(record[[#This Row],[ProcessSN]],表格2_7[],3,FALSE)</f>
        <v>#08IQC</v>
      </c>
      <c r="J6000" t="s">
        <v>583</v>
      </c>
      <c r="K6000" s="195">
        <v>46000.735983796294</v>
      </c>
      <c r="L6000">
        <v>164</v>
      </c>
      <c r="M6000">
        <v>0</v>
      </c>
      <c r="N6000" s="98" t="str">
        <f>IF(record[[#This Row],[Memo]]="Browser:chrome os:android","平板報工",IF(record[[#This Row],[Memo]]=0,"委外",record[[#This Row],[Memo]]))</f>
        <v/>
      </c>
      <c r="O6000" t="s">
        <v>58</v>
      </c>
      <c r="P6000" t="s">
        <v>109</v>
      </c>
      <c r="Q6000" t="s">
        <v>58</v>
      </c>
      <c r="R6000" t="str">
        <f>IFERROR(VLOOKUP(record[[#This Row],[PCUSTID]],廠商[],2,FALSE),"")</f>
        <v/>
      </c>
      <c r="S6000" t="str">
        <f>VLOOKUP(record[[#This Row],[employeeID]],員工[],2,FALSE)</f>
        <v>裴氏璧鳳</v>
      </c>
    </row>
    <row r="6001" spans="6:19" hidden="1" x14ac:dyDescent="0.25">
      <c r="F6001" t="s">
        <v>1286</v>
      </c>
      <c r="G6001" t="s">
        <v>358</v>
      </c>
      <c r="H6001" t="str">
        <f>VLOOKUP(record[[#This Row],[ProcessSN]],表格2_7[],2,FALSE)</f>
        <v>30-4118-018-450</v>
      </c>
      <c r="I6001" t="str">
        <f>VLOOKUP(record[[#This Row],[ProcessSN]],表格2_7[],3,FALSE)</f>
        <v>#08IQC</v>
      </c>
      <c r="J6001" t="s">
        <v>583</v>
      </c>
      <c r="K6001" s="195">
        <v>46000.735833333332</v>
      </c>
      <c r="L6001">
        <v>219</v>
      </c>
      <c r="M6001">
        <v>0</v>
      </c>
      <c r="N6001" s="98" t="str">
        <f>IF(record[[#This Row],[Memo]]="Browser:chrome os:android","平板報工",IF(record[[#This Row],[Memo]]=0,"委外",record[[#This Row],[Memo]]))</f>
        <v/>
      </c>
      <c r="O6001" t="s">
        <v>58</v>
      </c>
      <c r="P6001" t="s">
        <v>109</v>
      </c>
      <c r="Q6001" t="s">
        <v>58</v>
      </c>
      <c r="R6001" t="str">
        <f>IFERROR(VLOOKUP(record[[#This Row],[PCUSTID]],廠商[],2,FALSE),"")</f>
        <v/>
      </c>
      <c r="S6001" t="str">
        <f>VLOOKUP(record[[#This Row],[employeeID]],員工[],2,FALSE)</f>
        <v>裴氏璧鳳</v>
      </c>
    </row>
    <row r="6002" spans="6:19" hidden="1" x14ac:dyDescent="0.25">
      <c r="F6002" t="s">
        <v>1262</v>
      </c>
      <c r="G6002" t="s">
        <v>400</v>
      </c>
      <c r="H6002" t="str">
        <f>VLOOKUP(record[[#This Row],[ProcessSN]],表格2_7[],2,FALSE)</f>
        <v>30-4118-018-550</v>
      </c>
      <c r="I6002" t="str">
        <f>VLOOKUP(record[[#This Row],[ProcessSN]],表格2_7[],3,FALSE)</f>
        <v>#100</v>
      </c>
      <c r="J6002" t="s">
        <v>598</v>
      </c>
      <c r="K6002" s="195">
        <v>46000.695289351854</v>
      </c>
      <c r="L6002">
        <v>448</v>
      </c>
      <c r="M6002">
        <v>0</v>
      </c>
      <c r="N6002" s="98" t="str">
        <f>IF(record[[#This Row],[Memo]]="Browser:chrome os:android","平板報工",IF(record[[#This Row],[Memo]]=0,"委外",record[[#This Row],[Memo]]))</f>
        <v/>
      </c>
      <c r="O6002" t="s">
        <v>58</v>
      </c>
      <c r="P6002" t="s">
        <v>141</v>
      </c>
      <c r="Q6002" t="s">
        <v>58</v>
      </c>
      <c r="R6002" t="str">
        <f>IFERROR(VLOOKUP(record[[#This Row],[PCUSTID]],廠商[],2,FALSE),"")</f>
        <v/>
      </c>
      <c r="S6002" t="str">
        <f>VLOOKUP(record[[#This Row],[employeeID]],員工[],2,FALSE)</f>
        <v>蔣梅</v>
      </c>
    </row>
    <row r="6003" spans="6:19" hidden="1" x14ac:dyDescent="0.25">
      <c r="F6003" t="s">
        <v>1261</v>
      </c>
      <c r="G6003" t="s">
        <v>400</v>
      </c>
      <c r="H6003" t="str">
        <f>VLOOKUP(record[[#This Row],[ProcessSN]],表格2_7[],2,FALSE)</f>
        <v>30-4118-018-550</v>
      </c>
      <c r="I6003" t="str">
        <f>VLOOKUP(record[[#This Row],[ProcessSN]],表格2_7[],3,FALSE)</f>
        <v>#100</v>
      </c>
      <c r="J6003" t="s">
        <v>598</v>
      </c>
      <c r="K6003" s="195">
        <v>46000.694016203706</v>
      </c>
      <c r="L6003">
        <v>0</v>
      </c>
      <c r="M6003">
        <v>76</v>
      </c>
      <c r="N6003" s="98" t="str">
        <f>IF(record[[#This Row],[Memo]]="Browser:chrome os:android","平板報工",IF(record[[#This Row],[Memo]]=0,"委外",record[[#This Row],[Memo]]))</f>
        <v/>
      </c>
      <c r="O6003" t="s">
        <v>58</v>
      </c>
      <c r="P6003" t="s">
        <v>141</v>
      </c>
      <c r="Q6003" t="s">
        <v>58</v>
      </c>
      <c r="R6003" t="str">
        <f>IFERROR(VLOOKUP(record[[#This Row],[PCUSTID]],廠商[],2,FALSE),"")</f>
        <v/>
      </c>
      <c r="S6003" t="str">
        <f>VLOOKUP(record[[#This Row],[employeeID]],員工[],2,FALSE)</f>
        <v>蔣梅</v>
      </c>
    </row>
    <row r="6004" spans="6:19" hidden="1" x14ac:dyDescent="0.25">
      <c r="F6004" t="s">
        <v>1261</v>
      </c>
      <c r="G6004" t="s">
        <v>400</v>
      </c>
      <c r="H6004" t="str">
        <f>VLOOKUP(record[[#This Row],[ProcessSN]],表格2_7[],2,FALSE)</f>
        <v>30-4118-018-550</v>
      </c>
      <c r="I6004" t="str">
        <f>VLOOKUP(record[[#This Row],[ProcessSN]],表格2_7[],3,FALSE)</f>
        <v>#100</v>
      </c>
      <c r="J6004" t="s">
        <v>598</v>
      </c>
      <c r="K6004" s="195">
        <v>46000.693368055552</v>
      </c>
      <c r="L6004">
        <v>196</v>
      </c>
      <c r="M6004">
        <v>0</v>
      </c>
      <c r="N6004" s="98" t="str">
        <f>IF(record[[#This Row],[Memo]]="Browser:chrome os:android","平板報工",IF(record[[#This Row],[Memo]]=0,"委外",record[[#This Row],[Memo]]))</f>
        <v>外徑面粗重工品</v>
      </c>
      <c r="O6004" t="s">
        <v>1313</v>
      </c>
      <c r="P6004" t="s">
        <v>141</v>
      </c>
      <c r="Q6004" t="s">
        <v>58</v>
      </c>
      <c r="R6004" t="str">
        <f>IFERROR(VLOOKUP(record[[#This Row],[PCUSTID]],廠商[],2,FALSE),"")</f>
        <v/>
      </c>
      <c r="S6004" t="str">
        <f>VLOOKUP(record[[#This Row],[employeeID]],員工[],2,FALSE)</f>
        <v>蔣梅</v>
      </c>
    </row>
    <row r="6005" spans="6:19" hidden="1" x14ac:dyDescent="0.25">
      <c r="F6005" t="s">
        <v>1277</v>
      </c>
      <c r="G6005" t="s">
        <v>357</v>
      </c>
      <c r="H6005" t="str">
        <f>VLOOKUP(record[[#This Row],[ProcessSN]],表格2_7[],2,FALSE)</f>
        <v>30-4118-018-450</v>
      </c>
      <c r="I6005" t="str">
        <f>VLOOKUP(record[[#This Row],[ProcessSN]],表格2_7[],3,FALSE)</f>
        <v>#08RCV</v>
      </c>
      <c r="J6005" t="s">
        <v>591</v>
      </c>
      <c r="K6005" s="195">
        <v>46000.657581018517</v>
      </c>
      <c r="L6005">
        <v>120</v>
      </c>
      <c r="M6005">
        <v>0</v>
      </c>
      <c r="N6005" s="98" t="str">
        <f>IF(record[[#This Row],[Memo]]="Browser:chrome os:android","平板報工",IF(record[[#This Row],[Memo]]=0,"委外",record[[#This Row],[Memo]]))</f>
        <v/>
      </c>
      <c r="O6005" t="s">
        <v>58</v>
      </c>
      <c r="P6005" t="s">
        <v>186</v>
      </c>
      <c r="Q6005" t="s">
        <v>58</v>
      </c>
      <c r="R6005" t="str">
        <f>IFERROR(VLOOKUP(record[[#This Row],[PCUSTID]],廠商[],2,FALSE),"")</f>
        <v/>
      </c>
      <c r="S6005" t="str">
        <f>VLOOKUP(record[[#This Row],[employeeID]],員工[],2,FALSE)</f>
        <v>許文姍</v>
      </c>
    </row>
    <row r="6006" spans="6:19" hidden="1" x14ac:dyDescent="0.25">
      <c r="F6006" t="s">
        <v>1289</v>
      </c>
      <c r="G6006" t="s">
        <v>398</v>
      </c>
      <c r="H6006" t="str">
        <f>VLOOKUP(record[[#This Row],[ProcessSN]],表格2_7[],2,FALSE)</f>
        <v>30-4118-018-550</v>
      </c>
      <c r="I6006" t="str">
        <f>VLOOKUP(record[[#This Row],[ProcessSN]],表格2_7[],3,FALSE)</f>
        <v>#08RCV</v>
      </c>
      <c r="J6006" t="s">
        <v>591</v>
      </c>
      <c r="K6006" s="195">
        <v>46000.654016203705</v>
      </c>
      <c r="L6006">
        <v>0</v>
      </c>
      <c r="M6006">
        <v>15</v>
      </c>
      <c r="N6006" s="98" t="str">
        <f>IF(record[[#This Row],[Memo]]="Browser:chrome os:android","平板報工",IF(record[[#This Row],[Memo]]=0,"委外",record[[#This Row],[Memo]]))</f>
        <v/>
      </c>
      <c r="O6006" t="s">
        <v>58</v>
      </c>
      <c r="P6006" t="s">
        <v>186</v>
      </c>
      <c r="Q6006" t="s">
        <v>58</v>
      </c>
      <c r="R6006" t="str">
        <f>IFERROR(VLOOKUP(record[[#This Row],[PCUSTID]],廠商[],2,FALSE),"")</f>
        <v/>
      </c>
      <c r="S6006" t="str">
        <f>VLOOKUP(record[[#This Row],[employeeID]],員工[],2,FALSE)</f>
        <v>許文姍</v>
      </c>
    </row>
    <row r="6007" spans="6:19" hidden="1" x14ac:dyDescent="0.25">
      <c r="F6007" t="s">
        <v>1289</v>
      </c>
      <c r="G6007" t="s">
        <v>398</v>
      </c>
      <c r="H6007" t="str">
        <f>VLOOKUP(record[[#This Row],[ProcessSN]],表格2_7[],2,FALSE)</f>
        <v>30-4118-018-550</v>
      </c>
      <c r="I6007" t="str">
        <f>VLOOKUP(record[[#This Row],[ProcessSN]],表格2_7[],3,FALSE)</f>
        <v>#08RCV</v>
      </c>
      <c r="J6007" t="s">
        <v>591</v>
      </c>
      <c r="K6007" s="195">
        <v>46000.653715277775</v>
      </c>
      <c r="L6007">
        <v>341</v>
      </c>
      <c r="M6007">
        <v>0</v>
      </c>
      <c r="N6007" s="98" t="str">
        <f>IF(record[[#This Row],[Memo]]="Browser:chrome os:android","平板報工",IF(record[[#This Row],[Memo]]=0,"委外",record[[#This Row],[Memo]]))</f>
        <v/>
      </c>
      <c r="O6007" t="s">
        <v>58</v>
      </c>
      <c r="P6007" t="s">
        <v>186</v>
      </c>
      <c r="Q6007" t="s">
        <v>58</v>
      </c>
      <c r="R6007" t="str">
        <f>IFERROR(VLOOKUP(record[[#This Row],[PCUSTID]],廠商[],2,FALSE),"")</f>
        <v/>
      </c>
      <c r="S6007" t="str">
        <f>VLOOKUP(record[[#This Row],[employeeID]],員工[],2,FALSE)</f>
        <v>許文姍</v>
      </c>
    </row>
    <row r="6008" spans="6:19" hidden="1" x14ac:dyDescent="0.25">
      <c r="F6008" t="s">
        <v>1278</v>
      </c>
      <c r="G6008" t="s">
        <v>398</v>
      </c>
      <c r="H6008" t="str">
        <f>VLOOKUP(record[[#This Row],[ProcessSN]],表格2_7[],2,FALSE)</f>
        <v>30-4118-018-550</v>
      </c>
      <c r="I6008" t="str">
        <f>VLOOKUP(record[[#This Row],[ProcessSN]],表格2_7[],3,FALSE)</f>
        <v>#08RCV</v>
      </c>
      <c r="J6008" t="s">
        <v>591</v>
      </c>
      <c r="K6008" s="195">
        <v>46000.653437499997</v>
      </c>
      <c r="L6008">
        <v>0</v>
      </c>
      <c r="M6008">
        <v>2</v>
      </c>
      <c r="N6008" s="98" t="str">
        <f>IF(record[[#This Row],[Memo]]="Browser:chrome os:android","平板報工",IF(record[[#This Row],[Memo]]=0,"委外",record[[#This Row],[Memo]]))</f>
        <v/>
      </c>
      <c r="O6008" t="s">
        <v>58</v>
      </c>
      <c r="P6008" t="s">
        <v>186</v>
      </c>
      <c r="Q6008" t="s">
        <v>58</v>
      </c>
      <c r="R6008" t="str">
        <f>IFERROR(VLOOKUP(record[[#This Row],[PCUSTID]],廠商[],2,FALSE),"")</f>
        <v/>
      </c>
      <c r="S6008" t="str">
        <f>VLOOKUP(record[[#This Row],[employeeID]],員工[],2,FALSE)</f>
        <v>許文姍</v>
      </c>
    </row>
    <row r="6009" spans="6:19" hidden="1" x14ac:dyDescent="0.25">
      <c r="F6009" t="s">
        <v>1278</v>
      </c>
      <c r="G6009" t="s">
        <v>398</v>
      </c>
      <c r="H6009" t="str">
        <f>VLOOKUP(record[[#This Row],[ProcessSN]],表格2_7[],2,FALSE)</f>
        <v>30-4118-018-550</v>
      </c>
      <c r="I6009" t="str">
        <f>VLOOKUP(record[[#This Row],[ProcessSN]],表格2_7[],3,FALSE)</f>
        <v>#08RCV</v>
      </c>
      <c r="J6009" t="s">
        <v>591</v>
      </c>
      <c r="K6009" s="195">
        <v>46000.650810185187</v>
      </c>
      <c r="L6009">
        <v>164</v>
      </c>
      <c r="M6009">
        <v>0</v>
      </c>
      <c r="N6009" s="98" t="str">
        <f>IF(record[[#This Row],[Memo]]="Browser:chrome os:android","平板報工",IF(record[[#This Row],[Memo]]=0,"委外",record[[#This Row],[Memo]]))</f>
        <v/>
      </c>
      <c r="O6009" t="s">
        <v>58</v>
      </c>
      <c r="P6009" t="s">
        <v>186</v>
      </c>
      <c r="Q6009" t="s">
        <v>58</v>
      </c>
      <c r="R6009" t="str">
        <f>IFERROR(VLOOKUP(record[[#This Row],[PCUSTID]],廠商[],2,FALSE),"")</f>
        <v/>
      </c>
      <c r="S6009" t="str">
        <f>VLOOKUP(record[[#This Row],[employeeID]],員工[],2,FALSE)</f>
        <v>許文姍</v>
      </c>
    </row>
    <row r="6010" spans="6:19" hidden="1" x14ac:dyDescent="0.25">
      <c r="F6010" t="s">
        <v>1286</v>
      </c>
      <c r="G6010" t="s">
        <v>357</v>
      </c>
      <c r="H6010" t="str">
        <f>VLOOKUP(record[[#This Row],[ProcessSN]],表格2_7[],2,FALSE)</f>
        <v>30-4118-018-450</v>
      </c>
      <c r="I6010" t="str">
        <f>VLOOKUP(record[[#This Row],[ProcessSN]],表格2_7[],3,FALSE)</f>
        <v>#08RCV</v>
      </c>
      <c r="J6010" t="s">
        <v>591</v>
      </c>
      <c r="K6010" s="195">
        <v>46000.649444444447</v>
      </c>
      <c r="L6010">
        <v>219</v>
      </c>
      <c r="M6010">
        <v>0</v>
      </c>
      <c r="N6010" s="98" t="str">
        <f>IF(record[[#This Row],[Memo]]="Browser:chrome os:android","平板報工",IF(record[[#This Row],[Memo]]=0,"委外",record[[#This Row],[Memo]]))</f>
        <v/>
      </c>
      <c r="O6010" t="s">
        <v>58</v>
      </c>
      <c r="P6010" t="s">
        <v>186</v>
      </c>
      <c r="Q6010" t="s">
        <v>58</v>
      </c>
      <c r="R6010" t="str">
        <f>IFERROR(VLOOKUP(record[[#This Row],[PCUSTID]],廠商[],2,FALSE),"")</f>
        <v/>
      </c>
      <c r="S6010" t="str">
        <f>VLOOKUP(record[[#This Row],[employeeID]],員工[],2,FALSE)</f>
        <v>許文姍</v>
      </c>
    </row>
    <row r="6011" spans="6:19" hidden="1" x14ac:dyDescent="0.25">
      <c r="F6011" t="s">
        <v>1290</v>
      </c>
      <c r="G6011" t="s">
        <v>415</v>
      </c>
      <c r="H6011" t="str">
        <f>VLOOKUP(record[[#This Row],[ProcessSN]],表格2_7[],2,FALSE)</f>
        <v>30-4118-018-5XX</v>
      </c>
      <c r="I6011" t="str">
        <f>VLOOKUP(record[[#This Row],[ProcessSN]],表格2_7[],3,FALSE)</f>
        <v>#04</v>
      </c>
      <c r="J6011" t="s">
        <v>588</v>
      </c>
      <c r="K6011" s="195">
        <v>46000.639930555553</v>
      </c>
      <c r="L6011">
        <v>30</v>
      </c>
      <c r="M6011">
        <v>0</v>
      </c>
      <c r="N6011" s="98" t="str">
        <f>IF(record[[#This Row],[Memo]]="Browser:chrome os:android","平板報工",IF(record[[#This Row],[Memo]]=0,"委外",record[[#This Row],[Memo]]))</f>
        <v/>
      </c>
      <c r="O6011" t="s">
        <v>58</v>
      </c>
      <c r="P6011" t="s">
        <v>145</v>
      </c>
      <c r="Q6011" t="s">
        <v>58</v>
      </c>
      <c r="R6011" t="str">
        <f>IFERROR(VLOOKUP(record[[#This Row],[PCUSTID]],廠商[],2,FALSE),"")</f>
        <v/>
      </c>
      <c r="S6011" t="str">
        <f>VLOOKUP(record[[#This Row],[employeeID]],員工[],2,FALSE)</f>
        <v>阮秋霞</v>
      </c>
    </row>
    <row r="6012" spans="6:19" hidden="1" x14ac:dyDescent="0.25">
      <c r="F6012" t="s">
        <v>1275</v>
      </c>
      <c r="G6012" t="s">
        <v>415</v>
      </c>
      <c r="H6012" t="str">
        <f>VLOOKUP(record[[#This Row],[ProcessSN]],表格2_7[],2,FALSE)</f>
        <v>30-4118-018-5XX</v>
      </c>
      <c r="I6012" t="str">
        <f>VLOOKUP(record[[#This Row],[ProcessSN]],表格2_7[],3,FALSE)</f>
        <v>#04</v>
      </c>
      <c r="J6012" t="s">
        <v>588</v>
      </c>
      <c r="K6012" s="195">
        <v>46000.639768518522</v>
      </c>
      <c r="L6012">
        <v>118</v>
      </c>
      <c r="M6012">
        <v>0</v>
      </c>
      <c r="N6012" s="98" t="str">
        <f>IF(record[[#This Row],[Memo]]="Browser:chrome os:android","平板報工",IF(record[[#This Row],[Memo]]=0,"委外",record[[#This Row],[Memo]]))</f>
        <v/>
      </c>
      <c r="O6012" t="s">
        <v>58</v>
      </c>
      <c r="P6012" t="s">
        <v>145</v>
      </c>
      <c r="Q6012" t="s">
        <v>58</v>
      </c>
      <c r="R6012" t="str">
        <f>IFERROR(VLOOKUP(record[[#This Row],[PCUSTID]],廠商[],2,FALSE),"")</f>
        <v/>
      </c>
      <c r="S6012" t="str">
        <f>VLOOKUP(record[[#This Row],[employeeID]],員工[],2,FALSE)</f>
        <v>阮秋霞</v>
      </c>
    </row>
    <row r="6013" spans="6:19" hidden="1" x14ac:dyDescent="0.25">
      <c r="F6013" t="s">
        <v>1285</v>
      </c>
      <c r="G6013" t="s">
        <v>465</v>
      </c>
      <c r="H6013" t="str">
        <f>VLOOKUP(record[[#This Row],[ProcessSN]],表格2_7[],2,FALSE)</f>
        <v>30-4118-018-XXX</v>
      </c>
      <c r="I6013" t="str">
        <f>VLOOKUP(record[[#This Row],[ProcessSN]],表格2_7[],3,FALSE)</f>
        <v>#01-1</v>
      </c>
      <c r="J6013" t="s">
        <v>588</v>
      </c>
      <c r="K6013" s="195">
        <v>46000.639479166668</v>
      </c>
      <c r="L6013">
        <v>600</v>
      </c>
      <c r="M6013">
        <v>0</v>
      </c>
      <c r="N6013" s="98" t="str">
        <f>IF(record[[#This Row],[Memo]]="Browser:chrome os:android","平板報工",IF(record[[#This Row],[Memo]]=0,"委外",record[[#This Row],[Memo]]))</f>
        <v/>
      </c>
      <c r="O6013" t="s">
        <v>58</v>
      </c>
      <c r="P6013" t="s">
        <v>145</v>
      </c>
      <c r="Q6013" t="s">
        <v>58</v>
      </c>
      <c r="R6013" t="str">
        <f>IFERROR(VLOOKUP(record[[#This Row],[PCUSTID]],廠商[],2,FALSE),"")</f>
        <v/>
      </c>
      <c r="S6013" t="str">
        <f>VLOOKUP(record[[#This Row],[employeeID]],員工[],2,FALSE)</f>
        <v>阮秋霞</v>
      </c>
    </row>
    <row r="6014" spans="6:19" hidden="1" x14ac:dyDescent="0.25">
      <c r="F6014" t="s">
        <v>1275</v>
      </c>
      <c r="G6014" t="s">
        <v>416</v>
      </c>
      <c r="H6014" t="str">
        <f>VLOOKUP(record[[#This Row],[ProcessSN]],表格2_7[],2,FALSE)</f>
        <v>30-4118-018-5XX</v>
      </c>
      <c r="I6014" t="str">
        <f>VLOOKUP(record[[#This Row],[ProcessSN]],表格2_7[],3,FALSE)</f>
        <v>#05</v>
      </c>
      <c r="J6014" t="s">
        <v>588</v>
      </c>
      <c r="K6014" s="195">
        <v>46000.638969907406</v>
      </c>
      <c r="L6014">
        <v>72</v>
      </c>
      <c r="M6014">
        <v>0</v>
      </c>
      <c r="N6014" s="98" t="str">
        <f>IF(record[[#This Row],[Memo]]="Browser:chrome os:android","平板報工",IF(record[[#This Row],[Memo]]=0,"委外",record[[#This Row],[Memo]]))</f>
        <v/>
      </c>
      <c r="O6014" t="s">
        <v>58</v>
      </c>
      <c r="P6014" t="s">
        <v>785</v>
      </c>
      <c r="Q6014" t="s">
        <v>58</v>
      </c>
      <c r="R6014" t="str">
        <f>IFERROR(VLOOKUP(record[[#This Row],[PCUSTID]],廠商[],2,FALSE),"")</f>
        <v/>
      </c>
      <c r="S6014" t="str">
        <f>VLOOKUP(record[[#This Row],[employeeID]],員工[],2,FALSE)</f>
        <v>謝刻光</v>
      </c>
    </row>
    <row r="6015" spans="6:19" hidden="1" x14ac:dyDescent="0.25">
      <c r="F6015" t="s">
        <v>1306</v>
      </c>
      <c r="G6015" t="s">
        <v>397</v>
      </c>
      <c r="H6015" t="str">
        <f>VLOOKUP(record[[#This Row],[ProcessSN]],表格2_7[],2,FALSE)</f>
        <v>30-4118-018-550</v>
      </c>
      <c r="I6015" t="str">
        <f>VLOOKUP(record[[#This Row],[ProcessSN]],表格2_7[],3,FALSE)</f>
        <v>#08</v>
      </c>
      <c r="J6015" t="s">
        <v>597</v>
      </c>
      <c r="K6015" s="195">
        <v>46000.614548611113</v>
      </c>
      <c r="L6015">
        <v>425</v>
      </c>
      <c r="M6015">
        <v>0</v>
      </c>
      <c r="N6015" s="98" t="str">
        <f>IF(record[[#This Row],[Memo]]="Browser:chrome os:android","平板報工",IF(record[[#This Row],[Memo]]=0,"委外",record[[#This Row],[Memo]]))</f>
        <v>委外</v>
      </c>
      <c r="P6015" t="s">
        <v>186</v>
      </c>
      <c r="Q6015" t="s">
        <v>287</v>
      </c>
      <c r="R6015" t="str">
        <f>IFERROR(VLOOKUP(record[[#This Row],[PCUSTID]],廠商[],2,FALSE),"")</f>
        <v>泉盛</v>
      </c>
      <c r="S6015" t="str">
        <f>VLOOKUP(record[[#This Row],[employeeID]],員工[],2,FALSE)</f>
        <v>許文姍</v>
      </c>
    </row>
    <row r="6016" spans="6:19" hidden="1" x14ac:dyDescent="0.25">
      <c r="F6016" t="s">
        <v>1209</v>
      </c>
      <c r="G6016" t="s">
        <v>471</v>
      </c>
      <c r="H6016" t="str">
        <f>VLOOKUP(record[[#This Row],[ProcessSN]],表格2_7[],2,FALSE)</f>
        <v>30-4118-018-XXX</v>
      </c>
      <c r="I6016" t="str">
        <f>VLOOKUP(record[[#This Row],[ProcessSN]],表格2_7[],3,FALSE)</f>
        <v>#02STOCK</v>
      </c>
      <c r="J6016" t="s">
        <v>592</v>
      </c>
      <c r="K6016" s="195">
        <v>46000.601863425924</v>
      </c>
      <c r="L6016">
        <v>1316</v>
      </c>
      <c r="M6016">
        <v>0</v>
      </c>
      <c r="N6016" s="98" t="str">
        <f>IF(record[[#This Row],[Memo]]="Browser:chrome os:android","平板報工",IF(record[[#This Row],[Memo]]=0,"委外",record[[#This Row],[Memo]]))</f>
        <v/>
      </c>
      <c r="O6016" t="s">
        <v>58</v>
      </c>
      <c r="P6016" t="s">
        <v>65</v>
      </c>
      <c r="Q6016" t="s">
        <v>58</v>
      </c>
      <c r="R6016" t="str">
        <f>IFERROR(VLOOKUP(record[[#This Row],[PCUSTID]],廠商[],2,FALSE),"")</f>
        <v/>
      </c>
      <c r="S6016" t="str">
        <f>VLOOKUP(record[[#This Row],[employeeID]],員工[],2,FALSE)</f>
        <v>蘇進昌</v>
      </c>
    </row>
    <row r="6017" spans="6:19" hidden="1" x14ac:dyDescent="0.25">
      <c r="F6017" t="s">
        <v>1173</v>
      </c>
      <c r="G6017" t="s">
        <v>427</v>
      </c>
      <c r="H6017" t="str">
        <f>VLOOKUP(record[[#This Row],[ProcessSN]],表格2_7[],2,FALSE)</f>
        <v>30-4118-018-600</v>
      </c>
      <c r="I6017" t="str">
        <f>VLOOKUP(record[[#This Row],[ProcessSN]],表格2_7[],3,FALSE)</f>
        <v>#100STOCK</v>
      </c>
      <c r="J6017" t="s">
        <v>592</v>
      </c>
      <c r="K6017" s="195">
        <v>46000.58971064815</v>
      </c>
      <c r="L6017">
        <v>301</v>
      </c>
      <c r="M6017">
        <v>0</v>
      </c>
      <c r="N6017" s="98" t="str">
        <f>IF(record[[#This Row],[Memo]]="Browser:chrome os:android","平板報工",IF(record[[#This Row],[Memo]]=0,"委外",record[[#This Row],[Memo]]))</f>
        <v/>
      </c>
      <c r="O6017" t="s">
        <v>58</v>
      </c>
      <c r="P6017" t="s">
        <v>886</v>
      </c>
      <c r="Q6017" t="s">
        <v>58</v>
      </c>
      <c r="R6017" t="str">
        <f>IFERROR(VLOOKUP(record[[#This Row],[PCUSTID]],廠商[],2,FALSE),"")</f>
        <v/>
      </c>
      <c r="S6017" t="str">
        <f>VLOOKUP(record[[#This Row],[employeeID]],員工[],2,FALSE)</f>
        <v>謝蓁薰</v>
      </c>
    </row>
    <row r="6018" spans="6:19" hidden="1" x14ac:dyDescent="0.25">
      <c r="F6018" t="s">
        <v>1275</v>
      </c>
      <c r="G6018" t="s">
        <v>418</v>
      </c>
      <c r="H6018" t="str">
        <f>VLOOKUP(record[[#This Row],[ProcessSN]],表格2_7[],2,FALSE)</f>
        <v>30-4118-018-5XX</v>
      </c>
      <c r="I6018" t="str">
        <f>VLOOKUP(record[[#This Row],[ProcessSN]],表格2_7[],3,FALSE)</f>
        <v>#07</v>
      </c>
      <c r="J6018" t="s">
        <v>588</v>
      </c>
      <c r="K6018" s="195">
        <v>46000.588159722225</v>
      </c>
      <c r="L6018">
        <v>49</v>
      </c>
      <c r="M6018">
        <v>0</v>
      </c>
      <c r="N6018" s="98" t="str">
        <f>IF(record[[#This Row],[Memo]]="Browser:chrome os:android","平板報工",IF(record[[#This Row],[Memo]]=0,"委外",record[[#This Row],[Memo]]))</f>
        <v/>
      </c>
      <c r="O6018" t="s">
        <v>58</v>
      </c>
      <c r="P6018" t="s">
        <v>785</v>
      </c>
      <c r="Q6018" t="s">
        <v>58</v>
      </c>
      <c r="R6018" t="str">
        <f>IFERROR(VLOOKUP(record[[#This Row],[PCUSTID]],廠商[],2,FALSE),"")</f>
        <v/>
      </c>
      <c r="S6018" t="str">
        <f>VLOOKUP(record[[#This Row],[employeeID]],員工[],2,FALSE)</f>
        <v>謝刻光</v>
      </c>
    </row>
    <row r="6019" spans="6:19" hidden="1" x14ac:dyDescent="0.25">
      <c r="F6019" t="s">
        <v>1275</v>
      </c>
      <c r="G6019" t="s">
        <v>417</v>
      </c>
      <c r="H6019" t="str">
        <f>VLOOKUP(record[[#This Row],[ProcessSN]],表格2_7[],2,FALSE)</f>
        <v>30-4118-018-5XX</v>
      </c>
      <c r="I6019" t="str">
        <f>VLOOKUP(record[[#This Row],[ProcessSN]],表格2_7[],3,FALSE)</f>
        <v>#06</v>
      </c>
      <c r="J6019" t="s">
        <v>593</v>
      </c>
      <c r="K6019" s="195">
        <v>46000.587905092594</v>
      </c>
      <c r="L6019">
        <v>18</v>
      </c>
      <c r="M6019">
        <v>0</v>
      </c>
      <c r="N6019" s="98" t="str">
        <f>IF(record[[#This Row],[Memo]]="Browser:chrome os:android","平板報工",IF(record[[#This Row],[Memo]]=0,"委外",record[[#This Row],[Memo]]))</f>
        <v/>
      </c>
      <c r="O6019" t="s">
        <v>58</v>
      </c>
      <c r="P6019" t="s">
        <v>166</v>
      </c>
      <c r="Q6019" t="s">
        <v>58</v>
      </c>
      <c r="R6019" t="str">
        <f>IFERROR(VLOOKUP(record[[#This Row],[PCUSTID]],廠商[],2,FALSE),"")</f>
        <v/>
      </c>
      <c r="S6019" t="str">
        <f>VLOOKUP(record[[#This Row],[employeeID]],員工[],2,FALSE)</f>
        <v>阮懷香</v>
      </c>
    </row>
    <row r="6020" spans="6:19" hidden="1" x14ac:dyDescent="0.25">
      <c r="F6020" t="s">
        <v>1270</v>
      </c>
      <c r="G6020" t="s">
        <v>376</v>
      </c>
      <c r="H6020" t="str">
        <f>VLOOKUP(record[[#This Row],[ProcessSN]],表格2_7[],2,FALSE)</f>
        <v>30-4118-018-4XX</v>
      </c>
      <c r="I6020" t="str">
        <f>VLOOKUP(record[[#This Row],[ProcessSN]],表格2_7[],3,FALSE)</f>
        <v>#06</v>
      </c>
      <c r="J6020" t="s">
        <v>593</v>
      </c>
      <c r="K6020" s="195">
        <v>46000.587407407409</v>
      </c>
      <c r="L6020">
        <v>30</v>
      </c>
      <c r="M6020">
        <v>0</v>
      </c>
      <c r="N6020" s="98" t="str">
        <f>IF(record[[#This Row],[Memo]]="Browser:chrome os:android","平板報工",IF(record[[#This Row],[Memo]]=0,"委外",record[[#This Row],[Memo]]))</f>
        <v/>
      </c>
      <c r="O6020" t="s">
        <v>58</v>
      </c>
      <c r="P6020" t="s">
        <v>166</v>
      </c>
      <c r="Q6020" t="s">
        <v>58</v>
      </c>
      <c r="R6020" t="str">
        <f>IFERROR(VLOOKUP(record[[#This Row],[PCUSTID]],廠商[],2,FALSE),"")</f>
        <v/>
      </c>
      <c r="S6020" t="str">
        <f>VLOOKUP(record[[#This Row],[employeeID]],員工[],2,FALSE)</f>
        <v>阮懷香</v>
      </c>
    </row>
    <row r="6021" spans="6:19" hidden="1" x14ac:dyDescent="0.25">
      <c r="F6021" t="s">
        <v>1306</v>
      </c>
      <c r="G6021" t="s">
        <v>396</v>
      </c>
      <c r="H6021" t="str">
        <f>VLOOKUP(record[[#This Row],[ProcessSN]],表格2_7[],2,FALSE)</f>
        <v>30-4118-018-550</v>
      </c>
      <c r="I6021" t="str">
        <f>VLOOKUP(record[[#This Row],[ProcessSN]],表格2_7[],3,FALSE)</f>
        <v>#08PICK</v>
      </c>
      <c r="J6021" t="s">
        <v>582</v>
      </c>
      <c r="K6021" s="195">
        <v>46000.47047453704</v>
      </c>
      <c r="L6021">
        <v>425</v>
      </c>
      <c r="M6021">
        <v>0</v>
      </c>
      <c r="N6021" s="98" t="str">
        <f>IF(record[[#This Row],[Memo]]="Browser:chrome os:android","平板報工",IF(record[[#This Row],[Memo]]=0,"委外",record[[#This Row],[Memo]]))</f>
        <v/>
      </c>
      <c r="O6021" t="s">
        <v>58</v>
      </c>
      <c r="P6021" t="s">
        <v>186</v>
      </c>
      <c r="Q6021" t="s">
        <v>58</v>
      </c>
      <c r="R6021" t="str">
        <f>IFERROR(VLOOKUP(record[[#This Row],[PCUSTID]],廠商[],2,FALSE),"")</f>
        <v/>
      </c>
      <c r="S6021" t="str">
        <f>VLOOKUP(record[[#This Row],[employeeID]],員工[],2,FALSE)</f>
        <v>許文姍</v>
      </c>
    </row>
    <row r="6022" spans="6:19" hidden="1" x14ac:dyDescent="0.25">
      <c r="F6022" t="s">
        <v>1180</v>
      </c>
      <c r="G6022" t="s">
        <v>420</v>
      </c>
      <c r="H6022" t="str">
        <f>VLOOKUP(record[[#This Row],[ProcessSN]],表格2_7[],2,FALSE)</f>
        <v>30-4118-018-5XX</v>
      </c>
      <c r="I6022" t="str">
        <f>VLOOKUP(record[[#This Row],[ProcessSN]],表格2_7[],3,FALSE)</f>
        <v>#07STOCK</v>
      </c>
      <c r="J6022" t="s">
        <v>592</v>
      </c>
      <c r="K6022" s="195">
        <v>46000.468124999999</v>
      </c>
      <c r="L6022">
        <v>1</v>
      </c>
      <c r="M6022">
        <v>0</v>
      </c>
      <c r="N6022" s="98" t="str">
        <f>IF(record[[#This Row],[Memo]]="Browser:chrome os:android","平板報工",IF(record[[#This Row],[Memo]]=0,"委外",record[[#This Row],[Memo]]))</f>
        <v/>
      </c>
      <c r="O6022" t="s">
        <v>58</v>
      </c>
      <c r="P6022" t="s">
        <v>186</v>
      </c>
      <c r="Q6022" t="s">
        <v>58</v>
      </c>
      <c r="R6022" t="str">
        <f>IFERROR(VLOOKUP(record[[#This Row],[PCUSTID]],廠商[],2,FALSE),"")</f>
        <v/>
      </c>
      <c r="S6022" t="str">
        <f>VLOOKUP(record[[#This Row],[employeeID]],員工[],2,FALSE)</f>
        <v>許文姍</v>
      </c>
    </row>
    <row r="6023" spans="6:19" hidden="1" x14ac:dyDescent="0.25">
      <c r="F6023" t="s">
        <v>1169</v>
      </c>
      <c r="G6023" t="s">
        <v>420</v>
      </c>
      <c r="H6023" t="str">
        <f>VLOOKUP(record[[#This Row],[ProcessSN]],表格2_7[],2,FALSE)</f>
        <v>30-4118-018-5XX</v>
      </c>
      <c r="I6023" t="str">
        <f>VLOOKUP(record[[#This Row],[ProcessSN]],表格2_7[],3,FALSE)</f>
        <v>#07STOCK</v>
      </c>
      <c r="J6023" t="s">
        <v>592</v>
      </c>
      <c r="K6023" s="195">
        <v>46000.467962962961</v>
      </c>
      <c r="L6023">
        <v>3</v>
      </c>
      <c r="M6023">
        <v>0</v>
      </c>
      <c r="N6023" s="98" t="str">
        <f>IF(record[[#This Row],[Memo]]="Browser:chrome os:android","平板報工",IF(record[[#This Row],[Memo]]=0,"委外",record[[#This Row],[Memo]]))</f>
        <v/>
      </c>
      <c r="O6023" t="s">
        <v>58</v>
      </c>
      <c r="P6023" t="s">
        <v>186</v>
      </c>
      <c r="Q6023" t="s">
        <v>58</v>
      </c>
      <c r="R6023" t="str">
        <f>IFERROR(VLOOKUP(record[[#This Row],[PCUSTID]],廠商[],2,FALSE),"")</f>
        <v/>
      </c>
      <c r="S6023" t="str">
        <f>VLOOKUP(record[[#This Row],[employeeID]],員工[],2,FALSE)</f>
        <v>許文姍</v>
      </c>
    </row>
    <row r="6024" spans="6:19" hidden="1" x14ac:dyDescent="0.25">
      <c r="F6024" t="s">
        <v>1189</v>
      </c>
      <c r="G6024" t="s">
        <v>420</v>
      </c>
      <c r="H6024" t="str">
        <f>VLOOKUP(record[[#This Row],[ProcessSN]],表格2_7[],2,FALSE)</f>
        <v>30-4118-018-5XX</v>
      </c>
      <c r="I6024" t="str">
        <f>VLOOKUP(record[[#This Row],[ProcessSN]],表格2_7[],3,FALSE)</f>
        <v>#07STOCK</v>
      </c>
      <c r="J6024" t="s">
        <v>592</v>
      </c>
      <c r="K6024" s="195">
        <v>46000.467858796299</v>
      </c>
      <c r="L6024">
        <v>12</v>
      </c>
      <c r="M6024">
        <v>0</v>
      </c>
      <c r="N6024" s="98" t="str">
        <f>IF(record[[#This Row],[Memo]]="Browser:chrome os:android","平板報工",IF(record[[#This Row],[Memo]]=0,"委外",record[[#This Row],[Memo]]))</f>
        <v/>
      </c>
      <c r="O6024" t="s">
        <v>58</v>
      </c>
      <c r="P6024" t="s">
        <v>186</v>
      </c>
      <c r="Q6024" t="s">
        <v>58</v>
      </c>
      <c r="R6024" t="str">
        <f>IFERROR(VLOOKUP(record[[#This Row],[PCUSTID]],廠商[],2,FALSE),"")</f>
        <v/>
      </c>
      <c r="S6024" t="str">
        <f>VLOOKUP(record[[#This Row],[employeeID]],員工[],2,FALSE)</f>
        <v>許文姍</v>
      </c>
    </row>
    <row r="6025" spans="6:19" hidden="1" x14ac:dyDescent="0.25">
      <c r="F6025" t="s">
        <v>1275</v>
      </c>
      <c r="G6025" t="s">
        <v>420</v>
      </c>
      <c r="H6025" t="str">
        <f>VLOOKUP(record[[#This Row],[ProcessSN]],表格2_7[],2,FALSE)</f>
        <v>30-4118-018-5XX</v>
      </c>
      <c r="I6025" t="str">
        <f>VLOOKUP(record[[#This Row],[ProcessSN]],表格2_7[],3,FALSE)</f>
        <v>#07STOCK</v>
      </c>
      <c r="J6025" t="s">
        <v>592</v>
      </c>
      <c r="K6025" s="195">
        <v>46000.467743055553</v>
      </c>
      <c r="L6025">
        <v>409</v>
      </c>
      <c r="M6025">
        <v>0</v>
      </c>
      <c r="N6025" s="98" t="str">
        <f>IF(record[[#This Row],[Memo]]="Browser:chrome os:android","平板報工",IF(record[[#This Row],[Memo]]=0,"委外",record[[#This Row],[Memo]]))</f>
        <v/>
      </c>
      <c r="O6025" t="s">
        <v>58</v>
      </c>
      <c r="P6025" t="s">
        <v>186</v>
      </c>
      <c r="Q6025" t="s">
        <v>58</v>
      </c>
      <c r="R6025" t="str">
        <f>IFERROR(VLOOKUP(record[[#This Row],[PCUSTID]],廠商[],2,FALSE),"")</f>
        <v/>
      </c>
      <c r="S6025" t="str">
        <f>VLOOKUP(record[[#This Row],[employeeID]],員工[],2,FALSE)</f>
        <v>許文姍</v>
      </c>
    </row>
    <row r="6026" spans="6:19" hidden="1" x14ac:dyDescent="0.25">
      <c r="F6026" t="s">
        <v>1275</v>
      </c>
      <c r="G6026" t="s">
        <v>419</v>
      </c>
      <c r="H6026" t="str">
        <f>VLOOKUP(record[[#This Row],[ProcessSN]],表格2_7[],2,FALSE)</f>
        <v>30-4118-018-5XX</v>
      </c>
      <c r="I6026" t="str">
        <f>VLOOKUP(record[[#This Row],[ProcessSN]],表格2_7[],3,FALSE)</f>
        <v>#07QC</v>
      </c>
      <c r="J6026" t="s">
        <v>589</v>
      </c>
      <c r="K6026" s="195">
        <v>46000.409270833334</v>
      </c>
      <c r="L6026">
        <v>0</v>
      </c>
      <c r="M6026">
        <v>3</v>
      </c>
      <c r="N6026" s="98" t="str">
        <f>IF(record[[#This Row],[Memo]]="Browser:chrome os:android","平板報工",IF(record[[#This Row],[Memo]]=0,"委外",record[[#This Row],[Memo]]))</f>
        <v/>
      </c>
      <c r="O6026" t="s">
        <v>58</v>
      </c>
      <c r="P6026" t="s">
        <v>141</v>
      </c>
      <c r="Q6026" t="s">
        <v>58</v>
      </c>
      <c r="R6026" t="str">
        <f>IFERROR(VLOOKUP(record[[#This Row],[PCUSTID]],廠商[],2,FALSE),"")</f>
        <v/>
      </c>
      <c r="S6026" t="str">
        <f>VLOOKUP(record[[#This Row],[employeeID]],員工[],2,FALSE)</f>
        <v>蔣梅</v>
      </c>
    </row>
    <row r="6027" spans="6:19" hidden="1" x14ac:dyDescent="0.25">
      <c r="F6027" t="s">
        <v>1275</v>
      </c>
      <c r="G6027" t="s">
        <v>419</v>
      </c>
      <c r="H6027" t="str">
        <f>VLOOKUP(record[[#This Row],[ProcessSN]],表格2_7[],2,FALSE)</f>
        <v>30-4118-018-5XX</v>
      </c>
      <c r="I6027" t="str">
        <f>VLOOKUP(record[[#This Row],[ProcessSN]],表格2_7[],3,FALSE)</f>
        <v>#07QC</v>
      </c>
      <c r="J6027" t="s">
        <v>589</v>
      </c>
      <c r="K6027" s="195">
        <v>46000.409097222226</v>
      </c>
      <c r="L6027">
        <v>329</v>
      </c>
      <c r="M6027">
        <v>0</v>
      </c>
      <c r="N6027" s="98" t="str">
        <f>IF(record[[#This Row],[Memo]]="Browser:chrome os:android","平板報工",IF(record[[#This Row],[Memo]]=0,"委外",record[[#This Row],[Memo]]))</f>
        <v/>
      </c>
      <c r="O6027" t="s">
        <v>58</v>
      </c>
      <c r="P6027" t="s">
        <v>141</v>
      </c>
      <c r="Q6027" t="s">
        <v>58</v>
      </c>
      <c r="R6027" t="str">
        <f>IFERROR(VLOOKUP(record[[#This Row],[PCUSTID]],廠商[],2,FALSE),"")</f>
        <v/>
      </c>
      <c r="S6027" t="str">
        <f>VLOOKUP(record[[#This Row],[employeeID]],員工[],2,FALSE)</f>
        <v>蔣梅</v>
      </c>
    </row>
    <row r="6028" spans="6:19" hidden="1" x14ac:dyDescent="0.25">
      <c r="F6028" t="s">
        <v>1169</v>
      </c>
      <c r="G6028" t="s">
        <v>419</v>
      </c>
      <c r="H6028" t="str">
        <f>VLOOKUP(record[[#This Row],[ProcessSN]],表格2_7[],2,FALSE)</f>
        <v>30-4118-018-5XX</v>
      </c>
      <c r="I6028" t="str">
        <f>VLOOKUP(record[[#This Row],[ProcessSN]],表格2_7[],3,FALSE)</f>
        <v>#07QC</v>
      </c>
      <c r="J6028" t="s">
        <v>589</v>
      </c>
      <c r="K6028" s="195">
        <v>46000.408622685187</v>
      </c>
      <c r="L6028">
        <v>2</v>
      </c>
      <c r="M6028">
        <v>0</v>
      </c>
      <c r="N6028" s="98" t="str">
        <f>IF(record[[#This Row],[Memo]]="Browser:chrome os:android","平板報工",IF(record[[#This Row],[Memo]]=0,"委外",record[[#This Row],[Memo]]))</f>
        <v/>
      </c>
      <c r="O6028" t="s">
        <v>58</v>
      </c>
      <c r="P6028" t="s">
        <v>141</v>
      </c>
      <c r="Q6028" t="s">
        <v>58</v>
      </c>
      <c r="R6028" t="str">
        <f>IFERROR(VLOOKUP(record[[#This Row],[PCUSTID]],廠商[],2,FALSE),"")</f>
        <v/>
      </c>
      <c r="S6028" t="str">
        <f>VLOOKUP(record[[#This Row],[employeeID]],員工[],2,FALSE)</f>
        <v>蔣梅</v>
      </c>
    </row>
    <row r="6029" spans="6:19" hidden="1" x14ac:dyDescent="0.25">
      <c r="F6029" t="s">
        <v>1253</v>
      </c>
      <c r="G6029" t="s">
        <v>418</v>
      </c>
      <c r="H6029" t="str">
        <f>VLOOKUP(record[[#This Row],[ProcessSN]],表格2_7[],2,FALSE)</f>
        <v>30-4118-018-5XX</v>
      </c>
      <c r="I6029" t="str">
        <f>VLOOKUP(record[[#This Row],[ProcessSN]],表格2_7[],3,FALSE)</f>
        <v>#07</v>
      </c>
      <c r="J6029" t="s">
        <v>588</v>
      </c>
      <c r="K6029" s="195">
        <v>46000.398136574076</v>
      </c>
      <c r="L6029">
        <v>167</v>
      </c>
      <c r="M6029">
        <v>0</v>
      </c>
      <c r="N6029" s="98" t="str">
        <f>IF(record[[#This Row],[Memo]]="Browser:chrome os:android","平板報工",IF(record[[#This Row],[Memo]]=0,"委外",record[[#This Row],[Memo]]))</f>
        <v>12/4</v>
      </c>
      <c r="O6029" t="s">
        <v>1304</v>
      </c>
      <c r="P6029" t="s">
        <v>89</v>
      </c>
      <c r="Q6029" t="s">
        <v>58</v>
      </c>
      <c r="R6029" t="str">
        <f>IFERROR(VLOOKUP(record[[#This Row],[PCUSTID]],廠商[],2,FALSE),"")</f>
        <v/>
      </c>
      <c r="S6029" t="str">
        <f>VLOOKUP(record[[#This Row],[employeeID]],員工[],2,FALSE)</f>
        <v>李美蓮</v>
      </c>
    </row>
    <row r="6030" spans="6:19" hidden="1" x14ac:dyDescent="0.25">
      <c r="F6030" t="s">
        <v>1179</v>
      </c>
      <c r="G6030" t="s">
        <v>376</v>
      </c>
      <c r="H6030" t="str">
        <f>VLOOKUP(record[[#This Row],[ProcessSN]],表格2_7[],2,FALSE)</f>
        <v>30-4118-018-4XX</v>
      </c>
      <c r="I6030" t="str">
        <f>VLOOKUP(record[[#This Row],[ProcessSN]],表格2_7[],3,FALSE)</f>
        <v>#06</v>
      </c>
      <c r="J6030" t="s">
        <v>593</v>
      </c>
      <c r="K6030" s="195">
        <v>46000.332858796297</v>
      </c>
      <c r="L6030">
        <v>16</v>
      </c>
      <c r="M6030">
        <v>0</v>
      </c>
      <c r="N6030" s="98" t="str">
        <f>IF(record[[#This Row],[Memo]]="Browser:chrome os:android","平板報工",IF(record[[#This Row],[Memo]]=0,"委外",record[[#This Row],[Memo]]))</f>
        <v/>
      </c>
      <c r="O6030" t="s">
        <v>58</v>
      </c>
      <c r="P6030" t="s">
        <v>180</v>
      </c>
      <c r="Q6030" t="s">
        <v>58</v>
      </c>
      <c r="R6030" t="str">
        <f>IFERROR(VLOOKUP(record[[#This Row],[PCUSTID]],廠商[],2,FALSE),"")</f>
        <v/>
      </c>
      <c r="S6030" t="str">
        <f>VLOOKUP(record[[#This Row],[employeeID]],員工[],2,FALSE)</f>
        <v>黎功江</v>
      </c>
    </row>
    <row r="6031" spans="6:19" hidden="1" x14ac:dyDescent="0.25">
      <c r="F6031" t="s">
        <v>1179</v>
      </c>
      <c r="G6031" t="s">
        <v>375</v>
      </c>
      <c r="H6031" t="str">
        <f>VLOOKUP(record[[#This Row],[ProcessSN]],表格2_7[],2,FALSE)</f>
        <v>30-4118-018-4XX</v>
      </c>
      <c r="I6031" t="str">
        <f>VLOOKUP(record[[#This Row],[ProcessSN]],表格2_7[],3,FALSE)</f>
        <v>#05</v>
      </c>
      <c r="J6031" t="s">
        <v>588</v>
      </c>
      <c r="K6031" s="195">
        <v>46000.332719907405</v>
      </c>
      <c r="L6031">
        <v>16</v>
      </c>
      <c r="M6031">
        <v>0</v>
      </c>
      <c r="N6031" s="98" t="str">
        <f>IF(record[[#This Row],[Memo]]="Browser:chrome os:android","平板報工",IF(record[[#This Row],[Memo]]=0,"委外",record[[#This Row],[Memo]]))</f>
        <v/>
      </c>
      <c r="O6031" t="s">
        <v>58</v>
      </c>
      <c r="P6031" t="s">
        <v>180</v>
      </c>
      <c r="Q6031" t="s">
        <v>58</v>
      </c>
      <c r="R6031" t="str">
        <f>IFERROR(VLOOKUP(record[[#This Row],[PCUSTID]],廠商[],2,FALSE),"")</f>
        <v/>
      </c>
      <c r="S6031" t="str">
        <f>VLOOKUP(record[[#This Row],[employeeID]],員工[],2,FALSE)</f>
        <v>黎功江</v>
      </c>
    </row>
    <row r="6032" spans="6:19" hidden="1" x14ac:dyDescent="0.25">
      <c r="F6032" t="s">
        <v>1179</v>
      </c>
      <c r="G6032" t="s">
        <v>374</v>
      </c>
      <c r="H6032" t="str">
        <f>VLOOKUP(record[[#This Row],[ProcessSN]],表格2_7[],2,FALSE)</f>
        <v>30-4118-018-4XX</v>
      </c>
      <c r="I6032" t="str">
        <f>VLOOKUP(record[[#This Row],[ProcessSN]],表格2_7[],3,FALSE)</f>
        <v>#04</v>
      </c>
      <c r="J6032" t="s">
        <v>588</v>
      </c>
      <c r="K6032" s="195">
        <v>46000.332592592589</v>
      </c>
      <c r="L6032">
        <v>16</v>
      </c>
      <c r="M6032">
        <v>0</v>
      </c>
      <c r="N6032" s="98" t="str">
        <f>IF(record[[#This Row],[Memo]]="Browser:chrome os:android","平板報工",IF(record[[#This Row],[Memo]]=0,"委外",record[[#This Row],[Memo]]))</f>
        <v/>
      </c>
      <c r="O6032" t="s">
        <v>58</v>
      </c>
      <c r="P6032" t="s">
        <v>180</v>
      </c>
      <c r="Q6032" t="s">
        <v>58</v>
      </c>
      <c r="R6032" t="str">
        <f>IFERROR(VLOOKUP(record[[#This Row],[PCUSTID]],廠商[],2,FALSE),"")</f>
        <v/>
      </c>
      <c r="S6032" t="str">
        <f>VLOOKUP(record[[#This Row],[employeeID]],員工[],2,FALSE)</f>
        <v>黎功江</v>
      </c>
    </row>
    <row r="6033" spans="6:19" hidden="1" x14ac:dyDescent="0.25">
      <c r="F6033" t="s">
        <v>1275</v>
      </c>
      <c r="G6033" t="s">
        <v>418</v>
      </c>
      <c r="H6033" t="str">
        <f>VLOOKUP(record[[#This Row],[ProcessSN]],表格2_7[],2,FALSE)</f>
        <v>30-4118-018-5XX</v>
      </c>
      <c r="I6033" t="str">
        <f>VLOOKUP(record[[#This Row],[ProcessSN]],表格2_7[],3,FALSE)</f>
        <v>#07</v>
      </c>
      <c r="J6033" t="s">
        <v>588</v>
      </c>
      <c r="K6033" s="195">
        <v>46000.315717592595</v>
      </c>
      <c r="L6033">
        <v>124</v>
      </c>
      <c r="M6033">
        <v>0</v>
      </c>
      <c r="N6033" s="98" t="str">
        <f>IF(record[[#This Row],[Memo]]="Browser:chrome os:android","平板報工",IF(record[[#This Row],[Memo]]=0,"委外",record[[#This Row],[Memo]]))</f>
        <v/>
      </c>
      <c r="O6033" t="s">
        <v>58</v>
      </c>
      <c r="P6033" t="s">
        <v>843</v>
      </c>
      <c r="Q6033" t="s">
        <v>58</v>
      </c>
      <c r="R6033" t="str">
        <f>IFERROR(VLOOKUP(record[[#This Row],[PCUSTID]],廠商[],2,FALSE),"")</f>
        <v/>
      </c>
      <c r="S6033" t="str">
        <f>VLOOKUP(record[[#This Row],[employeeID]],員工[],2,FALSE)</f>
        <v>張楚承</v>
      </c>
    </row>
    <row r="6034" spans="6:19" hidden="1" x14ac:dyDescent="0.25">
      <c r="F6034" t="s">
        <v>1275</v>
      </c>
      <c r="G6034" t="s">
        <v>417</v>
      </c>
      <c r="H6034" t="str">
        <f>VLOOKUP(record[[#This Row],[ProcessSN]],表格2_7[],2,FALSE)</f>
        <v>30-4118-018-5XX</v>
      </c>
      <c r="I6034" t="str">
        <f>VLOOKUP(record[[#This Row],[ProcessSN]],表格2_7[],3,FALSE)</f>
        <v>#06</v>
      </c>
      <c r="J6034" t="s">
        <v>593</v>
      </c>
      <c r="K6034" s="195">
        <v>46000.314583333333</v>
      </c>
      <c r="L6034">
        <v>133</v>
      </c>
      <c r="M6034">
        <v>0</v>
      </c>
      <c r="N6034" s="98" t="str">
        <f>IF(record[[#This Row],[Memo]]="Browser:chrome os:android","平板報工",IF(record[[#This Row],[Memo]]=0,"委外",record[[#This Row],[Memo]]))</f>
        <v/>
      </c>
      <c r="O6034" t="s">
        <v>58</v>
      </c>
      <c r="P6034" t="s">
        <v>180</v>
      </c>
      <c r="Q6034" t="s">
        <v>58</v>
      </c>
      <c r="R6034" t="str">
        <f>IFERROR(VLOOKUP(record[[#This Row],[PCUSTID]],廠商[],2,FALSE),"")</f>
        <v/>
      </c>
      <c r="S6034" t="str">
        <f>VLOOKUP(record[[#This Row],[employeeID]],員工[],2,FALSE)</f>
        <v>黎功江</v>
      </c>
    </row>
    <row r="6035" spans="6:19" hidden="1" x14ac:dyDescent="0.25">
      <c r="F6035" t="s">
        <v>1270</v>
      </c>
      <c r="G6035" t="s">
        <v>376</v>
      </c>
      <c r="H6035" t="str">
        <f>VLOOKUP(record[[#This Row],[ProcessSN]],表格2_7[],2,FALSE)</f>
        <v>30-4118-018-4XX</v>
      </c>
      <c r="I6035" t="str">
        <f>VLOOKUP(record[[#This Row],[ProcessSN]],表格2_7[],3,FALSE)</f>
        <v>#06</v>
      </c>
      <c r="J6035" t="s">
        <v>593</v>
      </c>
      <c r="K6035" s="195">
        <v>46000.314282407409</v>
      </c>
      <c r="L6035">
        <v>125</v>
      </c>
      <c r="M6035">
        <v>5</v>
      </c>
      <c r="N6035" s="98" t="str">
        <f>IF(record[[#This Row],[Memo]]="Browser:chrome os:android","平板報工",IF(record[[#This Row],[Memo]]=0,"委外",record[[#This Row],[Memo]]))</f>
        <v/>
      </c>
      <c r="O6035" t="s">
        <v>58</v>
      </c>
      <c r="P6035" t="s">
        <v>180</v>
      </c>
      <c r="Q6035" t="s">
        <v>58</v>
      </c>
      <c r="R6035" t="str">
        <f>IFERROR(VLOOKUP(record[[#This Row],[PCUSTID]],廠商[],2,FALSE),"")</f>
        <v/>
      </c>
      <c r="S6035" t="str">
        <f>VLOOKUP(record[[#This Row],[employeeID]],員工[],2,FALSE)</f>
        <v>黎功江</v>
      </c>
    </row>
    <row r="6036" spans="6:19" hidden="1" x14ac:dyDescent="0.25">
      <c r="F6036" t="s">
        <v>1285</v>
      </c>
      <c r="G6036" t="s">
        <v>465</v>
      </c>
      <c r="H6036" t="str">
        <f>VLOOKUP(record[[#This Row],[ProcessSN]],表格2_7[],2,FALSE)</f>
        <v>30-4118-018-XXX</v>
      </c>
      <c r="I6036" t="str">
        <f>VLOOKUP(record[[#This Row],[ProcessSN]],表格2_7[],3,FALSE)</f>
        <v>#01-1</v>
      </c>
      <c r="J6036" t="s">
        <v>588</v>
      </c>
      <c r="K6036" s="195">
        <v>46000.313148148147</v>
      </c>
      <c r="L6036">
        <v>596</v>
      </c>
      <c r="M6036">
        <v>0</v>
      </c>
      <c r="N6036" s="98" t="str">
        <f>IF(record[[#This Row],[Memo]]="Browser:chrome os:android","平板報工",IF(record[[#This Row],[Memo]]=0,"委外",record[[#This Row],[Memo]]))</f>
        <v/>
      </c>
      <c r="O6036" t="s">
        <v>58</v>
      </c>
      <c r="P6036" t="s">
        <v>135</v>
      </c>
      <c r="Q6036" t="s">
        <v>58</v>
      </c>
      <c r="R6036" t="str">
        <f>IFERROR(VLOOKUP(record[[#This Row],[PCUSTID]],廠商[],2,FALSE),"")</f>
        <v/>
      </c>
      <c r="S6036" t="str">
        <f>VLOOKUP(record[[#This Row],[employeeID]],員工[],2,FALSE)</f>
        <v>阮士文</v>
      </c>
    </row>
    <row r="6037" spans="6:19" hidden="1" x14ac:dyDescent="0.25">
      <c r="F6037" t="s">
        <v>1275</v>
      </c>
      <c r="G6037" t="s">
        <v>415</v>
      </c>
      <c r="H6037" t="str">
        <f>VLOOKUP(record[[#This Row],[ProcessSN]],表格2_7[],2,FALSE)</f>
        <v>30-4118-018-5XX</v>
      </c>
      <c r="I6037" t="str">
        <f>VLOOKUP(record[[#This Row],[ProcessSN]],表格2_7[],3,FALSE)</f>
        <v>#04</v>
      </c>
      <c r="J6037" t="s">
        <v>588</v>
      </c>
      <c r="K6037" s="195">
        <v>46000.3127662037</v>
      </c>
      <c r="L6037">
        <v>135</v>
      </c>
      <c r="M6037">
        <v>0</v>
      </c>
      <c r="N6037" s="98" t="str">
        <f>IF(record[[#This Row],[Memo]]="Browser:chrome os:android","平板報工",IF(record[[#This Row],[Memo]]=0,"委外",record[[#This Row],[Memo]]))</f>
        <v/>
      </c>
      <c r="O6037" t="s">
        <v>58</v>
      </c>
      <c r="P6037" t="s">
        <v>135</v>
      </c>
      <c r="Q6037" t="s">
        <v>58</v>
      </c>
      <c r="R6037" t="str">
        <f>IFERROR(VLOOKUP(record[[#This Row],[PCUSTID]],廠商[],2,FALSE),"")</f>
        <v/>
      </c>
      <c r="S6037" t="str">
        <f>VLOOKUP(record[[#This Row],[employeeID]],員工[],2,FALSE)</f>
        <v>阮士文</v>
      </c>
    </row>
    <row r="6038" spans="6:19" hidden="1" x14ac:dyDescent="0.25">
      <c r="F6038" t="s">
        <v>1275</v>
      </c>
      <c r="G6038" t="s">
        <v>415</v>
      </c>
      <c r="H6038" t="str">
        <f>VLOOKUP(record[[#This Row],[ProcessSN]],表格2_7[],2,FALSE)</f>
        <v>30-4118-018-5XX</v>
      </c>
      <c r="I6038" t="str">
        <f>VLOOKUP(record[[#This Row],[ProcessSN]],表格2_7[],3,FALSE)</f>
        <v>#04</v>
      </c>
      <c r="J6038" t="s">
        <v>588</v>
      </c>
      <c r="K6038" s="195">
        <v>45999.971145833333</v>
      </c>
      <c r="L6038">
        <v>135</v>
      </c>
      <c r="M6038">
        <v>0</v>
      </c>
      <c r="N6038" s="98" t="str">
        <f>IF(record[[#This Row],[Memo]]="Browser:chrome os:android","平板報工",IF(record[[#This Row],[Memo]]=0,"委外",record[[#This Row],[Memo]]))</f>
        <v/>
      </c>
      <c r="O6038" t="s">
        <v>58</v>
      </c>
      <c r="P6038" t="s">
        <v>806</v>
      </c>
      <c r="Q6038" t="s">
        <v>58</v>
      </c>
      <c r="R6038" t="str">
        <f>IFERROR(VLOOKUP(record[[#This Row],[PCUSTID]],廠商[],2,FALSE),"")</f>
        <v/>
      </c>
      <c r="S6038" t="str">
        <f>VLOOKUP(record[[#This Row],[employeeID]],員工[],2,FALSE)</f>
        <v>方思緯</v>
      </c>
    </row>
    <row r="6039" spans="6:19" hidden="1" x14ac:dyDescent="0.25">
      <c r="F6039" t="s">
        <v>1275</v>
      </c>
      <c r="G6039" t="s">
        <v>418</v>
      </c>
      <c r="H6039" t="str">
        <f>VLOOKUP(record[[#This Row],[ProcessSN]],表格2_7[],2,FALSE)</f>
        <v>30-4118-018-5XX</v>
      </c>
      <c r="I6039" t="str">
        <f>VLOOKUP(record[[#This Row],[ProcessSN]],表格2_7[],3,FALSE)</f>
        <v>#07</v>
      </c>
      <c r="J6039" t="s">
        <v>588</v>
      </c>
      <c r="K6039" s="195">
        <v>45999.970543981479</v>
      </c>
      <c r="L6039">
        <v>133</v>
      </c>
      <c r="M6039">
        <v>0</v>
      </c>
      <c r="N6039" s="98" t="str">
        <f>IF(record[[#This Row],[Memo]]="Browser:chrome os:android","平板報工",IF(record[[#This Row],[Memo]]=0,"委外",record[[#This Row],[Memo]]))</f>
        <v/>
      </c>
      <c r="O6039" t="s">
        <v>58</v>
      </c>
      <c r="P6039" t="s">
        <v>89</v>
      </c>
      <c r="Q6039" t="s">
        <v>58</v>
      </c>
      <c r="R6039" t="str">
        <f>IFERROR(VLOOKUP(record[[#This Row],[PCUSTID]],廠商[],2,FALSE),"")</f>
        <v/>
      </c>
      <c r="S6039" t="str">
        <f>VLOOKUP(record[[#This Row],[employeeID]],員工[],2,FALSE)</f>
        <v>李美蓮</v>
      </c>
    </row>
    <row r="6040" spans="6:19" hidden="1" x14ac:dyDescent="0.25">
      <c r="F6040" t="s">
        <v>1275</v>
      </c>
      <c r="G6040" t="s">
        <v>417</v>
      </c>
      <c r="H6040" t="str">
        <f>VLOOKUP(record[[#This Row],[ProcessSN]],表格2_7[],2,FALSE)</f>
        <v>30-4118-018-5XX</v>
      </c>
      <c r="I6040" t="str">
        <f>VLOOKUP(record[[#This Row],[ProcessSN]],表格2_7[],3,FALSE)</f>
        <v>#06</v>
      </c>
      <c r="J6040" t="s">
        <v>593</v>
      </c>
      <c r="K6040" s="195">
        <v>45999.967858796299</v>
      </c>
      <c r="L6040">
        <v>133</v>
      </c>
      <c r="M6040">
        <v>0</v>
      </c>
      <c r="N6040" s="98" t="str">
        <f>IF(record[[#This Row],[Memo]]="Browser:chrome os:android","平板報工",IF(record[[#This Row],[Memo]]=0,"委外",record[[#This Row],[Memo]]))</f>
        <v/>
      </c>
      <c r="O6040" t="s">
        <v>58</v>
      </c>
      <c r="P6040" t="s">
        <v>176</v>
      </c>
      <c r="Q6040" t="s">
        <v>58</v>
      </c>
      <c r="R6040" t="str">
        <f>IFERROR(VLOOKUP(record[[#This Row],[PCUSTID]],廠商[],2,FALSE),"")</f>
        <v/>
      </c>
      <c r="S6040" t="str">
        <f>VLOOKUP(record[[#This Row],[employeeID]],員工[],2,FALSE)</f>
        <v>郭政雄</v>
      </c>
    </row>
    <row r="6041" spans="6:19" hidden="1" x14ac:dyDescent="0.25">
      <c r="F6041" t="s">
        <v>1285</v>
      </c>
      <c r="G6041" t="s">
        <v>465</v>
      </c>
      <c r="H6041" t="str">
        <f>VLOOKUP(record[[#This Row],[ProcessSN]],表格2_7[],2,FALSE)</f>
        <v>30-4118-018-XXX</v>
      </c>
      <c r="I6041" t="str">
        <f>VLOOKUP(record[[#This Row],[ProcessSN]],表格2_7[],3,FALSE)</f>
        <v>#01-1</v>
      </c>
      <c r="J6041" t="s">
        <v>588</v>
      </c>
      <c r="K6041" s="195">
        <v>45999.967499999999</v>
      </c>
      <c r="L6041">
        <v>604</v>
      </c>
      <c r="M6041">
        <v>0</v>
      </c>
      <c r="N6041" s="98" t="str">
        <f>IF(record[[#This Row],[Memo]]="Browser:chrome os:android","平板報工",IF(record[[#This Row],[Memo]]=0,"委外",record[[#This Row],[Memo]]))</f>
        <v/>
      </c>
      <c r="O6041" t="s">
        <v>58</v>
      </c>
      <c r="P6041" t="s">
        <v>89</v>
      </c>
      <c r="Q6041" t="s">
        <v>58</v>
      </c>
      <c r="R6041" t="str">
        <f>IFERROR(VLOOKUP(record[[#This Row],[PCUSTID]],廠商[],2,FALSE),"")</f>
        <v/>
      </c>
      <c r="S6041" t="str">
        <f>VLOOKUP(record[[#This Row],[employeeID]],員工[],2,FALSE)</f>
        <v>李美蓮</v>
      </c>
    </row>
    <row r="6042" spans="6:19" hidden="1" x14ac:dyDescent="0.25">
      <c r="F6042" t="s">
        <v>1290</v>
      </c>
      <c r="G6042" t="s">
        <v>414</v>
      </c>
      <c r="H6042" t="str">
        <f>VLOOKUP(record[[#This Row],[ProcessSN]],表格2_7[],2,FALSE)</f>
        <v>30-4118-018-5XX</v>
      </c>
      <c r="I6042" t="str">
        <f>VLOOKUP(record[[#This Row],[ProcessSN]],表格2_7[],3,FALSE)</f>
        <v>#03</v>
      </c>
      <c r="J6042" t="s">
        <v>588</v>
      </c>
      <c r="K6042" s="195">
        <v>45999.938263888886</v>
      </c>
      <c r="L6042">
        <v>216</v>
      </c>
      <c r="M6042">
        <v>0</v>
      </c>
      <c r="N6042" s="98" t="str">
        <f>IF(record[[#This Row],[Memo]]="Browser:chrome os:android","平板報工",IF(record[[#This Row],[Memo]]=0,"委外",record[[#This Row],[Memo]]))</f>
        <v/>
      </c>
      <c r="O6042" t="s">
        <v>58</v>
      </c>
      <c r="P6042" t="s">
        <v>89</v>
      </c>
      <c r="Q6042" t="s">
        <v>58</v>
      </c>
      <c r="R6042" t="str">
        <f>IFERROR(VLOOKUP(record[[#This Row],[PCUSTID]],廠商[],2,FALSE),"")</f>
        <v/>
      </c>
      <c r="S6042" t="str">
        <f>VLOOKUP(record[[#This Row],[employeeID]],員工[],2,FALSE)</f>
        <v>李美蓮</v>
      </c>
    </row>
    <row r="6043" spans="6:19" hidden="1" x14ac:dyDescent="0.25">
      <c r="F6043" t="s">
        <v>1275</v>
      </c>
      <c r="G6043" t="s">
        <v>418</v>
      </c>
      <c r="H6043" t="str">
        <f>VLOOKUP(record[[#This Row],[ProcessSN]],表格2_7[],2,FALSE)</f>
        <v>30-4118-018-5XX</v>
      </c>
      <c r="I6043" t="str">
        <f>VLOOKUP(record[[#This Row],[ProcessSN]],表格2_7[],3,FALSE)</f>
        <v>#07</v>
      </c>
      <c r="J6043" t="s">
        <v>588</v>
      </c>
      <c r="K6043" s="195">
        <v>45999.649942129632</v>
      </c>
      <c r="L6043">
        <v>115</v>
      </c>
      <c r="M6043">
        <v>0</v>
      </c>
      <c r="N6043" s="98" t="str">
        <f>IF(record[[#This Row],[Memo]]="Browser:chrome os:android","平板報工",IF(record[[#This Row],[Memo]]=0,"委外",record[[#This Row],[Memo]]))</f>
        <v/>
      </c>
      <c r="O6043" t="s">
        <v>58</v>
      </c>
      <c r="P6043" t="s">
        <v>785</v>
      </c>
      <c r="Q6043" t="s">
        <v>58</v>
      </c>
      <c r="R6043" t="str">
        <f>IFERROR(VLOOKUP(record[[#This Row],[PCUSTID]],廠商[],2,FALSE),"")</f>
        <v/>
      </c>
      <c r="S6043" t="str">
        <f>VLOOKUP(record[[#This Row],[employeeID]],員工[],2,FALSE)</f>
        <v>謝刻光</v>
      </c>
    </row>
    <row r="6044" spans="6:19" hidden="1" x14ac:dyDescent="0.25">
      <c r="F6044" t="s">
        <v>1275</v>
      </c>
      <c r="G6044" t="s">
        <v>417</v>
      </c>
      <c r="H6044" t="str">
        <f>VLOOKUP(record[[#This Row],[ProcessSN]],表格2_7[],2,FALSE)</f>
        <v>30-4118-018-5XX</v>
      </c>
      <c r="I6044" t="str">
        <f>VLOOKUP(record[[#This Row],[ProcessSN]],表格2_7[],3,FALSE)</f>
        <v>#06</v>
      </c>
      <c r="J6044" t="s">
        <v>593</v>
      </c>
      <c r="K6044" s="195">
        <v>45999.643449074072</v>
      </c>
      <c r="L6044">
        <v>110</v>
      </c>
      <c r="M6044">
        <v>0</v>
      </c>
      <c r="N6044" s="98" t="str">
        <f>IF(record[[#This Row],[Memo]]="Browser:chrome os:android","平板報工",IF(record[[#This Row],[Memo]]=0,"委外",record[[#This Row],[Memo]]))</f>
        <v/>
      </c>
      <c r="O6044" t="s">
        <v>58</v>
      </c>
      <c r="P6044" t="s">
        <v>166</v>
      </c>
      <c r="Q6044" t="s">
        <v>58</v>
      </c>
      <c r="R6044" t="str">
        <f>IFERROR(VLOOKUP(record[[#This Row],[PCUSTID]],廠商[],2,FALSE),"")</f>
        <v/>
      </c>
      <c r="S6044" t="str">
        <f>VLOOKUP(record[[#This Row],[employeeID]],員工[],2,FALSE)</f>
        <v>阮懷香</v>
      </c>
    </row>
    <row r="6045" spans="6:19" hidden="1" x14ac:dyDescent="0.25">
      <c r="F6045" t="s">
        <v>1290</v>
      </c>
      <c r="G6045" t="s">
        <v>414</v>
      </c>
      <c r="H6045" t="str">
        <f>VLOOKUP(record[[#This Row],[ProcessSN]],表格2_7[],2,FALSE)</f>
        <v>30-4118-018-5XX</v>
      </c>
      <c r="I6045" t="str">
        <f>VLOOKUP(record[[#This Row],[ProcessSN]],表格2_7[],3,FALSE)</f>
        <v>#03</v>
      </c>
      <c r="J6045" t="s">
        <v>588</v>
      </c>
      <c r="K6045" s="195">
        <v>45999.643067129633</v>
      </c>
      <c r="L6045">
        <v>498</v>
      </c>
      <c r="M6045">
        <v>0</v>
      </c>
      <c r="N6045" s="98" t="str">
        <f>IF(record[[#This Row],[Memo]]="Browser:chrome os:android","平板報工",IF(record[[#This Row],[Memo]]=0,"委外",record[[#This Row],[Memo]]))</f>
        <v/>
      </c>
      <c r="O6045" t="s">
        <v>58</v>
      </c>
      <c r="P6045" t="s">
        <v>145</v>
      </c>
      <c r="Q6045" t="s">
        <v>58</v>
      </c>
      <c r="R6045" t="str">
        <f>IFERROR(VLOOKUP(record[[#This Row],[PCUSTID]],廠商[],2,FALSE),"")</f>
        <v/>
      </c>
      <c r="S6045" t="str">
        <f>VLOOKUP(record[[#This Row],[employeeID]],員工[],2,FALSE)</f>
        <v>阮秋霞</v>
      </c>
    </row>
    <row r="6046" spans="6:19" hidden="1" x14ac:dyDescent="0.25">
      <c r="F6046" t="s">
        <v>1275</v>
      </c>
      <c r="G6046" t="s">
        <v>415</v>
      </c>
      <c r="H6046" t="str">
        <f>VLOOKUP(record[[#This Row],[ProcessSN]],表格2_7[],2,FALSE)</f>
        <v>30-4118-018-5XX</v>
      </c>
      <c r="I6046" t="str">
        <f>VLOOKUP(record[[#This Row],[ProcessSN]],表格2_7[],3,FALSE)</f>
        <v>#04</v>
      </c>
      <c r="J6046" t="s">
        <v>588</v>
      </c>
      <c r="K6046" s="195">
        <v>45999.641377314816</v>
      </c>
      <c r="L6046">
        <v>114</v>
      </c>
      <c r="M6046">
        <v>0</v>
      </c>
      <c r="N6046" s="98" t="str">
        <f>IF(record[[#This Row],[Memo]]="Browser:chrome os:android","平板報工",IF(record[[#This Row],[Memo]]=0,"委外",record[[#This Row],[Memo]]))</f>
        <v/>
      </c>
      <c r="O6046" t="s">
        <v>58</v>
      </c>
      <c r="P6046" t="s">
        <v>145</v>
      </c>
      <c r="Q6046" t="s">
        <v>58</v>
      </c>
      <c r="R6046" t="str">
        <f>IFERROR(VLOOKUP(record[[#This Row],[PCUSTID]],廠商[],2,FALSE),"")</f>
        <v/>
      </c>
      <c r="S6046" t="str">
        <f>VLOOKUP(record[[#This Row],[employeeID]],員工[],2,FALSE)</f>
        <v>阮秋霞</v>
      </c>
    </row>
    <row r="6047" spans="6:19" hidden="1" x14ac:dyDescent="0.25">
      <c r="F6047" t="s">
        <v>1290</v>
      </c>
      <c r="G6047" t="s">
        <v>414</v>
      </c>
      <c r="H6047" t="str">
        <f>VLOOKUP(record[[#This Row],[ProcessSN]],表格2_7[],2,FALSE)</f>
        <v>30-4118-018-5XX</v>
      </c>
      <c r="I6047" t="str">
        <f>VLOOKUP(record[[#This Row],[ProcessSN]],表格2_7[],3,FALSE)</f>
        <v>#03</v>
      </c>
      <c r="J6047" t="s">
        <v>588</v>
      </c>
      <c r="K6047" s="195">
        <v>45999.591932870368</v>
      </c>
      <c r="L6047">
        <v>601</v>
      </c>
      <c r="M6047">
        <v>1</v>
      </c>
      <c r="N6047" s="98" t="str">
        <f>IF(record[[#This Row],[Memo]]="Browser:chrome os:android","平板報工",IF(record[[#This Row],[Memo]]=0,"委外",record[[#This Row],[Memo]]))</f>
        <v>12/5</v>
      </c>
      <c r="O6047" t="s">
        <v>1301</v>
      </c>
      <c r="P6047" t="s">
        <v>89</v>
      </c>
      <c r="Q6047" t="s">
        <v>58</v>
      </c>
      <c r="R6047" t="str">
        <f>IFERROR(VLOOKUP(record[[#This Row],[PCUSTID]],廠商[],2,FALSE),"")</f>
        <v/>
      </c>
      <c r="S6047" t="str">
        <f>VLOOKUP(record[[#This Row],[employeeID]],員工[],2,FALSE)</f>
        <v>李美蓮</v>
      </c>
    </row>
    <row r="6048" spans="6:19" hidden="1" x14ac:dyDescent="0.25">
      <c r="F6048" t="s">
        <v>1275</v>
      </c>
      <c r="G6048" t="s">
        <v>420</v>
      </c>
      <c r="H6048" t="str">
        <f>VLOOKUP(record[[#This Row],[ProcessSN]],表格2_7[],2,FALSE)</f>
        <v>30-4118-018-5XX</v>
      </c>
      <c r="I6048" t="str">
        <f>VLOOKUP(record[[#This Row],[ProcessSN]],表格2_7[],3,FALSE)</f>
        <v>#07STOCK</v>
      </c>
      <c r="J6048" t="s">
        <v>592</v>
      </c>
      <c r="K6048" s="195">
        <v>45999.572500000002</v>
      </c>
      <c r="L6048">
        <v>84</v>
      </c>
      <c r="M6048">
        <v>0</v>
      </c>
      <c r="N6048" s="98" t="str">
        <f>IF(record[[#This Row],[Memo]]="Browser:chrome os:android","平板報工",IF(record[[#This Row],[Memo]]=0,"委外",record[[#This Row],[Memo]]))</f>
        <v/>
      </c>
      <c r="O6048" t="s">
        <v>58</v>
      </c>
      <c r="P6048" t="s">
        <v>113</v>
      </c>
      <c r="Q6048" t="s">
        <v>58</v>
      </c>
      <c r="R6048" t="str">
        <f>IFERROR(VLOOKUP(record[[#This Row],[PCUSTID]],廠商[],2,FALSE),"")</f>
        <v/>
      </c>
      <c r="S6048" t="str">
        <f>VLOOKUP(record[[#This Row],[employeeID]],員工[],2,FALSE)</f>
        <v>王奕蓁</v>
      </c>
    </row>
    <row r="6049" spans="6:19" hidden="1" x14ac:dyDescent="0.25">
      <c r="F6049" t="s">
        <v>1253</v>
      </c>
      <c r="G6049" t="s">
        <v>420</v>
      </c>
      <c r="H6049" t="str">
        <f>VLOOKUP(record[[#This Row],[ProcessSN]],表格2_7[],2,FALSE)</f>
        <v>30-4118-018-5XX</v>
      </c>
      <c r="I6049" t="str">
        <f>VLOOKUP(record[[#This Row],[ProcessSN]],表格2_7[],3,FALSE)</f>
        <v>#07STOCK</v>
      </c>
      <c r="J6049" t="s">
        <v>592</v>
      </c>
      <c r="K6049" s="195">
        <v>45999.572314814817</v>
      </c>
      <c r="L6049">
        <v>252</v>
      </c>
      <c r="M6049">
        <v>0</v>
      </c>
      <c r="N6049" s="98" t="str">
        <f>IF(record[[#This Row],[Memo]]="Browser:chrome os:android","平板報工",IF(record[[#This Row],[Memo]]=0,"委外",record[[#This Row],[Memo]]))</f>
        <v/>
      </c>
      <c r="O6049" t="s">
        <v>58</v>
      </c>
      <c r="P6049" t="s">
        <v>113</v>
      </c>
      <c r="Q6049" t="s">
        <v>58</v>
      </c>
      <c r="R6049" t="str">
        <f>IFERROR(VLOOKUP(record[[#This Row],[PCUSTID]],廠商[],2,FALSE),"")</f>
        <v/>
      </c>
      <c r="S6049" t="str">
        <f>VLOOKUP(record[[#This Row],[employeeID]],員工[],2,FALSE)</f>
        <v>王奕蓁</v>
      </c>
    </row>
    <row r="6050" spans="6:19" hidden="1" x14ac:dyDescent="0.25">
      <c r="F6050" t="s">
        <v>1275</v>
      </c>
      <c r="G6050" t="s">
        <v>419</v>
      </c>
      <c r="H6050" t="str">
        <f>VLOOKUP(record[[#This Row],[ProcessSN]],表格2_7[],2,FALSE)</f>
        <v>30-4118-018-5XX</v>
      </c>
      <c r="I6050" t="str">
        <f>VLOOKUP(record[[#This Row],[ProcessSN]],表格2_7[],3,FALSE)</f>
        <v>#07QC</v>
      </c>
      <c r="J6050" t="s">
        <v>589</v>
      </c>
      <c r="K6050" s="195">
        <v>45999.570625</v>
      </c>
      <c r="L6050">
        <v>0</v>
      </c>
      <c r="M6050">
        <v>4</v>
      </c>
      <c r="N6050" s="98" t="str">
        <f>IF(record[[#This Row],[Memo]]="Browser:chrome os:android","平板報工",IF(record[[#This Row],[Memo]]=0,"委外",record[[#This Row],[Memo]]))</f>
        <v/>
      </c>
      <c r="O6050" t="s">
        <v>58</v>
      </c>
      <c r="P6050" t="s">
        <v>141</v>
      </c>
      <c r="Q6050" t="s">
        <v>58</v>
      </c>
      <c r="R6050" t="str">
        <f>IFERROR(VLOOKUP(record[[#This Row],[PCUSTID]],廠商[],2,FALSE),"")</f>
        <v/>
      </c>
      <c r="S6050" t="str">
        <f>VLOOKUP(record[[#This Row],[employeeID]],員工[],2,FALSE)</f>
        <v>蔣梅</v>
      </c>
    </row>
    <row r="6051" spans="6:19" hidden="1" x14ac:dyDescent="0.25">
      <c r="F6051" t="s">
        <v>1275</v>
      </c>
      <c r="G6051" t="s">
        <v>419</v>
      </c>
      <c r="H6051" t="str">
        <f>VLOOKUP(record[[#This Row],[ProcessSN]],表格2_7[],2,FALSE)</f>
        <v>30-4118-018-5XX</v>
      </c>
      <c r="I6051" t="str">
        <f>VLOOKUP(record[[#This Row],[ProcessSN]],表格2_7[],3,FALSE)</f>
        <v>#07QC</v>
      </c>
      <c r="J6051" t="s">
        <v>589</v>
      </c>
      <c r="K6051" s="195">
        <v>45999.570347222223</v>
      </c>
      <c r="L6051">
        <v>42</v>
      </c>
      <c r="M6051">
        <v>0</v>
      </c>
      <c r="N6051" s="98" t="str">
        <f>IF(record[[#This Row],[Memo]]="Browser:chrome os:android","平板報工",IF(record[[#This Row],[Memo]]=0,"委外",record[[#This Row],[Memo]]))</f>
        <v/>
      </c>
      <c r="O6051" t="s">
        <v>58</v>
      </c>
      <c r="P6051" t="s">
        <v>141</v>
      </c>
      <c r="Q6051" t="s">
        <v>58</v>
      </c>
      <c r="R6051" t="str">
        <f>IFERROR(VLOOKUP(record[[#This Row],[PCUSTID]],廠商[],2,FALSE),"")</f>
        <v/>
      </c>
      <c r="S6051" t="str">
        <f>VLOOKUP(record[[#This Row],[employeeID]],員工[],2,FALSE)</f>
        <v>蔣梅</v>
      </c>
    </row>
    <row r="6052" spans="6:19" hidden="1" x14ac:dyDescent="0.25">
      <c r="F6052" t="s">
        <v>1253</v>
      </c>
      <c r="G6052" t="s">
        <v>419</v>
      </c>
      <c r="H6052" t="str">
        <f>VLOOKUP(record[[#This Row],[ProcessSN]],表格2_7[],2,FALSE)</f>
        <v>30-4118-018-5XX</v>
      </c>
      <c r="I6052" t="str">
        <f>VLOOKUP(record[[#This Row],[ProcessSN]],表格2_7[],3,FALSE)</f>
        <v>#07QC</v>
      </c>
      <c r="J6052" t="s">
        <v>589</v>
      </c>
      <c r="K6052" s="195">
        <v>45999.570011574076</v>
      </c>
      <c r="L6052">
        <v>38</v>
      </c>
      <c r="M6052">
        <v>0</v>
      </c>
      <c r="N6052" s="98" t="str">
        <f>IF(record[[#This Row],[Memo]]="Browser:chrome os:android","平板報工",IF(record[[#This Row],[Memo]]=0,"委外",record[[#This Row],[Memo]]))</f>
        <v/>
      </c>
      <c r="O6052" t="s">
        <v>58</v>
      </c>
      <c r="P6052" t="s">
        <v>141</v>
      </c>
      <c r="Q6052" t="s">
        <v>58</v>
      </c>
      <c r="R6052" t="str">
        <f>IFERROR(VLOOKUP(record[[#This Row],[PCUSTID]],廠商[],2,FALSE),"")</f>
        <v/>
      </c>
      <c r="S6052" t="str">
        <f>VLOOKUP(record[[#This Row],[employeeID]],員工[],2,FALSE)</f>
        <v>蔣梅</v>
      </c>
    </row>
    <row r="6053" spans="6:19" hidden="1" x14ac:dyDescent="0.25">
      <c r="F6053" t="s">
        <v>1189</v>
      </c>
      <c r="G6053" t="s">
        <v>419</v>
      </c>
      <c r="H6053" t="str">
        <f>VLOOKUP(record[[#This Row],[ProcessSN]],表格2_7[],2,FALSE)</f>
        <v>30-4118-018-5XX</v>
      </c>
      <c r="I6053" t="str">
        <f>VLOOKUP(record[[#This Row],[ProcessSN]],表格2_7[],3,FALSE)</f>
        <v>#07QC</v>
      </c>
      <c r="J6053" t="s">
        <v>589</v>
      </c>
      <c r="K6053" s="195">
        <v>45999.569837962961</v>
      </c>
      <c r="L6053">
        <v>12</v>
      </c>
      <c r="M6053">
        <v>0</v>
      </c>
      <c r="N6053" s="98" t="str">
        <f>IF(record[[#This Row],[Memo]]="Browser:chrome os:android","平板報工",IF(record[[#This Row],[Memo]]=0,"委外",record[[#This Row],[Memo]]))</f>
        <v/>
      </c>
      <c r="O6053" t="s">
        <v>58</v>
      </c>
      <c r="P6053" t="s">
        <v>141</v>
      </c>
      <c r="Q6053" t="s">
        <v>58</v>
      </c>
      <c r="R6053" t="str">
        <f>IFERROR(VLOOKUP(record[[#This Row],[PCUSTID]],廠商[],2,FALSE),"")</f>
        <v/>
      </c>
      <c r="S6053" t="str">
        <f>VLOOKUP(record[[#This Row],[employeeID]],員工[],2,FALSE)</f>
        <v>蔣梅</v>
      </c>
    </row>
    <row r="6054" spans="6:19" hidden="1" x14ac:dyDescent="0.25">
      <c r="F6054" t="s">
        <v>1180</v>
      </c>
      <c r="G6054" t="s">
        <v>419</v>
      </c>
      <c r="H6054" t="str">
        <f>VLOOKUP(record[[#This Row],[ProcessSN]],表格2_7[],2,FALSE)</f>
        <v>30-4118-018-5XX</v>
      </c>
      <c r="I6054" t="str">
        <f>VLOOKUP(record[[#This Row],[ProcessSN]],表格2_7[],3,FALSE)</f>
        <v>#07QC</v>
      </c>
      <c r="J6054" t="s">
        <v>589</v>
      </c>
      <c r="K6054" s="195">
        <v>45999.569652777776</v>
      </c>
      <c r="L6054">
        <v>1</v>
      </c>
      <c r="M6054">
        <v>0</v>
      </c>
      <c r="N6054" s="98" t="str">
        <f>IF(record[[#This Row],[Memo]]="Browser:chrome os:android","平板報工",IF(record[[#This Row],[Memo]]=0,"委外",record[[#This Row],[Memo]]))</f>
        <v/>
      </c>
      <c r="O6054" t="s">
        <v>58</v>
      </c>
      <c r="P6054" t="s">
        <v>141</v>
      </c>
      <c r="Q6054" t="s">
        <v>58</v>
      </c>
      <c r="R6054" t="str">
        <f>IFERROR(VLOOKUP(record[[#This Row],[PCUSTID]],廠商[],2,FALSE),"")</f>
        <v/>
      </c>
      <c r="S6054" t="str">
        <f>VLOOKUP(record[[#This Row],[employeeID]],員工[],2,FALSE)</f>
        <v>蔣梅</v>
      </c>
    </row>
    <row r="6055" spans="6:19" hidden="1" x14ac:dyDescent="0.25">
      <c r="F6055" t="s">
        <v>1169</v>
      </c>
      <c r="G6055" t="s">
        <v>419</v>
      </c>
      <c r="H6055" t="str">
        <f>VLOOKUP(record[[#This Row],[ProcessSN]],表格2_7[],2,FALSE)</f>
        <v>30-4118-018-5XX</v>
      </c>
      <c r="I6055" t="str">
        <f>VLOOKUP(record[[#This Row],[ProcessSN]],表格2_7[],3,FALSE)</f>
        <v>#07QC</v>
      </c>
      <c r="J6055" t="s">
        <v>589</v>
      </c>
      <c r="K6055" s="195">
        <v>45999.569386574076</v>
      </c>
      <c r="L6055">
        <v>1</v>
      </c>
      <c r="M6055">
        <v>0</v>
      </c>
      <c r="N6055" s="98" t="str">
        <f>IF(record[[#This Row],[Memo]]="Browser:chrome os:android","平板報工",IF(record[[#This Row],[Memo]]=0,"委外",record[[#This Row],[Memo]]))</f>
        <v/>
      </c>
      <c r="O6055" t="s">
        <v>58</v>
      </c>
      <c r="P6055" t="s">
        <v>141</v>
      </c>
      <c r="Q6055" t="s">
        <v>58</v>
      </c>
      <c r="R6055" t="str">
        <f>IFERROR(VLOOKUP(record[[#This Row],[PCUSTID]],廠商[],2,FALSE),"")</f>
        <v/>
      </c>
      <c r="S6055" t="str">
        <f>VLOOKUP(record[[#This Row],[employeeID]],員工[],2,FALSE)</f>
        <v>蔣梅</v>
      </c>
    </row>
    <row r="6056" spans="6:19" hidden="1" x14ac:dyDescent="0.25">
      <c r="F6056" t="s">
        <v>1181</v>
      </c>
      <c r="G6056" t="s">
        <v>428</v>
      </c>
      <c r="H6056" t="str">
        <f>VLOOKUP(record[[#This Row],[ProcessSN]],表格2_7[],2,FALSE)</f>
        <v>30-4118-018-600</v>
      </c>
      <c r="I6056" t="str">
        <f>VLOOKUP(record[[#This Row],[ProcessSN]],表格2_7[],3,FALSE)</f>
        <v>#100SHIP</v>
      </c>
      <c r="J6056" t="s">
        <v>600</v>
      </c>
      <c r="K6056" s="195">
        <v>45999.558842592596</v>
      </c>
      <c r="L6056">
        <v>117</v>
      </c>
      <c r="M6056">
        <v>0</v>
      </c>
      <c r="N6056" s="98" t="str">
        <f>IF(record[[#This Row],[Memo]]="Browser:chrome os:android","平板報工",IF(record[[#This Row],[Memo]]=0,"委外",record[[#This Row],[Memo]]))</f>
        <v/>
      </c>
      <c r="O6056" t="s">
        <v>58</v>
      </c>
      <c r="P6056" t="s">
        <v>886</v>
      </c>
      <c r="Q6056" t="s">
        <v>58</v>
      </c>
      <c r="R6056" t="str">
        <f>IFERROR(VLOOKUP(record[[#This Row],[PCUSTID]],廠商[],2,FALSE),"")</f>
        <v/>
      </c>
      <c r="S6056" t="str">
        <f>VLOOKUP(record[[#This Row],[employeeID]],員工[],2,FALSE)</f>
        <v>謝蓁薰</v>
      </c>
    </row>
    <row r="6057" spans="6:19" hidden="1" x14ac:dyDescent="0.25">
      <c r="F6057" t="s">
        <v>1275</v>
      </c>
      <c r="G6057" t="s">
        <v>418</v>
      </c>
      <c r="H6057" t="str">
        <f>VLOOKUP(record[[#This Row],[ProcessSN]],表格2_7[],2,FALSE)</f>
        <v>30-4118-018-5XX</v>
      </c>
      <c r="I6057" t="str">
        <f>VLOOKUP(record[[#This Row],[ProcessSN]],表格2_7[],3,FALSE)</f>
        <v>#07</v>
      </c>
      <c r="J6057" t="s">
        <v>588</v>
      </c>
      <c r="K6057" s="195">
        <v>45999.436041666668</v>
      </c>
      <c r="L6057">
        <v>77</v>
      </c>
      <c r="M6057">
        <v>0</v>
      </c>
      <c r="N6057" s="98" t="str">
        <f>IF(record[[#This Row],[Memo]]="Browser:chrome os:android","平板報工",IF(record[[#This Row],[Memo]]=0,"委外",record[[#This Row],[Memo]]))</f>
        <v>12/5</v>
      </c>
      <c r="O6057" t="s">
        <v>1301</v>
      </c>
      <c r="P6057" t="s">
        <v>89</v>
      </c>
      <c r="Q6057" t="s">
        <v>58</v>
      </c>
      <c r="R6057" t="str">
        <f>IFERROR(VLOOKUP(record[[#This Row],[PCUSTID]],廠商[],2,FALSE),"")</f>
        <v/>
      </c>
      <c r="S6057" t="str">
        <f>VLOOKUP(record[[#This Row],[employeeID]],員工[],2,FALSE)</f>
        <v>李美蓮</v>
      </c>
    </row>
    <row r="6058" spans="6:19" hidden="1" x14ac:dyDescent="0.25">
      <c r="F6058" t="s">
        <v>1275</v>
      </c>
      <c r="G6058" t="s">
        <v>417</v>
      </c>
      <c r="H6058" t="str">
        <f>VLOOKUP(record[[#This Row],[ProcessSN]],表格2_7[],2,FALSE)</f>
        <v>30-4118-018-5XX</v>
      </c>
      <c r="I6058" t="str">
        <f>VLOOKUP(record[[#This Row],[ProcessSN]],表格2_7[],3,FALSE)</f>
        <v>#06</v>
      </c>
      <c r="J6058" t="s">
        <v>593</v>
      </c>
      <c r="K6058" s="195">
        <v>45999.435266203705</v>
      </c>
      <c r="L6058">
        <v>110</v>
      </c>
      <c r="M6058">
        <v>0</v>
      </c>
      <c r="N6058" s="98" t="str">
        <f>IF(record[[#This Row],[Memo]]="Browser:chrome os:android","平板報工",IF(record[[#This Row],[Memo]]=0,"委外",record[[#This Row],[Memo]]))</f>
        <v>12/5</v>
      </c>
      <c r="O6058" t="s">
        <v>1301</v>
      </c>
      <c r="P6058" t="s">
        <v>176</v>
      </c>
      <c r="Q6058" t="s">
        <v>58</v>
      </c>
      <c r="R6058" t="str">
        <f>IFERROR(VLOOKUP(record[[#This Row],[PCUSTID]],廠商[],2,FALSE),"")</f>
        <v/>
      </c>
      <c r="S6058" t="str">
        <f>VLOOKUP(record[[#This Row],[employeeID]],員工[],2,FALSE)</f>
        <v>郭政雄</v>
      </c>
    </row>
    <row r="6059" spans="6:19" hidden="1" x14ac:dyDescent="0.25">
      <c r="F6059" t="s">
        <v>1253</v>
      </c>
      <c r="G6059" t="s">
        <v>418</v>
      </c>
      <c r="H6059" t="str">
        <f>VLOOKUP(record[[#This Row],[ProcessSN]],表格2_7[],2,FALSE)</f>
        <v>30-4118-018-5XX</v>
      </c>
      <c r="I6059" t="str">
        <f>VLOOKUP(record[[#This Row],[ProcessSN]],表格2_7[],3,FALSE)</f>
        <v>#07</v>
      </c>
      <c r="J6059" t="s">
        <v>588</v>
      </c>
      <c r="K6059" s="195">
        <v>45999.433958333335</v>
      </c>
      <c r="L6059">
        <v>38</v>
      </c>
      <c r="M6059">
        <v>0</v>
      </c>
      <c r="N6059" s="98" t="str">
        <f>IF(record[[#This Row],[Memo]]="Browser:chrome os:android","平板報工",IF(record[[#This Row],[Memo]]=0,"委外",record[[#This Row],[Memo]]))</f>
        <v/>
      </c>
      <c r="O6059" t="s">
        <v>58</v>
      </c>
      <c r="P6059" t="s">
        <v>89</v>
      </c>
      <c r="Q6059" t="s">
        <v>58</v>
      </c>
      <c r="R6059" t="str">
        <f>IFERROR(VLOOKUP(record[[#This Row],[PCUSTID]],廠商[],2,FALSE),"")</f>
        <v/>
      </c>
      <c r="S6059" t="str">
        <f>VLOOKUP(record[[#This Row],[employeeID]],員工[],2,FALSE)</f>
        <v>李美蓮</v>
      </c>
    </row>
    <row r="6060" spans="6:19" hidden="1" x14ac:dyDescent="0.25">
      <c r="F6060" t="s">
        <v>1253</v>
      </c>
      <c r="G6060" t="s">
        <v>417</v>
      </c>
      <c r="H6060" t="str">
        <f>VLOOKUP(record[[#This Row],[ProcessSN]],表格2_7[],2,FALSE)</f>
        <v>30-4118-018-5XX</v>
      </c>
      <c r="I6060" t="str">
        <f>VLOOKUP(record[[#This Row],[ProcessSN]],表格2_7[],3,FALSE)</f>
        <v>#06</v>
      </c>
      <c r="J6060" t="s">
        <v>593</v>
      </c>
      <c r="K6060" s="195">
        <v>45999.43377314815</v>
      </c>
      <c r="L6060">
        <v>23</v>
      </c>
      <c r="M6060">
        <v>0</v>
      </c>
      <c r="N6060" s="98" t="str">
        <f>IF(record[[#This Row],[Memo]]="Browser:chrome os:android","平板報工",IF(record[[#This Row],[Memo]]=0,"委外",record[[#This Row],[Memo]]))</f>
        <v>12/5</v>
      </c>
      <c r="O6060" t="s">
        <v>1301</v>
      </c>
      <c r="P6060" t="s">
        <v>133</v>
      </c>
      <c r="Q6060" t="s">
        <v>58</v>
      </c>
      <c r="R6060" t="str">
        <f>IFERROR(VLOOKUP(record[[#This Row],[PCUSTID]],廠商[],2,FALSE),"")</f>
        <v/>
      </c>
      <c r="S6060" t="str">
        <f>VLOOKUP(record[[#This Row],[employeeID]],員工[],2,FALSE)</f>
        <v>黎長維</v>
      </c>
    </row>
    <row r="6061" spans="6:19" hidden="1" x14ac:dyDescent="0.25">
      <c r="F6061" t="s">
        <v>1275</v>
      </c>
      <c r="G6061" t="s">
        <v>419</v>
      </c>
      <c r="H6061" t="str">
        <f>VLOOKUP(record[[#This Row],[ProcessSN]],表格2_7[],2,FALSE)</f>
        <v>30-4118-018-5XX</v>
      </c>
      <c r="I6061" t="str">
        <f>VLOOKUP(record[[#This Row],[ProcessSN]],表格2_7[],3,FALSE)</f>
        <v>#07QC</v>
      </c>
      <c r="J6061" t="s">
        <v>589</v>
      </c>
      <c r="K6061" s="195">
        <v>45999.413900462961</v>
      </c>
      <c r="L6061">
        <v>122</v>
      </c>
      <c r="M6061">
        <v>0</v>
      </c>
      <c r="N6061" s="98" t="str">
        <f>IF(record[[#This Row],[Memo]]="Browser:chrome os:android","平板報工",IF(record[[#This Row],[Memo]]=0,"委外",record[[#This Row],[Memo]]))</f>
        <v>平板報工</v>
      </c>
      <c r="O6061" t="s">
        <v>643</v>
      </c>
      <c r="P6061" t="s">
        <v>141</v>
      </c>
      <c r="Q6061" t="s">
        <v>644</v>
      </c>
      <c r="R6061" t="str">
        <f>IFERROR(VLOOKUP(record[[#This Row],[PCUSTID]],廠商[],2,FALSE),"")</f>
        <v/>
      </c>
      <c r="S6061" t="str">
        <f>VLOOKUP(record[[#This Row],[employeeID]],員工[],2,FALSE)</f>
        <v>蔣梅</v>
      </c>
    </row>
    <row r="6062" spans="6:19" hidden="1" x14ac:dyDescent="0.25">
      <c r="F6062" t="s">
        <v>1253</v>
      </c>
      <c r="G6062" t="s">
        <v>419</v>
      </c>
      <c r="H6062" t="str">
        <f>VLOOKUP(record[[#This Row],[ProcessSN]],表格2_7[],2,FALSE)</f>
        <v>30-4118-018-5XX</v>
      </c>
      <c r="I6062" t="str">
        <f>VLOOKUP(record[[#This Row],[ProcessSN]],表格2_7[],3,FALSE)</f>
        <v>#07QC</v>
      </c>
      <c r="J6062" t="s">
        <v>589</v>
      </c>
      <c r="K6062" s="195">
        <v>45999.413553240738</v>
      </c>
      <c r="L6062">
        <v>214</v>
      </c>
      <c r="M6062">
        <v>0</v>
      </c>
      <c r="N6062" s="98" t="str">
        <f>IF(record[[#This Row],[Memo]]="Browser:chrome os:android","平板報工",IF(record[[#This Row],[Memo]]=0,"委外",record[[#This Row],[Memo]]))</f>
        <v>平板報工</v>
      </c>
      <c r="O6062" t="s">
        <v>643</v>
      </c>
      <c r="P6062" t="s">
        <v>141</v>
      </c>
      <c r="Q6062" t="s">
        <v>644</v>
      </c>
      <c r="R6062" t="str">
        <f>IFERROR(VLOOKUP(record[[#This Row],[PCUSTID]],廠商[],2,FALSE),"")</f>
        <v/>
      </c>
      <c r="S6062" t="str">
        <f>VLOOKUP(record[[#This Row],[employeeID]],員工[],2,FALSE)</f>
        <v>蔣梅</v>
      </c>
    </row>
    <row r="6063" spans="6:19" hidden="1" x14ac:dyDescent="0.25">
      <c r="F6063" t="s">
        <v>1302</v>
      </c>
      <c r="G6063" t="s">
        <v>397</v>
      </c>
      <c r="H6063" t="str">
        <f>VLOOKUP(record[[#This Row],[ProcessSN]],表格2_7[],2,FALSE)</f>
        <v>30-4118-018-550</v>
      </c>
      <c r="I6063" t="str">
        <f>VLOOKUP(record[[#This Row],[ProcessSN]],表格2_7[],3,FALSE)</f>
        <v>#08</v>
      </c>
      <c r="J6063" t="s">
        <v>597</v>
      </c>
      <c r="K6063" s="195">
        <v>45999.410532407404</v>
      </c>
      <c r="L6063">
        <v>336</v>
      </c>
      <c r="M6063">
        <v>0</v>
      </c>
      <c r="N6063" s="98" t="str">
        <f>IF(record[[#This Row],[Memo]]="Browser:chrome os:android","平板報工",IF(record[[#This Row],[Memo]]=0,"委外",record[[#This Row],[Memo]]))</f>
        <v>委外</v>
      </c>
      <c r="P6063" t="s">
        <v>186</v>
      </c>
      <c r="Q6063" t="s">
        <v>287</v>
      </c>
      <c r="R6063" t="str">
        <f>IFERROR(VLOOKUP(record[[#This Row],[PCUSTID]],廠商[],2,FALSE),"")</f>
        <v>泉盛</v>
      </c>
      <c r="S6063" t="str">
        <f>VLOOKUP(record[[#This Row],[employeeID]],員工[],2,FALSE)</f>
        <v>許文姍</v>
      </c>
    </row>
    <row r="6064" spans="6:19" hidden="1" x14ac:dyDescent="0.25">
      <c r="F6064" t="s">
        <v>1302</v>
      </c>
      <c r="G6064" t="s">
        <v>396</v>
      </c>
      <c r="H6064" t="str">
        <f>VLOOKUP(record[[#This Row],[ProcessSN]],表格2_7[],2,FALSE)</f>
        <v>30-4118-018-550</v>
      </c>
      <c r="I6064" t="str">
        <f>VLOOKUP(record[[#This Row],[ProcessSN]],表格2_7[],3,FALSE)</f>
        <v>#08PICK</v>
      </c>
      <c r="J6064" t="s">
        <v>582</v>
      </c>
      <c r="K6064" s="195">
        <v>45999.409131944441</v>
      </c>
      <c r="L6064">
        <v>336</v>
      </c>
      <c r="M6064">
        <v>0</v>
      </c>
      <c r="N6064" s="98" t="str">
        <f>IF(record[[#This Row],[Memo]]="Browser:chrome os:android","平板報工",IF(record[[#This Row],[Memo]]=0,"委外",record[[#This Row],[Memo]]))</f>
        <v/>
      </c>
      <c r="O6064" t="s">
        <v>58</v>
      </c>
      <c r="P6064" t="s">
        <v>113</v>
      </c>
      <c r="Q6064" t="s">
        <v>58</v>
      </c>
      <c r="R6064" t="str">
        <f>IFERROR(VLOOKUP(record[[#This Row],[PCUSTID]],廠商[],2,FALSE),"")</f>
        <v/>
      </c>
      <c r="S6064" t="str">
        <f>VLOOKUP(record[[#This Row],[employeeID]],員工[],2,FALSE)</f>
        <v>王奕蓁</v>
      </c>
    </row>
    <row r="6065" spans="6:19" hidden="1" x14ac:dyDescent="0.25">
      <c r="F6065" t="s">
        <v>1275</v>
      </c>
      <c r="G6065" t="s">
        <v>418</v>
      </c>
      <c r="H6065" t="str">
        <f>VLOOKUP(record[[#This Row],[ProcessSN]],表格2_7[],2,FALSE)</f>
        <v>30-4118-018-5XX</v>
      </c>
      <c r="I6065" t="str">
        <f>VLOOKUP(record[[#This Row],[ProcessSN]],表格2_7[],3,FALSE)</f>
        <v>#07</v>
      </c>
      <c r="J6065" t="s">
        <v>588</v>
      </c>
      <c r="K6065" s="195">
        <v>45997.307129629633</v>
      </c>
      <c r="L6065">
        <v>151</v>
      </c>
      <c r="M6065">
        <v>0</v>
      </c>
      <c r="N6065" s="98" t="str">
        <f>IF(record[[#This Row],[Memo]]="Browser:chrome os:android","平板報工",IF(record[[#This Row],[Memo]]=0,"委外",record[[#This Row],[Memo]]))</f>
        <v/>
      </c>
      <c r="O6065" t="s">
        <v>58</v>
      </c>
      <c r="P6065" t="s">
        <v>135</v>
      </c>
      <c r="Q6065" t="s">
        <v>58</v>
      </c>
      <c r="R6065" t="str">
        <f>IFERROR(VLOOKUP(record[[#This Row],[PCUSTID]],廠商[],2,FALSE),"")</f>
        <v/>
      </c>
      <c r="S6065" t="str">
        <f>VLOOKUP(record[[#This Row],[employeeID]],員工[],2,FALSE)</f>
        <v>阮士文</v>
      </c>
    </row>
    <row r="6066" spans="6:19" hidden="1" x14ac:dyDescent="0.25">
      <c r="F6066" t="s">
        <v>1275</v>
      </c>
      <c r="G6066" t="s">
        <v>417</v>
      </c>
      <c r="H6066" t="str">
        <f>VLOOKUP(record[[#This Row],[ProcessSN]],表格2_7[],2,FALSE)</f>
        <v>30-4118-018-5XX</v>
      </c>
      <c r="I6066" t="str">
        <f>VLOOKUP(record[[#This Row],[ProcessSN]],表格2_7[],3,FALSE)</f>
        <v>#06</v>
      </c>
      <c r="J6066" t="s">
        <v>593</v>
      </c>
      <c r="K6066" s="195">
        <v>45997.306979166664</v>
      </c>
      <c r="L6066">
        <v>15</v>
      </c>
      <c r="M6066">
        <v>0</v>
      </c>
      <c r="N6066" s="98" t="str">
        <f>IF(record[[#This Row],[Memo]]="Browser:chrome os:android","平板報工",IF(record[[#This Row],[Memo]]=0,"委外",record[[#This Row],[Memo]]))</f>
        <v/>
      </c>
      <c r="O6066" t="s">
        <v>58</v>
      </c>
      <c r="P6066" t="s">
        <v>135</v>
      </c>
      <c r="Q6066" t="s">
        <v>58</v>
      </c>
      <c r="R6066" t="str">
        <f>IFERROR(VLOOKUP(record[[#This Row],[PCUSTID]],廠商[],2,FALSE),"")</f>
        <v/>
      </c>
      <c r="S6066" t="str">
        <f>VLOOKUP(record[[#This Row],[employeeID]],員工[],2,FALSE)</f>
        <v>阮士文</v>
      </c>
    </row>
    <row r="6067" spans="6:19" hidden="1" x14ac:dyDescent="0.25">
      <c r="F6067" t="s">
        <v>1275</v>
      </c>
      <c r="G6067" t="s">
        <v>416</v>
      </c>
      <c r="H6067" t="str">
        <f>VLOOKUP(record[[#This Row],[ProcessSN]],表格2_7[],2,FALSE)</f>
        <v>30-4118-018-5XX</v>
      </c>
      <c r="I6067" t="str">
        <f>VLOOKUP(record[[#This Row],[ProcessSN]],表格2_7[],3,FALSE)</f>
        <v>#05</v>
      </c>
      <c r="J6067" t="s">
        <v>588</v>
      </c>
      <c r="K6067" s="195">
        <v>45997.306828703702</v>
      </c>
      <c r="L6067">
        <v>15</v>
      </c>
      <c r="M6067">
        <v>0</v>
      </c>
      <c r="N6067" s="98" t="str">
        <f>IF(record[[#This Row],[Memo]]="Browser:chrome os:android","平板報工",IF(record[[#This Row],[Memo]]=0,"委外",record[[#This Row],[Memo]]))</f>
        <v/>
      </c>
      <c r="O6067" t="s">
        <v>58</v>
      </c>
      <c r="P6067" t="s">
        <v>135</v>
      </c>
      <c r="Q6067" t="s">
        <v>58</v>
      </c>
      <c r="R6067" t="str">
        <f>IFERROR(VLOOKUP(record[[#This Row],[PCUSTID]],廠商[],2,FALSE),"")</f>
        <v/>
      </c>
      <c r="S6067" t="str">
        <f>VLOOKUP(record[[#This Row],[employeeID]],員工[],2,FALSE)</f>
        <v>阮士文</v>
      </c>
    </row>
    <row r="6068" spans="6:19" hidden="1" x14ac:dyDescent="0.25">
      <c r="F6068" t="s">
        <v>1275</v>
      </c>
      <c r="G6068" t="s">
        <v>417</v>
      </c>
      <c r="H6068" t="str">
        <f>VLOOKUP(record[[#This Row],[ProcessSN]],表格2_7[],2,FALSE)</f>
        <v>30-4118-018-5XX</v>
      </c>
      <c r="I6068" t="str">
        <f>VLOOKUP(record[[#This Row],[ProcessSN]],表格2_7[],3,FALSE)</f>
        <v>#06</v>
      </c>
      <c r="J6068" t="s">
        <v>593</v>
      </c>
      <c r="K6068" s="195">
        <v>45997.304976851854</v>
      </c>
      <c r="L6068">
        <v>130</v>
      </c>
      <c r="M6068">
        <v>0</v>
      </c>
      <c r="N6068" s="98" t="str">
        <f>IF(record[[#This Row],[Memo]]="Browser:chrome os:android","平板報工",IF(record[[#This Row],[Memo]]=0,"委外",record[[#This Row],[Memo]]))</f>
        <v/>
      </c>
      <c r="O6068" t="s">
        <v>58</v>
      </c>
      <c r="P6068" t="s">
        <v>180</v>
      </c>
      <c r="Q6068" t="s">
        <v>58</v>
      </c>
      <c r="R6068" t="str">
        <f>IFERROR(VLOOKUP(record[[#This Row],[PCUSTID]],廠商[],2,FALSE),"")</f>
        <v/>
      </c>
      <c r="S6068" t="str">
        <f>VLOOKUP(record[[#This Row],[employeeID]],員工[],2,FALSE)</f>
        <v>黎功江</v>
      </c>
    </row>
    <row r="6069" spans="6:19" hidden="1" x14ac:dyDescent="0.25">
      <c r="F6069" t="s">
        <v>1275</v>
      </c>
      <c r="G6069" t="s">
        <v>416</v>
      </c>
      <c r="H6069" t="str">
        <f>VLOOKUP(record[[#This Row],[ProcessSN]],表格2_7[],2,FALSE)</f>
        <v>30-4118-018-5XX</v>
      </c>
      <c r="I6069" t="str">
        <f>VLOOKUP(record[[#This Row],[ProcessSN]],表格2_7[],3,FALSE)</f>
        <v>#05</v>
      </c>
      <c r="J6069" t="s">
        <v>588</v>
      </c>
      <c r="K6069" s="195">
        <v>45997.304131944446</v>
      </c>
      <c r="L6069">
        <v>129</v>
      </c>
      <c r="M6069">
        <v>0</v>
      </c>
      <c r="N6069" s="98" t="str">
        <f>IF(record[[#This Row],[Memo]]="Browser:chrome os:android","平板報工",IF(record[[#This Row],[Memo]]=0,"委外",record[[#This Row],[Memo]]))</f>
        <v/>
      </c>
      <c r="O6069" t="s">
        <v>58</v>
      </c>
      <c r="P6069" t="s">
        <v>843</v>
      </c>
      <c r="Q6069" t="s">
        <v>58</v>
      </c>
      <c r="R6069" t="str">
        <f>IFERROR(VLOOKUP(record[[#This Row],[PCUSTID]],廠商[],2,FALSE),"")</f>
        <v/>
      </c>
      <c r="S6069" t="str">
        <f>VLOOKUP(record[[#This Row],[employeeID]],員工[],2,FALSE)</f>
        <v>張楚承</v>
      </c>
    </row>
    <row r="6070" spans="6:19" hidden="1" x14ac:dyDescent="0.25">
      <c r="F6070" t="s">
        <v>1275</v>
      </c>
      <c r="G6070" t="s">
        <v>415</v>
      </c>
      <c r="H6070" t="str">
        <f>VLOOKUP(record[[#This Row],[ProcessSN]],表格2_7[],2,FALSE)</f>
        <v>30-4118-018-5XX</v>
      </c>
      <c r="I6070" t="str">
        <f>VLOOKUP(record[[#This Row],[ProcessSN]],表格2_7[],3,FALSE)</f>
        <v>#04</v>
      </c>
      <c r="J6070" t="s">
        <v>588</v>
      </c>
      <c r="K6070" s="195">
        <v>45997.301631944443</v>
      </c>
      <c r="L6070">
        <v>129</v>
      </c>
      <c r="M6070">
        <v>0</v>
      </c>
      <c r="N6070" s="98" t="str">
        <f>IF(record[[#This Row],[Memo]]="Browser:chrome os:android","平板報工",IF(record[[#This Row],[Memo]]=0,"委外",record[[#This Row],[Memo]]))</f>
        <v/>
      </c>
      <c r="O6070" t="s">
        <v>58</v>
      </c>
      <c r="P6070" t="s">
        <v>135</v>
      </c>
      <c r="Q6070" t="s">
        <v>58</v>
      </c>
      <c r="R6070" t="str">
        <f>IFERROR(VLOOKUP(record[[#This Row],[PCUSTID]],廠商[],2,FALSE),"")</f>
        <v/>
      </c>
      <c r="S6070" t="str">
        <f>VLOOKUP(record[[#This Row],[employeeID]],員工[],2,FALSE)</f>
        <v>阮士文</v>
      </c>
    </row>
    <row r="6071" spans="6:19" hidden="1" x14ac:dyDescent="0.25">
      <c r="F6071" t="s">
        <v>1275</v>
      </c>
      <c r="G6071" t="s">
        <v>416</v>
      </c>
      <c r="H6071" t="str">
        <f>VLOOKUP(record[[#This Row],[ProcessSN]],表格2_7[],2,FALSE)</f>
        <v>30-4118-018-5XX</v>
      </c>
      <c r="I6071" t="str">
        <f>VLOOKUP(record[[#This Row],[ProcessSN]],表格2_7[],3,FALSE)</f>
        <v>#05</v>
      </c>
      <c r="J6071" t="s">
        <v>588</v>
      </c>
      <c r="K6071" s="195">
        <v>45996.983043981483</v>
      </c>
      <c r="L6071">
        <v>110</v>
      </c>
      <c r="M6071">
        <v>0</v>
      </c>
      <c r="N6071" s="98" t="str">
        <f>IF(record[[#This Row],[Memo]]="Browser:chrome os:android","平板報工",IF(record[[#This Row],[Memo]]=0,"委外",record[[#This Row],[Memo]]))</f>
        <v/>
      </c>
      <c r="O6071" t="s">
        <v>58</v>
      </c>
      <c r="P6071" t="s">
        <v>1098</v>
      </c>
      <c r="Q6071" t="s">
        <v>58</v>
      </c>
      <c r="R6071" t="str">
        <f>IFERROR(VLOOKUP(record[[#This Row],[PCUSTID]],廠商[],2,FALSE),"")</f>
        <v/>
      </c>
      <c r="S6071" t="str">
        <f>VLOOKUP(record[[#This Row],[employeeID]],員工[],2,FALSE)</f>
        <v>阮氏芳英(英)</v>
      </c>
    </row>
    <row r="6072" spans="6:19" hidden="1" x14ac:dyDescent="0.25">
      <c r="F6072" t="s">
        <v>1275</v>
      </c>
      <c r="G6072" t="s">
        <v>415</v>
      </c>
      <c r="H6072" t="str">
        <f>VLOOKUP(record[[#This Row],[ProcessSN]],表格2_7[],2,FALSE)</f>
        <v>30-4118-018-5XX</v>
      </c>
      <c r="I6072" t="str">
        <f>VLOOKUP(record[[#This Row],[ProcessSN]],表格2_7[],3,FALSE)</f>
        <v>#04</v>
      </c>
      <c r="J6072" t="s">
        <v>588</v>
      </c>
      <c r="K6072" s="195">
        <v>45996.979432870372</v>
      </c>
      <c r="L6072">
        <v>110</v>
      </c>
      <c r="M6072">
        <v>18</v>
      </c>
      <c r="N6072" s="98" t="str">
        <f>IF(record[[#This Row],[Memo]]="Browser:chrome os:android","平板報工",IF(record[[#This Row],[Memo]]=0,"委外",record[[#This Row],[Memo]]))</f>
        <v/>
      </c>
      <c r="O6072" t="s">
        <v>58</v>
      </c>
      <c r="P6072" t="s">
        <v>89</v>
      </c>
      <c r="Q6072" t="s">
        <v>58</v>
      </c>
      <c r="R6072" t="str">
        <f>IFERROR(VLOOKUP(record[[#This Row],[PCUSTID]],廠商[],2,FALSE),"")</f>
        <v/>
      </c>
      <c r="S6072" t="str">
        <f>VLOOKUP(record[[#This Row],[employeeID]],員工[],2,FALSE)</f>
        <v>李美蓮</v>
      </c>
    </row>
    <row r="6073" spans="6:19" hidden="1" x14ac:dyDescent="0.25">
      <c r="F6073" t="s">
        <v>1277</v>
      </c>
      <c r="G6073" t="s">
        <v>362</v>
      </c>
      <c r="H6073" t="str">
        <f>VLOOKUP(record[[#This Row],[ProcessSN]],表格2_7[],2,FALSE)</f>
        <v>30-4118-018-450</v>
      </c>
      <c r="I6073" t="str">
        <f>VLOOKUP(record[[#This Row],[ProcessSN]],表格2_7[],3,FALSE)</f>
        <v>#100SHIP</v>
      </c>
      <c r="J6073" t="s">
        <v>600</v>
      </c>
      <c r="K6073" s="195">
        <v>45996.708912037036</v>
      </c>
      <c r="L6073">
        <v>26</v>
      </c>
      <c r="M6073">
        <v>0</v>
      </c>
      <c r="N6073" s="98" t="str">
        <f>IF(record[[#This Row],[Memo]]="Browser:chrome os:android","平板報工",IF(record[[#This Row],[Memo]]=0,"委外",record[[#This Row],[Memo]]))</f>
        <v/>
      </c>
      <c r="O6073" t="s">
        <v>58</v>
      </c>
      <c r="P6073" t="s">
        <v>886</v>
      </c>
      <c r="Q6073" t="s">
        <v>58</v>
      </c>
      <c r="R6073" t="str">
        <f>IFERROR(VLOOKUP(record[[#This Row],[PCUSTID]],廠商[],2,FALSE),"")</f>
        <v/>
      </c>
      <c r="S6073" t="str">
        <f>VLOOKUP(record[[#This Row],[employeeID]],員工[],2,FALSE)</f>
        <v>謝蓁薰</v>
      </c>
    </row>
    <row r="6074" spans="6:19" hidden="1" x14ac:dyDescent="0.25">
      <c r="F6074" t="s">
        <v>1259</v>
      </c>
      <c r="G6074" t="s">
        <v>362</v>
      </c>
      <c r="H6074" t="str">
        <f>VLOOKUP(record[[#This Row],[ProcessSN]],表格2_7[],2,FALSE)</f>
        <v>30-4118-018-450</v>
      </c>
      <c r="I6074" t="str">
        <f>VLOOKUP(record[[#This Row],[ProcessSN]],表格2_7[],3,FALSE)</f>
        <v>#100SHIP</v>
      </c>
      <c r="J6074" t="s">
        <v>600</v>
      </c>
      <c r="K6074" s="195">
        <v>45996.708784722221</v>
      </c>
      <c r="L6074">
        <v>44</v>
      </c>
      <c r="M6074">
        <v>0</v>
      </c>
      <c r="N6074" s="98" t="str">
        <f>IF(record[[#This Row],[Memo]]="Browser:chrome os:android","平板報工",IF(record[[#This Row],[Memo]]=0,"委外",record[[#This Row],[Memo]]))</f>
        <v/>
      </c>
      <c r="O6074" t="s">
        <v>58</v>
      </c>
      <c r="P6074" t="s">
        <v>886</v>
      </c>
      <c r="Q6074" t="s">
        <v>58</v>
      </c>
      <c r="R6074" t="str">
        <f>IFERROR(VLOOKUP(record[[#This Row],[PCUSTID]],廠商[],2,FALSE),"")</f>
        <v/>
      </c>
      <c r="S6074" t="str">
        <f>VLOOKUP(record[[#This Row],[employeeID]],員工[],2,FALSE)</f>
        <v>謝蓁薰</v>
      </c>
    </row>
    <row r="6075" spans="6:19" hidden="1" x14ac:dyDescent="0.25">
      <c r="F6075" t="s">
        <v>1277</v>
      </c>
      <c r="G6075" t="s">
        <v>361</v>
      </c>
      <c r="H6075" t="str">
        <f>VLOOKUP(record[[#This Row],[ProcessSN]],表格2_7[],2,FALSE)</f>
        <v>30-4118-018-450</v>
      </c>
      <c r="I6075" t="str">
        <f>VLOOKUP(record[[#This Row],[ProcessSN]],表格2_7[],3,FALSE)</f>
        <v>#100STOCK</v>
      </c>
      <c r="J6075" t="s">
        <v>592</v>
      </c>
      <c r="K6075" s="195">
        <v>45996.70857638889</v>
      </c>
      <c r="L6075">
        <v>26</v>
      </c>
      <c r="M6075">
        <v>0</v>
      </c>
      <c r="N6075" s="98" t="str">
        <f>IF(record[[#This Row],[Memo]]="Browser:chrome os:android","平板報工",IF(record[[#This Row],[Memo]]=0,"委外",record[[#This Row],[Memo]]))</f>
        <v/>
      </c>
      <c r="O6075" t="s">
        <v>58</v>
      </c>
      <c r="P6075" t="s">
        <v>886</v>
      </c>
      <c r="Q6075" t="s">
        <v>58</v>
      </c>
      <c r="R6075" t="str">
        <f>IFERROR(VLOOKUP(record[[#This Row],[PCUSTID]],廠商[],2,FALSE),"")</f>
        <v/>
      </c>
      <c r="S6075" t="str">
        <f>VLOOKUP(record[[#This Row],[employeeID]],員工[],2,FALSE)</f>
        <v>謝蓁薰</v>
      </c>
    </row>
    <row r="6076" spans="6:19" hidden="1" x14ac:dyDescent="0.25">
      <c r="F6076" t="s">
        <v>1259</v>
      </c>
      <c r="G6076" t="s">
        <v>361</v>
      </c>
      <c r="H6076" t="str">
        <f>VLOOKUP(record[[#This Row],[ProcessSN]],表格2_7[],2,FALSE)</f>
        <v>30-4118-018-450</v>
      </c>
      <c r="I6076" t="str">
        <f>VLOOKUP(record[[#This Row],[ProcessSN]],表格2_7[],3,FALSE)</f>
        <v>#100STOCK</v>
      </c>
      <c r="J6076" t="s">
        <v>592</v>
      </c>
      <c r="K6076" s="195">
        <v>45996.708472222221</v>
      </c>
      <c r="L6076">
        <v>44</v>
      </c>
      <c r="M6076">
        <v>0</v>
      </c>
      <c r="N6076" s="98" t="str">
        <f>IF(record[[#This Row],[Memo]]="Browser:chrome os:android","平板報工",IF(record[[#This Row],[Memo]]=0,"委外",record[[#This Row],[Memo]]))</f>
        <v/>
      </c>
      <c r="O6076" t="s">
        <v>58</v>
      </c>
      <c r="P6076" t="s">
        <v>886</v>
      </c>
      <c r="Q6076" t="s">
        <v>58</v>
      </c>
      <c r="R6076" t="str">
        <f>IFERROR(VLOOKUP(record[[#This Row],[PCUSTID]],廠商[],2,FALSE),"")</f>
        <v/>
      </c>
      <c r="S6076" t="str">
        <f>VLOOKUP(record[[#This Row],[employeeID]],員工[],2,FALSE)</f>
        <v>謝蓁薰</v>
      </c>
    </row>
    <row r="6077" spans="6:19" hidden="1" x14ac:dyDescent="0.25">
      <c r="F6077" t="s">
        <v>1277</v>
      </c>
      <c r="G6077" t="s">
        <v>360</v>
      </c>
      <c r="H6077" t="str">
        <f>VLOOKUP(record[[#This Row],[ProcessSN]],表格2_7[],2,FALSE)</f>
        <v>30-4118-018-450</v>
      </c>
      <c r="I6077" t="str">
        <f>VLOOKUP(record[[#This Row],[ProcessSN]],表格2_7[],3,FALSE)</f>
        <v>#100OQC</v>
      </c>
      <c r="J6077" t="s">
        <v>599</v>
      </c>
      <c r="K6077" s="195">
        <v>45996.69672453704</v>
      </c>
      <c r="L6077">
        <v>26</v>
      </c>
      <c r="M6077">
        <v>0</v>
      </c>
      <c r="N6077" s="98" t="str">
        <f>IF(record[[#This Row],[Memo]]="Browser:chrome os:android","平板報工",IF(record[[#This Row],[Memo]]=0,"委外",record[[#This Row],[Memo]]))</f>
        <v/>
      </c>
      <c r="O6077" t="s">
        <v>58</v>
      </c>
      <c r="P6077" t="s">
        <v>121</v>
      </c>
      <c r="Q6077" t="s">
        <v>58</v>
      </c>
      <c r="R6077" t="str">
        <f>IFERROR(VLOOKUP(record[[#This Row],[PCUSTID]],廠商[],2,FALSE),"")</f>
        <v/>
      </c>
      <c r="S6077" t="str">
        <f>VLOOKUP(record[[#This Row],[employeeID]],員工[],2,FALSE)</f>
        <v>謝素卿</v>
      </c>
    </row>
    <row r="6078" spans="6:19" hidden="1" x14ac:dyDescent="0.25">
      <c r="F6078" t="s">
        <v>1253</v>
      </c>
      <c r="G6078" t="s">
        <v>418</v>
      </c>
      <c r="H6078" t="str">
        <f>VLOOKUP(record[[#This Row],[ProcessSN]],表格2_7[],2,FALSE)</f>
        <v>30-4118-018-5XX</v>
      </c>
      <c r="I6078" t="str">
        <f>VLOOKUP(record[[#This Row],[ProcessSN]],表格2_7[],3,FALSE)</f>
        <v>#07</v>
      </c>
      <c r="J6078" t="s">
        <v>588</v>
      </c>
      <c r="K6078" s="195">
        <v>45996.672025462962</v>
      </c>
      <c r="L6078">
        <v>214</v>
      </c>
      <c r="M6078">
        <v>0</v>
      </c>
      <c r="N6078" s="98" t="str">
        <f>IF(record[[#This Row],[Memo]]="Browser:chrome os:android","平板報工",IF(record[[#This Row],[Memo]]=0,"委外",record[[#This Row],[Memo]]))</f>
        <v/>
      </c>
      <c r="O6078" t="s">
        <v>58</v>
      </c>
      <c r="P6078" t="s">
        <v>785</v>
      </c>
      <c r="Q6078" t="s">
        <v>58</v>
      </c>
      <c r="R6078" t="str">
        <f>IFERROR(VLOOKUP(record[[#This Row],[PCUSTID]],廠商[],2,FALSE),"")</f>
        <v/>
      </c>
      <c r="S6078" t="str">
        <f>VLOOKUP(record[[#This Row],[employeeID]],員工[],2,FALSE)</f>
        <v>謝刻光</v>
      </c>
    </row>
    <row r="6079" spans="6:19" hidden="1" x14ac:dyDescent="0.25">
      <c r="F6079" t="s">
        <v>1275</v>
      </c>
      <c r="G6079" t="s">
        <v>416</v>
      </c>
      <c r="H6079" t="str">
        <f>VLOOKUP(record[[#This Row],[ProcessSN]],表格2_7[],2,FALSE)</f>
        <v>30-4118-018-5XX</v>
      </c>
      <c r="I6079" t="str">
        <f>VLOOKUP(record[[#This Row],[ProcessSN]],表格2_7[],3,FALSE)</f>
        <v>#05</v>
      </c>
      <c r="J6079" t="s">
        <v>588</v>
      </c>
      <c r="K6079" s="195">
        <v>45996.670972222222</v>
      </c>
      <c r="L6079">
        <v>246</v>
      </c>
      <c r="M6079">
        <v>0</v>
      </c>
      <c r="N6079" s="98" t="str">
        <f>IF(record[[#This Row],[Memo]]="Browser:chrome os:android","平板報工",IF(record[[#This Row],[Memo]]=0,"委外",record[[#This Row],[Memo]]))</f>
        <v/>
      </c>
      <c r="O6079" t="s">
        <v>58</v>
      </c>
      <c r="P6079" t="s">
        <v>107</v>
      </c>
      <c r="Q6079" t="s">
        <v>58</v>
      </c>
      <c r="R6079" t="str">
        <f>IFERROR(VLOOKUP(record[[#This Row],[PCUSTID]],廠商[],2,FALSE),"")</f>
        <v/>
      </c>
      <c r="S6079" t="str">
        <f>VLOOKUP(record[[#This Row],[employeeID]],員工[],2,FALSE)</f>
        <v>黎氏順</v>
      </c>
    </row>
    <row r="6080" spans="6:19" hidden="1" x14ac:dyDescent="0.25">
      <c r="F6080" t="s">
        <v>1253</v>
      </c>
      <c r="G6080" t="s">
        <v>417</v>
      </c>
      <c r="H6080" t="str">
        <f>VLOOKUP(record[[#This Row],[ProcessSN]],表格2_7[],2,FALSE)</f>
        <v>30-4118-018-5XX</v>
      </c>
      <c r="I6080" t="str">
        <f>VLOOKUP(record[[#This Row],[ProcessSN]],表格2_7[],3,FALSE)</f>
        <v>#06</v>
      </c>
      <c r="J6080" t="s">
        <v>593</v>
      </c>
      <c r="K6080" s="195">
        <v>45996.670659722222</v>
      </c>
      <c r="L6080">
        <v>87</v>
      </c>
      <c r="M6080">
        <v>0</v>
      </c>
      <c r="N6080" s="98" t="str">
        <f>IF(record[[#This Row],[Memo]]="Browser:chrome os:android","平板報工",IF(record[[#This Row],[Memo]]=0,"委外",record[[#This Row],[Memo]]))</f>
        <v/>
      </c>
      <c r="O6080" t="s">
        <v>58</v>
      </c>
      <c r="P6080" t="s">
        <v>145</v>
      </c>
      <c r="Q6080" t="s">
        <v>58</v>
      </c>
      <c r="R6080" t="str">
        <f>IFERROR(VLOOKUP(record[[#This Row],[PCUSTID]],廠商[],2,FALSE),"")</f>
        <v/>
      </c>
      <c r="S6080" t="str">
        <f>VLOOKUP(record[[#This Row],[employeeID]],員工[],2,FALSE)</f>
        <v>阮秋霞</v>
      </c>
    </row>
    <row r="6081" spans="6:19" hidden="1" x14ac:dyDescent="0.25">
      <c r="F6081" t="s">
        <v>1277</v>
      </c>
      <c r="G6081" t="s">
        <v>359</v>
      </c>
      <c r="H6081" t="str">
        <f>VLOOKUP(record[[#This Row],[ProcessSN]],表格2_7[],2,FALSE)</f>
        <v>30-4118-018-450</v>
      </c>
      <c r="I6081" t="str">
        <f>VLOOKUP(record[[#This Row],[ProcessSN]],表格2_7[],3,FALSE)</f>
        <v>#100</v>
      </c>
      <c r="J6081" t="s">
        <v>598</v>
      </c>
      <c r="K6081" s="195">
        <v>45996.670219907406</v>
      </c>
      <c r="L6081">
        <v>26</v>
      </c>
      <c r="M6081">
        <v>0</v>
      </c>
      <c r="N6081" s="98" t="str">
        <f>IF(record[[#This Row],[Memo]]="Browser:chrome os:android","平板報工",IF(record[[#This Row],[Memo]]=0,"委外",record[[#This Row],[Memo]]))</f>
        <v/>
      </c>
      <c r="O6081" t="s">
        <v>58</v>
      </c>
      <c r="P6081" t="s">
        <v>99</v>
      </c>
      <c r="Q6081" t="s">
        <v>58</v>
      </c>
      <c r="R6081" t="str">
        <f>IFERROR(VLOOKUP(record[[#This Row],[PCUSTID]],廠商[],2,FALSE),"")</f>
        <v/>
      </c>
      <c r="S6081" t="str">
        <f>VLOOKUP(record[[#This Row],[employeeID]],員工[],2,FALSE)</f>
        <v>阮氏河</v>
      </c>
    </row>
    <row r="6082" spans="6:19" hidden="1" x14ac:dyDescent="0.25">
      <c r="F6082" t="s">
        <v>1275</v>
      </c>
      <c r="G6082" t="s">
        <v>415</v>
      </c>
      <c r="H6082" t="str">
        <f>VLOOKUP(record[[#This Row],[ProcessSN]],表格2_7[],2,FALSE)</f>
        <v>30-4118-018-5XX</v>
      </c>
      <c r="I6082" t="str">
        <f>VLOOKUP(record[[#This Row],[ProcessSN]],表格2_7[],3,FALSE)</f>
        <v>#04</v>
      </c>
      <c r="J6082" t="s">
        <v>588</v>
      </c>
      <c r="K6082" s="195">
        <v>45996.670127314814</v>
      </c>
      <c r="L6082">
        <v>126</v>
      </c>
      <c r="M6082">
        <v>1</v>
      </c>
      <c r="N6082" s="98" t="str">
        <f>IF(record[[#This Row],[Memo]]="Browser:chrome os:android","平板報工",IF(record[[#This Row],[Memo]]=0,"委外",record[[#This Row],[Memo]]))</f>
        <v/>
      </c>
      <c r="O6082" t="s">
        <v>58</v>
      </c>
      <c r="P6082" t="s">
        <v>145</v>
      </c>
      <c r="Q6082" t="s">
        <v>58</v>
      </c>
      <c r="R6082" t="str">
        <f>IFERROR(VLOOKUP(record[[#This Row],[PCUSTID]],廠商[],2,FALSE),"")</f>
        <v/>
      </c>
      <c r="S6082" t="str">
        <f>VLOOKUP(record[[#This Row],[employeeID]],員工[],2,FALSE)</f>
        <v>阮秋霞</v>
      </c>
    </row>
    <row r="6083" spans="6:19" hidden="1" x14ac:dyDescent="0.25">
      <c r="F6083" t="s">
        <v>1180</v>
      </c>
      <c r="G6083" t="s">
        <v>418</v>
      </c>
      <c r="H6083" t="str">
        <f>VLOOKUP(record[[#This Row],[ProcessSN]],表格2_7[],2,FALSE)</f>
        <v>30-4118-018-5XX</v>
      </c>
      <c r="I6083" t="str">
        <f>VLOOKUP(record[[#This Row],[ProcessSN]],表格2_7[],3,FALSE)</f>
        <v>#07</v>
      </c>
      <c r="J6083" t="s">
        <v>588</v>
      </c>
      <c r="K6083" s="195">
        <v>45996.555567129632</v>
      </c>
      <c r="L6083">
        <v>1</v>
      </c>
      <c r="M6083">
        <v>0</v>
      </c>
      <c r="N6083" s="98" t="str">
        <f>IF(record[[#This Row],[Memo]]="Browser:chrome os:android","平板報工",IF(record[[#This Row],[Memo]]=0,"委外",record[[#This Row],[Memo]]))</f>
        <v/>
      </c>
      <c r="O6083" t="s">
        <v>58</v>
      </c>
      <c r="P6083" t="s">
        <v>111</v>
      </c>
      <c r="Q6083" t="s">
        <v>58</v>
      </c>
      <c r="R6083" t="str">
        <f>IFERROR(VLOOKUP(record[[#This Row],[PCUSTID]],廠商[],2,FALSE),"")</f>
        <v/>
      </c>
      <c r="S6083" t="str">
        <f>VLOOKUP(record[[#This Row],[employeeID]],員工[],2,FALSE)</f>
        <v>江栩妘</v>
      </c>
    </row>
    <row r="6084" spans="6:19" hidden="1" x14ac:dyDescent="0.25">
      <c r="F6084" t="s">
        <v>1180</v>
      </c>
      <c r="G6084" t="s">
        <v>417</v>
      </c>
      <c r="H6084" t="str">
        <f>VLOOKUP(record[[#This Row],[ProcessSN]],表格2_7[],2,FALSE)</f>
        <v>30-4118-018-5XX</v>
      </c>
      <c r="I6084" t="str">
        <f>VLOOKUP(record[[#This Row],[ProcessSN]],表格2_7[],3,FALSE)</f>
        <v>#06</v>
      </c>
      <c r="J6084" t="s">
        <v>593</v>
      </c>
      <c r="K6084" s="195">
        <v>45996.555451388886</v>
      </c>
      <c r="L6084">
        <v>110</v>
      </c>
      <c r="M6084">
        <v>0</v>
      </c>
      <c r="N6084" s="98" t="str">
        <f>IF(record[[#This Row],[Memo]]="Browser:chrome os:android","平板報工",IF(record[[#This Row],[Memo]]=0,"委外",record[[#This Row],[Memo]]))</f>
        <v>11/6</v>
      </c>
      <c r="O6084" t="s">
        <v>1296</v>
      </c>
      <c r="P6084" t="s">
        <v>111</v>
      </c>
      <c r="Q6084" t="s">
        <v>58</v>
      </c>
      <c r="R6084" t="str">
        <f>IFERROR(VLOOKUP(record[[#This Row],[PCUSTID]],廠商[],2,FALSE),"")</f>
        <v/>
      </c>
      <c r="S6084" t="str">
        <f>VLOOKUP(record[[#This Row],[employeeID]],員工[],2,FALSE)</f>
        <v>江栩妘</v>
      </c>
    </row>
    <row r="6085" spans="6:19" hidden="1" x14ac:dyDescent="0.25">
      <c r="F6085" t="s">
        <v>1169</v>
      </c>
      <c r="G6085" t="s">
        <v>418</v>
      </c>
      <c r="H6085" t="str">
        <f>VLOOKUP(record[[#This Row],[ProcessSN]],表格2_7[],2,FALSE)</f>
        <v>30-4118-018-5XX</v>
      </c>
      <c r="I6085" t="str">
        <f>VLOOKUP(record[[#This Row],[ProcessSN]],表格2_7[],3,FALSE)</f>
        <v>#07</v>
      </c>
      <c r="J6085" t="s">
        <v>588</v>
      </c>
      <c r="K6085" s="195">
        <v>45996.554594907408</v>
      </c>
      <c r="L6085">
        <v>1</v>
      </c>
      <c r="M6085">
        <v>0</v>
      </c>
      <c r="N6085" s="98" t="str">
        <f>IF(record[[#This Row],[Memo]]="Browser:chrome os:android","平板報工",IF(record[[#This Row],[Memo]]=0,"委外",record[[#This Row],[Memo]]))</f>
        <v/>
      </c>
      <c r="O6085" t="s">
        <v>58</v>
      </c>
      <c r="P6085" t="s">
        <v>89</v>
      </c>
      <c r="Q6085" t="s">
        <v>58</v>
      </c>
      <c r="R6085" t="str">
        <f>IFERROR(VLOOKUP(record[[#This Row],[PCUSTID]],廠商[],2,FALSE),"")</f>
        <v/>
      </c>
      <c r="S6085" t="str">
        <f>VLOOKUP(record[[#This Row],[employeeID]],員工[],2,FALSE)</f>
        <v>李美蓮</v>
      </c>
    </row>
    <row r="6086" spans="6:19" hidden="1" x14ac:dyDescent="0.25">
      <c r="F6086" t="s">
        <v>1169</v>
      </c>
      <c r="G6086" t="s">
        <v>417</v>
      </c>
      <c r="H6086" t="str">
        <f>VLOOKUP(record[[#This Row],[ProcessSN]],表格2_7[],2,FALSE)</f>
        <v>30-4118-018-5XX</v>
      </c>
      <c r="I6086" t="str">
        <f>VLOOKUP(record[[#This Row],[ProcessSN]],表格2_7[],3,FALSE)</f>
        <v>#06</v>
      </c>
      <c r="J6086" t="s">
        <v>593</v>
      </c>
      <c r="K6086" s="195">
        <v>45996.554479166669</v>
      </c>
      <c r="L6086">
        <v>1</v>
      </c>
      <c r="M6086">
        <v>0</v>
      </c>
      <c r="N6086" s="98" t="str">
        <f>IF(record[[#This Row],[Memo]]="Browser:chrome os:android","平板報工",IF(record[[#This Row],[Memo]]=0,"委外",record[[#This Row],[Memo]]))</f>
        <v/>
      </c>
      <c r="O6086" t="s">
        <v>58</v>
      </c>
      <c r="P6086" t="s">
        <v>89</v>
      </c>
      <c r="Q6086" t="s">
        <v>58</v>
      </c>
      <c r="R6086" t="str">
        <f>IFERROR(VLOOKUP(record[[#This Row],[PCUSTID]],廠商[],2,FALSE),"")</f>
        <v/>
      </c>
      <c r="S6086" t="str">
        <f>VLOOKUP(record[[#This Row],[employeeID]],員工[],2,FALSE)</f>
        <v>李美蓮</v>
      </c>
    </row>
    <row r="6087" spans="6:19" hidden="1" x14ac:dyDescent="0.25">
      <c r="F6087" t="s">
        <v>1169</v>
      </c>
      <c r="G6087" t="s">
        <v>416</v>
      </c>
      <c r="H6087" t="str">
        <f>VLOOKUP(record[[#This Row],[ProcessSN]],表格2_7[],2,FALSE)</f>
        <v>30-4118-018-5XX</v>
      </c>
      <c r="I6087" t="str">
        <f>VLOOKUP(record[[#This Row],[ProcessSN]],表格2_7[],3,FALSE)</f>
        <v>#05</v>
      </c>
      <c r="J6087" t="s">
        <v>588</v>
      </c>
      <c r="K6087" s="195">
        <v>45996.554340277777</v>
      </c>
      <c r="L6087">
        <v>1</v>
      </c>
      <c r="M6087">
        <v>0</v>
      </c>
      <c r="N6087" s="98" t="str">
        <f>IF(record[[#This Row],[Memo]]="Browser:chrome os:android","平板報工",IF(record[[#This Row],[Memo]]=0,"委外",record[[#This Row],[Memo]]))</f>
        <v/>
      </c>
      <c r="O6087" t="s">
        <v>58</v>
      </c>
      <c r="P6087" t="s">
        <v>89</v>
      </c>
      <c r="Q6087" t="s">
        <v>58</v>
      </c>
      <c r="R6087" t="str">
        <f>IFERROR(VLOOKUP(record[[#This Row],[PCUSTID]],廠商[],2,FALSE),"")</f>
        <v/>
      </c>
      <c r="S6087" t="str">
        <f>VLOOKUP(record[[#This Row],[employeeID]],員工[],2,FALSE)</f>
        <v>李美蓮</v>
      </c>
    </row>
    <row r="6088" spans="6:19" hidden="1" x14ac:dyDescent="0.25">
      <c r="F6088" t="s">
        <v>1169</v>
      </c>
      <c r="G6088" t="s">
        <v>415</v>
      </c>
      <c r="H6088" t="str">
        <f>VLOOKUP(record[[#This Row],[ProcessSN]],表格2_7[],2,FALSE)</f>
        <v>30-4118-018-5XX</v>
      </c>
      <c r="I6088" t="str">
        <f>VLOOKUP(record[[#This Row],[ProcessSN]],表格2_7[],3,FALSE)</f>
        <v>#04</v>
      </c>
      <c r="J6088" t="s">
        <v>588</v>
      </c>
      <c r="K6088" s="195">
        <v>45996.554201388892</v>
      </c>
      <c r="L6088">
        <v>1</v>
      </c>
      <c r="M6088">
        <v>0</v>
      </c>
      <c r="N6088" s="98" t="str">
        <f>IF(record[[#This Row],[Memo]]="Browser:chrome os:android","平板報工",IF(record[[#This Row],[Memo]]=0,"委外",record[[#This Row],[Memo]]))</f>
        <v/>
      </c>
      <c r="O6088" t="s">
        <v>58</v>
      </c>
      <c r="P6088" t="s">
        <v>89</v>
      </c>
      <c r="Q6088" t="s">
        <v>58</v>
      </c>
      <c r="R6088" t="str">
        <f>IFERROR(VLOOKUP(record[[#This Row],[PCUSTID]],廠商[],2,FALSE),"")</f>
        <v/>
      </c>
      <c r="S6088" t="str">
        <f>VLOOKUP(record[[#This Row],[employeeID]],員工[],2,FALSE)</f>
        <v>李美蓮</v>
      </c>
    </row>
    <row r="6089" spans="6:19" hidden="1" x14ac:dyDescent="0.25">
      <c r="F6089" t="s">
        <v>1169</v>
      </c>
      <c r="G6089" t="s">
        <v>414</v>
      </c>
      <c r="H6089" t="str">
        <f>VLOOKUP(record[[#This Row],[ProcessSN]],表格2_7[],2,FALSE)</f>
        <v>30-4118-018-5XX</v>
      </c>
      <c r="I6089" t="str">
        <f>VLOOKUP(record[[#This Row],[ProcessSN]],表格2_7[],3,FALSE)</f>
        <v>#03</v>
      </c>
      <c r="J6089" t="s">
        <v>588</v>
      </c>
      <c r="K6089" s="195">
        <v>45996.554074074076</v>
      </c>
      <c r="L6089">
        <v>336</v>
      </c>
      <c r="M6089">
        <v>0</v>
      </c>
      <c r="N6089" s="98" t="str">
        <f>IF(record[[#This Row],[Memo]]="Browser:chrome os:android","平板報工",IF(record[[#This Row],[Memo]]=0,"委外",record[[#This Row],[Memo]]))</f>
        <v>10/28</v>
      </c>
      <c r="O6089" t="s">
        <v>1295</v>
      </c>
      <c r="P6089" t="s">
        <v>89</v>
      </c>
      <c r="Q6089" t="s">
        <v>58</v>
      </c>
      <c r="R6089" t="str">
        <f>IFERROR(VLOOKUP(record[[#This Row],[PCUSTID]],廠商[],2,FALSE),"")</f>
        <v/>
      </c>
      <c r="S6089" t="str">
        <f>VLOOKUP(record[[#This Row],[employeeID]],員工[],2,FALSE)</f>
        <v>李美蓮</v>
      </c>
    </row>
    <row r="6090" spans="6:19" hidden="1" x14ac:dyDescent="0.25">
      <c r="F6090" t="s">
        <v>1189</v>
      </c>
      <c r="G6090" t="s">
        <v>418</v>
      </c>
      <c r="H6090" t="str">
        <f>VLOOKUP(record[[#This Row],[ProcessSN]],表格2_7[],2,FALSE)</f>
        <v>30-4118-018-5XX</v>
      </c>
      <c r="I6090" t="str">
        <f>VLOOKUP(record[[#This Row],[ProcessSN]],表格2_7[],3,FALSE)</f>
        <v>#07</v>
      </c>
      <c r="J6090" t="s">
        <v>588</v>
      </c>
      <c r="K6090" s="195">
        <v>45996.553414351853</v>
      </c>
      <c r="L6090">
        <v>11</v>
      </c>
      <c r="M6090">
        <v>0</v>
      </c>
      <c r="N6090" s="98" t="str">
        <f>IF(record[[#This Row],[Memo]]="Browser:chrome os:android","平板報工",IF(record[[#This Row],[Memo]]=0,"委外",record[[#This Row],[Memo]]))</f>
        <v/>
      </c>
      <c r="O6090" t="s">
        <v>58</v>
      </c>
      <c r="P6090" t="s">
        <v>89</v>
      </c>
      <c r="Q6090" t="s">
        <v>58</v>
      </c>
      <c r="R6090" t="str">
        <f>IFERROR(VLOOKUP(record[[#This Row],[PCUSTID]],廠商[],2,FALSE),"")</f>
        <v/>
      </c>
      <c r="S6090" t="str">
        <f>VLOOKUP(record[[#This Row],[employeeID]],員工[],2,FALSE)</f>
        <v>李美蓮</v>
      </c>
    </row>
    <row r="6091" spans="6:19" hidden="1" x14ac:dyDescent="0.25">
      <c r="F6091" t="s">
        <v>1189</v>
      </c>
      <c r="G6091" t="s">
        <v>417</v>
      </c>
      <c r="H6091" t="str">
        <f>VLOOKUP(record[[#This Row],[ProcessSN]],表格2_7[],2,FALSE)</f>
        <v>30-4118-018-5XX</v>
      </c>
      <c r="I6091" t="str">
        <f>VLOOKUP(record[[#This Row],[ProcessSN]],表格2_7[],3,FALSE)</f>
        <v>#06</v>
      </c>
      <c r="J6091" t="s">
        <v>593</v>
      </c>
      <c r="K6091" s="195">
        <v>45996.553310185183</v>
      </c>
      <c r="L6091">
        <v>11</v>
      </c>
      <c r="M6091">
        <v>0</v>
      </c>
      <c r="N6091" s="98" t="str">
        <f>IF(record[[#This Row],[Memo]]="Browser:chrome os:android","平板報工",IF(record[[#This Row],[Memo]]=0,"委外",record[[#This Row],[Memo]]))</f>
        <v/>
      </c>
      <c r="O6091" t="s">
        <v>58</v>
      </c>
      <c r="P6091" t="s">
        <v>89</v>
      </c>
      <c r="Q6091" t="s">
        <v>58</v>
      </c>
      <c r="R6091" t="str">
        <f>IFERROR(VLOOKUP(record[[#This Row],[PCUSTID]],廠商[],2,FALSE),"")</f>
        <v/>
      </c>
      <c r="S6091" t="str">
        <f>VLOOKUP(record[[#This Row],[employeeID]],員工[],2,FALSE)</f>
        <v>李美蓮</v>
      </c>
    </row>
    <row r="6092" spans="6:19" hidden="1" x14ac:dyDescent="0.25">
      <c r="F6092" t="s">
        <v>1189</v>
      </c>
      <c r="G6092" t="s">
        <v>416</v>
      </c>
      <c r="H6092" t="str">
        <f>VLOOKUP(record[[#This Row],[ProcessSN]],表格2_7[],2,FALSE)</f>
        <v>30-4118-018-5XX</v>
      </c>
      <c r="I6092" t="str">
        <f>VLOOKUP(record[[#This Row],[ProcessSN]],表格2_7[],3,FALSE)</f>
        <v>#05</v>
      </c>
      <c r="J6092" t="s">
        <v>588</v>
      </c>
      <c r="K6092" s="195">
        <v>45996.553171296298</v>
      </c>
      <c r="L6092">
        <v>11</v>
      </c>
      <c r="M6092">
        <v>0</v>
      </c>
      <c r="N6092" s="98" t="str">
        <f>IF(record[[#This Row],[Memo]]="Browser:chrome os:android","平板報工",IF(record[[#This Row],[Memo]]=0,"委外",record[[#This Row],[Memo]]))</f>
        <v/>
      </c>
      <c r="O6092" t="s">
        <v>58</v>
      </c>
      <c r="P6092" t="s">
        <v>89</v>
      </c>
      <c r="Q6092" t="s">
        <v>58</v>
      </c>
      <c r="R6092" t="str">
        <f>IFERROR(VLOOKUP(record[[#This Row],[PCUSTID]],廠商[],2,FALSE),"")</f>
        <v/>
      </c>
      <c r="S6092" t="str">
        <f>VLOOKUP(record[[#This Row],[employeeID]],員工[],2,FALSE)</f>
        <v>李美蓮</v>
      </c>
    </row>
    <row r="6093" spans="6:19" hidden="1" x14ac:dyDescent="0.25">
      <c r="F6093" t="s">
        <v>1189</v>
      </c>
      <c r="G6093" t="s">
        <v>415</v>
      </c>
      <c r="H6093" t="str">
        <f>VLOOKUP(record[[#This Row],[ProcessSN]],表格2_7[],2,FALSE)</f>
        <v>30-4118-018-5XX</v>
      </c>
      <c r="I6093" t="str">
        <f>VLOOKUP(record[[#This Row],[ProcessSN]],表格2_7[],3,FALSE)</f>
        <v>#04</v>
      </c>
      <c r="J6093" t="s">
        <v>588</v>
      </c>
      <c r="K6093" s="195">
        <v>45996.553032407406</v>
      </c>
      <c r="L6093">
        <v>11</v>
      </c>
      <c r="M6093">
        <v>0</v>
      </c>
      <c r="N6093" s="98" t="str">
        <f>IF(record[[#This Row],[Memo]]="Browser:chrome os:android","平板報工",IF(record[[#This Row],[Memo]]=0,"委外",record[[#This Row],[Memo]]))</f>
        <v/>
      </c>
      <c r="O6093" t="s">
        <v>58</v>
      </c>
      <c r="P6093" t="s">
        <v>89</v>
      </c>
      <c r="Q6093" t="s">
        <v>58</v>
      </c>
      <c r="R6093" t="str">
        <f>IFERROR(VLOOKUP(record[[#This Row],[PCUSTID]],廠商[],2,FALSE),"")</f>
        <v/>
      </c>
      <c r="S6093" t="str">
        <f>VLOOKUP(record[[#This Row],[employeeID]],員工[],2,FALSE)</f>
        <v>李美蓮</v>
      </c>
    </row>
    <row r="6094" spans="6:19" hidden="1" x14ac:dyDescent="0.25">
      <c r="F6094" t="s">
        <v>1189</v>
      </c>
      <c r="G6094" t="s">
        <v>414</v>
      </c>
      <c r="H6094" t="str">
        <f>VLOOKUP(record[[#This Row],[ProcessSN]],表格2_7[],2,FALSE)</f>
        <v>30-4118-018-5XX</v>
      </c>
      <c r="I6094" t="str">
        <f>VLOOKUP(record[[#This Row],[ProcessSN]],表格2_7[],3,FALSE)</f>
        <v>#03</v>
      </c>
      <c r="J6094" t="s">
        <v>588</v>
      </c>
      <c r="K6094" s="195">
        <v>45996.552881944444</v>
      </c>
      <c r="L6094">
        <v>683</v>
      </c>
      <c r="M6094">
        <v>0</v>
      </c>
      <c r="N6094" s="98" t="str">
        <f>IF(record[[#This Row],[Memo]]="Browser:chrome os:android","平板報工",IF(record[[#This Row],[Memo]]=0,"委外",record[[#This Row],[Memo]]))</f>
        <v>11/13</v>
      </c>
      <c r="O6094" t="s">
        <v>1294</v>
      </c>
      <c r="P6094" t="s">
        <v>89</v>
      </c>
      <c r="Q6094" t="s">
        <v>58</v>
      </c>
      <c r="R6094" t="str">
        <f>IFERROR(VLOOKUP(record[[#This Row],[PCUSTID]],廠商[],2,FALSE),"")</f>
        <v/>
      </c>
      <c r="S6094" t="str">
        <f>VLOOKUP(record[[#This Row],[employeeID]],員工[],2,FALSE)</f>
        <v>李美蓮</v>
      </c>
    </row>
    <row r="6095" spans="6:19" hidden="1" x14ac:dyDescent="0.25">
      <c r="F6095" t="s">
        <v>1169</v>
      </c>
      <c r="G6095" t="s">
        <v>418</v>
      </c>
      <c r="H6095" t="str">
        <f>VLOOKUP(record[[#This Row],[ProcessSN]],表格2_7[],2,FALSE)</f>
        <v>30-4118-018-5XX</v>
      </c>
      <c r="I6095" t="str">
        <f>VLOOKUP(record[[#This Row],[ProcessSN]],表格2_7[],3,FALSE)</f>
        <v>#07</v>
      </c>
      <c r="J6095" t="s">
        <v>588</v>
      </c>
      <c r="K6095" s="195">
        <v>45996.499456018515</v>
      </c>
      <c r="L6095">
        <v>225</v>
      </c>
      <c r="M6095">
        <v>0</v>
      </c>
      <c r="N6095" s="98" t="str">
        <f>IF(record[[#This Row],[Memo]]="Browser:chrome os:android","平板報工",IF(record[[#This Row],[Memo]]=0,"委外",record[[#This Row],[Memo]]))</f>
        <v>11/4</v>
      </c>
      <c r="O6095" t="s">
        <v>1293</v>
      </c>
      <c r="P6095" t="s">
        <v>806</v>
      </c>
      <c r="Q6095" t="s">
        <v>58</v>
      </c>
      <c r="R6095" t="str">
        <f>IFERROR(VLOOKUP(record[[#This Row],[PCUSTID]],廠商[],2,FALSE),"")</f>
        <v/>
      </c>
      <c r="S6095" t="str">
        <f>VLOOKUP(record[[#This Row],[employeeID]],員工[],2,FALSE)</f>
        <v>方思緯</v>
      </c>
    </row>
    <row r="6096" spans="6:19" hidden="1" x14ac:dyDescent="0.25">
      <c r="F6096" t="s">
        <v>1189</v>
      </c>
      <c r="G6096" t="s">
        <v>418</v>
      </c>
      <c r="H6096" t="str">
        <f>VLOOKUP(record[[#This Row],[ProcessSN]],表格2_7[],2,FALSE)</f>
        <v>30-4118-018-5XX</v>
      </c>
      <c r="I6096" t="str">
        <f>VLOOKUP(record[[#This Row],[ProcessSN]],表格2_7[],3,FALSE)</f>
        <v>#07</v>
      </c>
      <c r="J6096" t="s">
        <v>588</v>
      </c>
      <c r="K6096" s="195">
        <v>45996.497013888889</v>
      </c>
      <c r="L6096">
        <v>130</v>
      </c>
      <c r="M6096">
        <v>0</v>
      </c>
      <c r="N6096" s="98" t="str">
        <f>IF(record[[#This Row],[Memo]]="Browser:chrome os:android","平板報工",IF(record[[#This Row],[Memo]]=0,"委外",record[[#This Row],[Memo]]))</f>
        <v>11/17</v>
      </c>
      <c r="O6096" t="s">
        <v>1291</v>
      </c>
      <c r="P6096" t="s">
        <v>1292</v>
      </c>
      <c r="Q6096" t="s">
        <v>58</v>
      </c>
      <c r="R6096" t="str">
        <f>IFERROR(VLOOKUP(record[[#This Row],[PCUSTID]],廠商[],2,FALSE),"")</f>
        <v/>
      </c>
      <c r="S6096" t="e">
        <f>VLOOKUP(record[[#This Row],[employeeID]],員工[],2,FALSE)</f>
        <v>#N/A</v>
      </c>
    </row>
    <row r="6097" spans="6:19" hidden="1" x14ac:dyDescent="0.25">
      <c r="F6097" t="s">
        <v>1209</v>
      </c>
      <c r="G6097" t="s">
        <v>469</v>
      </c>
      <c r="H6097" t="str">
        <f>VLOOKUP(record[[#This Row],[ProcessSN]],表格2_7[],2,FALSE)</f>
        <v>30-4118-018-XXX</v>
      </c>
      <c r="I6097" t="str">
        <f>VLOOKUP(record[[#This Row],[ProcessSN]],表格2_7[],3,FALSE)</f>
        <v>#02RCV</v>
      </c>
      <c r="J6097" t="s">
        <v>591</v>
      </c>
      <c r="K6097" s="195">
        <v>45996.477048611108</v>
      </c>
      <c r="L6097">
        <v>0</v>
      </c>
      <c r="M6097">
        <v>1</v>
      </c>
      <c r="N6097" s="98" t="str">
        <f>IF(record[[#This Row],[Memo]]="Browser:chrome os:android","平板報工",IF(record[[#This Row],[Memo]]=0,"委外",record[[#This Row],[Memo]]))</f>
        <v/>
      </c>
      <c r="O6097" t="s">
        <v>58</v>
      </c>
      <c r="P6097" t="s">
        <v>186</v>
      </c>
      <c r="Q6097" t="s">
        <v>58</v>
      </c>
      <c r="R6097" t="str">
        <f>IFERROR(VLOOKUP(record[[#This Row],[PCUSTID]],廠商[],2,FALSE),"")</f>
        <v/>
      </c>
      <c r="S6097" t="str">
        <f>VLOOKUP(record[[#This Row],[employeeID]],員工[],2,FALSE)</f>
        <v>許文姍</v>
      </c>
    </row>
    <row r="6098" spans="6:19" hidden="1" x14ac:dyDescent="0.25">
      <c r="F6098" t="s">
        <v>1277</v>
      </c>
      <c r="G6098" t="s">
        <v>358</v>
      </c>
      <c r="H6098" t="str">
        <f>VLOOKUP(record[[#This Row],[ProcessSN]],表格2_7[],2,FALSE)</f>
        <v>30-4118-018-450</v>
      </c>
      <c r="I6098" t="str">
        <f>VLOOKUP(record[[#This Row],[ProcessSN]],表格2_7[],3,FALSE)</f>
        <v>#08IQC</v>
      </c>
      <c r="J6098" t="s">
        <v>583</v>
      </c>
      <c r="K6098" s="195">
        <v>45996.469814814816</v>
      </c>
      <c r="L6098">
        <v>96</v>
      </c>
      <c r="M6098">
        <v>0</v>
      </c>
      <c r="N6098" s="98" t="str">
        <f>IF(record[[#This Row],[Memo]]="Browser:chrome os:android","平板報工",IF(record[[#This Row],[Memo]]=0,"委外",record[[#This Row],[Memo]]))</f>
        <v/>
      </c>
      <c r="O6098" t="s">
        <v>58</v>
      </c>
      <c r="P6098" t="s">
        <v>109</v>
      </c>
      <c r="Q6098" t="s">
        <v>58</v>
      </c>
      <c r="R6098" t="str">
        <f>IFERROR(VLOOKUP(record[[#This Row],[PCUSTID]],廠商[],2,FALSE),"")</f>
        <v/>
      </c>
      <c r="S6098" t="str">
        <f>VLOOKUP(record[[#This Row],[employeeID]],員工[],2,FALSE)</f>
        <v>裴氏璧鳳</v>
      </c>
    </row>
    <row r="6099" spans="6:19" hidden="1" x14ac:dyDescent="0.25">
      <c r="F6099" t="s">
        <v>1277</v>
      </c>
      <c r="G6099" t="s">
        <v>357</v>
      </c>
      <c r="H6099" t="str">
        <f>VLOOKUP(record[[#This Row],[ProcessSN]],表格2_7[],2,FALSE)</f>
        <v>30-4118-018-450</v>
      </c>
      <c r="I6099" t="str">
        <f>VLOOKUP(record[[#This Row],[ProcessSN]],表格2_7[],3,FALSE)</f>
        <v>#08RCV</v>
      </c>
      <c r="J6099" t="s">
        <v>591</v>
      </c>
      <c r="K6099" s="195">
        <v>45996.464432870373</v>
      </c>
      <c r="L6099">
        <v>96</v>
      </c>
      <c r="M6099">
        <v>0</v>
      </c>
      <c r="N6099" s="98" t="str">
        <f>IF(record[[#This Row],[Memo]]="Browser:chrome os:android","平板報工",IF(record[[#This Row],[Memo]]=0,"委外",record[[#This Row],[Memo]]))</f>
        <v/>
      </c>
      <c r="O6099" t="s">
        <v>58</v>
      </c>
      <c r="P6099" t="s">
        <v>186</v>
      </c>
      <c r="Q6099" t="s">
        <v>58</v>
      </c>
      <c r="R6099" t="str">
        <f>IFERROR(VLOOKUP(record[[#This Row],[PCUSTID]],廠商[],2,FALSE),"")</f>
        <v/>
      </c>
      <c r="S6099" t="str">
        <f>VLOOKUP(record[[#This Row],[employeeID]],員工[],2,FALSE)</f>
        <v>許文姍</v>
      </c>
    </row>
    <row r="6100" spans="6:19" hidden="1" x14ac:dyDescent="0.25">
      <c r="F6100" t="s">
        <v>1250</v>
      </c>
      <c r="G6100" t="s">
        <v>403</v>
      </c>
      <c r="H6100" t="str">
        <f>VLOOKUP(record[[#This Row],[ProcessSN]],表格2_7[],2,FALSE)</f>
        <v>30-4118-018-550</v>
      </c>
      <c r="I6100" t="str">
        <f>VLOOKUP(record[[#This Row],[ProcessSN]],表格2_7[],3,FALSE)</f>
        <v>#100SHIP</v>
      </c>
      <c r="J6100" t="s">
        <v>600</v>
      </c>
      <c r="K6100" s="195">
        <v>45996.453055555554</v>
      </c>
      <c r="L6100">
        <v>5</v>
      </c>
      <c r="M6100">
        <v>0</v>
      </c>
      <c r="N6100" s="98" t="str">
        <f>IF(record[[#This Row],[Memo]]="Browser:chrome os:android","平板報工",IF(record[[#This Row],[Memo]]=0,"委外",record[[#This Row],[Memo]]))</f>
        <v/>
      </c>
      <c r="O6100" t="s">
        <v>58</v>
      </c>
      <c r="P6100" t="s">
        <v>886</v>
      </c>
      <c r="Q6100" t="s">
        <v>58</v>
      </c>
      <c r="R6100" t="str">
        <f>IFERROR(VLOOKUP(record[[#This Row],[PCUSTID]],廠商[],2,FALSE),"")</f>
        <v/>
      </c>
      <c r="S6100" t="str">
        <f>VLOOKUP(record[[#This Row],[employeeID]],員工[],2,FALSE)</f>
        <v>謝蓁薰</v>
      </c>
    </row>
    <row r="6101" spans="6:19" hidden="1" x14ac:dyDescent="0.25">
      <c r="F6101" t="s">
        <v>1246</v>
      </c>
      <c r="G6101" t="s">
        <v>403</v>
      </c>
      <c r="H6101" t="str">
        <f>VLOOKUP(record[[#This Row],[ProcessSN]],表格2_7[],2,FALSE)</f>
        <v>30-4118-018-550</v>
      </c>
      <c r="I6101" t="str">
        <f>VLOOKUP(record[[#This Row],[ProcessSN]],表格2_7[],3,FALSE)</f>
        <v>#100SHIP</v>
      </c>
      <c r="J6101" t="s">
        <v>600</v>
      </c>
      <c r="K6101" s="195">
        <v>45996.452928240738</v>
      </c>
      <c r="L6101">
        <v>294</v>
      </c>
      <c r="M6101">
        <v>0</v>
      </c>
      <c r="N6101" s="98" t="str">
        <f>IF(record[[#This Row],[Memo]]="Browser:chrome os:android","平板報工",IF(record[[#This Row],[Memo]]=0,"委外",record[[#This Row],[Memo]]))</f>
        <v/>
      </c>
      <c r="O6101" t="s">
        <v>58</v>
      </c>
      <c r="P6101" t="s">
        <v>886</v>
      </c>
      <c r="Q6101" t="s">
        <v>58</v>
      </c>
      <c r="R6101" t="str">
        <f>IFERROR(VLOOKUP(record[[#This Row],[PCUSTID]],廠商[],2,FALSE),"")</f>
        <v/>
      </c>
      <c r="S6101" t="str">
        <f>VLOOKUP(record[[#This Row],[employeeID]],員工[],2,FALSE)</f>
        <v>謝蓁薰</v>
      </c>
    </row>
    <row r="6102" spans="6:19" hidden="1" x14ac:dyDescent="0.25">
      <c r="F6102" t="s">
        <v>1242</v>
      </c>
      <c r="G6102" t="s">
        <v>403</v>
      </c>
      <c r="H6102" t="str">
        <f>VLOOKUP(record[[#This Row],[ProcessSN]],表格2_7[],2,FALSE)</f>
        <v>30-4118-018-550</v>
      </c>
      <c r="I6102" t="str">
        <f>VLOOKUP(record[[#This Row],[ProcessSN]],表格2_7[],3,FALSE)</f>
        <v>#100SHIP</v>
      </c>
      <c r="J6102" t="s">
        <v>600</v>
      </c>
      <c r="K6102" s="195">
        <v>45996.452789351853</v>
      </c>
      <c r="L6102">
        <v>472</v>
      </c>
      <c r="M6102">
        <v>0</v>
      </c>
      <c r="N6102" s="98" t="str">
        <f>IF(record[[#This Row],[Memo]]="Browser:chrome os:android","平板報工",IF(record[[#This Row],[Memo]]=0,"委外",record[[#This Row],[Memo]]))</f>
        <v/>
      </c>
      <c r="O6102" t="s">
        <v>58</v>
      </c>
      <c r="P6102" t="s">
        <v>886</v>
      </c>
      <c r="Q6102" t="s">
        <v>58</v>
      </c>
      <c r="R6102" t="str">
        <f>IFERROR(VLOOKUP(record[[#This Row],[PCUSTID]],廠商[],2,FALSE),"")</f>
        <v/>
      </c>
      <c r="S6102" t="str">
        <f>VLOOKUP(record[[#This Row],[employeeID]],員工[],2,FALSE)</f>
        <v>謝蓁薰</v>
      </c>
    </row>
    <row r="6103" spans="6:19" hidden="1" x14ac:dyDescent="0.25">
      <c r="F6103" t="s">
        <v>1237</v>
      </c>
      <c r="G6103" t="s">
        <v>403</v>
      </c>
      <c r="H6103" t="str">
        <f>VLOOKUP(record[[#This Row],[ProcessSN]],表格2_7[],2,FALSE)</f>
        <v>30-4118-018-550</v>
      </c>
      <c r="I6103" t="str">
        <f>VLOOKUP(record[[#This Row],[ProcessSN]],表格2_7[],3,FALSE)</f>
        <v>#100SHIP</v>
      </c>
      <c r="J6103" t="s">
        <v>600</v>
      </c>
      <c r="K6103" s="195">
        <v>45996.452673611115</v>
      </c>
      <c r="L6103">
        <v>97</v>
      </c>
      <c r="M6103">
        <v>0</v>
      </c>
      <c r="N6103" s="98" t="str">
        <f>IF(record[[#This Row],[Memo]]="Browser:chrome os:android","平板報工",IF(record[[#This Row],[Memo]]=0,"委外",record[[#This Row],[Memo]]))</f>
        <v/>
      </c>
      <c r="O6103" t="s">
        <v>58</v>
      </c>
      <c r="P6103" t="s">
        <v>886</v>
      </c>
      <c r="Q6103" t="s">
        <v>58</v>
      </c>
      <c r="R6103" t="str">
        <f>IFERROR(VLOOKUP(record[[#This Row],[PCUSTID]],廠商[],2,FALSE),"")</f>
        <v/>
      </c>
      <c r="S6103" t="str">
        <f>VLOOKUP(record[[#This Row],[employeeID]],員工[],2,FALSE)</f>
        <v>謝蓁薰</v>
      </c>
    </row>
    <row r="6104" spans="6:19" hidden="1" x14ac:dyDescent="0.25">
      <c r="F6104" t="s">
        <v>1250</v>
      </c>
      <c r="G6104" t="s">
        <v>402</v>
      </c>
      <c r="H6104" t="str">
        <f>VLOOKUP(record[[#This Row],[ProcessSN]],表格2_7[],2,FALSE)</f>
        <v>30-4118-018-550</v>
      </c>
      <c r="I6104" t="str">
        <f>VLOOKUP(record[[#This Row],[ProcessSN]],表格2_7[],3,FALSE)</f>
        <v>#100STOCK</v>
      </c>
      <c r="J6104" t="s">
        <v>592</v>
      </c>
      <c r="K6104" s="195">
        <v>45996.452569444446</v>
      </c>
      <c r="L6104">
        <v>5</v>
      </c>
      <c r="M6104">
        <v>0</v>
      </c>
      <c r="N6104" s="98" t="str">
        <f>IF(record[[#This Row],[Memo]]="Browser:chrome os:android","平板報工",IF(record[[#This Row],[Memo]]=0,"委外",record[[#This Row],[Memo]]))</f>
        <v/>
      </c>
      <c r="O6104" t="s">
        <v>58</v>
      </c>
      <c r="P6104" t="s">
        <v>886</v>
      </c>
      <c r="Q6104" t="s">
        <v>58</v>
      </c>
      <c r="R6104" t="str">
        <f>IFERROR(VLOOKUP(record[[#This Row],[PCUSTID]],廠商[],2,FALSE),"")</f>
        <v/>
      </c>
      <c r="S6104" t="str">
        <f>VLOOKUP(record[[#This Row],[employeeID]],員工[],2,FALSE)</f>
        <v>謝蓁薰</v>
      </c>
    </row>
    <row r="6105" spans="6:19" hidden="1" x14ac:dyDescent="0.25">
      <c r="F6105" t="s">
        <v>1246</v>
      </c>
      <c r="G6105" t="s">
        <v>402</v>
      </c>
      <c r="H6105" t="str">
        <f>VLOOKUP(record[[#This Row],[ProcessSN]],表格2_7[],2,FALSE)</f>
        <v>30-4118-018-550</v>
      </c>
      <c r="I6105" t="str">
        <f>VLOOKUP(record[[#This Row],[ProcessSN]],表格2_7[],3,FALSE)</f>
        <v>#100STOCK</v>
      </c>
      <c r="J6105" t="s">
        <v>592</v>
      </c>
      <c r="K6105" s="195">
        <v>45996.45244212963</v>
      </c>
      <c r="L6105">
        <v>294</v>
      </c>
      <c r="M6105">
        <v>0</v>
      </c>
      <c r="N6105" s="98" t="str">
        <f>IF(record[[#This Row],[Memo]]="Browser:chrome os:android","平板報工",IF(record[[#This Row],[Memo]]=0,"委外",record[[#This Row],[Memo]]))</f>
        <v/>
      </c>
      <c r="O6105" t="s">
        <v>58</v>
      </c>
      <c r="P6105" t="s">
        <v>886</v>
      </c>
      <c r="Q6105" t="s">
        <v>58</v>
      </c>
      <c r="R6105" t="str">
        <f>IFERROR(VLOOKUP(record[[#This Row],[PCUSTID]],廠商[],2,FALSE),"")</f>
        <v/>
      </c>
      <c r="S6105" t="str">
        <f>VLOOKUP(record[[#This Row],[employeeID]],員工[],2,FALSE)</f>
        <v>謝蓁薰</v>
      </c>
    </row>
    <row r="6106" spans="6:19" hidden="1" x14ac:dyDescent="0.25">
      <c r="F6106" t="s">
        <v>1242</v>
      </c>
      <c r="G6106" t="s">
        <v>402</v>
      </c>
      <c r="H6106" t="str">
        <f>VLOOKUP(record[[#This Row],[ProcessSN]],表格2_7[],2,FALSE)</f>
        <v>30-4118-018-550</v>
      </c>
      <c r="I6106" t="str">
        <f>VLOOKUP(record[[#This Row],[ProcessSN]],表格2_7[],3,FALSE)</f>
        <v>#100STOCK</v>
      </c>
      <c r="J6106" t="s">
        <v>592</v>
      </c>
      <c r="K6106" s="195">
        <v>45996.452291666668</v>
      </c>
      <c r="L6106">
        <v>472</v>
      </c>
      <c r="M6106">
        <v>0</v>
      </c>
      <c r="N6106" s="98" t="str">
        <f>IF(record[[#This Row],[Memo]]="Browser:chrome os:android","平板報工",IF(record[[#This Row],[Memo]]=0,"委外",record[[#This Row],[Memo]]))</f>
        <v/>
      </c>
      <c r="O6106" t="s">
        <v>58</v>
      </c>
      <c r="P6106" t="s">
        <v>886</v>
      </c>
      <c r="Q6106" t="s">
        <v>58</v>
      </c>
      <c r="R6106" t="str">
        <f>IFERROR(VLOOKUP(record[[#This Row],[PCUSTID]],廠商[],2,FALSE),"")</f>
        <v/>
      </c>
      <c r="S6106" t="str">
        <f>VLOOKUP(record[[#This Row],[employeeID]],員工[],2,FALSE)</f>
        <v>謝蓁薰</v>
      </c>
    </row>
    <row r="6107" spans="6:19" hidden="1" x14ac:dyDescent="0.25">
      <c r="F6107" t="s">
        <v>1237</v>
      </c>
      <c r="G6107" t="s">
        <v>402</v>
      </c>
      <c r="H6107" t="str">
        <f>VLOOKUP(record[[#This Row],[ProcessSN]],表格2_7[],2,FALSE)</f>
        <v>30-4118-018-550</v>
      </c>
      <c r="I6107" t="str">
        <f>VLOOKUP(record[[#This Row],[ProcessSN]],表格2_7[],3,FALSE)</f>
        <v>#100STOCK</v>
      </c>
      <c r="J6107" t="s">
        <v>592</v>
      </c>
      <c r="K6107" s="195">
        <v>45996.452164351853</v>
      </c>
      <c r="L6107">
        <v>97</v>
      </c>
      <c r="M6107">
        <v>0</v>
      </c>
      <c r="N6107" s="98" t="str">
        <f>IF(record[[#This Row],[Memo]]="Browser:chrome os:android","平板報工",IF(record[[#This Row],[Memo]]=0,"委外",record[[#This Row],[Memo]]))</f>
        <v/>
      </c>
      <c r="O6107" t="s">
        <v>58</v>
      </c>
      <c r="P6107" t="s">
        <v>886</v>
      </c>
      <c r="Q6107" t="s">
        <v>58</v>
      </c>
      <c r="R6107" t="str">
        <f>IFERROR(VLOOKUP(record[[#This Row],[PCUSTID]],廠商[],2,FALSE),"")</f>
        <v/>
      </c>
      <c r="S6107" t="str">
        <f>VLOOKUP(record[[#This Row],[employeeID]],員工[],2,FALSE)</f>
        <v>謝蓁薰</v>
      </c>
    </row>
    <row r="6108" spans="6:19" hidden="1" x14ac:dyDescent="0.25">
      <c r="F6108" t="s">
        <v>1290</v>
      </c>
      <c r="G6108" t="s">
        <v>413</v>
      </c>
      <c r="H6108" t="str">
        <f>VLOOKUP(record[[#This Row],[ProcessSN]],表格2_7[],2,FALSE)</f>
        <v>30-4118-018-5XX</v>
      </c>
      <c r="I6108" t="str">
        <f>VLOOKUP(record[[#This Row],[ProcessSN]],表格2_7[],3,FALSE)</f>
        <v>#03GIVE</v>
      </c>
      <c r="J6108" t="s">
        <v>587</v>
      </c>
      <c r="K6108" s="195">
        <v>45996.433715277781</v>
      </c>
      <c r="L6108">
        <v>1316</v>
      </c>
      <c r="M6108">
        <v>0</v>
      </c>
      <c r="N6108" s="98" t="str">
        <f>IF(record[[#This Row],[Memo]]="Browser:chrome os:android","平板報工",IF(record[[#This Row],[Memo]]=0,"委外",record[[#This Row],[Memo]]))</f>
        <v/>
      </c>
      <c r="O6108" t="s">
        <v>58</v>
      </c>
      <c r="P6108" t="s">
        <v>757</v>
      </c>
      <c r="Q6108" t="s">
        <v>58</v>
      </c>
      <c r="R6108" t="str">
        <f>IFERROR(VLOOKUP(record[[#This Row],[PCUSTID]],廠商[],2,FALSE),"")</f>
        <v/>
      </c>
      <c r="S6108" t="str">
        <f>VLOOKUP(record[[#This Row],[employeeID]],員工[],2,FALSE)</f>
        <v>黎文勝</v>
      </c>
    </row>
    <row r="6109" spans="6:19" hidden="1" x14ac:dyDescent="0.25">
      <c r="F6109" t="s">
        <v>1290</v>
      </c>
      <c r="G6109" t="s">
        <v>412</v>
      </c>
      <c r="H6109" t="str">
        <f>VLOOKUP(record[[#This Row],[ProcessSN]],表格2_7[],2,FALSE)</f>
        <v>30-4118-018-5XX</v>
      </c>
      <c r="I6109" t="str">
        <f>VLOOKUP(record[[#This Row],[ProcessSN]],表格2_7[],3,FALSE)</f>
        <v>#03PICK</v>
      </c>
      <c r="J6109" t="s">
        <v>582</v>
      </c>
      <c r="K6109" s="195">
        <v>45996.433252314811</v>
      </c>
      <c r="L6109">
        <v>1316</v>
      </c>
      <c r="M6109">
        <v>0</v>
      </c>
      <c r="N6109" s="98" t="str">
        <f>IF(record[[#This Row],[Memo]]="Browser:chrome os:android","平板報工",IF(record[[#This Row],[Memo]]=0,"委外",record[[#This Row],[Memo]]))</f>
        <v/>
      </c>
      <c r="O6109" t="s">
        <v>58</v>
      </c>
      <c r="P6109" t="s">
        <v>757</v>
      </c>
      <c r="Q6109" t="s">
        <v>58</v>
      </c>
      <c r="R6109" t="str">
        <f>IFERROR(VLOOKUP(record[[#This Row],[PCUSTID]],廠商[],2,FALSE),"")</f>
        <v/>
      </c>
      <c r="S6109" t="str">
        <f>VLOOKUP(record[[#This Row],[employeeID]],員工[],2,FALSE)</f>
        <v>黎文勝</v>
      </c>
    </row>
    <row r="6110" spans="6:19" hidden="1" x14ac:dyDescent="0.25">
      <c r="F6110" t="s">
        <v>1285</v>
      </c>
      <c r="G6110" t="s">
        <v>464</v>
      </c>
      <c r="H6110" t="str">
        <f>VLOOKUP(record[[#This Row],[ProcessSN]],表格2_7[],2,FALSE)</f>
        <v>30-4118-018-XXX</v>
      </c>
      <c r="I6110" t="str">
        <f>VLOOKUP(record[[#This Row],[ProcessSN]],表格2_7[],3,FALSE)</f>
        <v>#01GIVE</v>
      </c>
      <c r="J6110" t="s">
        <v>587</v>
      </c>
      <c r="K6110" s="195">
        <v>45996.432500000003</v>
      </c>
      <c r="L6110">
        <v>5000</v>
      </c>
      <c r="M6110">
        <v>0</v>
      </c>
      <c r="N6110" s="98" t="str">
        <f>IF(record[[#This Row],[Memo]]="Browser:chrome os:android","平板報工",IF(record[[#This Row],[Memo]]=0,"委外",record[[#This Row],[Memo]]))</f>
        <v/>
      </c>
      <c r="O6110" t="s">
        <v>58</v>
      </c>
      <c r="P6110" t="s">
        <v>757</v>
      </c>
      <c r="Q6110" t="s">
        <v>58</v>
      </c>
      <c r="R6110" t="str">
        <f>IFERROR(VLOOKUP(record[[#This Row],[PCUSTID]],廠商[],2,FALSE),"")</f>
        <v/>
      </c>
      <c r="S6110" t="str">
        <f>VLOOKUP(record[[#This Row],[employeeID]],員工[],2,FALSE)</f>
        <v>黎文勝</v>
      </c>
    </row>
    <row r="6111" spans="6:19" hidden="1" x14ac:dyDescent="0.25">
      <c r="F6111" t="s">
        <v>1289</v>
      </c>
      <c r="G6111" t="s">
        <v>397</v>
      </c>
      <c r="H6111" t="str">
        <f>VLOOKUP(record[[#This Row],[ProcessSN]],表格2_7[],2,FALSE)</f>
        <v>30-4118-018-550</v>
      </c>
      <c r="I6111" t="str">
        <f>VLOOKUP(record[[#This Row],[ProcessSN]],表格2_7[],3,FALSE)</f>
        <v>#08</v>
      </c>
      <c r="J6111" t="s">
        <v>597</v>
      </c>
      <c r="K6111" s="195">
        <v>45996.42597222222</v>
      </c>
      <c r="L6111">
        <v>356</v>
      </c>
      <c r="M6111">
        <v>0</v>
      </c>
      <c r="N6111" s="98" t="str">
        <f>IF(record[[#This Row],[Memo]]="Browser:chrome os:android","平板報工",IF(record[[#This Row],[Memo]]=0,"委外",record[[#This Row],[Memo]]))</f>
        <v>委外</v>
      </c>
      <c r="P6111" t="s">
        <v>186</v>
      </c>
      <c r="Q6111" t="s">
        <v>287</v>
      </c>
      <c r="R6111" t="str">
        <f>IFERROR(VLOOKUP(record[[#This Row],[PCUSTID]],廠商[],2,FALSE),"")</f>
        <v>泉盛</v>
      </c>
      <c r="S6111" t="str">
        <f>VLOOKUP(record[[#This Row],[employeeID]],員工[],2,FALSE)</f>
        <v>許文姍</v>
      </c>
    </row>
    <row r="6112" spans="6:19" hidden="1" x14ac:dyDescent="0.25">
      <c r="F6112" t="s">
        <v>1289</v>
      </c>
      <c r="G6112" t="s">
        <v>396</v>
      </c>
      <c r="H6112" t="str">
        <f>VLOOKUP(record[[#This Row],[ProcessSN]],表格2_7[],2,FALSE)</f>
        <v>30-4118-018-550</v>
      </c>
      <c r="I6112" t="str">
        <f>VLOOKUP(record[[#This Row],[ProcessSN]],表格2_7[],3,FALSE)</f>
        <v>#08PICK</v>
      </c>
      <c r="J6112" t="s">
        <v>582</v>
      </c>
      <c r="K6112" s="195">
        <v>45996.425682870373</v>
      </c>
      <c r="L6112">
        <v>356</v>
      </c>
      <c r="M6112">
        <v>0</v>
      </c>
      <c r="N6112" s="98" t="str">
        <f>IF(record[[#This Row],[Memo]]="Browser:chrome os:android","平板報工",IF(record[[#This Row],[Memo]]=0,"委外",record[[#This Row],[Memo]]))</f>
        <v/>
      </c>
      <c r="O6112" t="s">
        <v>58</v>
      </c>
      <c r="P6112" t="s">
        <v>186</v>
      </c>
      <c r="Q6112" t="s">
        <v>58</v>
      </c>
      <c r="R6112" t="str">
        <f>IFERROR(VLOOKUP(record[[#This Row],[PCUSTID]],廠商[],2,FALSE),"")</f>
        <v/>
      </c>
      <c r="S6112" t="str">
        <f>VLOOKUP(record[[#This Row],[employeeID]],員工[],2,FALSE)</f>
        <v>許文姍</v>
      </c>
    </row>
    <row r="6113" spans="6:19" hidden="1" x14ac:dyDescent="0.25">
      <c r="F6113" t="s">
        <v>1253</v>
      </c>
      <c r="G6113" t="s">
        <v>420</v>
      </c>
      <c r="H6113" t="str">
        <f>VLOOKUP(record[[#This Row],[ProcessSN]],表格2_7[],2,FALSE)</f>
        <v>30-4118-018-5XX</v>
      </c>
      <c r="I6113" t="str">
        <f>VLOOKUP(record[[#This Row],[ProcessSN]],表格2_7[],3,FALSE)</f>
        <v>#07STOCK</v>
      </c>
      <c r="J6113" t="s">
        <v>592</v>
      </c>
      <c r="K6113" s="195">
        <v>45996.423541666663</v>
      </c>
      <c r="L6113">
        <v>330</v>
      </c>
      <c r="M6113">
        <v>0</v>
      </c>
      <c r="N6113" s="98" t="str">
        <f>IF(record[[#This Row],[Memo]]="Browser:chrome os:android","平板報工",IF(record[[#This Row],[Memo]]=0,"委外",record[[#This Row],[Memo]]))</f>
        <v/>
      </c>
      <c r="O6113" t="s">
        <v>58</v>
      </c>
      <c r="P6113" t="s">
        <v>186</v>
      </c>
      <c r="Q6113" t="s">
        <v>58</v>
      </c>
      <c r="R6113" t="str">
        <f>IFERROR(VLOOKUP(record[[#This Row],[PCUSTID]],廠商[],2,FALSE),"")</f>
        <v/>
      </c>
      <c r="S6113" t="str">
        <f>VLOOKUP(record[[#This Row],[employeeID]],員工[],2,FALSE)</f>
        <v>許文姍</v>
      </c>
    </row>
    <row r="6114" spans="6:19" hidden="1" x14ac:dyDescent="0.25">
      <c r="F6114" t="s">
        <v>1236</v>
      </c>
      <c r="G6114" t="s">
        <v>420</v>
      </c>
      <c r="H6114" t="str">
        <f>VLOOKUP(record[[#This Row],[ProcessSN]],表格2_7[],2,FALSE)</f>
        <v>30-4118-018-5XX</v>
      </c>
      <c r="I6114" t="str">
        <f>VLOOKUP(record[[#This Row],[ProcessSN]],表格2_7[],3,FALSE)</f>
        <v>#07STOCK</v>
      </c>
      <c r="J6114" t="s">
        <v>592</v>
      </c>
      <c r="K6114" s="195">
        <v>45996.423182870371</v>
      </c>
      <c r="L6114">
        <v>23</v>
      </c>
      <c r="M6114">
        <v>0</v>
      </c>
      <c r="N6114" s="98" t="str">
        <f>IF(record[[#This Row],[Memo]]="Browser:chrome os:android","平板報工",IF(record[[#This Row],[Memo]]=0,"委外",record[[#This Row],[Memo]]))</f>
        <v/>
      </c>
      <c r="O6114" t="s">
        <v>58</v>
      </c>
      <c r="P6114" t="s">
        <v>186</v>
      </c>
      <c r="Q6114" t="s">
        <v>58</v>
      </c>
      <c r="R6114" t="str">
        <f>IFERROR(VLOOKUP(record[[#This Row],[PCUSTID]],廠商[],2,FALSE),"")</f>
        <v/>
      </c>
      <c r="S6114" t="str">
        <f>VLOOKUP(record[[#This Row],[employeeID]],員工[],2,FALSE)</f>
        <v>許文姍</v>
      </c>
    </row>
    <row r="6115" spans="6:19" hidden="1" x14ac:dyDescent="0.25">
      <c r="F6115" t="s">
        <v>1189</v>
      </c>
      <c r="G6115" t="s">
        <v>420</v>
      </c>
      <c r="H6115" t="str">
        <f>VLOOKUP(record[[#This Row],[ProcessSN]],表格2_7[],2,FALSE)</f>
        <v>30-4118-018-5XX</v>
      </c>
      <c r="I6115" t="str">
        <f>VLOOKUP(record[[#This Row],[ProcessSN]],表格2_7[],3,FALSE)</f>
        <v>#07STOCK</v>
      </c>
      <c r="J6115" t="s">
        <v>592</v>
      </c>
      <c r="K6115" s="195">
        <v>45996.422974537039</v>
      </c>
      <c r="L6115">
        <v>3</v>
      </c>
      <c r="M6115">
        <v>0</v>
      </c>
      <c r="N6115" s="98" t="str">
        <f>IF(record[[#This Row],[Memo]]="Browser:chrome os:android","平板報工",IF(record[[#This Row],[Memo]]=0,"委外",record[[#This Row],[Memo]]))</f>
        <v/>
      </c>
      <c r="O6115" t="s">
        <v>58</v>
      </c>
      <c r="P6115" t="s">
        <v>186</v>
      </c>
      <c r="Q6115" t="s">
        <v>58</v>
      </c>
      <c r="R6115" t="str">
        <f>IFERROR(VLOOKUP(record[[#This Row],[PCUSTID]],廠商[],2,FALSE),"")</f>
        <v/>
      </c>
      <c r="S6115" t="str">
        <f>VLOOKUP(record[[#This Row],[employeeID]],員工[],2,FALSE)</f>
        <v>許文姍</v>
      </c>
    </row>
    <row r="6116" spans="6:19" hidden="1" x14ac:dyDescent="0.25">
      <c r="F6116" t="s">
        <v>1236</v>
      </c>
      <c r="G6116" t="s">
        <v>419</v>
      </c>
      <c r="H6116" t="str">
        <f>VLOOKUP(record[[#This Row],[ProcessSN]],表格2_7[],2,FALSE)</f>
        <v>30-4118-018-5XX</v>
      </c>
      <c r="I6116" t="str">
        <f>VLOOKUP(record[[#This Row],[ProcessSN]],表格2_7[],3,FALSE)</f>
        <v>#07QC</v>
      </c>
      <c r="J6116" t="s">
        <v>589</v>
      </c>
      <c r="K6116" s="195">
        <v>45996.417569444442</v>
      </c>
      <c r="L6116">
        <v>23</v>
      </c>
      <c r="M6116">
        <v>0</v>
      </c>
      <c r="N6116" s="98" t="str">
        <f>IF(record[[#This Row],[Memo]]="Browser:chrome os:android","平板報工",IF(record[[#This Row],[Memo]]=0,"委外",record[[#This Row],[Memo]]))</f>
        <v/>
      </c>
      <c r="O6116" t="s">
        <v>58</v>
      </c>
      <c r="P6116" t="s">
        <v>141</v>
      </c>
      <c r="Q6116" t="s">
        <v>58</v>
      </c>
      <c r="R6116" t="str">
        <f>IFERROR(VLOOKUP(record[[#This Row],[PCUSTID]],廠商[],2,FALSE),"")</f>
        <v/>
      </c>
      <c r="S6116" t="str">
        <f>VLOOKUP(record[[#This Row],[employeeID]],員工[],2,FALSE)</f>
        <v>蔣梅</v>
      </c>
    </row>
    <row r="6117" spans="6:19" hidden="1" x14ac:dyDescent="0.25">
      <c r="F6117" t="s">
        <v>1209</v>
      </c>
      <c r="G6117" t="s">
        <v>470</v>
      </c>
      <c r="H6117" t="str">
        <f>VLOOKUP(record[[#This Row],[ProcessSN]],表格2_7[],2,FALSE)</f>
        <v>30-4118-018-XXX</v>
      </c>
      <c r="I6117" t="str">
        <f>VLOOKUP(record[[#This Row],[ProcessSN]],表格2_7[],3,FALSE)</f>
        <v>#02IQC</v>
      </c>
      <c r="J6117" t="s">
        <v>583</v>
      </c>
      <c r="K6117" s="195">
        <v>45996.414918981478</v>
      </c>
      <c r="L6117">
        <v>1316</v>
      </c>
      <c r="M6117">
        <v>0</v>
      </c>
      <c r="N6117" s="98" t="str">
        <f>IF(record[[#This Row],[Memo]]="Browser:chrome os:android","平板報工",IF(record[[#This Row],[Memo]]=0,"委外",record[[#This Row],[Memo]]))</f>
        <v/>
      </c>
      <c r="O6117" t="s">
        <v>58</v>
      </c>
      <c r="P6117" t="s">
        <v>109</v>
      </c>
      <c r="Q6117" t="s">
        <v>58</v>
      </c>
      <c r="R6117" t="str">
        <f>IFERROR(VLOOKUP(record[[#This Row],[PCUSTID]],廠商[],2,FALSE),"")</f>
        <v/>
      </c>
      <c r="S6117" t="str">
        <f>VLOOKUP(record[[#This Row],[employeeID]],員工[],2,FALSE)</f>
        <v>裴氏璧鳳</v>
      </c>
    </row>
    <row r="6118" spans="6:19" hidden="1" x14ac:dyDescent="0.25">
      <c r="F6118" t="s">
        <v>1253</v>
      </c>
      <c r="G6118" t="s">
        <v>419</v>
      </c>
      <c r="H6118" t="str">
        <f>VLOOKUP(record[[#This Row],[ProcessSN]],表格2_7[],2,FALSE)</f>
        <v>30-4118-018-5XX</v>
      </c>
      <c r="I6118" t="str">
        <f>VLOOKUP(record[[#This Row],[ProcessSN]],表格2_7[],3,FALSE)</f>
        <v>#07QC</v>
      </c>
      <c r="J6118" t="s">
        <v>589</v>
      </c>
      <c r="K6118" s="195">
        <v>45996.414710648147</v>
      </c>
      <c r="L6118">
        <v>330</v>
      </c>
      <c r="M6118">
        <v>0</v>
      </c>
      <c r="N6118" s="98" t="str">
        <f>IF(record[[#This Row],[Memo]]="Browser:chrome os:android","平板報工",IF(record[[#This Row],[Memo]]=0,"委外",record[[#This Row],[Memo]]))</f>
        <v/>
      </c>
      <c r="O6118" t="s">
        <v>58</v>
      </c>
      <c r="P6118" t="s">
        <v>141</v>
      </c>
      <c r="Q6118" t="s">
        <v>58</v>
      </c>
      <c r="R6118" t="str">
        <f>IFERROR(VLOOKUP(record[[#This Row],[PCUSTID]],廠商[],2,FALSE),"")</f>
        <v/>
      </c>
      <c r="S6118" t="str">
        <f>VLOOKUP(record[[#This Row],[employeeID]],員工[],2,FALSE)</f>
        <v>蔣梅</v>
      </c>
    </row>
    <row r="6119" spans="6:19" hidden="1" x14ac:dyDescent="0.25">
      <c r="F6119" t="s">
        <v>1189</v>
      </c>
      <c r="G6119" t="s">
        <v>419</v>
      </c>
      <c r="H6119" t="str">
        <f>VLOOKUP(record[[#This Row],[ProcessSN]],表格2_7[],2,FALSE)</f>
        <v>30-4118-018-5XX</v>
      </c>
      <c r="I6119" t="str">
        <f>VLOOKUP(record[[#This Row],[ProcessSN]],表格2_7[],3,FALSE)</f>
        <v>#07QC</v>
      </c>
      <c r="J6119" t="s">
        <v>589</v>
      </c>
      <c r="K6119" s="195">
        <v>45996.414398148147</v>
      </c>
      <c r="L6119">
        <v>0</v>
      </c>
      <c r="M6119">
        <v>27</v>
      </c>
      <c r="N6119" s="98" t="str">
        <f>IF(record[[#This Row],[Memo]]="Browser:chrome os:android","平板報工",IF(record[[#This Row],[Memo]]=0,"委外",record[[#This Row],[Memo]]))</f>
        <v/>
      </c>
      <c r="O6119" t="s">
        <v>58</v>
      </c>
      <c r="P6119" t="s">
        <v>141</v>
      </c>
      <c r="Q6119" t="s">
        <v>58</v>
      </c>
      <c r="R6119" t="str">
        <f>IFERROR(VLOOKUP(record[[#This Row],[PCUSTID]],廠商[],2,FALSE),"")</f>
        <v/>
      </c>
      <c r="S6119" t="str">
        <f>VLOOKUP(record[[#This Row],[employeeID]],員工[],2,FALSE)</f>
        <v>蔣梅</v>
      </c>
    </row>
    <row r="6120" spans="6:19" hidden="1" x14ac:dyDescent="0.25">
      <c r="F6120" t="s">
        <v>1189</v>
      </c>
      <c r="G6120" t="s">
        <v>419</v>
      </c>
      <c r="H6120" t="str">
        <f>VLOOKUP(record[[#This Row],[ProcessSN]],表格2_7[],2,FALSE)</f>
        <v>30-4118-018-5XX</v>
      </c>
      <c r="I6120" t="str">
        <f>VLOOKUP(record[[#This Row],[ProcessSN]],表格2_7[],3,FALSE)</f>
        <v>#07QC</v>
      </c>
      <c r="J6120" t="s">
        <v>589</v>
      </c>
      <c r="K6120" s="195">
        <v>45996.414212962962</v>
      </c>
      <c r="L6120">
        <v>3</v>
      </c>
      <c r="M6120">
        <v>0</v>
      </c>
      <c r="N6120" s="98" t="str">
        <f>IF(record[[#This Row],[Memo]]="Browser:chrome os:android","平板報工",IF(record[[#This Row],[Memo]]=0,"委外",record[[#This Row],[Memo]]))</f>
        <v>覆回</v>
      </c>
      <c r="O6120" t="s">
        <v>682</v>
      </c>
      <c r="P6120" t="s">
        <v>141</v>
      </c>
      <c r="Q6120" t="s">
        <v>58</v>
      </c>
      <c r="R6120" t="str">
        <f>IFERROR(VLOOKUP(record[[#This Row],[PCUSTID]],廠商[],2,FALSE),"")</f>
        <v/>
      </c>
      <c r="S6120" t="str">
        <f>VLOOKUP(record[[#This Row],[employeeID]],員工[],2,FALSE)</f>
        <v>蔣梅</v>
      </c>
    </row>
    <row r="6121" spans="6:19" hidden="1" x14ac:dyDescent="0.25">
      <c r="F6121" t="s">
        <v>1209</v>
      </c>
      <c r="G6121" t="s">
        <v>469</v>
      </c>
      <c r="H6121" t="str">
        <f>VLOOKUP(record[[#This Row],[ProcessSN]],表格2_7[],2,FALSE)</f>
        <v>30-4118-018-XXX</v>
      </c>
      <c r="I6121" t="str">
        <f>VLOOKUP(record[[#This Row],[ProcessSN]],表格2_7[],3,FALSE)</f>
        <v>#02RCV</v>
      </c>
      <c r="J6121" t="s">
        <v>591</v>
      </c>
      <c r="K6121" s="195">
        <v>45996.400324074071</v>
      </c>
      <c r="L6121">
        <v>1316</v>
      </c>
      <c r="M6121">
        <v>0</v>
      </c>
      <c r="N6121" s="98" t="str">
        <f>IF(record[[#This Row],[Memo]]="Browser:chrome os:android","平板報工",IF(record[[#This Row],[Memo]]=0,"委外",record[[#This Row],[Memo]]))</f>
        <v/>
      </c>
      <c r="O6121" t="s">
        <v>58</v>
      </c>
      <c r="P6121" t="s">
        <v>186</v>
      </c>
      <c r="Q6121" t="s">
        <v>58</v>
      </c>
      <c r="R6121" t="str">
        <f>IFERROR(VLOOKUP(record[[#This Row],[PCUSTID]],廠商[],2,FALSE),"")</f>
        <v/>
      </c>
      <c r="S6121" t="str">
        <f>VLOOKUP(record[[#This Row],[employeeID]],員工[],2,FALSE)</f>
        <v>許文姍</v>
      </c>
    </row>
    <row r="6122" spans="6:19" hidden="1" x14ac:dyDescent="0.25">
      <c r="F6122" t="s">
        <v>1275</v>
      </c>
      <c r="G6122" t="s">
        <v>416</v>
      </c>
      <c r="H6122" t="str">
        <f>VLOOKUP(record[[#This Row],[ProcessSN]],表格2_7[],2,FALSE)</f>
        <v>30-4118-018-5XX</v>
      </c>
      <c r="I6122" t="str">
        <f>VLOOKUP(record[[#This Row],[ProcessSN]],表格2_7[],3,FALSE)</f>
        <v>#05</v>
      </c>
      <c r="J6122" t="s">
        <v>588</v>
      </c>
      <c r="K6122" s="195">
        <v>45996.312777777777</v>
      </c>
      <c r="L6122">
        <v>150</v>
      </c>
      <c r="M6122">
        <v>0</v>
      </c>
      <c r="N6122" s="98" t="str">
        <f>IF(record[[#This Row],[Memo]]="Browser:chrome os:android","平板報工",IF(record[[#This Row],[Memo]]=0,"委外",record[[#This Row],[Memo]]))</f>
        <v/>
      </c>
      <c r="O6122" t="s">
        <v>58</v>
      </c>
      <c r="P6122" t="s">
        <v>843</v>
      </c>
      <c r="Q6122" t="s">
        <v>58</v>
      </c>
      <c r="R6122" t="str">
        <f>IFERROR(VLOOKUP(record[[#This Row],[PCUSTID]],廠商[],2,FALSE),"")</f>
        <v/>
      </c>
      <c r="S6122" t="str">
        <f>VLOOKUP(record[[#This Row],[employeeID]],員工[],2,FALSE)</f>
        <v>張楚承</v>
      </c>
    </row>
    <row r="6123" spans="6:19" hidden="1" x14ac:dyDescent="0.25">
      <c r="F6123" t="s">
        <v>1253</v>
      </c>
      <c r="G6123" t="s">
        <v>416</v>
      </c>
      <c r="H6123" t="str">
        <f>VLOOKUP(record[[#This Row],[ProcessSN]],表格2_7[],2,FALSE)</f>
        <v>30-4118-018-5XX</v>
      </c>
      <c r="I6123" t="str">
        <f>VLOOKUP(record[[#This Row],[ProcessSN]],表格2_7[],3,FALSE)</f>
        <v>#05</v>
      </c>
      <c r="J6123" t="s">
        <v>588</v>
      </c>
      <c r="K6123" s="195">
        <v>45996.3125</v>
      </c>
      <c r="L6123">
        <v>86</v>
      </c>
      <c r="M6123">
        <v>0</v>
      </c>
      <c r="N6123" s="98" t="str">
        <f>IF(record[[#This Row],[Memo]]="Browser:chrome os:android","平板報工",IF(record[[#This Row],[Memo]]=0,"委外",record[[#This Row],[Memo]]))</f>
        <v/>
      </c>
      <c r="O6123" t="s">
        <v>58</v>
      </c>
      <c r="P6123" t="s">
        <v>843</v>
      </c>
      <c r="Q6123" t="s">
        <v>58</v>
      </c>
      <c r="R6123" t="str">
        <f>IFERROR(VLOOKUP(record[[#This Row],[PCUSTID]],廠商[],2,FALSE),"")</f>
        <v/>
      </c>
      <c r="S6123" t="str">
        <f>VLOOKUP(record[[#This Row],[employeeID]],員工[],2,FALSE)</f>
        <v>張楚承</v>
      </c>
    </row>
    <row r="6124" spans="6:19" hidden="1" x14ac:dyDescent="0.25">
      <c r="F6124" t="s">
        <v>1253</v>
      </c>
      <c r="G6124" t="s">
        <v>417</v>
      </c>
      <c r="H6124" t="str">
        <f>VLOOKUP(record[[#This Row],[ProcessSN]],表格2_7[],2,FALSE)</f>
        <v>30-4118-018-5XX</v>
      </c>
      <c r="I6124" t="str">
        <f>VLOOKUP(record[[#This Row],[ProcessSN]],表格2_7[],3,FALSE)</f>
        <v>#06</v>
      </c>
      <c r="J6124" t="s">
        <v>593</v>
      </c>
      <c r="K6124" s="195">
        <v>45996.311585648145</v>
      </c>
      <c r="L6124">
        <v>131</v>
      </c>
      <c r="M6124">
        <v>0</v>
      </c>
      <c r="N6124" s="98" t="str">
        <f>IF(record[[#This Row],[Memo]]="Browser:chrome os:android","平板報工",IF(record[[#This Row],[Memo]]=0,"委外",record[[#This Row],[Memo]]))</f>
        <v/>
      </c>
      <c r="O6124" t="s">
        <v>58</v>
      </c>
      <c r="P6124" t="s">
        <v>180</v>
      </c>
      <c r="Q6124" t="s">
        <v>58</v>
      </c>
      <c r="R6124" t="str">
        <f>IFERROR(VLOOKUP(record[[#This Row],[PCUSTID]],廠商[],2,FALSE),"")</f>
        <v/>
      </c>
      <c r="S6124" t="str">
        <f>VLOOKUP(record[[#This Row],[employeeID]],員工[],2,FALSE)</f>
        <v>黎功江</v>
      </c>
    </row>
    <row r="6125" spans="6:19" hidden="1" x14ac:dyDescent="0.25">
      <c r="F6125" t="s">
        <v>1275</v>
      </c>
      <c r="G6125" t="s">
        <v>415</v>
      </c>
      <c r="H6125" t="str">
        <f>VLOOKUP(record[[#This Row],[ProcessSN]],表格2_7[],2,FALSE)</f>
        <v>30-4118-018-5XX</v>
      </c>
      <c r="I6125" t="str">
        <f>VLOOKUP(record[[#This Row],[ProcessSN]],表格2_7[],3,FALSE)</f>
        <v>#04</v>
      </c>
      <c r="J6125" t="s">
        <v>588</v>
      </c>
      <c r="K6125" s="195">
        <v>45996.309236111112</v>
      </c>
      <c r="L6125">
        <v>132</v>
      </c>
      <c r="M6125">
        <v>0</v>
      </c>
      <c r="N6125" s="98" t="str">
        <f>IF(record[[#This Row],[Memo]]="Browser:chrome os:android","平板報工",IF(record[[#This Row],[Memo]]=0,"委外",record[[#This Row],[Memo]]))</f>
        <v/>
      </c>
      <c r="O6125" t="s">
        <v>58</v>
      </c>
      <c r="P6125" t="s">
        <v>135</v>
      </c>
      <c r="Q6125" t="s">
        <v>58</v>
      </c>
      <c r="R6125" t="str">
        <f>IFERROR(VLOOKUP(record[[#This Row],[PCUSTID]],廠商[],2,FALSE),"")</f>
        <v/>
      </c>
      <c r="S6125" t="str">
        <f>VLOOKUP(record[[#This Row],[employeeID]],員工[],2,FALSE)</f>
        <v>阮士文</v>
      </c>
    </row>
    <row r="6126" spans="6:19" hidden="1" x14ac:dyDescent="0.25">
      <c r="F6126" t="s">
        <v>1275</v>
      </c>
      <c r="G6126" t="s">
        <v>415</v>
      </c>
      <c r="H6126" t="str">
        <f>VLOOKUP(record[[#This Row],[ProcessSN]],表格2_7[],2,FALSE)</f>
        <v>30-4118-018-5XX</v>
      </c>
      <c r="I6126" t="str">
        <f>VLOOKUP(record[[#This Row],[ProcessSN]],表格2_7[],3,FALSE)</f>
        <v>#04</v>
      </c>
      <c r="J6126" t="s">
        <v>588</v>
      </c>
      <c r="K6126" s="195">
        <v>45995.96435185185</v>
      </c>
      <c r="L6126">
        <v>135</v>
      </c>
      <c r="M6126">
        <v>0</v>
      </c>
      <c r="N6126" s="98" t="str">
        <f>IF(record[[#This Row],[Memo]]="Browser:chrome os:android","平板報工",IF(record[[#This Row],[Memo]]=0,"委外",record[[#This Row],[Memo]]))</f>
        <v/>
      </c>
      <c r="O6126" t="s">
        <v>58</v>
      </c>
      <c r="P6126" t="s">
        <v>89</v>
      </c>
      <c r="Q6126" t="s">
        <v>58</v>
      </c>
      <c r="R6126" t="str">
        <f>IFERROR(VLOOKUP(record[[#This Row],[PCUSTID]],廠商[],2,FALSE),"")</f>
        <v/>
      </c>
      <c r="S6126" t="str">
        <f>VLOOKUP(record[[#This Row],[employeeID]],員工[],2,FALSE)</f>
        <v>李美蓮</v>
      </c>
    </row>
    <row r="6127" spans="6:19" hidden="1" x14ac:dyDescent="0.25">
      <c r="F6127" t="s">
        <v>1253</v>
      </c>
      <c r="G6127" t="s">
        <v>417</v>
      </c>
      <c r="H6127" t="str">
        <f>VLOOKUP(record[[#This Row],[ProcessSN]],表格2_7[],2,FALSE)</f>
        <v>30-4118-018-5XX</v>
      </c>
      <c r="I6127" t="str">
        <f>VLOOKUP(record[[#This Row],[ProcessSN]],表格2_7[],3,FALSE)</f>
        <v>#06</v>
      </c>
      <c r="J6127" t="s">
        <v>593</v>
      </c>
      <c r="K6127" s="195">
        <v>45995.962939814817</v>
      </c>
      <c r="L6127">
        <v>133</v>
      </c>
      <c r="M6127">
        <v>0</v>
      </c>
      <c r="N6127" s="98" t="str">
        <f>IF(record[[#This Row],[Memo]]="Browser:chrome os:android","平板報工",IF(record[[#This Row],[Memo]]=0,"委外",record[[#This Row],[Memo]]))</f>
        <v/>
      </c>
      <c r="O6127" t="s">
        <v>58</v>
      </c>
      <c r="P6127" t="s">
        <v>176</v>
      </c>
      <c r="Q6127" t="s">
        <v>58</v>
      </c>
      <c r="R6127" t="str">
        <f>IFERROR(VLOOKUP(record[[#This Row],[PCUSTID]],廠商[],2,FALSE),"")</f>
        <v/>
      </c>
      <c r="S6127" t="str">
        <f>VLOOKUP(record[[#This Row],[employeeID]],員工[],2,FALSE)</f>
        <v>郭政雄</v>
      </c>
    </row>
    <row r="6128" spans="6:19" hidden="1" x14ac:dyDescent="0.25">
      <c r="F6128" t="s">
        <v>739</v>
      </c>
      <c r="G6128" t="s">
        <v>428</v>
      </c>
      <c r="H6128" t="str">
        <f>VLOOKUP(record[[#This Row],[ProcessSN]],表格2_7[],2,FALSE)</f>
        <v>30-4118-018-600</v>
      </c>
      <c r="I6128" t="str">
        <f>VLOOKUP(record[[#This Row],[ProcessSN]],表格2_7[],3,FALSE)</f>
        <v>#100SHIP</v>
      </c>
      <c r="J6128" t="s">
        <v>600</v>
      </c>
      <c r="K6128" s="195">
        <v>45995.830439814818</v>
      </c>
      <c r="L6128">
        <v>7</v>
      </c>
      <c r="M6128">
        <v>0</v>
      </c>
      <c r="N6128" s="98" t="str">
        <f>IF(record[[#This Row],[Memo]]="Browser:chrome os:android","平板報工",IF(record[[#This Row],[Memo]]=0,"委外",record[[#This Row],[Memo]]))</f>
        <v>1.5陽極露白</v>
      </c>
      <c r="O6128" t="s">
        <v>1288</v>
      </c>
      <c r="P6128" t="s">
        <v>113</v>
      </c>
      <c r="Q6128" t="s">
        <v>58</v>
      </c>
      <c r="R6128" t="str">
        <f>IFERROR(VLOOKUP(record[[#This Row],[PCUSTID]],廠商[],2,FALSE),"")</f>
        <v/>
      </c>
      <c r="S6128" t="str">
        <f>VLOOKUP(record[[#This Row],[employeeID]],員工[],2,FALSE)</f>
        <v>王奕蓁</v>
      </c>
    </row>
    <row r="6129" spans="6:19" hidden="1" x14ac:dyDescent="0.25">
      <c r="F6129" t="s">
        <v>820</v>
      </c>
      <c r="G6129" t="s">
        <v>428</v>
      </c>
      <c r="H6129" t="str">
        <f>VLOOKUP(record[[#This Row],[ProcessSN]],表格2_7[],2,FALSE)</f>
        <v>30-4118-018-600</v>
      </c>
      <c r="I6129" t="str">
        <f>VLOOKUP(record[[#This Row],[ProcessSN]],表格2_7[],3,FALSE)</f>
        <v>#100SHIP</v>
      </c>
      <c r="J6129" t="s">
        <v>600</v>
      </c>
      <c r="K6129" s="195">
        <v>45995.823784722219</v>
      </c>
      <c r="L6129">
        <v>7</v>
      </c>
      <c r="M6129">
        <v>0</v>
      </c>
      <c r="N6129" s="98" t="str">
        <f>IF(record[[#This Row],[Memo]]="Browser:chrome os:android","平板報工",IF(record[[#This Row],[Memo]]=0,"委外",record[[#This Row],[Memo]]))</f>
        <v>1.5陽極露白</v>
      </c>
      <c r="O6129" t="s">
        <v>1288</v>
      </c>
      <c r="P6129" t="s">
        <v>113</v>
      </c>
      <c r="Q6129" t="s">
        <v>58</v>
      </c>
      <c r="R6129" t="str">
        <f>IFERROR(VLOOKUP(record[[#This Row],[PCUSTID]],廠商[],2,FALSE),"")</f>
        <v/>
      </c>
      <c r="S6129" t="str">
        <f>VLOOKUP(record[[#This Row],[employeeID]],員工[],2,FALSE)</f>
        <v>王奕蓁</v>
      </c>
    </row>
    <row r="6130" spans="6:19" hidden="1" x14ac:dyDescent="0.25">
      <c r="F6130" t="s">
        <v>820</v>
      </c>
      <c r="G6130" t="s">
        <v>427</v>
      </c>
      <c r="H6130" t="str">
        <f>VLOOKUP(record[[#This Row],[ProcessSN]],表格2_7[],2,FALSE)</f>
        <v>30-4118-018-600</v>
      </c>
      <c r="I6130" t="str">
        <f>VLOOKUP(record[[#This Row],[ProcessSN]],表格2_7[],3,FALSE)</f>
        <v>#100STOCK</v>
      </c>
      <c r="J6130" t="s">
        <v>592</v>
      </c>
      <c r="K6130" s="195">
        <v>45995.823645833334</v>
      </c>
      <c r="L6130">
        <v>7</v>
      </c>
      <c r="M6130">
        <v>0</v>
      </c>
      <c r="N6130" s="98" t="str">
        <f>IF(record[[#This Row],[Memo]]="Browser:chrome os:android","平板報工",IF(record[[#This Row],[Memo]]=0,"委外",record[[#This Row],[Memo]]))</f>
        <v>1.5陽極露白</v>
      </c>
      <c r="O6130" t="s">
        <v>1288</v>
      </c>
      <c r="P6130" t="s">
        <v>113</v>
      </c>
      <c r="Q6130" t="s">
        <v>58</v>
      </c>
      <c r="R6130" t="str">
        <f>IFERROR(VLOOKUP(record[[#This Row],[PCUSTID]],廠商[],2,FALSE),"")</f>
        <v/>
      </c>
      <c r="S6130" t="str">
        <f>VLOOKUP(record[[#This Row],[employeeID]],員工[],2,FALSE)</f>
        <v>王奕蓁</v>
      </c>
    </row>
    <row r="6131" spans="6:19" hidden="1" x14ac:dyDescent="0.25">
      <c r="F6131" t="s">
        <v>820</v>
      </c>
      <c r="G6131" t="s">
        <v>426</v>
      </c>
      <c r="H6131" t="str">
        <f>VLOOKUP(record[[#This Row],[ProcessSN]],表格2_7[],2,FALSE)</f>
        <v>30-4118-018-600</v>
      </c>
      <c r="I6131" t="str">
        <f>VLOOKUP(record[[#This Row],[ProcessSN]],表格2_7[],3,FALSE)</f>
        <v>#100OQC</v>
      </c>
      <c r="J6131" t="s">
        <v>599</v>
      </c>
      <c r="K6131" s="195">
        <v>45995.823599537034</v>
      </c>
      <c r="L6131">
        <v>7</v>
      </c>
      <c r="M6131">
        <v>0</v>
      </c>
      <c r="N6131" s="98" t="str">
        <f>IF(record[[#This Row],[Memo]]="Browser:chrome os:android","平板報工",IF(record[[#This Row],[Memo]]=0,"委外",record[[#This Row],[Memo]]))</f>
        <v>1.5陽極露白</v>
      </c>
      <c r="O6131" t="s">
        <v>1288</v>
      </c>
      <c r="P6131" t="s">
        <v>113</v>
      </c>
      <c r="Q6131" t="s">
        <v>58</v>
      </c>
      <c r="R6131" t="str">
        <f>IFERROR(VLOOKUP(record[[#This Row],[PCUSTID]],廠商[],2,FALSE),"")</f>
        <v/>
      </c>
      <c r="S6131" t="str">
        <f>VLOOKUP(record[[#This Row],[employeeID]],員工[],2,FALSE)</f>
        <v>王奕蓁</v>
      </c>
    </row>
    <row r="6132" spans="6:19" hidden="1" x14ac:dyDescent="0.25">
      <c r="F6132" t="s">
        <v>820</v>
      </c>
      <c r="G6132" t="s">
        <v>425</v>
      </c>
      <c r="H6132" t="str">
        <f>VLOOKUP(record[[#This Row],[ProcessSN]],表格2_7[],2,FALSE)</f>
        <v>30-4118-018-600</v>
      </c>
      <c r="I6132" t="str">
        <f>VLOOKUP(record[[#This Row],[ProcessSN]],表格2_7[],3,FALSE)</f>
        <v>#100</v>
      </c>
      <c r="J6132" t="s">
        <v>598</v>
      </c>
      <c r="K6132" s="195">
        <v>45995.823472222219</v>
      </c>
      <c r="L6132">
        <v>7</v>
      </c>
      <c r="M6132">
        <v>0</v>
      </c>
      <c r="N6132" s="98" t="str">
        <f>IF(record[[#This Row],[Memo]]="Browser:chrome os:android","平板報工",IF(record[[#This Row],[Memo]]=0,"委外",record[[#This Row],[Memo]]))</f>
        <v>1.5陽極露白</v>
      </c>
      <c r="O6132" t="s">
        <v>1288</v>
      </c>
      <c r="P6132" t="s">
        <v>113</v>
      </c>
      <c r="Q6132" t="s">
        <v>644</v>
      </c>
      <c r="R6132" t="str">
        <f>IFERROR(VLOOKUP(record[[#This Row],[PCUSTID]],廠商[],2,FALSE),"")</f>
        <v/>
      </c>
      <c r="S6132" t="str">
        <f>VLOOKUP(record[[#This Row],[employeeID]],員工[],2,FALSE)</f>
        <v>王奕蓁</v>
      </c>
    </row>
    <row r="6133" spans="6:19" hidden="1" x14ac:dyDescent="0.25">
      <c r="F6133" t="s">
        <v>820</v>
      </c>
      <c r="G6133" t="s">
        <v>424</v>
      </c>
      <c r="H6133" t="str">
        <f>VLOOKUP(record[[#This Row],[ProcessSN]],表格2_7[],2,FALSE)</f>
        <v>30-4118-018-600</v>
      </c>
      <c r="I6133" t="str">
        <f>VLOOKUP(record[[#This Row],[ProcessSN]],表格2_7[],3,FALSE)</f>
        <v>#08IQC</v>
      </c>
      <c r="J6133" t="s">
        <v>583</v>
      </c>
      <c r="K6133" s="195">
        <v>45995.823333333334</v>
      </c>
      <c r="L6133">
        <v>7</v>
      </c>
      <c r="M6133">
        <v>0</v>
      </c>
      <c r="N6133" s="98" t="str">
        <f>IF(record[[#This Row],[Memo]]="Browser:chrome os:android","平板報工",IF(record[[#This Row],[Memo]]=0,"委外",record[[#This Row],[Memo]]))</f>
        <v>1.5陽極露白</v>
      </c>
      <c r="O6133" t="s">
        <v>1288</v>
      </c>
      <c r="P6133" t="s">
        <v>113</v>
      </c>
      <c r="Q6133" t="s">
        <v>58</v>
      </c>
      <c r="R6133" t="str">
        <f>IFERROR(VLOOKUP(record[[#This Row],[PCUSTID]],廠商[],2,FALSE),"")</f>
        <v/>
      </c>
      <c r="S6133" t="str">
        <f>VLOOKUP(record[[#This Row],[employeeID]],員工[],2,FALSE)</f>
        <v>王奕蓁</v>
      </c>
    </row>
    <row r="6134" spans="6:19" hidden="1" x14ac:dyDescent="0.25">
      <c r="F6134" t="s">
        <v>820</v>
      </c>
      <c r="G6134" t="s">
        <v>423</v>
      </c>
      <c r="H6134" t="str">
        <f>VLOOKUP(record[[#This Row],[ProcessSN]],表格2_7[],2,FALSE)</f>
        <v>30-4118-018-600</v>
      </c>
      <c r="I6134" t="str">
        <f>VLOOKUP(record[[#This Row],[ProcessSN]],表格2_7[],3,FALSE)</f>
        <v>#08RCV</v>
      </c>
      <c r="J6134" t="s">
        <v>591</v>
      </c>
      <c r="K6134" s="195">
        <v>45995.823182870372</v>
      </c>
      <c r="L6134">
        <v>7</v>
      </c>
      <c r="M6134">
        <v>-7</v>
      </c>
      <c r="N6134" s="98" t="str">
        <f>IF(record[[#This Row],[Memo]]="Browser:chrome os:android","平板報工",IF(record[[#This Row],[Memo]]=0,"委外",record[[#This Row],[Memo]]))</f>
        <v>1.5陽極露白</v>
      </c>
      <c r="O6134" t="s">
        <v>1288</v>
      </c>
      <c r="P6134" t="s">
        <v>113</v>
      </c>
      <c r="Q6134" t="s">
        <v>58</v>
      </c>
      <c r="R6134" t="str">
        <f>IFERROR(VLOOKUP(record[[#This Row],[PCUSTID]],廠商[],2,FALSE),"")</f>
        <v/>
      </c>
      <c r="S6134" t="str">
        <f>VLOOKUP(record[[#This Row],[employeeID]],員工[],2,FALSE)</f>
        <v>王奕蓁</v>
      </c>
    </row>
    <row r="6135" spans="6:19" hidden="1" x14ac:dyDescent="0.25">
      <c r="F6135" t="s">
        <v>739</v>
      </c>
      <c r="G6135" t="s">
        <v>427</v>
      </c>
      <c r="H6135" t="str">
        <f>VLOOKUP(record[[#This Row],[ProcessSN]],表格2_7[],2,FALSE)</f>
        <v>30-4118-018-600</v>
      </c>
      <c r="I6135" t="str">
        <f>VLOOKUP(record[[#This Row],[ProcessSN]],表格2_7[],3,FALSE)</f>
        <v>#100STOCK</v>
      </c>
      <c r="J6135" t="s">
        <v>592</v>
      </c>
      <c r="K6135" s="195">
        <v>45995.819027777776</v>
      </c>
      <c r="L6135">
        <v>7</v>
      </c>
      <c r="M6135">
        <v>0</v>
      </c>
      <c r="N6135" s="98" t="str">
        <f>IF(record[[#This Row],[Memo]]="Browser:chrome os:android","平板報工",IF(record[[#This Row],[Memo]]=0,"委外",record[[#This Row],[Memo]]))</f>
        <v>1.5陽極露白</v>
      </c>
      <c r="O6135" t="s">
        <v>1288</v>
      </c>
      <c r="P6135" t="s">
        <v>113</v>
      </c>
      <c r="Q6135" t="s">
        <v>58</v>
      </c>
      <c r="R6135" t="str">
        <f>IFERROR(VLOOKUP(record[[#This Row],[PCUSTID]],廠商[],2,FALSE),"")</f>
        <v/>
      </c>
      <c r="S6135" t="str">
        <f>VLOOKUP(record[[#This Row],[employeeID]],員工[],2,FALSE)</f>
        <v>王奕蓁</v>
      </c>
    </row>
    <row r="6136" spans="6:19" hidden="1" x14ac:dyDescent="0.25">
      <c r="F6136" t="s">
        <v>739</v>
      </c>
      <c r="G6136" t="s">
        <v>426</v>
      </c>
      <c r="H6136" t="str">
        <f>VLOOKUP(record[[#This Row],[ProcessSN]],表格2_7[],2,FALSE)</f>
        <v>30-4118-018-600</v>
      </c>
      <c r="I6136" t="str">
        <f>VLOOKUP(record[[#This Row],[ProcessSN]],表格2_7[],3,FALSE)</f>
        <v>#100OQC</v>
      </c>
      <c r="J6136" t="s">
        <v>599</v>
      </c>
      <c r="K6136" s="195">
        <v>45995.818969907406</v>
      </c>
      <c r="L6136">
        <v>7</v>
      </c>
      <c r="M6136">
        <v>0</v>
      </c>
      <c r="N6136" s="98" t="str">
        <f>IF(record[[#This Row],[Memo]]="Browser:chrome os:android","平板報工",IF(record[[#This Row],[Memo]]=0,"委外",record[[#This Row],[Memo]]))</f>
        <v>1.5陽極露白</v>
      </c>
      <c r="O6136" t="s">
        <v>1288</v>
      </c>
      <c r="P6136" t="s">
        <v>113</v>
      </c>
      <c r="Q6136" t="s">
        <v>58</v>
      </c>
      <c r="R6136" t="str">
        <f>IFERROR(VLOOKUP(record[[#This Row],[PCUSTID]],廠商[],2,FALSE),"")</f>
        <v/>
      </c>
      <c r="S6136" t="str">
        <f>VLOOKUP(record[[#This Row],[employeeID]],員工[],2,FALSE)</f>
        <v>王奕蓁</v>
      </c>
    </row>
    <row r="6137" spans="6:19" hidden="1" x14ac:dyDescent="0.25">
      <c r="F6137" t="s">
        <v>739</v>
      </c>
      <c r="G6137" t="s">
        <v>425</v>
      </c>
      <c r="H6137" t="str">
        <f>VLOOKUP(record[[#This Row],[ProcessSN]],表格2_7[],2,FALSE)</f>
        <v>30-4118-018-600</v>
      </c>
      <c r="I6137" t="str">
        <f>VLOOKUP(record[[#This Row],[ProcessSN]],表格2_7[],3,FALSE)</f>
        <v>#100</v>
      </c>
      <c r="J6137" t="s">
        <v>598</v>
      </c>
      <c r="K6137" s="195">
        <v>45995.81890046296</v>
      </c>
      <c r="L6137">
        <v>7</v>
      </c>
      <c r="M6137">
        <v>0</v>
      </c>
      <c r="N6137" s="98" t="str">
        <f>IF(record[[#This Row],[Memo]]="Browser:chrome os:android","平板報工",IF(record[[#This Row],[Memo]]=0,"委外",record[[#This Row],[Memo]]))</f>
        <v>1.5陽極露白</v>
      </c>
      <c r="O6137" t="s">
        <v>1288</v>
      </c>
      <c r="P6137" t="s">
        <v>113</v>
      </c>
      <c r="Q6137" t="s">
        <v>58</v>
      </c>
      <c r="R6137" t="str">
        <f>IFERROR(VLOOKUP(record[[#This Row],[PCUSTID]],廠商[],2,FALSE),"")</f>
        <v/>
      </c>
      <c r="S6137" t="str">
        <f>VLOOKUP(record[[#This Row],[employeeID]],員工[],2,FALSE)</f>
        <v>王奕蓁</v>
      </c>
    </row>
    <row r="6138" spans="6:19" hidden="1" x14ac:dyDescent="0.25">
      <c r="F6138" t="s">
        <v>739</v>
      </c>
      <c r="G6138" t="s">
        <v>424</v>
      </c>
      <c r="H6138" t="str">
        <f>VLOOKUP(record[[#This Row],[ProcessSN]],表格2_7[],2,FALSE)</f>
        <v>30-4118-018-600</v>
      </c>
      <c r="I6138" t="str">
        <f>VLOOKUP(record[[#This Row],[ProcessSN]],表格2_7[],3,FALSE)</f>
        <v>#08IQC</v>
      </c>
      <c r="J6138" t="s">
        <v>583</v>
      </c>
      <c r="K6138" s="195">
        <v>45995.818865740737</v>
      </c>
      <c r="L6138">
        <v>7</v>
      </c>
      <c r="M6138">
        <v>0</v>
      </c>
      <c r="N6138" s="98" t="str">
        <f>IF(record[[#This Row],[Memo]]="Browser:chrome os:android","平板報工",IF(record[[#This Row],[Memo]]=0,"委外",record[[#This Row],[Memo]]))</f>
        <v>1.5陽極露白</v>
      </c>
      <c r="O6138" t="s">
        <v>1288</v>
      </c>
      <c r="P6138" t="s">
        <v>113</v>
      </c>
      <c r="Q6138" t="s">
        <v>58</v>
      </c>
      <c r="R6138" t="str">
        <f>IFERROR(VLOOKUP(record[[#This Row],[PCUSTID]],廠商[],2,FALSE),"")</f>
        <v/>
      </c>
      <c r="S6138" t="str">
        <f>VLOOKUP(record[[#This Row],[employeeID]],員工[],2,FALSE)</f>
        <v>王奕蓁</v>
      </c>
    </row>
    <row r="6139" spans="6:19" hidden="1" x14ac:dyDescent="0.25">
      <c r="F6139" t="s">
        <v>739</v>
      </c>
      <c r="G6139" t="s">
        <v>423</v>
      </c>
      <c r="H6139" t="str">
        <f>VLOOKUP(record[[#This Row],[ProcessSN]],表格2_7[],2,FALSE)</f>
        <v>30-4118-018-600</v>
      </c>
      <c r="I6139" t="str">
        <f>VLOOKUP(record[[#This Row],[ProcessSN]],表格2_7[],3,FALSE)</f>
        <v>#08RCV</v>
      </c>
      <c r="J6139" t="s">
        <v>591</v>
      </c>
      <c r="K6139" s="195">
        <v>45995.818761574075</v>
      </c>
      <c r="L6139">
        <v>7</v>
      </c>
      <c r="M6139">
        <v>-7</v>
      </c>
      <c r="N6139" s="98" t="str">
        <f>IF(record[[#This Row],[Memo]]="Browser:chrome os:android","平板報工",IF(record[[#This Row],[Memo]]=0,"委外",record[[#This Row],[Memo]]))</f>
        <v>1.5陽極露白</v>
      </c>
      <c r="O6139" t="s">
        <v>1288</v>
      </c>
      <c r="P6139" t="s">
        <v>113</v>
      </c>
      <c r="Q6139" t="s">
        <v>58</v>
      </c>
      <c r="R6139" t="str">
        <f>IFERROR(VLOOKUP(record[[#This Row],[PCUSTID]],廠商[],2,FALSE),"")</f>
        <v/>
      </c>
      <c r="S6139" t="str">
        <f>VLOOKUP(record[[#This Row],[employeeID]],員工[],2,FALSE)</f>
        <v>王奕蓁</v>
      </c>
    </row>
    <row r="6140" spans="6:19" hidden="1" x14ac:dyDescent="0.25">
      <c r="F6140" t="s">
        <v>737</v>
      </c>
      <c r="G6140" t="s">
        <v>428</v>
      </c>
      <c r="H6140" t="str">
        <f>VLOOKUP(record[[#This Row],[ProcessSN]],表格2_7[],2,FALSE)</f>
        <v>30-4118-018-600</v>
      </c>
      <c r="I6140" t="str">
        <f>VLOOKUP(record[[#This Row],[ProcessSN]],表格2_7[],3,FALSE)</f>
        <v>#100SHIP</v>
      </c>
      <c r="J6140" t="s">
        <v>600</v>
      </c>
      <c r="K6140" s="195">
        <v>45995.817210648151</v>
      </c>
      <c r="L6140">
        <v>8</v>
      </c>
      <c r="M6140">
        <v>0</v>
      </c>
      <c r="N6140" s="98" t="str">
        <f>IF(record[[#This Row],[Memo]]="Browser:chrome os:android","平板報工",IF(record[[#This Row],[Memo]]=0,"委外",record[[#This Row],[Memo]]))</f>
        <v>1.5陽極露白</v>
      </c>
      <c r="O6140" t="s">
        <v>1288</v>
      </c>
      <c r="P6140" t="s">
        <v>113</v>
      </c>
      <c r="Q6140" t="s">
        <v>58</v>
      </c>
      <c r="R6140" t="str">
        <f>IFERROR(VLOOKUP(record[[#This Row],[PCUSTID]],廠商[],2,FALSE),"")</f>
        <v/>
      </c>
      <c r="S6140" t="str">
        <f>VLOOKUP(record[[#This Row],[employeeID]],員工[],2,FALSE)</f>
        <v>王奕蓁</v>
      </c>
    </row>
    <row r="6141" spans="6:19" hidden="1" x14ac:dyDescent="0.25">
      <c r="F6141" t="s">
        <v>737</v>
      </c>
      <c r="G6141" t="s">
        <v>427</v>
      </c>
      <c r="H6141" t="str">
        <f>VLOOKUP(record[[#This Row],[ProcessSN]],表格2_7[],2,FALSE)</f>
        <v>30-4118-018-600</v>
      </c>
      <c r="I6141" t="str">
        <f>VLOOKUP(record[[#This Row],[ProcessSN]],表格2_7[],3,FALSE)</f>
        <v>#100STOCK</v>
      </c>
      <c r="J6141" t="s">
        <v>592</v>
      </c>
      <c r="K6141" s="195">
        <v>45995.817071759258</v>
      </c>
      <c r="L6141">
        <v>8</v>
      </c>
      <c r="M6141">
        <v>0</v>
      </c>
      <c r="N6141" s="98" t="str">
        <f>IF(record[[#This Row],[Memo]]="Browser:chrome os:android","平板報工",IF(record[[#This Row],[Memo]]=0,"委外",record[[#This Row],[Memo]]))</f>
        <v>1.5陽極露白</v>
      </c>
      <c r="O6141" t="s">
        <v>1288</v>
      </c>
      <c r="P6141" t="s">
        <v>113</v>
      </c>
      <c r="Q6141" t="s">
        <v>58</v>
      </c>
      <c r="R6141" t="str">
        <f>IFERROR(VLOOKUP(record[[#This Row],[PCUSTID]],廠商[],2,FALSE),"")</f>
        <v/>
      </c>
      <c r="S6141" t="str">
        <f>VLOOKUP(record[[#This Row],[employeeID]],員工[],2,FALSE)</f>
        <v>王奕蓁</v>
      </c>
    </row>
    <row r="6142" spans="6:19" hidden="1" x14ac:dyDescent="0.25">
      <c r="F6142" t="s">
        <v>737</v>
      </c>
      <c r="G6142" t="s">
        <v>426</v>
      </c>
      <c r="H6142" t="str">
        <f>VLOOKUP(record[[#This Row],[ProcessSN]],表格2_7[],2,FALSE)</f>
        <v>30-4118-018-600</v>
      </c>
      <c r="I6142" t="str">
        <f>VLOOKUP(record[[#This Row],[ProcessSN]],表格2_7[],3,FALSE)</f>
        <v>#100OQC</v>
      </c>
      <c r="J6142" t="s">
        <v>599</v>
      </c>
      <c r="K6142" s="195">
        <v>45995.816932870373</v>
      </c>
      <c r="L6142">
        <v>8</v>
      </c>
      <c r="M6142">
        <v>0</v>
      </c>
      <c r="N6142" s="98" t="str">
        <f>IF(record[[#This Row],[Memo]]="Browser:chrome os:android","平板報工",IF(record[[#This Row],[Memo]]=0,"委外",record[[#This Row],[Memo]]))</f>
        <v>1.5陽極露白</v>
      </c>
      <c r="O6142" t="s">
        <v>1288</v>
      </c>
      <c r="P6142" t="s">
        <v>113</v>
      </c>
      <c r="Q6142" t="s">
        <v>58</v>
      </c>
      <c r="R6142" t="str">
        <f>IFERROR(VLOOKUP(record[[#This Row],[PCUSTID]],廠商[],2,FALSE),"")</f>
        <v/>
      </c>
      <c r="S6142" t="str">
        <f>VLOOKUP(record[[#This Row],[employeeID]],員工[],2,FALSE)</f>
        <v>王奕蓁</v>
      </c>
    </row>
    <row r="6143" spans="6:19" hidden="1" x14ac:dyDescent="0.25">
      <c r="F6143" t="s">
        <v>737</v>
      </c>
      <c r="G6143" t="s">
        <v>425</v>
      </c>
      <c r="H6143" t="str">
        <f>VLOOKUP(record[[#This Row],[ProcessSN]],表格2_7[],2,FALSE)</f>
        <v>30-4118-018-600</v>
      </c>
      <c r="I6143" t="str">
        <f>VLOOKUP(record[[#This Row],[ProcessSN]],表格2_7[],3,FALSE)</f>
        <v>#100</v>
      </c>
      <c r="J6143" t="s">
        <v>598</v>
      </c>
      <c r="K6143" s="195">
        <v>45995.816840277781</v>
      </c>
      <c r="L6143">
        <v>8</v>
      </c>
      <c r="M6143">
        <v>0</v>
      </c>
      <c r="N6143" s="98" t="str">
        <f>IF(record[[#This Row],[Memo]]="Browser:chrome os:android","平板報工",IF(record[[#This Row],[Memo]]=0,"委外",record[[#This Row],[Memo]]))</f>
        <v>1.5陽極露白</v>
      </c>
      <c r="O6143" t="s">
        <v>1288</v>
      </c>
      <c r="P6143" t="s">
        <v>113</v>
      </c>
      <c r="Q6143" t="s">
        <v>58</v>
      </c>
      <c r="R6143" t="str">
        <f>IFERROR(VLOOKUP(record[[#This Row],[PCUSTID]],廠商[],2,FALSE),"")</f>
        <v/>
      </c>
      <c r="S6143" t="str">
        <f>VLOOKUP(record[[#This Row],[employeeID]],員工[],2,FALSE)</f>
        <v>王奕蓁</v>
      </c>
    </row>
    <row r="6144" spans="6:19" hidden="1" x14ac:dyDescent="0.25">
      <c r="F6144" t="s">
        <v>737</v>
      </c>
      <c r="G6144" t="s">
        <v>424</v>
      </c>
      <c r="H6144" t="str">
        <f>VLOOKUP(record[[#This Row],[ProcessSN]],表格2_7[],2,FALSE)</f>
        <v>30-4118-018-600</v>
      </c>
      <c r="I6144" t="str">
        <f>VLOOKUP(record[[#This Row],[ProcessSN]],表格2_7[],3,FALSE)</f>
        <v>#08IQC</v>
      </c>
      <c r="J6144" t="s">
        <v>583</v>
      </c>
      <c r="K6144" s="195">
        <v>45995.816770833335</v>
      </c>
      <c r="L6144">
        <v>8</v>
      </c>
      <c r="M6144">
        <v>0</v>
      </c>
      <c r="N6144" s="98" t="str">
        <f>IF(record[[#This Row],[Memo]]="Browser:chrome os:android","平板報工",IF(record[[#This Row],[Memo]]=0,"委外",record[[#This Row],[Memo]]))</f>
        <v>1.5陽極露白</v>
      </c>
      <c r="O6144" t="s">
        <v>1288</v>
      </c>
      <c r="P6144" t="s">
        <v>113</v>
      </c>
      <c r="Q6144" t="s">
        <v>58</v>
      </c>
      <c r="R6144" t="str">
        <f>IFERROR(VLOOKUP(record[[#This Row],[PCUSTID]],廠商[],2,FALSE),"")</f>
        <v/>
      </c>
      <c r="S6144" t="str">
        <f>VLOOKUP(record[[#This Row],[employeeID]],員工[],2,FALSE)</f>
        <v>王奕蓁</v>
      </c>
    </row>
    <row r="6145" spans="6:19" hidden="1" x14ac:dyDescent="0.25">
      <c r="F6145" t="s">
        <v>737</v>
      </c>
      <c r="G6145" t="s">
        <v>423</v>
      </c>
      <c r="H6145" t="str">
        <f>VLOOKUP(record[[#This Row],[ProcessSN]],表格2_7[],2,FALSE)</f>
        <v>30-4118-018-600</v>
      </c>
      <c r="I6145" t="str">
        <f>VLOOKUP(record[[#This Row],[ProcessSN]],表格2_7[],3,FALSE)</f>
        <v>#08RCV</v>
      </c>
      <c r="J6145" t="s">
        <v>591</v>
      </c>
      <c r="K6145" s="195">
        <v>45995.816678240742</v>
      </c>
      <c r="L6145">
        <v>8</v>
      </c>
      <c r="M6145">
        <v>-8</v>
      </c>
      <c r="N6145" s="98" t="str">
        <f>IF(record[[#This Row],[Memo]]="Browser:chrome os:android","平板報工",IF(record[[#This Row],[Memo]]=0,"委外",record[[#This Row],[Memo]]))</f>
        <v>1.5陽極露白</v>
      </c>
      <c r="O6145" t="s">
        <v>1288</v>
      </c>
      <c r="P6145" t="s">
        <v>113</v>
      </c>
      <c r="R6145" t="str">
        <f>IFERROR(VLOOKUP(record[[#This Row],[PCUSTID]],廠商[],2,FALSE),"")</f>
        <v/>
      </c>
      <c r="S6145" t="str">
        <f>VLOOKUP(record[[#This Row],[employeeID]],員工[],2,FALSE)</f>
        <v>王奕蓁</v>
      </c>
    </row>
    <row r="6146" spans="6:19" hidden="1" x14ac:dyDescent="0.25">
      <c r="F6146" t="s">
        <v>718</v>
      </c>
      <c r="G6146" t="s">
        <v>428</v>
      </c>
      <c r="H6146" t="str">
        <f>VLOOKUP(record[[#This Row],[ProcessSN]],表格2_7[],2,FALSE)</f>
        <v>30-4118-018-600</v>
      </c>
      <c r="I6146" t="str">
        <f>VLOOKUP(record[[#This Row],[ProcessSN]],表格2_7[],3,FALSE)</f>
        <v>#100SHIP</v>
      </c>
      <c r="J6146" t="s">
        <v>600</v>
      </c>
      <c r="K6146" s="195">
        <v>45995.815879629627</v>
      </c>
      <c r="L6146">
        <v>3</v>
      </c>
      <c r="M6146">
        <v>0</v>
      </c>
      <c r="N6146" s="98" t="str">
        <f>IF(record[[#This Row],[Memo]]="Browser:chrome os:android","平板報工",IF(record[[#This Row],[Memo]]=0,"委外",record[[#This Row],[Memo]]))</f>
        <v>1.5陽極露白</v>
      </c>
      <c r="O6146" t="s">
        <v>1288</v>
      </c>
      <c r="P6146" t="s">
        <v>113</v>
      </c>
      <c r="Q6146" t="s">
        <v>58</v>
      </c>
      <c r="R6146" t="str">
        <f>IFERROR(VLOOKUP(record[[#This Row],[PCUSTID]],廠商[],2,FALSE),"")</f>
        <v/>
      </c>
      <c r="S6146" t="str">
        <f>VLOOKUP(record[[#This Row],[employeeID]],員工[],2,FALSE)</f>
        <v>王奕蓁</v>
      </c>
    </row>
    <row r="6147" spans="6:19" hidden="1" x14ac:dyDescent="0.25">
      <c r="F6147" t="s">
        <v>718</v>
      </c>
      <c r="G6147" t="s">
        <v>427</v>
      </c>
      <c r="H6147" t="str">
        <f>VLOOKUP(record[[#This Row],[ProcessSN]],表格2_7[],2,FALSE)</f>
        <v>30-4118-018-600</v>
      </c>
      <c r="I6147" t="str">
        <f>VLOOKUP(record[[#This Row],[ProcessSN]],表格2_7[],3,FALSE)</f>
        <v>#100STOCK</v>
      </c>
      <c r="J6147" t="s">
        <v>592</v>
      </c>
      <c r="K6147" s="195">
        <v>45995.815787037034</v>
      </c>
      <c r="L6147">
        <v>3</v>
      </c>
      <c r="M6147">
        <v>0</v>
      </c>
      <c r="N6147" s="98" t="str">
        <f>IF(record[[#This Row],[Memo]]="Browser:chrome os:android","平板報工",IF(record[[#This Row],[Memo]]=0,"委外",record[[#This Row],[Memo]]))</f>
        <v>1.5陽極露白</v>
      </c>
      <c r="O6147" t="s">
        <v>1288</v>
      </c>
      <c r="P6147" t="s">
        <v>113</v>
      </c>
      <c r="Q6147" t="s">
        <v>58</v>
      </c>
      <c r="R6147" t="str">
        <f>IFERROR(VLOOKUP(record[[#This Row],[PCUSTID]],廠商[],2,FALSE),"")</f>
        <v/>
      </c>
      <c r="S6147" t="str">
        <f>VLOOKUP(record[[#This Row],[employeeID]],員工[],2,FALSE)</f>
        <v>王奕蓁</v>
      </c>
    </row>
    <row r="6148" spans="6:19" hidden="1" x14ac:dyDescent="0.25">
      <c r="F6148" t="s">
        <v>718</v>
      </c>
      <c r="G6148" t="s">
        <v>426</v>
      </c>
      <c r="H6148" t="str">
        <f>VLOOKUP(record[[#This Row],[ProcessSN]],表格2_7[],2,FALSE)</f>
        <v>30-4118-018-600</v>
      </c>
      <c r="I6148" t="str">
        <f>VLOOKUP(record[[#This Row],[ProcessSN]],表格2_7[],3,FALSE)</f>
        <v>#100OQC</v>
      </c>
      <c r="J6148" t="s">
        <v>599</v>
      </c>
      <c r="K6148" s="195">
        <v>45995.815682870372</v>
      </c>
      <c r="L6148">
        <v>3</v>
      </c>
      <c r="M6148">
        <v>0</v>
      </c>
      <c r="N6148" s="98" t="str">
        <f>IF(record[[#This Row],[Memo]]="Browser:chrome os:android","平板報工",IF(record[[#This Row],[Memo]]=0,"委外",record[[#This Row],[Memo]]))</f>
        <v>1.5陽極露白</v>
      </c>
      <c r="O6148" t="s">
        <v>1288</v>
      </c>
      <c r="P6148" t="s">
        <v>113</v>
      </c>
      <c r="Q6148" t="s">
        <v>58</v>
      </c>
      <c r="R6148" t="str">
        <f>IFERROR(VLOOKUP(record[[#This Row],[PCUSTID]],廠商[],2,FALSE),"")</f>
        <v/>
      </c>
      <c r="S6148" t="str">
        <f>VLOOKUP(record[[#This Row],[employeeID]],員工[],2,FALSE)</f>
        <v>王奕蓁</v>
      </c>
    </row>
    <row r="6149" spans="6:19" hidden="1" x14ac:dyDescent="0.25">
      <c r="F6149" t="s">
        <v>718</v>
      </c>
      <c r="G6149" t="s">
        <v>425</v>
      </c>
      <c r="H6149" t="str">
        <f>VLOOKUP(record[[#This Row],[ProcessSN]],表格2_7[],2,FALSE)</f>
        <v>30-4118-018-600</v>
      </c>
      <c r="I6149" t="str">
        <f>VLOOKUP(record[[#This Row],[ProcessSN]],表格2_7[],3,FALSE)</f>
        <v>#100</v>
      </c>
      <c r="J6149" t="s">
        <v>598</v>
      </c>
      <c r="K6149" s="195">
        <v>45995.81559027778</v>
      </c>
      <c r="L6149">
        <v>3</v>
      </c>
      <c r="M6149">
        <v>0</v>
      </c>
      <c r="N6149" s="98" t="str">
        <f>IF(record[[#This Row],[Memo]]="Browser:chrome os:android","平板報工",IF(record[[#This Row],[Memo]]=0,"委外",record[[#This Row],[Memo]]))</f>
        <v>1.5陽極露白</v>
      </c>
      <c r="O6149" t="s">
        <v>1288</v>
      </c>
      <c r="P6149" t="s">
        <v>113</v>
      </c>
      <c r="Q6149" t="s">
        <v>644</v>
      </c>
      <c r="R6149" t="str">
        <f>IFERROR(VLOOKUP(record[[#This Row],[PCUSTID]],廠商[],2,FALSE),"")</f>
        <v/>
      </c>
      <c r="S6149" t="str">
        <f>VLOOKUP(record[[#This Row],[employeeID]],員工[],2,FALSE)</f>
        <v>王奕蓁</v>
      </c>
    </row>
    <row r="6150" spans="6:19" hidden="1" x14ac:dyDescent="0.25">
      <c r="F6150" t="s">
        <v>718</v>
      </c>
      <c r="G6150" t="s">
        <v>424</v>
      </c>
      <c r="H6150" t="str">
        <f>VLOOKUP(record[[#This Row],[ProcessSN]],表格2_7[],2,FALSE)</f>
        <v>30-4118-018-600</v>
      </c>
      <c r="I6150" t="str">
        <f>VLOOKUP(record[[#This Row],[ProcessSN]],表格2_7[],3,FALSE)</f>
        <v>#08IQC</v>
      </c>
      <c r="J6150" t="s">
        <v>583</v>
      </c>
      <c r="K6150" s="195">
        <v>45995.815509259257</v>
      </c>
      <c r="L6150">
        <v>3</v>
      </c>
      <c r="M6150">
        <v>0</v>
      </c>
      <c r="N6150" s="98" t="str">
        <f>IF(record[[#This Row],[Memo]]="Browser:chrome os:android","平板報工",IF(record[[#This Row],[Memo]]=0,"委外",record[[#This Row],[Memo]]))</f>
        <v>1.5陽極露白</v>
      </c>
      <c r="O6150" t="s">
        <v>1288</v>
      </c>
      <c r="P6150" t="s">
        <v>113</v>
      </c>
      <c r="Q6150" t="s">
        <v>58</v>
      </c>
      <c r="R6150" t="str">
        <f>IFERROR(VLOOKUP(record[[#This Row],[PCUSTID]],廠商[],2,FALSE),"")</f>
        <v/>
      </c>
      <c r="S6150" t="str">
        <f>VLOOKUP(record[[#This Row],[employeeID]],員工[],2,FALSE)</f>
        <v>王奕蓁</v>
      </c>
    </row>
    <row r="6151" spans="6:19" hidden="1" x14ac:dyDescent="0.25">
      <c r="F6151" t="s">
        <v>718</v>
      </c>
      <c r="G6151" t="s">
        <v>423</v>
      </c>
      <c r="H6151" t="str">
        <f>VLOOKUP(record[[#This Row],[ProcessSN]],表格2_7[],2,FALSE)</f>
        <v>30-4118-018-600</v>
      </c>
      <c r="I6151" t="str">
        <f>VLOOKUP(record[[#This Row],[ProcessSN]],表格2_7[],3,FALSE)</f>
        <v>#08RCV</v>
      </c>
      <c r="J6151" t="s">
        <v>591</v>
      </c>
      <c r="K6151" s="195">
        <v>45995.815428240741</v>
      </c>
      <c r="L6151">
        <v>3</v>
      </c>
      <c r="M6151">
        <v>-3</v>
      </c>
      <c r="N6151" s="98" t="str">
        <f>IF(record[[#This Row],[Memo]]="Browser:chrome os:android","平板報工",IF(record[[#This Row],[Memo]]=0,"委外",record[[#This Row],[Memo]]))</f>
        <v>1.5陽極露白</v>
      </c>
      <c r="O6151" t="s">
        <v>1288</v>
      </c>
      <c r="P6151" t="s">
        <v>113</v>
      </c>
      <c r="R6151" t="str">
        <f>IFERROR(VLOOKUP(record[[#This Row],[PCUSTID]],廠商[],2,FALSE),"")</f>
        <v/>
      </c>
      <c r="S6151" t="str">
        <f>VLOOKUP(record[[#This Row],[employeeID]],員工[],2,FALSE)</f>
        <v>王奕蓁</v>
      </c>
    </row>
    <row r="6152" spans="6:19" hidden="1" x14ac:dyDescent="0.25">
      <c r="F6152" t="s">
        <v>717</v>
      </c>
      <c r="G6152" t="s">
        <v>426</v>
      </c>
      <c r="H6152" t="str">
        <f>VLOOKUP(record[[#This Row],[ProcessSN]],表格2_7[],2,FALSE)</f>
        <v>30-4118-018-600</v>
      </c>
      <c r="I6152" t="str">
        <f>VLOOKUP(record[[#This Row],[ProcessSN]],表格2_7[],3,FALSE)</f>
        <v>#100OQC</v>
      </c>
      <c r="J6152" t="s">
        <v>599</v>
      </c>
      <c r="K6152" s="195">
        <v>45995.815254629626</v>
      </c>
      <c r="L6152">
        <v>7</v>
      </c>
      <c r="M6152">
        <v>0</v>
      </c>
      <c r="N6152" s="98" t="str">
        <f>IF(record[[#This Row],[Memo]]="Browser:chrome os:android","平板報工",IF(record[[#This Row],[Memo]]=0,"委外",record[[#This Row],[Memo]]))</f>
        <v>1.5陽極露白</v>
      </c>
      <c r="O6152" t="s">
        <v>1288</v>
      </c>
      <c r="P6152" t="s">
        <v>113</v>
      </c>
      <c r="Q6152" t="s">
        <v>58</v>
      </c>
      <c r="R6152" t="str">
        <f>IFERROR(VLOOKUP(record[[#This Row],[PCUSTID]],廠商[],2,FALSE),"")</f>
        <v/>
      </c>
      <c r="S6152" t="str">
        <f>VLOOKUP(record[[#This Row],[employeeID]],員工[],2,FALSE)</f>
        <v>王奕蓁</v>
      </c>
    </row>
    <row r="6153" spans="6:19" hidden="1" x14ac:dyDescent="0.25">
      <c r="F6153" t="s">
        <v>717</v>
      </c>
      <c r="G6153" t="s">
        <v>428</v>
      </c>
      <c r="H6153" t="str">
        <f>VLOOKUP(record[[#This Row],[ProcessSN]],表格2_7[],2,FALSE)</f>
        <v>30-4118-018-600</v>
      </c>
      <c r="I6153" t="str">
        <f>VLOOKUP(record[[#This Row],[ProcessSN]],表格2_7[],3,FALSE)</f>
        <v>#100SHIP</v>
      </c>
      <c r="J6153" t="s">
        <v>600</v>
      </c>
      <c r="K6153" s="195">
        <v>45995.814756944441</v>
      </c>
      <c r="L6153">
        <v>7</v>
      </c>
      <c r="M6153">
        <v>0</v>
      </c>
      <c r="N6153" s="98" t="str">
        <f>IF(record[[#This Row],[Memo]]="Browser:chrome os:android","平板報工",IF(record[[#This Row],[Memo]]=0,"委外",record[[#This Row],[Memo]]))</f>
        <v>1.5陽極露白</v>
      </c>
      <c r="O6153" t="s">
        <v>1288</v>
      </c>
      <c r="P6153" t="s">
        <v>113</v>
      </c>
      <c r="Q6153" t="s">
        <v>58</v>
      </c>
      <c r="R6153" t="str">
        <f>IFERROR(VLOOKUP(record[[#This Row],[PCUSTID]],廠商[],2,FALSE),"")</f>
        <v/>
      </c>
      <c r="S6153" t="str">
        <f>VLOOKUP(record[[#This Row],[employeeID]],員工[],2,FALSE)</f>
        <v>王奕蓁</v>
      </c>
    </row>
    <row r="6154" spans="6:19" hidden="1" x14ac:dyDescent="0.25">
      <c r="F6154" t="s">
        <v>717</v>
      </c>
      <c r="G6154" t="s">
        <v>427</v>
      </c>
      <c r="H6154" t="str">
        <f>VLOOKUP(record[[#This Row],[ProcessSN]],表格2_7[],2,FALSE)</f>
        <v>30-4118-018-600</v>
      </c>
      <c r="I6154" t="str">
        <f>VLOOKUP(record[[#This Row],[ProcessSN]],表格2_7[],3,FALSE)</f>
        <v>#100STOCK</v>
      </c>
      <c r="J6154" t="s">
        <v>592</v>
      </c>
      <c r="K6154" s="195">
        <v>45995.814618055556</v>
      </c>
      <c r="L6154">
        <v>7</v>
      </c>
      <c r="M6154">
        <v>0</v>
      </c>
      <c r="N6154" s="98" t="str">
        <f>IF(record[[#This Row],[Memo]]="Browser:chrome os:android","平板報工",IF(record[[#This Row],[Memo]]=0,"委外",record[[#This Row],[Memo]]))</f>
        <v>1.5陽極露白</v>
      </c>
      <c r="O6154" t="s">
        <v>1288</v>
      </c>
      <c r="P6154" t="s">
        <v>113</v>
      </c>
      <c r="Q6154" t="s">
        <v>58</v>
      </c>
      <c r="R6154" t="str">
        <f>IFERROR(VLOOKUP(record[[#This Row],[PCUSTID]],廠商[],2,FALSE),"")</f>
        <v/>
      </c>
      <c r="S6154" t="str">
        <f>VLOOKUP(record[[#This Row],[employeeID]],員工[],2,FALSE)</f>
        <v>王奕蓁</v>
      </c>
    </row>
    <row r="6155" spans="6:19" hidden="1" x14ac:dyDescent="0.25">
      <c r="F6155" t="s">
        <v>717</v>
      </c>
      <c r="G6155" t="s">
        <v>425</v>
      </c>
      <c r="H6155" t="str">
        <f>VLOOKUP(record[[#This Row],[ProcessSN]],表格2_7[],2,FALSE)</f>
        <v>30-4118-018-600</v>
      </c>
      <c r="I6155" t="str">
        <f>VLOOKUP(record[[#This Row],[ProcessSN]],表格2_7[],3,FALSE)</f>
        <v>#100</v>
      </c>
      <c r="J6155" t="s">
        <v>598</v>
      </c>
      <c r="K6155" s="195">
        <v>45995.814560185187</v>
      </c>
      <c r="L6155">
        <v>7</v>
      </c>
      <c r="M6155">
        <v>0</v>
      </c>
      <c r="N6155" s="98" t="str">
        <f>IF(record[[#This Row],[Memo]]="Browser:chrome os:android","平板報工",IF(record[[#This Row],[Memo]]=0,"委外",record[[#This Row],[Memo]]))</f>
        <v>1.5陽極露白</v>
      </c>
      <c r="O6155" t="s">
        <v>1288</v>
      </c>
      <c r="P6155" t="s">
        <v>113</v>
      </c>
      <c r="Q6155" t="s">
        <v>644</v>
      </c>
      <c r="R6155" t="str">
        <f>IFERROR(VLOOKUP(record[[#This Row],[PCUSTID]],廠商[],2,FALSE),"")</f>
        <v/>
      </c>
      <c r="S6155" t="str">
        <f>VLOOKUP(record[[#This Row],[employeeID]],員工[],2,FALSE)</f>
        <v>王奕蓁</v>
      </c>
    </row>
    <row r="6156" spans="6:19" hidden="1" x14ac:dyDescent="0.25">
      <c r="F6156" t="s">
        <v>717</v>
      </c>
      <c r="G6156" t="s">
        <v>424</v>
      </c>
      <c r="H6156" t="str">
        <f>VLOOKUP(record[[#This Row],[ProcessSN]],表格2_7[],2,FALSE)</f>
        <v>30-4118-018-600</v>
      </c>
      <c r="I6156" t="str">
        <f>VLOOKUP(record[[#This Row],[ProcessSN]],表格2_7[],3,FALSE)</f>
        <v>#08IQC</v>
      </c>
      <c r="J6156" t="s">
        <v>583</v>
      </c>
      <c r="K6156" s="195">
        <v>45995.814328703702</v>
      </c>
      <c r="L6156">
        <v>7</v>
      </c>
      <c r="M6156">
        <v>0</v>
      </c>
      <c r="N6156" s="98" t="str">
        <f>IF(record[[#This Row],[Memo]]="Browser:chrome os:android","平板報工",IF(record[[#This Row],[Memo]]=0,"委外",record[[#This Row],[Memo]]))</f>
        <v>1.5陽極露白</v>
      </c>
      <c r="O6156" t="s">
        <v>1288</v>
      </c>
      <c r="P6156" t="s">
        <v>113</v>
      </c>
      <c r="Q6156" t="s">
        <v>58</v>
      </c>
      <c r="R6156" t="str">
        <f>IFERROR(VLOOKUP(record[[#This Row],[PCUSTID]],廠商[],2,FALSE),"")</f>
        <v/>
      </c>
      <c r="S6156" t="str">
        <f>VLOOKUP(record[[#This Row],[employeeID]],員工[],2,FALSE)</f>
        <v>王奕蓁</v>
      </c>
    </row>
    <row r="6157" spans="6:19" hidden="1" x14ac:dyDescent="0.25">
      <c r="F6157" t="s">
        <v>717</v>
      </c>
      <c r="G6157" t="s">
        <v>423</v>
      </c>
      <c r="H6157" t="str">
        <f>VLOOKUP(record[[#This Row],[ProcessSN]],表格2_7[],2,FALSE)</f>
        <v>30-4118-018-600</v>
      </c>
      <c r="I6157" t="str">
        <f>VLOOKUP(record[[#This Row],[ProcessSN]],表格2_7[],3,FALSE)</f>
        <v>#08RCV</v>
      </c>
      <c r="J6157" t="s">
        <v>591</v>
      </c>
      <c r="K6157" s="195">
        <v>45995.814270833333</v>
      </c>
      <c r="L6157">
        <v>7</v>
      </c>
      <c r="M6157">
        <v>-7</v>
      </c>
      <c r="N6157" s="98" t="str">
        <f>IF(record[[#This Row],[Memo]]="Browser:chrome os:android","平板報工",IF(record[[#This Row],[Memo]]=0,"委外",record[[#This Row],[Memo]]))</f>
        <v>1.5陽極露白</v>
      </c>
      <c r="O6157" t="s">
        <v>1288</v>
      </c>
      <c r="P6157" t="s">
        <v>113</v>
      </c>
      <c r="Q6157" t="s">
        <v>58</v>
      </c>
      <c r="R6157" t="str">
        <f>IFERROR(VLOOKUP(record[[#This Row],[PCUSTID]],廠商[],2,FALSE),"")</f>
        <v/>
      </c>
      <c r="S6157" t="str">
        <f>VLOOKUP(record[[#This Row],[employeeID]],員工[],2,FALSE)</f>
        <v>王奕蓁</v>
      </c>
    </row>
    <row r="6158" spans="6:19" hidden="1" x14ac:dyDescent="0.25">
      <c r="F6158" t="s">
        <v>873</v>
      </c>
      <c r="G6158" t="s">
        <v>403</v>
      </c>
      <c r="H6158" t="str">
        <f>VLOOKUP(record[[#This Row],[ProcessSN]],表格2_7[],2,FALSE)</f>
        <v>30-4118-018-550</v>
      </c>
      <c r="I6158" t="str">
        <f>VLOOKUP(record[[#This Row],[ProcessSN]],表格2_7[],3,FALSE)</f>
        <v>#100SHIP</v>
      </c>
      <c r="J6158" t="s">
        <v>600</v>
      </c>
      <c r="K6158" s="195">
        <v>45995.812488425923</v>
      </c>
      <c r="L6158">
        <v>11</v>
      </c>
      <c r="M6158">
        <v>0</v>
      </c>
      <c r="N6158" s="98" t="str">
        <f>IF(record[[#This Row],[Memo]]="Browser:chrome os:android","平板報工",IF(record[[#This Row],[Memo]]=0,"委外",record[[#This Row],[Memo]]))</f>
        <v>1.5陽極露白</v>
      </c>
      <c r="O6158" t="s">
        <v>1288</v>
      </c>
      <c r="P6158" t="s">
        <v>113</v>
      </c>
      <c r="Q6158" t="s">
        <v>58</v>
      </c>
      <c r="R6158" t="str">
        <f>IFERROR(VLOOKUP(record[[#This Row],[PCUSTID]],廠商[],2,FALSE),"")</f>
        <v/>
      </c>
      <c r="S6158" t="str">
        <f>VLOOKUP(record[[#This Row],[employeeID]],員工[],2,FALSE)</f>
        <v>王奕蓁</v>
      </c>
    </row>
    <row r="6159" spans="6:19" hidden="1" x14ac:dyDescent="0.25">
      <c r="F6159" t="s">
        <v>873</v>
      </c>
      <c r="G6159" t="s">
        <v>402</v>
      </c>
      <c r="H6159" t="str">
        <f>VLOOKUP(record[[#This Row],[ProcessSN]],表格2_7[],2,FALSE)</f>
        <v>30-4118-018-550</v>
      </c>
      <c r="I6159" t="str">
        <f>VLOOKUP(record[[#This Row],[ProcessSN]],表格2_7[],3,FALSE)</f>
        <v>#100STOCK</v>
      </c>
      <c r="J6159" t="s">
        <v>592</v>
      </c>
      <c r="K6159" s="195">
        <v>45995.812361111108</v>
      </c>
      <c r="L6159">
        <v>11</v>
      </c>
      <c r="M6159">
        <v>0</v>
      </c>
      <c r="N6159" s="98" t="str">
        <f>IF(record[[#This Row],[Memo]]="Browser:chrome os:android","平板報工",IF(record[[#This Row],[Memo]]=0,"委外",record[[#This Row],[Memo]]))</f>
        <v>1.5陽極露白</v>
      </c>
      <c r="O6159" t="s">
        <v>1288</v>
      </c>
      <c r="P6159" t="s">
        <v>113</v>
      </c>
      <c r="Q6159" t="s">
        <v>58</v>
      </c>
      <c r="R6159" t="str">
        <f>IFERROR(VLOOKUP(record[[#This Row],[PCUSTID]],廠商[],2,FALSE),"")</f>
        <v/>
      </c>
      <c r="S6159" t="str">
        <f>VLOOKUP(record[[#This Row],[employeeID]],員工[],2,FALSE)</f>
        <v>王奕蓁</v>
      </c>
    </row>
    <row r="6160" spans="6:19" hidden="1" x14ac:dyDescent="0.25">
      <c r="F6160" t="s">
        <v>873</v>
      </c>
      <c r="G6160" t="s">
        <v>401</v>
      </c>
      <c r="H6160" t="str">
        <f>VLOOKUP(record[[#This Row],[ProcessSN]],表格2_7[],2,FALSE)</f>
        <v>30-4118-018-550</v>
      </c>
      <c r="I6160" t="str">
        <f>VLOOKUP(record[[#This Row],[ProcessSN]],表格2_7[],3,FALSE)</f>
        <v>#100OQC</v>
      </c>
      <c r="J6160" t="s">
        <v>599</v>
      </c>
      <c r="K6160" s="195">
        <v>45995.812303240738</v>
      </c>
      <c r="L6160">
        <v>11</v>
      </c>
      <c r="M6160">
        <v>0</v>
      </c>
      <c r="N6160" s="98" t="str">
        <f>IF(record[[#This Row],[Memo]]="Browser:chrome os:android","平板報工",IF(record[[#This Row],[Memo]]=0,"委外",record[[#This Row],[Memo]]))</f>
        <v>1.5陽極露白</v>
      </c>
      <c r="O6160" t="s">
        <v>1288</v>
      </c>
      <c r="P6160" t="s">
        <v>113</v>
      </c>
      <c r="Q6160" t="s">
        <v>58</v>
      </c>
      <c r="R6160" t="str">
        <f>IFERROR(VLOOKUP(record[[#This Row],[PCUSTID]],廠商[],2,FALSE),"")</f>
        <v/>
      </c>
      <c r="S6160" t="str">
        <f>VLOOKUP(record[[#This Row],[employeeID]],員工[],2,FALSE)</f>
        <v>王奕蓁</v>
      </c>
    </row>
    <row r="6161" spans="6:19" hidden="1" x14ac:dyDescent="0.25">
      <c r="F6161" t="s">
        <v>873</v>
      </c>
      <c r="G6161" t="s">
        <v>400</v>
      </c>
      <c r="H6161" t="str">
        <f>VLOOKUP(record[[#This Row],[ProcessSN]],表格2_7[],2,FALSE)</f>
        <v>30-4118-018-550</v>
      </c>
      <c r="I6161" t="str">
        <f>VLOOKUP(record[[#This Row],[ProcessSN]],表格2_7[],3,FALSE)</f>
        <v>#100</v>
      </c>
      <c r="J6161" t="s">
        <v>598</v>
      </c>
      <c r="K6161" s="195">
        <v>45995.8122337963</v>
      </c>
      <c r="L6161">
        <v>11</v>
      </c>
      <c r="M6161">
        <v>-11</v>
      </c>
      <c r="N6161" s="98" t="str">
        <f>IF(record[[#This Row],[Memo]]="Browser:chrome os:android","平板報工",IF(record[[#This Row],[Memo]]=0,"委外",record[[#This Row],[Memo]]))</f>
        <v>1.5陽極露白</v>
      </c>
      <c r="O6161" t="s">
        <v>1288</v>
      </c>
      <c r="P6161" t="s">
        <v>113</v>
      </c>
      <c r="Q6161" t="s">
        <v>644</v>
      </c>
      <c r="R6161" t="str">
        <f>IFERROR(VLOOKUP(record[[#This Row],[PCUSTID]],廠商[],2,FALSE),"")</f>
        <v/>
      </c>
      <c r="S6161" t="str">
        <f>VLOOKUP(record[[#This Row],[employeeID]],員工[],2,FALSE)</f>
        <v>王奕蓁</v>
      </c>
    </row>
    <row r="6162" spans="6:19" hidden="1" x14ac:dyDescent="0.25">
      <c r="F6162" t="s">
        <v>660</v>
      </c>
      <c r="G6162" t="s">
        <v>403</v>
      </c>
      <c r="H6162" t="str">
        <f>VLOOKUP(record[[#This Row],[ProcessSN]],表格2_7[],2,FALSE)</f>
        <v>30-4118-018-550</v>
      </c>
      <c r="I6162" t="str">
        <f>VLOOKUP(record[[#This Row],[ProcessSN]],表格2_7[],3,FALSE)</f>
        <v>#100SHIP</v>
      </c>
      <c r="J6162" t="s">
        <v>600</v>
      </c>
      <c r="K6162" s="195">
        <v>45995.81108796296</v>
      </c>
      <c r="L6162">
        <v>4</v>
      </c>
      <c r="M6162">
        <v>0</v>
      </c>
      <c r="N6162" s="98" t="str">
        <f>IF(record[[#This Row],[Memo]]="Browser:chrome os:android","平板報工",IF(record[[#This Row],[Memo]]=0,"委外",record[[#This Row],[Memo]]))</f>
        <v>1.5陽極露白</v>
      </c>
      <c r="O6162" t="s">
        <v>1288</v>
      </c>
      <c r="P6162" t="s">
        <v>113</v>
      </c>
      <c r="Q6162" t="s">
        <v>58</v>
      </c>
      <c r="R6162" t="str">
        <f>IFERROR(VLOOKUP(record[[#This Row],[PCUSTID]],廠商[],2,FALSE),"")</f>
        <v/>
      </c>
      <c r="S6162" t="str">
        <f>VLOOKUP(record[[#This Row],[employeeID]],員工[],2,FALSE)</f>
        <v>王奕蓁</v>
      </c>
    </row>
    <row r="6163" spans="6:19" hidden="1" x14ac:dyDescent="0.25">
      <c r="F6163" t="s">
        <v>660</v>
      </c>
      <c r="G6163" t="s">
        <v>402</v>
      </c>
      <c r="H6163" t="str">
        <f>VLOOKUP(record[[#This Row],[ProcessSN]],表格2_7[],2,FALSE)</f>
        <v>30-4118-018-550</v>
      </c>
      <c r="I6163" t="str">
        <f>VLOOKUP(record[[#This Row],[ProcessSN]],表格2_7[],3,FALSE)</f>
        <v>#100STOCK</v>
      </c>
      <c r="J6163" t="s">
        <v>592</v>
      </c>
      <c r="K6163" s="195">
        <v>45995.810393518521</v>
      </c>
      <c r="L6163">
        <v>4</v>
      </c>
      <c r="M6163">
        <v>0</v>
      </c>
      <c r="N6163" s="98" t="str">
        <f>IF(record[[#This Row],[Memo]]="Browser:chrome os:android","平板報工",IF(record[[#This Row],[Memo]]=0,"委外",record[[#This Row],[Memo]]))</f>
        <v>1.5陽極露白</v>
      </c>
      <c r="O6163" t="s">
        <v>1288</v>
      </c>
      <c r="P6163" t="s">
        <v>113</v>
      </c>
      <c r="Q6163" t="s">
        <v>58</v>
      </c>
      <c r="R6163" t="str">
        <f>IFERROR(VLOOKUP(record[[#This Row],[PCUSTID]],廠商[],2,FALSE),"")</f>
        <v/>
      </c>
      <c r="S6163" t="str">
        <f>VLOOKUP(record[[#This Row],[employeeID]],員工[],2,FALSE)</f>
        <v>王奕蓁</v>
      </c>
    </row>
    <row r="6164" spans="6:19" hidden="1" x14ac:dyDescent="0.25">
      <c r="F6164" t="s">
        <v>660</v>
      </c>
      <c r="G6164" t="s">
        <v>401</v>
      </c>
      <c r="H6164" t="str">
        <f>VLOOKUP(record[[#This Row],[ProcessSN]],表格2_7[],2,FALSE)</f>
        <v>30-4118-018-550</v>
      </c>
      <c r="I6164" t="str">
        <f>VLOOKUP(record[[#This Row],[ProcessSN]],表格2_7[],3,FALSE)</f>
        <v>#100OQC</v>
      </c>
      <c r="J6164" t="s">
        <v>599</v>
      </c>
      <c r="K6164" s="195">
        <v>45995.810335648152</v>
      </c>
      <c r="L6164">
        <v>4</v>
      </c>
      <c r="M6164">
        <v>0</v>
      </c>
      <c r="N6164" s="98" t="str">
        <f>IF(record[[#This Row],[Memo]]="Browser:chrome os:android","平板報工",IF(record[[#This Row],[Memo]]=0,"委外",record[[#This Row],[Memo]]))</f>
        <v>1.5陽極露白</v>
      </c>
      <c r="O6164" t="s">
        <v>1288</v>
      </c>
      <c r="P6164" t="s">
        <v>113</v>
      </c>
      <c r="Q6164" t="s">
        <v>58</v>
      </c>
      <c r="R6164" t="str">
        <f>IFERROR(VLOOKUP(record[[#This Row],[PCUSTID]],廠商[],2,FALSE),"")</f>
        <v/>
      </c>
      <c r="S6164" t="str">
        <f>VLOOKUP(record[[#This Row],[employeeID]],員工[],2,FALSE)</f>
        <v>王奕蓁</v>
      </c>
    </row>
    <row r="6165" spans="6:19" hidden="1" x14ac:dyDescent="0.25">
      <c r="F6165" t="s">
        <v>660</v>
      </c>
      <c r="G6165" t="s">
        <v>400</v>
      </c>
      <c r="H6165" t="str">
        <f>VLOOKUP(record[[#This Row],[ProcessSN]],表格2_7[],2,FALSE)</f>
        <v>30-4118-018-550</v>
      </c>
      <c r="I6165" t="str">
        <f>VLOOKUP(record[[#This Row],[ProcessSN]],表格2_7[],3,FALSE)</f>
        <v>#100</v>
      </c>
      <c r="J6165" t="s">
        <v>598</v>
      </c>
      <c r="K6165" s="195">
        <v>45995.810289351852</v>
      </c>
      <c r="L6165">
        <v>4</v>
      </c>
      <c r="M6165">
        <v>0</v>
      </c>
      <c r="N6165" s="98" t="str">
        <f>IF(record[[#This Row],[Memo]]="Browser:chrome os:android","平板報工",IF(record[[#This Row],[Memo]]=0,"委外",record[[#This Row],[Memo]]))</f>
        <v>1.5陽極露白</v>
      </c>
      <c r="O6165" t="s">
        <v>1288</v>
      </c>
      <c r="P6165" t="s">
        <v>113</v>
      </c>
      <c r="Q6165" t="s">
        <v>58</v>
      </c>
      <c r="R6165" t="str">
        <f>IFERROR(VLOOKUP(record[[#This Row],[PCUSTID]],廠商[],2,FALSE),"")</f>
        <v/>
      </c>
      <c r="S6165" t="str">
        <f>VLOOKUP(record[[#This Row],[employeeID]],員工[],2,FALSE)</f>
        <v>王奕蓁</v>
      </c>
    </row>
    <row r="6166" spans="6:19" hidden="1" x14ac:dyDescent="0.25">
      <c r="F6166" t="s">
        <v>660</v>
      </c>
      <c r="G6166" t="s">
        <v>399</v>
      </c>
      <c r="H6166" t="str">
        <f>VLOOKUP(record[[#This Row],[ProcessSN]],表格2_7[],2,FALSE)</f>
        <v>30-4118-018-550</v>
      </c>
      <c r="I6166" t="str">
        <f>VLOOKUP(record[[#This Row],[ProcessSN]],表格2_7[],3,FALSE)</f>
        <v>#08IQC</v>
      </c>
      <c r="J6166" t="s">
        <v>583</v>
      </c>
      <c r="K6166" s="195">
        <v>45995.810266203705</v>
      </c>
      <c r="L6166">
        <v>4</v>
      </c>
      <c r="M6166">
        <v>0</v>
      </c>
      <c r="N6166" s="98" t="str">
        <f>IF(record[[#This Row],[Memo]]="Browser:chrome os:android","平板報工",IF(record[[#This Row],[Memo]]=0,"委外",record[[#This Row],[Memo]]))</f>
        <v>1.5陽極露白</v>
      </c>
      <c r="O6166" t="s">
        <v>1288</v>
      </c>
      <c r="P6166" t="s">
        <v>113</v>
      </c>
      <c r="Q6166" t="s">
        <v>58</v>
      </c>
      <c r="R6166" t="str">
        <f>IFERROR(VLOOKUP(record[[#This Row],[PCUSTID]],廠商[],2,FALSE),"")</f>
        <v/>
      </c>
      <c r="S6166" t="str">
        <f>VLOOKUP(record[[#This Row],[employeeID]],員工[],2,FALSE)</f>
        <v>王奕蓁</v>
      </c>
    </row>
    <row r="6167" spans="6:19" hidden="1" x14ac:dyDescent="0.25">
      <c r="F6167" t="s">
        <v>660</v>
      </c>
      <c r="G6167" t="s">
        <v>398</v>
      </c>
      <c r="H6167" t="str">
        <f>VLOOKUP(record[[#This Row],[ProcessSN]],表格2_7[],2,FALSE)</f>
        <v>30-4118-018-550</v>
      </c>
      <c r="I6167" t="str">
        <f>VLOOKUP(record[[#This Row],[ProcessSN]],表格2_7[],3,FALSE)</f>
        <v>#08RCV</v>
      </c>
      <c r="J6167" t="s">
        <v>591</v>
      </c>
      <c r="K6167" s="195">
        <v>45995.810243055559</v>
      </c>
      <c r="L6167">
        <v>4</v>
      </c>
      <c r="M6167">
        <v>-4</v>
      </c>
      <c r="N6167" s="98" t="str">
        <f>IF(record[[#This Row],[Memo]]="Browser:chrome os:android","平板報工",IF(record[[#This Row],[Memo]]=0,"委外",record[[#This Row],[Memo]]))</f>
        <v>1.5陽極露白</v>
      </c>
      <c r="O6167" t="s">
        <v>1288</v>
      </c>
      <c r="P6167" t="s">
        <v>113</v>
      </c>
      <c r="Q6167" t="s">
        <v>58</v>
      </c>
      <c r="R6167" t="str">
        <f>IFERROR(VLOOKUP(record[[#This Row],[PCUSTID]],廠商[],2,FALSE),"")</f>
        <v/>
      </c>
      <c r="S6167" t="str">
        <f>VLOOKUP(record[[#This Row],[employeeID]],員工[],2,FALSE)</f>
        <v>王奕蓁</v>
      </c>
    </row>
    <row r="6168" spans="6:19" hidden="1" x14ac:dyDescent="0.25">
      <c r="F6168" t="s">
        <v>869</v>
      </c>
      <c r="G6168" t="s">
        <v>403</v>
      </c>
      <c r="H6168" t="str">
        <f>VLOOKUP(record[[#This Row],[ProcessSN]],表格2_7[],2,FALSE)</f>
        <v>30-4118-018-550</v>
      </c>
      <c r="I6168" t="str">
        <f>VLOOKUP(record[[#This Row],[ProcessSN]],表格2_7[],3,FALSE)</f>
        <v>#100SHIP</v>
      </c>
      <c r="J6168" t="s">
        <v>600</v>
      </c>
      <c r="K6168" s="195">
        <v>45995.808796296296</v>
      </c>
      <c r="L6168">
        <v>7</v>
      </c>
      <c r="M6168">
        <v>0</v>
      </c>
      <c r="N6168" s="98" t="str">
        <f>IF(record[[#This Row],[Memo]]="Browser:chrome os:android","平板報工",IF(record[[#This Row],[Memo]]=0,"委外",record[[#This Row],[Memo]]))</f>
        <v>1.5陽極露白</v>
      </c>
      <c r="O6168" t="s">
        <v>1288</v>
      </c>
      <c r="P6168" t="s">
        <v>113</v>
      </c>
      <c r="Q6168" t="s">
        <v>58</v>
      </c>
      <c r="R6168" t="str">
        <f>IFERROR(VLOOKUP(record[[#This Row],[PCUSTID]],廠商[],2,FALSE),"")</f>
        <v/>
      </c>
      <c r="S6168" t="str">
        <f>VLOOKUP(record[[#This Row],[employeeID]],員工[],2,FALSE)</f>
        <v>王奕蓁</v>
      </c>
    </row>
    <row r="6169" spans="6:19" hidden="1" x14ac:dyDescent="0.25">
      <c r="F6169" t="s">
        <v>869</v>
      </c>
      <c r="G6169" t="s">
        <v>401</v>
      </c>
      <c r="H6169" t="str">
        <f>VLOOKUP(record[[#This Row],[ProcessSN]],表格2_7[],2,FALSE)</f>
        <v>30-4118-018-550</v>
      </c>
      <c r="I6169" t="str">
        <f>VLOOKUP(record[[#This Row],[ProcessSN]],表格2_7[],3,FALSE)</f>
        <v>#100OQC</v>
      </c>
      <c r="J6169" t="s">
        <v>599</v>
      </c>
      <c r="K6169" s="195">
        <v>45995.80810185185</v>
      </c>
      <c r="L6169">
        <v>7</v>
      </c>
      <c r="M6169">
        <v>0</v>
      </c>
      <c r="N6169" s="98" t="str">
        <f>IF(record[[#This Row],[Memo]]="Browser:chrome os:android","平板報工",IF(record[[#This Row],[Memo]]=0,"委外",record[[#This Row],[Memo]]))</f>
        <v>1.5陽極露白</v>
      </c>
      <c r="O6169" t="s">
        <v>1288</v>
      </c>
      <c r="P6169" t="s">
        <v>113</v>
      </c>
      <c r="Q6169" t="s">
        <v>58</v>
      </c>
      <c r="R6169" t="str">
        <f>IFERROR(VLOOKUP(record[[#This Row],[PCUSTID]],廠商[],2,FALSE),"")</f>
        <v/>
      </c>
      <c r="S6169" t="str">
        <f>VLOOKUP(record[[#This Row],[employeeID]],員工[],2,FALSE)</f>
        <v>王奕蓁</v>
      </c>
    </row>
    <row r="6170" spans="6:19" hidden="1" x14ac:dyDescent="0.25">
      <c r="F6170" t="s">
        <v>869</v>
      </c>
      <c r="G6170" t="s">
        <v>402</v>
      </c>
      <c r="H6170" t="str">
        <f>VLOOKUP(record[[#This Row],[ProcessSN]],表格2_7[],2,FALSE)</f>
        <v>30-4118-018-550</v>
      </c>
      <c r="I6170" t="str">
        <f>VLOOKUP(record[[#This Row],[ProcessSN]],表格2_7[],3,FALSE)</f>
        <v>#100STOCK</v>
      </c>
      <c r="J6170" t="s">
        <v>592</v>
      </c>
      <c r="K6170" s="195">
        <v>45995.80740740741</v>
      </c>
      <c r="L6170">
        <v>7</v>
      </c>
      <c r="M6170">
        <v>0</v>
      </c>
      <c r="N6170" s="98" t="str">
        <f>IF(record[[#This Row],[Memo]]="Browser:chrome os:android","平板報工",IF(record[[#This Row],[Memo]]=0,"委外",record[[#This Row],[Memo]]))</f>
        <v>1.5陽極露白</v>
      </c>
      <c r="O6170" t="s">
        <v>1288</v>
      </c>
      <c r="P6170" t="s">
        <v>113</v>
      </c>
      <c r="Q6170" t="s">
        <v>58</v>
      </c>
      <c r="R6170" t="str">
        <f>IFERROR(VLOOKUP(record[[#This Row],[PCUSTID]],廠商[],2,FALSE),"")</f>
        <v/>
      </c>
      <c r="S6170" t="str">
        <f>VLOOKUP(record[[#This Row],[employeeID]],員工[],2,FALSE)</f>
        <v>王奕蓁</v>
      </c>
    </row>
    <row r="6171" spans="6:19" hidden="1" x14ac:dyDescent="0.25">
      <c r="F6171" t="s">
        <v>869</v>
      </c>
      <c r="G6171" t="s">
        <v>400</v>
      </c>
      <c r="H6171" t="str">
        <f>VLOOKUP(record[[#This Row],[ProcessSN]],表格2_7[],2,FALSE)</f>
        <v>30-4118-018-550</v>
      </c>
      <c r="I6171" t="str">
        <f>VLOOKUP(record[[#This Row],[ProcessSN]],表格2_7[],3,FALSE)</f>
        <v>#100</v>
      </c>
      <c r="J6171" t="s">
        <v>598</v>
      </c>
      <c r="K6171" s="195">
        <v>45995.806712962964</v>
      </c>
      <c r="L6171">
        <v>7</v>
      </c>
      <c r="M6171">
        <v>-7</v>
      </c>
      <c r="N6171" s="98" t="str">
        <f>IF(record[[#This Row],[Memo]]="Browser:chrome os:android","平板報工",IF(record[[#This Row],[Memo]]=0,"委外",record[[#This Row],[Memo]]))</f>
        <v>1.5陽極露白</v>
      </c>
      <c r="O6171" t="s">
        <v>1288</v>
      </c>
      <c r="P6171" t="s">
        <v>113</v>
      </c>
      <c r="Q6171" t="s">
        <v>58</v>
      </c>
      <c r="R6171" t="str">
        <f>IFERROR(VLOOKUP(record[[#This Row],[PCUSTID]],廠商[],2,FALSE),"")</f>
        <v/>
      </c>
      <c r="S6171" t="str">
        <f>VLOOKUP(record[[#This Row],[employeeID]],員工[],2,FALSE)</f>
        <v>王奕蓁</v>
      </c>
    </row>
    <row r="6172" spans="6:19" hidden="1" x14ac:dyDescent="0.25">
      <c r="F6172" t="s">
        <v>914</v>
      </c>
      <c r="G6172" t="s">
        <v>403</v>
      </c>
      <c r="H6172" t="str">
        <f>VLOOKUP(record[[#This Row],[ProcessSN]],表格2_7[],2,FALSE)</f>
        <v>30-4118-018-550</v>
      </c>
      <c r="I6172" t="str">
        <f>VLOOKUP(record[[#This Row],[ProcessSN]],表格2_7[],3,FALSE)</f>
        <v>#100SHIP</v>
      </c>
      <c r="J6172" t="s">
        <v>600</v>
      </c>
      <c r="K6172" s="195">
        <v>45995.80636574074</v>
      </c>
      <c r="L6172">
        <v>4</v>
      </c>
      <c r="M6172">
        <v>0</v>
      </c>
      <c r="N6172" s="98" t="str">
        <f>IF(record[[#This Row],[Memo]]="Browser:chrome os:android","平板報工",IF(record[[#This Row],[Memo]]=0,"委外",record[[#This Row],[Memo]]))</f>
        <v>1.5陽極露白</v>
      </c>
      <c r="O6172" t="s">
        <v>1288</v>
      </c>
      <c r="P6172" t="s">
        <v>113</v>
      </c>
      <c r="Q6172" t="s">
        <v>58</v>
      </c>
      <c r="R6172" t="str">
        <f>IFERROR(VLOOKUP(record[[#This Row],[PCUSTID]],廠商[],2,FALSE),"")</f>
        <v/>
      </c>
      <c r="S6172" t="str">
        <f>VLOOKUP(record[[#This Row],[employeeID]],員工[],2,FALSE)</f>
        <v>王奕蓁</v>
      </c>
    </row>
    <row r="6173" spans="6:19" hidden="1" x14ac:dyDescent="0.25">
      <c r="F6173" t="s">
        <v>914</v>
      </c>
      <c r="G6173" t="s">
        <v>402</v>
      </c>
      <c r="H6173" t="str">
        <f>VLOOKUP(record[[#This Row],[ProcessSN]],表格2_7[],2,FALSE)</f>
        <v>30-4118-018-550</v>
      </c>
      <c r="I6173" t="str">
        <f>VLOOKUP(record[[#This Row],[ProcessSN]],表格2_7[],3,FALSE)</f>
        <v>#100STOCK</v>
      </c>
      <c r="J6173" t="s">
        <v>592</v>
      </c>
      <c r="K6173" s="195">
        <v>45995.805671296293</v>
      </c>
      <c r="L6173">
        <v>4</v>
      </c>
      <c r="M6173">
        <v>0</v>
      </c>
      <c r="N6173" s="98" t="str">
        <f>IF(record[[#This Row],[Memo]]="Browser:chrome os:android","平板報工",IF(record[[#This Row],[Memo]]=0,"委外",record[[#This Row],[Memo]]))</f>
        <v>1.5陽極露白</v>
      </c>
      <c r="O6173" t="s">
        <v>1288</v>
      </c>
      <c r="P6173" t="s">
        <v>113</v>
      </c>
      <c r="Q6173" t="s">
        <v>58</v>
      </c>
      <c r="R6173" t="str">
        <f>IFERROR(VLOOKUP(record[[#This Row],[PCUSTID]],廠商[],2,FALSE),"")</f>
        <v/>
      </c>
      <c r="S6173" t="str">
        <f>VLOOKUP(record[[#This Row],[employeeID]],員工[],2,FALSE)</f>
        <v>王奕蓁</v>
      </c>
    </row>
    <row r="6174" spans="6:19" hidden="1" x14ac:dyDescent="0.25">
      <c r="F6174" t="s">
        <v>914</v>
      </c>
      <c r="G6174" t="s">
        <v>401</v>
      </c>
      <c r="H6174" t="str">
        <f>VLOOKUP(record[[#This Row],[ProcessSN]],表格2_7[],2,FALSE)</f>
        <v>30-4118-018-550</v>
      </c>
      <c r="I6174" t="str">
        <f>VLOOKUP(record[[#This Row],[ProcessSN]],表格2_7[],3,FALSE)</f>
        <v>#100OQC</v>
      </c>
      <c r="J6174" t="s">
        <v>599</v>
      </c>
      <c r="K6174" s="195">
        <v>45995.804976851854</v>
      </c>
      <c r="L6174">
        <v>4</v>
      </c>
      <c r="M6174">
        <v>0</v>
      </c>
      <c r="N6174" s="98" t="str">
        <f>IF(record[[#This Row],[Memo]]="Browser:chrome os:android","平板報工",IF(record[[#This Row],[Memo]]=0,"委外",record[[#This Row],[Memo]]))</f>
        <v>1.5陽極露白</v>
      </c>
      <c r="O6174" t="s">
        <v>1288</v>
      </c>
      <c r="P6174" t="s">
        <v>113</v>
      </c>
      <c r="Q6174" t="s">
        <v>58</v>
      </c>
      <c r="R6174" t="str">
        <f>IFERROR(VLOOKUP(record[[#This Row],[PCUSTID]],廠商[],2,FALSE),"")</f>
        <v/>
      </c>
      <c r="S6174" t="str">
        <f>VLOOKUP(record[[#This Row],[employeeID]],員工[],2,FALSE)</f>
        <v>王奕蓁</v>
      </c>
    </row>
    <row r="6175" spans="6:19" hidden="1" x14ac:dyDescent="0.25">
      <c r="F6175" t="s">
        <v>914</v>
      </c>
      <c r="G6175" t="s">
        <v>400</v>
      </c>
      <c r="H6175" t="str">
        <f>VLOOKUP(record[[#This Row],[ProcessSN]],表格2_7[],2,FALSE)</f>
        <v>30-4118-018-550</v>
      </c>
      <c r="I6175" t="str">
        <f>VLOOKUP(record[[#This Row],[ProcessSN]],表格2_7[],3,FALSE)</f>
        <v>#100</v>
      </c>
      <c r="J6175" t="s">
        <v>598</v>
      </c>
      <c r="K6175" s="195">
        <v>45995.804282407407</v>
      </c>
      <c r="L6175">
        <v>4</v>
      </c>
      <c r="M6175">
        <v>-4</v>
      </c>
      <c r="N6175" s="98" t="str">
        <f>IF(record[[#This Row],[Memo]]="Browser:chrome os:android","平板報工",IF(record[[#This Row],[Memo]]=0,"委外",record[[#This Row],[Memo]]))</f>
        <v>1.5陽極露白</v>
      </c>
      <c r="O6175" t="s">
        <v>1288</v>
      </c>
      <c r="P6175" t="s">
        <v>113</v>
      </c>
      <c r="Q6175" t="s">
        <v>644</v>
      </c>
      <c r="R6175" t="str">
        <f>IFERROR(VLOOKUP(record[[#This Row],[PCUSTID]],廠商[],2,FALSE),"")</f>
        <v/>
      </c>
      <c r="S6175" t="str">
        <f>VLOOKUP(record[[#This Row],[employeeID]],員工[],2,FALSE)</f>
        <v>王奕蓁</v>
      </c>
    </row>
    <row r="6176" spans="6:19" hidden="1" x14ac:dyDescent="0.25">
      <c r="F6176" t="s">
        <v>917</v>
      </c>
      <c r="G6176" t="s">
        <v>403</v>
      </c>
      <c r="H6176" t="str">
        <f>VLOOKUP(record[[#This Row],[ProcessSN]],表格2_7[],2,FALSE)</f>
        <v>30-4118-018-550</v>
      </c>
      <c r="I6176" t="str">
        <f>VLOOKUP(record[[#This Row],[ProcessSN]],表格2_7[],3,FALSE)</f>
        <v>#100SHIP</v>
      </c>
      <c r="J6176" t="s">
        <v>600</v>
      </c>
      <c r="K6176" s="195">
        <v>45995.797835648147</v>
      </c>
      <c r="L6176">
        <v>16</v>
      </c>
      <c r="M6176">
        <v>0</v>
      </c>
      <c r="N6176" s="98" t="str">
        <f>IF(record[[#This Row],[Memo]]="Browser:chrome os:android","平板報工",IF(record[[#This Row],[Memo]]=0,"委外",record[[#This Row],[Memo]]))</f>
        <v>1.5陽極露白</v>
      </c>
      <c r="O6176" t="s">
        <v>1288</v>
      </c>
      <c r="P6176" t="s">
        <v>113</v>
      </c>
      <c r="Q6176" t="s">
        <v>58</v>
      </c>
      <c r="R6176" t="str">
        <f>IFERROR(VLOOKUP(record[[#This Row],[PCUSTID]],廠商[],2,FALSE),"")</f>
        <v/>
      </c>
      <c r="S6176" t="str">
        <f>VLOOKUP(record[[#This Row],[employeeID]],員工[],2,FALSE)</f>
        <v>王奕蓁</v>
      </c>
    </row>
    <row r="6177" spans="6:19" hidden="1" x14ac:dyDescent="0.25">
      <c r="F6177" t="s">
        <v>689</v>
      </c>
      <c r="G6177" t="s">
        <v>399</v>
      </c>
      <c r="H6177" t="str">
        <f>VLOOKUP(record[[#This Row],[ProcessSN]],表格2_7[],2,FALSE)</f>
        <v>30-4118-018-550</v>
      </c>
      <c r="I6177" t="str">
        <f>VLOOKUP(record[[#This Row],[ProcessSN]],表格2_7[],3,FALSE)</f>
        <v>#08IQC</v>
      </c>
      <c r="J6177" t="s">
        <v>583</v>
      </c>
      <c r="K6177" s="195">
        <v>45995.796851851854</v>
      </c>
      <c r="L6177">
        <v>8</v>
      </c>
      <c r="M6177">
        <v>0</v>
      </c>
      <c r="N6177" s="98" t="str">
        <f>IF(record[[#This Row],[Memo]]="Browser:chrome os:android","平板報工",IF(record[[#This Row],[Memo]]=0,"委外",record[[#This Row],[Memo]]))</f>
        <v>1.5陽極露白</v>
      </c>
      <c r="O6177" t="s">
        <v>1288</v>
      </c>
      <c r="P6177" t="s">
        <v>113</v>
      </c>
      <c r="Q6177" t="s">
        <v>58</v>
      </c>
      <c r="R6177" t="str">
        <f>IFERROR(VLOOKUP(record[[#This Row],[PCUSTID]],廠商[],2,FALSE),"")</f>
        <v/>
      </c>
      <c r="S6177" t="str">
        <f>VLOOKUP(record[[#This Row],[employeeID]],員工[],2,FALSE)</f>
        <v>王奕蓁</v>
      </c>
    </row>
    <row r="6178" spans="6:19" hidden="1" x14ac:dyDescent="0.25">
      <c r="F6178" t="s">
        <v>689</v>
      </c>
      <c r="G6178" t="s">
        <v>398</v>
      </c>
      <c r="H6178" t="str">
        <f>VLOOKUP(record[[#This Row],[ProcessSN]],表格2_7[],2,FALSE)</f>
        <v>30-4118-018-550</v>
      </c>
      <c r="I6178" t="str">
        <f>VLOOKUP(record[[#This Row],[ProcessSN]],表格2_7[],3,FALSE)</f>
        <v>#08RCV</v>
      </c>
      <c r="J6178" t="s">
        <v>591</v>
      </c>
      <c r="K6178" s="195">
        <v>45995.796435185184</v>
      </c>
      <c r="L6178">
        <v>8</v>
      </c>
      <c r="M6178">
        <v>-8</v>
      </c>
      <c r="N6178" s="98" t="str">
        <f>IF(record[[#This Row],[Memo]]="Browser:chrome os:android","平板報工",IF(record[[#This Row],[Memo]]=0,"委外",record[[#This Row],[Memo]]))</f>
        <v>1.5陽極露白</v>
      </c>
      <c r="O6178" t="s">
        <v>1288</v>
      </c>
      <c r="P6178" t="s">
        <v>113</v>
      </c>
      <c r="Q6178" t="s">
        <v>58</v>
      </c>
      <c r="R6178" t="str">
        <f>IFERROR(VLOOKUP(record[[#This Row],[PCUSTID]],廠商[],2,FALSE),"")</f>
        <v/>
      </c>
      <c r="S6178" t="str">
        <f>VLOOKUP(record[[#This Row],[employeeID]],員工[],2,FALSE)</f>
        <v>王奕蓁</v>
      </c>
    </row>
    <row r="6179" spans="6:19" hidden="1" x14ac:dyDescent="0.25">
      <c r="F6179" t="s">
        <v>917</v>
      </c>
      <c r="G6179" t="s">
        <v>402</v>
      </c>
      <c r="H6179" t="str">
        <f>VLOOKUP(record[[#This Row],[ProcessSN]],表格2_7[],2,FALSE)</f>
        <v>30-4118-018-550</v>
      </c>
      <c r="I6179" t="str">
        <f>VLOOKUP(record[[#This Row],[ProcessSN]],表格2_7[],3,FALSE)</f>
        <v>#100STOCK</v>
      </c>
      <c r="J6179" t="s">
        <v>592</v>
      </c>
      <c r="K6179" s="195">
        <v>45995.796030092592</v>
      </c>
      <c r="L6179">
        <v>16</v>
      </c>
      <c r="M6179">
        <v>0</v>
      </c>
      <c r="N6179" s="98" t="str">
        <f>IF(record[[#This Row],[Memo]]="Browser:chrome os:android","平板報工",IF(record[[#This Row],[Memo]]=0,"委外",record[[#This Row],[Memo]]))</f>
        <v>1.5陽極露白</v>
      </c>
      <c r="O6179" t="s">
        <v>1288</v>
      </c>
      <c r="P6179" t="s">
        <v>113</v>
      </c>
      <c r="Q6179" t="s">
        <v>58</v>
      </c>
      <c r="R6179" t="str">
        <f>IFERROR(VLOOKUP(record[[#This Row],[PCUSTID]],廠商[],2,FALSE),"")</f>
        <v/>
      </c>
      <c r="S6179" t="str">
        <f>VLOOKUP(record[[#This Row],[employeeID]],員工[],2,FALSE)</f>
        <v>王奕蓁</v>
      </c>
    </row>
    <row r="6180" spans="6:19" hidden="1" x14ac:dyDescent="0.25">
      <c r="F6180" t="s">
        <v>917</v>
      </c>
      <c r="G6180" t="s">
        <v>401</v>
      </c>
      <c r="H6180" t="str">
        <f>VLOOKUP(record[[#This Row],[ProcessSN]],表格2_7[],2,FALSE)</f>
        <v>30-4118-018-550</v>
      </c>
      <c r="I6180" t="str">
        <f>VLOOKUP(record[[#This Row],[ProcessSN]],表格2_7[],3,FALSE)</f>
        <v>#100OQC</v>
      </c>
      <c r="J6180" t="s">
        <v>599</v>
      </c>
      <c r="K6180" s="195">
        <v>45995.795775462961</v>
      </c>
      <c r="L6180">
        <v>16</v>
      </c>
      <c r="M6180">
        <v>0</v>
      </c>
      <c r="N6180" s="98" t="str">
        <f>IF(record[[#This Row],[Memo]]="Browser:chrome os:android","平板報工",IF(record[[#This Row],[Memo]]=0,"委外",record[[#This Row],[Memo]]))</f>
        <v>1.5陽極露白</v>
      </c>
      <c r="O6180" t="s">
        <v>1288</v>
      </c>
      <c r="P6180" t="s">
        <v>113</v>
      </c>
      <c r="Q6180" t="s">
        <v>58</v>
      </c>
      <c r="R6180" t="str">
        <f>IFERROR(VLOOKUP(record[[#This Row],[PCUSTID]],廠商[],2,FALSE),"")</f>
        <v/>
      </c>
      <c r="S6180" t="str">
        <f>VLOOKUP(record[[#This Row],[employeeID]],員工[],2,FALSE)</f>
        <v>王奕蓁</v>
      </c>
    </row>
    <row r="6181" spans="6:19" hidden="1" x14ac:dyDescent="0.25">
      <c r="F6181" t="s">
        <v>917</v>
      </c>
      <c r="G6181" t="s">
        <v>400</v>
      </c>
      <c r="H6181" t="str">
        <f>VLOOKUP(record[[#This Row],[ProcessSN]],表格2_7[],2,FALSE)</f>
        <v>30-4118-018-550</v>
      </c>
      <c r="I6181" t="str">
        <f>VLOOKUP(record[[#This Row],[ProcessSN]],表格2_7[],3,FALSE)</f>
        <v>#100</v>
      </c>
      <c r="J6181" t="s">
        <v>598</v>
      </c>
      <c r="K6181" s="195">
        <v>45995.795185185183</v>
      </c>
      <c r="L6181">
        <v>16</v>
      </c>
      <c r="M6181">
        <v>-16</v>
      </c>
      <c r="N6181" s="98" t="str">
        <f>IF(record[[#This Row],[Memo]]="Browser:chrome os:android","平板報工",IF(record[[#This Row],[Memo]]=0,"委外",record[[#This Row],[Memo]]))</f>
        <v>1.5陽極露白</v>
      </c>
      <c r="O6181" t="s">
        <v>1288</v>
      </c>
      <c r="P6181" t="s">
        <v>113</v>
      </c>
      <c r="Q6181" t="s">
        <v>58</v>
      </c>
      <c r="R6181" t="str">
        <f>IFERROR(VLOOKUP(record[[#This Row],[PCUSTID]],廠商[],2,FALSE),"")</f>
        <v/>
      </c>
      <c r="S6181" t="str">
        <f>VLOOKUP(record[[#This Row],[employeeID]],員工[],2,FALSE)</f>
        <v>王奕蓁</v>
      </c>
    </row>
    <row r="6182" spans="6:19" hidden="1" x14ac:dyDescent="0.25">
      <c r="F6182" t="s">
        <v>866</v>
      </c>
      <c r="G6182" t="s">
        <v>403</v>
      </c>
      <c r="H6182" t="str">
        <f>VLOOKUP(record[[#This Row],[ProcessSN]],表格2_7[],2,FALSE)</f>
        <v>30-4118-018-550</v>
      </c>
      <c r="I6182" t="str">
        <f>VLOOKUP(record[[#This Row],[ProcessSN]],表格2_7[],3,FALSE)</f>
        <v>#100SHIP</v>
      </c>
      <c r="J6182" t="s">
        <v>600</v>
      </c>
      <c r="K6182" s="195">
        <v>45995.719444444447</v>
      </c>
      <c r="L6182">
        <v>9</v>
      </c>
      <c r="M6182">
        <v>0</v>
      </c>
      <c r="N6182" s="98" t="str">
        <f>IF(record[[#This Row],[Memo]]="Browser:chrome os:android","平板報工",IF(record[[#This Row],[Memo]]=0,"委外",record[[#This Row],[Memo]]))</f>
        <v>1.5陽極露白</v>
      </c>
      <c r="O6182" t="s">
        <v>1288</v>
      </c>
      <c r="P6182" t="s">
        <v>113</v>
      </c>
      <c r="Q6182" t="s">
        <v>58</v>
      </c>
      <c r="R6182" t="str">
        <f>IFERROR(VLOOKUP(record[[#This Row],[PCUSTID]],廠商[],2,FALSE),"")</f>
        <v/>
      </c>
      <c r="S6182" t="str">
        <f>VLOOKUP(record[[#This Row],[employeeID]],員工[],2,FALSE)</f>
        <v>王奕蓁</v>
      </c>
    </row>
    <row r="6183" spans="6:19" hidden="1" x14ac:dyDescent="0.25">
      <c r="F6183" t="s">
        <v>866</v>
      </c>
      <c r="G6183" t="s">
        <v>402</v>
      </c>
      <c r="H6183" t="str">
        <f>VLOOKUP(record[[#This Row],[ProcessSN]],表格2_7[],2,FALSE)</f>
        <v>30-4118-018-550</v>
      </c>
      <c r="I6183" t="str">
        <f>VLOOKUP(record[[#This Row],[ProcessSN]],表格2_7[],3,FALSE)</f>
        <v>#100STOCK</v>
      </c>
      <c r="J6183" t="s">
        <v>592</v>
      </c>
      <c r="K6183" s="195">
        <v>45995.71875</v>
      </c>
      <c r="L6183">
        <v>9</v>
      </c>
      <c r="M6183">
        <v>0</v>
      </c>
      <c r="N6183" s="98" t="str">
        <f>IF(record[[#This Row],[Memo]]="Browser:chrome os:android","平板報工",IF(record[[#This Row],[Memo]]=0,"委外",record[[#This Row],[Memo]]))</f>
        <v>1.5陽極露白</v>
      </c>
      <c r="O6183" t="s">
        <v>1288</v>
      </c>
      <c r="P6183" t="s">
        <v>113</v>
      </c>
      <c r="Q6183" t="s">
        <v>58</v>
      </c>
      <c r="R6183" t="str">
        <f>IFERROR(VLOOKUP(record[[#This Row],[PCUSTID]],廠商[],2,FALSE),"")</f>
        <v/>
      </c>
      <c r="S6183" t="str">
        <f>VLOOKUP(record[[#This Row],[employeeID]],員工[],2,FALSE)</f>
        <v>王奕蓁</v>
      </c>
    </row>
    <row r="6184" spans="6:19" hidden="1" x14ac:dyDescent="0.25">
      <c r="F6184" t="s">
        <v>866</v>
      </c>
      <c r="G6184" t="s">
        <v>401</v>
      </c>
      <c r="H6184" t="str">
        <f>VLOOKUP(record[[#This Row],[ProcessSN]],表格2_7[],2,FALSE)</f>
        <v>30-4118-018-550</v>
      </c>
      <c r="I6184" t="str">
        <f>VLOOKUP(record[[#This Row],[ProcessSN]],表格2_7[],3,FALSE)</f>
        <v>#100OQC</v>
      </c>
      <c r="J6184" t="s">
        <v>599</v>
      </c>
      <c r="K6184" s="195">
        <v>45995.718055555553</v>
      </c>
      <c r="L6184">
        <v>9</v>
      </c>
      <c r="M6184">
        <v>0</v>
      </c>
      <c r="N6184" s="98" t="str">
        <f>IF(record[[#This Row],[Memo]]="Browser:chrome os:android","平板報工",IF(record[[#This Row],[Memo]]=0,"委外",record[[#This Row],[Memo]]))</f>
        <v>1.5陽極露白</v>
      </c>
      <c r="O6184" t="s">
        <v>1288</v>
      </c>
      <c r="P6184" t="s">
        <v>113</v>
      </c>
      <c r="Q6184" t="s">
        <v>58</v>
      </c>
      <c r="R6184" t="str">
        <f>IFERROR(VLOOKUP(record[[#This Row],[PCUSTID]],廠商[],2,FALSE),"")</f>
        <v/>
      </c>
      <c r="S6184" t="str">
        <f>VLOOKUP(record[[#This Row],[employeeID]],員工[],2,FALSE)</f>
        <v>王奕蓁</v>
      </c>
    </row>
    <row r="6185" spans="6:19" hidden="1" x14ac:dyDescent="0.25">
      <c r="F6185" t="s">
        <v>866</v>
      </c>
      <c r="G6185" t="s">
        <v>400</v>
      </c>
      <c r="H6185" t="str">
        <f>VLOOKUP(record[[#This Row],[ProcessSN]],表格2_7[],2,FALSE)</f>
        <v>30-4118-018-550</v>
      </c>
      <c r="I6185" t="str">
        <f>VLOOKUP(record[[#This Row],[ProcessSN]],表格2_7[],3,FALSE)</f>
        <v>#100</v>
      </c>
      <c r="J6185" t="s">
        <v>598</v>
      </c>
      <c r="K6185" s="195">
        <v>45995.717361111114</v>
      </c>
      <c r="L6185">
        <v>9</v>
      </c>
      <c r="M6185">
        <v>-9</v>
      </c>
      <c r="N6185" s="98" t="str">
        <f>IF(record[[#This Row],[Memo]]="Browser:chrome os:android","平板報工",IF(record[[#This Row],[Memo]]=0,"委外",record[[#This Row],[Memo]]))</f>
        <v>1.5陽極露白</v>
      </c>
      <c r="O6185" t="s">
        <v>1288</v>
      </c>
      <c r="P6185" t="s">
        <v>113</v>
      </c>
      <c r="Q6185" t="s">
        <v>58</v>
      </c>
      <c r="R6185" t="str">
        <f>IFERROR(VLOOKUP(record[[#This Row],[PCUSTID]],廠商[],2,FALSE),"")</f>
        <v/>
      </c>
      <c r="S6185" t="str">
        <f>VLOOKUP(record[[#This Row],[employeeID]],員工[],2,FALSE)</f>
        <v>王奕蓁</v>
      </c>
    </row>
    <row r="6186" spans="6:19" hidden="1" x14ac:dyDescent="0.25">
      <c r="F6186" t="s">
        <v>1255</v>
      </c>
      <c r="G6186" t="s">
        <v>401</v>
      </c>
      <c r="H6186" t="str">
        <f>VLOOKUP(record[[#This Row],[ProcessSN]],表格2_7[],2,FALSE)</f>
        <v>30-4118-018-550</v>
      </c>
      <c r="I6186" t="str">
        <f>VLOOKUP(record[[#This Row],[ProcessSN]],表格2_7[],3,FALSE)</f>
        <v>#100OQC</v>
      </c>
      <c r="J6186" t="s">
        <v>599</v>
      </c>
      <c r="K6186" s="195">
        <v>45995.716446759259</v>
      </c>
      <c r="L6186">
        <v>307</v>
      </c>
      <c r="M6186">
        <v>0</v>
      </c>
      <c r="N6186" s="98" t="str">
        <f>IF(record[[#This Row],[Memo]]="Browser:chrome os:android","平板報工",IF(record[[#This Row],[Memo]]=0,"委外",record[[#This Row],[Memo]]))</f>
        <v/>
      </c>
      <c r="O6186" t="s">
        <v>58</v>
      </c>
      <c r="P6186" t="s">
        <v>121</v>
      </c>
      <c r="Q6186" t="s">
        <v>58</v>
      </c>
      <c r="R6186" t="str">
        <f>IFERROR(VLOOKUP(record[[#This Row],[PCUSTID]],廠商[],2,FALSE),"")</f>
        <v/>
      </c>
      <c r="S6186" t="str">
        <f>VLOOKUP(record[[#This Row],[employeeID]],員工[],2,FALSE)</f>
        <v>謝素卿</v>
      </c>
    </row>
    <row r="6187" spans="6:19" hidden="1" x14ac:dyDescent="0.25">
      <c r="F6187" t="s">
        <v>689</v>
      </c>
      <c r="G6187" t="s">
        <v>403</v>
      </c>
      <c r="H6187" t="str">
        <f>VLOOKUP(record[[#This Row],[ProcessSN]],表格2_7[],2,FALSE)</f>
        <v>30-4118-018-550</v>
      </c>
      <c r="I6187" t="str">
        <f>VLOOKUP(record[[#This Row],[ProcessSN]],表格2_7[],3,FALSE)</f>
        <v>#100SHIP</v>
      </c>
      <c r="J6187" t="s">
        <v>600</v>
      </c>
      <c r="K6187" s="195">
        <v>45995.714768518519</v>
      </c>
      <c r="L6187">
        <v>8</v>
      </c>
      <c r="M6187">
        <v>0</v>
      </c>
      <c r="N6187" s="98" t="str">
        <f>IF(record[[#This Row],[Memo]]="Browser:chrome os:android","平板報工",IF(record[[#This Row],[Memo]]=0,"委外",record[[#This Row],[Memo]]))</f>
        <v>1.5陽極露白</v>
      </c>
      <c r="O6187" t="s">
        <v>1288</v>
      </c>
      <c r="P6187" t="s">
        <v>113</v>
      </c>
      <c r="Q6187" t="s">
        <v>58</v>
      </c>
      <c r="R6187" t="str">
        <f>IFERROR(VLOOKUP(record[[#This Row],[PCUSTID]],廠商[],2,FALSE),"")</f>
        <v/>
      </c>
      <c r="S6187" t="str">
        <f>VLOOKUP(record[[#This Row],[employeeID]],員工[],2,FALSE)</f>
        <v>王奕蓁</v>
      </c>
    </row>
    <row r="6188" spans="6:19" hidden="1" x14ac:dyDescent="0.25">
      <c r="F6188" t="s">
        <v>689</v>
      </c>
      <c r="G6188" t="s">
        <v>401</v>
      </c>
      <c r="H6188" t="str">
        <f>VLOOKUP(record[[#This Row],[ProcessSN]],表格2_7[],2,FALSE)</f>
        <v>30-4118-018-550</v>
      </c>
      <c r="I6188" t="str">
        <f>VLOOKUP(record[[#This Row],[ProcessSN]],表格2_7[],3,FALSE)</f>
        <v>#100OQC</v>
      </c>
      <c r="J6188" t="s">
        <v>599</v>
      </c>
      <c r="K6188" s="195">
        <v>45995.714479166665</v>
      </c>
      <c r="L6188">
        <v>8</v>
      </c>
      <c r="M6188">
        <v>0</v>
      </c>
      <c r="N6188" s="98" t="str">
        <f>IF(record[[#This Row],[Memo]]="Browser:chrome os:android","平板報工",IF(record[[#This Row],[Memo]]=0,"委外",record[[#This Row],[Memo]]))</f>
        <v>1.5陽極露白</v>
      </c>
      <c r="O6188" t="s">
        <v>1288</v>
      </c>
      <c r="P6188" t="s">
        <v>113</v>
      </c>
      <c r="Q6188" t="s">
        <v>58</v>
      </c>
      <c r="R6188" t="str">
        <f>IFERROR(VLOOKUP(record[[#This Row],[PCUSTID]],廠商[],2,FALSE),"")</f>
        <v/>
      </c>
      <c r="S6188" t="str">
        <f>VLOOKUP(record[[#This Row],[employeeID]],員工[],2,FALSE)</f>
        <v>王奕蓁</v>
      </c>
    </row>
    <row r="6189" spans="6:19" hidden="1" x14ac:dyDescent="0.25">
      <c r="F6189" t="s">
        <v>689</v>
      </c>
      <c r="G6189" t="s">
        <v>402</v>
      </c>
      <c r="H6189" t="str">
        <f>VLOOKUP(record[[#This Row],[ProcessSN]],表格2_7[],2,FALSE)</f>
        <v>30-4118-018-550</v>
      </c>
      <c r="I6189" t="str">
        <f>VLOOKUP(record[[#This Row],[ProcessSN]],表格2_7[],3,FALSE)</f>
        <v>#100STOCK</v>
      </c>
      <c r="J6189" t="s">
        <v>592</v>
      </c>
      <c r="K6189" s="195">
        <v>45995.714479166665</v>
      </c>
      <c r="L6189">
        <v>8</v>
      </c>
      <c r="M6189">
        <v>0</v>
      </c>
      <c r="N6189" s="98" t="str">
        <f>IF(record[[#This Row],[Memo]]="Browser:chrome os:android","平板報工",IF(record[[#This Row],[Memo]]=0,"委外",record[[#This Row],[Memo]]))</f>
        <v>1.5陽極露白</v>
      </c>
      <c r="O6189" t="s">
        <v>1288</v>
      </c>
      <c r="P6189" t="s">
        <v>113</v>
      </c>
      <c r="Q6189" t="s">
        <v>58</v>
      </c>
      <c r="R6189" t="str">
        <f>IFERROR(VLOOKUP(record[[#This Row],[PCUSTID]],廠商[],2,FALSE),"")</f>
        <v/>
      </c>
      <c r="S6189" t="str">
        <f>VLOOKUP(record[[#This Row],[employeeID]],員工[],2,FALSE)</f>
        <v>王奕蓁</v>
      </c>
    </row>
    <row r="6190" spans="6:19" hidden="1" x14ac:dyDescent="0.25">
      <c r="F6190" t="s">
        <v>689</v>
      </c>
      <c r="G6190" t="s">
        <v>400</v>
      </c>
      <c r="H6190" t="str">
        <f>VLOOKUP(record[[#This Row],[ProcessSN]],表格2_7[],2,FALSE)</f>
        <v>30-4118-018-550</v>
      </c>
      <c r="I6190" t="str">
        <f>VLOOKUP(record[[#This Row],[ProcessSN]],表格2_7[],3,FALSE)</f>
        <v>#100</v>
      </c>
      <c r="J6190" t="s">
        <v>598</v>
      </c>
      <c r="K6190" s="195">
        <v>45995.71371527778</v>
      </c>
      <c r="L6190">
        <v>8</v>
      </c>
      <c r="M6190">
        <v>0</v>
      </c>
      <c r="N6190" s="98" t="str">
        <f>IF(record[[#This Row],[Memo]]="Browser:chrome os:android","平板報工",IF(record[[#This Row],[Memo]]=0,"委外",record[[#This Row],[Memo]]))</f>
        <v>1.5陽極露白</v>
      </c>
      <c r="O6190" t="s">
        <v>1288</v>
      </c>
      <c r="P6190" t="s">
        <v>113</v>
      </c>
      <c r="Q6190" t="s">
        <v>58</v>
      </c>
      <c r="R6190" t="str">
        <f>IFERROR(VLOOKUP(record[[#This Row],[PCUSTID]],廠商[],2,FALSE),"")</f>
        <v/>
      </c>
      <c r="S6190" t="str">
        <f>VLOOKUP(record[[#This Row],[employeeID]],員工[],2,FALSE)</f>
        <v>王奕蓁</v>
      </c>
    </row>
    <row r="6191" spans="6:19" hidden="1" x14ac:dyDescent="0.25">
      <c r="F6191" t="s">
        <v>1260</v>
      </c>
      <c r="G6191" t="s">
        <v>424</v>
      </c>
      <c r="H6191" t="str">
        <f>VLOOKUP(record[[#This Row],[ProcessSN]],表格2_7[],2,FALSE)</f>
        <v>30-4118-018-600</v>
      </c>
      <c r="I6191" t="str">
        <f>VLOOKUP(record[[#This Row],[ProcessSN]],表格2_7[],3,FALSE)</f>
        <v>#08IQC</v>
      </c>
      <c r="J6191" t="s">
        <v>583</v>
      </c>
      <c r="K6191" s="195">
        <v>45995.698055555556</v>
      </c>
      <c r="L6191">
        <v>192</v>
      </c>
      <c r="M6191">
        <v>0</v>
      </c>
      <c r="N6191" s="98" t="str">
        <f>IF(record[[#This Row],[Memo]]="Browser:chrome os:android","平板報工",IF(record[[#This Row],[Memo]]=0,"委外",record[[#This Row],[Memo]]))</f>
        <v/>
      </c>
      <c r="O6191" t="s">
        <v>58</v>
      </c>
      <c r="P6191" t="s">
        <v>109</v>
      </c>
      <c r="Q6191" t="s">
        <v>58</v>
      </c>
      <c r="R6191" t="str">
        <f>IFERROR(VLOOKUP(record[[#This Row],[PCUSTID]],廠商[],2,FALSE),"")</f>
        <v/>
      </c>
      <c r="S6191" t="str">
        <f>VLOOKUP(record[[#This Row],[employeeID]],員工[],2,FALSE)</f>
        <v>裴氏璧鳳</v>
      </c>
    </row>
    <row r="6192" spans="6:19" hidden="1" x14ac:dyDescent="0.25">
      <c r="F6192" t="s">
        <v>1262</v>
      </c>
      <c r="G6192" t="s">
        <v>399</v>
      </c>
      <c r="H6192" t="str">
        <f>VLOOKUP(record[[#This Row],[ProcessSN]],表格2_7[],2,FALSE)</f>
        <v>30-4118-018-550</v>
      </c>
      <c r="I6192" t="str">
        <f>VLOOKUP(record[[#This Row],[ProcessSN]],表格2_7[],3,FALSE)</f>
        <v>#08IQC</v>
      </c>
      <c r="J6192" t="s">
        <v>583</v>
      </c>
      <c r="K6192" s="195">
        <v>45995.697893518518</v>
      </c>
      <c r="L6192">
        <v>450</v>
      </c>
      <c r="M6192">
        <v>0</v>
      </c>
      <c r="N6192" s="98" t="str">
        <f>IF(record[[#This Row],[Memo]]="Browser:chrome os:android","平板報工",IF(record[[#This Row],[Memo]]=0,"委外",record[[#This Row],[Memo]]))</f>
        <v/>
      </c>
      <c r="O6192" t="s">
        <v>58</v>
      </c>
      <c r="P6192" t="s">
        <v>109</v>
      </c>
      <c r="Q6192" t="s">
        <v>58</v>
      </c>
      <c r="R6192" t="str">
        <f>IFERROR(VLOOKUP(record[[#This Row],[PCUSTID]],廠商[],2,FALSE),"")</f>
        <v/>
      </c>
      <c r="S6192" t="str">
        <f>VLOOKUP(record[[#This Row],[employeeID]],員工[],2,FALSE)</f>
        <v>裴氏璧鳳</v>
      </c>
    </row>
    <row r="6193" spans="6:19" hidden="1" x14ac:dyDescent="0.25">
      <c r="F6193" t="s">
        <v>1285</v>
      </c>
      <c r="G6193" t="s">
        <v>463</v>
      </c>
      <c r="H6193" t="str">
        <f>VLOOKUP(record[[#This Row],[ProcessSN]],表格2_7[],2,FALSE)</f>
        <v>30-4118-018-XXX</v>
      </c>
      <c r="I6193" t="str">
        <f>VLOOKUP(record[[#This Row],[ProcessSN]],表格2_7[],3,FALSE)</f>
        <v>#00IQC</v>
      </c>
      <c r="J6193" t="s">
        <v>583</v>
      </c>
      <c r="K6193" s="195">
        <v>45995.695740740739</v>
      </c>
      <c r="L6193">
        <v>5000</v>
      </c>
      <c r="M6193">
        <v>0</v>
      </c>
      <c r="N6193" s="98" t="str">
        <f>IF(record[[#This Row],[Memo]]="Browser:chrome os:android","平板報工",IF(record[[#This Row],[Memo]]=0,"委外",record[[#This Row],[Memo]]))</f>
        <v/>
      </c>
      <c r="O6193" t="s">
        <v>58</v>
      </c>
      <c r="P6193" t="s">
        <v>109</v>
      </c>
      <c r="Q6193" t="s">
        <v>58</v>
      </c>
      <c r="R6193" t="str">
        <f>IFERROR(VLOOKUP(record[[#This Row],[PCUSTID]],廠商[],2,FALSE),"")</f>
        <v/>
      </c>
      <c r="S6193" t="str">
        <f>VLOOKUP(record[[#This Row],[employeeID]],員工[],2,FALSE)</f>
        <v>裴氏璧鳳</v>
      </c>
    </row>
    <row r="6194" spans="6:19" hidden="1" x14ac:dyDescent="0.25">
      <c r="F6194" t="s">
        <v>1260</v>
      </c>
      <c r="G6194" t="s">
        <v>423</v>
      </c>
      <c r="H6194" t="str">
        <f>VLOOKUP(record[[#This Row],[ProcessSN]],表格2_7[],2,FALSE)</f>
        <v>30-4118-018-600</v>
      </c>
      <c r="I6194" t="str">
        <f>VLOOKUP(record[[#This Row],[ProcessSN]],表格2_7[],3,FALSE)</f>
        <v>#08RCV</v>
      </c>
      <c r="J6194" t="s">
        <v>591</v>
      </c>
      <c r="K6194" s="195">
        <v>45995.666041666664</v>
      </c>
      <c r="L6194">
        <v>192</v>
      </c>
      <c r="M6194">
        <v>0</v>
      </c>
      <c r="N6194" s="98" t="str">
        <f>IF(record[[#This Row],[Memo]]="Browser:chrome os:android","平板報工",IF(record[[#This Row],[Memo]]=0,"委外",record[[#This Row],[Memo]]))</f>
        <v/>
      </c>
      <c r="O6194" t="s">
        <v>58</v>
      </c>
      <c r="P6194" t="s">
        <v>186</v>
      </c>
      <c r="Q6194" t="s">
        <v>58</v>
      </c>
      <c r="R6194" t="str">
        <f>IFERROR(VLOOKUP(record[[#This Row],[PCUSTID]],廠商[],2,FALSE),"")</f>
        <v/>
      </c>
      <c r="S6194" t="str">
        <f>VLOOKUP(record[[#This Row],[employeeID]],員工[],2,FALSE)</f>
        <v>許文姍</v>
      </c>
    </row>
    <row r="6195" spans="6:19" hidden="1" x14ac:dyDescent="0.25">
      <c r="F6195" t="s">
        <v>1262</v>
      </c>
      <c r="G6195" t="s">
        <v>398</v>
      </c>
      <c r="H6195" t="str">
        <f>VLOOKUP(record[[#This Row],[ProcessSN]],表格2_7[],2,FALSE)</f>
        <v>30-4118-018-550</v>
      </c>
      <c r="I6195" t="str">
        <f>VLOOKUP(record[[#This Row],[ProcessSN]],表格2_7[],3,FALSE)</f>
        <v>#08RCV</v>
      </c>
      <c r="J6195" t="s">
        <v>591</v>
      </c>
      <c r="K6195" s="195">
        <v>45995.665682870371</v>
      </c>
      <c r="L6195">
        <v>0</v>
      </c>
      <c r="M6195">
        <v>45</v>
      </c>
      <c r="N6195" s="98" t="str">
        <f>IF(record[[#This Row],[Memo]]="Browser:chrome os:android","平板報工",IF(record[[#This Row],[Memo]]=0,"委外",record[[#This Row],[Memo]]))</f>
        <v/>
      </c>
      <c r="O6195" t="s">
        <v>58</v>
      </c>
      <c r="P6195" t="s">
        <v>186</v>
      </c>
      <c r="Q6195" t="s">
        <v>58</v>
      </c>
      <c r="R6195" t="str">
        <f>IFERROR(VLOOKUP(record[[#This Row],[PCUSTID]],廠商[],2,FALSE),"")</f>
        <v/>
      </c>
      <c r="S6195" t="str">
        <f>VLOOKUP(record[[#This Row],[employeeID]],員工[],2,FALSE)</f>
        <v>許文姍</v>
      </c>
    </row>
    <row r="6196" spans="6:19" hidden="1" x14ac:dyDescent="0.25">
      <c r="F6196" t="s">
        <v>1262</v>
      </c>
      <c r="G6196" t="s">
        <v>398</v>
      </c>
      <c r="H6196" t="str">
        <f>VLOOKUP(record[[#This Row],[ProcessSN]],表格2_7[],2,FALSE)</f>
        <v>30-4118-018-550</v>
      </c>
      <c r="I6196" t="str">
        <f>VLOOKUP(record[[#This Row],[ProcessSN]],表格2_7[],3,FALSE)</f>
        <v>#08RCV</v>
      </c>
      <c r="J6196" t="s">
        <v>591</v>
      </c>
      <c r="K6196" s="195">
        <v>45995.665439814817</v>
      </c>
      <c r="L6196">
        <v>450</v>
      </c>
      <c r="M6196">
        <v>0</v>
      </c>
      <c r="N6196" s="98" t="str">
        <f>IF(record[[#This Row],[Memo]]="Browser:chrome os:android","平板報工",IF(record[[#This Row],[Memo]]=0,"委外",record[[#This Row],[Memo]]))</f>
        <v/>
      </c>
      <c r="O6196" t="s">
        <v>58</v>
      </c>
      <c r="P6196" t="s">
        <v>186</v>
      </c>
      <c r="Q6196" t="s">
        <v>58</v>
      </c>
      <c r="R6196" t="str">
        <f>IFERROR(VLOOKUP(record[[#This Row],[PCUSTID]],廠商[],2,FALSE),"")</f>
        <v/>
      </c>
      <c r="S6196" t="str">
        <f>VLOOKUP(record[[#This Row],[employeeID]],員工[],2,FALSE)</f>
        <v>許文姍</v>
      </c>
    </row>
    <row r="6197" spans="6:19" hidden="1" x14ac:dyDescent="0.25">
      <c r="F6197" t="s">
        <v>1236</v>
      </c>
      <c r="G6197" t="s">
        <v>418</v>
      </c>
      <c r="H6197" t="str">
        <f>VLOOKUP(record[[#This Row],[ProcessSN]],表格2_7[],2,FALSE)</f>
        <v>30-4118-018-5XX</v>
      </c>
      <c r="I6197" t="str">
        <f>VLOOKUP(record[[#This Row],[ProcessSN]],表格2_7[],3,FALSE)</f>
        <v>#07</v>
      </c>
      <c r="J6197" t="s">
        <v>588</v>
      </c>
      <c r="K6197" s="195">
        <v>45995.660613425927</v>
      </c>
      <c r="L6197">
        <v>23</v>
      </c>
      <c r="M6197">
        <v>0</v>
      </c>
      <c r="N6197" s="98" t="str">
        <f>IF(record[[#This Row],[Memo]]="Browser:chrome os:android","平板報工",IF(record[[#This Row],[Memo]]=0,"委外",record[[#This Row],[Memo]]))</f>
        <v/>
      </c>
      <c r="O6197" t="s">
        <v>58</v>
      </c>
      <c r="P6197" t="s">
        <v>785</v>
      </c>
      <c r="Q6197" t="s">
        <v>58</v>
      </c>
      <c r="R6197" t="str">
        <f>IFERROR(VLOOKUP(record[[#This Row],[PCUSTID]],廠商[],2,FALSE),"")</f>
        <v/>
      </c>
      <c r="S6197" t="str">
        <f>VLOOKUP(record[[#This Row],[employeeID]],員工[],2,FALSE)</f>
        <v>謝刻光</v>
      </c>
    </row>
    <row r="6198" spans="6:19" hidden="1" x14ac:dyDescent="0.25">
      <c r="F6198" t="s">
        <v>1270</v>
      </c>
      <c r="G6198" t="s">
        <v>376</v>
      </c>
      <c r="H6198" t="str">
        <f>VLOOKUP(record[[#This Row],[ProcessSN]],表格2_7[],2,FALSE)</f>
        <v>30-4118-018-4XX</v>
      </c>
      <c r="I6198" t="str">
        <f>VLOOKUP(record[[#This Row],[ProcessSN]],表格2_7[],3,FALSE)</f>
        <v>#06</v>
      </c>
      <c r="J6198" t="s">
        <v>593</v>
      </c>
      <c r="K6198" s="195">
        <v>45995.659826388888</v>
      </c>
      <c r="L6198">
        <v>35</v>
      </c>
      <c r="M6198">
        <v>0</v>
      </c>
      <c r="N6198" s="98" t="str">
        <f>IF(record[[#This Row],[Memo]]="Browser:chrome os:android","平板報工",IF(record[[#This Row],[Memo]]=0,"委外",record[[#This Row],[Memo]]))</f>
        <v/>
      </c>
      <c r="O6198" t="s">
        <v>58</v>
      </c>
      <c r="P6198" t="s">
        <v>111</v>
      </c>
      <c r="Q6198" t="s">
        <v>58</v>
      </c>
      <c r="R6198" t="str">
        <f>IFERROR(VLOOKUP(record[[#This Row],[PCUSTID]],廠商[],2,FALSE),"")</f>
        <v/>
      </c>
      <c r="S6198" t="str">
        <f>VLOOKUP(record[[#This Row],[employeeID]],員工[],2,FALSE)</f>
        <v>江栩妘</v>
      </c>
    </row>
    <row r="6199" spans="6:19" hidden="1" x14ac:dyDescent="0.25">
      <c r="F6199" t="s">
        <v>1236</v>
      </c>
      <c r="G6199" t="s">
        <v>417</v>
      </c>
      <c r="H6199" t="str">
        <f>VLOOKUP(record[[#This Row],[ProcessSN]],表格2_7[],2,FALSE)</f>
        <v>30-4118-018-5XX</v>
      </c>
      <c r="I6199" t="str">
        <f>VLOOKUP(record[[#This Row],[ProcessSN]],表格2_7[],3,FALSE)</f>
        <v>#06</v>
      </c>
      <c r="J6199" t="s">
        <v>593</v>
      </c>
      <c r="K6199" s="195">
        <v>45995.65960648148</v>
      </c>
      <c r="L6199">
        <v>23</v>
      </c>
      <c r="M6199">
        <v>0</v>
      </c>
      <c r="N6199" s="98" t="str">
        <f>IF(record[[#This Row],[Memo]]="Browser:chrome os:android","平板報工",IF(record[[#This Row],[Memo]]=0,"委外",record[[#This Row],[Memo]]))</f>
        <v/>
      </c>
      <c r="O6199" t="s">
        <v>58</v>
      </c>
      <c r="P6199" t="s">
        <v>111</v>
      </c>
      <c r="Q6199" t="s">
        <v>58</v>
      </c>
      <c r="R6199" t="str">
        <f>IFERROR(VLOOKUP(record[[#This Row],[PCUSTID]],廠商[],2,FALSE),"")</f>
        <v/>
      </c>
      <c r="S6199" t="str">
        <f>VLOOKUP(record[[#This Row],[employeeID]],員工[],2,FALSE)</f>
        <v>江栩妘</v>
      </c>
    </row>
    <row r="6200" spans="6:19" hidden="1" x14ac:dyDescent="0.25">
      <c r="F6200" t="s">
        <v>1253</v>
      </c>
      <c r="G6200" t="s">
        <v>417</v>
      </c>
      <c r="H6200" t="str">
        <f>VLOOKUP(record[[#This Row],[ProcessSN]],表格2_7[],2,FALSE)</f>
        <v>30-4118-018-5XX</v>
      </c>
      <c r="I6200" t="str">
        <f>VLOOKUP(record[[#This Row],[ProcessSN]],表格2_7[],3,FALSE)</f>
        <v>#06</v>
      </c>
      <c r="J6200" t="s">
        <v>593</v>
      </c>
      <c r="K6200" s="195">
        <v>45995.659432870372</v>
      </c>
      <c r="L6200">
        <v>58</v>
      </c>
      <c r="M6200">
        <v>0</v>
      </c>
      <c r="N6200" s="98" t="str">
        <f>IF(record[[#This Row],[Memo]]="Browser:chrome os:android","平板報工",IF(record[[#This Row],[Memo]]=0,"委外",record[[#This Row],[Memo]]))</f>
        <v/>
      </c>
      <c r="O6200" t="s">
        <v>58</v>
      </c>
      <c r="P6200" t="s">
        <v>111</v>
      </c>
      <c r="Q6200" t="s">
        <v>58</v>
      </c>
      <c r="R6200" t="str">
        <f>IFERROR(VLOOKUP(record[[#This Row],[PCUSTID]],廠商[],2,FALSE),"")</f>
        <v/>
      </c>
      <c r="S6200" t="str">
        <f>VLOOKUP(record[[#This Row],[employeeID]],員工[],2,FALSE)</f>
        <v>江栩妘</v>
      </c>
    </row>
    <row r="6201" spans="6:19" hidden="1" x14ac:dyDescent="0.25">
      <c r="F6201" t="s">
        <v>1270</v>
      </c>
      <c r="G6201" t="s">
        <v>375</v>
      </c>
      <c r="H6201" t="str">
        <f>VLOOKUP(record[[#This Row],[ProcessSN]],表格2_7[],2,FALSE)</f>
        <v>30-4118-018-4XX</v>
      </c>
      <c r="I6201" t="str">
        <f>VLOOKUP(record[[#This Row],[ProcessSN]],表格2_7[],3,FALSE)</f>
        <v>#05</v>
      </c>
      <c r="J6201" t="s">
        <v>588</v>
      </c>
      <c r="K6201" s="195">
        <v>45995.658495370371</v>
      </c>
      <c r="L6201">
        <v>100</v>
      </c>
      <c r="M6201">
        <v>0</v>
      </c>
      <c r="N6201" s="98" t="str">
        <f>IF(record[[#This Row],[Memo]]="Browser:chrome os:android","平板報工",IF(record[[#This Row],[Memo]]=0,"委外",record[[#This Row],[Memo]]))</f>
        <v/>
      </c>
      <c r="O6201" t="s">
        <v>58</v>
      </c>
      <c r="P6201" t="s">
        <v>785</v>
      </c>
      <c r="Q6201" t="s">
        <v>58</v>
      </c>
      <c r="R6201" t="str">
        <f>IFERROR(VLOOKUP(record[[#This Row],[PCUSTID]],廠商[],2,FALSE),"")</f>
        <v/>
      </c>
      <c r="S6201" t="str">
        <f>VLOOKUP(record[[#This Row],[employeeID]],員工[],2,FALSE)</f>
        <v>謝刻光</v>
      </c>
    </row>
    <row r="6202" spans="6:19" hidden="1" x14ac:dyDescent="0.25">
      <c r="F6202" t="s">
        <v>1275</v>
      </c>
      <c r="G6202" t="s">
        <v>414</v>
      </c>
      <c r="H6202" t="str">
        <f>VLOOKUP(record[[#This Row],[ProcessSN]],表格2_7[],2,FALSE)</f>
        <v>30-4118-018-5XX</v>
      </c>
      <c r="I6202" t="str">
        <f>VLOOKUP(record[[#This Row],[ProcessSN]],表格2_7[],3,FALSE)</f>
        <v>#03</v>
      </c>
      <c r="J6202" t="s">
        <v>588</v>
      </c>
      <c r="K6202" s="195">
        <v>45995.65824074074</v>
      </c>
      <c r="L6202">
        <v>466</v>
      </c>
      <c r="M6202">
        <v>2</v>
      </c>
      <c r="N6202" s="98" t="str">
        <f>IF(record[[#This Row],[Memo]]="Browser:chrome os:android","平板報工",IF(record[[#This Row],[Memo]]=0,"委外",record[[#This Row],[Memo]]))</f>
        <v/>
      </c>
      <c r="O6202" t="s">
        <v>58</v>
      </c>
      <c r="P6202" t="s">
        <v>145</v>
      </c>
      <c r="Q6202" t="s">
        <v>58</v>
      </c>
      <c r="R6202" t="str">
        <f>IFERROR(VLOOKUP(record[[#This Row],[PCUSTID]],廠商[],2,FALSE),"")</f>
        <v/>
      </c>
      <c r="S6202" t="str">
        <f>VLOOKUP(record[[#This Row],[employeeID]],員工[],2,FALSE)</f>
        <v>阮秋霞</v>
      </c>
    </row>
    <row r="6203" spans="6:19" hidden="1" x14ac:dyDescent="0.25">
      <c r="F6203" t="s">
        <v>1275</v>
      </c>
      <c r="G6203" t="s">
        <v>415</v>
      </c>
      <c r="H6203" t="str">
        <f>VLOOKUP(record[[#This Row],[ProcessSN]],表格2_7[],2,FALSE)</f>
        <v>30-4118-018-5XX</v>
      </c>
      <c r="I6203" t="str">
        <f>VLOOKUP(record[[#This Row],[ProcessSN]],表格2_7[],3,FALSE)</f>
        <v>#04</v>
      </c>
      <c r="J6203" t="s">
        <v>588</v>
      </c>
      <c r="K6203" s="195">
        <v>45995.657719907409</v>
      </c>
      <c r="L6203">
        <v>18</v>
      </c>
      <c r="M6203">
        <v>3</v>
      </c>
      <c r="N6203" s="98" t="str">
        <f>IF(record[[#This Row],[Memo]]="Browser:chrome os:android","平板報工",IF(record[[#This Row],[Memo]]=0,"委外",record[[#This Row],[Memo]]))</f>
        <v/>
      </c>
      <c r="O6203" t="s">
        <v>58</v>
      </c>
      <c r="P6203" t="s">
        <v>145</v>
      </c>
      <c r="Q6203" t="s">
        <v>58</v>
      </c>
      <c r="R6203" t="str">
        <f>IFERROR(VLOOKUP(record[[#This Row],[PCUSTID]],廠商[],2,FALSE),"")</f>
        <v/>
      </c>
      <c r="S6203" t="str">
        <f>VLOOKUP(record[[#This Row],[employeeID]],員工[],2,FALSE)</f>
        <v>阮秋霞</v>
      </c>
    </row>
    <row r="6204" spans="6:19" hidden="1" x14ac:dyDescent="0.25">
      <c r="F6204" t="s">
        <v>1255</v>
      </c>
      <c r="G6204" t="s">
        <v>400</v>
      </c>
      <c r="H6204" t="str">
        <f>VLOOKUP(record[[#This Row],[ProcessSN]],表格2_7[],2,FALSE)</f>
        <v>30-4118-018-550</v>
      </c>
      <c r="I6204" t="str">
        <f>VLOOKUP(record[[#This Row],[ProcessSN]],表格2_7[],3,FALSE)</f>
        <v>#100</v>
      </c>
      <c r="J6204" t="s">
        <v>598</v>
      </c>
      <c r="K6204" s="195">
        <v>45995.657476851855</v>
      </c>
      <c r="L6204">
        <v>307</v>
      </c>
      <c r="M6204">
        <v>0</v>
      </c>
      <c r="N6204" s="98" t="str">
        <f>IF(record[[#This Row],[Memo]]="Browser:chrome os:android","平板報工",IF(record[[#This Row],[Memo]]=0,"委外",record[[#This Row],[Memo]]))</f>
        <v/>
      </c>
      <c r="O6204" t="s">
        <v>58</v>
      </c>
      <c r="P6204" t="s">
        <v>141</v>
      </c>
      <c r="Q6204" t="s">
        <v>58</v>
      </c>
      <c r="R6204" t="str">
        <f>IFERROR(VLOOKUP(record[[#This Row],[PCUSTID]],廠商[],2,FALSE),"")</f>
        <v/>
      </c>
      <c r="S6204" t="str">
        <f>VLOOKUP(record[[#This Row],[employeeID]],員工[],2,FALSE)</f>
        <v>蔣梅</v>
      </c>
    </row>
    <row r="6205" spans="6:19" hidden="1" x14ac:dyDescent="0.25">
      <c r="F6205" t="s">
        <v>1255</v>
      </c>
      <c r="G6205" t="s">
        <v>398</v>
      </c>
      <c r="H6205" t="str">
        <f>VLOOKUP(record[[#This Row],[ProcessSN]],表格2_7[],2,FALSE)</f>
        <v>30-4118-018-550</v>
      </c>
      <c r="I6205" t="str">
        <f>VLOOKUP(record[[#This Row],[ProcessSN]],表格2_7[],3,FALSE)</f>
        <v>#08RCV</v>
      </c>
      <c r="J6205" t="s">
        <v>591</v>
      </c>
      <c r="K6205" s="195">
        <v>45995.65730324074</v>
      </c>
      <c r="L6205">
        <v>0</v>
      </c>
      <c r="M6205">
        <v>18</v>
      </c>
      <c r="N6205" s="98" t="str">
        <f>IF(record[[#This Row],[Memo]]="Browser:chrome os:android","平板報工",IF(record[[#This Row],[Memo]]=0,"委外",record[[#This Row],[Memo]]))</f>
        <v/>
      </c>
      <c r="O6205" t="s">
        <v>58</v>
      </c>
      <c r="P6205" t="s">
        <v>141</v>
      </c>
      <c r="Q6205" t="s">
        <v>58</v>
      </c>
      <c r="R6205" t="str">
        <f>IFERROR(VLOOKUP(record[[#This Row],[PCUSTID]],廠商[],2,FALSE),"")</f>
        <v/>
      </c>
      <c r="S6205" t="str">
        <f>VLOOKUP(record[[#This Row],[employeeID]],員工[],2,FALSE)</f>
        <v>蔣梅</v>
      </c>
    </row>
    <row r="6206" spans="6:19" hidden="1" x14ac:dyDescent="0.25">
      <c r="F6206" t="s">
        <v>1270</v>
      </c>
      <c r="G6206" t="s">
        <v>374</v>
      </c>
      <c r="H6206" t="str">
        <f>VLOOKUP(record[[#This Row],[ProcessSN]],表格2_7[],2,FALSE)</f>
        <v>30-4118-018-4XX</v>
      </c>
      <c r="I6206" t="str">
        <f>VLOOKUP(record[[#This Row],[ProcessSN]],表格2_7[],3,FALSE)</f>
        <v>#04</v>
      </c>
      <c r="J6206" t="s">
        <v>588</v>
      </c>
      <c r="K6206" s="195">
        <v>45995.657233796293</v>
      </c>
      <c r="L6206">
        <v>100</v>
      </c>
      <c r="M6206">
        <v>0</v>
      </c>
      <c r="N6206" s="98" t="str">
        <f>IF(record[[#This Row],[Memo]]="Browser:chrome os:android","平板報工",IF(record[[#This Row],[Memo]]=0,"委外",record[[#This Row],[Memo]]))</f>
        <v/>
      </c>
      <c r="O6206" t="s">
        <v>58</v>
      </c>
      <c r="P6206" t="s">
        <v>145</v>
      </c>
      <c r="Q6206" t="s">
        <v>58</v>
      </c>
      <c r="R6206" t="str">
        <f>IFERROR(VLOOKUP(record[[#This Row],[PCUSTID]],廠商[],2,FALSE),"")</f>
        <v/>
      </c>
      <c r="S6206" t="str">
        <f>VLOOKUP(record[[#This Row],[employeeID]],員工[],2,FALSE)</f>
        <v>阮秋霞</v>
      </c>
    </row>
    <row r="6207" spans="6:19" hidden="1" x14ac:dyDescent="0.25">
      <c r="F6207" t="s">
        <v>1255</v>
      </c>
      <c r="G6207" t="s">
        <v>399</v>
      </c>
      <c r="H6207" t="str">
        <f>VLOOKUP(record[[#This Row],[ProcessSN]],表格2_7[],2,FALSE)</f>
        <v>30-4118-018-550</v>
      </c>
      <c r="I6207" t="str">
        <f>VLOOKUP(record[[#This Row],[ProcessSN]],表格2_7[],3,FALSE)</f>
        <v>#08IQC</v>
      </c>
      <c r="J6207" t="s">
        <v>583</v>
      </c>
      <c r="K6207" s="195">
        <v>45995.657106481478</v>
      </c>
      <c r="L6207">
        <v>2</v>
      </c>
      <c r="M6207">
        <v>0</v>
      </c>
      <c r="N6207" s="98" t="str">
        <f>IF(record[[#This Row],[Memo]]="Browser:chrome os:android","平板報工",IF(record[[#This Row],[Memo]]=0,"委外",record[[#This Row],[Memo]]))</f>
        <v>覆回</v>
      </c>
      <c r="O6207" t="s">
        <v>682</v>
      </c>
      <c r="P6207" t="s">
        <v>141</v>
      </c>
      <c r="Q6207" t="s">
        <v>58</v>
      </c>
      <c r="R6207" t="str">
        <f>IFERROR(VLOOKUP(record[[#This Row],[PCUSTID]],廠商[],2,FALSE),"")</f>
        <v/>
      </c>
      <c r="S6207" t="str">
        <f>VLOOKUP(record[[#This Row],[employeeID]],員工[],2,FALSE)</f>
        <v>蔣梅</v>
      </c>
    </row>
    <row r="6208" spans="6:19" hidden="1" x14ac:dyDescent="0.25">
      <c r="F6208" t="s">
        <v>1255</v>
      </c>
      <c r="G6208" t="s">
        <v>398</v>
      </c>
      <c r="H6208" t="str">
        <f>VLOOKUP(record[[#This Row],[ProcessSN]],表格2_7[],2,FALSE)</f>
        <v>30-4118-018-550</v>
      </c>
      <c r="I6208" t="str">
        <f>VLOOKUP(record[[#This Row],[ProcessSN]],表格2_7[],3,FALSE)</f>
        <v>#08RCV</v>
      </c>
      <c r="J6208" t="s">
        <v>591</v>
      </c>
      <c r="K6208" s="195">
        <v>45995.656828703701</v>
      </c>
      <c r="L6208">
        <v>2</v>
      </c>
      <c r="M6208">
        <v>0</v>
      </c>
      <c r="N6208" s="98" t="str">
        <f>IF(record[[#This Row],[Memo]]="Browser:chrome os:android","平板報工",IF(record[[#This Row],[Memo]]=0,"委外",record[[#This Row],[Memo]]))</f>
        <v>覆回</v>
      </c>
      <c r="O6208" t="s">
        <v>682</v>
      </c>
      <c r="P6208" t="s">
        <v>141</v>
      </c>
      <c r="Q6208" t="s">
        <v>58</v>
      </c>
      <c r="R6208" t="str">
        <f>IFERROR(VLOOKUP(record[[#This Row],[PCUSTID]],廠商[],2,FALSE),"")</f>
        <v/>
      </c>
      <c r="S6208" t="str">
        <f>VLOOKUP(record[[#This Row],[employeeID]],員工[],2,FALSE)</f>
        <v>蔣梅</v>
      </c>
    </row>
    <row r="6209" spans="6:19" hidden="1" x14ac:dyDescent="0.25">
      <c r="F6209" t="s">
        <v>1286</v>
      </c>
      <c r="G6209" t="s">
        <v>356</v>
      </c>
      <c r="H6209" t="str">
        <f>VLOOKUP(record[[#This Row],[ProcessSN]],表格2_7[],2,FALSE)</f>
        <v>30-4118-018-450</v>
      </c>
      <c r="I6209" t="str">
        <f>VLOOKUP(record[[#This Row],[ProcessSN]],表格2_7[],3,FALSE)</f>
        <v>#08</v>
      </c>
      <c r="J6209" t="s">
        <v>597</v>
      </c>
      <c r="K6209" s="195">
        <v>45995.587581018517</v>
      </c>
      <c r="L6209">
        <v>248</v>
      </c>
      <c r="M6209">
        <v>0</v>
      </c>
      <c r="N6209" s="98" t="str">
        <f>IF(record[[#This Row],[Memo]]="Browser:chrome os:android","平板報工",IF(record[[#This Row],[Memo]]=0,"委外",record[[#This Row],[Memo]]))</f>
        <v>委外</v>
      </c>
      <c r="P6209" t="s">
        <v>186</v>
      </c>
      <c r="Q6209" t="s">
        <v>287</v>
      </c>
      <c r="R6209" t="str">
        <f>IFERROR(VLOOKUP(record[[#This Row],[PCUSTID]],廠商[],2,FALSE),"")</f>
        <v>泉盛</v>
      </c>
      <c r="S6209" t="str">
        <f>VLOOKUP(record[[#This Row],[employeeID]],員工[],2,FALSE)</f>
        <v>許文姍</v>
      </c>
    </row>
    <row r="6210" spans="6:19" hidden="1" x14ac:dyDescent="0.25">
      <c r="F6210" t="s">
        <v>1181</v>
      </c>
      <c r="G6210" t="s">
        <v>428</v>
      </c>
      <c r="H6210" t="str">
        <f>VLOOKUP(record[[#This Row],[ProcessSN]],表格2_7[],2,FALSE)</f>
        <v>30-4118-018-600</v>
      </c>
      <c r="I6210" t="str">
        <f>VLOOKUP(record[[#This Row],[ProcessSN]],表格2_7[],3,FALSE)</f>
        <v>#100SHIP</v>
      </c>
      <c r="J6210" t="s">
        <v>600</v>
      </c>
      <c r="K6210" s="195">
        <v>45995.547835648147</v>
      </c>
      <c r="L6210">
        <v>126</v>
      </c>
      <c r="M6210">
        <v>0</v>
      </c>
      <c r="N6210" s="98" t="str">
        <f>IF(record[[#This Row],[Memo]]="Browser:chrome os:android","平板報工",IF(record[[#This Row],[Memo]]=0,"委外",record[[#This Row],[Memo]]))</f>
        <v/>
      </c>
      <c r="O6210" t="s">
        <v>58</v>
      </c>
      <c r="P6210" t="s">
        <v>886</v>
      </c>
      <c r="Q6210" t="s">
        <v>58</v>
      </c>
      <c r="R6210" t="str">
        <f>IFERROR(VLOOKUP(record[[#This Row],[PCUSTID]],廠商[],2,FALSE),"")</f>
        <v/>
      </c>
      <c r="S6210" t="str">
        <f>VLOOKUP(record[[#This Row],[employeeID]],員工[],2,FALSE)</f>
        <v>謝蓁薰</v>
      </c>
    </row>
    <row r="6211" spans="6:19" hidden="1" x14ac:dyDescent="0.25">
      <c r="F6211" t="s">
        <v>1237</v>
      </c>
      <c r="G6211" t="s">
        <v>403</v>
      </c>
      <c r="H6211" t="str">
        <f>VLOOKUP(record[[#This Row],[ProcessSN]],表格2_7[],2,FALSE)</f>
        <v>30-4118-018-550</v>
      </c>
      <c r="I6211" t="str">
        <f>VLOOKUP(record[[#This Row],[ProcessSN]],表格2_7[],3,FALSE)</f>
        <v>#100SHIP</v>
      </c>
      <c r="J6211" t="s">
        <v>600</v>
      </c>
      <c r="K6211" s="195">
        <v>45995.547615740739</v>
      </c>
      <c r="L6211">
        <v>21</v>
      </c>
      <c r="M6211">
        <v>0</v>
      </c>
      <c r="N6211" s="98" t="str">
        <f>IF(record[[#This Row],[Memo]]="Browser:chrome os:android","平板報工",IF(record[[#This Row],[Memo]]=0,"委外",record[[#This Row],[Memo]]))</f>
        <v/>
      </c>
      <c r="O6211" t="s">
        <v>58</v>
      </c>
      <c r="P6211" t="s">
        <v>886</v>
      </c>
      <c r="Q6211" t="s">
        <v>58</v>
      </c>
      <c r="R6211" t="str">
        <f>IFERROR(VLOOKUP(record[[#This Row],[PCUSTID]],廠商[],2,FALSE),"")</f>
        <v/>
      </c>
      <c r="S6211" t="str">
        <f>VLOOKUP(record[[#This Row],[employeeID]],員工[],2,FALSE)</f>
        <v>謝蓁薰</v>
      </c>
    </row>
    <row r="6212" spans="6:19" hidden="1" x14ac:dyDescent="0.25">
      <c r="F6212" t="s">
        <v>1233</v>
      </c>
      <c r="G6212" t="s">
        <v>403</v>
      </c>
      <c r="H6212" t="str">
        <f>VLOOKUP(record[[#This Row],[ProcessSN]],表格2_7[],2,FALSE)</f>
        <v>30-4118-018-550</v>
      </c>
      <c r="I6212" t="str">
        <f>VLOOKUP(record[[#This Row],[ProcessSN]],表格2_7[],3,FALSE)</f>
        <v>#100SHIP</v>
      </c>
      <c r="J6212" t="s">
        <v>600</v>
      </c>
      <c r="K6212" s="195">
        <v>45995.547465277778</v>
      </c>
      <c r="L6212">
        <v>159</v>
      </c>
      <c r="M6212">
        <v>0</v>
      </c>
      <c r="N6212" s="98" t="str">
        <f>IF(record[[#This Row],[Memo]]="Browser:chrome os:android","平板報工",IF(record[[#This Row],[Memo]]=0,"委外",record[[#This Row],[Memo]]))</f>
        <v/>
      </c>
      <c r="O6212" t="s">
        <v>58</v>
      </c>
      <c r="P6212" t="s">
        <v>886</v>
      </c>
      <c r="Q6212" t="s">
        <v>58</v>
      </c>
      <c r="R6212" t="str">
        <f>IFERROR(VLOOKUP(record[[#This Row],[PCUSTID]],廠商[],2,FALSE),"")</f>
        <v/>
      </c>
      <c r="S6212" t="str">
        <f>VLOOKUP(record[[#This Row],[employeeID]],員工[],2,FALSE)</f>
        <v>謝蓁薰</v>
      </c>
    </row>
    <row r="6213" spans="6:19" hidden="1" x14ac:dyDescent="0.25">
      <c r="F6213" t="s">
        <v>1286</v>
      </c>
      <c r="G6213" t="s">
        <v>355</v>
      </c>
      <c r="H6213" t="str">
        <f>VLOOKUP(record[[#This Row],[ProcessSN]],表格2_7[],2,FALSE)</f>
        <v>30-4118-018-450</v>
      </c>
      <c r="I6213" t="str">
        <f>VLOOKUP(record[[#This Row],[ProcessSN]],表格2_7[],3,FALSE)</f>
        <v>#08PICK</v>
      </c>
      <c r="J6213" t="s">
        <v>582</v>
      </c>
      <c r="K6213" s="195">
        <v>45995.433356481481</v>
      </c>
      <c r="L6213">
        <v>248</v>
      </c>
      <c r="M6213">
        <v>0</v>
      </c>
      <c r="N6213" s="98" t="str">
        <f>IF(record[[#This Row],[Memo]]="Browser:chrome os:android","平板報工",IF(record[[#This Row],[Memo]]=0,"委外",record[[#This Row],[Memo]]))</f>
        <v/>
      </c>
      <c r="O6213" t="s">
        <v>58</v>
      </c>
      <c r="P6213" t="s">
        <v>186</v>
      </c>
      <c r="Q6213" t="s">
        <v>58</v>
      </c>
      <c r="R6213" t="str">
        <f>IFERROR(VLOOKUP(record[[#This Row],[PCUSTID]],廠商[],2,FALSE),"")</f>
        <v/>
      </c>
      <c r="S6213" t="str">
        <f>VLOOKUP(record[[#This Row],[employeeID]],員工[],2,FALSE)</f>
        <v>許文姍</v>
      </c>
    </row>
    <row r="6214" spans="6:19" hidden="1" x14ac:dyDescent="0.25">
      <c r="F6214" t="s">
        <v>1270</v>
      </c>
      <c r="G6214" t="s">
        <v>379</v>
      </c>
      <c r="H6214" t="str">
        <f>VLOOKUP(record[[#This Row],[ProcessSN]],表格2_7[],2,FALSE)</f>
        <v>30-4118-018-4XX</v>
      </c>
      <c r="I6214" t="str">
        <f>VLOOKUP(record[[#This Row],[ProcessSN]],表格2_7[],3,FALSE)</f>
        <v>#07STOCK</v>
      </c>
      <c r="J6214" t="s">
        <v>592</v>
      </c>
      <c r="K6214" s="195">
        <v>45995.430138888885</v>
      </c>
      <c r="L6214">
        <v>248</v>
      </c>
      <c r="M6214">
        <v>0</v>
      </c>
      <c r="N6214" s="98" t="str">
        <f>IF(record[[#This Row],[Memo]]="Browser:chrome os:android","平板報工",IF(record[[#This Row],[Memo]]=0,"委外",record[[#This Row],[Memo]]))</f>
        <v/>
      </c>
      <c r="O6214" t="s">
        <v>58</v>
      </c>
      <c r="P6214" t="s">
        <v>186</v>
      </c>
      <c r="Q6214" t="s">
        <v>58</v>
      </c>
      <c r="R6214" t="str">
        <f>IFERROR(VLOOKUP(record[[#This Row],[PCUSTID]],廠商[],2,FALSE),"")</f>
        <v/>
      </c>
      <c r="S6214" t="str">
        <f>VLOOKUP(record[[#This Row],[employeeID]],員工[],2,FALSE)</f>
        <v>許文姍</v>
      </c>
    </row>
    <row r="6215" spans="6:19" hidden="1" x14ac:dyDescent="0.25">
      <c r="F6215" t="s">
        <v>1270</v>
      </c>
      <c r="G6215" t="s">
        <v>378</v>
      </c>
      <c r="H6215" t="str">
        <f>VLOOKUP(record[[#This Row],[ProcessSN]],表格2_7[],2,FALSE)</f>
        <v>30-4118-018-4XX</v>
      </c>
      <c r="I6215" t="str">
        <f>VLOOKUP(record[[#This Row],[ProcessSN]],表格2_7[],3,FALSE)</f>
        <v>#07QC</v>
      </c>
      <c r="J6215" t="s">
        <v>589</v>
      </c>
      <c r="K6215" s="195">
        <v>45995.407777777778</v>
      </c>
      <c r="L6215">
        <v>248</v>
      </c>
      <c r="M6215">
        <v>0</v>
      </c>
      <c r="N6215" s="98" t="str">
        <f>IF(record[[#This Row],[Memo]]="Browser:chrome os:android","平板報工",IF(record[[#This Row],[Memo]]=0,"委外",record[[#This Row],[Memo]]))</f>
        <v>平板報工</v>
      </c>
      <c r="O6215" t="s">
        <v>643</v>
      </c>
      <c r="P6215" t="s">
        <v>141</v>
      </c>
      <c r="Q6215" t="s">
        <v>644</v>
      </c>
      <c r="R6215" t="str">
        <f>IFERROR(VLOOKUP(record[[#This Row],[PCUSTID]],廠商[],2,FALSE),"")</f>
        <v/>
      </c>
      <c r="S6215" t="str">
        <f>VLOOKUP(record[[#This Row],[employeeID]],員工[],2,FALSE)</f>
        <v>蔣梅</v>
      </c>
    </row>
    <row r="6216" spans="6:19" hidden="1" x14ac:dyDescent="0.25">
      <c r="F6216" t="s">
        <v>1285</v>
      </c>
      <c r="G6216" t="s">
        <v>462</v>
      </c>
      <c r="H6216" t="str">
        <f>VLOOKUP(record[[#This Row],[ProcessSN]],表格2_7[],2,FALSE)</f>
        <v>30-4118-018-XXX</v>
      </c>
      <c r="I6216" t="str">
        <f>VLOOKUP(record[[#This Row],[ProcessSN]],表格2_7[],3,FALSE)</f>
        <v>#00PICK</v>
      </c>
      <c r="J6216" t="s">
        <v>582</v>
      </c>
      <c r="K6216" s="195">
        <v>45995.39880787037</v>
      </c>
      <c r="L6216">
        <v>5000</v>
      </c>
      <c r="M6216">
        <v>0</v>
      </c>
      <c r="N6216" s="98" t="str">
        <f>IF(record[[#This Row],[Memo]]="Browser:chrome os:android","平板報工",IF(record[[#This Row],[Memo]]=0,"委外",record[[#This Row],[Memo]]))</f>
        <v/>
      </c>
      <c r="O6216" t="s">
        <v>58</v>
      </c>
      <c r="P6216" t="s">
        <v>113</v>
      </c>
      <c r="Q6216" t="s">
        <v>58</v>
      </c>
      <c r="R6216" t="str">
        <f>IFERROR(VLOOKUP(record[[#This Row],[PCUSTID]],廠商[],2,FALSE),"")</f>
        <v/>
      </c>
      <c r="S6216" t="str">
        <f>VLOOKUP(record[[#This Row],[employeeID]],員工[],2,FALSE)</f>
        <v>王奕蓁</v>
      </c>
    </row>
    <row r="6217" spans="6:19" hidden="1" x14ac:dyDescent="0.25">
      <c r="F6217" t="s">
        <v>1237</v>
      </c>
      <c r="G6217" t="s">
        <v>402</v>
      </c>
      <c r="H6217" t="str">
        <f>VLOOKUP(record[[#This Row],[ProcessSN]],表格2_7[],2,FALSE)</f>
        <v>30-4118-018-550</v>
      </c>
      <c r="I6217" t="str">
        <f>VLOOKUP(record[[#This Row],[ProcessSN]],表格2_7[],3,FALSE)</f>
        <v>#100STOCK</v>
      </c>
      <c r="J6217" t="s">
        <v>592</v>
      </c>
      <c r="K6217" s="195">
        <v>45995.359618055554</v>
      </c>
      <c r="L6217">
        <v>21</v>
      </c>
      <c r="M6217">
        <v>0</v>
      </c>
      <c r="N6217" s="98" t="str">
        <f>IF(record[[#This Row],[Memo]]="Browser:chrome os:android","平板報工",IF(record[[#This Row],[Memo]]=0,"委外",record[[#This Row],[Memo]]))</f>
        <v/>
      </c>
      <c r="O6217" t="s">
        <v>58</v>
      </c>
      <c r="P6217" t="s">
        <v>886</v>
      </c>
      <c r="Q6217" t="s">
        <v>58</v>
      </c>
      <c r="R6217" t="str">
        <f>IFERROR(VLOOKUP(record[[#This Row],[PCUSTID]],廠商[],2,FALSE),"")</f>
        <v/>
      </c>
      <c r="S6217" t="str">
        <f>VLOOKUP(record[[#This Row],[employeeID]],員工[],2,FALSE)</f>
        <v>謝蓁薰</v>
      </c>
    </row>
    <row r="6218" spans="6:19" hidden="1" x14ac:dyDescent="0.25">
      <c r="F6218" t="s">
        <v>1270</v>
      </c>
      <c r="G6218" t="s">
        <v>377</v>
      </c>
      <c r="H6218" t="str">
        <f>VLOOKUP(record[[#This Row],[ProcessSN]],表格2_7[],2,FALSE)</f>
        <v>30-4118-018-4XX</v>
      </c>
      <c r="I6218" t="str">
        <f>VLOOKUP(record[[#This Row],[ProcessSN]],表格2_7[],3,FALSE)</f>
        <v>#07</v>
      </c>
      <c r="J6218" t="s">
        <v>588</v>
      </c>
      <c r="K6218" s="195">
        <v>45995.30369212963</v>
      </c>
      <c r="L6218">
        <v>143</v>
      </c>
      <c r="M6218">
        <v>0</v>
      </c>
      <c r="N6218" s="98" t="str">
        <f>IF(record[[#This Row],[Memo]]="Browser:chrome os:android","平板報工",IF(record[[#This Row],[Memo]]=0,"委外",record[[#This Row],[Memo]]))</f>
        <v/>
      </c>
      <c r="O6218" t="s">
        <v>58</v>
      </c>
      <c r="P6218" t="s">
        <v>135</v>
      </c>
      <c r="Q6218" t="s">
        <v>58</v>
      </c>
      <c r="R6218" t="str">
        <f>IFERROR(VLOOKUP(record[[#This Row],[PCUSTID]],廠商[],2,FALSE),"")</f>
        <v/>
      </c>
      <c r="S6218" t="str">
        <f>VLOOKUP(record[[#This Row],[employeeID]],員工[],2,FALSE)</f>
        <v>阮士文</v>
      </c>
    </row>
    <row r="6219" spans="6:19" hidden="1" x14ac:dyDescent="0.25">
      <c r="F6219" t="s">
        <v>1270</v>
      </c>
      <c r="G6219" t="s">
        <v>376</v>
      </c>
      <c r="H6219" t="str">
        <f>VLOOKUP(record[[#This Row],[ProcessSN]],表格2_7[],2,FALSE)</f>
        <v>30-4118-018-4XX</v>
      </c>
      <c r="I6219" t="str">
        <f>VLOOKUP(record[[#This Row],[ProcessSN]],表格2_7[],3,FALSE)</f>
        <v>#06</v>
      </c>
      <c r="J6219" t="s">
        <v>593</v>
      </c>
      <c r="K6219" s="195">
        <v>45995.303541666668</v>
      </c>
      <c r="L6219">
        <v>130</v>
      </c>
      <c r="M6219">
        <v>0</v>
      </c>
      <c r="N6219" s="98" t="str">
        <f>IF(record[[#This Row],[Memo]]="Browser:chrome os:android","平板報工",IF(record[[#This Row],[Memo]]=0,"委外",record[[#This Row],[Memo]]))</f>
        <v/>
      </c>
      <c r="O6219" t="s">
        <v>58</v>
      </c>
      <c r="P6219" t="s">
        <v>135</v>
      </c>
      <c r="Q6219" t="s">
        <v>58</v>
      </c>
      <c r="R6219" t="str">
        <f>IFERROR(VLOOKUP(record[[#This Row],[PCUSTID]],廠商[],2,FALSE),"")</f>
        <v/>
      </c>
      <c r="S6219" t="str">
        <f>VLOOKUP(record[[#This Row],[employeeID]],員工[],2,FALSE)</f>
        <v>阮士文</v>
      </c>
    </row>
    <row r="6220" spans="6:19" hidden="1" x14ac:dyDescent="0.25">
      <c r="F6220" t="s">
        <v>1270</v>
      </c>
      <c r="G6220" t="s">
        <v>375</v>
      </c>
      <c r="H6220" t="str">
        <f>VLOOKUP(record[[#This Row],[ProcessSN]],表格2_7[],2,FALSE)</f>
        <v>30-4118-018-4XX</v>
      </c>
      <c r="I6220" t="str">
        <f>VLOOKUP(record[[#This Row],[ProcessSN]],表格2_7[],3,FALSE)</f>
        <v>#05</v>
      </c>
      <c r="J6220" t="s">
        <v>588</v>
      </c>
      <c r="K6220" s="195">
        <v>45995.303344907406</v>
      </c>
      <c r="L6220">
        <v>129</v>
      </c>
      <c r="M6220">
        <v>0</v>
      </c>
      <c r="N6220" s="98" t="str">
        <f>IF(record[[#This Row],[Memo]]="Browser:chrome os:android","平板報工",IF(record[[#This Row],[Memo]]=0,"委外",record[[#This Row],[Memo]]))</f>
        <v/>
      </c>
      <c r="O6220" t="s">
        <v>58</v>
      </c>
      <c r="P6220" t="s">
        <v>135</v>
      </c>
      <c r="Q6220" t="s">
        <v>58</v>
      </c>
      <c r="R6220" t="str">
        <f>IFERROR(VLOOKUP(record[[#This Row],[PCUSTID]],廠商[],2,FALSE),"")</f>
        <v/>
      </c>
      <c r="S6220" t="str">
        <f>VLOOKUP(record[[#This Row],[employeeID]],員工[],2,FALSE)</f>
        <v>阮士文</v>
      </c>
    </row>
    <row r="6221" spans="6:19" hidden="1" x14ac:dyDescent="0.25">
      <c r="F6221" t="s">
        <v>1270</v>
      </c>
      <c r="G6221" t="s">
        <v>374</v>
      </c>
      <c r="H6221" t="str">
        <f>VLOOKUP(record[[#This Row],[ProcessSN]],表格2_7[],2,FALSE)</f>
        <v>30-4118-018-4XX</v>
      </c>
      <c r="I6221" t="str">
        <f>VLOOKUP(record[[#This Row],[ProcessSN]],表格2_7[],3,FALSE)</f>
        <v>#04</v>
      </c>
      <c r="J6221" t="s">
        <v>588</v>
      </c>
      <c r="K6221" s="195">
        <v>45995.303182870368</v>
      </c>
      <c r="L6221">
        <v>129</v>
      </c>
      <c r="M6221">
        <v>8</v>
      </c>
      <c r="N6221" s="98" t="str">
        <f>IF(record[[#This Row],[Memo]]="Browser:chrome os:android","平板報工",IF(record[[#This Row],[Memo]]=0,"委外",record[[#This Row],[Memo]]))</f>
        <v/>
      </c>
      <c r="O6221" t="s">
        <v>58</v>
      </c>
      <c r="P6221" t="s">
        <v>135</v>
      </c>
      <c r="Q6221" t="s">
        <v>58</v>
      </c>
      <c r="R6221" t="str">
        <f>IFERROR(VLOOKUP(record[[#This Row],[PCUSTID]],廠商[],2,FALSE),"")</f>
        <v/>
      </c>
      <c r="S6221" t="str">
        <f>VLOOKUP(record[[#This Row],[employeeID]],員工[],2,FALSE)</f>
        <v>阮士文</v>
      </c>
    </row>
    <row r="6222" spans="6:19" hidden="1" x14ac:dyDescent="0.25">
      <c r="F6222" t="s">
        <v>1270</v>
      </c>
      <c r="G6222" t="s">
        <v>375</v>
      </c>
      <c r="H6222" t="str">
        <f>VLOOKUP(record[[#This Row],[ProcessSN]],表格2_7[],2,FALSE)</f>
        <v>30-4118-018-4XX</v>
      </c>
      <c r="I6222" t="str">
        <f>VLOOKUP(record[[#This Row],[ProcessSN]],表格2_7[],3,FALSE)</f>
        <v>#05</v>
      </c>
      <c r="J6222" t="s">
        <v>588</v>
      </c>
      <c r="K6222" s="195">
        <v>45995.115520833337</v>
      </c>
      <c r="L6222">
        <v>135</v>
      </c>
      <c r="M6222">
        <v>0</v>
      </c>
      <c r="N6222" s="98" t="str">
        <f>IF(record[[#This Row],[Memo]]="Browser:chrome os:android","平板報工",IF(record[[#This Row],[Memo]]=0,"委外",record[[#This Row],[Memo]]))</f>
        <v>中12/3</v>
      </c>
      <c r="O6222" t="s">
        <v>1284</v>
      </c>
      <c r="P6222" t="s">
        <v>135</v>
      </c>
      <c r="Q6222" t="s">
        <v>58</v>
      </c>
      <c r="R6222" t="str">
        <f>IFERROR(VLOOKUP(record[[#This Row],[PCUSTID]],廠商[],2,FALSE),"")</f>
        <v/>
      </c>
      <c r="S6222" t="str">
        <f>VLOOKUP(record[[#This Row],[employeeID]],員工[],2,FALSE)</f>
        <v>阮士文</v>
      </c>
    </row>
    <row r="6223" spans="6:19" hidden="1" x14ac:dyDescent="0.25">
      <c r="F6223" t="s">
        <v>1270</v>
      </c>
      <c r="G6223" t="s">
        <v>374</v>
      </c>
      <c r="H6223" t="str">
        <f>VLOOKUP(record[[#This Row],[ProcessSN]],表格2_7[],2,FALSE)</f>
        <v>30-4118-018-4XX</v>
      </c>
      <c r="I6223" t="str">
        <f>VLOOKUP(record[[#This Row],[ProcessSN]],表格2_7[],3,FALSE)</f>
        <v>#04</v>
      </c>
      <c r="J6223" t="s">
        <v>588</v>
      </c>
      <c r="K6223" s="195">
        <v>45995.115069444444</v>
      </c>
      <c r="L6223">
        <v>135</v>
      </c>
      <c r="M6223">
        <v>0</v>
      </c>
      <c r="N6223" s="98" t="str">
        <f>IF(record[[#This Row],[Memo]]="Browser:chrome os:android","平板報工",IF(record[[#This Row],[Memo]]=0,"委外",record[[#This Row],[Memo]]))</f>
        <v>中12/3</v>
      </c>
      <c r="O6223" t="s">
        <v>1284</v>
      </c>
      <c r="P6223" t="s">
        <v>135</v>
      </c>
      <c r="Q6223" t="s">
        <v>58</v>
      </c>
      <c r="R6223" t="str">
        <f>IFERROR(VLOOKUP(record[[#This Row],[PCUSTID]],廠商[],2,FALSE),"")</f>
        <v/>
      </c>
      <c r="S6223" t="str">
        <f>VLOOKUP(record[[#This Row],[employeeID]],員工[],2,FALSE)</f>
        <v>阮士文</v>
      </c>
    </row>
    <row r="6224" spans="6:19" hidden="1" x14ac:dyDescent="0.25">
      <c r="F6224" t="s">
        <v>1270</v>
      </c>
      <c r="G6224" t="s">
        <v>377</v>
      </c>
      <c r="H6224" t="str">
        <f>VLOOKUP(record[[#This Row],[ProcessSN]],表格2_7[],2,FALSE)</f>
        <v>30-4118-018-4XX</v>
      </c>
      <c r="I6224" t="str">
        <f>VLOOKUP(record[[#This Row],[ProcessSN]],表格2_7[],3,FALSE)</f>
        <v>#07</v>
      </c>
      <c r="J6224" t="s">
        <v>588</v>
      </c>
      <c r="K6224" s="195">
        <v>45994.959479166668</v>
      </c>
      <c r="L6224">
        <v>120</v>
      </c>
      <c r="M6224">
        <v>0</v>
      </c>
      <c r="N6224" s="98" t="str">
        <f>IF(record[[#This Row],[Memo]]="Browser:chrome os:android","平板報工",IF(record[[#This Row],[Memo]]=0,"委外",record[[#This Row],[Memo]]))</f>
        <v/>
      </c>
      <c r="O6224" t="s">
        <v>58</v>
      </c>
      <c r="P6224" t="s">
        <v>89</v>
      </c>
      <c r="Q6224" t="s">
        <v>58</v>
      </c>
      <c r="R6224" t="str">
        <f>IFERROR(VLOOKUP(record[[#This Row],[PCUSTID]],廠商[],2,FALSE),"")</f>
        <v/>
      </c>
      <c r="S6224" t="str">
        <f>VLOOKUP(record[[#This Row],[employeeID]],員工[],2,FALSE)</f>
        <v>李美蓮</v>
      </c>
    </row>
    <row r="6225" spans="6:19" hidden="1" x14ac:dyDescent="0.25">
      <c r="F6225" t="s">
        <v>1270</v>
      </c>
      <c r="G6225" t="s">
        <v>376</v>
      </c>
      <c r="H6225" t="str">
        <f>VLOOKUP(record[[#This Row],[ProcessSN]],表格2_7[],2,FALSE)</f>
        <v>30-4118-018-4XX</v>
      </c>
      <c r="I6225" t="str">
        <f>VLOOKUP(record[[#This Row],[ProcessSN]],表格2_7[],3,FALSE)</f>
        <v>#06</v>
      </c>
      <c r="J6225" t="s">
        <v>593</v>
      </c>
      <c r="K6225" s="195">
        <v>45994.958599537036</v>
      </c>
      <c r="L6225">
        <v>133</v>
      </c>
      <c r="M6225">
        <v>0</v>
      </c>
      <c r="N6225" s="98" t="str">
        <f>IF(record[[#This Row],[Memo]]="Browser:chrome os:android","平板報工",IF(record[[#This Row],[Memo]]=0,"委外",record[[#This Row],[Memo]]))</f>
        <v/>
      </c>
      <c r="O6225" t="s">
        <v>58</v>
      </c>
      <c r="P6225" t="s">
        <v>176</v>
      </c>
      <c r="Q6225" t="s">
        <v>58</v>
      </c>
      <c r="R6225" t="str">
        <f>IFERROR(VLOOKUP(record[[#This Row],[PCUSTID]],廠商[],2,FALSE),"")</f>
        <v/>
      </c>
      <c r="S6225" t="str">
        <f>VLOOKUP(record[[#This Row],[employeeID]],員工[],2,FALSE)</f>
        <v>郭政雄</v>
      </c>
    </row>
    <row r="6226" spans="6:19" hidden="1" x14ac:dyDescent="0.25">
      <c r="F6226" t="s">
        <v>1275</v>
      </c>
      <c r="G6226" t="s">
        <v>414</v>
      </c>
      <c r="H6226" t="str">
        <f>VLOOKUP(record[[#This Row],[ProcessSN]],表格2_7[],2,FALSE)</f>
        <v>30-4118-018-5XX</v>
      </c>
      <c r="I6226" t="str">
        <f>VLOOKUP(record[[#This Row],[ProcessSN]],表格2_7[],3,FALSE)</f>
        <v>#03</v>
      </c>
      <c r="J6226" t="s">
        <v>588</v>
      </c>
      <c r="K6226" s="195">
        <v>45994.953206018516</v>
      </c>
      <c r="L6226">
        <v>600</v>
      </c>
      <c r="M6226">
        <v>0</v>
      </c>
      <c r="N6226" s="98" t="str">
        <f>IF(record[[#This Row],[Memo]]="Browser:chrome os:android","平板報工",IF(record[[#This Row],[Memo]]=0,"委外",record[[#This Row],[Memo]]))</f>
        <v/>
      </c>
      <c r="O6226" t="s">
        <v>58</v>
      </c>
      <c r="P6226" t="s">
        <v>806</v>
      </c>
      <c r="Q6226" t="s">
        <v>58</v>
      </c>
      <c r="R6226" t="str">
        <f>IFERROR(VLOOKUP(record[[#This Row],[PCUSTID]],廠商[],2,FALSE),"")</f>
        <v/>
      </c>
      <c r="S6226" t="str">
        <f>VLOOKUP(record[[#This Row],[employeeID]],員工[],2,FALSE)</f>
        <v>方思緯</v>
      </c>
    </row>
    <row r="6227" spans="6:19" hidden="1" x14ac:dyDescent="0.25">
      <c r="F6227" t="s">
        <v>942</v>
      </c>
      <c r="G6227" t="s">
        <v>362</v>
      </c>
      <c r="H6227" t="str">
        <f>VLOOKUP(record[[#This Row],[ProcessSN]],表格2_7[],2,FALSE)</f>
        <v>30-4118-018-450</v>
      </c>
      <c r="I6227" t="str">
        <f>VLOOKUP(record[[#This Row],[ProcessSN]],表格2_7[],3,FALSE)</f>
        <v>#100SHIP</v>
      </c>
      <c r="J6227" t="s">
        <v>600</v>
      </c>
      <c r="K6227" s="195">
        <v>45994.820729166669</v>
      </c>
      <c r="L6227">
        <v>3</v>
      </c>
      <c r="M6227">
        <v>0</v>
      </c>
      <c r="N6227" s="98" t="str">
        <f>IF(record[[#This Row],[Memo]]="Browser:chrome os:android","平板報工",IF(record[[#This Row],[Memo]]=0,"委外",record[[#This Row],[Memo]]))</f>
        <v>出組裝</v>
      </c>
      <c r="O6227" t="s">
        <v>1283</v>
      </c>
      <c r="P6227" t="s">
        <v>113</v>
      </c>
      <c r="Q6227" t="s">
        <v>58</v>
      </c>
      <c r="R6227" t="str">
        <f>IFERROR(VLOOKUP(record[[#This Row],[PCUSTID]],廠商[],2,FALSE),"")</f>
        <v/>
      </c>
      <c r="S6227" t="str">
        <f>VLOOKUP(record[[#This Row],[employeeID]],員工[],2,FALSE)</f>
        <v>王奕蓁</v>
      </c>
    </row>
    <row r="6228" spans="6:19" hidden="1" x14ac:dyDescent="0.25">
      <c r="F6228" t="s">
        <v>942</v>
      </c>
      <c r="G6228" t="s">
        <v>361</v>
      </c>
      <c r="H6228" t="str">
        <f>VLOOKUP(record[[#This Row],[ProcessSN]],表格2_7[],2,FALSE)</f>
        <v>30-4118-018-450</v>
      </c>
      <c r="I6228" t="str">
        <f>VLOOKUP(record[[#This Row],[ProcessSN]],表格2_7[],3,FALSE)</f>
        <v>#100STOCK</v>
      </c>
      <c r="J6228" t="s">
        <v>592</v>
      </c>
      <c r="K6228" s="195">
        <v>45994.820520833331</v>
      </c>
      <c r="L6228">
        <v>3</v>
      </c>
      <c r="M6228">
        <v>0</v>
      </c>
      <c r="N6228" s="98" t="str">
        <f>IF(record[[#This Row],[Memo]]="Browser:chrome os:android","平板報工",IF(record[[#This Row],[Memo]]=0,"委外",record[[#This Row],[Memo]]))</f>
        <v/>
      </c>
      <c r="O6228" t="s">
        <v>58</v>
      </c>
      <c r="P6228" t="s">
        <v>113</v>
      </c>
      <c r="Q6228" t="s">
        <v>58</v>
      </c>
      <c r="R6228" t="str">
        <f>IFERROR(VLOOKUP(record[[#This Row],[PCUSTID]],廠商[],2,FALSE),"")</f>
        <v/>
      </c>
      <c r="S6228" t="str">
        <f>VLOOKUP(record[[#This Row],[employeeID]],員工[],2,FALSE)</f>
        <v>王奕蓁</v>
      </c>
    </row>
    <row r="6229" spans="6:19" hidden="1" x14ac:dyDescent="0.25">
      <c r="F6229" t="s">
        <v>938</v>
      </c>
      <c r="G6229" t="s">
        <v>362</v>
      </c>
      <c r="H6229" t="str">
        <f>VLOOKUP(record[[#This Row],[ProcessSN]],表格2_7[],2,FALSE)</f>
        <v>30-4118-018-450</v>
      </c>
      <c r="I6229" t="str">
        <f>VLOOKUP(record[[#This Row],[ProcessSN]],表格2_7[],3,FALSE)</f>
        <v>#100SHIP</v>
      </c>
      <c r="J6229" t="s">
        <v>600</v>
      </c>
      <c r="K6229" s="195">
        <v>45994.820370370369</v>
      </c>
      <c r="L6229">
        <v>3</v>
      </c>
      <c r="M6229">
        <v>0</v>
      </c>
      <c r="N6229" s="98" t="str">
        <f>IF(record[[#This Row],[Memo]]="Browser:chrome os:android","平板報工",IF(record[[#This Row],[Memo]]=0,"委外",record[[#This Row],[Memo]]))</f>
        <v>出組裝</v>
      </c>
      <c r="O6229" t="s">
        <v>1283</v>
      </c>
      <c r="P6229" t="s">
        <v>113</v>
      </c>
      <c r="Q6229" t="s">
        <v>58</v>
      </c>
      <c r="R6229" t="str">
        <f>IFERROR(VLOOKUP(record[[#This Row],[PCUSTID]],廠商[],2,FALSE),"")</f>
        <v/>
      </c>
      <c r="S6229" t="str">
        <f>VLOOKUP(record[[#This Row],[employeeID]],員工[],2,FALSE)</f>
        <v>王奕蓁</v>
      </c>
    </row>
    <row r="6230" spans="6:19" hidden="1" x14ac:dyDescent="0.25">
      <c r="F6230" t="s">
        <v>938</v>
      </c>
      <c r="G6230" t="s">
        <v>361</v>
      </c>
      <c r="H6230" t="str">
        <f>VLOOKUP(record[[#This Row],[ProcessSN]],表格2_7[],2,FALSE)</f>
        <v>30-4118-018-450</v>
      </c>
      <c r="I6230" t="str">
        <f>VLOOKUP(record[[#This Row],[ProcessSN]],表格2_7[],3,FALSE)</f>
        <v>#100STOCK</v>
      </c>
      <c r="J6230" t="s">
        <v>592</v>
      </c>
      <c r="K6230" s="195">
        <v>45994.820138888892</v>
      </c>
      <c r="L6230">
        <v>3</v>
      </c>
      <c r="M6230">
        <v>0</v>
      </c>
      <c r="N6230" s="98" t="str">
        <f>IF(record[[#This Row],[Memo]]="Browser:chrome os:android","平板報工",IF(record[[#This Row],[Memo]]=0,"委外",record[[#This Row],[Memo]]))</f>
        <v/>
      </c>
      <c r="O6230" t="s">
        <v>58</v>
      </c>
      <c r="P6230" t="s">
        <v>113</v>
      </c>
      <c r="Q6230" t="s">
        <v>58</v>
      </c>
      <c r="R6230" t="str">
        <f>IFERROR(VLOOKUP(record[[#This Row],[PCUSTID]],廠商[],2,FALSE),"")</f>
        <v/>
      </c>
      <c r="S6230" t="str">
        <f>VLOOKUP(record[[#This Row],[employeeID]],員工[],2,FALSE)</f>
        <v>王奕蓁</v>
      </c>
    </row>
    <row r="6231" spans="6:19" hidden="1" x14ac:dyDescent="0.25">
      <c r="F6231" t="s">
        <v>942</v>
      </c>
      <c r="G6231" t="s">
        <v>360</v>
      </c>
      <c r="H6231" t="str">
        <f>VLOOKUP(record[[#This Row],[ProcessSN]],表格2_7[],2,FALSE)</f>
        <v>30-4118-018-450</v>
      </c>
      <c r="I6231" t="str">
        <f>VLOOKUP(record[[#This Row],[ProcessSN]],表格2_7[],3,FALSE)</f>
        <v>#100OQC</v>
      </c>
      <c r="J6231" t="s">
        <v>599</v>
      </c>
      <c r="K6231" s="195">
        <v>45994.819965277777</v>
      </c>
      <c r="L6231">
        <v>3</v>
      </c>
      <c r="M6231">
        <v>0</v>
      </c>
      <c r="N6231" s="98" t="str">
        <f>IF(record[[#This Row],[Memo]]="Browser:chrome os:android","平板報工",IF(record[[#This Row],[Memo]]=0,"委外",record[[#This Row],[Memo]]))</f>
        <v>1.5露白 出組裝</v>
      </c>
      <c r="O6231" t="s">
        <v>1282</v>
      </c>
      <c r="P6231" t="s">
        <v>113</v>
      </c>
      <c r="Q6231" t="s">
        <v>58</v>
      </c>
      <c r="R6231" t="str">
        <f>IFERROR(VLOOKUP(record[[#This Row],[PCUSTID]],廠商[],2,FALSE),"")</f>
        <v/>
      </c>
      <c r="S6231" t="str">
        <f>VLOOKUP(record[[#This Row],[employeeID]],員工[],2,FALSE)</f>
        <v>王奕蓁</v>
      </c>
    </row>
    <row r="6232" spans="6:19" hidden="1" x14ac:dyDescent="0.25">
      <c r="F6232" t="s">
        <v>942</v>
      </c>
      <c r="G6232" t="s">
        <v>359</v>
      </c>
      <c r="H6232" t="str">
        <f>VLOOKUP(record[[#This Row],[ProcessSN]],表格2_7[],2,FALSE)</f>
        <v>30-4118-018-450</v>
      </c>
      <c r="I6232" t="str">
        <f>VLOOKUP(record[[#This Row],[ProcessSN]],表格2_7[],3,FALSE)</f>
        <v>#100</v>
      </c>
      <c r="J6232" t="s">
        <v>598</v>
      </c>
      <c r="K6232" s="195">
        <v>45994.818738425929</v>
      </c>
      <c r="L6232">
        <v>3</v>
      </c>
      <c r="M6232">
        <v>0</v>
      </c>
      <c r="N6232" s="98" t="str">
        <f>IF(record[[#This Row],[Memo]]="Browser:chrome os:android","平板報工",IF(record[[#This Row],[Memo]]=0,"委外",record[[#This Row],[Memo]]))</f>
        <v>1.5露白 出組裝</v>
      </c>
      <c r="O6232" t="s">
        <v>1282</v>
      </c>
      <c r="P6232" t="s">
        <v>113</v>
      </c>
      <c r="Q6232" t="s">
        <v>58</v>
      </c>
      <c r="R6232" t="str">
        <f>IFERROR(VLOOKUP(record[[#This Row],[PCUSTID]],廠商[],2,FALSE),"")</f>
        <v/>
      </c>
      <c r="S6232" t="str">
        <f>VLOOKUP(record[[#This Row],[employeeID]],員工[],2,FALSE)</f>
        <v>王奕蓁</v>
      </c>
    </row>
    <row r="6233" spans="6:19" hidden="1" x14ac:dyDescent="0.25">
      <c r="F6233" t="s">
        <v>938</v>
      </c>
      <c r="G6233" t="s">
        <v>360</v>
      </c>
      <c r="H6233" t="str">
        <f>VLOOKUP(record[[#This Row],[ProcessSN]],表格2_7[],2,FALSE)</f>
        <v>30-4118-018-450</v>
      </c>
      <c r="I6233" t="str">
        <f>VLOOKUP(record[[#This Row],[ProcessSN]],表格2_7[],3,FALSE)</f>
        <v>#100OQC</v>
      </c>
      <c r="J6233" t="s">
        <v>599</v>
      </c>
      <c r="K6233" s="195">
        <v>45994.726388888892</v>
      </c>
      <c r="L6233">
        <v>3</v>
      </c>
      <c r="M6233">
        <v>0</v>
      </c>
      <c r="N6233" s="98" t="str">
        <f>IF(record[[#This Row],[Memo]]="Browser:chrome os:android","平板報工",IF(record[[#This Row],[Memo]]=0,"委外",record[[#This Row],[Memo]]))</f>
        <v>1.5露白 出組裝</v>
      </c>
      <c r="O6233" t="s">
        <v>1282</v>
      </c>
      <c r="P6233" t="s">
        <v>113</v>
      </c>
      <c r="Q6233" t="s">
        <v>58</v>
      </c>
      <c r="R6233" t="str">
        <f>IFERROR(VLOOKUP(record[[#This Row],[PCUSTID]],廠商[],2,FALSE),"")</f>
        <v/>
      </c>
      <c r="S6233" t="str">
        <f>VLOOKUP(record[[#This Row],[employeeID]],員工[],2,FALSE)</f>
        <v>王奕蓁</v>
      </c>
    </row>
    <row r="6234" spans="6:19" hidden="1" x14ac:dyDescent="0.25">
      <c r="F6234" t="s">
        <v>938</v>
      </c>
      <c r="G6234" t="s">
        <v>359</v>
      </c>
      <c r="H6234" t="str">
        <f>VLOOKUP(record[[#This Row],[ProcessSN]],表格2_7[],2,FALSE)</f>
        <v>30-4118-018-450</v>
      </c>
      <c r="I6234" t="str">
        <f>VLOOKUP(record[[#This Row],[ProcessSN]],表格2_7[],3,FALSE)</f>
        <v>#100</v>
      </c>
      <c r="J6234" t="s">
        <v>598</v>
      </c>
      <c r="K6234" s="195">
        <v>45994.725949074076</v>
      </c>
      <c r="L6234">
        <v>3</v>
      </c>
      <c r="M6234">
        <v>0</v>
      </c>
      <c r="N6234" s="98" t="str">
        <f>IF(record[[#This Row],[Memo]]="Browser:chrome os:android","平板報工",IF(record[[#This Row],[Memo]]=0,"委外",record[[#This Row],[Memo]]))</f>
        <v>1.5露白 出組裝</v>
      </c>
      <c r="O6234" t="s">
        <v>1282</v>
      </c>
      <c r="P6234" t="s">
        <v>113</v>
      </c>
      <c r="Q6234" t="s">
        <v>58</v>
      </c>
      <c r="R6234" t="str">
        <f>IFERROR(VLOOKUP(record[[#This Row],[PCUSTID]],廠商[],2,FALSE),"")</f>
        <v/>
      </c>
      <c r="S6234" t="str">
        <f>VLOOKUP(record[[#This Row],[employeeID]],員工[],2,FALSE)</f>
        <v>王奕蓁</v>
      </c>
    </row>
    <row r="6235" spans="6:19" hidden="1" x14ac:dyDescent="0.25">
      <c r="F6235" t="s">
        <v>1261</v>
      </c>
      <c r="G6235" t="s">
        <v>399</v>
      </c>
      <c r="H6235" t="str">
        <f>VLOOKUP(record[[#This Row],[ProcessSN]],表格2_7[],2,FALSE)</f>
        <v>30-4118-018-550</v>
      </c>
      <c r="I6235" t="str">
        <f>VLOOKUP(record[[#This Row],[ProcessSN]],表格2_7[],3,FALSE)</f>
        <v>#08IQC</v>
      </c>
      <c r="J6235" t="s">
        <v>583</v>
      </c>
      <c r="K6235" s="195">
        <v>45994.721990740742</v>
      </c>
      <c r="L6235">
        <v>272</v>
      </c>
      <c r="M6235">
        <v>0</v>
      </c>
      <c r="N6235" s="98" t="str">
        <f>IF(record[[#This Row],[Memo]]="Browser:chrome os:android","平板報工",IF(record[[#This Row],[Memo]]=0,"委外",record[[#This Row],[Memo]]))</f>
        <v/>
      </c>
      <c r="O6235" t="s">
        <v>58</v>
      </c>
      <c r="P6235" t="s">
        <v>109</v>
      </c>
      <c r="Q6235" t="s">
        <v>58</v>
      </c>
      <c r="R6235" t="str">
        <f>IFERROR(VLOOKUP(record[[#This Row],[PCUSTID]],廠商[],2,FALSE),"")</f>
        <v/>
      </c>
      <c r="S6235" t="str">
        <f>VLOOKUP(record[[#This Row],[employeeID]],員工[],2,FALSE)</f>
        <v>裴氏璧鳳</v>
      </c>
    </row>
    <row r="6236" spans="6:19" hidden="1" x14ac:dyDescent="0.25">
      <c r="F6236" t="s">
        <v>1259</v>
      </c>
      <c r="G6236" t="s">
        <v>362</v>
      </c>
      <c r="H6236" t="str">
        <f>VLOOKUP(record[[#This Row],[ProcessSN]],表格2_7[],2,FALSE)</f>
        <v>30-4118-018-450</v>
      </c>
      <c r="I6236" t="str">
        <f>VLOOKUP(record[[#This Row],[ProcessSN]],表格2_7[],3,FALSE)</f>
        <v>#100SHIP</v>
      </c>
      <c r="J6236" t="s">
        <v>600</v>
      </c>
      <c r="K6236" s="195">
        <v>45994.708761574075</v>
      </c>
      <c r="L6236">
        <v>32</v>
      </c>
      <c r="M6236">
        <v>0</v>
      </c>
      <c r="N6236" s="98" t="str">
        <f>IF(record[[#This Row],[Memo]]="Browser:chrome os:android","平板報工",IF(record[[#This Row],[Memo]]=0,"委外",record[[#This Row],[Memo]]))</f>
        <v/>
      </c>
      <c r="O6236" t="s">
        <v>58</v>
      </c>
      <c r="P6236" t="s">
        <v>886</v>
      </c>
      <c r="Q6236" t="s">
        <v>58</v>
      </c>
      <c r="R6236" t="str">
        <f>IFERROR(VLOOKUP(record[[#This Row],[PCUSTID]],廠商[],2,FALSE),"")</f>
        <v/>
      </c>
      <c r="S6236" t="str">
        <f>VLOOKUP(record[[#This Row],[employeeID]],員工[],2,FALSE)</f>
        <v>謝蓁薰</v>
      </c>
    </row>
    <row r="6237" spans="6:19" hidden="1" x14ac:dyDescent="0.25">
      <c r="F6237" t="s">
        <v>1184</v>
      </c>
      <c r="G6237" t="s">
        <v>362</v>
      </c>
      <c r="H6237" t="str">
        <f>VLOOKUP(record[[#This Row],[ProcessSN]],表格2_7[],2,FALSE)</f>
        <v>30-4118-018-450</v>
      </c>
      <c r="I6237" t="str">
        <f>VLOOKUP(record[[#This Row],[ProcessSN]],表格2_7[],3,FALSE)</f>
        <v>#100SHIP</v>
      </c>
      <c r="J6237" t="s">
        <v>600</v>
      </c>
      <c r="K6237" s="195">
        <v>45994.708622685182</v>
      </c>
      <c r="L6237">
        <v>214</v>
      </c>
      <c r="M6237">
        <v>0</v>
      </c>
      <c r="N6237" s="98" t="str">
        <f>IF(record[[#This Row],[Memo]]="Browser:chrome os:android","平板報工",IF(record[[#This Row],[Memo]]=0,"委外",record[[#This Row],[Memo]]))</f>
        <v/>
      </c>
      <c r="O6237" t="s">
        <v>58</v>
      </c>
      <c r="P6237" t="s">
        <v>886</v>
      </c>
      <c r="Q6237" t="s">
        <v>58</v>
      </c>
      <c r="R6237" t="str">
        <f>IFERROR(VLOOKUP(record[[#This Row],[PCUSTID]],廠商[],2,FALSE),"")</f>
        <v/>
      </c>
      <c r="S6237" t="str">
        <f>VLOOKUP(record[[#This Row],[employeeID]],員工[],2,FALSE)</f>
        <v>謝蓁薰</v>
      </c>
    </row>
    <row r="6238" spans="6:19" hidden="1" x14ac:dyDescent="0.25">
      <c r="F6238" t="s">
        <v>1259</v>
      </c>
      <c r="G6238" t="s">
        <v>361</v>
      </c>
      <c r="H6238" t="str">
        <f>VLOOKUP(record[[#This Row],[ProcessSN]],表格2_7[],2,FALSE)</f>
        <v>30-4118-018-450</v>
      </c>
      <c r="I6238" t="str">
        <f>VLOOKUP(record[[#This Row],[ProcessSN]],表格2_7[],3,FALSE)</f>
        <v>#100STOCK</v>
      </c>
      <c r="J6238" t="s">
        <v>592</v>
      </c>
      <c r="K6238" s="195">
        <v>45994.707303240742</v>
      </c>
      <c r="L6238">
        <v>32</v>
      </c>
      <c r="M6238">
        <v>0</v>
      </c>
      <c r="N6238" s="98" t="str">
        <f>IF(record[[#This Row],[Memo]]="Browser:chrome os:android","平板報工",IF(record[[#This Row],[Memo]]=0,"委外",record[[#This Row],[Memo]]))</f>
        <v/>
      </c>
      <c r="O6238" t="s">
        <v>58</v>
      </c>
      <c r="P6238" t="s">
        <v>886</v>
      </c>
      <c r="Q6238" t="s">
        <v>58</v>
      </c>
      <c r="R6238" t="str">
        <f>IFERROR(VLOOKUP(record[[#This Row],[PCUSTID]],廠商[],2,FALSE),"")</f>
        <v/>
      </c>
      <c r="S6238" t="str">
        <f>VLOOKUP(record[[#This Row],[employeeID]],員工[],2,FALSE)</f>
        <v>謝蓁薰</v>
      </c>
    </row>
    <row r="6239" spans="6:19" hidden="1" x14ac:dyDescent="0.25">
      <c r="F6239" t="s">
        <v>1259</v>
      </c>
      <c r="G6239" t="s">
        <v>360</v>
      </c>
      <c r="H6239" t="str">
        <f>VLOOKUP(record[[#This Row],[ProcessSN]],表格2_7[],2,FALSE)</f>
        <v>30-4118-018-450</v>
      </c>
      <c r="I6239" t="str">
        <f>VLOOKUP(record[[#This Row],[ProcessSN]],表格2_7[],3,FALSE)</f>
        <v>#100OQC</v>
      </c>
      <c r="J6239" t="s">
        <v>599</v>
      </c>
      <c r="K6239" s="195">
        <v>45994.696331018517</v>
      </c>
      <c r="L6239">
        <v>76</v>
      </c>
      <c r="M6239">
        <v>0</v>
      </c>
      <c r="N6239" s="98" t="str">
        <f>IF(record[[#This Row],[Memo]]="Browser:chrome os:android","平板報工",IF(record[[#This Row],[Memo]]=0,"委外",record[[#This Row],[Memo]]))</f>
        <v/>
      </c>
      <c r="O6239" t="s">
        <v>58</v>
      </c>
      <c r="P6239" t="s">
        <v>121</v>
      </c>
      <c r="Q6239" t="s">
        <v>58</v>
      </c>
      <c r="R6239" t="str">
        <f>IFERROR(VLOOKUP(record[[#This Row],[PCUSTID]],廠商[],2,FALSE),"")</f>
        <v/>
      </c>
      <c r="S6239" t="str">
        <f>VLOOKUP(record[[#This Row],[employeeID]],員工[],2,FALSE)</f>
        <v>謝素卿</v>
      </c>
    </row>
    <row r="6240" spans="6:19" hidden="1" x14ac:dyDescent="0.25">
      <c r="F6240" t="s">
        <v>1242</v>
      </c>
      <c r="G6240" t="s">
        <v>401</v>
      </c>
      <c r="H6240" t="str">
        <f>VLOOKUP(record[[#This Row],[ProcessSN]],表格2_7[],2,FALSE)</f>
        <v>30-4118-018-550</v>
      </c>
      <c r="I6240" t="str">
        <f>VLOOKUP(record[[#This Row],[ProcessSN]],表格2_7[],3,FALSE)</f>
        <v>#100OQC</v>
      </c>
      <c r="J6240" t="s">
        <v>599</v>
      </c>
      <c r="K6240" s="195">
        <v>45994.693912037037</v>
      </c>
      <c r="L6240">
        <v>254</v>
      </c>
      <c r="M6240">
        <v>0</v>
      </c>
      <c r="N6240" s="98" t="str">
        <f>IF(record[[#This Row],[Memo]]="Browser:chrome os:android","平板報工",IF(record[[#This Row],[Memo]]=0,"委外",record[[#This Row],[Memo]]))</f>
        <v/>
      </c>
      <c r="O6240" t="s">
        <v>58</v>
      </c>
      <c r="P6240" t="s">
        <v>121</v>
      </c>
      <c r="Q6240" t="s">
        <v>58</v>
      </c>
      <c r="R6240" t="str">
        <f>IFERROR(VLOOKUP(record[[#This Row],[PCUSTID]],廠商[],2,FALSE),"")</f>
        <v/>
      </c>
      <c r="S6240" t="str">
        <f>VLOOKUP(record[[#This Row],[employeeID]],員工[],2,FALSE)</f>
        <v>謝素卿</v>
      </c>
    </row>
    <row r="6241" spans="6:19" hidden="1" x14ac:dyDescent="0.25">
      <c r="F6241" t="s">
        <v>1246</v>
      </c>
      <c r="G6241" t="s">
        <v>401</v>
      </c>
      <c r="H6241" t="str">
        <f>VLOOKUP(record[[#This Row],[ProcessSN]],表格2_7[],2,FALSE)</f>
        <v>30-4118-018-550</v>
      </c>
      <c r="I6241" t="str">
        <f>VLOOKUP(record[[#This Row],[ProcessSN]],表格2_7[],3,FALSE)</f>
        <v>#100OQC</v>
      </c>
      <c r="J6241" t="s">
        <v>599</v>
      </c>
      <c r="K6241" s="195">
        <v>45994.693773148145</v>
      </c>
      <c r="L6241">
        <v>294</v>
      </c>
      <c r="M6241">
        <v>0</v>
      </c>
      <c r="N6241" s="98" t="str">
        <f>IF(record[[#This Row],[Memo]]="Browser:chrome os:android","平板報工",IF(record[[#This Row],[Memo]]=0,"委外",record[[#This Row],[Memo]]))</f>
        <v/>
      </c>
      <c r="O6241" t="s">
        <v>58</v>
      </c>
      <c r="P6241" t="s">
        <v>121</v>
      </c>
      <c r="Q6241" t="s">
        <v>58</v>
      </c>
      <c r="R6241" t="str">
        <f>IFERROR(VLOOKUP(record[[#This Row],[PCUSTID]],廠商[],2,FALSE),"")</f>
        <v/>
      </c>
      <c r="S6241" t="str">
        <f>VLOOKUP(record[[#This Row],[employeeID]],員工[],2,FALSE)</f>
        <v>謝素卿</v>
      </c>
    </row>
    <row r="6242" spans="6:19" hidden="1" x14ac:dyDescent="0.25">
      <c r="F6242" t="s">
        <v>1259</v>
      </c>
      <c r="G6242" t="s">
        <v>359</v>
      </c>
      <c r="H6242" t="str">
        <f>VLOOKUP(record[[#This Row],[ProcessSN]],表格2_7[],2,FALSE)</f>
        <v>30-4118-018-450</v>
      </c>
      <c r="I6242" t="str">
        <f>VLOOKUP(record[[#This Row],[ProcessSN]],表格2_7[],3,FALSE)</f>
        <v>#100</v>
      </c>
      <c r="J6242" t="s">
        <v>598</v>
      </c>
      <c r="K6242" s="195">
        <v>45994.693657407406</v>
      </c>
      <c r="L6242">
        <v>76</v>
      </c>
      <c r="M6242">
        <v>0</v>
      </c>
      <c r="N6242" s="98" t="str">
        <f>IF(record[[#This Row],[Memo]]="Browser:chrome os:android","平板報工",IF(record[[#This Row],[Memo]]=0,"委外",record[[#This Row],[Memo]]))</f>
        <v/>
      </c>
      <c r="O6242" t="s">
        <v>58</v>
      </c>
      <c r="P6242" t="s">
        <v>141</v>
      </c>
      <c r="Q6242" t="s">
        <v>58</v>
      </c>
      <c r="R6242" t="str">
        <f>IFERROR(VLOOKUP(record[[#This Row],[PCUSTID]],廠商[],2,FALSE),"")</f>
        <v/>
      </c>
      <c r="S6242" t="str">
        <f>VLOOKUP(record[[#This Row],[employeeID]],員工[],2,FALSE)</f>
        <v>蔣梅</v>
      </c>
    </row>
    <row r="6243" spans="6:19" hidden="1" x14ac:dyDescent="0.25">
      <c r="F6243" t="s">
        <v>1250</v>
      </c>
      <c r="G6243" t="s">
        <v>401</v>
      </c>
      <c r="H6243" t="str">
        <f>VLOOKUP(record[[#This Row],[ProcessSN]],表格2_7[],2,FALSE)</f>
        <v>30-4118-018-550</v>
      </c>
      <c r="I6243" t="str">
        <f>VLOOKUP(record[[#This Row],[ProcessSN]],表格2_7[],3,FALSE)</f>
        <v>#100OQC</v>
      </c>
      <c r="J6243" t="s">
        <v>599</v>
      </c>
      <c r="K6243" s="195">
        <v>45994.693657407406</v>
      </c>
      <c r="L6243">
        <v>102</v>
      </c>
      <c r="M6243">
        <v>0</v>
      </c>
      <c r="N6243" s="98" t="str">
        <f>IF(record[[#This Row],[Memo]]="Browser:chrome os:android","平板報工",IF(record[[#This Row],[Memo]]=0,"委外",record[[#This Row],[Memo]]))</f>
        <v/>
      </c>
      <c r="O6243" t="s">
        <v>58</v>
      </c>
      <c r="P6243" t="s">
        <v>121</v>
      </c>
      <c r="Q6243" t="s">
        <v>58</v>
      </c>
      <c r="R6243" t="str">
        <f>IFERROR(VLOOKUP(record[[#This Row],[PCUSTID]],廠商[],2,FALSE),"")</f>
        <v/>
      </c>
      <c r="S6243" t="str">
        <f>VLOOKUP(record[[#This Row],[employeeID]],員工[],2,FALSE)</f>
        <v>謝素卿</v>
      </c>
    </row>
    <row r="6244" spans="6:19" hidden="1" x14ac:dyDescent="0.25">
      <c r="F6244" t="s">
        <v>1259</v>
      </c>
      <c r="G6244" t="s">
        <v>358</v>
      </c>
      <c r="H6244" t="str">
        <f>VLOOKUP(record[[#This Row],[ProcessSN]],表格2_7[],2,FALSE)</f>
        <v>30-4118-018-450</v>
      </c>
      <c r="I6244" t="str">
        <f>VLOOKUP(record[[#This Row],[ProcessSN]],表格2_7[],3,FALSE)</f>
        <v>#08IQC</v>
      </c>
      <c r="J6244" t="s">
        <v>583</v>
      </c>
      <c r="K6244" s="195">
        <v>45994.65011574074</v>
      </c>
      <c r="L6244">
        <v>99</v>
      </c>
      <c r="M6244">
        <v>0</v>
      </c>
      <c r="N6244" s="98" t="str">
        <f>IF(record[[#This Row],[Memo]]="Browser:chrome os:android","平板報工",IF(record[[#This Row],[Memo]]=0,"委外",record[[#This Row],[Memo]]))</f>
        <v/>
      </c>
      <c r="O6244" t="s">
        <v>58</v>
      </c>
      <c r="P6244" t="s">
        <v>109</v>
      </c>
      <c r="Q6244" t="s">
        <v>58</v>
      </c>
      <c r="R6244" t="str">
        <f>IFERROR(VLOOKUP(record[[#This Row],[PCUSTID]],廠商[],2,FALSE),"")</f>
        <v/>
      </c>
      <c r="S6244" t="str">
        <f>VLOOKUP(record[[#This Row],[employeeID]],員工[],2,FALSE)</f>
        <v>裴氏璧鳳</v>
      </c>
    </row>
    <row r="6245" spans="6:19" hidden="1" x14ac:dyDescent="0.25">
      <c r="F6245" t="s">
        <v>1275</v>
      </c>
      <c r="G6245" t="s">
        <v>414</v>
      </c>
      <c r="H6245" t="str">
        <f>VLOOKUP(record[[#This Row],[ProcessSN]],表格2_7[],2,FALSE)</f>
        <v>30-4118-018-5XX</v>
      </c>
      <c r="I6245" t="str">
        <f>VLOOKUP(record[[#This Row],[ProcessSN]],表格2_7[],3,FALSE)</f>
        <v>#03</v>
      </c>
      <c r="J6245" t="s">
        <v>588</v>
      </c>
      <c r="K6245" s="195">
        <v>45994.649502314816</v>
      </c>
      <c r="L6245">
        <v>108</v>
      </c>
      <c r="M6245">
        <v>0</v>
      </c>
      <c r="N6245" s="98" t="str">
        <f>IF(record[[#This Row],[Memo]]="Browser:chrome os:android","平板報工",IF(record[[#This Row],[Memo]]=0,"委外",record[[#This Row],[Memo]]))</f>
        <v/>
      </c>
      <c r="O6245" t="s">
        <v>58</v>
      </c>
      <c r="P6245" t="s">
        <v>119</v>
      </c>
      <c r="Q6245" t="s">
        <v>58</v>
      </c>
      <c r="R6245" t="str">
        <f>IFERROR(VLOOKUP(record[[#This Row],[PCUSTID]],廠商[],2,FALSE),"")</f>
        <v/>
      </c>
      <c r="S6245" t="str">
        <f>VLOOKUP(record[[#This Row],[employeeID]],員工[],2,FALSE)</f>
        <v>廖俊彥</v>
      </c>
    </row>
    <row r="6246" spans="6:19" hidden="1" x14ac:dyDescent="0.25">
      <c r="F6246" t="s">
        <v>1270</v>
      </c>
      <c r="G6246" t="s">
        <v>377</v>
      </c>
      <c r="H6246" t="str">
        <f>VLOOKUP(record[[#This Row],[ProcessSN]],表格2_7[],2,FALSE)</f>
        <v>30-4118-018-4XX</v>
      </c>
      <c r="I6246" t="str">
        <f>VLOOKUP(record[[#This Row],[ProcessSN]],表格2_7[],3,FALSE)</f>
        <v>#07</v>
      </c>
      <c r="J6246" t="s">
        <v>588</v>
      </c>
      <c r="K6246" s="195">
        <v>45994.646631944444</v>
      </c>
      <c r="L6246">
        <v>120</v>
      </c>
      <c r="M6246">
        <v>0</v>
      </c>
      <c r="N6246" s="98" t="str">
        <f>IF(record[[#This Row],[Memo]]="Browser:chrome os:android","平板報工",IF(record[[#This Row],[Memo]]=0,"委外",record[[#This Row],[Memo]]))</f>
        <v/>
      </c>
      <c r="O6246" t="s">
        <v>58</v>
      </c>
      <c r="P6246" t="s">
        <v>119</v>
      </c>
      <c r="Q6246" t="s">
        <v>58</v>
      </c>
      <c r="R6246" t="str">
        <f>IFERROR(VLOOKUP(record[[#This Row],[PCUSTID]],廠商[],2,FALSE),"")</f>
        <v/>
      </c>
      <c r="S6246" t="str">
        <f>VLOOKUP(record[[#This Row],[employeeID]],員工[],2,FALSE)</f>
        <v>廖俊彥</v>
      </c>
    </row>
    <row r="6247" spans="6:19" hidden="1" x14ac:dyDescent="0.25">
      <c r="F6247" t="s">
        <v>1270</v>
      </c>
      <c r="G6247" t="s">
        <v>376</v>
      </c>
      <c r="H6247" t="str">
        <f>VLOOKUP(record[[#This Row],[ProcessSN]],表格2_7[],2,FALSE)</f>
        <v>30-4118-018-4XX</v>
      </c>
      <c r="I6247" t="str">
        <f>VLOOKUP(record[[#This Row],[ProcessSN]],表格2_7[],3,FALSE)</f>
        <v>#06</v>
      </c>
      <c r="J6247" t="s">
        <v>593</v>
      </c>
      <c r="K6247" s="195">
        <v>45994.646516203706</v>
      </c>
      <c r="L6247">
        <v>120</v>
      </c>
      <c r="M6247">
        <v>0</v>
      </c>
      <c r="N6247" s="98" t="str">
        <f>IF(record[[#This Row],[Memo]]="Browser:chrome os:android","平板報工",IF(record[[#This Row],[Memo]]=0,"委外",record[[#This Row],[Memo]]))</f>
        <v/>
      </c>
      <c r="O6247" t="s">
        <v>58</v>
      </c>
      <c r="P6247" t="s">
        <v>119</v>
      </c>
      <c r="Q6247" t="s">
        <v>58</v>
      </c>
      <c r="R6247" t="str">
        <f>IFERROR(VLOOKUP(record[[#This Row],[PCUSTID]],廠商[],2,FALSE),"")</f>
        <v/>
      </c>
      <c r="S6247" t="str">
        <f>VLOOKUP(record[[#This Row],[employeeID]],員工[],2,FALSE)</f>
        <v>廖俊彥</v>
      </c>
    </row>
    <row r="6248" spans="6:19" hidden="1" x14ac:dyDescent="0.25">
      <c r="F6248" t="s">
        <v>1270</v>
      </c>
      <c r="G6248" t="s">
        <v>375</v>
      </c>
      <c r="H6248" t="str">
        <f>VLOOKUP(record[[#This Row],[ProcessSN]],表格2_7[],2,FALSE)</f>
        <v>30-4118-018-4XX</v>
      </c>
      <c r="I6248" t="str">
        <f>VLOOKUP(record[[#This Row],[ProcessSN]],表格2_7[],3,FALSE)</f>
        <v>#05</v>
      </c>
      <c r="J6248" t="s">
        <v>588</v>
      </c>
      <c r="K6248" s="195">
        <v>45994.646180555559</v>
      </c>
      <c r="L6248">
        <v>142</v>
      </c>
      <c r="M6248">
        <v>0</v>
      </c>
      <c r="N6248" s="98" t="str">
        <f>IF(record[[#This Row],[Memo]]="Browser:chrome os:android","平板報工",IF(record[[#This Row],[Memo]]=0,"委外",record[[#This Row],[Memo]]))</f>
        <v/>
      </c>
      <c r="O6248" t="s">
        <v>58</v>
      </c>
      <c r="P6248" t="s">
        <v>119</v>
      </c>
      <c r="Q6248" t="s">
        <v>58</v>
      </c>
      <c r="R6248" t="str">
        <f>IFERROR(VLOOKUP(record[[#This Row],[PCUSTID]],廠商[],2,FALSE),"")</f>
        <v/>
      </c>
      <c r="S6248" t="str">
        <f>VLOOKUP(record[[#This Row],[employeeID]],員工[],2,FALSE)</f>
        <v>廖俊彥</v>
      </c>
    </row>
    <row r="6249" spans="6:19" hidden="1" x14ac:dyDescent="0.25">
      <c r="F6249" t="s">
        <v>1270</v>
      </c>
      <c r="G6249" t="s">
        <v>374</v>
      </c>
      <c r="H6249" t="str">
        <f>VLOOKUP(record[[#This Row],[ProcessSN]],表格2_7[],2,FALSE)</f>
        <v>30-4118-018-4XX</v>
      </c>
      <c r="I6249" t="str">
        <f>VLOOKUP(record[[#This Row],[ProcessSN]],表格2_7[],3,FALSE)</f>
        <v>#04</v>
      </c>
      <c r="J6249" t="s">
        <v>588</v>
      </c>
      <c r="K6249" s="195">
        <v>45994.645555555559</v>
      </c>
      <c r="L6249">
        <v>142</v>
      </c>
      <c r="M6249">
        <v>0</v>
      </c>
      <c r="N6249" s="98" t="str">
        <f>IF(record[[#This Row],[Memo]]="Browser:chrome os:android","平板報工",IF(record[[#This Row],[Memo]]=0,"委外",record[[#This Row],[Memo]]))</f>
        <v/>
      </c>
      <c r="O6249" t="s">
        <v>58</v>
      </c>
      <c r="P6249" t="s">
        <v>119</v>
      </c>
      <c r="Q6249" t="s">
        <v>58</v>
      </c>
      <c r="R6249" t="str">
        <f>IFERROR(VLOOKUP(record[[#This Row],[PCUSTID]],廠商[],2,FALSE),"")</f>
        <v/>
      </c>
      <c r="S6249" t="str">
        <f>VLOOKUP(record[[#This Row],[employeeID]],員工[],2,FALSE)</f>
        <v>廖俊彥</v>
      </c>
    </row>
    <row r="6250" spans="6:19" hidden="1" x14ac:dyDescent="0.25">
      <c r="F6250" t="s">
        <v>1261</v>
      </c>
      <c r="G6250" t="s">
        <v>398</v>
      </c>
      <c r="H6250" t="str">
        <f>VLOOKUP(record[[#This Row],[ProcessSN]],表格2_7[],2,FALSE)</f>
        <v>30-4118-018-550</v>
      </c>
      <c r="I6250" t="str">
        <f>VLOOKUP(record[[#This Row],[ProcessSN]],表格2_7[],3,FALSE)</f>
        <v>#08RCV</v>
      </c>
      <c r="J6250" t="s">
        <v>591</v>
      </c>
      <c r="K6250" s="195">
        <v>45994.629965277774</v>
      </c>
      <c r="L6250">
        <v>0</v>
      </c>
      <c r="M6250">
        <v>8</v>
      </c>
      <c r="N6250" s="98" t="str">
        <f>IF(record[[#This Row],[Memo]]="Browser:chrome os:android","平板報工",IF(record[[#This Row],[Memo]]=0,"委外",record[[#This Row],[Memo]]))</f>
        <v/>
      </c>
      <c r="O6250" t="s">
        <v>58</v>
      </c>
      <c r="P6250" t="s">
        <v>186</v>
      </c>
      <c r="Q6250" t="s">
        <v>58</v>
      </c>
      <c r="R6250" t="str">
        <f>IFERROR(VLOOKUP(record[[#This Row],[PCUSTID]],廠商[],2,FALSE),"")</f>
        <v/>
      </c>
      <c r="S6250" t="str">
        <f>VLOOKUP(record[[#This Row],[employeeID]],員工[],2,FALSE)</f>
        <v>許文姍</v>
      </c>
    </row>
    <row r="6251" spans="6:19" hidden="1" x14ac:dyDescent="0.25">
      <c r="F6251" t="s">
        <v>1261</v>
      </c>
      <c r="G6251" t="s">
        <v>398</v>
      </c>
      <c r="H6251" t="str">
        <f>VLOOKUP(record[[#This Row],[ProcessSN]],表格2_7[],2,FALSE)</f>
        <v>30-4118-018-550</v>
      </c>
      <c r="I6251" t="str">
        <f>VLOOKUP(record[[#This Row],[ProcessSN]],表格2_7[],3,FALSE)</f>
        <v>#08RCV</v>
      </c>
      <c r="J6251" t="s">
        <v>591</v>
      </c>
      <c r="K6251" s="195">
        <v>45994.629756944443</v>
      </c>
      <c r="L6251">
        <v>272</v>
      </c>
      <c r="M6251">
        <v>0</v>
      </c>
      <c r="N6251" s="98" t="str">
        <f>IF(record[[#This Row],[Memo]]="Browser:chrome os:android","平板報工",IF(record[[#This Row],[Memo]]=0,"委外",record[[#This Row],[Memo]]))</f>
        <v/>
      </c>
      <c r="O6251" t="s">
        <v>58</v>
      </c>
      <c r="P6251" t="s">
        <v>186</v>
      </c>
      <c r="Q6251" t="s">
        <v>58</v>
      </c>
      <c r="R6251" t="str">
        <f>IFERROR(VLOOKUP(record[[#This Row],[PCUSTID]],廠商[],2,FALSE),"")</f>
        <v/>
      </c>
      <c r="S6251" t="str">
        <f>VLOOKUP(record[[#This Row],[employeeID]],員工[],2,FALSE)</f>
        <v>許文姍</v>
      </c>
    </row>
    <row r="6252" spans="6:19" hidden="1" x14ac:dyDescent="0.25">
      <c r="F6252" t="s">
        <v>1259</v>
      </c>
      <c r="G6252" t="s">
        <v>357</v>
      </c>
      <c r="H6252" t="str">
        <f>VLOOKUP(record[[#This Row],[ProcessSN]],表格2_7[],2,FALSE)</f>
        <v>30-4118-018-450</v>
      </c>
      <c r="I6252" t="str">
        <f>VLOOKUP(record[[#This Row],[ProcessSN]],表格2_7[],3,FALSE)</f>
        <v>#08RCV</v>
      </c>
      <c r="J6252" t="s">
        <v>591</v>
      </c>
      <c r="K6252" s="195">
        <v>45994.623981481483</v>
      </c>
      <c r="L6252">
        <v>99</v>
      </c>
      <c r="M6252">
        <v>0</v>
      </c>
      <c r="N6252" s="98" t="str">
        <f>IF(record[[#This Row],[Memo]]="Browser:chrome os:android","平板報工",IF(record[[#This Row],[Memo]]=0,"委外",record[[#This Row],[Memo]]))</f>
        <v/>
      </c>
      <c r="O6252" t="s">
        <v>58</v>
      </c>
      <c r="P6252" t="s">
        <v>186</v>
      </c>
      <c r="Q6252" t="s">
        <v>58</v>
      </c>
      <c r="R6252" t="str">
        <f>IFERROR(VLOOKUP(record[[#This Row],[PCUSTID]],廠商[],2,FALSE),"")</f>
        <v/>
      </c>
      <c r="S6252" t="str">
        <f>VLOOKUP(record[[#This Row],[employeeID]],員工[],2,FALSE)</f>
        <v>許文姍</v>
      </c>
    </row>
    <row r="6253" spans="6:19" hidden="1" x14ac:dyDescent="0.25">
      <c r="F6253" t="s">
        <v>1277</v>
      </c>
      <c r="G6253" t="s">
        <v>356</v>
      </c>
      <c r="H6253" t="str">
        <f>VLOOKUP(record[[#This Row],[ProcessSN]],表格2_7[],2,FALSE)</f>
        <v>30-4118-018-450</v>
      </c>
      <c r="I6253" t="str">
        <f>VLOOKUP(record[[#This Row],[ProcessSN]],表格2_7[],3,FALSE)</f>
        <v>#08</v>
      </c>
      <c r="J6253" t="s">
        <v>597</v>
      </c>
      <c r="K6253" s="195">
        <v>45994.61515046296</v>
      </c>
      <c r="L6253">
        <v>238</v>
      </c>
      <c r="M6253">
        <v>0</v>
      </c>
      <c r="N6253" s="98" t="str">
        <f>IF(record[[#This Row],[Memo]]="Browser:chrome os:android","平板報工",IF(record[[#This Row],[Memo]]=0,"委外",record[[#This Row],[Memo]]))</f>
        <v>委外</v>
      </c>
      <c r="P6253" t="s">
        <v>186</v>
      </c>
      <c r="Q6253" t="s">
        <v>287</v>
      </c>
      <c r="R6253" t="str">
        <f>IFERROR(VLOOKUP(record[[#This Row],[PCUSTID]],廠商[],2,FALSE),"")</f>
        <v>泉盛</v>
      </c>
      <c r="S6253" t="str">
        <f>VLOOKUP(record[[#This Row],[employeeID]],員工[],2,FALSE)</f>
        <v>許文姍</v>
      </c>
    </row>
    <row r="6254" spans="6:19" hidden="1" x14ac:dyDescent="0.25">
      <c r="F6254" t="s">
        <v>1278</v>
      </c>
      <c r="G6254" t="s">
        <v>397</v>
      </c>
      <c r="H6254" t="str">
        <f>VLOOKUP(record[[#This Row],[ProcessSN]],表格2_7[],2,FALSE)</f>
        <v>30-4118-018-550</v>
      </c>
      <c r="I6254" t="str">
        <f>VLOOKUP(record[[#This Row],[ProcessSN]],表格2_7[],3,FALSE)</f>
        <v>#08</v>
      </c>
      <c r="J6254" t="s">
        <v>597</v>
      </c>
      <c r="K6254" s="195">
        <v>45994.615034722221</v>
      </c>
      <c r="L6254">
        <v>166</v>
      </c>
      <c r="M6254">
        <v>0</v>
      </c>
      <c r="N6254" s="98" t="str">
        <f>IF(record[[#This Row],[Memo]]="Browser:chrome os:android","平板報工",IF(record[[#This Row],[Memo]]=0,"委外",record[[#This Row],[Memo]]))</f>
        <v>委外</v>
      </c>
      <c r="P6254" t="s">
        <v>186</v>
      </c>
      <c r="Q6254" t="s">
        <v>287</v>
      </c>
      <c r="R6254" t="str">
        <f>IFERROR(VLOOKUP(record[[#This Row],[PCUSTID]],廠商[],2,FALSE),"")</f>
        <v>泉盛</v>
      </c>
      <c r="S6254" t="str">
        <f>VLOOKUP(record[[#This Row],[employeeID]],員工[],2,FALSE)</f>
        <v>許文姍</v>
      </c>
    </row>
    <row r="6255" spans="6:19" hidden="1" x14ac:dyDescent="0.25">
      <c r="F6255" t="s">
        <v>1277</v>
      </c>
      <c r="G6255" t="s">
        <v>355</v>
      </c>
      <c r="H6255" t="str">
        <f>VLOOKUP(record[[#This Row],[ProcessSN]],表格2_7[],2,FALSE)</f>
        <v>30-4118-018-450</v>
      </c>
      <c r="I6255" t="str">
        <f>VLOOKUP(record[[#This Row],[ProcessSN]],表格2_7[],3,FALSE)</f>
        <v>#08PICK</v>
      </c>
      <c r="J6255" t="s">
        <v>582</v>
      </c>
      <c r="K6255" s="195">
        <v>45994.614664351851</v>
      </c>
      <c r="L6255">
        <v>238</v>
      </c>
      <c r="M6255">
        <v>0</v>
      </c>
      <c r="N6255" s="98" t="str">
        <f>IF(record[[#This Row],[Memo]]="Browser:chrome os:android","平板報工",IF(record[[#This Row],[Memo]]=0,"委外",record[[#This Row],[Memo]]))</f>
        <v/>
      </c>
      <c r="O6255" t="s">
        <v>58</v>
      </c>
      <c r="P6255" t="s">
        <v>186</v>
      </c>
      <c r="Q6255" t="s">
        <v>58</v>
      </c>
      <c r="R6255" t="str">
        <f>IFERROR(VLOOKUP(record[[#This Row],[PCUSTID]],廠商[],2,FALSE),"")</f>
        <v/>
      </c>
      <c r="S6255" t="str">
        <f>VLOOKUP(record[[#This Row],[employeeID]],員工[],2,FALSE)</f>
        <v>許文姍</v>
      </c>
    </row>
    <row r="6256" spans="6:19" hidden="1" x14ac:dyDescent="0.25">
      <c r="F6256" t="s">
        <v>1278</v>
      </c>
      <c r="G6256" t="s">
        <v>396</v>
      </c>
      <c r="H6256" t="str">
        <f>VLOOKUP(record[[#This Row],[ProcessSN]],表格2_7[],2,FALSE)</f>
        <v>30-4118-018-550</v>
      </c>
      <c r="I6256" t="str">
        <f>VLOOKUP(record[[#This Row],[ProcessSN]],表格2_7[],3,FALSE)</f>
        <v>#08PICK</v>
      </c>
      <c r="J6256" t="s">
        <v>582</v>
      </c>
      <c r="K6256" s="195">
        <v>45994.614490740743</v>
      </c>
      <c r="L6256">
        <v>166</v>
      </c>
      <c r="M6256">
        <v>0</v>
      </c>
      <c r="N6256" s="98" t="str">
        <f>IF(record[[#This Row],[Memo]]="Browser:chrome os:android","平板報工",IF(record[[#This Row],[Memo]]=0,"委外",record[[#This Row],[Memo]]))</f>
        <v/>
      </c>
      <c r="O6256" t="s">
        <v>58</v>
      </c>
      <c r="P6256" t="s">
        <v>109</v>
      </c>
      <c r="Q6256" t="s">
        <v>58</v>
      </c>
      <c r="R6256" t="str">
        <f>IFERROR(VLOOKUP(record[[#This Row],[PCUSTID]],廠商[],2,FALSE),"")</f>
        <v/>
      </c>
      <c r="S6256" t="str">
        <f>VLOOKUP(record[[#This Row],[employeeID]],員工[],2,FALSE)</f>
        <v>裴氏璧鳳</v>
      </c>
    </row>
    <row r="6257" spans="6:19" hidden="1" x14ac:dyDescent="0.25">
      <c r="F6257" t="s">
        <v>1209</v>
      </c>
      <c r="G6257" t="s">
        <v>471</v>
      </c>
      <c r="H6257" t="str">
        <f>VLOOKUP(record[[#This Row],[ProcessSN]],表格2_7[],2,FALSE)</f>
        <v>30-4118-018-XXX</v>
      </c>
      <c r="I6257" t="str">
        <f>VLOOKUP(record[[#This Row],[ProcessSN]],表格2_7[],3,FALSE)</f>
        <v>#02STOCK</v>
      </c>
      <c r="J6257" t="s">
        <v>592</v>
      </c>
      <c r="K6257" s="195">
        <v>45994.497824074075</v>
      </c>
      <c r="L6257">
        <v>1176</v>
      </c>
      <c r="M6257">
        <v>0</v>
      </c>
      <c r="N6257" s="98" t="str">
        <f>IF(record[[#This Row],[Memo]]="Browser:chrome os:android","平板報工",IF(record[[#This Row],[Memo]]=0,"委外",record[[#This Row],[Memo]]))</f>
        <v/>
      </c>
      <c r="O6257" t="s">
        <v>58</v>
      </c>
      <c r="P6257" t="s">
        <v>113</v>
      </c>
      <c r="Q6257" t="s">
        <v>58</v>
      </c>
      <c r="R6257" t="str">
        <f>IFERROR(VLOOKUP(record[[#This Row],[PCUSTID]],廠商[],2,FALSE),"")</f>
        <v/>
      </c>
      <c r="S6257" t="str">
        <f>VLOOKUP(record[[#This Row],[employeeID]],員工[],2,FALSE)</f>
        <v>王奕蓁</v>
      </c>
    </row>
    <row r="6258" spans="6:19" hidden="1" x14ac:dyDescent="0.25">
      <c r="F6258" t="s">
        <v>1181</v>
      </c>
      <c r="G6258" t="s">
        <v>428</v>
      </c>
      <c r="H6258" t="str">
        <f>VLOOKUP(record[[#This Row],[ProcessSN]],表格2_7[],2,FALSE)</f>
        <v>30-4118-018-600</v>
      </c>
      <c r="I6258" t="str">
        <f>VLOOKUP(record[[#This Row],[ProcessSN]],表格2_7[],3,FALSE)</f>
        <v>#100SHIP</v>
      </c>
      <c r="J6258" t="s">
        <v>600</v>
      </c>
      <c r="K6258" s="195">
        <v>45994.496493055558</v>
      </c>
      <c r="L6258">
        <v>3</v>
      </c>
      <c r="M6258">
        <v>0</v>
      </c>
      <c r="N6258" s="98" t="str">
        <f>IF(record[[#This Row],[Memo]]="Browser:chrome os:android","平板報工",IF(record[[#This Row],[Memo]]=0,"委外",record[[#This Row],[Memo]]))</f>
        <v/>
      </c>
      <c r="O6258" t="s">
        <v>58</v>
      </c>
      <c r="P6258" t="s">
        <v>886</v>
      </c>
      <c r="Q6258" t="s">
        <v>58</v>
      </c>
      <c r="R6258" t="str">
        <f>IFERROR(VLOOKUP(record[[#This Row],[PCUSTID]],廠商[],2,FALSE),"")</f>
        <v/>
      </c>
      <c r="S6258" t="str">
        <f>VLOOKUP(record[[#This Row],[employeeID]],員工[],2,FALSE)</f>
        <v>謝蓁薰</v>
      </c>
    </row>
    <row r="6259" spans="6:19" hidden="1" x14ac:dyDescent="0.25">
      <c r="F6259" t="s">
        <v>1233</v>
      </c>
      <c r="G6259" t="s">
        <v>403</v>
      </c>
      <c r="H6259" t="str">
        <f>VLOOKUP(record[[#This Row],[ProcessSN]],表格2_7[],2,FALSE)</f>
        <v>30-4118-018-550</v>
      </c>
      <c r="I6259" t="str">
        <f>VLOOKUP(record[[#This Row],[ProcessSN]],表格2_7[],3,FALSE)</f>
        <v>#100SHIP</v>
      </c>
      <c r="J6259" t="s">
        <v>600</v>
      </c>
      <c r="K6259" s="195">
        <v>45994.49628472222</v>
      </c>
      <c r="L6259">
        <v>16</v>
      </c>
      <c r="M6259">
        <v>0</v>
      </c>
      <c r="N6259" s="98" t="str">
        <f>IF(record[[#This Row],[Memo]]="Browser:chrome os:android","平板報工",IF(record[[#This Row],[Memo]]=0,"委外",record[[#This Row],[Memo]]))</f>
        <v/>
      </c>
      <c r="O6259" t="s">
        <v>58</v>
      </c>
      <c r="P6259" t="s">
        <v>886</v>
      </c>
      <c r="Q6259" t="s">
        <v>58</v>
      </c>
      <c r="R6259" t="str">
        <f>IFERROR(VLOOKUP(record[[#This Row],[PCUSTID]],廠商[],2,FALSE),"")</f>
        <v/>
      </c>
      <c r="S6259" t="str">
        <f>VLOOKUP(record[[#This Row],[employeeID]],員工[],2,FALSE)</f>
        <v>謝蓁薰</v>
      </c>
    </row>
    <row r="6260" spans="6:19" hidden="1" x14ac:dyDescent="0.25">
      <c r="F6260" t="s">
        <v>1275</v>
      </c>
      <c r="G6260" t="s">
        <v>413</v>
      </c>
      <c r="H6260" t="str">
        <f>VLOOKUP(record[[#This Row],[ProcessSN]],表格2_7[],2,FALSE)</f>
        <v>30-4118-018-5XX</v>
      </c>
      <c r="I6260" t="str">
        <f>VLOOKUP(record[[#This Row],[ProcessSN]],表格2_7[],3,FALSE)</f>
        <v>#03GIVE</v>
      </c>
      <c r="J6260" t="s">
        <v>587</v>
      </c>
      <c r="K6260" s="195">
        <v>45994.476585648146</v>
      </c>
      <c r="L6260">
        <v>1176</v>
      </c>
      <c r="M6260">
        <v>0</v>
      </c>
      <c r="N6260" s="98" t="str">
        <f>IF(record[[#This Row],[Memo]]="Browser:chrome os:android","平板報工",IF(record[[#This Row],[Memo]]=0,"委外",record[[#This Row],[Memo]]))</f>
        <v/>
      </c>
      <c r="O6260" t="s">
        <v>58</v>
      </c>
      <c r="P6260" t="s">
        <v>186</v>
      </c>
      <c r="Q6260" t="s">
        <v>58</v>
      </c>
      <c r="R6260" t="str">
        <f>IFERROR(VLOOKUP(record[[#This Row],[PCUSTID]],廠商[],2,FALSE),"")</f>
        <v/>
      </c>
      <c r="S6260" t="str">
        <f>VLOOKUP(record[[#This Row],[employeeID]],員工[],2,FALSE)</f>
        <v>許文姍</v>
      </c>
    </row>
    <row r="6261" spans="6:19" hidden="1" x14ac:dyDescent="0.25">
      <c r="F6261" t="s">
        <v>1253</v>
      </c>
      <c r="G6261" t="s">
        <v>420</v>
      </c>
      <c r="H6261" t="str">
        <f>VLOOKUP(record[[#This Row],[ProcessSN]],表格2_7[],2,FALSE)</f>
        <v>30-4118-018-5XX</v>
      </c>
      <c r="I6261" t="str">
        <f>VLOOKUP(record[[#This Row],[ProcessSN]],表格2_7[],3,FALSE)</f>
        <v>#07STOCK</v>
      </c>
      <c r="J6261" t="s">
        <v>592</v>
      </c>
      <c r="K6261" s="195">
        <v>45994.475821759261</v>
      </c>
      <c r="L6261">
        <v>166</v>
      </c>
      <c r="M6261">
        <v>0</v>
      </c>
      <c r="N6261" s="98" t="str">
        <f>IF(record[[#This Row],[Memo]]="Browser:chrome os:android","平板報工",IF(record[[#This Row],[Memo]]=0,"委外",record[[#This Row],[Memo]]))</f>
        <v/>
      </c>
      <c r="O6261" t="s">
        <v>58</v>
      </c>
      <c r="P6261" t="s">
        <v>186</v>
      </c>
      <c r="Q6261" t="s">
        <v>58</v>
      </c>
      <c r="R6261" t="str">
        <f>IFERROR(VLOOKUP(record[[#This Row],[PCUSTID]],廠商[],2,FALSE),"")</f>
        <v/>
      </c>
      <c r="S6261" t="str">
        <f>VLOOKUP(record[[#This Row],[employeeID]],員工[],2,FALSE)</f>
        <v>許文姍</v>
      </c>
    </row>
    <row r="6262" spans="6:19" hidden="1" x14ac:dyDescent="0.25">
      <c r="F6262" t="s">
        <v>1270</v>
      </c>
      <c r="G6262" t="s">
        <v>379</v>
      </c>
      <c r="H6262" t="str">
        <f>VLOOKUP(record[[#This Row],[ProcessSN]],表格2_7[],2,FALSE)</f>
        <v>30-4118-018-4XX</v>
      </c>
      <c r="I6262" t="str">
        <f>VLOOKUP(record[[#This Row],[ProcessSN]],表格2_7[],3,FALSE)</f>
        <v>#07STOCK</v>
      </c>
      <c r="J6262" t="s">
        <v>592</v>
      </c>
      <c r="K6262" s="195">
        <v>45994.475613425922</v>
      </c>
      <c r="L6262">
        <v>238</v>
      </c>
      <c r="M6262">
        <v>0</v>
      </c>
      <c r="N6262" s="98" t="str">
        <f>IF(record[[#This Row],[Memo]]="Browser:chrome os:android","平板報工",IF(record[[#This Row],[Memo]]=0,"委外",record[[#This Row],[Memo]]))</f>
        <v/>
      </c>
      <c r="O6262" t="s">
        <v>58</v>
      </c>
      <c r="P6262" t="s">
        <v>186</v>
      </c>
      <c r="Q6262" t="s">
        <v>58</v>
      </c>
      <c r="R6262" t="str">
        <f>IFERROR(VLOOKUP(record[[#This Row],[PCUSTID]],廠商[],2,FALSE),"")</f>
        <v/>
      </c>
      <c r="S6262" t="str">
        <f>VLOOKUP(record[[#This Row],[employeeID]],員工[],2,FALSE)</f>
        <v>許文姍</v>
      </c>
    </row>
    <row r="6263" spans="6:19" hidden="1" x14ac:dyDescent="0.25">
      <c r="F6263" t="s">
        <v>1275</v>
      </c>
      <c r="G6263" t="s">
        <v>412</v>
      </c>
      <c r="H6263" t="str">
        <f>VLOOKUP(record[[#This Row],[ProcessSN]],表格2_7[],2,FALSE)</f>
        <v>30-4118-018-5XX</v>
      </c>
      <c r="I6263" t="str">
        <f>VLOOKUP(record[[#This Row],[ProcessSN]],表格2_7[],3,FALSE)</f>
        <v>#03PICK</v>
      </c>
      <c r="J6263" t="s">
        <v>582</v>
      </c>
      <c r="K6263" s="195">
        <v>45994.466956018521</v>
      </c>
      <c r="L6263">
        <v>1176</v>
      </c>
      <c r="M6263">
        <v>0</v>
      </c>
      <c r="N6263" s="98" t="str">
        <f>IF(record[[#This Row],[Memo]]="Browser:chrome os:android","平板報工",IF(record[[#This Row],[Memo]]=0,"委外",record[[#This Row],[Memo]]))</f>
        <v/>
      </c>
      <c r="O6263" t="s">
        <v>58</v>
      </c>
      <c r="P6263" t="s">
        <v>186</v>
      </c>
      <c r="Q6263" t="s">
        <v>58</v>
      </c>
      <c r="R6263" t="str">
        <f>IFERROR(VLOOKUP(record[[#This Row],[PCUSTID]],廠商[],2,FALSE),"")</f>
        <v/>
      </c>
      <c r="S6263" t="str">
        <f>VLOOKUP(record[[#This Row],[employeeID]],員工[],2,FALSE)</f>
        <v>許文姍</v>
      </c>
    </row>
    <row r="6264" spans="6:19" hidden="1" x14ac:dyDescent="0.25">
      <c r="F6264" t="s">
        <v>1253</v>
      </c>
      <c r="G6264" t="s">
        <v>414</v>
      </c>
      <c r="H6264" t="str">
        <f>VLOOKUP(record[[#This Row],[ProcessSN]],表格2_7[],2,FALSE)</f>
        <v>30-4118-018-5XX</v>
      </c>
      <c r="I6264" t="str">
        <f>VLOOKUP(record[[#This Row],[ProcessSN]],表格2_7[],3,FALSE)</f>
        <v>#03</v>
      </c>
      <c r="J6264" t="s">
        <v>588</v>
      </c>
      <c r="K6264" s="195">
        <v>45994.453703703701</v>
      </c>
      <c r="L6264">
        <v>36</v>
      </c>
      <c r="M6264">
        <v>0</v>
      </c>
      <c r="N6264" s="98" t="str">
        <f>IF(record[[#This Row],[Memo]]="Browser:chrome os:android","平板報工",IF(record[[#This Row],[Memo]]=0,"委外",record[[#This Row],[Memo]]))</f>
        <v>補</v>
      </c>
      <c r="O6264" t="s">
        <v>690</v>
      </c>
      <c r="P6264" t="s">
        <v>119</v>
      </c>
      <c r="Q6264" t="s">
        <v>58</v>
      </c>
      <c r="R6264" t="str">
        <f>IFERROR(VLOOKUP(record[[#This Row],[PCUSTID]],廠商[],2,FALSE),"")</f>
        <v/>
      </c>
      <c r="S6264" t="str">
        <f>VLOOKUP(record[[#This Row],[employeeID]],員工[],2,FALSE)</f>
        <v>廖俊彥</v>
      </c>
    </row>
    <row r="6265" spans="6:19" hidden="1" x14ac:dyDescent="0.25">
      <c r="F6265" t="s">
        <v>1209</v>
      </c>
      <c r="G6265" t="s">
        <v>470</v>
      </c>
      <c r="H6265" t="str">
        <f>VLOOKUP(record[[#This Row],[ProcessSN]],表格2_7[],2,FALSE)</f>
        <v>30-4118-018-XXX</v>
      </c>
      <c r="I6265" t="str">
        <f>VLOOKUP(record[[#This Row],[ProcessSN]],表格2_7[],3,FALSE)</f>
        <v>#02IQC</v>
      </c>
      <c r="J6265" t="s">
        <v>583</v>
      </c>
      <c r="K6265" s="195">
        <v>45994.446122685185</v>
      </c>
      <c r="L6265">
        <v>1176</v>
      </c>
      <c r="M6265">
        <v>0</v>
      </c>
      <c r="N6265" s="98" t="str">
        <f>IF(record[[#This Row],[Memo]]="Browser:chrome os:android","平板報工",IF(record[[#This Row],[Memo]]=0,"委外",record[[#This Row],[Memo]]))</f>
        <v/>
      </c>
      <c r="O6265" t="s">
        <v>58</v>
      </c>
      <c r="P6265" t="s">
        <v>109</v>
      </c>
      <c r="Q6265" t="s">
        <v>58</v>
      </c>
      <c r="R6265" t="str">
        <f>IFERROR(VLOOKUP(record[[#This Row],[PCUSTID]],廠商[],2,FALSE),"")</f>
        <v/>
      </c>
      <c r="S6265" t="str">
        <f>VLOOKUP(record[[#This Row],[employeeID]],員工[],2,FALSE)</f>
        <v>裴氏璧鳳</v>
      </c>
    </row>
    <row r="6266" spans="6:19" hidden="1" x14ac:dyDescent="0.25">
      <c r="F6266" t="s">
        <v>1270</v>
      </c>
      <c r="G6266" t="s">
        <v>378</v>
      </c>
      <c r="H6266" t="str">
        <f>VLOOKUP(record[[#This Row],[ProcessSN]],表格2_7[],2,FALSE)</f>
        <v>30-4118-018-4XX</v>
      </c>
      <c r="I6266" t="str">
        <f>VLOOKUP(record[[#This Row],[ProcessSN]],表格2_7[],3,FALSE)</f>
        <v>#07QC</v>
      </c>
      <c r="J6266" t="s">
        <v>589</v>
      </c>
      <c r="K6266" s="195">
        <v>45994.441423611112</v>
      </c>
      <c r="L6266">
        <v>74</v>
      </c>
      <c r="M6266">
        <v>0</v>
      </c>
      <c r="N6266" s="98" t="str">
        <f>IF(record[[#This Row],[Memo]]="Browser:chrome os:android","平板報工",IF(record[[#This Row],[Memo]]=0,"委外",record[[#This Row],[Memo]]))</f>
        <v>平板報工</v>
      </c>
      <c r="O6266" t="s">
        <v>643</v>
      </c>
      <c r="P6266" t="s">
        <v>141</v>
      </c>
      <c r="Q6266" t="s">
        <v>644</v>
      </c>
      <c r="R6266" t="str">
        <f>IFERROR(VLOOKUP(record[[#This Row],[PCUSTID]],廠商[],2,FALSE),"")</f>
        <v/>
      </c>
      <c r="S6266" t="str">
        <f>VLOOKUP(record[[#This Row],[employeeID]],員工[],2,FALSE)</f>
        <v>蔣梅</v>
      </c>
    </row>
    <row r="6267" spans="6:19" hidden="1" x14ac:dyDescent="0.25">
      <c r="F6267" t="s">
        <v>1253</v>
      </c>
      <c r="G6267" t="s">
        <v>419</v>
      </c>
      <c r="H6267" t="str">
        <f>VLOOKUP(record[[#This Row],[ProcessSN]],表格2_7[],2,FALSE)</f>
        <v>30-4118-018-5XX</v>
      </c>
      <c r="I6267" t="str">
        <f>VLOOKUP(record[[#This Row],[ProcessSN]],表格2_7[],3,FALSE)</f>
        <v>#07QC</v>
      </c>
      <c r="J6267" t="s">
        <v>589</v>
      </c>
      <c r="K6267" s="195">
        <v>45994.427465277775</v>
      </c>
      <c r="L6267">
        <v>0</v>
      </c>
      <c r="M6267">
        <v>2</v>
      </c>
      <c r="N6267" s="98" t="str">
        <f>IF(record[[#This Row],[Memo]]="Browser:chrome os:android","平板報工",IF(record[[#This Row],[Memo]]=0,"委外",record[[#This Row],[Memo]]))</f>
        <v>平板報工</v>
      </c>
      <c r="O6267" t="s">
        <v>643</v>
      </c>
      <c r="P6267" t="s">
        <v>141</v>
      </c>
      <c r="Q6267" t="s">
        <v>644</v>
      </c>
      <c r="R6267" t="str">
        <f>IFERROR(VLOOKUP(record[[#This Row],[PCUSTID]],廠商[],2,FALSE),"")</f>
        <v/>
      </c>
      <c r="S6267" t="str">
        <f>VLOOKUP(record[[#This Row],[employeeID]],員工[],2,FALSE)</f>
        <v>蔣梅</v>
      </c>
    </row>
    <row r="6268" spans="6:19" hidden="1" x14ac:dyDescent="0.25">
      <c r="F6268" t="s">
        <v>1253</v>
      </c>
      <c r="G6268" t="s">
        <v>419</v>
      </c>
      <c r="H6268" t="str">
        <f>VLOOKUP(record[[#This Row],[ProcessSN]],表格2_7[],2,FALSE)</f>
        <v>30-4118-018-5XX</v>
      </c>
      <c r="I6268" t="str">
        <f>VLOOKUP(record[[#This Row],[ProcessSN]],表格2_7[],3,FALSE)</f>
        <v>#07QC</v>
      </c>
      <c r="J6268" t="s">
        <v>589</v>
      </c>
      <c r="K6268" s="195">
        <v>45994.427222222221</v>
      </c>
      <c r="L6268">
        <v>166</v>
      </c>
      <c r="M6268">
        <v>0</v>
      </c>
      <c r="N6268" s="98" t="str">
        <f>IF(record[[#This Row],[Memo]]="Browser:chrome os:android","平板報工",IF(record[[#This Row],[Memo]]=0,"委外",record[[#This Row],[Memo]]))</f>
        <v>平板報工</v>
      </c>
      <c r="O6268" t="s">
        <v>643</v>
      </c>
      <c r="P6268" t="s">
        <v>141</v>
      </c>
      <c r="Q6268" t="s">
        <v>644</v>
      </c>
      <c r="R6268" t="str">
        <f>IFERROR(VLOOKUP(record[[#This Row],[PCUSTID]],廠商[],2,FALSE),"")</f>
        <v/>
      </c>
      <c r="S6268" t="str">
        <f>VLOOKUP(record[[#This Row],[employeeID]],員工[],2,FALSE)</f>
        <v>蔣梅</v>
      </c>
    </row>
    <row r="6269" spans="6:19" hidden="1" x14ac:dyDescent="0.25">
      <c r="F6269" t="s">
        <v>1209</v>
      </c>
      <c r="G6269" t="s">
        <v>469</v>
      </c>
      <c r="H6269" t="str">
        <f>VLOOKUP(record[[#This Row],[ProcessSN]],表格2_7[],2,FALSE)</f>
        <v>30-4118-018-XXX</v>
      </c>
      <c r="I6269" t="str">
        <f>VLOOKUP(record[[#This Row],[ProcessSN]],表格2_7[],3,FALSE)</f>
        <v>#02RCV</v>
      </c>
      <c r="J6269" t="s">
        <v>591</v>
      </c>
      <c r="K6269" s="195">
        <v>45994.405509259261</v>
      </c>
      <c r="L6269">
        <v>1176</v>
      </c>
      <c r="M6269">
        <v>0</v>
      </c>
      <c r="N6269" s="98" t="str">
        <f>IF(record[[#This Row],[Memo]]="Browser:chrome os:android","平板報工",IF(record[[#This Row],[Memo]]=0,"委外",record[[#This Row],[Memo]]))</f>
        <v/>
      </c>
      <c r="O6269" t="s">
        <v>58</v>
      </c>
      <c r="P6269" t="s">
        <v>186</v>
      </c>
      <c r="Q6269" t="s">
        <v>58</v>
      </c>
      <c r="R6269" t="str">
        <f>IFERROR(VLOOKUP(record[[#This Row],[PCUSTID]],廠商[],2,FALSE),"")</f>
        <v/>
      </c>
      <c r="S6269" t="str">
        <f>VLOOKUP(record[[#This Row],[employeeID]],員工[],2,FALSE)</f>
        <v>許文姍</v>
      </c>
    </row>
    <row r="6270" spans="6:19" hidden="1" x14ac:dyDescent="0.25">
      <c r="F6270" t="s">
        <v>1270</v>
      </c>
      <c r="G6270" t="s">
        <v>378</v>
      </c>
      <c r="H6270" t="str">
        <f>VLOOKUP(record[[#This Row],[ProcessSN]],表格2_7[],2,FALSE)</f>
        <v>30-4118-018-4XX</v>
      </c>
      <c r="I6270" t="str">
        <f>VLOOKUP(record[[#This Row],[ProcessSN]],表格2_7[],3,FALSE)</f>
        <v>#07QC</v>
      </c>
      <c r="J6270" t="s">
        <v>589</v>
      </c>
      <c r="K6270" s="195">
        <v>45994.386064814818</v>
      </c>
      <c r="L6270">
        <v>0</v>
      </c>
      <c r="M6270">
        <v>4</v>
      </c>
      <c r="N6270" s="98" t="str">
        <f>IF(record[[#This Row],[Memo]]="Browser:chrome os:android","平板報工",IF(record[[#This Row],[Memo]]=0,"委外",record[[#This Row],[Memo]]))</f>
        <v>平板報工</v>
      </c>
      <c r="O6270" t="s">
        <v>643</v>
      </c>
      <c r="P6270" t="s">
        <v>141</v>
      </c>
      <c r="Q6270" t="s">
        <v>644</v>
      </c>
      <c r="R6270" t="str">
        <f>IFERROR(VLOOKUP(record[[#This Row],[PCUSTID]],廠商[],2,FALSE),"")</f>
        <v/>
      </c>
      <c r="S6270" t="str">
        <f>VLOOKUP(record[[#This Row],[employeeID]],員工[],2,FALSE)</f>
        <v>蔣梅</v>
      </c>
    </row>
    <row r="6271" spans="6:19" hidden="1" x14ac:dyDescent="0.25">
      <c r="F6271" t="s">
        <v>1270</v>
      </c>
      <c r="G6271" t="s">
        <v>378</v>
      </c>
      <c r="H6271" t="str">
        <f>VLOOKUP(record[[#This Row],[ProcessSN]],表格2_7[],2,FALSE)</f>
        <v>30-4118-018-4XX</v>
      </c>
      <c r="I6271" t="str">
        <f>VLOOKUP(record[[#This Row],[ProcessSN]],表格2_7[],3,FALSE)</f>
        <v>#07QC</v>
      </c>
      <c r="J6271" t="s">
        <v>589</v>
      </c>
      <c r="K6271" s="195">
        <v>45994.385833333334</v>
      </c>
      <c r="L6271">
        <v>164</v>
      </c>
      <c r="M6271">
        <v>0</v>
      </c>
      <c r="N6271" s="98" t="str">
        <f>IF(record[[#This Row],[Memo]]="Browser:chrome os:android","平板報工",IF(record[[#This Row],[Memo]]=0,"委外",record[[#This Row],[Memo]]))</f>
        <v>平板報工</v>
      </c>
      <c r="O6271" t="s">
        <v>643</v>
      </c>
      <c r="P6271" t="s">
        <v>141</v>
      </c>
      <c r="Q6271" t="s">
        <v>644</v>
      </c>
      <c r="R6271" t="str">
        <f>IFERROR(VLOOKUP(record[[#This Row],[PCUSTID]],廠商[],2,FALSE),"")</f>
        <v/>
      </c>
      <c r="S6271" t="str">
        <f>VLOOKUP(record[[#This Row],[employeeID]],員工[],2,FALSE)</f>
        <v>蔣梅</v>
      </c>
    </row>
    <row r="6272" spans="6:19" hidden="1" x14ac:dyDescent="0.25">
      <c r="F6272" t="s">
        <v>1270</v>
      </c>
      <c r="G6272" t="s">
        <v>371</v>
      </c>
      <c r="H6272" t="str">
        <f>VLOOKUP(record[[#This Row],[ProcessSN]],表格2_7[],2,FALSE)</f>
        <v>30-4118-018-4XX</v>
      </c>
      <c r="I6272" t="str">
        <f>VLOOKUP(record[[#This Row],[ProcessSN]],表格2_7[],3,FALSE)</f>
        <v>#03PICK</v>
      </c>
      <c r="J6272" t="s">
        <v>582</v>
      </c>
      <c r="K6272" s="195">
        <v>45994.361041666663</v>
      </c>
      <c r="L6272">
        <v>413</v>
      </c>
      <c r="M6272">
        <v>0</v>
      </c>
      <c r="N6272" s="98" t="str">
        <f>IF(record[[#This Row],[Memo]]="Browser:chrome os:android","平板報工",IF(record[[#This Row],[Memo]]=0,"委外",record[[#This Row],[Memo]]))</f>
        <v>018-5XX轉來</v>
      </c>
      <c r="O6272" t="s">
        <v>1274</v>
      </c>
      <c r="P6272" t="s">
        <v>113</v>
      </c>
      <c r="Q6272" t="s">
        <v>58</v>
      </c>
      <c r="R6272" t="str">
        <f>IFERROR(VLOOKUP(record[[#This Row],[PCUSTID]],廠商[],2,FALSE),"")</f>
        <v/>
      </c>
      <c r="S6272" t="str">
        <f>VLOOKUP(record[[#This Row],[employeeID]],員工[],2,FALSE)</f>
        <v>王奕蓁</v>
      </c>
    </row>
    <row r="6273" spans="6:19" hidden="1" x14ac:dyDescent="0.25">
      <c r="F6273" t="s">
        <v>1270</v>
      </c>
      <c r="G6273" t="s">
        <v>373</v>
      </c>
      <c r="H6273" t="str">
        <f>VLOOKUP(record[[#This Row],[ProcessSN]],表格2_7[],2,FALSE)</f>
        <v>30-4118-018-4XX</v>
      </c>
      <c r="I6273" t="str">
        <f>VLOOKUP(record[[#This Row],[ProcessSN]],表格2_7[],3,FALSE)</f>
        <v>#03</v>
      </c>
      <c r="J6273" t="s">
        <v>588</v>
      </c>
      <c r="K6273" s="195">
        <v>45994.360949074071</v>
      </c>
      <c r="L6273">
        <v>413</v>
      </c>
      <c r="M6273">
        <v>0</v>
      </c>
      <c r="N6273" s="98" t="str">
        <f>IF(record[[#This Row],[Memo]]="Browser:chrome os:android","平板報工",IF(record[[#This Row],[Memo]]=0,"委外",record[[#This Row],[Memo]]))</f>
        <v>018-5XX轉來</v>
      </c>
      <c r="O6273" t="s">
        <v>1274</v>
      </c>
      <c r="P6273" t="s">
        <v>113</v>
      </c>
      <c r="Q6273" t="s">
        <v>58</v>
      </c>
      <c r="R6273" t="str">
        <f>IFERROR(VLOOKUP(record[[#This Row],[PCUSTID]],廠商[],2,FALSE),"")</f>
        <v/>
      </c>
      <c r="S6273" t="str">
        <f>VLOOKUP(record[[#This Row],[employeeID]],員工[],2,FALSE)</f>
        <v>王奕蓁</v>
      </c>
    </row>
    <row r="6274" spans="6:19" hidden="1" x14ac:dyDescent="0.25">
      <c r="F6274" t="s">
        <v>1270</v>
      </c>
      <c r="G6274" t="s">
        <v>372</v>
      </c>
      <c r="H6274" t="str">
        <f>VLOOKUP(record[[#This Row],[ProcessSN]],表格2_7[],2,FALSE)</f>
        <v>30-4118-018-4XX</v>
      </c>
      <c r="I6274" t="str">
        <f>VLOOKUP(record[[#This Row],[ProcessSN]],表格2_7[],3,FALSE)</f>
        <v>#03GIVE</v>
      </c>
      <c r="J6274" t="s">
        <v>587</v>
      </c>
      <c r="K6274" s="195">
        <v>45994.359768518516</v>
      </c>
      <c r="L6274">
        <v>413</v>
      </c>
      <c r="M6274">
        <v>0</v>
      </c>
      <c r="N6274" s="98" t="str">
        <f>IF(record[[#This Row],[Memo]]="Browser:chrome os:android","平板報工",IF(record[[#This Row],[Memo]]=0,"委外",record[[#This Row],[Memo]]))</f>
        <v>018-5XX轉來</v>
      </c>
      <c r="O6274" t="s">
        <v>1274</v>
      </c>
      <c r="P6274" t="s">
        <v>113</v>
      </c>
      <c r="Q6274" t="s">
        <v>58</v>
      </c>
      <c r="R6274" t="str">
        <f>IFERROR(VLOOKUP(record[[#This Row],[PCUSTID]],廠商[],2,FALSE),"")</f>
        <v/>
      </c>
      <c r="S6274" t="str">
        <f>VLOOKUP(record[[#This Row],[employeeID]],員工[],2,FALSE)</f>
        <v>王奕蓁</v>
      </c>
    </row>
    <row r="6275" spans="6:19" hidden="1" x14ac:dyDescent="0.25">
      <c r="F6275" t="s">
        <v>1209</v>
      </c>
      <c r="G6275" t="s">
        <v>468</v>
      </c>
      <c r="H6275" t="str">
        <f>VLOOKUP(record[[#This Row],[ProcessSN]],表格2_7[],2,FALSE)</f>
        <v>30-4118-018-XXX</v>
      </c>
      <c r="I6275" t="str">
        <f>VLOOKUP(record[[#This Row],[ProcessSN]],表格2_7[],3,FALSE)</f>
        <v>#02</v>
      </c>
      <c r="J6275" t="s">
        <v>590</v>
      </c>
      <c r="K6275" s="195">
        <v>45994.359594907408</v>
      </c>
      <c r="L6275">
        <v>2144</v>
      </c>
      <c r="M6275">
        <v>0</v>
      </c>
      <c r="N6275" s="98" t="str">
        <f>IF(record[[#This Row],[Memo]]="Browser:chrome os:android","平板報工",IF(record[[#This Row],[Memo]]=0,"委外",record[[#This Row],[Memo]]))</f>
        <v>委外</v>
      </c>
      <c r="P6275" t="s">
        <v>186</v>
      </c>
      <c r="Q6275" t="s">
        <v>216</v>
      </c>
      <c r="R6275" t="str">
        <f>IFERROR(VLOOKUP(record[[#This Row],[PCUSTID]],廠商[],2,FALSE),"")</f>
        <v>俊杰</v>
      </c>
      <c r="S6275" t="str">
        <f>VLOOKUP(record[[#This Row],[employeeID]],員工[],2,FALSE)</f>
        <v>許文姍</v>
      </c>
    </row>
    <row r="6276" spans="6:19" hidden="1" x14ac:dyDescent="0.25">
      <c r="F6276" t="s">
        <v>1253</v>
      </c>
      <c r="G6276" t="s">
        <v>412</v>
      </c>
      <c r="H6276" t="str">
        <f>VLOOKUP(record[[#This Row],[ProcessSN]],表格2_7[],2,FALSE)</f>
        <v>30-4118-018-5XX</v>
      </c>
      <c r="I6276" t="str">
        <f>VLOOKUP(record[[#This Row],[ProcessSN]],表格2_7[],3,FALSE)</f>
        <v>#03PICK</v>
      </c>
      <c r="J6276" t="s">
        <v>582</v>
      </c>
      <c r="K6276" s="195">
        <v>45994.357615740744</v>
      </c>
      <c r="L6276">
        <v>-413</v>
      </c>
      <c r="M6276">
        <v>0</v>
      </c>
      <c r="N6276" s="98" t="str">
        <f>IF(record[[#This Row],[Memo]]="Browser:chrome os:android","平板報工",IF(record[[#This Row],[Memo]]=0,"委外",record[[#This Row],[Memo]]))</f>
        <v>轉018-4XX</v>
      </c>
      <c r="O6276" t="s">
        <v>1273</v>
      </c>
      <c r="P6276" t="s">
        <v>113</v>
      </c>
      <c r="Q6276" t="s">
        <v>58</v>
      </c>
      <c r="R6276" t="str">
        <f>IFERROR(VLOOKUP(record[[#This Row],[PCUSTID]],廠商[],2,FALSE),"")</f>
        <v/>
      </c>
      <c r="S6276" t="str">
        <f>VLOOKUP(record[[#This Row],[employeeID]],員工[],2,FALSE)</f>
        <v>王奕蓁</v>
      </c>
    </row>
    <row r="6277" spans="6:19" hidden="1" x14ac:dyDescent="0.25">
      <c r="F6277" t="s">
        <v>1253</v>
      </c>
      <c r="G6277" t="s">
        <v>413</v>
      </c>
      <c r="H6277" t="str">
        <f>VLOOKUP(record[[#This Row],[ProcessSN]],表格2_7[],2,FALSE)</f>
        <v>30-4118-018-5XX</v>
      </c>
      <c r="I6277" t="str">
        <f>VLOOKUP(record[[#This Row],[ProcessSN]],表格2_7[],3,FALSE)</f>
        <v>#03GIVE</v>
      </c>
      <c r="J6277" t="s">
        <v>587</v>
      </c>
      <c r="K6277" s="195">
        <v>45994.35664351852</v>
      </c>
      <c r="L6277">
        <v>-413</v>
      </c>
      <c r="M6277">
        <v>0</v>
      </c>
      <c r="N6277" s="98" t="str">
        <f>IF(record[[#This Row],[Memo]]="Browser:chrome os:android","平板報工",IF(record[[#This Row],[Memo]]=0,"委外",record[[#This Row],[Memo]]))</f>
        <v>轉018-4XX</v>
      </c>
      <c r="O6277" t="s">
        <v>1273</v>
      </c>
      <c r="P6277" t="s">
        <v>113</v>
      </c>
      <c r="Q6277" t="s">
        <v>58</v>
      </c>
      <c r="R6277" t="str">
        <f>IFERROR(VLOOKUP(record[[#This Row],[PCUSTID]],廠商[],2,FALSE),"")</f>
        <v/>
      </c>
      <c r="S6277" t="str">
        <f>VLOOKUP(record[[#This Row],[employeeID]],員工[],2,FALSE)</f>
        <v>王奕蓁</v>
      </c>
    </row>
    <row r="6278" spans="6:19" hidden="1" x14ac:dyDescent="0.25">
      <c r="F6278" t="s">
        <v>1253</v>
      </c>
      <c r="G6278" t="s">
        <v>414</v>
      </c>
      <c r="H6278" t="str">
        <f>VLOOKUP(record[[#This Row],[ProcessSN]],表格2_7[],2,FALSE)</f>
        <v>30-4118-018-5XX</v>
      </c>
      <c r="I6278" t="str">
        <f>VLOOKUP(record[[#This Row],[ProcessSN]],表格2_7[],3,FALSE)</f>
        <v>#03</v>
      </c>
      <c r="J6278" t="s">
        <v>588</v>
      </c>
      <c r="K6278" s="195">
        <v>45994.356157407405</v>
      </c>
      <c r="L6278">
        <v>-413</v>
      </c>
      <c r="M6278">
        <v>0</v>
      </c>
      <c r="N6278" s="98" t="str">
        <f>IF(record[[#This Row],[Memo]]="Browser:chrome os:android","平板報工",IF(record[[#This Row],[Memo]]=0,"委外",record[[#This Row],[Memo]]))</f>
        <v>轉018-4XX</v>
      </c>
      <c r="O6278" t="s">
        <v>1273</v>
      </c>
      <c r="P6278" t="s">
        <v>113</v>
      </c>
      <c r="R6278" t="str">
        <f>IFERROR(VLOOKUP(record[[#This Row],[PCUSTID]],廠商[],2,FALSE),"")</f>
        <v/>
      </c>
      <c r="S6278" t="str">
        <f>VLOOKUP(record[[#This Row],[employeeID]],員工[],2,FALSE)</f>
        <v>王奕蓁</v>
      </c>
    </row>
    <row r="6279" spans="6:19" hidden="1" x14ac:dyDescent="0.25">
      <c r="F6279" t="s">
        <v>1209</v>
      </c>
      <c r="G6279" t="s">
        <v>467</v>
      </c>
      <c r="H6279" t="str">
        <f>VLOOKUP(record[[#This Row],[ProcessSN]],表格2_7[],2,FALSE)</f>
        <v>30-4118-018-XXX</v>
      </c>
      <c r="I6279" t="str">
        <f>VLOOKUP(record[[#This Row],[ProcessSN]],表格2_7[],3,FALSE)</f>
        <v>#01QC</v>
      </c>
      <c r="J6279" t="s">
        <v>589</v>
      </c>
      <c r="K6279" s="195">
        <v>45994.354363425926</v>
      </c>
      <c r="L6279">
        <v>144</v>
      </c>
      <c r="M6279">
        <v>0</v>
      </c>
      <c r="N6279" s="98" t="str">
        <f>IF(record[[#This Row],[Memo]]="Browser:chrome os:android","平板報工",IF(record[[#This Row],[Memo]]=0,"委外",record[[#This Row],[Memo]]))</f>
        <v>平板報工</v>
      </c>
      <c r="O6279" t="s">
        <v>643</v>
      </c>
      <c r="P6279" t="s">
        <v>182</v>
      </c>
      <c r="Q6279" t="s">
        <v>644</v>
      </c>
      <c r="R6279" t="str">
        <f>IFERROR(VLOOKUP(record[[#This Row],[PCUSTID]],廠商[],2,FALSE),"")</f>
        <v/>
      </c>
      <c r="S6279" t="str">
        <f>VLOOKUP(record[[#This Row],[employeeID]],員工[],2,FALSE)</f>
        <v>梅氏和</v>
      </c>
    </row>
    <row r="6280" spans="6:19" hidden="1" x14ac:dyDescent="0.25">
      <c r="F6280" t="s">
        <v>1209</v>
      </c>
      <c r="G6280" t="s">
        <v>467</v>
      </c>
      <c r="H6280" t="str">
        <f>VLOOKUP(record[[#This Row],[ProcessSN]],表格2_7[],2,FALSE)</f>
        <v>30-4118-018-XXX</v>
      </c>
      <c r="I6280" t="str">
        <f>VLOOKUP(record[[#This Row],[ProcessSN]],表格2_7[],3,FALSE)</f>
        <v>#01QC</v>
      </c>
      <c r="J6280" t="s">
        <v>589</v>
      </c>
      <c r="K6280" s="195">
        <v>45994.352824074071</v>
      </c>
      <c r="L6280">
        <v>51</v>
      </c>
      <c r="M6280">
        <v>0</v>
      </c>
      <c r="N6280" s="98" t="str">
        <f>IF(record[[#This Row],[Memo]]="Browser:chrome os:android","平板報工",IF(record[[#This Row],[Memo]]=0,"委外",record[[#This Row],[Memo]]))</f>
        <v>平板報工</v>
      </c>
      <c r="O6280" t="s">
        <v>643</v>
      </c>
      <c r="P6280" t="s">
        <v>182</v>
      </c>
      <c r="Q6280" t="s">
        <v>644</v>
      </c>
      <c r="R6280" t="str">
        <f>IFERROR(VLOOKUP(record[[#This Row],[PCUSTID]],廠商[],2,FALSE),"")</f>
        <v/>
      </c>
      <c r="S6280" t="str">
        <f>VLOOKUP(record[[#This Row],[employeeID]],員工[],2,FALSE)</f>
        <v>梅氏和</v>
      </c>
    </row>
    <row r="6281" spans="6:19" hidden="1" x14ac:dyDescent="0.25">
      <c r="F6281" t="s">
        <v>1209</v>
      </c>
      <c r="G6281" t="s">
        <v>467</v>
      </c>
      <c r="H6281" t="str">
        <f>VLOOKUP(record[[#This Row],[ProcessSN]],表格2_7[],2,FALSE)</f>
        <v>30-4118-018-XXX</v>
      </c>
      <c r="I6281" t="str">
        <f>VLOOKUP(record[[#This Row],[ProcessSN]],表格2_7[],3,FALSE)</f>
        <v>#01QC</v>
      </c>
      <c r="J6281" t="s">
        <v>589</v>
      </c>
      <c r="K6281" s="195">
        <v>45994.351898148147</v>
      </c>
      <c r="L6281">
        <v>111</v>
      </c>
      <c r="M6281">
        <v>0</v>
      </c>
      <c r="N6281" s="98" t="str">
        <f>IF(record[[#This Row],[Memo]]="Browser:chrome os:android","平板報工",IF(record[[#This Row],[Memo]]=0,"委外",record[[#This Row],[Memo]]))</f>
        <v>平板報工</v>
      </c>
      <c r="O6281" t="s">
        <v>643</v>
      </c>
      <c r="P6281" t="s">
        <v>182</v>
      </c>
      <c r="Q6281" t="s">
        <v>644</v>
      </c>
      <c r="R6281" t="str">
        <f>IFERROR(VLOOKUP(record[[#This Row],[PCUSTID]],廠商[],2,FALSE),"")</f>
        <v/>
      </c>
      <c r="S6281" t="str">
        <f>VLOOKUP(record[[#This Row],[employeeID]],員工[],2,FALSE)</f>
        <v>梅氏和</v>
      </c>
    </row>
    <row r="6282" spans="6:19" hidden="1" x14ac:dyDescent="0.25">
      <c r="F6282" t="s">
        <v>1209</v>
      </c>
      <c r="G6282" t="s">
        <v>467</v>
      </c>
      <c r="H6282" t="str">
        <f>VLOOKUP(record[[#This Row],[ProcessSN]],表格2_7[],2,FALSE)</f>
        <v>30-4118-018-XXX</v>
      </c>
      <c r="I6282" t="str">
        <f>VLOOKUP(record[[#This Row],[ProcessSN]],表格2_7[],3,FALSE)</f>
        <v>#01QC</v>
      </c>
      <c r="J6282" t="s">
        <v>589</v>
      </c>
      <c r="K6282" s="195">
        <v>45994.350243055553</v>
      </c>
      <c r="L6282">
        <v>323</v>
      </c>
      <c r="M6282">
        <v>0</v>
      </c>
      <c r="N6282" s="98" t="str">
        <f>IF(record[[#This Row],[Memo]]="Browser:chrome os:android","平板報工",IF(record[[#This Row],[Memo]]=0,"委外",record[[#This Row],[Memo]]))</f>
        <v>平板報工</v>
      </c>
      <c r="O6282" t="s">
        <v>643</v>
      </c>
      <c r="P6282" t="s">
        <v>182</v>
      </c>
      <c r="Q6282" t="s">
        <v>644</v>
      </c>
      <c r="R6282" t="str">
        <f>IFERROR(VLOOKUP(record[[#This Row],[PCUSTID]],廠商[],2,FALSE),"")</f>
        <v/>
      </c>
      <c r="S6282" t="str">
        <f>VLOOKUP(record[[#This Row],[employeeID]],員工[],2,FALSE)</f>
        <v>梅氏和</v>
      </c>
    </row>
    <row r="6283" spans="6:19" hidden="1" x14ac:dyDescent="0.25">
      <c r="F6283" t="s">
        <v>1209</v>
      </c>
      <c r="G6283" t="s">
        <v>467</v>
      </c>
      <c r="H6283" t="str">
        <f>VLOOKUP(record[[#This Row],[ProcessSN]],表格2_7[],2,FALSE)</f>
        <v>30-4118-018-XXX</v>
      </c>
      <c r="I6283" t="str">
        <f>VLOOKUP(record[[#This Row],[ProcessSN]],表格2_7[],3,FALSE)</f>
        <v>#01QC</v>
      </c>
      <c r="J6283" t="s">
        <v>589</v>
      </c>
      <c r="K6283" s="195">
        <v>45994.34888888889</v>
      </c>
      <c r="L6283">
        <v>672</v>
      </c>
      <c r="M6283">
        <v>0</v>
      </c>
      <c r="N6283" s="98" t="str">
        <f>IF(record[[#This Row],[Memo]]="Browser:chrome os:android","平板報工",IF(record[[#This Row],[Memo]]=0,"委外",record[[#This Row],[Memo]]))</f>
        <v>平板報工</v>
      </c>
      <c r="O6283" t="s">
        <v>643</v>
      </c>
      <c r="P6283" t="s">
        <v>182</v>
      </c>
      <c r="Q6283" t="s">
        <v>644</v>
      </c>
      <c r="R6283" t="str">
        <f>IFERROR(VLOOKUP(record[[#This Row],[PCUSTID]],廠商[],2,FALSE),"")</f>
        <v/>
      </c>
      <c r="S6283" t="str">
        <f>VLOOKUP(record[[#This Row],[employeeID]],員工[],2,FALSE)</f>
        <v>梅氏和</v>
      </c>
    </row>
    <row r="6284" spans="6:19" hidden="1" x14ac:dyDescent="0.25">
      <c r="F6284" t="s">
        <v>1270</v>
      </c>
      <c r="G6284" t="s">
        <v>377</v>
      </c>
      <c r="H6284" t="str">
        <f>VLOOKUP(record[[#This Row],[ProcessSN]],表格2_7[],2,FALSE)</f>
        <v>30-4118-018-4XX</v>
      </c>
      <c r="I6284" t="str">
        <f>VLOOKUP(record[[#This Row],[ProcessSN]],表格2_7[],3,FALSE)</f>
        <v>#07</v>
      </c>
      <c r="J6284" t="s">
        <v>588</v>
      </c>
      <c r="K6284" s="195">
        <v>45994.31040509259</v>
      </c>
      <c r="L6284">
        <v>131</v>
      </c>
      <c r="M6284">
        <v>0</v>
      </c>
      <c r="N6284" s="98" t="str">
        <f>IF(record[[#This Row],[Memo]]="Browser:chrome os:android","平板報工",IF(record[[#This Row],[Memo]]=0,"委外",record[[#This Row],[Memo]]))</f>
        <v/>
      </c>
      <c r="O6284" t="s">
        <v>58</v>
      </c>
      <c r="P6284" t="s">
        <v>135</v>
      </c>
      <c r="Q6284" t="s">
        <v>58</v>
      </c>
      <c r="R6284" t="str">
        <f>IFERROR(VLOOKUP(record[[#This Row],[PCUSTID]],廠商[],2,FALSE),"")</f>
        <v/>
      </c>
      <c r="S6284" t="str">
        <f>VLOOKUP(record[[#This Row],[employeeID]],員工[],2,FALSE)</f>
        <v>阮士文</v>
      </c>
    </row>
    <row r="6285" spans="6:19" hidden="1" x14ac:dyDescent="0.25">
      <c r="F6285" t="s">
        <v>1270</v>
      </c>
      <c r="G6285" t="s">
        <v>376</v>
      </c>
      <c r="H6285" t="str">
        <f>VLOOKUP(record[[#This Row],[ProcessSN]],表格2_7[],2,FALSE)</f>
        <v>30-4118-018-4XX</v>
      </c>
      <c r="I6285" t="str">
        <f>VLOOKUP(record[[#This Row],[ProcessSN]],表格2_7[],3,FALSE)</f>
        <v>#06</v>
      </c>
      <c r="J6285" t="s">
        <v>593</v>
      </c>
      <c r="K6285" s="195">
        <v>45994.310173611113</v>
      </c>
      <c r="L6285">
        <v>131</v>
      </c>
      <c r="M6285">
        <v>0</v>
      </c>
      <c r="N6285" s="98" t="str">
        <f>IF(record[[#This Row],[Memo]]="Browser:chrome os:android","平板報工",IF(record[[#This Row],[Memo]]=0,"委外",record[[#This Row],[Memo]]))</f>
        <v/>
      </c>
      <c r="O6285" t="s">
        <v>58</v>
      </c>
      <c r="P6285" t="s">
        <v>135</v>
      </c>
      <c r="Q6285" t="s">
        <v>58</v>
      </c>
      <c r="R6285" t="str">
        <f>IFERROR(VLOOKUP(record[[#This Row],[PCUSTID]],廠商[],2,FALSE),"")</f>
        <v/>
      </c>
      <c r="S6285" t="str">
        <f>VLOOKUP(record[[#This Row],[employeeID]],員工[],2,FALSE)</f>
        <v>阮士文</v>
      </c>
    </row>
    <row r="6286" spans="6:19" hidden="1" x14ac:dyDescent="0.25">
      <c r="F6286" t="s">
        <v>1270</v>
      </c>
      <c r="G6286" t="s">
        <v>375</v>
      </c>
      <c r="H6286" t="str">
        <f>VLOOKUP(record[[#This Row],[ProcessSN]],表格2_7[],2,FALSE)</f>
        <v>30-4118-018-4XX</v>
      </c>
      <c r="I6286" t="str">
        <f>VLOOKUP(record[[#This Row],[ProcessSN]],表格2_7[],3,FALSE)</f>
        <v>#05</v>
      </c>
      <c r="J6286" t="s">
        <v>588</v>
      </c>
      <c r="K6286" s="195">
        <v>45994.309965277775</v>
      </c>
      <c r="L6286">
        <v>149</v>
      </c>
      <c r="M6286">
        <v>0</v>
      </c>
      <c r="N6286" s="98" t="str">
        <f>IF(record[[#This Row],[Memo]]="Browser:chrome os:android","平板報工",IF(record[[#This Row],[Memo]]=0,"委外",record[[#This Row],[Memo]]))</f>
        <v/>
      </c>
      <c r="O6286" t="s">
        <v>58</v>
      </c>
      <c r="P6286" t="s">
        <v>135</v>
      </c>
      <c r="Q6286" t="s">
        <v>58</v>
      </c>
      <c r="R6286" t="str">
        <f>IFERROR(VLOOKUP(record[[#This Row],[PCUSTID]],廠商[],2,FALSE),"")</f>
        <v/>
      </c>
      <c r="S6286" t="str">
        <f>VLOOKUP(record[[#This Row],[employeeID]],員工[],2,FALSE)</f>
        <v>阮士文</v>
      </c>
    </row>
    <row r="6287" spans="6:19" hidden="1" x14ac:dyDescent="0.25">
      <c r="F6287" t="s">
        <v>1270</v>
      </c>
      <c r="G6287" t="s">
        <v>374</v>
      </c>
      <c r="H6287" t="str">
        <f>VLOOKUP(record[[#This Row],[ProcessSN]],表格2_7[],2,FALSE)</f>
        <v>30-4118-018-4XX</v>
      </c>
      <c r="I6287" t="str">
        <f>VLOOKUP(record[[#This Row],[ProcessSN]],表格2_7[],3,FALSE)</f>
        <v>#04</v>
      </c>
      <c r="J6287" t="s">
        <v>588</v>
      </c>
      <c r="K6287" s="195">
        <v>45994.309652777774</v>
      </c>
      <c r="L6287">
        <v>149</v>
      </c>
      <c r="M6287">
        <v>0</v>
      </c>
      <c r="N6287" s="98" t="str">
        <f>IF(record[[#This Row],[Memo]]="Browser:chrome os:android","平板報工",IF(record[[#This Row],[Memo]]=0,"委外",record[[#This Row],[Memo]]))</f>
        <v/>
      </c>
      <c r="O6287" t="s">
        <v>58</v>
      </c>
      <c r="P6287" t="s">
        <v>135</v>
      </c>
      <c r="Q6287" t="s">
        <v>58</v>
      </c>
      <c r="R6287" t="str">
        <f>IFERROR(VLOOKUP(record[[#This Row],[PCUSTID]],廠商[],2,FALSE),"")</f>
        <v/>
      </c>
      <c r="S6287" t="str">
        <f>VLOOKUP(record[[#This Row],[employeeID]],員工[],2,FALSE)</f>
        <v>阮士文</v>
      </c>
    </row>
    <row r="6288" spans="6:19" hidden="1" x14ac:dyDescent="0.25">
      <c r="F6288" t="s">
        <v>1270</v>
      </c>
      <c r="G6288" t="s">
        <v>377</v>
      </c>
      <c r="H6288" t="str">
        <f>VLOOKUP(record[[#This Row],[ProcessSN]],表格2_7[],2,FALSE)</f>
        <v>30-4118-018-4XX</v>
      </c>
      <c r="I6288" t="str">
        <f>VLOOKUP(record[[#This Row],[ProcessSN]],表格2_7[],3,FALSE)</f>
        <v>#07</v>
      </c>
      <c r="J6288" t="s">
        <v>588</v>
      </c>
      <c r="K6288" s="195">
        <v>45993.969629629632</v>
      </c>
      <c r="L6288">
        <v>111</v>
      </c>
      <c r="M6288">
        <v>0</v>
      </c>
      <c r="N6288" s="98" t="str">
        <f>IF(record[[#This Row],[Memo]]="Browser:chrome os:android","平板報工",IF(record[[#This Row],[Memo]]=0,"委外",record[[#This Row],[Memo]]))</f>
        <v/>
      </c>
      <c r="O6288" t="s">
        <v>58</v>
      </c>
      <c r="P6288" t="s">
        <v>89</v>
      </c>
      <c r="Q6288" t="s">
        <v>58</v>
      </c>
      <c r="R6288" t="str">
        <f>IFERROR(VLOOKUP(record[[#This Row],[PCUSTID]],廠商[],2,FALSE),"")</f>
        <v/>
      </c>
      <c r="S6288" t="str">
        <f>VLOOKUP(record[[#This Row],[employeeID]],員工[],2,FALSE)</f>
        <v>李美蓮</v>
      </c>
    </row>
    <row r="6289" spans="6:19" hidden="1" x14ac:dyDescent="0.25">
      <c r="F6289" t="s">
        <v>1270</v>
      </c>
      <c r="G6289" t="s">
        <v>376</v>
      </c>
      <c r="H6289" t="str">
        <f>VLOOKUP(record[[#This Row],[ProcessSN]],表格2_7[],2,FALSE)</f>
        <v>30-4118-018-4XX</v>
      </c>
      <c r="I6289" t="str">
        <f>VLOOKUP(record[[#This Row],[ProcessSN]],表格2_7[],3,FALSE)</f>
        <v>#06</v>
      </c>
      <c r="J6289" t="s">
        <v>593</v>
      </c>
      <c r="K6289" s="195">
        <v>45993.969317129631</v>
      </c>
      <c r="L6289">
        <v>111</v>
      </c>
      <c r="M6289">
        <v>0</v>
      </c>
      <c r="N6289" s="98" t="str">
        <f>IF(record[[#This Row],[Memo]]="Browser:chrome os:android","平板報工",IF(record[[#This Row],[Memo]]=0,"委外",record[[#This Row],[Memo]]))</f>
        <v/>
      </c>
      <c r="O6289" t="s">
        <v>58</v>
      </c>
      <c r="P6289" t="s">
        <v>133</v>
      </c>
      <c r="Q6289" t="s">
        <v>58</v>
      </c>
      <c r="R6289" t="str">
        <f>IFERROR(VLOOKUP(record[[#This Row],[PCUSTID]],廠商[],2,FALSE),"")</f>
        <v/>
      </c>
      <c r="S6289" t="str">
        <f>VLOOKUP(record[[#This Row],[employeeID]],員工[],2,FALSE)</f>
        <v>黎長維</v>
      </c>
    </row>
    <row r="6290" spans="6:19" hidden="1" x14ac:dyDescent="0.25">
      <c r="F6290" t="s">
        <v>1270</v>
      </c>
      <c r="G6290" t="s">
        <v>375</v>
      </c>
      <c r="H6290" t="str">
        <f>VLOOKUP(record[[#This Row],[ProcessSN]],表格2_7[],2,FALSE)</f>
        <v>30-4118-018-4XX</v>
      </c>
      <c r="I6290" t="str">
        <f>VLOOKUP(record[[#This Row],[ProcessSN]],表格2_7[],3,FALSE)</f>
        <v>#05</v>
      </c>
      <c r="J6290" t="s">
        <v>588</v>
      </c>
      <c r="K6290" s="195">
        <v>45993.968055555553</v>
      </c>
      <c r="L6290">
        <v>165</v>
      </c>
      <c r="M6290">
        <v>0</v>
      </c>
      <c r="N6290" s="98" t="str">
        <f>IF(record[[#This Row],[Memo]]="Browser:chrome os:android","平板報工",IF(record[[#This Row],[Memo]]=0,"委外",record[[#This Row],[Memo]]))</f>
        <v/>
      </c>
      <c r="O6290" t="s">
        <v>58</v>
      </c>
      <c r="P6290" t="s">
        <v>1098</v>
      </c>
      <c r="Q6290" t="s">
        <v>58</v>
      </c>
      <c r="R6290" t="str">
        <f>IFERROR(VLOOKUP(record[[#This Row],[PCUSTID]],廠商[],2,FALSE),"")</f>
        <v/>
      </c>
      <c r="S6290" t="str">
        <f>VLOOKUP(record[[#This Row],[employeeID]],員工[],2,FALSE)</f>
        <v>阮氏芳英(英)</v>
      </c>
    </row>
    <row r="6291" spans="6:19" hidden="1" x14ac:dyDescent="0.25">
      <c r="F6291" t="s">
        <v>1270</v>
      </c>
      <c r="G6291" t="s">
        <v>374</v>
      </c>
      <c r="H6291" t="str">
        <f>VLOOKUP(record[[#This Row],[ProcessSN]],表格2_7[],2,FALSE)</f>
        <v>30-4118-018-4XX</v>
      </c>
      <c r="I6291" t="str">
        <f>VLOOKUP(record[[#This Row],[ProcessSN]],表格2_7[],3,FALSE)</f>
        <v>#04</v>
      </c>
      <c r="J6291" t="s">
        <v>588</v>
      </c>
      <c r="K6291" s="195">
        <v>45993.966921296298</v>
      </c>
      <c r="L6291">
        <v>135</v>
      </c>
      <c r="M6291">
        <v>0</v>
      </c>
      <c r="N6291" s="98" t="str">
        <f>IF(record[[#This Row],[Memo]]="Browser:chrome os:android","平板報工",IF(record[[#This Row],[Memo]]=0,"委外",record[[#This Row],[Memo]]))</f>
        <v/>
      </c>
      <c r="O6291" t="s">
        <v>58</v>
      </c>
      <c r="P6291" t="s">
        <v>806</v>
      </c>
      <c r="Q6291" t="s">
        <v>58</v>
      </c>
      <c r="R6291" t="str">
        <f>IFERROR(VLOOKUP(record[[#This Row],[PCUSTID]],廠商[],2,FALSE),"")</f>
        <v/>
      </c>
      <c r="S6291" t="str">
        <f>VLOOKUP(record[[#This Row],[employeeID]],員工[],2,FALSE)</f>
        <v>方思緯</v>
      </c>
    </row>
    <row r="6292" spans="6:19" hidden="1" x14ac:dyDescent="0.25">
      <c r="F6292" t="s">
        <v>1209</v>
      </c>
      <c r="G6292" t="s">
        <v>466</v>
      </c>
      <c r="H6292" t="str">
        <f>VLOOKUP(record[[#This Row],[ProcessSN]],表格2_7[],2,FALSE)</f>
        <v>30-4118-018-XXX</v>
      </c>
      <c r="I6292" t="str">
        <f>VLOOKUP(record[[#This Row],[ProcessSN]],表格2_7[],3,FALSE)</f>
        <v>#01-2</v>
      </c>
      <c r="J6292" t="s">
        <v>588</v>
      </c>
      <c r="K6292" s="195">
        <v>45993.966539351852</v>
      </c>
      <c r="L6292">
        <v>419</v>
      </c>
      <c r="M6292">
        <v>0</v>
      </c>
      <c r="N6292" s="98" t="str">
        <f>IF(record[[#This Row],[Memo]]="Browser:chrome os:android","平板報工",IF(record[[#This Row],[Memo]]=0,"委外",record[[#This Row],[Memo]]))</f>
        <v/>
      </c>
      <c r="O6292" t="s">
        <v>58</v>
      </c>
      <c r="P6292" t="s">
        <v>806</v>
      </c>
      <c r="Q6292" t="s">
        <v>58</v>
      </c>
      <c r="R6292" t="str">
        <f>IFERROR(VLOOKUP(record[[#This Row],[PCUSTID]],廠商[],2,FALSE),"")</f>
        <v/>
      </c>
      <c r="S6292" t="str">
        <f>VLOOKUP(record[[#This Row],[employeeID]],員工[],2,FALSE)</f>
        <v>方思緯</v>
      </c>
    </row>
    <row r="6293" spans="6:19" hidden="1" x14ac:dyDescent="0.25">
      <c r="F6293" t="s">
        <v>1253</v>
      </c>
      <c r="G6293" t="s">
        <v>418</v>
      </c>
      <c r="H6293" t="str">
        <f>VLOOKUP(record[[#This Row],[ProcessSN]],表格2_7[],2,FALSE)</f>
        <v>30-4118-018-5XX</v>
      </c>
      <c r="I6293" t="str">
        <f>VLOOKUP(record[[#This Row],[ProcessSN]],表格2_7[],3,FALSE)</f>
        <v>#07</v>
      </c>
      <c r="J6293" t="s">
        <v>588</v>
      </c>
      <c r="K6293" s="195">
        <v>45993.75681712963</v>
      </c>
      <c r="L6293">
        <v>75</v>
      </c>
      <c r="M6293">
        <v>0</v>
      </c>
      <c r="N6293" s="98" t="str">
        <f>IF(record[[#This Row],[Memo]]="Browser:chrome os:android","平板報工",IF(record[[#This Row],[Memo]]=0,"委外",record[[#This Row],[Memo]]))</f>
        <v/>
      </c>
      <c r="O6293" t="s">
        <v>58</v>
      </c>
      <c r="P6293" t="s">
        <v>89</v>
      </c>
      <c r="Q6293" t="s">
        <v>58</v>
      </c>
      <c r="R6293" t="str">
        <f>IFERROR(VLOOKUP(record[[#This Row],[PCUSTID]],廠商[],2,FALSE),"")</f>
        <v/>
      </c>
      <c r="S6293" t="str">
        <f>VLOOKUP(record[[#This Row],[employeeID]],員工[],2,FALSE)</f>
        <v>李美蓮</v>
      </c>
    </row>
    <row r="6294" spans="6:19" hidden="1" x14ac:dyDescent="0.25">
      <c r="F6294" t="s">
        <v>1253</v>
      </c>
      <c r="G6294" t="s">
        <v>417</v>
      </c>
      <c r="H6294" t="str">
        <f>VLOOKUP(record[[#This Row],[ProcessSN]],表格2_7[],2,FALSE)</f>
        <v>30-4118-018-5XX</v>
      </c>
      <c r="I6294" t="str">
        <f>VLOOKUP(record[[#This Row],[ProcessSN]],表格2_7[],3,FALSE)</f>
        <v>#06</v>
      </c>
      <c r="J6294" t="s">
        <v>593</v>
      </c>
      <c r="K6294" s="195">
        <v>45993.756388888891</v>
      </c>
      <c r="L6294">
        <v>22</v>
      </c>
      <c r="M6294">
        <v>0</v>
      </c>
      <c r="N6294" s="98" t="str">
        <f>IF(record[[#This Row],[Memo]]="Browser:chrome os:android","平板報工",IF(record[[#This Row],[Memo]]=0,"委外",record[[#This Row],[Memo]]))</f>
        <v/>
      </c>
      <c r="O6294" t="s">
        <v>58</v>
      </c>
      <c r="P6294" t="s">
        <v>133</v>
      </c>
      <c r="Q6294" t="s">
        <v>58</v>
      </c>
      <c r="R6294" t="str">
        <f>IFERROR(VLOOKUP(record[[#This Row],[PCUSTID]],廠商[],2,FALSE),"")</f>
        <v/>
      </c>
      <c r="S6294" t="str">
        <f>VLOOKUP(record[[#This Row],[employeeID]],員工[],2,FALSE)</f>
        <v>黎長維</v>
      </c>
    </row>
    <row r="6295" spans="6:19" hidden="1" x14ac:dyDescent="0.25">
      <c r="F6295" t="s">
        <v>1101</v>
      </c>
      <c r="G6295" t="s">
        <v>373</v>
      </c>
      <c r="H6295" t="str">
        <f>VLOOKUP(record[[#This Row],[ProcessSN]],表格2_7[],2,FALSE)</f>
        <v>30-4118-018-4XX</v>
      </c>
      <c r="I6295" t="str">
        <f>VLOOKUP(record[[#This Row],[ProcessSN]],表格2_7[],3,FALSE)</f>
        <v>#03</v>
      </c>
      <c r="J6295" t="s">
        <v>588</v>
      </c>
      <c r="K6295" s="195">
        <v>45993.720173611109</v>
      </c>
      <c r="L6295">
        <v>0</v>
      </c>
      <c r="M6295">
        <v>27</v>
      </c>
      <c r="N6295" s="98" t="str">
        <f>IF(record[[#This Row],[Memo]]="Browser:chrome os:android","平板報工",IF(record[[#This Row],[Memo]]=0,"委外",record[[#This Row],[Memo]]))</f>
        <v>領1140208</v>
      </c>
      <c r="O6295" t="s">
        <v>1272</v>
      </c>
      <c r="P6295" t="s">
        <v>113</v>
      </c>
      <c r="Q6295" t="s">
        <v>58</v>
      </c>
      <c r="R6295" t="str">
        <f>IFERROR(VLOOKUP(record[[#This Row],[PCUSTID]],廠商[],2,FALSE),"")</f>
        <v/>
      </c>
      <c r="S6295" t="str">
        <f>VLOOKUP(record[[#This Row],[employeeID]],員工[],2,FALSE)</f>
        <v>王奕蓁</v>
      </c>
    </row>
    <row r="6296" spans="6:19" hidden="1" x14ac:dyDescent="0.25">
      <c r="F6296" t="s">
        <v>1209</v>
      </c>
      <c r="G6296" t="s">
        <v>467</v>
      </c>
      <c r="H6296" t="str">
        <f>VLOOKUP(record[[#This Row],[ProcessSN]],表格2_7[],2,FALSE)</f>
        <v>30-4118-018-XXX</v>
      </c>
      <c r="I6296" t="str">
        <f>VLOOKUP(record[[#This Row],[ProcessSN]],表格2_7[],3,FALSE)</f>
        <v>#01QC</v>
      </c>
      <c r="J6296" t="s">
        <v>589</v>
      </c>
      <c r="K6296" s="195">
        <v>45993.687210648146</v>
      </c>
      <c r="L6296">
        <v>840</v>
      </c>
      <c r="M6296">
        <v>0</v>
      </c>
      <c r="N6296" s="98" t="str">
        <f>IF(record[[#This Row],[Memo]]="Browser:chrome os:android","平板報工",IF(record[[#This Row],[Memo]]=0,"委外",record[[#This Row],[Memo]]))</f>
        <v>平板報工</v>
      </c>
      <c r="O6296" t="s">
        <v>643</v>
      </c>
      <c r="P6296" t="s">
        <v>182</v>
      </c>
      <c r="Q6296" t="s">
        <v>644</v>
      </c>
      <c r="R6296" t="str">
        <f>IFERROR(VLOOKUP(record[[#This Row],[PCUSTID]],廠商[],2,FALSE),"")</f>
        <v/>
      </c>
      <c r="S6296" t="str">
        <f>VLOOKUP(record[[#This Row],[employeeID]],員工[],2,FALSE)</f>
        <v>梅氏和</v>
      </c>
    </row>
    <row r="6297" spans="6:19" hidden="1" x14ac:dyDescent="0.25">
      <c r="F6297" t="s">
        <v>1255</v>
      </c>
      <c r="G6297" t="s">
        <v>399</v>
      </c>
      <c r="H6297" t="str">
        <f>VLOOKUP(record[[#This Row],[ProcessSN]],表格2_7[],2,FALSE)</f>
        <v>30-4118-018-550</v>
      </c>
      <c r="I6297" t="str">
        <f>VLOOKUP(record[[#This Row],[ProcessSN]],表格2_7[],3,FALSE)</f>
        <v>#08IQC</v>
      </c>
      <c r="J6297" t="s">
        <v>583</v>
      </c>
      <c r="K6297" s="195">
        <v>45993.663182870368</v>
      </c>
      <c r="L6297">
        <v>305</v>
      </c>
      <c r="M6297">
        <v>0</v>
      </c>
      <c r="N6297" s="98" t="str">
        <f>IF(record[[#This Row],[Memo]]="Browser:chrome os:android","平板報工",IF(record[[#This Row],[Memo]]=0,"委外",record[[#This Row],[Memo]]))</f>
        <v/>
      </c>
      <c r="O6297" t="s">
        <v>58</v>
      </c>
      <c r="P6297" t="s">
        <v>109</v>
      </c>
      <c r="Q6297" t="s">
        <v>58</v>
      </c>
      <c r="R6297" t="str">
        <f>IFERROR(VLOOKUP(record[[#This Row],[PCUSTID]],廠商[],2,FALSE),"")</f>
        <v/>
      </c>
      <c r="S6297" t="str">
        <f>VLOOKUP(record[[#This Row],[employeeID]],員工[],2,FALSE)</f>
        <v>裴氏璧鳳</v>
      </c>
    </row>
    <row r="6298" spans="6:19" hidden="1" x14ac:dyDescent="0.25">
      <c r="F6298" t="s">
        <v>1255</v>
      </c>
      <c r="G6298" t="s">
        <v>398</v>
      </c>
      <c r="H6298" t="str">
        <f>VLOOKUP(record[[#This Row],[ProcessSN]],表格2_7[],2,FALSE)</f>
        <v>30-4118-018-550</v>
      </c>
      <c r="I6298" t="str">
        <f>VLOOKUP(record[[#This Row],[ProcessSN]],表格2_7[],3,FALSE)</f>
        <v>#08RCV</v>
      </c>
      <c r="J6298" t="s">
        <v>591</v>
      </c>
      <c r="K6298" s="195">
        <v>45993.654895833337</v>
      </c>
      <c r="L6298">
        <v>305</v>
      </c>
      <c r="M6298">
        <v>0</v>
      </c>
      <c r="N6298" s="98" t="str">
        <f>IF(record[[#This Row],[Memo]]="Browser:chrome os:android","平板報工",IF(record[[#This Row],[Memo]]=0,"委外",record[[#This Row],[Memo]]))</f>
        <v/>
      </c>
      <c r="O6298" t="s">
        <v>58</v>
      </c>
      <c r="P6298" t="s">
        <v>186</v>
      </c>
      <c r="Q6298" t="s">
        <v>58</v>
      </c>
      <c r="R6298" t="str">
        <f>IFERROR(VLOOKUP(record[[#This Row],[PCUSTID]],廠商[],2,FALSE),"")</f>
        <v/>
      </c>
      <c r="S6298" t="str">
        <f>VLOOKUP(record[[#This Row],[employeeID]],員工[],2,FALSE)</f>
        <v>許文姍</v>
      </c>
    </row>
    <row r="6299" spans="6:19" hidden="1" x14ac:dyDescent="0.25">
      <c r="F6299" t="s">
        <v>1270</v>
      </c>
      <c r="G6299" t="s">
        <v>374</v>
      </c>
      <c r="H6299" t="str">
        <f>VLOOKUP(record[[#This Row],[ProcessSN]],表格2_7[],2,FALSE)</f>
        <v>30-4118-018-4XX</v>
      </c>
      <c r="I6299" t="str">
        <f>VLOOKUP(record[[#This Row],[ProcessSN]],表格2_7[],3,FALSE)</f>
        <v>#04</v>
      </c>
      <c r="J6299" t="s">
        <v>588</v>
      </c>
      <c r="K6299" s="195">
        <v>45993.640370370369</v>
      </c>
      <c r="L6299">
        <v>30</v>
      </c>
      <c r="M6299">
        <v>0</v>
      </c>
      <c r="N6299" s="98" t="str">
        <f>IF(record[[#This Row],[Memo]]="Browser:chrome os:android","平板報工",IF(record[[#This Row],[Memo]]=0,"委外",record[[#This Row],[Memo]]))</f>
        <v/>
      </c>
      <c r="O6299" t="s">
        <v>58</v>
      </c>
      <c r="P6299" t="s">
        <v>119</v>
      </c>
      <c r="Q6299" t="s">
        <v>58</v>
      </c>
      <c r="R6299" t="str">
        <f>IFERROR(VLOOKUP(record[[#This Row],[PCUSTID]],廠商[],2,FALSE),"")</f>
        <v/>
      </c>
      <c r="S6299" t="str">
        <f>VLOOKUP(record[[#This Row],[employeeID]],員工[],2,FALSE)</f>
        <v>廖俊彥</v>
      </c>
    </row>
    <row r="6300" spans="6:19" hidden="1" x14ac:dyDescent="0.25">
      <c r="F6300" t="s">
        <v>1253</v>
      </c>
      <c r="G6300" t="s">
        <v>418</v>
      </c>
      <c r="H6300" t="str">
        <f>VLOOKUP(record[[#This Row],[ProcessSN]],表格2_7[],2,FALSE)</f>
        <v>30-4118-018-5XX</v>
      </c>
      <c r="I6300" t="str">
        <f>VLOOKUP(record[[#This Row],[ProcessSN]],表格2_7[],3,FALSE)</f>
        <v>#07</v>
      </c>
      <c r="J6300" t="s">
        <v>588</v>
      </c>
      <c r="K6300" s="195">
        <v>45993.639652777776</v>
      </c>
      <c r="L6300">
        <v>93</v>
      </c>
      <c r="M6300">
        <v>0</v>
      </c>
      <c r="N6300" s="98" t="str">
        <f>IF(record[[#This Row],[Memo]]="Browser:chrome os:android","平板報工",IF(record[[#This Row],[Memo]]=0,"委外",record[[#This Row],[Memo]]))</f>
        <v/>
      </c>
      <c r="O6300" t="s">
        <v>58</v>
      </c>
      <c r="P6300" t="s">
        <v>119</v>
      </c>
      <c r="Q6300" t="s">
        <v>58</v>
      </c>
      <c r="R6300" t="str">
        <f>IFERROR(VLOOKUP(record[[#This Row],[PCUSTID]],廠商[],2,FALSE),"")</f>
        <v/>
      </c>
      <c r="S6300" t="str">
        <f>VLOOKUP(record[[#This Row],[employeeID]],員工[],2,FALSE)</f>
        <v>廖俊彥</v>
      </c>
    </row>
    <row r="6301" spans="6:19" hidden="1" x14ac:dyDescent="0.25">
      <c r="F6301" t="s">
        <v>1253</v>
      </c>
      <c r="G6301" t="s">
        <v>417</v>
      </c>
      <c r="H6301" t="str">
        <f>VLOOKUP(record[[#This Row],[ProcessSN]],表格2_7[],2,FALSE)</f>
        <v>30-4118-018-5XX</v>
      </c>
      <c r="I6301" t="str">
        <f>VLOOKUP(record[[#This Row],[ProcessSN]],表格2_7[],3,FALSE)</f>
        <v>#06</v>
      </c>
      <c r="J6301" t="s">
        <v>593</v>
      </c>
      <c r="K6301" s="195">
        <v>45993.639444444445</v>
      </c>
      <c r="L6301">
        <v>95</v>
      </c>
      <c r="M6301">
        <v>0</v>
      </c>
      <c r="N6301" s="98" t="str">
        <f>IF(record[[#This Row],[Memo]]="Browser:chrome os:android","平板報工",IF(record[[#This Row],[Memo]]=0,"委外",record[[#This Row],[Memo]]))</f>
        <v/>
      </c>
      <c r="O6301" t="s">
        <v>58</v>
      </c>
      <c r="P6301" t="s">
        <v>119</v>
      </c>
      <c r="Q6301" t="s">
        <v>58</v>
      </c>
      <c r="R6301" t="str">
        <f>IFERROR(VLOOKUP(record[[#This Row],[PCUSTID]],廠商[],2,FALSE),"")</f>
        <v/>
      </c>
      <c r="S6301" t="str">
        <f>VLOOKUP(record[[#This Row],[employeeID]],員工[],2,FALSE)</f>
        <v>廖俊彥</v>
      </c>
    </row>
    <row r="6302" spans="6:19" hidden="1" x14ac:dyDescent="0.25">
      <c r="F6302" t="s">
        <v>1209</v>
      </c>
      <c r="G6302" t="s">
        <v>466</v>
      </c>
      <c r="H6302" t="str">
        <f>VLOOKUP(record[[#This Row],[ProcessSN]],表格2_7[],2,FALSE)</f>
        <v>30-4118-018-XXX</v>
      </c>
      <c r="I6302" t="str">
        <f>VLOOKUP(record[[#This Row],[ProcessSN]],表格2_7[],3,FALSE)</f>
        <v>#01-2</v>
      </c>
      <c r="J6302" t="s">
        <v>588</v>
      </c>
      <c r="K6302" s="195">
        <v>45993.639027777775</v>
      </c>
      <c r="L6302">
        <v>269</v>
      </c>
      <c r="M6302">
        <v>0</v>
      </c>
      <c r="N6302" s="98" t="str">
        <f>IF(record[[#This Row],[Memo]]="Browser:chrome os:android","平板報工",IF(record[[#This Row],[Memo]]=0,"委外",record[[#This Row],[Memo]]))</f>
        <v/>
      </c>
      <c r="O6302" t="s">
        <v>58</v>
      </c>
      <c r="P6302" t="s">
        <v>119</v>
      </c>
      <c r="Q6302" t="s">
        <v>58</v>
      </c>
      <c r="R6302" t="str">
        <f>IFERROR(VLOOKUP(record[[#This Row],[PCUSTID]],廠商[],2,FALSE),"")</f>
        <v/>
      </c>
      <c r="S6302" t="str">
        <f>VLOOKUP(record[[#This Row],[employeeID]],員工[],2,FALSE)</f>
        <v>廖俊彥</v>
      </c>
    </row>
    <row r="6303" spans="6:19" hidden="1" x14ac:dyDescent="0.25">
      <c r="F6303" t="s">
        <v>1270</v>
      </c>
      <c r="G6303" t="s">
        <v>373</v>
      </c>
      <c r="H6303" t="str">
        <f>VLOOKUP(record[[#This Row],[ProcessSN]],表格2_7[],2,FALSE)</f>
        <v>30-4118-018-4XX</v>
      </c>
      <c r="I6303" t="str">
        <f>VLOOKUP(record[[#This Row],[ProcessSN]],表格2_7[],3,FALSE)</f>
        <v>#03</v>
      </c>
      <c r="J6303" t="s">
        <v>588</v>
      </c>
      <c r="K6303" s="195">
        <v>45993.638032407405</v>
      </c>
      <c r="L6303">
        <v>492</v>
      </c>
      <c r="M6303">
        <v>2</v>
      </c>
      <c r="N6303" s="98" t="str">
        <f>IF(record[[#This Row],[Memo]]="Browser:chrome os:android","平板報工",IF(record[[#This Row],[Memo]]=0,"委外",record[[#This Row],[Memo]]))</f>
        <v/>
      </c>
      <c r="O6303" t="s">
        <v>58</v>
      </c>
      <c r="P6303" t="s">
        <v>119</v>
      </c>
      <c r="Q6303" t="s">
        <v>58</v>
      </c>
      <c r="R6303" t="str">
        <f>IFERROR(VLOOKUP(record[[#This Row],[PCUSTID]],廠商[],2,FALSE),"")</f>
        <v/>
      </c>
      <c r="S6303" t="str">
        <f>VLOOKUP(record[[#This Row],[employeeID]],員工[],2,FALSE)</f>
        <v>廖俊彥</v>
      </c>
    </row>
    <row r="6304" spans="6:19" hidden="1" x14ac:dyDescent="0.25">
      <c r="F6304" t="s">
        <v>1253</v>
      </c>
      <c r="G6304" t="s">
        <v>416</v>
      </c>
      <c r="H6304" t="str">
        <f>VLOOKUP(record[[#This Row],[ProcessSN]],表格2_7[],2,FALSE)</f>
        <v>30-4118-018-5XX</v>
      </c>
      <c r="I6304" t="str">
        <f>VLOOKUP(record[[#This Row],[ProcessSN]],表格2_7[],3,FALSE)</f>
        <v>#05</v>
      </c>
      <c r="J6304" t="s">
        <v>588</v>
      </c>
      <c r="K6304" s="195">
        <v>45993.637476851851</v>
      </c>
      <c r="L6304">
        <v>287</v>
      </c>
      <c r="M6304">
        <v>0</v>
      </c>
      <c r="N6304" s="98" t="str">
        <f>IF(record[[#This Row],[Memo]]="Browser:chrome os:android","平板報工",IF(record[[#This Row],[Memo]]=0,"委外",record[[#This Row],[Memo]]))</f>
        <v/>
      </c>
      <c r="O6304" t="s">
        <v>58</v>
      </c>
      <c r="P6304" t="s">
        <v>119</v>
      </c>
      <c r="Q6304" t="s">
        <v>58</v>
      </c>
      <c r="R6304" t="str">
        <f>IFERROR(VLOOKUP(record[[#This Row],[PCUSTID]],廠商[],2,FALSE),"")</f>
        <v/>
      </c>
      <c r="S6304" t="str">
        <f>VLOOKUP(record[[#This Row],[employeeID]],員工[],2,FALSE)</f>
        <v>廖俊彥</v>
      </c>
    </row>
    <row r="6305" spans="6:19" hidden="1" x14ac:dyDescent="0.25">
      <c r="F6305" t="s">
        <v>1253</v>
      </c>
      <c r="G6305" t="s">
        <v>415</v>
      </c>
      <c r="H6305" t="str">
        <f>VLOOKUP(record[[#This Row],[ProcessSN]],表格2_7[],2,FALSE)</f>
        <v>30-4118-018-5XX</v>
      </c>
      <c r="I6305" t="str">
        <f>VLOOKUP(record[[#This Row],[ProcessSN]],表格2_7[],3,FALSE)</f>
        <v>#04</v>
      </c>
      <c r="J6305" t="s">
        <v>588</v>
      </c>
      <c r="K6305" s="195">
        <v>45993.637280092589</v>
      </c>
      <c r="L6305">
        <v>101</v>
      </c>
      <c r="M6305">
        <v>0</v>
      </c>
      <c r="N6305" s="98" t="str">
        <f>IF(record[[#This Row],[Memo]]="Browser:chrome os:android","平板報工",IF(record[[#This Row],[Memo]]=0,"委外",record[[#This Row],[Memo]]))</f>
        <v/>
      </c>
      <c r="O6305" t="s">
        <v>58</v>
      </c>
      <c r="P6305" t="s">
        <v>119</v>
      </c>
      <c r="Q6305" t="s">
        <v>58</v>
      </c>
      <c r="R6305" t="str">
        <f>IFERROR(VLOOKUP(record[[#This Row],[PCUSTID]],廠商[],2,FALSE),"")</f>
        <v/>
      </c>
      <c r="S6305" t="str">
        <f>VLOOKUP(record[[#This Row],[employeeID]],員工[],2,FALSE)</f>
        <v>廖俊彥</v>
      </c>
    </row>
    <row r="6306" spans="6:19" hidden="1" x14ac:dyDescent="0.25">
      <c r="F6306" t="s">
        <v>1242</v>
      </c>
      <c r="G6306" t="s">
        <v>400</v>
      </c>
      <c r="H6306" t="str">
        <f>VLOOKUP(record[[#This Row],[ProcessSN]],表格2_7[],2,FALSE)</f>
        <v>30-4118-018-550</v>
      </c>
      <c r="I6306" t="str">
        <f>VLOOKUP(record[[#This Row],[ProcessSN]],表格2_7[],3,FALSE)</f>
        <v>#100</v>
      </c>
      <c r="J6306" t="s">
        <v>598</v>
      </c>
      <c r="K6306" s="195">
        <v>45993.600717592592</v>
      </c>
      <c r="L6306">
        <v>254</v>
      </c>
      <c r="M6306">
        <v>0</v>
      </c>
      <c r="N6306" s="98" t="str">
        <f>IF(record[[#This Row],[Memo]]="Browser:chrome os:android","平板報工",IF(record[[#This Row],[Memo]]=0,"委外",record[[#This Row],[Memo]]))</f>
        <v/>
      </c>
      <c r="O6306" t="s">
        <v>58</v>
      </c>
      <c r="P6306" t="s">
        <v>141</v>
      </c>
      <c r="Q6306" t="s">
        <v>58</v>
      </c>
      <c r="R6306" t="str">
        <f>IFERROR(VLOOKUP(record[[#This Row],[PCUSTID]],廠商[],2,FALSE),"")</f>
        <v/>
      </c>
      <c r="S6306" t="str">
        <f>VLOOKUP(record[[#This Row],[employeeID]],員工[],2,FALSE)</f>
        <v>蔣梅</v>
      </c>
    </row>
    <row r="6307" spans="6:19" hidden="1" x14ac:dyDescent="0.25">
      <c r="F6307" t="s">
        <v>1246</v>
      </c>
      <c r="G6307" t="s">
        <v>400</v>
      </c>
      <c r="H6307" t="str">
        <f>VLOOKUP(record[[#This Row],[ProcessSN]],表格2_7[],2,FALSE)</f>
        <v>30-4118-018-550</v>
      </c>
      <c r="I6307" t="str">
        <f>VLOOKUP(record[[#This Row],[ProcessSN]],表格2_7[],3,FALSE)</f>
        <v>#100</v>
      </c>
      <c r="J6307" t="s">
        <v>598</v>
      </c>
      <c r="K6307" s="195">
        <v>45993.600532407407</v>
      </c>
      <c r="L6307">
        <v>294</v>
      </c>
      <c r="M6307">
        <v>0</v>
      </c>
      <c r="N6307" s="98" t="str">
        <f>IF(record[[#This Row],[Memo]]="Browser:chrome os:android","平板報工",IF(record[[#This Row],[Memo]]=0,"委外",record[[#This Row],[Memo]]))</f>
        <v/>
      </c>
      <c r="O6307" t="s">
        <v>58</v>
      </c>
      <c r="P6307" t="s">
        <v>141</v>
      </c>
      <c r="Q6307" t="s">
        <v>58</v>
      </c>
      <c r="R6307" t="str">
        <f>IFERROR(VLOOKUP(record[[#This Row],[PCUSTID]],廠商[],2,FALSE),"")</f>
        <v/>
      </c>
      <c r="S6307" t="str">
        <f>VLOOKUP(record[[#This Row],[employeeID]],員工[],2,FALSE)</f>
        <v>蔣梅</v>
      </c>
    </row>
    <row r="6308" spans="6:19" hidden="1" x14ac:dyDescent="0.25">
      <c r="F6308" t="s">
        <v>1250</v>
      </c>
      <c r="G6308" t="s">
        <v>400</v>
      </c>
      <c r="H6308" t="str">
        <f>VLOOKUP(record[[#This Row],[ProcessSN]],表格2_7[],2,FALSE)</f>
        <v>30-4118-018-550</v>
      </c>
      <c r="I6308" t="str">
        <f>VLOOKUP(record[[#This Row],[ProcessSN]],表格2_7[],3,FALSE)</f>
        <v>#100</v>
      </c>
      <c r="J6308" t="s">
        <v>598</v>
      </c>
      <c r="K6308" s="195">
        <v>45993.600370370368</v>
      </c>
      <c r="L6308">
        <v>102</v>
      </c>
      <c r="M6308">
        <v>0</v>
      </c>
      <c r="N6308" s="98" t="str">
        <f>IF(record[[#This Row],[Memo]]="Browser:chrome os:android","平板報工",IF(record[[#This Row],[Memo]]=0,"委外",record[[#This Row],[Memo]]))</f>
        <v/>
      </c>
      <c r="O6308" t="s">
        <v>58</v>
      </c>
      <c r="P6308" t="s">
        <v>141</v>
      </c>
      <c r="Q6308" t="s">
        <v>58</v>
      </c>
      <c r="R6308" t="str">
        <f>IFERROR(VLOOKUP(record[[#This Row],[PCUSTID]],廠商[],2,FALSE),"")</f>
        <v/>
      </c>
      <c r="S6308" t="str">
        <f>VLOOKUP(record[[#This Row],[employeeID]],員工[],2,FALSE)</f>
        <v>蔣梅</v>
      </c>
    </row>
    <row r="6309" spans="6:19" hidden="1" x14ac:dyDescent="0.25">
      <c r="F6309" t="s">
        <v>1250</v>
      </c>
      <c r="G6309" t="s">
        <v>399</v>
      </c>
      <c r="H6309" t="str">
        <f>VLOOKUP(record[[#This Row],[ProcessSN]],表格2_7[],2,FALSE)</f>
        <v>30-4118-018-550</v>
      </c>
      <c r="I6309" t="str">
        <f>VLOOKUP(record[[#This Row],[ProcessSN]],表格2_7[],3,FALSE)</f>
        <v>#08IQC</v>
      </c>
      <c r="J6309" t="s">
        <v>583</v>
      </c>
      <c r="K6309" s="195">
        <v>45993.600185185183</v>
      </c>
      <c r="L6309">
        <v>4</v>
      </c>
      <c r="M6309">
        <v>0</v>
      </c>
      <c r="N6309" s="98" t="str">
        <f>IF(record[[#This Row],[Memo]]="Browser:chrome os:android","平板報工",IF(record[[#This Row],[Memo]]=0,"委外",record[[#This Row],[Memo]]))</f>
        <v>覆回</v>
      </c>
      <c r="O6309" t="s">
        <v>682</v>
      </c>
      <c r="P6309" t="s">
        <v>141</v>
      </c>
      <c r="Q6309" t="s">
        <v>58</v>
      </c>
      <c r="R6309" t="str">
        <f>IFERROR(VLOOKUP(record[[#This Row],[PCUSTID]],廠商[],2,FALSE),"")</f>
        <v/>
      </c>
      <c r="S6309" t="str">
        <f>VLOOKUP(record[[#This Row],[employeeID]],員工[],2,FALSE)</f>
        <v>蔣梅</v>
      </c>
    </row>
    <row r="6310" spans="6:19" hidden="1" x14ac:dyDescent="0.25">
      <c r="F6310" t="s">
        <v>1250</v>
      </c>
      <c r="G6310" t="s">
        <v>398</v>
      </c>
      <c r="H6310" t="str">
        <f>VLOOKUP(record[[#This Row],[ProcessSN]],表格2_7[],2,FALSE)</f>
        <v>30-4118-018-550</v>
      </c>
      <c r="I6310" t="str">
        <f>VLOOKUP(record[[#This Row],[ProcessSN]],表格2_7[],3,FALSE)</f>
        <v>#08RCV</v>
      </c>
      <c r="J6310" t="s">
        <v>591</v>
      </c>
      <c r="K6310" s="195">
        <v>45993.599814814814</v>
      </c>
      <c r="L6310">
        <v>0</v>
      </c>
      <c r="M6310">
        <v>7</v>
      </c>
      <c r="N6310" s="98" t="str">
        <f>IF(record[[#This Row],[Memo]]="Browser:chrome os:android","平板報工",IF(record[[#This Row],[Memo]]=0,"委外",record[[#This Row],[Memo]]))</f>
        <v/>
      </c>
      <c r="O6310" t="s">
        <v>58</v>
      </c>
      <c r="P6310" t="s">
        <v>141</v>
      </c>
      <c r="Q6310" t="s">
        <v>58</v>
      </c>
      <c r="R6310" t="str">
        <f>IFERROR(VLOOKUP(record[[#This Row],[PCUSTID]],廠商[],2,FALSE),"")</f>
        <v/>
      </c>
      <c r="S6310" t="str">
        <f>VLOOKUP(record[[#This Row],[employeeID]],員工[],2,FALSE)</f>
        <v>蔣梅</v>
      </c>
    </row>
    <row r="6311" spans="6:19" hidden="1" x14ac:dyDescent="0.25">
      <c r="F6311" t="s">
        <v>1250</v>
      </c>
      <c r="G6311" t="s">
        <v>398</v>
      </c>
      <c r="H6311" t="str">
        <f>VLOOKUP(record[[#This Row],[ProcessSN]],表格2_7[],2,FALSE)</f>
        <v>30-4118-018-550</v>
      </c>
      <c r="I6311" t="str">
        <f>VLOOKUP(record[[#This Row],[ProcessSN]],表格2_7[],3,FALSE)</f>
        <v>#08RCV</v>
      </c>
      <c r="J6311" t="s">
        <v>591</v>
      </c>
      <c r="K6311" s="195">
        <v>45993.599606481483</v>
      </c>
      <c r="L6311">
        <v>4</v>
      </c>
      <c r="M6311">
        <v>0</v>
      </c>
      <c r="N6311" s="98" t="str">
        <f>IF(record[[#This Row],[Memo]]="Browser:chrome os:android","平板報工",IF(record[[#This Row],[Memo]]=0,"委外",record[[#This Row],[Memo]]))</f>
        <v>覆回</v>
      </c>
      <c r="O6311" t="s">
        <v>682</v>
      </c>
      <c r="P6311" t="s">
        <v>141</v>
      </c>
      <c r="Q6311" t="s">
        <v>58</v>
      </c>
      <c r="R6311" t="str">
        <f>IFERROR(VLOOKUP(record[[#This Row],[PCUSTID]],廠商[],2,FALSE),"")</f>
        <v/>
      </c>
      <c r="S6311" t="str">
        <f>VLOOKUP(record[[#This Row],[employeeID]],員工[],2,FALSE)</f>
        <v>蔣梅</v>
      </c>
    </row>
    <row r="6312" spans="6:19" hidden="1" x14ac:dyDescent="0.25">
      <c r="F6312" t="s">
        <v>1233</v>
      </c>
      <c r="G6312" t="s">
        <v>403</v>
      </c>
      <c r="H6312" t="str">
        <f>VLOOKUP(record[[#This Row],[ProcessSN]],表格2_7[],2,FALSE)</f>
        <v>30-4118-018-550</v>
      </c>
      <c r="I6312" t="str">
        <f>VLOOKUP(record[[#This Row],[ProcessSN]],表格2_7[],3,FALSE)</f>
        <v>#100SHIP</v>
      </c>
      <c r="J6312" t="s">
        <v>600</v>
      </c>
      <c r="K6312" s="195">
        <v>45993.591122685182</v>
      </c>
      <c r="L6312">
        <v>118</v>
      </c>
      <c r="M6312">
        <v>0</v>
      </c>
      <c r="N6312" s="98" t="str">
        <f>IF(record[[#This Row],[Memo]]="Browser:chrome os:android","平板報工",IF(record[[#This Row],[Memo]]=0,"委外",record[[#This Row],[Memo]]))</f>
        <v/>
      </c>
      <c r="O6312" t="s">
        <v>58</v>
      </c>
      <c r="P6312" t="s">
        <v>886</v>
      </c>
      <c r="Q6312" t="s">
        <v>58</v>
      </c>
      <c r="R6312" t="str">
        <f>IFERROR(VLOOKUP(record[[#This Row],[PCUSTID]],廠商[],2,FALSE),"")</f>
        <v/>
      </c>
      <c r="S6312" t="str">
        <f>VLOOKUP(record[[#This Row],[employeeID]],員工[],2,FALSE)</f>
        <v>謝蓁薰</v>
      </c>
    </row>
    <row r="6313" spans="6:19" hidden="1" x14ac:dyDescent="0.25">
      <c r="F6313" t="s">
        <v>1227</v>
      </c>
      <c r="G6313" t="s">
        <v>403</v>
      </c>
      <c r="H6313" t="str">
        <f>VLOOKUP(record[[#This Row],[ProcessSN]],表格2_7[],2,FALSE)</f>
        <v>30-4118-018-550</v>
      </c>
      <c r="I6313" t="str">
        <f>VLOOKUP(record[[#This Row],[ProcessSN]],表格2_7[],3,FALSE)</f>
        <v>#100SHIP</v>
      </c>
      <c r="J6313" t="s">
        <v>600</v>
      </c>
      <c r="K6313" s="195">
        <v>45993.590960648151</v>
      </c>
      <c r="L6313">
        <v>92</v>
      </c>
      <c r="M6313">
        <v>0</v>
      </c>
      <c r="N6313" s="98" t="str">
        <f>IF(record[[#This Row],[Memo]]="Browser:chrome os:android","平板報工",IF(record[[#This Row],[Memo]]=0,"委外",record[[#This Row],[Memo]]))</f>
        <v/>
      </c>
      <c r="O6313" t="s">
        <v>58</v>
      </c>
      <c r="P6313" t="s">
        <v>886</v>
      </c>
      <c r="Q6313" t="s">
        <v>58</v>
      </c>
      <c r="R6313" t="str">
        <f>IFERROR(VLOOKUP(record[[#This Row],[PCUSTID]],廠商[],2,FALSE),"")</f>
        <v/>
      </c>
      <c r="S6313" t="str">
        <f>VLOOKUP(record[[#This Row],[employeeID]],員工[],2,FALSE)</f>
        <v>謝蓁薰</v>
      </c>
    </row>
    <row r="6314" spans="6:19" hidden="1" x14ac:dyDescent="0.25">
      <c r="F6314" t="s">
        <v>1270</v>
      </c>
      <c r="G6314" t="s">
        <v>372</v>
      </c>
      <c r="H6314" t="str">
        <f>VLOOKUP(record[[#This Row],[ProcessSN]],表格2_7[],2,FALSE)</f>
        <v>30-4118-018-4XX</v>
      </c>
      <c r="I6314" t="str">
        <f>VLOOKUP(record[[#This Row],[ProcessSN]],表格2_7[],3,FALSE)</f>
        <v>#03GIVE</v>
      </c>
      <c r="J6314" t="s">
        <v>587</v>
      </c>
      <c r="K6314" s="195">
        <v>45993.445879629631</v>
      </c>
      <c r="L6314">
        <v>494</v>
      </c>
      <c r="M6314">
        <v>0</v>
      </c>
      <c r="N6314" s="98" t="str">
        <f>IF(record[[#This Row],[Memo]]="Browser:chrome os:android","平板報工",IF(record[[#This Row],[Memo]]=0,"委外",record[[#This Row],[Memo]]))</f>
        <v/>
      </c>
      <c r="O6314" t="s">
        <v>58</v>
      </c>
      <c r="P6314" t="s">
        <v>1070</v>
      </c>
      <c r="Q6314" t="s">
        <v>58</v>
      </c>
      <c r="R6314" t="str">
        <f>IFERROR(VLOOKUP(record[[#This Row],[PCUSTID]],廠商[],2,FALSE),"")</f>
        <v/>
      </c>
      <c r="S6314" t="str">
        <f>VLOOKUP(record[[#This Row],[employeeID]],員工[],2,FALSE)</f>
        <v>陳昱佑</v>
      </c>
    </row>
    <row r="6315" spans="6:19" hidden="1" x14ac:dyDescent="0.25">
      <c r="F6315" t="s">
        <v>1270</v>
      </c>
      <c r="G6315" t="s">
        <v>371</v>
      </c>
      <c r="H6315" t="str">
        <f>VLOOKUP(record[[#This Row],[ProcessSN]],表格2_7[],2,FALSE)</f>
        <v>30-4118-018-4XX</v>
      </c>
      <c r="I6315" t="str">
        <f>VLOOKUP(record[[#This Row],[ProcessSN]],表格2_7[],3,FALSE)</f>
        <v>#03PICK</v>
      </c>
      <c r="J6315" t="s">
        <v>582</v>
      </c>
      <c r="K6315" s="195">
        <v>45993.445763888885</v>
      </c>
      <c r="L6315">
        <v>494</v>
      </c>
      <c r="M6315">
        <v>0</v>
      </c>
      <c r="N6315" s="98" t="str">
        <f>IF(record[[#This Row],[Memo]]="Browser:chrome os:android","平板報工",IF(record[[#This Row],[Memo]]=0,"委外",record[[#This Row],[Memo]]))</f>
        <v/>
      </c>
      <c r="O6315" t="s">
        <v>58</v>
      </c>
      <c r="P6315" t="s">
        <v>1070</v>
      </c>
      <c r="Q6315" t="s">
        <v>58</v>
      </c>
      <c r="R6315" t="str">
        <f>IFERROR(VLOOKUP(record[[#This Row],[PCUSTID]],廠商[],2,FALSE),"")</f>
        <v/>
      </c>
      <c r="S6315" t="str">
        <f>VLOOKUP(record[[#This Row],[employeeID]],員工[],2,FALSE)</f>
        <v>陳昱佑</v>
      </c>
    </row>
    <row r="6316" spans="6:19" hidden="1" x14ac:dyDescent="0.25">
      <c r="F6316" t="s">
        <v>1209</v>
      </c>
      <c r="G6316" t="s">
        <v>471</v>
      </c>
      <c r="H6316" t="str">
        <f>VLOOKUP(record[[#This Row],[ProcessSN]],表格2_7[],2,FALSE)</f>
        <v>30-4118-018-XXX</v>
      </c>
      <c r="I6316" t="str">
        <f>VLOOKUP(record[[#This Row],[ProcessSN]],表格2_7[],3,FALSE)</f>
        <v>#02STOCK</v>
      </c>
      <c r="J6316" t="s">
        <v>592</v>
      </c>
      <c r="K6316" s="195">
        <v>45993.440138888887</v>
      </c>
      <c r="L6316">
        <v>494</v>
      </c>
      <c r="M6316">
        <v>0</v>
      </c>
      <c r="N6316" s="98" t="str">
        <f>IF(record[[#This Row],[Memo]]="Browser:chrome os:android","平板報工",IF(record[[#This Row],[Memo]]=0,"委外",record[[#This Row],[Memo]]))</f>
        <v/>
      </c>
      <c r="O6316" t="s">
        <v>58</v>
      </c>
      <c r="P6316" t="s">
        <v>113</v>
      </c>
      <c r="Q6316" t="s">
        <v>58</v>
      </c>
      <c r="R6316" t="str">
        <f>IFERROR(VLOOKUP(record[[#This Row],[PCUSTID]],廠商[],2,FALSE),"")</f>
        <v/>
      </c>
      <c r="S6316" t="str">
        <f>VLOOKUP(record[[#This Row],[employeeID]],員工[],2,FALSE)</f>
        <v>王奕蓁</v>
      </c>
    </row>
    <row r="6317" spans="6:19" hidden="1" x14ac:dyDescent="0.25">
      <c r="F6317" t="s">
        <v>1253</v>
      </c>
      <c r="G6317" t="s">
        <v>417</v>
      </c>
      <c r="H6317" t="str">
        <f>VLOOKUP(record[[#This Row],[ProcessSN]],表格2_7[],2,FALSE)</f>
        <v>30-4118-018-5XX</v>
      </c>
      <c r="I6317" t="str">
        <f>VLOOKUP(record[[#This Row],[ProcessSN]],表格2_7[],3,FALSE)</f>
        <v>#06</v>
      </c>
      <c r="J6317" t="s">
        <v>593</v>
      </c>
      <c r="K6317" s="195">
        <v>45993.318206018521</v>
      </c>
      <c r="L6317">
        <v>120</v>
      </c>
      <c r="M6317">
        <v>0</v>
      </c>
      <c r="N6317" s="98" t="str">
        <f>IF(record[[#This Row],[Memo]]="Browser:chrome os:android","平板報工",IF(record[[#This Row],[Memo]]=0,"委外",record[[#This Row],[Memo]]))</f>
        <v/>
      </c>
      <c r="O6317" t="s">
        <v>58</v>
      </c>
      <c r="P6317" t="s">
        <v>135</v>
      </c>
      <c r="Q6317" t="s">
        <v>58</v>
      </c>
      <c r="R6317" t="str">
        <f>IFERROR(VLOOKUP(record[[#This Row],[PCUSTID]],廠商[],2,FALSE),"")</f>
        <v/>
      </c>
      <c r="S6317" t="str">
        <f>VLOOKUP(record[[#This Row],[employeeID]],員工[],2,FALSE)</f>
        <v>阮士文</v>
      </c>
    </row>
    <row r="6318" spans="6:19" hidden="1" x14ac:dyDescent="0.25">
      <c r="F6318" t="s">
        <v>1209</v>
      </c>
      <c r="G6318" t="s">
        <v>466</v>
      </c>
      <c r="H6318" t="str">
        <f>VLOOKUP(record[[#This Row],[ProcessSN]],表格2_7[],2,FALSE)</f>
        <v>30-4118-018-XXX</v>
      </c>
      <c r="I6318" t="str">
        <f>VLOOKUP(record[[#This Row],[ProcessSN]],表格2_7[],3,FALSE)</f>
        <v>#01-2</v>
      </c>
      <c r="J6318" t="s">
        <v>588</v>
      </c>
      <c r="K6318" s="195">
        <v>45993.317673611113</v>
      </c>
      <c r="L6318">
        <v>470</v>
      </c>
      <c r="M6318">
        <v>0</v>
      </c>
      <c r="N6318" s="98" t="str">
        <f>IF(record[[#This Row],[Memo]]="Browser:chrome os:android","平板報工",IF(record[[#This Row],[Memo]]=0,"委外",record[[#This Row],[Memo]]))</f>
        <v/>
      </c>
      <c r="O6318" t="s">
        <v>58</v>
      </c>
      <c r="P6318" t="s">
        <v>135</v>
      </c>
      <c r="Q6318" t="s">
        <v>58</v>
      </c>
      <c r="R6318" t="str">
        <f>IFERROR(VLOOKUP(record[[#This Row],[PCUSTID]],廠商[],2,FALSE),"")</f>
        <v/>
      </c>
      <c r="S6318" t="str">
        <f>VLOOKUP(record[[#This Row],[employeeID]],員工[],2,FALSE)</f>
        <v>阮士文</v>
      </c>
    </row>
    <row r="6319" spans="6:19" hidden="1" x14ac:dyDescent="0.25">
      <c r="F6319" t="s">
        <v>1236</v>
      </c>
      <c r="G6319" t="s">
        <v>416</v>
      </c>
      <c r="H6319" t="str">
        <f>VLOOKUP(record[[#This Row],[ProcessSN]],表格2_7[],2,FALSE)</f>
        <v>30-4118-018-5XX</v>
      </c>
      <c r="I6319" t="str">
        <f>VLOOKUP(record[[#This Row],[ProcessSN]],表格2_7[],3,FALSE)</f>
        <v>#05</v>
      </c>
      <c r="J6319" t="s">
        <v>588</v>
      </c>
      <c r="K6319" s="195">
        <v>45993.316874999997</v>
      </c>
      <c r="L6319">
        <v>23</v>
      </c>
      <c r="M6319">
        <v>1</v>
      </c>
      <c r="N6319" s="98" t="str">
        <f>IF(record[[#This Row],[Memo]]="Browser:chrome os:android","平板報工",IF(record[[#This Row],[Memo]]=0,"委外",record[[#This Row],[Memo]]))</f>
        <v/>
      </c>
      <c r="O6319" t="s">
        <v>58</v>
      </c>
      <c r="P6319" t="s">
        <v>135</v>
      </c>
      <c r="Q6319" t="s">
        <v>58</v>
      </c>
      <c r="R6319" t="str">
        <f>IFERROR(VLOOKUP(record[[#This Row],[PCUSTID]],廠商[],2,FALSE),"")</f>
        <v/>
      </c>
      <c r="S6319" t="str">
        <f>VLOOKUP(record[[#This Row],[employeeID]],員工[],2,FALSE)</f>
        <v>阮士文</v>
      </c>
    </row>
    <row r="6320" spans="6:19" hidden="1" x14ac:dyDescent="0.25">
      <c r="F6320" t="s">
        <v>1253</v>
      </c>
      <c r="G6320" t="s">
        <v>416</v>
      </c>
      <c r="H6320" t="str">
        <f>VLOOKUP(record[[#This Row],[ProcessSN]],表格2_7[],2,FALSE)</f>
        <v>30-4118-018-5XX</v>
      </c>
      <c r="I6320" t="str">
        <f>VLOOKUP(record[[#This Row],[ProcessSN]],表格2_7[],3,FALSE)</f>
        <v>#05</v>
      </c>
      <c r="J6320" t="s">
        <v>588</v>
      </c>
      <c r="K6320" s="195">
        <v>45993.316724537035</v>
      </c>
      <c r="L6320">
        <v>141</v>
      </c>
      <c r="M6320">
        <v>0</v>
      </c>
      <c r="N6320" s="98" t="str">
        <f>IF(record[[#This Row],[Memo]]="Browser:chrome os:android","平板報工",IF(record[[#This Row],[Memo]]=0,"委外",record[[#This Row],[Memo]]))</f>
        <v/>
      </c>
      <c r="O6320" t="s">
        <v>58</v>
      </c>
      <c r="P6320" t="s">
        <v>135</v>
      </c>
      <c r="Q6320" t="s">
        <v>58</v>
      </c>
      <c r="R6320" t="str">
        <f>IFERROR(VLOOKUP(record[[#This Row],[PCUSTID]],廠商[],2,FALSE),"")</f>
        <v/>
      </c>
      <c r="S6320" t="str">
        <f>VLOOKUP(record[[#This Row],[employeeID]],員工[],2,FALSE)</f>
        <v>阮士文</v>
      </c>
    </row>
    <row r="6321" spans="6:19" hidden="1" x14ac:dyDescent="0.25">
      <c r="F6321" t="s">
        <v>1253</v>
      </c>
      <c r="G6321" t="s">
        <v>417</v>
      </c>
      <c r="H6321" t="str">
        <f>VLOOKUP(record[[#This Row],[ProcessSN]],表格2_7[],2,FALSE)</f>
        <v>30-4118-018-5XX</v>
      </c>
      <c r="I6321" t="str">
        <f>VLOOKUP(record[[#This Row],[ProcessSN]],表格2_7[],3,FALSE)</f>
        <v>#06</v>
      </c>
      <c r="J6321" t="s">
        <v>593</v>
      </c>
      <c r="K6321" s="195">
        <v>45992.974629629629</v>
      </c>
      <c r="L6321">
        <v>85</v>
      </c>
      <c r="M6321">
        <v>0</v>
      </c>
      <c r="N6321" s="98" t="str">
        <f>IF(record[[#This Row],[Memo]]="Browser:chrome os:android","平板報工",IF(record[[#This Row],[Memo]]=0,"委外",record[[#This Row],[Memo]]))</f>
        <v/>
      </c>
      <c r="O6321" t="s">
        <v>58</v>
      </c>
      <c r="P6321" t="s">
        <v>176</v>
      </c>
      <c r="Q6321" t="s">
        <v>58</v>
      </c>
      <c r="R6321" t="str">
        <f>IFERROR(VLOOKUP(record[[#This Row],[PCUSTID]],廠商[],2,FALSE),"")</f>
        <v/>
      </c>
      <c r="S6321" t="str">
        <f>VLOOKUP(record[[#This Row],[employeeID]],員工[],2,FALSE)</f>
        <v>郭政雄</v>
      </c>
    </row>
    <row r="6322" spans="6:19" hidden="1" x14ac:dyDescent="0.25">
      <c r="F6322" t="s">
        <v>1253</v>
      </c>
      <c r="G6322" t="s">
        <v>415</v>
      </c>
      <c r="H6322" t="str">
        <f>VLOOKUP(record[[#This Row],[ProcessSN]],表格2_7[],2,FALSE)</f>
        <v>30-4118-018-5XX</v>
      </c>
      <c r="I6322" t="str">
        <f>VLOOKUP(record[[#This Row],[ProcessSN]],表格2_7[],3,FALSE)</f>
        <v>#04</v>
      </c>
      <c r="J6322" t="s">
        <v>588</v>
      </c>
      <c r="K6322" s="195">
        <v>45992.974039351851</v>
      </c>
      <c r="L6322">
        <v>130</v>
      </c>
      <c r="M6322">
        <v>0</v>
      </c>
      <c r="N6322" s="98" t="str">
        <f>IF(record[[#This Row],[Memo]]="Browser:chrome os:android","平板報工",IF(record[[#This Row],[Memo]]=0,"委外",record[[#This Row],[Memo]]))</f>
        <v/>
      </c>
      <c r="O6322" t="s">
        <v>58</v>
      </c>
      <c r="P6322" t="s">
        <v>89</v>
      </c>
      <c r="Q6322" t="s">
        <v>58</v>
      </c>
      <c r="R6322" t="str">
        <f>IFERROR(VLOOKUP(record[[#This Row],[PCUSTID]],廠商[],2,FALSE),"")</f>
        <v/>
      </c>
      <c r="S6322" t="str">
        <f>VLOOKUP(record[[#This Row],[employeeID]],員工[],2,FALSE)</f>
        <v>李美蓮</v>
      </c>
    </row>
    <row r="6323" spans="6:19" hidden="1" x14ac:dyDescent="0.25">
      <c r="F6323" t="s">
        <v>1209</v>
      </c>
      <c r="G6323" t="s">
        <v>466</v>
      </c>
      <c r="H6323" t="str">
        <f>VLOOKUP(record[[#This Row],[ProcessSN]],表格2_7[],2,FALSE)</f>
        <v>30-4118-018-XXX</v>
      </c>
      <c r="I6323" t="str">
        <f>VLOOKUP(record[[#This Row],[ProcessSN]],表格2_7[],3,FALSE)</f>
        <v>#01-2</v>
      </c>
      <c r="J6323" t="s">
        <v>588</v>
      </c>
      <c r="K6323" s="195">
        <v>45992.973622685182</v>
      </c>
      <c r="L6323">
        <v>406</v>
      </c>
      <c r="M6323">
        <v>0</v>
      </c>
      <c r="N6323" s="98" t="str">
        <f>IF(record[[#This Row],[Memo]]="Browser:chrome os:android","平板報工",IF(record[[#This Row],[Memo]]=0,"委外",record[[#This Row],[Memo]]))</f>
        <v/>
      </c>
      <c r="O6323" t="s">
        <v>58</v>
      </c>
      <c r="P6323" t="s">
        <v>89</v>
      </c>
      <c r="Q6323" t="s">
        <v>58</v>
      </c>
      <c r="R6323" t="str">
        <f>IFERROR(VLOOKUP(record[[#This Row],[PCUSTID]],廠商[],2,FALSE),"")</f>
        <v/>
      </c>
      <c r="S6323" t="str">
        <f>VLOOKUP(record[[#This Row],[employeeID]],員工[],2,FALSE)</f>
        <v>李美蓮</v>
      </c>
    </row>
    <row r="6324" spans="6:19" hidden="1" x14ac:dyDescent="0.25">
      <c r="F6324" t="s">
        <v>1253</v>
      </c>
      <c r="G6324" t="s">
        <v>416</v>
      </c>
      <c r="H6324" t="str">
        <f>VLOOKUP(record[[#This Row],[ProcessSN]],表格2_7[],2,FALSE)</f>
        <v>30-4118-018-5XX</v>
      </c>
      <c r="I6324" t="str">
        <f>VLOOKUP(record[[#This Row],[ProcessSN]],表格2_7[],3,FALSE)</f>
        <v>#05</v>
      </c>
      <c r="J6324" t="s">
        <v>588</v>
      </c>
      <c r="K6324" s="195">
        <v>45992.971944444442</v>
      </c>
      <c r="L6324">
        <v>240</v>
      </c>
      <c r="M6324">
        <v>0</v>
      </c>
      <c r="N6324" s="98" t="str">
        <f>IF(record[[#This Row],[Memo]]="Browser:chrome os:android","平板報工",IF(record[[#This Row],[Memo]]=0,"委外",record[[#This Row],[Memo]]))</f>
        <v/>
      </c>
      <c r="O6324" t="s">
        <v>58</v>
      </c>
      <c r="P6324" t="s">
        <v>1098</v>
      </c>
      <c r="Q6324" t="s">
        <v>58</v>
      </c>
      <c r="R6324" t="str">
        <f>IFERROR(VLOOKUP(record[[#This Row],[PCUSTID]],廠商[],2,FALSE),"")</f>
        <v/>
      </c>
      <c r="S6324" t="str">
        <f>VLOOKUP(record[[#This Row],[employeeID]],員工[],2,FALSE)</f>
        <v>阮氏芳英(英)</v>
      </c>
    </row>
    <row r="6325" spans="6:19" hidden="1" x14ac:dyDescent="0.25">
      <c r="F6325" t="s">
        <v>1209</v>
      </c>
      <c r="G6325" t="s">
        <v>465</v>
      </c>
      <c r="H6325" t="str">
        <f>VLOOKUP(record[[#This Row],[ProcessSN]],表格2_7[],2,FALSE)</f>
        <v>30-4118-018-XXX</v>
      </c>
      <c r="I6325" t="str">
        <f>VLOOKUP(record[[#This Row],[ProcessSN]],表格2_7[],3,FALSE)</f>
        <v>#01-1</v>
      </c>
      <c r="J6325" t="s">
        <v>588</v>
      </c>
      <c r="K6325" s="195">
        <v>45992.933125000003</v>
      </c>
      <c r="L6325">
        <v>200</v>
      </c>
      <c r="M6325">
        <v>0</v>
      </c>
      <c r="N6325" s="98" t="str">
        <f>IF(record[[#This Row],[Memo]]="Browser:chrome os:android","平板報工",IF(record[[#This Row],[Memo]]=0,"委外",record[[#This Row],[Memo]]))</f>
        <v/>
      </c>
      <c r="O6325" t="s">
        <v>58</v>
      </c>
      <c r="P6325" t="s">
        <v>806</v>
      </c>
      <c r="Q6325" t="s">
        <v>58</v>
      </c>
      <c r="R6325" t="str">
        <f>IFERROR(VLOOKUP(record[[#This Row],[PCUSTID]],廠商[],2,FALSE),"")</f>
        <v/>
      </c>
      <c r="S6325" t="str">
        <f>VLOOKUP(record[[#This Row],[employeeID]],員工[],2,FALSE)</f>
        <v>方思緯</v>
      </c>
    </row>
    <row r="6326" spans="6:19" hidden="1" x14ac:dyDescent="0.25">
      <c r="F6326" t="s">
        <v>1250</v>
      </c>
      <c r="G6326" t="s">
        <v>399</v>
      </c>
      <c r="H6326" t="str">
        <f>VLOOKUP(record[[#This Row],[ProcessSN]],表格2_7[],2,FALSE)</f>
        <v>30-4118-018-550</v>
      </c>
      <c r="I6326" t="str">
        <f>VLOOKUP(record[[#This Row],[ProcessSN]],表格2_7[],3,FALSE)</f>
        <v>#08IQC</v>
      </c>
      <c r="J6326" t="s">
        <v>583</v>
      </c>
      <c r="K6326" s="195">
        <v>45992.737349537034</v>
      </c>
      <c r="L6326">
        <v>98</v>
      </c>
      <c r="M6326">
        <v>0</v>
      </c>
      <c r="N6326" s="98" t="str">
        <f>IF(record[[#This Row],[Memo]]="Browser:chrome os:android","平板報工",IF(record[[#This Row],[Memo]]=0,"委外",record[[#This Row],[Memo]]))</f>
        <v/>
      </c>
      <c r="O6326" t="s">
        <v>58</v>
      </c>
      <c r="P6326" t="s">
        <v>109</v>
      </c>
      <c r="Q6326" t="s">
        <v>58</v>
      </c>
      <c r="R6326" t="str">
        <f>IFERROR(VLOOKUP(record[[#This Row],[PCUSTID]],廠商[],2,FALSE),"")</f>
        <v/>
      </c>
      <c r="S6326" t="str">
        <f>VLOOKUP(record[[#This Row],[employeeID]],員工[],2,FALSE)</f>
        <v>裴氏璧鳳</v>
      </c>
    </row>
    <row r="6327" spans="6:19" hidden="1" x14ac:dyDescent="0.25">
      <c r="F6327" t="s">
        <v>1209</v>
      </c>
      <c r="G6327" t="s">
        <v>470</v>
      </c>
      <c r="H6327" t="str">
        <f>VLOOKUP(record[[#This Row],[ProcessSN]],表格2_7[],2,FALSE)</f>
        <v>30-4118-018-XXX</v>
      </c>
      <c r="I6327" t="str">
        <f>VLOOKUP(record[[#This Row],[ProcessSN]],表格2_7[],3,FALSE)</f>
        <v>#02IQC</v>
      </c>
      <c r="J6327" t="s">
        <v>583</v>
      </c>
      <c r="K6327" s="195">
        <v>45992.734178240738</v>
      </c>
      <c r="L6327">
        <v>494</v>
      </c>
      <c r="M6327">
        <v>0</v>
      </c>
      <c r="N6327" s="98" t="str">
        <f>IF(record[[#This Row],[Memo]]="Browser:chrome os:android","平板報工",IF(record[[#This Row],[Memo]]=0,"委外",record[[#This Row],[Memo]]))</f>
        <v/>
      </c>
      <c r="O6327" t="s">
        <v>58</v>
      </c>
      <c r="P6327" t="s">
        <v>109</v>
      </c>
      <c r="Q6327" t="s">
        <v>58</v>
      </c>
      <c r="R6327" t="str">
        <f>IFERROR(VLOOKUP(record[[#This Row],[PCUSTID]],廠商[],2,FALSE),"")</f>
        <v/>
      </c>
      <c r="S6327" t="str">
        <f>VLOOKUP(record[[#This Row],[employeeID]],員工[],2,FALSE)</f>
        <v>裴氏璧鳳</v>
      </c>
    </row>
    <row r="6328" spans="6:19" hidden="1" x14ac:dyDescent="0.25">
      <c r="F6328" t="s">
        <v>1242</v>
      </c>
      <c r="G6328" t="s">
        <v>401</v>
      </c>
      <c r="H6328" t="str">
        <f>VLOOKUP(record[[#This Row],[ProcessSN]],表格2_7[],2,FALSE)</f>
        <v>30-4118-018-550</v>
      </c>
      <c r="I6328" t="str">
        <f>VLOOKUP(record[[#This Row],[ProcessSN]],表格2_7[],3,FALSE)</f>
        <v>#100OQC</v>
      </c>
      <c r="J6328" t="s">
        <v>599</v>
      </c>
      <c r="K6328" s="195">
        <v>45992.708726851852</v>
      </c>
      <c r="L6328">
        <v>218</v>
      </c>
      <c r="M6328">
        <v>0</v>
      </c>
      <c r="N6328" s="98" t="str">
        <f>IF(record[[#This Row],[Memo]]="Browser:chrome os:android","平板報工",IF(record[[#This Row],[Memo]]=0,"委外",record[[#This Row],[Memo]]))</f>
        <v/>
      </c>
      <c r="O6328" t="s">
        <v>58</v>
      </c>
      <c r="P6328" t="s">
        <v>121</v>
      </c>
      <c r="Q6328" t="s">
        <v>58</v>
      </c>
      <c r="R6328" t="str">
        <f>IFERROR(VLOOKUP(record[[#This Row],[PCUSTID]],廠商[],2,FALSE),"")</f>
        <v/>
      </c>
      <c r="S6328" t="str">
        <f>VLOOKUP(record[[#This Row],[employeeID]],員工[],2,FALSE)</f>
        <v>謝素卿</v>
      </c>
    </row>
    <row r="6329" spans="6:19" hidden="1" x14ac:dyDescent="0.25">
      <c r="F6329" t="s">
        <v>1237</v>
      </c>
      <c r="G6329" t="s">
        <v>401</v>
      </c>
      <c r="H6329" t="str">
        <f>VLOOKUP(record[[#This Row],[ProcessSN]],表格2_7[],2,FALSE)</f>
        <v>30-4118-018-550</v>
      </c>
      <c r="I6329" t="str">
        <f>VLOOKUP(record[[#This Row],[ProcessSN]],表格2_7[],3,FALSE)</f>
        <v>#100OQC</v>
      </c>
      <c r="J6329" t="s">
        <v>599</v>
      </c>
      <c r="K6329" s="195">
        <v>45992.708310185182</v>
      </c>
      <c r="L6329">
        <v>118</v>
      </c>
      <c r="M6329">
        <v>0</v>
      </c>
      <c r="N6329" s="98" t="str">
        <f>IF(record[[#This Row],[Memo]]="Browser:chrome os:android","平板報工",IF(record[[#This Row],[Memo]]=0,"委外",record[[#This Row],[Memo]]))</f>
        <v/>
      </c>
      <c r="O6329" t="s">
        <v>58</v>
      </c>
      <c r="P6329" t="s">
        <v>121</v>
      </c>
      <c r="Q6329" t="s">
        <v>58</v>
      </c>
      <c r="R6329" t="str">
        <f>IFERROR(VLOOKUP(record[[#This Row],[PCUSTID]],廠商[],2,FALSE),"")</f>
        <v/>
      </c>
      <c r="S6329" t="str">
        <f>VLOOKUP(record[[#This Row],[employeeID]],員工[],2,FALSE)</f>
        <v>謝素卿</v>
      </c>
    </row>
    <row r="6330" spans="6:19" hidden="1" x14ac:dyDescent="0.25">
      <c r="F6330" t="s">
        <v>1250</v>
      </c>
      <c r="G6330" t="s">
        <v>398</v>
      </c>
      <c r="H6330" t="str">
        <f>VLOOKUP(record[[#This Row],[ProcessSN]],表格2_7[],2,FALSE)</f>
        <v>30-4118-018-550</v>
      </c>
      <c r="I6330" t="str">
        <f>VLOOKUP(record[[#This Row],[ProcessSN]],表格2_7[],3,FALSE)</f>
        <v>#08RCV</v>
      </c>
      <c r="J6330" t="s">
        <v>591</v>
      </c>
      <c r="K6330" s="195">
        <v>45992.652673611112</v>
      </c>
      <c r="L6330">
        <v>98</v>
      </c>
      <c r="M6330">
        <v>0</v>
      </c>
      <c r="N6330" s="98" t="str">
        <f>IF(record[[#This Row],[Memo]]="Browser:chrome os:android","平板報工",IF(record[[#This Row],[Memo]]=0,"委外",record[[#This Row],[Memo]]))</f>
        <v/>
      </c>
      <c r="O6330" t="s">
        <v>58</v>
      </c>
      <c r="P6330" t="s">
        <v>886</v>
      </c>
      <c r="Q6330" t="s">
        <v>58</v>
      </c>
      <c r="R6330" t="str">
        <f>IFERROR(VLOOKUP(record[[#This Row],[PCUSTID]],廠商[],2,FALSE),"")</f>
        <v/>
      </c>
      <c r="S6330" t="str">
        <f>VLOOKUP(record[[#This Row],[employeeID]],員工[],2,FALSE)</f>
        <v>謝蓁薰</v>
      </c>
    </row>
    <row r="6331" spans="6:19" hidden="1" x14ac:dyDescent="0.25">
      <c r="F6331" t="s">
        <v>1253</v>
      </c>
      <c r="G6331" t="s">
        <v>415</v>
      </c>
      <c r="H6331" t="str">
        <f>VLOOKUP(record[[#This Row],[ProcessSN]],表格2_7[],2,FALSE)</f>
        <v>30-4118-018-5XX</v>
      </c>
      <c r="I6331" t="str">
        <f>VLOOKUP(record[[#This Row],[ProcessSN]],表格2_7[],3,FALSE)</f>
        <v>#04</v>
      </c>
      <c r="J6331" t="s">
        <v>588</v>
      </c>
      <c r="K6331" s="195">
        <v>45992.650185185186</v>
      </c>
      <c r="L6331">
        <v>131</v>
      </c>
      <c r="M6331">
        <v>0</v>
      </c>
      <c r="N6331" s="98" t="str">
        <f>IF(record[[#This Row],[Memo]]="Browser:chrome os:android","平板報工",IF(record[[#This Row],[Memo]]=0,"委外",record[[#This Row],[Memo]]))</f>
        <v/>
      </c>
      <c r="O6331" t="s">
        <v>58</v>
      </c>
      <c r="P6331" t="s">
        <v>119</v>
      </c>
      <c r="Q6331" t="s">
        <v>58</v>
      </c>
      <c r="R6331" t="str">
        <f>IFERROR(VLOOKUP(record[[#This Row],[PCUSTID]],廠商[],2,FALSE),"")</f>
        <v/>
      </c>
      <c r="S6331" t="str">
        <f>VLOOKUP(record[[#This Row],[employeeID]],員工[],2,FALSE)</f>
        <v>廖俊彥</v>
      </c>
    </row>
    <row r="6332" spans="6:19" hidden="1" x14ac:dyDescent="0.25">
      <c r="F6332" t="s">
        <v>1209</v>
      </c>
      <c r="G6332" t="s">
        <v>466</v>
      </c>
      <c r="H6332" t="str">
        <f>VLOOKUP(record[[#This Row],[ProcessSN]],表格2_7[],2,FALSE)</f>
        <v>30-4118-018-XXX</v>
      </c>
      <c r="I6332" t="str">
        <f>VLOOKUP(record[[#This Row],[ProcessSN]],表格2_7[],3,FALSE)</f>
        <v>#01-2</v>
      </c>
      <c r="J6332" t="s">
        <v>588</v>
      </c>
      <c r="K6332" s="195">
        <v>45992.649594907409</v>
      </c>
      <c r="L6332">
        <v>471</v>
      </c>
      <c r="M6332">
        <v>0</v>
      </c>
      <c r="N6332" s="98" t="str">
        <f>IF(record[[#This Row],[Memo]]="Browser:chrome os:android","平板報工",IF(record[[#This Row],[Memo]]=0,"委外",record[[#This Row],[Memo]]))</f>
        <v/>
      </c>
      <c r="O6332" t="s">
        <v>58</v>
      </c>
      <c r="P6332" t="s">
        <v>119</v>
      </c>
      <c r="Q6332" t="s">
        <v>58</v>
      </c>
      <c r="R6332" t="str">
        <f>IFERROR(VLOOKUP(record[[#This Row],[PCUSTID]],廠商[],2,FALSE),"")</f>
        <v/>
      </c>
      <c r="S6332" t="str">
        <f>VLOOKUP(record[[#This Row],[employeeID]],員工[],2,FALSE)</f>
        <v>廖俊彥</v>
      </c>
    </row>
    <row r="6333" spans="6:19" hidden="1" x14ac:dyDescent="0.25">
      <c r="F6333" t="s">
        <v>1209</v>
      </c>
      <c r="G6333" t="s">
        <v>465</v>
      </c>
      <c r="H6333" t="str">
        <f>VLOOKUP(record[[#This Row],[ProcessSN]],表格2_7[],2,FALSE)</f>
        <v>30-4118-018-XXX</v>
      </c>
      <c r="I6333" t="str">
        <f>VLOOKUP(record[[#This Row],[ProcessSN]],表格2_7[],3,FALSE)</f>
        <v>#01-1</v>
      </c>
      <c r="J6333" t="s">
        <v>588</v>
      </c>
      <c r="K6333" s="195">
        <v>45992.649444444447</v>
      </c>
      <c r="L6333">
        <v>552</v>
      </c>
      <c r="M6333">
        <v>0</v>
      </c>
      <c r="N6333" s="98" t="str">
        <f>IF(record[[#This Row],[Memo]]="Browser:chrome os:android","平板報工",IF(record[[#This Row],[Memo]]=0,"委外",record[[#This Row],[Memo]]))</f>
        <v/>
      </c>
      <c r="O6333" t="s">
        <v>58</v>
      </c>
      <c r="P6333" t="s">
        <v>119</v>
      </c>
      <c r="Q6333" t="s">
        <v>58</v>
      </c>
      <c r="R6333" t="str">
        <f>IFERROR(VLOOKUP(record[[#This Row],[PCUSTID]],廠商[],2,FALSE),"")</f>
        <v/>
      </c>
      <c r="S6333" t="str">
        <f>VLOOKUP(record[[#This Row],[employeeID]],員工[],2,FALSE)</f>
        <v>廖俊彥</v>
      </c>
    </row>
    <row r="6334" spans="6:19" hidden="1" x14ac:dyDescent="0.25">
      <c r="F6334" t="s">
        <v>1181</v>
      </c>
      <c r="G6334" t="s">
        <v>428</v>
      </c>
      <c r="H6334" t="str">
        <f>VLOOKUP(record[[#This Row],[ProcessSN]],表格2_7[],2,FALSE)</f>
        <v>30-4118-018-600</v>
      </c>
      <c r="I6334" t="str">
        <f>VLOOKUP(record[[#This Row],[ProcessSN]],表格2_7[],3,FALSE)</f>
        <v>#100SHIP</v>
      </c>
      <c r="J6334" t="s">
        <v>600</v>
      </c>
      <c r="K6334" s="195">
        <v>45992.636157407411</v>
      </c>
      <c r="L6334">
        <v>8</v>
      </c>
      <c r="M6334">
        <v>0</v>
      </c>
      <c r="N6334" s="98" t="str">
        <f>IF(record[[#This Row],[Memo]]="Browser:chrome os:android","平板報工",IF(record[[#This Row],[Memo]]=0,"委外",record[[#This Row],[Memo]]))</f>
        <v/>
      </c>
      <c r="O6334" t="s">
        <v>58</v>
      </c>
      <c r="P6334" t="s">
        <v>113</v>
      </c>
      <c r="Q6334" t="s">
        <v>58</v>
      </c>
      <c r="R6334" t="str">
        <f>IFERROR(VLOOKUP(record[[#This Row],[PCUSTID]],廠商[],2,FALSE),"")</f>
        <v/>
      </c>
      <c r="S6334" t="str">
        <f>VLOOKUP(record[[#This Row],[employeeID]],員工[],2,FALSE)</f>
        <v>王奕蓁</v>
      </c>
    </row>
    <row r="6335" spans="6:19" hidden="1" x14ac:dyDescent="0.25">
      <c r="F6335" t="s">
        <v>1233</v>
      </c>
      <c r="G6335" t="s">
        <v>403</v>
      </c>
      <c r="H6335" t="str">
        <f>VLOOKUP(record[[#This Row],[ProcessSN]],表格2_7[],2,FALSE)</f>
        <v>30-4118-018-550</v>
      </c>
      <c r="I6335" t="str">
        <f>VLOOKUP(record[[#This Row],[ProcessSN]],表格2_7[],3,FALSE)</f>
        <v>#100SHIP</v>
      </c>
      <c r="J6335" t="s">
        <v>600</v>
      </c>
      <c r="K6335" s="195">
        <v>45992.636018518519</v>
      </c>
      <c r="L6335">
        <v>125</v>
      </c>
      <c r="M6335">
        <v>0</v>
      </c>
      <c r="N6335" s="98" t="str">
        <f>IF(record[[#This Row],[Memo]]="Browser:chrome os:android","平板報工",IF(record[[#This Row],[Memo]]=0,"委外",record[[#This Row],[Memo]]))</f>
        <v/>
      </c>
      <c r="O6335" t="s">
        <v>58</v>
      </c>
      <c r="P6335" t="s">
        <v>113</v>
      </c>
      <c r="Q6335" t="s">
        <v>58</v>
      </c>
      <c r="R6335" t="str">
        <f>IFERROR(VLOOKUP(record[[#This Row],[PCUSTID]],廠商[],2,FALSE),"")</f>
        <v/>
      </c>
      <c r="S6335" t="str">
        <f>VLOOKUP(record[[#This Row],[employeeID]],員工[],2,FALSE)</f>
        <v>王奕蓁</v>
      </c>
    </row>
    <row r="6336" spans="6:19" hidden="1" x14ac:dyDescent="0.25">
      <c r="F6336" t="s">
        <v>1184</v>
      </c>
      <c r="G6336" t="s">
        <v>362</v>
      </c>
      <c r="H6336" t="str">
        <f>VLOOKUP(record[[#This Row],[ProcessSN]],表格2_7[],2,FALSE)</f>
        <v>30-4118-018-450</v>
      </c>
      <c r="I6336" t="str">
        <f>VLOOKUP(record[[#This Row],[ProcessSN]],表格2_7[],3,FALSE)</f>
        <v>#100SHIP</v>
      </c>
      <c r="J6336" t="s">
        <v>600</v>
      </c>
      <c r="K6336" s="195">
        <v>45992.63585648148</v>
      </c>
      <c r="L6336">
        <v>201</v>
      </c>
      <c r="M6336">
        <v>0</v>
      </c>
      <c r="N6336" s="98" t="str">
        <f>IF(record[[#This Row],[Memo]]="Browser:chrome os:android","平板報工",IF(record[[#This Row],[Memo]]=0,"委外",record[[#This Row],[Memo]]))</f>
        <v/>
      </c>
      <c r="O6336" t="s">
        <v>58</v>
      </c>
      <c r="P6336" t="s">
        <v>113</v>
      </c>
      <c r="Q6336" t="s">
        <v>58</v>
      </c>
      <c r="R6336" t="str">
        <f>IFERROR(VLOOKUP(record[[#This Row],[PCUSTID]],廠商[],2,FALSE),"")</f>
        <v/>
      </c>
      <c r="S6336" t="str">
        <f>VLOOKUP(record[[#This Row],[employeeID]],員工[],2,FALSE)</f>
        <v>王奕蓁</v>
      </c>
    </row>
    <row r="6337" spans="6:19" hidden="1" x14ac:dyDescent="0.25">
      <c r="F6337" t="s">
        <v>1136</v>
      </c>
      <c r="G6337" t="s">
        <v>362</v>
      </c>
      <c r="H6337" t="str">
        <f>VLOOKUP(record[[#This Row],[ProcessSN]],表格2_7[],2,FALSE)</f>
        <v>30-4118-018-450</v>
      </c>
      <c r="I6337" t="str">
        <f>VLOOKUP(record[[#This Row],[ProcessSN]],表格2_7[],3,FALSE)</f>
        <v>#100SHIP</v>
      </c>
      <c r="J6337" t="s">
        <v>600</v>
      </c>
      <c r="K6337" s="195">
        <v>45992.635694444441</v>
      </c>
      <c r="L6337">
        <v>335</v>
      </c>
      <c r="M6337">
        <v>0</v>
      </c>
      <c r="N6337" s="98" t="str">
        <f>IF(record[[#This Row],[Memo]]="Browser:chrome os:android","平板報工",IF(record[[#This Row],[Memo]]=0,"委外",record[[#This Row],[Memo]]))</f>
        <v/>
      </c>
      <c r="O6337" t="s">
        <v>58</v>
      </c>
      <c r="P6337" t="s">
        <v>113</v>
      </c>
      <c r="Q6337" t="s">
        <v>58</v>
      </c>
      <c r="R6337" t="str">
        <f>IFERROR(VLOOKUP(record[[#This Row],[PCUSTID]],廠商[],2,FALSE),"")</f>
        <v/>
      </c>
      <c r="S6337" t="str">
        <f>VLOOKUP(record[[#This Row],[employeeID]],員工[],2,FALSE)</f>
        <v>王奕蓁</v>
      </c>
    </row>
    <row r="6338" spans="6:19" hidden="1" x14ac:dyDescent="0.25">
      <c r="F6338" t="s">
        <v>1099</v>
      </c>
      <c r="G6338" t="s">
        <v>453</v>
      </c>
      <c r="H6338" t="str">
        <f>VLOOKUP(record[[#This Row],[ProcessSN]],表格2_7[],2,FALSE)</f>
        <v>30-4118-018-6XX</v>
      </c>
      <c r="I6338" t="str">
        <f>VLOOKUP(record[[#This Row],[ProcessSN]],表格2_7[],3,FALSE)</f>
        <v>#07STOCK</v>
      </c>
      <c r="J6338" t="s">
        <v>592</v>
      </c>
      <c r="K6338" s="195">
        <v>45992.593773148146</v>
      </c>
      <c r="L6338">
        <v>7</v>
      </c>
      <c r="M6338">
        <v>0</v>
      </c>
      <c r="N6338" s="98" t="str">
        <f>IF(record[[#This Row],[Memo]]="Browser:chrome os:android","平板報工",IF(record[[#This Row],[Memo]]=0,"委外",record[[#This Row],[Memo]]))</f>
        <v/>
      </c>
      <c r="O6338" t="s">
        <v>58</v>
      </c>
      <c r="P6338" t="s">
        <v>113</v>
      </c>
      <c r="Q6338" t="s">
        <v>58</v>
      </c>
      <c r="R6338" t="str">
        <f>IFERROR(VLOOKUP(record[[#This Row],[PCUSTID]],廠商[],2,FALSE),"")</f>
        <v/>
      </c>
      <c r="S6338" t="str">
        <f>VLOOKUP(record[[#This Row],[employeeID]],員工[],2,FALSE)</f>
        <v>王奕蓁</v>
      </c>
    </row>
    <row r="6339" spans="6:19" hidden="1" x14ac:dyDescent="0.25">
      <c r="F6339" t="s">
        <v>1101</v>
      </c>
      <c r="G6339" t="s">
        <v>379</v>
      </c>
      <c r="H6339" t="str">
        <f>VLOOKUP(record[[#This Row],[ProcessSN]],表格2_7[],2,FALSE)</f>
        <v>30-4118-018-4XX</v>
      </c>
      <c r="I6339" t="str">
        <f>VLOOKUP(record[[#This Row],[ProcessSN]],表格2_7[],3,FALSE)</f>
        <v>#07STOCK</v>
      </c>
      <c r="J6339" t="s">
        <v>592</v>
      </c>
      <c r="K6339" s="195">
        <v>45992.591921296298</v>
      </c>
      <c r="L6339">
        <v>1</v>
      </c>
      <c r="M6339">
        <v>0</v>
      </c>
      <c r="N6339" s="98" t="str">
        <f>IF(record[[#This Row],[Memo]]="Browser:chrome os:android","平板報工",IF(record[[#This Row],[Memo]]=0,"委外",record[[#This Row],[Memo]]))</f>
        <v/>
      </c>
      <c r="O6339" t="s">
        <v>58</v>
      </c>
      <c r="P6339" t="s">
        <v>113</v>
      </c>
      <c r="Q6339" t="s">
        <v>58</v>
      </c>
      <c r="R6339" t="str">
        <f>IFERROR(VLOOKUP(record[[#This Row],[PCUSTID]],廠商[],2,FALSE),"")</f>
        <v/>
      </c>
      <c r="S6339" t="str">
        <f>VLOOKUP(record[[#This Row],[employeeID]],員工[],2,FALSE)</f>
        <v>王奕蓁</v>
      </c>
    </row>
    <row r="6340" spans="6:19" hidden="1" x14ac:dyDescent="0.25">
      <c r="F6340" t="s">
        <v>1262</v>
      </c>
      <c r="G6340" t="s">
        <v>397</v>
      </c>
      <c r="H6340" t="str">
        <f>VLOOKUP(record[[#This Row],[ProcessSN]],表格2_7[],2,FALSE)</f>
        <v>30-4118-018-550</v>
      </c>
      <c r="I6340" t="str">
        <f>VLOOKUP(record[[#This Row],[ProcessSN]],表格2_7[],3,FALSE)</f>
        <v>#08</v>
      </c>
      <c r="J6340" t="s">
        <v>597</v>
      </c>
      <c r="K6340" s="195">
        <v>45992.589560185188</v>
      </c>
      <c r="L6340">
        <v>495</v>
      </c>
      <c r="M6340">
        <v>0</v>
      </c>
      <c r="N6340" s="98" t="str">
        <f>IF(record[[#This Row],[Memo]]="Browser:chrome os:android","平板報工",IF(record[[#This Row],[Memo]]=0,"委外",record[[#This Row],[Memo]]))</f>
        <v>委外</v>
      </c>
      <c r="P6340" t="s">
        <v>886</v>
      </c>
      <c r="Q6340" t="s">
        <v>287</v>
      </c>
      <c r="R6340" t="str">
        <f>IFERROR(VLOOKUP(record[[#This Row],[PCUSTID]],廠商[],2,FALSE),"")</f>
        <v>泉盛</v>
      </c>
      <c r="S6340" t="str">
        <f>VLOOKUP(record[[#This Row],[employeeID]],員工[],2,FALSE)</f>
        <v>謝蓁薰</v>
      </c>
    </row>
    <row r="6341" spans="6:19" hidden="1" x14ac:dyDescent="0.25">
      <c r="F6341" t="s">
        <v>1262</v>
      </c>
      <c r="G6341" t="s">
        <v>396</v>
      </c>
      <c r="H6341" t="str">
        <f>VLOOKUP(record[[#This Row],[ProcessSN]],表格2_7[],2,FALSE)</f>
        <v>30-4118-018-550</v>
      </c>
      <c r="I6341" t="str">
        <f>VLOOKUP(record[[#This Row],[ProcessSN]],表格2_7[],3,FALSE)</f>
        <v>#08PICK</v>
      </c>
      <c r="J6341" t="s">
        <v>582</v>
      </c>
      <c r="K6341" s="195">
        <v>45992.586493055554</v>
      </c>
      <c r="L6341">
        <v>495</v>
      </c>
      <c r="M6341">
        <v>0</v>
      </c>
      <c r="N6341" s="98" t="str">
        <f>IF(record[[#This Row],[Memo]]="Browser:chrome os:android","平板報工",IF(record[[#This Row],[Memo]]=0,"委外",record[[#This Row],[Memo]]))</f>
        <v>委外</v>
      </c>
      <c r="P6341" t="s">
        <v>886</v>
      </c>
      <c r="Q6341" t="s">
        <v>287</v>
      </c>
      <c r="R6341" t="str">
        <f>IFERROR(VLOOKUP(record[[#This Row],[PCUSTID]],廠商[],2,FALSE),"")</f>
        <v>泉盛</v>
      </c>
      <c r="S6341" t="str">
        <f>VLOOKUP(record[[#This Row],[employeeID]],員工[],2,FALSE)</f>
        <v>謝蓁薰</v>
      </c>
    </row>
    <row r="6342" spans="6:19" hidden="1" x14ac:dyDescent="0.25">
      <c r="F6342" t="s">
        <v>1236</v>
      </c>
      <c r="G6342" t="s">
        <v>420</v>
      </c>
      <c r="H6342" t="str">
        <f>VLOOKUP(record[[#This Row],[ProcessSN]],表格2_7[],2,FALSE)</f>
        <v>30-4118-018-5XX</v>
      </c>
      <c r="I6342" t="str">
        <f>VLOOKUP(record[[#This Row],[ProcessSN]],表格2_7[],3,FALSE)</f>
        <v>#07STOCK</v>
      </c>
      <c r="J6342" t="s">
        <v>592</v>
      </c>
      <c r="K6342" s="195">
        <v>45992.581886574073</v>
      </c>
      <c r="L6342">
        <v>468</v>
      </c>
      <c r="M6342">
        <v>0</v>
      </c>
      <c r="N6342" s="98" t="str">
        <f>IF(record[[#This Row],[Memo]]="Browser:chrome os:android","平板報工",IF(record[[#This Row],[Memo]]=0,"委外",record[[#This Row],[Memo]]))</f>
        <v/>
      </c>
      <c r="O6342" t="s">
        <v>58</v>
      </c>
      <c r="P6342" t="s">
        <v>886</v>
      </c>
      <c r="Q6342" t="s">
        <v>58</v>
      </c>
      <c r="R6342" t="str">
        <f>IFERROR(VLOOKUP(record[[#This Row],[PCUSTID]],廠商[],2,FALSE),"")</f>
        <v/>
      </c>
      <c r="S6342" t="str">
        <f>VLOOKUP(record[[#This Row],[employeeID]],員工[],2,FALSE)</f>
        <v>謝蓁薰</v>
      </c>
    </row>
    <row r="6343" spans="6:19" hidden="1" x14ac:dyDescent="0.25">
      <c r="F6343" t="s">
        <v>1225</v>
      </c>
      <c r="G6343" t="s">
        <v>420</v>
      </c>
      <c r="H6343" t="str">
        <f>VLOOKUP(record[[#This Row],[ProcessSN]],表格2_7[],2,FALSE)</f>
        <v>30-4118-018-5XX</v>
      </c>
      <c r="I6343" t="str">
        <f>VLOOKUP(record[[#This Row],[ProcessSN]],表格2_7[],3,FALSE)</f>
        <v>#07STOCK</v>
      </c>
      <c r="J6343" t="s">
        <v>592</v>
      </c>
      <c r="K6343" s="195">
        <v>45992.581666666665</v>
      </c>
      <c r="L6343">
        <v>27</v>
      </c>
      <c r="M6343">
        <v>0</v>
      </c>
      <c r="N6343" s="98" t="str">
        <f>IF(record[[#This Row],[Memo]]="Browser:chrome os:android","平板報工",IF(record[[#This Row],[Memo]]=0,"委外",record[[#This Row],[Memo]]))</f>
        <v/>
      </c>
      <c r="O6343" t="s">
        <v>58</v>
      </c>
      <c r="P6343" t="s">
        <v>886</v>
      </c>
      <c r="Q6343" t="s">
        <v>58</v>
      </c>
      <c r="R6343" t="str">
        <f>IFERROR(VLOOKUP(record[[#This Row],[PCUSTID]],廠商[],2,FALSE),"")</f>
        <v/>
      </c>
      <c r="S6343" t="str">
        <f>VLOOKUP(record[[#This Row],[employeeID]],員工[],2,FALSE)</f>
        <v>謝蓁薰</v>
      </c>
    </row>
    <row r="6344" spans="6:19" hidden="1" x14ac:dyDescent="0.25">
      <c r="F6344" t="s">
        <v>1260</v>
      </c>
      <c r="G6344" t="s">
        <v>422</v>
      </c>
      <c r="H6344" t="str">
        <f>VLOOKUP(record[[#This Row],[ProcessSN]],表格2_7[],2,FALSE)</f>
        <v>30-4118-018-600</v>
      </c>
      <c r="I6344" t="str">
        <f>VLOOKUP(record[[#This Row],[ProcessSN]],表格2_7[],3,FALSE)</f>
        <v>#08</v>
      </c>
      <c r="J6344" t="s">
        <v>597</v>
      </c>
      <c r="K6344" s="195">
        <v>45992.578831018516</v>
      </c>
      <c r="L6344">
        <v>228</v>
      </c>
      <c r="M6344">
        <v>0</v>
      </c>
      <c r="N6344" s="98" t="str">
        <f>IF(record[[#This Row],[Memo]]="Browser:chrome os:android","平板報工",IF(record[[#This Row],[Memo]]=0,"委外",record[[#This Row],[Memo]]))</f>
        <v>委外</v>
      </c>
      <c r="P6344" t="s">
        <v>886</v>
      </c>
      <c r="Q6344" t="s">
        <v>287</v>
      </c>
      <c r="R6344" t="str">
        <f>IFERROR(VLOOKUP(record[[#This Row],[PCUSTID]],廠商[],2,FALSE),"")</f>
        <v>泉盛</v>
      </c>
      <c r="S6344" t="str">
        <f>VLOOKUP(record[[#This Row],[employeeID]],員工[],2,FALSE)</f>
        <v>謝蓁薰</v>
      </c>
    </row>
    <row r="6345" spans="6:19" hidden="1" x14ac:dyDescent="0.25">
      <c r="F6345" t="s">
        <v>1261</v>
      </c>
      <c r="G6345" t="s">
        <v>397</v>
      </c>
      <c r="H6345" t="str">
        <f>VLOOKUP(record[[#This Row],[ProcessSN]],表格2_7[],2,FALSE)</f>
        <v>30-4118-018-550</v>
      </c>
      <c r="I6345" t="str">
        <f>VLOOKUP(record[[#This Row],[ProcessSN]],表格2_7[],3,FALSE)</f>
        <v>#08</v>
      </c>
      <c r="J6345" t="s">
        <v>597</v>
      </c>
      <c r="K6345" s="195">
        <v>45992.578657407408</v>
      </c>
      <c r="L6345">
        <v>280</v>
      </c>
      <c r="M6345">
        <v>0</v>
      </c>
      <c r="N6345" s="98" t="str">
        <f>IF(record[[#This Row],[Memo]]="Browser:chrome os:android","平板報工",IF(record[[#This Row],[Memo]]=0,"委外",record[[#This Row],[Memo]]))</f>
        <v>委外</v>
      </c>
      <c r="P6345" t="s">
        <v>886</v>
      </c>
      <c r="Q6345" t="s">
        <v>287</v>
      </c>
      <c r="R6345" t="str">
        <f>IFERROR(VLOOKUP(record[[#This Row],[PCUSTID]],廠商[],2,FALSE),"")</f>
        <v>泉盛</v>
      </c>
      <c r="S6345" t="str">
        <f>VLOOKUP(record[[#This Row],[employeeID]],員工[],2,FALSE)</f>
        <v>謝蓁薰</v>
      </c>
    </row>
    <row r="6346" spans="6:19" hidden="1" x14ac:dyDescent="0.25">
      <c r="F6346" t="s">
        <v>1259</v>
      </c>
      <c r="G6346" t="s">
        <v>356</v>
      </c>
      <c r="H6346" t="str">
        <f>VLOOKUP(record[[#This Row],[ProcessSN]],表格2_7[],2,FALSE)</f>
        <v>30-4118-018-450</v>
      </c>
      <c r="I6346" t="str">
        <f>VLOOKUP(record[[#This Row],[ProcessSN]],表格2_7[],3,FALSE)</f>
        <v>#08</v>
      </c>
      <c r="J6346" t="s">
        <v>597</v>
      </c>
      <c r="K6346" s="195">
        <v>45992.578483796293</v>
      </c>
      <c r="L6346">
        <v>99</v>
      </c>
      <c r="M6346">
        <v>0</v>
      </c>
      <c r="N6346" s="98" t="str">
        <f>IF(record[[#This Row],[Memo]]="Browser:chrome os:android","平板報工",IF(record[[#This Row],[Memo]]=0,"委外",record[[#This Row],[Memo]]))</f>
        <v>委外</v>
      </c>
      <c r="P6346" t="s">
        <v>886</v>
      </c>
      <c r="Q6346" t="s">
        <v>287</v>
      </c>
      <c r="R6346" t="str">
        <f>IFERROR(VLOOKUP(record[[#This Row],[PCUSTID]],廠商[],2,FALSE),"")</f>
        <v>泉盛</v>
      </c>
      <c r="S6346" t="str">
        <f>VLOOKUP(record[[#This Row],[employeeID]],員工[],2,FALSE)</f>
        <v>謝蓁薰</v>
      </c>
    </row>
    <row r="6347" spans="6:19" hidden="1" x14ac:dyDescent="0.25">
      <c r="F6347" t="s">
        <v>1099</v>
      </c>
      <c r="G6347" t="s">
        <v>452</v>
      </c>
      <c r="H6347" t="str">
        <f>VLOOKUP(record[[#This Row],[ProcessSN]],表格2_7[],2,FALSE)</f>
        <v>30-4118-018-6XX</v>
      </c>
      <c r="I6347" t="str">
        <f>VLOOKUP(record[[#This Row],[ProcessSN]],表格2_7[],3,FALSE)</f>
        <v>#07QC</v>
      </c>
      <c r="J6347" t="s">
        <v>589</v>
      </c>
      <c r="K6347" s="195">
        <v>45992.569861111115</v>
      </c>
      <c r="L6347">
        <v>5</v>
      </c>
      <c r="M6347">
        <v>-5</v>
      </c>
      <c r="N6347" s="98" t="str">
        <f>IF(record[[#This Row],[Memo]]="Browser:chrome os:android","平板報工",IF(record[[#This Row],[Memo]]=0,"委外",record[[#This Row],[Memo]]))</f>
        <v>覆回品</v>
      </c>
      <c r="O6347" t="s">
        <v>664</v>
      </c>
      <c r="P6347" t="s">
        <v>113</v>
      </c>
      <c r="Q6347" t="s">
        <v>644</v>
      </c>
      <c r="R6347" t="str">
        <f>IFERROR(VLOOKUP(record[[#This Row],[PCUSTID]],廠商[],2,FALSE),"")</f>
        <v/>
      </c>
      <c r="S6347" t="str">
        <f>VLOOKUP(record[[#This Row],[employeeID]],員工[],2,FALSE)</f>
        <v>王奕蓁</v>
      </c>
    </row>
    <row r="6348" spans="6:19" hidden="1" x14ac:dyDescent="0.25">
      <c r="F6348" t="s">
        <v>1101</v>
      </c>
      <c r="G6348" t="s">
        <v>378</v>
      </c>
      <c r="H6348" t="str">
        <f>VLOOKUP(record[[#This Row],[ProcessSN]],表格2_7[],2,FALSE)</f>
        <v>30-4118-018-4XX</v>
      </c>
      <c r="I6348" t="str">
        <f>VLOOKUP(record[[#This Row],[ProcessSN]],表格2_7[],3,FALSE)</f>
        <v>#07QC</v>
      </c>
      <c r="J6348" t="s">
        <v>589</v>
      </c>
      <c r="K6348" s="195">
        <v>45992.56826388889</v>
      </c>
      <c r="L6348">
        <v>1</v>
      </c>
      <c r="M6348">
        <v>-1</v>
      </c>
      <c r="N6348" s="98" t="str">
        <f>IF(record[[#This Row],[Memo]]="Browser:chrome os:android","平板報工",IF(record[[#This Row],[Memo]]=0,"委外",record[[#This Row],[Memo]]))</f>
        <v>覆回品</v>
      </c>
      <c r="O6348" t="s">
        <v>664</v>
      </c>
      <c r="P6348" t="s">
        <v>113</v>
      </c>
      <c r="Q6348" t="s">
        <v>58</v>
      </c>
      <c r="R6348" t="str">
        <f>IFERROR(VLOOKUP(record[[#This Row],[PCUSTID]],廠商[],2,FALSE),"")</f>
        <v/>
      </c>
      <c r="S6348" t="str">
        <f>VLOOKUP(record[[#This Row],[employeeID]],員工[],2,FALSE)</f>
        <v>王奕蓁</v>
      </c>
    </row>
    <row r="6349" spans="6:19" hidden="1" x14ac:dyDescent="0.25">
      <c r="F6349" t="s">
        <v>1261</v>
      </c>
      <c r="G6349" t="s">
        <v>396</v>
      </c>
      <c r="H6349" t="str">
        <f>VLOOKUP(record[[#This Row],[ProcessSN]],表格2_7[],2,FALSE)</f>
        <v>30-4118-018-550</v>
      </c>
      <c r="I6349" t="str">
        <f>VLOOKUP(record[[#This Row],[ProcessSN]],表格2_7[],3,FALSE)</f>
        <v>#08PICK</v>
      </c>
      <c r="J6349" t="s">
        <v>582</v>
      </c>
      <c r="K6349" s="195">
        <v>45992.563587962963</v>
      </c>
      <c r="L6349">
        <v>280</v>
      </c>
      <c r="M6349">
        <v>0</v>
      </c>
      <c r="N6349" s="98" t="str">
        <f>IF(record[[#This Row],[Memo]]="Browser:chrome os:android","平板報工",IF(record[[#This Row],[Memo]]=0,"委外",record[[#This Row],[Memo]]))</f>
        <v/>
      </c>
      <c r="O6349" t="s">
        <v>58</v>
      </c>
      <c r="P6349" t="s">
        <v>113</v>
      </c>
      <c r="Q6349" t="s">
        <v>58</v>
      </c>
      <c r="R6349" t="str">
        <f>IFERROR(VLOOKUP(record[[#This Row],[PCUSTID]],廠商[],2,FALSE),"")</f>
        <v/>
      </c>
      <c r="S6349" t="str">
        <f>VLOOKUP(record[[#This Row],[employeeID]],員工[],2,FALSE)</f>
        <v>王奕蓁</v>
      </c>
    </row>
    <row r="6350" spans="6:19" hidden="1" x14ac:dyDescent="0.25">
      <c r="F6350" t="s">
        <v>1260</v>
      </c>
      <c r="G6350" t="s">
        <v>421</v>
      </c>
      <c r="H6350" t="str">
        <f>VLOOKUP(record[[#This Row],[ProcessSN]],表格2_7[],2,FALSE)</f>
        <v>30-4118-018-600</v>
      </c>
      <c r="I6350" t="str">
        <f>VLOOKUP(record[[#This Row],[ProcessSN]],表格2_7[],3,FALSE)</f>
        <v>#08PICK</v>
      </c>
      <c r="J6350" t="s">
        <v>582</v>
      </c>
      <c r="K6350" s="195">
        <v>45992.563506944447</v>
      </c>
      <c r="L6350">
        <v>228</v>
      </c>
      <c r="M6350">
        <v>0</v>
      </c>
      <c r="N6350" s="98" t="str">
        <f>IF(record[[#This Row],[Memo]]="Browser:chrome os:android","平板報工",IF(record[[#This Row],[Memo]]=0,"委外",record[[#This Row],[Memo]]))</f>
        <v/>
      </c>
      <c r="O6350" t="s">
        <v>58</v>
      </c>
      <c r="P6350" t="s">
        <v>113</v>
      </c>
      <c r="Q6350" t="s">
        <v>58</v>
      </c>
      <c r="R6350" t="str">
        <f>IFERROR(VLOOKUP(record[[#This Row],[PCUSTID]],廠商[],2,FALSE),"")</f>
        <v/>
      </c>
      <c r="S6350" t="str">
        <f>VLOOKUP(record[[#This Row],[employeeID]],員工[],2,FALSE)</f>
        <v>王奕蓁</v>
      </c>
    </row>
    <row r="6351" spans="6:19" hidden="1" x14ac:dyDescent="0.25">
      <c r="F6351" t="s">
        <v>1259</v>
      </c>
      <c r="G6351" t="s">
        <v>355</v>
      </c>
      <c r="H6351" t="str">
        <f>VLOOKUP(record[[#This Row],[ProcessSN]],表格2_7[],2,FALSE)</f>
        <v>30-4118-018-450</v>
      </c>
      <c r="I6351" t="str">
        <f>VLOOKUP(record[[#This Row],[ProcessSN]],表格2_7[],3,FALSE)</f>
        <v>#08PICK</v>
      </c>
      <c r="J6351" t="s">
        <v>582</v>
      </c>
      <c r="K6351" s="195">
        <v>45992.563414351855</v>
      </c>
      <c r="L6351">
        <v>99</v>
      </c>
      <c r="M6351">
        <v>0</v>
      </c>
      <c r="N6351" s="98" t="str">
        <f>IF(record[[#This Row],[Memo]]="Browser:chrome os:android","平板報工",IF(record[[#This Row],[Memo]]=0,"委外",record[[#This Row],[Memo]]))</f>
        <v/>
      </c>
      <c r="O6351" t="s">
        <v>58</v>
      </c>
      <c r="P6351" t="s">
        <v>113</v>
      </c>
      <c r="Q6351" t="s">
        <v>58</v>
      </c>
      <c r="R6351" t="str">
        <f>IFERROR(VLOOKUP(record[[#This Row],[PCUSTID]],廠商[],2,FALSE),"")</f>
        <v/>
      </c>
      <c r="S6351" t="str">
        <f>VLOOKUP(record[[#This Row],[employeeID]],員工[],2,FALSE)</f>
        <v>王奕蓁</v>
      </c>
    </row>
    <row r="6352" spans="6:19" hidden="1" x14ac:dyDescent="0.25">
      <c r="F6352" t="s">
        <v>1253</v>
      </c>
      <c r="G6352" t="s">
        <v>413</v>
      </c>
      <c r="H6352" t="str">
        <f>VLOOKUP(record[[#This Row],[ProcessSN]],表格2_7[],2,FALSE)</f>
        <v>30-4118-018-5XX</v>
      </c>
      <c r="I6352" t="str">
        <f>VLOOKUP(record[[#This Row],[ProcessSN]],表格2_7[],3,FALSE)</f>
        <v>#03GIVE</v>
      </c>
      <c r="J6352" t="s">
        <v>587</v>
      </c>
      <c r="K6352" s="195">
        <v>45992.497916666667</v>
      </c>
      <c r="L6352">
        <v>837</v>
      </c>
      <c r="M6352">
        <v>0</v>
      </c>
      <c r="N6352" s="98" t="str">
        <f>IF(record[[#This Row],[Memo]]="Browser:chrome os:android","平板報工",IF(record[[#This Row],[Memo]]=0,"委外",record[[#This Row],[Memo]]))</f>
        <v/>
      </c>
      <c r="O6352" t="s">
        <v>58</v>
      </c>
      <c r="P6352" t="s">
        <v>113</v>
      </c>
      <c r="Q6352" t="s">
        <v>58</v>
      </c>
      <c r="R6352" t="str">
        <f>IFERROR(VLOOKUP(record[[#This Row],[PCUSTID]],廠商[],2,FALSE),"")</f>
        <v/>
      </c>
      <c r="S6352" t="str">
        <f>VLOOKUP(record[[#This Row],[employeeID]],員工[],2,FALSE)</f>
        <v>王奕蓁</v>
      </c>
    </row>
    <row r="6353" spans="6:19" hidden="1" x14ac:dyDescent="0.25">
      <c r="F6353" t="s">
        <v>1253</v>
      </c>
      <c r="G6353" t="s">
        <v>413</v>
      </c>
      <c r="H6353" t="str">
        <f>VLOOKUP(record[[#This Row],[ProcessSN]],表格2_7[],2,FALSE)</f>
        <v>30-4118-018-5XX</v>
      </c>
      <c r="I6353" t="str">
        <f>VLOOKUP(record[[#This Row],[ProcessSN]],表格2_7[],3,FALSE)</f>
        <v>#03GIVE</v>
      </c>
      <c r="J6353" t="s">
        <v>587</v>
      </c>
      <c r="K6353" s="195">
        <v>45992.497615740744</v>
      </c>
      <c r="L6353">
        <v>336</v>
      </c>
      <c r="M6353">
        <v>0</v>
      </c>
      <c r="N6353" s="98" t="str">
        <f>IF(record[[#This Row],[Memo]]="Browser:chrome os:android","平板報工",IF(record[[#This Row],[Memo]]=0,"委外",record[[#This Row],[Memo]]))</f>
        <v>補11/28</v>
      </c>
      <c r="O6353" t="s">
        <v>1258</v>
      </c>
      <c r="P6353" t="s">
        <v>113</v>
      </c>
      <c r="Q6353" t="s">
        <v>58</v>
      </c>
      <c r="R6353" t="str">
        <f>IFERROR(VLOOKUP(record[[#This Row],[PCUSTID]],廠商[],2,FALSE),"")</f>
        <v/>
      </c>
      <c r="S6353" t="str">
        <f>VLOOKUP(record[[#This Row],[employeeID]],員工[],2,FALSE)</f>
        <v>王奕蓁</v>
      </c>
    </row>
    <row r="6354" spans="6:19" hidden="1" x14ac:dyDescent="0.25">
      <c r="F6354" t="s">
        <v>1253</v>
      </c>
      <c r="G6354" t="s">
        <v>412</v>
      </c>
      <c r="H6354" t="str">
        <f>VLOOKUP(record[[#This Row],[ProcessSN]],表格2_7[],2,FALSE)</f>
        <v>30-4118-018-5XX</v>
      </c>
      <c r="I6354" t="str">
        <f>VLOOKUP(record[[#This Row],[ProcessSN]],表格2_7[],3,FALSE)</f>
        <v>#03PICK</v>
      </c>
      <c r="J6354" t="s">
        <v>582</v>
      </c>
      <c r="K6354" s="195">
        <v>45992.497349537036</v>
      </c>
      <c r="L6354">
        <v>501</v>
      </c>
      <c r="M6354">
        <v>0</v>
      </c>
      <c r="N6354" s="98" t="str">
        <f>IF(record[[#This Row],[Memo]]="Browser:chrome os:android","平板報工",IF(record[[#This Row],[Memo]]=0,"委外",record[[#This Row],[Memo]]))</f>
        <v/>
      </c>
      <c r="O6354" t="s">
        <v>58</v>
      </c>
      <c r="P6354" t="s">
        <v>113</v>
      </c>
      <c r="Q6354" t="s">
        <v>58</v>
      </c>
      <c r="R6354" t="str">
        <f>IFERROR(VLOOKUP(record[[#This Row],[PCUSTID]],廠商[],2,FALSE),"")</f>
        <v/>
      </c>
      <c r="S6354" t="str">
        <f>VLOOKUP(record[[#This Row],[employeeID]],員工[],2,FALSE)</f>
        <v>王奕蓁</v>
      </c>
    </row>
    <row r="6355" spans="6:19" hidden="1" x14ac:dyDescent="0.25">
      <c r="F6355" t="s">
        <v>1209</v>
      </c>
      <c r="G6355" t="s">
        <v>469</v>
      </c>
      <c r="H6355" t="str">
        <f>VLOOKUP(record[[#This Row],[ProcessSN]],表格2_7[],2,FALSE)</f>
        <v>30-4118-018-XXX</v>
      </c>
      <c r="I6355" t="str">
        <f>VLOOKUP(record[[#This Row],[ProcessSN]],表格2_7[],3,FALSE)</f>
        <v>#02RCV</v>
      </c>
      <c r="J6355" t="s">
        <v>591</v>
      </c>
      <c r="K6355" s="195">
        <v>45992.476030092592</v>
      </c>
      <c r="L6355">
        <v>494</v>
      </c>
      <c r="M6355">
        <v>0</v>
      </c>
      <c r="N6355" s="98" t="str">
        <f>IF(record[[#This Row],[Memo]]="Browser:chrome os:android","平板報工",IF(record[[#This Row],[Memo]]=0,"委外",record[[#This Row],[Memo]]))</f>
        <v/>
      </c>
      <c r="O6355" t="s">
        <v>58</v>
      </c>
      <c r="P6355" t="s">
        <v>886</v>
      </c>
      <c r="Q6355" t="s">
        <v>58</v>
      </c>
      <c r="R6355" t="str">
        <f>IFERROR(VLOOKUP(record[[#This Row],[PCUSTID]],廠商[],2,FALSE),"")</f>
        <v/>
      </c>
      <c r="S6355" t="str">
        <f>VLOOKUP(record[[#This Row],[employeeID]],員工[],2,FALSE)</f>
        <v>謝蓁薰</v>
      </c>
    </row>
    <row r="6356" spans="6:19" hidden="1" x14ac:dyDescent="0.25">
      <c r="F6356" t="s">
        <v>1236</v>
      </c>
      <c r="G6356" t="s">
        <v>419</v>
      </c>
      <c r="H6356" t="str">
        <f>VLOOKUP(record[[#This Row],[ProcessSN]],表格2_7[],2,FALSE)</f>
        <v>30-4118-018-5XX</v>
      </c>
      <c r="I6356" t="str">
        <f>VLOOKUP(record[[#This Row],[ProcessSN]],表格2_7[],3,FALSE)</f>
        <v>#07QC</v>
      </c>
      <c r="J6356" t="s">
        <v>589</v>
      </c>
      <c r="K6356" s="195">
        <v>45992.472719907404</v>
      </c>
      <c r="L6356">
        <v>468</v>
      </c>
      <c r="M6356">
        <v>0</v>
      </c>
      <c r="N6356" s="98" t="str">
        <f>IF(record[[#This Row],[Memo]]="Browser:chrome os:android","平板報工",IF(record[[#This Row],[Memo]]=0,"委外",record[[#This Row],[Memo]]))</f>
        <v/>
      </c>
      <c r="O6356" t="s">
        <v>58</v>
      </c>
      <c r="P6356" t="s">
        <v>141</v>
      </c>
      <c r="Q6356" t="s">
        <v>58</v>
      </c>
      <c r="R6356" t="str">
        <f>IFERROR(VLOOKUP(record[[#This Row],[PCUSTID]],廠商[],2,FALSE),"")</f>
        <v/>
      </c>
      <c r="S6356" t="str">
        <f>VLOOKUP(record[[#This Row],[employeeID]],員工[],2,FALSE)</f>
        <v>蔣梅</v>
      </c>
    </row>
    <row r="6357" spans="6:19" hidden="1" x14ac:dyDescent="0.25">
      <c r="F6357" t="s">
        <v>1225</v>
      </c>
      <c r="G6357" t="s">
        <v>419</v>
      </c>
      <c r="H6357" t="str">
        <f>VLOOKUP(record[[#This Row],[ProcessSN]],表格2_7[],2,FALSE)</f>
        <v>30-4118-018-5XX</v>
      </c>
      <c r="I6357" t="str">
        <f>VLOOKUP(record[[#This Row],[ProcessSN]],表格2_7[],3,FALSE)</f>
        <v>#07QC</v>
      </c>
      <c r="J6357" t="s">
        <v>589</v>
      </c>
      <c r="K6357" s="195">
        <v>45992.472453703704</v>
      </c>
      <c r="L6357">
        <v>27</v>
      </c>
      <c r="M6357">
        <v>0</v>
      </c>
      <c r="N6357" s="98" t="str">
        <f>IF(record[[#This Row],[Memo]]="Browser:chrome os:android","平板報工",IF(record[[#This Row],[Memo]]=0,"委外",record[[#This Row],[Memo]]))</f>
        <v/>
      </c>
      <c r="O6357" t="s">
        <v>58</v>
      </c>
      <c r="P6357" t="s">
        <v>141</v>
      </c>
      <c r="Q6357" t="s">
        <v>58</v>
      </c>
      <c r="R6357" t="str">
        <f>IFERROR(VLOOKUP(record[[#This Row],[PCUSTID]],廠商[],2,FALSE),"")</f>
        <v/>
      </c>
      <c r="S6357" t="str">
        <f>VLOOKUP(record[[#This Row],[employeeID]],員工[],2,FALSE)</f>
        <v>蔣梅</v>
      </c>
    </row>
    <row r="6358" spans="6:19" hidden="1" x14ac:dyDescent="0.25">
      <c r="F6358" t="s">
        <v>1209</v>
      </c>
      <c r="G6358" t="s">
        <v>471</v>
      </c>
      <c r="H6358" t="str">
        <f>VLOOKUP(record[[#This Row],[ProcessSN]],表格2_7[],2,FALSE)</f>
        <v>30-4118-018-XXX</v>
      </c>
      <c r="I6358" t="str">
        <f>VLOOKUP(record[[#This Row],[ProcessSN]],表格2_7[],3,FALSE)</f>
        <v>#02STOCK</v>
      </c>
      <c r="J6358" t="s">
        <v>592</v>
      </c>
      <c r="K6358" s="195">
        <v>45992.382951388892</v>
      </c>
      <c r="L6358">
        <v>837</v>
      </c>
      <c r="M6358">
        <v>0</v>
      </c>
      <c r="N6358" s="98" t="str">
        <f>IF(record[[#This Row],[Memo]]="Browser:chrome os:android","平板報工",IF(record[[#This Row],[Memo]]=0,"委外",record[[#This Row],[Memo]]))</f>
        <v/>
      </c>
      <c r="O6358" t="s">
        <v>58</v>
      </c>
      <c r="P6358" t="s">
        <v>1070</v>
      </c>
      <c r="Q6358" t="s">
        <v>58</v>
      </c>
      <c r="R6358" t="str">
        <f>IFERROR(VLOOKUP(record[[#This Row],[PCUSTID]],廠商[],2,FALSE),"")</f>
        <v/>
      </c>
      <c r="S6358" t="str">
        <f>VLOOKUP(record[[#This Row],[employeeID]],員工[],2,FALSE)</f>
        <v>陳昱佑</v>
      </c>
    </row>
    <row r="6359" spans="6:19" hidden="1" x14ac:dyDescent="0.25">
      <c r="F6359" t="s">
        <v>1209</v>
      </c>
      <c r="G6359" t="s">
        <v>470</v>
      </c>
      <c r="H6359" t="str">
        <f>VLOOKUP(record[[#This Row],[ProcessSN]],表格2_7[],2,FALSE)</f>
        <v>30-4118-018-XXX</v>
      </c>
      <c r="I6359" t="str">
        <f>VLOOKUP(record[[#This Row],[ProcessSN]],表格2_7[],3,FALSE)</f>
        <v>#02IQC</v>
      </c>
      <c r="J6359" t="s">
        <v>583</v>
      </c>
      <c r="K6359" s="195">
        <v>45992.376319444447</v>
      </c>
      <c r="L6359">
        <v>837</v>
      </c>
      <c r="M6359">
        <v>0</v>
      </c>
      <c r="N6359" s="98" t="str">
        <f>IF(record[[#This Row],[Memo]]="Browser:chrome os:android","平板報工",IF(record[[#This Row],[Memo]]=0,"委外",record[[#This Row],[Memo]]))</f>
        <v/>
      </c>
      <c r="O6359" t="s">
        <v>58</v>
      </c>
      <c r="P6359" t="s">
        <v>109</v>
      </c>
      <c r="Q6359" t="s">
        <v>58</v>
      </c>
      <c r="R6359" t="str">
        <f>IFERROR(VLOOKUP(record[[#This Row],[PCUSTID]],廠商[],2,FALSE),"")</f>
        <v/>
      </c>
      <c r="S6359" t="str">
        <f>VLOOKUP(record[[#This Row],[employeeID]],員工[],2,FALSE)</f>
        <v>裴氏璧鳳</v>
      </c>
    </row>
    <row r="6360" spans="6:19" hidden="1" x14ac:dyDescent="0.25">
      <c r="F6360" t="s">
        <v>1209</v>
      </c>
      <c r="G6360" t="s">
        <v>468</v>
      </c>
      <c r="H6360" t="str">
        <f>VLOOKUP(record[[#This Row],[ProcessSN]],表格2_7[],2,FALSE)</f>
        <v>30-4118-018-XXX</v>
      </c>
      <c r="I6360" t="str">
        <f>VLOOKUP(record[[#This Row],[ProcessSN]],表格2_7[],3,FALSE)</f>
        <v>#02</v>
      </c>
      <c r="J6360" t="s">
        <v>590</v>
      </c>
      <c r="K6360" s="195">
        <v>45992.375162037039</v>
      </c>
      <c r="L6360">
        <v>1176</v>
      </c>
      <c r="M6360">
        <v>0</v>
      </c>
      <c r="N6360" s="98" t="str">
        <f>IF(record[[#This Row],[Memo]]="Browser:chrome os:android","平板報工",IF(record[[#This Row],[Memo]]=0,"委外",record[[#This Row],[Memo]]))</f>
        <v>委外</v>
      </c>
      <c r="P6360" t="s">
        <v>886</v>
      </c>
      <c r="Q6360" t="s">
        <v>216</v>
      </c>
      <c r="R6360" t="str">
        <f>IFERROR(VLOOKUP(record[[#This Row],[PCUSTID]],廠商[],2,FALSE),"")</f>
        <v>俊杰</v>
      </c>
      <c r="S6360" t="str">
        <f>VLOOKUP(record[[#This Row],[employeeID]],員工[],2,FALSE)</f>
        <v>謝蓁薰</v>
      </c>
    </row>
    <row r="6361" spans="6:19" hidden="1" x14ac:dyDescent="0.25">
      <c r="F6361" t="s">
        <v>1209</v>
      </c>
      <c r="G6361" t="s">
        <v>469</v>
      </c>
      <c r="H6361" t="str">
        <f>VLOOKUP(record[[#This Row],[ProcessSN]],表格2_7[],2,FALSE)</f>
        <v>30-4118-018-XXX</v>
      </c>
      <c r="I6361" t="str">
        <f>VLOOKUP(record[[#This Row],[ProcessSN]],表格2_7[],3,FALSE)</f>
        <v>#02RCV</v>
      </c>
      <c r="J6361" t="s">
        <v>591</v>
      </c>
      <c r="K6361" s="195">
        <v>45992.369201388887</v>
      </c>
      <c r="L6361">
        <v>837</v>
      </c>
      <c r="M6361">
        <v>0</v>
      </c>
      <c r="N6361" s="98" t="str">
        <f>IF(record[[#This Row],[Memo]]="Browser:chrome os:android","平板報工",IF(record[[#This Row],[Memo]]=0,"委外",record[[#This Row],[Memo]]))</f>
        <v/>
      </c>
      <c r="O6361" t="s">
        <v>58</v>
      </c>
      <c r="P6361" t="s">
        <v>113</v>
      </c>
      <c r="Q6361" t="s">
        <v>58</v>
      </c>
      <c r="R6361" t="str">
        <f>IFERROR(VLOOKUP(record[[#This Row],[PCUSTID]],廠商[],2,FALSE),"")</f>
        <v/>
      </c>
      <c r="S6361" t="str">
        <f>VLOOKUP(record[[#This Row],[employeeID]],員工[],2,FALSE)</f>
        <v>王奕蓁</v>
      </c>
    </row>
    <row r="6362" spans="6:19" hidden="1" x14ac:dyDescent="0.25">
      <c r="F6362" t="s">
        <v>1209</v>
      </c>
      <c r="G6362" t="s">
        <v>467</v>
      </c>
      <c r="H6362" t="str">
        <f>VLOOKUP(record[[#This Row],[ProcessSN]],表格2_7[],2,FALSE)</f>
        <v>30-4118-018-XXX</v>
      </c>
      <c r="I6362" t="str">
        <f>VLOOKUP(record[[#This Row],[ProcessSN]],表格2_7[],3,FALSE)</f>
        <v>#01QC</v>
      </c>
      <c r="J6362" t="s">
        <v>589</v>
      </c>
      <c r="K6362" s="195">
        <v>45992.369166666664</v>
      </c>
      <c r="L6362">
        <v>1176</v>
      </c>
      <c r="M6362">
        <v>0</v>
      </c>
      <c r="N6362" s="98" t="str">
        <f>IF(record[[#This Row],[Memo]]="Browser:chrome os:android","平板報工",IF(record[[#This Row],[Memo]]=0,"委外",record[[#This Row],[Memo]]))</f>
        <v>平板報工</v>
      </c>
      <c r="O6362" t="s">
        <v>643</v>
      </c>
      <c r="P6362" t="s">
        <v>99</v>
      </c>
      <c r="Q6362" t="s">
        <v>644</v>
      </c>
      <c r="R6362" t="str">
        <f>IFERROR(VLOOKUP(record[[#This Row],[PCUSTID]],廠商[],2,FALSE),"")</f>
        <v/>
      </c>
      <c r="S6362" t="str">
        <f>VLOOKUP(record[[#This Row],[employeeID]],員工[],2,FALSE)</f>
        <v>阮氏河</v>
      </c>
    </row>
    <row r="6363" spans="6:19" hidden="1" x14ac:dyDescent="0.25">
      <c r="F6363" t="s">
        <v>1253</v>
      </c>
      <c r="G6363" t="s">
        <v>415</v>
      </c>
      <c r="H6363" t="str">
        <f>VLOOKUP(record[[#This Row],[ProcessSN]],表格2_7[],2,FALSE)</f>
        <v>30-4118-018-5XX</v>
      </c>
      <c r="I6363" t="str">
        <f>VLOOKUP(record[[#This Row],[ProcessSN]],表格2_7[],3,FALSE)</f>
        <v>#04</v>
      </c>
      <c r="J6363" t="s">
        <v>588</v>
      </c>
      <c r="K6363" s="195">
        <v>45990.276342592595</v>
      </c>
      <c r="L6363">
        <v>127</v>
      </c>
      <c r="M6363">
        <v>0</v>
      </c>
      <c r="N6363" s="98" t="str">
        <f>IF(record[[#This Row],[Memo]]="Browser:chrome os:android","平板報工",IF(record[[#This Row],[Memo]]=0,"委外",record[[#This Row],[Memo]]))</f>
        <v/>
      </c>
      <c r="O6363" t="s">
        <v>58</v>
      </c>
      <c r="P6363" t="s">
        <v>135</v>
      </c>
      <c r="Q6363" t="s">
        <v>58</v>
      </c>
      <c r="R6363" t="str">
        <f>IFERROR(VLOOKUP(record[[#This Row],[PCUSTID]],廠商[],2,FALSE),"")</f>
        <v/>
      </c>
      <c r="S6363" t="str">
        <f>VLOOKUP(record[[#This Row],[employeeID]],員工[],2,FALSE)</f>
        <v>阮士文</v>
      </c>
    </row>
    <row r="6364" spans="6:19" hidden="1" x14ac:dyDescent="0.25">
      <c r="F6364" t="s">
        <v>1236</v>
      </c>
      <c r="G6364" t="s">
        <v>418</v>
      </c>
      <c r="H6364" t="str">
        <f>VLOOKUP(record[[#This Row],[ProcessSN]],表格2_7[],2,FALSE)</f>
        <v>30-4118-018-5XX</v>
      </c>
      <c r="I6364" t="str">
        <f>VLOOKUP(record[[#This Row],[ProcessSN]],表格2_7[],3,FALSE)</f>
        <v>#07</v>
      </c>
      <c r="J6364" t="s">
        <v>588</v>
      </c>
      <c r="K6364" s="195">
        <v>45990.275208333333</v>
      </c>
      <c r="L6364">
        <v>88</v>
      </c>
      <c r="M6364">
        <v>0</v>
      </c>
      <c r="N6364" s="98" t="str">
        <f>IF(record[[#This Row],[Memo]]="Browser:chrome os:android","平板報工",IF(record[[#This Row],[Memo]]=0,"委外",record[[#This Row],[Memo]]))</f>
        <v/>
      </c>
      <c r="O6364" t="s">
        <v>58</v>
      </c>
      <c r="P6364" t="s">
        <v>135</v>
      </c>
      <c r="Q6364" t="s">
        <v>58</v>
      </c>
      <c r="R6364" t="str">
        <f>IFERROR(VLOOKUP(record[[#This Row],[PCUSTID]],廠商[],2,FALSE),"")</f>
        <v/>
      </c>
      <c r="S6364" t="str">
        <f>VLOOKUP(record[[#This Row],[employeeID]],員工[],2,FALSE)</f>
        <v>阮士文</v>
      </c>
    </row>
    <row r="6365" spans="6:19" hidden="1" x14ac:dyDescent="0.25">
      <c r="F6365" t="s">
        <v>1236</v>
      </c>
      <c r="G6365" t="s">
        <v>417</v>
      </c>
      <c r="H6365" t="str">
        <f>VLOOKUP(record[[#This Row],[ProcessSN]],表格2_7[],2,FALSE)</f>
        <v>30-4118-018-5XX</v>
      </c>
      <c r="I6365" t="str">
        <f>VLOOKUP(record[[#This Row],[ProcessSN]],表格2_7[],3,FALSE)</f>
        <v>#06</v>
      </c>
      <c r="J6365" t="s">
        <v>593</v>
      </c>
      <c r="K6365" s="195">
        <v>45990.275000000001</v>
      </c>
      <c r="L6365">
        <v>41</v>
      </c>
      <c r="M6365">
        <v>0</v>
      </c>
      <c r="N6365" s="98" t="str">
        <f>IF(record[[#This Row],[Memo]]="Browser:chrome os:android","平板報工",IF(record[[#This Row],[Memo]]=0,"委外",record[[#This Row],[Memo]]))</f>
        <v/>
      </c>
      <c r="O6365" t="s">
        <v>58</v>
      </c>
      <c r="P6365" t="s">
        <v>135</v>
      </c>
      <c r="Q6365" t="s">
        <v>58</v>
      </c>
      <c r="R6365" t="str">
        <f>IFERROR(VLOOKUP(record[[#This Row],[PCUSTID]],廠商[],2,FALSE),"")</f>
        <v/>
      </c>
      <c r="S6365" t="str">
        <f>VLOOKUP(record[[#This Row],[employeeID]],員工[],2,FALSE)</f>
        <v>阮士文</v>
      </c>
    </row>
    <row r="6366" spans="6:19" hidden="1" x14ac:dyDescent="0.25">
      <c r="F6366" t="s">
        <v>1253</v>
      </c>
      <c r="G6366" t="s">
        <v>415</v>
      </c>
      <c r="H6366" t="str">
        <f>VLOOKUP(record[[#This Row],[ProcessSN]],表格2_7[],2,FALSE)</f>
        <v>30-4118-018-5XX</v>
      </c>
      <c r="I6366" t="str">
        <f>VLOOKUP(record[[#This Row],[ProcessSN]],表格2_7[],3,FALSE)</f>
        <v>#04</v>
      </c>
      <c r="J6366" t="s">
        <v>588</v>
      </c>
      <c r="K6366" s="195">
        <v>45989.977870370371</v>
      </c>
      <c r="L6366">
        <v>125</v>
      </c>
      <c r="M6366">
        <v>0</v>
      </c>
      <c r="N6366" s="98" t="str">
        <f>IF(record[[#This Row],[Memo]]="Browser:chrome os:android","平板報工",IF(record[[#This Row],[Memo]]=0,"委外",record[[#This Row],[Memo]]))</f>
        <v/>
      </c>
      <c r="O6366" t="s">
        <v>58</v>
      </c>
      <c r="P6366" t="s">
        <v>89</v>
      </c>
      <c r="Q6366" t="s">
        <v>58</v>
      </c>
      <c r="R6366" t="str">
        <f>IFERROR(VLOOKUP(record[[#This Row],[PCUSTID]],廠商[],2,FALSE),"")</f>
        <v/>
      </c>
      <c r="S6366" t="str">
        <f>VLOOKUP(record[[#This Row],[employeeID]],員工[],2,FALSE)</f>
        <v>李美蓮</v>
      </c>
    </row>
    <row r="6367" spans="6:19" hidden="1" x14ac:dyDescent="0.25">
      <c r="F6367" t="s">
        <v>1236</v>
      </c>
      <c r="G6367" t="s">
        <v>418</v>
      </c>
      <c r="H6367" t="str">
        <f>VLOOKUP(record[[#This Row],[ProcessSN]],表格2_7[],2,FALSE)</f>
        <v>30-4118-018-5XX</v>
      </c>
      <c r="I6367" t="str">
        <f>VLOOKUP(record[[#This Row],[ProcessSN]],表格2_7[],3,FALSE)</f>
        <v>#07</v>
      </c>
      <c r="J6367" t="s">
        <v>588</v>
      </c>
      <c r="K6367" s="195">
        <v>45989.975428240738</v>
      </c>
      <c r="L6367">
        <v>123</v>
      </c>
      <c r="M6367">
        <v>0</v>
      </c>
      <c r="N6367" s="98" t="str">
        <f>IF(record[[#This Row],[Memo]]="Browser:chrome os:android","平板報工",IF(record[[#This Row],[Memo]]=0,"委外",record[[#This Row],[Memo]]))</f>
        <v/>
      </c>
      <c r="O6367" t="s">
        <v>58</v>
      </c>
      <c r="P6367" t="s">
        <v>89</v>
      </c>
      <c r="Q6367" t="s">
        <v>58</v>
      </c>
      <c r="R6367" t="str">
        <f>IFERROR(VLOOKUP(record[[#This Row],[PCUSTID]],廠商[],2,FALSE),"")</f>
        <v/>
      </c>
      <c r="S6367" t="str">
        <f>VLOOKUP(record[[#This Row],[employeeID]],員工[],2,FALSE)</f>
        <v>李美蓮</v>
      </c>
    </row>
    <row r="6368" spans="6:19" hidden="1" x14ac:dyDescent="0.25">
      <c r="F6368" t="s">
        <v>1236</v>
      </c>
      <c r="G6368" t="s">
        <v>417</v>
      </c>
      <c r="H6368" t="str">
        <f>VLOOKUP(record[[#This Row],[ProcessSN]],表格2_7[],2,FALSE)</f>
        <v>30-4118-018-5XX</v>
      </c>
      <c r="I6368" t="str">
        <f>VLOOKUP(record[[#This Row],[ProcessSN]],表格2_7[],3,FALSE)</f>
        <v>#06</v>
      </c>
      <c r="J6368" t="s">
        <v>593</v>
      </c>
      <c r="K6368" s="195">
        <v>45989.97420138889</v>
      </c>
      <c r="L6368">
        <v>120</v>
      </c>
      <c r="M6368">
        <v>0</v>
      </c>
      <c r="N6368" s="98" t="str">
        <f>IF(record[[#This Row],[Memo]]="Browser:chrome os:android","平板報工",IF(record[[#This Row],[Memo]]=0,"委外",record[[#This Row],[Memo]]))</f>
        <v/>
      </c>
      <c r="O6368" t="s">
        <v>58</v>
      </c>
      <c r="P6368" t="s">
        <v>176</v>
      </c>
      <c r="Q6368" t="s">
        <v>58</v>
      </c>
      <c r="R6368" t="str">
        <f>IFERROR(VLOOKUP(record[[#This Row],[PCUSTID]],廠商[],2,FALSE),"")</f>
        <v/>
      </c>
      <c r="S6368" t="str">
        <f>VLOOKUP(record[[#This Row],[employeeID]],員工[],2,FALSE)</f>
        <v>郭政雄</v>
      </c>
    </row>
    <row r="6369" spans="6:19" hidden="1" x14ac:dyDescent="0.25">
      <c r="F6369" t="s">
        <v>1253</v>
      </c>
      <c r="G6369" t="s">
        <v>414</v>
      </c>
      <c r="H6369" t="str">
        <f>VLOOKUP(record[[#This Row],[ProcessSN]],表格2_7[],2,FALSE)</f>
        <v>30-4118-018-5XX</v>
      </c>
      <c r="I6369" t="str">
        <f>VLOOKUP(record[[#This Row],[ProcessSN]],表格2_7[],3,FALSE)</f>
        <v>#03</v>
      </c>
      <c r="J6369" t="s">
        <v>588</v>
      </c>
      <c r="K6369" s="195">
        <v>45989.973530092589</v>
      </c>
      <c r="L6369">
        <v>235</v>
      </c>
      <c r="M6369">
        <v>1</v>
      </c>
      <c r="N6369" s="98" t="str">
        <f>IF(record[[#This Row],[Memo]]="Browser:chrome os:android","平板報工",IF(record[[#This Row],[Memo]]=0,"委外",record[[#This Row],[Memo]]))</f>
        <v/>
      </c>
      <c r="O6369" t="s">
        <v>58</v>
      </c>
      <c r="P6369" t="s">
        <v>1098</v>
      </c>
      <c r="Q6369" t="s">
        <v>58</v>
      </c>
      <c r="R6369" t="str">
        <f>IFERROR(VLOOKUP(record[[#This Row],[PCUSTID]],廠商[],2,FALSE),"")</f>
        <v/>
      </c>
      <c r="S6369" t="str">
        <f>VLOOKUP(record[[#This Row],[employeeID]],員工[],2,FALSE)</f>
        <v>阮氏芳英(英)</v>
      </c>
    </row>
    <row r="6370" spans="6:19" hidden="1" x14ac:dyDescent="0.25">
      <c r="F6370" t="s">
        <v>1246</v>
      </c>
      <c r="G6370" t="s">
        <v>399</v>
      </c>
      <c r="H6370" t="str">
        <f>VLOOKUP(record[[#This Row],[ProcessSN]],表格2_7[],2,FALSE)</f>
        <v>30-4118-018-550</v>
      </c>
      <c r="I6370" t="str">
        <f>VLOOKUP(record[[#This Row],[ProcessSN]],表格2_7[],3,FALSE)</f>
        <v>#08IQC</v>
      </c>
      <c r="J6370" t="s">
        <v>583</v>
      </c>
      <c r="K6370" s="195">
        <v>45989.747245370374</v>
      </c>
      <c r="L6370">
        <v>294</v>
      </c>
      <c r="M6370">
        <v>0</v>
      </c>
      <c r="N6370" s="98" t="str">
        <f>IF(record[[#This Row],[Memo]]="Browser:chrome os:android","平板報工",IF(record[[#This Row],[Memo]]=0,"委外",record[[#This Row],[Memo]]))</f>
        <v/>
      </c>
      <c r="O6370" t="s">
        <v>58</v>
      </c>
      <c r="P6370" t="s">
        <v>109</v>
      </c>
      <c r="Q6370" t="s">
        <v>58</v>
      </c>
      <c r="R6370" t="str">
        <f>IFERROR(VLOOKUP(record[[#This Row],[PCUSTID]],廠商[],2,FALSE),"")</f>
        <v/>
      </c>
      <c r="S6370" t="str">
        <f>VLOOKUP(record[[#This Row],[employeeID]],員工[],2,FALSE)</f>
        <v>裴氏璧鳳</v>
      </c>
    </row>
    <row r="6371" spans="6:19" hidden="1" x14ac:dyDescent="0.25">
      <c r="F6371" t="s">
        <v>1236</v>
      </c>
      <c r="G6371" t="s">
        <v>418</v>
      </c>
      <c r="H6371" t="str">
        <f>VLOOKUP(record[[#This Row],[ProcessSN]],表格2_7[],2,FALSE)</f>
        <v>30-4118-018-5XX</v>
      </c>
      <c r="I6371" t="str">
        <f>VLOOKUP(record[[#This Row],[ProcessSN]],表格2_7[],3,FALSE)</f>
        <v>#07</v>
      </c>
      <c r="J6371" t="s">
        <v>588</v>
      </c>
      <c r="K6371" s="195">
        <v>45989.704479166663</v>
      </c>
      <c r="L6371">
        <v>133</v>
      </c>
      <c r="M6371">
        <v>1</v>
      </c>
      <c r="N6371" s="98" t="str">
        <f>IF(record[[#This Row],[Memo]]="Browser:chrome os:android","平板報工",IF(record[[#This Row],[Memo]]=0,"委外",record[[#This Row],[Memo]]))</f>
        <v/>
      </c>
      <c r="O6371" t="s">
        <v>58</v>
      </c>
      <c r="P6371" t="s">
        <v>101</v>
      </c>
      <c r="Q6371" t="s">
        <v>58</v>
      </c>
      <c r="R6371" t="str">
        <f>IFERROR(VLOOKUP(record[[#This Row],[PCUSTID]],廠商[],2,FALSE),"")</f>
        <v/>
      </c>
      <c r="S6371" t="str">
        <f>VLOOKUP(record[[#This Row],[employeeID]],員工[],2,FALSE)</f>
        <v>陳氏絨</v>
      </c>
    </row>
    <row r="6372" spans="6:19" hidden="1" x14ac:dyDescent="0.25">
      <c r="F6372" t="s">
        <v>1209</v>
      </c>
      <c r="G6372" t="s">
        <v>468</v>
      </c>
      <c r="H6372" t="str">
        <f>VLOOKUP(record[[#This Row],[ProcessSN]],表格2_7[],2,FALSE)</f>
        <v>30-4118-018-XXX</v>
      </c>
      <c r="I6372" t="str">
        <f>VLOOKUP(record[[#This Row],[ProcessSN]],表格2_7[],3,FALSE)</f>
        <v>#02</v>
      </c>
      <c r="J6372" t="s">
        <v>590</v>
      </c>
      <c r="K6372" s="195">
        <v>45989.703449074077</v>
      </c>
      <c r="L6372">
        <v>659</v>
      </c>
      <c r="M6372">
        <v>0</v>
      </c>
      <c r="N6372" s="98" t="str">
        <f>IF(record[[#This Row],[Memo]]="Browser:chrome os:android","平板報工",IF(record[[#This Row],[Memo]]=0,"委外",record[[#This Row],[Memo]]))</f>
        <v/>
      </c>
      <c r="O6372" t="s">
        <v>58</v>
      </c>
      <c r="P6372" t="s">
        <v>186</v>
      </c>
      <c r="Q6372" t="s">
        <v>58</v>
      </c>
      <c r="R6372" t="str">
        <f>IFERROR(VLOOKUP(record[[#This Row],[PCUSTID]],廠商[],2,FALSE),"")</f>
        <v/>
      </c>
      <c r="S6372" t="str">
        <f>VLOOKUP(record[[#This Row],[employeeID]],員工[],2,FALSE)</f>
        <v>許文姍</v>
      </c>
    </row>
    <row r="6373" spans="6:19" hidden="1" x14ac:dyDescent="0.25">
      <c r="F6373" t="s">
        <v>1209</v>
      </c>
      <c r="G6373" t="s">
        <v>471</v>
      </c>
      <c r="H6373" t="str">
        <f>VLOOKUP(record[[#This Row],[ProcessSN]],表格2_7[],2,FALSE)</f>
        <v>30-4118-018-XXX</v>
      </c>
      <c r="I6373" t="str">
        <f>VLOOKUP(record[[#This Row],[ProcessSN]],表格2_7[],3,FALSE)</f>
        <v>#02STOCK</v>
      </c>
      <c r="J6373" t="s">
        <v>592</v>
      </c>
      <c r="K6373" s="195">
        <v>45989.700428240743</v>
      </c>
      <c r="L6373">
        <v>3</v>
      </c>
      <c r="M6373">
        <v>0</v>
      </c>
      <c r="N6373" s="98" t="str">
        <f>IF(record[[#This Row],[Memo]]="Browser:chrome os:android","平板報工",IF(record[[#This Row],[Memo]]=0,"委外",record[[#This Row],[Memo]]))</f>
        <v/>
      </c>
      <c r="O6373" t="s">
        <v>58</v>
      </c>
      <c r="P6373" t="s">
        <v>186</v>
      </c>
      <c r="Q6373" t="s">
        <v>58</v>
      </c>
      <c r="R6373" t="str">
        <f>IFERROR(VLOOKUP(record[[#This Row],[PCUSTID]],廠商[],2,FALSE),"")</f>
        <v/>
      </c>
      <c r="S6373" t="str">
        <f>VLOOKUP(record[[#This Row],[employeeID]],員工[],2,FALSE)</f>
        <v>許文姍</v>
      </c>
    </row>
    <row r="6374" spans="6:19" hidden="1" x14ac:dyDescent="0.25">
      <c r="F6374" t="s">
        <v>1209</v>
      </c>
      <c r="G6374" t="s">
        <v>470</v>
      </c>
      <c r="H6374" t="str">
        <f>VLOOKUP(record[[#This Row],[ProcessSN]],表格2_7[],2,FALSE)</f>
        <v>30-4118-018-XXX</v>
      </c>
      <c r="I6374" t="str">
        <f>VLOOKUP(record[[#This Row],[ProcessSN]],表格2_7[],3,FALSE)</f>
        <v>#02IQC</v>
      </c>
      <c r="J6374" t="s">
        <v>583</v>
      </c>
      <c r="K6374" s="195">
        <v>45989.700219907405</v>
      </c>
      <c r="L6374">
        <v>3</v>
      </c>
      <c r="M6374">
        <v>0</v>
      </c>
      <c r="N6374" s="98" t="str">
        <f>IF(record[[#This Row],[Memo]]="Browser:chrome os:android","平板報工",IF(record[[#This Row],[Memo]]=0,"委外",record[[#This Row],[Memo]]))</f>
        <v>補</v>
      </c>
      <c r="O6374" t="s">
        <v>690</v>
      </c>
      <c r="P6374" t="s">
        <v>186</v>
      </c>
      <c r="Q6374" t="s">
        <v>58</v>
      </c>
      <c r="R6374" t="str">
        <f>IFERROR(VLOOKUP(record[[#This Row],[PCUSTID]],廠商[],2,FALSE),"")</f>
        <v/>
      </c>
      <c r="S6374" t="str">
        <f>VLOOKUP(record[[#This Row],[employeeID]],員工[],2,FALSE)</f>
        <v>許文姍</v>
      </c>
    </row>
    <row r="6375" spans="6:19" hidden="1" x14ac:dyDescent="0.25">
      <c r="F6375" t="s">
        <v>1209</v>
      </c>
      <c r="G6375" t="s">
        <v>469</v>
      </c>
      <c r="H6375" t="str">
        <f>VLOOKUP(record[[#This Row],[ProcessSN]],表格2_7[],2,FALSE)</f>
        <v>30-4118-018-XXX</v>
      </c>
      <c r="I6375" t="str">
        <f>VLOOKUP(record[[#This Row],[ProcessSN]],表格2_7[],3,FALSE)</f>
        <v>#02RCV</v>
      </c>
      <c r="J6375" t="s">
        <v>591</v>
      </c>
      <c r="K6375" s="195">
        <v>45989.699814814812</v>
      </c>
      <c r="L6375">
        <v>3</v>
      </c>
      <c r="M6375">
        <v>0</v>
      </c>
      <c r="N6375" s="98" t="str">
        <f>IF(record[[#This Row],[Memo]]="Browser:chrome os:android","平板報工",IF(record[[#This Row],[Memo]]=0,"委外",record[[#This Row],[Memo]]))</f>
        <v/>
      </c>
      <c r="O6375" t="s">
        <v>58</v>
      </c>
      <c r="P6375" t="s">
        <v>186</v>
      </c>
      <c r="Q6375" t="s">
        <v>58</v>
      </c>
      <c r="R6375" t="str">
        <f>IFERROR(VLOOKUP(record[[#This Row],[PCUSTID]],廠商[],2,FALSE),"")</f>
        <v/>
      </c>
      <c r="S6375" t="str">
        <f>VLOOKUP(record[[#This Row],[employeeID]],員工[],2,FALSE)</f>
        <v>許文姍</v>
      </c>
    </row>
    <row r="6376" spans="6:19" hidden="1" x14ac:dyDescent="0.25">
      <c r="F6376" t="s">
        <v>1242</v>
      </c>
      <c r="G6376" t="s">
        <v>400</v>
      </c>
      <c r="H6376" t="str">
        <f>VLOOKUP(record[[#This Row],[ProcessSN]],表格2_7[],2,FALSE)</f>
        <v>30-4118-018-550</v>
      </c>
      <c r="I6376" t="str">
        <f>VLOOKUP(record[[#This Row],[ProcessSN]],表格2_7[],3,FALSE)</f>
        <v>#100</v>
      </c>
      <c r="J6376" t="s">
        <v>598</v>
      </c>
      <c r="K6376" s="195">
        <v>45989.69976851852</v>
      </c>
      <c r="L6376">
        <v>218</v>
      </c>
      <c r="M6376">
        <v>0</v>
      </c>
      <c r="N6376" s="98" t="str">
        <f>IF(record[[#This Row],[Memo]]="Browser:chrome os:android","平板報工",IF(record[[#This Row],[Memo]]=0,"委外",record[[#This Row],[Memo]]))</f>
        <v>平板報工</v>
      </c>
      <c r="O6376" t="s">
        <v>643</v>
      </c>
      <c r="P6376" t="s">
        <v>141</v>
      </c>
      <c r="Q6376" t="s">
        <v>644</v>
      </c>
      <c r="R6376" t="str">
        <f>IFERROR(VLOOKUP(record[[#This Row],[PCUSTID]],廠商[],2,FALSE),"")</f>
        <v/>
      </c>
      <c r="S6376" t="str">
        <f>VLOOKUP(record[[#This Row],[employeeID]],員工[],2,FALSE)</f>
        <v>蔣梅</v>
      </c>
    </row>
    <row r="6377" spans="6:19" hidden="1" x14ac:dyDescent="0.25">
      <c r="F6377" t="s">
        <v>1237</v>
      </c>
      <c r="G6377" t="s">
        <v>400</v>
      </c>
      <c r="H6377" t="str">
        <f>VLOOKUP(record[[#This Row],[ProcessSN]],表格2_7[],2,FALSE)</f>
        <v>30-4118-018-550</v>
      </c>
      <c r="I6377" t="str">
        <f>VLOOKUP(record[[#This Row],[ProcessSN]],表格2_7[],3,FALSE)</f>
        <v>#100</v>
      </c>
      <c r="J6377" t="s">
        <v>598</v>
      </c>
      <c r="K6377" s="195">
        <v>45989.69935185185</v>
      </c>
      <c r="L6377">
        <v>118</v>
      </c>
      <c r="M6377">
        <v>0</v>
      </c>
      <c r="N6377" s="98" t="str">
        <f>IF(record[[#This Row],[Memo]]="Browser:chrome os:android","平板報工",IF(record[[#This Row],[Memo]]=0,"委外",record[[#This Row],[Memo]]))</f>
        <v>平板報工</v>
      </c>
      <c r="O6377" t="s">
        <v>643</v>
      </c>
      <c r="P6377" t="s">
        <v>141</v>
      </c>
      <c r="Q6377" t="s">
        <v>644</v>
      </c>
      <c r="R6377" t="str">
        <f>IFERROR(VLOOKUP(record[[#This Row],[PCUSTID]],廠商[],2,FALSE),"")</f>
        <v/>
      </c>
      <c r="S6377" t="str">
        <f>VLOOKUP(record[[#This Row],[employeeID]],員工[],2,FALSE)</f>
        <v>蔣梅</v>
      </c>
    </row>
    <row r="6378" spans="6:19" hidden="1" x14ac:dyDescent="0.25">
      <c r="F6378" t="s">
        <v>1209</v>
      </c>
      <c r="G6378" t="s">
        <v>471</v>
      </c>
      <c r="H6378" t="str">
        <f>VLOOKUP(record[[#This Row],[ProcessSN]],表格2_7[],2,FALSE)</f>
        <v>30-4118-018-XXX</v>
      </c>
      <c r="I6378" t="str">
        <f>VLOOKUP(record[[#This Row],[ProcessSN]],表格2_7[],3,FALSE)</f>
        <v>#02STOCK</v>
      </c>
      <c r="J6378" t="s">
        <v>592</v>
      </c>
      <c r="K6378" s="195">
        <v>45989.697905092595</v>
      </c>
      <c r="L6378">
        <v>333</v>
      </c>
      <c r="M6378">
        <v>0</v>
      </c>
      <c r="N6378" s="98" t="str">
        <f>IF(record[[#This Row],[Memo]]="Browser:chrome os:android","平板報工",IF(record[[#This Row],[Memo]]=0,"委外",record[[#This Row],[Memo]]))</f>
        <v/>
      </c>
      <c r="O6378" t="s">
        <v>58</v>
      </c>
      <c r="P6378" t="s">
        <v>186</v>
      </c>
      <c r="Q6378" t="s">
        <v>58</v>
      </c>
      <c r="R6378" t="str">
        <f>IFERROR(VLOOKUP(record[[#This Row],[PCUSTID]],廠商[],2,FALSE),"")</f>
        <v/>
      </c>
      <c r="S6378" t="str">
        <f>VLOOKUP(record[[#This Row],[employeeID]],員工[],2,FALSE)</f>
        <v>許文姍</v>
      </c>
    </row>
    <row r="6379" spans="6:19" hidden="1" x14ac:dyDescent="0.25">
      <c r="F6379" t="s">
        <v>1209</v>
      </c>
      <c r="G6379" t="s">
        <v>470</v>
      </c>
      <c r="H6379" t="str">
        <f>VLOOKUP(record[[#This Row],[ProcessSN]],表格2_7[],2,FALSE)</f>
        <v>30-4118-018-XXX</v>
      </c>
      <c r="I6379" t="str">
        <f>VLOOKUP(record[[#This Row],[ProcessSN]],表格2_7[],3,FALSE)</f>
        <v>#02IQC</v>
      </c>
      <c r="J6379" t="s">
        <v>583</v>
      </c>
      <c r="K6379" s="195">
        <v>45989.697418981479</v>
      </c>
      <c r="L6379">
        <v>333</v>
      </c>
      <c r="M6379">
        <v>0</v>
      </c>
      <c r="N6379" s="98" t="str">
        <f>IF(record[[#This Row],[Memo]]="Browser:chrome os:android","平板報工",IF(record[[#This Row],[Memo]]=0,"委外",record[[#This Row],[Memo]]))</f>
        <v>補</v>
      </c>
      <c r="O6379" t="s">
        <v>690</v>
      </c>
      <c r="P6379" t="s">
        <v>186</v>
      </c>
      <c r="Q6379" t="s">
        <v>58</v>
      </c>
      <c r="R6379" t="str">
        <f>IFERROR(VLOOKUP(record[[#This Row],[PCUSTID]],廠商[],2,FALSE),"")</f>
        <v/>
      </c>
      <c r="S6379" t="str">
        <f>VLOOKUP(record[[#This Row],[employeeID]],員工[],2,FALSE)</f>
        <v>許文姍</v>
      </c>
    </row>
    <row r="6380" spans="6:19" hidden="1" x14ac:dyDescent="0.25">
      <c r="F6380" t="s">
        <v>1209</v>
      </c>
      <c r="G6380" t="s">
        <v>469</v>
      </c>
      <c r="H6380" t="str">
        <f>VLOOKUP(record[[#This Row],[ProcessSN]],表格2_7[],2,FALSE)</f>
        <v>30-4118-018-XXX</v>
      </c>
      <c r="I6380" t="str">
        <f>VLOOKUP(record[[#This Row],[ProcessSN]],表格2_7[],3,FALSE)</f>
        <v>#02RCV</v>
      </c>
      <c r="J6380" t="s">
        <v>591</v>
      </c>
      <c r="K6380" s="195">
        <v>45989.697210648148</v>
      </c>
      <c r="L6380">
        <v>333</v>
      </c>
      <c r="M6380">
        <v>0</v>
      </c>
      <c r="N6380" s="98" t="str">
        <f>IF(record[[#This Row],[Memo]]="Browser:chrome os:android","平板報工",IF(record[[#This Row],[Memo]]=0,"委外",record[[#This Row],[Memo]]))</f>
        <v/>
      </c>
      <c r="O6380" t="s">
        <v>58</v>
      </c>
      <c r="P6380" t="s">
        <v>186</v>
      </c>
      <c r="Q6380" t="s">
        <v>58</v>
      </c>
      <c r="R6380" t="str">
        <f>IFERROR(VLOOKUP(record[[#This Row],[PCUSTID]],廠商[],2,FALSE),"")</f>
        <v/>
      </c>
      <c r="S6380" t="str">
        <f>VLOOKUP(record[[#This Row],[employeeID]],員工[],2,FALSE)</f>
        <v>許文姍</v>
      </c>
    </row>
    <row r="6381" spans="6:19" hidden="1" x14ac:dyDescent="0.25">
      <c r="F6381" t="s">
        <v>1246</v>
      </c>
      <c r="G6381" t="s">
        <v>398</v>
      </c>
      <c r="H6381" t="str">
        <f>VLOOKUP(record[[#This Row],[ProcessSN]],表格2_7[],2,FALSE)</f>
        <v>30-4118-018-550</v>
      </c>
      <c r="I6381" t="str">
        <f>VLOOKUP(record[[#This Row],[ProcessSN]],表格2_7[],3,FALSE)</f>
        <v>#08RCV</v>
      </c>
      <c r="J6381" t="s">
        <v>591</v>
      </c>
      <c r="K6381" s="195">
        <v>45989.655115740738</v>
      </c>
      <c r="L6381">
        <v>0</v>
      </c>
      <c r="M6381">
        <v>6</v>
      </c>
      <c r="N6381" s="98" t="str">
        <f>IF(record[[#This Row],[Memo]]="Browser:chrome os:android","平板報工",IF(record[[#This Row],[Memo]]=0,"委外",record[[#This Row],[Memo]]))</f>
        <v/>
      </c>
      <c r="O6381" t="s">
        <v>58</v>
      </c>
      <c r="P6381" t="s">
        <v>186</v>
      </c>
      <c r="Q6381" t="s">
        <v>58</v>
      </c>
      <c r="R6381" t="str">
        <f>IFERROR(VLOOKUP(record[[#This Row],[PCUSTID]],廠商[],2,FALSE),"")</f>
        <v/>
      </c>
      <c r="S6381" t="str">
        <f>VLOOKUP(record[[#This Row],[employeeID]],員工[],2,FALSE)</f>
        <v>許文姍</v>
      </c>
    </row>
    <row r="6382" spans="6:19" hidden="1" x14ac:dyDescent="0.25">
      <c r="F6382" t="s">
        <v>1246</v>
      </c>
      <c r="G6382" t="s">
        <v>398</v>
      </c>
      <c r="H6382" t="str">
        <f>VLOOKUP(record[[#This Row],[ProcessSN]],表格2_7[],2,FALSE)</f>
        <v>30-4118-018-550</v>
      </c>
      <c r="I6382" t="str">
        <f>VLOOKUP(record[[#This Row],[ProcessSN]],表格2_7[],3,FALSE)</f>
        <v>#08RCV</v>
      </c>
      <c r="J6382" t="s">
        <v>591</v>
      </c>
      <c r="K6382" s="195">
        <v>45989.654999999999</v>
      </c>
      <c r="L6382">
        <v>294</v>
      </c>
      <c r="M6382">
        <v>0</v>
      </c>
      <c r="N6382" s="98" t="str">
        <f>IF(record[[#This Row],[Memo]]="Browser:chrome os:android","平板報工",IF(record[[#This Row],[Memo]]=0,"委外",record[[#This Row],[Memo]]))</f>
        <v/>
      </c>
      <c r="O6382" t="s">
        <v>58</v>
      </c>
      <c r="P6382" t="s">
        <v>186</v>
      </c>
      <c r="Q6382" t="s">
        <v>58</v>
      </c>
      <c r="R6382" t="str">
        <f>IFERROR(VLOOKUP(record[[#This Row],[PCUSTID]],廠商[],2,FALSE),"")</f>
        <v/>
      </c>
      <c r="S6382" t="str">
        <f>VLOOKUP(record[[#This Row],[employeeID]],員工[],2,FALSE)</f>
        <v>許文姍</v>
      </c>
    </row>
    <row r="6383" spans="6:19" hidden="1" x14ac:dyDescent="0.25">
      <c r="F6383" t="s">
        <v>1236</v>
      </c>
      <c r="G6383" t="s">
        <v>417</v>
      </c>
      <c r="H6383" t="str">
        <f>VLOOKUP(record[[#This Row],[ProcessSN]],表格2_7[],2,FALSE)</f>
        <v>30-4118-018-5XX</v>
      </c>
      <c r="I6383" t="str">
        <f>VLOOKUP(record[[#This Row],[ProcessSN]],表格2_7[],3,FALSE)</f>
        <v>#06</v>
      </c>
      <c r="J6383" t="s">
        <v>593</v>
      </c>
      <c r="K6383" s="195">
        <v>45989.649305555555</v>
      </c>
      <c r="L6383">
        <v>117</v>
      </c>
      <c r="M6383">
        <v>0</v>
      </c>
      <c r="N6383" s="98" t="str">
        <f>IF(record[[#This Row],[Memo]]="Browser:chrome os:android","平板報工",IF(record[[#This Row],[Memo]]=0,"委外",record[[#This Row],[Memo]]))</f>
        <v>平板報工</v>
      </c>
      <c r="O6383" t="s">
        <v>643</v>
      </c>
      <c r="P6383" t="s">
        <v>111</v>
      </c>
      <c r="Q6383" t="s">
        <v>644</v>
      </c>
      <c r="R6383" t="str">
        <f>IFERROR(VLOOKUP(record[[#This Row],[PCUSTID]],廠商[],2,FALSE),"")</f>
        <v/>
      </c>
      <c r="S6383" t="str">
        <f>VLOOKUP(record[[#This Row],[employeeID]],員工[],2,FALSE)</f>
        <v>江栩妘</v>
      </c>
    </row>
    <row r="6384" spans="6:19" hidden="1" x14ac:dyDescent="0.25">
      <c r="F6384" t="s">
        <v>1209</v>
      </c>
      <c r="G6384" t="s">
        <v>466</v>
      </c>
      <c r="H6384" t="str">
        <f>VLOOKUP(record[[#This Row],[ProcessSN]],表格2_7[],2,FALSE)</f>
        <v>30-4118-018-XXX</v>
      </c>
      <c r="I6384" t="str">
        <f>VLOOKUP(record[[#This Row],[ProcessSN]],表格2_7[],3,FALSE)</f>
        <v>#01-2</v>
      </c>
      <c r="J6384" t="s">
        <v>588</v>
      </c>
      <c r="K6384" s="195">
        <v>45989.645532407405</v>
      </c>
      <c r="L6384">
        <v>469</v>
      </c>
      <c r="M6384">
        <v>0</v>
      </c>
      <c r="N6384" s="98" t="str">
        <f>IF(record[[#This Row],[Memo]]="Browser:chrome os:android","平板報工",IF(record[[#This Row],[Memo]]=0,"委外",record[[#This Row],[Memo]]))</f>
        <v>平板報工</v>
      </c>
      <c r="O6384" t="s">
        <v>643</v>
      </c>
      <c r="P6384" t="s">
        <v>145</v>
      </c>
      <c r="Q6384" t="s">
        <v>644</v>
      </c>
      <c r="R6384" t="str">
        <f>IFERROR(VLOOKUP(record[[#This Row],[PCUSTID]],廠商[],2,FALSE),"")</f>
        <v/>
      </c>
      <c r="S6384" t="str">
        <f>VLOOKUP(record[[#This Row],[employeeID]],員工[],2,FALSE)</f>
        <v>阮秋霞</v>
      </c>
    </row>
    <row r="6385" spans="6:19" hidden="1" x14ac:dyDescent="0.25">
      <c r="F6385" t="s">
        <v>1209</v>
      </c>
      <c r="G6385" t="s">
        <v>465</v>
      </c>
      <c r="H6385" t="str">
        <f>VLOOKUP(record[[#This Row],[ProcessSN]],表格2_7[],2,FALSE)</f>
        <v>30-4118-018-XXX</v>
      </c>
      <c r="I6385" t="str">
        <f>VLOOKUP(record[[#This Row],[ProcessSN]],表格2_7[],3,FALSE)</f>
        <v>#01-1</v>
      </c>
      <c r="J6385" t="s">
        <v>588</v>
      </c>
      <c r="K6385" s="195">
        <v>45989.645185185182</v>
      </c>
      <c r="L6385">
        <v>552</v>
      </c>
      <c r="M6385">
        <v>0</v>
      </c>
      <c r="N6385" s="98" t="str">
        <f>IF(record[[#This Row],[Memo]]="Browser:chrome os:android","平板報工",IF(record[[#This Row],[Memo]]=0,"委外",record[[#This Row],[Memo]]))</f>
        <v>平板報工</v>
      </c>
      <c r="O6385" t="s">
        <v>643</v>
      </c>
      <c r="P6385" t="s">
        <v>145</v>
      </c>
      <c r="Q6385" t="s">
        <v>644</v>
      </c>
      <c r="R6385" t="str">
        <f>IFERROR(VLOOKUP(record[[#This Row],[PCUSTID]],廠商[],2,FALSE),"")</f>
        <v/>
      </c>
      <c r="S6385" t="str">
        <f>VLOOKUP(record[[#This Row],[employeeID]],員工[],2,FALSE)</f>
        <v>阮秋霞</v>
      </c>
    </row>
    <row r="6386" spans="6:19" hidden="1" x14ac:dyDescent="0.25">
      <c r="F6386" t="s">
        <v>1253</v>
      </c>
      <c r="G6386" t="s">
        <v>414</v>
      </c>
      <c r="H6386" t="str">
        <f>VLOOKUP(record[[#This Row],[ProcessSN]],表格2_7[],2,FALSE)</f>
        <v>30-4118-018-5XX</v>
      </c>
      <c r="I6386" t="str">
        <f>VLOOKUP(record[[#This Row],[ProcessSN]],表格2_7[],3,FALSE)</f>
        <v>#03</v>
      </c>
      <c r="J6386" t="s">
        <v>588</v>
      </c>
      <c r="K6386" s="195">
        <v>45989.641898148147</v>
      </c>
      <c r="L6386">
        <v>100</v>
      </c>
      <c r="M6386">
        <v>0</v>
      </c>
      <c r="N6386" s="98" t="str">
        <f>IF(record[[#This Row],[Memo]]="Browser:chrome os:android","平板報工",IF(record[[#This Row],[Memo]]=0,"委外",record[[#This Row],[Memo]]))</f>
        <v>平板報工</v>
      </c>
      <c r="O6386" t="s">
        <v>643</v>
      </c>
      <c r="P6386" t="s">
        <v>107</v>
      </c>
      <c r="Q6386" t="s">
        <v>644</v>
      </c>
      <c r="R6386" t="str">
        <f>IFERROR(VLOOKUP(record[[#This Row],[PCUSTID]],廠商[],2,FALSE),"")</f>
        <v/>
      </c>
      <c r="S6386" t="str">
        <f>VLOOKUP(record[[#This Row],[employeeID]],員工[],2,FALSE)</f>
        <v>黎氏順</v>
      </c>
    </row>
    <row r="6387" spans="6:19" hidden="1" x14ac:dyDescent="0.25">
      <c r="F6387" t="s">
        <v>1225</v>
      </c>
      <c r="G6387" t="s">
        <v>418</v>
      </c>
      <c r="H6387" t="str">
        <f>VLOOKUP(record[[#This Row],[ProcessSN]],表格2_7[],2,FALSE)</f>
        <v>30-4118-018-5XX</v>
      </c>
      <c r="I6387" t="str">
        <f>VLOOKUP(record[[#This Row],[ProcessSN]],表格2_7[],3,FALSE)</f>
        <v>#07</v>
      </c>
      <c r="J6387" t="s">
        <v>588</v>
      </c>
      <c r="K6387" s="195">
        <v>45989.63689814815</v>
      </c>
      <c r="L6387">
        <v>27</v>
      </c>
      <c r="M6387">
        <v>0</v>
      </c>
      <c r="N6387" s="98" t="str">
        <f>IF(record[[#This Row],[Memo]]="Browser:chrome os:android","平板報工",IF(record[[#This Row],[Memo]]=0,"委外",record[[#This Row],[Memo]]))</f>
        <v>平板報工</v>
      </c>
      <c r="O6387" t="s">
        <v>643</v>
      </c>
      <c r="P6387" t="s">
        <v>785</v>
      </c>
      <c r="Q6387" t="s">
        <v>644</v>
      </c>
      <c r="R6387" t="str">
        <f>IFERROR(VLOOKUP(record[[#This Row],[PCUSTID]],廠商[],2,FALSE),"")</f>
        <v/>
      </c>
      <c r="S6387" t="str">
        <f>VLOOKUP(record[[#This Row],[employeeID]],員工[],2,FALSE)</f>
        <v>謝刻光</v>
      </c>
    </row>
    <row r="6388" spans="6:19" hidden="1" x14ac:dyDescent="0.25">
      <c r="F6388" t="s">
        <v>1255</v>
      </c>
      <c r="G6388" t="s">
        <v>397</v>
      </c>
      <c r="H6388" t="str">
        <f>VLOOKUP(record[[#This Row],[ProcessSN]],表格2_7[],2,FALSE)</f>
        <v>30-4118-018-550</v>
      </c>
      <c r="I6388" t="str">
        <f>VLOOKUP(record[[#This Row],[ProcessSN]],表格2_7[],3,FALSE)</f>
        <v>#08</v>
      </c>
      <c r="J6388" t="s">
        <v>597</v>
      </c>
      <c r="K6388" s="195">
        <v>45989.589328703703</v>
      </c>
      <c r="L6388">
        <v>325</v>
      </c>
      <c r="M6388">
        <v>0</v>
      </c>
      <c r="N6388" s="98" t="str">
        <f>IF(record[[#This Row],[Memo]]="Browser:chrome os:android","平板報工",IF(record[[#This Row],[Memo]]=0,"委外",record[[#This Row],[Memo]]))</f>
        <v>委外</v>
      </c>
      <c r="P6388" t="s">
        <v>186</v>
      </c>
      <c r="Q6388" t="s">
        <v>287</v>
      </c>
      <c r="R6388" t="str">
        <f>IFERROR(VLOOKUP(record[[#This Row],[PCUSTID]],廠商[],2,FALSE),"")</f>
        <v>泉盛</v>
      </c>
      <c r="S6388" t="str">
        <f>VLOOKUP(record[[#This Row],[employeeID]],員工[],2,FALSE)</f>
        <v>許文姍</v>
      </c>
    </row>
    <row r="6389" spans="6:19" hidden="1" x14ac:dyDescent="0.25">
      <c r="F6389" t="s">
        <v>1233</v>
      </c>
      <c r="G6389" t="s">
        <v>402</v>
      </c>
      <c r="H6389" t="str">
        <f>VLOOKUP(record[[#This Row],[ProcessSN]],表格2_7[],2,FALSE)</f>
        <v>30-4118-018-550</v>
      </c>
      <c r="I6389" t="str">
        <f>VLOOKUP(record[[#This Row],[ProcessSN]],表格2_7[],3,FALSE)</f>
        <v>#100STOCK</v>
      </c>
      <c r="J6389" t="s">
        <v>592</v>
      </c>
      <c r="K6389" s="195">
        <v>45989.580034722225</v>
      </c>
      <c r="L6389">
        <v>418</v>
      </c>
      <c r="M6389">
        <v>0</v>
      </c>
      <c r="N6389" s="98" t="str">
        <f>IF(record[[#This Row],[Memo]]="Browser:chrome os:android","平板報工",IF(record[[#This Row],[Memo]]=0,"委外",record[[#This Row],[Memo]]))</f>
        <v/>
      </c>
      <c r="O6389" t="s">
        <v>58</v>
      </c>
      <c r="P6389" t="s">
        <v>886</v>
      </c>
      <c r="Q6389" t="s">
        <v>58</v>
      </c>
      <c r="R6389" t="str">
        <f>IFERROR(VLOOKUP(record[[#This Row],[PCUSTID]],廠商[],2,FALSE),"")</f>
        <v/>
      </c>
      <c r="S6389" t="str">
        <f>VLOOKUP(record[[#This Row],[employeeID]],員工[],2,FALSE)</f>
        <v>謝蓁薰</v>
      </c>
    </row>
    <row r="6390" spans="6:19" hidden="1" x14ac:dyDescent="0.25">
      <c r="F6390" t="s">
        <v>1227</v>
      </c>
      <c r="G6390" t="s">
        <v>402</v>
      </c>
      <c r="H6390" t="str">
        <f>VLOOKUP(record[[#This Row],[ProcessSN]],表格2_7[],2,FALSE)</f>
        <v>30-4118-018-550</v>
      </c>
      <c r="I6390" t="str">
        <f>VLOOKUP(record[[#This Row],[ProcessSN]],表格2_7[],3,FALSE)</f>
        <v>#100STOCK</v>
      </c>
      <c r="J6390" t="s">
        <v>592</v>
      </c>
      <c r="K6390" s="195">
        <v>45989.579907407409</v>
      </c>
      <c r="L6390">
        <v>92</v>
      </c>
      <c r="M6390">
        <v>0</v>
      </c>
      <c r="N6390" s="98" t="str">
        <f>IF(record[[#This Row],[Memo]]="Browser:chrome os:android","平板報工",IF(record[[#This Row],[Memo]]=0,"委外",record[[#This Row],[Memo]]))</f>
        <v/>
      </c>
      <c r="O6390" t="s">
        <v>58</v>
      </c>
      <c r="P6390" t="s">
        <v>886</v>
      </c>
      <c r="Q6390" t="s">
        <v>58</v>
      </c>
      <c r="R6390" t="str">
        <f>IFERROR(VLOOKUP(record[[#This Row],[PCUSTID]],廠商[],2,FALSE),"")</f>
        <v/>
      </c>
      <c r="S6390" t="str">
        <f>VLOOKUP(record[[#This Row],[employeeID]],員工[],2,FALSE)</f>
        <v>謝蓁薰</v>
      </c>
    </row>
    <row r="6391" spans="6:19" hidden="1" x14ac:dyDescent="0.25">
      <c r="F6391" t="s">
        <v>1255</v>
      </c>
      <c r="G6391" t="s">
        <v>396</v>
      </c>
      <c r="H6391" t="str">
        <f>VLOOKUP(record[[#This Row],[ProcessSN]],表格2_7[],2,FALSE)</f>
        <v>30-4118-018-550</v>
      </c>
      <c r="I6391" t="str">
        <f>VLOOKUP(record[[#This Row],[ProcessSN]],表格2_7[],3,FALSE)</f>
        <v>#08PICK</v>
      </c>
      <c r="J6391" t="s">
        <v>582</v>
      </c>
      <c r="K6391" s="195">
        <v>45989.548495370371</v>
      </c>
      <c r="L6391">
        <v>325</v>
      </c>
      <c r="M6391">
        <v>0</v>
      </c>
      <c r="N6391" s="98" t="str">
        <f>IF(record[[#This Row],[Memo]]="Browser:chrome os:android","平板報工",IF(record[[#This Row],[Memo]]=0,"委外",record[[#This Row],[Memo]]))</f>
        <v/>
      </c>
      <c r="O6391" t="s">
        <v>58</v>
      </c>
      <c r="P6391" t="s">
        <v>186</v>
      </c>
      <c r="Q6391" t="s">
        <v>58</v>
      </c>
      <c r="R6391" t="str">
        <f>IFERROR(VLOOKUP(record[[#This Row],[PCUSTID]],廠商[],2,FALSE),"")</f>
        <v/>
      </c>
      <c r="S6391" t="str">
        <f>VLOOKUP(record[[#This Row],[employeeID]],員工[],2,FALSE)</f>
        <v>許文姍</v>
      </c>
    </row>
    <row r="6392" spans="6:19" hidden="1" x14ac:dyDescent="0.25">
      <c r="F6392" t="s">
        <v>1181</v>
      </c>
      <c r="G6392" t="s">
        <v>428</v>
      </c>
      <c r="H6392" t="str">
        <f>VLOOKUP(record[[#This Row],[ProcessSN]],表格2_7[],2,FALSE)</f>
        <v>30-4118-018-600</v>
      </c>
      <c r="I6392" t="str">
        <f>VLOOKUP(record[[#This Row],[ProcessSN]],表格2_7[],3,FALSE)</f>
        <v>#100SHIP</v>
      </c>
      <c r="J6392" t="s">
        <v>600</v>
      </c>
      <c r="K6392" s="195">
        <v>45989.547847222224</v>
      </c>
      <c r="L6392">
        <v>155</v>
      </c>
      <c r="M6392">
        <v>0</v>
      </c>
      <c r="N6392" s="98" t="str">
        <f>IF(record[[#This Row],[Memo]]="Browser:chrome os:android","平板報工",IF(record[[#This Row],[Memo]]=0,"委外",record[[#This Row],[Memo]]))</f>
        <v/>
      </c>
      <c r="O6392" t="s">
        <v>58</v>
      </c>
      <c r="P6392" t="s">
        <v>886</v>
      </c>
      <c r="Q6392" t="s">
        <v>58</v>
      </c>
      <c r="R6392" t="str">
        <f>IFERROR(VLOOKUP(record[[#This Row],[PCUSTID]],廠商[],2,FALSE),"")</f>
        <v/>
      </c>
      <c r="S6392" t="str">
        <f>VLOOKUP(record[[#This Row],[employeeID]],員工[],2,FALSE)</f>
        <v>謝蓁薰</v>
      </c>
    </row>
    <row r="6393" spans="6:19" hidden="1" x14ac:dyDescent="0.25">
      <c r="F6393" t="s">
        <v>1225</v>
      </c>
      <c r="G6393" t="s">
        <v>420</v>
      </c>
      <c r="H6393" t="str">
        <f>VLOOKUP(record[[#This Row],[ProcessSN]],表格2_7[],2,FALSE)</f>
        <v>30-4118-018-5XX</v>
      </c>
      <c r="I6393" t="str">
        <f>VLOOKUP(record[[#This Row],[ProcessSN]],表格2_7[],3,FALSE)</f>
        <v>#07STOCK</v>
      </c>
      <c r="J6393" t="s">
        <v>592</v>
      </c>
      <c r="K6393" s="195">
        <v>45989.546469907407</v>
      </c>
      <c r="L6393">
        <v>325</v>
      </c>
      <c r="M6393">
        <v>0</v>
      </c>
      <c r="N6393" s="98" t="str">
        <f>IF(record[[#This Row],[Memo]]="Browser:chrome os:android","平板報工",IF(record[[#This Row],[Memo]]=0,"委外",record[[#This Row],[Memo]]))</f>
        <v/>
      </c>
      <c r="O6393" t="s">
        <v>58</v>
      </c>
      <c r="P6393" t="s">
        <v>186</v>
      </c>
      <c r="Q6393" t="s">
        <v>58</v>
      </c>
      <c r="R6393" t="str">
        <f>IFERROR(VLOOKUP(record[[#This Row],[PCUSTID]],廠商[],2,FALSE),"")</f>
        <v/>
      </c>
      <c r="S6393" t="str">
        <f>VLOOKUP(record[[#This Row],[employeeID]],員工[],2,FALSE)</f>
        <v>許文姍</v>
      </c>
    </row>
    <row r="6394" spans="6:19" hidden="1" x14ac:dyDescent="0.25">
      <c r="F6394" t="s">
        <v>1173</v>
      </c>
      <c r="G6394" t="s">
        <v>426</v>
      </c>
      <c r="H6394" t="str">
        <f>VLOOKUP(record[[#This Row],[ProcessSN]],表格2_7[],2,FALSE)</f>
        <v>30-4118-018-600</v>
      </c>
      <c r="I6394" t="str">
        <f>VLOOKUP(record[[#This Row],[ProcessSN]],表格2_7[],3,FALSE)</f>
        <v>#100OQC</v>
      </c>
      <c r="J6394" t="s">
        <v>599</v>
      </c>
      <c r="K6394" s="195">
        <v>45989.534872685188</v>
      </c>
      <c r="L6394">
        <v>301</v>
      </c>
      <c r="M6394">
        <v>0</v>
      </c>
      <c r="N6394" s="98" t="str">
        <f>IF(record[[#This Row],[Memo]]="Browser:chrome os:android","平板報工",IF(record[[#This Row],[Memo]]=0,"委外",record[[#This Row],[Memo]]))</f>
        <v/>
      </c>
      <c r="O6394" t="s">
        <v>58</v>
      </c>
      <c r="P6394" t="s">
        <v>121</v>
      </c>
      <c r="Q6394" t="s">
        <v>58</v>
      </c>
      <c r="R6394" t="str">
        <f>IFERROR(VLOOKUP(record[[#This Row],[PCUSTID]],廠商[],2,FALSE),"")</f>
        <v/>
      </c>
      <c r="S6394" t="str">
        <f>VLOOKUP(record[[#This Row],[employeeID]],員工[],2,FALSE)</f>
        <v>謝素卿</v>
      </c>
    </row>
    <row r="6395" spans="6:19" hidden="1" x14ac:dyDescent="0.25">
      <c r="F6395" t="s">
        <v>1225</v>
      </c>
      <c r="G6395" t="s">
        <v>419</v>
      </c>
      <c r="H6395" t="str">
        <f>VLOOKUP(record[[#This Row],[ProcessSN]],表格2_7[],2,FALSE)</f>
        <v>30-4118-018-5XX</v>
      </c>
      <c r="I6395" t="str">
        <f>VLOOKUP(record[[#This Row],[ProcessSN]],表格2_7[],3,FALSE)</f>
        <v>#07QC</v>
      </c>
      <c r="J6395" t="s">
        <v>589</v>
      </c>
      <c r="K6395" s="195">
        <v>45989.425034722219</v>
      </c>
      <c r="L6395">
        <v>0</v>
      </c>
      <c r="M6395">
        <v>10</v>
      </c>
      <c r="N6395" s="98" t="str">
        <f>IF(record[[#This Row],[Memo]]="Browser:chrome os:android","平板報工",IF(record[[#This Row],[Memo]]=0,"委外",record[[#This Row],[Memo]]))</f>
        <v>平板報工</v>
      </c>
      <c r="O6395" t="s">
        <v>643</v>
      </c>
      <c r="P6395" t="s">
        <v>141</v>
      </c>
      <c r="Q6395" t="s">
        <v>644</v>
      </c>
      <c r="R6395" t="str">
        <f>IFERROR(VLOOKUP(record[[#This Row],[PCUSTID]],廠商[],2,FALSE),"")</f>
        <v/>
      </c>
      <c r="S6395" t="str">
        <f>VLOOKUP(record[[#This Row],[employeeID]],員工[],2,FALSE)</f>
        <v>蔣梅</v>
      </c>
    </row>
    <row r="6396" spans="6:19" hidden="1" x14ac:dyDescent="0.25">
      <c r="F6396" t="s">
        <v>1225</v>
      </c>
      <c r="G6396" t="s">
        <v>419</v>
      </c>
      <c r="H6396" t="str">
        <f>VLOOKUP(record[[#This Row],[ProcessSN]],表格2_7[],2,FALSE)</f>
        <v>30-4118-018-5XX</v>
      </c>
      <c r="I6396" t="str">
        <f>VLOOKUP(record[[#This Row],[ProcessSN]],表格2_7[],3,FALSE)</f>
        <v>#07QC</v>
      </c>
      <c r="J6396" t="s">
        <v>589</v>
      </c>
      <c r="K6396" s="195">
        <v>45989.424768518518</v>
      </c>
      <c r="L6396">
        <v>325</v>
      </c>
      <c r="M6396">
        <v>0</v>
      </c>
      <c r="N6396" s="98" t="str">
        <f>IF(record[[#This Row],[Memo]]="Browser:chrome os:android","平板報工",IF(record[[#This Row],[Memo]]=0,"委外",record[[#This Row],[Memo]]))</f>
        <v>平板報工</v>
      </c>
      <c r="O6396" t="s">
        <v>643</v>
      </c>
      <c r="P6396" t="s">
        <v>141</v>
      </c>
      <c r="Q6396" t="s">
        <v>644</v>
      </c>
      <c r="R6396" t="str">
        <f>IFERROR(VLOOKUP(record[[#This Row],[PCUSTID]],廠商[],2,FALSE),"")</f>
        <v/>
      </c>
      <c r="S6396" t="str">
        <f>VLOOKUP(record[[#This Row],[employeeID]],員工[],2,FALSE)</f>
        <v>蔣梅</v>
      </c>
    </row>
    <row r="6397" spans="6:19" hidden="1" x14ac:dyDescent="0.25">
      <c r="F6397" t="s">
        <v>1253</v>
      </c>
      <c r="G6397" t="s">
        <v>412</v>
      </c>
      <c r="H6397" t="str">
        <f>VLOOKUP(record[[#This Row],[ProcessSN]],表格2_7[],2,FALSE)</f>
        <v>30-4118-018-5XX</v>
      </c>
      <c r="I6397" t="str">
        <f>VLOOKUP(record[[#This Row],[ProcessSN]],表格2_7[],3,FALSE)</f>
        <v>#03PICK</v>
      </c>
      <c r="J6397" t="s">
        <v>582</v>
      </c>
      <c r="K6397" s="195">
        <v>45989.42150462963</v>
      </c>
      <c r="L6397">
        <v>672</v>
      </c>
      <c r="M6397">
        <v>0</v>
      </c>
      <c r="N6397" s="98" t="str">
        <f>IF(record[[#This Row],[Memo]]="Browser:chrome os:android","平板報工",IF(record[[#This Row],[Memo]]=0,"委外",record[[#This Row],[Memo]]))</f>
        <v/>
      </c>
      <c r="O6397" t="s">
        <v>58</v>
      </c>
      <c r="P6397" t="s">
        <v>113</v>
      </c>
      <c r="Q6397" t="s">
        <v>58</v>
      </c>
      <c r="R6397" t="str">
        <f>IFERROR(VLOOKUP(record[[#This Row],[PCUSTID]],廠商[],2,FALSE),"")</f>
        <v/>
      </c>
      <c r="S6397" t="str">
        <f>VLOOKUP(record[[#This Row],[employeeID]],員工[],2,FALSE)</f>
        <v>王奕蓁</v>
      </c>
    </row>
    <row r="6398" spans="6:19" hidden="1" x14ac:dyDescent="0.25">
      <c r="F6398" t="s">
        <v>1225</v>
      </c>
      <c r="G6398" t="s">
        <v>417</v>
      </c>
      <c r="H6398" t="str">
        <f>VLOOKUP(record[[#This Row],[ProcessSN]],表格2_7[],2,FALSE)</f>
        <v>30-4118-018-5XX</v>
      </c>
      <c r="I6398" t="str">
        <f>VLOOKUP(record[[#This Row],[ProcessSN]],表格2_7[],3,FALSE)</f>
        <v>#06</v>
      </c>
      <c r="J6398" t="s">
        <v>593</v>
      </c>
      <c r="K6398" s="195">
        <v>45989.317974537036</v>
      </c>
      <c r="L6398">
        <v>28</v>
      </c>
      <c r="M6398">
        <v>0</v>
      </c>
      <c r="N6398" s="98" t="str">
        <f>IF(record[[#This Row],[Memo]]="Browser:chrome os:android","平板報工",IF(record[[#This Row],[Memo]]=0,"委外",record[[#This Row],[Memo]]))</f>
        <v/>
      </c>
      <c r="O6398" t="s">
        <v>58</v>
      </c>
      <c r="P6398" t="s">
        <v>135</v>
      </c>
      <c r="Q6398" t="s">
        <v>58</v>
      </c>
      <c r="R6398" t="str">
        <f>IFERROR(VLOOKUP(record[[#This Row],[PCUSTID]],廠商[],2,FALSE),"")</f>
        <v/>
      </c>
      <c r="S6398" t="str">
        <f>VLOOKUP(record[[#This Row],[employeeID]],員工[],2,FALSE)</f>
        <v>阮士文</v>
      </c>
    </row>
    <row r="6399" spans="6:19" hidden="1" x14ac:dyDescent="0.25">
      <c r="F6399" t="s">
        <v>1236</v>
      </c>
      <c r="G6399" t="s">
        <v>417</v>
      </c>
      <c r="H6399" t="str">
        <f>VLOOKUP(record[[#This Row],[ProcessSN]],表格2_7[],2,FALSE)</f>
        <v>30-4118-018-5XX</v>
      </c>
      <c r="I6399" t="str">
        <f>VLOOKUP(record[[#This Row],[ProcessSN]],表格2_7[],3,FALSE)</f>
        <v>#06</v>
      </c>
      <c r="J6399" t="s">
        <v>593</v>
      </c>
      <c r="K6399" s="195">
        <v>45989.317812499998</v>
      </c>
      <c r="L6399">
        <v>57</v>
      </c>
      <c r="M6399">
        <v>0</v>
      </c>
      <c r="N6399" s="98" t="str">
        <f>IF(record[[#This Row],[Memo]]="Browser:chrome os:android","平板報工",IF(record[[#This Row],[Memo]]=0,"委外",record[[#This Row],[Memo]]))</f>
        <v/>
      </c>
      <c r="O6399" t="s">
        <v>58</v>
      </c>
      <c r="P6399" t="s">
        <v>135</v>
      </c>
      <c r="Q6399" t="s">
        <v>58</v>
      </c>
      <c r="R6399" t="str">
        <f>IFERROR(VLOOKUP(record[[#This Row],[PCUSTID]],廠商[],2,FALSE),"")</f>
        <v/>
      </c>
      <c r="S6399" t="str">
        <f>VLOOKUP(record[[#This Row],[employeeID]],員工[],2,FALSE)</f>
        <v>阮士文</v>
      </c>
    </row>
    <row r="6400" spans="6:19" hidden="1" x14ac:dyDescent="0.25">
      <c r="F6400" t="s">
        <v>1236</v>
      </c>
      <c r="G6400" t="s">
        <v>418</v>
      </c>
      <c r="H6400" t="str">
        <f>VLOOKUP(record[[#This Row],[ProcessSN]],表格2_7[],2,FALSE)</f>
        <v>30-4118-018-5XX</v>
      </c>
      <c r="I6400" t="str">
        <f>VLOOKUP(record[[#This Row],[ProcessSN]],表格2_7[],3,FALSE)</f>
        <v>#07</v>
      </c>
      <c r="J6400" t="s">
        <v>588</v>
      </c>
      <c r="K6400" s="195">
        <v>45988.971273148149</v>
      </c>
      <c r="L6400">
        <v>130</v>
      </c>
      <c r="M6400">
        <v>0</v>
      </c>
      <c r="N6400" s="98" t="str">
        <f>IF(record[[#This Row],[Memo]]="Browser:chrome os:android","平板報工",IF(record[[#This Row],[Memo]]=0,"委外",record[[#This Row],[Memo]]))</f>
        <v/>
      </c>
      <c r="O6400" t="s">
        <v>58</v>
      </c>
      <c r="P6400" t="s">
        <v>89</v>
      </c>
      <c r="Q6400" t="s">
        <v>58</v>
      </c>
      <c r="R6400" t="str">
        <f>IFERROR(VLOOKUP(record[[#This Row],[PCUSTID]],廠商[],2,FALSE),"")</f>
        <v/>
      </c>
      <c r="S6400" t="str">
        <f>VLOOKUP(record[[#This Row],[employeeID]],員工[],2,FALSE)</f>
        <v>李美蓮</v>
      </c>
    </row>
    <row r="6401" spans="6:19" hidden="1" x14ac:dyDescent="0.25">
      <c r="F6401" t="s">
        <v>1236</v>
      </c>
      <c r="G6401" t="s">
        <v>417</v>
      </c>
      <c r="H6401" t="str">
        <f>VLOOKUP(record[[#This Row],[ProcessSN]],表格2_7[],2,FALSE)</f>
        <v>30-4118-018-5XX</v>
      </c>
      <c r="I6401" t="str">
        <f>VLOOKUP(record[[#This Row],[ProcessSN]],表格2_7[],3,FALSE)</f>
        <v>#06</v>
      </c>
      <c r="J6401" t="s">
        <v>593</v>
      </c>
      <c r="K6401" s="195">
        <v>45988.967314814814</v>
      </c>
      <c r="L6401">
        <v>120</v>
      </c>
      <c r="M6401">
        <v>0</v>
      </c>
      <c r="N6401" s="98" t="str">
        <f>IF(record[[#This Row],[Memo]]="Browser:chrome os:android","平板報工",IF(record[[#This Row],[Memo]]=0,"委外",record[[#This Row],[Memo]]))</f>
        <v/>
      </c>
      <c r="O6401" t="s">
        <v>58</v>
      </c>
      <c r="P6401" t="s">
        <v>176</v>
      </c>
      <c r="Q6401" t="s">
        <v>58</v>
      </c>
      <c r="R6401" t="str">
        <f>IFERROR(VLOOKUP(record[[#This Row],[PCUSTID]],廠商[],2,FALSE),"")</f>
        <v/>
      </c>
      <c r="S6401" t="str">
        <f>VLOOKUP(record[[#This Row],[employeeID]],員工[],2,FALSE)</f>
        <v>郭政雄</v>
      </c>
    </row>
    <row r="6402" spans="6:19" hidden="1" x14ac:dyDescent="0.25">
      <c r="F6402" t="s">
        <v>1242</v>
      </c>
      <c r="G6402" t="s">
        <v>399</v>
      </c>
      <c r="H6402" t="str">
        <f>VLOOKUP(record[[#This Row],[ProcessSN]],表格2_7[],2,FALSE)</f>
        <v>30-4118-018-550</v>
      </c>
      <c r="I6402" t="str">
        <f>VLOOKUP(record[[#This Row],[ProcessSN]],表格2_7[],3,FALSE)</f>
        <v>#08IQC</v>
      </c>
      <c r="J6402" t="s">
        <v>583</v>
      </c>
      <c r="K6402" s="195">
        <v>45988.701493055552</v>
      </c>
      <c r="L6402">
        <v>472</v>
      </c>
      <c r="M6402">
        <v>0</v>
      </c>
      <c r="N6402" s="98" t="str">
        <f>IF(record[[#This Row],[Memo]]="Browser:chrome os:android","平板報工",IF(record[[#This Row],[Memo]]=0,"委外",record[[#This Row],[Memo]]))</f>
        <v/>
      </c>
      <c r="O6402" t="s">
        <v>58</v>
      </c>
      <c r="P6402" t="s">
        <v>109</v>
      </c>
      <c r="Q6402" t="s">
        <v>58</v>
      </c>
      <c r="R6402" t="str">
        <f>IFERROR(VLOOKUP(record[[#This Row],[PCUSTID]],廠商[],2,FALSE),"")</f>
        <v/>
      </c>
      <c r="S6402" t="str">
        <f>VLOOKUP(record[[#This Row],[employeeID]],員工[],2,FALSE)</f>
        <v>裴氏璧鳳</v>
      </c>
    </row>
    <row r="6403" spans="6:19" hidden="1" x14ac:dyDescent="0.25">
      <c r="F6403" t="s">
        <v>1237</v>
      </c>
      <c r="G6403" t="s">
        <v>399</v>
      </c>
      <c r="H6403" t="str">
        <f>VLOOKUP(record[[#This Row],[ProcessSN]],表格2_7[],2,FALSE)</f>
        <v>30-4118-018-550</v>
      </c>
      <c r="I6403" t="str">
        <f>VLOOKUP(record[[#This Row],[ProcessSN]],表格2_7[],3,FALSE)</f>
        <v>#08IQC</v>
      </c>
      <c r="J6403" t="s">
        <v>583</v>
      </c>
      <c r="K6403" s="195">
        <v>45988.701354166667</v>
      </c>
      <c r="L6403">
        <v>118</v>
      </c>
      <c r="M6403">
        <v>0</v>
      </c>
      <c r="N6403" s="98" t="str">
        <f>IF(record[[#This Row],[Memo]]="Browser:chrome os:android","平板報工",IF(record[[#This Row],[Memo]]=0,"委外",record[[#This Row],[Memo]]))</f>
        <v/>
      </c>
      <c r="O6403" t="s">
        <v>58</v>
      </c>
      <c r="P6403" t="s">
        <v>109</v>
      </c>
      <c r="Q6403" t="s">
        <v>58</v>
      </c>
      <c r="R6403" t="str">
        <f>IFERROR(VLOOKUP(record[[#This Row],[PCUSTID]],廠商[],2,FALSE),"")</f>
        <v/>
      </c>
      <c r="S6403" t="str">
        <f>VLOOKUP(record[[#This Row],[employeeID]],員工[],2,FALSE)</f>
        <v>裴氏璧鳳</v>
      </c>
    </row>
    <row r="6404" spans="6:19" hidden="1" x14ac:dyDescent="0.25">
      <c r="F6404" t="s">
        <v>1236</v>
      </c>
      <c r="G6404" t="s">
        <v>417</v>
      </c>
      <c r="H6404" t="str">
        <f>VLOOKUP(record[[#This Row],[ProcessSN]],表格2_7[],2,FALSE)</f>
        <v>30-4118-018-5XX</v>
      </c>
      <c r="I6404" t="str">
        <f>VLOOKUP(record[[#This Row],[ProcessSN]],表格2_7[],3,FALSE)</f>
        <v>#06</v>
      </c>
      <c r="J6404" t="s">
        <v>593</v>
      </c>
      <c r="K6404" s="195">
        <v>45988.698599537034</v>
      </c>
      <c r="L6404">
        <v>20</v>
      </c>
      <c r="M6404">
        <v>0</v>
      </c>
      <c r="N6404" s="98" t="str">
        <f>IF(record[[#This Row],[Memo]]="Browser:chrome os:android","平板報工",IF(record[[#This Row],[Memo]]=0,"委外",record[[#This Row],[Memo]]))</f>
        <v/>
      </c>
      <c r="O6404" t="s">
        <v>58</v>
      </c>
      <c r="P6404" t="s">
        <v>101</v>
      </c>
      <c r="Q6404" t="s">
        <v>58</v>
      </c>
      <c r="R6404" t="str">
        <f>IFERROR(VLOOKUP(record[[#This Row],[PCUSTID]],廠商[],2,FALSE),"")</f>
        <v/>
      </c>
      <c r="S6404" t="str">
        <f>VLOOKUP(record[[#This Row],[employeeID]],員工[],2,FALSE)</f>
        <v>陳氏絨</v>
      </c>
    </row>
    <row r="6405" spans="6:19" hidden="1" x14ac:dyDescent="0.25">
      <c r="F6405" t="s">
        <v>1225</v>
      </c>
      <c r="G6405" t="s">
        <v>418</v>
      </c>
      <c r="H6405" t="str">
        <f>VLOOKUP(record[[#This Row],[ProcessSN]],表格2_7[],2,FALSE)</f>
        <v>30-4118-018-5XX</v>
      </c>
      <c r="I6405" t="str">
        <f>VLOOKUP(record[[#This Row],[ProcessSN]],表格2_7[],3,FALSE)</f>
        <v>#07</v>
      </c>
      <c r="J6405" t="s">
        <v>588</v>
      </c>
      <c r="K6405" s="195">
        <v>45988.698078703703</v>
      </c>
      <c r="L6405">
        <v>215</v>
      </c>
      <c r="M6405">
        <v>0</v>
      </c>
      <c r="N6405" s="98" t="str">
        <f>IF(record[[#This Row],[Memo]]="Browser:chrome os:android","平板報工",IF(record[[#This Row],[Memo]]=0,"委外",record[[#This Row],[Memo]]))</f>
        <v/>
      </c>
      <c r="O6405" t="s">
        <v>58</v>
      </c>
      <c r="P6405" t="s">
        <v>101</v>
      </c>
      <c r="Q6405" t="s">
        <v>58</v>
      </c>
      <c r="R6405" t="str">
        <f>IFERROR(VLOOKUP(record[[#This Row],[PCUSTID]],廠商[],2,FALSE),"")</f>
        <v/>
      </c>
      <c r="S6405" t="str">
        <f>VLOOKUP(record[[#This Row],[employeeID]],員工[],2,FALSE)</f>
        <v>陳氏絨</v>
      </c>
    </row>
    <row r="6406" spans="6:19" hidden="1" x14ac:dyDescent="0.25">
      <c r="F6406" t="s">
        <v>1225</v>
      </c>
      <c r="G6406" t="s">
        <v>417</v>
      </c>
      <c r="H6406" t="str">
        <f>VLOOKUP(record[[#This Row],[ProcessSN]],表格2_7[],2,FALSE)</f>
        <v>30-4118-018-5XX</v>
      </c>
      <c r="I6406" t="str">
        <f>VLOOKUP(record[[#This Row],[ProcessSN]],表格2_7[],3,FALSE)</f>
        <v>#06</v>
      </c>
      <c r="J6406" t="s">
        <v>593</v>
      </c>
      <c r="K6406" s="195">
        <v>45988.697905092595</v>
      </c>
      <c r="L6406">
        <v>97</v>
      </c>
      <c r="M6406">
        <v>0</v>
      </c>
      <c r="N6406" s="98" t="str">
        <f>IF(record[[#This Row],[Memo]]="Browser:chrome os:android","平板報工",IF(record[[#This Row],[Memo]]=0,"委外",record[[#This Row],[Memo]]))</f>
        <v/>
      </c>
      <c r="O6406" t="s">
        <v>58</v>
      </c>
      <c r="P6406" t="s">
        <v>101</v>
      </c>
      <c r="Q6406" t="s">
        <v>58</v>
      </c>
      <c r="R6406" t="str">
        <f>IFERROR(VLOOKUP(record[[#This Row],[PCUSTID]],廠商[],2,FALSE),"")</f>
        <v/>
      </c>
      <c r="S6406" t="str">
        <f>VLOOKUP(record[[#This Row],[employeeID]],員工[],2,FALSE)</f>
        <v>陳氏絨</v>
      </c>
    </row>
    <row r="6407" spans="6:19" hidden="1" x14ac:dyDescent="0.25">
      <c r="F6407" t="s">
        <v>1209</v>
      </c>
      <c r="G6407" t="s">
        <v>466</v>
      </c>
      <c r="H6407" t="str">
        <f>VLOOKUP(record[[#This Row],[ProcessSN]],表格2_7[],2,FALSE)</f>
        <v>30-4118-018-XXX</v>
      </c>
      <c r="I6407" t="str">
        <f>VLOOKUP(record[[#This Row],[ProcessSN]],表格2_7[],3,FALSE)</f>
        <v>#01-2</v>
      </c>
      <c r="J6407" t="s">
        <v>588</v>
      </c>
      <c r="K6407" s="195">
        <v>45988.685277777775</v>
      </c>
      <c r="L6407">
        <v>480</v>
      </c>
      <c r="M6407">
        <v>0</v>
      </c>
      <c r="N6407" s="98" t="str">
        <f>IF(record[[#This Row],[Memo]]="Browser:chrome os:android","平板報工",IF(record[[#This Row],[Memo]]=0,"委外",record[[#This Row],[Memo]]))</f>
        <v/>
      </c>
      <c r="O6407" t="s">
        <v>58</v>
      </c>
      <c r="P6407" t="s">
        <v>101</v>
      </c>
      <c r="Q6407" t="s">
        <v>58</v>
      </c>
      <c r="R6407" t="str">
        <f>IFERROR(VLOOKUP(record[[#This Row],[PCUSTID]],廠商[],2,FALSE),"")</f>
        <v/>
      </c>
      <c r="S6407" t="str">
        <f>VLOOKUP(record[[#This Row],[employeeID]],員工[],2,FALSE)</f>
        <v>陳氏絨</v>
      </c>
    </row>
    <row r="6408" spans="6:19" hidden="1" x14ac:dyDescent="0.25">
      <c r="F6408" t="s">
        <v>1209</v>
      </c>
      <c r="G6408" t="s">
        <v>465</v>
      </c>
      <c r="H6408" t="str">
        <f>VLOOKUP(record[[#This Row],[ProcessSN]],表格2_7[],2,FALSE)</f>
        <v>30-4118-018-XXX</v>
      </c>
      <c r="I6408" t="str">
        <f>VLOOKUP(record[[#This Row],[ProcessSN]],表格2_7[],3,FALSE)</f>
        <v>#01-1</v>
      </c>
      <c r="J6408" t="s">
        <v>588</v>
      </c>
      <c r="K6408" s="195">
        <v>45988.651620370372</v>
      </c>
      <c r="L6408">
        <v>552</v>
      </c>
      <c r="M6408">
        <v>0</v>
      </c>
      <c r="N6408" s="98" t="str">
        <f>IF(record[[#This Row],[Memo]]="Browser:chrome os:android","平板報工",IF(record[[#This Row],[Memo]]=0,"委外",record[[#This Row],[Memo]]))</f>
        <v>平板報工</v>
      </c>
      <c r="O6408" t="s">
        <v>643</v>
      </c>
      <c r="P6408" t="s">
        <v>145</v>
      </c>
      <c r="Q6408" t="s">
        <v>644</v>
      </c>
      <c r="R6408" t="str">
        <f>IFERROR(VLOOKUP(record[[#This Row],[PCUSTID]],廠商[],2,FALSE),"")</f>
        <v/>
      </c>
      <c r="S6408" t="str">
        <f>VLOOKUP(record[[#This Row],[employeeID]],員工[],2,FALSE)</f>
        <v>阮秋霞</v>
      </c>
    </row>
    <row r="6409" spans="6:19" hidden="1" x14ac:dyDescent="0.25">
      <c r="F6409" t="s">
        <v>1209</v>
      </c>
      <c r="G6409" t="s">
        <v>468</v>
      </c>
      <c r="H6409" t="str">
        <f>VLOOKUP(record[[#This Row],[ProcessSN]],表格2_7[],2,FALSE)</f>
        <v>30-4118-018-XXX</v>
      </c>
      <c r="I6409" t="str">
        <f>VLOOKUP(record[[#This Row],[ProcessSN]],表格2_7[],3,FALSE)</f>
        <v>#02</v>
      </c>
      <c r="J6409" t="s">
        <v>590</v>
      </c>
      <c r="K6409" s="195">
        <v>45988.642951388887</v>
      </c>
      <c r="L6409">
        <v>1008</v>
      </c>
      <c r="M6409">
        <v>0</v>
      </c>
      <c r="N6409" s="98" t="str">
        <f>IF(record[[#This Row],[Memo]]="Browser:chrome os:android","平板報工",IF(record[[#This Row],[Memo]]=0,"委外",record[[#This Row],[Memo]]))</f>
        <v>委外</v>
      </c>
      <c r="P6409" t="s">
        <v>186</v>
      </c>
      <c r="Q6409" t="s">
        <v>216</v>
      </c>
      <c r="R6409" t="str">
        <f>IFERROR(VLOOKUP(record[[#This Row],[PCUSTID]],廠商[],2,FALSE),"")</f>
        <v>俊杰</v>
      </c>
      <c r="S6409" t="str">
        <f>VLOOKUP(record[[#This Row],[employeeID]],員工[],2,FALSE)</f>
        <v>許文姍</v>
      </c>
    </row>
    <row r="6410" spans="6:19" hidden="1" x14ac:dyDescent="0.25">
      <c r="F6410" t="s">
        <v>1242</v>
      </c>
      <c r="G6410" t="s">
        <v>398</v>
      </c>
      <c r="H6410" t="str">
        <f>VLOOKUP(record[[#This Row],[ProcessSN]],表格2_7[],2,FALSE)</f>
        <v>30-4118-018-550</v>
      </c>
      <c r="I6410" t="str">
        <f>VLOOKUP(record[[#This Row],[ProcessSN]],表格2_7[],3,FALSE)</f>
        <v>#08RCV</v>
      </c>
      <c r="J6410" t="s">
        <v>591</v>
      </c>
      <c r="K6410" s="195">
        <v>45988.6249537037</v>
      </c>
      <c r="L6410">
        <v>472</v>
      </c>
      <c r="M6410">
        <v>0</v>
      </c>
      <c r="N6410" s="98" t="str">
        <f>IF(record[[#This Row],[Memo]]="Browser:chrome os:android","平板報工",IF(record[[#This Row],[Memo]]=0,"委外",record[[#This Row],[Memo]]))</f>
        <v/>
      </c>
      <c r="O6410" t="s">
        <v>58</v>
      </c>
      <c r="P6410" t="s">
        <v>186</v>
      </c>
      <c r="Q6410" t="s">
        <v>58</v>
      </c>
      <c r="R6410" t="str">
        <f>IFERROR(VLOOKUP(record[[#This Row],[PCUSTID]],廠商[],2,FALSE),"")</f>
        <v/>
      </c>
      <c r="S6410" t="str">
        <f>VLOOKUP(record[[#This Row],[employeeID]],員工[],2,FALSE)</f>
        <v>許文姍</v>
      </c>
    </row>
    <row r="6411" spans="6:19" hidden="1" x14ac:dyDescent="0.25">
      <c r="F6411" t="s">
        <v>1237</v>
      </c>
      <c r="G6411" t="s">
        <v>398</v>
      </c>
      <c r="H6411" t="str">
        <f>VLOOKUP(record[[#This Row],[ProcessSN]],表格2_7[],2,FALSE)</f>
        <v>30-4118-018-550</v>
      </c>
      <c r="I6411" t="str">
        <f>VLOOKUP(record[[#This Row],[ProcessSN]],表格2_7[],3,FALSE)</f>
        <v>#08RCV</v>
      </c>
      <c r="J6411" t="s">
        <v>591</v>
      </c>
      <c r="K6411" s="195">
        <v>45988.624583333331</v>
      </c>
      <c r="L6411">
        <v>118</v>
      </c>
      <c r="M6411">
        <v>0</v>
      </c>
      <c r="N6411" s="98" t="str">
        <f>IF(record[[#This Row],[Memo]]="Browser:chrome os:android","平板報工",IF(record[[#This Row],[Memo]]=0,"委外",record[[#This Row],[Memo]]))</f>
        <v/>
      </c>
      <c r="O6411" t="s">
        <v>58</v>
      </c>
      <c r="P6411" t="s">
        <v>186</v>
      </c>
      <c r="Q6411" t="s">
        <v>58</v>
      </c>
      <c r="R6411" t="str">
        <f>IFERROR(VLOOKUP(record[[#This Row],[PCUSTID]],廠商[],2,FALSE),"")</f>
        <v/>
      </c>
      <c r="S6411" t="str">
        <f>VLOOKUP(record[[#This Row],[employeeID]],員工[],2,FALSE)</f>
        <v>許文姍</v>
      </c>
    </row>
    <row r="6412" spans="6:19" hidden="1" x14ac:dyDescent="0.25">
      <c r="F6412" t="s">
        <v>1225</v>
      </c>
      <c r="G6412" t="s">
        <v>420</v>
      </c>
      <c r="H6412" t="str">
        <f>VLOOKUP(record[[#This Row],[ProcessSN]],表格2_7[],2,FALSE)</f>
        <v>30-4118-018-5XX</v>
      </c>
      <c r="I6412" t="str">
        <f>VLOOKUP(record[[#This Row],[ProcessSN]],表格2_7[],3,FALSE)</f>
        <v>#07STOCK</v>
      </c>
      <c r="J6412" t="s">
        <v>592</v>
      </c>
      <c r="K6412" s="195">
        <v>45988.605011574073</v>
      </c>
      <c r="L6412">
        <v>109</v>
      </c>
      <c r="M6412">
        <v>0</v>
      </c>
      <c r="N6412" s="98" t="str">
        <f>IF(record[[#This Row],[Memo]]="Browser:chrome os:android","平板報工",IF(record[[#This Row],[Memo]]=0,"委外",record[[#This Row],[Memo]]))</f>
        <v/>
      </c>
      <c r="O6412" t="s">
        <v>58</v>
      </c>
      <c r="P6412" t="s">
        <v>186</v>
      </c>
      <c r="Q6412" t="s">
        <v>58</v>
      </c>
      <c r="R6412" t="str">
        <f>IFERROR(VLOOKUP(record[[#This Row],[PCUSTID]],廠商[],2,FALSE),"")</f>
        <v/>
      </c>
      <c r="S6412" t="str">
        <f>VLOOKUP(record[[#This Row],[employeeID]],員工[],2,FALSE)</f>
        <v>許文姍</v>
      </c>
    </row>
    <row r="6413" spans="6:19" hidden="1" x14ac:dyDescent="0.25">
      <c r="F6413" t="s">
        <v>1181</v>
      </c>
      <c r="G6413" t="s">
        <v>428</v>
      </c>
      <c r="H6413" t="str">
        <f>VLOOKUP(record[[#This Row],[ProcessSN]],表格2_7[],2,FALSE)</f>
        <v>30-4118-018-600</v>
      </c>
      <c r="I6413" t="str">
        <f>VLOOKUP(record[[#This Row],[ProcessSN]],表格2_7[],3,FALSE)</f>
        <v>#100SHIP</v>
      </c>
      <c r="J6413" t="s">
        <v>600</v>
      </c>
      <c r="K6413" s="195">
        <v>45988.602500000001</v>
      </c>
      <c r="L6413">
        <v>3</v>
      </c>
      <c r="M6413">
        <v>0</v>
      </c>
      <c r="N6413" s="98" t="str">
        <f>IF(record[[#This Row],[Memo]]="Browser:chrome os:android","平板報工",IF(record[[#This Row],[Memo]]=0,"委外",record[[#This Row],[Memo]]))</f>
        <v/>
      </c>
      <c r="O6413" t="s">
        <v>58</v>
      </c>
      <c r="P6413" t="s">
        <v>886</v>
      </c>
      <c r="Q6413" t="s">
        <v>58</v>
      </c>
      <c r="R6413" t="str">
        <f>IFERROR(VLOOKUP(record[[#This Row],[PCUSTID]],廠商[],2,FALSE),"")</f>
        <v/>
      </c>
      <c r="S6413" t="str">
        <f>VLOOKUP(record[[#This Row],[employeeID]],員工[],2,FALSE)</f>
        <v>謝蓁薰</v>
      </c>
    </row>
    <row r="6414" spans="6:19" hidden="1" x14ac:dyDescent="0.25">
      <c r="F6414" t="s">
        <v>1250</v>
      </c>
      <c r="G6414" t="s">
        <v>397</v>
      </c>
      <c r="H6414" t="str">
        <f>VLOOKUP(record[[#This Row],[ProcessSN]],表格2_7[],2,FALSE)</f>
        <v>30-4118-018-550</v>
      </c>
      <c r="I6414" t="str">
        <f>VLOOKUP(record[[#This Row],[ProcessSN]],表格2_7[],3,FALSE)</f>
        <v>#08</v>
      </c>
      <c r="J6414" t="s">
        <v>597</v>
      </c>
      <c r="K6414" s="195">
        <v>45988.602476851855</v>
      </c>
      <c r="L6414">
        <v>109</v>
      </c>
      <c r="M6414">
        <v>0</v>
      </c>
      <c r="N6414" s="98" t="str">
        <f>IF(record[[#This Row],[Memo]]="Browser:chrome os:android","平板報工",IF(record[[#This Row],[Memo]]=0,"委外",record[[#This Row],[Memo]]))</f>
        <v>委外</v>
      </c>
      <c r="P6414" t="s">
        <v>186</v>
      </c>
      <c r="Q6414" t="s">
        <v>287</v>
      </c>
      <c r="R6414" t="str">
        <f>IFERROR(VLOOKUP(record[[#This Row],[PCUSTID]],廠商[],2,FALSE),"")</f>
        <v>泉盛</v>
      </c>
      <c r="S6414" t="str">
        <f>VLOOKUP(record[[#This Row],[employeeID]],員工[],2,FALSE)</f>
        <v>許文姍</v>
      </c>
    </row>
    <row r="6415" spans="6:19" hidden="1" x14ac:dyDescent="0.25">
      <c r="F6415" t="s">
        <v>1233</v>
      </c>
      <c r="G6415" t="s">
        <v>403</v>
      </c>
      <c r="H6415" t="str">
        <f>VLOOKUP(record[[#This Row],[ProcessSN]],表格2_7[],2,FALSE)</f>
        <v>30-4118-018-550</v>
      </c>
      <c r="I6415" t="str">
        <f>VLOOKUP(record[[#This Row],[ProcessSN]],表格2_7[],3,FALSE)</f>
        <v>#100SHIP</v>
      </c>
      <c r="J6415" t="s">
        <v>600</v>
      </c>
      <c r="K6415" s="195">
        <v>45988.602349537039</v>
      </c>
      <c r="L6415">
        <v>35</v>
      </c>
      <c r="M6415">
        <v>0</v>
      </c>
      <c r="N6415" s="98" t="str">
        <f>IF(record[[#This Row],[Memo]]="Browser:chrome os:android","平板報工",IF(record[[#This Row],[Memo]]=0,"委外",record[[#This Row],[Memo]]))</f>
        <v/>
      </c>
      <c r="O6415" t="s">
        <v>58</v>
      </c>
      <c r="P6415" t="s">
        <v>886</v>
      </c>
      <c r="Q6415" t="s">
        <v>58</v>
      </c>
      <c r="R6415" t="str">
        <f>IFERROR(VLOOKUP(record[[#This Row],[PCUSTID]],廠商[],2,FALSE),"")</f>
        <v/>
      </c>
      <c r="S6415" t="str">
        <f>VLOOKUP(record[[#This Row],[employeeID]],員工[],2,FALSE)</f>
        <v>謝蓁薰</v>
      </c>
    </row>
    <row r="6416" spans="6:19" hidden="1" x14ac:dyDescent="0.25">
      <c r="F6416" t="s">
        <v>1250</v>
      </c>
      <c r="G6416" t="s">
        <v>396</v>
      </c>
      <c r="H6416" t="str">
        <f>VLOOKUP(record[[#This Row],[ProcessSN]],表格2_7[],2,FALSE)</f>
        <v>30-4118-018-550</v>
      </c>
      <c r="I6416" t="str">
        <f>VLOOKUP(record[[#This Row],[ProcessSN]],表格2_7[],3,FALSE)</f>
        <v>#08PICK</v>
      </c>
      <c r="J6416" t="s">
        <v>582</v>
      </c>
      <c r="K6416" s="195">
        <v>45988.602222222224</v>
      </c>
      <c r="L6416">
        <v>109</v>
      </c>
      <c r="M6416">
        <v>0</v>
      </c>
      <c r="N6416" s="98" t="str">
        <f>IF(record[[#This Row],[Memo]]="Browser:chrome os:android","平板報工",IF(record[[#This Row],[Memo]]=0,"委外",record[[#This Row],[Memo]]))</f>
        <v/>
      </c>
      <c r="O6416" t="s">
        <v>58</v>
      </c>
      <c r="P6416" t="s">
        <v>186</v>
      </c>
      <c r="Q6416" t="s">
        <v>58</v>
      </c>
      <c r="R6416" t="str">
        <f>IFERROR(VLOOKUP(record[[#This Row],[PCUSTID]],廠商[],2,FALSE),"")</f>
        <v/>
      </c>
      <c r="S6416" t="str">
        <f>VLOOKUP(record[[#This Row],[employeeID]],員工[],2,FALSE)</f>
        <v>許文姍</v>
      </c>
    </row>
    <row r="6417" spans="6:19" hidden="1" x14ac:dyDescent="0.25">
      <c r="F6417" t="s">
        <v>1227</v>
      </c>
      <c r="G6417" t="s">
        <v>403</v>
      </c>
      <c r="H6417" t="str">
        <f>VLOOKUP(record[[#This Row],[ProcessSN]],表格2_7[],2,FALSE)</f>
        <v>30-4118-018-550</v>
      </c>
      <c r="I6417" t="str">
        <f>VLOOKUP(record[[#This Row],[ProcessSN]],表格2_7[],3,FALSE)</f>
        <v>#100SHIP</v>
      </c>
      <c r="J6417" t="s">
        <v>600</v>
      </c>
      <c r="K6417" s="195">
        <v>45988.602129629631</v>
      </c>
      <c r="L6417">
        <v>169</v>
      </c>
      <c r="M6417">
        <v>0</v>
      </c>
      <c r="N6417" s="98" t="str">
        <f>IF(record[[#This Row],[Memo]]="Browser:chrome os:android","平板報工",IF(record[[#This Row],[Memo]]=0,"委外",record[[#This Row],[Memo]]))</f>
        <v/>
      </c>
      <c r="O6417" t="s">
        <v>58</v>
      </c>
      <c r="P6417" t="s">
        <v>886</v>
      </c>
      <c r="Q6417" t="s">
        <v>58</v>
      </c>
      <c r="R6417" t="str">
        <f>IFERROR(VLOOKUP(record[[#This Row],[PCUSTID]],廠商[],2,FALSE),"")</f>
        <v/>
      </c>
      <c r="S6417" t="str">
        <f>VLOOKUP(record[[#This Row],[employeeID]],員工[],2,FALSE)</f>
        <v>謝蓁薰</v>
      </c>
    </row>
    <row r="6418" spans="6:19" hidden="1" x14ac:dyDescent="0.25">
      <c r="F6418" t="s">
        <v>1136</v>
      </c>
      <c r="G6418" t="s">
        <v>362</v>
      </c>
      <c r="H6418" t="str">
        <f>VLOOKUP(record[[#This Row],[ProcessSN]],表格2_7[],2,FALSE)</f>
        <v>30-4118-018-450</v>
      </c>
      <c r="I6418" t="str">
        <f>VLOOKUP(record[[#This Row],[ProcessSN]],表格2_7[],3,FALSE)</f>
        <v>#100SHIP</v>
      </c>
      <c r="J6418" t="s">
        <v>600</v>
      </c>
      <c r="K6418" s="195">
        <v>45988.601967592593</v>
      </c>
      <c r="L6418">
        <v>71</v>
      </c>
      <c r="M6418">
        <v>0</v>
      </c>
      <c r="N6418" s="98" t="str">
        <f>IF(record[[#This Row],[Memo]]="Browser:chrome os:android","平板報工",IF(record[[#This Row],[Memo]]=0,"委外",record[[#This Row],[Memo]]))</f>
        <v/>
      </c>
      <c r="O6418" t="s">
        <v>58</v>
      </c>
      <c r="P6418" t="s">
        <v>886</v>
      </c>
      <c r="Q6418" t="s">
        <v>58</v>
      </c>
      <c r="R6418" t="str">
        <f>IFERROR(VLOOKUP(record[[#This Row],[PCUSTID]],廠商[],2,FALSE),"")</f>
        <v/>
      </c>
      <c r="S6418" t="str">
        <f>VLOOKUP(record[[#This Row],[employeeID]],員工[],2,FALSE)</f>
        <v>謝蓁薰</v>
      </c>
    </row>
    <row r="6419" spans="6:19" hidden="1" x14ac:dyDescent="0.25">
      <c r="F6419" t="s">
        <v>1045</v>
      </c>
      <c r="G6419" t="s">
        <v>362</v>
      </c>
      <c r="H6419" t="str">
        <f>VLOOKUP(record[[#This Row],[ProcessSN]],表格2_7[],2,FALSE)</f>
        <v>30-4118-018-450</v>
      </c>
      <c r="I6419" t="str">
        <f>VLOOKUP(record[[#This Row],[ProcessSN]],表格2_7[],3,FALSE)</f>
        <v>#100SHIP</v>
      </c>
      <c r="J6419" t="s">
        <v>600</v>
      </c>
      <c r="K6419" s="195">
        <v>45988.601793981485</v>
      </c>
      <c r="L6419">
        <v>81</v>
      </c>
      <c r="M6419">
        <v>0</v>
      </c>
      <c r="N6419" s="98" t="str">
        <f>IF(record[[#This Row],[Memo]]="Browser:chrome os:android","平板報工",IF(record[[#This Row],[Memo]]=0,"委外",record[[#This Row],[Memo]]))</f>
        <v/>
      </c>
      <c r="O6419" t="s">
        <v>58</v>
      </c>
      <c r="P6419" t="s">
        <v>886</v>
      </c>
      <c r="Q6419" t="s">
        <v>58</v>
      </c>
      <c r="R6419" t="str">
        <f>IFERROR(VLOOKUP(record[[#This Row],[PCUSTID]],廠商[],2,FALSE),"")</f>
        <v/>
      </c>
      <c r="S6419" t="str">
        <f>VLOOKUP(record[[#This Row],[employeeID]],員工[],2,FALSE)</f>
        <v>謝蓁薰</v>
      </c>
    </row>
    <row r="6420" spans="6:19" hidden="1" x14ac:dyDescent="0.25">
      <c r="F6420" t="s">
        <v>1225</v>
      </c>
      <c r="G6420" t="s">
        <v>419</v>
      </c>
      <c r="H6420" t="str">
        <f>VLOOKUP(record[[#This Row],[ProcessSN]],表格2_7[],2,FALSE)</f>
        <v>30-4118-018-5XX</v>
      </c>
      <c r="I6420" t="str">
        <f>VLOOKUP(record[[#This Row],[ProcessSN]],表格2_7[],3,FALSE)</f>
        <v>#07QC</v>
      </c>
      <c r="J6420" t="s">
        <v>589</v>
      </c>
      <c r="K6420" s="195">
        <v>45988.367546296293</v>
      </c>
      <c r="L6420">
        <v>0</v>
      </c>
      <c r="M6420">
        <v>5</v>
      </c>
      <c r="N6420" s="98" t="str">
        <f>IF(record[[#This Row],[Memo]]="Browser:chrome os:android","平板報工",IF(record[[#This Row],[Memo]]=0,"委外",record[[#This Row],[Memo]]))</f>
        <v>平板報工</v>
      </c>
      <c r="O6420" t="s">
        <v>643</v>
      </c>
      <c r="P6420" t="s">
        <v>141</v>
      </c>
      <c r="Q6420" t="s">
        <v>644</v>
      </c>
      <c r="R6420" t="str">
        <f>IFERROR(VLOOKUP(record[[#This Row],[PCUSTID]],廠商[],2,FALSE),"")</f>
        <v/>
      </c>
      <c r="S6420" t="str">
        <f>VLOOKUP(record[[#This Row],[employeeID]],員工[],2,FALSE)</f>
        <v>蔣梅</v>
      </c>
    </row>
    <row r="6421" spans="6:19" hidden="1" x14ac:dyDescent="0.25">
      <c r="F6421" t="s">
        <v>1225</v>
      </c>
      <c r="G6421" t="s">
        <v>419</v>
      </c>
      <c r="H6421" t="str">
        <f>VLOOKUP(record[[#This Row],[ProcessSN]],表格2_7[],2,FALSE)</f>
        <v>30-4118-018-5XX</v>
      </c>
      <c r="I6421" t="str">
        <f>VLOOKUP(record[[#This Row],[ProcessSN]],表格2_7[],3,FALSE)</f>
        <v>#07QC</v>
      </c>
      <c r="J6421" t="s">
        <v>589</v>
      </c>
      <c r="K6421" s="195">
        <v>45988.367326388892</v>
      </c>
      <c r="L6421">
        <v>109</v>
      </c>
      <c r="M6421">
        <v>0</v>
      </c>
      <c r="N6421" s="98" t="str">
        <f>IF(record[[#This Row],[Memo]]="Browser:chrome os:android","平板報工",IF(record[[#This Row],[Memo]]=0,"委外",record[[#This Row],[Memo]]))</f>
        <v>平板報工</v>
      </c>
      <c r="O6421" t="s">
        <v>643</v>
      </c>
      <c r="P6421" t="s">
        <v>141</v>
      </c>
      <c r="Q6421" t="s">
        <v>644</v>
      </c>
      <c r="R6421" t="str">
        <f>IFERROR(VLOOKUP(record[[#This Row],[PCUSTID]],廠商[],2,FALSE),"")</f>
        <v/>
      </c>
      <c r="S6421" t="str">
        <f>VLOOKUP(record[[#This Row],[employeeID]],員工[],2,FALSE)</f>
        <v>蔣梅</v>
      </c>
    </row>
    <row r="6422" spans="6:19" hidden="1" x14ac:dyDescent="0.25">
      <c r="F6422" t="s">
        <v>1233</v>
      </c>
      <c r="G6422" t="s">
        <v>402</v>
      </c>
      <c r="H6422" t="str">
        <f>VLOOKUP(record[[#This Row],[ProcessSN]],表格2_7[],2,FALSE)</f>
        <v>30-4118-018-550</v>
      </c>
      <c r="I6422" t="str">
        <f>VLOOKUP(record[[#This Row],[ProcessSN]],表格2_7[],3,FALSE)</f>
        <v>#100STOCK</v>
      </c>
      <c r="J6422" t="s">
        <v>592</v>
      </c>
      <c r="K6422" s="195">
        <v>45988.340243055558</v>
      </c>
      <c r="L6422">
        <v>35</v>
      </c>
      <c r="M6422">
        <v>0</v>
      </c>
      <c r="N6422" s="98" t="str">
        <f>IF(record[[#This Row],[Memo]]="Browser:chrome os:android","平板報工",IF(record[[#This Row],[Memo]]=0,"委外",record[[#This Row],[Memo]]))</f>
        <v/>
      </c>
      <c r="O6422" t="s">
        <v>58</v>
      </c>
      <c r="P6422" t="s">
        <v>886</v>
      </c>
      <c r="Q6422" t="s">
        <v>58</v>
      </c>
      <c r="R6422" t="str">
        <f>IFERROR(VLOOKUP(record[[#This Row],[PCUSTID]],廠商[],2,FALSE),"")</f>
        <v/>
      </c>
      <c r="S6422" t="str">
        <f>VLOOKUP(record[[#This Row],[employeeID]],員工[],2,FALSE)</f>
        <v>謝蓁薰</v>
      </c>
    </row>
    <row r="6423" spans="6:19" hidden="1" x14ac:dyDescent="0.25">
      <c r="F6423" t="s">
        <v>1173</v>
      </c>
      <c r="G6423" t="s">
        <v>425</v>
      </c>
      <c r="H6423" t="str">
        <f>VLOOKUP(record[[#This Row],[ProcessSN]],表格2_7[],2,FALSE)</f>
        <v>30-4118-018-600</v>
      </c>
      <c r="I6423" t="str">
        <f>VLOOKUP(record[[#This Row],[ProcessSN]],表格2_7[],3,FALSE)</f>
        <v>#100</v>
      </c>
      <c r="J6423" t="s">
        <v>598</v>
      </c>
      <c r="K6423" s="195">
        <v>45988.338414351849</v>
      </c>
      <c r="L6423">
        <v>109</v>
      </c>
      <c r="M6423">
        <v>0</v>
      </c>
      <c r="N6423" s="98" t="str">
        <f>IF(record[[#This Row],[Memo]]="Browser:chrome os:android","平板報工",IF(record[[#This Row],[Memo]]=0,"委外",record[[#This Row],[Memo]]))</f>
        <v/>
      </c>
      <c r="O6423" t="s">
        <v>58</v>
      </c>
      <c r="P6423" t="s">
        <v>141</v>
      </c>
      <c r="Q6423" t="s">
        <v>58</v>
      </c>
      <c r="R6423" t="str">
        <f>IFERROR(VLOOKUP(record[[#This Row],[PCUSTID]],廠商[],2,FALSE),"")</f>
        <v/>
      </c>
      <c r="S6423" t="str">
        <f>VLOOKUP(record[[#This Row],[employeeID]],員工[],2,FALSE)</f>
        <v>蔣梅</v>
      </c>
    </row>
    <row r="6424" spans="6:19" hidden="1" x14ac:dyDescent="0.25">
      <c r="F6424" t="s">
        <v>1173</v>
      </c>
      <c r="G6424" t="s">
        <v>424</v>
      </c>
      <c r="H6424" t="str">
        <f>VLOOKUP(record[[#This Row],[ProcessSN]],表格2_7[],2,FALSE)</f>
        <v>30-4118-018-600</v>
      </c>
      <c r="I6424" t="str">
        <f>VLOOKUP(record[[#This Row],[ProcessSN]],表格2_7[],3,FALSE)</f>
        <v>#08IQC</v>
      </c>
      <c r="J6424" t="s">
        <v>583</v>
      </c>
      <c r="K6424" s="195">
        <v>45988.338194444441</v>
      </c>
      <c r="L6424">
        <v>1</v>
      </c>
      <c r="M6424">
        <v>0</v>
      </c>
      <c r="N6424" s="98" t="str">
        <f>IF(record[[#This Row],[Memo]]="Browser:chrome os:android","平板報工",IF(record[[#This Row],[Memo]]=0,"委外",record[[#This Row],[Memo]]))</f>
        <v>覆回</v>
      </c>
      <c r="O6424" t="s">
        <v>682</v>
      </c>
      <c r="P6424" t="s">
        <v>141</v>
      </c>
      <c r="Q6424" t="s">
        <v>58</v>
      </c>
      <c r="R6424" t="str">
        <f>IFERROR(VLOOKUP(record[[#This Row],[PCUSTID]],廠商[],2,FALSE),"")</f>
        <v/>
      </c>
      <c r="S6424" t="str">
        <f>VLOOKUP(record[[#This Row],[employeeID]],員工[],2,FALSE)</f>
        <v>蔣梅</v>
      </c>
    </row>
    <row r="6425" spans="6:19" hidden="1" x14ac:dyDescent="0.25">
      <c r="F6425" t="s">
        <v>1173</v>
      </c>
      <c r="G6425" t="s">
        <v>423</v>
      </c>
      <c r="H6425" t="str">
        <f>VLOOKUP(record[[#This Row],[ProcessSN]],表格2_7[],2,FALSE)</f>
        <v>30-4118-018-600</v>
      </c>
      <c r="I6425" t="str">
        <f>VLOOKUP(record[[#This Row],[ProcessSN]],表格2_7[],3,FALSE)</f>
        <v>#08RCV</v>
      </c>
      <c r="J6425" t="s">
        <v>591</v>
      </c>
      <c r="K6425" s="195">
        <v>45988.33797453704</v>
      </c>
      <c r="L6425">
        <v>1</v>
      </c>
      <c r="M6425">
        <v>0</v>
      </c>
      <c r="N6425" s="98" t="str">
        <f>IF(record[[#This Row],[Memo]]="Browser:chrome os:android","平板報工",IF(record[[#This Row],[Memo]]=0,"委外",record[[#This Row],[Memo]]))</f>
        <v>覆回</v>
      </c>
      <c r="O6425" t="s">
        <v>682</v>
      </c>
      <c r="P6425" t="s">
        <v>141</v>
      </c>
      <c r="Q6425" t="s">
        <v>58</v>
      </c>
      <c r="R6425" t="str">
        <f>IFERROR(VLOOKUP(record[[#This Row],[PCUSTID]],廠商[],2,FALSE),"")</f>
        <v/>
      </c>
      <c r="S6425" t="str">
        <f>VLOOKUP(record[[#This Row],[employeeID]],員工[],2,FALSE)</f>
        <v>蔣梅</v>
      </c>
    </row>
    <row r="6426" spans="6:19" hidden="1" x14ac:dyDescent="0.25">
      <c r="F6426" t="s">
        <v>1227</v>
      </c>
      <c r="G6426" t="s">
        <v>402</v>
      </c>
      <c r="H6426" t="str">
        <f>VLOOKUP(record[[#This Row],[ProcessSN]],表格2_7[],2,FALSE)</f>
        <v>30-4118-018-550</v>
      </c>
      <c r="I6426" t="str">
        <f>VLOOKUP(record[[#This Row],[ProcessSN]],表格2_7[],3,FALSE)</f>
        <v>#100STOCK</v>
      </c>
      <c r="J6426" t="s">
        <v>592</v>
      </c>
      <c r="K6426" s="195">
        <v>45988.33792824074</v>
      </c>
      <c r="L6426">
        <v>10</v>
      </c>
      <c r="M6426">
        <v>0</v>
      </c>
      <c r="N6426" s="98" t="str">
        <f>IF(record[[#This Row],[Memo]]="Browser:chrome os:android","平板報工",IF(record[[#This Row],[Memo]]=0,"委外",record[[#This Row],[Memo]]))</f>
        <v/>
      </c>
      <c r="O6426" t="s">
        <v>58</v>
      </c>
      <c r="P6426" t="s">
        <v>886</v>
      </c>
      <c r="Q6426" t="s">
        <v>58</v>
      </c>
      <c r="R6426" t="str">
        <f>IFERROR(VLOOKUP(record[[#This Row],[PCUSTID]],廠商[],2,FALSE),"")</f>
        <v/>
      </c>
      <c r="S6426" t="str">
        <f>VLOOKUP(record[[#This Row],[employeeID]],員工[],2,FALSE)</f>
        <v>謝蓁薰</v>
      </c>
    </row>
    <row r="6427" spans="6:19" hidden="1" x14ac:dyDescent="0.25">
      <c r="F6427" t="s">
        <v>1225</v>
      </c>
      <c r="G6427" t="s">
        <v>417</v>
      </c>
      <c r="H6427" t="str">
        <f>VLOOKUP(record[[#This Row],[ProcessSN]],表格2_7[],2,FALSE)</f>
        <v>30-4118-018-5XX</v>
      </c>
      <c r="I6427" t="str">
        <f>VLOOKUP(record[[#This Row],[ProcessSN]],表格2_7[],3,FALSE)</f>
        <v>#06</v>
      </c>
      <c r="J6427" t="s">
        <v>593</v>
      </c>
      <c r="K6427" s="195">
        <v>45988.316932870373</v>
      </c>
      <c r="L6427">
        <v>113</v>
      </c>
      <c r="M6427">
        <v>0</v>
      </c>
      <c r="N6427" s="98" t="str">
        <f>IF(record[[#This Row],[Memo]]="Browser:chrome os:android","平板報工",IF(record[[#This Row],[Memo]]=0,"委外",record[[#This Row],[Memo]]))</f>
        <v/>
      </c>
      <c r="O6427" t="s">
        <v>58</v>
      </c>
      <c r="P6427" t="s">
        <v>135</v>
      </c>
      <c r="Q6427" t="s">
        <v>58</v>
      </c>
      <c r="R6427" t="str">
        <f>IFERROR(VLOOKUP(record[[#This Row],[PCUSTID]],廠商[],2,FALSE),"")</f>
        <v/>
      </c>
      <c r="S6427" t="str">
        <f>VLOOKUP(record[[#This Row],[employeeID]],員工[],2,FALSE)</f>
        <v>阮士文</v>
      </c>
    </row>
    <row r="6428" spans="6:19" hidden="1" x14ac:dyDescent="0.25">
      <c r="F6428" t="s">
        <v>1225</v>
      </c>
      <c r="G6428" t="s">
        <v>418</v>
      </c>
      <c r="H6428" t="str">
        <f>VLOOKUP(record[[#This Row],[ProcessSN]],表格2_7[],2,FALSE)</f>
        <v>30-4118-018-5XX</v>
      </c>
      <c r="I6428" t="str">
        <f>VLOOKUP(record[[#This Row],[ProcessSN]],表格2_7[],3,FALSE)</f>
        <v>#07</v>
      </c>
      <c r="J6428" t="s">
        <v>588</v>
      </c>
      <c r="K6428" s="195">
        <v>45987.697847222225</v>
      </c>
      <c r="L6428">
        <v>42</v>
      </c>
      <c r="M6428">
        <v>0</v>
      </c>
      <c r="N6428" s="98" t="str">
        <f>IF(record[[#This Row],[Memo]]="Browser:chrome os:android","平板報工",IF(record[[#This Row],[Memo]]=0,"委外",record[[#This Row],[Memo]]))</f>
        <v/>
      </c>
      <c r="O6428" t="s">
        <v>58</v>
      </c>
      <c r="P6428" t="s">
        <v>101</v>
      </c>
      <c r="Q6428" t="s">
        <v>58</v>
      </c>
      <c r="R6428" t="str">
        <f>IFERROR(VLOOKUP(record[[#This Row],[PCUSTID]],廠商[],2,FALSE),"")</f>
        <v/>
      </c>
      <c r="S6428" t="str">
        <f>VLOOKUP(record[[#This Row],[employeeID]],員工[],2,FALSE)</f>
        <v>陳氏絨</v>
      </c>
    </row>
    <row r="6429" spans="6:19" hidden="1" x14ac:dyDescent="0.25">
      <c r="F6429" t="s">
        <v>1225</v>
      </c>
      <c r="G6429" t="s">
        <v>418</v>
      </c>
      <c r="H6429" t="str">
        <f>VLOOKUP(record[[#This Row],[ProcessSN]],表格2_7[],2,FALSE)</f>
        <v>30-4118-018-5XX</v>
      </c>
      <c r="I6429" t="str">
        <f>VLOOKUP(record[[#This Row],[ProcessSN]],表格2_7[],3,FALSE)</f>
        <v>#07</v>
      </c>
      <c r="J6429" t="s">
        <v>588</v>
      </c>
      <c r="K6429" s="195">
        <v>45987.682766203703</v>
      </c>
      <c r="L6429">
        <v>120</v>
      </c>
      <c r="M6429">
        <v>0</v>
      </c>
      <c r="N6429" s="98" t="str">
        <f>IF(record[[#This Row],[Memo]]="Browser:chrome os:android","平板報工",IF(record[[#This Row],[Memo]]=0,"委外",record[[#This Row],[Memo]]))</f>
        <v/>
      </c>
      <c r="O6429" t="s">
        <v>58</v>
      </c>
      <c r="P6429" t="s">
        <v>101</v>
      </c>
      <c r="Q6429" t="s">
        <v>58</v>
      </c>
      <c r="R6429" t="str">
        <f>IFERROR(VLOOKUP(record[[#This Row],[PCUSTID]],廠商[],2,FALSE),"")</f>
        <v/>
      </c>
      <c r="S6429" t="str">
        <f>VLOOKUP(record[[#This Row],[employeeID]],員工[],2,FALSE)</f>
        <v>陳氏絨</v>
      </c>
    </row>
    <row r="6430" spans="6:19" hidden="1" x14ac:dyDescent="0.25">
      <c r="F6430" t="s">
        <v>1209</v>
      </c>
      <c r="G6430" t="s">
        <v>467</v>
      </c>
      <c r="H6430" t="str">
        <f>VLOOKUP(record[[#This Row],[ProcessSN]],表格2_7[],2,FALSE)</f>
        <v>30-4118-018-XXX</v>
      </c>
      <c r="I6430" t="str">
        <f>VLOOKUP(record[[#This Row],[ProcessSN]],表格2_7[],3,FALSE)</f>
        <v>#01QC</v>
      </c>
      <c r="J6430" t="s">
        <v>589</v>
      </c>
      <c r="K6430" s="195">
        <v>45987.680648148147</v>
      </c>
      <c r="L6430">
        <v>1670</v>
      </c>
      <c r="M6430">
        <v>0</v>
      </c>
      <c r="N6430" s="98" t="str">
        <f>IF(record[[#This Row],[Memo]]="Browser:chrome os:android","平板報工",IF(record[[#This Row],[Memo]]=0,"委外",record[[#This Row],[Memo]]))</f>
        <v>平板報工</v>
      </c>
      <c r="O6430" t="s">
        <v>643</v>
      </c>
      <c r="P6430" t="s">
        <v>182</v>
      </c>
      <c r="Q6430" t="s">
        <v>644</v>
      </c>
      <c r="R6430" t="str">
        <f>IFERROR(VLOOKUP(record[[#This Row],[PCUSTID]],廠商[],2,FALSE),"")</f>
        <v/>
      </c>
      <c r="S6430" t="str">
        <f>VLOOKUP(record[[#This Row],[employeeID]],員工[],2,FALSE)</f>
        <v>梅氏和</v>
      </c>
    </row>
    <row r="6431" spans="6:19" hidden="1" x14ac:dyDescent="0.25">
      <c r="F6431" t="s">
        <v>1225</v>
      </c>
      <c r="G6431" t="s">
        <v>417</v>
      </c>
      <c r="H6431" t="str">
        <f>VLOOKUP(record[[#This Row],[ProcessSN]],表格2_7[],2,FALSE)</f>
        <v>30-4118-018-5XX</v>
      </c>
      <c r="I6431" t="str">
        <f>VLOOKUP(record[[#This Row],[ProcessSN]],表格2_7[],3,FALSE)</f>
        <v>#06</v>
      </c>
      <c r="J6431" t="s">
        <v>593</v>
      </c>
      <c r="K6431" s="195">
        <v>45987.658900462964</v>
      </c>
      <c r="L6431">
        <v>115</v>
      </c>
      <c r="M6431">
        <v>0</v>
      </c>
      <c r="N6431" s="98" t="str">
        <f>IF(record[[#This Row],[Memo]]="Browser:chrome os:android","平板報工",IF(record[[#This Row],[Memo]]=0,"委外",record[[#This Row],[Memo]]))</f>
        <v>平板報工</v>
      </c>
      <c r="O6431" t="s">
        <v>643</v>
      </c>
      <c r="P6431" t="s">
        <v>111</v>
      </c>
      <c r="Q6431" t="s">
        <v>644</v>
      </c>
      <c r="R6431" t="str">
        <f>IFERROR(VLOOKUP(record[[#This Row],[PCUSTID]],廠商[],2,FALSE),"")</f>
        <v/>
      </c>
      <c r="S6431" t="str">
        <f>VLOOKUP(record[[#This Row],[employeeID]],員工[],2,FALSE)</f>
        <v>江栩妘</v>
      </c>
    </row>
    <row r="6432" spans="6:19" hidden="1" x14ac:dyDescent="0.25">
      <c r="F6432" t="s">
        <v>1209</v>
      </c>
      <c r="G6432" t="s">
        <v>466</v>
      </c>
      <c r="H6432" t="str">
        <f>VLOOKUP(record[[#This Row],[ProcessSN]],表格2_7[],2,FALSE)</f>
        <v>30-4118-018-XXX</v>
      </c>
      <c r="I6432" t="str">
        <f>VLOOKUP(record[[#This Row],[ProcessSN]],表格2_7[],3,FALSE)</f>
        <v>#01-2</v>
      </c>
      <c r="J6432" t="s">
        <v>588</v>
      </c>
      <c r="K6432" s="195">
        <v>45987.655162037037</v>
      </c>
      <c r="L6432">
        <v>472</v>
      </c>
      <c r="M6432">
        <v>0</v>
      </c>
      <c r="N6432" s="98" t="str">
        <f>IF(record[[#This Row],[Memo]]="Browser:chrome os:android","平板報工",IF(record[[#This Row],[Memo]]=0,"委外",record[[#This Row],[Memo]]))</f>
        <v>平板報工</v>
      </c>
      <c r="O6432" t="s">
        <v>643</v>
      </c>
      <c r="P6432" t="s">
        <v>145</v>
      </c>
      <c r="Q6432" t="s">
        <v>644</v>
      </c>
      <c r="R6432" t="str">
        <f>IFERROR(VLOOKUP(record[[#This Row],[PCUSTID]],廠商[],2,FALSE),"")</f>
        <v/>
      </c>
      <c r="S6432" t="str">
        <f>VLOOKUP(record[[#This Row],[employeeID]],員工[],2,FALSE)</f>
        <v>阮秋霞</v>
      </c>
    </row>
    <row r="6433" spans="6:19" hidden="1" x14ac:dyDescent="0.25">
      <c r="F6433" t="s">
        <v>1209</v>
      </c>
      <c r="G6433" t="s">
        <v>465</v>
      </c>
      <c r="H6433" t="str">
        <f>VLOOKUP(record[[#This Row],[ProcessSN]],表格2_7[],2,FALSE)</f>
        <v>30-4118-018-XXX</v>
      </c>
      <c r="I6433" t="str">
        <f>VLOOKUP(record[[#This Row],[ProcessSN]],表格2_7[],3,FALSE)</f>
        <v>#01-1</v>
      </c>
      <c r="J6433" t="s">
        <v>588</v>
      </c>
      <c r="K6433" s="195">
        <v>45987.655034722222</v>
      </c>
      <c r="L6433">
        <v>552</v>
      </c>
      <c r="M6433">
        <v>0</v>
      </c>
      <c r="N6433" s="98" t="str">
        <f>IF(record[[#This Row],[Memo]]="Browser:chrome os:android","平板報工",IF(record[[#This Row],[Memo]]=0,"委外",record[[#This Row],[Memo]]))</f>
        <v>平板報工</v>
      </c>
      <c r="O6433" t="s">
        <v>643</v>
      </c>
      <c r="P6433" t="s">
        <v>145</v>
      </c>
      <c r="Q6433" t="s">
        <v>644</v>
      </c>
      <c r="R6433" t="str">
        <f>IFERROR(VLOOKUP(record[[#This Row],[PCUSTID]],廠商[],2,FALSE),"")</f>
        <v/>
      </c>
      <c r="S6433" t="str">
        <f>VLOOKUP(record[[#This Row],[employeeID]],員工[],2,FALSE)</f>
        <v>阮秋霞</v>
      </c>
    </row>
    <row r="6434" spans="6:19" hidden="1" x14ac:dyDescent="0.25">
      <c r="F6434" t="s">
        <v>1236</v>
      </c>
      <c r="G6434" t="s">
        <v>416</v>
      </c>
      <c r="H6434" t="str">
        <f>VLOOKUP(record[[#This Row],[ProcessSN]],表格2_7[],2,FALSE)</f>
        <v>30-4118-018-5XX</v>
      </c>
      <c r="I6434" t="str">
        <f>VLOOKUP(record[[#This Row],[ProcessSN]],表格2_7[],3,FALSE)</f>
        <v>#05</v>
      </c>
      <c r="J6434" t="s">
        <v>588</v>
      </c>
      <c r="K6434" s="195">
        <v>45987.649351851855</v>
      </c>
      <c r="L6434">
        <v>90</v>
      </c>
      <c r="M6434">
        <v>0</v>
      </c>
      <c r="N6434" s="98" t="str">
        <f>IF(record[[#This Row],[Memo]]="Browser:chrome os:android","平板報工",IF(record[[#This Row],[Memo]]=0,"委外",record[[#This Row],[Memo]]))</f>
        <v>平板報工</v>
      </c>
      <c r="O6434" t="s">
        <v>643</v>
      </c>
      <c r="P6434" t="s">
        <v>107</v>
      </c>
      <c r="Q6434" t="s">
        <v>644</v>
      </c>
      <c r="R6434" t="str">
        <f>IFERROR(VLOOKUP(record[[#This Row],[PCUSTID]],廠商[],2,FALSE),"")</f>
        <v/>
      </c>
      <c r="S6434" t="str">
        <f>VLOOKUP(record[[#This Row],[employeeID]],員工[],2,FALSE)</f>
        <v>黎氏順</v>
      </c>
    </row>
    <row r="6435" spans="6:19" hidden="1" x14ac:dyDescent="0.25">
      <c r="F6435" t="s">
        <v>1181</v>
      </c>
      <c r="G6435" t="s">
        <v>428</v>
      </c>
      <c r="H6435" t="str">
        <f>VLOOKUP(record[[#This Row],[ProcessSN]],表格2_7[],2,FALSE)</f>
        <v>30-4118-018-600</v>
      </c>
      <c r="I6435" t="str">
        <f>VLOOKUP(record[[#This Row],[ProcessSN]],表格2_7[],3,FALSE)</f>
        <v>#100SHIP</v>
      </c>
      <c r="J6435" t="s">
        <v>600</v>
      </c>
      <c r="K6435" s="195">
        <v>45987.55201388889</v>
      </c>
      <c r="L6435">
        <v>28</v>
      </c>
      <c r="M6435">
        <v>0</v>
      </c>
      <c r="N6435" s="98" t="str">
        <f>IF(record[[#This Row],[Memo]]="Browser:chrome os:android","平板報工",IF(record[[#This Row],[Memo]]=0,"委外",record[[#This Row],[Memo]]))</f>
        <v/>
      </c>
      <c r="O6435" t="s">
        <v>58</v>
      </c>
      <c r="P6435" t="s">
        <v>886</v>
      </c>
      <c r="Q6435" t="s">
        <v>58</v>
      </c>
      <c r="R6435" t="str">
        <f>IFERROR(VLOOKUP(record[[#This Row],[PCUSTID]],廠商[],2,FALSE),"")</f>
        <v/>
      </c>
      <c r="S6435" t="str">
        <f>VLOOKUP(record[[#This Row],[employeeID]],員工[],2,FALSE)</f>
        <v>謝蓁薰</v>
      </c>
    </row>
    <row r="6436" spans="6:19" hidden="1" x14ac:dyDescent="0.25">
      <c r="F6436" t="s">
        <v>1227</v>
      </c>
      <c r="G6436" t="s">
        <v>403</v>
      </c>
      <c r="H6436" t="str">
        <f>VLOOKUP(record[[#This Row],[ProcessSN]],表格2_7[],2,FALSE)</f>
        <v>30-4118-018-550</v>
      </c>
      <c r="I6436" t="str">
        <f>VLOOKUP(record[[#This Row],[ProcessSN]],表格2_7[],3,FALSE)</f>
        <v>#100SHIP</v>
      </c>
      <c r="J6436" t="s">
        <v>600</v>
      </c>
      <c r="K6436" s="195">
        <v>45987.551435185182</v>
      </c>
      <c r="L6436">
        <v>7</v>
      </c>
      <c r="M6436">
        <v>0</v>
      </c>
      <c r="N6436" s="98" t="str">
        <f>IF(record[[#This Row],[Memo]]="Browser:chrome os:android","平板報工",IF(record[[#This Row],[Memo]]=0,"委外",record[[#This Row],[Memo]]))</f>
        <v/>
      </c>
      <c r="O6436" t="s">
        <v>58</v>
      </c>
      <c r="P6436" t="s">
        <v>886</v>
      </c>
      <c r="Q6436" t="s">
        <v>58</v>
      </c>
      <c r="R6436" t="str">
        <f>IFERROR(VLOOKUP(record[[#This Row],[PCUSTID]],廠商[],2,FALSE),"")</f>
        <v/>
      </c>
      <c r="S6436" t="str">
        <f>VLOOKUP(record[[#This Row],[employeeID]],員工[],2,FALSE)</f>
        <v>謝蓁薰</v>
      </c>
    </row>
    <row r="6437" spans="6:19" hidden="1" x14ac:dyDescent="0.25">
      <c r="F6437" t="s">
        <v>1246</v>
      </c>
      <c r="G6437" t="s">
        <v>397</v>
      </c>
      <c r="H6437" t="str">
        <f>VLOOKUP(record[[#This Row],[ProcessSN]],表格2_7[],2,FALSE)</f>
        <v>30-4118-018-550</v>
      </c>
      <c r="I6437" t="str">
        <f>VLOOKUP(record[[#This Row],[ProcessSN]],表格2_7[],3,FALSE)</f>
        <v>#08</v>
      </c>
      <c r="J6437" t="s">
        <v>597</v>
      </c>
      <c r="K6437" s="195">
        <v>45987.427037037036</v>
      </c>
      <c r="L6437">
        <v>300</v>
      </c>
      <c r="M6437">
        <v>0</v>
      </c>
      <c r="N6437" s="98" t="str">
        <f>IF(record[[#This Row],[Memo]]="Browser:chrome os:android","平板報工",IF(record[[#This Row],[Memo]]=0,"委外",record[[#This Row],[Memo]]))</f>
        <v>委外</v>
      </c>
      <c r="P6437" t="s">
        <v>186</v>
      </c>
      <c r="Q6437" t="s">
        <v>287</v>
      </c>
      <c r="R6437" t="str">
        <f>IFERROR(VLOOKUP(record[[#This Row],[PCUSTID]],廠商[],2,FALSE),"")</f>
        <v>泉盛</v>
      </c>
      <c r="S6437" t="str">
        <f>VLOOKUP(record[[#This Row],[employeeID]],員工[],2,FALSE)</f>
        <v>許文姍</v>
      </c>
    </row>
    <row r="6438" spans="6:19" hidden="1" x14ac:dyDescent="0.25">
      <c r="F6438" t="s">
        <v>1246</v>
      </c>
      <c r="G6438" t="s">
        <v>396</v>
      </c>
      <c r="H6438" t="str">
        <f>VLOOKUP(record[[#This Row],[ProcessSN]],表格2_7[],2,FALSE)</f>
        <v>30-4118-018-550</v>
      </c>
      <c r="I6438" t="str">
        <f>VLOOKUP(record[[#This Row],[ProcessSN]],表格2_7[],3,FALSE)</f>
        <v>#08PICK</v>
      </c>
      <c r="J6438" t="s">
        <v>582</v>
      </c>
      <c r="K6438" s="195">
        <v>45987.399618055555</v>
      </c>
      <c r="L6438">
        <v>300</v>
      </c>
      <c r="M6438">
        <v>0</v>
      </c>
      <c r="N6438" s="98" t="str">
        <f>IF(record[[#This Row],[Memo]]="Browser:chrome os:android","平板報工",IF(record[[#This Row],[Memo]]=0,"委外",record[[#This Row],[Memo]]))</f>
        <v/>
      </c>
      <c r="O6438" t="s">
        <v>58</v>
      </c>
      <c r="P6438" t="s">
        <v>186</v>
      </c>
      <c r="Q6438" t="s">
        <v>58</v>
      </c>
      <c r="R6438" t="str">
        <f>IFERROR(VLOOKUP(record[[#This Row],[PCUSTID]],廠商[],2,FALSE),"")</f>
        <v/>
      </c>
      <c r="S6438" t="str">
        <f>VLOOKUP(record[[#This Row],[employeeID]],員工[],2,FALSE)</f>
        <v>許文姍</v>
      </c>
    </row>
    <row r="6439" spans="6:19" hidden="1" x14ac:dyDescent="0.25">
      <c r="F6439" t="s">
        <v>1225</v>
      </c>
      <c r="G6439" t="s">
        <v>420</v>
      </c>
      <c r="H6439" t="str">
        <f>VLOOKUP(record[[#This Row],[ProcessSN]],表格2_7[],2,FALSE)</f>
        <v>30-4118-018-5XX</v>
      </c>
      <c r="I6439" t="str">
        <f>VLOOKUP(record[[#This Row],[ProcessSN]],表格2_7[],3,FALSE)</f>
        <v>#07STOCK</v>
      </c>
      <c r="J6439" t="s">
        <v>592</v>
      </c>
      <c r="K6439" s="195">
        <v>45987.398009259261</v>
      </c>
      <c r="L6439">
        <v>168</v>
      </c>
      <c r="M6439">
        <v>0</v>
      </c>
      <c r="N6439" s="98" t="str">
        <f>IF(record[[#This Row],[Memo]]="Browser:chrome os:android","平板報工",IF(record[[#This Row],[Memo]]=0,"委外",record[[#This Row],[Memo]]))</f>
        <v/>
      </c>
      <c r="O6439" t="s">
        <v>58</v>
      </c>
      <c r="P6439" t="s">
        <v>186</v>
      </c>
      <c r="Q6439" t="s">
        <v>58</v>
      </c>
      <c r="R6439" t="str">
        <f>IFERROR(VLOOKUP(record[[#This Row],[PCUSTID]],廠商[],2,FALSE),"")</f>
        <v/>
      </c>
      <c r="S6439" t="str">
        <f>VLOOKUP(record[[#This Row],[employeeID]],員工[],2,FALSE)</f>
        <v>許文姍</v>
      </c>
    </row>
    <row r="6440" spans="6:19" hidden="1" x14ac:dyDescent="0.25">
      <c r="F6440" t="s">
        <v>1189</v>
      </c>
      <c r="G6440" t="s">
        <v>420</v>
      </c>
      <c r="H6440" t="str">
        <f>VLOOKUP(record[[#This Row],[ProcessSN]],表格2_7[],2,FALSE)</f>
        <v>30-4118-018-5XX</v>
      </c>
      <c r="I6440" t="str">
        <f>VLOOKUP(record[[#This Row],[ProcessSN]],表格2_7[],3,FALSE)</f>
        <v>#07STOCK</v>
      </c>
      <c r="J6440" t="s">
        <v>592</v>
      </c>
      <c r="K6440" s="195">
        <v>45987.397870370369</v>
      </c>
      <c r="L6440">
        <v>132</v>
      </c>
      <c r="M6440">
        <v>0</v>
      </c>
      <c r="N6440" s="98" t="str">
        <f>IF(record[[#This Row],[Memo]]="Browser:chrome os:android","平板報工",IF(record[[#This Row],[Memo]]=0,"委外",record[[#This Row],[Memo]]))</f>
        <v/>
      </c>
      <c r="O6440" t="s">
        <v>58</v>
      </c>
      <c r="P6440" t="s">
        <v>186</v>
      </c>
      <c r="Q6440" t="s">
        <v>58</v>
      </c>
      <c r="R6440" t="str">
        <f>IFERROR(VLOOKUP(record[[#This Row],[PCUSTID]],廠商[],2,FALSE),"")</f>
        <v/>
      </c>
      <c r="S6440" t="str">
        <f>VLOOKUP(record[[#This Row],[employeeID]],員工[],2,FALSE)</f>
        <v>許文姍</v>
      </c>
    </row>
    <row r="6441" spans="6:19" hidden="1" x14ac:dyDescent="0.25">
      <c r="F6441" t="s">
        <v>1225</v>
      </c>
      <c r="G6441" t="s">
        <v>419</v>
      </c>
      <c r="H6441" t="str">
        <f>VLOOKUP(record[[#This Row],[ProcessSN]],表格2_7[],2,FALSE)</f>
        <v>30-4118-018-5XX</v>
      </c>
      <c r="I6441" t="str">
        <f>VLOOKUP(record[[#This Row],[ProcessSN]],表格2_7[],3,FALSE)</f>
        <v>#07QC</v>
      </c>
      <c r="J6441" t="s">
        <v>589</v>
      </c>
      <c r="K6441" s="195">
        <v>45987.397696759261</v>
      </c>
      <c r="L6441">
        <v>168</v>
      </c>
      <c r="M6441">
        <v>0</v>
      </c>
      <c r="N6441" s="98" t="str">
        <f>IF(record[[#This Row],[Memo]]="Browser:chrome os:android","平板報工",IF(record[[#This Row],[Memo]]=0,"委外",record[[#This Row],[Memo]]))</f>
        <v/>
      </c>
      <c r="O6441" t="s">
        <v>58</v>
      </c>
      <c r="P6441" t="s">
        <v>141</v>
      </c>
      <c r="Q6441" t="s">
        <v>58</v>
      </c>
      <c r="R6441" t="str">
        <f>IFERROR(VLOOKUP(record[[#This Row],[PCUSTID]],廠商[],2,FALSE),"")</f>
        <v/>
      </c>
      <c r="S6441" t="str">
        <f>VLOOKUP(record[[#This Row],[employeeID]],員工[],2,FALSE)</f>
        <v>蔣梅</v>
      </c>
    </row>
    <row r="6442" spans="6:19" hidden="1" x14ac:dyDescent="0.25">
      <c r="F6442" t="s">
        <v>1189</v>
      </c>
      <c r="G6442" t="s">
        <v>419</v>
      </c>
      <c r="H6442" t="str">
        <f>VLOOKUP(record[[#This Row],[ProcessSN]],表格2_7[],2,FALSE)</f>
        <v>30-4118-018-5XX</v>
      </c>
      <c r="I6442" t="str">
        <f>VLOOKUP(record[[#This Row],[ProcessSN]],表格2_7[],3,FALSE)</f>
        <v>#07QC</v>
      </c>
      <c r="J6442" t="s">
        <v>589</v>
      </c>
      <c r="K6442" s="195">
        <v>45987.397488425922</v>
      </c>
      <c r="L6442">
        <v>0</v>
      </c>
      <c r="M6442">
        <v>1</v>
      </c>
      <c r="N6442" s="98" t="str">
        <f>IF(record[[#This Row],[Memo]]="Browser:chrome os:android","平板報工",IF(record[[#This Row],[Memo]]=0,"委外",record[[#This Row],[Memo]]))</f>
        <v/>
      </c>
      <c r="O6442" t="s">
        <v>58</v>
      </c>
      <c r="P6442" t="s">
        <v>141</v>
      </c>
      <c r="Q6442" t="s">
        <v>58</v>
      </c>
      <c r="R6442" t="str">
        <f>IFERROR(VLOOKUP(record[[#This Row],[PCUSTID]],廠商[],2,FALSE),"")</f>
        <v/>
      </c>
      <c r="S6442" t="str">
        <f>VLOOKUP(record[[#This Row],[employeeID]],員工[],2,FALSE)</f>
        <v>蔣梅</v>
      </c>
    </row>
    <row r="6443" spans="6:19" hidden="1" x14ac:dyDescent="0.25">
      <c r="F6443" t="s">
        <v>1189</v>
      </c>
      <c r="G6443" t="s">
        <v>419</v>
      </c>
      <c r="H6443" t="str">
        <f>VLOOKUP(record[[#This Row],[ProcessSN]],表格2_7[],2,FALSE)</f>
        <v>30-4118-018-5XX</v>
      </c>
      <c r="I6443" t="str">
        <f>VLOOKUP(record[[#This Row],[ProcessSN]],表格2_7[],3,FALSE)</f>
        <v>#07QC</v>
      </c>
      <c r="J6443" t="s">
        <v>589</v>
      </c>
      <c r="K6443" s="195">
        <v>45987.397326388891</v>
      </c>
      <c r="L6443">
        <v>132</v>
      </c>
      <c r="M6443">
        <v>0</v>
      </c>
      <c r="N6443" s="98" t="str">
        <f>IF(record[[#This Row],[Memo]]="Browser:chrome os:android","平板報工",IF(record[[#This Row],[Memo]]=0,"委外",record[[#This Row],[Memo]]))</f>
        <v/>
      </c>
      <c r="O6443" t="s">
        <v>58</v>
      </c>
      <c r="P6443" t="s">
        <v>141</v>
      </c>
      <c r="Q6443" t="s">
        <v>58</v>
      </c>
      <c r="R6443" t="str">
        <f>IFERROR(VLOOKUP(record[[#This Row],[PCUSTID]],廠商[],2,FALSE),"")</f>
        <v/>
      </c>
      <c r="S6443" t="str">
        <f>VLOOKUP(record[[#This Row],[employeeID]],員工[],2,FALSE)</f>
        <v>蔣梅</v>
      </c>
    </row>
    <row r="6444" spans="6:19" hidden="1" x14ac:dyDescent="0.25">
      <c r="F6444" t="s">
        <v>1225</v>
      </c>
      <c r="G6444" t="s">
        <v>418</v>
      </c>
      <c r="H6444" t="str">
        <f>VLOOKUP(record[[#This Row],[ProcessSN]],表格2_7[],2,FALSE)</f>
        <v>30-4118-018-5XX</v>
      </c>
      <c r="I6444" t="str">
        <f>VLOOKUP(record[[#This Row],[ProcessSN]],表格2_7[],3,FALSE)</f>
        <v>#07</v>
      </c>
      <c r="J6444" t="s">
        <v>588</v>
      </c>
      <c r="K6444" s="195">
        <v>45987.327326388891</v>
      </c>
      <c r="L6444">
        <v>72</v>
      </c>
      <c r="M6444">
        <v>1</v>
      </c>
      <c r="N6444" s="98" t="str">
        <f>IF(record[[#This Row],[Memo]]="Browser:chrome os:android","平板報工",IF(record[[#This Row],[Memo]]=0,"委外",record[[#This Row],[Memo]]))</f>
        <v/>
      </c>
      <c r="O6444" t="s">
        <v>58</v>
      </c>
      <c r="P6444" t="s">
        <v>135</v>
      </c>
      <c r="Q6444" t="s">
        <v>58</v>
      </c>
      <c r="R6444" t="str">
        <f>IFERROR(VLOOKUP(record[[#This Row],[PCUSTID]],廠商[],2,FALSE),"")</f>
        <v/>
      </c>
      <c r="S6444" t="str">
        <f>VLOOKUP(record[[#This Row],[employeeID]],員工[],2,FALSE)</f>
        <v>阮士文</v>
      </c>
    </row>
    <row r="6445" spans="6:19" hidden="1" x14ac:dyDescent="0.25">
      <c r="F6445" t="s">
        <v>1225</v>
      </c>
      <c r="G6445" t="s">
        <v>417</v>
      </c>
      <c r="H6445" t="str">
        <f>VLOOKUP(record[[#This Row],[ProcessSN]],表格2_7[],2,FALSE)</f>
        <v>30-4118-018-5XX</v>
      </c>
      <c r="I6445" t="str">
        <f>VLOOKUP(record[[#This Row],[ProcessSN]],表格2_7[],3,FALSE)</f>
        <v>#06</v>
      </c>
      <c r="J6445" t="s">
        <v>593</v>
      </c>
      <c r="K6445" s="195">
        <v>45987.32708333333</v>
      </c>
      <c r="L6445">
        <v>114</v>
      </c>
      <c r="M6445">
        <v>51</v>
      </c>
      <c r="N6445" s="98" t="str">
        <f>IF(record[[#This Row],[Memo]]="Browser:chrome os:android","平板報工",IF(record[[#This Row],[Memo]]=0,"委外",record[[#This Row],[Memo]]))</f>
        <v/>
      </c>
      <c r="O6445" t="s">
        <v>58</v>
      </c>
      <c r="P6445" t="s">
        <v>135</v>
      </c>
      <c r="Q6445" t="s">
        <v>58</v>
      </c>
      <c r="R6445" t="str">
        <f>IFERROR(VLOOKUP(record[[#This Row],[PCUSTID]],廠商[],2,FALSE),"")</f>
        <v/>
      </c>
      <c r="S6445" t="str">
        <f>VLOOKUP(record[[#This Row],[employeeID]],員工[],2,FALSE)</f>
        <v>阮士文</v>
      </c>
    </row>
    <row r="6446" spans="6:19" hidden="1" x14ac:dyDescent="0.25">
      <c r="F6446" t="s">
        <v>1236</v>
      </c>
      <c r="G6446" t="s">
        <v>416</v>
      </c>
      <c r="H6446" t="str">
        <f>VLOOKUP(record[[#This Row],[ProcessSN]],表格2_7[],2,FALSE)</f>
        <v>30-4118-018-5XX</v>
      </c>
      <c r="I6446" t="str">
        <f>VLOOKUP(record[[#This Row],[ProcessSN]],表格2_7[],3,FALSE)</f>
        <v>#05</v>
      </c>
      <c r="J6446" t="s">
        <v>588</v>
      </c>
      <c r="K6446" s="195">
        <v>45987.326643518521</v>
      </c>
      <c r="L6446">
        <v>217</v>
      </c>
      <c r="M6446">
        <v>0</v>
      </c>
      <c r="N6446" s="98" t="str">
        <f>IF(record[[#This Row],[Memo]]="Browser:chrome os:android","平板報工",IF(record[[#This Row],[Memo]]=0,"委外",record[[#This Row],[Memo]]))</f>
        <v/>
      </c>
      <c r="O6446" t="s">
        <v>58</v>
      </c>
      <c r="P6446" t="s">
        <v>135</v>
      </c>
      <c r="Q6446" t="s">
        <v>58</v>
      </c>
      <c r="R6446" t="str">
        <f>IFERROR(VLOOKUP(record[[#This Row],[PCUSTID]],廠商[],2,FALSE),"")</f>
        <v/>
      </c>
      <c r="S6446" t="str">
        <f>VLOOKUP(record[[#This Row],[employeeID]],員工[],2,FALSE)</f>
        <v>阮士文</v>
      </c>
    </row>
    <row r="6447" spans="6:19" hidden="1" x14ac:dyDescent="0.25">
      <c r="F6447" t="s">
        <v>1227</v>
      </c>
      <c r="G6447" t="s">
        <v>401</v>
      </c>
      <c r="H6447" t="str">
        <f>VLOOKUP(record[[#This Row],[ProcessSN]],表格2_7[],2,FALSE)</f>
        <v>30-4118-018-550</v>
      </c>
      <c r="I6447" t="str">
        <f>VLOOKUP(record[[#This Row],[ProcessSN]],表格2_7[],3,FALSE)</f>
        <v>#100OQC</v>
      </c>
      <c r="J6447" t="s">
        <v>599</v>
      </c>
      <c r="K6447" s="195">
        <v>45987.325787037036</v>
      </c>
      <c r="L6447">
        <v>10</v>
      </c>
      <c r="M6447">
        <v>0</v>
      </c>
      <c r="N6447" s="98" t="str">
        <f>IF(record[[#This Row],[Memo]]="Browser:chrome os:android","平板報工",IF(record[[#This Row],[Memo]]=0,"委外",record[[#This Row],[Memo]]))</f>
        <v/>
      </c>
      <c r="O6447" t="s">
        <v>58</v>
      </c>
      <c r="P6447" t="s">
        <v>121</v>
      </c>
      <c r="Q6447" t="s">
        <v>58</v>
      </c>
      <c r="R6447" t="str">
        <f>IFERROR(VLOOKUP(record[[#This Row],[PCUSTID]],廠商[],2,FALSE),"")</f>
        <v/>
      </c>
      <c r="S6447" t="str">
        <f>VLOOKUP(record[[#This Row],[employeeID]],員工[],2,FALSE)</f>
        <v>謝素卿</v>
      </c>
    </row>
    <row r="6448" spans="6:19" hidden="1" x14ac:dyDescent="0.25">
      <c r="F6448" t="s">
        <v>1233</v>
      </c>
      <c r="G6448" t="s">
        <v>401</v>
      </c>
      <c r="H6448" t="str">
        <f>VLOOKUP(record[[#This Row],[ProcessSN]],表格2_7[],2,FALSE)</f>
        <v>30-4118-018-550</v>
      </c>
      <c r="I6448" t="str">
        <f>VLOOKUP(record[[#This Row],[ProcessSN]],表格2_7[],3,FALSE)</f>
        <v>#100OQC</v>
      </c>
      <c r="J6448" t="s">
        <v>599</v>
      </c>
      <c r="K6448" s="195">
        <v>45987.325659722221</v>
      </c>
      <c r="L6448">
        <v>453</v>
      </c>
      <c r="M6448">
        <v>0</v>
      </c>
      <c r="N6448" s="98" t="str">
        <f>IF(record[[#This Row],[Memo]]="Browser:chrome os:android","平板報工",IF(record[[#This Row],[Memo]]=0,"委外",record[[#This Row],[Memo]]))</f>
        <v/>
      </c>
      <c r="O6448" t="s">
        <v>58</v>
      </c>
      <c r="P6448" t="s">
        <v>121</v>
      </c>
      <c r="Q6448" t="s">
        <v>58</v>
      </c>
      <c r="R6448" t="str">
        <f>IFERROR(VLOOKUP(record[[#This Row],[PCUSTID]],廠商[],2,FALSE),"")</f>
        <v/>
      </c>
      <c r="S6448" t="str">
        <f>VLOOKUP(record[[#This Row],[employeeID]],員工[],2,FALSE)</f>
        <v>謝素卿</v>
      </c>
    </row>
    <row r="6449" spans="6:19" hidden="1" x14ac:dyDescent="0.25">
      <c r="F6449" t="s">
        <v>1236</v>
      </c>
      <c r="G6449" t="s">
        <v>415</v>
      </c>
      <c r="H6449" t="str">
        <f>VLOOKUP(record[[#This Row],[ProcessSN]],表格2_7[],2,FALSE)</f>
        <v>30-4118-018-5XX</v>
      </c>
      <c r="I6449" t="str">
        <f>VLOOKUP(record[[#This Row],[ProcessSN]],表格2_7[],3,FALSE)</f>
        <v>#04</v>
      </c>
      <c r="J6449" t="s">
        <v>588</v>
      </c>
      <c r="K6449" s="195">
        <v>45986.972210648149</v>
      </c>
      <c r="L6449">
        <v>77</v>
      </c>
      <c r="M6449">
        <v>0</v>
      </c>
      <c r="N6449" s="98" t="str">
        <f>IF(record[[#This Row],[Memo]]="Browser:chrome os:android","平板報工",IF(record[[#This Row],[Memo]]=0,"委外",record[[#This Row],[Memo]]))</f>
        <v/>
      </c>
      <c r="O6449" t="s">
        <v>58</v>
      </c>
      <c r="P6449" t="s">
        <v>1098</v>
      </c>
      <c r="Q6449" t="s">
        <v>58</v>
      </c>
      <c r="R6449" t="str">
        <f>IFERROR(VLOOKUP(record[[#This Row],[PCUSTID]],廠商[],2,FALSE),"")</f>
        <v/>
      </c>
      <c r="S6449" t="str">
        <f>VLOOKUP(record[[#This Row],[employeeID]],員工[],2,FALSE)</f>
        <v>阮氏芳英(英)</v>
      </c>
    </row>
    <row r="6450" spans="6:19" hidden="1" x14ac:dyDescent="0.25">
      <c r="F6450" t="s">
        <v>1209</v>
      </c>
      <c r="G6450" t="s">
        <v>466</v>
      </c>
      <c r="H6450" t="str">
        <f>VLOOKUP(record[[#This Row],[ProcessSN]],表格2_7[],2,FALSE)</f>
        <v>30-4118-018-XXX</v>
      </c>
      <c r="I6450" t="str">
        <f>VLOOKUP(record[[#This Row],[ProcessSN]],表格2_7[],3,FALSE)</f>
        <v>#01-2</v>
      </c>
      <c r="J6450" t="s">
        <v>588</v>
      </c>
      <c r="K6450" s="195">
        <v>45986.971585648149</v>
      </c>
      <c r="L6450">
        <v>320</v>
      </c>
      <c r="M6450">
        <v>0</v>
      </c>
      <c r="N6450" s="98" t="str">
        <f>IF(record[[#This Row],[Memo]]="Browser:chrome os:android","平板報工",IF(record[[#This Row],[Memo]]=0,"委外",record[[#This Row],[Memo]]))</f>
        <v/>
      </c>
      <c r="O6450" t="s">
        <v>58</v>
      </c>
      <c r="P6450" t="s">
        <v>806</v>
      </c>
      <c r="Q6450" t="s">
        <v>58</v>
      </c>
      <c r="R6450" t="str">
        <f>IFERROR(VLOOKUP(record[[#This Row],[PCUSTID]],廠商[],2,FALSE),"")</f>
        <v/>
      </c>
      <c r="S6450" t="str">
        <f>VLOOKUP(record[[#This Row],[employeeID]],員工[],2,FALSE)</f>
        <v>方思緯</v>
      </c>
    </row>
    <row r="6451" spans="6:19" hidden="1" x14ac:dyDescent="0.25">
      <c r="F6451" t="s">
        <v>1209</v>
      </c>
      <c r="G6451" t="s">
        <v>465</v>
      </c>
      <c r="H6451" t="str">
        <f>VLOOKUP(record[[#This Row],[ProcessSN]],表格2_7[],2,FALSE)</f>
        <v>30-4118-018-XXX</v>
      </c>
      <c r="I6451" t="str">
        <f>VLOOKUP(record[[#This Row],[ProcessSN]],表格2_7[],3,FALSE)</f>
        <v>#01-1</v>
      </c>
      <c r="J6451" t="s">
        <v>588</v>
      </c>
      <c r="K6451" s="195">
        <v>45986.971331018518</v>
      </c>
      <c r="L6451">
        <v>504</v>
      </c>
      <c r="M6451">
        <v>0</v>
      </c>
      <c r="N6451" s="98" t="str">
        <f>IF(record[[#This Row],[Memo]]="Browser:chrome os:android","平板報工",IF(record[[#This Row],[Memo]]=0,"委外",record[[#This Row],[Memo]]))</f>
        <v/>
      </c>
      <c r="O6451" t="s">
        <v>58</v>
      </c>
      <c r="P6451" t="s">
        <v>806</v>
      </c>
      <c r="Q6451" t="s">
        <v>58</v>
      </c>
      <c r="R6451" t="str">
        <f>IFERROR(VLOOKUP(record[[#This Row],[PCUSTID]],廠商[],2,FALSE),"")</f>
        <v/>
      </c>
      <c r="S6451" t="str">
        <f>VLOOKUP(record[[#This Row],[employeeID]],員工[],2,FALSE)</f>
        <v>方思緯</v>
      </c>
    </row>
    <row r="6452" spans="6:19" hidden="1" x14ac:dyDescent="0.25">
      <c r="F6452" t="s">
        <v>1225</v>
      </c>
      <c r="G6452" t="s">
        <v>418</v>
      </c>
      <c r="H6452" t="str">
        <f>VLOOKUP(record[[#This Row],[ProcessSN]],表格2_7[],2,FALSE)</f>
        <v>30-4118-018-5XX</v>
      </c>
      <c r="I6452" t="str">
        <f>VLOOKUP(record[[#This Row],[ProcessSN]],表格2_7[],3,FALSE)</f>
        <v>#07</v>
      </c>
      <c r="J6452" t="s">
        <v>588</v>
      </c>
      <c r="K6452" s="195">
        <v>45986.970879629633</v>
      </c>
      <c r="L6452">
        <v>120</v>
      </c>
      <c r="M6452">
        <v>2</v>
      </c>
      <c r="N6452" s="98" t="str">
        <f>IF(record[[#This Row],[Memo]]="Browser:chrome os:android","平板報工",IF(record[[#This Row],[Memo]]=0,"委外",record[[#This Row],[Memo]]))</f>
        <v/>
      </c>
      <c r="O6452" t="s">
        <v>58</v>
      </c>
      <c r="P6452" t="s">
        <v>89</v>
      </c>
      <c r="Q6452" t="s">
        <v>58</v>
      </c>
      <c r="R6452" t="str">
        <f>IFERROR(VLOOKUP(record[[#This Row],[PCUSTID]],廠商[],2,FALSE),"")</f>
        <v/>
      </c>
      <c r="S6452" t="str">
        <f>VLOOKUP(record[[#This Row],[employeeID]],員工[],2,FALSE)</f>
        <v>李美蓮</v>
      </c>
    </row>
    <row r="6453" spans="6:19" hidden="1" x14ac:dyDescent="0.25">
      <c r="F6453" t="s">
        <v>1225</v>
      </c>
      <c r="G6453" t="s">
        <v>417</v>
      </c>
      <c r="H6453" t="str">
        <f>VLOOKUP(record[[#This Row],[ProcessSN]],表格2_7[],2,FALSE)</f>
        <v>30-4118-018-5XX</v>
      </c>
      <c r="I6453" t="str">
        <f>VLOOKUP(record[[#This Row],[ProcessSN]],表格2_7[],3,FALSE)</f>
        <v>#06</v>
      </c>
      <c r="J6453" t="s">
        <v>593</v>
      </c>
      <c r="K6453" s="195">
        <v>45986.970300925925</v>
      </c>
      <c r="L6453">
        <v>133</v>
      </c>
      <c r="M6453">
        <v>0</v>
      </c>
      <c r="N6453" s="98" t="str">
        <f>IF(record[[#This Row],[Memo]]="Browser:chrome os:android","平板報工",IF(record[[#This Row],[Memo]]=0,"委外",record[[#This Row],[Memo]]))</f>
        <v/>
      </c>
      <c r="O6453" t="s">
        <v>58</v>
      </c>
      <c r="P6453" t="s">
        <v>1098</v>
      </c>
      <c r="Q6453" t="s">
        <v>58</v>
      </c>
      <c r="R6453" t="str">
        <f>IFERROR(VLOOKUP(record[[#This Row],[PCUSTID]],廠商[],2,FALSE),"")</f>
        <v/>
      </c>
      <c r="S6453" t="str">
        <f>VLOOKUP(record[[#This Row],[employeeID]],員工[],2,FALSE)</f>
        <v>阮氏芳英(英)</v>
      </c>
    </row>
    <row r="6454" spans="6:19" hidden="1" x14ac:dyDescent="0.25">
      <c r="F6454" t="s">
        <v>1236</v>
      </c>
      <c r="G6454" t="s">
        <v>416</v>
      </c>
      <c r="H6454" t="str">
        <f>VLOOKUP(record[[#This Row],[ProcessSN]],表格2_7[],2,FALSE)</f>
        <v>30-4118-018-5XX</v>
      </c>
      <c r="I6454" t="str">
        <f>VLOOKUP(record[[#This Row],[ProcessSN]],表格2_7[],3,FALSE)</f>
        <v>#05</v>
      </c>
      <c r="J6454" t="s">
        <v>588</v>
      </c>
      <c r="K6454" s="195">
        <v>45986.969155092593</v>
      </c>
      <c r="L6454">
        <v>168</v>
      </c>
      <c r="M6454">
        <v>1</v>
      </c>
      <c r="N6454" s="98" t="str">
        <f>IF(record[[#This Row],[Memo]]="Browser:chrome os:android","平板報工",IF(record[[#This Row],[Memo]]=0,"委外",record[[#This Row],[Memo]]))</f>
        <v/>
      </c>
      <c r="O6454" t="s">
        <v>58</v>
      </c>
      <c r="P6454" t="s">
        <v>89</v>
      </c>
      <c r="Q6454" t="s">
        <v>58</v>
      </c>
      <c r="R6454" t="str">
        <f>IFERROR(VLOOKUP(record[[#This Row],[PCUSTID]],廠商[],2,FALSE),"")</f>
        <v/>
      </c>
      <c r="S6454" t="str">
        <f>VLOOKUP(record[[#This Row],[employeeID]],員工[],2,FALSE)</f>
        <v>李美蓮</v>
      </c>
    </row>
    <row r="6455" spans="6:19" hidden="1" x14ac:dyDescent="0.25">
      <c r="F6455" t="s">
        <v>1225</v>
      </c>
      <c r="G6455" t="s">
        <v>418</v>
      </c>
      <c r="H6455" t="str">
        <f>VLOOKUP(record[[#This Row],[ProcessSN]],表格2_7[],2,FALSE)</f>
        <v>30-4118-018-5XX</v>
      </c>
      <c r="I6455" t="str">
        <f>VLOOKUP(record[[#This Row],[ProcessSN]],表格2_7[],3,FALSE)</f>
        <v>#07</v>
      </c>
      <c r="J6455" t="s">
        <v>588</v>
      </c>
      <c r="K6455" s="195">
        <v>45986.716331018521</v>
      </c>
      <c r="L6455">
        <v>48</v>
      </c>
      <c r="M6455">
        <v>0</v>
      </c>
      <c r="N6455" s="98" t="str">
        <f>IF(record[[#This Row],[Memo]]="Browser:chrome os:android","平板報工",IF(record[[#This Row],[Memo]]=0,"委外",record[[#This Row],[Memo]]))</f>
        <v/>
      </c>
      <c r="O6455" t="s">
        <v>58</v>
      </c>
      <c r="P6455" t="s">
        <v>101</v>
      </c>
      <c r="Q6455" t="s">
        <v>58</v>
      </c>
      <c r="R6455" t="str">
        <f>IFERROR(VLOOKUP(record[[#This Row],[PCUSTID]],廠商[],2,FALSE),"")</f>
        <v/>
      </c>
      <c r="S6455" t="str">
        <f>VLOOKUP(record[[#This Row],[employeeID]],員工[],2,FALSE)</f>
        <v>陳氏絨</v>
      </c>
    </row>
    <row r="6456" spans="6:19" hidden="1" x14ac:dyDescent="0.25">
      <c r="F6456" t="s">
        <v>1225</v>
      </c>
      <c r="G6456" t="s">
        <v>417</v>
      </c>
      <c r="H6456" t="str">
        <f>VLOOKUP(record[[#This Row],[ProcessSN]],表格2_7[],2,FALSE)</f>
        <v>30-4118-018-5XX</v>
      </c>
      <c r="I6456" t="str">
        <f>VLOOKUP(record[[#This Row],[ProcessSN]],表格2_7[],3,FALSE)</f>
        <v>#06</v>
      </c>
      <c r="J6456" t="s">
        <v>593</v>
      </c>
      <c r="K6456" s="195">
        <v>45986.716006944444</v>
      </c>
      <c r="L6456">
        <v>48</v>
      </c>
      <c r="M6456">
        <v>0</v>
      </c>
      <c r="N6456" s="98" t="str">
        <f>IF(record[[#This Row],[Memo]]="Browser:chrome os:android","平板報工",IF(record[[#This Row],[Memo]]=0,"委外",record[[#This Row],[Memo]]))</f>
        <v/>
      </c>
      <c r="O6456" t="s">
        <v>58</v>
      </c>
      <c r="P6456" t="s">
        <v>101</v>
      </c>
      <c r="Q6456" t="s">
        <v>58</v>
      </c>
      <c r="R6456" t="str">
        <f>IFERROR(VLOOKUP(record[[#This Row],[PCUSTID]],廠商[],2,FALSE),"")</f>
        <v/>
      </c>
      <c r="S6456" t="str">
        <f>VLOOKUP(record[[#This Row],[employeeID]],員工[],2,FALSE)</f>
        <v>陳氏絨</v>
      </c>
    </row>
    <row r="6457" spans="6:19" hidden="1" x14ac:dyDescent="0.25">
      <c r="F6457" t="s">
        <v>1173</v>
      </c>
      <c r="G6457" t="s">
        <v>425</v>
      </c>
      <c r="H6457" t="str">
        <f>VLOOKUP(record[[#This Row],[ProcessSN]],表格2_7[],2,FALSE)</f>
        <v>30-4118-018-600</v>
      </c>
      <c r="I6457" t="str">
        <f>VLOOKUP(record[[#This Row],[ProcessSN]],表格2_7[],3,FALSE)</f>
        <v>#100</v>
      </c>
      <c r="J6457" t="s">
        <v>598</v>
      </c>
      <c r="K6457" s="195">
        <v>45986.701053240744</v>
      </c>
      <c r="L6457">
        <v>192</v>
      </c>
      <c r="M6457">
        <v>0</v>
      </c>
      <c r="N6457" s="98" t="str">
        <f>IF(record[[#This Row],[Memo]]="Browser:chrome os:android","平板報工",IF(record[[#This Row],[Memo]]=0,"委外",record[[#This Row],[Memo]]))</f>
        <v/>
      </c>
      <c r="O6457" t="s">
        <v>58</v>
      </c>
      <c r="P6457" t="s">
        <v>757</v>
      </c>
      <c r="Q6457" t="s">
        <v>58</v>
      </c>
      <c r="R6457" t="str">
        <f>IFERROR(VLOOKUP(record[[#This Row],[PCUSTID]],廠商[],2,FALSE),"")</f>
        <v/>
      </c>
      <c r="S6457" t="str">
        <f>VLOOKUP(record[[#This Row],[employeeID]],員工[],2,FALSE)</f>
        <v>黎文勝</v>
      </c>
    </row>
    <row r="6458" spans="6:19" hidden="1" x14ac:dyDescent="0.25">
      <c r="F6458" t="s">
        <v>1236</v>
      </c>
      <c r="G6458" t="s">
        <v>415</v>
      </c>
      <c r="H6458" t="str">
        <f>VLOOKUP(record[[#This Row],[ProcessSN]],表格2_7[],2,FALSE)</f>
        <v>30-4118-018-5XX</v>
      </c>
      <c r="I6458" t="str">
        <f>VLOOKUP(record[[#This Row],[ProcessSN]],表格2_7[],3,FALSE)</f>
        <v>#04</v>
      </c>
      <c r="J6458" t="s">
        <v>588</v>
      </c>
      <c r="K6458" s="195">
        <v>45986.698159722226</v>
      </c>
      <c r="L6458">
        <v>140</v>
      </c>
      <c r="M6458">
        <v>0</v>
      </c>
      <c r="N6458" s="98" t="str">
        <f>IF(record[[#This Row],[Memo]]="Browser:chrome os:android","平板報工",IF(record[[#This Row],[Memo]]=0,"委外",record[[#This Row],[Memo]]))</f>
        <v/>
      </c>
      <c r="O6458" t="s">
        <v>58</v>
      </c>
      <c r="P6458" t="s">
        <v>101</v>
      </c>
      <c r="Q6458" t="s">
        <v>58</v>
      </c>
      <c r="R6458" t="str">
        <f>IFERROR(VLOOKUP(record[[#This Row],[PCUSTID]],廠商[],2,FALSE),"")</f>
        <v/>
      </c>
      <c r="S6458" t="str">
        <f>VLOOKUP(record[[#This Row],[employeeID]],員工[],2,FALSE)</f>
        <v>陳氏絨</v>
      </c>
    </row>
    <row r="6459" spans="6:19" hidden="1" x14ac:dyDescent="0.25">
      <c r="F6459" t="s">
        <v>1189</v>
      </c>
      <c r="G6459" t="s">
        <v>418</v>
      </c>
      <c r="H6459" t="str">
        <f>VLOOKUP(record[[#This Row],[ProcessSN]],表格2_7[],2,FALSE)</f>
        <v>30-4118-018-5XX</v>
      </c>
      <c r="I6459" t="str">
        <f>VLOOKUP(record[[#This Row],[ProcessSN]],表格2_7[],3,FALSE)</f>
        <v>#07</v>
      </c>
      <c r="J6459" t="s">
        <v>588</v>
      </c>
      <c r="K6459" s="195">
        <v>45986.696018518516</v>
      </c>
      <c r="L6459">
        <v>61</v>
      </c>
      <c r="M6459">
        <v>0</v>
      </c>
      <c r="N6459" s="98" t="str">
        <f>IF(record[[#This Row],[Memo]]="Browser:chrome os:android","平板報工",IF(record[[#This Row],[Memo]]=0,"委外",record[[#This Row],[Memo]]))</f>
        <v/>
      </c>
      <c r="O6459" t="s">
        <v>58</v>
      </c>
      <c r="P6459" t="s">
        <v>101</v>
      </c>
      <c r="Q6459" t="s">
        <v>58</v>
      </c>
      <c r="R6459" t="str">
        <f>IFERROR(VLOOKUP(record[[#This Row],[PCUSTID]],廠商[],2,FALSE),"")</f>
        <v/>
      </c>
      <c r="S6459" t="str">
        <f>VLOOKUP(record[[#This Row],[employeeID]],員工[],2,FALSE)</f>
        <v>陳氏絨</v>
      </c>
    </row>
    <row r="6460" spans="6:19" hidden="1" x14ac:dyDescent="0.25">
      <c r="F6460" t="s">
        <v>1189</v>
      </c>
      <c r="G6460" t="s">
        <v>417</v>
      </c>
      <c r="H6460" t="str">
        <f>VLOOKUP(record[[#This Row],[ProcessSN]],表格2_7[],2,FALSE)</f>
        <v>30-4118-018-5XX</v>
      </c>
      <c r="I6460" t="str">
        <f>VLOOKUP(record[[#This Row],[ProcessSN]],表格2_7[],3,FALSE)</f>
        <v>#06</v>
      </c>
      <c r="J6460" t="s">
        <v>593</v>
      </c>
      <c r="K6460" s="195">
        <v>45986.695775462962</v>
      </c>
      <c r="L6460">
        <v>59</v>
      </c>
      <c r="M6460">
        <v>0</v>
      </c>
      <c r="N6460" s="98" t="str">
        <f>IF(record[[#This Row],[Memo]]="Browser:chrome os:android","平板報工",IF(record[[#This Row],[Memo]]=0,"委外",record[[#This Row],[Memo]]))</f>
        <v/>
      </c>
      <c r="O6460" t="s">
        <v>58</v>
      </c>
      <c r="P6460" t="s">
        <v>101</v>
      </c>
      <c r="Q6460" t="s">
        <v>58</v>
      </c>
      <c r="R6460" t="str">
        <f>IFERROR(VLOOKUP(record[[#This Row],[PCUSTID]],廠商[],2,FALSE),"")</f>
        <v/>
      </c>
      <c r="S6460" t="str">
        <f>VLOOKUP(record[[#This Row],[employeeID]],員工[],2,FALSE)</f>
        <v>陳氏絨</v>
      </c>
    </row>
    <row r="6461" spans="6:19" hidden="1" x14ac:dyDescent="0.25">
      <c r="F6461" t="s">
        <v>1209</v>
      </c>
      <c r="G6461" t="s">
        <v>466</v>
      </c>
      <c r="H6461" t="str">
        <f>VLOOKUP(record[[#This Row],[ProcessSN]],表格2_7[],2,FALSE)</f>
        <v>30-4118-018-XXX</v>
      </c>
      <c r="I6461" t="str">
        <f>VLOOKUP(record[[#This Row],[ProcessSN]],表格2_7[],3,FALSE)</f>
        <v>#01-2</v>
      </c>
      <c r="J6461" t="s">
        <v>588</v>
      </c>
      <c r="K6461" s="195">
        <v>45986.695381944446</v>
      </c>
      <c r="L6461">
        <v>465</v>
      </c>
      <c r="M6461">
        <v>0</v>
      </c>
      <c r="N6461" s="98" t="str">
        <f>IF(record[[#This Row],[Memo]]="Browser:chrome os:android","平板報工",IF(record[[#This Row],[Memo]]=0,"委外",record[[#This Row],[Memo]]))</f>
        <v/>
      </c>
      <c r="O6461" t="s">
        <v>58</v>
      </c>
      <c r="P6461" t="s">
        <v>101</v>
      </c>
      <c r="Q6461" t="s">
        <v>58</v>
      </c>
      <c r="R6461" t="str">
        <f>IFERROR(VLOOKUP(record[[#This Row],[PCUSTID]],廠商[],2,FALSE),"")</f>
        <v/>
      </c>
      <c r="S6461" t="str">
        <f>VLOOKUP(record[[#This Row],[employeeID]],員工[],2,FALSE)</f>
        <v>陳氏絨</v>
      </c>
    </row>
    <row r="6462" spans="6:19" hidden="1" x14ac:dyDescent="0.25">
      <c r="F6462" t="s">
        <v>1209</v>
      </c>
      <c r="G6462" t="s">
        <v>465</v>
      </c>
      <c r="H6462" t="str">
        <f>VLOOKUP(record[[#This Row],[ProcessSN]],表格2_7[],2,FALSE)</f>
        <v>30-4118-018-XXX</v>
      </c>
      <c r="I6462" t="str">
        <f>VLOOKUP(record[[#This Row],[ProcessSN]],表格2_7[],3,FALSE)</f>
        <v>#01-1</v>
      </c>
      <c r="J6462" t="s">
        <v>588</v>
      </c>
      <c r="K6462" s="195">
        <v>45986.695057870369</v>
      </c>
      <c r="L6462">
        <v>552</v>
      </c>
      <c r="M6462">
        <v>0</v>
      </c>
      <c r="N6462" s="98" t="str">
        <f>IF(record[[#This Row],[Memo]]="Browser:chrome os:android","平板報工",IF(record[[#This Row],[Memo]]=0,"委外",record[[#This Row],[Memo]]))</f>
        <v/>
      </c>
      <c r="O6462" t="s">
        <v>58</v>
      </c>
      <c r="P6462" t="s">
        <v>101</v>
      </c>
      <c r="Q6462" t="s">
        <v>58</v>
      </c>
      <c r="R6462" t="str">
        <f>IFERROR(VLOOKUP(record[[#This Row],[PCUSTID]],廠商[],2,FALSE),"")</f>
        <v/>
      </c>
      <c r="S6462" t="str">
        <f>VLOOKUP(record[[#This Row],[employeeID]],員工[],2,FALSE)</f>
        <v>陳氏絨</v>
      </c>
    </row>
    <row r="6463" spans="6:19" hidden="1" x14ac:dyDescent="0.25">
      <c r="F6463" t="s">
        <v>1209</v>
      </c>
      <c r="G6463" t="s">
        <v>465</v>
      </c>
      <c r="H6463" t="str">
        <f>VLOOKUP(record[[#This Row],[ProcessSN]],表格2_7[],2,FALSE)</f>
        <v>30-4118-018-XXX</v>
      </c>
      <c r="I6463" t="str">
        <f>VLOOKUP(record[[#This Row],[ProcessSN]],表格2_7[],3,FALSE)</f>
        <v>#01-1</v>
      </c>
      <c r="J6463" t="s">
        <v>588</v>
      </c>
      <c r="K6463" s="195">
        <v>45986.587708333333</v>
      </c>
      <c r="L6463">
        <v>500</v>
      </c>
      <c r="M6463">
        <v>0</v>
      </c>
      <c r="N6463" s="98" t="str">
        <f>IF(record[[#This Row],[Memo]]="Browser:chrome os:android","平板報工",IF(record[[#This Row],[Memo]]=0,"委外",record[[#This Row],[Memo]]))</f>
        <v>改11/24</v>
      </c>
      <c r="O6463" t="s">
        <v>1243</v>
      </c>
      <c r="P6463" t="s">
        <v>101</v>
      </c>
      <c r="Q6463" t="s">
        <v>58</v>
      </c>
      <c r="R6463" t="str">
        <f>IFERROR(VLOOKUP(record[[#This Row],[PCUSTID]],廠商[],2,FALSE),"")</f>
        <v/>
      </c>
      <c r="S6463" t="str">
        <f>VLOOKUP(record[[#This Row],[employeeID]],員工[],2,FALSE)</f>
        <v>陳氏絨</v>
      </c>
    </row>
    <row r="6464" spans="6:19" hidden="1" x14ac:dyDescent="0.25">
      <c r="F6464" t="s">
        <v>1242</v>
      </c>
      <c r="G6464" t="s">
        <v>397</v>
      </c>
      <c r="H6464" t="str">
        <f>VLOOKUP(record[[#This Row],[ProcessSN]],表格2_7[],2,FALSE)</f>
        <v>30-4118-018-550</v>
      </c>
      <c r="I6464" t="str">
        <f>VLOOKUP(record[[#This Row],[ProcessSN]],表格2_7[],3,FALSE)</f>
        <v>#08</v>
      </c>
      <c r="J6464" t="s">
        <v>597</v>
      </c>
      <c r="K6464" s="195">
        <v>45986.572048611109</v>
      </c>
      <c r="L6464">
        <v>472</v>
      </c>
      <c r="M6464">
        <v>0</v>
      </c>
      <c r="N6464" s="98" t="str">
        <f>IF(record[[#This Row],[Memo]]="Browser:chrome os:android","平板報工",IF(record[[#This Row],[Memo]]=0,"委外",record[[#This Row],[Memo]]))</f>
        <v>委外</v>
      </c>
      <c r="P6464" t="s">
        <v>186</v>
      </c>
      <c r="Q6464" t="s">
        <v>287</v>
      </c>
      <c r="R6464" t="str">
        <f>IFERROR(VLOOKUP(record[[#This Row],[PCUSTID]],廠商[],2,FALSE),"")</f>
        <v>泉盛</v>
      </c>
      <c r="S6464" t="str">
        <f>VLOOKUP(record[[#This Row],[employeeID]],員工[],2,FALSE)</f>
        <v>許文姍</v>
      </c>
    </row>
    <row r="6465" spans="6:19" hidden="1" x14ac:dyDescent="0.25">
      <c r="F6465" t="s">
        <v>1233</v>
      </c>
      <c r="G6465" t="s">
        <v>398</v>
      </c>
      <c r="H6465" t="str">
        <f>VLOOKUP(record[[#This Row],[ProcessSN]],表格2_7[],2,FALSE)</f>
        <v>30-4118-018-550</v>
      </c>
      <c r="I6465" t="str">
        <f>VLOOKUP(record[[#This Row],[ProcessSN]],表格2_7[],3,FALSE)</f>
        <v>#08RCV</v>
      </c>
      <c r="J6465" t="s">
        <v>591</v>
      </c>
      <c r="K6465" s="195">
        <v>45986.551979166667</v>
      </c>
      <c r="L6465">
        <v>0</v>
      </c>
      <c r="M6465">
        <v>35</v>
      </c>
      <c r="N6465" s="98" t="str">
        <f>IF(record[[#This Row],[Memo]]="Browser:chrome os:android","平板報工",IF(record[[#This Row],[Memo]]=0,"委外",record[[#This Row],[Memo]]))</f>
        <v/>
      </c>
      <c r="O6465" t="s">
        <v>58</v>
      </c>
      <c r="P6465" t="s">
        <v>141</v>
      </c>
      <c r="Q6465" t="s">
        <v>58</v>
      </c>
      <c r="R6465" t="str">
        <f>IFERROR(VLOOKUP(record[[#This Row],[PCUSTID]],廠商[],2,FALSE),"")</f>
        <v/>
      </c>
      <c r="S6465" t="str">
        <f>VLOOKUP(record[[#This Row],[employeeID]],員工[],2,FALSE)</f>
        <v>蔣梅</v>
      </c>
    </row>
    <row r="6466" spans="6:19" hidden="1" x14ac:dyDescent="0.25">
      <c r="F6466" t="s">
        <v>1233</v>
      </c>
      <c r="G6466" t="s">
        <v>400</v>
      </c>
      <c r="H6466" t="str">
        <f>VLOOKUP(record[[#This Row],[ProcessSN]],表格2_7[],2,FALSE)</f>
        <v>30-4118-018-550</v>
      </c>
      <c r="I6466" t="str">
        <f>VLOOKUP(record[[#This Row],[ProcessSN]],表格2_7[],3,FALSE)</f>
        <v>#100</v>
      </c>
      <c r="J6466" t="s">
        <v>598</v>
      </c>
      <c r="K6466" s="195">
        <v>45986.551354166666</v>
      </c>
      <c r="L6466">
        <v>209</v>
      </c>
      <c r="M6466">
        <v>0</v>
      </c>
      <c r="N6466" s="98" t="str">
        <f>IF(record[[#This Row],[Memo]]="Browser:chrome os:android","平板報工",IF(record[[#This Row],[Memo]]=0,"委外",record[[#This Row],[Memo]]))</f>
        <v/>
      </c>
      <c r="O6466" t="s">
        <v>58</v>
      </c>
      <c r="P6466" t="s">
        <v>141</v>
      </c>
      <c r="Q6466" t="s">
        <v>58</v>
      </c>
      <c r="R6466" t="str">
        <f>IFERROR(VLOOKUP(record[[#This Row],[PCUSTID]],廠商[],2,FALSE),"")</f>
        <v/>
      </c>
      <c r="S6466" t="str">
        <f>VLOOKUP(record[[#This Row],[employeeID]],員工[],2,FALSE)</f>
        <v>蔣梅</v>
      </c>
    </row>
    <row r="6467" spans="6:19" hidden="1" x14ac:dyDescent="0.25">
      <c r="F6467" t="s">
        <v>1227</v>
      </c>
      <c r="G6467" t="s">
        <v>400</v>
      </c>
      <c r="H6467" t="str">
        <f>VLOOKUP(record[[#This Row],[ProcessSN]],表格2_7[],2,FALSE)</f>
        <v>30-4118-018-550</v>
      </c>
      <c r="I6467" t="str">
        <f>VLOOKUP(record[[#This Row],[ProcessSN]],表格2_7[],3,FALSE)</f>
        <v>#100</v>
      </c>
      <c r="J6467" t="s">
        <v>598</v>
      </c>
      <c r="K6467" s="195">
        <v>45986.550787037035</v>
      </c>
      <c r="L6467">
        <v>10</v>
      </c>
      <c r="M6467">
        <v>0</v>
      </c>
      <c r="N6467" s="98" t="str">
        <f>IF(record[[#This Row],[Memo]]="Browser:chrome os:android","平板報工",IF(record[[#This Row],[Memo]]=0,"委外",record[[#This Row],[Memo]]))</f>
        <v>覆回</v>
      </c>
      <c r="O6467" t="s">
        <v>682</v>
      </c>
      <c r="P6467" t="s">
        <v>141</v>
      </c>
      <c r="Q6467" t="s">
        <v>58</v>
      </c>
      <c r="R6467" t="str">
        <f>IFERROR(VLOOKUP(record[[#This Row],[PCUSTID]],廠商[],2,FALSE),"")</f>
        <v/>
      </c>
      <c r="S6467" t="str">
        <f>VLOOKUP(record[[#This Row],[employeeID]],員工[],2,FALSE)</f>
        <v>蔣梅</v>
      </c>
    </row>
    <row r="6468" spans="6:19" hidden="1" x14ac:dyDescent="0.25">
      <c r="F6468" t="s">
        <v>1227</v>
      </c>
      <c r="G6468" t="s">
        <v>399</v>
      </c>
      <c r="H6468" t="str">
        <f>VLOOKUP(record[[#This Row],[ProcessSN]],表格2_7[],2,FALSE)</f>
        <v>30-4118-018-550</v>
      </c>
      <c r="I6468" t="str">
        <f>VLOOKUP(record[[#This Row],[ProcessSN]],表格2_7[],3,FALSE)</f>
        <v>#08IQC</v>
      </c>
      <c r="J6468" t="s">
        <v>583</v>
      </c>
      <c r="K6468" s="195">
        <v>45986.550428240742</v>
      </c>
      <c r="L6468">
        <v>10</v>
      </c>
      <c r="M6468">
        <v>0</v>
      </c>
      <c r="N6468" s="98" t="str">
        <f>IF(record[[#This Row],[Memo]]="Browser:chrome os:android","平板報工",IF(record[[#This Row],[Memo]]=0,"委外",record[[#This Row],[Memo]]))</f>
        <v>覆回</v>
      </c>
      <c r="O6468" t="s">
        <v>682</v>
      </c>
      <c r="P6468" t="s">
        <v>141</v>
      </c>
      <c r="Q6468" t="s">
        <v>58</v>
      </c>
      <c r="R6468" t="str">
        <f>IFERROR(VLOOKUP(record[[#This Row],[PCUSTID]],廠商[],2,FALSE),"")</f>
        <v/>
      </c>
      <c r="S6468" t="str">
        <f>VLOOKUP(record[[#This Row],[employeeID]],員工[],2,FALSE)</f>
        <v>蔣梅</v>
      </c>
    </row>
    <row r="6469" spans="6:19" hidden="1" x14ac:dyDescent="0.25">
      <c r="F6469" t="s">
        <v>1227</v>
      </c>
      <c r="G6469" t="s">
        <v>398</v>
      </c>
      <c r="H6469" t="str">
        <f>VLOOKUP(record[[#This Row],[ProcessSN]],表格2_7[],2,FALSE)</f>
        <v>30-4118-018-550</v>
      </c>
      <c r="I6469" t="str">
        <f>VLOOKUP(record[[#This Row],[ProcessSN]],表格2_7[],3,FALSE)</f>
        <v>#08RCV</v>
      </c>
      <c r="J6469" t="s">
        <v>591</v>
      </c>
      <c r="K6469" s="195">
        <v>45986.550173611111</v>
      </c>
      <c r="L6469">
        <v>0</v>
      </c>
      <c r="M6469">
        <v>14</v>
      </c>
      <c r="N6469" s="98" t="str">
        <f>IF(record[[#This Row],[Memo]]="Browser:chrome os:android","平板報工",IF(record[[#This Row],[Memo]]=0,"委外",record[[#This Row],[Memo]]))</f>
        <v/>
      </c>
      <c r="O6469" t="s">
        <v>58</v>
      </c>
      <c r="P6469" t="s">
        <v>141</v>
      </c>
      <c r="Q6469" t="s">
        <v>58</v>
      </c>
      <c r="R6469" t="str">
        <f>IFERROR(VLOOKUP(record[[#This Row],[PCUSTID]],廠商[],2,FALSE),"")</f>
        <v/>
      </c>
      <c r="S6469" t="str">
        <f>VLOOKUP(record[[#This Row],[employeeID]],員工[],2,FALSE)</f>
        <v>蔣梅</v>
      </c>
    </row>
    <row r="6470" spans="6:19" hidden="1" x14ac:dyDescent="0.25">
      <c r="F6470" t="s">
        <v>1227</v>
      </c>
      <c r="G6470" t="s">
        <v>398</v>
      </c>
      <c r="H6470" t="str">
        <f>VLOOKUP(record[[#This Row],[ProcessSN]],表格2_7[],2,FALSE)</f>
        <v>30-4118-018-550</v>
      </c>
      <c r="I6470" t="str">
        <f>VLOOKUP(record[[#This Row],[ProcessSN]],表格2_7[],3,FALSE)</f>
        <v>#08RCV</v>
      </c>
      <c r="J6470" t="s">
        <v>591</v>
      </c>
      <c r="K6470" s="195">
        <v>45986.549942129626</v>
      </c>
      <c r="L6470">
        <v>10</v>
      </c>
      <c r="M6470">
        <v>0</v>
      </c>
      <c r="N6470" s="98" t="str">
        <f>IF(record[[#This Row],[Memo]]="Browser:chrome os:android","平板報工",IF(record[[#This Row],[Memo]]=0,"委外",record[[#This Row],[Memo]]))</f>
        <v>覆回</v>
      </c>
      <c r="O6470" t="s">
        <v>682</v>
      </c>
      <c r="P6470" t="s">
        <v>141</v>
      </c>
      <c r="Q6470" t="s">
        <v>58</v>
      </c>
      <c r="R6470" t="str">
        <f>IFERROR(VLOOKUP(record[[#This Row],[PCUSTID]],廠商[],2,FALSE),"")</f>
        <v/>
      </c>
      <c r="S6470" t="str">
        <f>VLOOKUP(record[[#This Row],[employeeID]],員工[],2,FALSE)</f>
        <v>蔣梅</v>
      </c>
    </row>
    <row r="6471" spans="6:19" hidden="1" x14ac:dyDescent="0.25">
      <c r="F6471" t="s">
        <v>1181</v>
      </c>
      <c r="G6471" t="s">
        <v>428</v>
      </c>
      <c r="H6471" t="str">
        <f>VLOOKUP(record[[#This Row],[ProcessSN]],表格2_7[],2,FALSE)</f>
        <v>30-4118-018-600</v>
      </c>
      <c r="I6471" t="str">
        <f>VLOOKUP(record[[#This Row],[ProcessSN]],表格2_7[],3,FALSE)</f>
        <v>#100SHIP</v>
      </c>
      <c r="J6471" t="s">
        <v>600</v>
      </c>
      <c r="K6471" s="195">
        <v>45986.488530092596</v>
      </c>
      <c r="L6471">
        <v>12</v>
      </c>
      <c r="M6471">
        <v>0</v>
      </c>
      <c r="N6471" s="98" t="str">
        <f>IF(record[[#This Row],[Memo]]="Browser:chrome os:android","平板報工",IF(record[[#This Row],[Memo]]=0,"委外",record[[#This Row],[Memo]]))</f>
        <v/>
      </c>
      <c r="O6471" t="s">
        <v>58</v>
      </c>
      <c r="P6471" t="s">
        <v>886</v>
      </c>
      <c r="Q6471" t="s">
        <v>58</v>
      </c>
      <c r="R6471" t="str">
        <f>IFERROR(VLOOKUP(record[[#This Row],[PCUSTID]],廠商[],2,FALSE),"")</f>
        <v/>
      </c>
      <c r="S6471" t="str">
        <f>VLOOKUP(record[[#This Row],[employeeID]],員工[],2,FALSE)</f>
        <v>謝蓁薰</v>
      </c>
    </row>
    <row r="6472" spans="6:19" hidden="1" x14ac:dyDescent="0.25">
      <c r="F6472" t="s">
        <v>1242</v>
      </c>
      <c r="G6472" t="s">
        <v>396</v>
      </c>
      <c r="H6472" t="str">
        <f>VLOOKUP(record[[#This Row],[ProcessSN]],表格2_7[],2,FALSE)</f>
        <v>30-4118-018-550</v>
      </c>
      <c r="I6472" t="str">
        <f>VLOOKUP(record[[#This Row],[ProcessSN]],表格2_7[],3,FALSE)</f>
        <v>#08PICK</v>
      </c>
      <c r="J6472" t="s">
        <v>582</v>
      </c>
      <c r="K6472" s="195">
        <v>45986.476342592592</v>
      </c>
      <c r="L6472">
        <v>472</v>
      </c>
      <c r="M6472">
        <v>0</v>
      </c>
      <c r="N6472" s="98" t="str">
        <f>IF(record[[#This Row],[Memo]]="Browser:chrome os:android","平板報工",IF(record[[#This Row],[Memo]]=0,"委外",record[[#This Row],[Memo]]))</f>
        <v/>
      </c>
      <c r="O6472" t="s">
        <v>58</v>
      </c>
      <c r="P6472" t="s">
        <v>186</v>
      </c>
      <c r="Q6472" t="s">
        <v>58</v>
      </c>
      <c r="R6472" t="str">
        <f>IFERROR(VLOOKUP(record[[#This Row],[PCUSTID]],廠商[],2,FALSE),"")</f>
        <v/>
      </c>
      <c r="S6472" t="str">
        <f>VLOOKUP(record[[#This Row],[employeeID]],員工[],2,FALSE)</f>
        <v>許文姍</v>
      </c>
    </row>
    <row r="6473" spans="6:19" hidden="1" x14ac:dyDescent="0.25">
      <c r="F6473" t="s">
        <v>1189</v>
      </c>
      <c r="G6473" t="s">
        <v>420</v>
      </c>
      <c r="H6473" t="str">
        <f>VLOOKUP(record[[#This Row],[ProcessSN]],表格2_7[],2,FALSE)</f>
        <v>30-4118-018-5XX</v>
      </c>
      <c r="I6473" t="str">
        <f>VLOOKUP(record[[#This Row],[ProcessSN]],表格2_7[],3,FALSE)</f>
        <v>#07STOCK</v>
      </c>
      <c r="J6473" t="s">
        <v>592</v>
      </c>
      <c r="K6473" s="195">
        <v>45986.474386574075</v>
      </c>
      <c r="L6473">
        <v>472</v>
      </c>
      <c r="M6473">
        <v>0</v>
      </c>
      <c r="N6473" s="98" t="str">
        <f>IF(record[[#This Row],[Memo]]="Browser:chrome os:android","平板報工",IF(record[[#This Row],[Memo]]=0,"委外",record[[#This Row],[Memo]]))</f>
        <v/>
      </c>
      <c r="O6473" t="s">
        <v>58</v>
      </c>
      <c r="P6473" t="s">
        <v>186</v>
      </c>
      <c r="Q6473" t="s">
        <v>58</v>
      </c>
      <c r="R6473" t="str">
        <f>IFERROR(VLOOKUP(record[[#This Row],[PCUSTID]],廠商[],2,FALSE),"")</f>
        <v/>
      </c>
      <c r="S6473" t="str">
        <f>VLOOKUP(record[[#This Row],[employeeID]],員工[],2,FALSE)</f>
        <v>許文姍</v>
      </c>
    </row>
    <row r="6474" spans="6:19" hidden="1" x14ac:dyDescent="0.25">
      <c r="F6474" t="s">
        <v>1189</v>
      </c>
      <c r="G6474" t="s">
        <v>419</v>
      </c>
      <c r="H6474" t="str">
        <f>VLOOKUP(record[[#This Row],[ProcessSN]],表格2_7[],2,FALSE)</f>
        <v>30-4118-018-5XX</v>
      </c>
      <c r="I6474" t="str">
        <f>VLOOKUP(record[[#This Row],[ProcessSN]],表格2_7[],3,FALSE)</f>
        <v>#07QC</v>
      </c>
      <c r="J6474" t="s">
        <v>589</v>
      </c>
      <c r="K6474" s="195">
        <v>45986.451307870368</v>
      </c>
      <c r="L6474">
        <v>472</v>
      </c>
      <c r="M6474">
        <v>0</v>
      </c>
      <c r="N6474" s="98" t="str">
        <f>IF(record[[#This Row],[Memo]]="Browser:chrome os:android","平板報工",IF(record[[#This Row],[Memo]]=0,"委外",record[[#This Row],[Memo]]))</f>
        <v/>
      </c>
      <c r="O6474" t="s">
        <v>58</v>
      </c>
      <c r="P6474" t="s">
        <v>141</v>
      </c>
      <c r="Q6474" t="s">
        <v>58</v>
      </c>
      <c r="R6474" t="str">
        <f>IFERROR(VLOOKUP(record[[#This Row],[PCUSTID]],廠商[],2,FALSE),"")</f>
        <v/>
      </c>
      <c r="S6474" t="str">
        <f>VLOOKUP(record[[#This Row],[employeeID]],員工[],2,FALSE)</f>
        <v>蔣梅</v>
      </c>
    </row>
    <row r="6475" spans="6:19" hidden="1" x14ac:dyDescent="0.25">
      <c r="F6475" t="s">
        <v>1236</v>
      </c>
      <c r="G6475" t="s">
        <v>415</v>
      </c>
      <c r="H6475" t="str">
        <f>VLOOKUP(record[[#This Row],[ProcessSN]],表格2_7[],2,FALSE)</f>
        <v>30-4118-018-5XX</v>
      </c>
      <c r="I6475" t="str">
        <f>VLOOKUP(record[[#This Row],[ProcessSN]],表格2_7[],3,FALSE)</f>
        <v>#04</v>
      </c>
      <c r="J6475" t="s">
        <v>588</v>
      </c>
      <c r="K6475" s="195">
        <v>45986.305509259262</v>
      </c>
      <c r="L6475">
        <v>148</v>
      </c>
      <c r="M6475">
        <v>0</v>
      </c>
      <c r="N6475" s="98" t="str">
        <f>IF(record[[#This Row],[Memo]]="Browser:chrome os:android","平板報工",IF(record[[#This Row],[Memo]]=0,"委外",record[[#This Row],[Memo]]))</f>
        <v/>
      </c>
      <c r="O6475" t="s">
        <v>58</v>
      </c>
      <c r="P6475" t="s">
        <v>135</v>
      </c>
      <c r="Q6475" t="s">
        <v>58</v>
      </c>
      <c r="R6475" t="str">
        <f>IFERROR(VLOOKUP(record[[#This Row],[PCUSTID]],廠商[],2,FALSE),"")</f>
        <v/>
      </c>
      <c r="S6475" t="str">
        <f>VLOOKUP(record[[#This Row],[employeeID]],員工[],2,FALSE)</f>
        <v>阮士文</v>
      </c>
    </row>
    <row r="6476" spans="6:19" hidden="1" x14ac:dyDescent="0.25">
      <c r="F6476" t="s">
        <v>1189</v>
      </c>
      <c r="G6476" t="s">
        <v>418</v>
      </c>
      <c r="H6476" t="str">
        <f>VLOOKUP(record[[#This Row],[ProcessSN]],表格2_7[],2,FALSE)</f>
        <v>30-4118-018-5XX</v>
      </c>
      <c r="I6476" t="str">
        <f>VLOOKUP(record[[#This Row],[ProcessSN]],表格2_7[],3,FALSE)</f>
        <v>#07</v>
      </c>
      <c r="J6476" t="s">
        <v>588</v>
      </c>
      <c r="K6476" s="195">
        <v>45986.305081018516</v>
      </c>
      <c r="L6476">
        <v>120</v>
      </c>
      <c r="M6476">
        <v>0</v>
      </c>
      <c r="N6476" s="98" t="str">
        <f>IF(record[[#This Row],[Memo]]="Browser:chrome os:android","平板報工",IF(record[[#This Row],[Memo]]=0,"委外",record[[#This Row],[Memo]]))</f>
        <v/>
      </c>
      <c r="O6476" t="s">
        <v>58</v>
      </c>
      <c r="P6476" t="s">
        <v>135</v>
      </c>
      <c r="Q6476" t="s">
        <v>58</v>
      </c>
      <c r="R6476" t="str">
        <f>IFERROR(VLOOKUP(record[[#This Row],[PCUSTID]],廠商[],2,FALSE),"")</f>
        <v/>
      </c>
      <c r="S6476" t="str">
        <f>VLOOKUP(record[[#This Row],[employeeID]],員工[],2,FALSE)</f>
        <v>阮士文</v>
      </c>
    </row>
    <row r="6477" spans="6:19" hidden="1" x14ac:dyDescent="0.25">
      <c r="F6477" t="s">
        <v>1189</v>
      </c>
      <c r="G6477" t="s">
        <v>417</v>
      </c>
      <c r="H6477" t="str">
        <f>VLOOKUP(record[[#This Row],[ProcessSN]],表格2_7[],2,FALSE)</f>
        <v>30-4118-018-5XX</v>
      </c>
      <c r="I6477" t="str">
        <f>VLOOKUP(record[[#This Row],[ProcessSN]],表格2_7[],3,FALSE)</f>
        <v>#06</v>
      </c>
      <c r="J6477" t="s">
        <v>593</v>
      </c>
      <c r="K6477" s="195">
        <v>45986.303530092591</v>
      </c>
      <c r="L6477">
        <v>121</v>
      </c>
      <c r="M6477">
        <v>1</v>
      </c>
      <c r="N6477" s="98" t="str">
        <f>IF(record[[#This Row],[Memo]]="Browser:chrome os:android","平板報工",IF(record[[#This Row],[Memo]]=0,"委外",record[[#This Row],[Memo]]))</f>
        <v/>
      </c>
      <c r="O6477" t="s">
        <v>58</v>
      </c>
      <c r="P6477" t="s">
        <v>135</v>
      </c>
      <c r="Q6477" t="s">
        <v>58</v>
      </c>
      <c r="R6477" t="str">
        <f>IFERROR(VLOOKUP(record[[#This Row],[PCUSTID]],廠商[],2,FALSE),"")</f>
        <v/>
      </c>
      <c r="S6477" t="str">
        <f>VLOOKUP(record[[#This Row],[employeeID]],員工[],2,FALSE)</f>
        <v>阮士文</v>
      </c>
    </row>
    <row r="6478" spans="6:19" hidden="1" x14ac:dyDescent="0.25">
      <c r="F6478" t="s">
        <v>1209</v>
      </c>
      <c r="G6478" t="s">
        <v>466</v>
      </c>
      <c r="H6478" t="str">
        <f>VLOOKUP(record[[#This Row],[ProcessSN]],表格2_7[],2,FALSE)</f>
        <v>30-4118-018-XXX</v>
      </c>
      <c r="I6478" t="str">
        <f>VLOOKUP(record[[#This Row],[ProcessSN]],表格2_7[],3,FALSE)</f>
        <v>#01-2</v>
      </c>
      <c r="J6478" t="s">
        <v>588</v>
      </c>
      <c r="K6478" s="195">
        <v>45986.303217592591</v>
      </c>
      <c r="L6478">
        <v>412</v>
      </c>
      <c r="M6478">
        <v>0</v>
      </c>
      <c r="N6478" s="98" t="str">
        <f>IF(record[[#This Row],[Memo]]="Browser:chrome os:android","平板報工",IF(record[[#This Row],[Memo]]=0,"委外",record[[#This Row],[Memo]]))</f>
        <v/>
      </c>
      <c r="O6478" t="s">
        <v>58</v>
      </c>
      <c r="P6478" t="s">
        <v>135</v>
      </c>
      <c r="Q6478" t="s">
        <v>58</v>
      </c>
      <c r="R6478" t="str">
        <f>IFERROR(VLOOKUP(record[[#This Row],[PCUSTID]],廠商[],2,FALSE),"")</f>
        <v/>
      </c>
      <c r="S6478" t="str">
        <f>VLOOKUP(record[[#This Row],[employeeID]],員工[],2,FALSE)</f>
        <v>阮士文</v>
      </c>
    </row>
    <row r="6479" spans="6:19" hidden="1" x14ac:dyDescent="0.25">
      <c r="F6479" t="s">
        <v>1189</v>
      </c>
      <c r="G6479" t="s">
        <v>418</v>
      </c>
      <c r="H6479" t="str">
        <f>VLOOKUP(record[[#This Row],[ProcessSN]],表格2_7[],2,FALSE)</f>
        <v>30-4118-018-5XX</v>
      </c>
      <c r="I6479" t="str">
        <f>VLOOKUP(record[[#This Row],[ProcessSN]],表格2_7[],3,FALSE)</f>
        <v>#07</v>
      </c>
      <c r="J6479" t="s">
        <v>588</v>
      </c>
      <c r="K6479" s="195">
        <v>45985.971550925926</v>
      </c>
      <c r="L6479">
        <v>145</v>
      </c>
      <c r="M6479">
        <v>0</v>
      </c>
      <c r="N6479" s="98" t="str">
        <f>IF(record[[#This Row],[Memo]]="Browser:chrome os:android","平板報工",IF(record[[#This Row],[Memo]]=0,"委外",record[[#This Row],[Memo]]))</f>
        <v/>
      </c>
      <c r="O6479" t="s">
        <v>58</v>
      </c>
      <c r="P6479" t="s">
        <v>89</v>
      </c>
      <c r="Q6479" t="s">
        <v>58</v>
      </c>
      <c r="R6479" t="str">
        <f>IFERROR(VLOOKUP(record[[#This Row],[PCUSTID]],廠商[],2,FALSE),"")</f>
        <v/>
      </c>
      <c r="S6479" t="str">
        <f>VLOOKUP(record[[#This Row],[employeeID]],員工[],2,FALSE)</f>
        <v>李美蓮</v>
      </c>
    </row>
    <row r="6480" spans="6:19" hidden="1" x14ac:dyDescent="0.25">
      <c r="F6480" t="s">
        <v>1189</v>
      </c>
      <c r="G6480" t="s">
        <v>417</v>
      </c>
      <c r="H6480" t="str">
        <f>VLOOKUP(record[[#This Row],[ProcessSN]],表格2_7[],2,FALSE)</f>
        <v>30-4118-018-5XX</v>
      </c>
      <c r="I6480" t="str">
        <f>VLOOKUP(record[[#This Row],[ProcessSN]],表格2_7[],3,FALSE)</f>
        <v>#06</v>
      </c>
      <c r="J6480" t="s">
        <v>593</v>
      </c>
      <c r="K6480" s="195">
        <v>45985.970277777778</v>
      </c>
      <c r="L6480">
        <v>133</v>
      </c>
      <c r="M6480">
        <v>0</v>
      </c>
      <c r="N6480" s="98" t="str">
        <f>IF(record[[#This Row],[Memo]]="Browser:chrome os:android","平板報工",IF(record[[#This Row],[Memo]]=0,"委外",record[[#This Row],[Memo]]))</f>
        <v/>
      </c>
      <c r="O6480" t="s">
        <v>58</v>
      </c>
      <c r="P6480" t="s">
        <v>1098</v>
      </c>
      <c r="Q6480" t="s">
        <v>58</v>
      </c>
      <c r="R6480" t="str">
        <f>IFERROR(VLOOKUP(record[[#This Row],[PCUSTID]],廠商[],2,FALSE),"")</f>
        <v/>
      </c>
      <c r="S6480" t="str">
        <f>VLOOKUP(record[[#This Row],[employeeID]],員工[],2,FALSE)</f>
        <v>阮氏芳英(英)</v>
      </c>
    </row>
    <row r="6481" spans="6:19" hidden="1" x14ac:dyDescent="0.25">
      <c r="F6481" t="s">
        <v>1236</v>
      </c>
      <c r="G6481" t="s">
        <v>415</v>
      </c>
      <c r="H6481" t="str">
        <f>VLOOKUP(record[[#This Row],[ProcessSN]],表格2_7[],2,FALSE)</f>
        <v>30-4118-018-5XX</v>
      </c>
      <c r="I6481" t="str">
        <f>VLOOKUP(record[[#This Row],[ProcessSN]],表格2_7[],3,FALSE)</f>
        <v>#04</v>
      </c>
      <c r="J6481" t="s">
        <v>588</v>
      </c>
      <c r="K6481" s="195">
        <v>45985.969780092593</v>
      </c>
      <c r="L6481">
        <v>135</v>
      </c>
      <c r="M6481">
        <v>0</v>
      </c>
      <c r="N6481" s="98" t="str">
        <f>IF(record[[#This Row],[Memo]]="Browser:chrome os:android","平板報工",IF(record[[#This Row],[Memo]]=0,"委外",record[[#This Row],[Memo]]))</f>
        <v/>
      </c>
      <c r="O6481" t="s">
        <v>58</v>
      </c>
      <c r="P6481" t="s">
        <v>89</v>
      </c>
      <c r="Q6481" t="s">
        <v>58</v>
      </c>
      <c r="R6481" t="str">
        <f>IFERROR(VLOOKUP(record[[#This Row],[PCUSTID]],廠商[],2,FALSE),"")</f>
        <v/>
      </c>
      <c r="S6481" t="str">
        <f>VLOOKUP(record[[#This Row],[employeeID]],員工[],2,FALSE)</f>
        <v>李美蓮</v>
      </c>
    </row>
    <row r="6482" spans="6:19" hidden="1" x14ac:dyDescent="0.25">
      <c r="F6482" t="s">
        <v>1236</v>
      </c>
      <c r="G6482" t="s">
        <v>414</v>
      </c>
      <c r="H6482" t="str">
        <f>VLOOKUP(record[[#This Row],[ProcessSN]],表格2_7[],2,FALSE)</f>
        <v>30-4118-018-5XX</v>
      </c>
      <c r="I6482" t="str">
        <f>VLOOKUP(record[[#This Row],[ProcessSN]],表格2_7[],3,FALSE)</f>
        <v>#03</v>
      </c>
      <c r="J6482" t="s">
        <v>588</v>
      </c>
      <c r="K6482" s="195">
        <v>45985.967442129629</v>
      </c>
      <c r="L6482">
        <v>280</v>
      </c>
      <c r="M6482">
        <v>0</v>
      </c>
      <c r="N6482" s="98" t="str">
        <f>IF(record[[#This Row],[Memo]]="Browser:chrome os:android","平板報工",IF(record[[#This Row],[Memo]]=0,"委外",record[[#This Row],[Memo]]))</f>
        <v/>
      </c>
      <c r="O6482" t="s">
        <v>58</v>
      </c>
      <c r="P6482" t="s">
        <v>89</v>
      </c>
      <c r="Q6482" t="s">
        <v>58</v>
      </c>
      <c r="R6482" t="str">
        <f>IFERROR(VLOOKUP(record[[#This Row],[PCUSTID]],廠商[],2,FALSE),"")</f>
        <v/>
      </c>
      <c r="S6482" t="str">
        <f>VLOOKUP(record[[#This Row],[employeeID]],員工[],2,FALSE)</f>
        <v>李美蓮</v>
      </c>
    </row>
    <row r="6483" spans="6:19" hidden="1" x14ac:dyDescent="0.25">
      <c r="F6483" t="s">
        <v>1227</v>
      </c>
      <c r="G6483" t="s">
        <v>401</v>
      </c>
      <c r="H6483" t="str">
        <f>VLOOKUP(record[[#This Row],[ProcessSN]],表格2_7[],2,FALSE)</f>
        <v>30-4118-018-550</v>
      </c>
      <c r="I6483" t="str">
        <f>VLOOKUP(record[[#This Row],[ProcessSN]],表格2_7[],3,FALSE)</f>
        <v>#100OQC</v>
      </c>
      <c r="J6483" t="s">
        <v>599</v>
      </c>
      <c r="K6483" s="195">
        <v>45985.698819444442</v>
      </c>
      <c r="L6483">
        <v>92</v>
      </c>
      <c r="M6483">
        <v>0</v>
      </c>
      <c r="N6483" s="98" t="str">
        <f>IF(record[[#This Row],[Memo]]="Browser:chrome os:android","平板報工",IF(record[[#This Row],[Memo]]=0,"委外",record[[#This Row],[Memo]]))</f>
        <v/>
      </c>
      <c r="O6483" t="s">
        <v>58</v>
      </c>
      <c r="P6483" t="s">
        <v>121</v>
      </c>
      <c r="Q6483" t="s">
        <v>58</v>
      </c>
      <c r="R6483" t="str">
        <f>IFERROR(VLOOKUP(record[[#This Row],[PCUSTID]],廠商[],2,FALSE),"")</f>
        <v/>
      </c>
      <c r="S6483" t="str">
        <f>VLOOKUP(record[[#This Row],[employeeID]],員工[],2,FALSE)</f>
        <v>謝素卿</v>
      </c>
    </row>
    <row r="6484" spans="6:19" hidden="1" x14ac:dyDescent="0.25">
      <c r="F6484" t="s">
        <v>1233</v>
      </c>
      <c r="G6484" t="s">
        <v>400</v>
      </c>
      <c r="H6484" t="str">
        <f>VLOOKUP(record[[#This Row],[ProcessSN]],表格2_7[],2,FALSE)</f>
        <v>30-4118-018-550</v>
      </c>
      <c r="I6484" t="str">
        <f>VLOOKUP(record[[#This Row],[ProcessSN]],表格2_7[],3,FALSE)</f>
        <v>#100</v>
      </c>
      <c r="J6484" t="s">
        <v>598</v>
      </c>
      <c r="K6484" s="195">
        <v>45985.698611111111</v>
      </c>
      <c r="L6484">
        <v>244</v>
      </c>
      <c r="M6484">
        <v>0</v>
      </c>
      <c r="N6484" s="98" t="str">
        <f>IF(record[[#This Row],[Memo]]="Browser:chrome os:android","平板報工",IF(record[[#This Row],[Memo]]=0,"委外",record[[#This Row],[Memo]]))</f>
        <v>平板報工</v>
      </c>
      <c r="O6484" t="s">
        <v>643</v>
      </c>
      <c r="P6484" t="s">
        <v>141</v>
      </c>
      <c r="Q6484" t="s">
        <v>644</v>
      </c>
      <c r="R6484" t="str">
        <f>IFERROR(VLOOKUP(record[[#This Row],[PCUSTID]],廠商[],2,FALSE),"")</f>
        <v/>
      </c>
      <c r="S6484" t="str">
        <f>VLOOKUP(record[[#This Row],[employeeID]],員工[],2,FALSE)</f>
        <v>蔣梅</v>
      </c>
    </row>
    <row r="6485" spans="6:19" hidden="1" x14ac:dyDescent="0.25">
      <c r="F6485" t="s">
        <v>1227</v>
      </c>
      <c r="G6485" t="s">
        <v>400</v>
      </c>
      <c r="H6485" t="str">
        <f>VLOOKUP(record[[#This Row],[ProcessSN]],表格2_7[],2,FALSE)</f>
        <v>30-4118-018-550</v>
      </c>
      <c r="I6485" t="str">
        <f>VLOOKUP(record[[#This Row],[ProcessSN]],表格2_7[],3,FALSE)</f>
        <v>#100</v>
      </c>
      <c r="J6485" t="s">
        <v>598</v>
      </c>
      <c r="K6485" s="195">
        <v>45985.697581018518</v>
      </c>
      <c r="L6485">
        <v>92</v>
      </c>
      <c r="M6485">
        <v>0</v>
      </c>
      <c r="N6485" s="98" t="str">
        <f>IF(record[[#This Row],[Memo]]="Browser:chrome os:android","平板報工",IF(record[[#This Row],[Memo]]=0,"委外",record[[#This Row],[Memo]]))</f>
        <v>平板報工</v>
      </c>
      <c r="O6485" t="s">
        <v>643</v>
      </c>
      <c r="P6485" t="s">
        <v>141</v>
      </c>
      <c r="Q6485" t="s">
        <v>644</v>
      </c>
      <c r="R6485" t="str">
        <f>IFERROR(VLOOKUP(record[[#This Row],[PCUSTID]],廠商[],2,FALSE),"")</f>
        <v/>
      </c>
      <c r="S6485" t="str">
        <f>VLOOKUP(record[[#This Row],[employeeID]],員工[],2,FALSE)</f>
        <v>蔣梅</v>
      </c>
    </row>
    <row r="6486" spans="6:19" hidden="1" x14ac:dyDescent="0.25">
      <c r="F6486" t="s">
        <v>1233</v>
      </c>
      <c r="G6486" t="s">
        <v>403</v>
      </c>
      <c r="H6486" t="str">
        <f>VLOOKUP(record[[#This Row],[ProcessSN]],表格2_7[],2,FALSE)</f>
        <v>30-4118-018-550</v>
      </c>
      <c r="I6486" t="str">
        <f>VLOOKUP(record[[#This Row],[ProcessSN]],表格2_7[],3,FALSE)</f>
        <v>#100SHIP</v>
      </c>
      <c r="J6486" t="s">
        <v>600</v>
      </c>
      <c r="K6486" s="195">
        <v>45985.689085648148</v>
      </c>
      <c r="L6486">
        <v>168</v>
      </c>
      <c r="M6486">
        <v>0</v>
      </c>
      <c r="N6486" s="98" t="str">
        <f>IF(record[[#This Row],[Memo]]="Browser:chrome os:android","平板報工",IF(record[[#This Row],[Memo]]=0,"委外",record[[#This Row],[Memo]]))</f>
        <v/>
      </c>
      <c r="O6486" t="s">
        <v>58</v>
      </c>
      <c r="P6486" t="s">
        <v>886</v>
      </c>
      <c r="Q6486" t="s">
        <v>58</v>
      </c>
      <c r="R6486" t="str">
        <f>IFERROR(VLOOKUP(record[[#This Row],[PCUSTID]],廠商[],2,FALSE),"")</f>
        <v/>
      </c>
      <c r="S6486" t="str">
        <f>VLOOKUP(record[[#This Row],[employeeID]],員工[],2,FALSE)</f>
        <v>謝蓁薰</v>
      </c>
    </row>
    <row r="6487" spans="6:19" hidden="1" x14ac:dyDescent="0.25">
      <c r="F6487" t="s">
        <v>1227</v>
      </c>
      <c r="G6487" t="s">
        <v>403</v>
      </c>
      <c r="H6487" t="str">
        <f>VLOOKUP(record[[#This Row],[ProcessSN]],表格2_7[],2,FALSE)</f>
        <v>30-4118-018-550</v>
      </c>
      <c r="I6487" t="str">
        <f>VLOOKUP(record[[#This Row],[ProcessSN]],表格2_7[],3,FALSE)</f>
        <v>#100SHIP</v>
      </c>
      <c r="J6487" t="s">
        <v>600</v>
      </c>
      <c r="K6487" s="195">
        <v>45985.688946759263</v>
      </c>
      <c r="L6487">
        <v>149</v>
      </c>
      <c r="M6487">
        <v>0</v>
      </c>
      <c r="N6487" s="98" t="str">
        <f>IF(record[[#This Row],[Memo]]="Browser:chrome os:android","平板報工",IF(record[[#This Row],[Memo]]=0,"委外",record[[#This Row],[Memo]]))</f>
        <v/>
      </c>
      <c r="O6487" t="s">
        <v>58</v>
      </c>
      <c r="P6487" t="s">
        <v>886</v>
      </c>
      <c r="Q6487" t="s">
        <v>58</v>
      </c>
      <c r="R6487" t="str">
        <f>IFERROR(VLOOKUP(record[[#This Row],[PCUSTID]],廠商[],2,FALSE),"")</f>
        <v/>
      </c>
      <c r="S6487" t="str">
        <f>VLOOKUP(record[[#This Row],[employeeID]],員工[],2,FALSE)</f>
        <v>謝蓁薰</v>
      </c>
    </row>
    <row r="6488" spans="6:19" hidden="1" x14ac:dyDescent="0.25">
      <c r="F6488" t="s">
        <v>1221</v>
      </c>
      <c r="G6488" t="s">
        <v>403</v>
      </c>
      <c r="H6488" t="str">
        <f>VLOOKUP(record[[#This Row],[ProcessSN]],表格2_7[],2,FALSE)</f>
        <v>30-4118-018-550</v>
      </c>
      <c r="I6488" t="str">
        <f>VLOOKUP(record[[#This Row],[ProcessSN]],表格2_7[],3,FALSE)</f>
        <v>#100SHIP</v>
      </c>
      <c r="J6488" t="s">
        <v>600</v>
      </c>
      <c r="K6488" s="195">
        <v>45985.688796296294</v>
      </c>
      <c r="L6488">
        <v>128</v>
      </c>
      <c r="M6488">
        <v>0</v>
      </c>
      <c r="N6488" s="98" t="str">
        <f>IF(record[[#This Row],[Memo]]="Browser:chrome os:android","平板報工",IF(record[[#This Row],[Memo]]=0,"委外",record[[#This Row],[Memo]]))</f>
        <v/>
      </c>
      <c r="O6488" t="s">
        <v>58</v>
      </c>
      <c r="P6488" t="s">
        <v>886</v>
      </c>
      <c r="Q6488" t="s">
        <v>58</v>
      </c>
      <c r="R6488" t="str">
        <f>IFERROR(VLOOKUP(record[[#This Row],[PCUSTID]],廠商[],2,FALSE),"")</f>
        <v/>
      </c>
      <c r="S6488" t="str">
        <f>VLOOKUP(record[[#This Row],[employeeID]],員工[],2,FALSE)</f>
        <v>謝蓁薰</v>
      </c>
    </row>
    <row r="6489" spans="6:19" hidden="1" x14ac:dyDescent="0.25">
      <c r="F6489" t="s">
        <v>1218</v>
      </c>
      <c r="G6489" t="s">
        <v>403</v>
      </c>
      <c r="H6489" t="str">
        <f>VLOOKUP(record[[#This Row],[ProcessSN]],表格2_7[],2,FALSE)</f>
        <v>30-4118-018-550</v>
      </c>
      <c r="I6489" t="str">
        <f>VLOOKUP(record[[#This Row],[ProcessSN]],表格2_7[],3,FALSE)</f>
        <v>#100SHIP</v>
      </c>
      <c r="J6489" t="s">
        <v>600</v>
      </c>
      <c r="K6489" s="195">
        <v>45985.688668981478</v>
      </c>
      <c r="L6489">
        <v>15</v>
      </c>
      <c r="M6489">
        <v>0</v>
      </c>
      <c r="N6489" s="98" t="str">
        <f>IF(record[[#This Row],[Memo]]="Browser:chrome os:android","平板報工",IF(record[[#This Row],[Memo]]=0,"委外",record[[#This Row],[Memo]]))</f>
        <v/>
      </c>
      <c r="O6489" t="s">
        <v>58</v>
      </c>
      <c r="P6489" t="s">
        <v>886</v>
      </c>
      <c r="Q6489" t="s">
        <v>58</v>
      </c>
      <c r="R6489" t="str">
        <f>IFERROR(VLOOKUP(record[[#This Row],[PCUSTID]],廠商[],2,FALSE),"")</f>
        <v/>
      </c>
      <c r="S6489" t="str">
        <f>VLOOKUP(record[[#This Row],[employeeID]],員工[],2,FALSE)</f>
        <v>謝蓁薰</v>
      </c>
    </row>
    <row r="6490" spans="6:19" hidden="1" x14ac:dyDescent="0.25">
      <c r="F6490" t="s">
        <v>1233</v>
      </c>
      <c r="G6490" t="s">
        <v>402</v>
      </c>
      <c r="H6490" t="str">
        <f>VLOOKUP(record[[#This Row],[ProcessSN]],表格2_7[],2,FALSE)</f>
        <v>30-4118-018-550</v>
      </c>
      <c r="I6490" t="str">
        <f>VLOOKUP(record[[#This Row],[ProcessSN]],表格2_7[],3,FALSE)</f>
        <v>#100STOCK</v>
      </c>
      <c r="J6490" t="s">
        <v>592</v>
      </c>
      <c r="K6490" s="195">
        <v>45985.687662037039</v>
      </c>
      <c r="L6490">
        <v>168</v>
      </c>
      <c r="M6490">
        <v>0</v>
      </c>
      <c r="N6490" s="98" t="str">
        <f>IF(record[[#This Row],[Memo]]="Browser:chrome os:android","平板報工",IF(record[[#This Row],[Memo]]=0,"委外",record[[#This Row],[Memo]]))</f>
        <v/>
      </c>
      <c r="O6490" t="s">
        <v>58</v>
      </c>
      <c r="P6490" t="s">
        <v>886</v>
      </c>
      <c r="Q6490" t="s">
        <v>58</v>
      </c>
      <c r="R6490" t="str">
        <f>IFERROR(VLOOKUP(record[[#This Row],[PCUSTID]],廠商[],2,FALSE),"")</f>
        <v/>
      </c>
      <c r="S6490" t="str">
        <f>VLOOKUP(record[[#This Row],[employeeID]],員工[],2,FALSE)</f>
        <v>謝蓁薰</v>
      </c>
    </row>
    <row r="6491" spans="6:19" hidden="1" x14ac:dyDescent="0.25">
      <c r="F6491" t="s">
        <v>1227</v>
      </c>
      <c r="G6491" t="s">
        <v>402</v>
      </c>
      <c r="H6491" t="str">
        <f>VLOOKUP(record[[#This Row],[ProcessSN]],表格2_7[],2,FALSE)</f>
        <v>30-4118-018-550</v>
      </c>
      <c r="I6491" t="str">
        <f>VLOOKUP(record[[#This Row],[ProcessSN]],表格2_7[],3,FALSE)</f>
        <v>#100STOCK</v>
      </c>
      <c r="J6491" t="s">
        <v>592</v>
      </c>
      <c r="K6491" s="195">
        <v>45985.687523148146</v>
      </c>
      <c r="L6491">
        <v>315</v>
      </c>
      <c r="M6491">
        <v>0</v>
      </c>
      <c r="N6491" s="98" t="str">
        <f>IF(record[[#This Row],[Memo]]="Browser:chrome os:android","平板報工",IF(record[[#This Row],[Memo]]=0,"委外",record[[#This Row],[Memo]]))</f>
        <v/>
      </c>
      <c r="O6491" t="s">
        <v>58</v>
      </c>
      <c r="P6491" t="s">
        <v>886</v>
      </c>
      <c r="Q6491" t="s">
        <v>58</v>
      </c>
      <c r="R6491" t="str">
        <f>IFERROR(VLOOKUP(record[[#This Row],[PCUSTID]],廠商[],2,FALSE),"")</f>
        <v/>
      </c>
      <c r="S6491" t="str">
        <f>VLOOKUP(record[[#This Row],[employeeID]],員工[],2,FALSE)</f>
        <v>謝蓁薰</v>
      </c>
    </row>
    <row r="6492" spans="6:19" hidden="1" x14ac:dyDescent="0.25">
      <c r="F6492" t="s">
        <v>1221</v>
      </c>
      <c r="G6492" t="s">
        <v>402</v>
      </c>
      <c r="H6492" t="str">
        <f>VLOOKUP(record[[#This Row],[ProcessSN]],表格2_7[],2,FALSE)</f>
        <v>30-4118-018-550</v>
      </c>
      <c r="I6492" t="str">
        <f>VLOOKUP(record[[#This Row],[ProcessSN]],表格2_7[],3,FALSE)</f>
        <v>#100STOCK</v>
      </c>
      <c r="J6492" t="s">
        <v>592</v>
      </c>
      <c r="K6492" s="195">
        <v>45985.687314814815</v>
      </c>
      <c r="L6492">
        <v>128</v>
      </c>
      <c r="M6492">
        <v>0</v>
      </c>
      <c r="N6492" s="98" t="str">
        <f>IF(record[[#This Row],[Memo]]="Browser:chrome os:android","平板報工",IF(record[[#This Row],[Memo]]=0,"委外",record[[#This Row],[Memo]]))</f>
        <v/>
      </c>
      <c r="O6492" t="s">
        <v>58</v>
      </c>
      <c r="P6492" t="s">
        <v>886</v>
      </c>
      <c r="Q6492" t="s">
        <v>58</v>
      </c>
      <c r="R6492" t="str">
        <f>IFERROR(VLOOKUP(record[[#This Row],[PCUSTID]],廠商[],2,FALSE),"")</f>
        <v/>
      </c>
      <c r="S6492" t="str">
        <f>VLOOKUP(record[[#This Row],[employeeID]],員工[],2,FALSE)</f>
        <v>謝蓁薰</v>
      </c>
    </row>
    <row r="6493" spans="6:19" hidden="1" x14ac:dyDescent="0.25">
      <c r="F6493" t="s">
        <v>1227</v>
      </c>
      <c r="G6493" t="s">
        <v>401</v>
      </c>
      <c r="H6493" t="str">
        <f>VLOOKUP(record[[#This Row],[ProcessSN]],表格2_7[],2,FALSE)</f>
        <v>30-4118-018-550</v>
      </c>
      <c r="I6493" t="str">
        <f>VLOOKUP(record[[#This Row],[ProcessSN]],表格2_7[],3,FALSE)</f>
        <v>#100OQC</v>
      </c>
      <c r="J6493" t="s">
        <v>599</v>
      </c>
      <c r="K6493" s="195">
        <v>45985.681840277779</v>
      </c>
      <c r="L6493">
        <v>315</v>
      </c>
      <c r="M6493">
        <v>0</v>
      </c>
      <c r="N6493" s="98" t="str">
        <f>IF(record[[#This Row],[Memo]]="Browser:chrome os:android","平板報工",IF(record[[#This Row],[Memo]]=0,"委外",record[[#This Row],[Memo]]))</f>
        <v/>
      </c>
      <c r="O6493" t="s">
        <v>58</v>
      </c>
      <c r="P6493" t="s">
        <v>121</v>
      </c>
      <c r="Q6493" t="s">
        <v>58</v>
      </c>
      <c r="R6493" t="str">
        <f>IFERROR(VLOOKUP(record[[#This Row],[PCUSTID]],廠商[],2,FALSE),"")</f>
        <v/>
      </c>
      <c r="S6493" t="str">
        <f>VLOOKUP(record[[#This Row],[employeeID]],員工[],2,FALSE)</f>
        <v>謝素卿</v>
      </c>
    </row>
    <row r="6494" spans="6:19" hidden="1" x14ac:dyDescent="0.25">
      <c r="F6494" t="s">
        <v>1233</v>
      </c>
      <c r="G6494" t="s">
        <v>401</v>
      </c>
      <c r="H6494" t="str">
        <f>VLOOKUP(record[[#This Row],[ProcessSN]],表格2_7[],2,FALSE)</f>
        <v>30-4118-018-550</v>
      </c>
      <c r="I6494" t="str">
        <f>VLOOKUP(record[[#This Row],[ProcessSN]],表格2_7[],3,FALSE)</f>
        <v>#100OQC</v>
      </c>
      <c r="J6494" t="s">
        <v>599</v>
      </c>
      <c r="K6494" s="195">
        <v>45985.681458333333</v>
      </c>
      <c r="L6494">
        <v>168</v>
      </c>
      <c r="M6494">
        <v>0</v>
      </c>
      <c r="N6494" s="98" t="str">
        <f>IF(record[[#This Row],[Memo]]="Browser:chrome os:android","平板報工",IF(record[[#This Row],[Memo]]=0,"委外",record[[#This Row],[Memo]]))</f>
        <v/>
      </c>
      <c r="O6494" t="s">
        <v>58</v>
      </c>
      <c r="P6494" t="s">
        <v>121</v>
      </c>
      <c r="Q6494" t="s">
        <v>58</v>
      </c>
      <c r="R6494" t="str">
        <f>IFERROR(VLOOKUP(record[[#This Row],[PCUSTID]],廠商[],2,FALSE),"")</f>
        <v/>
      </c>
      <c r="S6494" t="str">
        <f>VLOOKUP(record[[#This Row],[employeeID]],員工[],2,FALSE)</f>
        <v>謝素卿</v>
      </c>
    </row>
    <row r="6495" spans="6:19" hidden="1" x14ac:dyDescent="0.25">
      <c r="F6495" t="s">
        <v>1221</v>
      </c>
      <c r="G6495" t="s">
        <v>401</v>
      </c>
      <c r="H6495" t="str">
        <f>VLOOKUP(record[[#This Row],[ProcessSN]],表格2_7[],2,FALSE)</f>
        <v>30-4118-018-550</v>
      </c>
      <c r="I6495" t="str">
        <f>VLOOKUP(record[[#This Row],[ProcessSN]],表格2_7[],3,FALSE)</f>
        <v>#100OQC</v>
      </c>
      <c r="J6495" t="s">
        <v>599</v>
      </c>
      <c r="K6495" s="195">
        <v>45985.681331018517</v>
      </c>
      <c r="L6495">
        <v>128</v>
      </c>
      <c r="M6495">
        <v>0</v>
      </c>
      <c r="N6495" s="98" t="str">
        <f>IF(record[[#This Row],[Memo]]="Browser:chrome os:android","平板報工",IF(record[[#This Row],[Memo]]=0,"委外",record[[#This Row],[Memo]]))</f>
        <v/>
      </c>
      <c r="O6495" t="s">
        <v>58</v>
      </c>
      <c r="P6495" t="s">
        <v>121</v>
      </c>
      <c r="Q6495" t="s">
        <v>58</v>
      </c>
      <c r="R6495" t="str">
        <f>IFERROR(VLOOKUP(record[[#This Row],[PCUSTID]],廠商[],2,FALSE),"")</f>
        <v/>
      </c>
      <c r="S6495" t="str">
        <f>VLOOKUP(record[[#This Row],[employeeID]],員工[],2,FALSE)</f>
        <v>謝素卿</v>
      </c>
    </row>
    <row r="6496" spans="6:19" hidden="1" x14ac:dyDescent="0.25">
      <c r="F6496" t="s">
        <v>1209</v>
      </c>
      <c r="G6496" t="s">
        <v>466</v>
      </c>
      <c r="H6496" t="str">
        <f>VLOOKUP(record[[#This Row],[ProcessSN]],表格2_7[],2,FALSE)</f>
        <v>30-4118-018-XXX</v>
      </c>
      <c r="I6496" t="str">
        <f>VLOOKUP(record[[#This Row],[ProcessSN]],表格2_7[],3,FALSE)</f>
        <v>#01-2</v>
      </c>
      <c r="J6496" t="s">
        <v>588</v>
      </c>
      <c r="K6496" s="195">
        <v>45985.651608796295</v>
      </c>
      <c r="L6496">
        <v>337</v>
      </c>
      <c r="M6496">
        <v>0</v>
      </c>
      <c r="N6496" s="98" t="str">
        <f>IF(record[[#This Row],[Memo]]="Browser:chrome os:android","平板報工",IF(record[[#This Row],[Memo]]=0,"委外",record[[#This Row],[Memo]]))</f>
        <v>平板報工</v>
      </c>
      <c r="O6496" t="s">
        <v>643</v>
      </c>
      <c r="P6496" t="s">
        <v>145</v>
      </c>
      <c r="Q6496" t="s">
        <v>644</v>
      </c>
      <c r="R6496" t="str">
        <f>IFERROR(VLOOKUP(record[[#This Row],[PCUSTID]],廠商[],2,FALSE),"")</f>
        <v/>
      </c>
      <c r="S6496" t="str">
        <f>VLOOKUP(record[[#This Row],[employeeID]],員工[],2,FALSE)</f>
        <v>阮秋霞</v>
      </c>
    </row>
    <row r="6497" spans="6:19" hidden="1" x14ac:dyDescent="0.25">
      <c r="F6497" t="s">
        <v>1148</v>
      </c>
      <c r="G6497" t="s">
        <v>471</v>
      </c>
      <c r="H6497" t="str">
        <f>VLOOKUP(record[[#This Row],[ProcessSN]],表格2_7[],2,FALSE)</f>
        <v>30-4118-018-XXX</v>
      </c>
      <c r="I6497" t="str">
        <f>VLOOKUP(record[[#This Row],[ProcessSN]],表格2_7[],3,FALSE)</f>
        <v>#02STOCK</v>
      </c>
      <c r="J6497" t="s">
        <v>592</v>
      </c>
      <c r="K6497" s="195">
        <v>45985.649375000001</v>
      </c>
      <c r="L6497">
        <v>500</v>
      </c>
      <c r="M6497">
        <v>0</v>
      </c>
      <c r="N6497" s="98" t="str">
        <f>IF(record[[#This Row],[Memo]]="Browser:chrome os:android","平板報工",IF(record[[#This Row],[Memo]]=0,"委外",record[[#This Row],[Memo]]))</f>
        <v/>
      </c>
      <c r="O6497" t="s">
        <v>58</v>
      </c>
      <c r="P6497" t="s">
        <v>125</v>
      </c>
      <c r="Q6497" t="s">
        <v>58</v>
      </c>
      <c r="R6497" t="str">
        <f>IFERROR(VLOOKUP(record[[#This Row],[PCUSTID]],廠商[],2,FALSE),"")</f>
        <v/>
      </c>
      <c r="S6497" t="str">
        <f>VLOOKUP(record[[#This Row],[employeeID]],員工[],2,FALSE)</f>
        <v>黃瓈巧</v>
      </c>
    </row>
    <row r="6498" spans="6:19" hidden="1" x14ac:dyDescent="0.25">
      <c r="F6498" t="s">
        <v>1225</v>
      </c>
      <c r="G6498" t="s">
        <v>416</v>
      </c>
      <c r="H6498" t="str">
        <f>VLOOKUP(record[[#This Row],[ProcessSN]],表格2_7[],2,FALSE)</f>
        <v>30-4118-018-5XX</v>
      </c>
      <c r="I6498" t="str">
        <f>VLOOKUP(record[[#This Row],[ProcessSN]],表格2_7[],3,FALSE)</f>
        <v>#05</v>
      </c>
      <c r="J6498" t="s">
        <v>588</v>
      </c>
      <c r="K6498" s="195">
        <v>45985.643483796295</v>
      </c>
      <c r="L6498">
        <v>105</v>
      </c>
      <c r="M6498">
        <v>0</v>
      </c>
      <c r="N6498" s="98" t="str">
        <f>IF(record[[#This Row],[Memo]]="Browser:chrome os:android","平板報工",IF(record[[#This Row],[Memo]]=0,"委外",record[[#This Row],[Memo]]))</f>
        <v>平板報工</v>
      </c>
      <c r="O6498" t="s">
        <v>643</v>
      </c>
      <c r="P6498" t="s">
        <v>107</v>
      </c>
      <c r="Q6498" t="s">
        <v>644</v>
      </c>
      <c r="R6498" t="str">
        <f>IFERROR(VLOOKUP(record[[#This Row],[PCUSTID]],廠商[],2,FALSE),"")</f>
        <v/>
      </c>
      <c r="S6498" t="str">
        <f>VLOOKUP(record[[#This Row],[employeeID]],員工[],2,FALSE)</f>
        <v>黎氏順</v>
      </c>
    </row>
    <row r="6499" spans="6:19" hidden="1" x14ac:dyDescent="0.25">
      <c r="F6499" t="s">
        <v>1225</v>
      </c>
      <c r="G6499" t="s">
        <v>415</v>
      </c>
      <c r="H6499" t="str">
        <f>VLOOKUP(record[[#This Row],[ProcessSN]],表格2_7[],2,FALSE)</f>
        <v>30-4118-018-5XX</v>
      </c>
      <c r="I6499" t="str">
        <f>VLOOKUP(record[[#This Row],[ProcessSN]],表格2_7[],3,FALSE)</f>
        <v>#04</v>
      </c>
      <c r="J6499" t="s">
        <v>588</v>
      </c>
      <c r="K6499" s="195">
        <v>45985.642013888886</v>
      </c>
      <c r="L6499">
        <v>75</v>
      </c>
      <c r="M6499">
        <v>0</v>
      </c>
      <c r="N6499" s="98" t="str">
        <f>IF(record[[#This Row],[Memo]]="Browser:chrome os:android","平板報工",IF(record[[#This Row],[Memo]]=0,"委外",record[[#This Row],[Memo]]))</f>
        <v>平板報工</v>
      </c>
      <c r="O6499" t="s">
        <v>643</v>
      </c>
      <c r="P6499" t="s">
        <v>785</v>
      </c>
      <c r="Q6499" t="s">
        <v>644</v>
      </c>
      <c r="R6499" t="str">
        <f>IFERROR(VLOOKUP(record[[#This Row],[PCUSTID]],廠商[],2,FALSE),"")</f>
        <v/>
      </c>
      <c r="S6499" t="str">
        <f>VLOOKUP(record[[#This Row],[employeeID]],員工[],2,FALSE)</f>
        <v>謝刻光</v>
      </c>
    </row>
    <row r="6500" spans="6:19" hidden="1" x14ac:dyDescent="0.25">
      <c r="F6500" t="s">
        <v>1189</v>
      </c>
      <c r="G6500" t="s">
        <v>418</v>
      </c>
      <c r="H6500" t="str">
        <f>VLOOKUP(record[[#This Row],[ProcessSN]],表格2_7[],2,FALSE)</f>
        <v>30-4118-018-5XX</v>
      </c>
      <c r="I6500" t="str">
        <f>VLOOKUP(record[[#This Row],[ProcessSN]],表格2_7[],3,FALSE)</f>
        <v>#07</v>
      </c>
      <c r="J6500" t="s">
        <v>588</v>
      </c>
      <c r="K6500" s="195">
        <v>45985.641782407409</v>
      </c>
      <c r="L6500">
        <v>109</v>
      </c>
      <c r="M6500">
        <v>0</v>
      </c>
      <c r="N6500" s="98" t="str">
        <f>IF(record[[#This Row],[Memo]]="Browser:chrome os:android","平板報工",IF(record[[#This Row],[Memo]]=0,"委外",record[[#This Row],[Memo]]))</f>
        <v>平板報工</v>
      </c>
      <c r="O6500" t="s">
        <v>643</v>
      </c>
      <c r="P6500" t="s">
        <v>785</v>
      </c>
      <c r="Q6500" t="s">
        <v>644</v>
      </c>
      <c r="R6500" t="str">
        <f>IFERROR(VLOOKUP(record[[#This Row],[PCUSTID]],廠商[],2,FALSE),"")</f>
        <v/>
      </c>
      <c r="S6500" t="str">
        <f>VLOOKUP(record[[#This Row],[employeeID]],員工[],2,FALSE)</f>
        <v>謝刻光</v>
      </c>
    </row>
    <row r="6501" spans="6:19" hidden="1" x14ac:dyDescent="0.25">
      <c r="F6501" t="s">
        <v>1189</v>
      </c>
      <c r="G6501" t="s">
        <v>418</v>
      </c>
      <c r="H6501" t="str">
        <f>VLOOKUP(record[[#This Row],[ProcessSN]],表格2_7[],2,FALSE)</f>
        <v>30-4118-018-5XX</v>
      </c>
      <c r="I6501" t="str">
        <f>VLOOKUP(record[[#This Row],[ProcessSN]],表格2_7[],3,FALSE)</f>
        <v>#07</v>
      </c>
      <c r="J6501" t="s">
        <v>588</v>
      </c>
      <c r="K6501" s="195">
        <v>45985.639733796299</v>
      </c>
      <c r="L6501">
        <v>90</v>
      </c>
      <c r="M6501">
        <v>0</v>
      </c>
      <c r="N6501" s="98" t="str">
        <f>IF(record[[#This Row],[Memo]]="Browser:chrome os:android","平板報工",IF(record[[#This Row],[Memo]]=0,"委外",record[[#This Row],[Memo]]))</f>
        <v>平板報工</v>
      </c>
      <c r="O6501" t="s">
        <v>643</v>
      </c>
      <c r="P6501" t="s">
        <v>107</v>
      </c>
      <c r="Q6501" t="s">
        <v>644</v>
      </c>
      <c r="R6501" t="str">
        <f>IFERROR(VLOOKUP(record[[#This Row],[PCUSTID]],廠商[],2,FALSE),"")</f>
        <v/>
      </c>
      <c r="S6501" t="str">
        <f>VLOOKUP(record[[#This Row],[employeeID]],員工[],2,FALSE)</f>
        <v>黎氏順</v>
      </c>
    </row>
    <row r="6502" spans="6:19" hidden="1" x14ac:dyDescent="0.25">
      <c r="F6502" t="s">
        <v>1236</v>
      </c>
      <c r="G6502" t="s">
        <v>414</v>
      </c>
      <c r="H6502" t="str">
        <f>VLOOKUP(record[[#This Row],[ProcessSN]],表格2_7[],2,FALSE)</f>
        <v>30-4118-018-5XX</v>
      </c>
      <c r="I6502" t="str">
        <f>VLOOKUP(record[[#This Row],[ProcessSN]],表格2_7[],3,FALSE)</f>
        <v>#03</v>
      </c>
      <c r="J6502" t="s">
        <v>588</v>
      </c>
      <c r="K6502" s="195">
        <v>45985.639178240737</v>
      </c>
      <c r="L6502">
        <v>220</v>
      </c>
      <c r="M6502">
        <v>0</v>
      </c>
      <c r="N6502" s="98" t="str">
        <f>IF(record[[#This Row],[Memo]]="Browser:chrome os:android","平板報工",IF(record[[#This Row],[Memo]]=0,"委外",record[[#This Row],[Memo]]))</f>
        <v>平板報工</v>
      </c>
      <c r="O6502" t="s">
        <v>643</v>
      </c>
      <c r="P6502" t="s">
        <v>107</v>
      </c>
      <c r="Q6502" t="s">
        <v>644</v>
      </c>
      <c r="R6502" t="str">
        <f>IFERROR(VLOOKUP(record[[#This Row],[PCUSTID]],廠商[],2,FALSE),"")</f>
        <v/>
      </c>
      <c r="S6502" t="str">
        <f>VLOOKUP(record[[#This Row],[employeeID]],員工[],2,FALSE)</f>
        <v>黎氏順</v>
      </c>
    </row>
    <row r="6503" spans="6:19" hidden="1" x14ac:dyDescent="0.25">
      <c r="F6503" t="s">
        <v>1189</v>
      </c>
      <c r="G6503" t="s">
        <v>417</v>
      </c>
      <c r="H6503" t="str">
        <f>VLOOKUP(record[[#This Row],[ProcessSN]],表格2_7[],2,FALSE)</f>
        <v>30-4118-018-5XX</v>
      </c>
      <c r="I6503" t="str">
        <f>VLOOKUP(record[[#This Row],[ProcessSN]],表格2_7[],3,FALSE)</f>
        <v>#06</v>
      </c>
      <c r="J6503" t="s">
        <v>593</v>
      </c>
      <c r="K6503" s="195">
        <v>45985.636018518519</v>
      </c>
      <c r="L6503">
        <v>107</v>
      </c>
      <c r="M6503">
        <v>0</v>
      </c>
      <c r="N6503" s="98" t="str">
        <f>IF(record[[#This Row],[Memo]]="Browser:chrome os:android","平板報工",IF(record[[#This Row],[Memo]]=0,"委外",record[[#This Row],[Memo]]))</f>
        <v>平板報工</v>
      </c>
      <c r="O6503" t="s">
        <v>643</v>
      </c>
      <c r="P6503" t="s">
        <v>111</v>
      </c>
      <c r="Q6503" t="s">
        <v>644</v>
      </c>
      <c r="R6503" t="str">
        <f>IFERROR(VLOOKUP(record[[#This Row],[PCUSTID]],廠商[],2,FALSE),"")</f>
        <v/>
      </c>
      <c r="S6503" t="str">
        <f>VLOOKUP(record[[#This Row],[employeeID]],員工[],2,FALSE)</f>
        <v>江栩妘</v>
      </c>
    </row>
    <row r="6504" spans="6:19" hidden="1" x14ac:dyDescent="0.25">
      <c r="F6504" t="s">
        <v>1227</v>
      </c>
      <c r="G6504" t="s">
        <v>400</v>
      </c>
      <c r="H6504" t="str">
        <f>VLOOKUP(record[[#This Row],[ProcessSN]],表格2_7[],2,FALSE)</f>
        <v>30-4118-018-550</v>
      </c>
      <c r="I6504" t="str">
        <f>VLOOKUP(record[[#This Row],[ProcessSN]],表格2_7[],3,FALSE)</f>
        <v>#100</v>
      </c>
      <c r="J6504" t="s">
        <v>598</v>
      </c>
      <c r="K6504" s="195">
        <v>45985.586458333331</v>
      </c>
      <c r="L6504">
        <v>315</v>
      </c>
      <c r="M6504">
        <v>0</v>
      </c>
      <c r="N6504" s="98" t="str">
        <f>IF(record[[#This Row],[Memo]]="Browser:chrome os:android","平板報工",IF(record[[#This Row],[Memo]]=0,"委外",record[[#This Row],[Memo]]))</f>
        <v>平板報工</v>
      </c>
      <c r="O6504" t="s">
        <v>643</v>
      </c>
      <c r="P6504" t="s">
        <v>141</v>
      </c>
      <c r="Q6504" t="s">
        <v>644</v>
      </c>
      <c r="R6504" t="str">
        <f>IFERROR(VLOOKUP(record[[#This Row],[PCUSTID]],廠商[],2,FALSE),"")</f>
        <v/>
      </c>
      <c r="S6504" t="str">
        <f>VLOOKUP(record[[#This Row],[employeeID]],員工[],2,FALSE)</f>
        <v>蔣梅</v>
      </c>
    </row>
    <row r="6505" spans="6:19" hidden="1" x14ac:dyDescent="0.25">
      <c r="F6505" t="s">
        <v>1221</v>
      </c>
      <c r="G6505" t="s">
        <v>400</v>
      </c>
      <c r="H6505" t="str">
        <f>VLOOKUP(record[[#This Row],[ProcessSN]],表格2_7[],2,FALSE)</f>
        <v>30-4118-018-550</v>
      </c>
      <c r="I6505" t="str">
        <f>VLOOKUP(record[[#This Row],[ProcessSN]],表格2_7[],3,FALSE)</f>
        <v>#100</v>
      </c>
      <c r="J6505" t="s">
        <v>598</v>
      </c>
      <c r="K6505" s="195">
        <v>45985.5859837963</v>
      </c>
      <c r="L6505">
        <v>21</v>
      </c>
      <c r="M6505">
        <v>0</v>
      </c>
      <c r="N6505" s="98" t="str">
        <f>IF(record[[#This Row],[Memo]]="Browser:chrome os:android","平板報工",IF(record[[#This Row],[Memo]]=0,"委外",record[[#This Row],[Memo]]))</f>
        <v>平板報工</v>
      </c>
      <c r="O6505" t="s">
        <v>643</v>
      </c>
      <c r="P6505" t="s">
        <v>141</v>
      </c>
      <c r="Q6505" t="s">
        <v>644</v>
      </c>
      <c r="R6505" t="str">
        <f>IFERROR(VLOOKUP(record[[#This Row],[PCUSTID]],廠商[],2,FALSE),"")</f>
        <v/>
      </c>
      <c r="S6505" t="str">
        <f>VLOOKUP(record[[#This Row],[employeeID]],員工[],2,FALSE)</f>
        <v>蔣梅</v>
      </c>
    </row>
    <row r="6506" spans="6:19" hidden="1" x14ac:dyDescent="0.25">
      <c r="F6506" t="s">
        <v>1233</v>
      </c>
      <c r="G6506" t="s">
        <v>400</v>
      </c>
      <c r="H6506" t="str">
        <f>VLOOKUP(record[[#This Row],[ProcessSN]],表格2_7[],2,FALSE)</f>
        <v>30-4118-018-550</v>
      </c>
      <c r="I6506" t="str">
        <f>VLOOKUP(record[[#This Row],[ProcessSN]],表格2_7[],3,FALSE)</f>
        <v>#100</v>
      </c>
      <c r="J6506" t="s">
        <v>598</v>
      </c>
      <c r="K6506" s="195">
        <v>45985.583321759259</v>
      </c>
      <c r="L6506">
        <v>168</v>
      </c>
      <c r="M6506">
        <v>0</v>
      </c>
      <c r="N6506" s="98" t="str">
        <f>IF(record[[#This Row],[Memo]]="Browser:chrome os:android","平板報工",IF(record[[#This Row],[Memo]]=0,"委外",record[[#This Row],[Memo]]))</f>
        <v>平板報工</v>
      </c>
      <c r="O6506" t="s">
        <v>643</v>
      </c>
      <c r="P6506" t="s">
        <v>99</v>
      </c>
      <c r="Q6506" t="s">
        <v>644</v>
      </c>
      <c r="R6506" t="str">
        <f>IFERROR(VLOOKUP(record[[#This Row],[PCUSTID]],廠商[],2,FALSE),"")</f>
        <v/>
      </c>
      <c r="S6506" t="str">
        <f>VLOOKUP(record[[#This Row],[employeeID]],員工[],2,FALSE)</f>
        <v>阮氏河</v>
      </c>
    </row>
    <row r="6507" spans="6:19" hidden="1" x14ac:dyDescent="0.25">
      <c r="F6507" t="s">
        <v>1233</v>
      </c>
      <c r="G6507" t="s">
        <v>399</v>
      </c>
      <c r="H6507" t="str">
        <f>VLOOKUP(record[[#This Row],[ProcessSN]],表格2_7[],2,FALSE)</f>
        <v>30-4118-018-550</v>
      </c>
      <c r="I6507" t="str">
        <f>VLOOKUP(record[[#This Row],[ProcessSN]],表格2_7[],3,FALSE)</f>
        <v>#08IQC</v>
      </c>
      <c r="J6507" t="s">
        <v>583</v>
      </c>
      <c r="K6507" s="195">
        <v>45985.469039351854</v>
      </c>
      <c r="L6507">
        <v>621</v>
      </c>
      <c r="M6507">
        <v>0</v>
      </c>
      <c r="N6507" s="98" t="str">
        <f>IF(record[[#This Row],[Memo]]="Browser:chrome os:android","平板報工",IF(record[[#This Row],[Memo]]=0,"委外",record[[#This Row],[Memo]]))</f>
        <v/>
      </c>
      <c r="O6507" t="s">
        <v>58</v>
      </c>
      <c r="P6507" t="s">
        <v>109</v>
      </c>
      <c r="Q6507" t="s">
        <v>58</v>
      </c>
      <c r="R6507" t="str">
        <f>IFERROR(VLOOKUP(record[[#This Row],[PCUSTID]],廠商[],2,FALSE),"")</f>
        <v/>
      </c>
      <c r="S6507" t="str">
        <f>VLOOKUP(record[[#This Row],[employeeID]],員工[],2,FALSE)</f>
        <v>裴氏璧鳳</v>
      </c>
    </row>
    <row r="6508" spans="6:19" hidden="1" x14ac:dyDescent="0.25">
      <c r="F6508" t="s">
        <v>1227</v>
      </c>
      <c r="G6508" t="s">
        <v>399</v>
      </c>
      <c r="H6508" t="str">
        <f>VLOOKUP(record[[#This Row],[ProcessSN]],表格2_7[],2,FALSE)</f>
        <v>30-4118-018-550</v>
      </c>
      <c r="I6508" t="str">
        <f>VLOOKUP(record[[#This Row],[ProcessSN]],表格2_7[],3,FALSE)</f>
        <v>#08IQC</v>
      </c>
      <c r="J6508" t="s">
        <v>583</v>
      </c>
      <c r="K6508" s="195">
        <v>45985.468888888892</v>
      </c>
      <c r="L6508">
        <v>407</v>
      </c>
      <c r="M6508">
        <v>0</v>
      </c>
      <c r="N6508" s="98" t="str">
        <f>IF(record[[#This Row],[Memo]]="Browser:chrome os:android","平板報工",IF(record[[#This Row],[Memo]]=0,"委外",record[[#This Row],[Memo]]))</f>
        <v/>
      </c>
      <c r="O6508" t="s">
        <v>58</v>
      </c>
      <c r="P6508" t="s">
        <v>109</v>
      </c>
      <c r="Q6508" t="s">
        <v>58</v>
      </c>
      <c r="R6508" t="str">
        <f>IFERROR(VLOOKUP(record[[#This Row],[PCUSTID]],廠商[],2,FALSE),"")</f>
        <v/>
      </c>
      <c r="S6508" t="str">
        <f>VLOOKUP(record[[#This Row],[employeeID]],員工[],2,FALSE)</f>
        <v>裴氏璧鳳</v>
      </c>
    </row>
    <row r="6509" spans="6:19" hidden="1" x14ac:dyDescent="0.25">
      <c r="F6509" t="s">
        <v>1233</v>
      </c>
      <c r="G6509" t="s">
        <v>398</v>
      </c>
      <c r="H6509" t="str">
        <f>VLOOKUP(record[[#This Row],[ProcessSN]],表格2_7[],2,FALSE)</f>
        <v>30-4118-018-550</v>
      </c>
      <c r="I6509" t="str">
        <f>VLOOKUP(record[[#This Row],[ProcessSN]],表格2_7[],3,FALSE)</f>
        <v>#08RCV</v>
      </c>
      <c r="J6509" t="s">
        <v>591</v>
      </c>
      <c r="K6509" s="195">
        <v>45985.466423611113</v>
      </c>
      <c r="L6509">
        <v>621</v>
      </c>
      <c r="M6509">
        <v>0</v>
      </c>
      <c r="N6509" s="98" t="str">
        <f>IF(record[[#This Row],[Memo]]="Browser:chrome os:android","平板報工",IF(record[[#This Row],[Memo]]=0,"委外",record[[#This Row],[Memo]]))</f>
        <v/>
      </c>
      <c r="O6509" t="s">
        <v>58</v>
      </c>
      <c r="P6509" t="s">
        <v>186</v>
      </c>
      <c r="Q6509" t="s">
        <v>58</v>
      </c>
      <c r="R6509" t="str">
        <f>IFERROR(VLOOKUP(record[[#This Row],[PCUSTID]],廠商[],2,FALSE),"")</f>
        <v/>
      </c>
      <c r="S6509" t="str">
        <f>VLOOKUP(record[[#This Row],[employeeID]],員工[],2,FALSE)</f>
        <v>許文姍</v>
      </c>
    </row>
    <row r="6510" spans="6:19" hidden="1" x14ac:dyDescent="0.25">
      <c r="F6510" t="s">
        <v>1227</v>
      </c>
      <c r="G6510" t="s">
        <v>398</v>
      </c>
      <c r="H6510" t="str">
        <f>VLOOKUP(record[[#This Row],[ProcessSN]],表格2_7[],2,FALSE)</f>
        <v>30-4118-018-550</v>
      </c>
      <c r="I6510" t="str">
        <f>VLOOKUP(record[[#This Row],[ProcessSN]],表格2_7[],3,FALSE)</f>
        <v>#08RCV</v>
      </c>
      <c r="J6510" t="s">
        <v>591</v>
      </c>
      <c r="K6510" s="195">
        <v>45985.463912037034</v>
      </c>
      <c r="L6510">
        <v>407</v>
      </c>
      <c r="M6510">
        <v>0</v>
      </c>
      <c r="N6510" s="98" t="str">
        <f>IF(record[[#This Row],[Memo]]="Browser:chrome os:android","平板報工",IF(record[[#This Row],[Memo]]=0,"委外",record[[#This Row],[Memo]]))</f>
        <v/>
      </c>
      <c r="O6510" t="s">
        <v>58</v>
      </c>
      <c r="P6510" t="s">
        <v>186</v>
      </c>
      <c r="Q6510" t="s">
        <v>58</v>
      </c>
      <c r="R6510" t="str">
        <f>IFERROR(VLOOKUP(record[[#This Row],[PCUSTID]],廠商[],2,FALSE),"")</f>
        <v/>
      </c>
      <c r="S6510" t="str">
        <f>VLOOKUP(record[[#This Row],[employeeID]],員工[],2,FALSE)</f>
        <v>許文姍</v>
      </c>
    </row>
    <row r="6511" spans="6:19" hidden="1" x14ac:dyDescent="0.25">
      <c r="F6511" t="s">
        <v>1237</v>
      </c>
      <c r="G6511" t="s">
        <v>397</v>
      </c>
      <c r="H6511" t="str">
        <f>VLOOKUP(record[[#This Row],[ProcessSN]],表格2_7[],2,FALSE)</f>
        <v>30-4118-018-550</v>
      </c>
      <c r="I6511" t="str">
        <f>VLOOKUP(record[[#This Row],[ProcessSN]],表格2_7[],3,FALSE)</f>
        <v>#08</v>
      </c>
      <c r="J6511" t="s">
        <v>597</v>
      </c>
      <c r="K6511" s="195">
        <v>45985.441736111112</v>
      </c>
      <c r="L6511">
        <v>146</v>
      </c>
      <c r="M6511">
        <v>0</v>
      </c>
      <c r="N6511" s="98" t="str">
        <f>IF(record[[#This Row],[Memo]]="Browser:chrome os:android","平板報工",IF(record[[#This Row],[Memo]]=0,"委外",record[[#This Row],[Memo]]))</f>
        <v>委外</v>
      </c>
      <c r="P6511" t="s">
        <v>186</v>
      </c>
      <c r="Q6511" t="s">
        <v>287</v>
      </c>
      <c r="R6511" t="str">
        <f>IFERROR(VLOOKUP(record[[#This Row],[PCUSTID]],廠商[],2,FALSE),"")</f>
        <v>泉盛</v>
      </c>
      <c r="S6511" t="str">
        <f>VLOOKUP(record[[#This Row],[employeeID]],員工[],2,FALSE)</f>
        <v>許文姍</v>
      </c>
    </row>
    <row r="6512" spans="6:19" hidden="1" x14ac:dyDescent="0.25">
      <c r="F6512" t="s">
        <v>1237</v>
      </c>
      <c r="G6512" t="s">
        <v>396</v>
      </c>
      <c r="H6512" t="str">
        <f>VLOOKUP(record[[#This Row],[ProcessSN]],表格2_7[],2,FALSE)</f>
        <v>30-4118-018-550</v>
      </c>
      <c r="I6512" t="str">
        <f>VLOOKUP(record[[#This Row],[ProcessSN]],表格2_7[],3,FALSE)</f>
        <v>#08PICK</v>
      </c>
      <c r="J6512" t="s">
        <v>582</v>
      </c>
      <c r="K6512" s="195">
        <v>45985.44153935185</v>
      </c>
      <c r="L6512">
        <v>146</v>
      </c>
      <c r="M6512">
        <v>0</v>
      </c>
      <c r="N6512" s="98" t="str">
        <f>IF(record[[#This Row],[Memo]]="Browser:chrome os:android","平板報工",IF(record[[#This Row],[Memo]]=0,"委外",record[[#This Row],[Memo]]))</f>
        <v/>
      </c>
      <c r="O6512" t="s">
        <v>58</v>
      </c>
      <c r="P6512" t="s">
        <v>186</v>
      </c>
      <c r="Q6512" t="s">
        <v>58</v>
      </c>
      <c r="R6512" t="str">
        <f>IFERROR(VLOOKUP(record[[#This Row],[PCUSTID]],廠商[],2,FALSE),"")</f>
        <v/>
      </c>
      <c r="S6512" t="str">
        <f>VLOOKUP(record[[#This Row],[employeeID]],員工[],2,FALSE)</f>
        <v>許文姍</v>
      </c>
    </row>
    <row r="6513" spans="6:19" hidden="1" x14ac:dyDescent="0.25">
      <c r="F6513" t="s">
        <v>1236</v>
      </c>
      <c r="G6513" t="s">
        <v>413</v>
      </c>
      <c r="H6513" t="str">
        <f>VLOOKUP(record[[#This Row],[ProcessSN]],表格2_7[],2,FALSE)</f>
        <v>30-4118-018-5XX</v>
      </c>
      <c r="I6513" t="str">
        <f>VLOOKUP(record[[#This Row],[ProcessSN]],表格2_7[],3,FALSE)</f>
        <v>#03GIVE</v>
      </c>
      <c r="J6513" t="s">
        <v>587</v>
      </c>
      <c r="K6513" s="195">
        <v>45985.434641203705</v>
      </c>
      <c r="L6513">
        <v>500</v>
      </c>
      <c r="M6513">
        <v>0</v>
      </c>
      <c r="N6513" s="98" t="str">
        <f>IF(record[[#This Row],[Memo]]="Browser:chrome os:android","平板報工",IF(record[[#This Row],[Memo]]=0,"委外",record[[#This Row],[Memo]]))</f>
        <v/>
      </c>
      <c r="O6513" t="s">
        <v>58</v>
      </c>
      <c r="P6513" t="s">
        <v>757</v>
      </c>
      <c r="Q6513" t="s">
        <v>58</v>
      </c>
      <c r="R6513" t="str">
        <f>IFERROR(VLOOKUP(record[[#This Row],[PCUSTID]],廠商[],2,FALSE),"")</f>
        <v/>
      </c>
      <c r="S6513" t="str">
        <f>VLOOKUP(record[[#This Row],[employeeID]],員工[],2,FALSE)</f>
        <v>黎文勝</v>
      </c>
    </row>
    <row r="6514" spans="6:19" hidden="1" x14ac:dyDescent="0.25">
      <c r="F6514" t="s">
        <v>1189</v>
      </c>
      <c r="G6514" t="s">
        <v>420</v>
      </c>
      <c r="H6514" t="str">
        <f>VLOOKUP(record[[#This Row],[ProcessSN]],表格2_7[],2,FALSE)</f>
        <v>30-4118-018-5XX</v>
      </c>
      <c r="I6514" t="str">
        <f>VLOOKUP(record[[#This Row],[ProcessSN]],表格2_7[],3,FALSE)</f>
        <v>#07STOCK</v>
      </c>
      <c r="J6514" t="s">
        <v>592</v>
      </c>
      <c r="K6514" s="195">
        <v>45985.434074074074</v>
      </c>
      <c r="L6514">
        <v>146</v>
      </c>
      <c r="M6514">
        <v>0</v>
      </c>
      <c r="N6514" s="98" t="str">
        <f>IF(record[[#This Row],[Memo]]="Browser:chrome os:android","平板報工",IF(record[[#This Row],[Memo]]=0,"委外",record[[#This Row],[Memo]]))</f>
        <v/>
      </c>
      <c r="O6514" t="s">
        <v>58</v>
      </c>
      <c r="P6514" t="s">
        <v>186</v>
      </c>
      <c r="Q6514" t="s">
        <v>58</v>
      </c>
      <c r="R6514" t="str">
        <f>IFERROR(VLOOKUP(record[[#This Row],[PCUSTID]],廠商[],2,FALSE),"")</f>
        <v/>
      </c>
      <c r="S6514" t="str">
        <f>VLOOKUP(record[[#This Row],[employeeID]],員工[],2,FALSE)</f>
        <v>許文姍</v>
      </c>
    </row>
    <row r="6515" spans="6:19" hidden="1" x14ac:dyDescent="0.25">
      <c r="F6515" t="s">
        <v>1236</v>
      </c>
      <c r="G6515" t="s">
        <v>412</v>
      </c>
      <c r="H6515" t="str">
        <f>VLOOKUP(record[[#This Row],[ProcessSN]],表格2_7[],2,FALSE)</f>
        <v>30-4118-018-5XX</v>
      </c>
      <c r="I6515" t="str">
        <f>VLOOKUP(record[[#This Row],[ProcessSN]],表格2_7[],3,FALSE)</f>
        <v>#03PICK</v>
      </c>
      <c r="J6515" t="s">
        <v>582</v>
      </c>
      <c r="K6515" s="195">
        <v>45985.402361111112</v>
      </c>
      <c r="L6515">
        <v>500</v>
      </c>
      <c r="M6515">
        <v>0</v>
      </c>
      <c r="N6515" s="98" t="str">
        <f>IF(record[[#This Row],[Memo]]="Browser:chrome os:android","平板報工",IF(record[[#This Row],[Memo]]=0,"委外",record[[#This Row],[Memo]]))</f>
        <v/>
      </c>
      <c r="O6515" t="s">
        <v>58</v>
      </c>
      <c r="P6515" t="s">
        <v>125</v>
      </c>
      <c r="Q6515" t="s">
        <v>58</v>
      </c>
      <c r="R6515" t="str">
        <f>IFERROR(VLOOKUP(record[[#This Row],[PCUSTID]],廠商[],2,FALSE),"")</f>
        <v/>
      </c>
      <c r="S6515" t="str">
        <f>VLOOKUP(record[[#This Row],[employeeID]],員工[],2,FALSE)</f>
        <v>黃瓈巧</v>
      </c>
    </row>
    <row r="6516" spans="6:19" hidden="1" x14ac:dyDescent="0.25">
      <c r="F6516" t="s">
        <v>1189</v>
      </c>
      <c r="G6516" t="s">
        <v>419</v>
      </c>
      <c r="H6516" t="str">
        <f>VLOOKUP(record[[#This Row],[ProcessSN]],表格2_7[],2,FALSE)</f>
        <v>30-4118-018-5XX</v>
      </c>
      <c r="I6516" t="str">
        <f>VLOOKUP(record[[#This Row],[ProcessSN]],表格2_7[],3,FALSE)</f>
        <v>#07QC</v>
      </c>
      <c r="J6516" t="s">
        <v>589</v>
      </c>
      <c r="K6516" s="195">
        <v>45985.382881944446</v>
      </c>
      <c r="L6516">
        <v>0</v>
      </c>
      <c r="M6516">
        <v>22</v>
      </c>
      <c r="N6516" s="98" t="str">
        <f>IF(record[[#This Row],[Memo]]="Browser:chrome os:android","平板報工",IF(record[[#This Row],[Memo]]=0,"委外",record[[#This Row],[Memo]]))</f>
        <v/>
      </c>
      <c r="O6516" t="s">
        <v>58</v>
      </c>
      <c r="P6516" t="s">
        <v>141</v>
      </c>
      <c r="Q6516" t="s">
        <v>58</v>
      </c>
      <c r="R6516" t="str">
        <f>IFERROR(VLOOKUP(record[[#This Row],[PCUSTID]],廠商[],2,FALSE),"")</f>
        <v/>
      </c>
      <c r="S6516" t="str">
        <f>VLOOKUP(record[[#This Row],[employeeID]],員工[],2,FALSE)</f>
        <v>蔣梅</v>
      </c>
    </row>
    <row r="6517" spans="6:19" hidden="1" x14ac:dyDescent="0.25">
      <c r="F6517" t="s">
        <v>1189</v>
      </c>
      <c r="G6517" t="s">
        <v>419</v>
      </c>
      <c r="H6517" t="str">
        <f>VLOOKUP(record[[#This Row],[ProcessSN]],表格2_7[],2,FALSE)</f>
        <v>30-4118-018-5XX</v>
      </c>
      <c r="I6517" t="str">
        <f>VLOOKUP(record[[#This Row],[ProcessSN]],表格2_7[],3,FALSE)</f>
        <v>#07QC</v>
      </c>
      <c r="J6517" t="s">
        <v>589</v>
      </c>
      <c r="K6517" s="195">
        <v>45985.382708333331</v>
      </c>
      <c r="L6517">
        <v>146</v>
      </c>
      <c r="M6517">
        <v>0</v>
      </c>
      <c r="N6517" s="98" t="str">
        <f>IF(record[[#This Row],[Memo]]="Browser:chrome os:android","平板報工",IF(record[[#This Row],[Memo]]=0,"委外",record[[#This Row],[Memo]]))</f>
        <v/>
      </c>
      <c r="O6517" t="s">
        <v>58</v>
      </c>
      <c r="P6517" t="s">
        <v>141</v>
      </c>
      <c r="Q6517" t="s">
        <v>58</v>
      </c>
      <c r="R6517" t="str">
        <f>IFERROR(VLOOKUP(record[[#This Row],[PCUSTID]],廠商[],2,FALSE),"")</f>
        <v/>
      </c>
      <c r="S6517" t="str">
        <f>VLOOKUP(record[[#This Row],[employeeID]],員工[],2,FALSE)</f>
        <v>蔣梅</v>
      </c>
    </row>
    <row r="6518" spans="6:19" hidden="1" x14ac:dyDescent="0.25">
      <c r="F6518" t="s">
        <v>1189</v>
      </c>
      <c r="G6518" t="s">
        <v>417</v>
      </c>
      <c r="H6518" t="str">
        <f>VLOOKUP(record[[#This Row],[ProcessSN]],表格2_7[],2,FALSE)</f>
        <v>30-4118-018-5XX</v>
      </c>
      <c r="I6518" t="str">
        <f>VLOOKUP(record[[#This Row],[ProcessSN]],表格2_7[],3,FALSE)</f>
        <v>#06</v>
      </c>
      <c r="J6518" t="s">
        <v>593</v>
      </c>
      <c r="K6518" s="195">
        <v>45983.30201388889</v>
      </c>
      <c r="L6518">
        <v>95</v>
      </c>
      <c r="M6518">
        <v>0</v>
      </c>
      <c r="N6518" s="98" t="str">
        <f>IF(record[[#This Row],[Memo]]="Browser:chrome os:android","平板報工",IF(record[[#This Row],[Memo]]=0,"委外",record[[#This Row],[Memo]]))</f>
        <v/>
      </c>
      <c r="O6518" t="s">
        <v>58</v>
      </c>
      <c r="P6518" t="s">
        <v>135</v>
      </c>
      <c r="Q6518" t="s">
        <v>58</v>
      </c>
      <c r="R6518" t="str">
        <f>IFERROR(VLOOKUP(record[[#This Row],[PCUSTID]],廠商[],2,FALSE),"")</f>
        <v/>
      </c>
      <c r="S6518" t="str">
        <f>VLOOKUP(record[[#This Row],[employeeID]],員工[],2,FALSE)</f>
        <v>阮士文</v>
      </c>
    </row>
    <row r="6519" spans="6:19" hidden="1" x14ac:dyDescent="0.25">
      <c r="F6519" t="s">
        <v>1209</v>
      </c>
      <c r="G6519" t="s">
        <v>465</v>
      </c>
      <c r="H6519" t="str">
        <f>VLOOKUP(record[[#This Row],[ProcessSN]],表格2_7[],2,FALSE)</f>
        <v>30-4118-018-XXX</v>
      </c>
      <c r="I6519" t="str">
        <f>VLOOKUP(record[[#This Row],[ProcessSN]],表格2_7[],3,FALSE)</f>
        <v>#01-1</v>
      </c>
      <c r="J6519" t="s">
        <v>588</v>
      </c>
      <c r="K6519" s="195">
        <v>45983.301666666666</v>
      </c>
      <c r="L6519">
        <v>618</v>
      </c>
      <c r="M6519">
        <v>10</v>
      </c>
      <c r="N6519" s="98" t="str">
        <f>IF(record[[#This Row],[Memo]]="Browser:chrome os:android","平板報工",IF(record[[#This Row],[Memo]]=0,"委外",record[[#This Row],[Memo]]))</f>
        <v/>
      </c>
      <c r="O6519" t="s">
        <v>58</v>
      </c>
      <c r="P6519" t="s">
        <v>135</v>
      </c>
      <c r="Q6519" t="s">
        <v>58</v>
      </c>
      <c r="R6519" t="str">
        <f>IFERROR(VLOOKUP(record[[#This Row],[PCUSTID]],廠商[],2,FALSE),"")</f>
        <v/>
      </c>
      <c r="S6519" t="str">
        <f>VLOOKUP(record[[#This Row],[employeeID]],員工[],2,FALSE)</f>
        <v>阮士文</v>
      </c>
    </row>
    <row r="6520" spans="6:19" hidden="1" x14ac:dyDescent="0.25">
      <c r="F6520" t="s">
        <v>1225</v>
      </c>
      <c r="G6520" t="s">
        <v>416</v>
      </c>
      <c r="H6520" t="str">
        <f>VLOOKUP(record[[#This Row],[ProcessSN]],表格2_7[],2,FALSE)</f>
        <v>30-4118-018-5XX</v>
      </c>
      <c r="I6520" t="str">
        <f>VLOOKUP(record[[#This Row],[ProcessSN]],表格2_7[],3,FALSE)</f>
        <v>#05</v>
      </c>
      <c r="J6520" t="s">
        <v>588</v>
      </c>
      <c r="K6520" s="195">
        <v>45983.301388888889</v>
      </c>
      <c r="L6520">
        <v>234</v>
      </c>
      <c r="M6520">
        <v>0</v>
      </c>
      <c r="N6520" s="98" t="str">
        <f>IF(record[[#This Row],[Memo]]="Browser:chrome os:android","平板報工",IF(record[[#This Row],[Memo]]=0,"委外",record[[#This Row],[Memo]]))</f>
        <v/>
      </c>
      <c r="O6520" t="s">
        <v>58</v>
      </c>
      <c r="P6520" t="s">
        <v>135</v>
      </c>
      <c r="Q6520" t="s">
        <v>58</v>
      </c>
      <c r="R6520" t="str">
        <f>IFERROR(VLOOKUP(record[[#This Row],[PCUSTID]],廠商[],2,FALSE),"")</f>
        <v/>
      </c>
      <c r="S6520" t="str">
        <f>VLOOKUP(record[[#This Row],[employeeID]],員工[],2,FALSE)</f>
        <v>阮士文</v>
      </c>
    </row>
    <row r="6521" spans="6:19" hidden="1" x14ac:dyDescent="0.25">
      <c r="F6521" t="s">
        <v>1225</v>
      </c>
      <c r="G6521" t="s">
        <v>415</v>
      </c>
      <c r="H6521" t="str">
        <f>VLOOKUP(record[[#This Row],[ProcessSN]],表格2_7[],2,FALSE)</f>
        <v>30-4118-018-5XX</v>
      </c>
      <c r="I6521" t="str">
        <f>VLOOKUP(record[[#This Row],[ProcessSN]],表格2_7[],3,FALSE)</f>
        <v>#04</v>
      </c>
      <c r="J6521" t="s">
        <v>588</v>
      </c>
      <c r="K6521" s="195">
        <v>45983.301226851851</v>
      </c>
      <c r="L6521">
        <v>137</v>
      </c>
      <c r="M6521">
        <v>1</v>
      </c>
      <c r="N6521" s="98" t="str">
        <f>IF(record[[#This Row],[Memo]]="Browser:chrome os:android","平板報工",IF(record[[#This Row],[Memo]]=0,"委外",record[[#This Row],[Memo]]))</f>
        <v/>
      </c>
      <c r="O6521" t="s">
        <v>58</v>
      </c>
      <c r="P6521" t="s">
        <v>135</v>
      </c>
      <c r="Q6521" t="s">
        <v>58</v>
      </c>
      <c r="R6521" t="str">
        <f>IFERROR(VLOOKUP(record[[#This Row],[PCUSTID]],廠商[],2,FALSE),"")</f>
        <v/>
      </c>
      <c r="S6521" t="str">
        <f>VLOOKUP(record[[#This Row],[employeeID]],員工[],2,FALSE)</f>
        <v>阮士文</v>
      </c>
    </row>
    <row r="6522" spans="6:19" hidden="1" x14ac:dyDescent="0.25">
      <c r="F6522" t="s">
        <v>1209</v>
      </c>
      <c r="G6522" t="s">
        <v>465</v>
      </c>
      <c r="H6522" t="str">
        <f>VLOOKUP(record[[#This Row],[ProcessSN]],表格2_7[],2,FALSE)</f>
        <v>30-4118-018-XXX</v>
      </c>
      <c r="I6522" t="str">
        <f>VLOOKUP(record[[#This Row],[ProcessSN]],表格2_7[],3,FALSE)</f>
        <v>#01-1</v>
      </c>
      <c r="J6522" t="s">
        <v>588</v>
      </c>
      <c r="K6522" s="195">
        <v>45982.963009259256</v>
      </c>
      <c r="L6522">
        <v>408</v>
      </c>
      <c r="M6522">
        <v>0</v>
      </c>
      <c r="N6522" s="98" t="str">
        <f>IF(record[[#This Row],[Memo]]="Browser:chrome os:android","平板報工",IF(record[[#This Row],[Memo]]=0,"委外",record[[#This Row],[Memo]]))</f>
        <v/>
      </c>
      <c r="O6522" t="s">
        <v>58</v>
      </c>
      <c r="P6522" t="s">
        <v>89</v>
      </c>
      <c r="Q6522" t="s">
        <v>58</v>
      </c>
      <c r="R6522" t="str">
        <f>IFERROR(VLOOKUP(record[[#This Row],[PCUSTID]],廠商[],2,FALSE),"")</f>
        <v/>
      </c>
      <c r="S6522" t="str">
        <f>VLOOKUP(record[[#This Row],[employeeID]],員工[],2,FALSE)</f>
        <v>李美蓮</v>
      </c>
    </row>
    <row r="6523" spans="6:19" hidden="1" x14ac:dyDescent="0.25">
      <c r="F6523" t="s">
        <v>1189</v>
      </c>
      <c r="G6523" t="s">
        <v>418</v>
      </c>
      <c r="H6523" t="str">
        <f>VLOOKUP(record[[#This Row],[ProcessSN]],表格2_7[],2,FALSE)</f>
        <v>30-4118-018-5XX</v>
      </c>
      <c r="I6523" t="str">
        <f>VLOOKUP(record[[#This Row],[ProcessSN]],表格2_7[],3,FALSE)</f>
        <v>#07</v>
      </c>
      <c r="J6523" t="s">
        <v>588</v>
      </c>
      <c r="K6523" s="195">
        <v>45982.962534722225</v>
      </c>
      <c r="L6523">
        <v>110</v>
      </c>
      <c r="M6523">
        <v>0</v>
      </c>
      <c r="N6523" s="98" t="str">
        <f>IF(record[[#This Row],[Memo]]="Browser:chrome os:android","平板報工",IF(record[[#This Row],[Memo]]=0,"委外",record[[#This Row],[Memo]]))</f>
        <v/>
      </c>
      <c r="O6523" t="s">
        <v>58</v>
      </c>
      <c r="P6523" t="s">
        <v>89</v>
      </c>
      <c r="Q6523" t="s">
        <v>58</v>
      </c>
      <c r="R6523" t="str">
        <f>IFERROR(VLOOKUP(record[[#This Row],[PCUSTID]],廠商[],2,FALSE),"")</f>
        <v/>
      </c>
      <c r="S6523" t="str">
        <f>VLOOKUP(record[[#This Row],[employeeID]],員工[],2,FALSE)</f>
        <v>李美蓮</v>
      </c>
    </row>
    <row r="6524" spans="6:19" hidden="1" x14ac:dyDescent="0.25">
      <c r="F6524" t="s">
        <v>1225</v>
      </c>
      <c r="G6524" t="s">
        <v>416</v>
      </c>
      <c r="H6524" t="str">
        <f>VLOOKUP(record[[#This Row],[ProcessSN]],表格2_7[],2,FALSE)</f>
        <v>30-4118-018-5XX</v>
      </c>
      <c r="I6524" t="str">
        <f>VLOOKUP(record[[#This Row],[ProcessSN]],表格2_7[],3,FALSE)</f>
        <v>#05</v>
      </c>
      <c r="J6524" t="s">
        <v>588</v>
      </c>
      <c r="K6524" s="195">
        <v>45982.960289351853</v>
      </c>
      <c r="L6524">
        <v>180</v>
      </c>
      <c r="M6524">
        <v>0</v>
      </c>
      <c r="N6524" s="98" t="str">
        <f>IF(record[[#This Row],[Memo]]="Browser:chrome os:android","平板報工",IF(record[[#This Row],[Memo]]=0,"委外",record[[#This Row],[Memo]]))</f>
        <v/>
      </c>
      <c r="O6524" t="s">
        <v>58</v>
      </c>
      <c r="P6524" t="s">
        <v>89</v>
      </c>
      <c r="Q6524" t="s">
        <v>58</v>
      </c>
      <c r="R6524" t="str">
        <f>IFERROR(VLOOKUP(record[[#This Row],[PCUSTID]],廠商[],2,FALSE),"")</f>
        <v/>
      </c>
      <c r="S6524" t="str">
        <f>VLOOKUP(record[[#This Row],[employeeID]],員工[],2,FALSE)</f>
        <v>李美蓮</v>
      </c>
    </row>
    <row r="6525" spans="6:19" hidden="1" x14ac:dyDescent="0.25">
      <c r="F6525" t="s">
        <v>1225</v>
      </c>
      <c r="G6525" t="s">
        <v>415</v>
      </c>
      <c r="H6525" t="str">
        <f>VLOOKUP(record[[#This Row],[ProcessSN]],表格2_7[],2,FALSE)</f>
        <v>30-4118-018-5XX</v>
      </c>
      <c r="I6525" t="str">
        <f>VLOOKUP(record[[#This Row],[ProcessSN]],表格2_7[],3,FALSE)</f>
        <v>#04</v>
      </c>
      <c r="J6525" t="s">
        <v>588</v>
      </c>
      <c r="K6525" s="195">
        <v>45982.960023148145</v>
      </c>
      <c r="L6525">
        <v>130</v>
      </c>
      <c r="M6525">
        <v>0</v>
      </c>
      <c r="N6525" s="98" t="str">
        <f>IF(record[[#This Row],[Memo]]="Browser:chrome os:android","平板報工",IF(record[[#This Row],[Memo]]=0,"委外",record[[#This Row],[Memo]]))</f>
        <v/>
      </c>
      <c r="O6525" t="s">
        <v>58</v>
      </c>
      <c r="P6525" t="s">
        <v>89</v>
      </c>
      <c r="Q6525" t="s">
        <v>58</v>
      </c>
      <c r="R6525" t="str">
        <f>IFERROR(VLOOKUP(record[[#This Row],[PCUSTID]],廠商[],2,FALSE),"")</f>
        <v/>
      </c>
      <c r="S6525" t="str">
        <f>VLOOKUP(record[[#This Row],[employeeID]],員工[],2,FALSE)</f>
        <v>李美蓮</v>
      </c>
    </row>
    <row r="6526" spans="6:19" hidden="1" x14ac:dyDescent="0.25">
      <c r="F6526" t="s">
        <v>1189</v>
      </c>
      <c r="G6526" t="s">
        <v>417</v>
      </c>
      <c r="H6526" t="str">
        <f>VLOOKUP(record[[#This Row],[ProcessSN]],表格2_7[],2,FALSE)</f>
        <v>30-4118-018-5XX</v>
      </c>
      <c r="I6526" t="str">
        <f>VLOOKUP(record[[#This Row],[ProcessSN]],表格2_7[],3,FALSE)</f>
        <v>#06</v>
      </c>
      <c r="J6526" t="s">
        <v>593</v>
      </c>
      <c r="K6526" s="195">
        <v>45982.955682870372</v>
      </c>
      <c r="L6526">
        <v>120</v>
      </c>
      <c r="M6526">
        <v>0</v>
      </c>
      <c r="N6526" s="98" t="str">
        <f>IF(record[[#This Row],[Memo]]="Browser:chrome os:android","平板報工",IF(record[[#This Row],[Memo]]=0,"委外",record[[#This Row],[Memo]]))</f>
        <v/>
      </c>
      <c r="O6526" t="s">
        <v>58</v>
      </c>
      <c r="P6526" t="s">
        <v>806</v>
      </c>
      <c r="Q6526" t="s">
        <v>58</v>
      </c>
      <c r="R6526" t="str">
        <f>IFERROR(VLOOKUP(record[[#This Row],[PCUSTID]],廠商[],2,FALSE),"")</f>
        <v/>
      </c>
      <c r="S6526" t="str">
        <f>VLOOKUP(record[[#This Row],[employeeID]],員工[],2,FALSE)</f>
        <v>方思緯</v>
      </c>
    </row>
    <row r="6527" spans="6:19" hidden="1" x14ac:dyDescent="0.25">
      <c r="F6527" t="s">
        <v>1189</v>
      </c>
      <c r="G6527" t="s">
        <v>418</v>
      </c>
      <c r="H6527" t="str">
        <f>VLOOKUP(record[[#This Row],[ProcessSN]],表格2_7[],2,FALSE)</f>
        <v>30-4118-018-5XX</v>
      </c>
      <c r="I6527" t="str">
        <f>VLOOKUP(record[[#This Row],[ProcessSN]],表格2_7[],3,FALSE)</f>
        <v>#07</v>
      </c>
      <c r="J6527" t="s">
        <v>588</v>
      </c>
      <c r="K6527" s="195">
        <v>45982.700949074075</v>
      </c>
      <c r="L6527">
        <v>120</v>
      </c>
      <c r="M6527">
        <v>0</v>
      </c>
      <c r="N6527" s="98" t="str">
        <f>IF(record[[#This Row],[Memo]]="Browser:chrome os:android","平板報工",IF(record[[#This Row],[Memo]]=0,"委外",record[[#This Row],[Memo]]))</f>
        <v/>
      </c>
      <c r="O6527" t="s">
        <v>58</v>
      </c>
      <c r="P6527" t="s">
        <v>101</v>
      </c>
      <c r="Q6527" t="s">
        <v>58</v>
      </c>
      <c r="R6527" t="str">
        <f>IFERROR(VLOOKUP(record[[#This Row],[PCUSTID]],廠商[],2,FALSE),"")</f>
        <v/>
      </c>
      <c r="S6527" t="str">
        <f>VLOOKUP(record[[#This Row],[employeeID]],員工[],2,FALSE)</f>
        <v>陳氏絨</v>
      </c>
    </row>
    <row r="6528" spans="6:19" hidden="1" x14ac:dyDescent="0.25">
      <c r="F6528" t="s">
        <v>1221</v>
      </c>
      <c r="G6528" t="s">
        <v>400</v>
      </c>
      <c r="H6528" t="str">
        <f>VLOOKUP(record[[#This Row],[ProcessSN]],表格2_7[],2,FALSE)</f>
        <v>30-4118-018-550</v>
      </c>
      <c r="I6528" t="str">
        <f>VLOOKUP(record[[#This Row],[ProcessSN]],表格2_7[],3,FALSE)</f>
        <v>#100</v>
      </c>
      <c r="J6528" t="s">
        <v>598</v>
      </c>
      <c r="K6528" s="195">
        <v>45982.699224537035</v>
      </c>
      <c r="L6528">
        <v>107</v>
      </c>
      <c r="M6528">
        <v>0</v>
      </c>
      <c r="N6528" s="98" t="str">
        <f>IF(record[[#This Row],[Memo]]="Browser:chrome os:android","平板報工",IF(record[[#This Row],[Memo]]=0,"委外",record[[#This Row],[Memo]]))</f>
        <v>平板報工</v>
      </c>
      <c r="O6528" t="s">
        <v>643</v>
      </c>
      <c r="P6528" t="s">
        <v>141</v>
      </c>
      <c r="Q6528" t="s">
        <v>644</v>
      </c>
      <c r="R6528" t="str">
        <f>IFERROR(VLOOKUP(record[[#This Row],[PCUSTID]],廠商[],2,FALSE),"")</f>
        <v/>
      </c>
      <c r="S6528" t="str">
        <f>VLOOKUP(record[[#This Row],[employeeID]],員工[],2,FALSE)</f>
        <v>蔣梅</v>
      </c>
    </row>
    <row r="6529" spans="6:19" hidden="1" x14ac:dyDescent="0.25">
      <c r="F6529" t="s">
        <v>1189</v>
      </c>
      <c r="G6529" t="s">
        <v>416</v>
      </c>
      <c r="H6529" t="str">
        <f>VLOOKUP(record[[#This Row],[ProcessSN]],表格2_7[],2,FALSE)</f>
        <v>30-4118-018-5XX</v>
      </c>
      <c r="I6529" t="str">
        <f>VLOOKUP(record[[#This Row],[ProcessSN]],表格2_7[],3,FALSE)</f>
        <v>#05</v>
      </c>
      <c r="J6529" t="s">
        <v>588</v>
      </c>
      <c r="K6529" s="195">
        <v>45982.695277777777</v>
      </c>
      <c r="L6529">
        <v>94</v>
      </c>
      <c r="M6529">
        <v>0</v>
      </c>
      <c r="N6529" s="98" t="str">
        <f>IF(record[[#This Row],[Memo]]="Browser:chrome os:android","平板報工",IF(record[[#This Row],[Memo]]=0,"委外",record[[#This Row],[Memo]]))</f>
        <v/>
      </c>
      <c r="O6529" t="s">
        <v>58</v>
      </c>
      <c r="P6529" t="s">
        <v>101</v>
      </c>
      <c r="Q6529" t="s">
        <v>58</v>
      </c>
      <c r="R6529" t="str">
        <f>IFERROR(VLOOKUP(record[[#This Row],[PCUSTID]],廠商[],2,FALSE),"")</f>
        <v/>
      </c>
      <c r="S6529" t="str">
        <f>VLOOKUP(record[[#This Row],[employeeID]],員工[],2,FALSE)</f>
        <v>陳氏絨</v>
      </c>
    </row>
    <row r="6530" spans="6:19" hidden="1" x14ac:dyDescent="0.25">
      <c r="F6530" t="s">
        <v>1209</v>
      </c>
      <c r="G6530" t="s">
        <v>464</v>
      </c>
      <c r="H6530" t="str">
        <f>VLOOKUP(record[[#This Row],[ProcessSN]],表格2_7[],2,FALSE)</f>
        <v>30-4118-018-XXX</v>
      </c>
      <c r="I6530" t="str">
        <f>VLOOKUP(record[[#This Row],[ProcessSN]],表格2_7[],3,FALSE)</f>
        <v>#01GIVE</v>
      </c>
      <c r="J6530" t="s">
        <v>587</v>
      </c>
      <c r="K6530" s="195">
        <v>45982.666030092594</v>
      </c>
      <c r="L6530">
        <v>5000</v>
      </c>
      <c r="M6530">
        <v>0</v>
      </c>
      <c r="N6530" s="98" t="str">
        <f>IF(record[[#This Row],[Memo]]="Browser:chrome os:android","平板報工",IF(record[[#This Row],[Memo]]=0,"委外",record[[#This Row],[Memo]]))</f>
        <v/>
      </c>
      <c r="O6530" t="s">
        <v>58</v>
      </c>
      <c r="P6530" t="s">
        <v>1070</v>
      </c>
      <c r="Q6530" t="s">
        <v>58</v>
      </c>
      <c r="R6530" t="str">
        <f>IFERROR(VLOOKUP(record[[#This Row],[PCUSTID]],廠商[],2,FALSE),"")</f>
        <v/>
      </c>
      <c r="S6530" t="str">
        <f>VLOOKUP(record[[#This Row],[employeeID]],員工[],2,FALSE)</f>
        <v>陳昱佑</v>
      </c>
    </row>
    <row r="6531" spans="6:19" hidden="1" x14ac:dyDescent="0.25">
      <c r="F6531" t="s">
        <v>1189</v>
      </c>
      <c r="G6531" t="s">
        <v>417</v>
      </c>
      <c r="H6531" t="str">
        <f>VLOOKUP(record[[#This Row],[ProcessSN]],表格2_7[],2,FALSE)</f>
        <v>30-4118-018-5XX</v>
      </c>
      <c r="I6531" t="str">
        <f>VLOOKUP(record[[#This Row],[ProcessSN]],表格2_7[],3,FALSE)</f>
        <v>#06</v>
      </c>
      <c r="J6531" t="s">
        <v>593</v>
      </c>
      <c r="K6531" s="195">
        <v>45982.648159722223</v>
      </c>
      <c r="L6531">
        <v>108</v>
      </c>
      <c r="M6531">
        <v>0</v>
      </c>
      <c r="N6531" s="98" t="str">
        <f>IF(record[[#This Row],[Memo]]="Browser:chrome os:android","平板報工",IF(record[[#This Row],[Memo]]=0,"委外",record[[#This Row],[Memo]]))</f>
        <v>平板報工</v>
      </c>
      <c r="O6531" t="s">
        <v>643</v>
      </c>
      <c r="P6531" t="s">
        <v>111</v>
      </c>
      <c r="Q6531" t="s">
        <v>644</v>
      </c>
      <c r="R6531" t="str">
        <f>IFERROR(VLOOKUP(record[[#This Row],[PCUSTID]],廠商[],2,FALSE),"")</f>
        <v/>
      </c>
      <c r="S6531" t="str">
        <f>VLOOKUP(record[[#This Row],[employeeID]],員工[],2,FALSE)</f>
        <v>江栩妘</v>
      </c>
    </row>
    <row r="6532" spans="6:19" hidden="1" x14ac:dyDescent="0.25">
      <c r="F6532" t="s">
        <v>1225</v>
      </c>
      <c r="G6532" t="s">
        <v>414</v>
      </c>
      <c r="H6532" t="str">
        <f>VLOOKUP(record[[#This Row],[ProcessSN]],表格2_7[],2,FALSE)</f>
        <v>30-4118-018-5XX</v>
      </c>
      <c r="I6532" t="str">
        <f>VLOOKUP(record[[#This Row],[ProcessSN]],表格2_7[],3,FALSE)</f>
        <v>#03</v>
      </c>
      <c r="J6532" t="s">
        <v>588</v>
      </c>
      <c r="K6532" s="195">
        <v>45982.641192129631</v>
      </c>
      <c r="L6532">
        <v>196</v>
      </c>
      <c r="M6532">
        <v>0</v>
      </c>
      <c r="N6532" s="98" t="str">
        <f>IF(record[[#This Row],[Memo]]="Browser:chrome os:android","平板報工",IF(record[[#This Row],[Memo]]=0,"委外",record[[#This Row],[Memo]]))</f>
        <v>平板報工</v>
      </c>
      <c r="O6532" t="s">
        <v>643</v>
      </c>
      <c r="P6532" t="s">
        <v>107</v>
      </c>
      <c r="Q6532" t="s">
        <v>644</v>
      </c>
      <c r="R6532" t="str">
        <f>IFERROR(VLOOKUP(record[[#This Row],[PCUSTID]],廠商[],2,FALSE),"")</f>
        <v/>
      </c>
      <c r="S6532" t="str">
        <f>VLOOKUP(record[[#This Row],[employeeID]],員工[],2,FALSE)</f>
        <v>黎氏順</v>
      </c>
    </row>
    <row r="6533" spans="6:19" hidden="1" x14ac:dyDescent="0.25">
      <c r="F6533" t="s">
        <v>1225</v>
      </c>
      <c r="G6533" t="s">
        <v>416</v>
      </c>
      <c r="H6533" t="str">
        <f>VLOOKUP(record[[#This Row],[ProcessSN]],表格2_7[],2,FALSE)</f>
        <v>30-4118-018-5XX</v>
      </c>
      <c r="I6533" t="str">
        <f>VLOOKUP(record[[#This Row],[ProcessSN]],表格2_7[],3,FALSE)</f>
        <v>#05</v>
      </c>
      <c r="J6533" t="s">
        <v>588</v>
      </c>
      <c r="K6533" s="195">
        <v>45982.639756944445</v>
      </c>
      <c r="L6533">
        <v>180</v>
      </c>
      <c r="M6533">
        <v>0</v>
      </c>
      <c r="N6533" s="98" t="str">
        <f>IF(record[[#This Row],[Memo]]="Browser:chrome os:android","平板報工",IF(record[[#This Row],[Memo]]=0,"委外",record[[#This Row],[Memo]]))</f>
        <v>平板報工</v>
      </c>
      <c r="O6533" t="s">
        <v>643</v>
      </c>
      <c r="P6533" t="s">
        <v>107</v>
      </c>
      <c r="Q6533" t="s">
        <v>644</v>
      </c>
      <c r="R6533" t="str">
        <f>IFERROR(VLOOKUP(record[[#This Row],[PCUSTID]],廠商[],2,FALSE),"")</f>
        <v/>
      </c>
      <c r="S6533" t="str">
        <f>VLOOKUP(record[[#This Row],[employeeID]],員工[],2,FALSE)</f>
        <v>黎氏順</v>
      </c>
    </row>
    <row r="6534" spans="6:19" hidden="1" x14ac:dyDescent="0.25">
      <c r="F6534" t="s">
        <v>1225</v>
      </c>
      <c r="G6534" t="s">
        <v>415</v>
      </c>
      <c r="H6534" t="str">
        <f>VLOOKUP(record[[#This Row],[ProcessSN]],表格2_7[],2,FALSE)</f>
        <v>30-4118-018-5XX</v>
      </c>
      <c r="I6534" t="str">
        <f>VLOOKUP(record[[#This Row],[ProcessSN]],表格2_7[],3,FALSE)</f>
        <v>#04</v>
      </c>
      <c r="J6534" t="s">
        <v>588</v>
      </c>
      <c r="K6534" s="195">
        <v>45982.637060185189</v>
      </c>
      <c r="L6534">
        <v>135</v>
      </c>
      <c r="M6534">
        <v>0</v>
      </c>
      <c r="N6534" s="98" t="str">
        <f>IF(record[[#This Row],[Memo]]="Browser:chrome os:android","平板報工",IF(record[[#This Row],[Memo]]=0,"委外",record[[#This Row],[Memo]]))</f>
        <v>平板報工</v>
      </c>
      <c r="O6534" t="s">
        <v>643</v>
      </c>
      <c r="P6534" t="s">
        <v>785</v>
      </c>
      <c r="Q6534" t="s">
        <v>644</v>
      </c>
      <c r="R6534" t="str">
        <f>IFERROR(VLOOKUP(record[[#This Row],[PCUSTID]],廠商[],2,FALSE),"")</f>
        <v/>
      </c>
      <c r="S6534" t="str">
        <f>VLOOKUP(record[[#This Row],[employeeID]],員工[],2,FALSE)</f>
        <v>謝刻光</v>
      </c>
    </row>
    <row r="6535" spans="6:19" hidden="1" x14ac:dyDescent="0.25">
      <c r="F6535" t="s">
        <v>1233</v>
      </c>
      <c r="G6535" t="s">
        <v>397</v>
      </c>
      <c r="H6535" t="str">
        <f>VLOOKUP(record[[#This Row],[ProcessSN]],表格2_7[],2,FALSE)</f>
        <v>30-4118-018-550</v>
      </c>
      <c r="I6535" t="str">
        <f>VLOOKUP(record[[#This Row],[ProcessSN]],表格2_7[],3,FALSE)</f>
        <v>#08</v>
      </c>
      <c r="J6535" t="s">
        <v>597</v>
      </c>
      <c r="K6535" s="195">
        <v>45982.601898148147</v>
      </c>
      <c r="L6535">
        <v>656</v>
      </c>
      <c r="M6535">
        <v>0</v>
      </c>
      <c r="N6535" s="98" t="str">
        <f>IF(record[[#This Row],[Memo]]="Browser:chrome os:android","平板報工",IF(record[[#This Row],[Memo]]=0,"委外",record[[#This Row],[Memo]]))</f>
        <v>委外</v>
      </c>
      <c r="P6535" t="s">
        <v>186</v>
      </c>
      <c r="Q6535" t="s">
        <v>287</v>
      </c>
      <c r="R6535" t="str">
        <f>IFERROR(VLOOKUP(record[[#This Row],[PCUSTID]],廠商[],2,FALSE),"")</f>
        <v>泉盛</v>
      </c>
      <c r="S6535" t="str">
        <f>VLOOKUP(record[[#This Row],[employeeID]],員工[],2,FALSE)</f>
        <v>許文姍</v>
      </c>
    </row>
    <row r="6536" spans="6:19" hidden="1" x14ac:dyDescent="0.25">
      <c r="F6536" t="s">
        <v>1233</v>
      </c>
      <c r="G6536" t="s">
        <v>396</v>
      </c>
      <c r="H6536" t="str">
        <f>VLOOKUP(record[[#This Row],[ProcessSN]],表格2_7[],2,FALSE)</f>
        <v>30-4118-018-550</v>
      </c>
      <c r="I6536" t="str">
        <f>VLOOKUP(record[[#This Row],[ProcessSN]],表格2_7[],3,FALSE)</f>
        <v>#08PICK</v>
      </c>
      <c r="J6536" t="s">
        <v>582</v>
      </c>
      <c r="K6536" s="195">
        <v>45982.601805555554</v>
      </c>
      <c r="L6536">
        <v>656</v>
      </c>
      <c r="M6536">
        <v>0</v>
      </c>
      <c r="N6536" s="98" t="str">
        <f>IF(record[[#This Row],[Memo]]="Browser:chrome os:android","平板報工",IF(record[[#This Row],[Memo]]=0,"委外",record[[#This Row],[Memo]]))</f>
        <v/>
      </c>
      <c r="O6536" t="s">
        <v>58</v>
      </c>
      <c r="P6536" t="s">
        <v>186</v>
      </c>
      <c r="Q6536" t="s">
        <v>58</v>
      </c>
      <c r="R6536" t="str">
        <f>IFERROR(VLOOKUP(record[[#This Row],[PCUSTID]],廠商[],2,FALSE),"")</f>
        <v/>
      </c>
      <c r="S6536" t="str">
        <f>VLOOKUP(record[[#This Row],[employeeID]],員工[],2,FALSE)</f>
        <v>許文姍</v>
      </c>
    </row>
    <row r="6537" spans="6:19" hidden="1" x14ac:dyDescent="0.25">
      <c r="F6537" t="s">
        <v>1189</v>
      </c>
      <c r="G6537" t="s">
        <v>420</v>
      </c>
      <c r="H6537" t="str">
        <f>VLOOKUP(record[[#This Row],[ProcessSN]],表格2_7[],2,FALSE)</f>
        <v>30-4118-018-5XX</v>
      </c>
      <c r="I6537" t="str">
        <f>VLOOKUP(record[[#This Row],[ProcessSN]],表格2_7[],3,FALSE)</f>
        <v>#07STOCK</v>
      </c>
      <c r="J6537" t="s">
        <v>592</v>
      </c>
      <c r="K6537" s="195">
        <v>45982.599537037036</v>
      </c>
      <c r="L6537">
        <v>488</v>
      </c>
      <c r="M6537">
        <v>0</v>
      </c>
      <c r="N6537" s="98" t="str">
        <f>IF(record[[#This Row],[Memo]]="Browser:chrome os:android","平板報工",IF(record[[#This Row],[Memo]]=0,"委外",record[[#This Row],[Memo]]))</f>
        <v/>
      </c>
      <c r="O6537" t="s">
        <v>58</v>
      </c>
      <c r="P6537" t="s">
        <v>186</v>
      </c>
      <c r="Q6537" t="s">
        <v>58</v>
      </c>
      <c r="R6537" t="str">
        <f>IFERROR(VLOOKUP(record[[#This Row],[PCUSTID]],廠商[],2,FALSE),"")</f>
        <v/>
      </c>
      <c r="S6537" t="str">
        <f>VLOOKUP(record[[#This Row],[employeeID]],員工[],2,FALSE)</f>
        <v>許文姍</v>
      </c>
    </row>
    <row r="6538" spans="6:19" hidden="1" x14ac:dyDescent="0.25">
      <c r="F6538" t="s">
        <v>1189</v>
      </c>
      <c r="G6538" t="s">
        <v>420</v>
      </c>
      <c r="H6538" t="str">
        <f>VLOOKUP(record[[#This Row],[ProcessSN]],表格2_7[],2,FALSE)</f>
        <v>30-4118-018-5XX</v>
      </c>
      <c r="I6538" t="str">
        <f>VLOOKUP(record[[#This Row],[ProcessSN]],表格2_7[],3,FALSE)</f>
        <v>#07STOCK</v>
      </c>
      <c r="J6538" t="s">
        <v>592</v>
      </c>
      <c r="K6538" s="195">
        <v>45982.59915509259</v>
      </c>
      <c r="L6538">
        <v>168</v>
      </c>
      <c r="M6538">
        <v>0</v>
      </c>
      <c r="N6538" s="98" t="str">
        <f>IF(record[[#This Row],[Memo]]="Browser:chrome os:android","平板報工",IF(record[[#This Row],[Memo]]=0,"委外",record[[#This Row],[Memo]]))</f>
        <v/>
      </c>
      <c r="O6538" t="s">
        <v>58</v>
      </c>
      <c r="P6538" t="s">
        <v>186</v>
      </c>
      <c r="Q6538" t="s">
        <v>58</v>
      </c>
      <c r="R6538" t="str">
        <f>IFERROR(VLOOKUP(record[[#This Row],[PCUSTID]],廠商[],2,FALSE),"")</f>
        <v/>
      </c>
      <c r="S6538" t="str">
        <f>VLOOKUP(record[[#This Row],[employeeID]],員工[],2,FALSE)</f>
        <v>許文姍</v>
      </c>
    </row>
    <row r="6539" spans="6:19" hidden="1" x14ac:dyDescent="0.25">
      <c r="F6539" t="s">
        <v>1189</v>
      </c>
      <c r="G6539" t="s">
        <v>419</v>
      </c>
      <c r="H6539" t="str">
        <f>VLOOKUP(record[[#This Row],[ProcessSN]],表格2_7[],2,FALSE)</f>
        <v>30-4118-018-5XX</v>
      </c>
      <c r="I6539" t="str">
        <f>VLOOKUP(record[[#This Row],[ProcessSN]],表格2_7[],3,FALSE)</f>
        <v>#07QC</v>
      </c>
      <c r="J6539" t="s">
        <v>589</v>
      </c>
      <c r="K6539" s="195">
        <v>45982.595254629632</v>
      </c>
      <c r="L6539">
        <v>488</v>
      </c>
      <c r="M6539">
        <v>0</v>
      </c>
      <c r="N6539" s="98" t="str">
        <f>IF(record[[#This Row],[Memo]]="Browser:chrome os:android","平板報工",IF(record[[#This Row],[Memo]]=0,"委外",record[[#This Row],[Memo]]))</f>
        <v>平板報工</v>
      </c>
      <c r="O6539" t="s">
        <v>643</v>
      </c>
      <c r="P6539" t="s">
        <v>99</v>
      </c>
      <c r="Q6539" t="s">
        <v>644</v>
      </c>
      <c r="R6539" t="str">
        <f>IFERROR(VLOOKUP(record[[#This Row],[PCUSTID]],廠商[],2,FALSE),"")</f>
        <v/>
      </c>
      <c r="S6539" t="str">
        <f>VLOOKUP(record[[#This Row],[employeeID]],員工[],2,FALSE)</f>
        <v>阮氏河</v>
      </c>
    </row>
    <row r="6540" spans="6:19" hidden="1" x14ac:dyDescent="0.25">
      <c r="F6540" t="s">
        <v>1181</v>
      </c>
      <c r="G6540" t="s">
        <v>428</v>
      </c>
      <c r="H6540" t="str">
        <f>VLOOKUP(record[[#This Row],[ProcessSN]],表格2_7[],2,FALSE)</f>
        <v>30-4118-018-600</v>
      </c>
      <c r="I6540" t="str">
        <f>VLOOKUP(record[[#This Row],[ProcessSN]],表格2_7[],3,FALSE)</f>
        <v>#100SHIP</v>
      </c>
      <c r="J6540" t="s">
        <v>600</v>
      </c>
      <c r="K6540" s="195">
        <v>45982.587824074071</v>
      </c>
      <c r="L6540">
        <v>36</v>
      </c>
      <c r="M6540">
        <v>0</v>
      </c>
      <c r="N6540" s="98" t="str">
        <f>IF(record[[#This Row],[Memo]]="Browser:chrome os:android","平板報工",IF(record[[#This Row],[Memo]]=0,"委外",record[[#This Row],[Memo]]))</f>
        <v/>
      </c>
      <c r="O6540" t="s">
        <v>58</v>
      </c>
      <c r="P6540" t="s">
        <v>886</v>
      </c>
      <c r="Q6540" t="s">
        <v>58</v>
      </c>
      <c r="R6540" t="str">
        <f>IFERROR(VLOOKUP(record[[#This Row],[PCUSTID]],廠商[],2,FALSE),"")</f>
        <v/>
      </c>
      <c r="S6540" t="str">
        <f>VLOOKUP(record[[#This Row],[employeeID]],員工[],2,FALSE)</f>
        <v>謝蓁薰</v>
      </c>
    </row>
    <row r="6541" spans="6:19" hidden="1" x14ac:dyDescent="0.25">
      <c r="F6541" t="s">
        <v>1143</v>
      </c>
      <c r="G6541" t="s">
        <v>428</v>
      </c>
      <c r="H6541" t="str">
        <f>VLOOKUP(record[[#This Row],[ProcessSN]],表格2_7[],2,FALSE)</f>
        <v>30-4118-018-600</v>
      </c>
      <c r="I6541" t="str">
        <f>VLOOKUP(record[[#This Row],[ProcessSN]],表格2_7[],3,FALSE)</f>
        <v>#100SHIP</v>
      </c>
      <c r="J6541" t="s">
        <v>600</v>
      </c>
      <c r="K6541" s="195">
        <v>45982.587627314817</v>
      </c>
      <c r="L6541">
        <v>330</v>
      </c>
      <c r="M6541">
        <v>0</v>
      </c>
      <c r="N6541" s="98" t="str">
        <f>IF(record[[#This Row],[Memo]]="Browser:chrome os:android","平板報工",IF(record[[#This Row],[Memo]]=0,"委外",record[[#This Row],[Memo]]))</f>
        <v/>
      </c>
      <c r="O6541" t="s">
        <v>58</v>
      </c>
      <c r="P6541" t="s">
        <v>886</v>
      </c>
      <c r="Q6541" t="s">
        <v>58</v>
      </c>
      <c r="R6541" t="str">
        <f>IFERROR(VLOOKUP(record[[#This Row],[PCUSTID]],廠商[],2,FALSE),"")</f>
        <v/>
      </c>
      <c r="S6541" t="str">
        <f>VLOOKUP(record[[#This Row],[employeeID]],員工[],2,FALSE)</f>
        <v>謝蓁薰</v>
      </c>
    </row>
    <row r="6542" spans="6:19" hidden="1" x14ac:dyDescent="0.25">
      <c r="F6542" t="s">
        <v>1189</v>
      </c>
      <c r="G6542" t="s">
        <v>419</v>
      </c>
      <c r="H6542" t="str">
        <f>VLOOKUP(record[[#This Row],[ProcessSN]],表格2_7[],2,FALSE)</f>
        <v>30-4118-018-5XX</v>
      </c>
      <c r="I6542" t="str">
        <f>VLOOKUP(record[[#This Row],[ProcessSN]],表格2_7[],3,FALSE)</f>
        <v>#07QC</v>
      </c>
      <c r="J6542" t="s">
        <v>589</v>
      </c>
      <c r="K6542" s="195">
        <v>45982.442719907405</v>
      </c>
      <c r="L6542">
        <v>168</v>
      </c>
      <c r="M6542">
        <v>0</v>
      </c>
      <c r="N6542" s="98" t="str">
        <f>IF(record[[#This Row],[Memo]]="Browser:chrome os:android","平板報工",IF(record[[#This Row],[Memo]]=0,"委外",record[[#This Row],[Memo]]))</f>
        <v>平板報工</v>
      </c>
      <c r="O6542" t="s">
        <v>643</v>
      </c>
      <c r="P6542" t="s">
        <v>99</v>
      </c>
      <c r="Q6542" t="s">
        <v>644</v>
      </c>
      <c r="R6542" t="str">
        <f>IFERROR(VLOOKUP(record[[#This Row],[PCUSTID]],廠商[],2,FALSE),"")</f>
        <v/>
      </c>
      <c r="S6542" t="str">
        <f>VLOOKUP(record[[#This Row],[employeeID]],員工[],2,FALSE)</f>
        <v>阮氏河</v>
      </c>
    </row>
    <row r="6543" spans="6:19" hidden="1" x14ac:dyDescent="0.25">
      <c r="F6543" t="s">
        <v>1225</v>
      </c>
      <c r="G6543" t="s">
        <v>415</v>
      </c>
      <c r="H6543" t="str">
        <f>VLOOKUP(record[[#This Row],[ProcessSN]],表格2_7[],2,FALSE)</f>
        <v>30-4118-018-5XX</v>
      </c>
      <c r="I6543" t="str">
        <f>VLOOKUP(record[[#This Row],[ProcessSN]],表格2_7[],3,FALSE)</f>
        <v>#04</v>
      </c>
      <c r="J6543" t="s">
        <v>588</v>
      </c>
      <c r="K6543" s="195">
        <v>45982.307650462964</v>
      </c>
      <c r="L6543">
        <v>139</v>
      </c>
      <c r="M6543">
        <v>0</v>
      </c>
      <c r="N6543" s="98" t="str">
        <f>IF(record[[#This Row],[Memo]]="Browser:chrome os:android","平板報工",IF(record[[#This Row],[Memo]]=0,"委外",record[[#This Row],[Memo]]))</f>
        <v/>
      </c>
      <c r="O6543" t="s">
        <v>58</v>
      </c>
      <c r="P6543" t="s">
        <v>135</v>
      </c>
      <c r="Q6543" t="s">
        <v>58</v>
      </c>
      <c r="R6543" t="str">
        <f>IFERROR(VLOOKUP(record[[#This Row],[PCUSTID]],廠商[],2,FALSE),"")</f>
        <v/>
      </c>
      <c r="S6543" t="str">
        <f>VLOOKUP(record[[#This Row],[employeeID]],員工[],2,FALSE)</f>
        <v>阮士文</v>
      </c>
    </row>
    <row r="6544" spans="6:19" hidden="1" x14ac:dyDescent="0.25">
      <c r="F6544" t="s">
        <v>1189</v>
      </c>
      <c r="G6544" t="s">
        <v>418</v>
      </c>
      <c r="H6544" t="str">
        <f>VLOOKUP(record[[#This Row],[ProcessSN]],表格2_7[],2,FALSE)</f>
        <v>30-4118-018-5XX</v>
      </c>
      <c r="I6544" t="str">
        <f>VLOOKUP(record[[#This Row],[ProcessSN]],表格2_7[],3,FALSE)</f>
        <v>#07</v>
      </c>
      <c r="J6544" t="s">
        <v>588</v>
      </c>
      <c r="K6544" s="195">
        <v>45982.306990740741</v>
      </c>
      <c r="L6544">
        <v>226</v>
      </c>
      <c r="M6544">
        <v>0</v>
      </c>
      <c r="N6544" s="98" t="str">
        <f>IF(record[[#This Row],[Memo]]="Browser:chrome os:android","平板報工",IF(record[[#This Row],[Memo]]=0,"委外",record[[#This Row],[Memo]]))</f>
        <v/>
      </c>
      <c r="O6544" t="s">
        <v>58</v>
      </c>
      <c r="P6544" t="s">
        <v>135</v>
      </c>
      <c r="Q6544" t="s">
        <v>58</v>
      </c>
      <c r="R6544" t="str">
        <f>IFERROR(VLOOKUP(record[[#This Row],[PCUSTID]],廠商[],2,FALSE),"")</f>
        <v/>
      </c>
      <c r="S6544" t="str">
        <f>VLOOKUP(record[[#This Row],[employeeID]],員工[],2,FALSE)</f>
        <v>阮士文</v>
      </c>
    </row>
    <row r="6545" spans="6:19" hidden="1" x14ac:dyDescent="0.25">
      <c r="F6545" t="s">
        <v>1189</v>
      </c>
      <c r="G6545" t="s">
        <v>417</v>
      </c>
      <c r="H6545" t="str">
        <f>VLOOKUP(record[[#This Row],[ProcessSN]],表格2_7[],2,FALSE)</f>
        <v>30-4118-018-5XX</v>
      </c>
      <c r="I6545" t="str">
        <f>VLOOKUP(record[[#This Row],[ProcessSN]],表格2_7[],3,FALSE)</f>
        <v>#06</v>
      </c>
      <c r="J6545" t="s">
        <v>593</v>
      </c>
      <c r="K6545" s="195">
        <v>45982.30678240741</v>
      </c>
      <c r="L6545">
        <v>142</v>
      </c>
      <c r="M6545">
        <v>0</v>
      </c>
      <c r="N6545" s="98" t="str">
        <f>IF(record[[#This Row],[Memo]]="Browser:chrome os:android","平板報工",IF(record[[#This Row],[Memo]]=0,"委外",record[[#This Row],[Memo]]))</f>
        <v/>
      </c>
      <c r="O6545" t="s">
        <v>58</v>
      </c>
      <c r="P6545" t="s">
        <v>135</v>
      </c>
      <c r="Q6545" t="s">
        <v>58</v>
      </c>
      <c r="R6545" t="str">
        <f>IFERROR(VLOOKUP(record[[#This Row],[PCUSTID]],廠商[],2,FALSE),"")</f>
        <v/>
      </c>
      <c r="S6545" t="str">
        <f>VLOOKUP(record[[#This Row],[employeeID]],員工[],2,FALSE)</f>
        <v>阮士文</v>
      </c>
    </row>
    <row r="6546" spans="6:19" hidden="1" x14ac:dyDescent="0.25">
      <c r="F6546" t="s">
        <v>1189</v>
      </c>
      <c r="G6546" t="s">
        <v>416</v>
      </c>
      <c r="H6546" t="str">
        <f>VLOOKUP(record[[#This Row],[ProcessSN]],表格2_7[],2,FALSE)</f>
        <v>30-4118-018-5XX</v>
      </c>
      <c r="I6546" t="str">
        <f>VLOOKUP(record[[#This Row],[ProcessSN]],表格2_7[],3,FALSE)</f>
        <v>#05</v>
      </c>
      <c r="J6546" t="s">
        <v>588</v>
      </c>
      <c r="K6546" s="195">
        <v>45982.306608796294</v>
      </c>
      <c r="L6546">
        <v>245</v>
      </c>
      <c r="M6546">
        <v>0</v>
      </c>
      <c r="N6546" s="98" t="str">
        <f>IF(record[[#This Row],[Memo]]="Browser:chrome os:android","平板報工",IF(record[[#This Row],[Memo]]=0,"委外",record[[#This Row],[Memo]]))</f>
        <v/>
      </c>
      <c r="O6546" t="s">
        <v>58</v>
      </c>
      <c r="P6546" t="s">
        <v>135</v>
      </c>
      <c r="Q6546" t="s">
        <v>58</v>
      </c>
      <c r="R6546" t="str">
        <f>IFERROR(VLOOKUP(record[[#This Row],[PCUSTID]],廠商[],2,FALSE),"")</f>
        <v/>
      </c>
      <c r="S6546" t="str">
        <f>VLOOKUP(record[[#This Row],[employeeID]],員工[],2,FALSE)</f>
        <v>阮士文</v>
      </c>
    </row>
    <row r="6547" spans="6:19" hidden="1" x14ac:dyDescent="0.25">
      <c r="F6547" t="s">
        <v>1189</v>
      </c>
      <c r="G6547" t="s">
        <v>415</v>
      </c>
      <c r="H6547" t="str">
        <f>VLOOKUP(record[[#This Row],[ProcessSN]],表格2_7[],2,FALSE)</f>
        <v>30-4118-018-5XX</v>
      </c>
      <c r="I6547" t="str">
        <f>VLOOKUP(record[[#This Row],[ProcessSN]],表格2_7[],3,FALSE)</f>
        <v>#04</v>
      </c>
      <c r="J6547" t="s">
        <v>588</v>
      </c>
      <c r="K6547" s="195">
        <v>45982.004224537035</v>
      </c>
      <c r="L6547">
        <v>12</v>
      </c>
      <c r="M6547">
        <v>0</v>
      </c>
      <c r="N6547" s="98" t="str">
        <f>IF(record[[#This Row],[Memo]]="Browser:chrome os:android","平板報工",IF(record[[#This Row],[Memo]]=0,"委外",record[[#This Row],[Memo]]))</f>
        <v/>
      </c>
      <c r="O6547" t="s">
        <v>58</v>
      </c>
      <c r="P6547" t="s">
        <v>135</v>
      </c>
      <c r="Q6547" t="s">
        <v>58</v>
      </c>
      <c r="R6547" t="str">
        <f>IFERROR(VLOOKUP(record[[#This Row],[PCUSTID]],廠商[],2,FALSE),"")</f>
        <v/>
      </c>
      <c r="S6547" t="str">
        <f>VLOOKUP(record[[#This Row],[employeeID]],員工[],2,FALSE)</f>
        <v>阮士文</v>
      </c>
    </row>
    <row r="6548" spans="6:19" hidden="1" x14ac:dyDescent="0.25">
      <c r="F6548" t="s">
        <v>1225</v>
      </c>
      <c r="G6548" t="s">
        <v>415</v>
      </c>
      <c r="H6548" t="str">
        <f>VLOOKUP(record[[#This Row],[ProcessSN]],表格2_7[],2,FALSE)</f>
        <v>30-4118-018-5XX</v>
      </c>
      <c r="I6548" t="str">
        <f>VLOOKUP(record[[#This Row],[ProcessSN]],表格2_7[],3,FALSE)</f>
        <v>#04</v>
      </c>
      <c r="J6548" t="s">
        <v>588</v>
      </c>
      <c r="K6548" s="195">
        <v>45981.95040509259</v>
      </c>
      <c r="L6548">
        <v>83</v>
      </c>
      <c r="M6548">
        <v>0</v>
      </c>
      <c r="N6548" s="98" t="str">
        <f>IF(record[[#This Row],[Memo]]="Browser:chrome os:android","平板報工",IF(record[[#This Row],[Memo]]=0,"委外",record[[#This Row],[Memo]]))</f>
        <v/>
      </c>
      <c r="O6548" t="s">
        <v>58</v>
      </c>
      <c r="P6548" t="s">
        <v>806</v>
      </c>
      <c r="Q6548" t="s">
        <v>58</v>
      </c>
      <c r="R6548" t="str">
        <f>IFERROR(VLOOKUP(record[[#This Row],[PCUSTID]],廠商[],2,FALSE),"")</f>
        <v/>
      </c>
      <c r="S6548" t="str">
        <f>VLOOKUP(record[[#This Row],[employeeID]],員工[],2,FALSE)</f>
        <v>方思緯</v>
      </c>
    </row>
    <row r="6549" spans="6:19" hidden="1" x14ac:dyDescent="0.25">
      <c r="F6549" t="s">
        <v>1189</v>
      </c>
      <c r="G6549" t="s">
        <v>418</v>
      </c>
      <c r="H6549" t="str">
        <f>VLOOKUP(record[[#This Row],[ProcessSN]],表格2_7[],2,FALSE)</f>
        <v>30-4118-018-5XX</v>
      </c>
      <c r="I6549" t="str">
        <f>VLOOKUP(record[[#This Row],[ProcessSN]],表格2_7[],3,FALSE)</f>
        <v>#07</v>
      </c>
      <c r="J6549" t="s">
        <v>588</v>
      </c>
      <c r="K6549" s="195">
        <v>45981.930868055555</v>
      </c>
      <c r="L6549">
        <v>184</v>
      </c>
      <c r="M6549">
        <v>1</v>
      </c>
      <c r="N6549" s="98" t="str">
        <f>IF(record[[#This Row],[Memo]]="Browser:chrome os:android","平板報工",IF(record[[#This Row],[Memo]]=0,"委外",record[[#This Row],[Memo]]))</f>
        <v/>
      </c>
      <c r="O6549" t="s">
        <v>58</v>
      </c>
      <c r="P6549" t="s">
        <v>89</v>
      </c>
      <c r="Q6549" t="s">
        <v>58</v>
      </c>
      <c r="R6549" t="str">
        <f>IFERROR(VLOOKUP(record[[#This Row],[PCUSTID]],廠商[],2,FALSE),"")</f>
        <v/>
      </c>
      <c r="S6549" t="str">
        <f>VLOOKUP(record[[#This Row],[employeeID]],員工[],2,FALSE)</f>
        <v>李美蓮</v>
      </c>
    </row>
    <row r="6550" spans="6:19" hidden="1" x14ac:dyDescent="0.25">
      <c r="F6550" t="s">
        <v>1189</v>
      </c>
      <c r="G6550" t="s">
        <v>417</v>
      </c>
      <c r="H6550" t="str">
        <f>VLOOKUP(record[[#This Row],[ProcessSN]],表格2_7[],2,FALSE)</f>
        <v>30-4118-018-5XX</v>
      </c>
      <c r="I6550" t="str">
        <f>VLOOKUP(record[[#This Row],[ProcessSN]],表格2_7[],3,FALSE)</f>
        <v>#06</v>
      </c>
      <c r="J6550" t="s">
        <v>593</v>
      </c>
      <c r="K6550" s="195">
        <v>45981.930185185185</v>
      </c>
      <c r="L6550">
        <v>133</v>
      </c>
      <c r="M6550">
        <v>0</v>
      </c>
      <c r="N6550" s="98" t="str">
        <f>IF(record[[#This Row],[Memo]]="Browser:chrome os:android","平板報工",IF(record[[#This Row],[Memo]]=0,"委外",record[[#This Row],[Memo]]))</f>
        <v/>
      </c>
      <c r="O6550" t="s">
        <v>58</v>
      </c>
      <c r="P6550" t="s">
        <v>1098</v>
      </c>
      <c r="Q6550" t="s">
        <v>58</v>
      </c>
      <c r="R6550" t="str">
        <f>IFERROR(VLOOKUP(record[[#This Row],[PCUSTID]],廠商[],2,FALSE),"")</f>
        <v/>
      </c>
      <c r="S6550" t="str">
        <f>VLOOKUP(record[[#This Row],[employeeID]],員工[],2,FALSE)</f>
        <v>阮氏芳英(英)</v>
      </c>
    </row>
    <row r="6551" spans="6:19" hidden="1" x14ac:dyDescent="0.25">
      <c r="F6551" t="s">
        <v>1225</v>
      </c>
      <c r="G6551" t="s">
        <v>414</v>
      </c>
      <c r="H6551" t="str">
        <f>VLOOKUP(record[[#This Row],[ProcessSN]],表格2_7[],2,FALSE)</f>
        <v>30-4118-018-5XX</v>
      </c>
      <c r="I6551" t="str">
        <f>VLOOKUP(record[[#This Row],[ProcessSN]],表格2_7[],3,FALSE)</f>
        <v>#03</v>
      </c>
      <c r="J6551" t="s">
        <v>588</v>
      </c>
      <c r="K6551" s="195">
        <v>45981.929375</v>
      </c>
      <c r="L6551">
        <v>336</v>
      </c>
      <c r="M6551">
        <v>0</v>
      </c>
      <c r="N6551" s="98" t="str">
        <f>IF(record[[#This Row],[Memo]]="Browser:chrome os:android","平板報工",IF(record[[#This Row],[Memo]]=0,"委外",record[[#This Row],[Memo]]))</f>
        <v/>
      </c>
      <c r="O6551" t="s">
        <v>58</v>
      </c>
      <c r="P6551" t="s">
        <v>89</v>
      </c>
      <c r="Q6551" t="s">
        <v>58</v>
      </c>
      <c r="R6551" t="str">
        <f>IFERROR(VLOOKUP(record[[#This Row],[PCUSTID]],廠商[],2,FALSE),"")</f>
        <v/>
      </c>
      <c r="S6551" t="str">
        <f>VLOOKUP(record[[#This Row],[employeeID]],員工[],2,FALSE)</f>
        <v>李美蓮</v>
      </c>
    </row>
    <row r="6552" spans="6:19" hidden="1" x14ac:dyDescent="0.25">
      <c r="F6552" t="s">
        <v>1189</v>
      </c>
      <c r="G6552" t="s">
        <v>416</v>
      </c>
      <c r="H6552" t="str">
        <f>VLOOKUP(record[[#This Row],[ProcessSN]],表格2_7[],2,FALSE)</f>
        <v>30-4118-018-5XX</v>
      </c>
      <c r="I6552" t="str">
        <f>VLOOKUP(record[[#This Row],[ProcessSN]],表格2_7[],3,FALSE)</f>
        <v>#05</v>
      </c>
      <c r="J6552" t="s">
        <v>588</v>
      </c>
      <c r="K6552" s="195">
        <v>45981.929050925923</v>
      </c>
      <c r="L6552">
        <v>232</v>
      </c>
      <c r="M6552">
        <v>1</v>
      </c>
      <c r="N6552" s="98" t="str">
        <f>IF(record[[#This Row],[Memo]]="Browser:chrome os:android","平板報工",IF(record[[#This Row],[Memo]]=0,"委外",record[[#This Row],[Memo]]))</f>
        <v/>
      </c>
      <c r="O6552" t="s">
        <v>58</v>
      </c>
      <c r="P6552" t="s">
        <v>89</v>
      </c>
      <c r="Q6552" t="s">
        <v>58</v>
      </c>
      <c r="R6552" t="str">
        <f>IFERROR(VLOOKUP(record[[#This Row],[PCUSTID]],廠商[],2,FALSE),"")</f>
        <v/>
      </c>
      <c r="S6552" t="str">
        <f>VLOOKUP(record[[#This Row],[employeeID]],員工[],2,FALSE)</f>
        <v>李美蓮</v>
      </c>
    </row>
    <row r="6553" spans="6:19" hidden="1" x14ac:dyDescent="0.25">
      <c r="F6553" t="s">
        <v>1189</v>
      </c>
      <c r="G6553" t="s">
        <v>415</v>
      </c>
      <c r="H6553" t="str">
        <f>VLOOKUP(record[[#This Row],[ProcessSN]],表格2_7[],2,FALSE)</f>
        <v>30-4118-018-5XX</v>
      </c>
      <c r="I6553" t="str">
        <f>VLOOKUP(record[[#This Row],[ProcessSN]],表格2_7[],3,FALSE)</f>
        <v>#04</v>
      </c>
      <c r="J6553" t="s">
        <v>588</v>
      </c>
      <c r="K6553" s="195">
        <v>45981.869525462964</v>
      </c>
      <c r="L6553">
        <v>52</v>
      </c>
      <c r="M6553">
        <v>0</v>
      </c>
      <c r="N6553" s="98" t="str">
        <f>IF(record[[#This Row],[Memo]]="Browser:chrome os:android","平板報工",IF(record[[#This Row],[Memo]]=0,"委外",record[[#This Row],[Memo]]))</f>
        <v>收尾少12pcs</v>
      </c>
      <c r="O6553" t="s">
        <v>1232</v>
      </c>
      <c r="P6553" t="s">
        <v>806</v>
      </c>
      <c r="Q6553" t="s">
        <v>58</v>
      </c>
      <c r="R6553" t="str">
        <f>IFERROR(VLOOKUP(record[[#This Row],[PCUSTID]],廠商[],2,FALSE),"")</f>
        <v/>
      </c>
      <c r="S6553" t="str">
        <f>VLOOKUP(record[[#This Row],[employeeID]],員工[],2,FALSE)</f>
        <v>方思緯</v>
      </c>
    </row>
    <row r="6554" spans="6:19" hidden="1" x14ac:dyDescent="0.25">
      <c r="F6554" t="s">
        <v>1221</v>
      </c>
      <c r="G6554" t="s">
        <v>399</v>
      </c>
      <c r="H6554" t="str">
        <f>VLOOKUP(record[[#This Row],[ProcessSN]],表格2_7[],2,FALSE)</f>
        <v>30-4118-018-550</v>
      </c>
      <c r="I6554" t="str">
        <f>VLOOKUP(record[[#This Row],[ProcessSN]],表格2_7[],3,FALSE)</f>
        <v>#08IQC</v>
      </c>
      <c r="J6554" t="s">
        <v>583</v>
      </c>
      <c r="K6554" s="195">
        <v>45981.696481481478</v>
      </c>
      <c r="L6554">
        <v>128</v>
      </c>
      <c r="M6554">
        <v>0</v>
      </c>
      <c r="N6554" s="98" t="str">
        <f>IF(record[[#This Row],[Memo]]="Browser:chrome os:android","平板報工",IF(record[[#This Row],[Memo]]=0,"委外",record[[#This Row],[Memo]]))</f>
        <v/>
      </c>
      <c r="O6554" t="s">
        <v>58</v>
      </c>
      <c r="P6554" t="s">
        <v>109</v>
      </c>
      <c r="Q6554" t="s">
        <v>58</v>
      </c>
      <c r="R6554" t="str">
        <f>IFERROR(VLOOKUP(record[[#This Row],[PCUSTID]],廠商[],2,FALSE),"")</f>
        <v/>
      </c>
      <c r="S6554" t="str">
        <f>VLOOKUP(record[[#This Row],[employeeID]],員工[],2,FALSE)</f>
        <v>裴氏璧鳳</v>
      </c>
    </row>
    <row r="6555" spans="6:19" hidden="1" x14ac:dyDescent="0.25">
      <c r="F6555" t="s">
        <v>1189</v>
      </c>
      <c r="G6555" t="s">
        <v>415</v>
      </c>
      <c r="H6555" t="str">
        <f>VLOOKUP(record[[#This Row],[ProcessSN]],表格2_7[],2,FALSE)</f>
        <v>30-4118-018-5XX</v>
      </c>
      <c r="I6555" t="str">
        <f>VLOOKUP(record[[#This Row],[ProcessSN]],表格2_7[],3,FALSE)</f>
        <v>#04</v>
      </c>
      <c r="J6555" t="s">
        <v>588</v>
      </c>
      <c r="K6555" s="195">
        <v>45981.643414351849</v>
      </c>
      <c r="L6555">
        <v>135</v>
      </c>
      <c r="M6555">
        <v>0</v>
      </c>
      <c r="N6555" s="98" t="str">
        <f>IF(record[[#This Row],[Memo]]="Browser:chrome os:android","平板報工",IF(record[[#This Row],[Memo]]=0,"委外",record[[#This Row],[Memo]]))</f>
        <v>平板報工</v>
      </c>
      <c r="O6555" t="s">
        <v>643</v>
      </c>
      <c r="P6555" t="s">
        <v>785</v>
      </c>
      <c r="Q6555" t="s">
        <v>644</v>
      </c>
      <c r="R6555" t="str">
        <f>IFERROR(VLOOKUP(record[[#This Row],[PCUSTID]],廠商[],2,FALSE),"")</f>
        <v/>
      </c>
      <c r="S6555" t="str">
        <f>VLOOKUP(record[[#This Row],[employeeID]],員工[],2,FALSE)</f>
        <v>謝刻光</v>
      </c>
    </row>
    <row r="6556" spans="6:19" hidden="1" x14ac:dyDescent="0.25">
      <c r="F6556" t="s">
        <v>1225</v>
      </c>
      <c r="G6556" t="s">
        <v>414</v>
      </c>
      <c r="H6556" t="str">
        <f>VLOOKUP(record[[#This Row],[ProcessSN]],表格2_7[],2,FALSE)</f>
        <v>30-4118-018-5XX</v>
      </c>
      <c r="I6556" t="str">
        <f>VLOOKUP(record[[#This Row],[ProcessSN]],表格2_7[],3,FALSE)</f>
        <v>#03</v>
      </c>
      <c r="J6556" t="s">
        <v>588</v>
      </c>
      <c r="K6556" s="195">
        <v>45981.643171296295</v>
      </c>
      <c r="L6556">
        <v>168</v>
      </c>
      <c r="M6556">
        <v>0</v>
      </c>
      <c r="N6556" s="98" t="str">
        <f>IF(record[[#This Row],[Memo]]="Browser:chrome os:android","平板報工",IF(record[[#This Row],[Memo]]=0,"委外",record[[#This Row],[Memo]]))</f>
        <v>平板報工</v>
      </c>
      <c r="O6556" t="s">
        <v>643</v>
      </c>
      <c r="P6556" t="s">
        <v>785</v>
      </c>
      <c r="Q6556" t="s">
        <v>644</v>
      </c>
      <c r="R6556" t="str">
        <f>IFERROR(VLOOKUP(record[[#This Row],[PCUSTID]],廠商[],2,FALSE),"")</f>
        <v/>
      </c>
      <c r="S6556" t="str">
        <f>VLOOKUP(record[[#This Row],[employeeID]],員工[],2,FALSE)</f>
        <v>謝刻光</v>
      </c>
    </row>
    <row r="6557" spans="6:19" hidden="1" x14ac:dyDescent="0.25">
      <c r="F6557" t="s">
        <v>1189</v>
      </c>
      <c r="G6557" t="s">
        <v>418</v>
      </c>
      <c r="H6557" t="str">
        <f>VLOOKUP(record[[#This Row],[ProcessSN]],表格2_7[],2,FALSE)</f>
        <v>30-4118-018-5XX</v>
      </c>
      <c r="I6557" t="str">
        <f>VLOOKUP(record[[#This Row],[ProcessSN]],表格2_7[],3,FALSE)</f>
        <v>#07</v>
      </c>
      <c r="J6557" t="s">
        <v>588</v>
      </c>
      <c r="K6557" s="195">
        <v>45981.642500000002</v>
      </c>
      <c r="L6557">
        <v>222</v>
      </c>
      <c r="M6557">
        <v>0</v>
      </c>
      <c r="N6557" s="98" t="str">
        <f>IF(record[[#This Row],[Memo]]="Browser:chrome os:android","平板報工",IF(record[[#This Row],[Memo]]=0,"委外",record[[#This Row],[Memo]]))</f>
        <v>平板報工</v>
      </c>
      <c r="O6557" t="s">
        <v>643</v>
      </c>
      <c r="P6557" t="s">
        <v>107</v>
      </c>
      <c r="Q6557" t="s">
        <v>644</v>
      </c>
      <c r="R6557" t="str">
        <f>IFERROR(VLOOKUP(record[[#This Row],[PCUSTID]],廠商[],2,FALSE),"")</f>
        <v/>
      </c>
      <c r="S6557" t="str">
        <f>VLOOKUP(record[[#This Row],[employeeID]],員工[],2,FALSE)</f>
        <v>黎氏順</v>
      </c>
    </row>
    <row r="6558" spans="6:19" hidden="1" x14ac:dyDescent="0.25">
      <c r="F6558" t="s">
        <v>1189</v>
      </c>
      <c r="G6558" t="s">
        <v>416</v>
      </c>
      <c r="H6558" t="str">
        <f>VLOOKUP(record[[#This Row],[ProcessSN]],表格2_7[],2,FALSE)</f>
        <v>30-4118-018-5XX</v>
      </c>
      <c r="I6558" t="str">
        <f>VLOOKUP(record[[#This Row],[ProcessSN]],表格2_7[],3,FALSE)</f>
        <v>#05</v>
      </c>
      <c r="J6558" t="s">
        <v>588</v>
      </c>
      <c r="K6558" s="195">
        <v>45981.641747685186</v>
      </c>
      <c r="L6558">
        <v>113</v>
      </c>
      <c r="M6558">
        <v>0</v>
      </c>
      <c r="N6558" s="98" t="str">
        <f>IF(record[[#This Row],[Memo]]="Browser:chrome os:android","平板報工",IF(record[[#This Row],[Memo]]=0,"委外",record[[#This Row],[Memo]]))</f>
        <v>平板報工</v>
      </c>
      <c r="O6558" t="s">
        <v>643</v>
      </c>
      <c r="P6558" t="s">
        <v>107</v>
      </c>
      <c r="Q6558" t="s">
        <v>644</v>
      </c>
      <c r="R6558" t="str">
        <f>IFERROR(VLOOKUP(record[[#This Row],[PCUSTID]],廠商[],2,FALSE),"")</f>
        <v/>
      </c>
      <c r="S6558" t="str">
        <f>VLOOKUP(record[[#This Row],[employeeID]],員工[],2,FALSE)</f>
        <v>黎氏順</v>
      </c>
    </row>
    <row r="6559" spans="6:19" hidden="1" x14ac:dyDescent="0.25">
      <c r="F6559" t="s">
        <v>1189</v>
      </c>
      <c r="G6559" t="s">
        <v>417</v>
      </c>
      <c r="H6559" t="str">
        <f>VLOOKUP(record[[#This Row],[ProcessSN]],表格2_7[],2,FALSE)</f>
        <v>30-4118-018-5XX</v>
      </c>
      <c r="I6559" t="str">
        <f>VLOOKUP(record[[#This Row],[ProcessSN]],表格2_7[],3,FALSE)</f>
        <v>#06</v>
      </c>
      <c r="J6559" t="s">
        <v>593</v>
      </c>
      <c r="K6559" s="195">
        <v>45981.640983796293</v>
      </c>
      <c r="L6559">
        <v>110</v>
      </c>
      <c r="M6559">
        <v>0</v>
      </c>
      <c r="N6559" s="98" t="str">
        <f>IF(record[[#This Row],[Memo]]="Browser:chrome os:android","平板報工",IF(record[[#This Row],[Memo]]=0,"委外",record[[#This Row],[Memo]]))</f>
        <v>平板報工</v>
      </c>
      <c r="O6559" t="s">
        <v>643</v>
      </c>
      <c r="P6559" t="s">
        <v>111</v>
      </c>
      <c r="Q6559" t="s">
        <v>644</v>
      </c>
      <c r="R6559" t="str">
        <f>IFERROR(VLOOKUP(record[[#This Row],[PCUSTID]],廠商[],2,FALSE),"")</f>
        <v/>
      </c>
      <c r="S6559" t="str">
        <f>VLOOKUP(record[[#This Row],[employeeID]],員工[],2,FALSE)</f>
        <v>江栩妘</v>
      </c>
    </row>
    <row r="6560" spans="6:19" hidden="1" x14ac:dyDescent="0.25">
      <c r="F6560" t="s">
        <v>1221</v>
      </c>
      <c r="G6560" t="s">
        <v>398</v>
      </c>
      <c r="H6560" t="str">
        <f>VLOOKUP(record[[#This Row],[ProcessSN]],表格2_7[],2,FALSE)</f>
        <v>30-4118-018-550</v>
      </c>
      <c r="I6560" t="str">
        <f>VLOOKUP(record[[#This Row],[ProcessSN]],表格2_7[],3,FALSE)</f>
        <v>#08RCV</v>
      </c>
      <c r="J6560" t="s">
        <v>591</v>
      </c>
      <c r="K6560" s="195">
        <v>45981.601504629631</v>
      </c>
      <c r="L6560">
        <v>0</v>
      </c>
      <c r="M6560">
        <v>11</v>
      </c>
      <c r="N6560" s="98" t="str">
        <f>IF(record[[#This Row],[Memo]]="Browser:chrome os:android","平板報工",IF(record[[#This Row],[Memo]]=0,"委外",record[[#This Row],[Memo]]))</f>
        <v/>
      </c>
      <c r="O6560" t="s">
        <v>58</v>
      </c>
      <c r="P6560" t="s">
        <v>186</v>
      </c>
      <c r="Q6560" t="s">
        <v>58</v>
      </c>
      <c r="R6560" t="str">
        <f>IFERROR(VLOOKUP(record[[#This Row],[PCUSTID]],廠商[],2,FALSE),"")</f>
        <v/>
      </c>
      <c r="S6560" t="str">
        <f>VLOOKUP(record[[#This Row],[employeeID]],員工[],2,FALSE)</f>
        <v>許文姍</v>
      </c>
    </row>
    <row r="6561" spans="6:19" hidden="1" x14ac:dyDescent="0.25">
      <c r="F6561" t="s">
        <v>1221</v>
      </c>
      <c r="G6561" t="s">
        <v>398</v>
      </c>
      <c r="H6561" t="str">
        <f>VLOOKUP(record[[#This Row],[ProcessSN]],表格2_7[],2,FALSE)</f>
        <v>30-4118-018-550</v>
      </c>
      <c r="I6561" t="str">
        <f>VLOOKUP(record[[#This Row],[ProcessSN]],表格2_7[],3,FALSE)</f>
        <v>#08RCV</v>
      </c>
      <c r="J6561" t="s">
        <v>591</v>
      </c>
      <c r="K6561" s="195">
        <v>45981.601180555554</v>
      </c>
      <c r="L6561">
        <v>128</v>
      </c>
      <c r="M6561">
        <v>0</v>
      </c>
      <c r="N6561" s="98" t="str">
        <f>IF(record[[#This Row],[Memo]]="Browser:chrome os:android","平板報工",IF(record[[#This Row],[Memo]]=0,"委外",record[[#This Row],[Memo]]))</f>
        <v/>
      </c>
      <c r="O6561" t="s">
        <v>58</v>
      </c>
      <c r="P6561" t="s">
        <v>186</v>
      </c>
      <c r="Q6561" t="s">
        <v>58</v>
      </c>
      <c r="R6561" t="str">
        <f>IFERROR(VLOOKUP(record[[#This Row],[PCUSTID]],廠商[],2,FALSE),"")</f>
        <v/>
      </c>
      <c r="S6561" t="str">
        <f>VLOOKUP(record[[#This Row],[employeeID]],員工[],2,FALSE)</f>
        <v>許文姍</v>
      </c>
    </row>
    <row r="6562" spans="6:19" hidden="1" x14ac:dyDescent="0.25">
      <c r="F6562" t="s">
        <v>1227</v>
      </c>
      <c r="G6562" t="s">
        <v>397</v>
      </c>
      <c r="H6562" t="str">
        <f>VLOOKUP(record[[#This Row],[ProcessSN]],表格2_7[],2,FALSE)</f>
        <v>30-4118-018-550</v>
      </c>
      <c r="I6562" t="str">
        <f>VLOOKUP(record[[#This Row],[ProcessSN]],表格2_7[],3,FALSE)</f>
        <v>#08</v>
      </c>
      <c r="J6562" t="s">
        <v>597</v>
      </c>
      <c r="K6562" s="195">
        <v>45981.595810185187</v>
      </c>
      <c r="L6562">
        <v>431</v>
      </c>
      <c r="M6562">
        <v>0</v>
      </c>
      <c r="N6562" s="98" t="str">
        <f>IF(record[[#This Row],[Memo]]="Browser:chrome os:android","平板報工",IF(record[[#This Row],[Memo]]=0,"委外",record[[#This Row],[Memo]]))</f>
        <v>委外</v>
      </c>
      <c r="P6562" t="s">
        <v>186</v>
      </c>
      <c r="Q6562" t="s">
        <v>287</v>
      </c>
      <c r="R6562" t="str">
        <f>IFERROR(VLOOKUP(record[[#This Row],[PCUSTID]],廠商[],2,FALSE),"")</f>
        <v>泉盛</v>
      </c>
      <c r="S6562" t="str">
        <f>VLOOKUP(record[[#This Row],[employeeID]],員工[],2,FALSE)</f>
        <v>許文姍</v>
      </c>
    </row>
    <row r="6563" spans="6:19" hidden="1" x14ac:dyDescent="0.25">
      <c r="F6563" t="s">
        <v>1218</v>
      </c>
      <c r="G6563" t="s">
        <v>402</v>
      </c>
      <c r="H6563" t="str">
        <f>VLOOKUP(record[[#This Row],[ProcessSN]],表格2_7[],2,FALSE)</f>
        <v>30-4118-018-550</v>
      </c>
      <c r="I6563" t="str">
        <f>VLOOKUP(record[[#This Row],[ProcessSN]],表格2_7[],3,FALSE)</f>
        <v>#100STOCK</v>
      </c>
      <c r="J6563" t="s">
        <v>592</v>
      </c>
      <c r="K6563" s="195">
        <v>45981.575902777775</v>
      </c>
      <c r="L6563">
        <v>15</v>
      </c>
      <c r="M6563">
        <v>0</v>
      </c>
      <c r="N6563" s="98" t="str">
        <f>IF(record[[#This Row],[Memo]]="Browser:chrome os:android","平板報工",IF(record[[#This Row],[Memo]]=0,"委外",record[[#This Row],[Memo]]))</f>
        <v/>
      </c>
      <c r="O6563" t="s">
        <v>58</v>
      </c>
      <c r="P6563" t="s">
        <v>886</v>
      </c>
      <c r="Q6563" t="s">
        <v>58</v>
      </c>
      <c r="R6563" t="str">
        <f>IFERROR(VLOOKUP(record[[#This Row],[PCUSTID]],廠商[],2,FALSE),"")</f>
        <v/>
      </c>
      <c r="S6563" t="str">
        <f>VLOOKUP(record[[#This Row],[employeeID]],員工[],2,FALSE)</f>
        <v>謝蓁薰</v>
      </c>
    </row>
    <row r="6564" spans="6:19" hidden="1" x14ac:dyDescent="0.25">
      <c r="F6564" t="s">
        <v>1143</v>
      </c>
      <c r="G6564" t="s">
        <v>428</v>
      </c>
      <c r="H6564" t="str">
        <f>VLOOKUP(record[[#This Row],[ProcessSN]],表格2_7[],2,FALSE)</f>
        <v>30-4118-018-600</v>
      </c>
      <c r="I6564" t="str">
        <f>VLOOKUP(record[[#This Row],[ProcessSN]],表格2_7[],3,FALSE)</f>
        <v>#100SHIP</v>
      </c>
      <c r="J6564" t="s">
        <v>600</v>
      </c>
      <c r="K6564" s="195">
        <v>45981.548298611109</v>
      </c>
      <c r="L6564">
        <v>4</v>
      </c>
      <c r="M6564">
        <v>0</v>
      </c>
      <c r="N6564" s="98" t="str">
        <f>IF(record[[#This Row],[Memo]]="Browser:chrome os:android","平板報工",IF(record[[#This Row],[Memo]]=0,"委外",record[[#This Row],[Memo]]))</f>
        <v/>
      </c>
      <c r="O6564" t="s">
        <v>58</v>
      </c>
      <c r="P6564" t="s">
        <v>886</v>
      </c>
      <c r="Q6564" t="s">
        <v>58</v>
      </c>
      <c r="R6564" t="str">
        <f>IFERROR(VLOOKUP(record[[#This Row],[PCUSTID]],廠商[],2,FALSE),"")</f>
        <v/>
      </c>
      <c r="S6564" t="str">
        <f>VLOOKUP(record[[#This Row],[employeeID]],員工[],2,FALSE)</f>
        <v>謝蓁薰</v>
      </c>
    </row>
    <row r="6565" spans="6:19" hidden="1" x14ac:dyDescent="0.25">
      <c r="F6565" t="s">
        <v>1227</v>
      </c>
      <c r="G6565" t="s">
        <v>396</v>
      </c>
      <c r="H6565" t="str">
        <f>VLOOKUP(record[[#This Row],[ProcessSN]],表格2_7[],2,FALSE)</f>
        <v>30-4118-018-550</v>
      </c>
      <c r="I6565" t="str">
        <f>VLOOKUP(record[[#This Row],[ProcessSN]],表格2_7[],3,FALSE)</f>
        <v>#08PICK</v>
      </c>
      <c r="J6565" t="s">
        <v>582</v>
      </c>
      <c r="K6565" s="195">
        <v>45981.469942129632</v>
      </c>
      <c r="L6565">
        <v>431</v>
      </c>
      <c r="M6565">
        <v>0</v>
      </c>
      <c r="N6565" s="98" t="str">
        <f>IF(record[[#This Row],[Memo]]="Browser:chrome os:android","平板報工",IF(record[[#This Row],[Memo]]=0,"委外",record[[#This Row],[Memo]]))</f>
        <v>431</v>
      </c>
      <c r="O6565" t="s">
        <v>1228</v>
      </c>
      <c r="P6565" t="s">
        <v>186</v>
      </c>
      <c r="Q6565" t="s">
        <v>58</v>
      </c>
      <c r="R6565" t="str">
        <f>IFERROR(VLOOKUP(record[[#This Row],[PCUSTID]],廠商[],2,FALSE),"")</f>
        <v/>
      </c>
      <c r="S6565" t="str">
        <f>VLOOKUP(record[[#This Row],[employeeID]],員工[],2,FALSE)</f>
        <v>許文姍</v>
      </c>
    </row>
    <row r="6566" spans="6:19" hidden="1" x14ac:dyDescent="0.25">
      <c r="F6566" t="s">
        <v>1189</v>
      </c>
      <c r="G6566" t="s">
        <v>420</v>
      </c>
      <c r="H6566" t="str">
        <f>VLOOKUP(record[[#This Row],[ProcessSN]],表格2_7[],2,FALSE)</f>
        <v>30-4118-018-5XX</v>
      </c>
      <c r="I6566" t="str">
        <f>VLOOKUP(record[[#This Row],[ProcessSN]],表格2_7[],3,FALSE)</f>
        <v>#07STOCK</v>
      </c>
      <c r="J6566" t="s">
        <v>592</v>
      </c>
      <c r="K6566" s="195">
        <v>45981.467986111114</v>
      </c>
      <c r="L6566">
        <v>336</v>
      </c>
      <c r="M6566">
        <v>0</v>
      </c>
      <c r="N6566" s="98" t="str">
        <f>IF(record[[#This Row],[Memo]]="Browser:chrome os:android","平板報工",IF(record[[#This Row],[Memo]]=0,"委外",record[[#This Row],[Memo]]))</f>
        <v/>
      </c>
      <c r="O6566" t="s">
        <v>58</v>
      </c>
      <c r="P6566" t="s">
        <v>186</v>
      </c>
      <c r="Q6566" t="s">
        <v>58</v>
      </c>
      <c r="R6566" t="str">
        <f>IFERROR(VLOOKUP(record[[#This Row],[PCUSTID]],廠商[],2,FALSE),"")</f>
        <v/>
      </c>
      <c r="S6566" t="str">
        <f>VLOOKUP(record[[#This Row],[employeeID]],員工[],2,FALSE)</f>
        <v>許文姍</v>
      </c>
    </row>
    <row r="6567" spans="6:19" hidden="1" x14ac:dyDescent="0.25">
      <c r="F6567" t="s">
        <v>1189</v>
      </c>
      <c r="G6567" t="s">
        <v>420</v>
      </c>
      <c r="H6567" t="str">
        <f>VLOOKUP(record[[#This Row],[ProcessSN]],表格2_7[],2,FALSE)</f>
        <v>30-4118-018-5XX</v>
      </c>
      <c r="I6567" t="str">
        <f>VLOOKUP(record[[#This Row],[ProcessSN]],表格2_7[],3,FALSE)</f>
        <v>#07STOCK</v>
      </c>
      <c r="J6567" t="s">
        <v>592</v>
      </c>
      <c r="K6567" s="195">
        <v>45981.467731481483</v>
      </c>
      <c r="L6567">
        <v>90</v>
      </c>
      <c r="M6567">
        <v>0</v>
      </c>
      <c r="N6567" s="98" t="str">
        <f>IF(record[[#This Row],[Memo]]="Browser:chrome os:android","平板報工",IF(record[[#This Row],[Memo]]=0,"委外",record[[#This Row],[Memo]]))</f>
        <v/>
      </c>
      <c r="O6567" t="s">
        <v>58</v>
      </c>
      <c r="P6567" t="s">
        <v>186</v>
      </c>
      <c r="Q6567" t="s">
        <v>58</v>
      </c>
      <c r="R6567" t="str">
        <f>IFERROR(VLOOKUP(record[[#This Row],[PCUSTID]],廠商[],2,FALSE),"")</f>
        <v/>
      </c>
      <c r="S6567" t="str">
        <f>VLOOKUP(record[[#This Row],[employeeID]],員工[],2,FALSE)</f>
        <v>許文姍</v>
      </c>
    </row>
    <row r="6568" spans="6:19" hidden="1" x14ac:dyDescent="0.25">
      <c r="F6568" t="s">
        <v>1015</v>
      </c>
      <c r="G6568" t="s">
        <v>420</v>
      </c>
      <c r="H6568" t="str">
        <f>VLOOKUP(record[[#This Row],[ProcessSN]],表格2_7[],2,FALSE)</f>
        <v>30-4118-018-5XX</v>
      </c>
      <c r="I6568" t="str">
        <f>VLOOKUP(record[[#This Row],[ProcessSN]],表格2_7[],3,FALSE)</f>
        <v>#07STOCK</v>
      </c>
      <c r="J6568" t="s">
        <v>592</v>
      </c>
      <c r="K6568" s="195">
        <v>45981.467592592591</v>
      </c>
      <c r="L6568">
        <v>5</v>
      </c>
      <c r="M6568">
        <v>0</v>
      </c>
      <c r="N6568" s="98" t="str">
        <f>IF(record[[#This Row],[Memo]]="Browser:chrome os:android","平板報工",IF(record[[#This Row],[Memo]]=0,"委外",record[[#This Row],[Memo]]))</f>
        <v/>
      </c>
      <c r="O6568" t="s">
        <v>58</v>
      </c>
      <c r="P6568" t="s">
        <v>186</v>
      </c>
      <c r="Q6568" t="s">
        <v>58</v>
      </c>
      <c r="R6568" t="str">
        <f>IFERROR(VLOOKUP(record[[#This Row],[PCUSTID]],廠商[],2,FALSE),"")</f>
        <v/>
      </c>
      <c r="S6568" t="str">
        <f>VLOOKUP(record[[#This Row],[employeeID]],員工[],2,FALSE)</f>
        <v>許文姍</v>
      </c>
    </row>
    <row r="6569" spans="6:19" hidden="1" x14ac:dyDescent="0.25">
      <c r="F6569" t="s">
        <v>1189</v>
      </c>
      <c r="G6569" t="s">
        <v>419</v>
      </c>
      <c r="H6569" t="str">
        <f>VLOOKUP(record[[#This Row],[ProcessSN]],表格2_7[],2,FALSE)</f>
        <v>30-4118-018-5XX</v>
      </c>
      <c r="I6569" t="str">
        <f>VLOOKUP(record[[#This Row],[ProcessSN]],表格2_7[],3,FALSE)</f>
        <v>#07QC</v>
      </c>
      <c r="J6569" t="s">
        <v>589</v>
      </c>
      <c r="K6569" s="195">
        <v>45981.437685185185</v>
      </c>
      <c r="L6569">
        <v>426</v>
      </c>
      <c r="M6569">
        <v>0</v>
      </c>
      <c r="N6569" s="98" t="str">
        <f>IF(record[[#This Row],[Memo]]="Browser:chrome os:android","平板報工",IF(record[[#This Row],[Memo]]=0,"委外",record[[#This Row],[Memo]]))</f>
        <v/>
      </c>
      <c r="O6569" t="s">
        <v>58</v>
      </c>
      <c r="P6569" t="s">
        <v>141</v>
      </c>
      <c r="Q6569" t="s">
        <v>58</v>
      </c>
      <c r="R6569" t="str">
        <f>IFERROR(VLOOKUP(record[[#This Row],[PCUSTID]],廠商[],2,FALSE),"")</f>
        <v/>
      </c>
      <c r="S6569" t="str">
        <f>VLOOKUP(record[[#This Row],[employeeID]],員工[],2,FALSE)</f>
        <v>蔣梅</v>
      </c>
    </row>
    <row r="6570" spans="6:19" hidden="1" x14ac:dyDescent="0.25">
      <c r="F6570" t="s">
        <v>1015</v>
      </c>
      <c r="G6570" t="s">
        <v>419</v>
      </c>
      <c r="H6570" t="str">
        <f>VLOOKUP(record[[#This Row],[ProcessSN]],表格2_7[],2,FALSE)</f>
        <v>30-4118-018-5XX</v>
      </c>
      <c r="I6570" t="str">
        <f>VLOOKUP(record[[#This Row],[ProcessSN]],表格2_7[],3,FALSE)</f>
        <v>#07QC</v>
      </c>
      <c r="J6570" t="s">
        <v>589</v>
      </c>
      <c r="K6570" s="195">
        <v>45981.437407407408</v>
      </c>
      <c r="L6570">
        <v>5</v>
      </c>
      <c r="M6570">
        <v>0</v>
      </c>
      <c r="N6570" s="98" t="str">
        <f>IF(record[[#This Row],[Memo]]="Browser:chrome os:android","平板報工",IF(record[[#This Row],[Memo]]=0,"委外",record[[#This Row],[Memo]]))</f>
        <v/>
      </c>
      <c r="O6570" t="s">
        <v>58</v>
      </c>
      <c r="P6570" t="s">
        <v>141</v>
      </c>
      <c r="Q6570" t="s">
        <v>58</v>
      </c>
      <c r="R6570" t="str">
        <f>IFERROR(VLOOKUP(record[[#This Row],[PCUSTID]],廠商[],2,FALSE),"")</f>
        <v/>
      </c>
      <c r="S6570" t="str">
        <f>VLOOKUP(record[[#This Row],[employeeID]],員工[],2,FALSE)</f>
        <v>蔣梅</v>
      </c>
    </row>
    <row r="6571" spans="6:19" hidden="1" x14ac:dyDescent="0.25">
      <c r="F6571" t="s">
        <v>1225</v>
      </c>
      <c r="G6571" t="s">
        <v>413</v>
      </c>
      <c r="H6571" t="str">
        <f>VLOOKUP(record[[#This Row],[ProcessSN]],表格2_7[],2,FALSE)</f>
        <v>30-4118-018-5XX</v>
      </c>
      <c r="I6571" t="str">
        <f>VLOOKUP(record[[#This Row],[ProcessSN]],表格2_7[],3,FALSE)</f>
        <v>#03GIVE</v>
      </c>
      <c r="J6571" t="s">
        <v>587</v>
      </c>
      <c r="K6571" s="195">
        <v>45981.42659722222</v>
      </c>
      <c r="L6571">
        <v>700</v>
      </c>
      <c r="M6571">
        <v>0</v>
      </c>
      <c r="N6571" s="98" t="str">
        <f>IF(record[[#This Row],[Memo]]="Browser:chrome os:android","平板報工",IF(record[[#This Row],[Memo]]=0,"委外",record[[#This Row],[Memo]]))</f>
        <v/>
      </c>
      <c r="O6571" t="s">
        <v>58</v>
      </c>
      <c r="P6571" t="s">
        <v>1070</v>
      </c>
      <c r="Q6571" t="s">
        <v>58</v>
      </c>
      <c r="R6571" t="str">
        <f>IFERROR(VLOOKUP(record[[#This Row],[PCUSTID]],廠商[],2,FALSE),"")</f>
        <v/>
      </c>
      <c r="S6571" t="str">
        <f>VLOOKUP(record[[#This Row],[employeeID]],員工[],2,FALSE)</f>
        <v>陳昱佑</v>
      </c>
    </row>
    <row r="6572" spans="6:19" hidden="1" x14ac:dyDescent="0.25">
      <c r="F6572" t="s">
        <v>1225</v>
      </c>
      <c r="G6572" t="s">
        <v>412</v>
      </c>
      <c r="H6572" t="str">
        <f>VLOOKUP(record[[#This Row],[ProcessSN]],表格2_7[],2,FALSE)</f>
        <v>30-4118-018-5XX</v>
      </c>
      <c r="I6572" t="str">
        <f>VLOOKUP(record[[#This Row],[ProcessSN]],表格2_7[],3,FALSE)</f>
        <v>#03PICK</v>
      </c>
      <c r="J6572" t="s">
        <v>582</v>
      </c>
      <c r="K6572" s="195">
        <v>45981.381064814814</v>
      </c>
      <c r="L6572">
        <v>700</v>
      </c>
      <c r="M6572">
        <v>0</v>
      </c>
      <c r="N6572" s="98" t="str">
        <f>IF(record[[#This Row],[Memo]]="Browser:chrome os:android","平板報工",IF(record[[#This Row],[Memo]]=0,"委外",record[[#This Row],[Memo]]))</f>
        <v/>
      </c>
      <c r="O6572" t="s">
        <v>58</v>
      </c>
      <c r="P6572" t="s">
        <v>113</v>
      </c>
      <c r="Q6572" t="s">
        <v>58</v>
      </c>
      <c r="R6572" t="str">
        <f>IFERROR(VLOOKUP(record[[#This Row],[PCUSTID]],廠商[],2,FALSE),"")</f>
        <v/>
      </c>
      <c r="S6572" t="str">
        <f>VLOOKUP(record[[#This Row],[employeeID]],員工[],2,FALSE)</f>
        <v>王奕蓁</v>
      </c>
    </row>
    <row r="6573" spans="6:19" hidden="1" x14ac:dyDescent="0.25">
      <c r="F6573" t="s">
        <v>1148</v>
      </c>
      <c r="G6573" t="s">
        <v>471</v>
      </c>
      <c r="H6573" t="str">
        <f>VLOOKUP(record[[#This Row],[ProcessSN]],表格2_7[],2,FALSE)</f>
        <v>30-4118-018-XXX</v>
      </c>
      <c r="I6573" t="str">
        <f>VLOOKUP(record[[#This Row],[ProcessSN]],表格2_7[],3,FALSE)</f>
        <v>#02STOCK</v>
      </c>
      <c r="J6573" t="s">
        <v>592</v>
      </c>
      <c r="K6573" s="195">
        <v>45981.380972222221</v>
      </c>
      <c r="L6573">
        <v>700</v>
      </c>
      <c r="M6573">
        <v>0</v>
      </c>
      <c r="N6573" s="98" t="str">
        <f>IF(record[[#This Row],[Memo]]="Browser:chrome os:android","平板報工",IF(record[[#This Row],[Memo]]=0,"委外",record[[#This Row],[Memo]]))</f>
        <v/>
      </c>
      <c r="O6573" t="s">
        <v>58</v>
      </c>
      <c r="P6573" t="s">
        <v>113</v>
      </c>
      <c r="Q6573" t="s">
        <v>58</v>
      </c>
      <c r="R6573" t="str">
        <f>IFERROR(VLOOKUP(record[[#This Row],[PCUSTID]],廠商[],2,FALSE),"")</f>
        <v/>
      </c>
      <c r="S6573" t="str">
        <f>VLOOKUP(record[[#This Row],[employeeID]],員工[],2,FALSE)</f>
        <v>王奕蓁</v>
      </c>
    </row>
    <row r="6574" spans="6:19" hidden="1" x14ac:dyDescent="0.25">
      <c r="F6574" t="s">
        <v>1189</v>
      </c>
      <c r="G6574" t="s">
        <v>418</v>
      </c>
      <c r="H6574" t="str">
        <f>VLOOKUP(record[[#This Row],[ProcessSN]],表格2_7[],2,FALSE)</f>
        <v>30-4118-018-5XX</v>
      </c>
      <c r="I6574" t="str">
        <f>VLOOKUP(record[[#This Row],[ProcessSN]],表格2_7[],3,FALSE)</f>
        <v>#07</v>
      </c>
      <c r="J6574" t="s">
        <v>588</v>
      </c>
      <c r="K6574" s="195">
        <v>45981.304560185185</v>
      </c>
      <c r="L6574">
        <v>164</v>
      </c>
      <c r="M6574">
        <v>0</v>
      </c>
      <c r="N6574" s="98" t="str">
        <f>IF(record[[#This Row],[Memo]]="Browser:chrome os:android","平板報工",IF(record[[#This Row],[Memo]]=0,"委外",record[[#This Row],[Memo]]))</f>
        <v/>
      </c>
      <c r="O6574" t="s">
        <v>58</v>
      </c>
      <c r="P6574" t="s">
        <v>135</v>
      </c>
      <c r="Q6574" t="s">
        <v>58</v>
      </c>
      <c r="R6574" t="str">
        <f>IFERROR(VLOOKUP(record[[#This Row],[PCUSTID]],廠商[],2,FALSE),"")</f>
        <v/>
      </c>
      <c r="S6574" t="str">
        <f>VLOOKUP(record[[#This Row],[employeeID]],員工[],2,FALSE)</f>
        <v>阮士文</v>
      </c>
    </row>
    <row r="6575" spans="6:19" hidden="1" x14ac:dyDescent="0.25">
      <c r="F6575" t="s">
        <v>1189</v>
      </c>
      <c r="G6575" t="s">
        <v>417</v>
      </c>
      <c r="H6575" t="str">
        <f>VLOOKUP(record[[#This Row],[ProcessSN]],表格2_7[],2,FALSE)</f>
        <v>30-4118-018-5XX</v>
      </c>
      <c r="I6575" t="str">
        <f>VLOOKUP(record[[#This Row],[ProcessSN]],表格2_7[],3,FALSE)</f>
        <v>#06</v>
      </c>
      <c r="J6575" t="s">
        <v>593</v>
      </c>
      <c r="K6575" s="195">
        <v>45981.304212962961</v>
      </c>
      <c r="L6575">
        <v>102</v>
      </c>
      <c r="M6575">
        <v>0</v>
      </c>
      <c r="N6575" s="98" t="str">
        <f>IF(record[[#This Row],[Memo]]="Browser:chrome os:android","平板報工",IF(record[[#This Row],[Memo]]=0,"委外",record[[#This Row],[Memo]]))</f>
        <v/>
      </c>
      <c r="O6575" t="s">
        <v>58</v>
      </c>
      <c r="P6575" t="s">
        <v>135</v>
      </c>
      <c r="Q6575" t="s">
        <v>58</v>
      </c>
      <c r="R6575" t="str">
        <f>IFERROR(VLOOKUP(record[[#This Row],[PCUSTID]],廠商[],2,FALSE),"")</f>
        <v/>
      </c>
      <c r="S6575" t="str">
        <f>VLOOKUP(record[[#This Row],[employeeID]],員工[],2,FALSE)</f>
        <v>阮士文</v>
      </c>
    </row>
    <row r="6576" spans="6:19" hidden="1" x14ac:dyDescent="0.25">
      <c r="F6576" t="s">
        <v>1189</v>
      </c>
      <c r="G6576" t="s">
        <v>416</v>
      </c>
      <c r="H6576" t="str">
        <f>VLOOKUP(record[[#This Row],[ProcessSN]],表格2_7[],2,FALSE)</f>
        <v>30-4118-018-5XX</v>
      </c>
      <c r="I6576" t="str">
        <f>VLOOKUP(record[[#This Row],[ProcessSN]],表格2_7[],3,FALSE)</f>
        <v>#05</v>
      </c>
      <c r="J6576" t="s">
        <v>588</v>
      </c>
      <c r="K6576" s="195">
        <v>45981.303888888891</v>
      </c>
      <c r="L6576">
        <v>110</v>
      </c>
      <c r="M6576">
        <v>0</v>
      </c>
      <c r="N6576" s="98" t="str">
        <f>IF(record[[#This Row],[Memo]]="Browser:chrome os:android","平板報工",IF(record[[#This Row],[Memo]]=0,"委外",record[[#This Row],[Memo]]))</f>
        <v/>
      </c>
      <c r="O6576" t="s">
        <v>58</v>
      </c>
      <c r="P6576" t="s">
        <v>135</v>
      </c>
      <c r="Q6576" t="s">
        <v>58</v>
      </c>
      <c r="R6576" t="str">
        <f>IFERROR(VLOOKUP(record[[#This Row],[PCUSTID]],廠商[],2,FALSE),"")</f>
        <v/>
      </c>
      <c r="S6576" t="str">
        <f>VLOOKUP(record[[#This Row],[employeeID]],員工[],2,FALSE)</f>
        <v>阮士文</v>
      </c>
    </row>
    <row r="6577" spans="6:19" hidden="1" x14ac:dyDescent="0.25">
      <c r="F6577" t="s">
        <v>1189</v>
      </c>
      <c r="G6577" t="s">
        <v>415</v>
      </c>
      <c r="H6577" t="str">
        <f>VLOOKUP(record[[#This Row],[ProcessSN]],表格2_7[],2,FALSE)</f>
        <v>30-4118-018-5XX</v>
      </c>
      <c r="I6577" t="str">
        <f>VLOOKUP(record[[#This Row],[ProcessSN]],表格2_7[],3,FALSE)</f>
        <v>#04</v>
      </c>
      <c r="J6577" t="s">
        <v>588</v>
      </c>
      <c r="K6577" s="195">
        <v>45981.303599537037</v>
      </c>
      <c r="L6577">
        <v>138</v>
      </c>
      <c r="M6577">
        <v>0</v>
      </c>
      <c r="N6577" s="98" t="str">
        <f>IF(record[[#This Row],[Memo]]="Browser:chrome os:android","平板報工",IF(record[[#This Row],[Memo]]=0,"委外",record[[#This Row],[Memo]]))</f>
        <v/>
      </c>
      <c r="O6577" t="s">
        <v>58</v>
      </c>
      <c r="P6577" t="s">
        <v>135</v>
      </c>
      <c r="Q6577" t="s">
        <v>58</v>
      </c>
      <c r="R6577" t="str">
        <f>IFERROR(VLOOKUP(record[[#This Row],[PCUSTID]],廠商[],2,FALSE),"")</f>
        <v/>
      </c>
      <c r="S6577" t="str">
        <f>VLOOKUP(record[[#This Row],[employeeID]],員工[],2,FALSE)</f>
        <v>阮士文</v>
      </c>
    </row>
    <row r="6578" spans="6:19" hidden="1" x14ac:dyDescent="0.25">
      <c r="F6578" t="s">
        <v>1189</v>
      </c>
      <c r="G6578" t="s">
        <v>417</v>
      </c>
      <c r="H6578" t="str">
        <f>VLOOKUP(record[[#This Row],[ProcessSN]],表格2_7[],2,FALSE)</f>
        <v>30-4118-018-5XX</v>
      </c>
      <c r="I6578" t="str">
        <f>VLOOKUP(record[[#This Row],[ProcessSN]],表格2_7[],3,FALSE)</f>
        <v>#06</v>
      </c>
      <c r="J6578" t="s">
        <v>593</v>
      </c>
      <c r="K6578" s="195">
        <v>45980.971932870372</v>
      </c>
      <c r="L6578">
        <v>133</v>
      </c>
      <c r="M6578">
        <v>0</v>
      </c>
      <c r="N6578" s="98" t="str">
        <f>IF(record[[#This Row],[Memo]]="Browser:chrome os:android","平板報工",IF(record[[#This Row],[Memo]]=0,"委外",record[[#This Row],[Memo]]))</f>
        <v/>
      </c>
      <c r="O6578" t="s">
        <v>58</v>
      </c>
      <c r="P6578" t="s">
        <v>1098</v>
      </c>
      <c r="Q6578" t="s">
        <v>58</v>
      </c>
      <c r="R6578" t="str">
        <f>IFERROR(VLOOKUP(record[[#This Row],[PCUSTID]],廠商[],2,FALSE),"")</f>
        <v/>
      </c>
      <c r="S6578" t="str">
        <f>VLOOKUP(record[[#This Row],[employeeID]],員工[],2,FALSE)</f>
        <v>阮氏芳英(英)</v>
      </c>
    </row>
    <row r="6579" spans="6:19" hidden="1" x14ac:dyDescent="0.25">
      <c r="F6579" t="s">
        <v>1189</v>
      </c>
      <c r="G6579" t="s">
        <v>415</v>
      </c>
      <c r="H6579" t="str">
        <f>VLOOKUP(record[[#This Row],[ProcessSN]],表格2_7[],2,FALSE)</f>
        <v>30-4118-018-5XX</v>
      </c>
      <c r="I6579" t="str">
        <f>VLOOKUP(record[[#This Row],[ProcessSN]],表格2_7[],3,FALSE)</f>
        <v>#04</v>
      </c>
      <c r="J6579" t="s">
        <v>588</v>
      </c>
      <c r="K6579" s="195">
        <v>45980.969884259262</v>
      </c>
      <c r="L6579">
        <v>135</v>
      </c>
      <c r="M6579">
        <v>0</v>
      </c>
      <c r="N6579" s="98" t="str">
        <f>IF(record[[#This Row],[Memo]]="Browser:chrome os:android","平板報工",IF(record[[#This Row],[Memo]]=0,"委外",record[[#This Row],[Memo]]))</f>
        <v/>
      </c>
      <c r="O6579" t="s">
        <v>58</v>
      </c>
      <c r="P6579" t="s">
        <v>89</v>
      </c>
      <c r="Q6579" t="s">
        <v>58</v>
      </c>
      <c r="R6579" t="str">
        <f>IFERROR(VLOOKUP(record[[#This Row],[PCUSTID]],廠商[],2,FALSE),"")</f>
        <v/>
      </c>
      <c r="S6579" t="str">
        <f>VLOOKUP(record[[#This Row],[employeeID]],員工[],2,FALSE)</f>
        <v>李美蓮</v>
      </c>
    </row>
    <row r="6580" spans="6:19" hidden="1" x14ac:dyDescent="0.25">
      <c r="F6580" t="s">
        <v>1189</v>
      </c>
      <c r="G6580" t="s">
        <v>418</v>
      </c>
      <c r="H6580" t="str">
        <f>VLOOKUP(record[[#This Row],[ProcessSN]],表格2_7[],2,FALSE)</f>
        <v>30-4118-018-5XX</v>
      </c>
      <c r="I6580" t="str">
        <f>VLOOKUP(record[[#This Row],[ProcessSN]],表格2_7[],3,FALSE)</f>
        <v>#07</v>
      </c>
      <c r="J6580" t="s">
        <v>588</v>
      </c>
      <c r="K6580" s="195">
        <v>45980.969502314816</v>
      </c>
      <c r="L6580">
        <v>184</v>
      </c>
      <c r="M6580">
        <v>1</v>
      </c>
      <c r="N6580" s="98" t="str">
        <f>IF(record[[#This Row],[Memo]]="Browser:chrome os:android","平板報工",IF(record[[#This Row],[Memo]]=0,"委外",record[[#This Row],[Memo]]))</f>
        <v/>
      </c>
      <c r="O6580" t="s">
        <v>58</v>
      </c>
      <c r="P6580" t="s">
        <v>89</v>
      </c>
      <c r="Q6580" t="s">
        <v>58</v>
      </c>
      <c r="R6580" t="str">
        <f>IFERROR(VLOOKUP(record[[#This Row],[PCUSTID]],廠商[],2,FALSE),"")</f>
        <v/>
      </c>
      <c r="S6580" t="str">
        <f>VLOOKUP(record[[#This Row],[employeeID]],員工[],2,FALSE)</f>
        <v>李美蓮</v>
      </c>
    </row>
    <row r="6581" spans="6:19" hidden="1" x14ac:dyDescent="0.25">
      <c r="F6581" t="s">
        <v>1189</v>
      </c>
      <c r="G6581" t="s">
        <v>416</v>
      </c>
      <c r="H6581" t="str">
        <f>VLOOKUP(record[[#This Row],[ProcessSN]],表格2_7[],2,FALSE)</f>
        <v>30-4118-018-5XX</v>
      </c>
      <c r="I6581" t="str">
        <f>VLOOKUP(record[[#This Row],[ProcessSN]],表格2_7[],3,FALSE)</f>
        <v>#05</v>
      </c>
      <c r="J6581" t="s">
        <v>588</v>
      </c>
      <c r="K6581" s="195">
        <v>45980.968553240738</v>
      </c>
      <c r="L6581">
        <v>263</v>
      </c>
      <c r="M6581">
        <v>0</v>
      </c>
      <c r="N6581" s="98" t="str">
        <f>IF(record[[#This Row],[Memo]]="Browser:chrome os:android","平板報工",IF(record[[#This Row],[Memo]]=0,"委外",record[[#This Row],[Memo]]))</f>
        <v/>
      </c>
      <c r="O6581" t="s">
        <v>58</v>
      </c>
      <c r="P6581" t="s">
        <v>89</v>
      </c>
      <c r="Q6581" t="s">
        <v>58</v>
      </c>
      <c r="R6581" t="str">
        <f>IFERROR(VLOOKUP(record[[#This Row],[PCUSTID]],廠商[],2,FALSE),"")</f>
        <v/>
      </c>
      <c r="S6581" t="str">
        <f>VLOOKUP(record[[#This Row],[employeeID]],員工[],2,FALSE)</f>
        <v>李美蓮</v>
      </c>
    </row>
    <row r="6582" spans="6:19" hidden="1" x14ac:dyDescent="0.25">
      <c r="F6582" t="s">
        <v>1143</v>
      </c>
      <c r="G6582" t="s">
        <v>428</v>
      </c>
      <c r="H6582" t="str">
        <f>VLOOKUP(record[[#This Row],[ProcessSN]],表格2_7[],2,FALSE)</f>
        <v>30-4118-018-600</v>
      </c>
      <c r="I6582" t="str">
        <f>VLOOKUP(record[[#This Row],[ProcessSN]],表格2_7[],3,FALSE)</f>
        <v>#100SHIP</v>
      </c>
      <c r="J6582" t="s">
        <v>600</v>
      </c>
      <c r="K6582" s="195">
        <v>45980.669317129628</v>
      </c>
      <c r="L6582">
        <v>2</v>
      </c>
      <c r="M6582">
        <v>0</v>
      </c>
      <c r="N6582" s="98" t="str">
        <f>IF(record[[#This Row],[Memo]]="Browser:chrome os:android","平板報工",IF(record[[#This Row],[Memo]]=0,"委外",record[[#This Row],[Memo]]))</f>
        <v/>
      </c>
      <c r="O6582" t="s">
        <v>58</v>
      </c>
      <c r="P6582" t="s">
        <v>886</v>
      </c>
      <c r="Q6582" t="s">
        <v>58</v>
      </c>
      <c r="R6582" t="str">
        <f>IFERROR(VLOOKUP(record[[#This Row],[PCUSTID]],廠商[],2,FALSE),"")</f>
        <v/>
      </c>
      <c r="S6582" t="str">
        <f>VLOOKUP(record[[#This Row],[employeeID]],員工[],2,FALSE)</f>
        <v>謝蓁薰</v>
      </c>
    </row>
    <row r="6583" spans="6:19" hidden="1" x14ac:dyDescent="0.25">
      <c r="F6583" t="s">
        <v>1218</v>
      </c>
      <c r="G6583" t="s">
        <v>403</v>
      </c>
      <c r="H6583" t="str">
        <f>VLOOKUP(record[[#This Row],[ProcessSN]],表格2_7[],2,FALSE)</f>
        <v>30-4118-018-550</v>
      </c>
      <c r="I6583" t="str">
        <f>VLOOKUP(record[[#This Row],[ProcessSN]],表格2_7[],3,FALSE)</f>
        <v>#100SHIP</v>
      </c>
      <c r="J6583" t="s">
        <v>600</v>
      </c>
      <c r="K6583" s="195">
        <v>45980.66915509259</v>
      </c>
      <c r="L6583">
        <v>73</v>
      </c>
      <c r="M6583">
        <v>0</v>
      </c>
      <c r="N6583" s="98" t="str">
        <f>IF(record[[#This Row],[Memo]]="Browser:chrome os:android","平板報工",IF(record[[#This Row],[Memo]]=0,"委外",record[[#This Row],[Memo]]))</f>
        <v/>
      </c>
      <c r="O6583" t="s">
        <v>58</v>
      </c>
      <c r="P6583" t="s">
        <v>886</v>
      </c>
      <c r="Q6583" t="s">
        <v>58</v>
      </c>
      <c r="R6583" t="str">
        <f>IFERROR(VLOOKUP(record[[#This Row],[PCUSTID]],廠商[],2,FALSE),"")</f>
        <v/>
      </c>
      <c r="S6583" t="str">
        <f>VLOOKUP(record[[#This Row],[employeeID]],員工[],2,FALSE)</f>
        <v>謝蓁薰</v>
      </c>
    </row>
    <row r="6584" spans="6:19" hidden="1" x14ac:dyDescent="0.25">
      <c r="F6584" t="s">
        <v>1214</v>
      </c>
      <c r="G6584" t="s">
        <v>403</v>
      </c>
      <c r="H6584" t="str">
        <f>VLOOKUP(record[[#This Row],[ProcessSN]],表格2_7[],2,FALSE)</f>
        <v>30-4118-018-550</v>
      </c>
      <c r="I6584" t="str">
        <f>VLOOKUP(record[[#This Row],[ProcessSN]],表格2_7[],3,FALSE)</f>
        <v>#100SHIP</v>
      </c>
      <c r="J6584" t="s">
        <v>600</v>
      </c>
      <c r="K6584" s="195">
        <v>45980.668969907405</v>
      </c>
      <c r="L6584">
        <v>84</v>
      </c>
      <c r="M6584">
        <v>0</v>
      </c>
      <c r="N6584" s="98" t="str">
        <f>IF(record[[#This Row],[Memo]]="Browser:chrome os:android","平板報工",IF(record[[#This Row],[Memo]]=0,"委外",record[[#This Row],[Memo]]))</f>
        <v/>
      </c>
      <c r="O6584" t="s">
        <v>58</v>
      </c>
      <c r="P6584" t="s">
        <v>886</v>
      </c>
      <c r="Q6584" t="s">
        <v>58</v>
      </c>
      <c r="R6584" t="str">
        <f>IFERROR(VLOOKUP(record[[#This Row],[PCUSTID]],廠商[],2,FALSE),"")</f>
        <v/>
      </c>
      <c r="S6584" t="str">
        <f>VLOOKUP(record[[#This Row],[employeeID]],員工[],2,FALSE)</f>
        <v>謝蓁薰</v>
      </c>
    </row>
    <row r="6585" spans="6:19" hidden="1" x14ac:dyDescent="0.25">
      <c r="F6585" t="s">
        <v>1218</v>
      </c>
      <c r="G6585" t="s">
        <v>402</v>
      </c>
      <c r="H6585" t="str">
        <f>VLOOKUP(record[[#This Row],[ProcessSN]],表格2_7[],2,FALSE)</f>
        <v>30-4118-018-550</v>
      </c>
      <c r="I6585" t="str">
        <f>VLOOKUP(record[[#This Row],[ProcessSN]],表格2_7[],3,FALSE)</f>
        <v>#100STOCK</v>
      </c>
      <c r="J6585" t="s">
        <v>592</v>
      </c>
      <c r="K6585" s="195">
        <v>45980.668645833335</v>
      </c>
      <c r="L6585">
        <v>73</v>
      </c>
      <c r="M6585">
        <v>0</v>
      </c>
      <c r="N6585" s="98" t="str">
        <f>IF(record[[#This Row],[Memo]]="Browser:chrome os:android","平板報工",IF(record[[#This Row],[Memo]]=0,"委外",record[[#This Row],[Memo]]))</f>
        <v/>
      </c>
      <c r="O6585" t="s">
        <v>58</v>
      </c>
      <c r="P6585" t="s">
        <v>886</v>
      </c>
      <c r="Q6585" t="s">
        <v>58</v>
      </c>
      <c r="R6585" t="str">
        <f>IFERROR(VLOOKUP(record[[#This Row],[PCUSTID]],廠商[],2,FALSE),"")</f>
        <v/>
      </c>
      <c r="S6585" t="str">
        <f>VLOOKUP(record[[#This Row],[employeeID]],員工[],2,FALSE)</f>
        <v>謝蓁薰</v>
      </c>
    </row>
    <row r="6586" spans="6:19" hidden="1" x14ac:dyDescent="0.25">
      <c r="F6586" t="s">
        <v>1214</v>
      </c>
      <c r="G6586" t="s">
        <v>402</v>
      </c>
      <c r="H6586" t="str">
        <f>VLOOKUP(record[[#This Row],[ProcessSN]],表格2_7[],2,FALSE)</f>
        <v>30-4118-018-550</v>
      </c>
      <c r="I6586" t="str">
        <f>VLOOKUP(record[[#This Row],[ProcessSN]],表格2_7[],3,FALSE)</f>
        <v>#100STOCK</v>
      </c>
      <c r="J6586" t="s">
        <v>592</v>
      </c>
      <c r="K6586" s="195">
        <v>45980.668495370373</v>
      </c>
      <c r="L6586">
        <v>84</v>
      </c>
      <c r="M6586">
        <v>0</v>
      </c>
      <c r="N6586" s="98" t="str">
        <f>IF(record[[#This Row],[Memo]]="Browser:chrome os:android","平板報工",IF(record[[#This Row],[Memo]]=0,"委外",record[[#This Row],[Memo]]))</f>
        <v/>
      </c>
      <c r="O6586" t="s">
        <v>58</v>
      </c>
      <c r="P6586" t="s">
        <v>886</v>
      </c>
      <c r="Q6586" t="s">
        <v>58</v>
      </c>
      <c r="R6586" t="str">
        <f>IFERROR(VLOOKUP(record[[#This Row],[PCUSTID]],廠商[],2,FALSE),"")</f>
        <v/>
      </c>
      <c r="S6586" t="str">
        <f>VLOOKUP(record[[#This Row],[employeeID]],員工[],2,FALSE)</f>
        <v>謝蓁薰</v>
      </c>
    </row>
    <row r="6587" spans="6:19" hidden="1" x14ac:dyDescent="0.25">
      <c r="F6587" t="s">
        <v>1189</v>
      </c>
      <c r="G6587" t="s">
        <v>415</v>
      </c>
      <c r="H6587" t="str">
        <f>VLOOKUP(record[[#This Row],[ProcessSN]],表格2_7[],2,FALSE)</f>
        <v>30-4118-018-5XX</v>
      </c>
      <c r="I6587" t="str">
        <f>VLOOKUP(record[[#This Row],[ProcessSN]],表格2_7[],3,FALSE)</f>
        <v>#04</v>
      </c>
      <c r="J6587" t="s">
        <v>588</v>
      </c>
      <c r="K6587" s="195">
        <v>45980.65929398148</v>
      </c>
      <c r="L6587">
        <v>131</v>
      </c>
      <c r="M6587">
        <v>0</v>
      </c>
      <c r="N6587" s="98" t="str">
        <f>IF(record[[#This Row],[Memo]]="Browser:chrome os:android","平板報工",IF(record[[#This Row],[Memo]]=0,"委外",record[[#This Row],[Memo]]))</f>
        <v>平板報工</v>
      </c>
      <c r="O6587" t="s">
        <v>643</v>
      </c>
      <c r="P6587" t="s">
        <v>785</v>
      </c>
      <c r="Q6587" t="s">
        <v>644</v>
      </c>
      <c r="R6587" t="str">
        <f>IFERROR(VLOOKUP(record[[#This Row],[PCUSTID]],廠商[],2,FALSE),"")</f>
        <v/>
      </c>
      <c r="S6587" t="str">
        <f>VLOOKUP(record[[#This Row],[employeeID]],員工[],2,FALSE)</f>
        <v>謝刻光</v>
      </c>
    </row>
    <row r="6588" spans="6:19" hidden="1" x14ac:dyDescent="0.25">
      <c r="F6588" t="s">
        <v>1189</v>
      </c>
      <c r="G6588" t="s">
        <v>418</v>
      </c>
      <c r="H6588" t="str">
        <f>VLOOKUP(record[[#This Row],[ProcessSN]],表格2_7[],2,FALSE)</f>
        <v>30-4118-018-5XX</v>
      </c>
      <c r="I6588" t="str">
        <f>VLOOKUP(record[[#This Row],[ProcessSN]],表格2_7[],3,FALSE)</f>
        <v>#07</v>
      </c>
      <c r="J6588" t="s">
        <v>588</v>
      </c>
      <c r="K6588" s="195">
        <v>45980.650243055556</v>
      </c>
      <c r="L6588">
        <v>150</v>
      </c>
      <c r="M6588">
        <v>0</v>
      </c>
      <c r="N6588" s="98" t="str">
        <f>IF(record[[#This Row],[Memo]]="Browser:chrome os:android","平板報工",IF(record[[#This Row],[Memo]]=0,"委外",record[[#This Row],[Memo]]))</f>
        <v>平板報工</v>
      </c>
      <c r="O6588" t="s">
        <v>643</v>
      </c>
      <c r="P6588" t="s">
        <v>107</v>
      </c>
      <c r="Q6588" t="s">
        <v>644</v>
      </c>
      <c r="R6588" t="str">
        <f>IFERROR(VLOOKUP(record[[#This Row],[PCUSTID]],廠商[],2,FALSE),"")</f>
        <v/>
      </c>
      <c r="S6588" t="str">
        <f>VLOOKUP(record[[#This Row],[employeeID]],員工[],2,FALSE)</f>
        <v>黎氏順</v>
      </c>
    </row>
    <row r="6589" spans="6:19" hidden="1" x14ac:dyDescent="0.25">
      <c r="F6589" t="s">
        <v>1189</v>
      </c>
      <c r="G6589" t="s">
        <v>416</v>
      </c>
      <c r="H6589" t="str">
        <f>VLOOKUP(record[[#This Row],[ProcessSN]],表格2_7[],2,FALSE)</f>
        <v>30-4118-018-5XX</v>
      </c>
      <c r="I6589" t="str">
        <f>VLOOKUP(record[[#This Row],[ProcessSN]],表格2_7[],3,FALSE)</f>
        <v>#05</v>
      </c>
      <c r="J6589" t="s">
        <v>588</v>
      </c>
      <c r="K6589" s="195">
        <v>45980.64770833333</v>
      </c>
      <c r="L6589">
        <v>240</v>
      </c>
      <c r="M6589">
        <v>0</v>
      </c>
      <c r="N6589" s="98" t="str">
        <f>IF(record[[#This Row],[Memo]]="Browser:chrome os:android","平板報工",IF(record[[#This Row],[Memo]]=0,"委外",record[[#This Row],[Memo]]))</f>
        <v>平板報工</v>
      </c>
      <c r="O6589" t="s">
        <v>643</v>
      </c>
      <c r="P6589" t="s">
        <v>107</v>
      </c>
      <c r="Q6589" t="s">
        <v>644</v>
      </c>
      <c r="R6589" t="str">
        <f>IFERROR(VLOOKUP(record[[#This Row],[PCUSTID]],廠商[],2,FALSE),"")</f>
        <v/>
      </c>
      <c r="S6589" t="str">
        <f>VLOOKUP(record[[#This Row],[employeeID]],員工[],2,FALSE)</f>
        <v>黎氏順</v>
      </c>
    </row>
    <row r="6590" spans="6:19" hidden="1" x14ac:dyDescent="0.25">
      <c r="F6590" t="s">
        <v>1189</v>
      </c>
      <c r="G6590" t="s">
        <v>417</v>
      </c>
      <c r="H6590" t="str">
        <f>VLOOKUP(record[[#This Row],[ProcessSN]],表格2_7[],2,FALSE)</f>
        <v>30-4118-018-5XX</v>
      </c>
      <c r="I6590" t="str">
        <f>VLOOKUP(record[[#This Row],[ProcessSN]],表格2_7[],3,FALSE)</f>
        <v>#06</v>
      </c>
      <c r="J6590" t="s">
        <v>593</v>
      </c>
      <c r="K6590" s="195">
        <v>45980.646018518521</v>
      </c>
      <c r="L6590">
        <v>100</v>
      </c>
      <c r="M6590">
        <v>0</v>
      </c>
      <c r="N6590" s="98" t="str">
        <f>IF(record[[#This Row],[Memo]]="Browser:chrome os:android","平板報工",IF(record[[#This Row],[Memo]]=0,"委外",record[[#This Row],[Memo]]))</f>
        <v>平板報工</v>
      </c>
      <c r="O6590" t="s">
        <v>643</v>
      </c>
      <c r="P6590" t="s">
        <v>111</v>
      </c>
      <c r="Q6590" t="s">
        <v>644</v>
      </c>
      <c r="R6590" t="str">
        <f>IFERROR(VLOOKUP(record[[#This Row],[PCUSTID]],廠商[],2,FALSE),"")</f>
        <v/>
      </c>
      <c r="S6590" t="str">
        <f>VLOOKUP(record[[#This Row],[employeeID]],員工[],2,FALSE)</f>
        <v>江栩妘</v>
      </c>
    </row>
    <row r="6591" spans="6:19" hidden="1" x14ac:dyDescent="0.25">
      <c r="F6591" t="s">
        <v>1015</v>
      </c>
      <c r="G6591" t="s">
        <v>418</v>
      </c>
      <c r="H6591" t="str">
        <f>VLOOKUP(record[[#This Row],[ProcessSN]],表格2_7[],2,FALSE)</f>
        <v>30-4118-018-5XX</v>
      </c>
      <c r="I6591" t="str">
        <f>VLOOKUP(record[[#This Row],[ProcessSN]],表格2_7[],3,FALSE)</f>
        <v>#07</v>
      </c>
      <c r="J6591" t="s">
        <v>588</v>
      </c>
      <c r="K6591" s="195">
        <v>45980.574525462966</v>
      </c>
      <c r="L6591">
        <v>5</v>
      </c>
      <c r="M6591">
        <v>0</v>
      </c>
      <c r="N6591" s="98" t="str">
        <f>IF(record[[#This Row],[Memo]]="Browser:chrome os:android","平板報工",IF(record[[#This Row],[Memo]]=0,"委外",record[[#This Row],[Memo]]))</f>
        <v>11/19覆回*5pcs</v>
      </c>
      <c r="O6591" t="s">
        <v>1224</v>
      </c>
      <c r="P6591" t="s">
        <v>1075</v>
      </c>
      <c r="Q6591" t="s">
        <v>58</v>
      </c>
      <c r="R6591" t="str">
        <f>IFERROR(VLOOKUP(record[[#This Row],[PCUSTID]],廠商[],2,FALSE),"")</f>
        <v/>
      </c>
      <c r="S6591" t="str">
        <f>VLOOKUP(record[[#This Row],[employeeID]],員工[],2,FALSE)</f>
        <v>吳宥叡</v>
      </c>
    </row>
    <row r="6592" spans="6:19" hidden="1" x14ac:dyDescent="0.25">
      <c r="F6592" t="s">
        <v>1015</v>
      </c>
      <c r="G6592" t="s">
        <v>417</v>
      </c>
      <c r="H6592" t="str">
        <f>VLOOKUP(record[[#This Row],[ProcessSN]],表格2_7[],2,FALSE)</f>
        <v>30-4118-018-5XX</v>
      </c>
      <c r="I6592" t="str">
        <f>VLOOKUP(record[[#This Row],[ProcessSN]],表格2_7[],3,FALSE)</f>
        <v>#06</v>
      </c>
      <c r="J6592" t="s">
        <v>593</v>
      </c>
      <c r="K6592" s="195">
        <v>45980.574374999997</v>
      </c>
      <c r="L6592">
        <v>5</v>
      </c>
      <c r="M6592">
        <v>0</v>
      </c>
      <c r="N6592" s="98" t="str">
        <f>IF(record[[#This Row],[Memo]]="Browser:chrome os:android","平板報工",IF(record[[#This Row],[Memo]]=0,"委外",record[[#This Row],[Memo]]))</f>
        <v>11/19覆回*5pcs</v>
      </c>
      <c r="O6592" t="s">
        <v>1224</v>
      </c>
      <c r="P6592" t="s">
        <v>1075</v>
      </c>
      <c r="Q6592" t="s">
        <v>58</v>
      </c>
      <c r="R6592" t="str">
        <f>IFERROR(VLOOKUP(record[[#This Row],[PCUSTID]],廠商[],2,FALSE),"")</f>
        <v/>
      </c>
      <c r="S6592" t="str">
        <f>VLOOKUP(record[[#This Row],[employeeID]],員工[],2,FALSE)</f>
        <v>吳宥叡</v>
      </c>
    </row>
    <row r="6593" spans="6:19" hidden="1" x14ac:dyDescent="0.25">
      <c r="F6593" t="s">
        <v>1015</v>
      </c>
      <c r="G6593" t="s">
        <v>416</v>
      </c>
      <c r="H6593" t="str">
        <f>VLOOKUP(record[[#This Row],[ProcessSN]],表格2_7[],2,FALSE)</f>
        <v>30-4118-018-5XX</v>
      </c>
      <c r="I6593" t="str">
        <f>VLOOKUP(record[[#This Row],[ProcessSN]],表格2_7[],3,FALSE)</f>
        <v>#05</v>
      </c>
      <c r="J6593" t="s">
        <v>588</v>
      </c>
      <c r="K6593" s="195">
        <v>45980.574224537035</v>
      </c>
      <c r="L6593">
        <v>5</v>
      </c>
      <c r="M6593">
        <v>21</v>
      </c>
      <c r="N6593" s="98" t="str">
        <f>IF(record[[#This Row],[Memo]]="Browser:chrome os:android","平板報工",IF(record[[#This Row],[Memo]]=0,"委外",record[[#This Row],[Memo]]))</f>
        <v>11/19覆回*5pcs</v>
      </c>
      <c r="O6593" t="s">
        <v>1224</v>
      </c>
      <c r="P6593" t="s">
        <v>1075</v>
      </c>
      <c r="Q6593" t="s">
        <v>58</v>
      </c>
      <c r="R6593" t="str">
        <f>IFERROR(VLOOKUP(record[[#This Row],[PCUSTID]],廠商[],2,FALSE),"")</f>
        <v/>
      </c>
      <c r="S6593" t="str">
        <f>VLOOKUP(record[[#This Row],[employeeID]],員工[],2,FALSE)</f>
        <v>吳宥叡</v>
      </c>
    </row>
    <row r="6594" spans="6:19" hidden="1" x14ac:dyDescent="0.25">
      <c r="F6594" t="s">
        <v>1015</v>
      </c>
      <c r="G6594" t="s">
        <v>415</v>
      </c>
      <c r="H6594" t="str">
        <f>VLOOKUP(record[[#This Row],[ProcessSN]],表格2_7[],2,FALSE)</f>
        <v>30-4118-018-5XX</v>
      </c>
      <c r="I6594" t="str">
        <f>VLOOKUP(record[[#This Row],[ProcessSN]],表格2_7[],3,FALSE)</f>
        <v>#04</v>
      </c>
      <c r="J6594" t="s">
        <v>588</v>
      </c>
      <c r="K6594" s="195">
        <v>45980.573368055557</v>
      </c>
      <c r="L6594">
        <v>31</v>
      </c>
      <c r="M6594">
        <v>0</v>
      </c>
      <c r="N6594" s="98" t="str">
        <f>IF(record[[#This Row],[Memo]]="Browser:chrome os:android","平板報工",IF(record[[#This Row],[Memo]]=0,"委外",record[[#This Row],[Memo]]))</f>
        <v>11/19覆回*5pcs</v>
      </c>
      <c r="O6594" t="s">
        <v>1224</v>
      </c>
      <c r="P6594" t="s">
        <v>1075</v>
      </c>
      <c r="Q6594" t="s">
        <v>58</v>
      </c>
      <c r="R6594" t="str">
        <f>IFERROR(VLOOKUP(record[[#This Row],[PCUSTID]],廠商[],2,FALSE),"")</f>
        <v/>
      </c>
      <c r="S6594" t="str">
        <f>VLOOKUP(record[[#This Row],[employeeID]],員工[],2,FALSE)</f>
        <v>吳宥叡</v>
      </c>
    </row>
    <row r="6595" spans="6:19" hidden="1" x14ac:dyDescent="0.25">
      <c r="F6595" t="s">
        <v>1221</v>
      </c>
      <c r="G6595" t="s">
        <v>397</v>
      </c>
      <c r="H6595" t="str">
        <f>VLOOKUP(record[[#This Row],[ProcessSN]],表格2_7[],2,FALSE)</f>
        <v>30-4118-018-550</v>
      </c>
      <c r="I6595" t="str">
        <f>VLOOKUP(record[[#This Row],[ProcessSN]],表格2_7[],3,FALSE)</f>
        <v>#08</v>
      </c>
      <c r="J6595" t="s">
        <v>597</v>
      </c>
      <c r="K6595" s="195">
        <v>45980.409398148149</v>
      </c>
      <c r="L6595">
        <v>139</v>
      </c>
      <c r="M6595">
        <v>0</v>
      </c>
      <c r="N6595" s="98" t="str">
        <f>IF(record[[#This Row],[Memo]]="Browser:chrome os:android","平板報工",IF(record[[#This Row],[Memo]]=0,"委外",record[[#This Row],[Memo]]))</f>
        <v>委外</v>
      </c>
      <c r="P6595" t="s">
        <v>886</v>
      </c>
      <c r="Q6595" t="s">
        <v>287</v>
      </c>
      <c r="R6595" t="str">
        <f>IFERROR(VLOOKUP(record[[#This Row],[PCUSTID]],廠商[],2,FALSE),"")</f>
        <v>泉盛</v>
      </c>
      <c r="S6595" t="str">
        <f>VLOOKUP(record[[#This Row],[employeeID]],員工[],2,FALSE)</f>
        <v>謝蓁薰</v>
      </c>
    </row>
    <row r="6596" spans="6:19" hidden="1" x14ac:dyDescent="0.25">
      <c r="F6596" t="s">
        <v>1189</v>
      </c>
      <c r="G6596" t="s">
        <v>417</v>
      </c>
      <c r="H6596" t="str">
        <f>VLOOKUP(record[[#This Row],[ProcessSN]],表格2_7[],2,FALSE)</f>
        <v>30-4118-018-5XX</v>
      </c>
      <c r="I6596" t="str">
        <f>VLOOKUP(record[[#This Row],[ProcessSN]],表格2_7[],3,FALSE)</f>
        <v>#06</v>
      </c>
      <c r="J6596" t="s">
        <v>593</v>
      </c>
      <c r="K6596" s="195">
        <v>45980.304131944446</v>
      </c>
      <c r="L6596">
        <v>75</v>
      </c>
      <c r="M6596">
        <v>0</v>
      </c>
      <c r="N6596" s="98" t="str">
        <f>IF(record[[#This Row],[Memo]]="Browser:chrome os:android","平板報工",IF(record[[#This Row],[Memo]]=0,"委外",record[[#This Row],[Memo]]))</f>
        <v/>
      </c>
      <c r="O6596" t="s">
        <v>58</v>
      </c>
      <c r="P6596" t="s">
        <v>135</v>
      </c>
      <c r="Q6596" t="s">
        <v>58</v>
      </c>
      <c r="R6596" t="str">
        <f>IFERROR(VLOOKUP(record[[#This Row],[PCUSTID]],廠商[],2,FALSE),"")</f>
        <v/>
      </c>
      <c r="S6596" t="str">
        <f>VLOOKUP(record[[#This Row],[employeeID]],員工[],2,FALSE)</f>
        <v>阮士文</v>
      </c>
    </row>
    <row r="6597" spans="6:19" hidden="1" x14ac:dyDescent="0.25">
      <c r="F6597" t="s">
        <v>1189</v>
      </c>
      <c r="G6597" t="s">
        <v>415</v>
      </c>
      <c r="H6597" t="str">
        <f>VLOOKUP(record[[#This Row],[ProcessSN]],表格2_7[],2,FALSE)</f>
        <v>30-4118-018-5XX</v>
      </c>
      <c r="I6597" t="str">
        <f>VLOOKUP(record[[#This Row],[ProcessSN]],表格2_7[],3,FALSE)</f>
        <v>#04</v>
      </c>
      <c r="J6597" t="s">
        <v>588</v>
      </c>
      <c r="K6597" s="195">
        <v>45980.303842592592</v>
      </c>
      <c r="L6597">
        <v>146</v>
      </c>
      <c r="M6597">
        <v>0</v>
      </c>
      <c r="N6597" s="98" t="str">
        <f>IF(record[[#This Row],[Memo]]="Browser:chrome os:android","平板報工",IF(record[[#This Row],[Memo]]=0,"委外",record[[#This Row],[Memo]]))</f>
        <v/>
      </c>
      <c r="O6597" t="s">
        <v>58</v>
      </c>
      <c r="P6597" t="s">
        <v>135</v>
      </c>
      <c r="Q6597" t="s">
        <v>58</v>
      </c>
      <c r="R6597" t="str">
        <f>IFERROR(VLOOKUP(record[[#This Row],[PCUSTID]],廠商[],2,FALSE),"")</f>
        <v/>
      </c>
      <c r="S6597" t="str">
        <f>VLOOKUP(record[[#This Row],[employeeID]],員工[],2,FALSE)</f>
        <v>阮士文</v>
      </c>
    </row>
    <row r="6598" spans="6:19" hidden="1" x14ac:dyDescent="0.25">
      <c r="F6598" t="s">
        <v>1189</v>
      </c>
      <c r="G6598" t="s">
        <v>417</v>
      </c>
      <c r="H6598" t="str">
        <f>VLOOKUP(record[[#This Row],[ProcessSN]],表格2_7[],2,FALSE)</f>
        <v>30-4118-018-5XX</v>
      </c>
      <c r="I6598" t="str">
        <f>VLOOKUP(record[[#This Row],[ProcessSN]],表格2_7[],3,FALSE)</f>
        <v>#06</v>
      </c>
      <c r="J6598" t="s">
        <v>593</v>
      </c>
      <c r="K6598" s="195">
        <v>45979.958518518521</v>
      </c>
      <c r="L6598">
        <v>133</v>
      </c>
      <c r="M6598">
        <v>0</v>
      </c>
      <c r="N6598" s="98" t="str">
        <f>IF(record[[#This Row],[Memo]]="Browser:chrome os:android","平板報工",IF(record[[#This Row],[Memo]]=0,"委外",record[[#This Row],[Memo]]))</f>
        <v/>
      </c>
      <c r="O6598" t="s">
        <v>58</v>
      </c>
      <c r="P6598" t="s">
        <v>1098</v>
      </c>
      <c r="Q6598" t="s">
        <v>58</v>
      </c>
      <c r="R6598" t="str">
        <f>IFERROR(VLOOKUP(record[[#This Row],[PCUSTID]],廠商[],2,FALSE),"")</f>
        <v/>
      </c>
      <c r="S6598" t="str">
        <f>VLOOKUP(record[[#This Row],[employeeID]],員工[],2,FALSE)</f>
        <v>阮氏芳英(英)</v>
      </c>
    </row>
    <row r="6599" spans="6:19" hidden="1" x14ac:dyDescent="0.25">
      <c r="F6599" t="s">
        <v>1189</v>
      </c>
      <c r="G6599" t="s">
        <v>415</v>
      </c>
      <c r="H6599" t="str">
        <f>VLOOKUP(record[[#This Row],[ProcessSN]],表格2_7[],2,FALSE)</f>
        <v>30-4118-018-5XX</v>
      </c>
      <c r="I6599" t="str">
        <f>VLOOKUP(record[[#This Row],[ProcessSN]],表格2_7[],3,FALSE)</f>
        <v>#04</v>
      </c>
      <c r="J6599" t="s">
        <v>588</v>
      </c>
      <c r="K6599" s="195">
        <v>45979.956770833334</v>
      </c>
      <c r="L6599">
        <v>120</v>
      </c>
      <c r="M6599">
        <v>0</v>
      </c>
      <c r="N6599" s="98" t="str">
        <f>IF(record[[#This Row],[Memo]]="Browser:chrome os:android","平板報工",IF(record[[#This Row],[Memo]]=0,"委外",record[[#This Row],[Memo]]))</f>
        <v/>
      </c>
      <c r="O6599" t="s">
        <v>58</v>
      </c>
      <c r="P6599" t="s">
        <v>806</v>
      </c>
      <c r="Q6599" t="s">
        <v>58</v>
      </c>
      <c r="R6599" t="str">
        <f>IFERROR(VLOOKUP(record[[#This Row],[PCUSTID]],廠商[],2,FALSE),"")</f>
        <v/>
      </c>
      <c r="S6599" t="str">
        <f>VLOOKUP(record[[#This Row],[employeeID]],員工[],2,FALSE)</f>
        <v>方思緯</v>
      </c>
    </row>
    <row r="6600" spans="6:19" hidden="1" x14ac:dyDescent="0.25">
      <c r="F6600" t="s">
        <v>1214</v>
      </c>
      <c r="G6600" t="s">
        <v>403</v>
      </c>
      <c r="H6600" t="str">
        <f>VLOOKUP(record[[#This Row],[ProcessSN]],表格2_7[],2,FALSE)</f>
        <v>30-4118-018-550</v>
      </c>
      <c r="I6600" t="str">
        <f>VLOOKUP(record[[#This Row],[ProcessSN]],表格2_7[],3,FALSE)</f>
        <v>#100SHIP</v>
      </c>
      <c r="J6600" t="s">
        <v>600</v>
      </c>
      <c r="K6600" s="195">
        <v>45979.71434027778</v>
      </c>
      <c r="L6600">
        <v>74</v>
      </c>
      <c r="M6600">
        <v>0</v>
      </c>
      <c r="N6600" s="98" t="str">
        <f>IF(record[[#This Row],[Memo]]="Browser:chrome os:android","平板報工",IF(record[[#This Row],[Memo]]=0,"委外",record[[#This Row],[Memo]]))</f>
        <v/>
      </c>
      <c r="O6600" t="s">
        <v>58</v>
      </c>
      <c r="P6600" t="s">
        <v>886</v>
      </c>
      <c r="Q6600" t="s">
        <v>58</v>
      </c>
      <c r="R6600" t="str">
        <f>IFERROR(VLOOKUP(record[[#This Row],[PCUSTID]],廠商[],2,FALSE),"")</f>
        <v/>
      </c>
      <c r="S6600" t="str">
        <f>VLOOKUP(record[[#This Row],[employeeID]],員工[],2,FALSE)</f>
        <v>謝蓁薰</v>
      </c>
    </row>
    <row r="6601" spans="6:19" hidden="1" x14ac:dyDescent="0.25">
      <c r="F6601" t="s">
        <v>1214</v>
      </c>
      <c r="G6601" t="s">
        <v>402</v>
      </c>
      <c r="H6601" t="str">
        <f>VLOOKUP(record[[#This Row],[ProcessSN]],表格2_7[],2,FALSE)</f>
        <v>30-4118-018-550</v>
      </c>
      <c r="I6601" t="str">
        <f>VLOOKUP(record[[#This Row],[ProcessSN]],表格2_7[],3,FALSE)</f>
        <v>#100STOCK</v>
      </c>
      <c r="J6601" t="s">
        <v>592</v>
      </c>
      <c r="K6601" s="195">
        <v>45979.714236111111</v>
      </c>
      <c r="L6601">
        <v>74</v>
      </c>
      <c r="M6601">
        <v>0</v>
      </c>
      <c r="N6601" s="98" t="str">
        <f>IF(record[[#This Row],[Memo]]="Browser:chrome os:android","平板報工",IF(record[[#This Row],[Memo]]=0,"委外",record[[#This Row],[Memo]]))</f>
        <v/>
      </c>
      <c r="O6601" t="s">
        <v>58</v>
      </c>
      <c r="P6601" t="s">
        <v>886</v>
      </c>
      <c r="Q6601" t="s">
        <v>58</v>
      </c>
      <c r="R6601" t="str">
        <f>IFERROR(VLOOKUP(record[[#This Row],[PCUSTID]],廠商[],2,FALSE),"")</f>
        <v/>
      </c>
      <c r="S6601" t="str">
        <f>VLOOKUP(record[[#This Row],[employeeID]],員工[],2,FALSE)</f>
        <v>謝蓁薰</v>
      </c>
    </row>
    <row r="6602" spans="6:19" hidden="1" x14ac:dyDescent="0.25">
      <c r="F6602" t="s">
        <v>1218</v>
      </c>
      <c r="G6602" t="s">
        <v>401</v>
      </c>
      <c r="H6602" t="str">
        <f>VLOOKUP(record[[#This Row],[ProcessSN]],表格2_7[],2,FALSE)</f>
        <v>30-4118-018-550</v>
      </c>
      <c r="I6602" t="str">
        <f>VLOOKUP(record[[#This Row],[ProcessSN]],表格2_7[],3,FALSE)</f>
        <v>#100OQC</v>
      </c>
      <c r="J6602" t="s">
        <v>599</v>
      </c>
      <c r="K6602" s="195">
        <v>45979.713900462964</v>
      </c>
      <c r="L6602">
        <v>88</v>
      </c>
      <c r="M6602">
        <v>0</v>
      </c>
      <c r="N6602" s="98" t="str">
        <f>IF(record[[#This Row],[Memo]]="Browser:chrome os:android","平板報工",IF(record[[#This Row],[Memo]]=0,"委外",record[[#This Row],[Memo]]))</f>
        <v/>
      </c>
      <c r="O6602" t="s">
        <v>58</v>
      </c>
      <c r="P6602" t="s">
        <v>121</v>
      </c>
      <c r="Q6602" t="s">
        <v>58</v>
      </c>
      <c r="R6602" t="str">
        <f>IFERROR(VLOOKUP(record[[#This Row],[PCUSTID]],廠商[],2,FALSE),"")</f>
        <v/>
      </c>
      <c r="S6602" t="str">
        <f>VLOOKUP(record[[#This Row],[employeeID]],員工[],2,FALSE)</f>
        <v>謝素卿</v>
      </c>
    </row>
    <row r="6603" spans="6:19" hidden="1" x14ac:dyDescent="0.25">
      <c r="F6603" t="s">
        <v>1214</v>
      </c>
      <c r="G6603" t="s">
        <v>401</v>
      </c>
      <c r="H6603" t="str">
        <f>VLOOKUP(record[[#This Row],[ProcessSN]],表格2_7[],2,FALSE)</f>
        <v>30-4118-018-550</v>
      </c>
      <c r="I6603" t="str">
        <f>VLOOKUP(record[[#This Row],[ProcessSN]],表格2_7[],3,FALSE)</f>
        <v>#100OQC</v>
      </c>
      <c r="J6603" t="s">
        <v>599</v>
      </c>
      <c r="K6603" s="195">
        <v>45979.713773148149</v>
      </c>
      <c r="L6603">
        <v>158</v>
      </c>
      <c r="M6603">
        <v>0</v>
      </c>
      <c r="N6603" s="98" t="str">
        <f>IF(record[[#This Row],[Memo]]="Browser:chrome os:android","平板報工",IF(record[[#This Row],[Memo]]=0,"委外",record[[#This Row],[Memo]]))</f>
        <v/>
      </c>
      <c r="O6603" t="s">
        <v>58</v>
      </c>
      <c r="P6603" t="s">
        <v>121</v>
      </c>
      <c r="Q6603" t="s">
        <v>58</v>
      </c>
      <c r="R6603" t="str">
        <f>IFERROR(VLOOKUP(record[[#This Row],[PCUSTID]],廠商[],2,FALSE),"")</f>
        <v/>
      </c>
      <c r="S6603" t="str">
        <f>VLOOKUP(record[[#This Row],[employeeID]],員工[],2,FALSE)</f>
        <v>謝素卿</v>
      </c>
    </row>
    <row r="6604" spans="6:19" hidden="1" x14ac:dyDescent="0.25">
      <c r="F6604" t="s">
        <v>1205</v>
      </c>
      <c r="G6604" t="s">
        <v>403</v>
      </c>
      <c r="H6604" t="str">
        <f>VLOOKUP(record[[#This Row],[ProcessSN]],表格2_7[],2,FALSE)</f>
        <v>30-4118-018-550</v>
      </c>
      <c r="I6604" t="str">
        <f>VLOOKUP(record[[#This Row],[ProcessSN]],表格2_7[],3,FALSE)</f>
        <v>#100SHIP</v>
      </c>
      <c r="J6604" t="s">
        <v>600</v>
      </c>
      <c r="K6604" s="195">
        <v>45979.710046296299</v>
      </c>
      <c r="L6604">
        <v>46</v>
      </c>
      <c r="M6604">
        <v>0</v>
      </c>
      <c r="N6604" s="98" t="str">
        <f>IF(record[[#This Row],[Memo]]="Browser:chrome os:android","平板報工",IF(record[[#This Row],[Memo]]=0,"委外",record[[#This Row],[Memo]]))</f>
        <v/>
      </c>
      <c r="O6604" t="s">
        <v>58</v>
      </c>
      <c r="P6604" t="s">
        <v>886</v>
      </c>
      <c r="Q6604" t="s">
        <v>58</v>
      </c>
      <c r="R6604" t="str">
        <f>IFERROR(VLOOKUP(record[[#This Row],[PCUSTID]],廠商[],2,FALSE),"")</f>
        <v/>
      </c>
      <c r="S6604" t="str">
        <f>VLOOKUP(record[[#This Row],[employeeID]],員工[],2,FALSE)</f>
        <v>謝蓁薰</v>
      </c>
    </row>
    <row r="6605" spans="6:19" hidden="1" x14ac:dyDescent="0.25">
      <c r="F6605" t="s">
        <v>1218</v>
      </c>
      <c r="G6605" t="s">
        <v>398</v>
      </c>
      <c r="H6605" t="str">
        <f>VLOOKUP(record[[#This Row],[ProcessSN]],表格2_7[],2,FALSE)</f>
        <v>30-4118-018-550</v>
      </c>
      <c r="I6605" t="str">
        <f>VLOOKUP(record[[#This Row],[ProcessSN]],表格2_7[],3,FALSE)</f>
        <v>#08RCV</v>
      </c>
      <c r="J6605" t="s">
        <v>591</v>
      </c>
      <c r="K6605" s="195">
        <v>45979.702696759261</v>
      </c>
      <c r="L6605">
        <v>0</v>
      </c>
      <c r="M6605">
        <v>12</v>
      </c>
      <c r="N6605" s="98" t="str">
        <f>IF(record[[#This Row],[Memo]]="Browser:chrome os:android","平板報工",IF(record[[#This Row],[Memo]]=0,"委外",record[[#This Row],[Memo]]))</f>
        <v/>
      </c>
      <c r="O6605" t="s">
        <v>58</v>
      </c>
      <c r="P6605" t="s">
        <v>141</v>
      </c>
      <c r="Q6605" t="s">
        <v>58</v>
      </c>
      <c r="R6605" t="str">
        <f>IFERROR(VLOOKUP(record[[#This Row],[PCUSTID]],廠商[],2,FALSE),"")</f>
        <v/>
      </c>
      <c r="S6605" t="str">
        <f>VLOOKUP(record[[#This Row],[employeeID]],員工[],2,FALSE)</f>
        <v>蔣梅</v>
      </c>
    </row>
    <row r="6606" spans="6:19" hidden="1" x14ac:dyDescent="0.25">
      <c r="F6606" t="s">
        <v>1218</v>
      </c>
      <c r="G6606" t="s">
        <v>400</v>
      </c>
      <c r="H6606" t="str">
        <f>VLOOKUP(record[[#This Row],[ProcessSN]],表格2_7[],2,FALSE)</f>
        <v>30-4118-018-550</v>
      </c>
      <c r="I6606" t="str">
        <f>VLOOKUP(record[[#This Row],[ProcessSN]],表格2_7[],3,FALSE)</f>
        <v>#100</v>
      </c>
      <c r="J6606" t="s">
        <v>598</v>
      </c>
      <c r="K6606" s="195">
        <v>45979.702511574076</v>
      </c>
      <c r="L6606">
        <v>6</v>
      </c>
      <c r="M6606">
        <v>0</v>
      </c>
      <c r="N6606" s="98" t="str">
        <f>IF(record[[#This Row],[Memo]]="Browser:chrome os:android","平板報工",IF(record[[#This Row],[Memo]]=0,"委外",record[[#This Row],[Memo]]))</f>
        <v/>
      </c>
      <c r="O6606" t="s">
        <v>58</v>
      </c>
      <c r="P6606" t="s">
        <v>141</v>
      </c>
      <c r="Q6606" t="s">
        <v>58</v>
      </c>
      <c r="R6606" t="str">
        <f>IFERROR(VLOOKUP(record[[#This Row],[PCUSTID]],廠商[],2,FALSE),"")</f>
        <v/>
      </c>
      <c r="S6606" t="str">
        <f>VLOOKUP(record[[#This Row],[employeeID]],員工[],2,FALSE)</f>
        <v>蔣梅</v>
      </c>
    </row>
    <row r="6607" spans="6:19" hidden="1" x14ac:dyDescent="0.25">
      <c r="F6607" t="s">
        <v>1218</v>
      </c>
      <c r="G6607" t="s">
        <v>399</v>
      </c>
      <c r="H6607" t="str">
        <f>VLOOKUP(record[[#This Row],[ProcessSN]],表格2_7[],2,FALSE)</f>
        <v>30-4118-018-550</v>
      </c>
      <c r="I6607" t="str">
        <f>VLOOKUP(record[[#This Row],[ProcessSN]],表格2_7[],3,FALSE)</f>
        <v>#08IQC</v>
      </c>
      <c r="J6607" t="s">
        <v>583</v>
      </c>
      <c r="K6607" s="195">
        <v>45979.702349537038</v>
      </c>
      <c r="L6607">
        <v>6</v>
      </c>
      <c r="M6607">
        <v>0</v>
      </c>
      <c r="N6607" s="98" t="str">
        <f>IF(record[[#This Row],[Memo]]="Browser:chrome os:android","平板報工",IF(record[[#This Row],[Memo]]=0,"委外",record[[#This Row],[Memo]]))</f>
        <v/>
      </c>
      <c r="O6607" t="s">
        <v>58</v>
      </c>
      <c r="P6607" t="s">
        <v>141</v>
      </c>
      <c r="Q6607" t="s">
        <v>58</v>
      </c>
      <c r="R6607" t="str">
        <f>IFERROR(VLOOKUP(record[[#This Row],[PCUSTID]],廠商[],2,FALSE),"")</f>
        <v/>
      </c>
      <c r="S6607" t="str">
        <f>VLOOKUP(record[[#This Row],[employeeID]],員工[],2,FALSE)</f>
        <v>蔣梅</v>
      </c>
    </row>
    <row r="6608" spans="6:19" hidden="1" x14ac:dyDescent="0.25">
      <c r="F6608" t="s">
        <v>1218</v>
      </c>
      <c r="G6608" t="s">
        <v>398</v>
      </c>
      <c r="H6608" t="str">
        <f>VLOOKUP(record[[#This Row],[ProcessSN]],表格2_7[],2,FALSE)</f>
        <v>30-4118-018-550</v>
      </c>
      <c r="I6608" t="str">
        <f>VLOOKUP(record[[#This Row],[ProcessSN]],表格2_7[],3,FALSE)</f>
        <v>#08RCV</v>
      </c>
      <c r="J6608" t="s">
        <v>591</v>
      </c>
      <c r="K6608" s="195">
        <v>45979.702164351853</v>
      </c>
      <c r="L6608">
        <v>6</v>
      </c>
      <c r="M6608">
        <v>0</v>
      </c>
      <c r="N6608" s="98" t="str">
        <f>IF(record[[#This Row],[Memo]]="Browser:chrome os:android","平板報工",IF(record[[#This Row],[Memo]]=0,"委外",record[[#This Row],[Memo]]))</f>
        <v/>
      </c>
      <c r="O6608" t="s">
        <v>58</v>
      </c>
      <c r="P6608" t="s">
        <v>141</v>
      </c>
      <c r="Q6608" t="s">
        <v>58</v>
      </c>
      <c r="R6608" t="str">
        <f>IFERROR(VLOOKUP(record[[#This Row],[PCUSTID]],廠商[],2,FALSE),"")</f>
        <v/>
      </c>
      <c r="S6608" t="str">
        <f>VLOOKUP(record[[#This Row],[employeeID]],員工[],2,FALSE)</f>
        <v>蔣梅</v>
      </c>
    </row>
    <row r="6609" spans="6:19" hidden="1" x14ac:dyDescent="0.25">
      <c r="F6609" t="s">
        <v>1218</v>
      </c>
      <c r="G6609" t="s">
        <v>400</v>
      </c>
      <c r="H6609" t="str">
        <f>VLOOKUP(record[[#This Row],[ProcessSN]],表格2_7[],2,FALSE)</f>
        <v>30-4118-018-550</v>
      </c>
      <c r="I6609" t="str">
        <f>VLOOKUP(record[[#This Row],[ProcessSN]],表格2_7[],3,FALSE)</f>
        <v>#100</v>
      </c>
      <c r="J6609" t="s">
        <v>598</v>
      </c>
      <c r="K6609" s="195">
        <v>45979.697002314817</v>
      </c>
      <c r="L6609">
        <v>82</v>
      </c>
      <c r="M6609">
        <v>0</v>
      </c>
      <c r="N6609" s="98" t="str">
        <f>IF(record[[#This Row],[Memo]]="Browser:chrome os:android","平板報工",IF(record[[#This Row],[Memo]]=0,"委外",record[[#This Row],[Memo]]))</f>
        <v/>
      </c>
      <c r="O6609" t="s">
        <v>58</v>
      </c>
      <c r="P6609" t="s">
        <v>141</v>
      </c>
      <c r="Q6609" t="s">
        <v>58</v>
      </c>
      <c r="R6609" t="str">
        <f>IFERROR(VLOOKUP(record[[#This Row],[PCUSTID]],廠商[],2,FALSE),"")</f>
        <v/>
      </c>
      <c r="S6609" t="str">
        <f>VLOOKUP(record[[#This Row],[employeeID]],員工[],2,FALSE)</f>
        <v>蔣梅</v>
      </c>
    </row>
    <row r="6610" spans="6:19" hidden="1" x14ac:dyDescent="0.25">
      <c r="F6610" t="s">
        <v>1214</v>
      </c>
      <c r="G6610" t="s">
        <v>400</v>
      </c>
      <c r="H6610" t="str">
        <f>VLOOKUP(record[[#This Row],[ProcessSN]],表格2_7[],2,FALSE)</f>
        <v>30-4118-018-550</v>
      </c>
      <c r="I6610" t="str">
        <f>VLOOKUP(record[[#This Row],[ProcessSN]],表格2_7[],3,FALSE)</f>
        <v>#100</v>
      </c>
      <c r="J6610" t="s">
        <v>598</v>
      </c>
      <c r="K6610" s="195">
        <v>45979.69636574074</v>
      </c>
      <c r="L6610">
        <v>84</v>
      </c>
      <c r="M6610">
        <v>0</v>
      </c>
      <c r="N6610" s="98" t="str">
        <f>IF(record[[#This Row],[Memo]]="Browser:chrome os:android","平板報工",IF(record[[#This Row],[Memo]]=0,"委外",record[[#This Row],[Memo]]))</f>
        <v/>
      </c>
      <c r="O6610" t="s">
        <v>58</v>
      </c>
      <c r="P6610" t="s">
        <v>141</v>
      </c>
      <c r="Q6610" t="s">
        <v>58</v>
      </c>
      <c r="R6610" t="str">
        <f>IFERROR(VLOOKUP(record[[#This Row],[PCUSTID]],廠商[],2,FALSE),"")</f>
        <v/>
      </c>
      <c r="S6610" t="str">
        <f>VLOOKUP(record[[#This Row],[employeeID]],員工[],2,FALSE)</f>
        <v>蔣梅</v>
      </c>
    </row>
    <row r="6611" spans="6:19" hidden="1" x14ac:dyDescent="0.25">
      <c r="F6611" t="s">
        <v>1214</v>
      </c>
      <c r="G6611" t="s">
        <v>400</v>
      </c>
      <c r="H6611" t="str">
        <f>VLOOKUP(record[[#This Row],[ProcessSN]],表格2_7[],2,FALSE)</f>
        <v>30-4118-018-550</v>
      </c>
      <c r="I6611" t="str">
        <f>VLOOKUP(record[[#This Row],[ProcessSN]],表格2_7[],3,FALSE)</f>
        <v>#100</v>
      </c>
      <c r="J6611" t="s">
        <v>598</v>
      </c>
      <c r="K6611" s="195">
        <v>45979.690949074073</v>
      </c>
      <c r="L6611">
        <v>74</v>
      </c>
      <c r="M6611">
        <v>0</v>
      </c>
      <c r="N6611" s="98" t="str">
        <f>IF(record[[#This Row],[Memo]]="Browser:chrome os:android","平板報工",IF(record[[#This Row],[Memo]]=0,"委外",record[[#This Row],[Memo]]))</f>
        <v/>
      </c>
      <c r="O6611" t="s">
        <v>58</v>
      </c>
      <c r="P6611" t="s">
        <v>141</v>
      </c>
      <c r="Q6611" t="s">
        <v>58</v>
      </c>
      <c r="R6611" t="str">
        <f>IFERROR(VLOOKUP(record[[#This Row],[PCUSTID]],廠商[],2,FALSE),"")</f>
        <v/>
      </c>
      <c r="S6611" t="str">
        <f>VLOOKUP(record[[#This Row],[employeeID]],員工[],2,FALSE)</f>
        <v>蔣梅</v>
      </c>
    </row>
    <row r="6612" spans="6:19" hidden="1" x14ac:dyDescent="0.25">
      <c r="F6612" t="s">
        <v>1218</v>
      </c>
      <c r="G6612" t="s">
        <v>399</v>
      </c>
      <c r="H6612" t="str">
        <f>VLOOKUP(record[[#This Row],[ProcessSN]],表格2_7[],2,FALSE)</f>
        <v>30-4118-018-550</v>
      </c>
      <c r="I6612" t="str">
        <f>VLOOKUP(record[[#This Row],[ProcessSN]],表格2_7[],3,FALSE)</f>
        <v>#08IQC</v>
      </c>
      <c r="J6612" t="s">
        <v>583</v>
      </c>
      <c r="K6612" s="195">
        <v>45979.68204861111</v>
      </c>
      <c r="L6612">
        <v>82</v>
      </c>
      <c r="M6612">
        <v>0</v>
      </c>
      <c r="N6612" s="98" t="str">
        <f>IF(record[[#This Row],[Memo]]="Browser:chrome os:android","平板報工",IF(record[[#This Row],[Memo]]=0,"委外",record[[#This Row],[Memo]]))</f>
        <v/>
      </c>
      <c r="O6612" t="s">
        <v>58</v>
      </c>
      <c r="P6612" t="s">
        <v>109</v>
      </c>
      <c r="Q6612" t="s">
        <v>58</v>
      </c>
      <c r="R6612" t="str">
        <f>IFERROR(VLOOKUP(record[[#This Row],[PCUSTID]],廠商[],2,FALSE),"")</f>
        <v/>
      </c>
      <c r="S6612" t="str">
        <f>VLOOKUP(record[[#This Row],[employeeID]],員工[],2,FALSE)</f>
        <v>裴氏璧鳳</v>
      </c>
    </row>
    <row r="6613" spans="6:19" hidden="1" x14ac:dyDescent="0.25">
      <c r="F6613" t="s">
        <v>1214</v>
      </c>
      <c r="G6613" t="s">
        <v>399</v>
      </c>
      <c r="H6613" t="str">
        <f>VLOOKUP(record[[#This Row],[ProcessSN]],表格2_7[],2,FALSE)</f>
        <v>30-4118-018-550</v>
      </c>
      <c r="I6613" t="str">
        <f>VLOOKUP(record[[#This Row],[ProcessSN]],表格2_7[],3,FALSE)</f>
        <v>#08IQC</v>
      </c>
      <c r="J6613" t="s">
        <v>583</v>
      </c>
      <c r="K6613" s="195">
        <v>45979.681759259256</v>
      </c>
      <c r="L6613">
        <v>158</v>
      </c>
      <c r="M6613">
        <v>0</v>
      </c>
      <c r="N6613" s="98" t="str">
        <f>IF(record[[#This Row],[Memo]]="Browser:chrome os:android","平板報工",IF(record[[#This Row],[Memo]]=0,"委外",record[[#This Row],[Memo]]))</f>
        <v/>
      </c>
      <c r="O6613" t="s">
        <v>58</v>
      </c>
      <c r="P6613" t="s">
        <v>109</v>
      </c>
      <c r="Q6613" t="s">
        <v>58</v>
      </c>
      <c r="R6613" t="str">
        <f>IFERROR(VLOOKUP(record[[#This Row],[PCUSTID]],廠商[],2,FALSE),"")</f>
        <v/>
      </c>
      <c r="S6613" t="str">
        <f>VLOOKUP(record[[#This Row],[employeeID]],員工[],2,FALSE)</f>
        <v>裴氏璧鳳</v>
      </c>
    </row>
    <row r="6614" spans="6:19" hidden="1" x14ac:dyDescent="0.25">
      <c r="F6614" t="s">
        <v>1218</v>
      </c>
      <c r="G6614" t="s">
        <v>398</v>
      </c>
      <c r="H6614" t="str">
        <f>VLOOKUP(record[[#This Row],[ProcessSN]],表格2_7[],2,FALSE)</f>
        <v>30-4118-018-550</v>
      </c>
      <c r="I6614" t="str">
        <f>VLOOKUP(record[[#This Row],[ProcessSN]],表格2_7[],3,FALSE)</f>
        <v>#08RCV</v>
      </c>
      <c r="J6614" t="s">
        <v>591</v>
      </c>
      <c r="K6614" s="195">
        <v>45979.649409722224</v>
      </c>
      <c r="L6614">
        <v>82</v>
      </c>
      <c r="M6614">
        <v>0</v>
      </c>
      <c r="N6614" s="98" t="str">
        <f>IF(record[[#This Row],[Memo]]="Browser:chrome os:android","平板報工",IF(record[[#This Row],[Memo]]=0,"委外",record[[#This Row],[Memo]]))</f>
        <v/>
      </c>
      <c r="O6614" t="s">
        <v>58</v>
      </c>
      <c r="P6614" t="s">
        <v>186</v>
      </c>
      <c r="Q6614" t="s">
        <v>58</v>
      </c>
      <c r="R6614" t="str">
        <f>IFERROR(VLOOKUP(record[[#This Row],[PCUSTID]],廠商[],2,FALSE),"")</f>
        <v/>
      </c>
      <c r="S6614" t="str">
        <f>VLOOKUP(record[[#This Row],[employeeID]],員工[],2,FALSE)</f>
        <v>許文姍</v>
      </c>
    </row>
    <row r="6615" spans="6:19" hidden="1" x14ac:dyDescent="0.25">
      <c r="F6615" t="s">
        <v>1214</v>
      </c>
      <c r="G6615" t="s">
        <v>398</v>
      </c>
      <c r="H6615" t="str">
        <f>VLOOKUP(record[[#This Row],[ProcessSN]],表格2_7[],2,FALSE)</f>
        <v>30-4118-018-550</v>
      </c>
      <c r="I6615" t="str">
        <f>VLOOKUP(record[[#This Row],[ProcessSN]],表格2_7[],3,FALSE)</f>
        <v>#08RCV</v>
      </c>
      <c r="J6615" t="s">
        <v>591</v>
      </c>
      <c r="K6615" s="195">
        <v>45979.649189814816</v>
      </c>
      <c r="L6615">
        <v>158</v>
      </c>
      <c r="M6615">
        <v>0</v>
      </c>
      <c r="N6615" s="98" t="str">
        <f>IF(record[[#This Row],[Memo]]="Browser:chrome os:android","平板報工",IF(record[[#This Row],[Memo]]=0,"委外",record[[#This Row],[Memo]]))</f>
        <v/>
      </c>
      <c r="O6615" t="s">
        <v>58</v>
      </c>
      <c r="P6615" t="s">
        <v>186</v>
      </c>
      <c r="Q6615" t="s">
        <v>58</v>
      </c>
      <c r="R6615" t="str">
        <f>IFERROR(VLOOKUP(record[[#This Row],[PCUSTID]],廠商[],2,FALSE),"")</f>
        <v/>
      </c>
      <c r="S6615" t="str">
        <f>VLOOKUP(record[[#This Row],[employeeID]],員工[],2,FALSE)</f>
        <v>許文姍</v>
      </c>
    </row>
    <row r="6616" spans="6:19" hidden="1" x14ac:dyDescent="0.25">
      <c r="F6616" t="s">
        <v>1189</v>
      </c>
      <c r="G6616" t="s">
        <v>417</v>
      </c>
      <c r="H6616" t="str">
        <f>VLOOKUP(record[[#This Row],[ProcessSN]],表格2_7[],2,FALSE)</f>
        <v>30-4118-018-5XX</v>
      </c>
      <c r="I6616" t="str">
        <f>VLOOKUP(record[[#This Row],[ProcessSN]],表格2_7[],3,FALSE)</f>
        <v>#06</v>
      </c>
      <c r="J6616" t="s">
        <v>593</v>
      </c>
      <c r="K6616" s="195">
        <v>45979.647164351853</v>
      </c>
      <c r="L6616">
        <v>110</v>
      </c>
      <c r="M6616">
        <v>1</v>
      </c>
      <c r="N6616" s="98" t="str">
        <f>IF(record[[#This Row],[Memo]]="Browser:chrome os:android","平板報工",IF(record[[#This Row],[Memo]]=0,"委外",record[[#This Row],[Memo]]))</f>
        <v>平板報工</v>
      </c>
      <c r="O6616" t="s">
        <v>643</v>
      </c>
      <c r="P6616" t="s">
        <v>111</v>
      </c>
      <c r="Q6616" t="s">
        <v>644</v>
      </c>
      <c r="R6616" t="str">
        <f>IFERROR(VLOOKUP(record[[#This Row],[PCUSTID]],廠商[],2,FALSE),"")</f>
        <v/>
      </c>
      <c r="S6616" t="str">
        <f>VLOOKUP(record[[#This Row],[employeeID]],員工[],2,FALSE)</f>
        <v>江栩妘</v>
      </c>
    </row>
    <row r="6617" spans="6:19" hidden="1" x14ac:dyDescent="0.25">
      <c r="F6617" t="s">
        <v>1189</v>
      </c>
      <c r="G6617" t="s">
        <v>415</v>
      </c>
      <c r="H6617" t="str">
        <f>VLOOKUP(record[[#This Row],[ProcessSN]],表格2_7[],2,FALSE)</f>
        <v>30-4118-018-5XX</v>
      </c>
      <c r="I6617" t="str">
        <f>VLOOKUP(record[[#This Row],[ProcessSN]],表格2_7[],3,FALSE)</f>
        <v>#04</v>
      </c>
      <c r="J6617" t="s">
        <v>588</v>
      </c>
      <c r="K6617" s="195">
        <v>45979.642881944441</v>
      </c>
      <c r="L6617">
        <v>130</v>
      </c>
      <c r="M6617">
        <v>0</v>
      </c>
      <c r="N6617" s="98" t="str">
        <f>IF(record[[#This Row],[Memo]]="Browser:chrome os:android","平板報工",IF(record[[#This Row],[Memo]]=0,"委外",record[[#This Row],[Memo]]))</f>
        <v>平板報工</v>
      </c>
      <c r="O6617" t="s">
        <v>643</v>
      </c>
      <c r="P6617" t="s">
        <v>785</v>
      </c>
      <c r="Q6617" t="s">
        <v>644</v>
      </c>
      <c r="R6617" t="str">
        <f>IFERROR(VLOOKUP(record[[#This Row],[PCUSTID]],廠商[],2,FALSE),"")</f>
        <v/>
      </c>
      <c r="S6617" t="str">
        <f>VLOOKUP(record[[#This Row],[employeeID]],員工[],2,FALSE)</f>
        <v>謝刻光</v>
      </c>
    </row>
    <row r="6618" spans="6:19" hidden="1" x14ac:dyDescent="0.25">
      <c r="F6618" t="s">
        <v>1205</v>
      </c>
      <c r="G6618" t="s">
        <v>403</v>
      </c>
      <c r="H6618" t="str">
        <f>VLOOKUP(record[[#This Row],[ProcessSN]],表格2_7[],2,FALSE)</f>
        <v>30-4118-018-550</v>
      </c>
      <c r="I6618" t="str">
        <f>VLOOKUP(record[[#This Row],[ProcessSN]],表格2_7[],3,FALSE)</f>
        <v>#100SHIP</v>
      </c>
      <c r="J6618" t="s">
        <v>600</v>
      </c>
      <c r="K6618" s="195">
        <v>45979.564756944441</v>
      </c>
      <c r="L6618">
        <v>264</v>
      </c>
      <c r="M6618">
        <v>0</v>
      </c>
      <c r="N6618" s="98" t="str">
        <f>IF(record[[#This Row],[Memo]]="Browser:chrome os:android","平板報工",IF(record[[#This Row],[Memo]]=0,"委外",record[[#This Row],[Memo]]))</f>
        <v/>
      </c>
      <c r="O6618" t="s">
        <v>58</v>
      </c>
      <c r="P6618" t="s">
        <v>886</v>
      </c>
      <c r="Q6618" t="s">
        <v>58</v>
      </c>
      <c r="R6618" t="str">
        <f>IFERROR(VLOOKUP(record[[#This Row],[PCUSTID]],廠商[],2,FALSE),"")</f>
        <v/>
      </c>
      <c r="S6618" t="str">
        <f>VLOOKUP(record[[#This Row],[employeeID]],員工[],2,FALSE)</f>
        <v>謝蓁薰</v>
      </c>
    </row>
    <row r="6619" spans="6:19" hidden="1" x14ac:dyDescent="0.25">
      <c r="F6619" t="s">
        <v>1204</v>
      </c>
      <c r="G6619" t="s">
        <v>403</v>
      </c>
      <c r="H6619" t="str">
        <f>VLOOKUP(record[[#This Row],[ProcessSN]],表格2_7[],2,FALSE)</f>
        <v>30-4118-018-550</v>
      </c>
      <c r="I6619" t="str">
        <f>VLOOKUP(record[[#This Row],[ProcessSN]],表格2_7[],3,FALSE)</f>
        <v>#100SHIP</v>
      </c>
      <c r="J6619" t="s">
        <v>600</v>
      </c>
      <c r="K6619" s="195">
        <v>45979.56454861111</v>
      </c>
      <c r="L6619">
        <v>133</v>
      </c>
      <c r="M6619">
        <v>0</v>
      </c>
      <c r="N6619" s="98" t="str">
        <f>IF(record[[#This Row],[Memo]]="Browser:chrome os:android","平板報工",IF(record[[#This Row],[Memo]]=0,"委外",record[[#This Row],[Memo]]))</f>
        <v/>
      </c>
      <c r="O6619" t="s">
        <v>58</v>
      </c>
      <c r="P6619" t="s">
        <v>886</v>
      </c>
      <c r="Q6619" t="s">
        <v>58</v>
      </c>
      <c r="R6619" t="str">
        <f>IFERROR(VLOOKUP(record[[#This Row],[PCUSTID]],廠商[],2,FALSE),"")</f>
        <v/>
      </c>
      <c r="S6619" t="str">
        <f>VLOOKUP(record[[#This Row],[employeeID]],員工[],2,FALSE)</f>
        <v>謝蓁薰</v>
      </c>
    </row>
    <row r="6620" spans="6:19" hidden="1" x14ac:dyDescent="0.25">
      <c r="F6620" t="s">
        <v>1205</v>
      </c>
      <c r="G6620" t="s">
        <v>403</v>
      </c>
      <c r="H6620" t="str">
        <f>VLOOKUP(record[[#This Row],[ProcessSN]],表格2_7[],2,FALSE)</f>
        <v>30-4118-018-550</v>
      </c>
      <c r="I6620" t="str">
        <f>VLOOKUP(record[[#This Row],[ProcessSN]],表格2_7[],3,FALSE)</f>
        <v>#100SHIP</v>
      </c>
      <c r="J6620" t="s">
        <v>600</v>
      </c>
      <c r="K6620" s="195">
        <v>45979.563333333332</v>
      </c>
      <c r="L6620">
        <v>3</v>
      </c>
      <c r="M6620">
        <v>0</v>
      </c>
      <c r="N6620" s="98" t="str">
        <f>IF(record[[#This Row],[Memo]]="Browser:chrome os:android","平板報工",IF(record[[#This Row],[Memo]]=0,"委外",record[[#This Row],[Memo]]))</f>
        <v/>
      </c>
      <c r="O6620" t="s">
        <v>58</v>
      </c>
      <c r="P6620" t="s">
        <v>886</v>
      </c>
      <c r="Q6620" t="s">
        <v>58</v>
      </c>
      <c r="R6620" t="str">
        <f>IFERROR(VLOOKUP(record[[#This Row],[PCUSTID]],廠商[],2,FALSE),"")</f>
        <v/>
      </c>
      <c r="S6620" t="str">
        <f>VLOOKUP(record[[#This Row],[employeeID]],員工[],2,FALSE)</f>
        <v>謝蓁薰</v>
      </c>
    </row>
    <row r="6621" spans="6:19" hidden="1" x14ac:dyDescent="0.25">
      <c r="F6621" t="s">
        <v>1205</v>
      </c>
      <c r="G6621" t="s">
        <v>403</v>
      </c>
      <c r="H6621" t="str">
        <f>VLOOKUP(record[[#This Row],[ProcessSN]],表格2_7[],2,FALSE)</f>
        <v>30-4118-018-550</v>
      </c>
      <c r="I6621" t="str">
        <f>VLOOKUP(record[[#This Row],[ProcessSN]],表格2_7[],3,FALSE)</f>
        <v>#100SHIP</v>
      </c>
      <c r="J6621" t="s">
        <v>600</v>
      </c>
      <c r="K6621" s="195">
        <v>45979.56318287037</v>
      </c>
      <c r="L6621">
        <v>1</v>
      </c>
      <c r="M6621">
        <v>0</v>
      </c>
      <c r="N6621" s="98" t="str">
        <f>IF(record[[#This Row],[Memo]]="Browser:chrome os:android","平板報工",IF(record[[#This Row],[Memo]]=0,"委外",record[[#This Row],[Memo]]))</f>
        <v/>
      </c>
      <c r="O6621" t="s">
        <v>58</v>
      </c>
      <c r="P6621" t="s">
        <v>886</v>
      </c>
      <c r="Q6621" t="s">
        <v>58</v>
      </c>
      <c r="R6621" t="str">
        <f>IFERROR(VLOOKUP(record[[#This Row],[PCUSTID]],廠商[],2,FALSE),"")</f>
        <v/>
      </c>
      <c r="S6621" t="str">
        <f>VLOOKUP(record[[#This Row],[employeeID]],員工[],2,FALSE)</f>
        <v>謝蓁薰</v>
      </c>
    </row>
    <row r="6622" spans="6:19" hidden="1" x14ac:dyDescent="0.25">
      <c r="F6622" t="s">
        <v>1205</v>
      </c>
      <c r="G6622" t="s">
        <v>402</v>
      </c>
      <c r="H6622" t="str">
        <f>VLOOKUP(record[[#This Row],[ProcessSN]],表格2_7[],2,FALSE)</f>
        <v>30-4118-018-550</v>
      </c>
      <c r="I6622" t="str">
        <f>VLOOKUP(record[[#This Row],[ProcessSN]],表格2_7[],3,FALSE)</f>
        <v>#100STOCK</v>
      </c>
      <c r="J6622" t="s">
        <v>592</v>
      </c>
      <c r="K6622" s="195">
        <v>45979.563043981485</v>
      </c>
      <c r="L6622">
        <v>314</v>
      </c>
      <c r="M6622">
        <v>0</v>
      </c>
      <c r="N6622" s="98" t="str">
        <f>IF(record[[#This Row],[Memo]]="Browser:chrome os:android","平板報工",IF(record[[#This Row],[Memo]]=0,"委外",record[[#This Row],[Memo]]))</f>
        <v/>
      </c>
      <c r="O6622" t="s">
        <v>58</v>
      </c>
      <c r="P6622" t="s">
        <v>886</v>
      </c>
      <c r="Q6622" t="s">
        <v>58</v>
      </c>
      <c r="R6622" t="str">
        <f>IFERROR(VLOOKUP(record[[#This Row],[PCUSTID]],廠商[],2,FALSE),"")</f>
        <v/>
      </c>
      <c r="S6622" t="str">
        <f>VLOOKUP(record[[#This Row],[employeeID]],員工[],2,FALSE)</f>
        <v>謝蓁薰</v>
      </c>
    </row>
    <row r="6623" spans="6:19" hidden="1" x14ac:dyDescent="0.25">
      <c r="F6623" t="s">
        <v>1204</v>
      </c>
      <c r="G6623" t="s">
        <v>402</v>
      </c>
      <c r="H6623" t="str">
        <f>VLOOKUP(record[[#This Row],[ProcessSN]],表格2_7[],2,FALSE)</f>
        <v>30-4118-018-550</v>
      </c>
      <c r="I6623" t="str">
        <f>VLOOKUP(record[[#This Row],[ProcessSN]],表格2_7[],3,FALSE)</f>
        <v>#100STOCK</v>
      </c>
      <c r="J6623" t="s">
        <v>592</v>
      </c>
      <c r="K6623" s="195">
        <v>45979.562824074077</v>
      </c>
      <c r="L6623">
        <v>133</v>
      </c>
      <c r="M6623">
        <v>0</v>
      </c>
      <c r="N6623" s="98" t="str">
        <f>IF(record[[#This Row],[Memo]]="Browser:chrome os:android","平板報工",IF(record[[#This Row],[Memo]]=0,"委外",record[[#This Row],[Memo]]))</f>
        <v/>
      </c>
      <c r="O6623" t="s">
        <v>58</v>
      </c>
      <c r="P6623" t="s">
        <v>886</v>
      </c>
      <c r="Q6623" t="s">
        <v>58</v>
      </c>
      <c r="R6623" t="str">
        <f>IFERROR(VLOOKUP(record[[#This Row],[PCUSTID]],廠商[],2,FALSE),"")</f>
        <v/>
      </c>
      <c r="S6623" t="str">
        <f>VLOOKUP(record[[#This Row],[employeeID]],員工[],2,FALSE)</f>
        <v>謝蓁薰</v>
      </c>
    </row>
    <row r="6624" spans="6:19" hidden="1" x14ac:dyDescent="0.25">
      <c r="F6624" t="s">
        <v>1143</v>
      </c>
      <c r="G6624" t="s">
        <v>428</v>
      </c>
      <c r="H6624" t="str">
        <f>VLOOKUP(record[[#This Row],[ProcessSN]],表格2_7[],2,FALSE)</f>
        <v>30-4118-018-600</v>
      </c>
      <c r="I6624" t="str">
        <f>VLOOKUP(record[[#This Row],[ProcessSN]],表格2_7[],3,FALSE)</f>
        <v>#100SHIP</v>
      </c>
      <c r="J6624" t="s">
        <v>600</v>
      </c>
      <c r="K6624" s="195">
        <v>45979.561793981484</v>
      </c>
      <c r="L6624">
        <v>59</v>
      </c>
      <c r="M6624">
        <v>0</v>
      </c>
      <c r="N6624" s="98" t="str">
        <f>IF(record[[#This Row],[Memo]]="Browser:chrome os:android","平板報工",IF(record[[#This Row],[Memo]]=0,"委外",record[[#This Row],[Memo]]))</f>
        <v/>
      </c>
      <c r="O6624" t="s">
        <v>58</v>
      </c>
      <c r="P6624" t="s">
        <v>886</v>
      </c>
      <c r="Q6624" t="s">
        <v>58</v>
      </c>
      <c r="R6624" t="str">
        <f>IFERROR(VLOOKUP(record[[#This Row],[PCUSTID]],廠商[],2,FALSE),"")</f>
        <v/>
      </c>
      <c r="S6624" t="str">
        <f>VLOOKUP(record[[#This Row],[employeeID]],員工[],2,FALSE)</f>
        <v>謝蓁薰</v>
      </c>
    </row>
    <row r="6625" spans="6:19" hidden="1" x14ac:dyDescent="0.25">
      <c r="F6625" t="s">
        <v>1221</v>
      </c>
      <c r="G6625" t="s">
        <v>396</v>
      </c>
      <c r="H6625" t="str">
        <f>VLOOKUP(record[[#This Row],[ProcessSN]],表格2_7[],2,FALSE)</f>
        <v>30-4118-018-550</v>
      </c>
      <c r="I6625" t="str">
        <f>VLOOKUP(record[[#This Row],[ProcessSN]],表格2_7[],3,FALSE)</f>
        <v>#08PICK</v>
      </c>
      <c r="J6625" t="s">
        <v>582</v>
      </c>
      <c r="K6625" s="195">
        <v>45979.556990740741</v>
      </c>
      <c r="L6625">
        <v>139</v>
      </c>
      <c r="M6625">
        <v>0</v>
      </c>
      <c r="N6625" s="98" t="str">
        <f>IF(record[[#This Row],[Memo]]="Browser:chrome os:android","平板報工",IF(record[[#This Row],[Memo]]=0,"委外",record[[#This Row],[Memo]]))</f>
        <v/>
      </c>
      <c r="O6625" t="s">
        <v>58</v>
      </c>
      <c r="P6625" t="s">
        <v>186</v>
      </c>
      <c r="Q6625" t="s">
        <v>58</v>
      </c>
      <c r="R6625" t="str">
        <f>IFERROR(VLOOKUP(record[[#This Row],[PCUSTID]],廠商[],2,FALSE),"")</f>
        <v/>
      </c>
      <c r="S6625" t="str">
        <f>VLOOKUP(record[[#This Row],[employeeID]],員工[],2,FALSE)</f>
        <v>許文姍</v>
      </c>
    </row>
    <row r="6626" spans="6:19" hidden="1" x14ac:dyDescent="0.25">
      <c r="F6626" t="s">
        <v>1173</v>
      </c>
      <c r="G6626" t="s">
        <v>424</v>
      </c>
      <c r="H6626" t="str">
        <f>VLOOKUP(record[[#This Row],[ProcessSN]],表格2_7[],2,FALSE)</f>
        <v>30-4118-018-600</v>
      </c>
      <c r="I6626" t="str">
        <f>VLOOKUP(record[[#This Row],[ProcessSN]],表格2_7[],3,FALSE)</f>
        <v>#08IQC</v>
      </c>
      <c r="J6626" t="s">
        <v>583</v>
      </c>
      <c r="K6626" s="195">
        <v>45979.545243055552</v>
      </c>
      <c r="L6626">
        <v>300</v>
      </c>
      <c r="M6626">
        <v>0</v>
      </c>
      <c r="N6626" s="98" t="str">
        <f>IF(record[[#This Row],[Memo]]="Browser:chrome os:android","平板報工",IF(record[[#This Row],[Memo]]=0,"委外",record[[#This Row],[Memo]]))</f>
        <v/>
      </c>
      <c r="O6626" t="s">
        <v>58</v>
      </c>
      <c r="P6626" t="s">
        <v>109</v>
      </c>
      <c r="Q6626" t="s">
        <v>58</v>
      </c>
      <c r="R6626" t="str">
        <f>IFERROR(VLOOKUP(record[[#This Row],[PCUSTID]],廠商[],2,FALSE),"")</f>
        <v/>
      </c>
      <c r="S6626" t="str">
        <f>VLOOKUP(record[[#This Row],[employeeID]],員工[],2,FALSE)</f>
        <v>裴氏璧鳳</v>
      </c>
    </row>
    <row r="6627" spans="6:19" hidden="1" x14ac:dyDescent="0.25">
      <c r="F6627" t="s">
        <v>1189</v>
      </c>
      <c r="G6627" t="s">
        <v>420</v>
      </c>
      <c r="H6627" t="str">
        <f>VLOOKUP(record[[#This Row],[ProcessSN]],表格2_7[],2,FALSE)</f>
        <v>30-4118-018-5XX</v>
      </c>
      <c r="I6627" t="str">
        <f>VLOOKUP(record[[#This Row],[ProcessSN]],表格2_7[],3,FALSE)</f>
        <v>#07STOCK</v>
      </c>
      <c r="J6627" t="s">
        <v>592</v>
      </c>
      <c r="K6627" s="195">
        <v>45979.455474537041</v>
      </c>
      <c r="L6627">
        <v>139</v>
      </c>
      <c r="M6627">
        <v>0</v>
      </c>
      <c r="N6627" s="98" t="str">
        <f>IF(record[[#This Row],[Memo]]="Browser:chrome os:android","平板報工",IF(record[[#This Row],[Memo]]=0,"委外",record[[#This Row],[Memo]]))</f>
        <v/>
      </c>
      <c r="O6627" t="s">
        <v>58</v>
      </c>
      <c r="P6627" t="s">
        <v>186</v>
      </c>
      <c r="Q6627" t="s">
        <v>58</v>
      </c>
      <c r="R6627" t="str">
        <f>IFERROR(VLOOKUP(record[[#This Row],[PCUSTID]],廠商[],2,FALSE),"")</f>
        <v/>
      </c>
      <c r="S6627" t="str">
        <f>VLOOKUP(record[[#This Row],[employeeID]],員工[],2,FALSE)</f>
        <v>許文姍</v>
      </c>
    </row>
    <row r="6628" spans="6:19" hidden="1" x14ac:dyDescent="0.25">
      <c r="F6628" t="s">
        <v>1189</v>
      </c>
      <c r="G6628" t="s">
        <v>419</v>
      </c>
      <c r="H6628" t="str">
        <f>VLOOKUP(record[[#This Row],[ProcessSN]],表格2_7[],2,FALSE)</f>
        <v>30-4118-018-5XX</v>
      </c>
      <c r="I6628" t="str">
        <f>VLOOKUP(record[[#This Row],[ProcessSN]],表格2_7[],3,FALSE)</f>
        <v>#07QC</v>
      </c>
      <c r="J6628" t="s">
        <v>589</v>
      </c>
      <c r="K6628" s="195">
        <v>45979.396203703705</v>
      </c>
      <c r="L6628">
        <v>139</v>
      </c>
      <c r="M6628">
        <v>0</v>
      </c>
      <c r="N6628" s="98" t="str">
        <f>IF(record[[#This Row],[Memo]]="Browser:chrome os:android","平板報工",IF(record[[#This Row],[Memo]]=0,"委外",record[[#This Row],[Memo]]))</f>
        <v/>
      </c>
      <c r="O6628" t="s">
        <v>58</v>
      </c>
      <c r="P6628" t="s">
        <v>141</v>
      </c>
      <c r="Q6628" t="s">
        <v>58</v>
      </c>
      <c r="R6628" t="str">
        <f>IFERROR(VLOOKUP(record[[#This Row],[PCUSTID]],廠商[],2,FALSE),"")</f>
        <v/>
      </c>
      <c r="S6628" t="str">
        <f>VLOOKUP(record[[#This Row],[employeeID]],員工[],2,FALSE)</f>
        <v>蔣梅</v>
      </c>
    </row>
    <row r="6629" spans="6:19" hidden="1" x14ac:dyDescent="0.25">
      <c r="F6629" t="s">
        <v>1173</v>
      </c>
      <c r="G6629" t="s">
        <v>423</v>
      </c>
      <c r="H6629" t="str">
        <f>VLOOKUP(record[[#This Row],[ProcessSN]],表格2_7[],2,FALSE)</f>
        <v>30-4118-018-600</v>
      </c>
      <c r="I6629" t="str">
        <f>VLOOKUP(record[[#This Row],[ProcessSN]],表格2_7[],3,FALSE)</f>
        <v>#08RCV</v>
      </c>
      <c r="J6629" t="s">
        <v>591</v>
      </c>
      <c r="K6629" s="195">
        <v>45979.335543981484</v>
      </c>
      <c r="L6629">
        <v>300</v>
      </c>
      <c r="M6629">
        <v>0</v>
      </c>
      <c r="N6629" s="98" t="str">
        <f>IF(record[[#This Row],[Memo]]="Browser:chrome os:android","平板報工",IF(record[[#This Row],[Memo]]=0,"委外",record[[#This Row],[Memo]]))</f>
        <v/>
      </c>
      <c r="O6629" t="s">
        <v>58</v>
      </c>
      <c r="P6629" t="s">
        <v>186</v>
      </c>
      <c r="Q6629" t="s">
        <v>58</v>
      </c>
      <c r="R6629" t="str">
        <f>IFERROR(VLOOKUP(record[[#This Row],[PCUSTID]],廠商[],2,FALSE),"")</f>
        <v/>
      </c>
      <c r="S6629" t="str">
        <f>VLOOKUP(record[[#This Row],[employeeID]],員工[],2,FALSE)</f>
        <v>許文姍</v>
      </c>
    </row>
    <row r="6630" spans="6:19" hidden="1" x14ac:dyDescent="0.25">
      <c r="F6630" t="s">
        <v>1189</v>
      </c>
      <c r="G6630" t="s">
        <v>417</v>
      </c>
      <c r="H6630" t="str">
        <f>VLOOKUP(record[[#This Row],[ProcessSN]],表格2_7[],2,FALSE)</f>
        <v>30-4118-018-5XX</v>
      </c>
      <c r="I6630" t="str">
        <f>VLOOKUP(record[[#This Row],[ProcessSN]],表格2_7[],3,FALSE)</f>
        <v>#06</v>
      </c>
      <c r="J6630" t="s">
        <v>593</v>
      </c>
      <c r="K6630" s="195">
        <v>45979.305821759262</v>
      </c>
      <c r="L6630">
        <v>101</v>
      </c>
      <c r="M6630">
        <v>1</v>
      </c>
      <c r="N6630" s="98" t="str">
        <f>IF(record[[#This Row],[Memo]]="Browser:chrome os:android","平板報工",IF(record[[#This Row],[Memo]]=0,"委外",record[[#This Row],[Memo]]))</f>
        <v/>
      </c>
      <c r="O6630" t="s">
        <v>58</v>
      </c>
      <c r="P6630" t="s">
        <v>135</v>
      </c>
      <c r="Q6630" t="s">
        <v>58</v>
      </c>
      <c r="R6630" t="str">
        <f>IFERROR(VLOOKUP(record[[#This Row],[PCUSTID]],廠商[],2,FALSE),"")</f>
        <v/>
      </c>
      <c r="S6630" t="str">
        <f>VLOOKUP(record[[#This Row],[employeeID]],員工[],2,FALSE)</f>
        <v>阮士文</v>
      </c>
    </row>
    <row r="6631" spans="6:19" hidden="1" x14ac:dyDescent="0.25">
      <c r="F6631" t="s">
        <v>1189</v>
      </c>
      <c r="G6631" t="s">
        <v>415</v>
      </c>
      <c r="H6631" t="str">
        <f>VLOOKUP(record[[#This Row],[ProcessSN]],表格2_7[],2,FALSE)</f>
        <v>30-4118-018-5XX</v>
      </c>
      <c r="I6631" t="str">
        <f>VLOOKUP(record[[#This Row],[ProcessSN]],表格2_7[],3,FALSE)</f>
        <v>#04</v>
      </c>
      <c r="J6631" t="s">
        <v>588</v>
      </c>
      <c r="K6631" s="195">
        <v>45979.3049537037</v>
      </c>
      <c r="L6631">
        <v>130</v>
      </c>
      <c r="M6631">
        <v>0</v>
      </c>
      <c r="N6631" s="98" t="str">
        <f>IF(record[[#This Row],[Memo]]="Browser:chrome os:android","平板報工",IF(record[[#This Row],[Memo]]=0,"委外",record[[#This Row],[Memo]]))</f>
        <v/>
      </c>
      <c r="O6631" t="s">
        <v>58</v>
      </c>
      <c r="P6631" t="s">
        <v>135</v>
      </c>
      <c r="Q6631" t="s">
        <v>58</v>
      </c>
      <c r="R6631" t="str">
        <f>IFERROR(VLOOKUP(record[[#This Row],[PCUSTID]],廠商[],2,FALSE),"")</f>
        <v/>
      </c>
      <c r="S6631" t="str">
        <f>VLOOKUP(record[[#This Row],[employeeID]],員工[],2,FALSE)</f>
        <v>阮士文</v>
      </c>
    </row>
    <row r="6632" spans="6:19" hidden="1" x14ac:dyDescent="0.25">
      <c r="F6632" t="s">
        <v>1189</v>
      </c>
      <c r="G6632" t="s">
        <v>415</v>
      </c>
      <c r="H6632" t="str">
        <f>VLOOKUP(record[[#This Row],[ProcessSN]],表格2_7[],2,FALSE)</f>
        <v>30-4118-018-5XX</v>
      </c>
      <c r="I6632" t="str">
        <f>VLOOKUP(record[[#This Row],[ProcessSN]],表格2_7[],3,FALSE)</f>
        <v>#04</v>
      </c>
      <c r="J6632" t="s">
        <v>588</v>
      </c>
      <c r="K6632" s="195">
        <v>45978.965289351851</v>
      </c>
      <c r="L6632">
        <v>120</v>
      </c>
      <c r="M6632">
        <v>0</v>
      </c>
      <c r="N6632" s="98" t="str">
        <f>IF(record[[#This Row],[Memo]]="Browser:chrome os:android","平板報工",IF(record[[#This Row],[Memo]]=0,"委外",record[[#This Row],[Memo]]))</f>
        <v/>
      </c>
      <c r="O6632" t="s">
        <v>58</v>
      </c>
      <c r="P6632" t="s">
        <v>89</v>
      </c>
      <c r="Q6632" t="s">
        <v>58</v>
      </c>
      <c r="R6632" t="str">
        <f>IFERROR(VLOOKUP(record[[#This Row],[PCUSTID]],廠商[],2,FALSE),"")</f>
        <v/>
      </c>
      <c r="S6632" t="str">
        <f>VLOOKUP(record[[#This Row],[employeeID]],員工[],2,FALSE)</f>
        <v>李美蓮</v>
      </c>
    </row>
    <row r="6633" spans="6:19" hidden="1" x14ac:dyDescent="0.25">
      <c r="F6633" t="s">
        <v>1189</v>
      </c>
      <c r="G6633" t="s">
        <v>416</v>
      </c>
      <c r="H6633" t="str">
        <f>VLOOKUP(record[[#This Row],[ProcessSN]],表格2_7[],2,FALSE)</f>
        <v>30-4118-018-5XX</v>
      </c>
      <c r="I6633" t="str">
        <f>VLOOKUP(record[[#This Row],[ProcessSN]],表格2_7[],3,FALSE)</f>
        <v>#05</v>
      </c>
      <c r="J6633" t="s">
        <v>588</v>
      </c>
      <c r="K6633" s="195">
        <v>45978.953252314815</v>
      </c>
      <c r="L6633">
        <v>24</v>
      </c>
      <c r="M6633">
        <v>0</v>
      </c>
      <c r="N6633" s="98" t="str">
        <f>IF(record[[#This Row],[Memo]]="Browser:chrome os:android","平板報工",IF(record[[#This Row],[Memo]]=0,"委外",record[[#This Row],[Memo]]))</f>
        <v/>
      </c>
      <c r="O6633" t="s">
        <v>58</v>
      </c>
      <c r="P6633" t="s">
        <v>806</v>
      </c>
      <c r="Q6633" t="s">
        <v>58</v>
      </c>
      <c r="R6633" t="str">
        <f>IFERROR(VLOOKUP(record[[#This Row],[PCUSTID]],廠商[],2,FALSE),"")</f>
        <v/>
      </c>
      <c r="S6633" t="str">
        <f>VLOOKUP(record[[#This Row],[employeeID]],員工[],2,FALSE)</f>
        <v>方思緯</v>
      </c>
    </row>
    <row r="6634" spans="6:19" hidden="1" x14ac:dyDescent="0.25">
      <c r="F6634" t="s">
        <v>1189</v>
      </c>
      <c r="G6634" t="s">
        <v>417</v>
      </c>
      <c r="H6634" t="str">
        <f>VLOOKUP(record[[#This Row],[ProcessSN]],表格2_7[],2,FALSE)</f>
        <v>30-4118-018-5XX</v>
      </c>
      <c r="I6634" t="str">
        <f>VLOOKUP(record[[#This Row],[ProcessSN]],表格2_7[],3,FALSE)</f>
        <v>#06</v>
      </c>
      <c r="J6634" t="s">
        <v>593</v>
      </c>
      <c r="K6634" s="195">
        <v>45978.951018518521</v>
      </c>
      <c r="L6634">
        <v>133</v>
      </c>
      <c r="M6634">
        <v>0</v>
      </c>
      <c r="N6634" s="98" t="str">
        <f>IF(record[[#This Row],[Memo]]="Browser:chrome os:android","平板報工",IF(record[[#This Row],[Memo]]=0,"委外",record[[#This Row],[Memo]]))</f>
        <v/>
      </c>
      <c r="O6634" t="s">
        <v>58</v>
      </c>
      <c r="P6634" t="s">
        <v>1098</v>
      </c>
      <c r="Q6634" t="s">
        <v>58</v>
      </c>
      <c r="R6634" t="str">
        <f>IFERROR(VLOOKUP(record[[#This Row],[PCUSTID]],廠商[],2,FALSE),"")</f>
        <v/>
      </c>
      <c r="S6634" t="str">
        <f>VLOOKUP(record[[#This Row],[employeeID]],員工[],2,FALSE)</f>
        <v>阮氏芳英(英)</v>
      </c>
    </row>
    <row r="6635" spans="6:19" hidden="1" x14ac:dyDescent="0.25">
      <c r="F6635" t="s">
        <v>1148</v>
      </c>
      <c r="G6635" t="s">
        <v>470</v>
      </c>
      <c r="H6635" t="str">
        <f>VLOOKUP(record[[#This Row],[ProcessSN]],表格2_7[],2,FALSE)</f>
        <v>30-4118-018-XXX</v>
      </c>
      <c r="I6635" t="str">
        <f>VLOOKUP(record[[#This Row],[ProcessSN]],表格2_7[],3,FALSE)</f>
        <v>#02IQC</v>
      </c>
      <c r="J6635" t="s">
        <v>583</v>
      </c>
      <c r="K6635" s="195">
        <v>45978.749201388891</v>
      </c>
      <c r="L6635">
        <v>604</v>
      </c>
      <c r="M6635">
        <v>0</v>
      </c>
      <c r="N6635" s="98" t="str">
        <f>IF(record[[#This Row],[Memo]]="Browser:chrome os:android","平板報工",IF(record[[#This Row],[Memo]]=0,"委外",record[[#This Row],[Memo]]))</f>
        <v/>
      </c>
      <c r="O6635" t="s">
        <v>58</v>
      </c>
      <c r="P6635" t="s">
        <v>109</v>
      </c>
      <c r="Q6635" t="s">
        <v>58</v>
      </c>
      <c r="R6635" t="str">
        <f>IFERROR(VLOOKUP(record[[#This Row],[PCUSTID]],廠商[],2,FALSE),"")</f>
        <v/>
      </c>
      <c r="S6635" t="str">
        <f>VLOOKUP(record[[#This Row],[employeeID]],員工[],2,FALSE)</f>
        <v>裴氏璧鳳</v>
      </c>
    </row>
    <row r="6636" spans="6:19" hidden="1" x14ac:dyDescent="0.25">
      <c r="F6636" t="s">
        <v>1204</v>
      </c>
      <c r="G6636" t="s">
        <v>403</v>
      </c>
      <c r="H6636" t="str">
        <f>VLOOKUP(record[[#This Row],[ProcessSN]],表格2_7[],2,FALSE)</f>
        <v>30-4118-018-550</v>
      </c>
      <c r="I6636" t="str">
        <f>VLOOKUP(record[[#This Row],[ProcessSN]],表格2_7[],3,FALSE)</f>
        <v>#100SHIP</v>
      </c>
      <c r="J6636" t="s">
        <v>600</v>
      </c>
      <c r="K6636" s="195">
        <v>45978.690798611111</v>
      </c>
      <c r="L6636">
        <v>20</v>
      </c>
      <c r="M6636">
        <v>0</v>
      </c>
      <c r="N6636" s="98" t="str">
        <f>IF(record[[#This Row],[Memo]]="Browser:chrome os:android","平板報工",IF(record[[#This Row],[Memo]]=0,"委外",record[[#This Row],[Memo]]))</f>
        <v/>
      </c>
      <c r="O6636" t="s">
        <v>58</v>
      </c>
      <c r="P6636" t="s">
        <v>886</v>
      </c>
      <c r="Q6636" t="s">
        <v>58</v>
      </c>
      <c r="R6636" t="str">
        <f>IFERROR(VLOOKUP(record[[#This Row],[PCUSTID]],廠商[],2,FALSE),"")</f>
        <v/>
      </c>
      <c r="S6636" t="str">
        <f>VLOOKUP(record[[#This Row],[employeeID]],員工[],2,FALSE)</f>
        <v>謝蓁薰</v>
      </c>
    </row>
    <row r="6637" spans="6:19" hidden="1" x14ac:dyDescent="0.25">
      <c r="F6637" t="s">
        <v>1204</v>
      </c>
      <c r="G6637" t="s">
        <v>403</v>
      </c>
      <c r="H6637" t="str">
        <f>VLOOKUP(record[[#This Row],[ProcessSN]],表格2_7[],2,FALSE)</f>
        <v>30-4118-018-550</v>
      </c>
      <c r="I6637" t="str">
        <f>VLOOKUP(record[[#This Row],[ProcessSN]],表格2_7[],3,FALSE)</f>
        <v>#100SHIP</v>
      </c>
      <c r="J6637" t="s">
        <v>600</v>
      </c>
      <c r="K6637" s="195">
        <v>45978.690671296295</v>
      </c>
      <c r="L6637">
        <v>23</v>
      </c>
      <c r="M6637">
        <v>0</v>
      </c>
      <c r="N6637" s="98" t="str">
        <f>IF(record[[#This Row],[Memo]]="Browser:chrome os:android","平板報工",IF(record[[#This Row],[Memo]]=0,"委外",record[[#This Row],[Memo]]))</f>
        <v/>
      </c>
      <c r="O6637" t="s">
        <v>58</v>
      </c>
      <c r="P6637" t="s">
        <v>886</v>
      </c>
      <c r="Q6637" t="s">
        <v>58</v>
      </c>
      <c r="R6637" t="str">
        <f>IFERROR(VLOOKUP(record[[#This Row],[PCUSTID]],廠商[],2,FALSE),"")</f>
        <v/>
      </c>
      <c r="S6637" t="str">
        <f>VLOOKUP(record[[#This Row],[employeeID]],員工[],2,FALSE)</f>
        <v>謝蓁薰</v>
      </c>
    </row>
    <row r="6638" spans="6:19" hidden="1" x14ac:dyDescent="0.25">
      <c r="F6638" t="s">
        <v>1205</v>
      </c>
      <c r="G6638" t="s">
        <v>403</v>
      </c>
      <c r="H6638" t="str">
        <f>VLOOKUP(record[[#This Row],[ProcessSN]],表格2_7[],2,FALSE)</f>
        <v>30-4118-018-550</v>
      </c>
      <c r="I6638" t="str">
        <f>VLOOKUP(record[[#This Row],[ProcessSN]],表格2_7[],3,FALSE)</f>
        <v>#100SHIP</v>
      </c>
      <c r="J6638" t="s">
        <v>600</v>
      </c>
      <c r="K6638" s="195">
        <v>45978.690520833334</v>
      </c>
      <c r="L6638">
        <v>13</v>
      </c>
      <c r="M6638">
        <v>0</v>
      </c>
      <c r="N6638" s="98" t="str">
        <f>IF(record[[#This Row],[Memo]]="Browser:chrome os:android","平板報工",IF(record[[#This Row],[Memo]]=0,"委外",record[[#This Row],[Memo]]))</f>
        <v/>
      </c>
      <c r="O6638" t="s">
        <v>58</v>
      </c>
      <c r="P6638" t="s">
        <v>886</v>
      </c>
      <c r="Q6638" t="s">
        <v>58</v>
      </c>
      <c r="R6638" t="str">
        <f>IFERROR(VLOOKUP(record[[#This Row],[PCUSTID]],廠商[],2,FALSE),"")</f>
        <v/>
      </c>
      <c r="S6638" t="str">
        <f>VLOOKUP(record[[#This Row],[employeeID]],員工[],2,FALSE)</f>
        <v>謝蓁薰</v>
      </c>
    </row>
    <row r="6639" spans="6:19" hidden="1" x14ac:dyDescent="0.25">
      <c r="F6639" t="s">
        <v>1198</v>
      </c>
      <c r="G6639" t="s">
        <v>403</v>
      </c>
      <c r="H6639" t="str">
        <f>VLOOKUP(record[[#This Row],[ProcessSN]],表格2_7[],2,FALSE)</f>
        <v>30-4118-018-550</v>
      </c>
      <c r="I6639" t="str">
        <f>VLOOKUP(record[[#This Row],[ProcessSN]],表格2_7[],3,FALSE)</f>
        <v>#100SHIP</v>
      </c>
      <c r="J6639" t="s">
        <v>600</v>
      </c>
      <c r="K6639" s="195">
        <v>45978.690405092595</v>
      </c>
      <c r="L6639">
        <v>7</v>
      </c>
      <c r="M6639">
        <v>0</v>
      </c>
      <c r="N6639" s="98" t="str">
        <f>IF(record[[#This Row],[Memo]]="Browser:chrome os:android","平板報工",IF(record[[#This Row],[Memo]]=0,"委外",record[[#This Row],[Memo]]))</f>
        <v/>
      </c>
      <c r="O6639" t="s">
        <v>58</v>
      </c>
      <c r="P6639" t="s">
        <v>886</v>
      </c>
      <c r="Q6639" t="s">
        <v>58</v>
      </c>
      <c r="R6639" t="str">
        <f>IFERROR(VLOOKUP(record[[#This Row],[PCUSTID]],廠商[],2,FALSE),"")</f>
        <v/>
      </c>
      <c r="S6639" t="str">
        <f>VLOOKUP(record[[#This Row],[employeeID]],員工[],2,FALSE)</f>
        <v>謝蓁薰</v>
      </c>
    </row>
    <row r="6640" spans="6:19" hidden="1" x14ac:dyDescent="0.25">
      <c r="F6640" t="s">
        <v>1204</v>
      </c>
      <c r="G6640" t="s">
        <v>402</v>
      </c>
      <c r="H6640" t="str">
        <f>VLOOKUP(record[[#This Row],[ProcessSN]],表格2_7[],2,FALSE)</f>
        <v>30-4118-018-550</v>
      </c>
      <c r="I6640" t="str">
        <f>VLOOKUP(record[[#This Row],[ProcessSN]],表格2_7[],3,FALSE)</f>
        <v>#100STOCK</v>
      </c>
      <c r="J6640" t="s">
        <v>592</v>
      </c>
      <c r="K6640" s="195">
        <v>45978.689918981479</v>
      </c>
      <c r="L6640">
        <v>20</v>
      </c>
      <c r="M6640">
        <v>0</v>
      </c>
      <c r="N6640" s="98" t="str">
        <f>IF(record[[#This Row],[Memo]]="Browser:chrome os:android","平板報工",IF(record[[#This Row],[Memo]]=0,"委外",record[[#This Row],[Memo]]))</f>
        <v/>
      </c>
      <c r="O6640" t="s">
        <v>58</v>
      </c>
      <c r="P6640" t="s">
        <v>886</v>
      </c>
      <c r="Q6640" t="s">
        <v>58</v>
      </c>
      <c r="R6640" t="str">
        <f>IFERROR(VLOOKUP(record[[#This Row],[PCUSTID]],廠商[],2,FALSE),"")</f>
        <v/>
      </c>
      <c r="S6640" t="str">
        <f>VLOOKUP(record[[#This Row],[employeeID]],員工[],2,FALSE)</f>
        <v>謝蓁薰</v>
      </c>
    </row>
    <row r="6641" spans="6:19" hidden="1" x14ac:dyDescent="0.25">
      <c r="F6641" t="s">
        <v>1205</v>
      </c>
      <c r="G6641" t="s">
        <v>402</v>
      </c>
      <c r="H6641" t="str">
        <f>VLOOKUP(record[[#This Row],[ProcessSN]],表格2_7[],2,FALSE)</f>
        <v>30-4118-018-550</v>
      </c>
      <c r="I6641" t="str">
        <f>VLOOKUP(record[[#This Row],[ProcessSN]],表格2_7[],3,FALSE)</f>
        <v>#100STOCK</v>
      </c>
      <c r="J6641" t="s">
        <v>592</v>
      </c>
      <c r="K6641" s="195">
        <v>45978.689259259256</v>
      </c>
      <c r="L6641">
        <v>13</v>
      </c>
      <c r="M6641">
        <v>0</v>
      </c>
      <c r="N6641" s="98" t="str">
        <f>IF(record[[#This Row],[Memo]]="Browser:chrome os:android","平板報工",IF(record[[#This Row],[Memo]]=0,"委外",record[[#This Row],[Memo]]))</f>
        <v/>
      </c>
      <c r="O6641" t="s">
        <v>58</v>
      </c>
      <c r="P6641" t="s">
        <v>886</v>
      </c>
      <c r="Q6641" t="s">
        <v>58</v>
      </c>
      <c r="R6641" t="str">
        <f>IFERROR(VLOOKUP(record[[#This Row],[PCUSTID]],廠商[],2,FALSE),"")</f>
        <v/>
      </c>
      <c r="S6641" t="str">
        <f>VLOOKUP(record[[#This Row],[employeeID]],員工[],2,FALSE)</f>
        <v>謝蓁薰</v>
      </c>
    </row>
    <row r="6642" spans="6:19" hidden="1" x14ac:dyDescent="0.25">
      <c r="F6642" t="s">
        <v>1204</v>
      </c>
      <c r="G6642" t="s">
        <v>402</v>
      </c>
      <c r="H6642" t="str">
        <f>VLOOKUP(record[[#This Row],[ProcessSN]],表格2_7[],2,FALSE)</f>
        <v>30-4118-018-550</v>
      </c>
      <c r="I6642" t="str">
        <f>VLOOKUP(record[[#This Row],[ProcessSN]],表格2_7[],3,FALSE)</f>
        <v>#100STOCK</v>
      </c>
      <c r="J6642" t="s">
        <v>592</v>
      </c>
      <c r="K6642" s="195">
        <v>45978.689143518517</v>
      </c>
      <c r="L6642">
        <v>23</v>
      </c>
      <c r="M6642">
        <v>0</v>
      </c>
      <c r="N6642" s="98" t="str">
        <f>IF(record[[#This Row],[Memo]]="Browser:chrome os:android","平板報工",IF(record[[#This Row],[Memo]]=0,"委外",record[[#This Row],[Memo]]))</f>
        <v/>
      </c>
      <c r="O6642" t="s">
        <v>58</v>
      </c>
      <c r="P6642" t="s">
        <v>886</v>
      </c>
      <c r="Q6642" t="s">
        <v>58</v>
      </c>
      <c r="R6642" t="str">
        <f>IFERROR(VLOOKUP(record[[#This Row],[PCUSTID]],廠商[],2,FALSE),"")</f>
        <v/>
      </c>
      <c r="S6642" t="str">
        <f>VLOOKUP(record[[#This Row],[employeeID]],員工[],2,FALSE)</f>
        <v>謝蓁薰</v>
      </c>
    </row>
    <row r="6643" spans="6:19" hidden="1" x14ac:dyDescent="0.25">
      <c r="F6643" t="s">
        <v>1205</v>
      </c>
      <c r="G6643" t="s">
        <v>401</v>
      </c>
      <c r="H6643" t="str">
        <f>VLOOKUP(record[[#This Row],[ProcessSN]],表格2_7[],2,FALSE)</f>
        <v>30-4118-018-550</v>
      </c>
      <c r="I6643" t="str">
        <f>VLOOKUP(record[[#This Row],[ProcessSN]],表格2_7[],3,FALSE)</f>
        <v>#100OQC</v>
      </c>
      <c r="J6643" t="s">
        <v>599</v>
      </c>
      <c r="K6643" s="195">
        <v>45978.686076388891</v>
      </c>
      <c r="L6643">
        <v>327</v>
      </c>
      <c r="M6643">
        <v>0</v>
      </c>
      <c r="N6643" s="98" t="str">
        <f>IF(record[[#This Row],[Memo]]="Browser:chrome os:android","平板報工",IF(record[[#This Row],[Memo]]=0,"委外",record[[#This Row],[Memo]]))</f>
        <v/>
      </c>
      <c r="O6643" t="s">
        <v>58</v>
      </c>
      <c r="P6643" t="s">
        <v>121</v>
      </c>
      <c r="Q6643" t="s">
        <v>58</v>
      </c>
      <c r="R6643" t="str">
        <f>IFERROR(VLOOKUP(record[[#This Row],[PCUSTID]],廠商[],2,FALSE),"")</f>
        <v/>
      </c>
      <c r="S6643" t="str">
        <f>VLOOKUP(record[[#This Row],[employeeID]],員工[],2,FALSE)</f>
        <v>謝素卿</v>
      </c>
    </row>
    <row r="6644" spans="6:19" hidden="1" x14ac:dyDescent="0.25">
      <c r="F6644" t="s">
        <v>1204</v>
      </c>
      <c r="G6644" t="s">
        <v>401</v>
      </c>
      <c r="H6644" t="str">
        <f>VLOOKUP(record[[#This Row],[ProcessSN]],表格2_7[],2,FALSE)</f>
        <v>30-4118-018-550</v>
      </c>
      <c r="I6644" t="str">
        <f>VLOOKUP(record[[#This Row],[ProcessSN]],表格2_7[],3,FALSE)</f>
        <v>#100OQC</v>
      </c>
      <c r="J6644" t="s">
        <v>599</v>
      </c>
      <c r="K6644" s="195">
        <v>45978.685891203706</v>
      </c>
      <c r="L6644">
        <v>176</v>
      </c>
      <c r="M6644">
        <v>0</v>
      </c>
      <c r="N6644" s="98" t="str">
        <f>IF(record[[#This Row],[Memo]]="Browser:chrome os:android","平板報工",IF(record[[#This Row],[Memo]]=0,"委外",record[[#This Row],[Memo]]))</f>
        <v/>
      </c>
      <c r="O6644" t="s">
        <v>58</v>
      </c>
      <c r="P6644" t="s">
        <v>121</v>
      </c>
      <c r="Q6644" t="s">
        <v>58</v>
      </c>
      <c r="R6644" t="str">
        <f>IFERROR(VLOOKUP(record[[#This Row],[PCUSTID]],廠商[],2,FALSE),"")</f>
        <v/>
      </c>
      <c r="S6644" t="str">
        <f>VLOOKUP(record[[#This Row],[employeeID]],員工[],2,FALSE)</f>
        <v>謝素卿</v>
      </c>
    </row>
    <row r="6645" spans="6:19" hidden="1" x14ac:dyDescent="0.25">
      <c r="F6645" t="s">
        <v>1189</v>
      </c>
      <c r="G6645" t="s">
        <v>416</v>
      </c>
      <c r="H6645" t="str">
        <f>VLOOKUP(record[[#This Row],[ProcessSN]],表格2_7[],2,FALSE)</f>
        <v>30-4118-018-5XX</v>
      </c>
      <c r="I6645" t="str">
        <f>VLOOKUP(record[[#This Row],[ProcessSN]],表格2_7[],3,FALSE)</f>
        <v>#05</v>
      </c>
      <c r="J6645" t="s">
        <v>588</v>
      </c>
      <c r="K6645" s="195">
        <v>45978.667233796295</v>
      </c>
      <c r="L6645">
        <v>284</v>
      </c>
      <c r="M6645">
        <v>0</v>
      </c>
      <c r="N6645" s="98" t="str">
        <f>IF(record[[#This Row],[Memo]]="Browser:chrome os:android","平板報工",IF(record[[#This Row],[Memo]]=0,"委外",record[[#This Row],[Memo]]))</f>
        <v>平板報工</v>
      </c>
      <c r="O6645" t="s">
        <v>643</v>
      </c>
      <c r="P6645" t="s">
        <v>107</v>
      </c>
      <c r="Q6645" t="s">
        <v>644</v>
      </c>
      <c r="R6645" t="str">
        <f>IFERROR(VLOOKUP(record[[#This Row],[PCUSTID]],廠商[],2,FALSE),"")</f>
        <v/>
      </c>
      <c r="S6645" t="str">
        <f>VLOOKUP(record[[#This Row],[employeeID]],員工[],2,FALSE)</f>
        <v>黎氏順</v>
      </c>
    </row>
    <row r="6646" spans="6:19" hidden="1" x14ac:dyDescent="0.25">
      <c r="F6646" t="s">
        <v>1189</v>
      </c>
      <c r="G6646" t="s">
        <v>418</v>
      </c>
      <c r="H6646" t="str">
        <f>VLOOKUP(record[[#This Row],[ProcessSN]],表格2_7[],2,FALSE)</f>
        <v>30-4118-018-5XX</v>
      </c>
      <c r="I6646" t="str">
        <f>VLOOKUP(record[[#This Row],[ProcessSN]],表格2_7[],3,FALSE)</f>
        <v>#07</v>
      </c>
      <c r="J6646" t="s">
        <v>588</v>
      </c>
      <c r="K6646" s="195">
        <v>45978.643530092595</v>
      </c>
      <c r="L6646">
        <v>10</v>
      </c>
      <c r="M6646">
        <v>0</v>
      </c>
      <c r="N6646" s="98" t="str">
        <f>IF(record[[#This Row],[Memo]]="Browser:chrome os:android","平板報工",IF(record[[#This Row],[Memo]]=0,"委外",record[[#This Row],[Memo]]))</f>
        <v>平板報工</v>
      </c>
      <c r="O6646" t="s">
        <v>643</v>
      </c>
      <c r="P6646" t="s">
        <v>785</v>
      </c>
      <c r="Q6646" t="s">
        <v>644</v>
      </c>
      <c r="R6646" t="str">
        <f>IFERROR(VLOOKUP(record[[#This Row],[PCUSTID]],廠商[],2,FALSE),"")</f>
        <v/>
      </c>
      <c r="S6646" t="str">
        <f>VLOOKUP(record[[#This Row],[employeeID]],員工[],2,FALSE)</f>
        <v>謝刻光</v>
      </c>
    </row>
    <row r="6647" spans="6:19" hidden="1" x14ac:dyDescent="0.25">
      <c r="F6647" t="s">
        <v>1189</v>
      </c>
      <c r="G6647" t="s">
        <v>417</v>
      </c>
      <c r="H6647" t="str">
        <f>VLOOKUP(record[[#This Row],[ProcessSN]],表格2_7[],2,FALSE)</f>
        <v>30-4118-018-5XX</v>
      </c>
      <c r="I6647" t="str">
        <f>VLOOKUP(record[[#This Row],[ProcessSN]],表格2_7[],3,FALSE)</f>
        <v>#06</v>
      </c>
      <c r="J6647" t="s">
        <v>593</v>
      </c>
      <c r="K6647" s="195">
        <v>45978.643159722225</v>
      </c>
      <c r="L6647">
        <v>15</v>
      </c>
      <c r="M6647">
        <v>0</v>
      </c>
      <c r="N6647" s="98" t="str">
        <f>IF(record[[#This Row],[Memo]]="Browser:chrome os:android","平板報工",IF(record[[#This Row],[Memo]]=0,"委外",record[[#This Row],[Memo]]))</f>
        <v>平板報工</v>
      </c>
      <c r="O6647" t="s">
        <v>643</v>
      </c>
      <c r="P6647" t="s">
        <v>111</v>
      </c>
      <c r="Q6647" t="s">
        <v>644</v>
      </c>
      <c r="R6647" t="str">
        <f>IFERROR(VLOOKUP(record[[#This Row],[PCUSTID]],廠商[],2,FALSE),"")</f>
        <v/>
      </c>
      <c r="S6647" t="str">
        <f>VLOOKUP(record[[#This Row],[employeeID]],員工[],2,FALSE)</f>
        <v>江栩妘</v>
      </c>
    </row>
    <row r="6648" spans="6:19" hidden="1" x14ac:dyDescent="0.25">
      <c r="F6648" t="s">
        <v>1189</v>
      </c>
      <c r="G6648" t="s">
        <v>415</v>
      </c>
      <c r="H6648" t="str">
        <f>VLOOKUP(record[[#This Row],[ProcessSN]],表格2_7[],2,FALSE)</f>
        <v>30-4118-018-5XX</v>
      </c>
      <c r="I6648" t="str">
        <f>VLOOKUP(record[[#This Row],[ProcessSN]],表格2_7[],3,FALSE)</f>
        <v>#04</v>
      </c>
      <c r="J6648" t="s">
        <v>588</v>
      </c>
      <c r="K6648" s="195">
        <v>45978.638668981483</v>
      </c>
      <c r="L6648">
        <v>115</v>
      </c>
      <c r="M6648">
        <v>0</v>
      </c>
      <c r="N6648" s="98" t="str">
        <f>IF(record[[#This Row],[Memo]]="Browser:chrome os:android","平板報工",IF(record[[#This Row],[Memo]]=0,"委外",record[[#This Row],[Memo]]))</f>
        <v>平板報工</v>
      </c>
      <c r="O6648" t="s">
        <v>643</v>
      </c>
      <c r="P6648" t="s">
        <v>785</v>
      </c>
      <c r="Q6648" t="s">
        <v>644</v>
      </c>
      <c r="R6648" t="str">
        <f>IFERROR(VLOOKUP(record[[#This Row],[PCUSTID]],廠商[],2,FALSE),"")</f>
        <v/>
      </c>
      <c r="S6648" t="str">
        <f>VLOOKUP(record[[#This Row],[employeeID]],員工[],2,FALSE)</f>
        <v>謝刻光</v>
      </c>
    </row>
    <row r="6649" spans="6:19" hidden="1" x14ac:dyDescent="0.25">
      <c r="F6649" t="s">
        <v>1189</v>
      </c>
      <c r="G6649" t="s">
        <v>420</v>
      </c>
      <c r="H6649" t="str">
        <f>VLOOKUP(record[[#This Row],[ProcessSN]],表格2_7[],2,FALSE)</f>
        <v>30-4118-018-5XX</v>
      </c>
      <c r="I6649" t="str">
        <f>VLOOKUP(record[[#This Row],[ProcessSN]],表格2_7[],3,FALSE)</f>
        <v>#07STOCK</v>
      </c>
      <c r="J6649" t="s">
        <v>592</v>
      </c>
      <c r="K6649" s="195">
        <v>45978.614432870374</v>
      </c>
      <c r="L6649">
        <v>100</v>
      </c>
      <c r="M6649">
        <v>0</v>
      </c>
      <c r="N6649" s="98" t="str">
        <f>IF(record[[#This Row],[Memo]]="Browser:chrome os:android","平板報工",IF(record[[#This Row],[Memo]]=0,"委外",record[[#This Row],[Memo]]))</f>
        <v/>
      </c>
      <c r="O6649" t="s">
        <v>58</v>
      </c>
      <c r="P6649" t="s">
        <v>186</v>
      </c>
      <c r="Q6649" t="s">
        <v>58</v>
      </c>
      <c r="R6649" t="str">
        <f>IFERROR(VLOOKUP(record[[#This Row],[PCUSTID]],廠商[],2,FALSE),"")</f>
        <v/>
      </c>
      <c r="S6649" t="str">
        <f>VLOOKUP(record[[#This Row],[employeeID]],員工[],2,FALSE)</f>
        <v>許文姍</v>
      </c>
    </row>
    <row r="6650" spans="6:19" hidden="1" x14ac:dyDescent="0.25">
      <c r="F6650" t="s">
        <v>1218</v>
      </c>
      <c r="G6650" t="s">
        <v>397</v>
      </c>
      <c r="H6650" t="str">
        <f>VLOOKUP(record[[#This Row],[ProcessSN]],表格2_7[],2,FALSE)</f>
        <v>30-4118-018-550</v>
      </c>
      <c r="I6650" t="str">
        <f>VLOOKUP(record[[#This Row],[ProcessSN]],表格2_7[],3,FALSE)</f>
        <v>#08</v>
      </c>
      <c r="J6650" t="s">
        <v>597</v>
      </c>
      <c r="K6650" s="195">
        <v>45978.613900462966</v>
      </c>
      <c r="L6650">
        <v>100</v>
      </c>
      <c r="M6650">
        <v>0</v>
      </c>
      <c r="N6650" s="98" t="str">
        <f>IF(record[[#This Row],[Memo]]="Browser:chrome os:android","平板報工",IF(record[[#This Row],[Memo]]=0,"委外",record[[#This Row],[Memo]]))</f>
        <v>委外</v>
      </c>
      <c r="P6650" t="s">
        <v>186</v>
      </c>
      <c r="Q6650" t="s">
        <v>287</v>
      </c>
      <c r="R6650" t="str">
        <f>IFERROR(VLOOKUP(record[[#This Row],[PCUSTID]],廠商[],2,FALSE),"")</f>
        <v>泉盛</v>
      </c>
      <c r="S6650" t="str">
        <f>VLOOKUP(record[[#This Row],[employeeID]],員工[],2,FALSE)</f>
        <v>許文姍</v>
      </c>
    </row>
    <row r="6651" spans="6:19" hidden="1" x14ac:dyDescent="0.25">
      <c r="F6651" t="s">
        <v>1189</v>
      </c>
      <c r="G6651" t="s">
        <v>419</v>
      </c>
      <c r="H6651" t="str">
        <f>VLOOKUP(record[[#This Row],[ProcessSN]],表格2_7[],2,FALSE)</f>
        <v>30-4118-018-5XX</v>
      </c>
      <c r="I6651" t="str">
        <f>VLOOKUP(record[[#This Row],[ProcessSN]],表格2_7[],3,FALSE)</f>
        <v>#07QC</v>
      </c>
      <c r="J6651" t="s">
        <v>589</v>
      </c>
      <c r="K6651" s="195">
        <v>45978.612870370373</v>
      </c>
      <c r="L6651">
        <v>100</v>
      </c>
      <c r="M6651">
        <v>0</v>
      </c>
      <c r="N6651" s="98" t="str">
        <f>IF(record[[#This Row],[Memo]]="Browser:chrome os:android","平板報工",IF(record[[#This Row],[Memo]]=0,"委外",record[[#This Row],[Memo]]))</f>
        <v/>
      </c>
      <c r="O6651" t="s">
        <v>58</v>
      </c>
      <c r="P6651" t="s">
        <v>141</v>
      </c>
      <c r="Q6651" t="s">
        <v>58</v>
      </c>
      <c r="R6651" t="str">
        <f>IFERROR(VLOOKUP(record[[#This Row],[PCUSTID]],廠商[],2,FALSE),"")</f>
        <v/>
      </c>
      <c r="S6651" t="str">
        <f>VLOOKUP(record[[#This Row],[employeeID]],員工[],2,FALSE)</f>
        <v>蔣梅</v>
      </c>
    </row>
    <row r="6652" spans="6:19" hidden="1" x14ac:dyDescent="0.25">
      <c r="F6652" t="s">
        <v>1218</v>
      </c>
      <c r="G6652" t="s">
        <v>396</v>
      </c>
      <c r="H6652" t="str">
        <f>VLOOKUP(record[[#This Row],[ProcessSN]],表格2_7[],2,FALSE)</f>
        <v>30-4118-018-550</v>
      </c>
      <c r="I6652" t="str">
        <f>VLOOKUP(record[[#This Row],[ProcessSN]],表格2_7[],3,FALSE)</f>
        <v>#08PICK</v>
      </c>
      <c r="J6652" t="s">
        <v>582</v>
      </c>
      <c r="K6652" s="195">
        <v>45978.611909722225</v>
      </c>
      <c r="L6652">
        <v>100</v>
      </c>
      <c r="M6652">
        <v>0</v>
      </c>
      <c r="N6652" s="98" t="str">
        <f>IF(record[[#This Row],[Memo]]="Browser:chrome os:android","平板報工",IF(record[[#This Row],[Memo]]=0,"委外",record[[#This Row],[Memo]]))</f>
        <v/>
      </c>
      <c r="O6652" t="s">
        <v>58</v>
      </c>
      <c r="P6652" t="s">
        <v>186</v>
      </c>
      <c r="Q6652" t="s">
        <v>58</v>
      </c>
      <c r="R6652" t="str">
        <f>IFERROR(VLOOKUP(record[[#This Row],[PCUSTID]],廠商[],2,FALSE),"")</f>
        <v/>
      </c>
      <c r="S6652" t="str">
        <f>VLOOKUP(record[[#This Row],[employeeID]],員工[],2,FALSE)</f>
        <v>許文姍</v>
      </c>
    </row>
    <row r="6653" spans="6:19" hidden="1" x14ac:dyDescent="0.25">
      <c r="F6653" t="s">
        <v>1198</v>
      </c>
      <c r="G6653" t="s">
        <v>402</v>
      </c>
      <c r="H6653" t="str">
        <f>VLOOKUP(record[[#This Row],[ProcessSN]],表格2_7[],2,FALSE)</f>
        <v>30-4118-018-550</v>
      </c>
      <c r="I6653" t="str">
        <f>VLOOKUP(record[[#This Row],[ProcessSN]],表格2_7[],3,FALSE)</f>
        <v>#100STOCK</v>
      </c>
      <c r="J6653" t="s">
        <v>592</v>
      </c>
      <c r="K6653" s="195">
        <v>45978.608854166669</v>
      </c>
      <c r="L6653">
        <v>7</v>
      </c>
      <c r="M6653">
        <v>0</v>
      </c>
      <c r="N6653" s="98" t="str">
        <f>IF(record[[#This Row],[Memo]]="Browser:chrome os:android","平板報工",IF(record[[#This Row],[Memo]]=0,"委外",record[[#This Row],[Memo]]))</f>
        <v/>
      </c>
      <c r="O6653" t="s">
        <v>58</v>
      </c>
      <c r="P6653" t="s">
        <v>886</v>
      </c>
      <c r="Q6653" t="s">
        <v>58</v>
      </c>
      <c r="R6653" t="str">
        <f>IFERROR(VLOOKUP(record[[#This Row],[PCUSTID]],廠商[],2,FALSE),"")</f>
        <v/>
      </c>
      <c r="S6653" t="str">
        <f>VLOOKUP(record[[#This Row],[employeeID]],員工[],2,FALSE)</f>
        <v>謝蓁薰</v>
      </c>
    </row>
    <row r="6654" spans="6:19" hidden="1" x14ac:dyDescent="0.25">
      <c r="F6654" t="s">
        <v>1189</v>
      </c>
      <c r="G6654" t="s">
        <v>418</v>
      </c>
      <c r="H6654" t="str">
        <f>VLOOKUP(record[[#This Row],[ProcessSN]],表格2_7[],2,FALSE)</f>
        <v>30-4118-018-5XX</v>
      </c>
      <c r="I6654" t="str">
        <f>VLOOKUP(record[[#This Row],[ProcessSN]],表格2_7[],3,FALSE)</f>
        <v>#07</v>
      </c>
      <c r="J6654" t="s">
        <v>588</v>
      </c>
      <c r="K6654" s="195">
        <v>45978.595567129632</v>
      </c>
      <c r="L6654">
        <v>100</v>
      </c>
      <c r="M6654">
        <v>0</v>
      </c>
      <c r="N6654" s="98" t="str">
        <f>IF(record[[#This Row],[Memo]]="Browser:chrome os:android","平板報工",IF(record[[#This Row],[Memo]]=0,"委外",record[[#This Row],[Memo]]))</f>
        <v/>
      </c>
      <c r="O6654" t="s">
        <v>58</v>
      </c>
      <c r="P6654" t="s">
        <v>101</v>
      </c>
      <c r="Q6654" t="s">
        <v>58</v>
      </c>
      <c r="R6654" t="str">
        <f>IFERROR(VLOOKUP(record[[#This Row],[PCUSTID]],廠商[],2,FALSE),"")</f>
        <v/>
      </c>
      <c r="S6654" t="str">
        <f>VLOOKUP(record[[#This Row],[employeeID]],員工[],2,FALSE)</f>
        <v>陳氏絨</v>
      </c>
    </row>
    <row r="6655" spans="6:19" hidden="1" x14ac:dyDescent="0.25">
      <c r="F6655" t="s">
        <v>1189</v>
      </c>
      <c r="G6655" t="s">
        <v>417</v>
      </c>
      <c r="H6655" t="str">
        <f>VLOOKUP(record[[#This Row],[ProcessSN]],表格2_7[],2,FALSE)</f>
        <v>30-4118-018-5XX</v>
      </c>
      <c r="I6655" t="str">
        <f>VLOOKUP(record[[#This Row],[ProcessSN]],表格2_7[],3,FALSE)</f>
        <v>#06</v>
      </c>
      <c r="J6655" t="s">
        <v>593</v>
      </c>
      <c r="K6655" s="195">
        <v>45978.59516203704</v>
      </c>
      <c r="L6655">
        <v>100</v>
      </c>
      <c r="M6655">
        <v>0</v>
      </c>
      <c r="N6655" s="98" t="str">
        <f>IF(record[[#This Row],[Memo]]="Browser:chrome os:android","平板報工",IF(record[[#This Row],[Memo]]=0,"委外",record[[#This Row],[Memo]]))</f>
        <v/>
      </c>
      <c r="O6655" t="s">
        <v>58</v>
      </c>
      <c r="P6655" t="s">
        <v>101</v>
      </c>
      <c r="Q6655" t="s">
        <v>58</v>
      </c>
      <c r="R6655" t="str">
        <f>IFERROR(VLOOKUP(record[[#This Row],[PCUSTID]],廠商[],2,FALSE),"")</f>
        <v/>
      </c>
      <c r="S6655" t="str">
        <f>VLOOKUP(record[[#This Row],[employeeID]],員工[],2,FALSE)</f>
        <v>陳氏絨</v>
      </c>
    </row>
    <row r="6656" spans="6:19" hidden="1" x14ac:dyDescent="0.25">
      <c r="F6656" t="s">
        <v>1204</v>
      </c>
      <c r="G6656" t="s">
        <v>400</v>
      </c>
      <c r="H6656" t="str">
        <f>VLOOKUP(record[[#This Row],[ProcessSN]],表格2_7[],2,FALSE)</f>
        <v>30-4118-018-550</v>
      </c>
      <c r="I6656" t="str">
        <f>VLOOKUP(record[[#This Row],[ProcessSN]],表格2_7[],3,FALSE)</f>
        <v>#100</v>
      </c>
      <c r="J6656" t="s">
        <v>598</v>
      </c>
      <c r="K6656" s="195">
        <v>45978.567233796297</v>
      </c>
      <c r="L6656">
        <v>21</v>
      </c>
      <c r="M6656">
        <v>0</v>
      </c>
      <c r="N6656" s="98" t="str">
        <f>IF(record[[#This Row],[Memo]]="Browser:chrome os:android","平板報工",IF(record[[#This Row],[Memo]]=0,"委外",record[[#This Row],[Memo]]))</f>
        <v>覆回品</v>
      </c>
      <c r="O6656" t="s">
        <v>664</v>
      </c>
      <c r="P6656" t="s">
        <v>141</v>
      </c>
      <c r="Q6656" t="s">
        <v>58</v>
      </c>
      <c r="R6656" t="str">
        <f>IFERROR(VLOOKUP(record[[#This Row],[PCUSTID]],廠商[],2,FALSE),"")</f>
        <v/>
      </c>
      <c r="S6656" t="str">
        <f>VLOOKUP(record[[#This Row],[employeeID]],員工[],2,FALSE)</f>
        <v>蔣梅</v>
      </c>
    </row>
    <row r="6657" spans="6:19" hidden="1" x14ac:dyDescent="0.25">
      <c r="F6657" t="s">
        <v>1205</v>
      </c>
      <c r="G6657" t="s">
        <v>400</v>
      </c>
      <c r="H6657" t="str">
        <f>VLOOKUP(record[[#This Row],[ProcessSN]],表格2_7[],2,FALSE)</f>
        <v>30-4118-018-550</v>
      </c>
      <c r="I6657" t="str">
        <f>VLOOKUP(record[[#This Row],[ProcessSN]],表格2_7[],3,FALSE)</f>
        <v>#100</v>
      </c>
      <c r="J6657" t="s">
        <v>598</v>
      </c>
      <c r="K6657" s="195">
        <v>45978.566620370373</v>
      </c>
      <c r="L6657">
        <v>314</v>
      </c>
      <c r="M6657">
        <v>0</v>
      </c>
      <c r="N6657" s="98" t="str">
        <f>IF(record[[#This Row],[Memo]]="Browser:chrome os:android","平板報工",IF(record[[#This Row],[Memo]]=0,"委外",record[[#This Row],[Memo]]))</f>
        <v/>
      </c>
      <c r="O6657" t="s">
        <v>58</v>
      </c>
      <c r="P6657" t="s">
        <v>141</v>
      </c>
      <c r="Q6657" t="s">
        <v>58</v>
      </c>
      <c r="R6657" t="str">
        <f>IFERROR(VLOOKUP(record[[#This Row],[PCUSTID]],廠商[],2,FALSE),"")</f>
        <v/>
      </c>
      <c r="S6657" t="str">
        <f>VLOOKUP(record[[#This Row],[employeeID]],員工[],2,FALSE)</f>
        <v>蔣梅</v>
      </c>
    </row>
    <row r="6658" spans="6:19" hidden="1" x14ac:dyDescent="0.25">
      <c r="F6658" t="s">
        <v>1204</v>
      </c>
      <c r="G6658" t="s">
        <v>399</v>
      </c>
      <c r="H6658" t="str">
        <f>VLOOKUP(record[[#This Row],[ProcessSN]],表格2_7[],2,FALSE)</f>
        <v>30-4118-018-550</v>
      </c>
      <c r="I6658" t="str">
        <f>VLOOKUP(record[[#This Row],[ProcessSN]],表格2_7[],3,FALSE)</f>
        <v>#08IQC</v>
      </c>
      <c r="J6658" t="s">
        <v>583</v>
      </c>
      <c r="K6658" s="195">
        <v>45978.566388888888</v>
      </c>
      <c r="L6658">
        <v>21</v>
      </c>
      <c r="M6658">
        <v>0</v>
      </c>
      <c r="N6658" s="98" t="str">
        <f>IF(record[[#This Row],[Memo]]="Browser:chrome os:android","平板報工",IF(record[[#This Row],[Memo]]=0,"委外",record[[#This Row],[Memo]]))</f>
        <v>覆回品</v>
      </c>
      <c r="O6658" t="s">
        <v>664</v>
      </c>
      <c r="P6658" t="s">
        <v>141</v>
      </c>
      <c r="Q6658" t="s">
        <v>58</v>
      </c>
      <c r="R6658" t="str">
        <f>IFERROR(VLOOKUP(record[[#This Row],[PCUSTID]],廠商[],2,FALSE),"")</f>
        <v/>
      </c>
      <c r="S6658" t="str">
        <f>VLOOKUP(record[[#This Row],[employeeID]],員工[],2,FALSE)</f>
        <v>蔣梅</v>
      </c>
    </row>
    <row r="6659" spans="6:19" hidden="1" x14ac:dyDescent="0.25">
      <c r="F6659" t="s">
        <v>1204</v>
      </c>
      <c r="G6659" t="s">
        <v>398</v>
      </c>
      <c r="H6659" t="str">
        <f>VLOOKUP(record[[#This Row],[ProcessSN]],表格2_7[],2,FALSE)</f>
        <v>30-4118-018-550</v>
      </c>
      <c r="I6659" t="str">
        <f>VLOOKUP(record[[#This Row],[ProcessSN]],表格2_7[],3,FALSE)</f>
        <v>#08RCV</v>
      </c>
      <c r="J6659" t="s">
        <v>591</v>
      </c>
      <c r="K6659" s="195">
        <v>45978.566076388888</v>
      </c>
      <c r="L6659">
        <v>0</v>
      </c>
      <c r="M6659">
        <v>28</v>
      </c>
      <c r="N6659" s="98" t="str">
        <f>IF(record[[#This Row],[Memo]]="Browser:chrome os:android","平板報工",IF(record[[#This Row],[Memo]]=0,"委外",record[[#This Row],[Memo]]))</f>
        <v/>
      </c>
      <c r="O6659" t="s">
        <v>58</v>
      </c>
      <c r="P6659" t="s">
        <v>141</v>
      </c>
      <c r="Q6659" t="s">
        <v>58</v>
      </c>
      <c r="R6659" t="str">
        <f>IFERROR(VLOOKUP(record[[#This Row],[PCUSTID]],廠商[],2,FALSE),"")</f>
        <v/>
      </c>
      <c r="S6659" t="str">
        <f>VLOOKUP(record[[#This Row],[employeeID]],員工[],2,FALSE)</f>
        <v>蔣梅</v>
      </c>
    </row>
    <row r="6660" spans="6:19" hidden="1" x14ac:dyDescent="0.25">
      <c r="F6660" t="s">
        <v>1204</v>
      </c>
      <c r="G6660" t="s">
        <v>398</v>
      </c>
      <c r="H6660" t="str">
        <f>VLOOKUP(record[[#This Row],[ProcessSN]],表格2_7[],2,FALSE)</f>
        <v>30-4118-018-550</v>
      </c>
      <c r="I6660" t="str">
        <f>VLOOKUP(record[[#This Row],[ProcessSN]],表格2_7[],3,FALSE)</f>
        <v>#08RCV</v>
      </c>
      <c r="J6660" t="s">
        <v>591</v>
      </c>
      <c r="K6660" s="195">
        <v>45978.565891203703</v>
      </c>
      <c r="L6660">
        <v>21</v>
      </c>
      <c r="M6660">
        <v>0</v>
      </c>
      <c r="N6660" s="98" t="str">
        <f>IF(record[[#This Row],[Memo]]="Browser:chrome os:android","平板報工",IF(record[[#This Row],[Memo]]=0,"委外",record[[#This Row],[Memo]]))</f>
        <v>覆回品</v>
      </c>
      <c r="O6660" t="s">
        <v>664</v>
      </c>
      <c r="P6660" t="s">
        <v>141</v>
      </c>
      <c r="Q6660" t="s">
        <v>58</v>
      </c>
      <c r="R6660" t="str">
        <f>IFERROR(VLOOKUP(record[[#This Row],[PCUSTID]],廠商[],2,FALSE),"")</f>
        <v/>
      </c>
      <c r="S6660" t="str">
        <f>VLOOKUP(record[[#This Row],[employeeID]],員工[],2,FALSE)</f>
        <v>蔣梅</v>
      </c>
    </row>
    <row r="6661" spans="6:19" hidden="1" x14ac:dyDescent="0.25">
      <c r="F6661" t="s">
        <v>1181</v>
      </c>
      <c r="G6661" t="s">
        <v>427</v>
      </c>
      <c r="H6661" t="str">
        <f>VLOOKUP(record[[#This Row],[ProcessSN]],表格2_7[],2,FALSE)</f>
        <v>30-4118-018-600</v>
      </c>
      <c r="I6661" t="str">
        <f>VLOOKUP(record[[#This Row],[ProcessSN]],表格2_7[],3,FALSE)</f>
        <v>#100STOCK</v>
      </c>
      <c r="J6661" t="s">
        <v>592</v>
      </c>
      <c r="K6661" s="195">
        <v>45978.467303240737</v>
      </c>
      <c r="L6661">
        <v>589</v>
      </c>
      <c r="M6661">
        <v>0</v>
      </c>
      <c r="N6661" s="98" t="str">
        <f>IF(record[[#This Row],[Memo]]="Browser:chrome os:android","平板報工",IF(record[[#This Row],[Memo]]=0,"委外",record[[#This Row],[Memo]]))</f>
        <v/>
      </c>
      <c r="O6661" t="s">
        <v>58</v>
      </c>
      <c r="P6661" t="s">
        <v>886</v>
      </c>
      <c r="Q6661" t="s">
        <v>58</v>
      </c>
      <c r="R6661" t="str">
        <f>IFERROR(VLOOKUP(record[[#This Row],[PCUSTID]],廠商[],2,FALSE),"")</f>
        <v/>
      </c>
      <c r="S6661" t="str">
        <f>VLOOKUP(record[[#This Row],[employeeID]],員工[],2,FALSE)</f>
        <v>謝蓁薰</v>
      </c>
    </row>
    <row r="6662" spans="6:19" hidden="1" x14ac:dyDescent="0.25">
      <c r="F6662" t="s">
        <v>1148</v>
      </c>
      <c r="G6662" t="s">
        <v>469</v>
      </c>
      <c r="H6662" t="str">
        <f>VLOOKUP(record[[#This Row],[ProcessSN]],表格2_7[],2,FALSE)</f>
        <v>30-4118-018-XXX</v>
      </c>
      <c r="I6662" t="str">
        <f>VLOOKUP(record[[#This Row],[ProcessSN]],表格2_7[],3,FALSE)</f>
        <v>#02RCV</v>
      </c>
      <c r="J6662" t="s">
        <v>591</v>
      </c>
      <c r="K6662" s="195">
        <v>45978.447337962964</v>
      </c>
      <c r="L6662">
        <v>604</v>
      </c>
      <c r="M6662">
        <v>0</v>
      </c>
      <c r="N6662" s="98" t="str">
        <f>IF(record[[#This Row],[Memo]]="Browser:chrome os:android","平板報工",IF(record[[#This Row],[Memo]]=0,"委外",record[[#This Row],[Memo]]))</f>
        <v/>
      </c>
      <c r="O6662" t="s">
        <v>58</v>
      </c>
      <c r="P6662" t="s">
        <v>186</v>
      </c>
      <c r="Q6662" t="s">
        <v>58</v>
      </c>
      <c r="R6662" t="str">
        <f>IFERROR(VLOOKUP(record[[#This Row],[PCUSTID]],廠商[],2,FALSE),"")</f>
        <v/>
      </c>
      <c r="S6662" t="str">
        <f>VLOOKUP(record[[#This Row],[employeeID]],員工[],2,FALSE)</f>
        <v>許文姍</v>
      </c>
    </row>
    <row r="6663" spans="6:19" hidden="1" x14ac:dyDescent="0.25">
      <c r="F6663" t="s">
        <v>1205</v>
      </c>
      <c r="G6663" t="s">
        <v>400</v>
      </c>
      <c r="H6663" t="str">
        <f>VLOOKUP(record[[#This Row],[ProcessSN]],表格2_7[],2,FALSE)</f>
        <v>30-4118-018-550</v>
      </c>
      <c r="I6663" t="str">
        <f>VLOOKUP(record[[#This Row],[ProcessSN]],表格2_7[],3,FALSE)</f>
        <v>#100</v>
      </c>
      <c r="J6663" t="s">
        <v>598</v>
      </c>
      <c r="K6663" s="195">
        <v>45978.406053240738</v>
      </c>
      <c r="L6663">
        <v>13</v>
      </c>
      <c r="M6663">
        <v>0</v>
      </c>
      <c r="N6663" s="98" t="str">
        <f>IF(record[[#This Row],[Memo]]="Browser:chrome os:android","平板報工",IF(record[[#This Row],[Memo]]=0,"委外",record[[#This Row],[Memo]]))</f>
        <v/>
      </c>
      <c r="O6663" t="s">
        <v>58</v>
      </c>
      <c r="P6663" t="s">
        <v>141</v>
      </c>
      <c r="Q6663" t="s">
        <v>58</v>
      </c>
      <c r="R6663" t="str">
        <f>IFERROR(VLOOKUP(record[[#This Row],[PCUSTID]],廠商[],2,FALSE),"")</f>
        <v/>
      </c>
      <c r="S6663" t="str">
        <f>VLOOKUP(record[[#This Row],[employeeID]],員工[],2,FALSE)</f>
        <v>蔣梅</v>
      </c>
    </row>
    <row r="6664" spans="6:19" hidden="1" x14ac:dyDescent="0.25">
      <c r="F6664" t="s">
        <v>1204</v>
      </c>
      <c r="G6664" t="s">
        <v>400</v>
      </c>
      <c r="H6664" t="str">
        <f>VLOOKUP(record[[#This Row],[ProcessSN]],表格2_7[],2,FALSE)</f>
        <v>30-4118-018-550</v>
      </c>
      <c r="I6664" t="str">
        <f>VLOOKUP(record[[#This Row],[ProcessSN]],表格2_7[],3,FALSE)</f>
        <v>#100</v>
      </c>
      <c r="J6664" t="s">
        <v>598</v>
      </c>
      <c r="K6664" s="195">
        <v>45978.405833333331</v>
      </c>
      <c r="L6664">
        <v>155</v>
      </c>
      <c r="M6664">
        <v>0</v>
      </c>
      <c r="N6664" s="98" t="str">
        <f>IF(record[[#This Row],[Memo]]="Browser:chrome os:android","平板報工",IF(record[[#This Row],[Memo]]=0,"委外",record[[#This Row],[Memo]]))</f>
        <v/>
      </c>
      <c r="O6664" t="s">
        <v>58</v>
      </c>
      <c r="P6664" t="s">
        <v>141</v>
      </c>
      <c r="Q6664" t="s">
        <v>58</v>
      </c>
      <c r="R6664" t="str">
        <f>IFERROR(VLOOKUP(record[[#This Row],[PCUSTID]],廠商[],2,FALSE),"")</f>
        <v/>
      </c>
      <c r="S6664" t="str">
        <f>VLOOKUP(record[[#This Row],[employeeID]],員工[],2,FALSE)</f>
        <v>蔣梅</v>
      </c>
    </row>
    <row r="6665" spans="6:19" hidden="1" x14ac:dyDescent="0.25">
      <c r="F6665" t="s">
        <v>1189</v>
      </c>
      <c r="G6665" t="s">
        <v>416</v>
      </c>
      <c r="H6665" t="str">
        <f>VLOOKUP(record[[#This Row],[ProcessSN]],表格2_7[],2,FALSE)</f>
        <v>30-4118-018-5XX</v>
      </c>
      <c r="I6665" t="str">
        <f>VLOOKUP(record[[#This Row],[ProcessSN]],表格2_7[],3,FALSE)</f>
        <v>#05</v>
      </c>
      <c r="J6665" t="s">
        <v>588</v>
      </c>
      <c r="K6665" s="195">
        <v>45976.322962962964</v>
      </c>
      <c r="L6665">
        <v>0</v>
      </c>
      <c r="M6665">
        <v>1</v>
      </c>
      <c r="N6665" s="98" t="str">
        <f>IF(record[[#This Row],[Memo]]="Browser:chrome os:android","平板報工",IF(record[[#This Row],[Memo]]=0,"委外",record[[#This Row],[Memo]]))</f>
        <v/>
      </c>
      <c r="O6665" t="s">
        <v>58</v>
      </c>
      <c r="P6665" t="s">
        <v>135</v>
      </c>
      <c r="Q6665" t="s">
        <v>58</v>
      </c>
      <c r="R6665" t="str">
        <f>IFERROR(VLOOKUP(record[[#This Row],[PCUSTID]],廠商[],2,FALSE),"")</f>
        <v/>
      </c>
      <c r="S6665" t="str">
        <f>VLOOKUP(record[[#This Row],[employeeID]],員工[],2,FALSE)</f>
        <v>阮士文</v>
      </c>
    </row>
    <row r="6666" spans="6:19" hidden="1" x14ac:dyDescent="0.25">
      <c r="F6666" t="s">
        <v>1189</v>
      </c>
      <c r="G6666" t="s">
        <v>415</v>
      </c>
      <c r="H6666" t="str">
        <f>VLOOKUP(record[[#This Row],[ProcessSN]],表格2_7[],2,FALSE)</f>
        <v>30-4118-018-5XX</v>
      </c>
      <c r="I6666" t="str">
        <f>VLOOKUP(record[[#This Row],[ProcessSN]],表格2_7[],3,FALSE)</f>
        <v>#04</v>
      </c>
      <c r="J6666" t="s">
        <v>588</v>
      </c>
      <c r="K6666" s="195">
        <v>45976.312268518515</v>
      </c>
      <c r="L6666">
        <v>0</v>
      </c>
      <c r="M6666">
        <v>1</v>
      </c>
      <c r="N6666" s="98" t="str">
        <f>IF(record[[#This Row],[Memo]]="Browser:chrome os:android","平板報工",IF(record[[#This Row],[Memo]]=0,"委外",record[[#This Row],[Memo]]))</f>
        <v/>
      </c>
      <c r="O6666" t="s">
        <v>58</v>
      </c>
      <c r="P6666" t="s">
        <v>135</v>
      </c>
      <c r="Q6666" t="s">
        <v>58</v>
      </c>
      <c r="R6666" t="str">
        <f>IFERROR(VLOOKUP(record[[#This Row],[PCUSTID]],廠商[],2,FALSE),"")</f>
        <v/>
      </c>
      <c r="S6666" t="str">
        <f>VLOOKUP(record[[#This Row],[employeeID]],員工[],2,FALSE)</f>
        <v>阮士文</v>
      </c>
    </row>
    <row r="6667" spans="6:19" hidden="1" x14ac:dyDescent="0.25">
      <c r="F6667" t="s">
        <v>1189</v>
      </c>
      <c r="G6667" t="s">
        <v>416</v>
      </c>
      <c r="H6667" t="str">
        <f>VLOOKUP(record[[#This Row],[ProcessSN]],表格2_7[],2,FALSE)</f>
        <v>30-4118-018-5XX</v>
      </c>
      <c r="I6667" t="str">
        <f>VLOOKUP(record[[#This Row],[ProcessSN]],表格2_7[],3,FALSE)</f>
        <v>#05</v>
      </c>
      <c r="J6667" t="s">
        <v>588</v>
      </c>
      <c r="K6667" s="195">
        <v>45976.310057870367</v>
      </c>
      <c r="L6667">
        <v>289</v>
      </c>
      <c r="M6667">
        <v>0</v>
      </c>
      <c r="N6667" s="98" t="str">
        <f>IF(record[[#This Row],[Memo]]="Browser:chrome os:android","平板報工",IF(record[[#This Row],[Memo]]=0,"委外",record[[#This Row],[Memo]]))</f>
        <v/>
      </c>
      <c r="O6667" t="s">
        <v>58</v>
      </c>
      <c r="P6667" t="s">
        <v>135</v>
      </c>
      <c r="Q6667" t="s">
        <v>58</v>
      </c>
      <c r="R6667" t="str">
        <f>IFERROR(VLOOKUP(record[[#This Row],[PCUSTID]],廠商[],2,FALSE),"")</f>
        <v/>
      </c>
      <c r="S6667" t="str">
        <f>VLOOKUP(record[[#This Row],[employeeID]],員工[],2,FALSE)</f>
        <v>阮士文</v>
      </c>
    </row>
    <row r="6668" spans="6:19" hidden="1" x14ac:dyDescent="0.25">
      <c r="F6668" t="s">
        <v>1189</v>
      </c>
      <c r="G6668" t="s">
        <v>415</v>
      </c>
      <c r="H6668" t="str">
        <f>VLOOKUP(record[[#This Row],[ProcessSN]],表格2_7[],2,FALSE)</f>
        <v>30-4118-018-5XX</v>
      </c>
      <c r="I6668" t="str">
        <f>VLOOKUP(record[[#This Row],[ProcessSN]],表格2_7[],3,FALSE)</f>
        <v>#04</v>
      </c>
      <c r="J6668" t="s">
        <v>588</v>
      </c>
      <c r="K6668" s="195">
        <v>45976.309699074074</v>
      </c>
      <c r="L6668">
        <v>148</v>
      </c>
      <c r="M6668">
        <v>0</v>
      </c>
      <c r="N6668" s="98" t="str">
        <f>IF(record[[#This Row],[Memo]]="Browser:chrome os:android","平板報工",IF(record[[#This Row],[Memo]]=0,"委外",record[[#This Row],[Memo]]))</f>
        <v/>
      </c>
      <c r="O6668" t="s">
        <v>58</v>
      </c>
      <c r="P6668" t="s">
        <v>135</v>
      </c>
      <c r="Q6668" t="s">
        <v>58</v>
      </c>
      <c r="R6668" t="str">
        <f>IFERROR(VLOOKUP(record[[#This Row],[PCUSTID]],廠商[],2,FALSE),"")</f>
        <v/>
      </c>
      <c r="S6668" t="str">
        <f>VLOOKUP(record[[#This Row],[employeeID]],員工[],2,FALSE)</f>
        <v>阮士文</v>
      </c>
    </row>
    <row r="6669" spans="6:19" hidden="1" x14ac:dyDescent="0.25">
      <c r="F6669" t="s">
        <v>1189</v>
      </c>
      <c r="G6669" t="s">
        <v>415</v>
      </c>
      <c r="H6669" t="str">
        <f>VLOOKUP(record[[#This Row],[ProcessSN]],表格2_7[],2,FALSE)</f>
        <v>30-4118-018-5XX</v>
      </c>
      <c r="I6669" t="str">
        <f>VLOOKUP(record[[#This Row],[ProcessSN]],表格2_7[],3,FALSE)</f>
        <v>#04</v>
      </c>
      <c r="J6669" t="s">
        <v>588</v>
      </c>
      <c r="K6669" s="195">
        <v>45975.976550925923</v>
      </c>
      <c r="L6669">
        <v>138</v>
      </c>
      <c r="M6669">
        <v>0</v>
      </c>
      <c r="N6669" s="98" t="str">
        <f>IF(record[[#This Row],[Memo]]="Browser:chrome os:android","平板報工",IF(record[[#This Row],[Memo]]=0,"委外",record[[#This Row],[Memo]]))</f>
        <v/>
      </c>
      <c r="O6669" t="s">
        <v>58</v>
      </c>
      <c r="P6669" t="s">
        <v>176</v>
      </c>
      <c r="Q6669" t="s">
        <v>58</v>
      </c>
      <c r="R6669" t="str">
        <f>IFERROR(VLOOKUP(record[[#This Row],[PCUSTID]],廠商[],2,FALSE),"")</f>
        <v/>
      </c>
      <c r="S6669" t="str">
        <f>VLOOKUP(record[[#This Row],[employeeID]],員工[],2,FALSE)</f>
        <v>郭政雄</v>
      </c>
    </row>
    <row r="6670" spans="6:19" hidden="1" x14ac:dyDescent="0.25">
      <c r="F6670" t="s">
        <v>1189</v>
      </c>
      <c r="G6670" t="s">
        <v>416</v>
      </c>
      <c r="H6670" t="str">
        <f>VLOOKUP(record[[#This Row],[ProcessSN]],表格2_7[],2,FALSE)</f>
        <v>30-4118-018-5XX</v>
      </c>
      <c r="I6670" t="str">
        <f>VLOOKUP(record[[#This Row],[ProcessSN]],表格2_7[],3,FALSE)</f>
        <v>#05</v>
      </c>
      <c r="J6670" t="s">
        <v>588</v>
      </c>
      <c r="K6670" s="195">
        <v>45975.973761574074</v>
      </c>
      <c r="L6670">
        <v>239</v>
      </c>
      <c r="M6670">
        <v>0</v>
      </c>
      <c r="N6670" s="98" t="str">
        <f>IF(record[[#This Row],[Memo]]="Browser:chrome os:android","平板報工",IF(record[[#This Row],[Memo]]=0,"委外",record[[#This Row],[Memo]]))</f>
        <v/>
      </c>
      <c r="O6670" t="s">
        <v>58</v>
      </c>
      <c r="P6670" t="s">
        <v>806</v>
      </c>
      <c r="Q6670" t="s">
        <v>58</v>
      </c>
      <c r="R6670" t="str">
        <f>IFERROR(VLOOKUP(record[[#This Row],[PCUSTID]],廠商[],2,FALSE),"")</f>
        <v/>
      </c>
      <c r="S6670" t="str">
        <f>VLOOKUP(record[[#This Row],[employeeID]],員工[],2,FALSE)</f>
        <v>方思緯</v>
      </c>
    </row>
    <row r="6671" spans="6:19" hidden="1" x14ac:dyDescent="0.25">
      <c r="F6671" t="s">
        <v>1189</v>
      </c>
      <c r="G6671" t="s">
        <v>414</v>
      </c>
      <c r="H6671" t="str">
        <f>VLOOKUP(record[[#This Row],[ProcessSN]],表格2_7[],2,FALSE)</f>
        <v>30-4118-018-5XX</v>
      </c>
      <c r="I6671" t="str">
        <f>VLOOKUP(record[[#This Row],[ProcessSN]],表格2_7[],3,FALSE)</f>
        <v>#03</v>
      </c>
      <c r="J6671" t="s">
        <v>588</v>
      </c>
      <c r="K6671" s="195">
        <v>45975.935787037037</v>
      </c>
      <c r="L6671">
        <v>172</v>
      </c>
      <c r="M6671">
        <v>4</v>
      </c>
      <c r="N6671" s="98" t="str">
        <f>IF(record[[#This Row],[Memo]]="Browser:chrome os:android","平板報工",IF(record[[#This Row],[Memo]]=0,"委外",record[[#This Row],[Memo]]))</f>
        <v/>
      </c>
      <c r="O6671" t="s">
        <v>58</v>
      </c>
      <c r="P6671" t="s">
        <v>89</v>
      </c>
      <c r="Q6671" t="s">
        <v>58</v>
      </c>
      <c r="R6671" t="str">
        <f>IFERROR(VLOOKUP(record[[#This Row],[PCUSTID]],廠商[],2,FALSE),"")</f>
        <v/>
      </c>
      <c r="S6671" t="str">
        <f>VLOOKUP(record[[#This Row],[employeeID]],員工[],2,FALSE)</f>
        <v>李美蓮</v>
      </c>
    </row>
    <row r="6672" spans="6:19" hidden="1" x14ac:dyDescent="0.25">
      <c r="F6672" t="s">
        <v>1191</v>
      </c>
      <c r="G6672" t="s">
        <v>403</v>
      </c>
      <c r="H6672" t="str">
        <f>VLOOKUP(record[[#This Row],[ProcessSN]],表格2_7[],2,FALSE)</f>
        <v>30-4118-018-550</v>
      </c>
      <c r="I6672" t="str">
        <f>VLOOKUP(record[[#This Row],[ProcessSN]],表格2_7[],3,FALSE)</f>
        <v>#100SHIP</v>
      </c>
      <c r="J6672" t="s">
        <v>600</v>
      </c>
      <c r="K6672" s="195">
        <v>45975.713125000002</v>
      </c>
      <c r="L6672">
        <v>3</v>
      </c>
      <c r="M6672">
        <v>0</v>
      </c>
      <c r="N6672" s="98" t="str">
        <f>IF(record[[#This Row],[Memo]]="Browser:chrome os:android","平板報工",IF(record[[#This Row],[Memo]]=0,"委外",record[[#This Row],[Memo]]))</f>
        <v/>
      </c>
      <c r="O6672" t="s">
        <v>58</v>
      </c>
      <c r="P6672" t="s">
        <v>886</v>
      </c>
      <c r="Q6672" t="s">
        <v>58</v>
      </c>
      <c r="R6672" t="str">
        <f>IFERROR(VLOOKUP(record[[#This Row],[PCUSTID]],廠商[],2,FALSE),"")</f>
        <v/>
      </c>
      <c r="S6672" t="str">
        <f>VLOOKUP(record[[#This Row],[employeeID]],員工[],2,FALSE)</f>
        <v>謝蓁薰</v>
      </c>
    </row>
    <row r="6673" spans="6:19" hidden="1" x14ac:dyDescent="0.25">
      <c r="F6673" t="s">
        <v>1200</v>
      </c>
      <c r="G6673" t="s">
        <v>403</v>
      </c>
      <c r="H6673" t="str">
        <f>VLOOKUP(record[[#This Row],[ProcessSN]],表格2_7[],2,FALSE)</f>
        <v>30-4118-018-550</v>
      </c>
      <c r="I6673" t="str">
        <f>VLOOKUP(record[[#This Row],[ProcessSN]],表格2_7[],3,FALSE)</f>
        <v>#100SHIP</v>
      </c>
      <c r="J6673" t="s">
        <v>600</v>
      </c>
      <c r="K6673" s="195">
        <v>45975.71298611111</v>
      </c>
      <c r="L6673">
        <v>290</v>
      </c>
      <c r="M6673">
        <v>0</v>
      </c>
      <c r="N6673" s="98" t="str">
        <f>IF(record[[#This Row],[Memo]]="Browser:chrome os:android","平板報工",IF(record[[#This Row],[Memo]]=0,"委外",record[[#This Row],[Memo]]))</f>
        <v/>
      </c>
      <c r="O6673" t="s">
        <v>58</v>
      </c>
      <c r="P6673" t="s">
        <v>886</v>
      </c>
      <c r="Q6673" t="s">
        <v>58</v>
      </c>
      <c r="R6673" t="str">
        <f>IFERROR(VLOOKUP(record[[#This Row],[PCUSTID]],廠商[],2,FALSE),"")</f>
        <v/>
      </c>
      <c r="S6673" t="str">
        <f>VLOOKUP(record[[#This Row],[employeeID]],員工[],2,FALSE)</f>
        <v>謝蓁薰</v>
      </c>
    </row>
    <row r="6674" spans="6:19" hidden="1" x14ac:dyDescent="0.25">
      <c r="F6674" t="s">
        <v>1198</v>
      </c>
      <c r="G6674" t="s">
        <v>403</v>
      </c>
      <c r="H6674" t="str">
        <f>VLOOKUP(record[[#This Row],[ProcessSN]],表格2_7[],2,FALSE)</f>
        <v>30-4118-018-550</v>
      </c>
      <c r="I6674" t="str">
        <f>VLOOKUP(record[[#This Row],[ProcessSN]],表格2_7[],3,FALSE)</f>
        <v>#100SHIP</v>
      </c>
      <c r="J6674" t="s">
        <v>600</v>
      </c>
      <c r="K6674" s="195">
        <v>45975.712847222225</v>
      </c>
      <c r="L6674">
        <v>4</v>
      </c>
      <c r="M6674">
        <v>0</v>
      </c>
      <c r="N6674" s="98" t="str">
        <f>IF(record[[#This Row],[Memo]]="Browser:chrome os:android","平板報工",IF(record[[#This Row],[Memo]]=0,"委外",record[[#This Row],[Memo]]))</f>
        <v/>
      </c>
      <c r="O6674" t="s">
        <v>58</v>
      </c>
      <c r="P6674" t="s">
        <v>886</v>
      </c>
      <c r="Q6674" t="s">
        <v>58</v>
      </c>
      <c r="R6674" t="str">
        <f>IFERROR(VLOOKUP(record[[#This Row],[PCUSTID]],廠商[],2,FALSE),"")</f>
        <v/>
      </c>
      <c r="S6674" t="str">
        <f>VLOOKUP(record[[#This Row],[employeeID]],員工[],2,FALSE)</f>
        <v>謝蓁薰</v>
      </c>
    </row>
    <row r="6675" spans="6:19" hidden="1" x14ac:dyDescent="0.25">
      <c r="F6675" t="s">
        <v>1191</v>
      </c>
      <c r="G6675" t="s">
        <v>402</v>
      </c>
      <c r="H6675" t="str">
        <f>VLOOKUP(record[[#This Row],[ProcessSN]],表格2_7[],2,FALSE)</f>
        <v>30-4118-018-550</v>
      </c>
      <c r="I6675" t="str">
        <f>VLOOKUP(record[[#This Row],[ProcessSN]],表格2_7[],3,FALSE)</f>
        <v>#100STOCK</v>
      </c>
      <c r="J6675" t="s">
        <v>592</v>
      </c>
      <c r="K6675" s="195">
        <v>45975.712453703702</v>
      </c>
      <c r="L6675">
        <v>3</v>
      </c>
      <c r="M6675">
        <v>0</v>
      </c>
      <c r="N6675" s="98" t="str">
        <f>IF(record[[#This Row],[Memo]]="Browser:chrome os:android","平板報工",IF(record[[#This Row],[Memo]]=0,"委外",record[[#This Row],[Memo]]))</f>
        <v/>
      </c>
      <c r="O6675" t="s">
        <v>58</v>
      </c>
      <c r="P6675" t="s">
        <v>886</v>
      </c>
      <c r="Q6675" t="s">
        <v>58</v>
      </c>
      <c r="R6675" t="str">
        <f>IFERROR(VLOOKUP(record[[#This Row],[PCUSTID]],廠商[],2,FALSE),"")</f>
        <v/>
      </c>
      <c r="S6675" t="str">
        <f>VLOOKUP(record[[#This Row],[employeeID]],員工[],2,FALSE)</f>
        <v>謝蓁薰</v>
      </c>
    </row>
    <row r="6676" spans="6:19" hidden="1" x14ac:dyDescent="0.25">
      <c r="F6676" t="s">
        <v>1198</v>
      </c>
      <c r="G6676" t="s">
        <v>401</v>
      </c>
      <c r="H6676" t="str">
        <f>VLOOKUP(record[[#This Row],[ProcessSN]],表格2_7[],2,FALSE)</f>
        <v>30-4118-018-550</v>
      </c>
      <c r="I6676" t="str">
        <f>VLOOKUP(record[[#This Row],[ProcessSN]],表格2_7[],3,FALSE)</f>
        <v>#100OQC</v>
      </c>
      <c r="J6676" t="s">
        <v>599</v>
      </c>
      <c r="K6676" s="195">
        <v>45975.707245370373</v>
      </c>
      <c r="L6676">
        <v>7</v>
      </c>
      <c r="M6676">
        <v>0</v>
      </c>
      <c r="N6676" s="98" t="str">
        <f>IF(record[[#This Row],[Memo]]="Browser:chrome os:android","平板報工",IF(record[[#This Row],[Memo]]=0,"委外",record[[#This Row],[Memo]]))</f>
        <v/>
      </c>
      <c r="O6676" t="s">
        <v>58</v>
      </c>
      <c r="P6676" t="s">
        <v>121</v>
      </c>
      <c r="Q6676" t="s">
        <v>58</v>
      </c>
      <c r="R6676" t="str">
        <f>IFERROR(VLOOKUP(record[[#This Row],[PCUSTID]],廠商[],2,FALSE),"")</f>
        <v/>
      </c>
      <c r="S6676" t="str">
        <f>VLOOKUP(record[[#This Row],[employeeID]],員工[],2,FALSE)</f>
        <v>謝素卿</v>
      </c>
    </row>
    <row r="6677" spans="6:19" hidden="1" x14ac:dyDescent="0.25">
      <c r="F6677" t="s">
        <v>1191</v>
      </c>
      <c r="G6677" t="s">
        <v>401</v>
      </c>
      <c r="H6677" t="str">
        <f>VLOOKUP(record[[#This Row],[ProcessSN]],表格2_7[],2,FALSE)</f>
        <v>30-4118-018-550</v>
      </c>
      <c r="I6677" t="str">
        <f>VLOOKUP(record[[#This Row],[ProcessSN]],表格2_7[],3,FALSE)</f>
        <v>#100OQC</v>
      </c>
      <c r="J6677" t="s">
        <v>599</v>
      </c>
      <c r="K6677" s="195">
        <v>45975.707141203704</v>
      </c>
      <c r="L6677">
        <v>3</v>
      </c>
      <c r="M6677">
        <v>0</v>
      </c>
      <c r="N6677" s="98" t="str">
        <f>IF(record[[#This Row],[Memo]]="Browser:chrome os:android","平板報工",IF(record[[#This Row],[Memo]]=0,"委外",record[[#This Row],[Memo]]))</f>
        <v/>
      </c>
      <c r="O6677" t="s">
        <v>58</v>
      </c>
      <c r="P6677" t="s">
        <v>121</v>
      </c>
      <c r="Q6677" t="s">
        <v>58</v>
      </c>
      <c r="R6677" t="str">
        <f>IFERROR(VLOOKUP(record[[#This Row],[PCUSTID]],廠商[],2,FALSE),"")</f>
        <v/>
      </c>
      <c r="S6677" t="str">
        <f>VLOOKUP(record[[#This Row],[employeeID]],員工[],2,FALSE)</f>
        <v>謝素卿</v>
      </c>
    </row>
    <row r="6678" spans="6:19" hidden="1" x14ac:dyDescent="0.25">
      <c r="F6678" t="s">
        <v>1181</v>
      </c>
      <c r="G6678" t="s">
        <v>426</v>
      </c>
      <c r="H6678" t="str">
        <f>VLOOKUP(record[[#This Row],[ProcessSN]],表格2_7[],2,FALSE)</f>
        <v>30-4118-018-600</v>
      </c>
      <c r="I6678" t="str">
        <f>VLOOKUP(record[[#This Row],[ProcessSN]],表格2_7[],3,FALSE)</f>
        <v>#100OQC</v>
      </c>
      <c r="J6678" t="s">
        <v>599</v>
      </c>
      <c r="K6678" s="195">
        <v>45975.706932870373</v>
      </c>
      <c r="L6678">
        <v>589</v>
      </c>
      <c r="M6678">
        <v>0</v>
      </c>
      <c r="N6678" s="98" t="str">
        <f>IF(record[[#This Row],[Memo]]="Browser:chrome os:android","平板報工",IF(record[[#This Row],[Memo]]=0,"委外",record[[#This Row],[Memo]]))</f>
        <v/>
      </c>
      <c r="O6678" t="s">
        <v>58</v>
      </c>
      <c r="P6678" t="s">
        <v>121</v>
      </c>
      <c r="Q6678" t="s">
        <v>58</v>
      </c>
      <c r="R6678" t="str">
        <f>IFERROR(VLOOKUP(record[[#This Row],[PCUSTID]],廠商[],2,FALSE),"")</f>
        <v/>
      </c>
      <c r="S6678" t="str">
        <f>VLOOKUP(record[[#This Row],[employeeID]],員工[],2,FALSE)</f>
        <v>謝素卿</v>
      </c>
    </row>
    <row r="6679" spans="6:19" hidden="1" x14ac:dyDescent="0.25">
      <c r="F6679" t="s">
        <v>1204</v>
      </c>
      <c r="G6679" t="s">
        <v>399</v>
      </c>
      <c r="H6679" t="str">
        <f>VLOOKUP(record[[#This Row],[ProcessSN]],表格2_7[],2,FALSE)</f>
        <v>30-4118-018-550</v>
      </c>
      <c r="I6679" t="str">
        <f>VLOOKUP(record[[#This Row],[ProcessSN]],表格2_7[],3,FALSE)</f>
        <v>#08IQC</v>
      </c>
      <c r="J6679" t="s">
        <v>583</v>
      </c>
      <c r="K6679" s="195">
        <v>45975.679965277777</v>
      </c>
      <c r="L6679">
        <v>155</v>
      </c>
      <c r="M6679">
        <v>0</v>
      </c>
      <c r="N6679" s="98" t="str">
        <f>IF(record[[#This Row],[Memo]]="Browser:chrome os:android","平板報工",IF(record[[#This Row],[Memo]]=0,"委外",record[[#This Row],[Memo]]))</f>
        <v/>
      </c>
      <c r="O6679" t="s">
        <v>58</v>
      </c>
      <c r="P6679" t="s">
        <v>109</v>
      </c>
      <c r="Q6679" t="s">
        <v>58</v>
      </c>
      <c r="R6679" t="str">
        <f>IFERROR(VLOOKUP(record[[#This Row],[PCUSTID]],廠商[],2,FALSE),"")</f>
        <v/>
      </c>
      <c r="S6679" t="str">
        <f>VLOOKUP(record[[#This Row],[employeeID]],員工[],2,FALSE)</f>
        <v>裴氏璧鳳</v>
      </c>
    </row>
    <row r="6680" spans="6:19" hidden="1" x14ac:dyDescent="0.25">
      <c r="F6680" t="s">
        <v>1205</v>
      </c>
      <c r="G6680" t="s">
        <v>399</v>
      </c>
      <c r="H6680" t="str">
        <f>VLOOKUP(record[[#This Row],[ProcessSN]],表格2_7[],2,FALSE)</f>
        <v>30-4118-018-550</v>
      </c>
      <c r="I6680" t="str">
        <f>VLOOKUP(record[[#This Row],[ProcessSN]],表格2_7[],3,FALSE)</f>
        <v>#08IQC</v>
      </c>
      <c r="J6680" t="s">
        <v>583</v>
      </c>
      <c r="K6680" s="195">
        <v>45975.679826388892</v>
      </c>
      <c r="L6680">
        <v>327</v>
      </c>
      <c r="M6680">
        <v>0</v>
      </c>
      <c r="N6680" s="98" t="str">
        <f>IF(record[[#This Row],[Memo]]="Browser:chrome os:android","平板報工",IF(record[[#This Row],[Memo]]=0,"委外",record[[#This Row],[Memo]]))</f>
        <v/>
      </c>
      <c r="O6680" t="s">
        <v>58</v>
      </c>
      <c r="P6680" t="s">
        <v>109</v>
      </c>
      <c r="Q6680" t="s">
        <v>58</v>
      </c>
      <c r="R6680" t="str">
        <f>IFERROR(VLOOKUP(record[[#This Row],[PCUSTID]],廠商[],2,FALSE),"")</f>
        <v/>
      </c>
      <c r="S6680" t="str">
        <f>VLOOKUP(record[[#This Row],[employeeID]],員工[],2,FALSE)</f>
        <v>裴氏璧鳳</v>
      </c>
    </row>
    <row r="6681" spans="6:19" hidden="1" x14ac:dyDescent="0.25">
      <c r="F6681" t="s">
        <v>1189</v>
      </c>
      <c r="G6681" t="s">
        <v>414</v>
      </c>
      <c r="H6681" t="str">
        <f>VLOOKUP(record[[#This Row],[ProcessSN]],表格2_7[],2,FALSE)</f>
        <v>30-4118-018-5XX</v>
      </c>
      <c r="I6681" t="str">
        <f>VLOOKUP(record[[#This Row],[ProcessSN]],表格2_7[],3,FALSE)</f>
        <v>#03</v>
      </c>
      <c r="J6681" t="s">
        <v>588</v>
      </c>
      <c r="K6681" s="195">
        <v>45975.642881944441</v>
      </c>
      <c r="L6681">
        <v>355</v>
      </c>
      <c r="M6681">
        <v>0</v>
      </c>
      <c r="N6681" s="98" t="str">
        <f>IF(record[[#This Row],[Memo]]="Browser:chrome os:android","平板報工",IF(record[[#This Row],[Memo]]=0,"委外",record[[#This Row],[Memo]]))</f>
        <v>平板報工</v>
      </c>
      <c r="O6681" t="s">
        <v>643</v>
      </c>
      <c r="P6681" t="s">
        <v>107</v>
      </c>
      <c r="Q6681" t="s">
        <v>644</v>
      </c>
      <c r="R6681" t="str">
        <f>IFERROR(VLOOKUP(record[[#This Row],[PCUSTID]],廠商[],2,FALSE),"")</f>
        <v/>
      </c>
      <c r="S6681" t="str">
        <f>VLOOKUP(record[[#This Row],[employeeID]],員工[],2,FALSE)</f>
        <v>黎氏順</v>
      </c>
    </row>
    <row r="6682" spans="6:19" hidden="1" x14ac:dyDescent="0.25">
      <c r="F6682" t="s">
        <v>1189</v>
      </c>
      <c r="G6682" t="s">
        <v>415</v>
      </c>
      <c r="H6682" t="str">
        <f>VLOOKUP(record[[#This Row],[ProcessSN]],表格2_7[],2,FALSE)</f>
        <v>30-4118-018-5XX</v>
      </c>
      <c r="I6682" t="str">
        <f>VLOOKUP(record[[#This Row],[ProcessSN]],表格2_7[],3,FALSE)</f>
        <v>#04</v>
      </c>
      <c r="J6682" t="s">
        <v>588</v>
      </c>
      <c r="K6682" s="195">
        <v>45975.636261574073</v>
      </c>
      <c r="L6682">
        <v>130</v>
      </c>
      <c r="M6682">
        <v>0</v>
      </c>
      <c r="N6682" s="98" t="str">
        <f>IF(record[[#This Row],[Memo]]="Browser:chrome os:android","平板報工",IF(record[[#This Row],[Memo]]=0,"委外",record[[#This Row],[Memo]]))</f>
        <v>平板報工</v>
      </c>
      <c r="O6682" t="s">
        <v>643</v>
      </c>
      <c r="P6682" t="s">
        <v>785</v>
      </c>
      <c r="Q6682" t="s">
        <v>644</v>
      </c>
      <c r="R6682" t="str">
        <f>IFERROR(VLOOKUP(record[[#This Row],[PCUSTID]],廠商[],2,FALSE),"")</f>
        <v/>
      </c>
      <c r="S6682" t="str">
        <f>VLOOKUP(record[[#This Row],[employeeID]],員工[],2,FALSE)</f>
        <v>謝刻光</v>
      </c>
    </row>
    <row r="6683" spans="6:19" hidden="1" x14ac:dyDescent="0.25">
      <c r="F6683" t="s">
        <v>1204</v>
      </c>
      <c r="G6683" t="s">
        <v>398</v>
      </c>
      <c r="H6683" t="str">
        <f>VLOOKUP(record[[#This Row],[ProcessSN]],表格2_7[],2,FALSE)</f>
        <v>30-4118-018-550</v>
      </c>
      <c r="I6683" t="str">
        <f>VLOOKUP(record[[#This Row],[ProcessSN]],表格2_7[],3,FALSE)</f>
        <v>#08RCV</v>
      </c>
      <c r="J6683" t="s">
        <v>591</v>
      </c>
      <c r="K6683" s="195">
        <v>45975.610625000001</v>
      </c>
      <c r="L6683">
        <v>155</v>
      </c>
      <c r="M6683">
        <v>0</v>
      </c>
      <c r="N6683" s="98" t="str">
        <f>IF(record[[#This Row],[Memo]]="Browser:chrome os:android","平板報工",IF(record[[#This Row],[Memo]]=0,"委外",record[[#This Row],[Memo]]))</f>
        <v/>
      </c>
      <c r="O6683" t="s">
        <v>58</v>
      </c>
      <c r="P6683" t="s">
        <v>186</v>
      </c>
      <c r="Q6683" t="s">
        <v>58</v>
      </c>
      <c r="R6683" t="str">
        <f>IFERROR(VLOOKUP(record[[#This Row],[PCUSTID]],廠商[],2,FALSE),"")</f>
        <v/>
      </c>
      <c r="S6683" t="str">
        <f>VLOOKUP(record[[#This Row],[employeeID]],員工[],2,FALSE)</f>
        <v>許文姍</v>
      </c>
    </row>
    <row r="6684" spans="6:19" hidden="1" x14ac:dyDescent="0.25">
      <c r="F6684" t="s">
        <v>1205</v>
      </c>
      <c r="G6684" t="s">
        <v>398</v>
      </c>
      <c r="H6684" t="str">
        <f>VLOOKUP(record[[#This Row],[ProcessSN]],表格2_7[],2,FALSE)</f>
        <v>30-4118-018-550</v>
      </c>
      <c r="I6684" t="str">
        <f>VLOOKUP(record[[#This Row],[ProcessSN]],表格2_7[],3,FALSE)</f>
        <v>#08RCV</v>
      </c>
      <c r="J6684" t="s">
        <v>591</v>
      </c>
      <c r="K6684" s="195">
        <v>45975.610266203701</v>
      </c>
      <c r="L6684">
        <v>327</v>
      </c>
      <c r="M6684">
        <v>0</v>
      </c>
      <c r="N6684" s="98" t="str">
        <f>IF(record[[#This Row],[Memo]]="Browser:chrome os:android","平板報工",IF(record[[#This Row],[Memo]]=0,"委外",record[[#This Row],[Memo]]))</f>
        <v/>
      </c>
      <c r="O6684" t="s">
        <v>58</v>
      </c>
      <c r="P6684" t="s">
        <v>186</v>
      </c>
      <c r="Q6684" t="s">
        <v>58</v>
      </c>
      <c r="R6684" t="str">
        <f>IFERROR(VLOOKUP(record[[#This Row],[PCUSTID]],廠商[],2,FALSE),"")</f>
        <v/>
      </c>
      <c r="S6684" t="str">
        <f>VLOOKUP(record[[#This Row],[employeeID]],員工[],2,FALSE)</f>
        <v>許文姍</v>
      </c>
    </row>
    <row r="6685" spans="6:19" hidden="1" x14ac:dyDescent="0.25">
      <c r="F6685" t="s">
        <v>1173</v>
      </c>
      <c r="G6685" t="s">
        <v>422</v>
      </c>
      <c r="H6685" t="str">
        <f>VLOOKUP(record[[#This Row],[ProcessSN]],表格2_7[],2,FALSE)</f>
        <v>30-4118-018-600</v>
      </c>
      <c r="I6685" t="str">
        <f>VLOOKUP(record[[#This Row],[ProcessSN]],表格2_7[],3,FALSE)</f>
        <v>#08</v>
      </c>
      <c r="J6685" t="s">
        <v>597</v>
      </c>
      <c r="K6685" s="195">
        <v>45975.558958333335</v>
      </c>
      <c r="L6685">
        <v>328</v>
      </c>
      <c r="M6685">
        <v>0</v>
      </c>
      <c r="N6685" s="98" t="str">
        <f>IF(record[[#This Row],[Memo]]="Browser:chrome os:android","平板報工",IF(record[[#This Row],[Memo]]=0,"委外",record[[#This Row],[Memo]]))</f>
        <v>委外</v>
      </c>
      <c r="P6685" t="s">
        <v>186</v>
      </c>
      <c r="Q6685" t="s">
        <v>287</v>
      </c>
      <c r="R6685" t="str">
        <f>IFERROR(VLOOKUP(record[[#This Row],[PCUSTID]],廠商[],2,FALSE),"")</f>
        <v>泉盛</v>
      </c>
      <c r="S6685" t="str">
        <f>VLOOKUP(record[[#This Row],[employeeID]],員工[],2,FALSE)</f>
        <v>許文姍</v>
      </c>
    </row>
    <row r="6686" spans="6:19" hidden="1" x14ac:dyDescent="0.25">
      <c r="F6686" t="s">
        <v>1214</v>
      </c>
      <c r="G6686" t="s">
        <v>397</v>
      </c>
      <c r="H6686" t="str">
        <f>VLOOKUP(record[[#This Row],[ProcessSN]],表格2_7[],2,FALSE)</f>
        <v>30-4118-018-550</v>
      </c>
      <c r="I6686" t="str">
        <f>VLOOKUP(record[[#This Row],[ProcessSN]],表格2_7[],3,FALSE)</f>
        <v>#08</v>
      </c>
      <c r="J6686" t="s">
        <v>597</v>
      </c>
      <c r="K6686" s="195">
        <v>45975.558738425927</v>
      </c>
      <c r="L6686">
        <v>158</v>
      </c>
      <c r="M6686">
        <v>0</v>
      </c>
      <c r="N6686" s="98" t="str">
        <f>IF(record[[#This Row],[Memo]]="Browser:chrome os:android","平板報工",IF(record[[#This Row],[Memo]]=0,"委外",record[[#This Row],[Memo]]))</f>
        <v>委外</v>
      </c>
      <c r="P6686" t="s">
        <v>186</v>
      </c>
      <c r="Q6686" t="s">
        <v>287</v>
      </c>
      <c r="R6686" t="str">
        <f>IFERROR(VLOOKUP(record[[#This Row],[PCUSTID]],廠商[],2,FALSE),"")</f>
        <v>泉盛</v>
      </c>
      <c r="S6686" t="str">
        <f>VLOOKUP(record[[#This Row],[employeeID]],員工[],2,FALSE)</f>
        <v>許文姍</v>
      </c>
    </row>
    <row r="6687" spans="6:19" hidden="1" x14ac:dyDescent="0.25">
      <c r="F6687" t="s">
        <v>1214</v>
      </c>
      <c r="G6687" t="s">
        <v>396</v>
      </c>
      <c r="H6687" t="str">
        <f>VLOOKUP(record[[#This Row],[ProcessSN]],表格2_7[],2,FALSE)</f>
        <v>30-4118-018-550</v>
      </c>
      <c r="I6687" t="str">
        <f>VLOOKUP(record[[#This Row],[ProcessSN]],表格2_7[],3,FALSE)</f>
        <v>#08PICK</v>
      </c>
      <c r="J6687" t="s">
        <v>582</v>
      </c>
      <c r="K6687" s="195">
        <v>45975.558206018519</v>
      </c>
      <c r="L6687">
        <v>158</v>
      </c>
      <c r="M6687">
        <v>0</v>
      </c>
      <c r="N6687" s="98" t="str">
        <f>IF(record[[#This Row],[Memo]]="Browser:chrome os:android","平板報工",IF(record[[#This Row],[Memo]]=0,"委外",record[[#This Row],[Memo]]))</f>
        <v/>
      </c>
      <c r="O6687" t="s">
        <v>58</v>
      </c>
      <c r="P6687" t="s">
        <v>186</v>
      </c>
      <c r="Q6687" t="s">
        <v>58</v>
      </c>
      <c r="R6687" t="str">
        <f>IFERROR(VLOOKUP(record[[#This Row],[PCUSTID]],廠商[],2,FALSE),"")</f>
        <v/>
      </c>
      <c r="S6687" t="str">
        <f>VLOOKUP(record[[#This Row],[employeeID]],員工[],2,FALSE)</f>
        <v>許文姍</v>
      </c>
    </row>
    <row r="6688" spans="6:19" hidden="1" x14ac:dyDescent="0.25">
      <c r="F6688" t="s">
        <v>1180</v>
      </c>
      <c r="G6688" t="s">
        <v>420</v>
      </c>
      <c r="H6688" t="str">
        <f>VLOOKUP(record[[#This Row],[ProcessSN]],表格2_7[],2,FALSE)</f>
        <v>30-4118-018-5XX</v>
      </c>
      <c r="I6688" t="str">
        <f>VLOOKUP(record[[#This Row],[ProcessSN]],表格2_7[],3,FALSE)</f>
        <v>#07STOCK</v>
      </c>
      <c r="J6688" t="s">
        <v>592</v>
      </c>
      <c r="K6688" s="195">
        <v>45975.556701388887</v>
      </c>
      <c r="L6688">
        <v>1</v>
      </c>
      <c r="M6688">
        <v>0</v>
      </c>
      <c r="N6688" s="98" t="str">
        <f>IF(record[[#This Row],[Memo]]="Browser:chrome os:android","平板報工",IF(record[[#This Row],[Memo]]=0,"委外",record[[#This Row],[Memo]]))</f>
        <v/>
      </c>
      <c r="O6688" t="s">
        <v>58</v>
      </c>
      <c r="P6688" t="s">
        <v>186</v>
      </c>
      <c r="Q6688" t="s">
        <v>58</v>
      </c>
      <c r="R6688" t="str">
        <f>IFERROR(VLOOKUP(record[[#This Row],[PCUSTID]],廠商[],2,FALSE),"")</f>
        <v/>
      </c>
      <c r="S6688" t="str">
        <f>VLOOKUP(record[[#This Row],[employeeID]],員工[],2,FALSE)</f>
        <v>許文姍</v>
      </c>
    </row>
    <row r="6689" spans="6:19" hidden="1" x14ac:dyDescent="0.25">
      <c r="F6689" t="s">
        <v>1198</v>
      </c>
      <c r="G6689" t="s">
        <v>400</v>
      </c>
      <c r="H6689" t="str">
        <f>VLOOKUP(record[[#This Row],[ProcessSN]],表格2_7[],2,FALSE)</f>
        <v>30-4118-018-550</v>
      </c>
      <c r="I6689" t="str">
        <f>VLOOKUP(record[[#This Row],[ProcessSN]],表格2_7[],3,FALSE)</f>
        <v>#100</v>
      </c>
      <c r="J6689" t="s">
        <v>598</v>
      </c>
      <c r="K6689" s="195">
        <v>45975.552488425928</v>
      </c>
      <c r="L6689">
        <v>7</v>
      </c>
      <c r="M6689">
        <v>0</v>
      </c>
      <c r="N6689" s="98" t="str">
        <f>IF(record[[#This Row],[Memo]]="Browser:chrome os:android","平板報工",IF(record[[#This Row],[Memo]]=0,"委外",record[[#This Row],[Memo]]))</f>
        <v>覆回</v>
      </c>
      <c r="O6689" t="s">
        <v>682</v>
      </c>
      <c r="P6689" t="s">
        <v>141</v>
      </c>
      <c r="Q6689" t="s">
        <v>58</v>
      </c>
      <c r="R6689" t="str">
        <f>IFERROR(VLOOKUP(record[[#This Row],[PCUSTID]],廠商[],2,FALSE),"")</f>
        <v/>
      </c>
      <c r="S6689" t="str">
        <f>VLOOKUP(record[[#This Row],[employeeID]],員工[],2,FALSE)</f>
        <v>蔣梅</v>
      </c>
    </row>
    <row r="6690" spans="6:19" hidden="1" x14ac:dyDescent="0.25">
      <c r="F6690" t="s">
        <v>1198</v>
      </c>
      <c r="G6690" t="s">
        <v>399</v>
      </c>
      <c r="H6690" t="str">
        <f>VLOOKUP(record[[#This Row],[ProcessSN]],表格2_7[],2,FALSE)</f>
        <v>30-4118-018-550</v>
      </c>
      <c r="I6690" t="str">
        <f>VLOOKUP(record[[#This Row],[ProcessSN]],表格2_7[],3,FALSE)</f>
        <v>#08IQC</v>
      </c>
      <c r="J6690" t="s">
        <v>583</v>
      </c>
      <c r="K6690" s="195">
        <v>45975.55232638889</v>
      </c>
      <c r="L6690">
        <v>7</v>
      </c>
      <c r="M6690">
        <v>0</v>
      </c>
      <c r="N6690" s="98" t="str">
        <f>IF(record[[#This Row],[Memo]]="Browser:chrome os:android","平板報工",IF(record[[#This Row],[Memo]]=0,"委外",record[[#This Row],[Memo]]))</f>
        <v>覆回</v>
      </c>
      <c r="O6690" t="s">
        <v>682</v>
      </c>
      <c r="P6690" t="s">
        <v>141</v>
      </c>
      <c r="Q6690" t="s">
        <v>58</v>
      </c>
      <c r="R6690" t="str">
        <f>IFERROR(VLOOKUP(record[[#This Row],[PCUSTID]],廠商[],2,FALSE),"")</f>
        <v/>
      </c>
      <c r="S6690" t="str">
        <f>VLOOKUP(record[[#This Row],[employeeID]],員工[],2,FALSE)</f>
        <v>蔣梅</v>
      </c>
    </row>
    <row r="6691" spans="6:19" hidden="1" x14ac:dyDescent="0.25">
      <c r="F6691" t="s">
        <v>1198</v>
      </c>
      <c r="G6691" t="s">
        <v>398</v>
      </c>
      <c r="H6691" t="str">
        <f>VLOOKUP(record[[#This Row],[ProcessSN]],表格2_7[],2,FALSE)</f>
        <v>30-4118-018-550</v>
      </c>
      <c r="I6691" t="str">
        <f>VLOOKUP(record[[#This Row],[ProcessSN]],表格2_7[],3,FALSE)</f>
        <v>#08RCV</v>
      </c>
      <c r="J6691" t="s">
        <v>591</v>
      </c>
      <c r="K6691" s="195">
        <v>45975.552164351851</v>
      </c>
      <c r="L6691">
        <v>0</v>
      </c>
      <c r="M6691">
        <v>11</v>
      </c>
      <c r="N6691" s="98" t="str">
        <f>IF(record[[#This Row],[Memo]]="Browser:chrome os:android","平板報工",IF(record[[#This Row],[Memo]]=0,"委外",record[[#This Row],[Memo]]))</f>
        <v/>
      </c>
      <c r="O6691" t="s">
        <v>58</v>
      </c>
      <c r="P6691" t="s">
        <v>141</v>
      </c>
      <c r="Q6691" t="s">
        <v>58</v>
      </c>
      <c r="R6691" t="str">
        <f>IFERROR(VLOOKUP(record[[#This Row],[PCUSTID]],廠商[],2,FALSE),"")</f>
        <v/>
      </c>
      <c r="S6691" t="str">
        <f>VLOOKUP(record[[#This Row],[employeeID]],員工[],2,FALSE)</f>
        <v>蔣梅</v>
      </c>
    </row>
    <row r="6692" spans="6:19" hidden="1" x14ac:dyDescent="0.25">
      <c r="F6692" t="s">
        <v>1198</v>
      </c>
      <c r="G6692" t="s">
        <v>398</v>
      </c>
      <c r="H6692" t="str">
        <f>VLOOKUP(record[[#This Row],[ProcessSN]],表格2_7[],2,FALSE)</f>
        <v>30-4118-018-550</v>
      </c>
      <c r="I6692" t="str">
        <f>VLOOKUP(record[[#This Row],[ProcessSN]],表格2_7[],3,FALSE)</f>
        <v>#08RCV</v>
      </c>
      <c r="J6692" t="s">
        <v>591</v>
      </c>
      <c r="K6692" s="195">
        <v>45975.55201388889</v>
      </c>
      <c r="L6692">
        <v>7</v>
      </c>
      <c r="M6692">
        <v>0</v>
      </c>
      <c r="N6692" s="98" t="str">
        <f>IF(record[[#This Row],[Memo]]="Browser:chrome os:android","平板報工",IF(record[[#This Row],[Memo]]=0,"委外",record[[#This Row],[Memo]]))</f>
        <v>覆回</v>
      </c>
      <c r="O6692" t="s">
        <v>682</v>
      </c>
      <c r="P6692" t="s">
        <v>141</v>
      </c>
      <c r="Q6692" t="s">
        <v>58</v>
      </c>
      <c r="R6692" t="str">
        <f>IFERROR(VLOOKUP(record[[#This Row],[PCUSTID]],廠商[],2,FALSE),"")</f>
        <v/>
      </c>
      <c r="S6692" t="str">
        <f>VLOOKUP(record[[#This Row],[employeeID]],員工[],2,FALSE)</f>
        <v>蔣梅</v>
      </c>
    </row>
    <row r="6693" spans="6:19" hidden="1" x14ac:dyDescent="0.25">
      <c r="F6693" t="s">
        <v>1191</v>
      </c>
      <c r="G6693" t="s">
        <v>398</v>
      </c>
      <c r="H6693" t="str">
        <f>VLOOKUP(record[[#This Row],[ProcessSN]],表格2_7[],2,FALSE)</f>
        <v>30-4118-018-550</v>
      </c>
      <c r="I6693" t="str">
        <f>VLOOKUP(record[[#This Row],[ProcessSN]],表格2_7[],3,FALSE)</f>
        <v>#08RCV</v>
      </c>
      <c r="J6693" t="s">
        <v>591</v>
      </c>
      <c r="K6693" s="195">
        <v>45975.551458333335</v>
      </c>
      <c r="L6693">
        <v>0</v>
      </c>
      <c r="M6693">
        <v>8</v>
      </c>
      <c r="N6693" s="98" t="str">
        <f>IF(record[[#This Row],[Memo]]="Browser:chrome os:android","平板報工",IF(record[[#This Row],[Memo]]=0,"委外",record[[#This Row],[Memo]]))</f>
        <v/>
      </c>
      <c r="O6693" t="s">
        <v>58</v>
      </c>
      <c r="P6693" t="s">
        <v>141</v>
      </c>
      <c r="Q6693" t="s">
        <v>58</v>
      </c>
      <c r="R6693" t="str">
        <f>IFERROR(VLOOKUP(record[[#This Row],[PCUSTID]],廠商[],2,FALSE),"")</f>
        <v/>
      </c>
      <c r="S6693" t="str">
        <f>VLOOKUP(record[[#This Row],[employeeID]],員工[],2,FALSE)</f>
        <v>蔣梅</v>
      </c>
    </row>
    <row r="6694" spans="6:19" hidden="1" x14ac:dyDescent="0.25">
      <c r="F6694" t="s">
        <v>1191</v>
      </c>
      <c r="G6694" t="s">
        <v>400</v>
      </c>
      <c r="H6694" t="str">
        <f>VLOOKUP(record[[#This Row],[ProcessSN]],表格2_7[],2,FALSE)</f>
        <v>30-4118-018-550</v>
      </c>
      <c r="I6694" t="str">
        <f>VLOOKUP(record[[#This Row],[ProcessSN]],表格2_7[],3,FALSE)</f>
        <v>#100</v>
      </c>
      <c r="J6694" t="s">
        <v>598</v>
      </c>
      <c r="K6694" s="195">
        <v>45975.551261574074</v>
      </c>
      <c r="L6694">
        <v>3</v>
      </c>
      <c r="M6694">
        <v>0</v>
      </c>
      <c r="N6694" s="98" t="str">
        <f>IF(record[[#This Row],[Memo]]="Browser:chrome os:android","平板報工",IF(record[[#This Row],[Memo]]=0,"委外",record[[#This Row],[Memo]]))</f>
        <v>覆回</v>
      </c>
      <c r="O6694" t="s">
        <v>682</v>
      </c>
      <c r="P6694" t="s">
        <v>141</v>
      </c>
      <c r="Q6694" t="s">
        <v>58</v>
      </c>
      <c r="R6694" t="str">
        <f>IFERROR(VLOOKUP(record[[#This Row],[PCUSTID]],廠商[],2,FALSE),"")</f>
        <v/>
      </c>
      <c r="S6694" t="str">
        <f>VLOOKUP(record[[#This Row],[employeeID]],員工[],2,FALSE)</f>
        <v>蔣梅</v>
      </c>
    </row>
    <row r="6695" spans="6:19" hidden="1" x14ac:dyDescent="0.25">
      <c r="F6695" t="s">
        <v>1191</v>
      </c>
      <c r="G6695" t="s">
        <v>399</v>
      </c>
      <c r="H6695" t="str">
        <f>VLOOKUP(record[[#This Row],[ProcessSN]],表格2_7[],2,FALSE)</f>
        <v>30-4118-018-550</v>
      </c>
      <c r="I6695" t="str">
        <f>VLOOKUP(record[[#This Row],[ProcessSN]],表格2_7[],3,FALSE)</f>
        <v>#08IQC</v>
      </c>
      <c r="J6695" t="s">
        <v>583</v>
      </c>
      <c r="K6695" s="195">
        <v>45975.551041666666</v>
      </c>
      <c r="L6695">
        <v>3</v>
      </c>
      <c r="M6695">
        <v>0</v>
      </c>
      <c r="N6695" s="98" t="str">
        <f>IF(record[[#This Row],[Memo]]="Browser:chrome os:android","平板報工",IF(record[[#This Row],[Memo]]=0,"委外",record[[#This Row],[Memo]]))</f>
        <v>覆回</v>
      </c>
      <c r="O6695" t="s">
        <v>682</v>
      </c>
      <c r="P6695" t="s">
        <v>141</v>
      </c>
      <c r="Q6695" t="s">
        <v>58</v>
      </c>
      <c r="R6695" t="str">
        <f>IFERROR(VLOOKUP(record[[#This Row],[PCUSTID]],廠商[],2,FALSE),"")</f>
        <v/>
      </c>
      <c r="S6695" t="str">
        <f>VLOOKUP(record[[#This Row],[employeeID]],員工[],2,FALSE)</f>
        <v>蔣梅</v>
      </c>
    </row>
    <row r="6696" spans="6:19" hidden="1" x14ac:dyDescent="0.25">
      <c r="F6696" t="s">
        <v>1191</v>
      </c>
      <c r="G6696" t="s">
        <v>398</v>
      </c>
      <c r="H6696" t="str">
        <f>VLOOKUP(record[[#This Row],[ProcessSN]],表格2_7[],2,FALSE)</f>
        <v>30-4118-018-550</v>
      </c>
      <c r="I6696" t="str">
        <f>VLOOKUP(record[[#This Row],[ProcessSN]],表格2_7[],3,FALSE)</f>
        <v>#08RCV</v>
      </c>
      <c r="J6696" t="s">
        <v>591</v>
      </c>
      <c r="K6696" s="195">
        <v>45975.550740740742</v>
      </c>
      <c r="L6696">
        <v>3</v>
      </c>
      <c r="M6696">
        <v>0</v>
      </c>
      <c r="N6696" s="98" t="str">
        <f>IF(record[[#This Row],[Memo]]="Browser:chrome os:android","平板報工",IF(record[[#This Row],[Memo]]=0,"委外",record[[#This Row],[Memo]]))</f>
        <v>覆回</v>
      </c>
      <c r="O6696" t="s">
        <v>682</v>
      </c>
      <c r="P6696" t="s">
        <v>141</v>
      </c>
      <c r="Q6696" t="s">
        <v>58</v>
      </c>
      <c r="R6696" t="str">
        <f>IFERROR(VLOOKUP(record[[#This Row],[PCUSTID]],廠商[],2,FALSE),"")</f>
        <v/>
      </c>
      <c r="S6696" t="str">
        <f>VLOOKUP(record[[#This Row],[employeeID]],員工[],2,FALSE)</f>
        <v>蔣梅</v>
      </c>
    </row>
    <row r="6697" spans="6:19" hidden="1" x14ac:dyDescent="0.25">
      <c r="F6697" t="s">
        <v>1180</v>
      </c>
      <c r="G6697" t="s">
        <v>420</v>
      </c>
      <c r="H6697" t="str">
        <f>VLOOKUP(record[[#This Row],[ProcessSN]],表格2_7[],2,FALSE)</f>
        <v>30-4118-018-5XX</v>
      </c>
      <c r="I6697" t="str">
        <f>VLOOKUP(record[[#This Row],[ProcessSN]],表格2_7[],3,FALSE)</f>
        <v>#07STOCK</v>
      </c>
      <c r="J6697" t="s">
        <v>592</v>
      </c>
      <c r="K6697" s="195">
        <v>45975.500057870369</v>
      </c>
      <c r="L6697">
        <v>156</v>
      </c>
      <c r="M6697">
        <v>0</v>
      </c>
      <c r="N6697" s="98" t="str">
        <f>IF(record[[#This Row],[Memo]]="Browser:chrome os:android","平板報工",IF(record[[#This Row],[Memo]]=0,"委外",record[[#This Row],[Memo]]))</f>
        <v/>
      </c>
      <c r="O6697" t="s">
        <v>58</v>
      </c>
      <c r="P6697" t="s">
        <v>186</v>
      </c>
      <c r="Q6697" t="s">
        <v>58</v>
      </c>
      <c r="R6697" t="str">
        <f>IFERROR(VLOOKUP(record[[#This Row],[PCUSTID]],廠商[],2,FALSE),"")</f>
        <v/>
      </c>
      <c r="S6697" t="str">
        <f>VLOOKUP(record[[#This Row],[employeeID]],員工[],2,FALSE)</f>
        <v>許文姍</v>
      </c>
    </row>
    <row r="6698" spans="6:19" hidden="1" x14ac:dyDescent="0.25">
      <c r="F6698" t="s">
        <v>1169</v>
      </c>
      <c r="G6698" t="s">
        <v>420</v>
      </c>
      <c r="H6698" t="str">
        <f>VLOOKUP(record[[#This Row],[ProcessSN]],表格2_7[],2,FALSE)</f>
        <v>30-4118-018-5XX</v>
      </c>
      <c r="I6698" t="str">
        <f>VLOOKUP(record[[#This Row],[ProcessSN]],表格2_7[],3,FALSE)</f>
        <v>#07STOCK</v>
      </c>
      <c r="J6698" t="s">
        <v>592</v>
      </c>
      <c r="K6698" s="195">
        <v>45975.499918981484</v>
      </c>
      <c r="L6698">
        <v>1</v>
      </c>
      <c r="M6698">
        <v>0</v>
      </c>
      <c r="N6698" s="98" t="str">
        <f>IF(record[[#This Row],[Memo]]="Browser:chrome os:android","平板報工",IF(record[[#This Row],[Memo]]=0,"委外",record[[#This Row],[Memo]]))</f>
        <v/>
      </c>
      <c r="O6698" t="s">
        <v>58</v>
      </c>
      <c r="P6698" t="s">
        <v>186</v>
      </c>
      <c r="Q6698" t="s">
        <v>58</v>
      </c>
      <c r="R6698" t="str">
        <f>IFERROR(VLOOKUP(record[[#This Row],[PCUSTID]],廠商[],2,FALSE),"")</f>
        <v/>
      </c>
      <c r="S6698" t="str">
        <f>VLOOKUP(record[[#This Row],[employeeID]],員工[],2,FALSE)</f>
        <v>許文姍</v>
      </c>
    </row>
    <row r="6699" spans="6:19" hidden="1" x14ac:dyDescent="0.25">
      <c r="F6699" t="s">
        <v>1169</v>
      </c>
      <c r="G6699" t="s">
        <v>419</v>
      </c>
      <c r="H6699" t="str">
        <f>VLOOKUP(record[[#This Row],[ProcessSN]],表格2_7[],2,FALSE)</f>
        <v>30-4118-018-5XX</v>
      </c>
      <c r="I6699" t="str">
        <f>VLOOKUP(record[[#This Row],[ProcessSN]],表格2_7[],3,FALSE)</f>
        <v>#07QC</v>
      </c>
      <c r="J6699" t="s">
        <v>589</v>
      </c>
      <c r="K6699" s="195">
        <v>45975.459108796298</v>
      </c>
      <c r="L6699">
        <v>1</v>
      </c>
      <c r="M6699">
        <v>0</v>
      </c>
      <c r="N6699" s="98" t="str">
        <f>IF(record[[#This Row],[Memo]]="Browser:chrome os:android","平板報工",IF(record[[#This Row],[Memo]]=0,"委外",record[[#This Row],[Memo]]))</f>
        <v/>
      </c>
      <c r="O6699" t="s">
        <v>58</v>
      </c>
      <c r="P6699" t="s">
        <v>141</v>
      </c>
      <c r="Q6699" t="s">
        <v>58</v>
      </c>
      <c r="R6699" t="str">
        <f>IFERROR(VLOOKUP(record[[#This Row],[PCUSTID]],廠商[],2,FALSE),"")</f>
        <v/>
      </c>
      <c r="S6699" t="str">
        <f>VLOOKUP(record[[#This Row],[employeeID]],員工[],2,FALSE)</f>
        <v>蔣梅</v>
      </c>
    </row>
    <row r="6700" spans="6:19" hidden="1" x14ac:dyDescent="0.25">
      <c r="F6700" t="s">
        <v>1180</v>
      </c>
      <c r="G6700" t="s">
        <v>419</v>
      </c>
      <c r="H6700" t="str">
        <f>VLOOKUP(record[[#This Row],[ProcessSN]],表格2_7[],2,FALSE)</f>
        <v>30-4118-018-5XX</v>
      </c>
      <c r="I6700" t="str">
        <f>VLOOKUP(record[[#This Row],[ProcessSN]],表格2_7[],3,FALSE)</f>
        <v>#07QC</v>
      </c>
      <c r="J6700" t="s">
        <v>589</v>
      </c>
      <c r="K6700" s="195">
        <v>45975.457916666666</v>
      </c>
      <c r="L6700">
        <v>1</v>
      </c>
      <c r="M6700">
        <v>0</v>
      </c>
      <c r="N6700" s="98" t="str">
        <f>IF(record[[#This Row],[Memo]]="Browser:chrome os:android","平板報工",IF(record[[#This Row],[Memo]]=0,"委外",record[[#This Row],[Memo]]))</f>
        <v/>
      </c>
      <c r="O6700" t="s">
        <v>58</v>
      </c>
      <c r="P6700" t="s">
        <v>141</v>
      </c>
      <c r="Q6700" t="s">
        <v>58</v>
      </c>
      <c r="R6700" t="str">
        <f>IFERROR(VLOOKUP(record[[#This Row],[PCUSTID]],廠商[],2,FALSE),"")</f>
        <v/>
      </c>
      <c r="S6700" t="str">
        <f>VLOOKUP(record[[#This Row],[employeeID]],員工[],2,FALSE)</f>
        <v>蔣梅</v>
      </c>
    </row>
    <row r="6701" spans="6:19" hidden="1" x14ac:dyDescent="0.25">
      <c r="F6701" t="s">
        <v>1180</v>
      </c>
      <c r="G6701" t="s">
        <v>419</v>
      </c>
      <c r="H6701" t="str">
        <f>VLOOKUP(record[[#This Row],[ProcessSN]],表格2_7[],2,FALSE)</f>
        <v>30-4118-018-5XX</v>
      </c>
      <c r="I6701" t="str">
        <f>VLOOKUP(record[[#This Row],[ProcessSN]],表格2_7[],3,FALSE)</f>
        <v>#07QC</v>
      </c>
      <c r="J6701" t="s">
        <v>589</v>
      </c>
      <c r="K6701" s="195">
        <v>45975.457754629628</v>
      </c>
      <c r="L6701">
        <v>156</v>
      </c>
      <c r="M6701">
        <v>0</v>
      </c>
      <c r="N6701" s="98" t="str">
        <f>IF(record[[#This Row],[Memo]]="Browser:chrome os:android","平板報工",IF(record[[#This Row],[Memo]]=0,"委外",record[[#This Row],[Memo]]))</f>
        <v>覆回</v>
      </c>
      <c r="O6701" t="s">
        <v>682</v>
      </c>
      <c r="P6701" t="s">
        <v>141</v>
      </c>
      <c r="Q6701" t="s">
        <v>58</v>
      </c>
      <c r="R6701" t="str">
        <f>IFERROR(VLOOKUP(record[[#This Row],[PCUSTID]],廠商[],2,FALSE),"")</f>
        <v/>
      </c>
      <c r="S6701" t="str">
        <f>VLOOKUP(record[[#This Row],[employeeID]],員工[],2,FALSE)</f>
        <v>蔣梅</v>
      </c>
    </row>
    <row r="6702" spans="6:19" hidden="1" x14ac:dyDescent="0.25">
      <c r="F6702" t="s">
        <v>1099</v>
      </c>
      <c r="G6702" t="s">
        <v>452</v>
      </c>
      <c r="H6702" t="str">
        <f>VLOOKUP(record[[#This Row],[ProcessSN]],表格2_7[],2,FALSE)</f>
        <v>30-4118-018-6XX</v>
      </c>
      <c r="I6702" t="str">
        <f>VLOOKUP(record[[#This Row],[ProcessSN]],表格2_7[],3,FALSE)</f>
        <v>#07QC</v>
      </c>
      <c r="J6702" t="s">
        <v>589</v>
      </c>
      <c r="K6702" s="195">
        <v>45975.428576388891</v>
      </c>
      <c r="L6702">
        <v>0</v>
      </c>
      <c r="M6702">
        <v>2</v>
      </c>
      <c r="N6702" s="98" t="str">
        <f>IF(record[[#This Row],[Memo]]="Browser:chrome os:android","平板報工",IF(record[[#This Row],[Memo]]=0,"委外",record[[#This Row],[Memo]]))</f>
        <v/>
      </c>
      <c r="O6702" t="s">
        <v>58</v>
      </c>
      <c r="P6702" t="s">
        <v>141</v>
      </c>
      <c r="Q6702" t="s">
        <v>58</v>
      </c>
      <c r="R6702" t="str">
        <f>IFERROR(VLOOKUP(record[[#This Row],[PCUSTID]],廠商[],2,FALSE),"")</f>
        <v/>
      </c>
      <c r="S6702" t="str">
        <f>VLOOKUP(record[[#This Row],[employeeID]],員工[],2,FALSE)</f>
        <v>蔣梅</v>
      </c>
    </row>
    <row r="6703" spans="6:19" hidden="1" x14ac:dyDescent="0.25">
      <c r="F6703" t="s">
        <v>1099</v>
      </c>
      <c r="G6703" t="s">
        <v>452</v>
      </c>
      <c r="H6703" t="str">
        <f>VLOOKUP(record[[#This Row],[ProcessSN]],表格2_7[],2,FALSE)</f>
        <v>30-4118-018-6XX</v>
      </c>
      <c r="I6703" t="str">
        <f>VLOOKUP(record[[#This Row],[ProcessSN]],表格2_7[],3,FALSE)</f>
        <v>#07QC</v>
      </c>
      <c r="J6703" t="s">
        <v>589</v>
      </c>
      <c r="K6703" s="195">
        <v>45975.428414351853</v>
      </c>
      <c r="L6703">
        <v>2</v>
      </c>
      <c r="M6703">
        <v>0</v>
      </c>
      <c r="N6703" s="98" t="str">
        <f>IF(record[[#This Row],[Memo]]="Browser:chrome os:android","平板報工",IF(record[[#This Row],[Memo]]=0,"委外",record[[#This Row],[Memo]]))</f>
        <v>覆回品</v>
      </c>
      <c r="O6703" t="s">
        <v>664</v>
      </c>
      <c r="P6703" t="s">
        <v>141</v>
      </c>
      <c r="Q6703" t="s">
        <v>58</v>
      </c>
      <c r="R6703" t="str">
        <f>IFERROR(VLOOKUP(record[[#This Row],[PCUSTID]],廠商[],2,FALSE),"")</f>
        <v/>
      </c>
      <c r="S6703" t="str">
        <f>VLOOKUP(record[[#This Row],[employeeID]],員工[],2,FALSE)</f>
        <v>蔣梅</v>
      </c>
    </row>
    <row r="6704" spans="6:19" hidden="1" x14ac:dyDescent="0.25">
      <c r="F6704" t="s">
        <v>1189</v>
      </c>
      <c r="G6704" t="s">
        <v>415</v>
      </c>
      <c r="H6704" t="str">
        <f>VLOOKUP(record[[#This Row],[ProcessSN]],表格2_7[],2,FALSE)</f>
        <v>30-4118-018-5XX</v>
      </c>
      <c r="I6704" t="str">
        <f>VLOOKUP(record[[#This Row],[ProcessSN]],表格2_7[],3,FALSE)</f>
        <v>#04</v>
      </c>
      <c r="J6704" t="s">
        <v>588</v>
      </c>
      <c r="K6704" s="195">
        <v>45975.308680555558</v>
      </c>
      <c r="L6704">
        <v>140</v>
      </c>
      <c r="M6704">
        <v>0</v>
      </c>
      <c r="N6704" s="98" t="str">
        <f>IF(record[[#This Row],[Memo]]="Browser:chrome os:android","平板報工",IF(record[[#This Row],[Memo]]=0,"委外",record[[#This Row],[Memo]]))</f>
        <v/>
      </c>
      <c r="O6704" t="s">
        <v>58</v>
      </c>
      <c r="P6704" t="s">
        <v>135</v>
      </c>
      <c r="Q6704" t="s">
        <v>58</v>
      </c>
      <c r="R6704" t="str">
        <f>IFERROR(VLOOKUP(record[[#This Row],[PCUSTID]],廠商[],2,FALSE),"")</f>
        <v/>
      </c>
      <c r="S6704" t="str">
        <f>VLOOKUP(record[[#This Row],[employeeID]],員工[],2,FALSE)</f>
        <v>阮士文</v>
      </c>
    </row>
    <row r="6705" spans="6:19" hidden="1" x14ac:dyDescent="0.25">
      <c r="F6705" t="s">
        <v>1189</v>
      </c>
      <c r="G6705" t="s">
        <v>414</v>
      </c>
      <c r="H6705" t="str">
        <f>VLOOKUP(record[[#This Row],[ProcessSN]],表格2_7[],2,FALSE)</f>
        <v>30-4118-018-5XX</v>
      </c>
      <c r="I6705" t="str">
        <f>VLOOKUP(record[[#This Row],[ProcessSN]],表格2_7[],3,FALSE)</f>
        <v>#03</v>
      </c>
      <c r="J6705" t="s">
        <v>588</v>
      </c>
      <c r="K6705" s="195">
        <v>45975.308472222219</v>
      </c>
      <c r="L6705">
        <v>603</v>
      </c>
      <c r="M6705">
        <v>1</v>
      </c>
      <c r="N6705" s="98" t="str">
        <f>IF(record[[#This Row],[Memo]]="Browser:chrome os:android","平板報工",IF(record[[#This Row],[Memo]]=0,"委外",record[[#This Row],[Memo]]))</f>
        <v/>
      </c>
      <c r="O6705" t="s">
        <v>58</v>
      </c>
      <c r="P6705" t="s">
        <v>135</v>
      </c>
      <c r="Q6705" t="s">
        <v>58</v>
      </c>
      <c r="R6705" t="str">
        <f>IFERROR(VLOOKUP(record[[#This Row],[PCUSTID]],廠商[],2,FALSE),"")</f>
        <v/>
      </c>
      <c r="S6705" t="str">
        <f>VLOOKUP(record[[#This Row],[employeeID]],員工[],2,FALSE)</f>
        <v>阮士文</v>
      </c>
    </row>
    <row r="6706" spans="6:19" hidden="1" x14ac:dyDescent="0.25">
      <c r="F6706" t="s">
        <v>1189</v>
      </c>
      <c r="G6706" t="s">
        <v>415</v>
      </c>
      <c r="H6706" t="str">
        <f>VLOOKUP(record[[#This Row],[ProcessSN]],表格2_7[],2,FALSE)</f>
        <v>30-4118-018-5XX</v>
      </c>
      <c r="I6706" t="str">
        <f>VLOOKUP(record[[#This Row],[ProcessSN]],表格2_7[],3,FALSE)</f>
        <v>#04</v>
      </c>
      <c r="J6706" t="s">
        <v>588</v>
      </c>
      <c r="K6706" s="195">
        <v>45974.952175925922</v>
      </c>
      <c r="L6706">
        <v>131</v>
      </c>
      <c r="M6706">
        <v>1</v>
      </c>
      <c r="N6706" s="98" t="str">
        <f>IF(record[[#This Row],[Memo]]="Browser:chrome os:android","平板報工",IF(record[[#This Row],[Memo]]=0,"委外",record[[#This Row],[Memo]]))</f>
        <v/>
      </c>
      <c r="O6706" t="s">
        <v>58</v>
      </c>
      <c r="P6706" t="s">
        <v>176</v>
      </c>
      <c r="Q6706" t="s">
        <v>58</v>
      </c>
      <c r="R6706" t="str">
        <f>IFERROR(VLOOKUP(record[[#This Row],[PCUSTID]],廠商[],2,FALSE),"")</f>
        <v/>
      </c>
      <c r="S6706" t="str">
        <f>VLOOKUP(record[[#This Row],[employeeID]],員工[],2,FALSE)</f>
        <v>郭政雄</v>
      </c>
    </row>
    <row r="6707" spans="6:19" hidden="1" x14ac:dyDescent="0.25">
      <c r="F6707" t="s">
        <v>1189</v>
      </c>
      <c r="G6707" t="s">
        <v>415</v>
      </c>
      <c r="H6707" t="str">
        <f>VLOOKUP(record[[#This Row],[ProcessSN]],表格2_7[],2,FALSE)</f>
        <v>30-4118-018-5XX</v>
      </c>
      <c r="I6707" t="str">
        <f>VLOOKUP(record[[#This Row],[ProcessSN]],表格2_7[],3,FALSE)</f>
        <v>#04</v>
      </c>
      <c r="J6707" t="s">
        <v>588</v>
      </c>
      <c r="K6707" s="195">
        <v>45974.665000000001</v>
      </c>
      <c r="L6707">
        <v>84</v>
      </c>
      <c r="M6707">
        <v>1</v>
      </c>
      <c r="N6707" s="98" t="str">
        <f>IF(record[[#This Row],[Memo]]="Browser:chrome os:android","平板報工",IF(record[[#This Row],[Memo]]=0,"委外",record[[#This Row],[Memo]]))</f>
        <v>平板報工</v>
      </c>
      <c r="O6707" t="s">
        <v>643</v>
      </c>
      <c r="P6707" t="s">
        <v>145</v>
      </c>
      <c r="Q6707" t="s">
        <v>644</v>
      </c>
      <c r="R6707" t="str">
        <f>IFERROR(VLOOKUP(record[[#This Row],[PCUSTID]],廠商[],2,FALSE),"")</f>
        <v/>
      </c>
      <c r="S6707" t="str">
        <f>VLOOKUP(record[[#This Row],[employeeID]],員工[],2,FALSE)</f>
        <v>阮秋霞</v>
      </c>
    </row>
    <row r="6708" spans="6:19" hidden="1" x14ac:dyDescent="0.25">
      <c r="F6708" t="s">
        <v>1189</v>
      </c>
      <c r="G6708" t="s">
        <v>414</v>
      </c>
      <c r="H6708" t="str">
        <f>VLOOKUP(record[[#This Row],[ProcessSN]],表格2_7[],2,FALSE)</f>
        <v>30-4118-018-5XX</v>
      </c>
      <c r="I6708" t="str">
        <f>VLOOKUP(record[[#This Row],[ProcessSN]],表格2_7[],3,FALSE)</f>
        <v>#03</v>
      </c>
      <c r="J6708" t="s">
        <v>588</v>
      </c>
      <c r="K6708" s="195">
        <v>45974.664444444446</v>
      </c>
      <c r="L6708">
        <v>336</v>
      </c>
      <c r="M6708">
        <v>0</v>
      </c>
      <c r="N6708" s="98" t="str">
        <f>IF(record[[#This Row],[Memo]]="Browser:chrome os:android","平板報工",IF(record[[#This Row],[Memo]]=0,"委外",record[[#This Row],[Memo]]))</f>
        <v>平板報工</v>
      </c>
      <c r="O6708" t="s">
        <v>643</v>
      </c>
      <c r="P6708" t="s">
        <v>145</v>
      </c>
      <c r="Q6708" t="s">
        <v>644</v>
      </c>
      <c r="R6708" t="str">
        <f>IFERROR(VLOOKUP(record[[#This Row],[PCUSTID]],廠商[],2,FALSE),"")</f>
        <v/>
      </c>
      <c r="S6708" t="str">
        <f>VLOOKUP(record[[#This Row],[employeeID]],員工[],2,FALSE)</f>
        <v>阮秋霞</v>
      </c>
    </row>
    <row r="6709" spans="6:19" hidden="1" x14ac:dyDescent="0.25">
      <c r="F6709" t="s">
        <v>1148</v>
      </c>
      <c r="G6709" t="s">
        <v>470</v>
      </c>
      <c r="H6709" t="str">
        <f>VLOOKUP(record[[#This Row],[ProcessSN]],表格2_7[],2,FALSE)</f>
        <v>30-4118-018-XXX</v>
      </c>
      <c r="I6709" t="str">
        <f>VLOOKUP(record[[#This Row],[ProcessSN]],表格2_7[],3,FALSE)</f>
        <v>#02IQC</v>
      </c>
      <c r="J6709" t="s">
        <v>583</v>
      </c>
      <c r="K6709" s="195">
        <v>45974.658333333333</v>
      </c>
      <c r="L6709">
        <v>596</v>
      </c>
      <c r="M6709">
        <v>0</v>
      </c>
      <c r="N6709" s="98" t="str">
        <f>IF(record[[#This Row],[Memo]]="Browser:chrome os:android","平板報工",IF(record[[#This Row],[Memo]]=0,"委外",record[[#This Row],[Memo]]))</f>
        <v/>
      </c>
      <c r="O6709" t="s">
        <v>58</v>
      </c>
      <c r="P6709" t="s">
        <v>109</v>
      </c>
      <c r="Q6709" t="s">
        <v>58</v>
      </c>
      <c r="R6709" t="str">
        <f>IFERROR(VLOOKUP(record[[#This Row],[PCUSTID]],廠商[],2,FALSE),"")</f>
        <v/>
      </c>
      <c r="S6709" t="str">
        <f>VLOOKUP(record[[#This Row],[employeeID]],員工[],2,FALSE)</f>
        <v>裴氏璧鳳</v>
      </c>
    </row>
    <row r="6710" spans="6:19" hidden="1" x14ac:dyDescent="0.25">
      <c r="F6710" t="s">
        <v>1143</v>
      </c>
      <c r="G6710" t="s">
        <v>428</v>
      </c>
      <c r="H6710" t="str">
        <f>VLOOKUP(record[[#This Row],[ProcessSN]],表格2_7[],2,FALSE)</f>
        <v>30-4118-018-600</v>
      </c>
      <c r="I6710" t="str">
        <f>VLOOKUP(record[[#This Row],[ProcessSN]],表格2_7[],3,FALSE)</f>
        <v>#100SHIP</v>
      </c>
      <c r="J6710" t="s">
        <v>600</v>
      </c>
      <c r="K6710" s="195">
        <v>45974.546944444446</v>
      </c>
      <c r="L6710">
        <v>193</v>
      </c>
      <c r="M6710">
        <v>0</v>
      </c>
      <c r="N6710" s="98" t="str">
        <f>IF(record[[#This Row],[Memo]]="Browser:chrome os:android","平板報工",IF(record[[#This Row],[Memo]]=0,"委外",record[[#This Row],[Memo]]))</f>
        <v/>
      </c>
      <c r="O6710" t="s">
        <v>58</v>
      </c>
      <c r="P6710" t="s">
        <v>886</v>
      </c>
      <c r="Q6710" t="s">
        <v>58</v>
      </c>
      <c r="R6710" t="str">
        <f>IFERROR(VLOOKUP(record[[#This Row],[PCUSTID]],廠商[],2,FALSE),"")</f>
        <v/>
      </c>
      <c r="S6710" t="str">
        <f>VLOOKUP(record[[#This Row],[employeeID]],員工[],2,FALSE)</f>
        <v>謝蓁薰</v>
      </c>
    </row>
    <row r="6711" spans="6:19" hidden="1" x14ac:dyDescent="0.25">
      <c r="F6711" t="s">
        <v>1130</v>
      </c>
      <c r="G6711" t="s">
        <v>428</v>
      </c>
      <c r="H6711" t="str">
        <f>VLOOKUP(record[[#This Row],[ProcessSN]],表格2_7[],2,FALSE)</f>
        <v>30-4118-018-600</v>
      </c>
      <c r="I6711" t="str">
        <f>VLOOKUP(record[[#This Row],[ProcessSN]],表格2_7[],3,FALSE)</f>
        <v>#100SHIP</v>
      </c>
      <c r="J6711" t="s">
        <v>600</v>
      </c>
      <c r="K6711" s="195">
        <v>45974.546782407408</v>
      </c>
      <c r="L6711">
        <v>47</v>
      </c>
      <c r="M6711">
        <v>0</v>
      </c>
      <c r="N6711" s="98" t="str">
        <f>IF(record[[#This Row],[Memo]]="Browser:chrome os:android","平板報工",IF(record[[#This Row],[Memo]]=0,"委外",record[[#This Row],[Memo]]))</f>
        <v/>
      </c>
      <c r="O6711" t="s">
        <v>58</v>
      </c>
      <c r="P6711" t="s">
        <v>886</v>
      </c>
      <c r="Q6711" t="s">
        <v>58</v>
      </c>
      <c r="R6711" t="str">
        <f>IFERROR(VLOOKUP(record[[#This Row],[PCUSTID]],廠商[],2,FALSE),"")</f>
        <v/>
      </c>
      <c r="S6711" t="str">
        <f>VLOOKUP(record[[#This Row],[employeeID]],員工[],2,FALSE)</f>
        <v>謝蓁薰</v>
      </c>
    </row>
    <row r="6712" spans="6:19" hidden="1" x14ac:dyDescent="0.25">
      <c r="F6712" t="s">
        <v>1117</v>
      </c>
      <c r="G6712" t="s">
        <v>428</v>
      </c>
      <c r="H6712" t="str">
        <f>VLOOKUP(record[[#This Row],[ProcessSN]],表格2_7[],2,FALSE)</f>
        <v>30-4118-018-600</v>
      </c>
      <c r="I6712" t="str">
        <f>VLOOKUP(record[[#This Row],[ProcessSN]],表格2_7[],3,FALSE)</f>
        <v>#100SHIP</v>
      </c>
      <c r="J6712" t="s">
        <v>600</v>
      </c>
      <c r="K6712" s="195">
        <v>45974.546643518515</v>
      </c>
      <c r="L6712">
        <v>31</v>
      </c>
      <c r="M6712">
        <v>0</v>
      </c>
      <c r="N6712" s="98" t="str">
        <f>IF(record[[#This Row],[Memo]]="Browser:chrome os:android","平板報工",IF(record[[#This Row],[Memo]]=0,"委外",record[[#This Row],[Memo]]))</f>
        <v/>
      </c>
      <c r="O6712" t="s">
        <v>58</v>
      </c>
      <c r="P6712" t="s">
        <v>886</v>
      </c>
      <c r="Q6712" t="s">
        <v>58</v>
      </c>
      <c r="R6712" t="str">
        <f>IFERROR(VLOOKUP(record[[#This Row],[PCUSTID]],廠商[],2,FALSE),"")</f>
        <v/>
      </c>
      <c r="S6712" t="str">
        <f>VLOOKUP(record[[#This Row],[employeeID]],員工[],2,FALSE)</f>
        <v>謝蓁薰</v>
      </c>
    </row>
    <row r="6713" spans="6:19" hidden="1" x14ac:dyDescent="0.25">
      <c r="F6713" t="s">
        <v>1136</v>
      </c>
      <c r="G6713" t="s">
        <v>362</v>
      </c>
      <c r="H6713" t="str">
        <f>VLOOKUP(record[[#This Row],[ProcessSN]],表格2_7[],2,FALSE)</f>
        <v>30-4118-018-450</v>
      </c>
      <c r="I6713" t="str">
        <f>VLOOKUP(record[[#This Row],[ProcessSN]],表格2_7[],3,FALSE)</f>
        <v>#100SHIP</v>
      </c>
      <c r="J6713" t="s">
        <v>600</v>
      </c>
      <c r="K6713" s="195">
        <v>45974.546516203707</v>
      </c>
      <c r="L6713">
        <v>73</v>
      </c>
      <c r="M6713">
        <v>0</v>
      </c>
      <c r="N6713" s="98" t="str">
        <f>IF(record[[#This Row],[Memo]]="Browser:chrome os:android","平板報工",IF(record[[#This Row],[Memo]]=0,"委外",record[[#This Row],[Memo]]))</f>
        <v/>
      </c>
      <c r="O6713" t="s">
        <v>58</v>
      </c>
      <c r="P6713" t="s">
        <v>886</v>
      </c>
      <c r="Q6713" t="s">
        <v>58</v>
      </c>
      <c r="R6713" t="str">
        <f>IFERROR(VLOOKUP(record[[#This Row],[PCUSTID]],廠商[],2,FALSE),"")</f>
        <v/>
      </c>
      <c r="S6713" t="str">
        <f>VLOOKUP(record[[#This Row],[employeeID]],員工[],2,FALSE)</f>
        <v>謝蓁薰</v>
      </c>
    </row>
    <row r="6714" spans="6:19" hidden="1" x14ac:dyDescent="0.25">
      <c r="F6714" t="s">
        <v>1129</v>
      </c>
      <c r="G6714" t="s">
        <v>362</v>
      </c>
      <c r="H6714" t="str">
        <f>VLOOKUP(record[[#This Row],[ProcessSN]],表格2_7[],2,FALSE)</f>
        <v>30-4118-018-450</v>
      </c>
      <c r="I6714" t="str">
        <f>VLOOKUP(record[[#This Row],[ProcessSN]],表格2_7[],3,FALSE)</f>
        <v>#100SHIP</v>
      </c>
      <c r="J6714" t="s">
        <v>600</v>
      </c>
      <c r="K6714" s="195">
        <v>45974.546307870369</v>
      </c>
      <c r="L6714">
        <v>127</v>
      </c>
      <c r="M6714">
        <v>0</v>
      </c>
      <c r="N6714" s="98" t="str">
        <f>IF(record[[#This Row],[Memo]]="Browser:chrome os:android","平板報工",IF(record[[#This Row],[Memo]]=0,"委外",record[[#This Row],[Memo]]))</f>
        <v/>
      </c>
      <c r="O6714" t="s">
        <v>58</v>
      </c>
      <c r="P6714" t="s">
        <v>886</v>
      </c>
      <c r="Q6714" t="s">
        <v>58</v>
      </c>
      <c r="R6714" t="str">
        <f>IFERROR(VLOOKUP(record[[#This Row],[PCUSTID]],廠商[],2,FALSE),"")</f>
        <v/>
      </c>
      <c r="S6714" t="str">
        <f>VLOOKUP(record[[#This Row],[employeeID]],員工[],2,FALSE)</f>
        <v>謝蓁薰</v>
      </c>
    </row>
    <row r="6715" spans="6:19" hidden="1" x14ac:dyDescent="0.25">
      <c r="F6715" t="s">
        <v>1148</v>
      </c>
      <c r="G6715" t="s">
        <v>469</v>
      </c>
      <c r="H6715" t="str">
        <f>VLOOKUP(record[[#This Row],[ProcessSN]],表格2_7[],2,FALSE)</f>
        <v>30-4118-018-XXX</v>
      </c>
      <c r="I6715" t="str">
        <f>VLOOKUP(record[[#This Row],[ProcessSN]],表格2_7[],3,FALSE)</f>
        <v>#02RCV</v>
      </c>
      <c r="J6715" t="s">
        <v>591</v>
      </c>
      <c r="K6715" s="195">
        <v>45974.483032407406</v>
      </c>
      <c r="L6715">
        <v>223</v>
      </c>
      <c r="M6715">
        <v>0</v>
      </c>
      <c r="N6715" s="98" t="str">
        <f>IF(record[[#This Row],[Memo]]="Browser:chrome os:android","平板報工",IF(record[[#This Row],[Memo]]=0,"委外",record[[#This Row],[Memo]]))</f>
        <v/>
      </c>
      <c r="O6715" t="s">
        <v>58</v>
      </c>
      <c r="P6715" t="s">
        <v>186</v>
      </c>
      <c r="Q6715" t="s">
        <v>58</v>
      </c>
      <c r="R6715" t="str">
        <f>IFERROR(VLOOKUP(record[[#This Row],[PCUSTID]],廠商[],2,FALSE),"")</f>
        <v/>
      </c>
      <c r="S6715" t="str">
        <f>VLOOKUP(record[[#This Row],[employeeID]],員工[],2,FALSE)</f>
        <v>許文姍</v>
      </c>
    </row>
    <row r="6716" spans="6:19" hidden="1" x14ac:dyDescent="0.25">
      <c r="F6716" t="s">
        <v>1148</v>
      </c>
      <c r="G6716" t="s">
        <v>469</v>
      </c>
      <c r="H6716" t="str">
        <f>VLOOKUP(record[[#This Row],[ProcessSN]],表格2_7[],2,FALSE)</f>
        <v>30-4118-018-XXX</v>
      </c>
      <c r="I6716" t="str">
        <f>VLOOKUP(record[[#This Row],[ProcessSN]],表格2_7[],3,FALSE)</f>
        <v>#02RCV</v>
      </c>
      <c r="J6716" t="s">
        <v>591</v>
      </c>
      <c r="K6716" s="195">
        <v>45974.482789351852</v>
      </c>
      <c r="L6716">
        <v>373</v>
      </c>
      <c r="M6716">
        <v>0</v>
      </c>
      <c r="N6716" s="98" t="str">
        <f>IF(record[[#This Row],[Memo]]="Browser:chrome os:android","平板報工",IF(record[[#This Row],[Memo]]=0,"委外",record[[#This Row],[Memo]]))</f>
        <v/>
      </c>
      <c r="O6716" t="s">
        <v>58</v>
      </c>
      <c r="P6716" t="s">
        <v>186</v>
      </c>
      <c r="Q6716" t="s">
        <v>58</v>
      </c>
      <c r="R6716" t="str">
        <f>IFERROR(VLOOKUP(record[[#This Row],[PCUSTID]],廠商[],2,FALSE),"")</f>
        <v/>
      </c>
      <c r="S6716" t="str">
        <f>VLOOKUP(record[[#This Row],[employeeID]],員工[],2,FALSE)</f>
        <v>許文姍</v>
      </c>
    </row>
    <row r="6717" spans="6:19" hidden="1" x14ac:dyDescent="0.25">
      <c r="F6717" t="s">
        <v>1205</v>
      </c>
      <c r="G6717" t="s">
        <v>397</v>
      </c>
      <c r="H6717" t="str">
        <f>VLOOKUP(record[[#This Row],[ProcessSN]],表格2_7[],2,FALSE)</f>
        <v>30-4118-018-550</v>
      </c>
      <c r="I6717" t="str">
        <f>VLOOKUP(record[[#This Row],[ProcessSN]],表格2_7[],3,FALSE)</f>
        <v>#08</v>
      </c>
      <c r="J6717" t="s">
        <v>597</v>
      </c>
      <c r="K6717" s="195">
        <v>45974.43167824074</v>
      </c>
      <c r="L6717">
        <v>327</v>
      </c>
      <c r="M6717">
        <v>0</v>
      </c>
      <c r="N6717" s="98" t="str">
        <f>IF(record[[#This Row],[Memo]]="Browser:chrome os:android","平板報工",IF(record[[#This Row],[Memo]]=0,"委外",record[[#This Row],[Memo]]))</f>
        <v>委外</v>
      </c>
      <c r="P6717" t="s">
        <v>186</v>
      </c>
      <c r="Q6717" t="s">
        <v>287</v>
      </c>
      <c r="R6717" t="str">
        <f>IFERROR(VLOOKUP(record[[#This Row],[PCUSTID]],廠商[],2,FALSE),"")</f>
        <v>泉盛</v>
      </c>
      <c r="S6717" t="str">
        <f>VLOOKUP(record[[#This Row],[employeeID]],員工[],2,FALSE)</f>
        <v>許文姍</v>
      </c>
    </row>
    <row r="6718" spans="6:19" hidden="1" x14ac:dyDescent="0.25">
      <c r="F6718" t="s">
        <v>1204</v>
      </c>
      <c r="G6718" t="s">
        <v>397</v>
      </c>
      <c r="H6718" t="str">
        <f>VLOOKUP(record[[#This Row],[ProcessSN]],表格2_7[],2,FALSE)</f>
        <v>30-4118-018-550</v>
      </c>
      <c r="I6718" t="str">
        <f>VLOOKUP(record[[#This Row],[ProcessSN]],表格2_7[],3,FALSE)</f>
        <v>#08</v>
      </c>
      <c r="J6718" t="s">
        <v>597</v>
      </c>
      <c r="K6718" s="195">
        <v>45974.431504629632</v>
      </c>
      <c r="L6718">
        <v>204</v>
      </c>
      <c r="M6718">
        <v>0</v>
      </c>
      <c r="N6718" s="98" t="str">
        <f>IF(record[[#This Row],[Memo]]="Browser:chrome os:android","平板報工",IF(record[[#This Row],[Memo]]=0,"委外",record[[#This Row],[Memo]]))</f>
        <v>委外</v>
      </c>
      <c r="P6718" t="s">
        <v>186</v>
      </c>
      <c r="Q6718" t="s">
        <v>287</v>
      </c>
      <c r="R6718" t="str">
        <f>IFERROR(VLOOKUP(record[[#This Row],[PCUSTID]],廠商[],2,FALSE),"")</f>
        <v>泉盛</v>
      </c>
      <c r="S6718" t="str">
        <f>VLOOKUP(record[[#This Row],[employeeID]],員工[],2,FALSE)</f>
        <v>許文姍</v>
      </c>
    </row>
    <row r="6719" spans="6:19" hidden="1" x14ac:dyDescent="0.25">
      <c r="F6719" t="s">
        <v>1205</v>
      </c>
      <c r="G6719" t="s">
        <v>396</v>
      </c>
      <c r="H6719" t="str">
        <f>VLOOKUP(record[[#This Row],[ProcessSN]],表格2_7[],2,FALSE)</f>
        <v>30-4118-018-550</v>
      </c>
      <c r="I6719" t="str">
        <f>VLOOKUP(record[[#This Row],[ProcessSN]],表格2_7[],3,FALSE)</f>
        <v>#08PICK</v>
      </c>
      <c r="J6719" t="s">
        <v>582</v>
      </c>
      <c r="K6719" s="195">
        <v>45974.43136574074</v>
      </c>
      <c r="L6719">
        <v>327</v>
      </c>
      <c r="M6719">
        <v>0</v>
      </c>
      <c r="N6719" s="98" t="str">
        <f>IF(record[[#This Row],[Memo]]="Browser:chrome os:android","平板報工",IF(record[[#This Row],[Memo]]=0,"委外",record[[#This Row],[Memo]]))</f>
        <v/>
      </c>
      <c r="O6719" t="s">
        <v>58</v>
      </c>
      <c r="P6719" t="s">
        <v>186</v>
      </c>
      <c r="Q6719" t="s">
        <v>58</v>
      </c>
      <c r="R6719" t="str">
        <f>IFERROR(VLOOKUP(record[[#This Row],[PCUSTID]],廠商[],2,FALSE),"")</f>
        <v/>
      </c>
      <c r="S6719" t="str">
        <f>VLOOKUP(record[[#This Row],[employeeID]],員工[],2,FALSE)</f>
        <v>許文姍</v>
      </c>
    </row>
    <row r="6720" spans="6:19" hidden="1" x14ac:dyDescent="0.25">
      <c r="F6720" t="s">
        <v>1204</v>
      </c>
      <c r="G6720" t="s">
        <v>396</v>
      </c>
      <c r="H6720" t="str">
        <f>VLOOKUP(record[[#This Row],[ProcessSN]],表格2_7[],2,FALSE)</f>
        <v>30-4118-018-550</v>
      </c>
      <c r="I6720" t="str">
        <f>VLOOKUP(record[[#This Row],[ProcessSN]],表格2_7[],3,FALSE)</f>
        <v>#08PICK</v>
      </c>
      <c r="J6720" t="s">
        <v>582</v>
      </c>
      <c r="K6720" s="195">
        <v>45974.431180555555</v>
      </c>
      <c r="L6720">
        <v>204</v>
      </c>
      <c r="M6720">
        <v>0</v>
      </c>
      <c r="N6720" s="98" t="str">
        <f>IF(record[[#This Row],[Memo]]="Browser:chrome os:android","平板報工",IF(record[[#This Row],[Memo]]=0,"委外",record[[#This Row],[Memo]]))</f>
        <v/>
      </c>
      <c r="O6720" t="s">
        <v>58</v>
      </c>
      <c r="P6720" t="s">
        <v>186</v>
      </c>
      <c r="Q6720" t="s">
        <v>58</v>
      </c>
      <c r="R6720" t="str">
        <f>IFERROR(VLOOKUP(record[[#This Row],[PCUSTID]],廠商[],2,FALSE),"")</f>
        <v/>
      </c>
      <c r="S6720" t="str">
        <f>VLOOKUP(record[[#This Row],[employeeID]],員工[],2,FALSE)</f>
        <v>許文姍</v>
      </c>
    </row>
    <row r="6721" spans="6:19" hidden="1" x14ac:dyDescent="0.25">
      <c r="F6721" t="s">
        <v>1181</v>
      </c>
      <c r="G6721" t="s">
        <v>425</v>
      </c>
      <c r="H6721" t="str">
        <f>VLOOKUP(record[[#This Row],[ProcessSN]],表格2_7[],2,FALSE)</f>
        <v>30-4118-018-600</v>
      </c>
      <c r="I6721" t="str">
        <f>VLOOKUP(record[[#This Row],[ProcessSN]],表格2_7[],3,FALSE)</f>
        <v>#100</v>
      </c>
      <c r="J6721" t="s">
        <v>598</v>
      </c>
      <c r="K6721" s="195">
        <v>45972.675393518519</v>
      </c>
      <c r="L6721">
        <v>0</v>
      </c>
      <c r="M6721">
        <v>1</v>
      </c>
      <c r="N6721" s="98" t="str">
        <f>IF(record[[#This Row],[Memo]]="Browser:chrome os:android","平板報工",IF(record[[#This Row],[Memo]]=0,"委外",record[[#This Row],[Memo]]))</f>
        <v/>
      </c>
      <c r="O6721" t="s">
        <v>58</v>
      </c>
      <c r="P6721" t="s">
        <v>141</v>
      </c>
      <c r="Q6721" t="s">
        <v>58</v>
      </c>
      <c r="R6721" t="str">
        <f>IFERROR(VLOOKUP(record[[#This Row],[PCUSTID]],廠商[],2,FALSE),"")</f>
        <v/>
      </c>
      <c r="S6721" t="str">
        <f>VLOOKUP(record[[#This Row],[employeeID]],員工[],2,FALSE)</f>
        <v>蔣梅</v>
      </c>
    </row>
    <row r="6722" spans="6:19" hidden="1" x14ac:dyDescent="0.25">
      <c r="F6722" t="s">
        <v>1181</v>
      </c>
      <c r="G6722" t="s">
        <v>425</v>
      </c>
      <c r="H6722" t="str">
        <f>VLOOKUP(record[[#This Row],[ProcessSN]],表格2_7[],2,FALSE)</f>
        <v>30-4118-018-600</v>
      </c>
      <c r="I6722" t="str">
        <f>VLOOKUP(record[[#This Row],[ProcessSN]],表格2_7[],3,FALSE)</f>
        <v>#100</v>
      </c>
      <c r="J6722" t="s">
        <v>598</v>
      </c>
      <c r="K6722" s="195">
        <v>45972.675208333334</v>
      </c>
      <c r="L6722">
        <v>589</v>
      </c>
      <c r="M6722">
        <v>0</v>
      </c>
      <c r="N6722" s="98" t="str">
        <f>IF(record[[#This Row],[Memo]]="Browser:chrome os:android","平板報工",IF(record[[#This Row],[Memo]]=0,"委外",record[[#This Row],[Memo]]))</f>
        <v/>
      </c>
      <c r="O6722" t="s">
        <v>58</v>
      </c>
      <c r="P6722" t="s">
        <v>141</v>
      </c>
      <c r="Q6722" t="s">
        <v>58</v>
      </c>
      <c r="R6722" t="str">
        <f>IFERROR(VLOOKUP(record[[#This Row],[PCUSTID]],廠商[],2,FALSE),"")</f>
        <v/>
      </c>
      <c r="S6722" t="str">
        <f>VLOOKUP(record[[#This Row],[employeeID]],員工[],2,FALSE)</f>
        <v>蔣梅</v>
      </c>
    </row>
    <row r="6723" spans="6:19" hidden="1" x14ac:dyDescent="0.25">
      <c r="F6723" t="s">
        <v>1111</v>
      </c>
      <c r="G6723" t="s">
        <v>428</v>
      </c>
      <c r="H6723" t="str">
        <f>VLOOKUP(record[[#This Row],[ProcessSN]],表格2_7[],2,FALSE)</f>
        <v>30-4118-018-600</v>
      </c>
      <c r="I6723" t="str">
        <f>VLOOKUP(record[[#This Row],[ProcessSN]],表格2_7[],3,FALSE)</f>
        <v>#100SHIP</v>
      </c>
      <c r="J6723" t="s">
        <v>600</v>
      </c>
      <c r="K6723" s="195">
        <v>45972.674699074072</v>
      </c>
      <c r="L6723">
        <v>16</v>
      </c>
      <c r="M6723">
        <v>0</v>
      </c>
      <c r="N6723" s="98" t="str">
        <f>IF(record[[#This Row],[Memo]]="Browser:chrome os:android","平板報工",IF(record[[#This Row],[Memo]]=0,"委外",record[[#This Row],[Memo]]))</f>
        <v/>
      </c>
      <c r="O6723" t="s">
        <v>58</v>
      </c>
      <c r="P6723" t="s">
        <v>886</v>
      </c>
      <c r="Q6723" t="s">
        <v>58</v>
      </c>
      <c r="R6723" t="str">
        <f>IFERROR(VLOOKUP(record[[#This Row],[PCUSTID]],廠商[],2,FALSE),"")</f>
        <v/>
      </c>
      <c r="S6723" t="str">
        <f>VLOOKUP(record[[#This Row],[employeeID]],員工[],2,FALSE)</f>
        <v>謝蓁薰</v>
      </c>
    </row>
    <row r="6724" spans="6:19" hidden="1" x14ac:dyDescent="0.25">
      <c r="F6724" t="s">
        <v>1117</v>
      </c>
      <c r="G6724" t="s">
        <v>428</v>
      </c>
      <c r="H6724" t="str">
        <f>VLOOKUP(record[[#This Row],[ProcessSN]],表格2_7[],2,FALSE)</f>
        <v>30-4118-018-600</v>
      </c>
      <c r="I6724" t="str">
        <f>VLOOKUP(record[[#This Row],[ProcessSN]],表格2_7[],3,FALSE)</f>
        <v>#100SHIP</v>
      </c>
      <c r="J6724" t="s">
        <v>600</v>
      </c>
      <c r="K6724" s="195">
        <v>45972.674537037034</v>
      </c>
      <c r="L6724">
        <v>27</v>
      </c>
      <c r="M6724">
        <v>0</v>
      </c>
      <c r="N6724" s="98" t="str">
        <f>IF(record[[#This Row],[Memo]]="Browser:chrome os:android","平板報工",IF(record[[#This Row],[Memo]]=0,"委外",record[[#This Row],[Memo]]))</f>
        <v/>
      </c>
      <c r="O6724" t="s">
        <v>58</v>
      </c>
      <c r="P6724" t="s">
        <v>886</v>
      </c>
      <c r="Q6724" t="s">
        <v>58</v>
      </c>
      <c r="R6724" t="str">
        <f>IFERROR(VLOOKUP(record[[#This Row],[PCUSTID]],廠商[],2,FALSE),"")</f>
        <v/>
      </c>
      <c r="S6724" t="str">
        <f>VLOOKUP(record[[#This Row],[employeeID]],員工[],2,FALSE)</f>
        <v>謝蓁薰</v>
      </c>
    </row>
    <row r="6725" spans="6:19" hidden="1" x14ac:dyDescent="0.25">
      <c r="F6725" t="s">
        <v>1129</v>
      </c>
      <c r="G6725" t="s">
        <v>362</v>
      </c>
      <c r="H6725" t="str">
        <f>VLOOKUP(record[[#This Row],[ProcessSN]],表格2_7[],2,FALSE)</f>
        <v>30-4118-018-450</v>
      </c>
      <c r="I6725" t="str">
        <f>VLOOKUP(record[[#This Row],[ProcessSN]],表格2_7[],3,FALSE)</f>
        <v>#100SHIP</v>
      </c>
      <c r="J6725" t="s">
        <v>600</v>
      </c>
      <c r="K6725" s="195">
        <v>45972.673796296294</v>
      </c>
      <c r="L6725">
        <v>30</v>
      </c>
      <c r="M6725">
        <v>0</v>
      </c>
      <c r="N6725" s="98" t="str">
        <f>IF(record[[#This Row],[Memo]]="Browser:chrome os:android","平板報工",IF(record[[#This Row],[Memo]]=0,"委外",record[[#This Row],[Memo]]))</f>
        <v/>
      </c>
      <c r="O6725" t="s">
        <v>58</v>
      </c>
      <c r="P6725" t="s">
        <v>886</v>
      </c>
      <c r="Q6725" t="s">
        <v>58</v>
      </c>
      <c r="R6725" t="str">
        <f>IFERROR(VLOOKUP(record[[#This Row],[PCUSTID]],廠商[],2,FALSE),"")</f>
        <v/>
      </c>
      <c r="S6725" t="str">
        <f>VLOOKUP(record[[#This Row],[employeeID]],員工[],2,FALSE)</f>
        <v>謝蓁薰</v>
      </c>
    </row>
    <row r="6726" spans="6:19" hidden="1" x14ac:dyDescent="0.25">
      <c r="F6726" t="s">
        <v>1209</v>
      </c>
      <c r="G6726" t="s">
        <v>463</v>
      </c>
      <c r="H6726" t="str">
        <f>VLOOKUP(record[[#This Row],[ProcessSN]],表格2_7[],2,FALSE)</f>
        <v>30-4118-018-XXX</v>
      </c>
      <c r="I6726" t="str">
        <f>VLOOKUP(record[[#This Row],[ProcessSN]],表格2_7[],3,FALSE)</f>
        <v>#00IQC</v>
      </c>
      <c r="J6726" t="s">
        <v>583</v>
      </c>
      <c r="K6726" s="195">
        <v>45972.672118055554</v>
      </c>
      <c r="L6726">
        <v>5000</v>
      </c>
      <c r="M6726">
        <v>0</v>
      </c>
      <c r="N6726" s="98" t="str">
        <f>IF(record[[#This Row],[Memo]]="Browser:chrome os:android","平板報工",IF(record[[#This Row],[Memo]]=0,"委外",record[[#This Row],[Memo]]))</f>
        <v/>
      </c>
      <c r="O6726" t="s">
        <v>58</v>
      </c>
      <c r="P6726" t="s">
        <v>109</v>
      </c>
      <c r="Q6726" t="s">
        <v>58</v>
      </c>
      <c r="R6726" t="str">
        <f>IFERROR(VLOOKUP(record[[#This Row],[PCUSTID]],廠商[],2,FALSE),"")</f>
        <v/>
      </c>
      <c r="S6726" t="str">
        <f>VLOOKUP(record[[#This Row],[employeeID]],員工[],2,FALSE)</f>
        <v>裴氏璧鳳</v>
      </c>
    </row>
    <row r="6727" spans="6:19" hidden="1" x14ac:dyDescent="0.25">
      <c r="F6727" t="s">
        <v>1130</v>
      </c>
      <c r="G6727" t="s">
        <v>427</v>
      </c>
      <c r="H6727" t="str">
        <f>VLOOKUP(record[[#This Row],[ProcessSN]],表格2_7[],2,FALSE)</f>
        <v>30-4118-018-600</v>
      </c>
      <c r="I6727" t="str">
        <f>VLOOKUP(record[[#This Row],[ProcessSN]],表格2_7[],3,FALSE)</f>
        <v>#100STOCK</v>
      </c>
      <c r="J6727" t="s">
        <v>592</v>
      </c>
      <c r="K6727" s="195">
        <v>45972.649664351855</v>
      </c>
      <c r="L6727">
        <v>47</v>
      </c>
      <c r="M6727">
        <v>0</v>
      </c>
      <c r="N6727" s="98" t="str">
        <f>IF(record[[#This Row],[Memo]]="Browser:chrome os:android","平板報工",IF(record[[#This Row],[Memo]]=0,"委外",record[[#This Row],[Memo]]))</f>
        <v/>
      </c>
      <c r="O6727" t="s">
        <v>58</v>
      </c>
      <c r="P6727" t="s">
        <v>886</v>
      </c>
      <c r="Q6727" t="s">
        <v>58</v>
      </c>
      <c r="R6727" t="str">
        <f>IFERROR(VLOOKUP(record[[#This Row],[PCUSTID]],廠商[],2,FALSE),"")</f>
        <v/>
      </c>
      <c r="S6727" t="str">
        <f>VLOOKUP(record[[#This Row],[employeeID]],員工[],2,FALSE)</f>
        <v>謝蓁薰</v>
      </c>
    </row>
    <row r="6728" spans="6:19" hidden="1" x14ac:dyDescent="0.25">
      <c r="F6728" t="s">
        <v>1143</v>
      </c>
      <c r="G6728" t="s">
        <v>427</v>
      </c>
      <c r="H6728" t="str">
        <f>VLOOKUP(record[[#This Row],[ProcessSN]],表格2_7[],2,FALSE)</f>
        <v>30-4118-018-600</v>
      </c>
      <c r="I6728" t="str">
        <f>VLOOKUP(record[[#This Row],[ProcessSN]],表格2_7[],3,FALSE)</f>
        <v>#100STOCK</v>
      </c>
      <c r="J6728" t="s">
        <v>592</v>
      </c>
      <c r="K6728" s="195">
        <v>45972.649537037039</v>
      </c>
      <c r="L6728">
        <v>588</v>
      </c>
      <c r="M6728">
        <v>0</v>
      </c>
      <c r="N6728" s="98" t="str">
        <f>IF(record[[#This Row],[Memo]]="Browser:chrome os:android","平板報工",IF(record[[#This Row],[Memo]]=0,"委外",record[[#This Row],[Memo]]))</f>
        <v/>
      </c>
      <c r="O6728" t="s">
        <v>58</v>
      </c>
      <c r="P6728" t="s">
        <v>886</v>
      </c>
      <c r="Q6728" t="s">
        <v>58</v>
      </c>
      <c r="R6728" t="str">
        <f>IFERROR(VLOOKUP(record[[#This Row],[PCUSTID]],廠商[],2,FALSE),"")</f>
        <v/>
      </c>
      <c r="S6728" t="str">
        <f>VLOOKUP(record[[#This Row],[employeeID]],員工[],2,FALSE)</f>
        <v>謝蓁薰</v>
      </c>
    </row>
    <row r="6729" spans="6:19" hidden="1" x14ac:dyDescent="0.25">
      <c r="F6729" t="s">
        <v>1129</v>
      </c>
      <c r="G6729" t="s">
        <v>361</v>
      </c>
      <c r="H6729" t="str">
        <f>VLOOKUP(record[[#This Row],[ProcessSN]],表格2_7[],2,FALSE)</f>
        <v>30-4118-018-450</v>
      </c>
      <c r="I6729" t="str">
        <f>VLOOKUP(record[[#This Row],[ProcessSN]],表格2_7[],3,FALSE)</f>
        <v>#100STOCK</v>
      </c>
      <c r="J6729" t="s">
        <v>592</v>
      </c>
      <c r="K6729" s="195">
        <v>45972.633425925924</v>
      </c>
      <c r="L6729">
        <v>120</v>
      </c>
      <c r="M6729">
        <v>0</v>
      </c>
      <c r="N6729" s="98" t="str">
        <f>IF(record[[#This Row],[Memo]]="Browser:chrome os:android","平板報工",IF(record[[#This Row],[Memo]]=0,"委外",record[[#This Row],[Memo]]))</f>
        <v/>
      </c>
      <c r="O6729" t="s">
        <v>58</v>
      </c>
      <c r="P6729" t="s">
        <v>886</v>
      </c>
      <c r="Q6729" t="s">
        <v>58</v>
      </c>
      <c r="R6729" t="str">
        <f>IFERROR(VLOOKUP(record[[#This Row],[PCUSTID]],廠商[],2,FALSE),"")</f>
        <v/>
      </c>
      <c r="S6729" t="str">
        <f>VLOOKUP(record[[#This Row],[employeeID]],員工[],2,FALSE)</f>
        <v>謝蓁薰</v>
      </c>
    </row>
    <row r="6730" spans="6:19" hidden="1" x14ac:dyDescent="0.25">
      <c r="F6730" t="s">
        <v>1136</v>
      </c>
      <c r="G6730" t="s">
        <v>361</v>
      </c>
      <c r="H6730" t="str">
        <f>VLOOKUP(record[[#This Row],[ProcessSN]],表格2_7[],2,FALSE)</f>
        <v>30-4118-018-450</v>
      </c>
      <c r="I6730" t="str">
        <f>VLOOKUP(record[[#This Row],[ProcessSN]],表格2_7[],3,FALSE)</f>
        <v>#100STOCK</v>
      </c>
      <c r="J6730" t="s">
        <v>592</v>
      </c>
      <c r="K6730" s="195">
        <v>45972.633206018516</v>
      </c>
      <c r="L6730">
        <v>479</v>
      </c>
      <c r="M6730">
        <v>0</v>
      </c>
      <c r="N6730" s="98" t="str">
        <f>IF(record[[#This Row],[Memo]]="Browser:chrome os:android","平板報工",IF(record[[#This Row],[Memo]]=0,"委外",record[[#This Row],[Memo]]))</f>
        <v/>
      </c>
      <c r="O6730" t="s">
        <v>58</v>
      </c>
      <c r="P6730" t="s">
        <v>886</v>
      </c>
      <c r="Q6730" t="s">
        <v>58</v>
      </c>
      <c r="R6730" t="str">
        <f>IFERROR(VLOOKUP(record[[#This Row],[PCUSTID]],廠商[],2,FALSE),"")</f>
        <v/>
      </c>
      <c r="S6730" t="str">
        <f>VLOOKUP(record[[#This Row],[employeeID]],員工[],2,FALSE)</f>
        <v>謝蓁薰</v>
      </c>
    </row>
    <row r="6731" spans="6:19" hidden="1" x14ac:dyDescent="0.25">
      <c r="F6731" t="s">
        <v>1045</v>
      </c>
      <c r="G6731" t="s">
        <v>361</v>
      </c>
      <c r="H6731" t="str">
        <f>VLOOKUP(record[[#This Row],[ProcessSN]],表格2_7[],2,FALSE)</f>
        <v>30-4118-018-450</v>
      </c>
      <c r="I6731" t="str">
        <f>VLOOKUP(record[[#This Row],[ProcessSN]],表格2_7[],3,FALSE)</f>
        <v>#100STOCK</v>
      </c>
      <c r="J6731" t="s">
        <v>592</v>
      </c>
      <c r="K6731" s="195">
        <v>45972.632673611108</v>
      </c>
      <c r="L6731">
        <v>81</v>
      </c>
      <c r="M6731">
        <v>0</v>
      </c>
      <c r="N6731" s="98" t="str">
        <f>IF(record[[#This Row],[Memo]]="Browser:chrome os:android","平板報工",IF(record[[#This Row],[Memo]]=0,"委外",record[[#This Row],[Memo]]))</f>
        <v/>
      </c>
      <c r="O6731" t="s">
        <v>58</v>
      </c>
      <c r="P6731" t="s">
        <v>886</v>
      </c>
      <c r="Q6731" t="s">
        <v>58</v>
      </c>
      <c r="R6731" t="str">
        <f>IFERROR(VLOOKUP(record[[#This Row],[PCUSTID]],廠商[],2,FALSE),"")</f>
        <v/>
      </c>
      <c r="S6731" t="str">
        <f>VLOOKUP(record[[#This Row],[employeeID]],員工[],2,FALSE)</f>
        <v>謝蓁薰</v>
      </c>
    </row>
    <row r="6732" spans="6:19" hidden="1" x14ac:dyDescent="0.25">
      <c r="F6732" t="s">
        <v>1184</v>
      </c>
      <c r="G6732" t="s">
        <v>361</v>
      </c>
      <c r="H6732" t="str">
        <f>VLOOKUP(record[[#This Row],[ProcessSN]],表格2_7[],2,FALSE)</f>
        <v>30-4118-018-450</v>
      </c>
      <c r="I6732" t="str">
        <f>VLOOKUP(record[[#This Row],[ProcessSN]],表格2_7[],3,FALSE)</f>
        <v>#100STOCK</v>
      </c>
      <c r="J6732" t="s">
        <v>592</v>
      </c>
      <c r="K6732" s="195">
        <v>45972.632233796299</v>
      </c>
      <c r="L6732">
        <v>415</v>
      </c>
      <c r="M6732">
        <v>0</v>
      </c>
      <c r="N6732" s="98" t="str">
        <f>IF(record[[#This Row],[Memo]]="Browser:chrome os:android","平板報工",IF(record[[#This Row],[Memo]]=0,"委外",record[[#This Row],[Memo]]))</f>
        <v/>
      </c>
      <c r="O6732" t="s">
        <v>58</v>
      </c>
      <c r="P6732" t="s">
        <v>886</v>
      </c>
      <c r="Q6732" t="s">
        <v>58</v>
      </c>
      <c r="R6732" t="str">
        <f>IFERROR(VLOOKUP(record[[#This Row],[PCUSTID]],廠商[],2,FALSE),"")</f>
        <v/>
      </c>
      <c r="S6732" t="str">
        <f>VLOOKUP(record[[#This Row],[employeeID]],員工[],2,FALSE)</f>
        <v>謝蓁薰</v>
      </c>
    </row>
    <row r="6733" spans="6:19" hidden="1" x14ac:dyDescent="0.25">
      <c r="F6733" t="s">
        <v>1198</v>
      </c>
      <c r="G6733" t="s">
        <v>402</v>
      </c>
      <c r="H6733" t="str">
        <f>VLOOKUP(record[[#This Row],[ProcessSN]],表格2_7[],2,FALSE)</f>
        <v>30-4118-018-550</v>
      </c>
      <c r="I6733" t="str">
        <f>VLOOKUP(record[[#This Row],[ProcessSN]],表格2_7[],3,FALSE)</f>
        <v>#100STOCK</v>
      </c>
      <c r="J6733" t="s">
        <v>592</v>
      </c>
      <c r="K6733" s="195">
        <v>45972.593217592592</v>
      </c>
      <c r="L6733">
        <v>4</v>
      </c>
      <c r="M6733">
        <v>0</v>
      </c>
      <c r="N6733" s="98" t="str">
        <f>IF(record[[#This Row],[Memo]]="Browser:chrome os:android","平板報工",IF(record[[#This Row],[Memo]]=0,"委外",record[[#This Row],[Memo]]))</f>
        <v/>
      </c>
      <c r="O6733" t="s">
        <v>58</v>
      </c>
      <c r="P6733" t="s">
        <v>886</v>
      </c>
      <c r="Q6733" t="s">
        <v>58</v>
      </c>
      <c r="R6733" t="str">
        <f>IFERROR(VLOOKUP(record[[#This Row],[PCUSTID]],廠商[],2,FALSE),"")</f>
        <v/>
      </c>
      <c r="S6733" t="str">
        <f>VLOOKUP(record[[#This Row],[employeeID]],員工[],2,FALSE)</f>
        <v>謝蓁薰</v>
      </c>
    </row>
    <row r="6734" spans="6:19" hidden="1" x14ac:dyDescent="0.25">
      <c r="F6734" t="s">
        <v>1200</v>
      </c>
      <c r="G6734" t="s">
        <v>402</v>
      </c>
      <c r="H6734" t="str">
        <f>VLOOKUP(record[[#This Row],[ProcessSN]],表格2_7[],2,FALSE)</f>
        <v>30-4118-018-550</v>
      </c>
      <c r="I6734" t="str">
        <f>VLOOKUP(record[[#This Row],[ProcessSN]],表格2_7[],3,FALSE)</f>
        <v>#100STOCK</v>
      </c>
      <c r="J6734" t="s">
        <v>592</v>
      </c>
      <c r="K6734" s="195">
        <v>45972.593090277776</v>
      </c>
      <c r="L6734">
        <v>290</v>
      </c>
      <c r="M6734">
        <v>0</v>
      </c>
      <c r="N6734" s="98" t="str">
        <f>IF(record[[#This Row],[Memo]]="Browser:chrome os:android","平板報工",IF(record[[#This Row],[Memo]]=0,"委外",record[[#This Row],[Memo]]))</f>
        <v/>
      </c>
      <c r="O6734" t="s">
        <v>58</v>
      </c>
      <c r="P6734" t="s">
        <v>886</v>
      </c>
      <c r="Q6734" t="s">
        <v>58</v>
      </c>
      <c r="R6734" t="str">
        <f>IFERROR(VLOOKUP(record[[#This Row],[PCUSTID]],廠商[],2,FALSE),"")</f>
        <v/>
      </c>
      <c r="S6734" t="str">
        <f>VLOOKUP(record[[#This Row],[employeeID]],員工[],2,FALSE)</f>
        <v>謝蓁薰</v>
      </c>
    </row>
    <row r="6735" spans="6:19" hidden="1" x14ac:dyDescent="0.25">
      <c r="F6735" t="s">
        <v>1129</v>
      </c>
      <c r="G6735" t="s">
        <v>362</v>
      </c>
      <c r="H6735" t="str">
        <f>VLOOKUP(record[[#This Row],[ProcessSN]],表格2_7[],2,FALSE)</f>
        <v>30-4118-018-450</v>
      </c>
      <c r="I6735" t="str">
        <f>VLOOKUP(record[[#This Row],[ProcessSN]],表格2_7[],3,FALSE)</f>
        <v>#100SHIP</v>
      </c>
      <c r="J6735" t="s">
        <v>600</v>
      </c>
      <c r="K6735" s="195">
        <v>45972.579768518517</v>
      </c>
      <c r="L6735">
        <v>13</v>
      </c>
      <c r="M6735">
        <v>0</v>
      </c>
      <c r="N6735" s="98" t="str">
        <f>IF(record[[#This Row],[Memo]]="Browser:chrome os:android","平板報工",IF(record[[#This Row],[Memo]]=0,"委外",record[[#This Row],[Memo]]))</f>
        <v/>
      </c>
      <c r="O6735" t="s">
        <v>58</v>
      </c>
      <c r="P6735" t="s">
        <v>886</v>
      </c>
      <c r="Q6735" t="s">
        <v>58</v>
      </c>
      <c r="R6735" t="str">
        <f>IFERROR(VLOOKUP(record[[#This Row],[PCUSTID]],廠商[],2,FALSE),"")</f>
        <v/>
      </c>
      <c r="S6735" t="str">
        <f>VLOOKUP(record[[#This Row],[employeeID]],員工[],2,FALSE)</f>
        <v>謝蓁薰</v>
      </c>
    </row>
    <row r="6736" spans="6:19" hidden="1" x14ac:dyDescent="0.25">
      <c r="F6736" t="s">
        <v>1111</v>
      </c>
      <c r="G6736" t="s">
        <v>427</v>
      </c>
      <c r="H6736" t="str">
        <f>VLOOKUP(record[[#This Row],[ProcessSN]],表格2_7[],2,FALSE)</f>
        <v>30-4118-018-600</v>
      </c>
      <c r="I6736" t="str">
        <f>VLOOKUP(record[[#This Row],[ProcessSN]],表格2_7[],3,FALSE)</f>
        <v>#100STOCK</v>
      </c>
      <c r="J6736" t="s">
        <v>592</v>
      </c>
      <c r="K6736" s="195">
        <v>45972.57366898148</v>
      </c>
      <c r="L6736">
        <v>16</v>
      </c>
      <c r="M6736">
        <v>0</v>
      </c>
      <c r="N6736" s="98" t="str">
        <f>IF(record[[#This Row],[Memo]]="Browser:chrome os:android","平板報工",IF(record[[#This Row],[Memo]]=0,"委外",record[[#This Row],[Memo]]))</f>
        <v/>
      </c>
      <c r="O6736" t="s">
        <v>58</v>
      </c>
      <c r="P6736" t="s">
        <v>886</v>
      </c>
      <c r="Q6736" t="s">
        <v>58</v>
      </c>
      <c r="R6736" t="str">
        <f>IFERROR(VLOOKUP(record[[#This Row],[PCUSTID]],廠商[],2,FALSE),"")</f>
        <v/>
      </c>
      <c r="S6736" t="str">
        <f>VLOOKUP(record[[#This Row],[employeeID]],員工[],2,FALSE)</f>
        <v>謝蓁薰</v>
      </c>
    </row>
    <row r="6737" spans="6:19" hidden="1" x14ac:dyDescent="0.25">
      <c r="F6737" t="s">
        <v>1117</v>
      </c>
      <c r="G6737" t="s">
        <v>427</v>
      </c>
      <c r="H6737" t="str">
        <f>VLOOKUP(record[[#This Row],[ProcessSN]],表格2_7[],2,FALSE)</f>
        <v>30-4118-018-600</v>
      </c>
      <c r="I6737" t="str">
        <f>VLOOKUP(record[[#This Row],[ProcessSN]],表格2_7[],3,FALSE)</f>
        <v>#100STOCK</v>
      </c>
      <c r="J6737" t="s">
        <v>592</v>
      </c>
      <c r="K6737" s="195">
        <v>45972.573472222219</v>
      </c>
      <c r="L6737">
        <v>43</v>
      </c>
      <c r="M6737">
        <v>0</v>
      </c>
      <c r="N6737" s="98" t="str">
        <f>IF(record[[#This Row],[Memo]]="Browser:chrome os:android","平板報工",IF(record[[#This Row],[Memo]]=0,"委外",record[[#This Row],[Memo]]))</f>
        <v/>
      </c>
      <c r="O6737" t="s">
        <v>58</v>
      </c>
      <c r="P6737" t="s">
        <v>886</v>
      </c>
      <c r="Q6737" t="s">
        <v>58</v>
      </c>
      <c r="R6737" t="str">
        <f>IFERROR(VLOOKUP(record[[#This Row],[PCUSTID]],廠商[],2,FALSE),"")</f>
        <v/>
      </c>
      <c r="S6737" t="str">
        <f>VLOOKUP(record[[#This Row],[employeeID]],員工[],2,FALSE)</f>
        <v>謝蓁薰</v>
      </c>
    </row>
    <row r="6738" spans="6:19" hidden="1" x14ac:dyDescent="0.25">
      <c r="F6738" t="s">
        <v>1111</v>
      </c>
      <c r="G6738" t="s">
        <v>426</v>
      </c>
      <c r="H6738" t="str">
        <f>VLOOKUP(record[[#This Row],[ProcessSN]],表格2_7[],2,FALSE)</f>
        <v>30-4118-018-600</v>
      </c>
      <c r="I6738" t="str">
        <f>VLOOKUP(record[[#This Row],[ProcessSN]],表格2_7[],3,FALSE)</f>
        <v>#100OQC</v>
      </c>
      <c r="J6738" t="s">
        <v>599</v>
      </c>
      <c r="K6738" s="195">
        <v>45972.491655092592</v>
      </c>
      <c r="L6738">
        <v>16</v>
      </c>
      <c r="M6738">
        <v>0</v>
      </c>
      <c r="N6738" s="98" t="str">
        <f>IF(record[[#This Row],[Memo]]="Browser:chrome os:android","平板報工",IF(record[[#This Row],[Memo]]=0,"委外",record[[#This Row],[Memo]]))</f>
        <v/>
      </c>
      <c r="O6738" t="s">
        <v>58</v>
      </c>
      <c r="P6738" t="s">
        <v>121</v>
      </c>
      <c r="Q6738" t="s">
        <v>58</v>
      </c>
      <c r="R6738" t="str">
        <f>IFERROR(VLOOKUP(record[[#This Row],[PCUSTID]],廠商[],2,FALSE),"")</f>
        <v/>
      </c>
      <c r="S6738" t="str">
        <f>VLOOKUP(record[[#This Row],[employeeID]],員工[],2,FALSE)</f>
        <v>謝素卿</v>
      </c>
    </row>
    <row r="6739" spans="6:19" hidden="1" x14ac:dyDescent="0.25">
      <c r="F6739" t="s">
        <v>1143</v>
      </c>
      <c r="G6739" t="s">
        <v>426</v>
      </c>
      <c r="H6739" t="str">
        <f>VLOOKUP(record[[#This Row],[ProcessSN]],表格2_7[],2,FALSE)</f>
        <v>30-4118-018-600</v>
      </c>
      <c r="I6739" t="str">
        <f>VLOOKUP(record[[#This Row],[ProcessSN]],表格2_7[],3,FALSE)</f>
        <v>#100OQC</v>
      </c>
      <c r="J6739" t="s">
        <v>599</v>
      </c>
      <c r="K6739" s="195">
        <v>45972.491527777776</v>
      </c>
      <c r="L6739">
        <v>588</v>
      </c>
      <c r="M6739">
        <v>0</v>
      </c>
      <c r="N6739" s="98" t="str">
        <f>IF(record[[#This Row],[Memo]]="Browser:chrome os:android","平板報工",IF(record[[#This Row],[Memo]]=0,"委外",record[[#This Row],[Memo]]))</f>
        <v/>
      </c>
      <c r="O6739" t="s">
        <v>58</v>
      </c>
      <c r="P6739" t="s">
        <v>121</v>
      </c>
      <c r="Q6739" t="s">
        <v>58</v>
      </c>
      <c r="R6739" t="str">
        <f>IFERROR(VLOOKUP(record[[#This Row],[PCUSTID]],廠商[],2,FALSE),"")</f>
        <v/>
      </c>
      <c r="S6739" t="str">
        <f>VLOOKUP(record[[#This Row],[employeeID]],員工[],2,FALSE)</f>
        <v>謝素卿</v>
      </c>
    </row>
    <row r="6740" spans="6:19" hidden="1" x14ac:dyDescent="0.25">
      <c r="F6740" t="s">
        <v>1130</v>
      </c>
      <c r="G6740" t="s">
        <v>426</v>
      </c>
      <c r="H6740" t="str">
        <f>VLOOKUP(record[[#This Row],[ProcessSN]],表格2_7[],2,FALSE)</f>
        <v>30-4118-018-600</v>
      </c>
      <c r="I6740" t="str">
        <f>VLOOKUP(record[[#This Row],[ProcessSN]],表格2_7[],3,FALSE)</f>
        <v>#100OQC</v>
      </c>
      <c r="J6740" t="s">
        <v>599</v>
      </c>
      <c r="K6740" s="195">
        <v>45972.491400462961</v>
      </c>
      <c r="L6740">
        <v>47</v>
      </c>
      <c r="M6740">
        <v>0</v>
      </c>
      <c r="N6740" s="98" t="str">
        <f>IF(record[[#This Row],[Memo]]="Browser:chrome os:android","平板報工",IF(record[[#This Row],[Memo]]=0,"委外",record[[#This Row],[Memo]]))</f>
        <v/>
      </c>
      <c r="O6740" t="s">
        <v>58</v>
      </c>
      <c r="P6740" t="s">
        <v>121</v>
      </c>
      <c r="Q6740" t="s">
        <v>58</v>
      </c>
      <c r="R6740" t="str">
        <f>IFERROR(VLOOKUP(record[[#This Row],[PCUSTID]],廠商[],2,FALSE),"")</f>
        <v/>
      </c>
      <c r="S6740" t="str">
        <f>VLOOKUP(record[[#This Row],[employeeID]],員工[],2,FALSE)</f>
        <v>謝素卿</v>
      </c>
    </row>
    <row r="6741" spans="6:19" hidden="1" x14ac:dyDescent="0.25">
      <c r="F6741" t="s">
        <v>1117</v>
      </c>
      <c r="G6741" t="s">
        <v>426</v>
      </c>
      <c r="H6741" t="str">
        <f>VLOOKUP(record[[#This Row],[ProcessSN]],表格2_7[],2,FALSE)</f>
        <v>30-4118-018-600</v>
      </c>
      <c r="I6741" t="str">
        <f>VLOOKUP(record[[#This Row],[ProcessSN]],表格2_7[],3,FALSE)</f>
        <v>#100OQC</v>
      </c>
      <c r="J6741" t="s">
        <v>599</v>
      </c>
      <c r="K6741" s="195">
        <v>45972.491238425922</v>
      </c>
      <c r="L6741">
        <v>43</v>
      </c>
      <c r="M6741">
        <v>0</v>
      </c>
      <c r="N6741" s="98" t="str">
        <f>IF(record[[#This Row],[Memo]]="Browser:chrome os:android","平板報工",IF(record[[#This Row],[Memo]]=0,"委外",record[[#This Row],[Memo]]))</f>
        <v/>
      </c>
      <c r="O6741" t="s">
        <v>58</v>
      </c>
      <c r="P6741" t="s">
        <v>121</v>
      </c>
      <c r="Q6741" t="s">
        <v>58</v>
      </c>
      <c r="R6741" t="str">
        <f>IFERROR(VLOOKUP(record[[#This Row],[PCUSTID]],廠商[],2,FALSE),"")</f>
        <v/>
      </c>
      <c r="S6741" t="str">
        <f>VLOOKUP(record[[#This Row],[employeeID]],員工[],2,FALSE)</f>
        <v>謝素卿</v>
      </c>
    </row>
    <row r="6742" spans="6:19" hidden="1" x14ac:dyDescent="0.25">
      <c r="F6742" t="s">
        <v>1209</v>
      </c>
      <c r="G6742" t="s">
        <v>462</v>
      </c>
      <c r="H6742" t="str">
        <f>VLOOKUP(record[[#This Row],[ProcessSN]],表格2_7[],2,FALSE)</f>
        <v>30-4118-018-XXX</v>
      </c>
      <c r="I6742" t="str">
        <f>VLOOKUP(record[[#This Row],[ProcessSN]],表格2_7[],3,FALSE)</f>
        <v>#00PICK</v>
      </c>
      <c r="J6742" t="s">
        <v>582</v>
      </c>
      <c r="K6742" s="195">
        <v>45972.428136574075</v>
      </c>
      <c r="L6742">
        <v>5000</v>
      </c>
      <c r="M6742">
        <v>0</v>
      </c>
      <c r="N6742" s="98" t="str">
        <f>IF(record[[#This Row],[Memo]]="Browser:chrome os:android","平板報工",IF(record[[#This Row],[Memo]]=0,"委外",record[[#This Row],[Memo]]))</f>
        <v/>
      </c>
      <c r="O6742" t="s">
        <v>58</v>
      </c>
      <c r="P6742" t="s">
        <v>186</v>
      </c>
      <c r="Q6742" t="s">
        <v>58</v>
      </c>
      <c r="R6742" t="str">
        <f>IFERROR(VLOOKUP(record[[#This Row],[PCUSTID]],廠商[],2,FALSE),"")</f>
        <v/>
      </c>
      <c r="S6742" t="str">
        <f>VLOOKUP(record[[#This Row],[employeeID]],員工[],2,FALSE)</f>
        <v>許文姍</v>
      </c>
    </row>
    <row r="6743" spans="6:19" hidden="1" x14ac:dyDescent="0.25">
      <c r="F6743" t="s">
        <v>1184</v>
      </c>
      <c r="G6743" t="s">
        <v>360</v>
      </c>
      <c r="H6743" t="str">
        <f>VLOOKUP(record[[#This Row],[ProcessSN]],表格2_7[],2,FALSE)</f>
        <v>30-4118-018-450</v>
      </c>
      <c r="I6743" t="str">
        <f>VLOOKUP(record[[#This Row],[ProcessSN]],表格2_7[],3,FALSE)</f>
        <v>#100OQC</v>
      </c>
      <c r="J6743" t="s">
        <v>599</v>
      </c>
      <c r="K6743" s="195">
        <v>45971.769513888888</v>
      </c>
      <c r="L6743">
        <v>415</v>
      </c>
      <c r="M6743">
        <v>0</v>
      </c>
      <c r="N6743" s="98" t="str">
        <f>IF(record[[#This Row],[Memo]]="Browser:chrome os:android","平板報工",IF(record[[#This Row],[Memo]]=0,"委外",record[[#This Row],[Memo]]))</f>
        <v/>
      </c>
      <c r="O6743" t="s">
        <v>58</v>
      </c>
      <c r="P6743" t="s">
        <v>121</v>
      </c>
      <c r="Q6743" t="s">
        <v>58</v>
      </c>
      <c r="R6743" t="str">
        <f>IFERROR(VLOOKUP(record[[#This Row],[PCUSTID]],廠商[],2,FALSE),"")</f>
        <v/>
      </c>
      <c r="S6743" t="str">
        <f>VLOOKUP(record[[#This Row],[employeeID]],員工[],2,FALSE)</f>
        <v>謝素卿</v>
      </c>
    </row>
    <row r="6744" spans="6:19" hidden="1" x14ac:dyDescent="0.25">
      <c r="F6744" t="s">
        <v>1136</v>
      </c>
      <c r="G6744" t="s">
        <v>360</v>
      </c>
      <c r="H6744" t="str">
        <f>VLOOKUP(record[[#This Row],[ProcessSN]],表格2_7[],2,FALSE)</f>
        <v>30-4118-018-450</v>
      </c>
      <c r="I6744" t="str">
        <f>VLOOKUP(record[[#This Row],[ProcessSN]],表格2_7[],3,FALSE)</f>
        <v>#100OQC</v>
      </c>
      <c r="J6744" t="s">
        <v>599</v>
      </c>
      <c r="K6744" s="195">
        <v>45971.769201388888</v>
      </c>
      <c r="L6744">
        <v>479</v>
      </c>
      <c r="M6744">
        <v>0</v>
      </c>
      <c r="N6744" s="98" t="str">
        <f>IF(record[[#This Row],[Memo]]="Browser:chrome os:android","平板報工",IF(record[[#This Row],[Memo]]=0,"委外",record[[#This Row],[Memo]]))</f>
        <v/>
      </c>
      <c r="O6744" t="s">
        <v>58</v>
      </c>
      <c r="P6744" t="s">
        <v>121</v>
      </c>
      <c r="Q6744" t="s">
        <v>58</v>
      </c>
      <c r="R6744" t="str">
        <f>IFERROR(VLOOKUP(record[[#This Row],[PCUSTID]],廠商[],2,FALSE),"")</f>
        <v/>
      </c>
      <c r="S6744" t="str">
        <f>VLOOKUP(record[[#This Row],[employeeID]],員工[],2,FALSE)</f>
        <v>謝素卿</v>
      </c>
    </row>
    <row r="6745" spans="6:19" hidden="1" x14ac:dyDescent="0.25">
      <c r="F6745" t="s">
        <v>1045</v>
      </c>
      <c r="G6745" t="s">
        <v>360</v>
      </c>
      <c r="H6745" t="str">
        <f>VLOOKUP(record[[#This Row],[ProcessSN]],表格2_7[],2,FALSE)</f>
        <v>30-4118-018-450</v>
      </c>
      <c r="I6745" t="str">
        <f>VLOOKUP(record[[#This Row],[ProcessSN]],表格2_7[],3,FALSE)</f>
        <v>#100OQC</v>
      </c>
      <c r="J6745" t="s">
        <v>599</v>
      </c>
      <c r="K6745" s="195">
        <v>45971.76903935185</v>
      </c>
      <c r="L6745">
        <v>81</v>
      </c>
      <c r="M6745">
        <v>0</v>
      </c>
      <c r="N6745" s="98" t="str">
        <f>IF(record[[#This Row],[Memo]]="Browser:chrome os:android","平板報工",IF(record[[#This Row],[Memo]]=0,"委外",record[[#This Row],[Memo]]))</f>
        <v/>
      </c>
      <c r="O6745" t="s">
        <v>58</v>
      </c>
      <c r="P6745" t="s">
        <v>121</v>
      </c>
      <c r="Q6745" t="s">
        <v>58</v>
      </c>
      <c r="R6745" t="str">
        <f>IFERROR(VLOOKUP(record[[#This Row],[PCUSTID]],廠商[],2,FALSE),"")</f>
        <v/>
      </c>
      <c r="S6745" t="str">
        <f>VLOOKUP(record[[#This Row],[employeeID]],員工[],2,FALSE)</f>
        <v>謝素卿</v>
      </c>
    </row>
    <row r="6746" spans="6:19" hidden="1" x14ac:dyDescent="0.25">
      <c r="F6746" t="s">
        <v>1129</v>
      </c>
      <c r="G6746" t="s">
        <v>360</v>
      </c>
      <c r="H6746" t="str">
        <f>VLOOKUP(record[[#This Row],[ProcessSN]],表格2_7[],2,FALSE)</f>
        <v>30-4118-018-450</v>
      </c>
      <c r="I6746" t="str">
        <f>VLOOKUP(record[[#This Row],[ProcessSN]],表格2_7[],3,FALSE)</f>
        <v>#100OQC</v>
      </c>
      <c r="J6746" t="s">
        <v>599</v>
      </c>
      <c r="K6746" s="195">
        <v>45971.768865740742</v>
      </c>
      <c r="L6746">
        <v>120</v>
      </c>
      <c r="M6746">
        <v>0</v>
      </c>
      <c r="N6746" s="98" t="str">
        <f>IF(record[[#This Row],[Memo]]="Browser:chrome os:android","平板報工",IF(record[[#This Row],[Memo]]=0,"委外",record[[#This Row],[Memo]]))</f>
        <v/>
      </c>
      <c r="O6746" t="s">
        <v>58</v>
      </c>
      <c r="P6746" t="s">
        <v>121</v>
      </c>
      <c r="Q6746" t="s">
        <v>58</v>
      </c>
      <c r="R6746" t="str">
        <f>IFERROR(VLOOKUP(record[[#This Row],[PCUSTID]],廠商[],2,FALSE),"")</f>
        <v/>
      </c>
      <c r="S6746" t="str">
        <f>VLOOKUP(record[[#This Row],[employeeID]],員工[],2,FALSE)</f>
        <v>謝素卿</v>
      </c>
    </row>
    <row r="6747" spans="6:19" hidden="1" x14ac:dyDescent="0.25">
      <c r="F6747" t="s">
        <v>1198</v>
      </c>
      <c r="G6747" t="s">
        <v>403</v>
      </c>
      <c r="H6747" t="str">
        <f>VLOOKUP(record[[#This Row],[ProcessSN]],表格2_7[],2,FALSE)</f>
        <v>30-4118-018-550</v>
      </c>
      <c r="I6747" t="str">
        <f>VLOOKUP(record[[#This Row],[ProcessSN]],表格2_7[],3,FALSE)</f>
        <v>#100SHIP</v>
      </c>
      <c r="J6747" t="s">
        <v>600</v>
      </c>
      <c r="K6747" s="195">
        <v>45971.719780092593</v>
      </c>
      <c r="L6747">
        <v>242</v>
      </c>
      <c r="M6747">
        <v>0</v>
      </c>
      <c r="N6747" s="98" t="str">
        <f>IF(record[[#This Row],[Memo]]="Browser:chrome os:android","平板報工",IF(record[[#This Row],[Memo]]=0,"委外",record[[#This Row],[Memo]]))</f>
        <v/>
      </c>
      <c r="O6747" t="s">
        <v>58</v>
      </c>
      <c r="P6747" t="s">
        <v>886</v>
      </c>
      <c r="Q6747" t="s">
        <v>58</v>
      </c>
      <c r="R6747" t="str">
        <f>IFERROR(VLOOKUP(record[[#This Row],[PCUSTID]],廠商[],2,FALSE),"")</f>
        <v/>
      </c>
      <c r="S6747" t="str">
        <f>VLOOKUP(record[[#This Row],[employeeID]],員工[],2,FALSE)</f>
        <v>謝蓁薰</v>
      </c>
    </row>
    <row r="6748" spans="6:19" hidden="1" x14ac:dyDescent="0.25">
      <c r="F6748" t="s">
        <v>1192</v>
      </c>
      <c r="G6748" t="s">
        <v>403</v>
      </c>
      <c r="H6748" t="str">
        <f>VLOOKUP(record[[#This Row],[ProcessSN]],表格2_7[],2,FALSE)</f>
        <v>30-4118-018-550</v>
      </c>
      <c r="I6748" t="str">
        <f>VLOOKUP(record[[#This Row],[ProcessSN]],表格2_7[],3,FALSE)</f>
        <v>#100SHIP</v>
      </c>
      <c r="J6748" t="s">
        <v>600</v>
      </c>
      <c r="K6748" s="195">
        <v>45971.719351851854</v>
      </c>
      <c r="L6748">
        <v>208</v>
      </c>
      <c r="M6748">
        <v>0</v>
      </c>
      <c r="N6748" s="98" t="str">
        <f>IF(record[[#This Row],[Memo]]="Browser:chrome os:android","平板報工",IF(record[[#This Row],[Memo]]=0,"委外",record[[#This Row],[Memo]]))</f>
        <v/>
      </c>
      <c r="O6748" t="s">
        <v>58</v>
      </c>
      <c r="P6748" t="s">
        <v>886</v>
      </c>
      <c r="Q6748" t="s">
        <v>58</v>
      </c>
      <c r="R6748" t="str">
        <f>IFERROR(VLOOKUP(record[[#This Row],[PCUSTID]],廠商[],2,FALSE),"")</f>
        <v/>
      </c>
      <c r="S6748" t="str">
        <f>VLOOKUP(record[[#This Row],[employeeID]],員工[],2,FALSE)</f>
        <v>謝蓁薰</v>
      </c>
    </row>
    <row r="6749" spans="6:19" hidden="1" x14ac:dyDescent="0.25">
      <c r="F6749" t="s">
        <v>1191</v>
      </c>
      <c r="G6749" t="s">
        <v>403</v>
      </c>
      <c r="H6749" t="str">
        <f>VLOOKUP(record[[#This Row],[ProcessSN]],表格2_7[],2,FALSE)</f>
        <v>30-4118-018-550</v>
      </c>
      <c r="I6749" t="str">
        <f>VLOOKUP(record[[#This Row],[ProcessSN]],表格2_7[],3,FALSE)</f>
        <v>#100SHIP</v>
      </c>
      <c r="J6749" t="s">
        <v>600</v>
      </c>
      <c r="K6749" s="195">
        <v>45971.719189814816</v>
      </c>
      <c r="L6749">
        <v>16</v>
      </c>
      <c r="M6749">
        <v>0</v>
      </c>
      <c r="N6749" s="98" t="str">
        <f>IF(record[[#This Row],[Memo]]="Browser:chrome os:android","平板報工",IF(record[[#This Row],[Memo]]=0,"委外",record[[#This Row],[Memo]]))</f>
        <v/>
      </c>
      <c r="O6749" t="s">
        <v>58</v>
      </c>
      <c r="P6749" t="s">
        <v>886</v>
      </c>
      <c r="Q6749" t="s">
        <v>58</v>
      </c>
      <c r="R6749" t="str">
        <f>IFERROR(VLOOKUP(record[[#This Row],[PCUSTID]],廠商[],2,FALSE),"")</f>
        <v/>
      </c>
      <c r="S6749" t="str">
        <f>VLOOKUP(record[[#This Row],[employeeID]],員工[],2,FALSE)</f>
        <v>謝蓁薰</v>
      </c>
    </row>
    <row r="6750" spans="6:19" hidden="1" x14ac:dyDescent="0.25">
      <c r="F6750" t="s">
        <v>1198</v>
      </c>
      <c r="G6750" t="s">
        <v>402</v>
      </c>
      <c r="H6750" t="str">
        <f>VLOOKUP(record[[#This Row],[ProcessSN]],表格2_7[],2,FALSE)</f>
        <v>30-4118-018-550</v>
      </c>
      <c r="I6750" t="str">
        <f>VLOOKUP(record[[#This Row],[ProcessSN]],表格2_7[],3,FALSE)</f>
        <v>#100STOCK</v>
      </c>
      <c r="J6750" t="s">
        <v>592</v>
      </c>
      <c r="K6750" s="195">
        <v>45971.718611111108</v>
      </c>
      <c r="L6750">
        <v>242</v>
      </c>
      <c r="M6750">
        <v>0</v>
      </c>
      <c r="N6750" s="98" t="str">
        <f>IF(record[[#This Row],[Memo]]="Browser:chrome os:android","平板報工",IF(record[[#This Row],[Memo]]=0,"委外",record[[#This Row],[Memo]]))</f>
        <v/>
      </c>
      <c r="O6750" t="s">
        <v>58</v>
      </c>
      <c r="P6750" t="s">
        <v>886</v>
      </c>
      <c r="Q6750" t="s">
        <v>58</v>
      </c>
      <c r="R6750" t="str">
        <f>IFERROR(VLOOKUP(record[[#This Row],[PCUSTID]],廠商[],2,FALSE),"")</f>
        <v/>
      </c>
      <c r="S6750" t="str">
        <f>VLOOKUP(record[[#This Row],[employeeID]],員工[],2,FALSE)</f>
        <v>謝蓁薰</v>
      </c>
    </row>
    <row r="6751" spans="6:19" hidden="1" x14ac:dyDescent="0.25">
      <c r="F6751" t="s">
        <v>1192</v>
      </c>
      <c r="G6751" t="s">
        <v>402</v>
      </c>
      <c r="H6751" t="str">
        <f>VLOOKUP(record[[#This Row],[ProcessSN]],表格2_7[],2,FALSE)</f>
        <v>30-4118-018-550</v>
      </c>
      <c r="I6751" t="str">
        <f>VLOOKUP(record[[#This Row],[ProcessSN]],表格2_7[],3,FALSE)</f>
        <v>#100STOCK</v>
      </c>
      <c r="J6751" t="s">
        <v>592</v>
      </c>
      <c r="K6751" s="195">
        <v>45971.7184837963</v>
      </c>
      <c r="L6751">
        <v>208</v>
      </c>
      <c r="M6751">
        <v>0</v>
      </c>
      <c r="N6751" s="98" t="str">
        <f>IF(record[[#This Row],[Memo]]="Browser:chrome os:android","平板報工",IF(record[[#This Row],[Memo]]=0,"委外",record[[#This Row],[Memo]]))</f>
        <v/>
      </c>
      <c r="O6751" t="s">
        <v>58</v>
      </c>
      <c r="P6751" t="s">
        <v>886</v>
      </c>
      <c r="Q6751" t="s">
        <v>58</v>
      </c>
      <c r="R6751" t="str">
        <f>IFERROR(VLOOKUP(record[[#This Row],[PCUSTID]],廠商[],2,FALSE),"")</f>
        <v/>
      </c>
      <c r="S6751" t="str">
        <f>VLOOKUP(record[[#This Row],[employeeID]],員工[],2,FALSE)</f>
        <v>謝蓁薰</v>
      </c>
    </row>
    <row r="6752" spans="6:19" hidden="1" x14ac:dyDescent="0.25">
      <c r="F6752" t="s">
        <v>1191</v>
      </c>
      <c r="G6752" t="s">
        <v>402</v>
      </c>
      <c r="H6752" t="str">
        <f>VLOOKUP(record[[#This Row],[ProcessSN]],表格2_7[],2,FALSE)</f>
        <v>30-4118-018-550</v>
      </c>
      <c r="I6752" t="str">
        <f>VLOOKUP(record[[#This Row],[ProcessSN]],表格2_7[],3,FALSE)</f>
        <v>#100STOCK</v>
      </c>
      <c r="J6752" t="s">
        <v>592</v>
      </c>
      <c r="K6752" s="195">
        <v>45971.718356481484</v>
      </c>
      <c r="L6752">
        <v>16</v>
      </c>
      <c r="M6752">
        <v>0</v>
      </c>
      <c r="N6752" s="98" t="str">
        <f>IF(record[[#This Row],[Memo]]="Browser:chrome os:android","平板報工",IF(record[[#This Row],[Memo]]=0,"委外",record[[#This Row],[Memo]]))</f>
        <v/>
      </c>
      <c r="O6752" t="s">
        <v>58</v>
      </c>
      <c r="P6752" t="s">
        <v>886</v>
      </c>
      <c r="Q6752" t="s">
        <v>58</v>
      </c>
      <c r="R6752" t="str">
        <f>IFERROR(VLOOKUP(record[[#This Row],[PCUSTID]],廠商[],2,FALSE),"")</f>
        <v/>
      </c>
      <c r="S6752" t="str">
        <f>VLOOKUP(record[[#This Row],[employeeID]],員工[],2,FALSE)</f>
        <v>謝蓁薰</v>
      </c>
    </row>
    <row r="6753" spans="6:19" hidden="1" x14ac:dyDescent="0.25">
      <c r="F6753" t="s">
        <v>1200</v>
      </c>
      <c r="G6753" t="s">
        <v>401</v>
      </c>
      <c r="H6753" t="str">
        <f>VLOOKUP(record[[#This Row],[ProcessSN]],表格2_7[],2,FALSE)</f>
        <v>30-4118-018-550</v>
      </c>
      <c r="I6753" t="str">
        <f>VLOOKUP(record[[#This Row],[ProcessSN]],表格2_7[],3,FALSE)</f>
        <v>#100OQC</v>
      </c>
      <c r="J6753" t="s">
        <v>599</v>
      </c>
      <c r="K6753" s="195">
        <v>45971.718275462961</v>
      </c>
      <c r="L6753">
        <v>290</v>
      </c>
      <c r="M6753">
        <v>0</v>
      </c>
      <c r="N6753" s="98" t="str">
        <f>IF(record[[#This Row],[Memo]]="Browser:chrome os:android","平板報工",IF(record[[#This Row],[Memo]]=0,"委外",record[[#This Row],[Memo]]))</f>
        <v/>
      </c>
      <c r="O6753" t="s">
        <v>58</v>
      </c>
      <c r="P6753" t="s">
        <v>121</v>
      </c>
      <c r="Q6753" t="s">
        <v>58</v>
      </c>
      <c r="R6753" t="str">
        <f>IFERROR(VLOOKUP(record[[#This Row],[PCUSTID]],廠商[],2,FALSE),"")</f>
        <v/>
      </c>
      <c r="S6753" t="str">
        <f>VLOOKUP(record[[#This Row],[employeeID]],員工[],2,FALSE)</f>
        <v>謝素卿</v>
      </c>
    </row>
    <row r="6754" spans="6:19" hidden="1" x14ac:dyDescent="0.25">
      <c r="F6754" t="s">
        <v>1198</v>
      </c>
      <c r="G6754" t="s">
        <v>401</v>
      </c>
      <c r="H6754" t="str">
        <f>VLOOKUP(record[[#This Row],[ProcessSN]],表格2_7[],2,FALSE)</f>
        <v>30-4118-018-550</v>
      </c>
      <c r="I6754" t="str">
        <f>VLOOKUP(record[[#This Row],[ProcessSN]],表格2_7[],3,FALSE)</f>
        <v>#100OQC</v>
      </c>
      <c r="J6754" t="s">
        <v>599</v>
      </c>
      <c r="K6754" s="195">
        <v>45971.718136574076</v>
      </c>
      <c r="L6754">
        <v>246</v>
      </c>
      <c r="M6754">
        <v>0</v>
      </c>
      <c r="N6754" s="98" t="str">
        <f>IF(record[[#This Row],[Memo]]="Browser:chrome os:android","平板報工",IF(record[[#This Row],[Memo]]=0,"委外",record[[#This Row],[Memo]]))</f>
        <v/>
      </c>
      <c r="O6754" t="s">
        <v>58</v>
      </c>
      <c r="P6754" t="s">
        <v>121</v>
      </c>
      <c r="Q6754" t="s">
        <v>58</v>
      </c>
      <c r="R6754" t="str">
        <f>IFERROR(VLOOKUP(record[[#This Row],[PCUSTID]],廠商[],2,FALSE),"")</f>
        <v/>
      </c>
      <c r="S6754" t="str">
        <f>VLOOKUP(record[[#This Row],[employeeID]],員工[],2,FALSE)</f>
        <v>謝素卿</v>
      </c>
    </row>
    <row r="6755" spans="6:19" hidden="1" x14ac:dyDescent="0.25">
      <c r="F6755" t="s">
        <v>1192</v>
      </c>
      <c r="G6755" t="s">
        <v>401</v>
      </c>
      <c r="H6755" t="str">
        <f>VLOOKUP(record[[#This Row],[ProcessSN]],表格2_7[],2,FALSE)</f>
        <v>30-4118-018-550</v>
      </c>
      <c r="I6755" t="str">
        <f>VLOOKUP(record[[#This Row],[ProcessSN]],表格2_7[],3,FALSE)</f>
        <v>#100OQC</v>
      </c>
      <c r="J6755" t="s">
        <v>599</v>
      </c>
      <c r="K6755" s="195">
        <v>45971.717997685184</v>
      </c>
      <c r="L6755">
        <v>208</v>
      </c>
      <c r="M6755">
        <v>0</v>
      </c>
      <c r="N6755" s="98" t="str">
        <f>IF(record[[#This Row],[Memo]]="Browser:chrome os:android","平板報工",IF(record[[#This Row],[Memo]]=0,"委外",record[[#This Row],[Memo]]))</f>
        <v/>
      </c>
      <c r="O6755" t="s">
        <v>58</v>
      </c>
      <c r="P6755" t="s">
        <v>121</v>
      </c>
      <c r="Q6755" t="s">
        <v>58</v>
      </c>
      <c r="R6755" t="str">
        <f>IFERROR(VLOOKUP(record[[#This Row],[PCUSTID]],廠商[],2,FALSE),"")</f>
        <v/>
      </c>
      <c r="S6755" t="str">
        <f>VLOOKUP(record[[#This Row],[employeeID]],員工[],2,FALSE)</f>
        <v>謝素卿</v>
      </c>
    </row>
    <row r="6756" spans="6:19" hidden="1" x14ac:dyDescent="0.25">
      <c r="F6756" t="s">
        <v>1200</v>
      </c>
      <c r="G6756" t="s">
        <v>400</v>
      </c>
      <c r="H6756" t="str">
        <f>VLOOKUP(record[[#This Row],[ProcessSN]],表格2_7[],2,FALSE)</f>
        <v>30-4118-018-550</v>
      </c>
      <c r="I6756" t="str">
        <f>VLOOKUP(record[[#This Row],[ProcessSN]],表格2_7[],3,FALSE)</f>
        <v>#100</v>
      </c>
      <c r="J6756" t="s">
        <v>598</v>
      </c>
      <c r="K6756" s="195">
        <v>45971.68136574074</v>
      </c>
      <c r="L6756">
        <v>290</v>
      </c>
      <c r="M6756">
        <v>0</v>
      </c>
      <c r="N6756" s="98" t="str">
        <f>IF(record[[#This Row],[Memo]]="Browser:chrome os:android","平板報工",IF(record[[#This Row],[Memo]]=0,"委外",record[[#This Row],[Memo]]))</f>
        <v>平板報工</v>
      </c>
      <c r="O6756" t="s">
        <v>643</v>
      </c>
      <c r="P6756" t="s">
        <v>141</v>
      </c>
      <c r="Q6756" t="s">
        <v>644</v>
      </c>
      <c r="R6756" t="str">
        <f>IFERROR(VLOOKUP(record[[#This Row],[PCUSTID]],廠商[],2,FALSE),"")</f>
        <v/>
      </c>
      <c r="S6756" t="str">
        <f>VLOOKUP(record[[#This Row],[employeeID]],員工[],2,FALSE)</f>
        <v>蔣梅</v>
      </c>
    </row>
    <row r="6757" spans="6:19" hidden="1" x14ac:dyDescent="0.25">
      <c r="F6757" t="s">
        <v>1198</v>
      </c>
      <c r="G6757" t="s">
        <v>400</v>
      </c>
      <c r="H6757" t="str">
        <f>VLOOKUP(record[[#This Row],[ProcessSN]],表格2_7[],2,FALSE)</f>
        <v>30-4118-018-550</v>
      </c>
      <c r="I6757" t="str">
        <f>VLOOKUP(record[[#This Row],[ProcessSN]],表格2_7[],3,FALSE)</f>
        <v>#100</v>
      </c>
      <c r="J6757" t="s">
        <v>598</v>
      </c>
      <c r="K6757" s="195">
        <v>45971.680659722224</v>
      </c>
      <c r="L6757">
        <v>4</v>
      </c>
      <c r="M6757">
        <v>0</v>
      </c>
      <c r="N6757" s="98" t="str">
        <f>IF(record[[#This Row],[Memo]]="Browser:chrome os:android","平板報工",IF(record[[#This Row],[Memo]]=0,"委外",record[[#This Row],[Memo]]))</f>
        <v>平板報工</v>
      </c>
      <c r="O6757" t="s">
        <v>643</v>
      </c>
      <c r="P6757" t="s">
        <v>141</v>
      </c>
      <c r="Q6757" t="s">
        <v>644</v>
      </c>
      <c r="R6757" t="str">
        <f>IFERROR(VLOOKUP(record[[#This Row],[PCUSTID]],廠商[],2,FALSE),"")</f>
        <v/>
      </c>
      <c r="S6757" t="str">
        <f>VLOOKUP(record[[#This Row],[employeeID]],員工[],2,FALSE)</f>
        <v>蔣梅</v>
      </c>
    </row>
    <row r="6758" spans="6:19" hidden="1" x14ac:dyDescent="0.25">
      <c r="F6758" t="s">
        <v>1129</v>
      </c>
      <c r="G6758" t="s">
        <v>362</v>
      </c>
      <c r="H6758" t="str">
        <f>VLOOKUP(record[[#This Row],[ProcessSN]],表格2_7[],2,FALSE)</f>
        <v>30-4118-018-450</v>
      </c>
      <c r="I6758" t="str">
        <f>VLOOKUP(record[[#This Row],[ProcessSN]],表格2_7[],3,FALSE)</f>
        <v>#100SHIP</v>
      </c>
      <c r="J6758" t="s">
        <v>600</v>
      </c>
      <c r="K6758" s="195">
        <v>45971.644965277781</v>
      </c>
      <c r="L6758">
        <v>4</v>
      </c>
      <c r="M6758">
        <v>0</v>
      </c>
      <c r="N6758" s="98" t="str">
        <f>IF(record[[#This Row],[Memo]]="Browser:chrome os:android","平板報工",IF(record[[#This Row],[Memo]]=0,"委外",record[[#This Row],[Memo]]))</f>
        <v/>
      </c>
      <c r="O6758" t="s">
        <v>58</v>
      </c>
      <c r="P6758" t="s">
        <v>886</v>
      </c>
      <c r="Q6758" t="s">
        <v>58</v>
      </c>
      <c r="R6758" t="str">
        <f>IFERROR(VLOOKUP(record[[#This Row],[PCUSTID]],廠商[],2,FALSE),"")</f>
        <v/>
      </c>
      <c r="S6758" t="str">
        <f>VLOOKUP(record[[#This Row],[employeeID]],員工[],2,FALSE)</f>
        <v>謝蓁薰</v>
      </c>
    </row>
    <row r="6759" spans="6:19" hidden="1" x14ac:dyDescent="0.25">
      <c r="F6759" t="s">
        <v>1198</v>
      </c>
      <c r="G6759" t="s">
        <v>400</v>
      </c>
      <c r="H6759" t="str">
        <f>VLOOKUP(record[[#This Row],[ProcessSN]],表格2_7[],2,FALSE)</f>
        <v>30-4118-018-550</v>
      </c>
      <c r="I6759" t="str">
        <f>VLOOKUP(record[[#This Row],[ProcessSN]],表格2_7[],3,FALSE)</f>
        <v>#100</v>
      </c>
      <c r="J6759" t="s">
        <v>598</v>
      </c>
      <c r="K6759" s="195">
        <v>45971.608043981483</v>
      </c>
      <c r="L6759">
        <v>242</v>
      </c>
      <c r="M6759">
        <v>0</v>
      </c>
      <c r="N6759" s="98" t="str">
        <f>IF(record[[#This Row],[Memo]]="Browser:chrome os:android","平板報工",IF(record[[#This Row],[Memo]]=0,"委外",record[[#This Row],[Memo]]))</f>
        <v/>
      </c>
      <c r="O6759" t="s">
        <v>58</v>
      </c>
      <c r="P6759" t="s">
        <v>141</v>
      </c>
      <c r="Q6759" t="s">
        <v>58</v>
      </c>
      <c r="R6759" t="str">
        <f>IFERROR(VLOOKUP(record[[#This Row],[PCUSTID]],廠商[],2,FALSE),"")</f>
        <v/>
      </c>
      <c r="S6759" t="str">
        <f>VLOOKUP(record[[#This Row],[employeeID]],員工[],2,FALSE)</f>
        <v>蔣梅</v>
      </c>
    </row>
    <row r="6760" spans="6:19" hidden="1" x14ac:dyDescent="0.25">
      <c r="F6760" t="s">
        <v>1192</v>
      </c>
      <c r="G6760" t="s">
        <v>400</v>
      </c>
      <c r="H6760" t="str">
        <f>VLOOKUP(record[[#This Row],[ProcessSN]],表格2_7[],2,FALSE)</f>
        <v>30-4118-018-550</v>
      </c>
      <c r="I6760" t="str">
        <f>VLOOKUP(record[[#This Row],[ProcessSN]],表格2_7[],3,FALSE)</f>
        <v>#100</v>
      </c>
      <c r="J6760" t="s">
        <v>598</v>
      </c>
      <c r="K6760" s="195">
        <v>45971.607789351852</v>
      </c>
      <c r="L6760">
        <v>208</v>
      </c>
      <c r="M6760">
        <v>0</v>
      </c>
      <c r="N6760" s="98" t="str">
        <f>IF(record[[#This Row],[Memo]]="Browser:chrome os:android","平板報工",IF(record[[#This Row],[Memo]]=0,"委外",record[[#This Row],[Memo]]))</f>
        <v/>
      </c>
      <c r="O6760" t="s">
        <v>58</v>
      </c>
      <c r="P6760" t="s">
        <v>141</v>
      </c>
      <c r="Q6760" t="s">
        <v>58</v>
      </c>
      <c r="R6760" t="str">
        <f>IFERROR(VLOOKUP(record[[#This Row],[PCUSTID]],廠商[],2,FALSE),"")</f>
        <v/>
      </c>
      <c r="S6760" t="str">
        <f>VLOOKUP(record[[#This Row],[employeeID]],員工[],2,FALSE)</f>
        <v>蔣梅</v>
      </c>
    </row>
    <row r="6761" spans="6:19" hidden="1" x14ac:dyDescent="0.25">
      <c r="F6761" t="s">
        <v>1169</v>
      </c>
      <c r="G6761" t="s">
        <v>418</v>
      </c>
      <c r="H6761" t="str">
        <f>VLOOKUP(record[[#This Row],[ProcessSN]],表格2_7[],2,FALSE)</f>
        <v>30-4118-018-5XX</v>
      </c>
      <c r="I6761" t="str">
        <f>VLOOKUP(record[[#This Row],[ProcessSN]],表格2_7[],3,FALSE)</f>
        <v>#07</v>
      </c>
      <c r="J6761" t="s">
        <v>588</v>
      </c>
      <c r="K6761" s="195">
        <v>45971.586006944446</v>
      </c>
      <c r="L6761">
        <v>224</v>
      </c>
      <c r="M6761">
        <v>1</v>
      </c>
      <c r="N6761" s="98" t="str">
        <f>IF(record[[#This Row],[Memo]]="Browser:chrome os:android","平板報工",IF(record[[#This Row],[Memo]]=0,"委外",record[[#This Row],[Memo]]))</f>
        <v>覆回11/10*PCS</v>
      </c>
      <c r="O6761" t="s">
        <v>1206</v>
      </c>
      <c r="P6761" t="s">
        <v>101</v>
      </c>
      <c r="Q6761" t="s">
        <v>58</v>
      </c>
      <c r="R6761" t="str">
        <f>IFERROR(VLOOKUP(record[[#This Row],[PCUSTID]],廠商[],2,FALSE),"")</f>
        <v/>
      </c>
      <c r="S6761" t="str">
        <f>VLOOKUP(record[[#This Row],[employeeID]],員工[],2,FALSE)</f>
        <v>陳氏絨</v>
      </c>
    </row>
    <row r="6762" spans="6:19" hidden="1" x14ac:dyDescent="0.25">
      <c r="F6762" t="s">
        <v>1200</v>
      </c>
      <c r="G6762" t="s">
        <v>399</v>
      </c>
      <c r="H6762" t="str">
        <f>VLOOKUP(record[[#This Row],[ProcessSN]],表格2_7[],2,FALSE)</f>
        <v>30-4118-018-550</v>
      </c>
      <c r="I6762" t="str">
        <f>VLOOKUP(record[[#This Row],[ProcessSN]],表格2_7[],3,FALSE)</f>
        <v>#08IQC</v>
      </c>
      <c r="J6762" t="s">
        <v>583</v>
      </c>
      <c r="K6762" s="195">
        <v>45971.490486111114</v>
      </c>
      <c r="L6762">
        <v>298</v>
      </c>
      <c r="M6762">
        <v>0</v>
      </c>
      <c r="N6762" s="98" t="str">
        <f>IF(record[[#This Row],[Memo]]="Browser:chrome os:android","平板報工",IF(record[[#This Row],[Memo]]=0,"委外",record[[#This Row],[Memo]]))</f>
        <v/>
      </c>
      <c r="O6762" t="s">
        <v>58</v>
      </c>
      <c r="P6762" t="s">
        <v>109</v>
      </c>
      <c r="Q6762" t="s">
        <v>58</v>
      </c>
      <c r="R6762" t="str">
        <f>IFERROR(VLOOKUP(record[[#This Row],[PCUSTID]],廠商[],2,FALSE),"")</f>
        <v/>
      </c>
      <c r="S6762" t="str">
        <f>VLOOKUP(record[[#This Row],[employeeID]],員工[],2,FALSE)</f>
        <v>裴氏璧鳳</v>
      </c>
    </row>
    <row r="6763" spans="6:19" hidden="1" x14ac:dyDescent="0.25">
      <c r="F6763" t="s">
        <v>1198</v>
      </c>
      <c r="G6763" t="s">
        <v>399</v>
      </c>
      <c r="H6763" t="str">
        <f>VLOOKUP(record[[#This Row],[ProcessSN]],表格2_7[],2,FALSE)</f>
        <v>30-4118-018-550</v>
      </c>
      <c r="I6763" t="str">
        <f>VLOOKUP(record[[#This Row],[ProcessSN]],表格2_7[],3,FALSE)</f>
        <v>#08IQC</v>
      </c>
      <c r="J6763" t="s">
        <v>583</v>
      </c>
      <c r="K6763" s="195">
        <v>45971.490243055552</v>
      </c>
      <c r="L6763">
        <v>246</v>
      </c>
      <c r="M6763">
        <v>0</v>
      </c>
      <c r="N6763" s="98" t="str">
        <f>IF(record[[#This Row],[Memo]]="Browser:chrome os:android","平板報工",IF(record[[#This Row],[Memo]]=0,"委外",record[[#This Row],[Memo]]))</f>
        <v/>
      </c>
      <c r="O6763" t="s">
        <v>58</v>
      </c>
      <c r="P6763" t="s">
        <v>109</v>
      </c>
      <c r="Q6763" t="s">
        <v>58</v>
      </c>
      <c r="R6763" t="str">
        <f>IFERROR(VLOOKUP(record[[#This Row],[PCUSTID]],廠商[],2,FALSE),"")</f>
        <v/>
      </c>
      <c r="S6763" t="str">
        <f>VLOOKUP(record[[#This Row],[employeeID]],員工[],2,FALSE)</f>
        <v>裴氏璧鳳</v>
      </c>
    </row>
    <row r="6764" spans="6:19" hidden="1" x14ac:dyDescent="0.25">
      <c r="F6764" t="s">
        <v>1192</v>
      </c>
      <c r="G6764" t="s">
        <v>399</v>
      </c>
      <c r="H6764" t="str">
        <f>VLOOKUP(record[[#This Row],[ProcessSN]],表格2_7[],2,FALSE)</f>
        <v>30-4118-018-550</v>
      </c>
      <c r="I6764" t="str">
        <f>VLOOKUP(record[[#This Row],[ProcessSN]],表格2_7[],3,FALSE)</f>
        <v>#08IQC</v>
      </c>
      <c r="J6764" t="s">
        <v>583</v>
      </c>
      <c r="K6764" s="195">
        <v>45971.490127314813</v>
      </c>
      <c r="L6764">
        <v>208</v>
      </c>
      <c r="M6764">
        <v>0</v>
      </c>
      <c r="N6764" s="98" t="str">
        <f>IF(record[[#This Row],[Memo]]="Browser:chrome os:android","平板報工",IF(record[[#This Row],[Memo]]=0,"委外",record[[#This Row],[Memo]]))</f>
        <v/>
      </c>
      <c r="O6764" t="s">
        <v>58</v>
      </c>
      <c r="P6764" t="s">
        <v>109</v>
      </c>
      <c r="Q6764" t="s">
        <v>58</v>
      </c>
      <c r="R6764" t="str">
        <f>IFERROR(VLOOKUP(record[[#This Row],[PCUSTID]],廠商[],2,FALSE),"")</f>
        <v/>
      </c>
      <c r="S6764" t="str">
        <f>VLOOKUP(record[[#This Row],[employeeID]],員工[],2,FALSE)</f>
        <v>裴氏璧鳳</v>
      </c>
    </row>
    <row r="6765" spans="6:19" hidden="1" x14ac:dyDescent="0.25">
      <c r="F6765" t="s">
        <v>1180</v>
      </c>
      <c r="G6765" t="s">
        <v>420</v>
      </c>
      <c r="H6765" t="str">
        <f>VLOOKUP(record[[#This Row],[ProcessSN]],表格2_7[],2,FALSE)</f>
        <v>30-4118-018-5XX</v>
      </c>
      <c r="I6765" t="str">
        <f>VLOOKUP(record[[#This Row],[ProcessSN]],表格2_7[],3,FALSE)</f>
        <v>#07STOCK</v>
      </c>
      <c r="J6765" t="s">
        <v>592</v>
      </c>
      <c r="K6765" s="195">
        <v>45971.476793981485</v>
      </c>
      <c r="L6765">
        <v>327</v>
      </c>
      <c r="M6765">
        <v>0</v>
      </c>
      <c r="N6765" s="98" t="str">
        <f>IF(record[[#This Row],[Memo]]="Browser:chrome os:android","平板報工",IF(record[[#This Row],[Memo]]=0,"委外",record[[#This Row],[Memo]]))</f>
        <v/>
      </c>
      <c r="O6765" t="s">
        <v>58</v>
      </c>
      <c r="P6765" t="s">
        <v>886</v>
      </c>
      <c r="Q6765" t="s">
        <v>58</v>
      </c>
      <c r="R6765" t="str">
        <f>IFERROR(VLOOKUP(record[[#This Row],[PCUSTID]],廠商[],2,FALSE),"")</f>
        <v/>
      </c>
      <c r="S6765" t="str">
        <f>VLOOKUP(record[[#This Row],[employeeID]],員工[],2,FALSE)</f>
        <v>謝蓁薰</v>
      </c>
    </row>
    <row r="6766" spans="6:19" hidden="1" x14ac:dyDescent="0.25">
      <c r="F6766" t="s">
        <v>1169</v>
      </c>
      <c r="G6766" t="s">
        <v>420</v>
      </c>
      <c r="H6766" t="str">
        <f>VLOOKUP(record[[#This Row],[ProcessSN]],表格2_7[],2,FALSE)</f>
        <v>30-4118-018-5XX</v>
      </c>
      <c r="I6766" t="str">
        <f>VLOOKUP(record[[#This Row],[ProcessSN]],表格2_7[],3,FALSE)</f>
        <v>#07STOCK</v>
      </c>
      <c r="J6766" t="s">
        <v>592</v>
      </c>
      <c r="K6766" s="195">
        <v>45971.476574074077</v>
      </c>
      <c r="L6766">
        <v>204</v>
      </c>
      <c r="M6766">
        <v>0</v>
      </c>
      <c r="N6766" s="98" t="str">
        <f>IF(record[[#This Row],[Memo]]="Browser:chrome os:android","平板報工",IF(record[[#This Row],[Memo]]=0,"委外",record[[#This Row],[Memo]]))</f>
        <v/>
      </c>
      <c r="O6766" t="s">
        <v>58</v>
      </c>
      <c r="P6766" t="s">
        <v>886</v>
      </c>
      <c r="Q6766" t="s">
        <v>58</v>
      </c>
      <c r="R6766" t="str">
        <f>IFERROR(VLOOKUP(record[[#This Row],[PCUSTID]],廠商[],2,FALSE),"")</f>
        <v/>
      </c>
      <c r="S6766" t="str">
        <f>VLOOKUP(record[[#This Row],[employeeID]],員工[],2,FALSE)</f>
        <v>謝蓁薰</v>
      </c>
    </row>
    <row r="6767" spans="6:19" hidden="1" x14ac:dyDescent="0.25">
      <c r="F6767" t="s">
        <v>1169</v>
      </c>
      <c r="G6767" t="s">
        <v>419</v>
      </c>
      <c r="H6767" t="str">
        <f>VLOOKUP(record[[#This Row],[ProcessSN]],表格2_7[],2,FALSE)</f>
        <v>30-4118-018-5XX</v>
      </c>
      <c r="I6767" t="str">
        <f>VLOOKUP(record[[#This Row],[ProcessSN]],表格2_7[],3,FALSE)</f>
        <v>#07QC</v>
      </c>
      <c r="J6767" t="s">
        <v>589</v>
      </c>
      <c r="K6767" s="195">
        <v>45971.471585648149</v>
      </c>
      <c r="L6767">
        <v>31</v>
      </c>
      <c r="M6767">
        <v>0</v>
      </c>
      <c r="N6767" s="98" t="str">
        <f>IF(record[[#This Row],[Memo]]="Browser:chrome os:android","平板報工",IF(record[[#This Row],[Memo]]=0,"委外",record[[#This Row],[Memo]]))</f>
        <v/>
      </c>
      <c r="O6767" t="s">
        <v>58</v>
      </c>
      <c r="P6767" t="s">
        <v>99</v>
      </c>
      <c r="Q6767" t="s">
        <v>58</v>
      </c>
      <c r="R6767" t="str">
        <f>IFERROR(VLOOKUP(record[[#This Row],[PCUSTID]],廠商[],2,FALSE),"")</f>
        <v/>
      </c>
      <c r="S6767" t="str">
        <f>VLOOKUP(record[[#This Row],[employeeID]],員工[],2,FALSE)</f>
        <v>阮氏河</v>
      </c>
    </row>
    <row r="6768" spans="6:19" hidden="1" x14ac:dyDescent="0.25">
      <c r="F6768" t="s">
        <v>1169</v>
      </c>
      <c r="G6768" t="s">
        <v>419</v>
      </c>
      <c r="H6768" t="str">
        <f>VLOOKUP(record[[#This Row],[ProcessSN]],表格2_7[],2,FALSE)</f>
        <v>30-4118-018-5XX</v>
      </c>
      <c r="I6768" t="str">
        <f>VLOOKUP(record[[#This Row],[ProcessSN]],表格2_7[],3,FALSE)</f>
        <v>#07QC</v>
      </c>
      <c r="J6768" t="s">
        <v>589</v>
      </c>
      <c r="K6768" s="195">
        <v>45971.471435185187</v>
      </c>
      <c r="L6768">
        <v>101</v>
      </c>
      <c r="M6768">
        <v>0</v>
      </c>
      <c r="N6768" s="98" t="str">
        <f>IF(record[[#This Row],[Memo]]="Browser:chrome os:android","平板報工",IF(record[[#This Row],[Memo]]=0,"委外",record[[#This Row],[Memo]]))</f>
        <v>覆回品</v>
      </c>
      <c r="O6768" t="s">
        <v>664</v>
      </c>
      <c r="P6768" t="s">
        <v>141</v>
      </c>
      <c r="Q6768" t="s">
        <v>58</v>
      </c>
      <c r="R6768" t="str">
        <f>IFERROR(VLOOKUP(record[[#This Row],[PCUSTID]],廠商[],2,FALSE),"")</f>
        <v/>
      </c>
      <c r="S6768" t="str">
        <f>VLOOKUP(record[[#This Row],[employeeID]],員工[],2,FALSE)</f>
        <v>蔣梅</v>
      </c>
    </row>
    <row r="6769" spans="6:19" hidden="1" x14ac:dyDescent="0.25">
      <c r="F6769" t="s">
        <v>1169</v>
      </c>
      <c r="G6769" t="s">
        <v>419</v>
      </c>
      <c r="H6769" t="str">
        <f>VLOOKUP(record[[#This Row],[ProcessSN]],表格2_7[],2,FALSE)</f>
        <v>30-4118-018-5XX</v>
      </c>
      <c r="I6769" t="str">
        <f>VLOOKUP(record[[#This Row],[ProcessSN]],表格2_7[],3,FALSE)</f>
        <v>#07QC</v>
      </c>
      <c r="J6769" t="s">
        <v>589</v>
      </c>
      <c r="K6769" s="195">
        <v>45971.471006944441</v>
      </c>
      <c r="L6769">
        <v>0</v>
      </c>
      <c r="M6769">
        <v>3</v>
      </c>
      <c r="N6769" s="98" t="str">
        <f>IF(record[[#This Row],[Memo]]="Browser:chrome os:android","平板報工",IF(record[[#This Row],[Memo]]=0,"委外",record[[#This Row],[Memo]]))</f>
        <v/>
      </c>
      <c r="O6769" t="s">
        <v>58</v>
      </c>
      <c r="P6769" t="s">
        <v>99</v>
      </c>
      <c r="Q6769" t="s">
        <v>58</v>
      </c>
      <c r="R6769" t="str">
        <f>IFERROR(VLOOKUP(record[[#This Row],[PCUSTID]],廠商[],2,FALSE),"")</f>
        <v/>
      </c>
      <c r="S6769" t="str">
        <f>VLOOKUP(record[[#This Row],[employeeID]],員工[],2,FALSE)</f>
        <v>阮氏河</v>
      </c>
    </row>
    <row r="6770" spans="6:19" hidden="1" x14ac:dyDescent="0.25">
      <c r="F6770" t="s">
        <v>1169</v>
      </c>
      <c r="G6770" t="s">
        <v>419</v>
      </c>
      <c r="H6770" t="str">
        <f>VLOOKUP(record[[#This Row],[ProcessSN]],表格2_7[],2,FALSE)</f>
        <v>30-4118-018-5XX</v>
      </c>
      <c r="I6770" t="str">
        <f>VLOOKUP(record[[#This Row],[ProcessSN]],表格2_7[],3,FALSE)</f>
        <v>#07QC</v>
      </c>
      <c r="J6770" t="s">
        <v>589</v>
      </c>
      <c r="K6770" s="195">
        <v>45971.469270833331</v>
      </c>
      <c r="L6770">
        <v>72</v>
      </c>
      <c r="M6770">
        <v>0</v>
      </c>
      <c r="N6770" s="98" t="str">
        <f>IF(record[[#This Row],[Memo]]="Browser:chrome os:android","平板報工",IF(record[[#This Row],[Memo]]=0,"委外",record[[#This Row],[Memo]]))</f>
        <v/>
      </c>
      <c r="O6770" t="s">
        <v>58</v>
      </c>
      <c r="P6770" t="s">
        <v>99</v>
      </c>
      <c r="Q6770" t="s">
        <v>58</v>
      </c>
      <c r="R6770" t="str">
        <f>IFERROR(VLOOKUP(record[[#This Row],[PCUSTID]],廠商[],2,FALSE),"")</f>
        <v/>
      </c>
      <c r="S6770" t="str">
        <f>VLOOKUP(record[[#This Row],[employeeID]],員工[],2,FALSE)</f>
        <v>阮氏河</v>
      </c>
    </row>
    <row r="6771" spans="6:19" hidden="1" x14ac:dyDescent="0.25">
      <c r="F6771" t="s">
        <v>1180</v>
      </c>
      <c r="G6771" t="s">
        <v>418</v>
      </c>
      <c r="H6771" t="str">
        <f>VLOOKUP(record[[#This Row],[ProcessSN]],表格2_7[],2,FALSE)</f>
        <v>30-4118-018-5XX</v>
      </c>
      <c r="I6771" t="str">
        <f>VLOOKUP(record[[#This Row],[ProcessSN]],表格2_7[],3,FALSE)</f>
        <v>#07</v>
      </c>
      <c r="J6771" t="s">
        <v>588</v>
      </c>
      <c r="K6771" s="195">
        <v>45971.457905092589</v>
      </c>
      <c r="L6771">
        <v>152</v>
      </c>
      <c r="M6771">
        <v>0</v>
      </c>
      <c r="N6771" s="98" t="str">
        <f>IF(record[[#This Row],[Memo]]="Browser:chrome os:android","平板報工",IF(record[[#This Row],[Memo]]=0,"委外",record[[#This Row],[Memo]]))</f>
        <v>補報中班11/7</v>
      </c>
      <c r="O6771" t="s">
        <v>1203</v>
      </c>
      <c r="P6771" t="s">
        <v>101</v>
      </c>
      <c r="Q6771" t="s">
        <v>58</v>
      </c>
      <c r="R6771" t="str">
        <f>IFERROR(VLOOKUP(record[[#This Row],[PCUSTID]],廠商[],2,FALSE),"")</f>
        <v/>
      </c>
      <c r="S6771" t="str">
        <f>VLOOKUP(record[[#This Row],[employeeID]],員工[],2,FALSE)</f>
        <v>陳氏絨</v>
      </c>
    </row>
    <row r="6772" spans="6:19" hidden="1" x14ac:dyDescent="0.25">
      <c r="F6772" t="s">
        <v>1180</v>
      </c>
      <c r="G6772" t="s">
        <v>419</v>
      </c>
      <c r="H6772" t="str">
        <f>VLOOKUP(record[[#This Row],[ProcessSN]],表格2_7[],2,FALSE)</f>
        <v>30-4118-018-5XX</v>
      </c>
      <c r="I6772" t="str">
        <f>VLOOKUP(record[[#This Row],[ProcessSN]],表格2_7[],3,FALSE)</f>
        <v>#07QC</v>
      </c>
      <c r="J6772" t="s">
        <v>589</v>
      </c>
      <c r="K6772" s="195">
        <v>45971.449594907404</v>
      </c>
      <c r="L6772">
        <v>327</v>
      </c>
      <c r="M6772">
        <v>0</v>
      </c>
      <c r="N6772" s="98" t="str">
        <f>IF(record[[#This Row],[Memo]]="Browser:chrome os:android","平板報工",IF(record[[#This Row],[Memo]]=0,"委外",record[[#This Row],[Memo]]))</f>
        <v>平板報工</v>
      </c>
      <c r="O6772" t="s">
        <v>643</v>
      </c>
      <c r="P6772" t="s">
        <v>141</v>
      </c>
      <c r="Q6772" t="s">
        <v>644</v>
      </c>
      <c r="R6772" t="str">
        <f>IFERROR(VLOOKUP(record[[#This Row],[PCUSTID]],廠商[],2,FALSE),"")</f>
        <v/>
      </c>
      <c r="S6772" t="str">
        <f>VLOOKUP(record[[#This Row],[employeeID]],員工[],2,FALSE)</f>
        <v>蔣梅</v>
      </c>
    </row>
    <row r="6773" spans="6:19" hidden="1" x14ac:dyDescent="0.25">
      <c r="F6773" t="s">
        <v>1200</v>
      </c>
      <c r="G6773" t="s">
        <v>398</v>
      </c>
      <c r="H6773" t="str">
        <f>VLOOKUP(record[[#This Row],[ProcessSN]],表格2_7[],2,FALSE)</f>
        <v>30-4118-018-550</v>
      </c>
      <c r="I6773" t="str">
        <f>VLOOKUP(record[[#This Row],[ProcessSN]],表格2_7[],3,FALSE)</f>
        <v>#08RCV</v>
      </c>
      <c r="J6773" t="s">
        <v>591</v>
      </c>
      <c r="K6773" s="195">
        <v>45971.44604166667</v>
      </c>
      <c r="L6773">
        <v>298</v>
      </c>
      <c r="M6773">
        <v>0</v>
      </c>
      <c r="N6773" s="98" t="str">
        <f>IF(record[[#This Row],[Memo]]="Browser:chrome os:android","平板報工",IF(record[[#This Row],[Memo]]=0,"委外",record[[#This Row],[Memo]]))</f>
        <v/>
      </c>
      <c r="O6773" t="s">
        <v>58</v>
      </c>
      <c r="P6773" t="s">
        <v>886</v>
      </c>
      <c r="Q6773" t="s">
        <v>58</v>
      </c>
      <c r="R6773" t="str">
        <f>IFERROR(VLOOKUP(record[[#This Row],[PCUSTID]],廠商[],2,FALSE),"")</f>
        <v/>
      </c>
      <c r="S6773" t="str">
        <f>VLOOKUP(record[[#This Row],[employeeID]],員工[],2,FALSE)</f>
        <v>謝蓁薰</v>
      </c>
    </row>
    <row r="6774" spans="6:19" hidden="1" x14ac:dyDescent="0.25">
      <c r="F6774" t="s">
        <v>1198</v>
      </c>
      <c r="G6774" t="s">
        <v>398</v>
      </c>
      <c r="H6774" t="str">
        <f>VLOOKUP(record[[#This Row],[ProcessSN]],表格2_7[],2,FALSE)</f>
        <v>30-4118-018-550</v>
      </c>
      <c r="I6774" t="str">
        <f>VLOOKUP(record[[#This Row],[ProcessSN]],表格2_7[],3,FALSE)</f>
        <v>#08RCV</v>
      </c>
      <c r="J6774" t="s">
        <v>591</v>
      </c>
      <c r="K6774" s="195">
        <v>45971.445821759262</v>
      </c>
      <c r="L6774">
        <v>246</v>
      </c>
      <c r="M6774">
        <v>0</v>
      </c>
      <c r="N6774" s="98" t="str">
        <f>IF(record[[#This Row],[Memo]]="Browser:chrome os:android","平板報工",IF(record[[#This Row],[Memo]]=0,"委外",record[[#This Row],[Memo]]))</f>
        <v/>
      </c>
      <c r="O6774" t="s">
        <v>58</v>
      </c>
      <c r="P6774" t="s">
        <v>886</v>
      </c>
      <c r="Q6774" t="s">
        <v>58</v>
      </c>
      <c r="R6774" t="str">
        <f>IFERROR(VLOOKUP(record[[#This Row],[PCUSTID]],廠商[],2,FALSE),"")</f>
        <v/>
      </c>
      <c r="S6774" t="str">
        <f>VLOOKUP(record[[#This Row],[employeeID]],員工[],2,FALSE)</f>
        <v>謝蓁薰</v>
      </c>
    </row>
    <row r="6775" spans="6:19" hidden="1" x14ac:dyDescent="0.25">
      <c r="F6775" t="s">
        <v>1192</v>
      </c>
      <c r="G6775" t="s">
        <v>398</v>
      </c>
      <c r="H6775" t="str">
        <f>VLOOKUP(record[[#This Row],[ProcessSN]],表格2_7[],2,FALSE)</f>
        <v>30-4118-018-550</v>
      </c>
      <c r="I6775" t="str">
        <f>VLOOKUP(record[[#This Row],[ProcessSN]],表格2_7[],3,FALSE)</f>
        <v>#08RCV</v>
      </c>
      <c r="J6775" t="s">
        <v>591</v>
      </c>
      <c r="K6775" s="195">
        <v>45971.445509259262</v>
      </c>
      <c r="L6775">
        <v>208</v>
      </c>
      <c r="M6775">
        <v>0</v>
      </c>
      <c r="N6775" s="98" t="str">
        <f>IF(record[[#This Row],[Memo]]="Browser:chrome os:android","平板報工",IF(record[[#This Row],[Memo]]=0,"委外",record[[#This Row],[Memo]]))</f>
        <v/>
      </c>
      <c r="O6775" t="s">
        <v>58</v>
      </c>
      <c r="P6775" t="s">
        <v>886</v>
      </c>
      <c r="Q6775" t="s">
        <v>58</v>
      </c>
      <c r="R6775" t="str">
        <f>IFERROR(VLOOKUP(record[[#This Row],[PCUSTID]],廠商[],2,FALSE),"")</f>
        <v/>
      </c>
      <c r="S6775" t="str">
        <f>VLOOKUP(record[[#This Row],[employeeID]],員工[],2,FALSE)</f>
        <v>謝蓁薰</v>
      </c>
    </row>
    <row r="6776" spans="6:19" hidden="1" x14ac:dyDescent="0.25">
      <c r="F6776" t="s">
        <v>1148</v>
      </c>
      <c r="G6776" t="s">
        <v>468</v>
      </c>
      <c r="H6776" t="str">
        <f>VLOOKUP(record[[#This Row],[ProcessSN]],表格2_7[],2,FALSE)</f>
        <v>30-4118-018-XXX</v>
      </c>
      <c r="I6776" t="str">
        <f>VLOOKUP(record[[#This Row],[ProcessSN]],表格2_7[],3,FALSE)</f>
        <v>#02</v>
      </c>
      <c r="J6776" t="s">
        <v>590</v>
      </c>
      <c r="K6776" s="195">
        <v>45971.367789351854</v>
      </c>
      <c r="L6776">
        <v>373</v>
      </c>
      <c r="M6776">
        <v>0</v>
      </c>
      <c r="N6776" s="98" t="str">
        <f>IF(record[[#This Row],[Memo]]="Browser:chrome os:android","平板報工",IF(record[[#This Row],[Memo]]=0,"委外",record[[#This Row],[Memo]]))</f>
        <v>委外</v>
      </c>
      <c r="P6776" t="s">
        <v>886</v>
      </c>
      <c r="Q6776" t="s">
        <v>216</v>
      </c>
      <c r="R6776" t="str">
        <f>IFERROR(VLOOKUP(record[[#This Row],[PCUSTID]],廠商[],2,FALSE),"")</f>
        <v>俊杰</v>
      </c>
      <c r="S6776" t="str">
        <f>VLOOKUP(record[[#This Row],[employeeID]],員工[],2,FALSE)</f>
        <v>謝蓁薰</v>
      </c>
    </row>
    <row r="6777" spans="6:19" hidden="1" x14ac:dyDescent="0.25">
      <c r="F6777" t="s">
        <v>1148</v>
      </c>
      <c r="G6777" t="s">
        <v>468</v>
      </c>
      <c r="H6777" t="str">
        <f>VLOOKUP(record[[#This Row],[ProcessSN]],表格2_7[],2,FALSE)</f>
        <v>30-4118-018-XXX</v>
      </c>
      <c r="I6777" t="str">
        <f>VLOOKUP(record[[#This Row],[ProcessSN]],表格2_7[],3,FALSE)</f>
        <v>#02</v>
      </c>
      <c r="J6777" t="s">
        <v>590</v>
      </c>
      <c r="K6777" s="195">
        <v>45971.367673611108</v>
      </c>
      <c r="L6777">
        <v>604</v>
      </c>
      <c r="M6777">
        <v>0</v>
      </c>
      <c r="N6777" s="98" t="str">
        <f>IF(record[[#This Row],[Memo]]="Browser:chrome os:android","平板報工",IF(record[[#This Row],[Memo]]=0,"委外",record[[#This Row],[Memo]]))</f>
        <v>委外</v>
      </c>
      <c r="P6777" t="s">
        <v>886</v>
      </c>
      <c r="Q6777" t="s">
        <v>216</v>
      </c>
      <c r="R6777" t="str">
        <f>IFERROR(VLOOKUP(record[[#This Row],[PCUSTID]],廠商[],2,FALSE),"")</f>
        <v>俊杰</v>
      </c>
      <c r="S6777" t="str">
        <f>VLOOKUP(record[[#This Row],[employeeID]],員工[],2,FALSE)</f>
        <v>謝蓁薰</v>
      </c>
    </row>
    <row r="6778" spans="6:19" hidden="1" x14ac:dyDescent="0.25">
      <c r="F6778" t="s">
        <v>1148</v>
      </c>
      <c r="G6778" t="s">
        <v>468</v>
      </c>
      <c r="H6778" t="str">
        <f>VLOOKUP(record[[#This Row],[ProcessSN]],表格2_7[],2,FALSE)</f>
        <v>30-4118-018-XXX</v>
      </c>
      <c r="I6778" t="str">
        <f>VLOOKUP(record[[#This Row],[ProcessSN]],表格2_7[],3,FALSE)</f>
        <v>#02</v>
      </c>
      <c r="J6778" t="s">
        <v>590</v>
      </c>
      <c r="K6778" s="195">
        <v>45971.3675</v>
      </c>
      <c r="L6778">
        <v>223</v>
      </c>
      <c r="M6778">
        <v>0</v>
      </c>
      <c r="N6778" s="98" t="str">
        <f>IF(record[[#This Row],[Memo]]="Browser:chrome os:android","平板報工",IF(record[[#This Row],[Memo]]=0,"委外",record[[#This Row],[Memo]]))</f>
        <v>委外</v>
      </c>
      <c r="P6778" t="s">
        <v>886</v>
      </c>
      <c r="Q6778" t="s">
        <v>216</v>
      </c>
      <c r="R6778" t="str">
        <f>IFERROR(VLOOKUP(record[[#This Row],[PCUSTID]],廠商[],2,FALSE),"")</f>
        <v>俊杰</v>
      </c>
      <c r="S6778" t="str">
        <f>VLOOKUP(record[[#This Row],[employeeID]],員工[],2,FALSE)</f>
        <v>謝蓁薰</v>
      </c>
    </row>
    <row r="6779" spans="6:19" hidden="1" x14ac:dyDescent="0.25">
      <c r="F6779" t="s">
        <v>1180</v>
      </c>
      <c r="G6779" t="s">
        <v>417</v>
      </c>
      <c r="H6779" t="str">
        <f>VLOOKUP(record[[#This Row],[ProcessSN]],表格2_7[],2,FALSE)</f>
        <v>30-4118-018-5XX</v>
      </c>
      <c r="I6779" t="str">
        <f>VLOOKUP(record[[#This Row],[ProcessSN]],表格2_7[],3,FALSE)</f>
        <v>#06</v>
      </c>
      <c r="J6779" t="s">
        <v>593</v>
      </c>
      <c r="K6779" s="195">
        <v>45968.932037037041</v>
      </c>
      <c r="L6779">
        <v>62</v>
      </c>
      <c r="M6779">
        <v>0</v>
      </c>
      <c r="N6779" s="98" t="str">
        <f>IF(record[[#This Row],[Memo]]="Browser:chrome os:android","平板報工",IF(record[[#This Row],[Memo]]=0,"委外",record[[#This Row],[Memo]]))</f>
        <v/>
      </c>
      <c r="O6779" t="s">
        <v>58</v>
      </c>
      <c r="P6779" t="s">
        <v>176</v>
      </c>
      <c r="Q6779" t="s">
        <v>58</v>
      </c>
      <c r="R6779" t="str">
        <f>IFERROR(VLOOKUP(record[[#This Row],[PCUSTID]],廠商[],2,FALSE),"")</f>
        <v/>
      </c>
      <c r="S6779" t="str">
        <f>VLOOKUP(record[[#This Row],[employeeID]],員工[],2,FALSE)</f>
        <v>郭政雄</v>
      </c>
    </row>
    <row r="6780" spans="6:19" hidden="1" x14ac:dyDescent="0.25">
      <c r="F6780" t="s">
        <v>1181</v>
      </c>
      <c r="G6780" t="s">
        <v>424</v>
      </c>
      <c r="H6780" t="str">
        <f>VLOOKUP(record[[#This Row],[ProcessSN]],表格2_7[],2,FALSE)</f>
        <v>30-4118-018-600</v>
      </c>
      <c r="I6780" t="str">
        <f>VLOOKUP(record[[#This Row],[ProcessSN]],表格2_7[],3,FALSE)</f>
        <v>#08IQC</v>
      </c>
      <c r="J6780" t="s">
        <v>583</v>
      </c>
      <c r="K6780" s="195">
        <v>45968.762418981481</v>
      </c>
      <c r="L6780">
        <v>590</v>
      </c>
      <c r="M6780">
        <v>0</v>
      </c>
      <c r="N6780" s="98" t="str">
        <f>IF(record[[#This Row],[Memo]]="Browser:chrome os:android","平板報工",IF(record[[#This Row],[Memo]]=0,"委外",record[[#This Row],[Memo]]))</f>
        <v/>
      </c>
      <c r="O6780" t="s">
        <v>58</v>
      </c>
      <c r="P6780" t="s">
        <v>109</v>
      </c>
      <c r="Q6780" t="s">
        <v>58</v>
      </c>
      <c r="R6780" t="str">
        <f>IFERROR(VLOOKUP(record[[#This Row],[PCUSTID]],廠商[],2,FALSE),"")</f>
        <v/>
      </c>
      <c r="S6780" t="str">
        <f>VLOOKUP(record[[#This Row],[employeeID]],員工[],2,FALSE)</f>
        <v>裴氏璧鳳</v>
      </c>
    </row>
    <row r="6781" spans="6:19" hidden="1" x14ac:dyDescent="0.25">
      <c r="F6781" t="s">
        <v>1148</v>
      </c>
      <c r="G6781" t="s">
        <v>467</v>
      </c>
      <c r="H6781" t="str">
        <f>VLOOKUP(record[[#This Row],[ProcessSN]],表格2_7[],2,FALSE)</f>
        <v>30-4118-018-XXX</v>
      </c>
      <c r="I6781" t="str">
        <f>VLOOKUP(record[[#This Row],[ProcessSN]],表格2_7[],3,FALSE)</f>
        <v>#01QC</v>
      </c>
      <c r="J6781" t="s">
        <v>589</v>
      </c>
      <c r="K6781" s="195">
        <v>45968.683900462966</v>
      </c>
      <c r="L6781">
        <v>1200</v>
      </c>
      <c r="M6781">
        <v>0</v>
      </c>
      <c r="N6781" s="98" t="str">
        <f>IF(record[[#This Row],[Memo]]="Browser:chrome os:android","平板報工",IF(record[[#This Row],[Memo]]=0,"委外",record[[#This Row],[Memo]]))</f>
        <v>平板報工</v>
      </c>
      <c r="O6781" t="s">
        <v>643</v>
      </c>
      <c r="P6781" t="s">
        <v>182</v>
      </c>
      <c r="Q6781" t="s">
        <v>644</v>
      </c>
      <c r="R6781" t="str">
        <f>IFERROR(VLOOKUP(record[[#This Row],[PCUSTID]],廠商[],2,FALSE),"")</f>
        <v/>
      </c>
      <c r="S6781" t="str">
        <f>VLOOKUP(record[[#This Row],[employeeID]],員工[],2,FALSE)</f>
        <v>梅氏和</v>
      </c>
    </row>
    <row r="6782" spans="6:19" hidden="1" x14ac:dyDescent="0.25">
      <c r="F6782" t="s">
        <v>1184</v>
      </c>
      <c r="G6782" t="s">
        <v>359</v>
      </c>
      <c r="H6782" t="str">
        <f>VLOOKUP(record[[#This Row],[ProcessSN]],表格2_7[],2,FALSE)</f>
        <v>30-4118-018-450</v>
      </c>
      <c r="I6782" t="str">
        <f>VLOOKUP(record[[#This Row],[ProcessSN]],表格2_7[],3,FALSE)</f>
        <v>#100</v>
      </c>
      <c r="J6782" t="s">
        <v>598</v>
      </c>
      <c r="K6782" s="195">
        <v>45968.678391203706</v>
      </c>
      <c r="L6782">
        <v>415</v>
      </c>
      <c r="M6782">
        <v>0</v>
      </c>
      <c r="N6782" s="98" t="str">
        <f>IF(record[[#This Row],[Memo]]="Browser:chrome os:android","平板報工",IF(record[[#This Row],[Memo]]=0,"委外",record[[#This Row],[Memo]]))</f>
        <v>平板報工</v>
      </c>
      <c r="O6782" t="s">
        <v>643</v>
      </c>
      <c r="P6782" t="s">
        <v>141</v>
      </c>
      <c r="Q6782" t="s">
        <v>644</v>
      </c>
      <c r="R6782" t="str">
        <f>IFERROR(VLOOKUP(record[[#This Row],[PCUSTID]],廠商[],2,FALSE),"")</f>
        <v/>
      </c>
      <c r="S6782" t="str">
        <f>VLOOKUP(record[[#This Row],[employeeID]],員工[],2,FALSE)</f>
        <v>蔣梅</v>
      </c>
    </row>
    <row r="6783" spans="6:19" hidden="1" x14ac:dyDescent="0.25">
      <c r="F6783" t="s">
        <v>1180</v>
      </c>
      <c r="G6783" t="s">
        <v>418</v>
      </c>
      <c r="H6783" t="str">
        <f>VLOOKUP(record[[#This Row],[ProcessSN]],表格2_7[],2,FALSE)</f>
        <v>30-4118-018-5XX</v>
      </c>
      <c r="I6783" t="str">
        <f>VLOOKUP(record[[#This Row],[ProcessSN]],表格2_7[],3,FALSE)</f>
        <v>#07</v>
      </c>
      <c r="J6783" t="s">
        <v>588</v>
      </c>
      <c r="K6783" s="195">
        <v>45968.669502314813</v>
      </c>
      <c r="L6783">
        <v>193</v>
      </c>
      <c r="M6783">
        <v>0</v>
      </c>
      <c r="N6783" s="98" t="str">
        <f>IF(record[[#This Row],[Memo]]="Browser:chrome os:android","平板報工",IF(record[[#This Row],[Memo]]=0,"委外",record[[#This Row],[Memo]]))</f>
        <v/>
      </c>
      <c r="O6783" t="s">
        <v>58</v>
      </c>
      <c r="P6783" t="s">
        <v>101</v>
      </c>
      <c r="Q6783" t="s">
        <v>58</v>
      </c>
      <c r="R6783" t="str">
        <f>IFERROR(VLOOKUP(record[[#This Row],[PCUSTID]],廠商[],2,FALSE),"")</f>
        <v/>
      </c>
      <c r="S6783" t="str">
        <f>VLOOKUP(record[[#This Row],[employeeID]],員工[],2,FALSE)</f>
        <v>陳氏絨</v>
      </c>
    </row>
    <row r="6784" spans="6:19" hidden="1" x14ac:dyDescent="0.25">
      <c r="F6784" t="s">
        <v>1180</v>
      </c>
      <c r="G6784" t="s">
        <v>417</v>
      </c>
      <c r="H6784" t="str">
        <f>VLOOKUP(record[[#This Row],[ProcessSN]],表格2_7[],2,FALSE)</f>
        <v>30-4118-018-5XX</v>
      </c>
      <c r="I6784" t="str">
        <f>VLOOKUP(record[[#This Row],[ProcessSN]],表格2_7[],3,FALSE)</f>
        <v>#06</v>
      </c>
      <c r="J6784" t="s">
        <v>593</v>
      </c>
      <c r="K6784" s="195">
        <v>45968.669247685182</v>
      </c>
      <c r="L6784">
        <v>117</v>
      </c>
      <c r="M6784">
        <v>0</v>
      </c>
      <c r="N6784" s="98" t="str">
        <f>IF(record[[#This Row],[Memo]]="Browser:chrome os:android","平板報工",IF(record[[#This Row],[Memo]]=0,"委外",record[[#This Row],[Memo]]))</f>
        <v/>
      </c>
      <c r="O6784" t="s">
        <v>58</v>
      </c>
      <c r="P6784" t="s">
        <v>101</v>
      </c>
      <c r="Q6784" t="s">
        <v>58</v>
      </c>
      <c r="R6784" t="str">
        <f>IFERROR(VLOOKUP(record[[#This Row],[PCUSTID]],廠商[],2,FALSE),"")</f>
        <v/>
      </c>
      <c r="S6784" t="str">
        <f>VLOOKUP(record[[#This Row],[employeeID]],員工[],2,FALSE)</f>
        <v>陳氏絨</v>
      </c>
    </row>
    <row r="6785" spans="6:19" hidden="1" x14ac:dyDescent="0.25">
      <c r="F6785" t="s">
        <v>1180</v>
      </c>
      <c r="G6785" t="s">
        <v>416</v>
      </c>
      <c r="H6785" t="str">
        <f>VLOOKUP(record[[#This Row],[ProcessSN]],表格2_7[],2,FALSE)</f>
        <v>30-4118-018-5XX</v>
      </c>
      <c r="I6785" t="str">
        <f>VLOOKUP(record[[#This Row],[ProcessSN]],表格2_7[],3,FALSE)</f>
        <v>#05</v>
      </c>
      <c r="J6785" t="s">
        <v>588</v>
      </c>
      <c r="K6785" s="195">
        <v>45968.668368055558</v>
      </c>
      <c r="L6785">
        <v>120</v>
      </c>
      <c r="M6785">
        <v>0</v>
      </c>
      <c r="N6785" s="98" t="str">
        <f>IF(record[[#This Row],[Memo]]="Browser:chrome os:android","平板報工",IF(record[[#This Row],[Memo]]=0,"委外",record[[#This Row],[Memo]]))</f>
        <v>補報</v>
      </c>
      <c r="O6785" t="s">
        <v>868</v>
      </c>
      <c r="P6785" t="s">
        <v>101</v>
      </c>
      <c r="Q6785" t="s">
        <v>58</v>
      </c>
      <c r="R6785" t="str">
        <f>IFERROR(VLOOKUP(record[[#This Row],[PCUSTID]],廠商[],2,FALSE),"")</f>
        <v/>
      </c>
      <c r="S6785" t="str">
        <f>VLOOKUP(record[[#This Row],[employeeID]],員工[],2,FALSE)</f>
        <v>陳氏絨</v>
      </c>
    </row>
    <row r="6786" spans="6:19" hidden="1" x14ac:dyDescent="0.25">
      <c r="F6786" t="s">
        <v>1148</v>
      </c>
      <c r="G6786" t="s">
        <v>466</v>
      </c>
      <c r="H6786" t="str">
        <f>VLOOKUP(record[[#This Row],[ProcessSN]],表格2_7[],2,FALSE)</f>
        <v>30-4118-018-XXX</v>
      </c>
      <c r="I6786" t="str">
        <f>VLOOKUP(record[[#This Row],[ProcessSN]],表格2_7[],3,FALSE)</f>
        <v>#01-2</v>
      </c>
      <c r="J6786" t="s">
        <v>588</v>
      </c>
      <c r="K6786" s="195">
        <v>45968.655902777777</v>
      </c>
      <c r="L6786">
        <v>453</v>
      </c>
      <c r="M6786">
        <v>0</v>
      </c>
      <c r="N6786" s="98" t="str">
        <f>IF(record[[#This Row],[Memo]]="Browser:chrome os:android","平板報工",IF(record[[#This Row],[Memo]]=0,"委外",record[[#This Row],[Memo]]))</f>
        <v>平板報工</v>
      </c>
      <c r="O6786" t="s">
        <v>643</v>
      </c>
      <c r="P6786" t="s">
        <v>145</v>
      </c>
      <c r="Q6786" t="s">
        <v>644</v>
      </c>
      <c r="R6786" t="str">
        <f>IFERROR(VLOOKUP(record[[#This Row],[PCUSTID]],廠商[],2,FALSE),"")</f>
        <v/>
      </c>
      <c r="S6786" t="str">
        <f>VLOOKUP(record[[#This Row],[employeeID]],員工[],2,FALSE)</f>
        <v>阮秋霞</v>
      </c>
    </row>
    <row r="6787" spans="6:19" hidden="1" x14ac:dyDescent="0.25">
      <c r="F6787" t="s">
        <v>1148</v>
      </c>
      <c r="G6787" t="s">
        <v>465</v>
      </c>
      <c r="H6787" t="str">
        <f>VLOOKUP(record[[#This Row],[ProcessSN]],表格2_7[],2,FALSE)</f>
        <v>30-4118-018-XXX</v>
      </c>
      <c r="I6787" t="str">
        <f>VLOOKUP(record[[#This Row],[ProcessSN]],表格2_7[],3,FALSE)</f>
        <v>#01-1</v>
      </c>
      <c r="J6787" t="s">
        <v>588</v>
      </c>
      <c r="K6787" s="195">
        <v>45968.655671296299</v>
      </c>
      <c r="L6787">
        <v>453</v>
      </c>
      <c r="M6787">
        <v>0</v>
      </c>
      <c r="N6787" s="98" t="str">
        <f>IF(record[[#This Row],[Memo]]="Browser:chrome os:android","平板報工",IF(record[[#This Row],[Memo]]=0,"委外",record[[#This Row],[Memo]]))</f>
        <v>平板報工</v>
      </c>
      <c r="O6787" t="s">
        <v>643</v>
      </c>
      <c r="P6787" t="s">
        <v>145</v>
      </c>
      <c r="Q6787" t="s">
        <v>644</v>
      </c>
      <c r="R6787" t="str">
        <f>IFERROR(VLOOKUP(record[[#This Row],[PCUSTID]],廠商[],2,FALSE),"")</f>
        <v/>
      </c>
      <c r="S6787" t="str">
        <f>VLOOKUP(record[[#This Row],[employeeID]],員工[],2,FALSE)</f>
        <v>阮秋霞</v>
      </c>
    </row>
    <row r="6788" spans="6:19" hidden="1" x14ac:dyDescent="0.25">
      <c r="F6788" t="s">
        <v>1181</v>
      </c>
      <c r="G6788" t="s">
        <v>423</v>
      </c>
      <c r="H6788" t="str">
        <f>VLOOKUP(record[[#This Row],[ProcessSN]],表格2_7[],2,FALSE)</f>
        <v>30-4118-018-600</v>
      </c>
      <c r="I6788" t="str">
        <f>VLOOKUP(record[[#This Row],[ProcessSN]],表格2_7[],3,FALSE)</f>
        <v>#08RCV</v>
      </c>
      <c r="J6788" t="s">
        <v>591</v>
      </c>
      <c r="K6788" s="195">
        <v>45968.647453703707</v>
      </c>
      <c r="L6788">
        <v>590</v>
      </c>
      <c r="M6788">
        <v>0</v>
      </c>
      <c r="N6788" s="98" t="str">
        <f>IF(record[[#This Row],[Memo]]="Browser:chrome os:android","平板報工",IF(record[[#This Row],[Memo]]=0,"委外",record[[#This Row],[Memo]]))</f>
        <v/>
      </c>
      <c r="O6788" t="s">
        <v>58</v>
      </c>
      <c r="P6788" t="s">
        <v>186</v>
      </c>
      <c r="Q6788" t="s">
        <v>58</v>
      </c>
      <c r="R6788" t="str">
        <f>IFERROR(VLOOKUP(record[[#This Row],[PCUSTID]],廠商[],2,FALSE),"")</f>
        <v/>
      </c>
      <c r="S6788" t="str">
        <f>VLOOKUP(record[[#This Row],[employeeID]],員工[],2,FALSE)</f>
        <v>許文姍</v>
      </c>
    </row>
    <row r="6789" spans="6:19" hidden="1" x14ac:dyDescent="0.25">
      <c r="F6789" t="s">
        <v>1200</v>
      </c>
      <c r="G6789" t="s">
        <v>397</v>
      </c>
      <c r="H6789" t="str">
        <f>VLOOKUP(record[[#This Row],[ProcessSN]],表格2_7[],2,FALSE)</f>
        <v>30-4118-018-550</v>
      </c>
      <c r="I6789" t="str">
        <f>VLOOKUP(record[[#This Row],[ProcessSN]],表格2_7[],3,FALSE)</f>
        <v>#08</v>
      </c>
      <c r="J6789" t="s">
        <v>597</v>
      </c>
      <c r="K6789" s="195">
        <v>45968.586111111108</v>
      </c>
      <c r="L6789">
        <v>298</v>
      </c>
      <c r="M6789">
        <v>0</v>
      </c>
      <c r="N6789" s="98" t="str">
        <f>IF(record[[#This Row],[Memo]]="Browser:chrome os:android","平板報工",IF(record[[#This Row],[Memo]]=0,"委外",record[[#This Row],[Memo]]))</f>
        <v>委外</v>
      </c>
      <c r="P6789" t="s">
        <v>186</v>
      </c>
      <c r="Q6789" t="s">
        <v>287</v>
      </c>
      <c r="R6789" t="str">
        <f>IFERROR(VLOOKUP(record[[#This Row],[PCUSTID]],廠商[],2,FALSE),"")</f>
        <v>泉盛</v>
      </c>
      <c r="S6789" t="str">
        <f>VLOOKUP(record[[#This Row],[employeeID]],員工[],2,FALSE)</f>
        <v>許文姍</v>
      </c>
    </row>
    <row r="6790" spans="6:19" hidden="1" x14ac:dyDescent="0.25">
      <c r="F6790" t="s">
        <v>581</v>
      </c>
      <c r="G6790" t="s">
        <v>467</v>
      </c>
      <c r="H6790" t="str">
        <f>VLOOKUP(record[[#This Row],[ProcessSN]],表格2_7[],2,FALSE)</f>
        <v>30-4118-018-XXX</v>
      </c>
      <c r="I6790" t="str">
        <f>VLOOKUP(record[[#This Row],[ProcessSN]],表格2_7[],3,FALSE)</f>
        <v>#01QC</v>
      </c>
      <c r="J6790" t="s">
        <v>589</v>
      </c>
      <c r="K6790" s="195">
        <v>45968.58520833333</v>
      </c>
      <c r="L6790">
        <v>1</v>
      </c>
      <c r="M6790">
        <v>0</v>
      </c>
      <c r="N6790" s="98" t="str">
        <f>IF(record[[#This Row],[Memo]]="Browser:chrome os:android","平板報工",IF(record[[#This Row],[Memo]]=0,"委外",record[[#This Row],[Memo]]))</f>
        <v>平板報工</v>
      </c>
      <c r="O6790" t="s">
        <v>643</v>
      </c>
      <c r="P6790" t="s">
        <v>182</v>
      </c>
      <c r="Q6790" t="s">
        <v>644</v>
      </c>
      <c r="R6790" t="str">
        <f>IFERROR(VLOOKUP(record[[#This Row],[PCUSTID]],廠商[],2,FALSE),"")</f>
        <v/>
      </c>
      <c r="S6790" t="str">
        <f>VLOOKUP(record[[#This Row],[employeeID]],員工[],2,FALSE)</f>
        <v>梅氏和</v>
      </c>
    </row>
    <row r="6791" spans="6:19" hidden="1" x14ac:dyDescent="0.25">
      <c r="F6791" t="s">
        <v>581</v>
      </c>
      <c r="G6791" t="s">
        <v>466</v>
      </c>
      <c r="H6791" t="str">
        <f>VLOOKUP(record[[#This Row],[ProcessSN]],表格2_7[],2,FALSE)</f>
        <v>30-4118-018-XXX</v>
      </c>
      <c r="I6791" t="str">
        <f>VLOOKUP(record[[#This Row],[ProcessSN]],表格2_7[],3,FALSE)</f>
        <v>#01-2</v>
      </c>
      <c r="J6791" t="s">
        <v>588</v>
      </c>
      <c r="K6791" s="195">
        <v>45968.547905092593</v>
      </c>
      <c r="L6791">
        <v>1</v>
      </c>
      <c r="M6791">
        <v>0</v>
      </c>
      <c r="N6791" s="98" t="str">
        <f>IF(record[[#This Row],[Memo]]="Browser:chrome os:android","平板報工",IF(record[[#This Row],[Memo]]=0,"委外",record[[#This Row],[Memo]]))</f>
        <v/>
      </c>
      <c r="O6791" t="s">
        <v>58</v>
      </c>
      <c r="P6791" t="s">
        <v>1075</v>
      </c>
      <c r="Q6791" t="s">
        <v>58</v>
      </c>
      <c r="R6791" t="str">
        <f>IFERROR(VLOOKUP(record[[#This Row],[PCUSTID]],廠商[],2,FALSE),"")</f>
        <v/>
      </c>
      <c r="S6791" t="str">
        <f>VLOOKUP(record[[#This Row],[employeeID]],員工[],2,FALSE)</f>
        <v>吳宥叡</v>
      </c>
    </row>
    <row r="6792" spans="6:19" hidden="1" x14ac:dyDescent="0.25">
      <c r="F6792" t="s">
        <v>581</v>
      </c>
      <c r="G6792" t="s">
        <v>465</v>
      </c>
      <c r="H6792" t="str">
        <f>VLOOKUP(record[[#This Row],[ProcessSN]],表格2_7[],2,FALSE)</f>
        <v>30-4118-018-XXX</v>
      </c>
      <c r="I6792" t="str">
        <f>VLOOKUP(record[[#This Row],[ProcessSN]],表格2_7[],3,FALSE)</f>
        <v>#01-1</v>
      </c>
      <c r="J6792" t="s">
        <v>588</v>
      </c>
      <c r="K6792" s="195">
        <v>45968.547754629632</v>
      </c>
      <c r="L6792">
        <v>1</v>
      </c>
      <c r="M6792">
        <v>0</v>
      </c>
      <c r="N6792" s="98" t="str">
        <f>IF(record[[#This Row],[Memo]]="Browser:chrome os:android","平板報工",IF(record[[#This Row],[Memo]]=0,"委外",record[[#This Row],[Memo]]))</f>
        <v/>
      </c>
      <c r="O6792" t="s">
        <v>58</v>
      </c>
      <c r="P6792" t="s">
        <v>1075</v>
      </c>
      <c r="Q6792" t="s">
        <v>58</v>
      </c>
      <c r="R6792" t="str">
        <f>IFERROR(VLOOKUP(record[[#This Row],[PCUSTID]],廠商[],2,FALSE),"")</f>
        <v/>
      </c>
      <c r="S6792" t="str">
        <f>VLOOKUP(record[[#This Row],[employeeID]],員工[],2,FALSE)</f>
        <v>吳宥叡</v>
      </c>
    </row>
    <row r="6793" spans="6:19" hidden="1" x14ac:dyDescent="0.25">
      <c r="F6793" t="s">
        <v>1200</v>
      </c>
      <c r="G6793" t="s">
        <v>396</v>
      </c>
      <c r="H6793" t="str">
        <f>VLOOKUP(record[[#This Row],[ProcessSN]],表格2_7[],2,FALSE)</f>
        <v>30-4118-018-550</v>
      </c>
      <c r="I6793" t="str">
        <f>VLOOKUP(record[[#This Row],[ProcessSN]],表格2_7[],3,FALSE)</f>
        <v>#08PICK</v>
      </c>
      <c r="J6793" t="s">
        <v>582</v>
      </c>
      <c r="K6793" s="195">
        <v>45968.498136574075</v>
      </c>
      <c r="L6793">
        <v>298</v>
      </c>
      <c r="M6793">
        <v>0</v>
      </c>
      <c r="N6793" s="98" t="str">
        <f>IF(record[[#This Row],[Memo]]="Browser:chrome os:android","平板報工",IF(record[[#This Row],[Memo]]=0,"委外",record[[#This Row],[Memo]]))</f>
        <v>298</v>
      </c>
      <c r="O6793" t="s">
        <v>1201</v>
      </c>
      <c r="P6793" t="s">
        <v>186</v>
      </c>
      <c r="Q6793" t="s">
        <v>58</v>
      </c>
      <c r="R6793" t="str">
        <f>IFERROR(VLOOKUP(record[[#This Row],[PCUSTID]],廠商[],2,FALSE),"")</f>
        <v/>
      </c>
      <c r="S6793" t="str">
        <f>VLOOKUP(record[[#This Row],[employeeID]],員工[],2,FALSE)</f>
        <v>許文姍</v>
      </c>
    </row>
    <row r="6794" spans="6:19" hidden="1" x14ac:dyDescent="0.25">
      <c r="F6794" t="s">
        <v>1117</v>
      </c>
      <c r="G6794" t="s">
        <v>428</v>
      </c>
      <c r="H6794" t="str">
        <f>VLOOKUP(record[[#This Row],[ProcessSN]],表格2_7[],2,FALSE)</f>
        <v>30-4118-018-600</v>
      </c>
      <c r="I6794" t="str">
        <f>VLOOKUP(record[[#This Row],[ProcessSN]],表格2_7[],3,FALSE)</f>
        <v>#100SHIP</v>
      </c>
      <c r="J6794" t="s">
        <v>600</v>
      </c>
      <c r="K6794" s="195">
        <v>45968.494699074072</v>
      </c>
      <c r="L6794">
        <v>5</v>
      </c>
      <c r="M6794">
        <v>0</v>
      </c>
      <c r="N6794" s="98" t="str">
        <f>IF(record[[#This Row],[Memo]]="Browser:chrome os:android","平板報工",IF(record[[#This Row],[Memo]]=0,"委外",record[[#This Row],[Memo]]))</f>
        <v/>
      </c>
      <c r="O6794" t="s">
        <v>58</v>
      </c>
      <c r="P6794" t="s">
        <v>886</v>
      </c>
      <c r="Q6794" t="s">
        <v>58</v>
      </c>
      <c r="R6794" t="str">
        <f>IFERROR(VLOOKUP(record[[#This Row],[PCUSTID]],廠商[],2,FALSE),"")</f>
        <v/>
      </c>
      <c r="S6794" t="str">
        <f>VLOOKUP(record[[#This Row],[employeeID]],員工[],2,FALSE)</f>
        <v>謝蓁薰</v>
      </c>
    </row>
    <row r="6795" spans="6:19" hidden="1" x14ac:dyDescent="0.25">
      <c r="F6795" t="s">
        <v>1129</v>
      </c>
      <c r="G6795" t="s">
        <v>362</v>
      </c>
      <c r="H6795" t="str">
        <f>VLOOKUP(record[[#This Row],[ProcessSN]],表格2_7[],2,FALSE)</f>
        <v>30-4118-018-450</v>
      </c>
      <c r="I6795" t="str">
        <f>VLOOKUP(record[[#This Row],[ProcessSN]],表格2_7[],3,FALSE)</f>
        <v>#100SHIP</v>
      </c>
      <c r="J6795" t="s">
        <v>600</v>
      </c>
      <c r="K6795" s="195">
        <v>45968.494537037041</v>
      </c>
      <c r="L6795">
        <v>3</v>
      </c>
      <c r="M6795">
        <v>0</v>
      </c>
      <c r="N6795" s="98" t="str">
        <f>IF(record[[#This Row],[Memo]]="Browser:chrome os:android","平板報工",IF(record[[#This Row],[Memo]]=0,"委外",record[[#This Row],[Memo]]))</f>
        <v/>
      </c>
      <c r="O6795" t="s">
        <v>58</v>
      </c>
      <c r="P6795" t="s">
        <v>886</v>
      </c>
      <c r="Q6795" t="s">
        <v>58</v>
      </c>
      <c r="R6795" t="str">
        <f>IFERROR(VLOOKUP(record[[#This Row],[PCUSTID]],廠商[],2,FALSE),"")</f>
        <v/>
      </c>
      <c r="S6795" t="str">
        <f>VLOOKUP(record[[#This Row],[employeeID]],員工[],2,FALSE)</f>
        <v>謝蓁薰</v>
      </c>
    </row>
    <row r="6796" spans="6:19" hidden="1" x14ac:dyDescent="0.25">
      <c r="F6796" t="s">
        <v>1180</v>
      </c>
      <c r="G6796" t="s">
        <v>420</v>
      </c>
      <c r="H6796" t="str">
        <f>VLOOKUP(record[[#This Row],[ProcessSN]],表格2_7[],2,FALSE)</f>
        <v>30-4118-018-5XX</v>
      </c>
      <c r="I6796" t="str">
        <f>VLOOKUP(record[[#This Row],[ProcessSN]],表格2_7[],3,FALSE)</f>
        <v>#07STOCK</v>
      </c>
      <c r="J6796" t="s">
        <v>592</v>
      </c>
      <c r="K6796" s="195">
        <v>45968.409224537034</v>
      </c>
      <c r="L6796">
        <v>168</v>
      </c>
      <c r="M6796">
        <v>0</v>
      </c>
      <c r="N6796" s="98" t="str">
        <f>IF(record[[#This Row],[Memo]]="Browser:chrome os:android","平板報工",IF(record[[#This Row],[Memo]]=0,"委外",record[[#This Row],[Memo]]))</f>
        <v/>
      </c>
      <c r="O6796" t="s">
        <v>58</v>
      </c>
      <c r="P6796" t="s">
        <v>186</v>
      </c>
      <c r="Q6796" t="s">
        <v>58</v>
      </c>
      <c r="R6796" t="str">
        <f>IFERROR(VLOOKUP(record[[#This Row],[PCUSTID]],廠商[],2,FALSE),"")</f>
        <v/>
      </c>
      <c r="S6796" t="str">
        <f>VLOOKUP(record[[#This Row],[employeeID]],員工[],2,FALSE)</f>
        <v>許文姍</v>
      </c>
    </row>
    <row r="6797" spans="6:19" hidden="1" x14ac:dyDescent="0.25">
      <c r="F6797" t="s">
        <v>1169</v>
      </c>
      <c r="G6797" t="s">
        <v>420</v>
      </c>
      <c r="H6797" t="str">
        <f>VLOOKUP(record[[#This Row],[ProcessSN]],表格2_7[],2,FALSE)</f>
        <v>30-4118-018-5XX</v>
      </c>
      <c r="I6797" t="str">
        <f>VLOOKUP(record[[#This Row],[ProcessSN]],表格2_7[],3,FALSE)</f>
        <v>#07STOCK</v>
      </c>
      <c r="J6797" t="s">
        <v>592</v>
      </c>
      <c r="K6797" s="195">
        <v>45968.409062500003</v>
      </c>
      <c r="L6797">
        <v>130</v>
      </c>
      <c r="M6797">
        <v>0</v>
      </c>
      <c r="N6797" s="98" t="str">
        <f>IF(record[[#This Row],[Memo]]="Browser:chrome os:android","平板報工",IF(record[[#This Row],[Memo]]=0,"委外",record[[#This Row],[Memo]]))</f>
        <v/>
      </c>
      <c r="O6797" t="s">
        <v>58</v>
      </c>
      <c r="P6797" t="s">
        <v>186</v>
      </c>
      <c r="Q6797" t="s">
        <v>58</v>
      </c>
      <c r="R6797" t="str">
        <f>IFERROR(VLOOKUP(record[[#This Row],[PCUSTID]],廠商[],2,FALSE),"")</f>
        <v/>
      </c>
      <c r="S6797" t="str">
        <f>VLOOKUP(record[[#This Row],[employeeID]],員工[],2,FALSE)</f>
        <v>許文姍</v>
      </c>
    </row>
    <row r="6798" spans="6:19" hidden="1" x14ac:dyDescent="0.25">
      <c r="F6798" t="s">
        <v>1169</v>
      </c>
      <c r="G6798" t="s">
        <v>419</v>
      </c>
      <c r="H6798" t="str">
        <f>VLOOKUP(record[[#This Row],[ProcessSN]],表格2_7[],2,FALSE)</f>
        <v>30-4118-018-5XX</v>
      </c>
      <c r="I6798" t="str">
        <f>VLOOKUP(record[[#This Row],[ProcessSN]],表格2_7[],3,FALSE)</f>
        <v>#07QC</v>
      </c>
      <c r="J6798" t="s">
        <v>589</v>
      </c>
      <c r="K6798" s="195">
        <v>45968.407164351855</v>
      </c>
      <c r="L6798">
        <v>130</v>
      </c>
      <c r="M6798">
        <v>0</v>
      </c>
      <c r="N6798" s="98" t="str">
        <f>IF(record[[#This Row],[Memo]]="Browser:chrome os:android","平板報工",IF(record[[#This Row],[Memo]]=0,"委外",record[[#This Row],[Memo]]))</f>
        <v/>
      </c>
      <c r="O6798" t="s">
        <v>58</v>
      </c>
      <c r="P6798" t="s">
        <v>141</v>
      </c>
      <c r="Q6798" t="s">
        <v>58</v>
      </c>
      <c r="R6798" t="str">
        <f>IFERROR(VLOOKUP(record[[#This Row],[PCUSTID]],廠商[],2,FALSE),"")</f>
        <v/>
      </c>
      <c r="S6798" t="str">
        <f>VLOOKUP(record[[#This Row],[employeeID]],員工[],2,FALSE)</f>
        <v>蔣梅</v>
      </c>
    </row>
    <row r="6799" spans="6:19" hidden="1" x14ac:dyDescent="0.25">
      <c r="F6799" t="s">
        <v>1180</v>
      </c>
      <c r="G6799" t="s">
        <v>419</v>
      </c>
      <c r="H6799" t="str">
        <f>VLOOKUP(record[[#This Row],[ProcessSN]],表格2_7[],2,FALSE)</f>
        <v>30-4118-018-5XX</v>
      </c>
      <c r="I6799" t="str">
        <f>VLOOKUP(record[[#This Row],[ProcessSN]],表格2_7[],3,FALSE)</f>
        <v>#07QC</v>
      </c>
      <c r="J6799" t="s">
        <v>589</v>
      </c>
      <c r="K6799" s="195">
        <v>45968.40693287037</v>
      </c>
      <c r="L6799">
        <v>168</v>
      </c>
      <c r="M6799">
        <v>0</v>
      </c>
      <c r="N6799" s="98" t="str">
        <f>IF(record[[#This Row],[Memo]]="Browser:chrome os:android","平板報工",IF(record[[#This Row],[Memo]]=0,"委外",record[[#This Row],[Memo]]))</f>
        <v/>
      </c>
      <c r="O6799" t="s">
        <v>58</v>
      </c>
      <c r="P6799" t="s">
        <v>141</v>
      </c>
      <c r="Q6799" t="s">
        <v>58</v>
      </c>
      <c r="R6799" t="str">
        <f>IFERROR(VLOOKUP(record[[#This Row],[PCUSTID]],廠商[],2,FALSE),"")</f>
        <v/>
      </c>
      <c r="S6799" t="str">
        <f>VLOOKUP(record[[#This Row],[employeeID]],員工[],2,FALSE)</f>
        <v>蔣梅</v>
      </c>
    </row>
    <row r="6800" spans="6:19" hidden="1" x14ac:dyDescent="0.25">
      <c r="F6800" t="s">
        <v>1180</v>
      </c>
      <c r="G6800" t="s">
        <v>417</v>
      </c>
      <c r="H6800" t="str">
        <f>VLOOKUP(record[[#This Row],[ProcessSN]],表格2_7[],2,FALSE)</f>
        <v>30-4118-018-5XX</v>
      </c>
      <c r="I6800" t="str">
        <f>VLOOKUP(record[[#This Row],[ProcessSN]],表格2_7[],3,FALSE)</f>
        <v>#06</v>
      </c>
      <c r="J6800" t="s">
        <v>593</v>
      </c>
      <c r="K6800" s="195">
        <v>45968.317754629628</v>
      </c>
      <c r="L6800">
        <v>115</v>
      </c>
      <c r="M6800">
        <v>0</v>
      </c>
      <c r="N6800" s="98" t="str">
        <f>IF(record[[#This Row],[Memo]]="Browser:chrome os:android","平板報工",IF(record[[#This Row],[Memo]]=0,"委外",record[[#This Row],[Memo]]))</f>
        <v/>
      </c>
      <c r="O6800" t="s">
        <v>58</v>
      </c>
      <c r="P6800" t="s">
        <v>135</v>
      </c>
      <c r="Q6800" t="s">
        <v>58</v>
      </c>
      <c r="R6800" t="str">
        <f>IFERROR(VLOOKUP(record[[#This Row],[PCUSTID]],廠商[],2,FALSE),"")</f>
        <v/>
      </c>
      <c r="S6800" t="str">
        <f>VLOOKUP(record[[#This Row],[employeeID]],員工[],2,FALSE)</f>
        <v>阮士文</v>
      </c>
    </row>
    <row r="6801" spans="6:19" hidden="1" x14ac:dyDescent="0.25">
      <c r="F6801" t="s">
        <v>1180</v>
      </c>
      <c r="G6801" t="s">
        <v>418</v>
      </c>
      <c r="H6801" t="str">
        <f>VLOOKUP(record[[#This Row],[ProcessSN]],表格2_7[],2,FALSE)</f>
        <v>30-4118-018-5XX</v>
      </c>
      <c r="I6801" t="str">
        <f>VLOOKUP(record[[#This Row],[ProcessSN]],表格2_7[],3,FALSE)</f>
        <v>#07</v>
      </c>
      <c r="J6801" t="s">
        <v>588</v>
      </c>
      <c r="K6801" s="195">
        <v>45967.977141203701</v>
      </c>
      <c r="L6801">
        <v>223</v>
      </c>
      <c r="M6801">
        <v>1</v>
      </c>
      <c r="N6801" s="98" t="str">
        <f>IF(record[[#This Row],[Memo]]="Browser:chrome os:android","平板報工",IF(record[[#This Row],[Memo]]=0,"委外",record[[#This Row],[Memo]]))</f>
        <v/>
      </c>
      <c r="O6801" t="s">
        <v>58</v>
      </c>
      <c r="P6801" t="s">
        <v>806</v>
      </c>
      <c r="Q6801" t="s">
        <v>58</v>
      </c>
      <c r="R6801" t="str">
        <f>IFERROR(VLOOKUP(record[[#This Row],[PCUSTID]],廠商[],2,FALSE),"")</f>
        <v/>
      </c>
      <c r="S6801" t="str">
        <f>VLOOKUP(record[[#This Row],[employeeID]],員工[],2,FALSE)</f>
        <v>方思緯</v>
      </c>
    </row>
    <row r="6802" spans="6:19" hidden="1" x14ac:dyDescent="0.25">
      <c r="F6802" t="s">
        <v>1180</v>
      </c>
      <c r="G6802" t="s">
        <v>417</v>
      </c>
      <c r="H6802" t="str">
        <f>VLOOKUP(record[[#This Row],[ProcessSN]],表格2_7[],2,FALSE)</f>
        <v>30-4118-018-5XX</v>
      </c>
      <c r="I6802" t="str">
        <f>VLOOKUP(record[[#This Row],[ProcessSN]],表格2_7[],3,FALSE)</f>
        <v>#06</v>
      </c>
      <c r="J6802" t="s">
        <v>593</v>
      </c>
      <c r="K6802" s="195">
        <v>45967.976782407408</v>
      </c>
      <c r="L6802">
        <v>133</v>
      </c>
      <c r="M6802">
        <v>0</v>
      </c>
      <c r="N6802" s="98" t="str">
        <f>IF(record[[#This Row],[Memo]]="Browser:chrome os:android","平板報工",IF(record[[#This Row],[Memo]]=0,"委外",record[[#This Row],[Memo]]))</f>
        <v/>
      </c>
      <c r="O6802" t="s">
        <v>58</v>
      </c>
      <c r="P6802" t="s">
        <v>176</v>
      </c>
      <c r="Q6802" t="s">
        <v>58</v>
      </c>
      <c r="R6802" t="str">
        <f>IFERROR(VLOOKUP(record[[#This Row],[PCUSTID]],廠商[],2,FALSE),"")</f>
        <v/>
      </c>
      <c r="S6802" t="str">
        <f>VLOOKUP(record[[#This Row],[employeeID]],員工[],2,FALSE)</f>
        <v>郭政雄</v>
      </c>
    </row>
    <row r="6803" spans="6:19" hidden="1" x14ac:dyDescent="0.25">
      <c r="F6803" t="s">
        <v>1191</v>
      </c>
      <c r="G6803" t="s">
        <v>403</v>
      </c>
      <c r="H6803" t="str">
        <f>VLOOKUP(record[[#This Row],[ProcessSN]],表格2_7[],2,FALSE)</f>
        <v>30-4118-018-550</v>
      </c>
      <c r="I6803" t="str">
        <f>VLOOKUP(record[[#This Row],[ProcessSN]],表格2_7[],3,FALSE)</f>
        <v>#100SHIP</v>
      </c>
      <c r="J6803" t="s">
        <v>600</v>
      </c>
      <c r="K6803" s="195">
        <v>45967.69903935185</v>
      </c>
      <c r="L6803">
        <v>142</v>
      </c>
      <c r="M6803">
        <v>0</v>
      </c>
      <c r="N6803" s="98" t="str">
        <f>IF(record[[#This Row],[Memo]]="Browser:chrome os:android","平板報工",IF(record[[#This Row],[Memo]]=0,"委外",record[[#This Row],[Memo]]))</f>
        <v/>
      </c>
      <c r="O6803" t="s">
        <v>58</v>
      </c>
      <c r="P6803" t="s">
        <v>886</v>
      </c>
      <c r="Q6803" t="s">
        <v>58</v>
      </c>
      <c r="R6803" t="str">
        <f>IFERROR(VLOOKUP(record[[#This Row],[PCUSTID]],廠商[],2,FALSE),"")</f>
        <v/>
      </c>
      <c r="S6803" t="str">
        <f>VLOOKUP(record[[#This Row],[employeeID]],員工[],2,FALSE)</f>
        <v>謝蓁薰</v>
      </c>
    </row>
    <row r="6804" spans="6:19" hidden="1" x14ac:dyDescent="0.25">
      <c r="F6804" t="s">
        <v>973</v>
      </c>
      <c r="G6804" t="s">
        <v>403</v>
      </c>
      <c r="H6804" t="str">
        <f>VLOOKUP(record[[#This Row],[ProcessSN]],表格2_7[],2,FALSE)</f>
        <v>30-4118-018-550</v>
      </c>
      <c r="I6804" t="str">
        <f>VLOOKUP(record[[#This Row],[ProcessSN]],表格2_7[],3,FALSE)</f>
        <v>#100SHIP</v>
      </c>
      <c r="J6804" t="s">
        <v>600</v>
      </c>
      <c r="K6804" s="195">
        <v>45967.698888888888</v>
      </c>
      <c r="L6804">
        <v>26</v>
      </c>
      <c r="M6804">
        <v>0</v>
      </c>
      <c r="N6804" s="98" t="str">
        <f>IF(record[[#This Row],[Memo]]="Browser:chrome os:android","平板報工",IF(record[[#This Row],[Memo]]=0,"委外",record[[#This Row],[Memo]]))</f>
        <v/>
      </c>
      <c r="O6804" t="s">
        <v>58</v>
      </c>
      <c r="P6804" t="s">
        <v>886</v>
      </c>
      <c r="Q6804" t="s">
        <v>58</v>
      </c>
      <c r="R6804" t="str">
        <f>IFERROR(VLOOKUP(record[[#This Row],[PCUSTID]],廠商[],2,FALSE),"")</f>
        <v/>
      </c>
      <c r="S6804" t="str">
        <f>VLOOKUP(record[[#This Row],[employeeID]],員工[],2,FALSE)</f>
        <v>謝蓁薰</v>
      </c>
    </row>
    <row r="6805" spans="6:19" hidden="1" x14ac:dyDescent="0.25">
      <c r="F6805" t="s">
        <v>973</v>
      </c>
      <c r="G6805" t="s">
        <v>402</v>
      </c>
      <c r="H6805" t="str">
        <f>VLOOKUP(record[[#This Row],[ProcessSN]],表格2_7[],2,FALSE)</f>
        <v>30-4118-018-550</v>
      </c>
      <c r="I6805" t="str">
        <f>VLOOKUP(record[[#This Row],[ProcessSN]],表格2_7[],3,FALSE)</f>
        <v>#100STOCK</v>
      </c>
      <c r="J6805" t="s">
        <v>592</v>
      </c>
      <c r="K6805" s="195">
        <v>45967.698773148149</v>
      </c>
      <c r="L6805">
        <v>26</v>
      </c>
      <c r="M6805">
        <v>0</v>
      </c>
      <c r="N6805" s="98" t="str">
        <f>IF(record[[#This Row],[Memo]]="Browser:chrome os:android","平板報工",IF(record[[#This Row],[Memo]]=0,"委外",record[[#This Row],[Memo]]))</f>
        <v/>
      </c>
      <c r="O6805" t="s">
        <v>58</v>
      </c>
      <c r="P6805" t="s">
        <v>886</v>
      </c>
      <c r="Q6805" t="s">
        <v>58</v>
      </c>
      <c r="R6805" t="str">
        <f>IFERROR(VLOOKUP(record[[#This Row],[PCUSTID]],廠商[],2,FALSE),"")</f>
        <v/>
      </c>
      <c r="S6805" t="str">
        <f>VLOOKUP(record[[#This Row],[employeeID]],員工[],2,FALSE)</f>
        <v>謝蓁薰</v>
      </c>
    </row>
    <row r="6806" spans="6:19" hidden="1" x14ac:dyDescent="0.25">
      <c r="F6806" t="s">
        <v>966</v>
      </c>
      <c r="G6806" t="s">
        <v>403</v>
      </c>
      <c r="H6806" t="str">
        <f>VLOOKUP(record[[#This Row],[ProcessSN]],表格2_7[],2,FALSE)</f>
        <v>30-4118-018-550</v>
      </c>
      <c r="I6806" t="str">
        <f>VLOOKUP(record[[#This Row],[ProcessSN]],表格2_7[],3,FALSE)</f>
        <v>#100SHIP</v>
      </c>
      <c r="J6806" t="s">
        <v>600</v>
      </c>
      <c r="K6806" s="195">
        <v>45967.698611111111</v>
      </c>
      <c r="L6806">
        <v>25</v>
      </c>
      <c r="M6806">
        <v>0</v>
      </c>
      <c r="N6806" s="98" t="str">
        <f>IF(record[[#This Row],[Memo]]="Browser:chrome os:android","平板報工",IF(record[[#This Row],[Memo]]=0,"委外",record[[#This Row],[Memo]]))</f>
        <v/>
      </c>
      <c r="O6806" t="s">
        <v>58</v>
      </c>
      <c r="P6806" t="s">
        <v>886</v>
      </c>
      <c r="Q6806" t="s">
        <v>58</v>
      </c>
      <c r="R6806" t="str">
        <f>IFERROR(VLOOKUP(record[[#This Row],[PCUSTID]],廠商[],2,FALSE),"")</f>
        <v/>
      </c>
      <c r="S6806" t="str">
        <f>VLOOKUP(record[[#This Row],[employeeID]],員工[],2,FALSE)</f>
        <v>謝蓁薰</v>
      </c>
    </row>
    <row r="6807" spans="6:19" hidden="1" x14ac:dyDescent="0.25">
      <c r="F6807" t="s">
        <v>966</v>
      </c>
      <c r="G6807" t="s">
        <v>402</v>
      </c>
      <c r="H6807" t="str">
        <f>VLOOKUP(record[[#This Row],[ProcessSN]],表格2_7[],2,FALSE)</f>
        <v>30-4118-018-550</v>
      </c>
      <c r="I6807" t="str">
        <f>VLOOKUP(record[[#This Row],[ProcessSN]],表格2_7[],3,FALSE)</f>
        <v>#100STOCK</v>
      </c>
      <c r="J6807" t="s">
        <v>592</v>
      </c>
      <c r="K6807" s="195">
        <v>45967.698472222219</v>
      </c>
      <c r="L6807">
        <v>25</v>
      </c>
      <c r="M6807">
        <v>0</v>
      </c>
      <c r="N6807" s="98" t="str">
        <f>IF(record[[#This Row],[Memo]]="Browser:chrome os:android","平板報工",IF(record[[#This Row],[Memo]]=0,"委外",record[[#This Row],[Memo]]))</f>
        <v/>
      </c>
      <c r="O6807" t="s">
        <v>58</v>
      </c>
      <c r="P6807" t="s">
        <v>886</v>
      </c>
      <c r="Q6807" t="s">
        <v>58</v>
      </c>
      <c r="R6807" t="str">
        <f>IFERROR(VLOOKUP(record[[#This Row],[PCUSTID]],廠商[],2,FALSE),"")</f>
        <v/>
      </c>
      <c r="S6807" t="str">
        <f>VLOOKUP(record[[#This Row],[employeeID]],員工[],2,FALSE)</f>
        <v>謝蓁薰</v>
      </c>
    </row>
    <row r="6808" spans="6:19" hidden="1" x14ac:dyDescent="0.25">
      <c r="F6808" t="s">
        <v>1158</v>
      </c>
      <c r="G6808" t="s">
        <v>403</v>
      </c>
      <c r="H6808" t="str">
        <f>VLOOKUP(record[[#This Row],[ProcessSN]],表格2_7[],2,FALSE)</f>
        <v>30-4118-018-550</v>
      </c>
      <c r="I6808" t="str">
        <f>VLOOKUP(record[[#This Row],[ProcessSN]],表格2_7[],3,FALSE)</f>
        <v>#100SHIP</v>
      </c>
      <c r="J6808" t="s">
        <v>600</v>
      </c>
      <c r="K6808" s="195">
        <v>45967.698275462964</v>
      </c>
      <c r="L6808">
        <v>47</v>
      </c>
      <c r="M6808">
        <v>0</v>
      </c>
      <c r="N6808" s="98" t="str">
        <f>IF(record[[#This Row],[Memo]]="Browser:chrome os:android","平板報工",IF(record[[#This Row],[Memo]]=0,"委外",record[[#This Row],[Memo]]))</f>
        <v/>
      </c>
      <c r="O6808" t="s">
        <v>58</v>
      </c>
      <c r="P6808" t="s">
        <v>886</v>
      </c>
      <c r="Q6808" t="s">
        <v>58</v>
      </c>
      <c r="R6808" t="str">
        <f>IFERROR(VLOOKUP(record[[#This Row],[PCUSTID]],廠商[],2,FALSE),"")</f>
        <v/>
      </c>
      <c r="S6808" t="str">
        <f>VLOOKUP(record[[#This Row],[employeeID]],員工[],2,FALSE)</f>
        <v>謝蓁薰</v>
      </c>
    </row>
    <row r="6809" spans="6:19" hidden="1" x14ac:dyDescent="0.25">
      <c r="F6809" t="s">
        <v>1191</v>
      </c>
      <c r="G6809" t="s">
        <v>402</v>
      </c>
      <c r="H6809" t="str">
        <f>VLOOKUP(record[[#This Row],[ProcessSN]],表格2_7[],2,FALSE)</f>
        <v>30-4118-018-550</v>
      </c>
      <c r="I6809" t="str">
        <f>VLOOKUP(record[[#This Row],[ProcessSN]],表格2_7[],3,FALSE)</f>
        <v>#100STOCK</v>
      </c>
      <c r="J6809" t="s">
        <v>592</v>
      </c>
      <c r="K6809" s="195">
        <v>45967.698113425926</v>
      </c>
      <c r="L6809">
        <v>142</v>
      </c>
      <c r="M6809">
        <v>0</v>
      </c>
      <c r="N6809" s="98" t="str">
        <f>IF(record[[#This Row],[Memo]]="Browser:chrome os:android","平板報工",IF(record[[#This Row],[Memo]]=0,"委外",record[[#This Row],[Memo]]))</f>
        <v/>
      </c>
      <c r="O6809" t="s">
        <v>58</v>
      </c>
      <c r="P6809" t="s">
        <v>886</v>
      </c>
      <c r="Q6809" t="s">
        <v>58</v>
      </c>
      <c r="R6809" t="str">
        <f>IFERROR(VLOOKUP(record[[#This Row],[PCUSTID]],廠商[],2,FALSE),"")</f>
        <v/>
      </c>
      <c r="S6809" t="str">
        <f>VLOOKUP(record[[#This Row],[employeeID]],員工[],2,FALSE)</f>
        <v>謝蓁薰</v>
      </c>
    </row>
    <row r="6810" spans="6:19" hidden="1" x14ac:dyDescent="0.25">
      <c r="F6810" t="s">
        <v>1191</v>
      </c>
      <c r="G6810" t="s">
        <v>401</v>
      </c>
      <c r="H6810" t="str">
        <f>VLOOKUP(record[[#This Row],[ProcessSN]],表格2_7[],2,FALSE)</f>
        <v>30-4118-018-550</v>
      </c>
      <c r="I6810" t="str">
        <f>VLOOKUP(record[[#This Row],[ProcessSN]],表格2_7[],3,FALSE)</f>
        <v>#100OQC</v>
      </c>
      <c r="J6810" t="s">
        <v>599</v>
      </c>
      <c r="K6810" s="195">
        <v>45967.696145833332</v>
      </c>
      <c r="L6810">
        <v>158</v>
      </c>
      <c r="M6810">
        <v>0</v>
      </c>
      <c r="N6810" s="98" t="str">
        <f>IF(record[[#This Row],[Memo]]="Browser:chrome os:android","平板報工",IF(record[[#This Row],[Memo]]=0,"委外",record[[#This Row],[Memo]]))</f>
        <v/>
      </c>
      <c r="O6810" t="s">
        <v>58</v>
      </c>
      <c r="P6810" t="s">
        <v>121</v>
      </c>
      <c r="Q6810" t="s">
        <v>58</v>
      </c>
      <c r="R6810" t="str">
        <f>IFERROR(VLOOKUP(record[[#This Row],[PCUSTID]],廠商[],2,FALSE),"")</f>
        <v/>
      </c>
      <c r="S6810" t="str">
        <f>VLOOKUP(record[[#This Row],[employeeID]],員工[],2,FALSE)</f>
        <v>謝素卿</v>
      </c>
    </row>
    <row r="6811" spans="6:19" hidden="1" x14ac:dyDescent="0.25">
      <c r="F6811" t="s">
        <v>1169</v>
      </c>
      <c r="G6811" t="s">
        <v>418</v>
      </c>
      <c r="H6811" t="str">
        <f>VLOOKUP(record[[#This Row],[ProcessSN]],表格2_7[],2,FALSE)</f>
        <v>30-4118-018-5XX</v>
      </c>
      <c r="I6811" t="str">
        <f>VLOOKUP(record[[#This Row],[ProcessSN]],表格2_7[],3,FALSE)</f>
        <v>#07</v>
      </c>
      <c r="J6811" t="s">
        <v>588</v>
      </c>
      <c r="K6811" s="195">
        <v>45967.662638888891</v>
      </c>
      <c r="L6811">
        <v>86</v>
      </c>
      <c r="M6811">
        <v>0</v>
      </c>
      <c r="N6811" s="98" t="str">
        <f>IF(record[[#This Row],[Memo]]="Browser:chrome os:android","平板報工",IF(record[[#This Row],[Memo]]=0,"委外",record[[#This Row],[Memo]]))</f>
        <v>平板報工</v>
      </c>
      <c r="O6811" t="s">
        <v>643</v>
      </c>
      <c r="P6811" t="s">
        <v>785</v>
      </c>
      <c r="Q6811" t="s">
        <v>644</v>
      </c>
      <c r="R6811" t="str">
        <f>IFERROR(VLOOKUP(record[[#This Row],[PCUSTID]],廠商[],2,FALSE),"")</f>
        <v/>
      </c>
      <c r="S6811" t="str">
        <f>VLOOKUP(record[[#This Row],[employeeID]],員工[],2,FALSE)</f>
        <v>謝刻光</v>
      </c>
    </row>
    <row r="6812" spans="6:19" hidden="1" x14ac:dyDescent="0.25">
      <c r="F6812" t="s">
        <v>1180</v>
      </c>
      <c r="G6812" t="s">
        <v>418</v>
      </c>
      <c r="H6812" t="str">
        <f>VLOOKUP(record[[#This Row],[ProcessSN]],表格2_7[],2,FALSE)</f>
        <v>30-4118-018-5XX</v>
      </c>
      <c r="I6812" t="str">
        <f>VLOOKUP(record[[#This Row],[ProcessSN]],表格2_7[],3,FALSE)</f>
        <v>#07</v>
      </c>
      <c r="J6812" t="s">
        <v>588</v>
      </c>
      <c r="K6812" s="195">
        <v>45967.661863425928</v>
      </c>
      <c r="L6812">
        <v>84</v>
      </c>
      <c r="M6812">
        <v>0</v>
      </c>
      <c r="N6812" s="98" t="str">
        <f>IF(record[[#This Row],[Memo]]="Browser:chrome os:android","平板報工",IF(record[[#This Row],[Memo]]=0,"委外",record[[#This Row],[Memo]]))</f>
        <v>平板報工</v>
      </c>
      <c r="O6812" t="s">
        <v>643</v>
      </c>
      <c r="P6812" t="s">
        <v>785</v>
      </c>
      <c r="Q6812" t="s">
        <v>644</v>
      </c>
      <c r="R6812" t="str">
        <f>IFERROR(VLOOKUP(record[[#This Row],[PCUSTID]],廠商[],2,FALSE),"")</f>
        <v/>
      </c>
      <c r="S6812" t="str">
        <f>VLOOKUP(record[[#This Row],[employeeID]],員工[],2,FALSE)</f>
        <v>謝刻光</v>
      </c>
    </row>
    <row r="6813" spans="6:19" hidden="1" x14ac:dyDescent="0.25">
      <c r="F6813" t="s">
        <v>1184</v>
      </c>
      <c r="G6813" t="s">
        <v>358</v>
      </c>
      <c r="H6813" t="str">
        <f>VLOOKUP(record[[#This Row],[ProcessSN]],表格2_7[],2,FALSE)</f>
        <v>30-4118-018-450</v>
      </c>
      <c r="I6813" t="str">
        <f>VLOOKUP(record[[#This Row],[ProcessSN]],表格2_7[],3,FALSE)</f>
        <v>#08IQC</v>
      </c>
      <c r="J6813" t="s">
        <v>583</v>
      </c>
      <c r="K6813" s="195">
        <v>45967.658761574072</v>
      </c>
      <c r="L6813">
        <v>415</v>
      </c>
      <c r="M6813">
        <v>0</v>
      </c>
      <c r="N6813" s="98" t="str">
        <f>IF(record[[#This Row],[Memo]]="Browser:chrome os:android","平板報工",IF(record[[#This Row],[Memo]]=0,"委外",record[[#This Row],[Memo]]))</f>
        <v/>
      </c>
      <c r="O6813" t="s">
        <v>58</v>
      </c>
      <c r="P6813" t="s">
        <v>109</v>
      </c>
      <c r="Q6813" t="s">
        <v>58</v>
      </c>
      <c r="R6813" t="str">
        <f>IFERROR(VLOOKUP(record[[#This Row],[PCUSTID]],廠商[],2,FALSE),"")</f>
        <v/>
      </c>
      <c r="S6813" t="str">
        <f>VLOOKUP(record[[#This Row],[employeeID]],員工[],2,FALSE)</f>
        <v>裴氏璧鳳</v>
      </c>
    </row>
    <row r="6814" spans="6:19" hidden="1" x14ac:dyDescent="0.25">
      <c r="F6814" t="s">
        <v>1148</v>
      </c>
      <c r="G6814" t="s">
        <v>466</v>
      </c>
      <c r="H6814" t="str">
        <f>VLOOKUP(record[[#This Row],[ProcessSN]],表格2_7[],2,FALSE)</f>
        <v>30-4118-018-XXX</v>
      </c>
      <c r="I6814" t="str">
        <f>VLOOKUP(record[[#This Row],[ProcessSN]],表格2_7[],3,FALSE)</f>
        <v>#01-2</v>
      </c>
      <c r="J6814" t="s">
        <v>588</v>
      </c>
      <c r="K6814" s="195">
        <v>45967.653726851851</v>
      </c>
      <c r="L6814">
        <v>422</v>
      </c>
      <c r="M6814">
        <v>0</v>
      </c>
      <c r="N6814" s="98" t="str">
        <f>IF(record[[#This Row],[Memo]]="Browser:chrome os:android","平板報工",IF(record[[#This Row],[Memo]]=0,"委外",record[[#This Row],[Memo]]))</f>
        <v>平板報工</v>
      </c>
      <c r="O6814" t="s">
        <v>643</v>
      </c>
      <c r="P6814" t="s">
        <v>145</v>
      </c>
      <c r="Q6814" t="s">
        <v>644</v>
      </c>
      <c r="R6814" t="str">
        <f>IFERROR(VLOOKUP(record[[#This Row],[PCUSTID]],廠商[],2,FALSE),"")</f>
        <v/>
      </c>
      <c r="S6814" t="str">
        <f>VLOOKUP(record[[#This Row],[employeeID]],員工[],2,FALSE)</f>
        <v>阮秋霞</v>
      </c>
    </row>
    <row r="6815" spans="6:19" hidden="1" x14ac:dyDescent="0.25">
      <c r="F6815" t="s">
        <v>1148</v>
      </c>
      <c r="G6815" t="s">
        <v>465</v>
      </c>
      <c r="H6815" t="str">
        <f>VLOOKUP(record[[#This Row],[ProcessSN]],表格2_7[],2,FALSE)</f>
        <v>30-4118-018-XXX</v>
      </c>
      <c r="I6815" t="str">
        <f>VLOOKUP(record[[#This Row],[ProcessSN]],表格2_7[],3,FALSE)</f>
        <v>#01-1</v>
      </c>
      <c r="J6815" t="s">
        <v>588</v>
      </c>
      <c r="K6815" s="195">
        <v>45967.653506944444</v>
      </c>
      <c r="L6815">
        <v>422</v>
      </c>
      <c r="M6815">
        <v>0</v>
      </c>
      <c r="N6815" s="98" t="str">
        <f>IF(record[[#This Row],[Memo]]="Browser:chrome os:android","平板報工",IF(record[[#This Row],[Memo]]=0,"委外",record[[#This Row],[Memo]]))</f>
        <v>平板報工</v>
      </c>
      <c r="O6815" t="s">
        <v>643</v>
      </c>
      <c r="P6815" t="s">
        <v>145</v>
      </c>
      <c r="Q6815" t="s">
        <v>644</v>
      </c>
      <c r="R6815" t="str">
        <f>IFERROR(VLOOKUP(record[[#This Row],[PCUSTID]],廠商[],2,FALSE),"")</f>
        <v/>
      </c>
      <c r="S6815" t="str">
        <f>VLOOKUP(record[[#This Row],[employeeID]],員工[],2,FALSE)</f>
        <v>阮秋霞</v>
      </c>
    </row>
    <row r="6816" spans="6:19" hidden="1" x14ac:dyDescent="0.25">
      <c r="F6816" t="s">
        <v>1191</v>
      </c>
      <c r="G6816" t="s">
        <v>400</v>
      </c>
      <c r="H6816" t="str">
        <f>VLOOKUP(record[[#This Row],[ProcessSN]],表格2_7[],2,FALSE)</f>
        <v>30-4118-018-550</v>
      </c>
      <c r="I6816" t="str">
        <f>VLOOKUP(record[[#This Row],[ProcessSN]],表格2_7[],3,FALSE)</f>
        <v>#100</v>
      </c>
      <c r="J6816" t="s">
        <v>598</v>
      </c>
      <c r="K6816" s="195">
        <v>45967.551574074074</v>
      </c>
      <c r="L6816">
        <v>0</v>
      </c>
      <c r="M6816">
        <v>1</v>
      </c>
      <c r="N6816" s="98" t="str">
        <f>IF(record[[#This Row],[Memo]]="Browser:chrome os:android","平板報工",IF(record[[#This Row],[Memo]]=0,"委外",record[[#This Row],[Memo]]))</f>
        <v/>
      </c>
      <c r="O6816" t="s">
        <v>58</v>
      </c>
      <c r="P6816" t="s">
        <v>141</v>
      </c>
      <c r="Q6816" t="s">
        <v>58</v>
      </c>
      <c r="R6816" t="str">
        <f>IFERROR(VLOOKUP(record[[#This Row],[PCUSTID]],廠商[],2,FALSE),"")</f>
        <v/>
      </c>
      <c r="S6816" t="str">
        <f>VLOOKUP(record[[#This Row],[employeeID]],員工[],2,FALSE)</f>
        <v>蔣梅</v>
      </c>
    </row>
    <row r="6817" spans="6:19" hidden="1" x14ac:dyDescent="0.25">
      <c r="F6817" t="s">
        <v>1191</v>
      </c>
      <c r="G6817" t="s">
        <v>400</v>
      </c>
      <c r="H6817" t="str">
        <f>VLOOKUP(record[[#This Row],[ProcessSN]],表格2_7[],2,FALSE)</f>
        <v>30-4118-018-550</v>
      </c>
      <c r="I6817" t="str">
        <f>VLOOKUP(record[[#This Row],[ProcessSN]],表格2_7[],3,FALSE)</f>
        <v>#100</v>
      </c>
      <c r="J6817" t="s">
        <v>598</v>
      </c>
      <c r="K6817" s="195">
        <v>45967.551400462966</v>
      </c>
      <c r="L6817">
        <v>24</v>
      </c>
      <c r="M6817">
        <v>0</v>
      </c>
      <c r="N6817" s="98" t="str">
        <f>IF(record[[#This Row],[Memo]]="Browser:chrome os:android","平板報工",IF(record[[#This Row],[Memo]]=0,"委外",record[[#This Row],[Memo]]))</f>
        <v/>
      </c>
      <c r="O6817" t="s">
        <v>58</v>
      </c>
      <c r="P6817" t="s">
        <v>141</v>
      </c>
      <c r="Q6817" t="s">
        <v>58</v>
      </c>
      <c r="R6817" t="str">
        <f>IFERROR(VLOOKUP(record[[#This Row],[PCUSTID]],廠商[],2,FALSE),"")</f>
        <v/>
      </c>
      <c r="S6817" t="str">
        <f>VLOOKUP(record[[#This Row],[employeeID]],員工[],2,FALSE)</f>
        <v>蔣梅</v>
      </c>
    </row>
    <row r="6818" spans="6:19" hidden="1" x14ac:dyDescent="0.25">
      <c r="F6818" t="s">
        <v>1191</v>
      </c>
      <c r="G6818" t="s">
        <v>400</v>
      </c>
      <c r="H6818" t="str">
        <f>VLOOKUP(record[[#This Row],[ProcessSN]],表格2_7[],2,FALSE)</f>
        <v>30-4118-018-550</v>
      </c>
      <c r="I6818" t="str">
        <f>VLOOKUP(record[[#This Row],[ProcessSN]],表格2_7[],3,FALSE)</f>
        <v>#100</v>
      </c>
      <c r="J6818" t="s">
        <v>598</v>
      </c>
      <c r="K6818" s="195">
        <v>45967.485277777778</v>
      </c>
      <c r="L6818">
        <v>134</v>
      </c>
      <c r="M6818">
        <v>0</v>
      </c>
      <c r="N6818" s="98" t="str">
        <f>IF(record[[#This Row],[Memo]]="Browser:chrome os:android","平板報工",IF(record[[#This Row],[Memo]]=0,"委外",record[[#This Row],[Memo]]))</f>
        <v/>
      </c>
      <c r="O6818" t="s">
        <v>58</v>
      </c>
      <c r="P6818" t="s">
        <v>141</v>
      </c>
      <c r="Q6818" t="s">
        <v>58</v>
      </c>
      <c r="R6818" t="str">
        <f>IFERROR(VLOOKUP(record[[#This Row],[PCUSTID]],廠商[],2,FALSE),"")</f>
        <v/>
      </c>
      <c r="S6818" t="str">
        <f>VLOOKUP(record[[#This Row],[employeeID]],員工[],2,FALSE)</f>
        <v>蔣梅</v>
      </c>
    </row>
    <row r="6819" spans="6:19" hidden="1" x14ac:dyDescent="0.25">
      <c r="F6819" t="s">
        <v>1191</v>
      </c>
      <c r="G6819" t="s">
        <v>399</v>
      </c>
      <c r="H6819" t="str">
        <f>VLOOKUP(record[[#This Row],[ProcessSN]],表格2_7[],2,FALSE)</f>
        <v>30-4118-018-550</v>
      </c>
      <c r="I6819" t="str">
        <f>VLOOKUP(record[[#This Row],[ProcessSN]],表格2_7[],3,FALSE)</f>
        <v>#08IQC</v>
      </c>
      <c r="J6819" t="s">
        <v>583</v>
      </c>
      <c r="K6819" s="195">
        <v>45967.443182870367</v>
      </c>
      <c r="L6819">
        <v>159</v>
      </c>
      <c r="M6819">
        <v>0</v>
      </c>
      <c r="N6819" s="98" t="str">
        <f>IF(record[[#This Row],[Memo]]="Browser:chrome os:android","平板報工",IF(record[[#This Row],[Memo]]=0,"委外",record[[#This Row],[Memo]]))</f>
        <v/>
      </c>
      <c r="O6819" t="s">
        <v>58</v>
      </c>
      <c r="P6819" t="s">
        <v>109</v>
      </c>
      <c r="Q6819" t="s">
        <v>58</v>
      </c>
      <c r="R6819" t="str">
        <f>IFERROR(VLOOKUP(record[[#This Row],[PCUSTID]],廠商[],2,FALSE),"")</f>
        <v/>
      </c>
      <c r="S6819" t="str">
        <f>VLOOKUP(record[[#This Row],[employeeID]],員工[],2,FALSE)</f>
        <v>裴氏璧鳳</v>
      </c>
    </row>
    <row r="6820" spans="6:19" hidden="1" x14ac:dyDescent="0.25">
      <c r="F6820" t="s">
        <v>1184</v>
      </c>
      <c r="G6820" t="s">
        <v>357</v>
      </c>
      <c r="H6820" t="str">
        <f>VLOOKUP(record[[#This Row],[ProcessSN]],表格2_7[],2,FALSE)</f>
        <v>30-4118-018-450</v>
      </c>
      <c r="I6820" t="str">
        <f>VLOOKUP(record[[#This Row],[ProcessSN]],表格2_7[],3,FALSE)</f>
        <v>#08RCV</v>
      </c>
      <c r="J6820" t="s">
        <v>591</v>
      </c>
      <c r="K6820" s="195">
        <v>45967.430810185186</v>
      </c>
      <c r="L6820">
        <v>0</v>
      </c>
      <c r="M6820">
        <v>14</v>
      </c>
      <c r="N6820" s="98" t="str">
        <f>IF(record[[#This Row],[Memo]]="Browser:chrome os:android","平板報工",IF(record[[#This Row],[Memo]]=0,"委外",record[[#This Row],[Memo]]))</f>
        <v/>
      </c>
      <c r="O6820" t="s">
        <v>58</v>
      </c>
      <c r="P6820" t="s">
        <v>186</v>
      </c>
      <c r="Q6820" t="s">
        <v>58</v>
      </c>
      <c r="R6820" t="str">
        <f>IFERROR(VLOOKUP(record[[#This Row],[PCUSTID]],廠商[],2,FALSE),"")</f>
        <v/>
      </c>
      <c r="S6820" t="str">
        <f>VLOOKUP(record[[#This Row],[employeeID]],員工[],2,FALSE)</f>
        <v>許文姍</v>
      </c>
    </row>
    <row r="6821" spans="6:19" hidden="1" x14ac:dyDescent="0.25">
      <c r="F6821" t="s">
        <v>1184</v>
      </c>
      <c r="G6821" t="s">
        <v>357</v>
      </c>
      <c r="H6821" t="str">
        <f>VLOOKUP(record[[#This Row],[ProcessSN]],表格2_7[],2,FALSE)</f>
        <v>30-4118-018-450</v>
      </c>
      <c r="I6821" t="str">
        <f>VLOOKUP(record[[#This Row],[ProcessSN]],表格2_7[],3,FALSE)</f>
        <v>#08RCV</v>
      </c>
      <c r="J6821" t="s">
        <v>591</v>
      </c>
      <c r="K6821" s="195">
        <v>45967.430648148147</v>
      </c>
      <c r="L6821">
        <v>415</v>
      </c>
      <c r="M6821">
        <v>0</v>
      </c>
      <c r="N6821" s="98" t="str">
        <f>IF(record[[#This Row],[Memo]]="Browser:chrome os:android","平板報工",IF(record[[#This Row],[Memo]]=0,"委外",record[[#This Row],[Memo]]))</f>
        <v/>
      </c>
      <c r="O6821" t="s">
        <v>58</v>
      </c>
      <c r="P6821" t="s">
        <v>186</v>
      </c>
      <c r="Q6821" t="s">
        <v>58</v>
      </c>
      <c r="R6821" t="str">
        <f>IFERROR(VLOOKUP(record[[#This Row],[PCUSTID]],廠商[],2,FALSE),"")</f>
        <v/>
      </c>
      <c r="S6821" t="str">
        <f>VLOOKUP(record[[#This Row],[employeeID]],員工[],2,FALSE)</f>
        <v>許文姍</v>
      </c>
    </row>
    <row r="6822" spans="6:19" hidden="1" x14ac:dyDescent="0.25">
      <c r="F6822" t="s">
        <v>1191</v>
      </c>
      <c r="G6822" t="s">
        <v>398</v>
      </c>
      <c r="H6822" t="str">
        <f>VLOOKUP(record[[#This Row],[ProcessSN]],表格2_7[],2,FALSE)</f>
        <v>30-4118-018-550</v>
      </c>
      <c r="I6822" t="str">
        <f>VLOOKUP(record[[#This Row],[ProcessSN]],表格2_7[],3,FALSE)</f>
        <v>#08RCV</v>
      </c>
      <c r="J6822" t="s">
        <v>591</v>
      </c>
      <c r="K6822" s="195">
        <v>45967.429363425923</v>
      </c>
      <c r="L6822">
        <v>159</v>
      </c>
      <c r="M6822">
        <v>0</v>
      </c>
      <c r="N6822" s="98" t="str">
        <f>IF(record[[#This Row],[Memo]]="Browser:chrome os:android","平板報工",IF(record[[#This Row],[Memo]]=0,"委外",record[[#This Row],[Memo]]))</f>
        <v/>
      </c>
      <c r="O6822" t="s">
        <v>58</v>
      </c>
      <c r="P6822" t="s">
        <v>186</v>
      </c>
      <c r="Q6822" t="s">
        <v>58</v>
      </c>
      <c r="R6822" t="str">
        <f>IFERROR(VLOOKUP(record[[#This Row],[PCUSTID]],廠商[],2,FALSE),"")</f>
        <v/>
      </c>
      <c r="S6822" t="str">
        <f>VLOOKUP(record[[#This Row],[employeeID]],員工[],2,FALSE)</f>
        <v>許文姍</v>
      </c>
    </row>
    <row r="6823" spans="6:19" hidden="1" x14ac:dyDescent="0.25">
      <c r="F6823" t="s">
        <v>1198</v>
      </c>
      <c r="G6823" t="s">
        <v>397</v>
      </c>
      <c r="H6823" t="str">
        <f>VLOOKUP(record[[#This Row],[ProcessSN]],表格2_7[],2,FALSE)</f>
        <v>30-4118-018-550</v>
      </c>
      <c r="I6823" t="str">
        <f>VLOOKUP(record[[#This Row],[ProcessSN]],表格2_7[],3,FALSE)</f>
        <v>#08</v>
      </c>
      <c r="J6823" t="s">
        <v>597</v>
      </c>
      <c r="K6823" s="195">
        <v>45967.413831018515</v>
      </c>
      <c r="L6823">
        <v>264</v>
      </c>
      <c r="M6823">
        <v>0</v>
      </c>
      <c r="N6823" s="98" t="str">
        <f>IF(record[[#This Row],[Memo]]="Browser:chrome os:android","平板報工",IF(record[[#This Row],[Memo]]=0,"委外",record[[#This Row],[Memo]]))</f>
        <v>委外</v>
      </c>
      <c r="P6823" t="s">
        <v>186</v>
      </c>
      <c r="Q6823" t="s">
        <v>287</v>
      </c>
      <c r="R6823" t="str">
        <f>IFERROR(VLOOKUP(record[[#This Row],[PCUSTID]],廠商[],2,FALSE),"")</f>
        <v>泉盛</v>
      </c>
      <c r="S6823" t="str">
        <f>VLOOKUP(record[[#This Row],[employeeID]],員工[],2,FALSE)</f>
        <v>許文姍</v>
      </c>
    </row>
    <row r="6824" spans="6:19" hidden="1" x14ac:dyDescent="0.25">
      <c r="F6824" t="s">
        <v>1198</v>
      </c>
      <c r="G6824" t="s">
        <v>396</v>
      </c>
      <c r="H6824" t="str">
        <f>VLOOKUP(record[[#This Row],[ProcessSN]],表格2_7[],2,FALSE)</f>
        <v>30-4118-018-550</v>
      </c>
      <c r="I6824" t="str">
        <f>VLOOKUP(record[[#This Row],[ProcessSN]],表格2_7[],3,FALSE)</f>
        <v>#08PICK</v>
      </c>
      <c r="J6824" t="s">
        <v>582</v>
      </c>
      <c r="K6824" s="195">
        <v>45967.413703703707</v>
      </c>
      <c r="L6824">
        <v>264</v>
      </c>
      <c r="M6824">
        <v>0</v>
      </c>
      <c r="N6824" s="98" t="str">
        <f>IF(record[[#This Row],[Memo]]="Browser:chrome os:android","平板報工",IF(record[[#This Row],[Memo]]=0,"委外",record[[#This Row],[Memo]]))</f>
        <v/>
      </c>
      <c r="O6824" t="s">
        <v>58</v>
      </c>
      <c r="P6824" t="s">
        <v>186</v>
      </c>
      <c r="Q6824" t="s">
        <v>58</v>
      </c>
      <c r="R6824" t="str">
        <f>IFERROR(VLOOKUP(record[[#This Row],[PCUSTID]],廠商[],2,FALSE),"")</f>
        <v/>
      </c>
      <c r="S6824" t="str">
        <f>VLOOKUP(record[[#This Row],[employeeID]],員工[],2,FALSE)</f>
        <v>許文姍</v>
      </c>
    </row>
    <row r="6825" spans="6:19" hidden="1" x14ac:dyDescent="0.25">
      <c r="F6825" t="s">
        <v>1169</v>
      </c>
      <c r="G6825" t="s">
        <v>420</v>
      </c>
      <c r="H6825" t="str">
        <f>VLOOKUP(record[[#This Row],[ProcessSN]],表格2_7[],2,FALSE)</f>
        <v>30-4118-018-5XX</v>
      </c>
      <c r="I6825" t="str">
        <f>VLOOKUP(record[[#This Row],[ProcessSN]],表格2_7[],3,FALSE)</f>
        <v>#07STOCK</v>
      </c>
      <c r="J6825" t="s">
        <v>592</v>
      </c>
      <c r="K6825" s="195">
        <v>45967.404722222222</v>
      </c>
      <c r="L6825">
        <v>264</v>
      </c>
      <c r="M6825">
        <v>0</v>
      </c>
      <c r="N6825" s="98" t="str">
        <f>IF(record[[#This Row],[Memo]]="Browser:chrome os:android","平板報工",IF(record[[#This Row],[Memo]]=0,"委外",record[[#This Row],[Memo]]))</f>
        <v/>
      </c>
      <c r="O6825" t="s">
        <v>58</v>
      </c>
      <c r="P6825" t="s">
        <v>186</v>
      </c>
      <c r="Q6825" t="s">
        <v>58</v>
      </c>
      <c r="R6825" t="str">
        <f>IFERROR(VLOOKUP(record[[#This Row],[PCUSTID]],廠商[],2,FALSE),"")</f>
        <v/>
      </c>
      <c r="S6825" t="str">
        <f>VLOOKUP(record[[#This Row],[employeeID]],員工[],2,FALSE)</f>
        <v>許文姍</v>
      </c>
    </row>
    <row r="6826" spans="6:19" hidden="1" x14ac:dyDescent="0.25">
      <c r="F6826" t="s">
        <v>1197</v>
      </c>
      <c r="G6826" t="s">
        <v>419</v>
      </c>
      <c r="H6826" t="str">
        <f>VLOOKUP(record[[#This Row],[ProcessSN]],表格2_7[],2,FALSE)</f>
        <v>30-4118-018-5XX</v>
      </c>
      <c r="I6826" t="str">
        <f>VLOOKUP(record[[#This Row],[ProcessSN]],表格2_7[],3,FALSE)</f>
        <v>#07QC</v>
      </c>
      <c r="J6826" t="s">
        <v>589</v>
      </c>
      <c r="K6826" s="195">
        <v>45967.401076388887</v>
      </c>
      <c r="L6826">
        <v>264</v>
      </c>
      <c r="M6826">
        <v>0</v>
      </c>
      <c r="N6826" s="98" t="str">
        <f>IF(record[[#This Row],[Memo]]="Browser:chrome os:android","平板報工",IF(record[[#This Row],[Memo]]=0,"委外",record[[#This Row],[Memo]]))</f>
        <v/>
      </c>
      <c r="O6826" t="s">
        <v>58</v>
      </c>
      <c r="P6826" t="s">
        <v>141</v>
      </c>
      <c r="Q6826" t="s">
        <v>58</v>
      </c>
      <c r="R6826" t="str">
        <f>IFERROR(VLOOKUP(record[[#This Row],[PCUSTID]],廠商[],2,FALSE),"")</f>
        <v/>
      </c>
      <c r="S6826" t="str">
        <f>VLOOKUP(record[[#This Row],[employeeID]],員工[],2,FALSE)</f>
        <v>蔣梅</v>
      </c>
    </row>
    <row r="6827" spans="6:19" hidden="1" x14ac:dyDescent="0.25">
      <c r="F6827" t="s">
        <v>1180</v>
      </c>
      <c r="G6827" t="s">
        <v>417</v>
      </c>
      <c r="H6827" t="str">
        <f>VLOOKUP(record[[#This Row],[ProcessSN]],表格2_7[],2,FALSE)</f>
        <v>30-4118-018-5XX</v>
      </c>
      <c r="I6827" t="str">
        <f>VLOOKUP(record[[#This Row],[ProcessSN]],表格2_7[],3,FALSE)</f>
        <v>#06</v>
      </c>
      <c r="J6827" t="s">
        <v>593</v>
      </c>
      <c r="K6827" s="195">
        <v>45967.307152777779</v>
      </c>
      <c r="L6827">
        <v>100</v>
      </c>
      <c r="M6827">
        <v>0</v>
      </c>
      <c r="N6827" s="98" t="str">
        <f>IF(record[[#This Row],[Memo]]="Browser:chrome os:android","平板報工",IF(record[[#This Row],[Memo]]=0,"委外",record[[#This Row],[Memo]]))</f>
        <v/>
      </c>
      <c r="O6827" t="s">
        <v>58</v>
      </c>
      <c r="P6827" t="s">
        <v>135</v>
      </c>
      <c r="Q6827" t="s">
        <v>58</v>
      </c>
      <c r="R6827" t="str">
        <f>IFERROR(VLOOKUP(record[[#This Row],[PCUSTID]],廠商[],2,FALSE),"")</f>
        <v/>
      </c>
      <c r="S6827" t="str">
        <f>VLOOKUP(record[[#This Row],[employeeID]],員工[],2,FALSE)</f>
        <v>阮士文</v>
      </c>
    </row>
    <row r="6828" spans="6:19" hidden="1" x14ac:dyDescent="0.25">
      <c r="F6828" t="s">
        <v>1180</v>
      </c>
      <c r="G6828" t="s">
        <v>417</v>
      </c>
      <c r="H6828" t="str">
        <f>VLOOKUP(record[[#This Row],[ProcessSN]],表格2_7[],2,FALSE)</f>
        <v>30-4118-018-5XX</v>
      </c>
      <c r="I6828" t="str">
        <f>VLOOKUP(record[[#This Row],[ProcessSN]],表格2_7[],3,FALSE)</f>
        <v>#06</v>
      </c>
      <c r="J6828" t="s">
        <v>593</v>
      </c>
      <c r="K6828" s="195">
        <v>45966.978136574071</v>
      </c>
      <c r="L6828">
        <v>17</v>
      </c>
      <c r="M6828">
        <v>0</v>
      </c>
      <c r="N6828" s="98" t="str">
        <f>IF(record[[#This Row],[Memo]]="Browser:chrome os:android","平板報工",IF(record[[#This Row],[Memo]]=0,"委外",record[[#This Row],[Memo]]))</f>
        <v/>
      </c>
      <c r="O6828" t="s">
        <v>58</v>
      </c>
      <c r="P6828" t="s">
        <v>176</v>
      </c>
      <c r="Q6828" t="s">
        <v>58</v>
      </c>
      <c r="R6828" t="str">
        <f>IFERROR(VLOOKUP(record[[#This Row],[PCUSTID]],廠商[],2,FALSE),"")</f>
        <v/>
      </c>
      <c r="S6828" t="str">
        <f>VLOOKUP(record[[#This Row],[employeeID]],員工[],2,FALSE)</f>
        <v>郭政雄</v>
      </c>
    </row>
    <row r="6829" spans="6:19" hidden="1" x14ac:dyDescent="0.25">
      <c r="F6829" t="s">
        <v>1169</v>
      </c>
      <c r="G6829" t="s">
        <v>417</v>
      </c>
      <c r="H6829" t="str">
        <f>VLOOKUP(record[[#This Row],[ProcessSN]],表格2_7[],2,FALSE)</f>
        <v>30-4118-018-5XX</v>
      </c>
      <c r="I6829" t="str">
        <f>VLOOKUP(record[[#This Row],[ProcessSN]],表格2_7[],3,FALSE)</f>
        <v>#06</v>
      </c>
      <c r="J6829" t="s">
        <v>593</v>
      </c>
      <c r="K6829" s="195">
        <v>45966.977881944447</v>
      </c>
      <c r="L6829">
        <v>95</v>
      </c>
      <c r="M6829">
        <v>1</v>
      </c>
      <c r="N6829" s="98" t="str">
        <f>IF(record[[#This Row],[Memo]]="Browser:chrome os:android","平板報工",IF(record[[#This Row],[Memo]]=0,"委外",record[[#This Row],[Memo]]))</f>
        <v/>
      </c>
      <c r="O6829" t="s">
        <v>58</v>
      </c>
      <c r="P6829" t="s">
        <v>176</v>
      </c>
      <c r="Q6829" t="s">
        <v>58</v>
      </c>
      <c r="R6829" t="str">
        <f>IFERROR(VLOOKUP(record[[#This Row],[PCUSTID]],廠商[],2,FALSE),"")</f>
        <v/>
      </c>
      <c r="S6829" t="str">
        <f>VLOOKUP(record[[#This Row],[employeeID]],員工[],2,FALSE)</f>
        <v>郭政雄</v>
      </c>
    </row>
    <row r="6830" spans="6:19" hidden="1" x14ac:dyDescent="0.25">
      <c r="F6830" t="s">
        <v>1180</v>
      </c>
      <c r="G6830" t="s">
        <v>416</v>
      </c>
      <c r="H6830" t="str">
        <f>VLOOKUP(record[[#This Row],[ProcessSN]],表格2_7[],2,FALSE)</f>
        <v>30-4118-018-5XX</v>
      </c>
      <c r="I6830" t="str">
        <f>VLOOKUP(record[[#This Row],[ProcessSN]],表格2_7[],3,FALSE)</f>
        <v>#05</v>
      </c>
      <c r="J6830" t="s">
        <v>588</v>
      </c>
      <c r="K6830" s="195">
        <v>45966.655914351853</v>
      </c>
      <c r="L6830">
        <v>132</v>
      </c>
      <c r="M6830">
        <v>0</v>
      </c>
      <c r="N6830" s="98" t="str">
        <f>IF(record[[#This Row],[Memo]]="Browser:chrome os:android","平板報工",IF(record[[#This Row],[Memo]]=0,"委外",record[[#This Row],[Memo]]))</f>
        <v/>
      </c>
      <c r="O6830" t="s">
        <v>58</v>
      </c>
      <c r="P6830" t="s">
        <v>101</v>
      </c>
      <c r="Q6830" t="s">
        <v>58</v>
      </c>
      <c r="R6830" t="str">
        <f>IFERROR(VLOOKUP(record[[#This Row],[PCUSTID]],廠商[],2,FALSE),"")</f>
        <v/>
      </c>
      <c r="S6830" t="str">
        <f>VLOOKUP(record[[#This Row],[employeeID]],員工[],2,FALSE)</f>
        <v>陳氏絨</v>
      </c>
    </row>
    <row r="6831" spans="6:19" hidden="1" x14ac:dyDescent="0.25">
      <c r="F6831" t="s">
        <v>1169</v>
      </c>
      <c r="G6831" t="s">
        <v>417</v>
      </c>
      <c r="H6831" t="str">
        <f>VLOOKUP(record[[#This Row],[ProcessSN]],表格2_7[],2,FALSE)</f>
        <v>30-4118-018-5XX</v>
      </c>
      <c r="I6831" t="str">
        <f>VLOOKUP(record[[#This Row],[ProcessSN]],表格2_7[],3,FALSE)</f>
        <v>#06</v>
      </c>
      <c r="J6831" t="s">
        <v>593</v>
      </c>
      <c r="K6831" s="195">
        <v>45966.645162037035</v>
      </c>
      <c r="L6831">
        <v>111</v>
      </c>
      <c r="M6831">
        <v>0</v>
      </c>
      <c r="N6831" s="98" t="str">
        <f>IF(record[[#This Row],[Memo]]="Browser:chrome os:android","平板報工",IF(record[[#This Row],[Memo]]=0,"委外",record[[#This Row],[Memo]]))</f>
        <v>平板報工</v>
      </c>
      <c r="O6831" t="s">
        <v>643</v>
      </c>
      <c r="P6831" t="s">
        <v>111</v>
      </c>
      <c r="Q6831" t="s">
        <v>644</v>
      </c>
      <c r="R6831" t="str">
        <f>IFERROR(VLOOKUP(record[[#This Row],[PCUSTID]],廠商[],2,FALSE),"")</f>
        <v/>
      </c>
      <c r="S6831" t="str">
        <f>VLOOKUP(record[[#This Row],[employeeID]],員工[],2,FALSE)</f>
        <v>江栩妘</v>
      </c>
    </row>
    <row r="6832" spans="6:19" hidden="1" x14ac:dyDescent="0.25">
      <c r="F6832" t="s">
        <v>1169</v>
      </c>
      <c r="G6832" t="s">
        <v>418</v>
      </c>
      <c r="H6832" t="str">
        <f>VLOOKUP(record[[#This Row],[ProcessSN]],表格2_7[],2,FALSE)</f>
        <v>30-4118-018-5XX</v>
      </c>
      <c r="I6832" t="str">
        <f>VLOOKUP(record[[#This Row],[ProcessSN]],表格2_7[],3,FALSE)</f>
        <v>#07</v>
      </c>
      <c r="J6832" t="s">
        <v>588</v>
      </c>
      <c r="K6832" s="195">
        <v>45966.643842592595</v>
      </c>
      <c r="L6832">
        <v>57</v>
      </c>
      <c r="M6832">
        <v>0</v>
      </c>
      <c r="N6832" s="98" t="str">
        <f>IF(record[[#This Row],[Memo]]="Browser:chrome os:android","平板報工",IF(record[[#This Row],[Memo]]=0,"委外",record[[#This Row],[Memo]]))</f>
        <v>平板報工</v>
      </c>
      <c r="O6832" t="s">
        <v>643</v>
      </c>
      <c r="P6832" t="s">
        <v>145</v>
      </c>
      <c r="Q6832" t="s">
        <v>644</v>
      </c>
      <c r="R6832" t="str">
        <f>IFERROR(VLOOKUP(record[[#This Row],[PCUSTID]],廠商[],2,FALSE),"")</f>
        <v/>
      </c>
      <c r="S6832" t="str">
        <f>VLOOKUP(record[[#This Row],[employeeID]],員工[],2,FALSE)</f>
        <v>阮秋霞</v>
      </c>
    </row>
    <row r="6833" spans="6:19" hidden="1" x14ac:dyDescent="0.25">
      <c r="F6833" t="s">
        <v>1148</v>
      </c>
      <c r="G6833" t="s">
        <v>466</v>
      </c>
      <c r="H6833" t="str">
        <f>VLOOKUP(record[[#This Row],[ProcessSN]],表格2_7[],2,FALSE)</f>
        <v>30-4118-018-XXX</v>
      </c>
      <c r="I6833" t="str">
        <f>VLOOKUP(record[[#This Row],[ProcessSN]],表格2_7[],3,FALSE)</f>
        <v>#01-2</v>
      </c>
      <c r="J6833" t="s">
        <v>588</v>
      </c>
      <c r="K6833" s="195">
        <v>45966.64271990741</v>
      </c>
      <c r="L6833">
        <v>211</v>
      </c>
      <c r="M6833">
        <v>0</v>
      </c>
      <c r="N6833" s="98" t="str">
        <f>IF(record[[#This Row],[Memo]]="Browser:chrome os:android","平板報工",IF(record[[#This Row],[Memo]]=0,"委外",record[[#This Row],[Memo]]))</f>
        <v>平板報工</v>
      </c>
      <c r="O6833" t="s">
        <v>643</v>
      </c>
      <c r="P6833" t="s">
        <v>145</v>
      </c>
      <c r="Q6833" t="s">
        <v>644</v>
      </c>
      <c r="R6833" t="str">
        <f>IFERROR(VLOOKUP(record[[#This Row],[PCUSTID]],廠商[],2,FALSE),"")</f>
        <v/>
      </c>
      <c r="S6833" t="str">
        <f>VLOOKUP(record[[#This Row],[employeeID]],員工[],2,FALSE)</f>
        <v>阮秋霞</v>
      </c>
    </row>
    <row r="6834" spans="6:19" hidden="1" x14ac:dyDescent="0.25">
      <c r="F6834" t="s">
        <v>1148</v>
      </c>
      <c r="G6834" t="s">
        <v>465</v>
      </c>
      <c r="H6834" t="str">
        <f>VLOOKUP(record[[#This Row],[ProcessSN]],表格2_7[],2,FALSE)</f>
        <v>30-4118-018-XXX</v>
      </c>
      <c r="I6834" t="str">
        <f>VLOOKUP(record[[#This Row],[ProcessSN]],表格2_7[],3,FALSE)</f>
        <v>#01-1</v>
      </c>
      <c r="J6834" t="s">
        <v>588</v>
      </c>
      <c r="K6834" s="195">
        <v>45966.642488425925</v>
      </c>
      <c r="L6834">
        <v>211</v>
      </c>
      <c r="M6834">
        <v>0</v>
      </c>
      <c r="N6834" s="98" t="str">
        <f>IF(record[[#This Row],[Memo]]="Browser:chrome os:android","平板報工",IF(record[[#This Row],[Memo]]=0,"委外",record[[#This Row],[Memo]]))</f>
        <v>平板報工</v>
      </c>
      <c r="O6834" t="s">
        <v>643</v>
      </c>
      <c r="P6834" t="s">
        <v>145</v>
      </c>
      <c r="Q6834" t="s">
        <v>644</v>
      </c>
      <c r="R6834" t="str">
        <f>IFERROR(VLOOKUP(record[[#This Row],[PCUSTID]],廠商[],2,FALSE),"")</f>
        <v/>
      </c>
      <c r="S6834" t="str">
        <f>VLOOKUP(record[[#This Row],[employeeID]],員工[],2,FALSE)</f>
        <v>阮秋霞</v>
      </c>
    </row>
    <row r="6835" spans="6:19" hidden="1" x14ac:dyDescent="0.25">
      <c r="F6835" t="s">
        <v>1129</v>
      </c>
      <c r="G6835" t="s">
        <v>359</v>
      </c>
      <c r="H6835" t="str">
        <f>VLOOKUP(record[[#This Row],[ProcessSN]],表格2_7[],2,FALSE)</f>
        <v>30-4118-018-450</v>
      </c>
      <c r="I6835" t="str">
        <f>VLOOKUP(record[[#This Row],[ProcessSN]],表格2_7[],3,FALSE)</f>
        <v>#100</v>
      </c>
      <c r="J6835" t="s">
        <v>598</v>
      </c>
      <c r="K6835" s="195">
        <v>45966.614687499998</v>
      </c>
      <c r="L6835">
        <v>120</v>
      </c>
      <c r="M6835">
        <v>0</v>
      </c>
      <c r="N6835" s="98" t="str">
        <f>IF(record[[#This Row],[Memo]]="Browser:chrome os:android","平板報工",IF(record[[#This Row],[Memo]]=0,"委外",record[[#This Row],[Memo]]))</f>
        <v/>
      </c>
      <c r="O6835" t="s">
        <v>58</v>
      </c>
      <c r="P6835" t="s">
        <v>141</v>
      </c>
      <c r="Q6835" t="s">
        <v>58</v>
      </c>
      <c r="R6835" t="str">
        <f>IFERROR(VLOOKUP(record[[#This Row],[PCUSTID]],廠商[],2,FALSE),"")</f>
        <v/>
      </c>
      <c r="S6835" t="str">
        <f>VLOOKUP(record[[#This Row],[employeeID]],員工[],2,FALSE)</f>
        <v>蔣梅</v>
      </c>
    </row>
    <row r="6836" spans="6:19" hidden="1" x14ac:dyDescent="0.25">
      <c r="F6836" t="s">
        <v>1136</v>
      </c>
      <c r="G6836" t="s">
        <v>359</v>
      </c>
      <c r="H6836" t="str">
        <f>VLOOKUP(record[[#This Row],[ProcessSN]],表格2_7[],2,FALSE)</f>
        <v>30-4118-018-450</v>
      </c>
      <c r="I6836" t="str">
        <f>VLOOKUP(record[[#This Row],[ProcessSN]],表格2_7[],3,FALSE)</f>
        <v>#100</v>
      </c>
      <c r="J6836" t="s">
        <v>598</v>
      </c>
      <c r="K6836" s="195">
        <v>45966.61451388889</v>
      </c>
      <c r="L6836">
        <v>479</v>
      </c>
      <c r="M6836">
        <v>0</v>
      </c>
      <c r="N6836" s="98" t="str">
        <f>IF(record[[#This Row],[Memo]]="Browser:chrome os:android","平板報工",IF(record[[#This Row],[Memo]]=0,"委外",record[[#This Row],[Memo]]))</f>
        <v/>
      </c>
      <c r="O6836" t="s">
        <v>58</v>
      </c>
      <c r="P6836" t="s">
        <v>141</v>
      </c>
      <c r="Q6836" t="s">
        <v>58</v>
      </c>
      <c r="R6836" t="str">
        <f>IFERROR(VLOOKUP(record[[#This Row],[PCUSTID]],廠商[],2,FALSE),"")</f>
        <v/>
      </c>
      <c r="S6836" t="str">
        <f>VLOOKUP(record[[#This Row],[employeeID]],員工[],2,FALSE)</f>
        <v>蔣梅</v>
      </c>
    </row>
    <row r="6837" spans="6:19" hidden="1" x14ac:dyDescent="0.25">
      <c r="F6837" t="s">
        <v>1136</v>
      </c>
      <c r="G6837" t="s">
        <v>358</v>
      </c>
      <c r="H6837" t="str">
        <f>VLOOKUP(record[[#This Row],[ProcessSN]],表格2_7[],2,FALSE)</f>
        <v>30-4118-018-450</v>
      </c>
      <c r="I6837" t="str">
        <f>VLOOKUP(record[[#This Row],[ProcessSN]],表格2_7[],3,FALSE)</f>
        <v>#08IQC</v>
      </c>
      <c r="J6837" t="s">
        <v>583</v>
      </c>
      <c r="K6837" s="195">
        <v>45966.614259259259</v>
      </c>
      <c r="L6837">
        <v>10</v>
      </c>
      <c r="M6837">
        <v>0</v>
      </c>
      <c r="N6837" s="98" t="str">
        <f>IF(record[[#This Row],[Memo]]="Browser:chrome os:android","平板報工",IF(record[[#This Row],[Memo]]=0,"委外",record[[#This Row],[Memo]]))</f>
        <v>覆回品</v>
      </c>
      <c r="O6837" t="s">
        <v>664</v>
      </c>
      <c r="P6837" t="s">
        <v>141</v>
      </c>
      <c r="Q6837" t="s">
        <v>58</v>
      </c>
      <c r="R6837" t="str">
        <f>IFERROR(VLOOKUP(record[[#This Row],[PCUSTID]],廠商[],2,FALSE),"")</f>
        <v/>
      </c>
      <c r="S6837" t="str">
        <f>VLOOKUP(record[[#This Row],[employeeID]],員工[],2,FALSE)</f>
        <v>蔣梅</v>
      </c>
    </row>
    <row r="6838" spans="6:19" hidden="1" x14ac:dyDescent="0.25">
      <c r="F6838" t="s">
        <v>1158</v>
      </c>
      <c r="G6838" t="s">
        <v>403</v>
      </c>
      <c r="H6838" t="str">
        <f>VLOOKUP(record[[#This Row],[ProcessSN]],表格2_7[],2,FALSE)</f>
        <v>30-4118-018-550</v>
      </c>
      <c r="I6838" t="str">
        <f>VLOOKUP(record[[#This Row],[ProcessSN]],表格2_7[],3,FALSE)</f>
        <v>#100SHIP</v>
      </c>
      <c r="J6838" t="s">
        <v>600</v>
      </c>
      <c r="K6838" s="195">
        <v>45966.614074074074</v>
      </c>
      <c r="L6838">
        <v>89</v>
      </c>
      <c r="M6838">
        <v>0</v>
      </c>
      <c r="N6838" s="98" t="str">
        <f>IF(record[[#This Row],[Memo]]="Browser:chrome os:android","平板報工",IF(record[[#This Row],[Memo]]=0,"委外",record[[#This Row],[Memo]]))</f>
        <v/>
      </c>
      <c r="O6838" t="s">
        <v>58</v>
      </c>
      <c r="P6838" t="s">
        <v>886</v>
      </c>
      <c r="Q6838" t="s">
        <v>58</v>
      </c>
      <c r="R6838" t="str">
        <f>IFERROR(VLOOKUP(record[[#This Row],[PCUSTID]],廠商[],2,FALSE),"")</f>
        <v/>
      </c>
      <c r="S6838" t="str">
        <f>VLOOKUP(record[[#This Row],[employeeID]],員工[],2,FALSE)</f>
        <v>謝蓁薰</v>
      </c>
    </row>
    <row r="6839" spans="6:19" hidden="1" x14ac:dyDescent="0.25">
      <c r="F6839" t="s">
        <v>1129</v>
      </c>
      <c r="G6839" t="s">
        <v>362</v>
      </c>
      <c r="H6839" t="str">
        <f>VLOOKUP(record[[#This Row],[ProcessSN]],表格2_7[],2,FALSE)</f>
        <v>30-4118-018-450</v>
      </c>
      <c r="I6839" t="str">
        <f>VLOOKUP(record[[#This Row],[ProcessSN]],表格2_7[],3,FALSE)</f>
        <v>#100SHIP</v>
      </c>
      <c r="J6839" t="s">
        <v>600</v>
      </c>
      <c r="K6839" s="195">
        <v>45966.613946759258</v>
      </c>
      <c r="L6839">
        <v>9</v>
      </c>
      <c r="M6839">
        <v>0</v>
      </c>
      <c r="N6839" s="98" t="str">
        <f>IF(record[[#This Row],[Memo]]="Browser:chrome os:android","平板報工",IF(record[[#This Row],[Memo]]=0,"委外",record[[#This Row],[Memo]]))</f>
        <v/>
      </c>
      <c r="O6839" t="s">
        <v>58</v>
      </c>
      <c r="P6839" t="s">
        <v>886</v>
      </c>
      <c r="Q6839" t="s">
        <v>58</v>
      </c>
      <c r="R6839" t="str">
        <f>IFERROR(VLOOKUP(record[[#This Row],[PCUSTID]],廠商[],2,FALSE),"")</f>
        <v/>
      </c>
      <c r="S6839" t="str">
        <f>VLOOKUP(record[[#This Row],[employeeID]],員工[],2,FALSE)</f>
        <v>謝蓁薰</v>
      </c>
    </row>
    <row r="6840" spans="6:19" hidden="1" x14ac:dyDescent="0.25">
      <c r="F6840" t="s">
        <v>1136</v>
      </c>
      <c r="G6840" t="s">
        <v>357</v>
      </c>
      <c r="H6840" t="str">
        <f>VLOOKUP(record[[#This Row],[ProcessSN]],表格2_7[],2,FALSE)</f>
        <v>30-4118-018-450</v>
      </c>
      <c r="I6840" t="str">
        <f>VLOOKUP(record[[#This Row],[ProcessSN]],表格2_7[],3,FALSE)</f>
        <v>#08RCV</v>
      </c>
      <c r="J6840" t="s">
        <v>591</v>
      </c>
      <c r="K6840" s="195">
        <v>45966.613923611112</v>
      </c>
      <c r="L6840">
        <v>0</v>
      </c>
      <c r="M6840">
        <v>16</v>
      </c>
      <c r="N6840" s="98" t="str">
        <f>IF(record[[#This Row],[Memo]]="Browser:chrome os:android","平板報工",IF(record[[#This Row],[Memo]]=0,"委外",record[[#This Row],[Memo]]))</f>
        <v/>
      </c>
      <c r="O6840" t="s">
        <v>58</v>
      </c>
      <c r="P6840" t="s">
        <v>141</v>
      </c>
      <c r="Q6840" t="s">
        <v>58</v>
      </c>
      <c r="R6840" t="str">
        <f>IFERROR(VLOOKUP(record[[#This Row],[PCUSTID]],廠商[],2,FALSE),"")</f>
        <v/>
      </c>
      <c r="S6840" t="str">
        <f>VLOOKUP(record[[#This Row],[employeeID]],員工[],2,FALSE)</f>
        <v>蔣梅</v>
      </c>
    </row>
    <row r="6841" spans="6:19" hidden="1" x14ac:dyDescent="0.25">
      <c r="F6841" t="s">
        <v>1136</v>
      </c>
      <c r="G6841" t="s">
        <v>357</v>
      </c>
      <c r="H6841" t="str">
        <f>VLOOKUP(record[[#This Row],[ProcessSN]],表格2_7[],2,FALSE)</f>
        <v>30-4118-018-450</v>
      </c>
      <c r="I6841" t="str">
        <f>VLOOKUP(record[[#This Row],[ProcessSN]],表格2_7[],3,FALSE)</f>
        <v>#08RCV</v>
      </c>
      <c r="J6841" t="s">
        <v>591</v>
      </c>
      <c r="K6841" s="195">
        <v>45966.613726851851</v>
      </c>
      <c r="L6841">
        <v>10</v>
      </c>
      <c r="M6841">
        <v>0</v>
      </c>
      <c r="N6841" s="98" t="str">
        <f>IF(record[[#This Row],[Memo]]="Browser:chrome os:android","平板報工",IF(record[[#This Row],[Memo]]=0,"委外",record[[#This Row],[Memo]]))</f>
        <v>覆回品</v>
      </c>
      <c r="O6841" t="s">
        <v>664</v>
      </c>
      <c r="P6841" t="s">
        <v>141</v>
      </c>
      <c r="Q6841" t="s">
        <v>58</v>
      </c>
      <c r="R6841" t="str">
        <f>IFERROR(VLOOKUP(record[[#This Row],[PCUSTID]],廠商[],2,FALSE),"")</f>
        <v/>
      </c>
      <c r="S6841" t="str">
        <f>VLOOKUP(record[[#This Row],[employeeID]],員工[],2,FALSE)</f>
        <v>蔣梅</v>
      </c>
    </row>
    <row r="6842" spans="6:19" hidden="1" x14ac:dyDescent="0.25">
      <c r="F6842" t="s">
        <v>1169</v>
      </c>
      <c r="G6842" t="s">
        <v>418</v>
      </c>
      <c r="H6842" t="str">
        <f>VLOOKUP(record[[#This Row],[ProcessSN]],表格2_7[],2,FALSE)</f>
        <v>30-4118-018-5XX</v>
      </c>
      <c r="I6842" t="str">
        <f>VLOOKUP(record[[#This Row],[ProcessSN]],表格2_7[],3,FALSE)</f>
        <v>#07</v>
      </c>
      <c r="J6842" t="s">
        <v>588</v>
      </c>
      <c r="K6842" s="195">
        <v>45966.4924537037</v>
      </c>
      <c r="L6842">
        <v>90</v>
      </c>
      <c r="M6842">
        <v>0</v>
      </c>
      <c r="N6842" s="98" t="str">
        <f>IF(record[[#This Row],[Memo]]="Browser:chrome os:android","平板報工",IF(record[[#This Row],[Memo]]=0,"委外",record[[#This Row],[Memo]]))</f>
        <v>平板報工</v>
      </c>
      <c r="O6842" t="s">
        <v>643</v>
      </c>
      <c r="P6842" t="s">
        <v>785</v>
      </c>
      <c r="Q6842" t="s">
        <v>644</v>
      </c>
      <c r="R6842" t="str">
        <f>IFERROR(VLOOKUP(record[[#This Row],[PCUSTID]],廠商[],2,FALSE),"")</f>
        <v/>
      </c>
      <c r="S6842" t="str">
        <f>VLOOKUP(record[[#This Row],[employeeID]],員工[],2,FALSE)</f>
        <v>謝刻光</v>
      </c>
    </row>
    <row r="6843" spans="6:19" hidden="1" x14ac:dyDescent="0.25">
      <c r="F6843" t="s">
        <v>1192</v>
      </c>
      <c r="G6843" t="s">
        <v>397</v>
      </c>
      <c r="H6843" t="str">
        <f>VLOOKUP(record[[#This Row],[ProcessSN]],表格2_7[],2,FALSE)</f>
        <v>30-4118-018-550</v>
      </c>
      <c r="I6843" t="str">
        <f>VLOOKUP(record[[#This Row],[ProcessSN]],表格2_7[],3,FALSE)</f>
        <v>#08</v>
      </c>
      <c r="J6843" t="s">
        <v>597</v>
      </c>
      <c r="K6843" s="195">
        <v>45966.484710648147</v>
      </c>
      <c r="L6843">
        <v>208</v>
      </c>
      <c r="M6843">
        <v>0</v>
      </c>
      <c r="N6843" s="98" t="str">
        <f>IF(record[[#This Row],[Memo]]="Browser:chrome os:android","平板報工",IF(record[[#This Row],[Memo]]=0,"委外",record[[#This Row],[Memo]]))</f>
        <v>委外</v>
      </c>
      <c r="P6843" t="s">
        <v>186</v>
      </c>
      <c r="Q6843" t="s">
        <v>287</v>
      </c>
      <c r="R6843" t="str">
        <f>IFERROR(VLOOKUP(record[[#This Row],[PCUSTID]],廠商[],2,FALSE),"")</f>
        <v>泉盛</v>
      </c>
      <c r="S6843" t="str">
        <f>VLOOKUP(record[[#This Row],[employeeID]],員工[],2,FALSE)</f>
        <v>許文姍</v>
      </c>
    </row>
    <row r="6844" spans="6:19" hidden="1" x14ac:dyDescent="0.25">
      <c r="F6844" t="s">
        <v>1169</v>
      </c>
      <c r="G6844" t="s">
        <v>420</v>
      </c>
      <c r="H6844" t="str">
        <f>VLOOKUP(record[[#This Row],[ProcessSN]],表格2_7[],2,FALSE)</f>
        <v>30-4118-018-5XX</v>
      </c>
      <c r="I6844" t="str">
        <f>VLOOKUP(record[[#This Row],[ProcessSN]],表格2_7[],3,FALSE)</f>
        <v>#07STOCK</v>
      </c>
      <c r="J6844" t="s">
        <v>592</v>
      </c>
      <c r="K6844" s="195">
        <v>45966.422395833331</v>
      </c>
      <c r="L6844">
        <v>167</v>
      </c>
      <c r="M6844">
        <v>0</v>
      </c>
      <c r="N6844" s="98" t="str">
        <f>IF(record[[#This Row],[Memo]]="Browser:chrome os:android","平板報工",IF(record[[#This Row],[Memo]]=0,"委外",record[[#This Row],[Memo]]))</f>
        <v/>
      </c>
      <c r="O6844" t="s">
        <v>58</v>
      </c>
      <c r="P6844" t="s">
        <v>113</v>
      </c>
      <c r="Q6844" t="s">
        <v>58</v>
      </c>
      <c r="R6844" t="str">
        <f>IFERROR(VLOOKUP(record[[#This Row],[PCUSTID]],廠商[],2,FALSE),"")</f>
        <v/>
      </c>
      <c r="S6844" t="str">
        <f>VLOOKUP(record[[#This Row],[employeeID]],員工[],2,FALSE)</f>
        <v>王奕蓁</v>
      </c>
    </row>
    <row r="6845" spans="6:19" hidden="1" x14ac:dyDescent="0.25">
      <c r="F6845" t="s">
        <v>897</v>
      </c>
      <c r="G6845" t="s">
        <v>420</v>
      </c>
      <c r="H6845" t="str">
        <f>VLOOKUP(record[[#This Row],[ProcessSN]],表格2_7[],2,FALSE)</f>
        <v>30-4118-018-5XX</v>
      </c>
      <c r="I6845" t="str">
        <f>VLOOKUP(record[[#This Row],[ProcessSN]],表格2_7[],3,FALSE)</f>
        <v>#07STOCK</v>
      </c>
      <c r="J6845" t="s">
        <v>592</v>
      </c>
      <c r="K6845" s="195">
        <v>45966.422280092593</v>
      </c>
      <c r="L6845">
        <v>3</v>
      </c>
      <c r="M6845">
        <v>0</v>
      </c>
      <c r="N6845" s="98" t="str">
        <f>IF(record[[#This Row],[Memo]]="Browser:chrome os:android","平板報工",IF(record[[#This Row],[Memo]]=0,"委外",record[[#This Row],[Memo]]))</f>
        <v/>
      </c>
      <c r="O6845" t="s">
        <v>58</v>
      </c>
      <c r="P6845" t="s">
        <v>113</v>
      </c>
      <c r="Q6845" t="s">
        <v>58</v>
      </c>
      <c r="R6845" t="str">
        <f>IFERROR(VLOOKUP(record[[#This Row],[PCUSTID]],廠商[],2,FALSE),"")</f>
        <v/>
      </c>
      <c r="S6845" t="str">
        <f>VLOOKUP(record[[#This Row],[employeeID]],員工[],2,FALSE)</f>
        <v>王奕蓁</v>
      </c>
    </row>
    <row r="6846" spans="6:19" hidden="1" x14ac:dyDescent="0.25">
      <c r="F6846" t="s">
        <v>1169</v>
      </c>
      <c r="G6846" t="s">
        <v>420</v>
      </c>
      <c r="H6846" t="str">
        <f>VLOOKUP(record[[#This Row],[ProcessSN]],表格2_7[],2,FALSE)</f>
        <v>30-4118-018-5XX</v>
      </c>
      <c r="I6846" t="str">
        <f>VLOOKUP(record[[#This Row],[ProcessSN]],表格2_7[],3,FALSE)</f>
        <v>#07STOCK</v>
      </c>
      <c r="J6846" t="s">
        <v>592</v>
      </c>
      <c r="K6846" s="195">
        <v>45966.421157407407</v>
      </c>
      <c r="L6846">
        <v>208</v>
      </c>
      <c r="M6846">
        <v>0</v>
      </c>
      <c r="N6846" s="98" t="str">
        <f>IF(record[[#This Row],[Memo]]="Browser:chrome os:android","平板報工",IF(record[[#This Row],[Memo]]=0,"委外",record[[#This Row],[Memo]]))</f>
        <v/>
      </c>
      <c r="O6846" t="s">
        <v>58</v>
      </c>
      <c r="P6846" t="s">
        <v>113</v>
      </c>
      <c r="Q6846" t="s">
        <v>58</v>
      </c>
      <c r="R6846" t="str">
        <f>IFERROR(VLOOKUP(record[[#This Row],[PCUSTID]],廠商[],2,FALSE),"")</f>
        <v/>
      </c>
      <c r="S6846" t="str">
        <f>VLOOKUP(record[[#This Row],[employeeID]],員工[],2,FALSE)</f>
        <v>王奕蓁</v>
      </c>
    </row>
    <row r="6847" spans="6:19" hidden="1" x14ac:dyDescent="0.25">
      <c r="F6847" t="s">
        <v>1192</v>
      </c>
      <c r="G6847" t="s">
        <v>396</v>
      </c>
      <c r="H6847" t="str">
        <f>VLOOKUP(record[[#This Row],[ProcessSN]],表格2_7[],2,FALSE)</f>
        <v>30-4118-018-550</v>
      </c>
      <c r="I6847" t="str">
        <f>VLOOKUP(record[[#This Row],[ProcessSN]],表格2_7[],3,FALSE)</f>
        <v>#08PICK</v>
      </c>
      <c r="J6847" t="s">
        <v>582</v>
      </c>
      <c r="K6847" s="195">
        <v>45966.419409722221</v>
      </c>
      <c r="L6847">
        <v>208</v>
      </c>
      <c r="M6847">
        <v>0</v>
      </c>
      <c r="N6847" s="98" t="str">
        <f>IF(record[[#This Row],[Memo]]="Browser:chrome os:android","平板報工",IF(record[[#This Row],[Memo]]=0,"委外",record[[#This Row],[Memo]]))</f>
        <v>208</v>
      </c>
      <c r="O6847" t="s">
        <v>1195</v>
      </c>
      <c r="P6847" t="s">
        <v>186</v>
      </c>
      <c r="Q6847" t="s">
        <v>58</v>
      </c>
      <c r="R6847" t="str">
        <f>IFERROR(VLOOKUP(record[[#This Row],[PCUSTID]],廠商[],2,FALSE),"")</f>
        <v/>
      </c>
      <c r="S6847" t="str">
        <f>VLOOKUP(record[[#This Row],[employeeID]],員工[],2,FALSE)</f>
        <v>許文姍</v>
      </c>
    </row>
    <row r="6848" spans="6:19" hidden="1" x14ac:dyDescent="0.25">
      <c r="F6848" t="s">
        <v>1169</v>
      </c>
      <c r="G6848" t="s">
        <v>419</v>
      </c>
      <c r="H6848" t="str">
        <f>VLOOKUP(record[[#This Row],[ProcessSN]],表格2_7[],2,FALSE)</f>
        <v>30-4118-018-5XX</v>
      </c>
      <c r="I6848" t="str">
        <f>VLOOKUP(record[[#This Row],[ProcessSN]],表格2_7[],3,FALSE)</f>
        <v>#07QC</v>
      </c>
      <c r="J6848" t="s">
        <v>589</v>
      </c>
      <c r="K6848" s="195">
        <v>45966.412569444445</v>
      </c>
      <c r="L6848">
        <v>208</v>
      </c>
      <c r="M6848">
        <v>0</v>
      </c>
      <c r="N6848" s="98" t="str">
        <f>IF(record[[#This Row],[Memo]]="Browser:chrome os:android","平板報工",IF(record[[#This Row],[Memo]]=0,"委外",record[[#This Row],[Memo]]))</f>
        <v/>
      </c>
      <c r="O6848" t="s">
        <v>58</v>
      </c>
      <c r="P6848" t="s">
        <v>141</v>
      </c>
      <c r="Q6848" t="s">
        <v>58</v>
      </c>
      <c r="R6848" t="str">
        <f>IFERROR(VLOOKUP(record[[#This Row],[PCUSTID]],廠商[],2,FALSE),"")</f>
        <v/>
      </c>
      <c r="S6848" t="str">
        <f>VLOOKUP(record[[#This Row],[employeeID]],員工[],2,FALSE)</f>
        <v>蔣梅</v>
      </c>
    </row>
    <row r="6849" spans="6:19" hidden="1" x14ac:dyDescent="0.25">
      <c r="F6849" t="s">
        <v>1169</v>
      </c>
      <c r="G6849" t="s">
        <v>417</v>
      </c>
      <c r="H6849" t="str">
        <f>VLOOKUP(record[[#This Row],[ProcessSN]],表格2_7[],2,FALSE)</f>
        <v>30-4118-018-5XX</v>
      </c>
      <c r="I6849" t="str">
        <f>VLOOKUP(record[[#This Row],[ProcessSN]],表格2_7[],3,FALSE)</f>
        <v>#06</v>
      </c>
      <c r="J6849" t="s">
        <v>593</v>
      </c>
      <c r="K6849" s="195">
        <v>45966.314768518518</v>
      </c>
      <c r="L6849">
        <v>121</v>
      </c>
      <c r="M6849">
        <v>0</v>
      </c>
      <c r="N6849" s="98" t="str">
        <f>IF(record[[#This Row],[Memo]]="Browser:chrome os:android","平板報工",IF(record[[#This Row],[Memo]]=0,"委外",record[[#This Row],[Memo]]))</f>
        <v/>
      </c>
      <c r="O6849" t="s">
        <v>58</v>
      </c>
      <c r="P6849" t="s">
        <v>135</v>
      </c>
      <c r="Q6849" t="s">
        <v>58</v>
      </c>
      <c r="R6849" t="str">
        <f>IFERROR(VLOOKUP(record[[#This Row],[PCUSTID]],廠商[],2,FALSE),"")</f>
        <v/>
      </c>
      <c r="S6849" t="str">
        <f>VLOOKUP(record[[#This Row],[employeeID]],員工[],2,FALSE)</f>
        <v>阮士文</v>
      </c>
    </row>
    <row r="6850" spans="6:19" hidden="1" x14ac:dyDescent="0.25">
      <c r="F6850" t="s">
        <v>1180</v>
      </c>
      <c r="G6850" t="s">
        <v>415</v>
      </c>
      <c r="H6850" t="str">
        <f>VLOOKUP(record[[#This Row],[ProcessSN]],表格2_7[],2,FALSE)</f>
        <v>30-4118-018-5XX</v>
      </c>
      <c r="I6850" t="str">
        <f>VLOOKUP(record[[#This Row],[ProcessSN]],表格2_7[],3,FALSE)</f>
        <v>#04</v>
      </c>
      <c r="J6850" t="s">
        <v>588</v>
      </c>
      <c r="K6850" s="195">
        <v>45966.313831018517</v>
      </c>
      <c r="L6850">
        <v>132</v>
      </c>
      <c r="M6850">
        <v>0</v>
      </c>
      <c r="N6850" s="98" t="str">
        <f>IF(record[[#This Row],[Memo]]="Browser:chrome os:android","平板報工",IF(record[[#This Row],[Memo]]=0,"委外",record[[#This Row],[Memo]]))</f>
        <v/>
      </c>
      <c r="O6850" t="s">
        <v>58</v>
      </c>
      <c r="P6850" t="s">
        <v>135</v>
      </c>
      <c r="Q6850" t="s">
        <v>58</v>
      </c>
      <c r="R6850" t="str">
        <f>IFERROR(VLOOKUP(record[[#This Row],[PCUSTID]],廠商[],2,FALSE),"")</f>
        <v/>
      </c>
      <c r="S6850" t="str">
        <f>VLOOKUP(record[[#This Row],[employeeID]],員工[],2,FALSE)</f>
        <v>阮士文</v>
      </c>
    </row>
    <row r="6851" spans="6:19" hidden="1" x14ac:dyDescent="0.25">
      <c r="F6851" t="s">
        <v>1180</v>
      </c>
      <c r="G6851" t="s">
        <v>414</v>
      </c>
      <c r="H6851" t="str">
        <f>VLOOKUP(record[[#This Row],[ProcessSN]],表格2_7[],2,FALSE)</f>
        <v>30-4118-018-5XX</v>
      </c>
      <c r="I6851" t="str">
        <f>VLOOKUP(record[[#This Row],[ProcessSN]],表格2_7[],3,FALSE)</f>
        <v>#03</v>
      </c>
      <c r="J6851" t="s">
        <v>588</v>
      </c>
      <c r="K6851" s="195">
        <v>45966.203472222223</v>
      </c>
      <c r="L6851">
        <v>7</v>
      </c>
      <c r="M6851">
        <v>0</v>
      </c>
      <c r="N6851" s="98" t="str">
        <f>IF(record[[#This Row],[Memo]]="Browser:chrome os:android","平板報工",IF(record[[#This Row],[Memo]]=0,"委外",record[[#This Row],[Memo]]))</f>
        <v/>
      </c>
      <c r="O6851" t="s">
        <v>58</v>
      </c>
      <c r="P6851" t="s">
        <v>135</v>
      </c>
      <c r="Q6851" t="s">
        <v>58</v>
      </c>
      <c r="R6851" t="str">
        <f>IFERROR(VLOOKUP(record[[#This Row],[PCUSTID]],廠商[],2,FALSE),"")</f>
        <v/>
      </c>
      <c r="S6851" t="str">
        <f>VLOOKUP(record[[#This Row],[employeeID]],員工[],2,FALSE)</f>
        <v>阮士文</v>
      </c>
    </row>
    <row r="6852" spans="6:19" hidden="1" x14ac:dyDescent="0.25">
      <c r="F6852" t="s">
        <v>1169</v>
      </c>
      <c r="G6852" t="s">
        <v>417</v>
      </c>
      <c r="H6852" t="str">
        <f>VLOOKUP(record[[#This Row],[ProcessSN]],表格2_7[],2,FALSE)</f>
        <v>30-4118-018-5XX</v>
      </c>
      <c r="I6852" t="str">
        <f>VLOOKUP(record[[#This Row],[ProcessSN]],表格2_7[],3,FALSE)</f>
        <v>#06</v>
      </c>
      <c r="J6852" t="s">
        <v>593</v>
      </c>
      <c r="K6852" s="195">
        <v>45965.975949074076</v>
      </c>
      <c r="L6852">
        <v>120</v>
      </c>
      <c r="M6852">
        <v>0</v>
      </c>
      <c r="N6852" s="98" t="str">
        <f>IF(record[[#This Row],[Memo]]="Browser:chrome os:android","平板報工",IF(record[[#This Row],[Memo]]=0,"委外",record[[#This Row],[Memo]]))</f>
        <v/>
      </c>
      <c r="O6852" t="s">
        <v>58</v>
      </c>
      <c r="P6852" t="s">
        <v>115</v>
      </c>
      <c r="Q6852" t="s">
        <v>58</v>
      </c>
      <c r="R6852" t="str">
        <f>IFERROR(VLOOKUP(record[[#This Row],[PCUSTID]],廠商[],2,FALSE),"")</f>
        <v/>
      </c>
      <c r="S6852" t="str">
        <f>VLOOKUP(record[[#This Row],[employeeID]],員工[],2,FALSE)</f>
        <v>溫智淵</v>
      </c>
    </row>
    <row r="6853" spans="6:19" hidden="1" x14ac:dyDescent="0.25">
      <c r="F6853" t="s">
        <v>1180</v>
      </c>
      <c r="G6853" t="s">
        <v>416</v>
      </c>
      <c r="H6853" t="str">
        <f>VLOOKUP(record[[#This Row],[ProcessSN]],表格2_7[],2,FALSE)</f>
        <v>30-4118-018-5XX</v>
      </c>
      <c r="I6853" t="str">
        <f>VLOOKUP(record[[#This Row],[ProcessSN]],表格2_7[],3,FALSE)</f>
        <v>#05</v>
      </c>
      <c r="J6853" t="s">
        <v>588</v>
      </c>
      <c r="K6853" s="195">
        <v>45965.973703703705</v>
      </c>
      <c r="L6853">
        <v>188</v>
      </c>
      <c r="M6853">
        <v>0</v>
      </c>
      <c r="N6853" s="98" t="str">
        <f>IF(record[[#This Row],[Memo]]="Browser:chrome os:android","平板報工",IF(record[[#This Row],[Memo]]=0,"委外",record[[#This Row],[Memo]]))</f>
        <v/>
      </c>
      <c r="O6853" t="s">
        <v>58</v>
      </c>
      <c r="P6853" t="s">
        <v>89</v>
      </c>
      <c r="Q6853" t="s">
        <v>58</v>
      </c>
      <c r="R6853" t="str">
        <f>IFERROR(VLOOKUP(record[[#This Row],[PCUSTID]],廠商[],2,FALSE),"")</f>
        <v/>
      </c>
      <c r="S6853" t="str">
        <f>VLOOKUP(record[[#This Row],[employeeID]],員工[],2,FALSE)</f>
        <v>李美蓮</v>
      </c>
    </row>
    <row r="6854" spans="6:19" hidden="1" x14ac:dyDescent="0.25">
      <c r="F6854" t="s">
        <v>1180</v>
      </c>
      <c r="G6854" t="s">
        <v>415</v>
      </c>
      <c r="H6854" t="str">
        <f>VLOOKUP(record[[#This Row],[ProcessSN]],表格2_7[],2,FALSE)</f>
        <v>30-4118-018-5XX</v>
      </c>
      <c r="I6854" t="str">
        <f>VLOOKUP(record[[#This Row],[ProcessSN]],表格2_7[],3,FALSE)</f>
        <v>#04</v>
      </c>
      <c r="J6854" t="s">
        <v>588</v>
      </c>
      <c r="K6854" s="195">
        <v>45965.972870370373</v>
      </c>
      <c r="L6854">
        <v>138</v>
      </c>
      <c r="M6854">
        <v>0</v>
      </c>
      <c r="N6854" s="98" t="str">
        <f>IF(record[[#This Row],[Memo]]="Browser:chrome os:android","平板報工",IF(record[[#This Row],[Memo]]=0,"委外",record[[#This Row],[Memo]]))</f>
        <v/>
      </c>
      <c r="O6854" t="s">
        <v>58</v>
      </c>
      <c r="P6854" t="s">
        <v>89</v>
      </c>
      <c r="Q6854" t="s">
        <v>58</v>
      </c>
      <c r="R6854" t="str">
        <f>IFERROR(VLOOKUP(record[[#This Row],[PCUSTID]],廠商[],2,FALSE),"")</f>
        <v/>
      </c>
      <c r="S6854" t="str">
        <f>VLOOKUP(record[[#This Row],[employeeID]],員工[],2,FALSE)</f>
        <v>李美蓮</v>
      </c>
    </row>
    <row r="6855" spans="6:19" hidden="1" x14ac:dyDescent="0.25">
      <c r="F6855" t="s">
        <v>1181</v>
      </c>
      <c r="G6855" t="s">
        <v>422</v>
      </c>
      <c r="H6855" t="str">
        <f>VLOOKUP(record[[#This Row],[ProcessSN]],表格2_7[],2,FALSE)</f>
        <v>30-4118-018-600</v>
      </c>
      <c r="I6855" t="str">
        <f>VLOOKUP(record[[#This Row],[ProcessSN]],表格2_7[],3,FALSE)</f>
        <v>#08</v>
      </c>
      <c r="J6855" t="s">
        <v>597</v>
      </c>
      <c r="K6855" s="195">
        <v>45965.655717592592</v>
      </c>
      <c r="L6855">
        <v>634</v>
      </c>
      <c r="M6855">
        <v>0</v>
      </c>
      <c r="N6855" s="98" t="str">
        <f>IF(record[[#This Row],[Memo]]="Browser:chrome os:android","平板報工",IF(record[[#This Row],[Memo]]=0,"委外",record[[#This Row],[Memo]]))</f>
        <v>委外</v>
      </c>
      <c r="P6855" t="s">
        <v>186</v>
      </c>
      <c r="Q6855" t="s">
        <v>287</v>
      </c>
      <c r="R6855" t="str">
        <f>IFERROR(VLOOKUP(record[[#This Row],[PCUSTID]],廠商[],2,FALSE),"")</f>
        <v>泉盛</v>
      </c>
      <c r="S6855" t="str">
        <f>VLOOKUP(record[[#This Row],[employeeID]],員工[],2,FALSE)</f>
        <v>許文姍</v>
      </c>
    </row>
    <row r="6856" spans="6:19" hidden="1" x14ac:dyDescent="0.25">
      <c r="F6856" t="s">
        <v>1181</v>
      </c>
      <c r="G6856" t="s">
        <v>421</v>
      </c>
      <c r="H6856" t="str">
        <f>VLOOKUP(record[[#This Row],[ProcessSN]],表格2_7[],2,FALSE)</f>
        <v>30-4118-018-600</v>
      </c>
      <c r="I6856" t="str">
        <f>VLOOKUP(record[[#This Row],[ProcessSN]],表格2_7[],3,FALSE)</f>
        <v>#08PICK</v>
      </c>
      <c r="J6856" t="s">
        <v>582</v>
      </c>
      <c r="K6856" s="195">
        <v>45965.655486111114</v>
      </c>
      <c r="L6856">
        <v>634</v>
      </c>
      <c r="M6856">
        <v>0</v>
      </c>
      <c r="N6856" s="98" t="str">
        <f>IF(record[[#This Row],[Memo]]="Browser:chrome os:android","平板報工",IF(record[[#This Row],[Memo]]=0,"委外",record[[#This Row],[Memo]]))</f>
        <v/>
      </c>
      <c r="O6856" t="s">
        <v>58</v>
      </c>
      <c r="P6856" t="s">
        <v>186</v>
      </c>
      <c r="Q6856" t="s">
        <v>58</v>
      </c>
      <c r="R6856" t="str">
        <f>IFERROR(VLOOKUP(record[[#This Row],[PCUSTID]],廠商[],2,FALSE),"")</f>
        <v/>
      </c>
      <c r="S6856" t="str">
        <f>VLOOKUP(record[[#This Row],[employeeID]],員工[],2,FALSE)</f>
        <v>許文姍</v>
      </c>
    </row>
    <row r="6857" spans="6:19" hidden="1" x14ac:dyDescent="0.25">
      <c r="F6857" t="s">
        <v>1148</v>
      </c>
      <c r="G6857" t="s">
        <v>466</v>
      </c>
      <c r="H6857" t="str">
        <f>VLOOKUP(record[[#This Row],[ProcessSN]],表格2_7[],2,FALSE)</f>
        <v>30-4118-018-XXX</v>
      </c>
      <c r="I6857" t="str">
        <f>VLOOKUP(record[[#This Row],[ProcessSN]],表格2_7[],3,FALSE)</f>
        <v>#01-2</v>
      </c>
      <c r="J6857" t="s">
        <v>588</v>
      </c>
      <c r="K6857" s="195">
        <v>45965.653749999998</v>
      </c>
      <c r="L6857">
        <v>114</v>
      </c>
      <c r="M6857">
        <v>0</v>
      </c>
      <c r="N6857" s="98" t="str">
        <f>IF(record[[#This Row],[Memo]]="Browser:chrome os:android","平板報工",IF(record[[#This Row],[Memo]]=0,"委外",record[[#This Row],[Memo]]))</f>
        <v>平板報工</v>
      </c>
      <c r="O6857" t="s">
        <v>643</v>
      </c>
      <c r="P6857" t="s">
        <v>145</v>
      </c>
      <c r="Q6857" t="s">
        <v>644</v>
      </c>
      <c r="R6857" t="str">
        <f>IFERROR(VLOOKUP(record[[#This Row],[PCUSTID]],廠商[],2,FALSE),"")</f>
        <v/>
      </c>
      <c r="S6857" t="str">
        <f>VLOOKUP(record[[#This Row],[employeeID]],員工[],2,FALSE)</f>
        <v>阮秋霞</v>
      </c>
    </row>
    <row r="6858" spans="6:19" hidden="1" x14ac:dyDescent="0.25">
      <c r="F6858" t="s">
        <v>1148</v>
      </c>
      <c r="G6858" t="s">
        <v>465</v>
      </c>
      <c r="H6858" t="str">
        <f>VLOOKUP(record[[#This Row],[ProcessSN]],表格2_7[],2,FALSE)</f>
        <v>30-4118-018-XXX</v>
      </c>
      <c r="I6858" t="str">
        <f>VLOOKUP(record[[#This Row],[ProcessSN]],表格2_7[],3,FALSE)</f>
        <v>#01-1</v>
      </c>
      <c r="J6858" t="s">
        <v>588</v>
      </c>
      <c r="K6858" s="195">
        <v>45965.653564814813</v>
      </c>
      <c r="L6858">
        <v>114</v>
      </c>
      <c r="M6858">
        <v>0</v>
      </c>
      <c r="N6858" s="98" t="str">
        <f>IF(record[[#This Row],[Memo]]="Browser:chrome os:android","平板報工",IF(record[[#This Row],[Memo]]=0,"委外",record[[#This Row],[Memo]]))</f>
        <v>平板報工</v>
      </c>
      <c r="O6858" t="s">
        <v>643</v>
      </c>
      <c r="P6858" t="s">
        <v>145</v>
      </c>
      <c r="Q6858" t="s">
        <v>644</v>
      </c>
      <c r="R6858" t="str">
        <f>IFERROR(VLOOKUP(record[[#This Row],[PCUSTID]],廠商[],2,FALSE),"")</f>
        <v/>
      </c>
      <c r="S6858" t="str">
        <f>VLOOKUP(record[[#This Row],[employeeID]],員工[],2,FALSE)</f>
        <v>阮秋霞</v>
      </c>
    </row>
    <row r="6859" spans="6:19" hidden="1" x14ac:dyDescent="0.25">
      <c r="F6859" t="s">
        <v>1180</v>
      </c>
      <c r="G6859" t="s">
        <v>416</v>
      </c>
      <c r="H6859" t="str">
        <f>VLOOKUP(record[[#This Row],[ProcessSN]],表格2_7[],2,FALSE)</f>
        <v>30-4118-018-5XX</v>
      </c>
      <c r="I6859" t="str">
        <f>VLOOKUP(record[[#This Row],[ProcessSN]],表格2_7[],3,FALSE)</f>
        <v>#05</v>
      </c>
      <c r="J6859" t="s">
        <v>588</v>
      </c>
      <c r="K6859" s="195">
        <v>45965.65247685185</v>
      </c>
      <c r="L6859">
        <v>214</v>
      </c>
      <c r="M6859">
        <v>0</v>
      </c>
      <c r="N6859" s="98" t="str">
        <f>IF(record[[#This Row],[Memo]]="Browser:chrome os:android","平板報工",IF(record[[#This Row],[Memo]]=0,"委外",record[[#This Row],[Memo]]))</f>
        <v>平板報工</v>
      </c>
      <c r="O6859" t="s">
        <v>643</v>
      </c>
      <c r="P6859" t="s">
        <v>785</v>
      </c>
      <c r="Q6859" t="s">
        <v>644</v>
      </c>
      <c r="R6859" t="str">
        <f>IFERROR(VLOOKUP(record[[#This Row],[PCUSTID]],廠商[],2,FALSE),"")</f>
        <v/>
      </c>
      <c r="S6859" t="str">
        <f>VLOOKUP(record[[#This Row],[employeeID]],員工[],2,FALSE)</f>
        <v>謝刻光</v>
      </c>
    </row>
    <row r="6860" spans="6:19" hidden="1" x14ac:dyDescent="0.25">
      <c r="F6860" t="s">
        <v>1180</v>
      </c>
      <c r="G6860" t="s">
        <v>415</v>
      </c>
      <c r="H6860" t="str">
        <f>VLOOKUP(record[[#This Row],[ProcessSN]],表格2_7[],2,FALSE)</f>
        <v>30-4118-018-5XX</v>
      </c>
      <c r="I6860" t="str">
        <f>VLOOKUP(record[[#This Row],[ProcessSN]],表格2_7[],3,FALSE)</f>
        <v>#04</v>
      </c>
      <c r="J6860" t="s">
        <v>588</v>
      </c>
      <c r="K6860" s="195">
        <v>45965.652013888888</v>
      </c>
      <c r="L6860">
        <v>103</v>
      </c>
      <c r="M6860">
        <v>0</v>
      </c>
      <c r="N6860" s="98" t="str">
        <f>IF(record[[#This Row],[Memo]]="Browser:chrome os:android","平板報工",IF(record[[#This Row],[Memo]]=0,"委外",record[[#This Row],[Memo]]))</f>
        <v>平板報工</v>
      </c>
      <c r="O6860" t="s">
        <v>643</v>
      </c>
      <c r="P6860" t="s">
        <v>785</v>
      </c>
      <c r="Q6860" t="s">
        <v>644</v>
      </c>
      <c r="R6860" t="str">
        <f>IFERROR(VLOOKUP(record[[#This Row],[PCUSTID]],廠商[],2,FALSE),"")</f>
        <v/>
      </c>
      <c r="S6860" t="str">
        <f>VLOOKUP(record[[#This Row],[employeeID]],員工[],2,FALSE)</f>
        <v>謝刻光</v>
      </c>
    </row>
    <row r="6861" spans="6:19" hidden="1" x14ac:dyDescent="0.25">
      <c r="F6861" t="s">
        <v>1169</v>
      </c>
      <c r="G6861" t="s">
        <v>417</v>
      </c>
      <c r="H6861" t="str">
        <f>VLOOKUP(record[[#This Row],[ProcessSN]],表格2_7[],2,FALSE)</f>
        <v>30-4118-018-5XX</v>
      </c>
      <c r="I6861" t="str">
        <f>VLOOKUP(record[[#This Row],[ProcessSN]],表格2_7[],3,FALSE)</f>
        <v>#06</v>
      </c>
      <c r="J6861" t="s">
        <v>593</v>
      </c>
      <c r="K6861" s="195">
        <v>45965.646180555559</v>
      </c>
      <c r="L6861">
        <v>102</v>
      </c>
      <c r="M6861">
        <v>0</v>
      </c>
      <c r="N6861" s="98" t="str">
        <f>IF(record[[#This Row],[Memo]]="Browser:chrome os:android","平板報工",IF(record[[#This Row],[Memo]]=0,"委外",record[[#This Row],[Memo]]))</f>
        <v>平板報工</v>
      </c>
      <c r="O6861" t="s">
        <v>643</v>
      </c>
      <c r="P6861" t="s">
        <v>111</v>
      </c>
      <c r="Q6861" t="s">
        <v>644</v>
      </c>
      <c r="R6861" t="str">
        <f>IFERROR(VLOOKUP(record[[#This Row],[PCUSTID]],廠商[],2,FALSE),"")</f>
        <v/>
      </c>
      <c r="S6861" t="str">
        <f>VLOOKUP(record[[#This Row],[employeeID]],員工[],2,FALSE)</f>
        <v>江栩妘</v>
      </c>
    </row>
    <row r="6862" spans="6:19" hidden="1" x14ac:dyDescent="0.25">
      <c r="F6862" t="s">
        <v>1117</v>
      </c>
      <c r="G6862" t="s">
        <v>428</v>
      </c>
      <c r="H6862" t="str">
        <f>VLOOKUP(record[[#This Row],[ProcessSN]],表格2_7[],2,FALSE)</f>
        <v>30-4118-018-600</v>
      </c>
      <c r="I6862" t="str">
        <f>VLOOKUP(record[[#This Row],[ProcessSN]],表格2_7[],3,FALSE)</f>
        <v>#100SHIP</v>
      </c>
      <c r="J6862" t="s">
        <v>600</v>
      </c>
      <c r="K6862" s="195">
        <v>45965.63652777778</v>
      </c>
      <c r="L6862">
        <v>3</v>
      </c>
      <c r="M6862">
        <v>0</v>
      </c>
      <c r="N6862" s="98" t="str">
        <f>IF(record[[#This Row],[Memo]]="Browser:chrome os:android","平板報工",IF(record[[#This Row],[Memo]]=0,"委外",record[[#This Row],[Memo]]))</f>
        <v/>
      </c>
      <c r="O6862" t="s">
        <v>58</v>
      </c>
      <c r="P6862" t="s">
        <v>886</v>
      </c>
      <c r="Q6862" t="s">
        <v>58</v>
      </c>
      <c r="R6862" t="str">
        <f>IFERROR(VLOOKUP(record[[#This Row],[PCUSTID]],廠商[],2,FALSE),"")</f>
        <v/>
      </c>
      <c r="S6862" t="str">
        <f>VLOOKUP(record[[#This Row],[employeeID]],員工[],2,FALSE)</f>
        <v>謝蓁薰</v>
      </c>
    </row>
    <row r="6863" spans="6:19" hidden="1" x14ac:dyDescent="0.25">
      <c r="F6863" t="s">
        <v>1158</v>
      </c>
      <c r="G6863" t="s">
        <v>403</v>
      </c>
      <c r="H6863" t="str">
        <f>VLOOKUP(record[[#This Row],[ProcessSN]],表格2_7[],2,FALSE)</f>
        <v>30-4118-018-550</v>
      </c>
      <c r="I6863" t="str">
        <f>VLOOKUP(record[[#This Row],[ProcessSN]],表格2_7[],3,FALSE)</f>
        <v>#100SHIP</v>
      </c>
      <c r="J6863" t="s">
        <v>600</v>
      </c>
      <c r="K6863" s="195">
        <v>45965.636377314811</v>
      </c>
      <c r="L6863">
        <v>2</v>
      </c>
      <c r="M6863">
        <v>0</v>
      </c>
      <c r="N6863" s="98" t="str">
        <f>IF(record[[#This Row],[Memo]]="Browser:chrome os:android","平板報工",IF(record[[#This Row],[Memo]]=0,"委外",record[[#This Row],[Memo]]))</f>
        <v/>
      </c>
      <c r="O6863" t="s">
        <v>58</v>
      </c>
      <c r="P6863" t="s">
        <v>886</v>
      </c>
      <c r="Q6863" t="s">
        <v>58</v>
      </c>
      <c r="R6863" t="str">
        <f>IFERROR(VLOOKUP(record[[#This Row],[PCUSTID]],廠商[],2,FALSE),"")</f>
        <v/>
      </c>
      <c r="S6863" t="str">
        <f>VLOOKUP(record[[#This Row],[employeeID]],員工[],2,FALSE)</f>
        <v>謝蓁薰</v>
      </c>
    </row>
    <row r="6864" spans="6:19" hidden="1" x14ac:dyDescent="0.25">
      <c r="F6864" t="s">
        <v>1158</v>
      </c>
      <c r="G6864" t="s">
        <v>402</v>
      </c>
      <c r="H6864" t="str">
        <f>VLOOKUP(record[[#This Row],[ProcessSN]],表格2_7[],2,FALSE)</f>
        <v>30-4118-018-550</v>
      </c>
      <c r="I6864" t="str">
        <f>VLOOKUP(record[[#This Row],[ProcessSN]],表格2_7[],3,FALSE)</f>
        <v>#100STOCK</v>
      </c>
      <c r="J6864" t="s">
        <v>592</v>
      </c>
      <c r="K6864" s="195">
        <v>45965.636273148149</v>
      </c>
      <c r="L6864">
        <v>138</v>
      </c>
      <c r="M6864">
        <v>0</v>
      </c>
      <c r="N6864" s="98" t="str">
        <f>IF(record[[#This Row],[Memo]]="Browser:chrome os:android","平板報工",IF(record[[#This Row],[Memo]]=0,"委外",record[[#This Row],[Memo]]))</f>
        <v/>
      </c>
      <c r="O6864" t="s">
        <v>58</v>
      </c>
      <c r="P6864" t="s">
        <v>886</v>
      </c>
      <c r="Q6864" t="s">
        <v>58</v>
      </c>
      <c r="R6864" t="str">
        <f>IFERROR(VLOOKUP(record[[#This Row],[PCUSTID]],廠商[],2,FALSE),"")</f>
        <v/>
      </c>
      <c r="S6864" t="str">
        <f>VLOOKUP(record[[#This Row],[employeeID]],員工[],2,FALSE)</f>
        <v>謝蓁薰</v>
      </c>
    </row>
    <row r="6865" spans="6:19" hidden="1" x14ac:dyDescent="0.25">
      <c r="F6865" t="s">
        <v>1191</v>
      </c>
      <c r="G6865" t="s">
        <v>397</v>
      </c>
      <c r="H6865" t="str">
        <f>VLOOKUP(record[[#This Row],[ProcessSN]],表格2_7[],2,FALSE)</f>
        <v>30-4118-018-550</v>
      </c>
      <c r="I6865" t="str">
        <f>VLOOKUP(record[[#This Row],[ProcessSN]],表格2_7[],3,FALSE)</f>
        <v>#08</v>
      </c>
      <c r="J6865" t="s">
        <v>597</v>
      </c>
      <c r="K6865" s="195">
        <v>45965.587048611109</v>
      </c>
      <c r="L6865">
        <v>170</v>
      </c>
      <c r="M6865">
        <v>0</v>
      </c>
      <c r="N6865" s="98" t="str">
        <f>IF(record[[#This Row],[Memo]]="Browser:chrome os:android","平板報工",IF(record[[#This Row],[Memo]]=0,"委外",record[[#This Row],[Memo]]))</f>
        <v>委外</v>
      </c>
      <c r="P6865" t="s">
        <v>186</v>
      </c>
      <c r="Q6865" t="s">
        <v>287</v>
      </c>
      <c r="R6865" t="str">
        <f>IFERROR(VLOOKUP(record[[#This Row],[PCUSTID]],廠商[],2,FALSE),"")</f>
        <v>泉盛</v>
      </c>
      <c r="S6865" t="str">
        <f>VLOOKUP(record[[#This Row],[employeeID]],員工[],2,FALSE)</f>
        <v>許文姍</v>
      </c>
    </row>
    <row r="6866" spans="6:19" hidden="1" x14ac:dyDescent="0.25">
      <c r="F6866" t="s">
        <v>1191</v>
      </c>
      <c r="G6866" t="s">
        <v>396</v>
      </c>
      <c r="H6866" t="str">
        <f>VLOOKUP(record[[#This Row],[ProcessSN]],表格2_7[],2,FALSE)</f>
        <v>30-4118-018-550</v>
      </c>
      <c r="I6866" t="str">
        <f>VLOOKUP(record[[#This Row],[ProcessSN]],表格2_7[],3,FALSE)</f>
        <v>#08PICK</v>
      </c>
      <c r="J6866" t="s">
        <v>582</v>
      </c>
      <c r="K6866" s="195">
        <v>45965.585196759261</v>
      </c>
      <c r="L6866">
        <v>170</v>
      </c>
      <c r="M6866">
        <v>0</v>
      </c>
      <c r="N6866" s="98" t="str">
        <f>IF(record[[#This Row],[Memo]]="Browser:chrome os:android","平板報工",IF(record[[#This Row],[Memo]]=0,"委外",record[[#This Row],[Memo]]))</f>
        <v/>
      </c>
      <c r="O6866" t="s">
        <v>58</v>
      </c>
      <c r="P6866" t="s">
        <v>113</v>
      </c>
      <c r="Q6866" t="s">
        <v>58</v>
      </c>
      <c r="R6866" t="str">
        <f>IFERROR(VLOOKUP(record[[#This Row],[PCUSTID]],廠商[],2,FALSE),"")</f>
        <v/>
      </c>
      <c r="S6866" t="str">
        <f>VLOOKUP(record[[#This Row],[employeeID]],員工[],2,FALSE)</f>
        <v>王奕蓁</v>
      </c>
    </row>
    <row r="6867" spans="6:19" hidden="1" x14ac:dyDescent="0.25">
      <c r="F6867" t="s">
        <v>1169</v>
      </c>
      <c r="G6867" t="s">
        <v>419</v>
      </c>
      <c r="H6867" t="str">
        <f>VLOOKUP(record[[#This Row],[ProcessSN]],表格2_7[],2,FALSE)</f>
        <v>30-4118-018-5XX</v>
      </c>
      <c r="I6867" t="str">
        <f>VLOOKUP(record[[#This Row],[ProcessSN]],表格2_7[],3,FALSE)</f>
        <v>#07QC</v>
      </c>
      <c r="J6867" t="s">
        <v>589</v>
      </c>
      <c r="K6867" s="195">
        <v>45965.555138888885</v>
      </c>
      <c r="L6867">
        <v>50</v>
      </c>
      <c r="M6867">
        <v>0</v>
      </c>
      <c r="N6867" s="98" t="str">
        <f>IF(record[[#This Row],[Memo]]="Browser:chrome os:android","平板報工",IF(record[[#This Row],[Memo]]=0,"委外",record[[#This Row],[Memo]]))</f>
        <v>覆回品</v>
      </c>
      <c r="O6867" t="s">
        <v>664</v>
      </c>
      <c r="P6867" t="s">
        <v>141</v>
      </c>
      <c r="Q6867" t="s">
        <v>58</v>
      </c>
      <c r="R6867" t="str">
        <f>IFERROR(VLOOKUP(record[[#This Row],[PCUSTID]],廠商[],2,FALSE),"")</f>
        <v/>
      </c>
      <c r="S6867" t="str">
        <f>VLOOKUP(record[[#This Row],[employeeID]],員工[],2,FALSE)</f>
        <v>蔣梅</v>
      </c>
    </row>
    <row r="6868" spans="6:19" hidden="1" x14ac:dyDescent="0.25">
      <c r="F6868" t="s">
        <v>1189</v>
      </c>
      <c r="G6868" t="s">
        <v>413</v>
      </c>
      <c r="H6868" t="str">
        <f>VLOOKUP(record[[#This Row],[ProcessSN]],表格2_7[],2,FALSE)</f>
        <v>30-4118-018-5XX</v>
      </c>
      <c r="I6868" t="str">
        <f>VLOOKUP(record[[#This Row],[ProcessSN]],表格2_7[],3,FALSE)</f>
        <v>#03GIVE</v>
      </c>
      <c r="J6868" t="s">
        <v>587</v>
      </c>
      <c r="K6868" s="195">
        <v>45965.476319444446</v>
      </c>
      <c r="L6868">
        <v>2154</v>
      </c>
      <c r="M6868">
        <v>0</v>
      </c>
      <c r="N6868" s="98" t="str">
        <f>IF(record[[#This Row],[Memo]]="Browser:chrome os:android","平板報工",IF(record[[#This Row],[Memo]]=0,"委外",record[[#This Row],[Memo]]))</f>
        <v/>
      </c>
      <c r="O6868" t="s">
        <v>58</v>
      </c>
      <c r="P6868" t="s">
        <v>1070</v>
      </c>
      <c r="Q6868" t="s">
        <v>58</v>
      </c>
      <c r="R6868" t="str">
        <f>IFERROR(VLOOKUP(record[[#This Row],[PCUSTID]],廠商[],2,FALSE),"")</f>
        <v/>
      </c>
      <c r="S6868" t="str">
        <f>VLOOKUP(record[[#This Row],[employeeID]],員工[],2,FALSE)</f>
        <v>陳昱佑</v>
      </c>
    </row>
    <row r="6869" spans="6:19" hidden="1" x14ac:dyDescent="0.25">
      <c r="F6869" t="s">
        <v>1043</v>
      </c>
      <c r="G6869" t="s">
        <v>471</v>
      </c>
      <c r="H6869" t="str">
        <f>VLOOKUP(record[[#This Row],[ProcessSN]],表格2_7[],2,FALSE)</f>
        <v>30-4118-018-XXX</v>
      </c>
      <c r="I6869" t="str">
        <f>VLOOKUP(record[[#This Row],[ProcessSN]],表格2_7[],3,FALSE)</f>
        <v>#02STOCK</v>
      </c>
      <c r="J6869" t="s">
        <v>592</v>
      </c>
      <c r="K6869" s="195">
        <v>45965.463229166664</v>
      </c>
      <c r="L6869">
        <v>2154</v>
      </c>
      <c r="M6869">
        <v>0</v>
      </c>
      <c r="N6869" s="98" t="str">
        <f>IF(record[[#This Row],[Memo]]="Browser:chrome os:android","平板報工",IF(record[[#This Row],[Memo]]=0,"委外",record[[#This Row],[Memo]]))</f>
        <v/>
      </c>
      <c r="O6869" t="s">
        <v>58</v>
      </c>
      <c r="P6869" t="s">
        <v>1070</v>
      </c>
      <c r="Q6869" t="s">
        <v>58</v>
      </c>
      <c r="R6869" t="str">
        <f>IFERROR(VLOOKUP(record[[#This Row],[PCUSTID]],廠商[],2,FALSE),"")</f>
        <v/>
      </c>
      <c r="S6869" t="str">
        <f>VLOOKUP(record[[#This Row],[employeeID]],員工[],2,FALSE)</f>
        <v>陳昱佑</v>
      </c>
    </row>
    <row r="6870" spans="6:19" hidden="1" x14ac:dyDescent="0.25">
      <c r="F6870" t="s">
        <v>1189</v>
      </c>
      <c r="G6870" t="s">
        <v>412</v>
      </c>
      <c r="H6870" t="str">
        <f>VLOOKUP(record[[#This Row],[ProcessSN]],表格2_7[],2,FALSE)</f>
        <v>30-4118-018-5XX</v>
      </c>
      <c r="I6870" t="str">
        <f>VLOOKUP(record[[#This Row],[ProcessSN]],表格2_7[],3,FALSE)</f>
        <v>#03PICK</v>
      </c>
      <c r="J6870" t="s">
        <v>582</v>
      </c>
      <c r="K6870" s="195">
        <v>45965.424942129626</v>
      </c>
      <c r="L6870">
        <v>2154</v>
      </c>
      <c r="M6870">
        <v>0</v>
      </c>
      <c r="N6870" s="98" t="str">
        <f>IF(record[[#This Row],[Memo]]="Browser:chrome os:android","平板報工",IF(record[[#This Row],[Memo]]=0,"委外",record[[#This Row],[Memo]]))</f>
        <v/>
      </c>
      <c r="O6870" t="s">
        <v>58</v>
      </c>
      <c r="P6870" t="s">
        <v>113</v>
      </c>
      <c r="Q6870" t="s">
        <v>58</v>
      </c>
      <c r="R6870" t="str">
        <f>IFERROR(VLOOKUP(record[[#This Row],[PCUSTID]],廠商[],2,FALSE),"")</f>
        <v/>
      </c>
      <c r="S6870" t="str">
        <f>VLOOKUP(record[[#This Row],[employeeID]],員工[],2,FALSE)</f>
        <v>王奕蓁</v>
      </c>
    </row>
    <row r="6871" spans="6:19" hidden="1" x14ac:dyDescent="0.25">
      <c r="F6871" t="s">
        <v>1169</v>
      </c>
      <c r="G6871" t="s">
        <v>417</v>
      </c>
      <c r="H6871" t="str">
        <f>VLOOKUP(record[[#This Row],[ProcessSN]],表格2_7[],2,FALSE)</f>
        <v>30-4118-018-5XX</v>
      </c>
      <c r="I6871" t="str">
        <f>VLOOKUP(record[[#This Row],[ProcessSN]],表格2_7[],3,FALSE)</f>
        <v>#06</v>
      </c>
      <c r="J6871" t="s">
        <v>593</v>
      </c>
      <c r="K6871" s="195">
        <v>45965.396990740737</v>
      </c>
      <c r="L6871">
        <v>1</v>
      </c>
      <c r="M6871">
        <v>0</v>
      </c>
      <c r="N6871" s="98" t="str">
        <f>IF(record[[#This Row],[Memo]]="Browser:chrome os:android","平板報工",IF(record[[#This Row],[Memo]]=0,"委外",record[[#This Row],[Memo]]))</f>
        <v>11/4覆回*1PCS</v>
      </c>
      <c r="O6871" t="s">
        <v>1188</v>
      </c>
      <c r="P6871" t="s">
        <v>1075</v>
      </c>
      <c r="Q6871" t="s">
        <v>58</v>
      </c>
      <c r="R6871" t="str">
        <f>IFERROR(VLOOKUP(record[[#This Row],[PCUSTID]],廠商[],2,FALSE),"")</f>
        <v/>
      </c>
      <c r="S6871" t="str">
        <f>VLOOKUP(record[[#This Row],[employeeID]],員工[],2,FALSE)</f>
        <v>吳宥叡</v>
      </c>
    </row>
    <row r="6872" spans="6:19" hidden="1" x14ac:dyDescent="0.25">
      <c r="F6872" t="s">
        <v>1169</v>
      </c>
      <c r="G6872" t="s">
        <v>416</v>
      </c>
      <c r="H6872" t="str">
        <f>VLOOKUP(record[[#This Row],[ProcessSN]],表格2_7[],2,FALSE)</f>
        <v>30-4118-018-5XX</v>
      </c>
      <c r="I6872" t="str">
        <f>VLOOKUP(record[[#This Row],[ProcessSN]],表格2_7[],3,FALSE)</f>
        <v>#05</v>
      </c>
      <c r="J6872" t="s">
        <v>588</v>
      </c>
      <c r="K6872" s="195">
        <v>45965.396666666667</v>
      </c>
      <c r="L6872">
        <v>1</v>
      </c>
      <c r="M6872">
        <v>0</v>
      </c>
      <c r="N6872" s="98" t="str">
        <f>IF(record[[#This Row],[Memo]]="Browser:chrome os:android","平板報工",IF(record[[#This Row],[Memo]]=0,"委外",record[[#This Row],[Memo]]))</f>
        <v>11/4覆回*1PCS</v>
      </c>
      <c r="O6872" t="s">
        <v>1188</v>
      </c>
      <c r="P6872" t="s">
        <v>1075</v>
      </c>
      <c r="Q6872" t="s">
        <v>58</v>
      </c>
      <c r="R6872" t="str">
        <f>IFERROR(VLOOKUP(record[[#This Row],[PCUSTID]],廠商[],2,FALSE),"")</f>
        <v/>
      </c>
      <c r="S6872" t="str">
        <f>VLOOKUP(record[[#This Row],[employeeID]],員工[],2,FALSE)</f>
        <v>吳宥叡</v>
      </c>
    </row>
    <row r="6873" spans="6:19" hidden="1" x14ac:dyDescent="0.25">
      <c r="F6873" t="s">
        <v>1169</v>
      </c>
      <c r="G6873" t="s">
        <v>419</v>
      </c>
      <c r="H6873" t="str">
        <f>VLOOKUP(record[[#This Row],[ProcessSN]],表格2_7[],2,FALSE)</f>
        <v>30-4118-018-5XX</v>
      </c>
      <c r="I6873" t="str">
        <f>VLOOKUP(record[[#This Row],[ProcessSN]],表格2_7[],3,FALSE)</f>
        <v>#07QC</v>
      </c>
      <c r="J6873" t="s">
        <v>589</v>
      </c>
      <c r="K6873" s="195">
        <v>45965.39371527778</v>
      </c>
      <c r="L6873">
        <v>117</v>
      </c>
      <c r="M6873">
        <v>0</v>
      </c>
      <c r="N6873" s="98" t="str">
        <f>IF(record[[#This Row],[Memo]]="Browser:chrome os:android","平板報工",IF(record[[#This Row],[Memo]]=0,"委外",record[[#This Row],[Memo]]))</f>
        <v/>
      </c>
      <c r="O6873" t="s">
        <v>58</v>
      </c>
      <c r="P6873" t="s">
        <v>141</v>
      </c>
      <c r="Q6873" t="s">
        <v>58</v>
      </c>
      <c r="R6873" t="str">
        <f>IFERROR(VLOOKUP(record[[#This Row],[PCUSTID]],廠商[],2,FALSE),"")</f>
        <v/>
      </c>
      <c r="S6873" t="str">
        <f>VLOOKUP(record[[#This Row],[employeeID]],員工[],2,FALSE)</f>
        <v>蔣梅</v>
      </c>
    </row>
    <row r="6874" spans="6:19" hidden="1" x14ac:dyDescent="0.25">
      <c r="F6874" t="s">
        <v>897</v>
      </c>
      <c r="G6874" t="s">
        <v>419</v>
      </c>
      <c r="H6874" t="str">
        <f>VLOOKUP(record[[#This Row],[ProcessSN]],表格2_7[],2,FALSE)</f>
        <v>30-4118-018-5XX</v>
      </c>
      <c r="I6874" t="str">
        <f>VLOOKUP(record[[#This Row],[ProcessSN]],表格2_7[],3,FALSE)</f>
        <v>#07QC</v>
      </c>
      <c r="J6874" t="s">
        <v>589</v>
      </c>
      <c r="K6874" s="195">
        <v>45965.393460648149</v>
      </c>
      <c r="L6874">
        <v>3</v>
      </c>
      <c r="M6874">
        <v>0</v>
      </c>
      <c r="N6874" s="98" t="str">
        <f>IF(record[[#This Row],[Memo]]="Browser:chrome os:android","平板報工",IF(record[[#This Row],[Memo]]=0,"委外",record[[#This Row],[Memo]]))</f>
        <v>覆回品</v>
      </c>
      <c r="O6874" t="s">
        <v>664</v>
      </c>
      <c r="P6874" t="s">
        <v>141</v>
      </c>
      <c r="Q6874" t="s">
        <v>58</v>
      </c>
      <c r="R6874" t="str">
        <f>IFERROR(VLOOKUP(record[[#This Row],[PCUSTID]],廠商[],2,FALSE),"")</f>
        <v/>
      </c>
      <c r="S6874" t="str">
        <f>VLOOKUP(record[[#This Row],[employeeID]],員工[],2,FALSE)</f>
        <v>蔣梅</v>
      </c>
    </row>
    <row r="6875" spans="6:19" hidden="1" x14ac:dyDescent="0.25">
      <c r="F6875" t="s">
        <v>1169</v>
      </c>
      <c r="G6875" t="s">
        <v>415</v>
      </c>
      <c r="H6875" t="str">
        <f>VLOOKUP(record[[#This Row],[ProcessSN]],表格2_7[],2,FALSE)</f>
        <v>30-4118-018-5XX</v>
      </c>
      <c r="I6875" t="str">
        <f>VLOOKUP(record[[#This Row],[ProcessSN]],表格2_7[],3,FALSE)</f>
        <v>#04</v>
      </c>
      <c r="J6875" t="s">
        <v>588</v>
      </c>
      <c r="K6875" s="195">
        <v>45965.359050925923</v>
      </c>
      <c r="L6875">
        <v>97</v>
      </c>
      <c r="M6875">
        <v>0</v>
      </c>
      <c r="N6875" s="98" t="str">
        <f>IF(record[[#This Row],[Memo]]="Browser:chrome os:android","平板報工",IF(record[[#This Row],[Memo]]=0,"委外",record[[#This Row],[Memo]]))</f>
        <v>11/4覆回*1pcs</v>
      </c>
      <c r="O6875" t="s">
        <v>1187</v>
      </c>
      <c r="P6875" t="s">
        <v>1075</v>
      </c>
      <c r="Q6875" t="s">
        <v>58</v>
      </c>
      <c r="R6875" t="str">
        <f>IFERROR(VLOOKUP(record[[#This Row],[PCUSTID]],廠商[],2,FALSE),"")</f>
        <v/>
      </c>
      <c r="S6875" t="str">
        <f>VLOOKUP(record[[#This Row],[employeeID]],員工[],2,FALSE)</f>
        <v>吳宥叡</v>
      </c>
    </row>
    <row r="6876" spans="6:19" hidden="1" x14ac:dyDescent="0.25">
      <c r="F6876" t="s">
        <v>1169</v>
      </c>
      <c r="G6876" t="s">
        <v>417</v>
      </c>
      <c r="H6876" t="str">
        <f>VLOOKUP(record[[#This Row],[ProcessSN]],表格2_7[],2,FALSE)</f>
        <v>30-4118-018-5XX</v>
      </c>
      <c r="I6876" t="str">
        <f>VLOOKUP(record[[#This Row],[ProcessSN]],表格2_7[],3,FALSE)</f>
        <v>#06</v>
      </c>
      <c r="J6876" t="s">
        <v>593</v>
      </c>
      <c r="K6876" s="195">
        <v>45965.303356481483</v>
      </c>
      <c r="L6876">
        <v>121</v>
      </c>
      <c r="M6876">
        <v>0</v>
      </c>
      <c r="N6876" s="98" t="str">
        <f>IF(record[[#This Row],[Memo]]="Browser:chrome os:android","平板報工",IF(record[[#This Row],[Memo]]=0,"委外",record[[#This Row],[Memo]]))</f>
        <v/>
      </c>
      <c r="O6876" t="s">
        <v>58</v>
      </c>
      <c r="P6876" t="s">
        <v>135</v>
      </c>
      <c r="Q6876" t="s">
        <v>58</v>
      </c>
      <c r="R6876" t="str">
        <f>IFERROR(VLOOKUP(record[[#This Row],[PCUSTID]],廠商[],2,FALSE),"")</f>
        <v/>
      </c>
      <c r="S6876" t="str">
        <f>VLOOKUP(record[[#This Row],[employeeID]],員工[],2,FALSE)</f>
        <v>阮士文</v>
      </c>
    </row>
    <row r="6877" spans="6:19" hidden="1" x14ac:dyDescent="0.25">
      <c r="F6877" t="s">
        <v>1180</v>
      </c>
      <c r="G6877" t="s">
        <v>415</v>
      </c>
      <c r="H6877" t="str">
        <f>VLOOKUP(record[[#This Row],[ProcessSN]],表格2_7[],2,FALSE)</f>
        <v>30-4118-018-5XX</v>
      </c>
      <c r="I6877" t="str">
        <f>VLOOKUP(record[[#This Row],[ProcessSN]],表格2_7[],3,FALSE)</f>
        <v>#04</v>
      </c>
      <c r="J6877" t="s">
        <v>588</v>
      </c>
      <c r="K6877" s="195">
        <v>45965.30263888889</v>
      </c>
      <c r="L6877">
        <v>151</v>
      </c>
      <c r="M6877">
        <v>0</v>
      </c>
      <c r="N6877" s="98" t="str">
        <f>IF(record[[#This Row],[Memo]]="Browser:chrome os:android","平板報工",IF(record[[#This Row],[Memo]]=0,"委外",record[[#This Row],[Memo]]))</f>
        <v/>
      </c>
      <c r="O6877" t="s">
        <v>58</v>
      </c>
      <c r="P6877" t="s">
        <v>135</v>
      </c>
      <c r="Q6877" t="s">
        <v>58</v>
      </c>
      <c r="R6877" t="str">
        <f>IFERROR(VLOOKUP(record[[#This Row],[PCUSTID]],廠商[],2,FALSE),"")</f>
        <v/>
      </c>
      <c r="S6877" t="str">
        <f>VLOOKUP(record[[#This Row],[employeeID]],員工[],2,FALSE)</f>
        <v>阮士文</v>
      </c>
    </row>
    <row r="6878" spans="6:19" hidden="1" x14ac:dyDescent="0.25">
      <c r="F6878" t="s">
        <v>1169</v>
      </c>
      <c r="G6878" t="s">
        <v>418</v>
      </c>
      <c r="H6878" t="str">
        <f>VLOOKUP(record[[#This Row],[ProcessSN]],表格2_7[],2,FALSE)</f>
        <v>30-4118-018-5XX</v>
      </c>
      <c r="I6878" t="str">
        <f>VLOOKUP(record[[#This Row],[ProcessSN]],表格2_7[],3,FALSE)</f>
        <v>#07</v>
      </c>
      <c r="J6878" t="s">
        <v>588</v>
      </c>
      <c r="K6878" s="195">
        <v>45964.987800925926</v>
      </c>
      <c r="L6878">
        <v>115</v>
      </c>
      <c r="M6878">
        <v>2</v>
      </c>
      <c r="N6878" s="98" t="str">
        <f>IF(record[[#This Row],[Memo]]="Browser:chrome os:android","平板報工",IF(record[[#This Row],[Memo]]=0,"委外",record[[#This Row],[Memo]]))</f>
        <v/>
      </c>
      <c r="O6878" t="s">
        <v>58</v>
      </c>
      <c r="P6878" t="s">
        <v>806</v>
      </c>
      <c r="Q6878" t="s">
        <v>58</v>
      </c>
      <c r="R6878" t="str">
        <f>IFERROR(VLOOKUP(record[[#This Row],[PCUSTID]],廠商[],2,FALSE),"")</f>
        <v/>
      </c>
      <c r="S6878" t="str">
        <f>VLOOKUP(record[[#This Row],[employeeID]],員工[],2,FALSE)</f>
        <v>方思緯</v>
      </c>
    </row>
    <row r="6879" spans="6:19" hidden="1" x14ac:dyDescent="0.25">
      <c r="F6879" t="s">
        <v>1180</v>
      </c>
      <c r="G6879" t="s">
        <v>415</v>
      </c>
      <c r="H6879" t="str">
        <f>VLOOKUP(record[[#This Row],[ProcessSN]],表格2_7[],2,FALSE)</f>
        <v>30-4118-018-5XX</v>
      </c>
      <c r="I6879" t="str">
        <f>VLOOKUP(record[[#This Row],[ProcessSN]],表格2_7[],3,FALSE)</f>
        <v>#04</v>
      </c>
      <c r="J6879" t="s">
        <v>588</v>
      </c>
      <c r="K6879" s="195">
        <v>45964.986817129633</v>
      </c>
      <c r="L6879">
        <v>130</v>
      </c>
      <c r="M6879">
        <v>0</v>
      </c>
      <c r="N6879" s="98" t="str">
        <f>IF(record[[#This Row],[Memo]]="Browser:chrome os:android","平板報工",IF(record[[#This Row],[Memo]]=0,"委外",record[[#This Row],[Memo]]))</f>
        <v/>
      </c>
      <c r="O6879" t="s">
        <v>58</v>
      </c>
      <c r="P6879" t="s">
        <v>89</v>
      </c>
      <c r="Q6879" t="s">
        <v>58</v>
      </c>
      <c r="R6879" t="str">
        <f>IFERROR(VLOOKUP(record[[#This Row],[PCUSTID]],廠商[],2,FALSE),"")</f>
        <v/>
      </c>
      <c r="S6879" t="str">
        <f>VLOOKUP(record[[#This Row],[employeeID]],員工[],2,FALSE)</f>
        <v>李美蓮</v>
      </c>
    </row>
    <row r="6880" spans="6:19" hidden="1" x14ac:dyDescent="0.25">
      <c r="F6880" t="s">
        <v>1180</v>
      </c>
      <c r="G6880" t="s">
        <v>414</v>
      </c>
      <c r="H6880" t="str">
        <f>VLOOKUP(record[[#This Row],[ProcessSN]],表格2_7[],2,FALSE)</f>
        <v>30-4118-018-5XX</v>
      </c>
      <c r="I6880" t="str">
        <f>VLOOKUP(record[[#This Row],[ProcessSN]],表格2_7[],3,FALSE)</f>
        <v>#03</v>
      </c>
      <c r="J6880" t="s">
        <v>588</v>
      </c>
      <c r="K6880" s="195">
        <v>45964.986435185187</v>
      </c>
      <c r="L6880">
        <v>575</v>
      </c>
      <c r="M6880">
        <v>5</v>
      </c>
      <c r="N6880" s="98" t="str">
        <f>IF(record[[#This Row],[Memo]]="Browser:chrome os:android","平板報工",IF(record[[#This Row],[Memo]]=0,"委外",record[[#This Row],[Memo]]))</f>
        <v>收尾料少7PCS</v>
      </c>
      <c r="O6880" t="s">
        <v>1186</v>
      </c>
      <c r="P6880" t="s">
        <v>89</v>
      </c>
      <c r="Q6880" t="s">
        <v>58</v>
      </c>
      <c r="R6880" t="str">
        <f>IFERROR(VLOOKUP(record[[#This Row],[PCUSTID]],廠商[],2,FALSE),"")</f>
        <v/>
      </c>
      <c r="S6880" t="str">
        <f>VLOOKUP(record[[#This Row],[employeeID]],員工[],2,FALSE)</f>
        <v>李美蓮</v>
      </c>
    </row>
    <row r="6881" spans="6:19" hidden="1" x14ac:dyDescent="0.25">
      <c r="F6881" t="s">
        <v>1169</v>
      </c>
      <c r="G6881" t="s">
        <v>417</v>
      </c>
      <c r="H6881" t="str">
        <f>VLOOKUP(record[[#This Row],[ProcessSN]],表格2_7[],2,FALSE)</f>
        <v>30-4118-018-5XX</v>
      </c>
      <c r="I6881" t="str">
        <f>VLOOKUP(record[[#This Row],[ProcessSN]],表格2_7[],3,FALSE)</f>
        <v>#06</v>
      </c>
      <c r="J6881" t="s">
        <v>593</v>
      </c>
      <c r="K6881" s="195">
        <v>45964.981898148151</v>
      </c>
      <c r="L6881">
        <v>100</v>
      </c>
      <c r="M6881">
        <v>0</v>
      </c>
      <c r="N6881" s="98" t="str">
        <f>IF(record[[#This Row],[Memo]]="Browser:chrome os:android","平板報工",IF(record[[#This Row],[Memo]]=0,"委外",record[[#This Row],[Memo]]))</f>
        <v/>
      </c>
      <c r="O6881" t="s">
        <v>58</v>
      </c>
      <c r="P6881" t="s">
        <v>115</v>
      </c>
      <c r="Q6881" t="s">
        <v>58</v>
      </c>
      <c r="R6881" t="str">
        <f>IFERROR(VLOOKUP(record[[#This Row],[PCUSTID]],廠商[],2,FALSE),"")</f>
        <v/>
      </c>
      <c r="S6881" t="str">
        <f>VLOOKUP(record[[#This Row],[employeeID]],員工[],2,FALSE)</f>
        <v>溫智淵</v>
      </c>
    </row>
    <row r="6882" spans="6:19" hidden="1" x14ac:dyDescent="0.25">
      <c r="F6882" t="s">
        <v>1043</v>
      </c>
      <c r="G6882" t="s">
        <v>470</v>
      </c>
      <c r="H6882" t="str">
        <f>VLOOKUP(record[[#This Row],[ProcessSN]],表格2_7[],2,FALSE)</f>
        <v>30-4118-018-XXX</v>
      </c>
      <c r="I6882" t="str">
        <f>VLOOKUP(record[[#This Row],[ProcessSN]],表格2_7[],3,FALSE)</f>
        <v>#02IQC</v>
      </c>
      <c r="J6882" t="s">
        <v>583</v>
      </c>
      <c r="K6882" s="195">
        <v>45964.751527777778</v>
      </c>
      <c r="L6882">
        <v>2154</v>
      </c>
      <c r="M6882">
        <v>0</v>
      </c>
      <c r="N6882" s="98" t="str">
        <f>IF(record[[#This Row],[Memo]]="Browser:chrome os:android","平板報工",IF(record[[#This Row],[Memo]]=0,"委外",record[[#This Row],[Memo]]))</f>
        <v/>
      </c>
      <c r="O6882" t="s">
        <v>58</v>
      </c>
      <c r="P6882" t="s">
        <v>109</v>
      </c>
      <c r="Q6882" t="s">
        <v>58</v>
      </c>
      <c r="R6882" t="str">
        <f>IFERROR(VLOOKUP(record[[#This Row],[PCUSTID]],廠商[],2,FALSE),"")</f>
        <v/>
      </c>
      <c r="S6882" t="str">
        <f>VLOOKUP(record[[#This Row],[employeeID]],員工[],2,FALSE)</f>
        <v>裴氏璧鳳</v>
      </c>
    </row>
    <row r="6883" spans="6:19" hidden="1" x14ac:dyDescent="0.25">
      <c r="F6883" t="s">
        <v>1158</v>
      </c>
      <c r="G6883" t="s">
        <v>403</v>
      </c>
      <c r="H6883" t="str">
        <f>VLOOKUP(record[[#This Row],[ProcessSN]],表格2_7[],2,FALSE)</f>
        <v>30-4118-018-550</v>
      </c>
      <c r="I6883" t="str">
        <f>VLOOKUP(record[[#This Row],[ProcessSN]],表格2_7[],3,FALSE)</f>
        <v>#100SHIP</v>
      </c>
      <c r="J6883" t="s">
        <v>600</v>
      </c>
      <c r="K6883" s="195">
        <v>45964.729594907411</v>
      </c>
      <c r="L6883">
        <v>12</v>
      </c>
      <c r="M6883">
        <v>0</v>
      </c>
      <c r="N6883" s="98" t="str">
        <f>IF(record[[#This Row],[Memo]]="Browser:chrome os:android","平板報工",IF(record[[#This Row],[Memo]]=0,"委外",record[[#This Row],[Memo]]))</f>
        <v/>
      </c>
      <c r="O6883" t="s">
        <v>58</v>
      </c>
      <c r="P6883" t="s">
        <v>886</v>
      </c>
      <c r="Q6883" t="s">
        <v>58</v>
      </c>
      <c r="R6883" t="str">
        <f>IFERROR(VLOOKUP(record[[#This Row],[PCUSTID]],廠商[],2,FALSE),"")</f>
        <v/>
      </c>
      <c r="S6883" t="str">
        <f>VLOOKUP(record[[#This Row],[employeeID]],員工[],2,FALSE)</f>
        <v>謝蓁薰</v>
      </c>
    </row>
    <row r="6884" spans="6:19" hidden="1" x14ac:dyDescent="0.25">
      <c r="F6884" t="s">
        <v>1158</v>
      </c>
      <c r="G6884" t="s">
        <v>402</v>
      </c>
      <c r="H6884" t="str">
        <f>VLOOKUP(record[[#This Row],[ProcessSN]],表格2_7[],2,FALSE)</f>
        <v>30-4118-018-550</v>
      </c>
      <c r="I6884" t="str">
        <f>VLOOKUP(record[[#This Row],[ProcessSN]],表格2_7[],3,FALSE)</f>
        <v>#100STOCK</v>
      </c>
      <c r="J6884" t="s">
        <v>592</v>
      </c>
      <c r="K6884" s="195">
        <v>45964.729502314818</v>
      </c>
      <c r="L6884">
        <v>12</v>
      </c>
      <c r="M6884">
        <v>0</v>
      </c>
      <c r="N6884" s="98" t="str">
        <f>IF(record[[#This Row],[Memo]]="Browser:chrome os:android","平板報工",IF(record[[#This Row],[Memo]]=0,"委外",record[[#This Row],[Memo]]))</f>
        <v/>
      </c>
      <c r="O6884" t="s">
        <v>58</v>
      </c>
      <c r="P6884" t="s">
        <v>886</v>
      </c>
      <c r="Q6884" t="s">
        <v>58</v>
      </c>
      <c r="R6884" t="str">
        <f>IFERROR(VLOOKUP(record[[#This Row],[PCUSTID]],廠商[],2,FALSE),"")</f>
        <v/>
      </c>
      <c r="S6884" t="str">
        <f>VLOOKUP(record[[#This Row],[employeeID]],員工[],2,FALSE)</f>
        <v>謝蓁薰</v>
      </c>
    </row>
    <row r="6885" spans="6:19" hidden="1" x14ac:dyDescent="0.25">
      <c r="F6885" t="s">
        <v>1063</v>
      </c>
      <c r="G6885" t="s">
        <v>403</v>
      </c>
      <c r="H6885" t="str">
        <f>VLOOKUP(record[[#This Row],[ProcessSN]],表格2_7[],2,FALSE)</f>
        <v>30-4118-018-550</v>
      </c>
      <c r="I6885" t="str">
        <f>VLOOKUP(record[[#This Row],[ProcessSN]],表格2_7[],3,FALSE)</f>
        <v>#100SHIP</v>
      </c>
      <c r="J6885" t="s">
        <v>600</v>
      </c>
      <c r="K6885" s="195">
        <v>45964.729317129626</v>
      </c>
      <c r="L6885">
        <v>166</v>
      </c>
      <c r="M6885">
        <v>0</v>
      </c>
      <c r="N6885" s="98" t="str">
        <f>IF(record[[#This Row],[Memo]]="Browser:chrome os:android","平板報工",IF(record[[#This Row],[Memo]]=0,"委外",record[[#This Row],[Memo]]))</f>
        <v/>
      </c>
      <c r="O6885" t="s">
        <v>58</v>
      </c>
      <c r="P6885" t="s">
        <v>886</v>
      </c>
      <c r="Q6885" t="s">
        <v>58</v>
      </c>
      <c r="R6885" t="str">
        <f>IFERROR(VLOOKUP(record[[#This Row],[PCUSTID]],廠商[],2,FALSE),"")</f>
        <v/>
      </c>
      <c r="S6885" t="str">
        <f>VLOOKUP(record[[#This Row],[employeeID]],員工[],2,FALSE)</f>
        <v>謝蓁薰</v>
      </c>
    </row>
    <row r="6886" spans="6:19" hidden="1" x14ac:dyDescent="0.25">
      <c r="F6886" t="s">
        <v>1158</v>
      </c>
      <c r="G6886" t="s">
        <v>401</v>
      </c>
      <c r="H6886" t="str">
        <f>VLOOKUP(record[[#This Row],[ProcessSN]],表格2_7[],2,FALSE)</f>
        <v>30-4118-018-550</v>
      </c>
      <c r="I6886" t="str">
        <f>VLOOKUP(record[[#This Row],[ProcessSN]],表格2_7[],3,FALSE)</f>
        <v>#100OQC</v>
      </c>
      <c r="J6886" t="s">
        <v>599</v>
      </c>
      <c r="K6886" s="195">
        <v>45964.726550925923</v>
      </c>
      <c r="L6886">
        <v>150</v>
      </c>
      <c r="M6886">
        <v>0</v>
      </c>
      <c r="N6886" s="98" t="str">
        <f>IF(record[[#This Row],[Memo]]="Browser:chrome os:android","平板報工",IF(record[[#This Row],[Memo]]=0,"委外",record[[#This Row],[Memo]]))</f>
        <v/>
      </c>
      <c r="O6886" t="s">
        <v>58</v>
      </c>
      <c r="P6886" t="s">
        <v>121</v>
      </c>
      <c r="Q6886" t="s">
        <v>58</v>
      </c>
      <c r="R6886" t="str">
        <f>IFERROR(VLOOKUP(record[[#This Row],[PCUSTID]],廠商[],2,FALSE),"")</f>
        <v/>
      </c>
      <c r="S6886" t="str">
        <f>VLOOKUP(record[[#This Row],[employeeID]],員工[],2,FALSE)</f>
        <v>謝素卿</v>
      </c>
    </row>
    <row r="6887" spans="6:19" hidden="1" x14ac:dyDescent="0.25">
      <c r="F6887" t="s">
        <v>966</v>
      </c>
      <c r="G6887" t="s">
        <v>401</v>
      </c>
      <c r="H6887" t="str">
        <f>VLOOKUP(record[[#This Row],[ProcessSN]],表格2_7[],2,FALSE)</f>
        <v>30-4118-018-550</v>
      </c>
      <c r="I6887" t="str">
        <f>VLOOKUP(record[[#This Row],[ProcessSN]],表格2_7[],3,FALSE)</f>
        <v>#100OQC</v>
      </c>
      <c r="J6887" t="s">
        <v>599</v>
      </c>
      <c r="K6887" s="195">
        <v>45964.726400462961</v>
      </c>
      <c r="L6887">
        <v>25</v>
      </c>
      <c r="M6887">
        <v>0</v>
      </c>
      <c r="N6887" s="98" t="str">
        <f>IF(record[[#This Row],[Memo]]="Browser:chrome os:android","平板報工",IF(record[[#This Row],[Memo]]=0,"委外",record[[#This Row],[Memo]]))</f>
        <v/>
      </c>
      <c r="O6887" t="s">
        <v>58</v>
      </c>
      <c r="P6887" t="s">
        <v>121</v>
      </c>
      <c r="Q6887" t="s">
        <v>58</v>
      </c>
      <c r="R6887" t="str">
        <f>IFERROR(VLOOKUP(record[[#This Row],[PCUSTID]],廠商[],2,FALSE),"")</f>
        <v/>
      </c>
      <c r="S6887" t="str">
        <f>VLOOKUP(record[[#This Row],[employeeID]],員工[],2,FALSE)</f>
        <v>謝素卿</v>
      </c>
    </row>
    <row r="6888" spans="6:19" hidden="1" x14ac:dyDescent="0.25">
      <c r="F6888" t="s">
        <v>973</v>
      </c>
      <c r="G6888" t="s">
        <v>401</v>
      </c>
      <c r="H6888" t="str">
        <f>VLOOKUP(record[[#This Row],[ProcessSN]],表格2_7[],2,FALSE)</f>
        <v>30-4118-018-550</v>
      </c>
      <c r="I6888" t="str">
        <f>VLOOKUP(record[[#This Row],[ProcessSN]],表格2_7[],3,FALSE)</f>
        <v>#100OQC</v>
      </c>
      <c r="J6888" t="s">
        <v>599</v>
      </c>
      <c r="K6888" s="195">
        <v>45964.72625</v>
      </c>
      <c r="L6888">
        <v>26</v>
      </c>
      <c r="M6888">
        <v>0</v>
      </c>
      <c r="N6888" s="98" t="str">
        <f>IF(record[[#This Row],[Memo]]="Browser:chrome os:android","平板報工",IF(record[[#This Row],[Memo]]=0,"委外",record[[#This Row],[Memo]]))</f>
        <v/>
      </c>
      <c r="O6888" t="s">
        <v>58</v>
      </c>
      <c r="P6888" t="s">
        <v>121</v>
      </c>
      <c r="Q6888" t="s">
        <v>58</v>
      </c>
      <c r="R6888" t="str">
        <f>IFERROR(VLOOKUP(record[[#This Row],[PCUSTID]],廠商[],2,FALSE),"")</f>
        <v/>
      </c>
      <c r="S6888" t="str">
        <f>VLOOKUP(record[[#This Row],[employeeID]],員工[],2,FALSE)</f>
        <v>謝素卿</v>
      </c>
    </row>
    <row r="6889" spans="6:19" hidden="1" x14ac:dyDescent="0.25">
      <c r="F6889" t="s">
        <v>1169</v>
      </c>
      <c r="G6889" t="s">
        <v>418</v>
      </c>
      <c r="H6889" t="str">
        <f>VLOOKUP(record[[#This Row],[ProcessSN]],表格2_7[],2,FALSE)</f>
        <v>30-4118-018-5XX</v>
      </c>
      <c r="I6889" t="str">
        <f>VLOOKUP(record[[#This Row],[ProcessSN]],表格2_7[],3,FALSE)</f>
        <v>#07</v>
      </c>
      <c r="J6889" t="s">
        <v>588</v>
      </c>
      <c r="K6889" s="195">
        <v>45964.644641203704</v>
      </c>
      <c r="L6889">
        <v>182</v>
      </c>
      <c r="M6889">
        <v>1</v>
      </c>
      <c r="N6889" s="98" t="str">
        <f>IF(record[[#This Row],[Memo]]="Browser:chrome os:android","平板報工",IF(record[[#This Row],[Memo]]=0,"委外",record[[#This Row],[Memo]]))</f>
        <v>平板報工</v>
      </c>
      <c r="O6889" t="s">
        <v>643</v>
      </c>
      <c r="P6889" t="s">
        <v>785</v>
      </c>
      <c r="Q6889" t="s">
        <v>644</v>
      </c>
      <c r="R6889" t="str">
        <f>IFERROR(VLOOKUP(record[[#This Row],[PCUSTID]],廠商[],2,FALSE),"")</f>
        <v/>
      </c>
      <c r="S6889" t="str">
        <f>VLOOKUP(record[[#This Row],[employeeID]],員工[],2,FALSE)</f>
        <v>謝刻光</v>
      </c>
    </row>
    <row r="6890" spans="6:19" hidden="1" x14ac:dyDescent="0.25">
      <c r="F6890" t="s">
        <v>1169</v>
      </c>
      <c r="G6890" t="s">
        <v>417</v>
      </c>
      <c r="H6890" t="str">
        <f>VLOOKUP(record[[#This Row],[ProcessSN]],表格2_7[],2,FALSE)</f>
        <v>30-4118-018-5XX</v>
      </c>
      <c r="I6890" t="str">
        <f>VLOOKUP(record[[#This Row],[ProcessSN]],表格2_7[],3,FALSE)</f>
        <v>#06</v>
      </c>
      <c r="J6890" t="s">
        <v>593</v>
      </c>
      <c r="K6890" s="195">
        <v>45964.643946759257</v>
      </c>
      <c r="L6890">
        <v>88</v>
      </c>
      <c r="M6890">
        <v>0</v>
      </c>
      <c r="N6890" s="98" t="str">
        <f>IF(record[[#This Row],[Memo]]="Browser:chrome os:android","平板報工",IF(record[[#This Row],[Memo]]=0,"委外",record[[#This Row],[Memo]]))</f>
        <v>平板報工</v>
      </c>
      <c r="O6890" t="s">
        <v>643</v>
      </c>
      <c r="P6890" t="s">
        <v>166</v>
      </c>
      <c r="Q6890" t="s">
        <v>644</v>
      </c>
      <c r="R6890" t="str">
        <f>IFERROR(VLOOKUP(record[[#This Row],[PCUSTID]],廠商[],2,FALSE),"")</f>
        <v/>
      </c>
      <c r="S6890" t="str">
        <f>VLOOKUP(record[[#This Row],[employeeID]],員工[],2,FALSE)</f>
        <v>阮懷香</v>
      </c>
    </row>
    <row r="6891" spans="6:19" hidden="1" x14ac:dyDescent="0.25">
      <c r="F6891" t="s">
        <v>1180</v>
      </c>
      <c r="G6891" t="s">
        <v>414</v>
      </c>
      <c r="H6891" t="str">
        <f>VLOOKUP(record[[#This Row],[ProcessSN]],表格2_7[],2,FALSE)</f>
        <v>30-4118-018-5XX</v>
      </c>
      <c r="I6891" t="str">
        <f>VLOOKUP(record[[#This Row],[ProcessSN]],表格2_7[],3,FALSE)</f>
        <v>#03</v>
      </c>
      <c r="J6891" t="s">
        <v>588</v>
      </c>
      <c r="K6891" s="195">
        <v>45964.642974537041</v>
      </c>
      <c r="L6891">
        <v>0</v>
      </c>
      <c r="M6891">
        <v>2</v>
      </c>
      <c r="N6891" s="98" t="str">
        <f>IF(record[[#This Row],[Memo]]="Browser:chrome os:android","平板報工",IF(record[[#This Row],[Memo]]=0,"委外",record[[#This Row],[Memo]]))</f>
        <v>平板報工</v>
      </c>
      <c r="O6891" t="s">
        <v>643</v>
      </c>
      <c r="P6891" t="s">
        <v>145</v>
      </c>
      <c r="Q6891" t="s">
        <v>644</v>
      </c>
      <c r="R6891" t="str">
        <f>IFERROR(VLOOKUP(record[[#This Row],[PCUSTID]],廠商[],2,FALSE),"")</f>
        <v/>
      </c>
      <c r="S6891" t="str">
        <f>VLOOKUP(record[[#This Row],[employeeID]],員工[],2,FALSE)</f>
        <v>阮秋霞</v>
      </c>
    </row>
    <row r="6892" spans="6:19" hidden="1" x14ac:dyDescent="0.25">
      <c r="F6892" t="s">
        <v>1180</v>
      </c>
      <c r="G6892" t="s">
        <v>414</v>
      </c>
      <c r="H6892" t="str">
        <f>VLOOKUP(record[[#This Row],[ProcessSN]],表格2_7[],2,FALSE)</f>
        <v>30-4118-018-5XX</v>
      </c>
      <c r="I6892" t="str">
        <f>VLOOKUP(record[[#This Row],[ProcessSN]],表格2_7[],3,FALSE)</f>
        <v>#03</v>
      </c>
      <c r="J6892" t="s">
        <v>588</v>
      </c>
      <c r="K6892" s="195">
        <v>45964.642187500001</v>
      </c>
      <c r="L6892">
        <v>72</v>
      </c>
      <c r="M6892">
        <v>0</v>
      </c>
      <c r="N6892" s="98" t="str">
        <f>IF(record[[#This Row],[Memo]]="Browser:chrome os:android","平板報工",IF(record[[#This Row],[Memo]]=0,"委外",record[[#This Row],[Memo]]))</f>
        <v>平板報工</v>
      </c>
      <c r="O6892" t="s">
        <v>643</v>
      </c>
      <c r="P6892" t="s">
        <v>145</v>
      </c>
      <c r="Q6892" t="s">
        <v>644</v>
      </c>
      <c r="R6892" t="str">
        <f>IFERROR(VLOOKUP(record[[#This Row],[PCUSTID]],廠商[],2,FALSE),"")</f>
        <v/>
      </c>
      <c r="S6892" t="str">
        <f>VLOOKUP(record[[#This Row],[employeeID]],員工[],2,FALSE)</f>
        <v>阮秋霞</v>
      </c>
    </row>
    <row r="6893" spans="6:19" hidden="1" x14ac:dyDescent="0.25">
      <c r="F6893" t="s">
        <v>1179</v>
      </c>
      <c r="G6893" t="s">
        <v>373</v>
      </c>
      <c r="H6893" t="str">
        <f>VLOOKUP(record[[#This Row],[ProcessSN]],表格2_7[],2,FALSE)</f>
        <v>30-4118-018-4XX</v>
      </c>
      <c r="I6893" t="str">
        <f>VLOOKUP(record[[#This Row],[ProcessSN]],表格2_7[],3,FALSE)</f>
        <v>#03</v>
      </c>
      <c r="J6893" t="s">
        <v>588</v>
      </c>
      <c r="K6893" s="195">
        <v>45964.641921296294</v>
      </c>
      <c r="L6893">
        <v>16</v>
      </c>
      <c r="M6893">
        <v>0</v>
      </c>
      <c r="N6893" s="98" t="str">
        <f>IF(record[[#This Row],[Memo]]="Browser:chrome os:android","平板報工",IF(record[[#This Row],[Memo]]=0,"委外",record[[#This Row],[Memo]]))</f>
        <v>平板報工</v>
      </c>
      <c r="O6893" t="s">
        <v>643</v>
      </c>
      <c r="P6893" t="s">
        <v>145</v>
      </c>
      <c r="Q6893" t="s">
        <v>644</v>
      </c>
      <c r="R6893" t="str">
        <f>IFERROR(VLOOKUP(record[[#This Row],[PCUSTID]],廠商[],2,FALSE),"")</f>
        <v/>
      </c>
      <c r="S6893" t="str">
        <f>VLOOKUP(record[[#This Row],[employeeID]],員工[],2,FALSE)</f>
        <v>阮秋霞</v>
      </c>
    </row>
    <row r="6894" spans="6:19" hidden="1" x14ac:dyDescent="0.25">
      <c r="F6894" t="s">
        <v>1129</v>
      </c>
      <c r="G6894" t="s">
        <v>362</v>
      </c>
      <c r="H6894" t="str">
        <f>VLOOKUP(record[[#This Row],[ProcessSN]],表格2_7[],2,FALSE)</f>
        <v>30-4118-018-450</v>
      </c>
      <c r="I6894" t="str">
        <f>VLOOKUP(record[[#This Row],[ProcessSN]],表格2_7[],3,FALSE)</f>
        <v>#100SHIP</v>
      </c>
      <c r="J6894" t="s">
        <v>600</v>
      </c>
      <c r="K6894" s="195">
        <v>45964.640428240738</v>
      </c>
      <c r="L6894">
        <v>25</v>
      </c>
      <c r="M6894">
        <v>0</v>
      </c>
      <c r="N6894" s="98" t="str">
        <f>IF(record[[#This Row],[Memo]]="Browser:chrome os:android","平板報工",IF(record[[#This Row],[Memo]]=0,"委外",record[[#This Row],[Memo]]))</f>
        <v/>
      </c>
      <c r="O6894" t="s">
        <v>58</v>
      </c>
      <c r="P6894" t="s">
        <v>886</v>
      </c>
      <c r="Q6894" t="s">
        <v>58</v>
      </c>
      <c r="R6894" t="str">
        <f>IFERROR(VLOOKUP(record[[#This Row],[PCUSTID]],廠商[],2,FALSE),"")</f>
        <v/>
      </c>
      <c r="S6894" t="str">
        <f>VLOOKUP(record[[#This Row],[employeeID]],員工[],2,FALSE)</f>
        <v>謝蓁薰</v>
      </c>
    </row>
    <row r="6895" spans="6:19" hidden="1" x14ac:dyDescent="0.25">
      <c r="F6895" t="s">
        <v>1148</v>
      </c>
      <c r="G6895" t="s">
        <v>464</v>
      </c>
      <c r="H6895" t="str">
        <f>VLOOKUP(record[[#This Row],[ProcessSN]],表格2_7[],2,FALSE)</f>
        <v>30-4118-018-XXX</v>
      </c>
      <c r="I6895" t="str">
        <f>VLOOKUP(record[[#This Row],[ProcessSN]],表格2_7[],3,FALSE)</f>
        <v>#01GIVE</v>
      </c>
      <c r="J6895" t="s">
        <v>587</v>
      </c>
      <c r="K6895" s="195">
        <v>45964.553576388891</v>
      </c>
      <c r="L6895">
        <v>1200</v>
      </c>
      <c r="M6895">
        <v>0</v>
      </c>
      <c r="N6895" s="98" t="str">
        <f>IF(record[[#This Row],[Memo]]="Browser:chrome os:android","平板報工",IF(record[[#This Row],[Memo]]=0,"委外",record[[#This Row],[Memo]]))</f>
        <v/>
      </c>
      <c r="O6895" t="s">
        <v>58</v>
      </c>
      <c r="P6895" t="s">
        <v>1070</v>
      </c>
      <c r="Q6895" t="s">
        <v>58</v>
      </c>
      <c r="R6895" t="str">
        <f>IFERROR(VLOOKUP(record[[#This Row],[PCUSTID]],廠商[],2,FALSE),"")</f>
        <v/>
      </c>
      <c r="S6895" t="str">
        <f>VLOOKUP(record[[#This Row],[employeeID]],員工[],2,FALSE)</f>
        <v>陳昱佑</v>
      </c>
    </row>
    <row r="6896" spans="6:19" hidden="1" x14ac:dyDescent="0.25">
      <c r="F6896" t="s">
        <v>1043</v>
      </c>
      <c r="G6896" t="s">
        <v>469</v>
      </c>
      <c r="H6896" t="str">
        <f>VLOOKUP(record[[#This Row],[ProcessSN]],表格2_7[],2,FALSE)</f>
        <v>30-4118-018-XXX</v>
      </c>
      <c r="I6896" t="str">
        <f>VLOOKUP(record[[#This Row],[ProcessSN]],表格2_7[],3,FALSE)</f>
        <v>#02RCV</v>
      </c>
      <c r="J6896" t="s">
        <v>591</v>
      </c>
      <c r="K6896" s="195">
        <v>45964.484849537039</v>
      </c>
      <c r="L6896">
        <v>2154</v>
      </c>
      <c r="M6896">
        <v>0</v>
      </c>
      <c r="N6896" s="98" t="str">
        <f>IF(record[[#This Row],[Memo]]="Browser:chrome os:android","平板報工",IF(record[[#This Row],[Memo]]=0,"委外",record[[#This Row],[Memo]]))</f>
        <v/>
      </c>
      <c r="O6896" t="s">
        <v>58</v>
      </c>
      <c r="P6896" t="s">
        <v>186</v>
      </c>
      <c r="Q6896" t="s">
        <v>58</v>
      </c>
      <c r="R6896" t="str">
        <f>IFERROR(VLOOKUP(record[[#This Row],[PCUSTID]],廠商[],2,FALSE),"")</f>
        <v/>
      </c>
      <c r="S6896" t="str">
        <f>VLOOKUP(record[[#This Row],[employeeID]],員工[],2,FALSE)</f>
        <v>許文姍</v>
      </c>
    </row>
    <row r="6897" spans="6:19" hidden="1" x14ac:dyDescent="0.25">
      <c r="F6897" t="s">
        <v>1158</v>
      </c>
      <c r="G6897" t="s">
        <v>400</v>
      </c>
      <c r="H6897" t="str">
        <f>VLOOKUP(record[[#This Row],[ProcessSN]],表格2_7[],2,FALSE)</f>
        <v>30-4118-018-550</v>
      </c>
      <c r="I6897" t="str">
        <f>VLOOKUP(record[[#This Row],[ProcessSN]],表格2_7[],3,FALSE)</f>
        <v>#100</v>
      </c>
      <c r="J6897" t="s">
        <v>598</v>
      </c>
      <c r="K6897" s="195">
        <v>45964.460729166669</v>
      </c>
      <c r="L6897">
        <v>0</v>
      </c>
      <c r="M6897">
        <v>1</v>
      </c>
      <c r="N6897" s="98" t="str">
        <f>IF(record[[#This Row],[Memo]]="Browser:chrome os:android","平板報工",IF(record[[#This Row],[Memo]]=0,"委外",record[[#This Row],[Memo]]))</f>
        <v/>
      </c>
      <c r="O6897" t="s">
        <v>58</v>
      </c>
      <c r="P6897" t="s">
        <v>141</v>
      </c>
      <c r="Q6897" t="s">
        <v>58</v>
      </c>
      <c r="R6897" t="str">
        <f>IFERROR(VLOOKUP(record[[#This Row],[PCUSTID]],廠商[],2,FALSE),"")</f>
        <v/>
      </c>
      <c r="S6897" t="str">
        <f>VLOOKUP(record[[#This Row],[employeeID]],員工[],2,FALSE)</f>
        <v>蔣梅</v>
      </c>
    </row>
    <row r="6898" spans="6:19" hidden="1" x14ac:dyDescent="0.25">
      <c r="F6898" t="s">
        <v>1158</v>
      </c>
      <c r="G6898" t="s">
        <v>400</v>
      </c>
      <c r="H6898" t="str">
        <f>VLOOKUP(record[[#This Row],[ProcessSN]],表格2_7[],2,FALSE)</f>
        <v>30-4118-018-550</v>
      </c>
      <c r="I6898" t="str">
        <f>VLOOKUP(record[[#This Row],[ProcessSN]],表格2_7[],3,FALSE)</f>
        <v>#100</v>
      </c>
      <c r="J6898" t="s">
        <v>598</v>
      </c>
      <c r="K6898" s="195">
        <v>45964.460590277777</v>
      </c>
      <c r="L6898">
        <v>150</v>
      </c>
      <c r="M6898">
        <v>0</v>
      </c>
      <c r="N6898" s="98" t="str">
        <f>IF(record[[#This Row],[Memo]]="Browser:chrome os:android","平板報工",IF(record[[#This Row],[Memo]]=0,"委外",record[[#This Row],[Memo]]))</f>
        <v/>
      </c>
      <c r="O6898" t="s">
        <v>58</v>
      </c>
      <c r="P6898" t="s">
        <v>141</v>
      </c>
      <c r="Q6898" t="s">
        <v>58</v>
      </c>
      <c r="R6898" t="str">
        <f>IFERROR(VLOOKUP(record[[#This Row],[PCUSTID]],廠商[],2,FALSE),"")</f>
        <v/>
      </c>
      <c r="S6898" t="str">
        <f>VLOOKUP(record[[#This Row],[employeeID]],員工[],2,FALSE)</f>
        <v>蔣梅</v>
      </c>
    </row>
    <row r="6899" spans="6:19" hidden="1" x14ac:dyDescent="0.25">
      <c r="F6899" t="s">
        <v>1184</v>
      </c>
      <c r="G6899" t="s">
        <v>356</v>
      </c>
      <c r="H6899" t="str">
        <f>VLOOKUP(record[[#This Row],[ProcessSN]],表格2_7[],2,FALSE)</f>
        <v>30-4118-018-450</v>
      </c>
      <c r="I6899" t="str">
        <f>VLOOKUP(record[[#This Row],[ProcessSN]],表格2_7[],3,FALSE)</f>
        <v>#08</v>
      </c>
      <c r="J6899" t="s">
        <v>597</v>
      </c>
      <c r="K6899" s="195">
        <v>45964.440706018519</v>
      </c>
      <c r="L6899">
        <v>429</v>
      </c>
      <c r="M6899">
        <v>0</v>
      </c>
      <c r="N6899" s="98" t="str">
        <f>IF(record[[#This Row],[Memo]]="Browser:chrome os:android","平板報工",IF(record[[#This Row],[Memo]]=0,"委外",record[[#This Row],[Memo]]))</f>
        <v>委外</v>
      </c>
      <c r="P6899" t="s">
        <v>186</v>
      </c>
      <c r="Q6899" t="s">
        <v>287</v>
      </c>
      <c r="R6899" t="str">
        <f>IFERROR(VLOOKUP(record[[#This Row],[PCUSTID]],廠商[],2,FALSE),"")</f>
        <v>泉盛</v>
      </c>
      <c r="S6899" t="str">
        <f>VLOOKUP(record[[#This Row],[employeeID]],員工[],2,FALSE)</f>
        <v>許文姍</v>
      </c>
    </row>
    <row r="6900" spans="6:19" hidden="1" x14ac:dyDescent="0.25">
      <c r="F6900" t="s">
        <v>1184</v>
      </c>
      <c r="G6900" t="s">
        <v>355</v>
      </c>
      <c r="H6900" t="str">
        <f>VLOOKUP(record[[#This Row],[ProcessSN]],表格2_7[],2,FALSE)</f>
        <v>30-4118-018-450</v>
      </c>
      <c r="I6900" t="str">
        <f>VLOOKUP(record[[#This Row],[ProcessSN]],表格2_7[],3,FALSE)</f>
        <v>#08PICK</v>
      </c>
      <c r="J6900" t="s">
        <v>582</v>
      </c>
      <c r="K6900" s="195">
        <v>45964.44059027778</v>
      </c>
      <c r="L6900">
        <v>429</v>
      </c>
      <c r="M6900">
        <v>0</v>
      </c>
      <c r="N6900" s="98" t="str">
        <f>IF(record[[#This Row],[Memo]]="Browser:chrome os:android","平板報工",IF(record[[#This Row],[Memo]]=0,"委外",record[[#This Row],[Memo]]))</f>
        <v/>
      </c>
      <c r="O6900" t="s">
        <v>58</v>
      </c>
      <c r="P6900" t="s">
        <v>186</v>
      </c>
      <c r="Q6900" t="s">
        <v>58</v>
      </c>
      <c r="R6900" t="str">
        <f>IFERROR(VLOOKUP(record[[#This Row],[PCUSTID]],廠商[],2,FALSE),"")</f>
        <v/>
      </c>
      <c r="S6900" t="str">
        <f>VLOOKUP(record[[#This Row],[employeeID]],員工[],2,FALSE)</f>
        <v>許文姍</v>
      </c>
    </row>
    <row r="6901" spans="6:19" hidden="1" x14ac:dyDescent="0.25">
      <c r="F6901" t="s">
        <v>1101</v>
      </c>
      <c r="G6901" t="s">
        <v>379</v>
      </c>
      <c r="H6901" t="str">
        <f>VLOOKUP(record[[#This Row],[ProcessSN]],表格2_7[],2,FALSE)</f>
        <v>30-4118-018-4XX</v>
      </c>
      <c r="I6901" t="str">
        <f>VLOOKUP(record[[#This Row],[ProcessSN]],表格2_7[],3,FALSE)</f>
        <v>#07STOCK</v>
      </c>
      <c r="J6901" t="s">
        <v>592</v>
      </c>
      <c r="K6901" s="195">
        <v>45964.433854166666</v>
      </c>
      <c r="L6901">
        <v>429</v>
      </c>
      <c r="M6901">
        <v>0</v>
      </c>
      <c r="N6901" s="98" t="str">
        <f>IF(record[[#This Row],[Memo]]="Browser:chrome os:android","平板報工",IF(record[[#This Row],[Memo]]=0,"委外",record[[#This Row],[Memo]]))</f>
        <v/>
      </c>
      <c r="O6901" t="s">
        <v>58</v>
      </c>
      <c r="P6901" t="s">
        <v>113</v>
      </c>
      <c r="Q6901" t="s">
        <v>58</v>
      </c>
      <c r="R6901" t="str">
        <f>IFERROR(VLOOKUP(record[[#This Row],[PCUSTID]],廠商[],2,FALSE),"")</f>
        <v/>
      </c>
      <c r="S6901" t="str">
        <f>VLOOKUP(record[[#This Row],[employeeID]],員工[],2,FALSE)</f>
        <v>王奕蓁</v>
      </c>
    </row>
    <row r="6902" spans="6:19" hidden="1" x14ac:dyDescent="0.25">
      <c r="F6902" t="s">
        <v>1101</v>
      </c>
      <c r="G6902" t="s">
        <v>378</v>
      </c>
      <c r="H6902" t="str">
        <f>VLOOKUP(record[[#This Row],[ProcessSN]],表格2_7[],2,FALSE)</f>
        <v>30-4118-018-4XX</v>
      </c>
      <c r="I6902" t="str">
        <f>VLOOKUP(record[[#This Row],[ProcessSN]],表格2_7[],3,FALSE)</f>
        <v>#07QC</v>
      </c>
      <c r="J6902" t="s">
        <v>589</v>
      </c>
      <c r="K6902" s="195">
        <v>45964.430069444446</v>
      </c>
      <c r="L6902">
        <v>0</v>
      </c>
      <c r="M6902">
        <v>1</v>
      </c>
      <c r="N6902" s="98" t="str">
        <f>IF(record[[#This Row],[Memo]]="Browser:chrome os:android","平板報工",IF(record[[#This Row],[Memo]]=0,"委外",record[[#This Row],[Memo]]))</f>
        <v/>
      </c>
      <c r="O6902" t="s">
        <v>58</v>
      </c>
      <c r="P6902" t="s">
        <v>141</v>
      </c>
      <c r="Q6902" t="s">
        <v>58</v>
      </c>
      <c r="R6902" t="str">
        <f>IFERROR(VLOOKUP(record[[#This Row],[PCUSTID]],廠商[],2,FALSE),"")</f>
        <v/>
      </c>
      <c r="S6902" t="str">
        <f>VLOOKUP(record[[#This Row],[employeeID]],員工[],2,FALSE)</f>
        <v>蔣梅</v>
      </c>
    </row>
    <row r="6903" spans="6:19" hidden="1" x14ac:dyDescent="0.25">
      <c r="F6903" t="s">
        <v>1101</v>
      </c>
      <c r="G6903" t="s">
        <v>378</v>
      </c>
      <c r="H6903" t="str">
        <f>VLOOKUP(record[[#This Row],[ProcessSN]],表格2_7[],2,FALSE)</f>
        <v>30-4118-018-4XX</v>
      </c>
      <c r="I6903" t="str">
        <f>VLOOKUP(record[[#This Row],[ProcessSN]],表格2_7[],3,FALSE)</f>
        <v>#07QC</v>
      </c>
      <c r="J6903" t="s">
        <v>589</v>
      </c>
      <c r="K6903" s="195">
        <v>45964.429861111108</v>
      </c>
      <c r="L6903">
        <v>429</v>
      </c>
      <c r="M6903">
        <v>0</v>
      </c>
      <c r="N6903" s="98" t="str">
        <f>IF(record[[#This Row],[Memo]]="Browser:chrome os:android","平板報工",IF(record[[#This Row],[Memo]]=0,"委外",record[[#This Row],[Memo]]))</f>
        <v/>
      </c>
      <c r="O6903" t="s">
        <v>58</v>
      </c>
      <c r="P6903" t="s">
        <v>141</v>
      </c>
      <c r="Q6903" t="s">
        <v>58</v>
      </c>
      <c r="R6903" t="str">
        <f>IFERROR(VLOOKUP(record[[#This Row],[PCUSTID]],廠商[],2,FALSE),"")</f>
        <v/>
      </c>
      <c r="S6903" t="str">
        <f>VLOOKUP(record[[#This Row],[employeeID]],員工[],2,FALSE)</f>
        <v>蔣梅</v>
      </c>
    </row>
    <row r="6904" spans="6:19" hidden="1" x14ac:dyDescent="0.25">
      <c r="F6904" t="s">
        <v>1158</v>
      </c>
      <c r="G6904" t="s">
        <v>399</v>
      </c>
      <c r="H6904" t="str">
        <f>VLOOKUP(record[[#This Row],[ProcessSN]],表格2_7[],2,FALSE)</f>
        <v>30-4118-018-550</v>
      </c>
      <c r="I6904" t="str">
        <f>VLOOKUP(record[[#This Row],[ProcessSN]],表格2_7[],3,FALSE)</f>
        <v>#08IQC</v>
      </c>
      <c r="J6904" t="s">
        <v>583</v>
      </c>
      <c r="K6904" s="195">
        <v>45964.339097222219</v>
      </c>
      <c r="L6904">
        <v>151</v>
      </c>
      <c r="M6904">
        <v>0</v>
      </c>
      <c r="N6904" s="98" t="str">
        <f>IF(record[[#This Row],[Memo]]="Browser:chrome os:android","平板報工",IF(record[[#This Row],[Memo]]=0,"委外",record[[#This Row],[Memo]]))</f>
        <v/>
      </c>
      <c r="O6904" t="s">
        <v>58</v>
      </c>
      <c r="P6904" t="s">
        <v>109</v>
      </c>
      <c r="Q6904" t="s">
        <v>58</v>
      </c>
      <c r="R6904" t="str">
        <f>IFERROR(VLOOKUP(record[[#This Row],[PCUSTID]],廠商[],2,FALSE),"")</f>
        <v/>
      </c>
      <c r="S6904" t="str">
        <f>VLOOKUP(record[[#This Row],[employeeID]],員工[],2,FALSE)</f>
        <v>裴氏璧鳳</v>
      </c>
    </row>
    <row r="6905" spans="6:19" hidden="1" x14ac:dyDescent="0.25">
      <c r="F6905" t="s">
        <v>1169</v>
      </c>
      <c r="G6905" t="s">
        <v>416</v>
      </c>
      <c r="H6905" t="str">
        <f>VLOOKUP(record[[#This Row],[ProcessSN]],表格2_7[],2,FALSE)</f>
        <v>30-4118-018-5XX</v>
      </c>
      <c r="I6905" t="str">
        <f>VLOOKUP(record[[#This Row],[ProcessSN]],表格2_7[],3,FALSE)</f>
        <v>#05</v>
      </c>
      <c r="J6905" t="s">
        <v>588</v>
      </c>
      <c r="K6905" s="195">
        <v>45961.271817129629</v>
      </c>
      <c r="L6905">
        <v>96</v>
      </c>
      <c r="M6905">
        <v>0</v>
      </c>
      <c r="N6905" s="98" t="str">
        <f>IF(record[[#This Row],[Memo]]="Browser:chrome os:android","平板報工",IF(record[[#This Row],[Memo]]=0,"委外",record[[#This Row],[Memo]]))</f>
        <v/>
      </c>
      <c r="O6905" t="s">
        <v>58</v>
      </c>
      <c r="P6905" t="s">
        <v>135</v>
      </c>
      <c r="Q6905" t="s">
        <v>58</v>
      </c>
      <c r="R6905" t="str">
        <f>IFERROR(VLOOKUP(record[[#This Row],[PCUSTID]],廠商[],2,FALSE),"")</f>
        <v/>
      </c>
      <c r="S6905" t="str">
        <f>VLOOKUP(record[[#This Row],[employeeID]],員工[],2,FALSE)</f>
        <v>阮士文</v>
      </c>
    </row>
    <row r="6906" spans="6:19" hidden="1" x14ac:dyDescent="0.25">
      <c r="F6906" t="s">
        <v>1101</v>
      </c>
      <c r="G6906" t="s">
        <v>377</v>
      </c>
      <c r="H6906" t="str">
        <f>VLOOKUP(record[[#This Row],[ProcessSN]],表格2_7[],2,FALSE)</f>
        <v>30-4118-018-4XX</v>
      </c>
      <c r="I6906" t="str">
        <f>VLOOKUP(record[[#This Row],[ProcessSN]],表格2_7[],3,FALSE)</f>
        <v>#07</v>
      </c>
      <c r="J6906" t="s">
        <v>588</v>
      </c>
      <c r="K6906" s="195">
        <v>45960.969039351854</v>
      </c>
      <c r="L6906">
        <v>108</v>
      </c>
      <c r="M6906">
        <v>0</v>
      </c>
      <c r="N6906" s="98" t="str">
        <f>IF(record[[#This Row],[Memo]]="Browser:chrome os:android","平板報工",IF(record[[#This Row],[Memo]]=0,"委外",record[[#This Row],[Memo]]))</f>
        <v/>
      </c>
      <c r="O6906" t="s">
        <v>58</v>
      </c>
      <c r="P6906" t="s">
        <v>806</v>
      </c>
      <c r="Q6906" t="s">
        <v>58</v>
      </c>
      <c r="R6906" t="str">
        <f>IFERROR(VLOOKUP(record[[#This Row],[PCUSTID]],廠商[],2,FALSE),"")</f>
        <v/>
      </c>
      <c r="S6906" t="str">
        <f>VLOOKUP(record[[#This Row],[employeeID]],員工[],2,FALSE)</f>
        <v>方思緯</v>
      </c>
    </row>
    <row r="6907" spans="6:19" hidden="1" x14ac:dyDescent="0.25">
      <c r="F6907" t="s">
        <v>1169</v>
      </c>
      <c r="G6907" t="s">
        <v>416</v>
      </c>
      <c r="H6907" t="str">
        <f>VLOOKUP(record[[#This Row],[ProcessSN]],表格2_7[],2,FALSE)</f>
        <v>30-4118-018-5XX</v>
      </c>
      <c r="I6907" t="str">
        <f>VLOOKUP(record[[#This Row],[ProcessSN]],表格2_7[],3,FALSE)</f>
        <v>#05</v>
      </c>
      <c r="J6907" t="s">
        <v>588</v>
      </c>
      <c r="K6907" s="195">
        <v>45960.968449074076</v>
      </c>
      <c r="L6907">
        <v>281</v>
      </c>
      <c r="M6907">
        <v>0</v>
      </c>
      <c r="N6907" s="98" t="str">
        <f>IF(record[[#This Row],[Memo]]="Browser:chrome os:android","平板報工",IF(record[[#This Row],[Memo]]=0,"委外",record[[#This Row],[Memo]]))</f>
        <v/>
      </c>
      <c r="O6907" t="s">
        <v>58</v>
      </c>
      <c r="P6907" t="s">
        <v>89</v>
      </c>
      <c r="Q6907" t="s">
        <v>58</v>
      </c>
      <c r="R6907" t="str">
        <f>IFERROR(VLOOKUP(record[[#This Row],[PCUSTID]],廠商[],2,FALSE),"")</f>
        <v/>
      </c>
      <c r="S6907" t="str">
        <f>VLOOKUP(record[[#This Row],[employeeID]],員工[],2,FALSE)</f>
        <v>李美蓮</v>
      </c>
    </row>
    <row r="6908" spans="6:19" hidden="1" x14ac:dyDescent="0.25">
      <c r="F6908" t="s">
        <v>1169</v>
      </c>
      <c r="G6908" t="s">
        <v>415</v>
      </c>
      <c r="H6908" t="str">
        <f>VLOOKUP(record[[#This Row],[ProcessSN]],表格2_7[],2,FALSE)</f>
        <v>30-4118-018-5XX</v>
      </c>
      <c r="I6908" t="str">
        <f>VLOOKUP(record[[#This Row],[ProcessSN]],表格2_7[],3,FALSE)</f>
        <v>#04</v>
      </c>
      <c r="J6908" t="s">
        <v>588</v>
      </c>
      <c r="K6908" s="195">
        <v>45960.968101851853</v>
      </c>
      <c r="L6908">
        <v>121</v>
      </c>
      <c r="M6908">
        <v>3</v>
      </c>
      <c r="N6908" s="98" t="str">
        <f>IF(record[[#This Row],[Memo]]="Browser:chrome os:android","平板報工",IF(record[[#This Row],[Memo]]=0,"委外",record[[#This Row],[Memo]]))</f>
        <v/>
      </c>
      <c r="O6908" t="s">
        <v>58</v>
      </c>
      <c r="P6908" t="s">
        <v>89</v>
      </c>
      <c r="Q6908" t="s">
        <v>58</v>
      </c>
      <c r="R6908" t="str">
        <f>IFERROR(VLOOKUP(record[[#This Row],[PCUSTID]],廠商[],2,FALSE),"")</f>
        <v/>
      </c>
      <c r="S6908" t="str">
        <f>VLOOKUP(record[[#This Row],[employeeID]],員工[],2,FALSE)</f>
        <v>李美蓮</v>
      </c>
    </row>
    <row r="6909" spans="6:19" hidden="1" x14ac:dyDescent="0.25">
      <c r="F6909" t="s">
        <v>1045</v>
      </c>
      <c r="G6909" t="s">
        <v>359</v>
      </c>
      <c r="H6909" t="str">
        <f>VLOOKUP(record[[#This Row],[ProcessSN]],表格2_7[],2,FALSE)</f>
        <v>30-4118-018-450</v>
      </c>
      <c r="I6909" t="str">
        <f>VLOOKUP(record[[#This Row],[ProcessSN]],表格2_7[],3,FALSE)</f>
        <v>#100</v>
      </c>
      <c r="J6909" t="s">
        <v>598</v>
      </c>
      <c r="K6909" s="195">
        <v>45960.690347222226</v>
      </c>
      <c r="L6909">
        <v>81</v>
      </c>
      <c r="M6909">
        <v>0</v>
      </c>
      <c r="N6909" s="98" t="str">
        <f>IF(record[[#This Row],[Memo]]="Browser:chrome os:android","平板報工",IF(record[[#This Row],[Memo]]=0,"委外",record[[#This Row],[Memo]]))</f>
        <v>補漆覆回</v>
      </c>
      <c r="O6909" t="s">
        <v>1183</v>
      </c>
      <c r="P6909" t="s">
        <v>141</v>
      </c>
      <c r="Q6909" t="s">
        <v>58</v>
      </c>
      <c r="R6909" t="str">
        <f>IFERROR(VLOOKUP(record[[#This Row],[PCUSTID]],廠商[],2,FALSE),"")</f>
        <v/>
      </c>
      <c r="S6909" t="str">
        <f>VLOOKUP(record[[#This Row],[employeeID]],員工[],2,FALSE)</f>
        <v>蔣梅</v>
      </c>
    </row>
    <row r="6910" spans="6:19" hidden="1" x14ac:dyDescent="0.25">
      <c r="F6910" t="s">
        <v>1045</v>
      </c>
      <c r="G6910" t="s">
        <v>358</v>
      </c>
      <c r="H6910" t="str">
        <f>VLOOKUP(record[[#This Row],[ProcessSN]],表格2_7[],2,FALSE)</f>
        <v>30-4118-018-450</v>
      </c>
      <c r="I6910" t="str">
        <f>VLOOKUP(record[[#This Row],[ProcessSN]],表格2_7[],3,FALSE)</f>
        <v>#08IQC</v>
      </c>
      <c r="J6910" t="s">
        <v>583</v>
      </c>
      <c r="K6910" s="195">
        <v>45960.690162037034</v>
      </c>
      <c r="L6910">
        <v>81</v>
      </c>
      <c r="M6910">
        <v>0</v>
      </c>
      <c r="N6910" s="98" t="str">
        <f>IF(record[[#This Row],[Memo]]="Browser:chrome os:android","平板報工",IF(record[[#This Row],[Memo]]=0,"委外",record[[#This Row],[Memo]]))</f>
        <v>補漆覆回</v>
      </c>
      <c r="O6910" t="s">
        <v>1183</v>
      </c>
      <c r="P6910" t="s">
        <v>141</v>
      </c>
      <c r="Q6910" t="s">
        <v>58</v>
      </c>
      <c r="R6910" t="str">
        <f>IFERROR(VLOOKUP(record[[#This Row],[PCUSTID]],廠商[],2,FALSE),"")</f>
        <v/>
      </c>
      <c r="S6910" t="str">
        <f>VLOOKUP(record[[#This Row],[employeeID]],員工[],2,FALSE)</f>
        <v>蔣梅</v>
      </c>
    </row>
    <row r="6911" spans="6:19" hidden="1" x14ac:dyDescent="0.25">
      <c r="F6911" t="s">
        <v>1045</v>
      </c>
      <c r="G6911" t="s">
        <v>357</v>
      </c>
      <c r="H6911" t="str">
        <f>VLOOKUP(record[[#This Row],[ProcessSN]],表格2_7[],2,FALSE)</f>
        <v>30-4118-018-450</v>
      </c>
      <c r="I6911" t="str">
        <f>VLOOKUP(record[[#This Row],[ProcessSN]],表格2_7[],3,FALSE)</f>
        <v>#08RCV</v>
      </c>
      <c r="J6911" t="s">
        <v>591</v>
      </c>
      <c r="K6911" s="195">
        <v>45960.690011574072</v>
      </c>
      <c r="L6911">
        <v>0</v>
      </c>
      <c r="M6911">
        <v>14</v>
      </c>
      <c r="N6911" s="98" t="str">
        <f>IF(record[[#This Row],[Memo]]="Browser:chrome os:android","平板報工",IF(record[[#This Row],[Memo]]=0,"委外",record[[#This Row],[Memo]]))</f>
        <v/>
      </c>
      <c r="O6911" t="s">
        <v>58</v>
      </c>
      <c r="P6911" t="s">
        <v>141</v>
      </c>
      <c r="Q6911" t="s">
        <v>58</v>
      </c>
      <c r="R6911" t="str">
        <f>IFERROR(VLOOKUP(record[[#This Row],[PCUSTID]],廠商[],2,FALSE),"")</f>
        <v/>
      </c>
      <c r="S6911" t="str">
        <f>VLOOKUP(record[[#This Row],[employeeID]],員工[],2,FALSE)</f>
        <v>蔣梅</v>
      </c>
    </row>
    <row r="6912" spans="6:19" hidden="1" x14ac:dyDescent="0.25">
      <c r="F6912" t="s">
        <v>1045</v>
      </c>
      <c r="G6912" t="s">
        <v>357</v>
      </c>
      <c r="H6912" t="str">
        <f>VLOOKUP(record[[#This Row],[ProcessSN]],表格2_7[],2,FALSE)</f>
        <v>30-4118-018-450</v>
      </c>
      <c r="I6912" t="str">
        <f>VLOOKUP(record[[#This Row],[ProcessSN]],表格2_7[],3,FALSE)</f>
        <v>#08RCV</v>
      </c>
      <c r="J6912" t="s">
        <v>591</v>
      </c>
      <c r="K6912" s="195">
        <v>45960.689780092594</v>
      </c>
      <c r="L6912">
        <v>81</v>
      </c>
      <c r="M6912">
        <v>0</v>
      </c>
      <c r="N6912" s="98" t="str">
        <f>IF(record[[#This Row],[Memo]]="Browser:chrome os:android","平板報工",IF(record[[#This Row],[Memo]]=0,"委外",record[[#This Row],[Memo]]))</f>
        <v>補漆覆回</v>
      </c>
      <c r="O6912" t="s">
        <v>1183</v>
      </c>
      <c r="P6912" t="s">
        <v>141</v>
      </c>
      <c r="Q6912" t="s">
        <v>58</v>
      </c>
      <c r="R6912" t="str">
        <f>IFERROR(VLOOKUP(record[[#This Row],[PCUSTID]],廠商[],2,FALSE),"")</f>
        <v/>
      </c>
      <c r="S6912" t="str">
        <f>VLOOKUP(record[[#This Row],[employeeID]],員工[],2,FALSE)</f>
        <v>蔣梅</v>
      </c>
    </row>
    <row r="6913" spans="6:19" hidden="1" x14ac:dyDescent="0.25">
      <c r="F6913" t="s">
        <v>966</v>
      </c>
      <c r="G6913" t="s">
        <v>400</v>
      </c>
      <c r="H6913" t="str">
        <f>VLOOKUP(record[[#This Row],[ProcessSN]],表格2_7[],2,FALSE)</f>
        <v>30-4118-018-550</v>
      </c>
      <c r="I6913" t="str">
        <f>VLOOKUP(record[[#This Row],[ProcessSN]],表格2_7[],3,FALSE)</f>
        <v>#100</v>
      </c>
      <c r="J6913" t="s">
        <v>598</v>
      </c>
      <c r="K6913" s="195">
        <v>45960.688668981478</v>
      </c>
      <c r="L6913">
        <v>25</v>
      </c>
      <c r="M6913">
        <v>0</v>
      </c>
      <c r="N6913" s="98" t="str">
        <f>IF(record[[#This Row],[Memo]]="Browser:chrome os:android","平板報工",IF(record[[#This Row],[Memo]]=0,"委外",record[[#This Row],[Memo]]))</f>
        <v>補漆覆回</v>
      </c>
      <c r="O6913" t="s">
        <v>1183</v>
      </c>
      <c r="P6913" t="s">
        <v>141</v>
      </c>
      <c r="Q6913" t="s">
        <v>58</v>
      </c>
      <c r="R6913" t="str">
        <f>IFERROR(VLOOKUP(record[[#This Row],[PCUSTID]],廠商[],2,FALSE),"")</f>
        <v/>
      </c>
      <c r="S6913" t="str">
        <f>VLOOKUP(record[[#This Row],[employeeID]],員工[],2,FALSE)</f>
        <v>蔣梅</v>
      </c>
    </row>
    <row r="6914" spans="6:19" hidden="1" x14ac:dyDescent="0.25">
      <c r="F6914" t="s">
        <v>966</v>
      </c>
      <c r="G6914" t="s">
        <v>399</v>
      </c>
      <c r="H6914" t="str">
        <f>VLOOKUP(record[[#This Row],[ProcessSN]],表格2_7[],2,FALSE)</f>
        <v>30-4118-018-550</v>
      </c>
      <c r="I6914" t="str">
        <f>VLOOKUP(record[[#This Row],[ProcessSN]],表格2_7[],3,FALSE)</f>
        <v>#08IQC</v>
      </c>
      <c r="J6914" t="s">
        <v>583</v>
      </c>
      <c r="K6914" s="195">
        <v>45960.688472222224</v>
      </c>
      <c r="L6914">
        <v>25</v>
      </c>
      <c r="M6914">
        <v>0</v>
      </c>
      <c r="N6914" s="98" t="str">
        <f>IF(record[[#This Row],[Memo]]="Browser:chrome os:android","平板報工",IF(record[[#This Row],[Memo]]=0,"委外",record[[#This Row],[Memo]]))</f>
        <v>補漆覆回</v>
      </c>
      <c r="O6914" t="s">
        <v>1183</v>
      </c>
      <c r="P6914" t="s">
        <v>141</v>
      </c>
      <c r="Q6914" t="s">
        <v>58</v>
      </c>
      <c r="R6914" t="str">
        <f>IFERROR(VLOOKUP(record[[#This Row],[PCUSTID]],廠商[],2,FALSE),"")</f>
        <v/>
      </c>
      <c r="S6914" t="str">
        <f>VLOOKUP(record[[#This Row],[employeeID]],員工[],2,FALSE)</f>
        <v>蔣梅</v>
      </c>
    </row>
    <row r="6915" spans="6:19" hidden="1" x14ac:dyDescent="0.25">
      <c r="F6915" t="s">
        <v>966</v>
      </c>
      <c r="G6915" t="s">
        <v>398</v>
      </c>
      <c r="H6915" t="str">
        <f>VLOOKUP(record[[#This Row],[ProcessSN]],表格2_7[],2,FALSE)</f>
        <v>30-4118-018-550</v>
      </c>
      <c r="I6915" t="str">
        <f>VLOOKUP(record[[#This Row],[ProcessSN]],表格2_7[],3,FALSE)</f>
        <v>#08RCV</v>
      </c>
      <c r="J6915" t="s">
        <v>591</v>
      </c>
      <c r="K6915" s="195">
        <v>45960.688287037039</v>
      </c>
      <c r="L6915">
        <v>0</v>
      </c>
      <c r="M6915">
        <v>1</v>
      </c>
      <c r="N6915" s="98" t="str">
        <f>IF(record[[#This Row],[Memo]]="Browser:chrome os:android","平板報工",IF(record[[#This Row],[Memo]]=0,"委外",record[[#This Row],[Memo]]))</f>
        <v/>
      </c>
      <c r="O6915" t="s">
        <v>58</v>
      </c>
      <c r="P6915" t="s">
        <v>141</v>
      </c>
      <c r="Q6915" t="s">
        <v>58</v>
      </c>
      <c r="R6915" t="str">
        <f>IFERROR(VLOOKUP(record[[#This Row],[PCUSTID]],廠商[],2,FALSE),"")</f>
        <v/>
      </c>
      <c r="S6915" t="str">
        <f>VLOOKUP(record[[#This Row],[employeeID]],員工[],2,FALSE)</f>
        <v>蔣梅</v>
      </c>
    </row>
    <row r="6916" spans="6:19" hidden="1" x14ac:dyDescent="0.25">
      <c r="F6916" t="s">
        <v>966</v>
      </c>
      <c r="G6916" t="s">
        <v>398</v>
      </c>
      <c r="H6916" t="str">
        <f>VLOOKUP(record[[#This Row],[ProcessSN]],表格2_7[],2,FALSE)</f>
        <v>30-4118-018-550</v>
      </c>
      <c r="I6916" t="str">
        <f>VLOOKUP(record[[#This Row],[ProcessSN]],表格2_7[],3,FALSE)</f>
        <v>#08RCV</v>
      </c>
      <c r="J6916" t="s">
        <v>591</v>
      </c>
      <c r="K6916" s="195">
        <v>45960.688125000001</v>
      </c>
      <c r="L6916">
        <v>25</v>
      </c>
      <c r="M6916">
        <v>0</v>
      </c>
      <c r="N6916" s="98" t="str">
        <f>IF(record[[#This Row],[Memo]]="Browser:chrome os:android","平板報工",IF(record[[#This Row],[Memo]]=0,"委外",record[[#This Row],[Memo]]))</f>
        <v>補漆覆回</v>
      </c>
      <c r="O6916" t="s">
        <v>1183</v>
      </c>
      <c r="P6916" t="s">
        <v>141</v>
      </c>
      <c r="Q6916" t="s">
        <v>58</v>
      </c>
      <c r="R6916" t="str">
        <f>IFERROR(VLOOKUP(record[[#This Row],[PCUSTID]],廠商[],2,FALSE),"")</f>
        <v/>
      </c>
      <c r="S6916" t="str">
        <f>VLOOKUP(record[[#This Row],[employeeID]],員工[],2,FALSE)</f>
        <v>蔣梅</v>
      </c>
    </row>
    <row r="6917" spans="6:19" hidden="1" x14ac:dyDescent="0.25">
      <c r="F6917" t="s">
        <v>973</v>
      </c>
      <c r="G6917" t="s">
        <v>400</v>
      </c>
      <c r="H6917" t="str">
        <f>VLOOKUP(record[[#This Row],[ProcessSN]],表格2_7[],2,FALSE)</f>
        <v>30-4118-018-550</v>
      </c>
      <c r="I6917" t="str">
        <f>VLOOKUP(record[[#This Row],[ProcessSN]],表格2_7[],3,FALSE)</f>
        <v>#100</v>
      </c>
      <c r="J6917" t="s">
        <v>598</v>
      </c>
      <c r="K6917" s="195">
        <v>45960.686412037037</v>
      </c>
      <c r="L6917">
        <v>26</v>
      </c>
      <c r="M6917">
        <v>0</v>
      </c>
      <c r="N6917" s="98" t="str">
        <f>IF(record[[#This Row],[Memo]]="Browser:chrome os:android","平板報工",IF(record[[#This Row],[Memo]]=0,"委外",record[[#This Row],[Memo]]))</f>
        <v>補漆+覆回</v>
      </c>
      <c r="O6917" t="s">
        <v>1182</v>
      </c>
      <c r="P6917" t="s">
        <v>141</v>
      </c>
      <c r="Q6917" t="s">
        <v>58</v>
      </c>
      <c r="R6917" t="str">
        <f>IFERROR(VLOOKUP(record[[#This Row],[PCUSTID]],廠商[],2,FALSE),"")</f>
        <v/>
      </c>
      <c r="S6917" t="str">
        <f>VLOOKUP(record[[#This Row],[employeeID]],員工[],2,FALSE)</f>
        <v>蔣梅</v>
      </c>
    </row>
    <row r="6918" spans="6:19" hidden="1" x14ac:dyDescent="0.25">
      <c r="F6918" t="s">
        <v>1111</v>
      </c>
      <c r="G6918" t="s">
        <v>425</v>
      </c>
      <c r="H6918" t="str">
        <f>VLOOKUP(record[[#This Row],[ProcessSN]],表格2_7[],2,FALSE)</f>
        <v>30-4118-018-600</v>
      </c>
      <c r="I6918" t="str">
        <f>VLOOKUP(record[[#This Row],[ProcessSN]],表格2_7[],3,FALSE)</f>
        <v>#100</v>
      </c>
      <c r="J6918" t="s">
        <v>598</v>
      </c>
      <c r="K6918" s="195">
        <v>45960.685381944444</v>
      </c>
      <c r="L6918">
        <v>16</v>
      </c>
      <c r="M6918">
        <v>0</v>
      </c>
      <c r="N6918" s="98" t="str">
        <f>IF(record[[#This Row],[Memo]]="Browser:chrome os:android","平板報工",IF(record[[#This Row],[Memo]]=0,"委外",record[[#This Row],[Memo]]))</f>
        <v>補漆+覆回</v>
      </c>
      <c r="O6918" t="s">
        <v>1182</v>
      </c>
      <c r="P6918" t="s">
        <v>141</v>
      </c>
      <c r="Q6918" t="s">
        <v>58</v>
      </c>
      <c r="R6918" t="str">
        <f>IFERROR(VLOOKUP(record[[#This Row],[PCUSTID]],廠商[],2,FALSE),"")</f>
        <v/>
      </c>
      <c r="S6918" t="str">
        <f>VLOOKUP(record[[#This Row],[employeeID]],員工[],2,FALSE)</f>
        <v>蔣梅</v>
      </c>
    </row>
    <row r="6919" spans="6:19" hidden="1" x14ac:dyDescent="0.25">
      <c r="F6919" t="s">
        <v>1111</v>
      </c>
      <c r="G6919" t="s">
        <v>424</v>
      </c>
      <c r="H6919" t="str">
        <f>VLOOKUP(record[[#This Row],[ProcessSN]],表格2_7[],2,FALSE)</f>
        <v>30-4118-018-600</v>
      </c>
      <c r="I6919" t="str">
        <f>VLOOKUP(record[[#This Row],[ProcessSN]],表格2_7[],3,FALSE)</f>
        <v>#08IQC</v>
      </c>
      <c r="J6919" t="s">
        <v>583</v>
      </c>
      <c r="K6919" s="195">
        <v>45960.685173611113</v>
      </c>
      <c r="L6919">
        <v>16</v>
      </c>
      <c r="M6919">
        <v>0</v>
      </c>
      <c r="N6919" s="98" t="str">
        <f>IF(record[[#This Row],[Memo]]="Browser:chrome os:android","平板報工",IF(record[[#This Row],[Memo]]=0,"委外",record[[#This Row],[Memo]]))</f>
        <v>補漆+覆回</v>
      </c>
      <c r="O6919" t="s">
        <v>1182</v>
      </c>
      <c r="P6919" t="s">
        <v>141</v>
      </c>
      <c r="Q6919" t="s">
        <v>58</v>
      </c>
      <c r="R6919" t="str">
        <f>IFERROR(VLOOKUP(record[[#This Row],[PCUSTID]],廠商[],2,FALSE),"")</f>
        <v/>
      </c>
      <c r="S6919" t="str">
        <f>VLOOKUP(record[[#This Row],[employeeID]],員工[],2,FALSE)</f>
        <v>蔣梅</v>
      </c>
    </row>
    <row r="6920" spans="6:19" hidden="1" x14ac:dyDescent="0.25">
      <c r="F6920" t="s">
        <v>1111</v>
      </c>
      <c r="G6920" t="s">
        <v>423</v>
      </c>
      <c r="H6920" t="str">
        <f>VLOOKUP(record[[#This Row],[ProcessSN]],表格2_7[],2,FALSE)</f>
        <v>30-4118-018-600</v>
      </c>
      <c r="I6920" t="str">
        <f>VLOOKUP(record[[#This Row],[ProcessSN]],表格2_7[],3,FALSE)</f>
        <v>#08RCV</v>
      </c>
      <c r="J6920" t="s">
        <v>591</v>
      </c>
      <c r="K6920" s="195">
        <v>45960.684953703705</v>
      </c>
      <c r="L6920">
        <v>0</v>
      </c>
      <c r="M6920">
        <v>33</v>
      </c>
      <c r="N6920" s="98" t="str">
        <f>IF(record[[#This Row],[Memo]]="Browser:chrome os:android","平板報工",IF(record[[#This Row],[Memo]]=0,"委外",record[[#This Row],[Memo]]))</f>
        <v/>
      </c>
      <c r="O6920" t="s">
        <v>58</v>
      </c>
      <c r="P6920" t="s">
        <v>141</v>
      </c>
      <c r="Q6920" t="s">
        <v>58</v>
      </c>
      <c r="R6920" t="str">
        <f>IFERROR(VLOOKUP(record[[#This Row],[PCUSTID]],廠商[],2,FALSE),"")</f>
        <v/>
      </c>
      <c r="S6920" t="str">
        <f>VLOOKUP(record[[#This Row],[employeeID]],員工[],2,FALSE)</f>
        <v>蔣梅</v>
      </c>
    </row>
    <row r="6921" spans="6:19" hidden="1" x14ac:dyDescent="0.25">
      <c r="F6921" t="s">
        <v>1111</v>
      </c>
      <c r="G6921" t="s">
        <v>423</v>
      </c>
      <c r="H6921" t="str">
        <f>VLOOKUP(record[[#This Row],[ProcessSN]],表格2_7[],2,FALSE)</f>
        <v>30-4118-018-600</v>
      </c>
      <c r="I6921" t="str">
        <f>VLOOKUP(record[[#This Row],[ProcessSN]],表格2_7[],3,FALSE)</f>
        <v>#08RCV</v>
      </c>
      <c r="J6921" t="s">
        <v>591</v>
      </c>
      <c r="K6921" s="195">
        <v>45960.684791666667</v>
      </c>
      <c r="L6921">
        <v>16</v>
      </c>
      <c r="M6921">
        <v>0</v>
      </c>
      <c r="N6921" s="98" t="str">
        <f>IF(record[[#This Row],[Memo]]="Browser:chrome os:android","平板報工",IF(record[[#This Row],[Memo]]=0,"委外",record[[#This Row],[Memo]]))</f>
        <v>補漆+覆回</v>
      </c>
      <c r="O6921" t="s">
        <v>1182</v>
      </c>
      <c r="P6921" t="s">
        <v>141</v>
      </c>
      <c r="Q6921" t="s">
        <v>58</v>
      </c>
      <c r="R6921" t="str">
        <f>IFERROR(VLOOKUP(record[[#This Row],[PCUSTID]],廠商[],2,FALSE),"")</f>
        <v/>
      </c>
      <c r="S6921" t="str">
        <f>VLOOKUP(record[[#This Row],[employeeID]],員工[],2,FALSE)</f>
        <v>蔣梅</v>
      </c>
    </row>
    <row r="6922" spans="6:19" hidden="1" x14ac:dyDescent="0.25">
      <c r="F6922" t="s">
        <v>1169</v>
      </c>
      <c r="G6922" t="s">
        <v>416</v>
      </c>
      <c r="H6922" t="str">
        <f>VLOOKUP(record[[#This Row],[ProcessSN]],表格2_7[],2,FALSE)</f>
        <v>30-4118-018-5XX</v>
      </c>
      <c r="I6922" t="str">
        <f>VLOOKUP(record[[#This Row],[ProcessSN]],表格2_7[],3,FALSE)</f>
        <v>#05</v>
      </c>
      <c r="J6922" t="s">
        <v>588</v>
      </c>
      <c r="K6922" s="195">
        <v>45960.649050925924</v>
      </c>
      <c r="L6922">
        <v>228</v>
      </c>
      <c r="M6922">
        <v>0</v>
      </c>
      <c r="N6922" s="98" t="str">
        <f>IF(record[[#This Row],[Memo]]="Browser:chrome os:android","平板報工",IF(record[[#This Row],[Memo]]=0,"委外",record[[#This Row],[Memo]]))</f>
        <v>平板報工</v>
      </c>
      <c r="O6922" t="s">
        <v>643</v>
      </c>
      <c r="P6922" t="s">
        <v>1098</v>
      </c>
      <c r="Q6922" t="s">
        <v>644</v>
      </c>
      <c r="R6922" t="str">
        <f>IFERROR(VLOOKUP(record[[#This Row],[PCUSTID]],廠商[],2,FALSE),"")</f>
        <v/>
      </c>
      <c r="S6922" t="str">
        <f>VLOOKUP(record[[#This Row],[employeeID]],員工[],2,FALSE)</f>
        <v>阮氏芳英(英)</v>
      </c>
    </row>
    <row r="6923" spans="6:19" hidden="1" x14ac:dyDescent="0.25">
      <c r="F6923" t="s">
        <v>1101</v>
      </c>
      <c r="G6923" t="s">
        <v>377</v>
      </c>
      <c r="H6923" t="str">
        <f>VLOOKUP(record[[#This Row],[ProcessSN]],表格2_7[],2,FALSE)</f>
        <v>30-4118-018-4XX</v>
      </c>
      <c r="I6923" t="str">
        <f>VLOOKUP(record[[#This Row],[ProcessSN]],表格2_7[],3,FALSE)</f>
        <v>#07</v>
      </c>
      <c r="J6923" t="s">
        <v>588</v>
      </c>
      <c r="K6923" s="195">
        <v>45960.646736111114</v>
      </c>
      <c r="L6923">
        <v>226</v>
      </c>
      <c r="M6923">
        <v>0</v>
      </c>
      <c r="N6923" s="98" t="str">
        <f>IF(record[[#This Row],[Memo]]="Browser:chrome os:android","平板報工",IF(record[[#This Row],[Memo]]=0,"委外",record[[#This Row],[Memo]]))</f>
        <v>平板報工</v>
      </c>
      <c r="O6923" t="s">
        <v>643</v>
      </c>
      <c r="P6923" t="s">
        <v>785</v>
      </c>
      <c r="Q6923" t="s">
        <v>644</v>
      </c>
      <c r="R6923" t="str">
        <f>IFERROR(VLOOKUP(record[[#This Row],[PCUSTID]],廠商[],2,FALSE),"")</f>
        <v/>
      </c>
      <c r="S6923" t="str">
        <f>VLOOKUP(record[[#This Row],[employeeID]],員工[],2,FALSE)</f>
        <v>謝刻光</v>
      </c>
    </row>
    <row r="6924" spans="6:19" hidden="1" x14ac:dyDescent="0.25">
      <c r="F6924" t="s">
        <v>1169</v>
      </c>
      <c r="G6924" t="s">
        <v>415</v>
      </c>
      <c r="H6924" t="str">
        <f>VLOOKUP(record[[#This Row],[ProcessSN]],表格2_7[],2,FALSE)</f>
        <v>30-4118-018-5XX</v>
      </c>
      <c r="I6924" t="str">
        <f>VLOOKUP(record[[#This Row],[ProcessSN]],表格2_7[],3,FALSE)</f>
        <v>#04</v>
      </c>
      <c r="J6924" t="s">
        <v>588</v>
      </c>
      <c r="K6924" s="195">
        <v>45960.646331018521</v>
      </c>
      <c r="L6924">
        <v>138</v>
      </c>
      <c r="M6924">
        <v>0</v>
      </c>
      <c r="N6924" s="98" t="str">
        <f>IF(record[[#This Row],[Memo]]="Browser:chrome os:android","平板報工",IF(record[[#This Row],[Memo]]=0,"委外",record[[#This Row],[Memo]]))</f>
        <v>平板報工</v>
      </c>
      <c r="O6924" t="s">
        <v>643</v>
      </c>
      <c r="P6924" t="s">
        <v>785</v>
      </c>
      <c r="Q6924" t="s">
        <v>644</v>
      </c>
      <c r="R6924" t="str">
        <f>IFERROR(VLOOKUP(record[[#This Row],[PCUSTID]],廠商[],2,FALSE),"")</f>
        <v/>
      </c>
      <c r="S6924" t="str">
        <f>VLOOKUP(record[[#This Row],[employeeID]],員工[],2,FALSE)</f>
        <v>謝刻光</v>
      </c>
    </row>
    <row r="6925" spans="6:19" hidden="1" x14ac:dyDescent="0.25">
      <c r="F6925" t="s">
        <v>1169</v>
      </c>
      <c r="G6925" t="s">
        <v>417</v>
      </c>
      <c r="H6925" t="str">
        <f>VLOOKUP(record[[#This Row],[ProcessSN]],表格2_7[],2,FALSE)</f>
        <v>30-4118-018-5XX</v>
      </c>
      <c r="I6925" t="str">
        <f>VLOOKUP(record[[#This Row],[ProcessSN]],表格2_7[],3,FALSE)</f>
        <v>#06</v>
      </c>
      <c r="J6925" t="s">
        <v>593</v>
      </c>
      <c r="K6925" s="195">
        <v>45960.643854166665</v>
      </c>
      <c r="L6925">
        <v>124</v>
      </c>
      <c r="M6925">
        <v>5</v>
      </c>
      <c r="N6925" s="98" t="str">
        <f>IF(record[[#This Row],[Memo]]="Browser:chrome os:android","平板報工",IF(record[[#This Row],[Memo]]=0,"委外",record[[#This Row],[Memo]]))</f>
        <v>平板報工</v>
      </c>
      <c r="O6925" t="s">
        <v>643</v>
      </c>
      <c r="P6925" t="s">
        <v>166</v>
      </c>
      <c r="Q6925" t="s">
        <v>644</v>
      </c>
      <c r="R6925" t="str">
        <f>IFERROR(VLOOKUP(record[[#This Row],[PCUSTID]],廠商[],2,FALSE),"")</f>
        <v/>
      </c>
      <c r="S6925" t="str">
        <f>VLOOKUP(record[[#This Row],[employeeID]],員工[],2,FALSE)</f>
        <v>阮懷香</v>
      </c>
    </row>
    <row r="6926" spans="6:19" hidden="1" x14ac:dyDescent="0.25">
      <c r="F6926" t="s">
        <v>1158</v>
      </c>
      <c r="G6926" t="s">
        <v>398</v>
      </c>
      <c r="H6926" t="str">
        <f>VLOOKUP(record[[#This Row],[ProcessSN]],表格2_7[],2,FALSE)</f>
        <v>30-4118-018-550</v>
      </c>
      <c r="I6926" t="str">
        <f>VLOOKUP(record[[#This Row],[ProcessSN]],表格2_7[],3,FALSE)</f>
        <v>#08RCV</v>
      </c>
      <c r="J6926" t="s">
        <v>591</v>
      </c>
      <c r="K6926" s="195">
        <v>45960.621631944443</v>
      </c>
      <c r="L6926">
        <v>0</v>
      </c>
      <c r="M6926">
        <v>6</v>
      </c>
      <c r="N6926" s="98" t="str">
        <f>IF(record[[#This Row],[Memo]]="Browser:chrome os:android","平板報工",IF(record[[#This Row],[Memo]]=0,"委外",record[[#This Row],[Memo]]))</f>
        <v/>
      </c>
      <c r="O6926" t="s">
        <v>58</v>
      </c>
      <c r="P6926" t="s">
        <v>186</v>
      </c>
      <c r="Q6926" t="s">
        <v>58</v>
      </c>
      <c r="R6926" t="str">
        <f>IFERROR(VLOOKUP(record[[#This Row],[PCUSTID]],廠商[],2,FALSE),"")</f>
        <v/>
      </c>
      <c r="S6926" t="str">
        <f>VLOOKUP(record[[#This Row],[employeeID]],員工[],2,FALSE)</f>
        <v>許文姍</v>
      </c>
    </row>
    <row r="6927" spans="6:19" hidden="1" x14ac:dyDescent="0.25">
      <c r="F6927" t="s">
        <v>1158</v>
      </c>
      <c r="G6927" t="s">
        <v>398</v>
      </c>
      <c r="H6927" t="str">
        <f>VLOOKUP(record[[#This Row],[ProcessSN]],表格2_7[],2,FALSE)</f>
        <v>30-4118-018-550</v>
      </c>
      <c r="I6927" t="str">
        <f>VLOOKUP(record[[#This Row],[ProcessSN]],表格2_7[],3,FALSE)</f>
        <v>#08RCV</v>
      </c>
      <c r="J6927" t="s">
        <v>591</v>
      </c>
      <c r="K6927" s="195">
        <v>45960.621435185189</v>
      </c>
      <c r="L6927">
        <v>151</v>
      </c>
      <c r="M6927">
        <v>0</v>
      </c>
      <c r="N6927" s="98" t="str">
        <f>IF(record[[#This Row],[Memo]]="Browser:chrome os:android","平板報工",IF(record[[#This Row],[Memo]]=0,"委外",record[[#This Row],[Memo]]))</f>
        <v/>
      </c>
      <c r="O6927" t="s">
        <v>58</v>
      </c>
      <c r="P6927" t="s">
        <v>186</v>
      </c>
      <c r="Q6927" t="s">
        <v>58</v>
      </c>
      <c r="R6927" t="str">
        <f>IFERROR(VLOOKUP(record[[#This Row],[PCUSTID]],廠商[],2,FALSE),"")</f>
        <v/>
      </c>
      <c r="S6927" t="str">
        <f>VLOOKUP(record[[#This Row],[employeeID]],員工[],2,FALSE)</f>
        <v>許文姍</v>
      </c>
    </row>
    <row r="6928" spans="6:19" hidden="1" x14ac:dyDescent="0.25">
      <c r="F6928" t="s">
        <v>1099</v>
      </c>
      <c r="G6928" t="s">
        <v>453</v>
      </c>
      <c r="H6928" t="str">
        <f>VLOOKUP(record[[#This Row],[ProcessSN]],表格2_7[],2,FALSE)</f>
        <v>30-4118-018-6XX</v>
      </c>
      <c r="I6928" t="str">
        <f>VLOOKUP(record[[#This Row],[ProcessSN]],表格2_7[],3,FALSE)</f>
        <v>#07STOCK</v>
      </c>
      <c r="J6928" t="s">
        <v>592</v>
      </c>
      <c r="K6928" s="195">
        <v>45960.474687499998</v>
      </c>
      <c r="L6928">
        <v>634</v>
      </c>
      <c r="M6928">
        <v>0</v>
      </c>
      <c r="N6928" s="98" t="str">
        <f>IF(record[[#This Row],[Memo]]="Browser:chrome os:android","平板報工",IF(record[[#This Row],[Memo]]=0,"委外",record[[#This Row],[Memo]]))</f>
        <v/>
      </c>
      <c r="O6928" t="s">
        <v>58</v>
      </c>
      <c r="P6928" t="s">
        <v>113</v>
      </c>
      <c r="Q6928" t="s">
        <v>58</v>
      </c>
      <c r="R6928" t="str">
        <f>IFERROR(VLOOKUP(record[[#This Row],[PCUSTID]],廠商[],2,FALSE),"")</f>
        <v/>
      </c>
      <c r="S6928" t="str">
        <f>VLOOKUP(record[[#This Row],[employeeID]],員工[],2,FALSE)</f>
        <v>王奕蓁</v>
      </c>
    </row>
    <row r="6929" spans="6:19" hidden="1" x14ac:dyDescent="0.25">
      <c r="F6929" t="s">
        <v>1099</v>
      </c>
      <c r="G6929" t="s">
        <v>452</v>
      </c>
      <c r="H6929" t="str">
        <f>VLOOKUP(record[[#This Row],[ProcessSN]],表格2_7[],2,FALSE)</f>
        <v>30-4118-018-6XX</v>
      </c>
      <c r="I6929" t="str">
        <f>VLOOKUP(record[[#This Row],[ProcessSN]],表格2_7[],3,FALSE)</f>
        <v>#07QC</v>
      </c>
      <c r="J6929" t="s">
        <v>589</v>
      </c>
      <c r="K6929" s="195">
        <v>45960.459976851853</v>
      </c>
      <c r="L6929">
        <v>0</v>
      </c>
      <c r="M6929">
        <v>8</v>
      </c>
      <c r="N6929" s="98" t="str">
        <f>IF(record[[#This Row],[Memo]]="Browser:chrome os:android","平板報工",IF(record[[#This Row],[Memo]]=0,"委外",record[[#This Row],[Memo]]))</f>
        <v/>
      </c>
      <c r="O6929" t="s">
        <v>58</v>
      </c>
      <c r="P6929" t="s">
        <v>141</v>
      </c>
      <c r="Q6929" t="s">
        <v>58</v>
      </c>
      <c r="R6929" t="str">
        <f>IFERROR(VLOOKUP(record[[#This Row],[PCUSTID]],廠商[],2,FALSE),"")</f>
        <v/>
      </c>
      <c r="S6929" t="str">
        <f>VLOOKUP(record[[#This Row],[employeeID]],員工[],2,FALSE)</f>
        <v>蔣梅</v>
      </c>
    </row>
    <row r="6930" spans="6:19" hidden="1" x14ac:dyDescent="0.25">
      <c r="F6930" t="s">
        <v>1099</v>
      </c>
      <c r="G6930" t="s">
        <v>452</v>
      </c>
      <c r="H6930" t="str">
        <f>VLOOKUP(record[[#This Row],[ProcessSN]],表格2_7[],2,FALSE)</f>
        <v>30-4118-018-6XX</v>
      </c>
      <c r="I6930" t="str">
        <f>VLOOKUP(record[[#This Row],[ProcessSN]],表格2_7[],3,FALSE)</f>
        <v>#07QC</v>
      </c>
      <c r="J6930" t="s">
        <v>589</v>
      </c>
      <c r="K6930" s="195">
        <v>45960.459780092591</v>
      </c>
      <c r="L6930">
        <v>634</v>
      </c>
      <c r="M6930">
        <v>0</v>
      </c>
      <c r="N6930" s="98" t="str">
        <f>IF(record[[#This Row],[Memo]]="Browser:chrome os:android","平板報工",IF(record[[#This Row],[Memo]]=0,"委外",record[[#This Row],[Memo]]))</f>
        <v/>
      </c>
      <c r="O6930" t="s">
        <v>58</v>
      </c>
      <c r="P6930" t="s">
        <v>141</v>
      </c>
      <c r="Q6930" t="s">
        <v>58</v>
      </c>
      <c r="R6930" t="str">
        <f>IFERROR(VLOOKUP(record[[#This Row],[PCUSTID]],廠商[],2,FALSE),"")</f>
        <v/>
      </c>
      <c r="S6930" t="str">
        <f>VLOOKUP(record[[#This Row],[employeeID]],員工[],2,FALSE)</f>
        <v>蔣梅</v>
      </c>
    </row>
    <row r="6931" spans="6:19" hidden="1" x14ac:dyDescent="0.25">
      <c r="F6931" t="s">
        <v>1180</v>
      </c>
      <c r="G6931" t="s">
        <v>413</v>
      </c>
      <c r="H6931" t="str">
        <f>VLOOKUP(record[[#This Row],[ProcessSN]],表格2_7[],2,FALSE)</f>
        <v>30-4118-018-5XX</v>
      </c>
      <c r="I6931" t="str">
        <f>VLOOKUP(record[[#This Row],[ProcessSN]],表格2_7[],3,FALSE)</f>
        <v>#03GIVE</v>
      </c>
      <c r="J6931" t="s">
        <v>587</v>
      </c>
      <c r="K6931" s="195">
        <v>45960.442071759258</v>
      </c>
      <c r="L6931">
        <v>661</v>
      </c>
      <c r="M6931">
        <v>0</v>
      </c>
      <c r="N6931" s="98" t="str">
        <f>IF(record[[#This Row],[Memo]]="Browser:chrome os:android","平板報工",IF(record[[#This Row],[Memo]]=0,"委外",record[[#This Row],[Memo]]))</f>
        <v/>
      </c>
      <c r="O6931" t="s">
        <v>58</v>
      </c>
      <c r="P6931" t="s">
        <v>1070</v>
      </c>
      <c r="Q6931" t="s">
        <v>58</v>
      </c>
      <c r="R6931" t="str">
        <f>IFERROR(VLOOKUP(record[[#This Row],[PCUSTID]],廠商[],2,FALSE),"")</f>
        <v/>
      </c>
      <c r="S6931" t="str">
        <f>VLOOKUP(record[[#This Row],[employeeID]],員工[],2,FALSE)</f>
        <v>陳昱佑</v>
      </c>
    </row>
    <row r="6932" spans="6:19" hidden="1" x14ac:dyDescent="0.25">
      <c r="F6932" t="s">
        <v>1179</v>
      </c>
      <c r="G6932" t="s">
        <v>372</v>
      </c>
      <c r="H6932" t="str">
        <f>VLOOKUP(record[[#This Row],[ProcessSN]],表格2_7[],2,FALSE)</f>
        <v>30-4118-018-4XX</v>
      </c>
      <c r="I6932" t="str">
        <f>VLOOKUP(record[[#This Row],[ProcessSN]],表格2_7[],3,FALSE)</f>
        <v>#03GIVE</v>
      </c>
      <c r="J6932" t="s">
        <v>587</v>
      </c>
      <c r="K6932" s="195">
        <v>45960.441793981481</v>
      </c>
      <c r="L6932">
        <v>16</v>
      </c>
      <c r="M6932">
        <v>0</v>
      </c>
      <c r="N6932" s="98" t="str">
        <f>IF(record[[#This Row],[Memo]]="Browser:chrome os:android","平板報工",IF(record[[#This Row],[Memo]]=0,"委外",record[[#This Row],[Memo]]))</f>
        <v/>
      </c>
      <c r="O6932" t="s">
        <v>58</v>
      </c>
      <c r="P6932" t="s">
        <v>1070</v>
      </c>
      <c r="Q6932" t="s">
        <v>58</v>
      </c>
      <c r="R6932" t="str">
        <f>IFERROR(VLOOKUP(record[[#This Row],[PCUSTID]],廠商[],2,FALSE),"")</f>
        <v/>
      </c>
      <c r="S6932" t="str">
        <f>VLOOKUP(record[[#This Row],[employeeID]],員工[],2,FALSE)</f>
        <v>陳昱佑</v>
      </c>
    </row>
    <row r="6933" spans="6:19" hidden="1" x14ac:dyDescent="0.25">
      <c r="F6933" t="s">
        <v>1129</v>
      </c>
      <c r="G6933" t="s">
        <v>362</v>
      </c>
      <c r="H6933" t="str">
        <f>VLOOKUP(record[[#This Row],[ProcessSN]],表格2_7[],2,FALSE)</f>
        <v>30-4118-018-450</v>
      </c>
      <c r="I6933" t="str">
        <f>VLOOKUP(record[[#This Row],[ProcessSN]],表格2_7[],3,FALSE)</f>
        <v>#100SHIP</v>
      </c>
      <c r="J6933" t="s">
        <v>600</v>
      </c>
      <c r="K6933" s="195">
        <v>45960.406736111108</v>
      </c>
      <c r="L6933">
        <v>7</v>
      </c>
      <c r="M6933">
        <v>0</v>
      </c>
      <c r="N6933" s="98" t="str">
        <f>IF(record[[#This Row],[Memo]]="Browser:chrome os:android","平板報工",IF(record[[#This Row],[Memo]]=0,"委外",record[[#This Row],[Memo]]))</f>
        <v/>
      </c>
      <c r="O6933" t="s">
        <v>58</v>
      </c>
      <c r="P6933" t="s">
        <v>886</v>
      </c>
      <c r="Q6933" t="s">
        <v>58</v>
      </c>
      <c r="R6933" t="str">
        <f>IFERROR(VLOOKUP(record[[#This Row],[PCUSTID]],廠商[],2,FALSE),"")</f>
        <v/>
      </c>
      <c r="S6933" t="str">
        <f>VLOOKUP(record[[#This Row],[employeeID]],員工[],2,FALSE)</f>
        <v>謝蓁薰</v>
      </c>
    </row>
    <row r="6934" spans="6:19" hidden="1" x14ac:dyDescent="0.25">
      <c r="F6934" t="s">
        <v>1099</v>
      </c>
      <c r="G6934" t="s">
        <v>451</v>
      </c>
      <c r="H6934" t="str">
        <f>VLOOKUP(record[[#This Row],[ProcessSN]],表格2_7[],2,FALSE)</f>
        <v>30-4118-018-6XX</v>
      </c>
      <c r="I6934" t="str">
        <f>VLOOKUP(record[[#This Row],[ProcessSN]],表格2_7[],3,FALSE)</f>
        <v>#07</v>
      </c>
      <c r="J6934" t="s">
        <v>588</v>
      </c>
      <c r="K6934" s="195">
        <v>45960.31077546296</v>
      </c>
      <c r="L6934">
        <v>108</v>
      </c>
      <c r="M6934">
        <v>0</v>
      </c>
      <c r="N6934" s="98" t="str">
        <f>IF(record[[#This Row],[Memo]]="Browser:chrome os:android","平板報工",IF(record[[#This Row],[Memo]]=0,"委外",record[[#This Row],[Memo]]))</f>
        <v/>
      </c>
      <c r="O6934" t="s">
        <v>58</v>
      </c>
      <c r="P6934" t="s">
        <v>135</v>
      </c>
      <c r="Q6934" t="s">
        <v>58</v>
      </c>
      <c r="R6934" t="str">
        <f>IFERROR(VLOOKUP(record[[#This Row],[PCUSTID]],廠商[],2,FALSE),"")</f>
        <v/>
      </c>
      <c r="S6934" t="str">
        <f>VLOOKUP(record[[#This Row],[employeeID]],員工[],2,FALSE)</f>
        <v>阮士文</v>
      </c>
    </row>
    <row r="6935" spans="6:19" hidden="1" x14ac:dyDescent="0.25">
      <c r="F6935" t="s">
        <v>1101</v>
      </c>
      <c r="G6935" t="s">
        <v>377</v>
      </c>
      <c r="H6935" t="str">
        <f>VLOOKUP(record[[#This Row],[ProcessSN]],表格2_7[],2,FALSE)</f>
        <v>30-4118-018-4XX</v>
      </c>
      <c r="I6935" t="str">
        <f>VLOOKUP(record[[#This Row],[ProcessSN]],表格2_7[],3,FALSE)</f>
        <v>#07</v>
      </c>
      <c r="J6935" t="s">
        <v>588</v>
      </c>
      <c r="K6935" s="195">
        <v>45960.31009259259</v>
      </c>
      <c r="L6935">
        <v>96</v>
      </c>
      <c r="M6935">
        <v>1</v>
      </c>
      <c r="N6935" s="98" t="str">
        <f>IF(record[[#This Row],[Memo]]="Browser:chrome os:android","平板報工",IF(record[[#This Row],[Memo]]=0,"委外",record[[#This Row],[Memo]]))</f>
        <v/>
      </c>
      <c r="O6935" t="s">
        <v>58</v>
      </c>
      <c r="P6935" t="s">
        <v>135</v>
      </c>
      <c r="Q6935" t="s">
        <v>58</v>
      </c>
      <c r="R6935" t="str">
        <f>IFERROR(VLOOKUP(record[[#This Row],[PCUSTID]],廠商[],2,FALSE),"")</f>
        <v/>
      </c>
      <c r="S6935" t="str">
        <f>VLOOKUP(record[[#This Row],[employeeID]],員工[],2,FALSE)</f>
        <v>阮士文</v>
      </c>
    </row>
    <row r="6936" spans="6:19" hidden="1" x14ac:dyDescent="0.25">
      <c r="F6936" t="s">
        <v>1169</v>
      </c>
      <c r="G6936" t="s">
        <v>416</v>
      </c>
      <c r="H6936" t="str">
        <f>VLOOKUP(record[[#This Row],[ProcessSN]],表格2_7[],2,FALSE)</f>
        <v>30-4118-018-5XX</v>
      </c>
      <c r="I6936" t="str">
        <f>VLOOKUP(record[[#This Row],[ProcessSN]],表格2_7[],3,FALSE)</f>
        <v>#05</v>
      </c>
      <c r="J6936" t="s">
        <v>588</v>
      </c>
      <c r="K6936" s="195">
        <v>45960.309189814812</v>
      </c>
      <c r="L6936">
        <v>311</v>
      </c>
      <c r="M6936">
        <v>0</v>
      </c>
      <c r="N6936" s="98" t="str">
        <f>IF(record[[#This Row],[Memo]]="Browser:chrome os:android","平板報工",IF(record[[#This Row],[Memo]]=0,"委外",record[[#This Row],[Memo]]))</f>
        <v/>
      </c>
      <c r="O6936" t="s">
        <v>58</v>
      </c>
      <c r="P6936" t="s">
        <v>135</v>
      </c>
      <c r="Q6936" t="s">
        <v>58</v>
      </c>
      <c r="R6936" t="str">
        <f>IFERROR(VLOOKUP(record[[#This Row],[PCUSTID]],廠商[],2,FALSE),"")</f>
        <v/>
      </c>
      <c r="S6936" t="str">
        <f>VLOOKUP(record[[#This Row],[employeeID]],員工[],2,FALSE)</f>
        <v>阮士文</v>
      </c>
    </row>
    <row r="6937" spans="6:19" hidden="1" x14ac:dyDescent="0.25">
      <c r="F6937" t="s">
        <v>1169</v>
      </c>
      <c r="G6937" t="s">
        <v>415</v>
      </c>
      <c r="H6937" t="str">
        <f>VLOOKUP(record[[#This Row],[ProcessSN]],表格2_7[],2,FALSE)</f>
        <v>30-4118-018-5XX</v>
      </c>
      <c r="I6937" t="str">
        <f>VLOOKUP(record[[#This Row],[ProcessSN]],表格2_7[],3,FALSE)</f>
        <v>#04</v>
      </c>
      <c r="J6937" t="s">
        <v>588</v>
      </c>
      <c r="K6937" s="195">
        <v>45960.308321759258</v>
      </c>
      <c r="L6937">
        <v>139</v>
      </c>
      <c r="M6937">
        <v>0</v>
      </c>
      <c r="N6937" s="98" t="str">
        <f>IF(record[[#This Row],[Memo]]="Browser:chrome os:android","平板報工",IF(record[[#This Row],[Memo]]=0,"委外",record[[#This Row],[Memo]]))</f>
        <v/>
      </c>
      <c r="O6937" t="s">
        <v>58</v>
      </c>
      <c r="P6937" t="s">
        <v>135</v>
      </c>
      <c r="Q6937" t="s">
        <v>58</v>
      </c>
      <c r="R6937" t="str">
        <f>IFERROR(VLOOKUP(record[[#This Row],[PCUSTID]],廠商[],2,FALSE),"")</f>
        <v/>
      </c>
      <c r="S6937" t="str">
        <f>VLOOKUP(record[[#This Row],[employeeID]],員工[],2,FALSE)</f>
        <v>阮士文</v>
      </c>
    </row>
    <row r="6938" spans="6:19" hidden="1" x14ac:dyDescent="0.25">
      <c r="F6938" t="s">
        <v>1099</v>
      </c>
      <c r="G6938" t="s">
        <v>451</v>
      </c>
      <c r="H6938" t="str">
        <f>VLOOKUP(record[[#This Row],[ProcessSN]],表格2_7[],2,FALSE)</f>
        <v>30-4118-018-6XX</v>
      </c>
      <c r="I6938" t="str">
        <f>VLOOKUP(record[[#This Row],[ProcessSN]],表格2_7[],3,FALSE)</f>
        <v>#07</v>
      </c>
      <c r="J6938" t="s">
        <v>588</v>
      </c>
      <c r="K6938" s="195">
        <v>45959.980983796297</v>
      </c>
      <c r="L6938">
        <v>223</v>
      </c>
      <c r="M6938">
        <v>4</v>
      </c>
      <c r="N6938" s="98" t="str">
        <f>IF(record[[#This Row],[Memo]]="Browser:chrome os:android","平板報工",IF(record[[#This Row],[Memo]]=0,"委外",record[[#This Row],[Memo]]))</f>
        <v/>
      </c>
      <c r="O6938" t="s">
        <v>58</v>
      </c>
      <c r="P6938" t="s">
        <v>806</v>
      </c>
      <c r="Q6938" t="s">
        <v>58</v>
      </c>
      <c r="R6938" t="str">
        <f>IFERROR(VLOOKUP(record[[#This Row],[PCUSTID]],廠商[],2,FALSE),"")</f>
        <v/>
      </c>
      <c r="S6938" t="str">
        <f>VLOOKUP(record[[#This Row],[employeeID]],員工[],2,FALSE)</f>
        <v>方思緯</v>
      </c>
    </row>
    <row r="6939" spans="6:19" hidden="1" x14ac:dyDescent="0.25">
      <c r="F6939" t="s">
        <v>1169</v>
      </c>
      <c r="G6939" t="s">
        <v>415</v>
      </c>
      <c r="H6939" t="str">
        <f>VLOOKUP(record[[#This Row],[ProcessSN]],表格2_7[],2,FALSE)</f>
        <v>30-4118-018-5XX</v>
      </c>
      <c r="I6939" t="str">
        <f>VLOOKUP(record[[#This Row],[ProcessSN]],表格2_7[],3,FALSE)</f>
        <v>#04</v>
      </c>
      <c r="J6939" t="s">
        <v>588</v>
      </c>
      <c r="K6939" s="195">
        <v>45959.980243055557</v>
      </c>
      <c r="L6939">
        <v>135</v>
      </c>
      <c r="M6939">
        <v>0</v>
      </c>
      <c r="N6939" s="98" t="str">
        <f>IF(record[[#This Row],[Memo]]="Browser:chrome os:android","平板報工",IF(record[[#This Row],[Memo]]=0,"委外",record[[#This Row],[Memo]]))</f>
        <v/>
      </c>
      <c r="O6939" t="s">
        <v>58</v>
      </c>
      <c r="P6939" t="s">
        <v>89</v>
      </c>
      <c r="Q6939" t="s">
        <v>58</v>
      </c>
      <c r="R6939" t="str">
        <f>IFERROR(VLOOKUP(record[[#This Row],[PCUSTID]],廠商[],2,FALSE),"")</f>
        <v/>
      </c>
      <c r="S6939" t="str">
        <f>VLOOKUP(record[[#This Row],[employeeID]],員工[],2,FALSE)</f>
        <v>李美蓮</v>
      </c>
    </row>
    <row r="6940" spans="6:19" hidden="1" x14ac:dyDescent="0.25">
      <c r="F6940" t="s">
        <v>1169</v>
      </c>
      <c r="G6940" t="s">
        <v>414</v>
      </c>
      <c r="H6940" t="str">
        <f>VLOOKUP(record[[#This Row],[ProcessSN]],表格2_7[],2,FALSE)</f>
        <v>30-4118-018-5XX</v>
      </c>
      <c r="I6940" t="str">
        <f>VLOOKUP(record[[#This Row],[ProcessSN]],表格2_7[],3,FALSE)</f>
        <v>#03</v>
      </c>
      <c r="J6940" t="s">
        <v>588</v>
      </c>
      <c r="K6940" s="195">
        <v>45959.979814814818</v>
      </c>
      <c r="L6940">
        <v>597</v>
      </c>
      <c r="M6940">
        <v>7</v>
      </c>
      <c r="N6940" s="98" t="str">
        <f>IF(record[[#This Row],[Memo]]="Browser:chrome os:android","平板報工",IF(record[[#This Row],[Memo]]=0,"委外",record[[#This Row],[Memo]]))</f>
        <v/>
      </c>
      <c r="O6940" t="s">
        <v>58</v>
      </c>
      <c r="P6940" t="s">
        <v>89</v>
      </c>
      <c r="Q6940" t="s">
        <v>58</v>
      </c>
      <c r="R6940" t="str">
        <f>IFERROR(VLOOKUP(record[[#This Row],[PCUSTID]],廠商[],2,FALSE),"")</f>
        <v/>
      </c>
      <c r="S6940" t="str">
        <f>VLOOKUP(record[[#This Row],[employeeID]],員工[],2,FALSE)</f>
        <v>李美蓮</v>
      </c>
    </row>
    <row r="6941" spans="6:19" hidden="1" x14ac:dyDescent="0.25">
      <c r="F6941" t="s">
        <v>1169</v>
      </c>
      <c r="G6941" t="s">
        <v>416</v>
      </c>
      <c r="H6941" t="str">
        <f>VLOOKUP(record[[#This Row],[ProcessSN]],表格2_7[],2,FALSE)</f>
        <v>30-4118-018-5XX</v>
      </c>
      <c r="I6941" t="str">
        <f>VLOOKUP(record[[#This Row],[ProcessSN]],表格2_7[],3,FALSE)</f>
        <v>#05</v>
      </c>
      <c r="J6941" t="s">
        <v>588</v>
      </c>
      <c r="K6941" s="195">
        <v>45959.97923611111</v>
      </c>
      <c r="L6941">
        <v>72</v>
      </c>
      <c r="M6941">
        <v>0</v>
      </c>
      <c r="N6941" s="98" t="str">
        <f>IF(record[[#This Row],[Memo]]="Browser:chrome os:android","平板報工",IF(record[[#This Row],[Memo]]=0,"委外",record[[#This Row],[Memo]]))</f>
        <v/>
      </c>
      <c r="O6941" t="s">
        <v>58</v>
      </c>
      <c r="P6941" t="s">
        <v>89</v>
      </c>
      <c r="Q6941" t="s">
        <v>58</v>
      </c>
      <c r="R6941" t="str">
        <f>IFERROR(VLOOKUP(record[[#This Row],[PCUSTID]],廠商[],2,FALSE),"")</f>
        <v/>
      </c>
      <c r="S6941" t="str">
        <f>VLOOKUP(record[[#This Row],[employeeID]],員工[],2,FALSE)</f>
        <v>李美蓮</v>
      </c>
    </row>
    <row r="6942" spans="6:19" hidden="1" x14ac:dyDescent="0.25">
      <c r="F6942" t="s">
        <v>1169</v>
      </c>
      <c r="G6942" t="s">
        <v>415</v>
      </c>
      <c r="H6942" t="str">
        <f>VLOOKUP(record[[#This Row],[ProcessSN]],表格2_7[],2,FALSE)</f>
        <v>30-4118-018-5XX</v>
      </c>
      <c r="I6942" t="str">
        <f>VLOOKUP(record[[#This Row],[ProcessSN]],表格2_7[],3,FALSE)</f>
        <v>#04</v>
      </c>
      <c r="J6942" t="s">
        <v>588</v>
      </c>
      <c r="K6942" s="195">
        <v>45959.648634259262</v>
      </c>
      <c r="L6942">
        <v>24</v>
      </c>
      <c r="M6942">
        <v>0</v>
      </c>
      <c r="N6942" s="98" t="str">
        <f>IF(record[[#This Row],[Memo]]="Browser:chrome os:android","平板報工",IF(record[[#This Row],[Memo]]=0,"委外",record[[#This Row],[Memo]]))</f>
        <v>平板報工</v>
      </c>
      <c r="O6942" t="s">
        <v>643</v>
      </c>
      <c r="P6942" t="s">
        <v>785</v>
      </c>
      <c r="Q6942" t="s">
        <v>644</v>
      </c>
      <c r="R6942" t="str">
        <f>IFERROR(VLOOKUP(record[[#This Row],[PCUSTID]],廠商[],2,FALSE),"")</f>
        <v/>
      </c>
      <c r="S6942" t="str">
        <f>VLOOKUP(record[[#This Row],[employeeID]],員工[],2,FALSE)</f>
        <v>謝刻光</v>
      </c>
    </row>
    <row r="6943" spans="6:19" hidden="1" x14ac:dyDescent="0.25">
      <c r="F6943" t="s">
        <v>1169</v>
      </c>
      <c r="G6943" t="s">
        <v>414</v>
      </c>
      <c r="H6943" t="str">
        <f>VLOOKUP(record[[#This Row],[ProcessSN]],表格2_7[],2,FALSE)</f>
        <v>30-4118-018-5XX</v>
      </c>
      <c r="I6943" t="str">
        <f>VLOOKUP(record[[#This Row],[ProcessSN]],表格2_7[],3,FALSE)</f>
        <v>#03</v>
      </c>
      <c r="J6943" t="s">
        <v>588</v>
      </c>
      <c r="K6943" s="195">
        <v>45959.648506944446</v>
      </c>
      <c r="L6943">
        <v>60</v>
      </c>
      <c r="M6943">
        <v>0</v>
      </c>
      <c r="N6943" s="98" t="str">
        <f>IF(record[[#This Row],[Memo]]="Browser:chrome os:android","平板報工",IF(record[[#This Row],[Memo]]=0,"委外",record[[#This Row],[Memo]]))</f>
        <v>平板報工</v>
      </c>
      <c r="O6943" t="s">
        <v>643</v>
      </c>
      <c r="P6943" t="s">
        <v>785</v>
      </c>
      <c r="Q6943" t="s">
        <v>644</v>
      </c>
      <c r="R6943" t="str">
        <f>IFERROR(VLOOKUP(record[[#This Row],[PCUSTID]],廠商[],2,FALSE),"")</f>
        <v/>
      </c>
      <c r="S6943" t="str">
        <f>VLOOKUP(record[[#This Row],[employeeID]],員工[],2,FALSE)</f>
        <v>謝刻光</v>
      </c>
    </row>
    <row r="6944" spans="6:19" hidden="1" x14ac:dyDescent="0.25">
      <c r="F6944" t="s">
        <v>1099</v>
      </c>
      <c r="G6944" t="s">
        <v>451</v>
      </c>
      <c r="H6944" t="str">
        <f>VLOOKUP(record[[#This Row],[ProcessSN]],表格2_7[],2,FALSE)</f>
        <v>30-4118-018-6XX</v>
      </c>
      <c r="I6944" t="str">
        <f>VLOOKUP(record[[#This Row],[ProcessSN]],表格2_7[],3,FALSE)</f>
        <v>#07</v>
      </c>
      <c r="J6944" t="s">
        <v>588</v>
      </c>
      <c r="K6944" s="195">
        <v>45959.648240740738</v>
      </c>
      <c r="L6944">
        <v>207</v>
      </c>
      <c r="M6944">
        <v>0</v>
      </c>
      <c r="N6944" s="98" t="str">
        <f>IF(record[[#This Row],[Memo]]="Browser:chrome os:android","平板報工",IF(record[[#This Row],[Memo]]=0,"委外",record[[#This Row],[Memo]]))</f>
        <v>平板報工</v>
      </c>
      <c r="O6944" t="s">
        <v>643</v>
      </c>
      <c r="P6944" t="s">
        <v>785</v>
      </c>
      <c r="Q6944" t="s">
        <v>644</v>
      </c>
      <c r="R6944" t="str">
        <f>IFERROR(VLOOKUP(record[[#This Row],[PCUSTID]],廠商[],2,FALSE),"")</f>
        <v/>
      </c>
      <c r="S6944" t="str">
        <f>VLOOKUP(record[[#This Row],[employeeID]],員工[],2,FALSE)</f>
        <v>謝刻光</v>
      </c>
    </row>
    <row r="6945" spans="6:19" hidden="1" x14ac:dyDescent="0.25">
      <c r="F6945" t="s">
        <v>1169</v>
      </c>
      <c r="G6945" t="s">
        <v>415</v>
      </c>
      <c r="H6945" t="str">
        <f>VLOOKUP(record[[#This Row],[ProcessSN]],表格2_7[],2,FALSE)</f>
        <v>30-4118-018-5XX</v>
      </c>
      <c r="I6945" t="str">
        <f>VLOOKUP(record[[#This Row],[ProcessSN]],表格2_7[],3,FALSE)</f>
        <v>#04</v>
      </c>
      <c r="J6945" t="s">
        <v>588</v>
      </c>
      <c r="K6945" s="195">
        <v>45959.647835648146</v>
      </c>
      <c r="L6945">
        <v>82</v>
      </c>
      <c r="M6945">
        <v>0</v>
      </c>
      <c r="N6945" s="98" t="str">
        <f>IF(record[[#This Row],[Memo]]="Browser:chrome os:android","平板報工",IF(record[[#This Row],[Memo]]=0,"委外",record[[#This Row],[Memo]]))</f>
        <v>平板報工</v>
      </c>
      <c r="O6945" t="s">
        <v>643</v>
      </c>
      <c r="P6945" t="s">
        <v>785</v>
      </c>
      <c r="Q6945" t="s">
        <v>644</v>
      </c>
      <c r="R6945" t="str">
        <f>IFERROR(VLOOKUP(record[[#This Row],[PCUSTID]],廠商[],2,FALSE),"")</f>
        <v/>
      </c>
      <c r="S6945" t="str">
        <f>VLOOKUP(record[[#This Row],[employeeID]],員工[],2,FALSE)</f>
        <v>謝刻光</v>
      </c>
    </row>
    <row r="6946" spans="6:19" hidden="1" x14ac:dyDescent="0.25">
      <c r="F6946" t="s">
        <v>1143</v>
      </c>
      <c r="G6946" t="s">
        <v>425</v>
      </c>
      <c r="H6946" t="str">
        <f>VLOOKUP(record[[#This Row],[ProcessSN]],表格2_7[],2,FALSE)</f>
        <v>30-4118-018-600</v>
      </c>
      <c r="I6946" t="str">
        <f>VLOOKUP(record[[#This Row],[ProcessSN]],表格2_7[],3,FALSE)</f>
        <v>#100</v>
      </c>
      <c r="J6946" t="s">
        <v>598</v>
      </c>
      <c r="K6946" s="195">
        <v>45959.569548611114</v>
      </c>
      <c r="L6946">
        <v>588</v>
      </c>
      <c r="M6946">
        <v>0</v>
      </c>
      <c r="N6946" s="98" t="str">
        <f>IF(record[[#This Row],[Memo]]="Browser:chrome os:android","平板報工",IF(record[[#This Row],[Memo]]=0,"委外",record[[#This Row],[Memo]]))</f>
        <v/>
      </c>
      <c r="O6946" t="s">
        <v>58</v>
      </c>
      <c r="P6946" t="s">
        <v>141</v>
      </c>
      <c r="Q6946" t="s">
        <v>58</v>
      </c>
      <c r="R6946" t="str">
        <f>IFERROR(VLOOKUP(record[[#This Row],[PCUSTID]],廠商[],2,FALSE),"")</f>
        <v/>
      </c>
      <c r="S6946" t="str">
        <f>VLOOKUP(record[[#This Row],[employeeID]],員工[],2,FALSE)</f>
        <v>蔣梅</v>
      </c>
    </row>
    <row r="6947" spans="6:19" hidden="1" x14ac:dyDescent="0.25">
      <c r="F6947" t="s">
        <v>1130</v>
      </c>
      <c r="G6947" t="s">
        <v>425</v>
      </c>
      <c r="H6947" t="str">
        <f>VLOOKUP(record[[#This Row],[ProcessSN]],表格2_7[],2,FALSE)</f>
        <v>30-4118-018-600</v>
      </c>
      <c r="I6947" t="str">
        <f>VLOOKUP(record[[#This Row],[ProcessSN]],表格2_7[],3,FALSE)</f>
        <v>#100</v>
      </c>
      <c r="J6947" t="s">
        <v>598</v>
      </c>
      <c r="K6947" s="195">
        <v>45959.569178240738</v>
      </c>
      <c r="L6947">
        <v>47</v>
      </c>
      <c r="M6947">
        <v>0</v>
      </c>
      <c r="N6947" s="98" t="str">
        <f>IF(record[[#This Row],[Memo]]="Browser:chrome os:android","平板報工",IF(record[[#This Row],[Memo]]=0,"委外",record[[#This Row],[Memo]]))</f>
        <v/>
      </c>
      <c r="O6947" t="s">
        <v>58</v>
      </c>
      <c r="P6947" t="s">
        <v>141</v>
      </c>
      <c r="Q6947" t="s">
        <v>58</v>
      </c>
      <c r="R6947" t="str">
        <f>IFERROR(VLOOKUP(record[[#This Row],[PCUSTID]],廠商[],2,FALSE),"")</f>
        <v/>
      </c>
      <c r="S6947" t="str">
        <f>VLOOKUP(record[[#This Row],[employeeID]],員工[],2,FALSE)</f>
        <v>蔣梅</v>
      </c>
    </row>
    <row r="6948" spans="6:19" hidden="1" x14ac:dyDescent="0.25">
      <c r="F6948" t="s">
        <v>1117</v>
      </c>
      <c r="G6948" t="s">
        <v>425</v>
      </c>
      <c r="H6948" t="str">
        <f>VLOOKUP(record[[#This Row],[ProcessSN]],表格2_7[],2,FALSE)</f>
        <v>30-4118-018-600</v>
      </c>
      <c r="I6948" t="str">
        <f>VLOOKUP(record[[#This Row],[ProcessSN]],表格2_7[],3,FALSE)</f>
        <v>#100</v>
      </c>
      <c r="J6948" t="s">
        <v>598</v>
      </c>
      <c r="K6948" s="195">
        <v>45959.568888888891</v>
      </c>
      <c r="L6948">
        <v>43</v>
      </c>
      <c r="M6948">
        <v>0</v>
      </c>
      <c r="N6948" s="98" t="str">
        <f>IF(record[[#This Row],[Memo]]="Browser:chrome os:android","平板報工",IF(record[[#This Row],[Memo]]=0,"委外",record[[#This Row],[Memo]]))</f>
        <v/>
      </c>
      <c r="O6948" t="s">
        <v>58</v>
      </c>
      <c r="P6948" t="s">
        <v>141</v>
      </c>
      <c r="Q6948" t="s">
        <v>58</v>
      </c>
      <c r="R6948" t="str">
        <f>IFERROR(VLOOKUP(record[[#This Row],[PCUSTID]],廠商[],2,FALSE),"")</f>
        <v/>
      </c>
      <c r="S6948" t="str">
        <f>VLOOKUP(record[[#This Row],[employeeID]],員工[],2,FALSE)</f>
        <v>蔣梅</v>
      </c>
    </row>
    <row r="6949" spans="6:19" hidden="1" x14ac:dyDescent="0.25">
      <c r="F6949" t="s">
        <v>1143</v>
      </c>
      <c r="G6949" t="s">
        <v>424</v>
      </c>
      <c r="H6949" t="str">
        <f>VLOOKUP(record[[#This Row],[ProcessSN]],表格2_7[],2,FALSE)</f>
        <v>30-4118-018-600</v>
      </c>
      <c r="I6949" t="str">
        <f>VLOOKUP(record[[#This Row],[ProcessSN]],表格2_7[],3,FALSE)</f>
        <v>#08IQC</v>
      </c>
      <c r="J6949" t="s">
        <v>583</v>
      </c>
      <c r="K6949" s="195">
        <v>45959.566944444443</v>
      </c>
      <c r="L6949">
        <v>18</v>
      </c>
      <c r="M6949">
        <v>0</v>
      </c>
      <c r="N6949" s="98" t="str">
        <f>IF(record[[#This Row],[Memo]]="Browser:chrome os:android","平板報工",IF(record[[#This Row],[Memo]]=0,"委外",record[[#This Row],[Memo]]))</f>
        <v>覆回品</v>
      </c>
      <c r="O6949" t="s">
        <v>664</v>
      </c>
      <c r="P6949" t="s">
        <v>141</v>
      </c>
      <c r="Q6949" t="s">
        <v>58</v>
      </c>
      <c r="R6949" t="str">
        <f>IFERROR(VLOOKUP(record[[#This Row],[PCUSTID]],廠商[],2,FALSE),"")</f>
        <v/>
      </c>
      <c r="S6949" t="str">
        <f>VLOOKUP(record[[#This Row],[employeeID]],員工[],2,FALSE)</f>
        <v>蔣梅</v>
      </c>
    </row>
    <row r="6950" spans="6:19" hidden="1" x14ac:dyDescent="0.25">
      <c r="F6950" t="s">
        <v>1143</v>
      </c>
      <c r="G6950" t="s">
        <v>423</v>
      </c>
      <c r="H6950" t="str">
        <f>VLOOKUP(record[[#This Row],[ProcessSN]],表格2_7[],2,FALSE)</f>
        <v>30-4118-018-600</v>
      </c>
      <c r="I6950" t="str">
        <f>VLOOKUP(record[[#This Row],[ProcessSN]],表格2_7[],3,FALSE)</f>
        <v>#08RCV</v>
      </c>
      <c r="J6950" t="s">
        <v>591</v>
      </c>
      <c r="K6950" s="195">
        <v>45959.566793981481</v>
      </c>
      <c r="L6950">
        <v>0</v>
      </c>
      <c r="M6950">
        <v>37</v>
      </c>
      <c r="N6950" s="98" t="str">
        <f>IF(record[[#This Row],[Memo]]="Browser:chrome os:android","平板報工",IF(record[[#This Row],[Memo]]=0,"委外",record[[#This Row],[Memo]]))</f>
        <v/>
      </c>
      <c r="O6950" t="s">
        <v>58</v>
      </c>
      <c r="P6950" t="s">
        <v>141</v>
      </c>
      <c r="Q6950" t="s">
        <v>58</v>
      </c>
      <c r="R6950" t="str">
        <f>IFERROR(VLOOKUP(record[[#This Row],[PCUSTID]],廠商[],2,FALSE),"")</f>
        <v/>
      </c>
      <c r="S6950" t="str">
        <f>VLOOKUP(record[[#This Row],[employeeID]],員工[],2,FALSE)</f>
        <v>蔣梅</v>
      </c>
    </row>
    <row r="6951" spans="6:19" hidden="1" x14ac:dyDescent="0.25">
      <c r="F6951" t="s">
        <v>1143</v>
      </c>
      <c r="G6951" t="s">
        <v>423</v>
      </c>
      <c r="H6951" t="str">
        <f>VLOOKUP(record[[#This Row],[ProcessSN]],表格2_7[],2,FALSE)</f>
        <v>30-4118-018-600</v>
      </c>
      <c r="I6951" t="str">
        <f>VLOOKUP(record[[#This Row],[ProcessSN]],表格2_7[],3,FALSE)</f>
        <v>#08RCV</v>
      </c>
      <c r="J6951" t="s">
        <v>591</v>
      </c>
      <c r="K6951" s="195">
        <v>45959.56659722222</v>
      </c>
      <c r="L6951">
        <v>18</v>
      </c>
      <c r="M6951">
        <v>0</v>
      </c>
      <c r="N6951" s="98" t="str">
        <f>IF(record[[#This Row],[Memo]]="Browser:chrome os:android","平板報工",IF(record[[#This Row],[Memo]]=0,"委外",record[[#This Row],[Memo]]))</f>
        <v>覆回品</v>
      </c>
      <c r="O6951" t="s">
        <v>664</v>
      </c>
      <c r="P6951" t="s">
        <v>141</v>
      </c>
      <c r="Q6951" t="s">
        <v>58</v>
      </c>
      <c r="R6951" t="str">
        <f>IFERROR(VLOOKUP(record[[#This Row],[PCUSTID]],廠商[],2,FALSE),"")</f>
        <v/>
      </c>
      <c r="S6951" t="str">
        <f>VLOOKUP(record[[#This Row],[employeeID]],員工[],2,FALSE)</f>
        <v>蔣梅</v>
      </c>
    </row>
    <row r="6952" spans="6:19" hidden="1" x14ac:dyDescent="0.25">
      <c r="F6952" t="s">
        <v>1180</v>
      </c>
      <c r="G6952" t="s">
        <v>412</v>
      </c>
      <c r="H6952" t="str">
        <f>VLOOKUP(record[[#This Row],[ProcessSN]],表格2_7[],2,FALSE)</f>
        <v>30-4118-018-5XX</v>
      </c>
      <c r="I6952" t="str">
        <f>VLOOKUP(record[[#This Row],[ProcessSN]],表格2_7[],3,FALSE)</f>
        <v>#03PICK</v>
      </c>
      <c r="J6952" t="s">
        <v>582</v>
      </c>
      <c r="K6952" s="195">
        <v>45959.56627314815</v>
      </c>
      <c r="L6952">
        <v>661</v>
      </c>
      <c r="M6952">
        <v>0</v>
      </c>
      <c r="N6952" s="98" t="str">
        <f>IF(record[[#This Row],[Memo]]="Browser:chrome os:android","平板報工",IF(record[[#This Row],[Memo]]=0,"委外",record[[#This Row],[Memo]]))</f>
        <v/>
      </c>
      <c r="O6952" t="s">
        <v>58</v>
      </c>
      <c r="P6952" t="s">
        <v>196</v>
      </c>
      <c r="Q6952" t="s">
        <v>58</v>
      </c>
      <c r="R6952" t="str">
        <f>IFERROR(VLOOKUP(record[[#This Row],[PCUSTID]],廠商[],2,FALSE),"")</f>
        <v/>
      </c>
      <c r="S6952" t="str">
        <f>VLOOKUP(record[[#This Row],[employeeID]],員工[],2,FALSE)</f>
        <v>張淑惠</v>
      </c>
    </row>
    <row r="6953" spans="6:19" hidden="1" x14ac:dyDescent="0.25">
      <c r="F6953" t="s">
        <v>1179</v>
      </c>
      <c r="G6953" t="s">
        <v>371</v>
      </c>
      <c r="H6953" t="str">
        <f>VLOOKUP(record[[#This Row],[ProcessSN]],表格2_7[],2,FALSE)</f>
        <v>30-4118-018-4XX</v>
      </c>
      <c r="I6953" t="str">
        <f>VLOOKUP(record[[#This Row],[ProcessSN]],表格2_7[],3,FALSE)</f>
        <v>#03PICK</v>
      </c>
      <c r="J6953" t="s">
        <v>582</v>
      </c>
      <c r="K6953" s="195">
        <v>45959.566145833334</v>
      </c>
      <c r="L6953">
        <v>16</v>
      </c>
      <c r="M6953">
        <v>0</v>
      </c>
      <c r="N6953" s="98" t="str">
        <f>IF(record[[#This Row],[Memo]]="Browser:chrome os:android","平板報工",IF(record[[#This Row],[Memo]]=0,"委外",record[[#This Row],[Memo]]))</f>
        <v/>
      </c>
      <c r="O6953" t="s">
        <v>58</v>
      </c>
      <c r="P6953" t="s">
        <v>196</v>
      </c>
      <c r="Q6953" t="s">
        <v>58</v>
      </c>
      <c r="R6953" t="str">
        <f>IFERROR(VLOOKUP(record[[#This Row],[PCUSTID]],廠商[],2,FALSE),"")</f>
        <v/>
      </c>
      <c r="S6953" t="str">
        <f>VLOOKUP(record[[#This Row],[employeeID]],員工[],2,FALSE)</f>
        <v>張淑惠</v>
      </c>
    </row>
    <row r="6954" spans="6:19" hidden="1" x14ac:dyDescent="0.25">
      <c r="F6954" t="s">
        <v>1099</v>
      </c>
      <c r="G6954" t="s">
        <v>453</v>
      </c>
      <c r="H6954" t="str">
        <f>VLOOKUP(record[[#This Row],[ProcessSN]],表格2_7[],2,FALSE)</f>
        <v>30-4118-018-6XX</v>
      </c>
      <c r="I6954" t="str">
        <f>VLOOKUP(record[[#This Row],[ProcessSN]],表格2_7[],3,FALSE)</f>
        <v>#07STOCK</v>
      </c>
      <c r="J6954" t="s">
        <v>592</v>
      </c>
      <c r="K6954" s="195">
        <v>45959.563472222224</v>
      </c>
      <c r="L6954">
        <v>326</v>
      </c>
      <c r="M6954">
        <v>0</v>
      </c>
      <c r="N6954" s="98" t="str">
        <f>IF(record[[#This Row],[Memo]]="Browser:chrome os:android","平板報工",IF(record[[#This Row],[Memo]]=0,"委外",record[[#This Row],[Memo]]))</f>
        <v/>
      </c>
      <c r="O6954" t="s">
        <v>58</v>
      </c>
      <c r="P6954" t="s">
        <v>196</v>
      </c>
      <c r="Q6954" t="s">
        <v>58</v>
      </c>
      <c r="R6954" t="str">
        <f>IFERROR(VLOOKUP(record[[#This Row],[PCUSTID]],廠商[],2,FALSE),"")</f>
        <v/>
      </c>
      <c r="S6954" t="str">
        <f>VLOOKUP(record[[#This Row],[employeeID]],員工[],2,FALSE)</f>
        <v>張淑惠</v>
      </c>
    </row>
    <row r="6955" spans="6:19" hidden="1" x14ac:dyDescent="0.25">
      <c r="F6955" t="s">
        <v>1173</v>
      </c>
      <c r="G6955" t="s">
        <v>421</v>
      </c>
      <c r="H6955" t="str">
        <f>VLOOKUP(record[[#This Row],[ProcessSN]],表格2_7[],2,FALSE)</f>
        <v>30-4118-018-600</v>
      </c>
      <c r="I6955" t="str">
        <f>VLOOKUP(record[[#This Row],[ProcessSN]],表格2_7[],3,FALSE)</f>
        <v>#08PICK</v>
      </c>
      <c r="J6955" t="s">
        <v>582</v>
      </c>
      <c r="K6955" s="195">
        <v>45959.562349537038</v>
      </c>
      <c r="L6955">
        <v>328</v>
      </c>
      <c r="M6955">
        <v>0</v>
      </c>
      <c r="N6955" s="98" t="str">
        <f>IF(record[[#This Row],[Memo]]="Browser:chrome os:android","平板報工",IF(record[[#This Row],[Memo]]=0,"委外",record[[#This Row],[Memo]]))</f>
        <v/>
      </c>
      <c r="O6955" t="s">
        <v>58</v>
      </c>
      <c r="P6955" t="s">
        <v>196</v>
      </c>
      <c r="Q6955" t="s">
        <v>58</v>
      </c>
      <c r="R6955" t="str">
        <f>IFERROR(VLOOKUP(record[[#This Row],[PCUSTID]],廠商[],2,FALSE),"")</f>
        <v/>
      </c>
      <c r="S6955" t="str">
        <f>VLOOKUP(record[[#This Row],[employeeID]],員工[],2,FALSE)</f>
        <v>張淑惠</v>
      </c>
    </row>
    <row r="6956" spans="6:19" hidden="1" x14ac:dyDescent="0.25">
      <c r="F6956" t="s">
        <v>1130</v>
      </c>
      <c r="G6956" t="s">
        <v>424</v>
      </c>
      <c r="H6956" t="str">
        <f>VLOOKUP(record[[#This Row],[ProcessSN]],表格2_7[],2,FALSE)</f>
        <v>30-4118-018-600</v>
      </c>
      <c r="I6956" t="str">
        <f>VLOOKUP(record[[#This Row],[ProcessSN]],表格2_7[],3,FALSE)</f>
        <v>#08IQC</v>
      </c>
      <c r="J6956" t="s">
        <v>583</v>
      </c>
      <c r="K6956" s="195">
        <v>45959.559236111112</v>
      </c>
      <c r="L6956">
        <v>12</v>
      </c>
      <c r="M6956">
        <v>0</v>
      </c>
      <c r="N6956" s="98" t="str">
        <f>IF(record[[#This Row],[Memo]]="Browser:chrome os:android","平板報工",IF(record[[#This Row],[Memo]]=0,"委外",record[[#This Row],[Memo]]))</f>
        <v>覆回品</v>
      </c>
      <c r="O6956" t="s">
        <v>664</v>
      </c>
      <c r="P6956" t="s">
        <v>141</v>
      </c>
      <c r="Q6956" t="s">
        <v>58</v>
      </c>
      <c r="R6956" t="str">
        <f>IFERROR(VLOOKUP(record[[#This Row],[PCUSTID]],廠商[],2,FALSE),"")</f>
        <v/>
      </c>
      <c r="S6956" t="str">
        <f>VLOOKUP(record[[#This Row],[employeeID]],員工[],2,FALSE)</f>
        <v>蔣梅</v>
      </c>
    </row>
    <row r="6957" spans="6:19" hidden="1" x14ac:dyDescent="0.25">
      <c r="F6957" t="s">
        <v>1130</v>
      </c>
      <c r="G6957" t="s">
        <v>423</v>
      </c>
      <c r="H6957" t="str">
        <f>VLOOKUP(record[[#This Row],[ProcessSN]],表格2_7[],2,FALSE)</f>
        <v>30-4118-018-600</v>
      </c>
      <c r="I6957" t="str">
        <f>VLOOKUP(record[[#This Row],[ProcessSN]],表格2_7[],3,FALSE)</f>
        <v>#08RCV</v>
      </c>
      <c r="J6957" t="s">
        <v>591</v>
      </c>
      <c r="K6957" s="195">
        <v>45959.559062499997</v>
      </c>
      <c r="L6957">
        <v>12</v>
      </c>
      <c r="M6957">
        <v>0</v>
      </c>
      <c r="N6957" s="98" t="str">
        <f>IF(record[[#This Row],[Memo]]="Browser:chrome os:android","平板報工",IF(record[[#This Row],[Memo]]=0,"委外",record[[#This Row],[Memo]]))</f>
        <v>覆回品</v>
      </c>
      <c r="O6957" t="s">
        <v>664</v>
      </c>
      <c r="P6957" t="s">
        <v>141</v>
      </c>
      <c r="Q6957" t="s">
        <v>58</v>
      </c>
      <c r="R6957" t="str">
        <f>IFERROR(VLOOKUP(record[[#This Row],[PCUSTID]],廠商[],2,FALSE),"")</f>
        <v/>
      </c>
      <c r="S6957" t="str">
        <f>VLOOKUP(record[[#This Row],[employeeID]],員工[],2,FALSE)</f>
        <v>蔣梅</v>
      </c>
    </row>
    <row r="6958" spans="6:19" hidden="1" x14ac:dyDescent="0.25">
      <c r="F6958" t="s">
        <v>1099</v>
      </c>
      <c r="G6958" t="s">
        <v>452</v>
      </c>
      <c r="H6958" t="str">
        <f>VLOOKUP(record[[#This Row],[ProcessSN]],表格2_7[],2,FALSE)</f>
        <v>30-4118-018-6XX</v>
      </c>
      <c r="I6958" t="str">
        <f>VLOOKUP(record[[#This Row],[ProcessSN]],表格2_7[],3,FALSE)</f>
        <v>#07QC</v>
      </c>
      <c r="J6958" t="s">
        <v>589</v>
      </c>
      <c r="K6958" s="195">
        <v>45959.558530092596</v>
      </c>
      <c r="L6958">
        <v>326</v>
      </c>
      <c r="M6958">
        <v>0</v>
      </c>
      <c r="N6958" s="98" t="str">
        <f>IF(record[[#This Row],[Memo]]="Browser:chrome os:android","平板報工",IF(record[[#This Row],[Memo]]=0,"委外",record[[#This Row],[Memo]]))</f>
        <v>平板報工</v>
      </c>
      <c r="O6958" t="s">
        <v>643</v>
      </c>
      <c r="P6958" t="s">
        <v>99</v>
      </c>
      <c r="Q6958" t="s">
        <v>644</v>
      </c>
      <c r="R6958" t="str">
        <f>IFERROR(VLOOKUP(record[[#This Row],[PCUSTID]],廠商[],2,FALSE),"")</f>
        <v/>
      </c>
      <c r="S6958" t="str">
        <f>VLOOKUP(record[[#This Row],[employeeID]],員工[],2,FALSE)</f>
        <v>阮氏河</v>
      </c>
    </row>
    <row r="6959" spans="6:19" hidden="1" x14ac:dyDescent="0.25">
      <c r="F6959" t="s">
        <v>1099</v>
      </c>
      <c r="G6959" t="s">
        <v>452</v>
      </c>
      <c r="H6959" t="str">
        <f>VLOOKUP(record[[#This Row],[ProcessSN]],表格2_7[],2,FALSE)</f>
        <v>30-4118-018-6XX</v>
      </c>
      <c r="I6959" t="str">
        <f>VLOOKUP(record[[#This Row],[ProcessSN]],表格2_7[],3,FALSE)</f>
        <v>#07QC</v>
      </c>
      <c r="J6959" t="s">
        <v>589</v>
      </c>
      <c r="K6959" s="195">
        <v>45959.557893518519</v>
      </c>
      <c r="L6959">
        <v>0</v>
      </c>
      <c r="M6959">
        <v>1</v>
      </c>
      <c r="N6959" s="98" t="str">
        <f>IF(record[[#This Row],[Memo]]="Browser:chrome os:android","平板報工",IF(record[[#This Row],[Memo]]=0,"委外",record[[#This Row],[Memo]]))</f>
        <v>平板報工</v>
      </c>
      <c r="O6959" t="s">
        <v>643</v>
      </c>
      <c r="P6959" t="s">
        <v>99</v>
      </c>
      <c r="Q6959" t="s">
        <v>644</v>
      </c>
      <c r="R6959" t="str">
        <f>IFERROR(VLOOKUP(record[[#This Row],[PCUSTID]],廠商[],2,FALSE),"")</f>
        <v/>
      </c>
      <c r="S6959" t="str">
        <f>VLOOKUP(record[[#This Row],[employeeID]],員工[],2,FALSE)</f>
        <v>阮氏河</v>
      </c>
    </row>
    <row r="6960" spans="6:19" hidden="1" x14ac:dyDescent="0.25">
      <c r="F6960" t="s">
        <v>1101</v>
      </c>
      <c r="G6960" t="s">
        <v>376</v>
      </c>
      <c r="H6960" t="str">
        <f>VLOOKUP(record[[#This Row],[ProcessSN]],表格2_7[],2,FALSE)</f>
        <v>30-4118-018-4XX</v>
      </c>
      <c r="I6960" t="str">
        <f>VLOOKUP(record[[#This Row],[ProcessSN]],表格2_7[],3,FALSE)</f>
        <v>#06</v>
      </c>
      <c r="J6960" t="s">
        <v>593</v>
      </c>
      <c r="K6960" s="195">
        <v>45959.534687500003</v>
      </c>
      <c r="L6960">
        <v>245</v>
      </c>
      <c r="M6960">
        <v>0</v>
      </c>
      <c r="N6960" s="98" t="str">
        <f>IF(record[[#This Row],[Memo]]="Browser:chrome os:android","平板報工",IF(record[[#This Row],[Memo]]=0,"委外",record[[#This Row],[Memo]]))</f>
        <v>10/29覆回*1pcs</v>
      </c>
      <c r="O6960" t="s">
        <v>1172</v>
      </c>
      <c r="P6960" t="s">
        <v>1075</v>
      </c>
      <c r="Q6960" t="s">
        <v>58</v>
      </c>
      <c r="R6960" t="str">
        <f>IFERROR(VLOOKUP(record[[#This Row],[PCUSTID]],廠商[],2,FALSE),"")</f>
        <v/>
      </c>
      <c r="S6960" t="str">
        <f>VLOOKUP(record[[#This Row],[employeeID]],員工[],2,FALSE)</f>
        <v>吳宥叡</v>
      </c>
    </row>
    <row r="6961" spans="6:19" hidden="1" x14ac:dyDescent="0.25">
      <c r="F6961" t="s">
        <v>1141</v>
      </c>
      <c r="G6961" t="s">
        <v>451</v>
      </c>
      <c r="H6961" t="str">
        <f>VLOOKUP(record[[#This Row],[ProcessSN]],表格2_7[],2,FALSE)</f>
        <v>30-4118-018-6XX</v>
      </c>
      <c r="I6961" t="str">
        <f>VLOOKUP(record[[#This Row],[ProcessSN]],表格2_7[],3,FALSE)</f>
        <v>#07</v>
      </c>
      <c r="J6961" t="s">
        <v>588</v>
      </c>
      <c r="K6961" s="195">
        <v>45959.531643518516</v>
      </c>
      <c r="L6961">
        <v>2</v>
      </c>
      <c r="M6961">
        <v>0</v>
      </c>
      <c r="N6961" s="98" t="str">
        <f>IF(record[[#This Row],[Memo]]="Browser:chrome os:android","平板報工",IF(record[[#This Row],[Memo]]=0,"委外",record[[#This Row],[Memo]]))</f>
        <v>10/29覆回*2pcs</v>
      </c>
      <c r="O6961" t="s">
        <v>1171</v>
      </c>
      <c r="P6961" t="s">
        <v>1075</v>
      </c>
      <c r="Q6961" t="s">
        <v>58</v>
      </c>
      <c r="R6961" t="str">
        <f>IFERROR(VLOOKUP(record[[#This Row],[PCUSTID]],廠商[],2,FALSE),"")</f>
        <v/>
      </c>
      <c r="S6961" t="str">
        <f>VLOOKUP(record[[#This Row],[employeeID]],員工[],2,FALSE)</f>
        <v>吳宥叡</v>
      </c>
    </row>
    <row r="6962" spans="6:19" hidden="1" x14ac:dyDescent="0.25">
      <c r="F6962" t="s">
        <v>1099</v>
      </c>
      <c r="G6962" t="s">
        <v>450</v>
      </c>
      <c r="H6962" t="str">
        <f>VLOOKUP(record[[#This Row],[ProcessSN]],表格2_7[],2,FALSE)</f>
        <v>30-4118-018-6XX</v>
      </c>
      <c r="I6962" t="str">
        <f>VLOOKUP(record[[#This Row],[ProcessSN]],表格2_7[],3,FALSE)</f>
        <v>#06</v>
      </c>
      <c r="J6962" t="s">
        <v>593</v>
      </c>
      <c r="K6962" s="195">
        <v>45959.513252314813</v>
      </c>
      <c r="L6962">
        <v>2</v>
      </c>
      <c r="M6962">
        <v>1</v>
      </c>
      <c r="N6962" s="98" t="str">
        <f>IF(record[[#This Row],[Memo]]="Browser:chrome os:android","平板報工",IF(record[[#This Row],[Memo]]=0,"委外",record[[#This Row],[Memo]]))</f>
        <v>10/29覆回*2pcs</v>
      </c>
      <c r="O6962" t="s">
        <v>1171</v>
      </c>
      <c r="P6962" t="s">
        <v>1075</v>
      </c>
      <c r="Q6962" t="s">
        <v>58</v>
      </c>
      <c r="R6962" t="str">
        <f>IFERROR(VLOOKUP(record[[#This Row],[PCUSTID]],廠商[],2,FALSE),"")</f>
        <v/>
      </c>
      <c r="S6962" t="str">
        <f>VLOOKUP(record[[#This Row],[employeeID]],員工[],2,FALSE)</f>
        <v>吳宥叡</v>
      </c>
    </row>
    <row r="6963" spans="6:19" hidden="1" x14ac:dyDescent="0.25">
      <c r="F6963" t="s">
        <v>1169</v>
      </c>
      <c r="G6963" t="s">
        <v>413</v>
      </c>
      <c r="H6963" t="str">
        <f>VLOOKUP(record[[#This Row],[ProcessSN]],表格2_7[],2,FALSE)</f>
        <v>30-4118-018-5XX</v>
      </c>
      <c r="I6963" t="str">
        <f>VLOOKUP(record[[#This Row],[ProcessSN]],表格2_7[],3,FALSE)</f>
        <v>#03GIVE</v>
      </c>
      <c r="J6963" t="s">
        <v>587</v>
      </c>
      <c r="K6963" s="195">
        <v>45959.432592592595</v>
      </c>
      <c r="L6963">
        <v>664</v>
      </c>
      <c r="M6963">
        <v>0</v>
      </c>
      <c r="N6963" s="98" t="str">
        <f>IF(record[[#This Row],[Memo]]="Browser:chrome os:android","平板報工",IF(record[[#This Row],[Memo]]=0,"委外",record[[#This Row],[Memo]]))</f>
        <v/>
      </c>
      <c r="O6963" t="s">
        <v>58</v>
      </c>
      <c r="P6963" t="s">
        <v>1070</v>
      </c>
      <c r="Q6963" t="s">
        <v>58</v>
      </c>
      <c r="R6963" t="str">
        <f>IFERROR(VLOOKUP(record[[#This Row],[PCUSTID]],廠商[],2,FALSE),"")</f>
        <v/>
      </c>
      <c r="S6963" t="str">
        <f>VLOOKUP(record[[#This Row],[employeeID]],員工[],2,FALSE)</f>
        <v>陳昱佑</v>
      </c>
    </row>
    <row r="6964" spans="6:19" hidden="1" x14ac:dyDescent="0.25">
      <c r="F6964" t="s">
        <v>1043</v>
      </c>
      <c r="G6964" t="s">
        <v>471</v>
      </c>
      <c r="H6964" t="str">
        <f>VLOOKUP(record[[#This Row],[ProcessSN]],表格2_7[],2,FALSE)</f>
        <v>30-4118-018-XXX</v>
      </c>
      <c r="I6964" t="str">
        <f>VLOOKUP(record[[#This Row],[ProcessSN]],表格2_7[],3,FALSE)</f>
        <v>#02STOCK</v>
      </c>
      <c r="J6964" t="s">
        <v>592</v>
      </c>
      <c r="K6964" s="195">
        <v>45959.431932870371</v>
      </c>
      <c r="L6964">
        <v>1341</v>
      </c>
      <c r="M6964">
        <v>0</v>
      </c>
      <c r="N6964" s="98" t="str">
        <f>IF(record[[#This Row],[Memo]]="Browser:chrome os:android","平板報工",IF(record[[#This Row],[Memo]]=0,"委外",record[[#This Row],[Memo]]))</f>
        <v/>
      </c>
      <c r="O6964" t="s">
        <v>58</v>
      </c>
      <c r="P6964" t="s">
        <v>1070</v>
      </c>
      <c r="Q6964" t="s">
        <v>58</v>
      </c>
      <c r="R6964" t="str">
        <f>IFERROR(VLOOKUP(record[[#This Row],[PCUSTID]],廠商[],2,FALSE),"")</f>
        <v/>
      </c>
      <c r="S6964" t="str">
        <f>VLOOKUP(record[[#This Row],[employeeID]],員工[],2,FALSE)</f>
        <v>陳昱佑</v>
      </c>
    </row>
    <row r="6965" spans="6:19" hidden="1" x14ac:dyDescent="0.25">
      <c r="F6965" t="s">
        <v>1043</v>
      </c>
      <c r="G6965" t="s">
        <v>470</v>
      </c>
      <c r="H6965" t="str">
        <f>VLOOKUP(record[[#This Row],[ProcessSN]],表格2_7[],2,FALSE)</f>
        <v>30-4118-018-XXX</v>
      </c>
      <c r="I6965" t="str">
        <f>VLOOKUP(record[[#This Row],[ProcessSN]],表格2_7[],3,FALSE)</f>
        <v>#02IQC</v>
      </c>
      <c r="J6965" t="s">
        <v>583</v>
      </c>
      <c r="K6965" s="195">
        <v>45959.415069444447</v>
      </c>
      <c r="L6965">
        <v>1341</v>
      </c>
      <c r="M6965">
        <v>0</v>
      </c>
      <c r="N6965" s="98" t="str">
        <f>IF(record[[#This Row],[Memo]]="Browser:chrome os:android","平板報工",IF(record[[#This Row],[Memo]]=0,"委外",record[[#This Row],[Memo]]))</f>
        <v/>
      </c>
      <c r="O6965" t="s">
        <v>58</v>
      </c>
      <c r="P6965" t="s">
        <v>109</v>
      </c>
      <c r="Q6965" t="s">
        <v>58</v>
      </c>
      <c r="R6965" t="str">
        <f>IFERROR(VLOOKUP(record[[#This Row],[PCUSTID]],廠商[],2,FALSE),"")</f>
        <v/>
      </c>
      <c r="S6965" t="str">
        <f>VLOOKUP(record[[#This Row],[employeeID]],員工[],2,FALSE)</f>
        <v>裴氏璧鳳</v>
      </c>
    </row>
    <row r="6966" spans="6:19" hidden="1" x14ac:dyDescent="0.25">
      <c r="F6966" t="s">
        <v>1043</v>
      </c>
      <c r="G6966" t="s">
        <v>469</v>
      </c>
      <c r="H6966" t="str">
        <f>VLOOKUP(record[[#This Row],[ProcessSN]],表格2_7[],2,FALSE)</f>
        <v>30-4118-018-XXX</v>
      </c>
      <c r="I6966" t="str">
        <f>VLOOKUP(record[[#This Row],[ProcessSN]],表格2_7[],3,FALSE)</f>
        <v>#02RCV</v>
      </c>
      <c r="J6966" t="s">
        <v>591</v>
      </c>
      <c r="K6966" s="195">
        <v>45959.406215277777</v>
      </c>
      <c r="L6966">
        <v>1341</v>
      </c>
      <c r="M6966">
        <v>0</v>
      </c>
      <c r="N6966" s="98" t="str">
        <f>IF(record[[#This Row],[Memo]]="Browser:chrome os:android","平板報工",IF(record[[#This Row],[Memo]]=0,"委外",record[[#This Row],[Memo]]))</f>
        <v/>
      </c>
      <c r="O6966" t="s">
        <v>58</v>
      </c>
      <c r="P6966" t="s">
        <v>186</v>
      </c>
      <c r="Q6966" t="s">
        <v>58</v>
      </c>
      <c r="R6966" t="str">
        <f>IFERROR(VLOOKUP(record[[#This Row],[PCUSTID]],廠商[],2,FALSE),"")</f>
        <v/>
      </c>
      <c r="S6966" t="str">
        <f>VLOOKUP(record[[#This Row],[employeeID]],員工[],2,FALSE)</f>
        <v>許文姍</v>
      </c>
    </row>
    <row r="6967" spans="6:19" hidden="1" x14ac:dyDescent="0.25">
      <c r="F6967" t="s">
        <v>1043</v>
      </c>
      <c r="G6967" t="s">
        <v>468</v>
      </c>
      <c r="H6967" t="str">
        <f>VLOOKUP(record[[#This Row],[ProcessSN]],表格2_7[],2,FALSE)</f>
        <v>30-4118-018-XXX</v>
      </c>
      <c r="I6967" t="str">
        <f>VLOOKUP(record[[#This Row],[ProcessSN]],表格2_7[],3,FALSE)</f>
        <v>#02</v>
      </c>
      <c r="J6967" t="s">
        <v>590</v>
      </c>
      <c r="K6967" s="195">
        <v>45959.382326388892</v>
      </c>
      <c r="L6967">
        <v>1318</v>
      </c>
      <c r="M6967">
        <v>0</v>
      </c>
      <c r="N6967" s="98" t="str">
        <f>IF(record[[#This Row],[Memo]]="Browser:chrome os:android","平板報工",IF(record[[#This Row],[Memo]]=0,"委外",record[[#This Row],[Memo]]))</f>
        <v>委外</v>
      </c>
      <c r="P6967" t="s">
        <v>186</v>
      </c>
      <c r="Q6967" t="s">
        <v>216</v>
      </c>
      <c r="R6967" t="str">
        <f>IFERROR(VLOOKUP(record[[#This Row],[PCUSTID]],廠商[],2,FALSE),"")</f>
        <v>俊杰</v>
      </c>
      <c r="S6967" t="str">
        <f>VLOOKUP(record[[#This Row],[employeeID]],員工[],2,FALSE)</f>
        <v>許文姍</v>
      </c>
    </row>
    <row r="6968" spans="6:19" hidden="1" x14ac:dyDescent="0.25">
      <c r="F6968" t="s">
        <v>1043</v>
      </c>
      <c r="G6968" t="s">
        <v>467</v>
      </c>
      <c r="H6968" t="str">
        <f>VLOOKUP(record[[#This Row],[ProcessSN]],表格2_7[],2,FALSE)</f>
        <v>30-4118-018-XXX</v>
      </c>
      <c r="I6968" t="str">
        <f>VLOOKUP(record[[#This Row],[ProcessSN]],表格2_7[],3,FALSE)</f>
        <v>#01QC</v>
      </c>
      <c r="J6968" t="s">
        <v>589</v>
      </c>
      <c r="K6968" s="195">
        <v>45959.35837962963</v>
      </c>
      <c r="L6968">
        <v>312</v>
      </c>
      <c r="M6968">
        <v>0</v>
      </c>
      <c r="N6968" s="98" t="str">
        <f>IF(record[[#This Row],[Memo]]="Browser:chrome os:android","平板報工",IF(record[[#This Row],[Memo]]=0,"委外",record[[#This Row],[Memo]]))</f>
        <v>平板報工</v>
      </c>
      <c r="O6968" t="s">
        <v>643</v>
      </c>
      <c r="P6968" t="s">
        <v>182</v>
      </c>
      <c r="Q6968" t="s">
        <v>644</v>
      </c>
      <c r="R6968" t="str">
        <f>IFERROR(VLOOKUP(record[[#This Row],[PCUSTID]],廠商[],2,FALSE),"")</f>
        <v/>
      </c>
      <c r="S6968" t="str">
        <f>VLOOKUP(record[[#This Row],[employeeID]],員工[],2,FALSE)</f>
        <v>梅氏和</v>
      </c>
    </row>
    <row r="6969" spans="6:19" hidden="1" x14ac:dyDescent="0.25">
      <c r="F6969" t="s">
        <v>1129</v>
      </c>
      <c r="G6969" t="s">
        <v>361</v>
      </c>
      <c r="H6969" t="str">
        <f>VLOOKUP(record[[#This Row],[ProcessSN]],表格2_7[],2,FALSE)</f>
        <v>30-4118-018-450</v>
      </c>
      <c r="I6969" t="str">
        <f>VLOOKUP(record[[#This Row],[ProcessSN]],表格2_7[],3,FALSE)</f>
        <v>#100STOCK</v>
      </c>
      <c r="J6969" t="s">
        <v>592</v>
      </c>
      <c r="K6969" s="195">
        <v>45959.344467592593</v>
      </c>
      <c r="L6969">
        <v>98</v>
      </c>
      <c r="M6969">
        <v>0</v>
      </c>
      <c r="N6969" s="98" t="str">
        <f>IF(record[[#This Row],[Memo]]="Browser:chrome os:android","平板報工",IF(record[[#This Row],[Memo]]=0,"委外",record[[#This Row],[Memo]]))</f>
        <v/>
      </c>
      <c r="O6969" t="s">
        <v>58</v>
      </c>
      <c r="P6969" t="s">
        <v>886</v>
      </c>
      <c r="Q6969" t="s">
        <v>58</v>
      </c>
      <c r="R6969" t="str">
        <f>IFERROR(VLOOKUP(record[[#This Row],[PCUSTID]],廠商[],2,FALSE),"")</f>
        <v/>
      </c>
      <c r="S6969" t="str">
        <f>VLOOKUP(record[[#This Row],[employeeID]],員工[],2,FALSE)</f>
        <v>謝蓁薰</v>
      </c>
    </row>
    <row r="6970" spans="6:19" hidden="1" x14ac:dyDescent="0.25">
      <c r="F6970" t="s">
        <v>1169</v>
      </c>
      <c r="G6970" t="s">
        <v>415</v>
      </c>
      <c r="H6970" t="str">
        <f>VLOOKUP(record[[#This Row],[ProcessSN]],表格2_7[],2,FALSE)</f>
        <v>30-4118-018-5XX</v>
      </c>
      <c r="I6970" t="str">
        <f>VLOOKUP(record[[#This Row],[ProcessSN]],表格2_7[],3,FALSE)</f>
        <v>#04</v>
      </c>
      <c r="J6970" t="s">
        <v>588</v>
      </c>
      <c r="K6970" s="195">
        <v>45959.301666666666</v>
      </c>
      <c r="L6970">
        <v>139</v>
      </c>
      <c r="M6970">
        <v>0</v>
      </c>
      <c r="N6970" s="98" t="str">
        <f>IF(record[[#This Row],[Memo]]="Browser:chrome os:android","平板報工",IF(record[[#This Row],[Memo]]=0,"委外",record[[#This Row],[Memo]]))</f>
        <v/>
      </c>
      <c r="O6970" t="s">
        <v>58</v>
      </c>
      <c r="P6970" t="s">
        <v>135</v>
      </c>
      <c r="Q6970" t="s">
        <v>58</v>
      </c>
      <c r="R6970" t="str">
        <f>IFERROR(VLOOKUP(record[[#This Row],[PCUSTID]],廠商[],2,FALSE),"")</f>
        <v/>
      </c>
      <c r="S6970" t="str">
        <f>VLOOKUP(record[[#This Row],[employeeID]],員工[],2,FALSE)</f>
        <v>阮士文</v>
      </c>
    </row>
    <row r="6971" spans="6:19" hidden="1" x14ac:dyDescent="0.25">
      <c r="F6971" t="s">
        <v>1099</v>
      </c>
      <c r="G6971" t="s">
        <v>451</v>
      </c>
      <c r="H6971" t="str">
        <f>VLOOKUP(record[[#This Row],[ProcessSN]],表格2_7[],2,FALSE)</f>
        <v>30-4118-018-6XX</v>
      </c>
      <c r="I6971" t="str">
        <f>VLOOKUP(record[[#This Row],[ProcessSN]],表格2_7[],3,FALSE)</f>
        <v>#07</v>
      </c>
      <c r="J6971" t="s">
        <v>588</v>
      </c>
      <c r="K6971" s="195">
        <v>45959.301412037035</v>
      </c>
      <c r="L6971">
        <v>201</v>
      </c>
      <c r="M6971">
        <v>0</v>
      </c>
      <c r="N6971" s="98" t="str">
        <f>IF(record[[#This Row],[Memo]]="Browser:chrome os:android","平板報工",IF(record[[#This Row],[Memo]]=0,"委外",record[[#This Row],[Memo]]))</f>
        <v/>
      </c>
      <c r="O6971" t="s">
        <v>58</v>
      </c>
      <c r="P6971" t="s">
        <v>135</v>
      </c>
      <c r="Q6971" t="s">
        <v>58</v>
      </c>
      <c r="R6971" t="str">
        <f>IFERROR(VLOOKUP(record[[#This Row],[PCUSTID]],廠商[],2,FALSE),"")</f>
        <v/>
      </c>
      <c r="S6971" t="str">
        <f>VLOOKUP(record[[#This Row],[employeeID]],員工[],2,FALSE)</f>
        <v>阮士文</v>
      </c>
    </row>
    <row r="6972" spans="6:19" hidden="1" x14ac:dyDescent="0.25">
      <c r="F6972" t="s">
        <v>1101</v>
      </c>
      <c r="G6972" t="s">
        <v>376</v>
      </c>
      <c r="H6972" t="str">
        <f>VLOOKUP(record[[#This Row],[ProcessSN]],表格2_7[],2,FALSE)</f>
        <v>30-4118-018-4XX</v>
      </c>
      <c r="I6972" t="str">
        <f>VLOOKUP(record[[#This Row],[ProcessSN]],表格2_7[],3,FALSE)</f>
        <v>#06</v>
      </c>
      <c r="J6972" t="s">
        <v>593</v>
      </c>
      <c r="K6972" s="195">
        <v>45959.283993055556</v>
      </c>
      <c r="L6972">
        <v>98</v>
      </c>
      <c r="M6972">
        <v>0</v>
      </c>
      <c r="N6972" s="98" t="str">
        <f>IF(record[[#This Row],[Memo]]="Browser:chrome os:android","平板報工",IF(record[[#This Row],[Memo]]=0,"委外",record[[#This Row],[Memo]]))</f>
        <v/>
      </c>
      <c r="O6972" t="s">
        <v>58</v>
      </c>
      <c r="P6972" t="s">
        <v>135</v>
      </c>
      <c r="Q6972" t="s">
        <v>58</v>
      </c>
      <c r="R6972" t="str">
        <f>IFERROR(VLOOKUP(record[[#This Row],[PCUSTID]],廠商[],2,FALSE),"")</f>
        <v/>
      </c>
      <c r="S6972" t="str">
        <f>VLOOKUP(record[[#This Row],[employeeID]],員工[],2,FALSE)</f>
        <v>阮士文</v>
      </c>
    </row>
    <row r="6973" spans="6:19" hidden="1" x14ac:dyDescent="0.25">
      <c r="F6973" t="s">
        <v>1043</v>
      </c>
      <c r="G6973" t="s">
        <v>466</v>
      </c>
      <c r="H6973" t="str">
        <f>VLOOKUP(record[[#This Row],[ProcessSN]],表格2_7[],2,FALSE)</f>
        <v>30-4118-018-XXX</v>
      </c>
      <c r="I6973" t="str">
        <f>VLOOKUP(record[[#This Row],[ProcessSN]],表格2_7[],3,FALSE)</f>
        <v>#01-2</v>
      </c>
      <c r="J6973" t="s">
        <v>588</v>
      </c>
      <c r="K6973" s="195">
        <v>45959.029386574075</v>
      </c>
      <c r="L6973">
        <v>3</v>
      </c>
      <c r="M6973">
        <v>0</v>
      </c>
      <c r="N6973" s="98" t="str">
        <f>IF(record[[#This Row],[Memo]]="Browser:chrome os:android","平板報工",IF(record[[#This Row],[Memo]]=0,"委外",record[[#This Row],[Memo]]))</f>
        <v>補</v>
      </c>
      <c r="O6973" t="s">
        <v>690</v>
      </c>
      <c r="P6973" t="s">
        <v>135</v>
      </c>
      <c r="Q6973" t="s">
        <v>58</v>
      </c>
      <c r="R6973" t="str">
        <f>IFERROR(VLOOKUP(record[[#This Row],[PCUSTID]],廠商[],2,FALSE),"")</f>
        <v/>
      </c>
      <c r="S6973" t="str">
        <f>VLOOKUP(record[[#This Row],[employeeID]],員工[],2,FALSE)</f>
        <v>阮士文</v>
      </c>
    </row>
    <row r="6974" spans="6:19" hidden="1" x14ac:dyDescent="0.25">
      <c r="F6974" t="s">
        <v>1043</v>
      </c>
      <c r="G6974" t="s">
        <v>465</v>
      </c>
      <c r="H6974" t="str">
        <f>VLOOKUP(record[[#This Row],[ProcessSN]],表格2_7[],2,FALSE)</f>
        <v>30-4118-018-XXX</v>
      </c>
      <c r="I6974" t="str">
        <f>VLOOKUP(record[[#This Row],[ProcessSN]],表格2_7[],3,FALSE)</f>
        <v>#01-1</v>
      </c>
      <c r="J6974" t="s">
        <v>588</v>
      </c>
      <c r="K6974" s="195">
        <v>45959.029143518521</v>
      </c>
      <c r="L6974">
        <v>3</v>
      </c>
      <c r="M6974">
        <v>0</v>
      </c>
      <c r="N6974" s="98" t="str">
        <f>IF(record[[#This Row],[Memo]]="Browser:chrome os:android","平板報工",IF(record[[#This Row],[Memo]]=0,"委外",record[[#This Row],[Memo]]))</f>
        <v>補</v>
      </c>
      <c r="O6974" t="s">
        <v>690</v>
      </c>
      <c r="P6974" t="s">
        <v>135</v>
      </c>
      <c r="Q6974" t="s">
        <v>58</v>
      </c>
      <c r="R6974" t="str">
        <f>IFERROR(VLOOKUP(record[[#This Row],[PCUSTID]],廠商[],2,FALSE),"")</f>
        <v/>
      </c>
      <c r="S6974" t="str">
        <f>VLOOKUP(record[[#This Row],[employeeID]],員工[],2,FALSE)</f>
        <v>阮士文</v>
      </c>
    </row>
    <row r="6975" spans="6:19" hidden="1" x14ac:dyDescent="0.25">
      <c r="F6975" t="s">
        <v>1099</v>
      </c>
      <c r="G6975" t="s">
        <v>451</v>
      </c>
      <c r="H6975" t="str">
        <f>VLOOKUP(record[[#This Row],[ProcessSN]],表格2_7[],2,FALSE)</f>
        <v>30-4118-018-6XX</v>
      </c>
      <c r="I6975" t="str">
        <f>VLOOKUP(record[[#This Row],[ProcessSN]],表格2_7[],3,FALSE)</f>
        <v>#07</v>
      </c>
      <c r="J6975" t="s">
        <v>588</v>
      </c>
      <c r="K6975" s="195">
        <v>45958.962106481478</v>
      </c>
      <c r="L6975">
        <v>205</v>
      </c>
      <c r="M6975">
        <v>0</v>
      </c>
      <c r="N6975" s="98" t="str">
        <f>IF(record[[#This Row],[Memo]]="Browser:chrome os:android","平板報工",IF(record[[#This Row],[Memo]]=0,"委外",record[[#This Row],[Memo]]))</f>
        <v/>
      </c>
      <c r="O6975" t="s">
        <v>58</v>
      </c>
      <c r="P6975" t="s">
        <v>806</v>
      </c>
      <c r="Q6975" t="s">
        <v>58</v>
      </c>
      <c r="R6975" t="str">
        <f>IFERROR(VLOOKUP(record[[#This Row],[PCUSTID]],廠商[],2,FALSE),"")</f>
        <v/>
      </c>
      <c r="S6975" t="str">
        <f>VLOOKUP(record[[#This Row],[employeeID]],員工[],2,FALSE)</f>
        <v>方思緯</v>
      </c>
    </row>
    <row r="6976" spans="6:19" hidden="1" x14ac:dyDescent="0.25">
      <c r="F6976" t="s">
        <v>1169</v>
      </c>
      <c r="G6976" t="s">
        <v>415</v>
      </c>
      <c r="H6976" t="str">
        <f>VLOOKUP(record[[#This Row],[ProcessSN]],表格2_7[],2,FALSE)</f>
        <v>30-4118-018-5XX</v>
      </c>
      <c r="I6976" t="str">
        <f>VLOOKUP(record[[#This Row],[ProcessSN]],表格2_7[],3,FALSE)</f>
        <v>#04</v>
      </c>
      <c r="J6976" t="s">
        <v>588</v>
      </c>
      <c r="K6976" s="195">
        <v>45958.961527777778</v>
      </c>
      <c r="L6976">
        <v>114</v>
      </c>
      <c r="M6976">
        <v>0</v>
      </c>
      <c r="N6976" s="98" t="str">
        <f>IF(record[[#This Row],[Memo]]="Browser:chrome os:android","平板報工",IF(record[[#This Row],[Memo]]=0,"委外",record[[#This Row],[Memo]]))</f>
        <v/>
      </c>
      <c r="O6976" t="s">
        <v>58</v>
      </c>
      <c r="P6976" t="s">
        <v>89</v>
      </c>
      <c r="Q6976" t="s">
        <v>58</v>
      </c>
      <c r="R6976" t="str">
        <f>IFERROR(VLOOKUP(record[[#This Row],[PCUSTID]],廠商[],2,FALSE),"")</f>
        <v/>
      </c>
      <c r="S6976" t="str">
        <f>VLOOKUP(record[[#This Row],[employeeID]],員工[],2,FALSE)</f>
        <v>李美蓮</v>
      </c>
    </row>
    <row r="6977" spans="6:19" hidden="1" x14ac:dyDescent="0.25">
      <c r="F6977" t="s">
        <v>1043</v>
      </c>
      <c r="G6977" t="s">
        <v>466</v>
      </c>
      <c r="H6977" t="str">
        <f>VLOOKUP(record[[#This Row],[ProcessSN]],表格2_7[],2,FALSE)</f>
        <v>30-4118-018-XXX</v>
      </c>
      <c r="I6977" t="str">
        <f>VLOOKUP(record[[#This Row],[ProcessSN]],表格2_7[],3,FALSE)</f>
        <v>#01-2</v>
      </c>
      <c r="J6977" t="s">
        <v>588</v>
      </c>
      <c r="K6977" s="195">
        <v>45958.960995370369</v>
      </c>
      <c r="L6977">
        <v>229</v>
      </c>
      <c r="M6977">
        <v>0</v>
      </c>
      <c r="N6977" s="98" t="str">
        <f>IF(record[[#This Row],[Memo]]="Browser:chrome os:android","平板報工",IF(record[[#This Row],[Memo]]=0,"委外",record[[#This Row],[Memo]]))</f>
        <v/>
      </c>
      <c r="O6977" t="s">
        <v>58</v>
      </c>
      <c r="P6977" t="s">
        <v>89</v>
      </c>
      <c r="Q6977" t="s">
        <v>58</v>
      </c>
      <c r="R6977" t="str">
        <f>IFERROR(VLOOKUP(record[[#This Row],[PCUSTID]],廠商[],2,FALSE),"")</f>
        <v/>
      </c>
      <c r="S6977" t="str">
        <f>VLOOKUP(record[[#This Row],[employeeID]],員工[],2,FALSE)</f>
        <v>李美蓮</v>
      </c>
    </row>
    <row r="6978" spans="6:19" hidden="1" x14ac:dyDescent="0.25">
      <c r="F6978" t="s">
        <v>1043</v>
      </c>
      <c r="G6978" t="s">
        <v>467</v>
      </c>
      <c r="H6978" t="str">
        <f>VLOOKUP(record[[#This Row],[ProcessSN]],表格2_7[],2,FALSE)</f>
        <v>30-4118-018-XXX</v>
      </c>
      <c r="I6978" t="str">
        <f>VLOOKUP(record[[#This Row],[ProcessSN]],表格2_7[],3,FALSE)</f>
        <v>#01QC</v>
      </c>
      <c r="J6978" t="s">
        <v>589</v>
      </c>
      <c r="K6978" s="195">
        <v>45958.67931712963</v>
      </c>
      <c r="L6978">
        <v>1006</v>
      </c>
      <c r="M6978">
        <v>0</v>
      </c>
      <c r="N6978" s="98" t="str">
        <f>IF(record[[#This Row],[Memo]]="Browser:chrome os:android","平板報工",IF(record[[#This Row],[Memo]]=0,"委外",record[[#This Row],[Memo]]))</f>
        <v>平板報工</v>
      </c>
      <c r="O6978" t="s">
        <v>643</v>
      </c>
      <c r="P6978" t="s">
        <v>182</v>
      </c>
      <c r="Q6978" t="s">
        <v>644</v>
      </c>
      <c r="R6978" t="str">
        <f>IFERROR(VLOOKUP(record[[#This Row],[PCUSTID]],廠商[],2,FALSE),"")</f>
        <v/>
      </c>
      <c r="S6978" t="str">
        <f>VLOOKUP(record[[#This Row],[employeeID]],員工[],2,FALSE)</f>
        <v>梅氏和</v>
      </c>
    </row>
    <row r="6979" spans="6:19" hidden="1" x14ac:dyDescent="0.25">
      <c r="F6979" t="s">
        <v>1043</v>
      </c>
      <c r="G6979" t="s">
        <v>466</v>
      </c>
      <c r="H6979" t="str">
        <f>VLOOKUP(record[[#This Row],[ProcessSN]],表格2_7[],2,FALSE)</f>
        <v>30-4118-018-XXX</v>
      </c>
      <c r="I6979" t="str">
        <f>VLOOKUP(record[[#This Row],[ProcessSN]],表格2_7[],3,FALSE)</f>
        <v>#01-2</v>
      </c>
      <c r="J6979" t="s">
        <v>588</v>
      </c>
      <c r="K6979" s="195">
        <v>45958.679224537038</v>
      </c>
      <c r="L6979">
        <v>570</v>
      </c>
      <c r="M6979">
        <v>0</v>
      </c>
      <c r="N6979" s="98" t="str">
        <f>IF(record[[#This Row],[Memo]]="Browser:chrome os:android","平板報工",IF(record[[#This Row],[Memo]]=0,"委外",record[[#This Row],[Memo]]))</f>
        <v/>
      </c>
      <c r="O6979" t="s">
        <v>58</v>
      </c>
      <c r="P6979" t="s">
        <v>101</v>
      </c>
      <c r="Q6979" t="s">
        <v>58</v>
      </c>
      <c r="R6979" t="str">
        <f>IFERROR(VLOOKUP(record[[#This Row],[PCUSTID]],廠商[],2,FALSE),"")</f>
        <v/>
      </c>
      <c r="S6979" t="str">
        <f>VLOOKUP(record[[#This Row],[employeeID]],員工[],2,FALSE)</f>
        <v>陳氏絨</v>
      </c>
    </row>
    <row r="6980" spans="6:19" hidden="1" x14ac:dyDescent="0.25">
      <c r="F6980" t="s">
        <v>1101</v>
      </c>
      <c r="G6980" t="s">
        <v>376</v>
      </c>
      <c r="H6980" t="str">
        <f>VLOOKUP(record[[#This Row],[ProcessSN]],表格2_7[],2,FALSE)</f>
        <v>30-4118-018-4XX</v>
      </c>
      <c r="I6980" t="str">
        <f>VLOOKUP(record[[#This Row],[ProcessSN]],表格2_7[],3,FALSE)</f>
        <v>#06</v>
      </c>
      <c r="J6980" t="s">
        <v>593</v>
      </c>
      <c r="K6980" s="195">
        <v>45958.64806712963</v>
      </c>
      <c r="L6980">
        <v>152</v>
      </c>
      <c r="M6980">
        <v>1</v>
      </c>
      <c r="N6980" s="98" t="str">
        <f>IF(record[[#This Row],[Memo]]="Browser:chrome os:android","平板報工",IF(record[[#This Row],[Memo]]=0,"委外",record[[#This Row],[Memo]]))</f>
        <v>平板報工</v>
      </c>
      <c r="O6980" t="s">
        <v>643</v>
      </c>
      <c r="P6980" t="s">
        <v>166</v>
      </c>
      <c r="Q6980" t="s">
        <v>644</v>
      </c>
      <c r="R6980" t="str">
        <f>IFERROR(VLOOKUP(record[[#This Row],[PCUSTID]],廠商[],2,FALSE),"")</f>
        <v/>
      </c>
      <c r="S6980" t="str">
        <f>VLOOKUP(record[[#This Row],[employeeID]],員工[],2,FALSE)</f>
        <v>阮懷香</v>
      </c>
    </row>
    <row r="6981" spans="6:19" hidden="1" x14ac:dyDescent="0.25">
      <c r="F6981" t="s">
        <v>1169</v>
      </c>
      <c r="G6981" t="s">
        <v>413</v>
      </c>
      <c r="H6981" t="str">
        <f>VLOOKUP(record[[#This Row],[ProcessSN]],表格2_7[],2,FALSE)</f>
        <v>30-4118-018-5XX</v>
      </c>
      <c r="I6981" t="str">
        <f>VLOOKUP(record[[#This Row],[ProcessSN]],表格2_7[],3,FALSE)</f>
        <v>#03GIVE</v>
      </c>
      <c r="J6981" t="s">
        <v>587</v>
      </c>
      <c r="K6981" s="195">
        <v>45958.589456018519</v>
      </c>
      <c r="L6981">
        <v>336</v>
      </c>
      <c r="M6981">
        <v>0</v>
      </c>
      <c r="N6981" s="98" t="str">
        <f>IF(record[[#This Row],[Memo]]="Browser:chrome os:android","平板報工",IF(record[[#This Row],[Memo]]=0,"委外",record[[#This Row],[Memo]]))</f>
        <v/>
      </c>
      <c r="O6981" t="s">
        <v>58</v>
      </c>
      <c r="P6981" t="s">
        <v>113</v>
      </c>
      <c r="Q6981" t="s">
        <v>58</v>
      </c>
      <c r="R6981" t="str">
        <f>IFERROR(VLOOKUP(record[[#This Row],[PCUSTID]],廠商[],2,FALSE),"")</f>
        <v/>
      </c>
      <c r="S6981" t="str">
        <f>VLOOKUP(record[[#This Row],[employeeID]],員工[],2,FALSE)</f>
        <v>王奕蓁</v>
      </c>
    </row>
    <row r="6982" spans="6:19" hidden="1" x14ac:dyDescent="0.25">
      <c r="F6982" t="s">
        <v>1043</v>
      </c>
      <c r="G6982" t="s">
        <v>471</v>
      </c>
      <c r="H6982" t="str">
        <f>VLOOKUP(record[[#This Row],[ProcessSN]],表格2_7[],2,FALSE)</f>
        <v>30-4118-018-XXX</v>
      </c>
      <c r="I6982" t="str">
        <f>VLOOKUP(record[[#This Row],[ProcessSN]],表格2_7[],3,FALSE)</f>
        <v>#02STOCK</v>
      </c>
      <c r="J6982" t="s">
        <v>592</v>
      </c>
      <c r="K6982" s="195">
        <v>45958.589270833334</v>
      </c>
      <c r="L6982">
        <v>336</v>
      </c>
      <c r="M6982">
        <v>0</v>
      </c>
      <c r="N6982" s="98" t="str">
        <f>IF(record[[#This Row],[Memo]]="Browser:chrome os:android","平板報工",IF(record[[#This Row],[Memo]]=0,"委外",record[[#This Row],[Memo]]))</f>
        <v/>
      </c>
      <c r="O6982" t="s">
        <v>58</v>
      </c>
      <c r="P6982" t="s">
        <v>113</v>
      </c>
      <c r="Q6982" t="s">
        <v>58</v>
      </c>
      <c r="R6982" t="str">
        <f>IFERROR(VLOOKUP(record[[#This Row],[PCUSTID]],廠商[],2,FALSE),"")</f>
        <v/>
      </c>
      <c r="S6982" t="str">
        <f>VLOOKUP(record[[#This Row],[employeeID]],員工[],2,FALSE)</f>
        <v>王奕蓁</v>
      </c>
    </row>
    <row r="6983" spans="6:19" hidden="1" x14ac:dyDescent="0.25">
      <c r="F6983" t="s">
        <v>1043</v>
      </c>
      <c r="G6983" t="s">
        <v>470</v>
      </c>
      <c r="H6983" t="str">
        <f>VLOOKUP(record[[#This Row],[ProcessSN]],表格2_7[],2,FALSE)</f>
        <v>30-4118-018-XXX</v>
      </c>
      <c r="I6983" t="str">
        <f>VLOOKUP(record[[#This Row],[ProcessSN]],表格2_7[],3,FALSE)</f>
        <v>#02IQC</v>
      </c>
      <c r="J6983" t="s">
        <v>583</v>
      </c>
      <c r="K6983" s="195">
        <v>45958.574814814812</v>
      </c>
      <c r="L6983">
        <v>336</v>
      </c>
      <c r="M6983">
        <v>0</v>
      </c>
      <c r="N6983" s="98" t="str">
        <f>IF(record[[#This Row],[Memo]]="Browser:chrome os:android","平板報工",IF(record[[#This Row],[Memo]]=0,"委外",record[[#This Row],[Memo]]))</f>
        <v/>
      </c>
      <c r="O6983" t="s">
        <v>58</v>
      </c>
      <c r="P6983" t="s">
        <v>109</v>
      </c>
      <c r="Q6983" t="s">
        <v>58</v>
      </c>
      <c r="R6983" t="str">
        <f>IFERROR(VLOOKUP(record[[#This Row],[PCUSTID]],廠商[],2,FALSE),"")</f>
        <v/>
      </c>
      <c r="S6983" t="str">
        <f>VLOOKUP(record[[#This Row],[employeeID]],員工[],2,FALSE)</f>
        <v>裴氏璧鳳</v>
      </c>
    </row>
    <row r="6984" spans="6:19" hidden="1" x14ac:dyDescent="0.25">
      <c r="F6984" t="s">
        <v>1169</v>
      </c>
      <c r="G6984" t="s">
        <v>412</v>
      </c>
      <c r="H6984" t="str">
        <f>VLOOKUP(record[[#This Row],[ProcessSN]],表格2_7[],2,FALSE)</f>
        <v>30-4118-018-5XX</v>
      </c>
      <c r="I6984" t="str">
        <f>VLOOKUP(record[[#This Row],[ProcessSN]],表格2_7[],3,FALSE)</f>
        <v>#03PICK</v>
      </c>
      <c r="J6984" t="s">
        <v>582</v>
      </c>
      <c r="K6984" s="195">
        <v>45958.564756944441</v>
      </c>
      <c r="L6984">
        <v>1000</v>
      </c>
      <c r="M6984">
        <v>0</v>
      </c>
      <c r="N6984" s="98" t="str">
        <f>IF(record[[#This Row],[Memo]]="Browser:chrome os:android","平板報工",IF(record[[#This Row],[Memo]]=0,"委外",record[[#This Row],[Memo]]))</f>
        <v/>
      </c>
      <c r="O6984" t="s">
        <v>58</v>
      </c>
      <c r="P6984" t="s">
        <v>113</v>
      </c>
      <c r="Q6984" t="s">
        <v>58</v>
      </c>
      <c r="R6984" t="str">
        <f>IFERROR(VLOOKUP(record[[#This Row],[PCUSTID]],廠商[],2,FALSE),"")</f>
        <v/>
      </c>
      <c r="S6984" t="str">
        <f>VLOOKUP(record[[#This Row],[employeeID]],員工[],2,FALSE)</f>
        <v>王奕蓁</v>
      </c>
    </row>
    <row r="6985" spans="6:19" hidden="1" x14ac:dyDescent="0.25">
      <c r="F6985" t="s">
        <v>1043</v>
      </c>
      <c r="G6985" t="s">
        <v>469</v>
      </c>
      <c r="H6985" t="str">
        <f>VLOOKUP(record[[#This Row],[ProcessSN]],表格2_7[],2,FALSE)</f>
        <v>30-4118-018-XXX</v>
      </c>
      <c r="I6985" t="str">
        <f>VLOOKUP(record[[#This Row],[ProcessSN]],表格2_7[],3,FALSE)</f>
        <v>#02RCV</v>
      </c>
      <c r="J6985" t="s">
        <v>591</v>
      </c>
      <c r="K6985" s="195">
        <v>45958.492974537039</v>
      </c>
      <c r="L6985">
        <v>336</v>
      </c>
      <c r="M6985">
        <v>0</v>
      </c>
      <c r="N6985" s="98" t="str">
        <f>IF(record[[#This Row],[Memo]]="Browser:chrome os:android","平板報工",IF(record[[#This Row],[Memo]]=0,"委外",record[[#This Row],[Memo]]))</f>
        <v/>
      </c>
      <c r="O6985" t="s">
        <v>58</v>
      </c>
      <c r="P6985" t="s">
        <v>186</v>
      </c>
      <c r="Q6985" t="s">
        <v>58</v>
      </c>
      <c r="R6985" t="str">
        <f>IFERROR(VLOOKUP(record[[#This Row],[PCUSTID]],廠商[],2,FALSE),"")</f>
        <v/>
      </c>
      <c r="S6985" t="str">
        <f>VLOOKUP(record[[#This Row],[employeeID]],員工[],2,FALSE)</f>
        <v>許文姍</v>
      </c>
    </row>
    <row r="6986" spans="6:19" hidden="1" x14ac:dyDescent="0.25">
      <c r="F6986" t="s">
        <v>1158</v>
      </c>
      <c r="G6986" t="s">
        <v>397</v>
      </c>
      <c r="H6986" t="str">
        <f>VLOOKUP(record[[#This Row],[ProcessSN]],表格2_7[],2,FALSE)</f>
        <v>30-4118-018-550</v>
      </c>
      <c r="I6986" t="str">
        <f>VLOOKUP(record[[#This Row],[ProcessSN]],表格2_7[],3,FALSE)</f>
        <v>#08</v>
      </c>
      <c r="J6986" t="s">
        <v>597</v>
      </c>
      <c r="K6986" s="195">
        <v>45958.413298611114</v>
      </c>
      <c r="L6986">
        <v>157</v>
      </c>
      <c r="M6986">
        <v>0</v>
      </c>
      <c r="N6986" s="98" t="str">
        <f>IF(record[[#This Row],[Memo]]="Browser:chrome os:android","平板報工",IF(record[[#This Row],[Memo]]=0,"委外",record[[#This Row],[Memo]]))</f>
        <v>委外</v>
      </c>
      <c r="P6986" t="s">
        <v>186</v>
      </c>
      <c r="Q6986" t="s">
        <v>287</v>
      </c>
      <c r="R6986" t="str">
        <f>IFERROR(VLOOKUP(record[[#This Row],[PCUSTID]],廠商[],2,FALSE),"")</f>
        <v>泉盛</v>
      </c>
      <c r="S6986" t="str">
        <f>VLOOKUP(record[[#This Row],[employeeID]],員工[],2,FALSE)</f>
        <v>許文姍</v>
      </c>
    </row>
    <row r="6987" spans="6:19" hidden="1" x14ac:dyDescent="0.25">
      <c r="F6987" t="s">
        <v>1043</v>
      </c>
      <c r="G6987" t="s">
        <v>468</v>
      </c>
      <c r="H6987" t="str">
        <f>VLOOKUP(record[[#This Row],[ProcessSN]],表格2_7[],2,FALSE)</f>
        <v>30-4118-018-XXX</v>
      </c>
      <c r="I6987" t="str">
        <f>VLOOKUP(record[[#This Row],[ProcessSN]],表格2_7[],3,FALSE)</f>
        <v>#02</v>
      </c>
      <c r="J6987" t="s">
        <v>590</v>
      </c>
      <c r="K6987" s="195">
        <v>45958.397002314814</v>
      </c>
      <c r="L6987">
        <v>837</v>
      </c>
      <c r="M6987">
        <v>0</v>
      </c>
      <c r="N6987" s="98" t="str">
        <f>IF(record[[#This Row],[Memo]]="Browser:chrome os:android","平板報工",IF(record[[#This Row],[Memo]]=0,"委外",record[[#This Row],[Memo]]))</f>
        <v>委外</v>
      </c>
      <c r="P6987" t="s">
        <v>186</v>
      </c>
      <c r="Q6987" t="s">
        <v>216</v>
      </c>
      <c r="R6987" t="str">
        <f>IFERROR(VLOOKUP(record[[#This Row],[PCUSTID]],廠商[],2,FALSE),"")</f>
        <v>俊杰</v>
      </c>
      <c r="S6987" t="str">
        <f>VLOOKUP(record[[#This Row],[employeeID]],員工[],2,FALSE)</f>
        <v>許文姍</v>
      </c>
    </row>
    <row r="6988" spans="6:19" hidden="1" x14ac:dyDescent="0.25">
      <c r="F6988" t="s">
        <v>1043</v>
      </c>
      <c r="G6988" t="s">
        <v>467</v>
      </c>
      <c r="H6988" t="str">
        <f>VLOOKUP(record[[#This Row],[ProcessSN]],表格2_7[],2,FALSE)</f>
        <v>30-4118-018-XXX</v>
      </c>
      <c r="I6988" t="str">
        <f>VLOOKUP(record[[#This Row],[ProcessSN]],表格2_7[],3,FALSE)</f>
        <v>#01QC</v>
      </c>
      <c r="J6988" t="s">
        <v>589</v>
      </c>
      <c r="K6988" s="195">
        <v>45958.358402777776</v>
      </c>
      <c r="L6988">
        <v>837</v>
      </c>
      <c r="M6988">
        <v>0</v>
      </c>
      <c r="N6988" s="98" t="str">
        <f>IF(record[[#This Row],[Memo]]="Browser:chrome os:android","平板報工",IF(record[[#This Row],[Memo]]=0,"委外",record[[#This Row],[Memo]]))</f>
        <v>平板報工</v>
      </c>
      <c r="O6988" t="s">
        <v>643</v>
      </c>
      <c r="P6988" t="s">
        <v>182</v>
      </c>
      <c r="Q6988" t="s">
        <v>644</v>
      </c>
      <c r="R6988" t="str">
        <f>IFERROR(VLOOKUP(record[[#This Row],[PCUSTID]],廠商[],2,FALSE),"")</f>
        <v/>
      </c>
      <c r="S6988" t="str">
        <f>VLOOKUP(record[[#This Row],[employeeID]],員工[],2,FALSE)</f>
        <v>梅氏和</v>
      </c>
    </row>
    <row r="6989" spans="6:19" hidden="1" x14ac:dyDescent="0.25">
      <c r="F6989" t="s">
        <v>1157</v>
      </c>
      <c r="G6989" t="s">
        <v>420</v>
      </c>
      <c r="H6989" t="str">
        <f>VLOOKUP(record[[#This Row],[ProcessSN]],表格2_7[],2,FALSE)</f>
        <v>30-4118-018-5XX</v>
      </c>
      <c r="I6989" t="str">
        <f>VLOOKUP(record[[#This Row],[ProcessSN]],表格2_7[],3,FALSE)</f>
        <v>#07STOCK</v>
      </c>
      <c r="J6989" t="s">
        <v>592</v>
      </c>
      <c r="K6989" s="195">
        <v>45958.355671296296</v>
      </c>
      <c r="L6989">
        <v>35</v>
      </c>
      <c r="M6989">
        <v>0</v>
      </c>
      <c r="N6989" s="98" t="str">
        <f>IF(record[[#This Row],[Memo]]="Browser:chrome os:android","平板報工",IF(record[[#This Row],[Memo]]=0,"委外",record[[#This Row],[Memo]]))</f>
        <v/>
      </c>
      <c r="O6989" t="s">
        <v>58</v>
      </c>
      <c r="P6989" t="s">
        <v>196</v>
      </c>
      <c r="Q6989" t="s">
        <v>58</v>
      </c>
      <c r="R6989" t="str">
        <f>IFERROR(VLOOKUP(record[[#This Row],[PCUSTID]],廠商[],2,FALSE),"")</f>
        <v/>
      </c>
      <c r="S6989" t="str">
        <f>VLOOKUP(record[[#This Row],[employeeID]],員工[],2,FALSE)</f>
        <v>張淑惠</v>
      </c>
    </row>
    <row r="6990" spans="6:19" hidden="1" x14ac:dyDescent="0.25">
      <c r="F6990" t="s">
        <v>1024</v>
      </c>
      <c r="G6990" t="s">
        <v>420</v>
      </c>
      <c r="H6990" t="str">
        <f>VLOOKUP(record[[#This Row],[ProcessSN]],表格2_7[],2,FALSE)</f>
        <v>30-4118-018-5XX</v>
      </c>
      <c r="I6990" t="str">
        <f>VLOOKUP(record[[#This Row],[ProcessSN]],表格2_7[],3,FALSE)</f>
        <v>#07STOCK</v>
      </c>
      <c r="J6990" t="s">
        <v>592</v>
      </c>
      <c r="K6990" s="195">
        <v>45958.355532407404</v>
      </c>
      <c r="L6990">
        <v>4</v>
      </c>
      <c r="M6990">
        <v>0</v>
      </c>
      <c r="N6990" s="98" t="str">
        <f>IF(record[[#This Row],[Memo]]="Browser:chrome os:android","平板報工",IF(record[[#This Row],[Memo]]=0,"委外",record[[#This Row],[Memo]]))</f>
        <v/>
      </c>
      <c r="O6990" t="s">
        <v>58</v>
      </c>
      <c r="P6990" t="s">
        <v>196</v>
      </c>
      <c r="Q6990" t="s">
        <v>58</v>
      </c>
      <c r="R6990" t="str">
        <f>IFERROR(VLOOKUP(record[[#This Row],[PCUSTID]],廠商[],2,FALSE),"")</f>
        <v/>
      </c>
      <c r="S6990" t="str">
        <f>VLOOKUP(record[[#This Row],[employeeID]],員工[],2,FALSE)</f>
        <v>張淑惠</v>
      </c>
    </row>
    <row r="6991" spans="6:19" hidden="1" x14ac:dyDescent="0.25">
      <c r="F6991" t="s">
        <v>1015</v>
      </c>
      <c r="G6991" t="s">
        <v>420</v>
      </c>
      <c r="H6991" t="str">
        <f>VLOOKUP(record[[#This Row],[ProcessSN]],表格2_7[],2,FALSE)</f>
        <v>30-4118-018-5XX</v>
      </c>
      <c r="I6991" t="str">
        <f>VLOOKUP(record[[#This Row],[ProcessSN]],表格2_7[],3,FALSE)</f>
        <v>#07STOCK</v>
      </c>
      <c r="J6991" t="s">
        <v>592</v>
      </c>
      <c r="K6991" s="195">
        <v>45958.355416666665</v>
      </c>
      <c r="L6991">
        <v>5</v>
      </c>
      <c r="M6991">
        <v>0</v>
      </c>
      <c r="N6991" s="98" t="str">
        <f>IF(record[[#This Row],[Memo]]="Browser:chrome os:android","平板報工",IF(record[[#This Row],[Memo]]=0,"委外",record[[#This Row],[Memo]]))</f>
        <v/>
      </c>
      <c r="O6991" t="s">
        <v>58</v>
      </c>
      <c r="P6991" t="s">
        <v>196</v>
      </c>
      <c r="Q6991" t="s">
        <v>58</v>
      </c>
      <c r="R6991" t="str">
        <f>IFERROR(VLOOKUP(record[[#This Row],[PCUSTID]],廠商[],2,FALSE),"")</f>
        <v/>
      </c>
      <c r="S6991" t="str">
        <f>VLOOKUP(record[[#This Row],[employeeID]],員工[],2,FALSE)</f>
        <v>張淑惠</v>
      </c>
    </row>
    <row r="6992" spans="6:19" hidden="1" x14ac:dyDescent="0.25">
      <c r="F6992" t="s">
        <v>904</v>
      </c>
      <c r="G6992" t="s">
        <v>420</v>
      </c>
      <c r="H6992" t="str">
        <f>VLOOKUP(record[[#This Row],[ProcessSN]],表格2_7[],2,FALSE)</f>
        <v>30-4118-018-5XX</v>
      </c>
      <c r="I6992" t="str">
        <f>VLOOKUP(record[[#This Row],[ProcessSN]],表格2_7[],3,FALSE)</f>
        <v>#07STOCK</v>
      </c>
      <c r="J6992" t="s">
        <v>592</v>
      </c>
      <c r="K6992" s="195">
        <v>45958.35527777778</v>
      </c>
      <c r="L6992">
        <v>20</v>
      </c>
      <c r="M6992">
        <v>0</v>
      </c>
      <c r="N6992" s="98" t="str">
        <f>IF(record[[#This Row],[Memo]]="Browser:chrome os:android","平板報工",IF(record[[#This Row],[Memo]]=0,"委外",record[[#This Row],[Memo]]))</f>
        <v/>
      </c>
      <c r="O6992" t="s">
        <v>58</v>
      </c>
      <c r="P6992" t="s">
        <v>196</v>
      </c>
      <c r="Q6992" t="s">
        <v>58</v>
      </c>
      <c r="R6992" t="str">
        <f>IFERROR(VLOOKUP(record[[#This Row],[PCUSTID]],廠商[],2,FALSE),"")</f>
        <v/>
      </c>
      <c r="S6992" t="str">
        <f>VLOOKUP(record[[#This Row],[employeeID]],員工[],2,FALSE)</f>
        <v>張淑惠</v>
      </c>
    </row>
    <row r="6993" spans="6:19" hidden="1" x14ac:dyDescent="0.25">
      <c r="F6993" t="s">
        <v>854</v>
      </c>
      <c r="G6993" t="s">
        <v>420</v>
      </c>
      <c r="H6993" t="str">
        <f>VLOOKUP(record[[#This Row],[ProcessSN]],表格2_7[],2,FALSE)</f>
        <v>30-4118-018-5XX</v>
      </c>
      <c r="I6993" t="str">
        <f>VLOOKUP(record[[#This Row],[ProcessSN]],表格2_7[],3,FALSE)</f>
        <v>#07STOCK</v>
      </c>
      <c r="J6993" t="s">
        <v>592</v>
      </c>
      <c r="K6993" s="195">
        <v>45958.355092592596</v>
      </c>
      <c r="L6993">
        <v>59</v>
      </c>
      <c r="M6993">
        <v>0</v>
      </c>
      <c r="N6993" s="98" t="str">
        <f>IF(record[[#This Row],[Memo]]="Browser:chrome os:android","平板報工",IF(record[[#This Row],[Memo]]=0,"委外",record[[#This Row],[Memo]]))</f>
        <v/>
      </c>
      <c r="O6993" t="s">
        <v>58</v>
      </c>
      <c r="P6993" t="s">
        <v>196</v>
      </c>
      <c r="Q6993" t="s">
        <v>58</v>
      </c>
      <c r="R6993" t="str">
        <f>IFERROR(VLOOKUP(record[[#This Row],[PCUSTID]],廠商[],2,FALSE),"")</f>
        <v/>
      </c>
      <c r="S6993" t="str">
        <f>VLOOKUP(record[[#This Row],[employeeID]],員工[],2,FALSE)</f>
        <v>張淑惠</v>
      </c>
    </row>
    <row r="6994" spans="6:19" hidden="1" x14ac:dyDescent="0.25">
      <c r="F6994" t="s">
        <v>778</v>
      </c>
      <c r="G6994" t="s">
        <v>420</v>
      </c>
      <c r="H6994" t="str">
        <f>VLOOKUP(record[[#This Row],[ProcessSN]],表格2_7[],2,FALSE)</f>
        <v>30-4118-018-5XX</v>
      </c>
      <c r="I6994" t="str">
        <f>VLOOKUP(record[[#This Row],[ProcessSN]],表格2_7[],3,FALSE)</f>
        <v>#07STOCK</v>
      </c>
      <c r="J6994" t="s">
        <v>592</v>
      </c>
      <c r="K6994" s="195">
        <v>45958.354942129627</v>
      </c>
      <c r="L6994">
        <v>18</v>
      </c>
      <c r="M6994">
        <v>0</v>
      </c>
      <c r="N6994" s="98" t="str">
        <f>IF(record[[#This Row],[Memo]]="Browser:chrome os:android","平板報工",IF(record[[#This Row],[Memo]]=0,"委外",record[[#This Row],[Memo]]))</f>
        <v/>
      </c>
      <c r="O6994" t="s">
        <v>58</v>
      </c>
      <c r="P6994" t="s">
        <v>196</v>
      </c>
      <c r="Q6994" t="s">
        <v>58</v>
      </c>
      <c r="R6994" t="str">
        <f>IFERROR(VLOOKUP(record[[#This Row],[PCUSTID]],廠商[],2,FALSE),"")</f>
        <v/>
      </c>
      <c r="S6994" t="str">
        <f>VLOOKUP(record[[#This Row],[employeeID]],員工[],2,FALSE)</f>
        <v>張淑惠</v>
      </c>
    </row>
    <row r="6995" spans="6:19" hidden="1" x14ac:dyDescent="0.25">
      <c r="F6995" t="s">
        <v>650</v>
      </c>
      <c r="G6995" t="s">
        <v>420</v>
      </c>
      <c r="H6995" t="str">
        <f>VLOOKUP(record[[#This Row],[ProcessSN]],表格2_7[],2,FALSE)</f>
        <v>30-4118-018-5XX</v>
      </c>
      <c r="I6995" t="str">
        <f>VLOOKUP(record[[#This Row],[ProcessSN]],表格2_7[],3,FALSE)</f>
        <v>#07STOCK</v>
      </c>
      <c r="J6995" t="s">
        <v>592</v>
      </c>
      <c r="K6995" s="195">
        <v>45958.354791666665</v>
      </c>
      <c r="L6995">
        <v>2</v>
      </c>
      <c r="M6995">
        <v>0</v>
      </c>
      <c r="N6995" s="98" t="str">
        <f>IF(record[[#This Row],[Memo]]="Browser:chrome os:android","平板報工",IF(record[[#This Row],[Memo]]=0,"委外",record[[#This Row],[Memo]]))</f>
        <v/>
      </c>
      <c r="O6995" t="s">
        <v>58</v>
      </c>
      <c r="P6995" t="s">
        <v>196</v>
      </c>
      <c r="Q6995" t="s">
        <v>58</v>
      </c>
      <c r="R6995" t="str">
        <f>IFERROR(VLOOKUP(record[[#This Row],[PCUSTID]],廠商[],2,FALSE),"")</f>
        <v/>
      </c>
      <c r="S6995" t="str">
        <f>VLOOKUP(record[[#This Row],[employeeID]],員工[],2,FALSE)</f>
        <v>張淑惠</v>
      </c>
    </row>
    <row r="6996" spans="6:19" hidden="1" x14ac:dyDescent="0.25">
      <c r="F6996" t="s">
        <v>642</v>
      </c>
      <c r="G6996" t="s">
        <v>420</v>
      </c>
      <c r="H6996" t="str">
        <f>VLOOKUP(record[[#This Row],[ProcessSN]],表格2_7[],2,FALSE)</f>
        <v>30-4118-018-5XX</v>
      </c>
      <c r="I6996" t="str">
        <f>VLOOKUP(record[[#This Row],[ProcessSN]],表格2_7[],3,FALSE)</f>
        <v>#07STOCK</v>
      </c>
      <c r="J6996" t="s">
        <v>592</v>
      </c>
      <c r="K6996" s="195">
        <v>45958.35465277778</v>
      </c>
      <c r="L6996">
        <v>10</v>
      </c>
      <c r="M6996">
        <v>0</v>
      </c>
      <c r="N6996" s="98" t="str">
        <f>IF(record[[#This Row],[Memo]]="Browser:chrome os:android","平板報工",IF(record[[#This Row],[Memo]]=0,"委外",record[[#This Row],[Memo]]))</f>
        <v/>
      </c>
      <c r="O6996" t="s">
        <v>58</v>
      </c>
      <c r="P6996" t="s">
        <v>196</v>
      </c>
      <c r="Q6996" t="s">
        <v>58</v>
      </c>
      <c r="R6996" t="str">
        <f>IFERROR(VLOOKUP(record[[#This Row],[PCUSTID]],廠商[],2,FALSE),"")</f>
        <v/>
      </c>
      <c r="S6996" t="str">
        <f>VLOOKUP(record[[#This Row],[employeeID]],員工[],2,FALSE)</f>
        <v>張淑惠</v>
      </c>
    </row>
    <row r="6997" spans="6:19" hidden="1" x14ac:dyDescent="0.25">
      <c r="F6997" t="s">
        <v>594</v>
      </c>
      <c r="G6997" t="s">
        <v>420</v>
      </c>
      <c r="H6997" t="str">
        <f>VLOOKUP(record[[#This Row],[ProcessSN]],表格2_7[],2,FALSE)</f>
        <v>30-4118-018-5XX</v>
      </c>
      <c r="I6997" t="str">
        <f>VLOOKUP(record[[#This Row],[ProcessSN]],表格2_7[],3,FALSE)</f>
        <v>#07STOCK</v>
      </c>
      <c r="J6997" t="s">
        <v>592</v>
      </c>
      <c r="K6997" s="195">
        <v>45958.354513888888</v>
      </c>
      <c r="L6997">
        <v>1</v>
      </c>
      <c r="M6997">
        <v>0</v>
      </c>
      <c r="N6997" s="98" t="str">
        <f>IF(record[[#This Row],[Memo]]="Browser:chrome os:android","平板報工",IF(record[[#This Row],[Memo]]=0,"委外",record[[#This Row],[Memo]]))</f>
        <v/>
      </c>
      <c r="O6997" t="s">
        <v>58</v>
      </c>
      <c r="P6997" t="s">
        <v>196</v>
      </c>
      <c r="Q6997" t="s">
        <v>58</v>
      </c>
      <c r="R6997" t="str">
        <f>IFERROR(VLOOKUP(record[[#This Row],[PCUSTID]],廠商[],2,FALSE),"")</f>
        <v/>
      </c>
      <c r="S6997" t="str">
        <f>VLOOKUP(record[[#This Row],[employeeID]],員工[],2,FALSE)</f>
        <v>張淑惠</v>
      </c>
    </row>
    <row r="6998" spans="6:19" hidden="1" x14ac:dyDescent="0.25">
      <c r="F6998" t="s">
        <v>1158</v>
      </c>
      <c r="G6998" t="s">
        <v>396</v>
      </c>
      <c r="H6998" t="str">
        <f>VLOOKUP(record[[#This Row],[ProcessSN]],表格2_7[],2,FALSE)</f>
        <v>30-4118-018-550</v>
      </c>
      <c r="I6998" t="str">
        <f>VLOOKUP(record[[#This Row],[ProcessSN]],表格2_7[],3,FALSE)</f>
        <v>#08PICK</v>
      </c>
      <c r="J6998" t="s">
        <v>582</v>
      </c>
      <c r="K6998" s="195">
        <v>45958.354062500002</v>
      </c>
      <c r="L6998">
        <v>157</v>
      </c>
      <c r="M6998">
        <v>0</v>
      </c>
      <c r="N6998" s="98" t="str">
        <f>IF(record[[#This Row],[Memo]]="Browser:chrome os:android","平板報工",IF(record[[#This Row],[Memo]]=0,"委外",record[[#This Row],[Memo]]))</f>
        <v/>
      </c>
      <c r="O6998" t="s">
        <v>58</v>
      </c>
      <c r="P6998" t="s">
        <v>196</v>
      </c>
      <c r="Q6998" t="s">
        <v>58</v>
      </c>
      <c r="R6998" t="str">
        <f>IFERROR(VLOOKUP(record[[#This Row],[PCUSTID]],廠商[],2,FALSE),"")</f>
        <v/>
      </c>
      <c r="S6998" t="str">
        <f>VLOOKUP(record[[#This Row],[employeeID]],員工[],2,FALSE)</f>
        <v>張淑惠</v>
      </c>
    </row>
    <row r="6999" spans="6:19" hidden="1" x14ac:dyDescent="0.25">
      <c r="F6999" t="s">
        <v>854</v>
      </c>
      <c r="G6999" t="s">
        <v>419</v>
      </c>
      <c r="H6999" t="str">
        <f>VLOOKUP(record[[#This Row],[ProcessSN]],表格2_7[],2,FALSE)</f>
        <v>30-4118-018-5XX</v>
      </c>
      <c r="I6999" t="str">
        <f>VLOOKUP(record[[#This Row],[ProcessSN]],表格2_7[],3,FALSE)</f>
        <v>#07QC</v>
      </c>
      <c r="J6999" t="s">
        <v>589</v>
      </c>
      <c r="K6999" s="195">
        <v>45958.345763888887</v>
      </c>
      <c r="L6999">
        <v>59</v>
      </c>
      <c r="M6999">
        <v>0</v>
      </c>
      <c r="N6999" s="98" t="str">
        <f>IF(record[[#This Row],[Memo]]="Browser:chrome os:android","平板報工",IF(record[[#This Row],[Memo]]=0,"委外",record[[#This Row],[Memo]]))</f>
        <v/>
      </c>
      <c r="O6999" t="s">
        <v>58</v>
      </c>
      <c r="P6999" t="s">
        <v>141</v>
      </c>
      <c r="Q6999" t="s">
        <v>58</v>
      </c>
      <c r="R6999" t="str">
        <f>IFERROR(VLOOKUP(record[[#This Row],[PCUSTID]],廠商[],2,FALSE),"")</f>
        <v/>
      </c>
      <c r="S6999" t="str">
        <f>VLOOKUP(record[[#This Row],[employeeID]],員工[],2,FALSE)</f>
        <v>蔣梅</v>
      </c>
    </row>
    <row r="7000" spans="6:19" hidden="1" x14ac:dyDescent="0.25">
      <c r="F7000" t="s">
        <v>778</v>
      </c>
      <c r="G7000" t="s">
        <v>419</v>
      </c>
      <c r="H7000" t="str">
        <f>VLOOKUP(record[[#This Row],[ProcessSN]],表格2_7[],2,FALSE)</f>
        <v>30-4118-018-5XX</v>
      </c>
      <c r="I7000" t="str">
        <f>VLOOKUP(record[[#This Row],[ProcessSN]],表格2_7[],3,FALSE)</f>
        <v>#07QC</v>
      </c>
      <c r="J7000" t="s">
        <v>589</v>
      </c>
      <c r="K7000" s="195">
        <v>45958.345601851855</v>
      </c>
      <c r="L7000">
        <v>18</v>
      </c>
      <c r="M7000">
        <v>0</v>
      </c>
      <c r="N7000" s="98" t="str">
        <f>IF(record[[#This Row],[Memo]]="Browser:chrome os:android","平板報工",IF(record[[#This Row],[Memo]]=0,"委外",record[[#This Row],[Memo]]))</f>
        <v/>
      </c>
      <c r="O7000" t="s">
        <v>58</v>
      </c>
      <c r="P7000" t="s">
        <v>141</v>
      </c>
      <c r="Q7000" t="s">
        <v>58</v>
      </c>
      <c r="R7000" t="str">
        <f>IFERROR(VLOOKUP(record[[#This Row],[PCUSTID]],廠商[],2,FALSE),"")</f>
        <v/>
      </c>
      <c r="S7000" t="str">
        <f>VLOOKUP(record[[#This Row],[employeeID]],員工[],2,FALSE)</f>
        <v>蔣梅</v>
      </c>
    </row>
    <row r="7001" spans="6:19" hidden="1" x14ac:dyDescent="0.25">
      <c r="F7001" t="s">
        <v>1024</v>
      </c>
      <c r="G7001" t="s">
        <v>419</v>
      </c>
      <c r="H7001" t="str">
        <f>VLOOKUP(record[[#This Row],[ProcessSN]],表格2_7[],2,FALSE)</f>
        <v>30-4118-018-5XX</v>
      </c>
      <c r="I7001" t="str">
        <f>VLOOKUP(record[[#This Row],[ProcessSN]],表格2_7[],3,FALSE)</f>
        <v>#07QC</v>
      </c>
      <c r="J7001" t="s">
        <v>589</v>
      </c>
      <c r="K7001" s="195">
        <v>45958.345208333332</v>
      </c>
      <c r="L7001">
        <v>4</v>
      </c>
      <c r="M7001">
        <v>0</v>
      </c>
      <c r="N7001" s="98" t="str">
        <f>IF(record[[#This Row],[Memo]]="Browser:chrome os:android","平板報工",IF(record[[#This Row],[Memo]]=0,"委外",record[[#This Row],[Memo]]))</f>
        <v/>
      </c>
      <c r="O7001" t="s">
        <v>58</v>
      </c>
      <c r="P7001" t="s">
        <v>141</v>
      </c>
      <c r="Q7001" t="s">
        <v>58</v>
      </c>
      <c r="R7001" t="str">
        <f>IFERROR(VLOOKUP(record[[#This Row],[PCUSTID]],廠商[],2,FALSE),"")</f>
        <v/>
      </c>
      <c r="S7001" t="str">
        <f>VLOOKUP(record[[#This Row],[employeeID]],員工[],2,FALSE)</f>
        <v>蔣梅</v>
      </c>
    </row>
    <row r="7002" spans="6:19" hidden="1" x14ac:dyDescent="0.25">
      <c r="F7002" t="s">
        <v>594</v>
      </c>
      <c r="G7002" t="s">
        <v>419</v>
      </c>
      <c r="H7002" t="str">
        <f>VLOOKUP(record[[#This Row],[ProcessSN]],表格2_7[],2,FALSE)</f>
        <v>30-4118-018-5XX</v>
      </c>
      <c r="I7002" t="str">
        <f>VLOOKUP(record[[#This Row],[ProcessSN]],表格2_7[],3,FALSE)</f>
        <v>#07QC</v>
      </c>
      <c r="J7002" t="s">
        <v>589</v>
      </c>
      <c r="K7002" s="195">
        <v>45958.342650462961</v>
      </c>
      <c r="L7002">
        <v>1</v>
      </c>
      <c r="M7002">
        <v>0</v>
      </c>
      <c r="N7002" s="98" t="str">
        <f>IF(record[[#This Row],[Memo]]="Browser:chrome os:android","平板報工",IF(record[[#This Row],[Memo]]=0,"委外",record[[#This Row],[Memo]]))</f>
        <v>平板報工</v>
      </c>
      <c r="O7002" t="s">
        <v>643</v>
      </c>
      <c r="P7002" t="s">
        <v>141</v>
      </c>
      <c r="Q7002" t="s">
        <v>644</v>
      </c>
      <c r="R7002" t="str">
        <f>IFERROR(VLOOKUP(record[[#This Row],[PCUSTID]],廠商[],2,FALSE),"")</f>
        <v/>
      </c>
      <c r="S7002" t="str">
        <f>VLOOKUP(record[[#This Row],[employeeID]],員工[],2,FALSE)</f>
        <v>蔣梅</v>
      </c>
    </row>
    <row r="7003" spans="6:19" hidden="1" x14ac:dyDescent="0.25">
      <c r="F7003" t="s">
        <v>1157</v>
      </c>
      <c r="G7003" t="s">
        <v>419</v>
      </c>
      <c r="H7003" t="str">
        <f>VLOOKUP(record[[#This Row],[ProcessSN]],表格2_7[],2,FALSE)</f>
        <v>30-4118-018-5XX</v>
      </c>
      <c r="I7003" t="str">
        <f>VLOOKUP(record[[#This Row],[ProcessSN]],表格2_7[],3,FALSE)</f>
        <v>#07QC</v>
      </c>
      <c r="J7003" t="s">
        <v>589</v>
      </c>
      <c r="K7003" s="195">
        <v>45958.34103009259</v>
      </c>
      <c r="L7003">
        <v>35</v>
      </c>
      <c r="M7003">
        <v>0</v>
      </c>
      <c r="N7003" s="98" t="str">
        <f>IF(record[[#This Row],[Memo]]="Browser:chrome os:android","平板報工",IF(record[[#This Row],[Memo]]=0,"委外",record[[#This Row],[Memo]]))</f>
        <v>平板報工</v>
      </c>
      <c r="O7003" t="s">
        <v>643</v>
      </c>
      <c r="P7003" t="s">
        <v>141</v>
      </c>
      <c r="Q7003" t="s">
        <v>644</v>
      </c>
      <c r="R7003" t="str">
        <f>IFERROR(VLOOKUP(record[[#This Row],[PCUSTID]],廠商[],2,FALSE),"")</f>
        <v/>
      </c>
      <c r="S7003" t="str">
        <f>VLOOKUP(record[[#This Row],[employeeID]],員工[],2,FALSE)</f>
        <v>蔣梅</v>
      </c>
    </row>
    <row r="7004" spans="6:19" hidden="1" x14ac:dyDescent="0.25">
      <c r="F7004" t="s">
        <v>650</v>
      </c>
      <c r="G7004" t="s">
        <v>419</v>
      </c>
      <c r="H7004" t="str">
        <f>VLOOKUP(record[[#This Row],[ProcessSN]],表格2_7[],2,FALSE)</f>
        <v>30-4118-018-5XX</v>
      </c>
      <c r="I7004" t="str">
        <f>VLOOKUP(record[[#This Row],[ProcessSN]],表格2_7[],3,FALSE)</f>
        <v>#07QC</v>
      </c>
      <c r="J7004" t="s">
        <v>589</v>
      </c>
      <c r="K7004" s="195">
        <v>45958.339016203703</v>
      </c>
      <c r="L7004">
        <v>2</v>
      </c>
      <c r="M7004">
        <v>0</v>
      </c>
      <c r="N7004" s="98" t="str">
        <f>IF(record[[#This Row],[Memo]]="Browser:chrome os:android","平板報工",IF(record[[#This Row],[Memo]]=0,"委外",record[[#This Row],[Memo]]))</f>
        <v>平板報工</v>
      </c>
      <c r="O7004" t="s">
        <v>643</v>
      </c>
      <c r="P7004" t="s">
        <v>141</v>
      </c>
      <c r="Q7004" t="s">
        <v>644</v>
      </c>
      <c r="R7004" t="str">
        <f>IFERROR(VLOOKUP(record[[#This Row],[PCUSTID]],廠商[],2,FALSE),"")</f>
        <v/>
      </c>
      <c r="S7004" t="str">
        <f>VLOOKUP(record[[#This Row],[employeeID]],員工[],2,FALSE)</f>
        <v>蔣梅</v>
      </c>
    </row>
    <row r="7005" spans="6:19" hidden="1" x14ac:dyDescent="0.25">
      <c r="F7005" t="s">
        <v>642</v>
      </c>
      <c r="G7005" t="s">
        <v>419</v>
      </c>
      <c r="H7005" t="str">
        <f>VLOOKUP(record[[#This Row],[ProcessSN]],表格2_7[],2,FALSE)</f>
        <v>30-4118-018-5XX</v>
      </c>
      <c r="I7005" t="str">
        <f>VLOOKUP(record[[#This Row],[ProcessSN]],表格2_7[],3,FALSE)</f>
        <v>#07QC</v>
      </c>
      <c r="J7005" t="s">
        <v>589</v>
      </c>
      <c r="K7005" s="195">
        <v>45958.33865740741</v>
      </c>
      <c r="L7005">
        <v>10</v>
      </c>
      <c r="M7005">
        <v>0</v>
      </c>
      <c r="N7005" s="98" t="str">
        <f>IF(record[[#This Row],[Memo]]="Browser:chrome os:android","平板報工",IF(record[[#This Row],[Memo]]=0,"委外",record[[#This Row],[Memo]]))</f>
        <v>平板報工</v>
      </c>
      <c r="O7005" t="s">
        <v>643</v>
      </c>
      <c r="P7005" t="s">
        <v>141</v>
      </c>
      <c r="Q7005" t="s">
        <v>644</v>
      </c>
      <c r="R7005" t="str">
        <f>IFERROR(VLOOKUP(record[[#This Row],[PCUSTID]],廠商[],2,FALSE),"")</f>
        <v/>
      </c>
      <c r="S7005" t="str">
        <f>VLOOKUP(record[[#This Row],[employeeID]],員工[],2,FALSE)</f>
        <v>蔣梅</v>
      </c>
    </row>
    <row r="7006" spans="6:19" hidden="1" x14ac:dyDescent="0.25">
      <c r="F7006" t="s">
        <v>1015</v>
      </c>
      <c r="G7006" t="s">
        <v>419</v>
      </c>
      <c r="H7006" t="str">
        <f>VLOOKUP(record[[#This Row],[ProcessSN]],表格2_7[],2,FALSE)</f>
        <v>30-4118-018-5XX</v>
      </c>
      <c r="I7006" t="str">
        <f>VLOOKUP(record[[#This Row],[ProcessSN]],表格2_7[],3,FALSE)</f>
        <v>#07QC</v>
      </c>
      <c r="J7006" t="s">
        <v>589</v>
      </c>
      <c r="K7006" s="195">
        <v>45958.337997685187</v>
      </c>
      <c r="L7006">
        <v>5</v>
      </c>
      <c r="M7006">
        <v>0</v>
      </c>
      <c r="N7006" s="98" t="str">
        <f>IF(record[[#This Row],[Memo]]="Browser:chrome os:android","平板報工",IF(record[[#This Row],[Memo]]=0,"委外",record[[#This Row],[Memo]]))</f>
        <v>平板報工</v>
      </c>
      <c r="O7006" t="s">
        <v>643</v>
      </c>
      <c r="P7006" t="s">
        <v>141</v>
      </c>
      <c r="Q7006" t="s">
        <v>644</v>
      </c>
      <c r="R7006" t="str">
        <f>IFERROR(VLOOKUP(record[[#This Row],[PCUSTID]],廠商[],2,FALSE),"")</f>
        <v/>
      </c>
      <c r="S7006" t="str">
        <f>VLOOKUP(record[[#This Row],[employeeID]],員工[],2,FALSE)</f>
        <v>蔣梅</v>
      </c>
    </row>
    <row r="7007" spans="6:19" hidden="1" x14ac:dyDescent="0.25">
      <c r="F7007" t="s">
        <v>904</v>
      </c>
      <c r="G7007" t="s">
        <v>419</v>
      </c>
      <c r="H7007" t="str">
        <f>VLOOKUP(record[[#This Row],[ProcessSN]],表格2_7[],2,FALSE)</f>
        <v>30-4118-018-5XX</v>
      </c>
      <c r="I7007" t="str">
        <f>VLOOKUP(record[[#This Row],[ProcessSN]],表格2_7[],3,FALSE)</f>
        <v>#07QC</v>
      </c>
      <c r="J7007" t="s">
        <v>589</v>
      </c>
      <c r="K7007" s="195">
        <v>45958.337731481479</v>
      </c>
      <c r="L7007">
        <v>20</v>
      </c>
      <c r="M7007">
        <v>0</v>
      </c>
      <c r="N7007" s="98" t="str">
        <f>IF(record[[#This Row],[Memo]]="Browser:chrome os:android","平板報工",IF(record[[#This Row],[Memo]]=0,"委外",record[[#This Row],[Memo]]))</f>
        <v>平板報工</v>
      </c>
      <c r="O7007" t="s">
        <v>643</v>
      </c>
      <c r="P7007" t="s">
        <v>141</v>
      </c>
      <c r="Q7007" t="s">
        <v>644</v>
      </c>
      <c r="R7007" t="str">
        <f>IFERROR(VLOOKUP(record[[#This Row],[PCUSTID]],廠商[],2,FALSE),"")</f>
        <v/>
      </c>
      <c r="S7007" t="str">
        <f>VLOOKUP(record[[#This Row],[employeeID]],員工[],2,FALSE)</f>
        <v>蔣梅</v>
      </c>
    </row>
    <row r="7008" spans="6:19" hidden="1" x14ac:dyDescent="0.25">
      <c r="F7008" t="s">
        <v>1043</v>
      </c>
      <c r="G7008" t="s">
        <v>466</v>
      </c>
      <c r="H7008" t="str">
        <f>VLOOKUP(record[[#This Row],[ProcessSN]],表格2_7[],2,FALSE)</f>
        <v>30-4118-018-XXX</v>
      </c>
      <c r="I7008" t="str">
        <f>VLOOKUP(record[[#This Row],[ProcessSN]],表格2_7[],3,FALSE)</f>
        <v>#01-2</v>
      </c>
      <c r="J7008" t="s">
        <v>588</v>
      </c>
      <c r="K7008" s="195">
        <v>45958.305173611108</v>
      </c>
      <c r="L7008">
        <v>516</v>
      </c>
      <c r="M7008">
        <v>2</v>
      </c>
      <c r="N7008" s="98" t="str">
        <f>IF(record[[#This Row],[Memo]]="Browser:chrome os:android","平板報工",IF(record[[#This Row],[Memo]]=0,"委外",record[[#This Row],[Memo]]))</f>
        <v/>
      </c>
      <c r="O7008" t="s">
        <v>58</v>
      </c>
      <c r="P7008" t="s">
        <v>135</v>
      </c>
      <c r="Q7008" t="s">
        <v>58</v>
      </c>
      <c r="R7008" t="str">
        <f>IFERROR(VLOOKUP(record[[#This Row],[PCUSTID]],廠商[],2,FALSE),"")</f>
        <v/>
      </c>
      <c r="S7008" t="str">
        <f>VLOOKUP(record[[#This Row],[employeeID]],員工[],2,FALSE)</f>
        <v>阮士文</v>
      </c>
    </row>
    <row r="7009" spans="6:19" hidden="1" x14ac:dyDescent="0.25">
      <c r="F7009" t="s">
        <v>1148</v>
      </c>
      <c r="G7009" t="s">
        <v>463</v>
      </c>
      <c r="H7009" t="str">
        <f>VLOOKUP(record[[#This Row],[ProcessSN]],表格2_7[],2,FALSE)</f>
        <v>30-4118-018-XXX</v>
      </c>
      <c r="I7009" t="str">
        <f>VLOOKUP(record[[#This Row],[ProcessSN]],表格2_7[],3,FALSE)</f>
        <v>#00IQC</v>
      </c>
      <c r="J7009" t="s">
        <v>583</v>
      </c>
      <c r="K7009" s="195">
        <v>45957.826851851853</v>
      </c>
      <c r="L7009">
        <v>1200</v>
      </c>
      <c r="M7009">
        <v>0</v>
      </c>
      <c r="N7009" s="98" t="str">
        <f>IF(record[[#This Row],[Memo]]="Browser:chrome os:android","平板報工",IF(record[[#This Row],[Memo]]=0,"委外",record[[#This Row],[Memo]]))</f>
        <v/>
      </c>
      <c r="O7009" t="s">
        <v>58</v>
      </c>
      <c r="P7009" t="s">
        <v>109</v>
      </c>
      <c r="Q7009" t="s">
        <v>58</v>
      </c>
      <c r="R7009" t="str">
        <f>IFERROR(VLOOKUP(record[[#This Row],[PCUSTID]],廠商[],2,FALSE),"")</f>
        <v/>
      </c>
      <c r="S7009" t="str">
        <f>VLOOKUP(record[[#This Row],[employeeID]],員工[],2,FALSE)</f>
        <v>裴氏璧鳳</v>
      </c>
    </row>
    <row r="7010" spans="6:19" hidden="1" x14ac:dyDescent="0.25">
      <c r="F7010" t="s">
        <v>1143</v>
      </c>
      <c r="G7010" t="s">
        <v>424</v>
      </c>
      <c r="H7010" t="str">
        <f>VLOOKUP(record[[#This Row],[ProcessSN]],表格2_7[],2,FALSE)</f>
        <v>30-4118-018-600</v>
      </c>
      <c r="I7010" t="str">
        <f>VLOOKUP(record[[#This Row],[ProcessSN]],表格2_7[],3,FALSE)</f>
        <v>#08IQC</v>
      </c>
      <c r="J7010" t="s">
        <v>583</v>
      </c>
      <c r="K7010" s="195">
        <v>45957.825185185182</v>
      </c>
      <c r="L7010">
        <v>570</v>
      </c>
      <c r="M7010">
        <v>0</v>
      </c>
      <c r="N7010" s="98" t="str">
        <f>IF(record[[#This Row],[Memo]]="Browser:chrome os:android","平板報工",IF(record[[#This Row],[Memo]]=0,"委外",record[[#This Row],[Memo]]))</f>
        <v/>
      </c>
      <c r="O7010" t="s">
        <v>58</v>
      </c>
      <c r="P7010" t="s">
        <v>109</v>
      </c>
      <c r="Q7010" t="s">
        <v>58</v>
      </c>
      <c r="R7010" t="str">
        <f>IFERROR(VLOOKUP(record[[#This Row],[PCUSTID]],廠商[],2,FALSE),"")</f>
        <v/>
      </c>
      <c r="S7010" t="str">
        <f>VLOOKUP(record[[#This Row],[employeeID]],員工[],2,FALSE)</f>
        <v>裴氏璧鳳</v>
      </c>
    </row>
    <row r="7011" spans="6:19" hidden="1" x14ac:dyDescent="0.25">
      <c r="F7011" t="s">
        <v>1157</v>
      </c>
      <c r="G7011" t="s">
        <v>418</v>
      </c>
      <c r="H7011" t="str">
        <f>VLOOKUP(record[[#This Row],[ProcessSN]],表格2_7[],2,FALSE)</f>
        <v>30-4118-018-5XX</v>
      </c>
      <c r="I7011" t="str">
        <f>VLOOKUP(record[[#This Row],[ProcessSN]],表格2_7[],3,FALSE)</f>
        <v>#07</v>
      </c>
      <c r="J7011" t="s">
        <v>588</v>
      </c>
      <c r="K7011" s="195">
        <v>45957.729317129626</v>
      </c>
      <c r="L7011">
        <v>35</v>
      </c>
      <c r="M7011">
        <v>0</v>
      </c>
      <c r="N7011" s="98" t="str">
        <f>IF(record[[#This Row],[Memo]]="Browser:chrome os:android","平板報工",IF(record[[#This Row],[Memo]]=0,"委外",record[[#This Row],[Memo]]))</f>
        <v/>
      </c>
      <c r="O7011" t="s">
        <v>58</v>
      </c>
      <c r="P7011" t="s">
        <v>113</v>
      </c>
      <c r="Q7011" t="s">
        <v>58</v>
      </c>
      <c r="R7011" t="str">
        <f>IFERROR(VLOOKUP(record[[#This Row],[PCUSTID]],廠商[],2,FALSE),"")</f>
        <v/>
      </c>
      <c r="S7011" t="str">
        <f>VLOOKUP(record[[#This Row],[employeeID]],員工[],2,FALSE)</f>
        <v>王奕蓁</v>
      </c>
    </row>
    <row r="7012" spans="6:19" hidden="1" x14ac:dyDescent="0.25">
      <c r="F7012" t="s">
        <v>1157</v>
      </c>
      <c r="G7012" t="s">
        <v>417</v>
      </c>
      <c r="H7012" t="str">
        <f>VLOOKUP(record[[#This Row],[ProcessSN]],表格2_7[],2,FALSE)</f>
        <v>30-4118-018-5XX</v>
      </c>
      <c r="I7012" t="str">
        <f>VLOOKUP(record[[#This Row],[ProcessSN]],表格2_7[],3,FALSE)</f>
        <v>#06</v>
      </c>
      <c r="J7012" t="s">
        <v>593</v>
      </c>
      <c r="K7012" s="195">
        <v>45957.72923611111</v>
      </c>
      <c r="L7012">
        <v>35</v>
      </c>
      <c r="M7012">
        <v>0</v>
      </c>
      <c r="N7012" s="98" t="str">
        <f>IF(record[[#This Row],[Memo]]="Browser:chrome os:android","平板報工",IF(record[[#This Row],[Memo]]=0,"委外",record[[#This Row],[Memo]]))</f>
        <v/>
      </c>
      <c r="O7012" t="s">
        <v>58</v>
      </c>
      <c r="P7012" t="s">
        <v>113</v>
      </c>
      <c r="Q7012" t="s">
        <v>58</v>
      </c>
      <c r="R7012" t="str">
        <f>IFERROR(VLOOKUP(record[[#This Row],[PCUSTID]],廠商[],2,FALSE),"")</f>
        <v/>
      </c>
      <c r="S7012" t="str">
        <f>VLOOKUP(record[[#This Row],[employeeID]],員工[],2,FALSE)</f>
        <v>王奕蓁</v>
      </c>
    </row>
    <row r="7013" spans="6:19" hidden="1" x14ac:dyDescent="0.25">
      <c r="F7013" t="s">
        <v>1157</v>
      </c>
      <c r="G7013" t="s">
        <v>416</v>
      </c>
      <c r="H7013" t="str">
        <f>VLOOKUP(record[[#This Row],[ProcessSN]],表格2_7[],2,FALSE)</f>
        <v>30-4118-018-5XX</v>
      </c>
      <c r="I7013" t="str">
        <f>VLOOKUP(record[[#This Row],[ProcessSN]],表格2_7[],3,FALSE)</f>
        <v>#05</v>
      </c>
      <c r="J7013" t="s">
        <v>588</v>
      </c>
      <c r="K7013" s="195">
        <v>45957.729155092595</v>
      </c>
      <c r="L7013">
        <v>35</v>
      </c>
      <c r="M7013">
        <v>0</v>
      </c>
      <c r="N7013" s="98" t="str">
        <f>IF(record[[#This Row],[Memo]]="Browser:chrome os:android","平板報工",IF(record[[#This Row],[Memo]]=0,"委外",record[[#This Row],[Memo]]))</f>
        <v/>
      </c>
      <c r="O7013" t="s">
        <v>58</v>
      </c>
      <c r="P7013" t="s">
        <v>113</v>
      </c>
      <c r="Q7013" t="s">
        <v>58</v>
      </c>
      <c r="R7013" t="str">
        <f>IFERROR(VLOOKUP(record[[#This Row],[PCUSTID]],廠商[],2,FALSE),"")</f>
        <v/>
      </c>
      <c r="S7013" t="str">
        <f>VLOOKUP(record[[#This Row],[employeeID]],員工[],2,FALSE)</f>
        <v>王奕蓁</v>
      </c>
    </row>
    <row r="7014" spans="6:19" hidden="1" x14ac:dyDescent="0.25">
      <c r="F7014" t="s">
        <v>1157</v>
      </c>
      <c r="G7014" t="s">
        <v>415</v>
      </c>
      <c r="H7014" t="str">
        <f>VLOOKUP(record[[#This Row],[ProcessSN]],表格2_7[],2,FALSE)</f>
        <v>30-4118-018-5XX</v>
      </c>
      <c r="I7014" t="str">
        <f>VLOOKUP(record[[#This Row],[ProcessSN]],表格2_7[],3,FALSE)</f>
        <v>#04</v>
      </c>
      <c r="J7014" t="s">
        <v>588</v>
      </c>
      <c r="K7014" s="195">
        <v>45957.729074074072</v>
      </c>
      <c r="L7014">
        <v>35</v>
      </c>
      <c r="M7014">
        <v>0</v>
      </c>
      <c r="N7014" s="98" t="str">
        <f>IF(record[[#This Row],[Memo]]="Browser:chrome os:android","平板報工",IF(record[[#This Row],[Memo]]=0,"委外",record[[#This Row],[Memo]]))</f>
        <v/>
      </c>
      <c r="O7014" t="s">
        <v>58</v>
      </c>
      <c r="P7014" t="s">
        <v>113</v>
      </c>
      <c r="Q7014" t="s">
        <v>58</v>
      </c>
      <c r="R7014" t="str">
        <f>IFERROR(VLOOKUP(record[[#This Row],[PCUSTID]],廠商[],2,FALSE),"")</f>
        <v/>
      </c>
      <c r="S7014" t="str">
        <f>VLOOKUP(record[[#This Row],[employeeID]],員工[],2,FALSE)</f>
        <v>王奕蓁</v>
      </c>
    </row>
    <row r="7015" spans="6:19" hidden="1" x14ac:dyDescent="0.25">
      <c r="F7015" t="s">
        <v>1157</v>
      </c>
      <c r="G7015" t="s">
        <v>414</v>
      </c>
      <c r="H7015" t="str">
        <f>VLOOKUP(record[[#This Row],[ProcessSN]],表格2_7[],2,FALSE)</f>
        <v>30-4118-018-5XX</v>
      </c>
      <c r="I7015" t="str">
        <f>VLOOKUP(record[[#This Row],[ProcessSN]],表格2_7[],3,FALSE)</f>
        <v>#03</v>
      </c>
      <c r="J7015" t="s">
        <v>588</v>
      </c>
      <c r="K7015" s="195">
        <v>45957.729004629633</v>
      </c>
      <c r="L7015">
        <v>35</v>
      </c>
      <c r="M7015">
        <v>0</v>
      </c>
      <c r="N7015" s="98" t="str">
        <f>IF(record[[#This Row],[Memo]]="Browser:chrome os:android","平板報工",IF(record[[#This Row],[Memo]]=0,"委外",record[[#This Row],[Memo]]))</f>
        <v/>
      </c>
      <c r="O7015" t="s">
        <v>58</v>
      </c>
      <c r="P7015" t="s">
        <v>113</v>
      </c>
      <c r="Q7015" t="s">
        <v>58</v>
      </c>
      <c r="R7015" t="str">
        <f>IFERROR(VLOOKUP(record[[#This Row],[PCUSTID]],廠商[],2,FALSE),"")</f>
        <v/>
      </c>
      <c r="S7015" t="str">
        <f>VLOOKUP(record[[#This Row],[employeeID]],員工[],2,FALSE)</f>
        <v>王奕蓁</v>
      </c>
    </row>
    <row r="7016" spans="6:19" hidden="1" x14ac:dyDescent="0.25">
      <c r="F7016" t="s">
        <v>1157</v>
      </c>
      <c r="G7016" t="s">
        <v>413</v>
      </c>
      <c r="H7016" t="str">
        <f>VLOOKUP(record[[#This Row],[ProcessSN]],表格2_7[],2,FALSE)</f>
        <v>30-4118-018-5XX</v>
      </c>
      <c r="I7016" t="str">
        <f>VLOOKUP(record[[#This Row],[ProcessSN]],表格2_7[],3,FALSE)</f>
        <v>#03GIVE</v>
      </c>
      <c r="J7016" t="s">
        <v>587</v>
      </c>
      <c r="K7016" s="195">
        <v>45957.728831018518</v>
      </c>
      <c r="L7016">
        <v>35</v>
      </c>
      <c r="M7016">
        <v>0</v>
      </c>
      <c r="N7016" s="98" t="str">
        <f>IF(record[[#This Row],[Memo]]="Browser:chrome os:android","平板報工",IF(record[[#This Row],[Memo]]=0,"委外",record[[#This Row],[Memo]]))</f>
        <v/>
      </c>
      <c r="O7016" t="s">
        <v>58</v>
      </c>
      <c r="P7016" t="s">
        <v>113</v>
      </c>
      <c r="Q7016" t="s">
        <v>58</v>
      </c>
      <c r="R7016" t="str">
        <f>IFERROR(VLOOKUP(record[[#This Row],[PCUSTID]],廠商[],2,FALSE),"")</f>
        <v/>
      </c>
      <c r="S7016" t="str">
        <f>VLOOKUP(record[[#This Row],[employeeID]],員工[],2,FALSE)</f>
        <v>王奕蓁</v>
      </c>
    </row>
    <row r="7017" spans="6:19" hidden="1" x14ac:dyDescent="0.25">
      <c r="F7017" t="s">
        <v>1157</v>
      </c>
      <c r="G7017" t="s">
        <v>412</v>
      </c>
      <c r="H7017" t="str">
        <f>VLOOKUP(record[[#This Row],[ProcessSN]],表格2_7[],2,FALSE)</f>
        <v>30-4118-018-5XX</v>
      </c>
      <c r="I7017" t="str">
        <f>VLOOKUP(record[[#This Row],[ProcessSN]],表格2_7[],3,FALSE)</f>
        <v>#03PICK</v>
      </c>
      <c r="J7017" t="s">
        <v>582</v>
      </c>
      <c r="K7017" s="195">
        <v>45957.728692129633</v>
      </c>
      <c r="L7017">
        <v>35</v>
      </c>
      <c r="M7017">
        <v>0</v>
      </c>
      <c r="N7017" s="98" t="str">
        <f>IF(record[[#This Row],[Memo]]="Browser:chrome os:android","平板報工",IF(record[[#This Row],[Memo]]=0,"委外",record[[#This Row],[Memo]]))</f>
        <v/>
      </c>
      <c r="O7017" t="s">
        <v>58</v>
      </c>
      <c r="P7017" t="s">
        <v>113</v>
      </c>
      <c r="Q7017" t="s">
        <v>58</v>
      </c>
      <c r="R7017" t="str">
        <f>IFERROR(VLOOKUP(record[[#This Row],[PCUSTID]],廠商[],2,FALSE),"")</f>
        <v/>
      </c>
      <c r="S7017" t="str">
        <f>VLOOKUP(record[[#This Row],[employeeID]],員工[],2,FALSE)</f>
        <v>王奕蓁</v>
      </c>
    </row>
    <row r="7018" spans="6:19" hidden="1" x14ac:dyDescent="0.25">
      <c r="F7018" t="s">
        <v>650</v>
      </c>
      <c r="G7018" t="s">
        <v>417</v>
      </c>
      <c r="H7018" t="str">
        <f>VLOOKUP(record[[#This Row],[ProcessSN]],表格2_7[],2,FALSE)</f>
        <v>30-4118-018-5XX</v>
      </c>
      <c r="I7018" t="str">
        <f>VLOOKUP(record[[#This Row],[ProcessSN]],表格2_7[],3,FALSE)</f>
        <v>#06</v>
      </c>
      <c r="J7018" t="s">
        <v>593</v>
      </c>
      <c r="K7018" s="195">
        <v>45957.706990740742</v>
      </c>
      <c r="L7018">
        <v>2</v>
      </c>
      <c r="M7018">
        <v>-2</v>
      </c>
      <c r="N7018" s="98" t="str">
        <f>IF(record[[#This Row],[Memo]]="Browser:chrome os:android","平板報工",IF(record[[#This Row],[Memo]]=0,"委外",record[[#This Row],[Memo]]))</f>
        <v>領1140019覆回</v>
      </c>
      <c r="O7018" t="s">
        <v>1155</v>
      </c>
      <c r="P7018" t="s">
        <v>113</v>
      </c>
      <c r="Q7018" t="s">
        <v>58</v>
      </c>
      <c r="R7018" t="str">
        <f>IFERROR(VLOOKUP(record[[#This Row],[PCUSTID]],廠商[],2,FALSE),"")</f>
        <v/>
      </c>
      <c r="S7018" t="str">
        <f>VLOOKUP(record[[#This Row],[employeeID]],員工[],2,FALSE)</f>
        <v>王奕蓁</v>
      </c>
    </row>
    <row r="7019" spans="6:19" hidden="1" x14ac:dyDescent="0.25">
      <c r="F7019" t="s">
        <v>594</v>
      </c>
      <c r="G7019" t="s">
        <v>418</v>
      </c>
      <c r="H7019" t="str">
        <f>VLOOKUP(record[[#This Row],[ProcessSN]],表格2_7[],2,FALSE)</f>
        <v>30-4118-018-5XX</v>
      </c>
      <c r="I7019" t="str">
        <f>VLOOKUP(record[[#This Row],[ProcessSN]],表格2_7[],3,FALSE)</f>
        <v>#07</v>
      </c>
      <c r="J7019" t="s">
        <v>588</v>
      </c>
      <c r="K7019" s="195">
        <v>45957.706886574073</v>
      </c>
      <c r="L7019">
        <v>1</v>
      </c>
      <c r="M7019">
        <v>-1</v>
      </c>
      <c r="N7019" s="98" t="str">
        <f>IF(record[[#This Row],[Memo]]="Browser:chrome os:android","平板報工",IF(record[[#This Row],[Memo]]=0,"委外",record[[#This Row],[Memo]]))</f>
        <v>領1140020覆回</v>
      </c>
      <c r="O7019" t="s">
        <v>1156</v>
      </c>
      <c r="P7019" t="s">
        <v>113</v>
      </c>
      <c r="Q7019" t="s">
        <v>58</v>
      </c>
      <c r="R7019" t="str">
        <f>IFERROR(VLOOKUP(record[[#This Row],[PCUSTID]],廠商[],2,FALSE),"")</f>
        <v/>
      </c>
      <c r="S7019" t="str">
        <f>VLOOKUP(record[[#This Row],[employeeID]],員工[],2,FALSE)</f>
        <v>王奕蓁</v>
      </c>
    </row>
    <row r="7020" spans="6:19" hidden="1" x14ac:dyDescent="0.25">
      <c r="F7020" t="s">
        <v>650</v>
      </c>
      <c r="G7020" t="s">
        <v>418</v>
      </c>
      <c r="H7020" t="str">
        <f>VLOOKUP(record[[#This Row],[ProcessSN]],表格2_7[],2,FALSE)</f>
        <v>30-4118-018-5XX</v>
      </c>
      <c r="I7020" t="str">
        <f>VLOOKUP(record[[#This Row],[ProcessSN]],表格2_7[],3,FALSE)</f>
        <v>#07</v>
      </c>
      <c r="J7020" t="s">
        <v>588</v>
      </c>
      <c r="K7020" s="195">
        <v>45957.705983796295</v>
      </c>
      <c r="L7020">
        <v>2</v>
      </c>
      <c r="M7020">
        <v>0</v>
      </c>
      <c r="N7020" s="98" t="str">
        <f>IF(record[[#This Row],[Memo]]="Browser:chrome os:android","平板報工",IF(record[[#This Row],[Memo]]=0,"委外",record[[#This Row],[Memo]]))</f>
        <v>10/27覆回</v>
      </c>
      <c r="O7020" t="s">
        <v>1150</v>
      </c>
      <c r="P7020" t="s">
        <v>113</v>
      </c>
      <c r="Q7020" t="s">
        <v>58</v>
      </c>
      <c r="R7020" t="str">
        <f>IFERROR(VLOOKUP(record[[#This Row],[PCUSTID]],廠商[],2,FALSE),"")</f>
        <v/>
      </c>
      <c r="S7020" t="str">
        <f>VLOOKUP(record[[#This Row],[employeeID]],員工[],2,FALSE)</f>
        <v>王奕蓁</v>
      </c>
    </row>
    <row r="7021" spans="6:19" hidden="1" x14ac:dyDescent="0.25">
      <c r="F7021" t="s">
        <v>642</v>
      </c>
      <c r="G7021" t="s">
        <v>418</v>
      </c>
      <c r="H7021" t="str">
        <f>VLOOKUP(record[[#This Row],[ProcessSN]],表格2_7[],2,FALSE)</f>
        <v>30-4118-018-5XX</v>
      </c>
      <c r="I7021" t="str">
        <f>VLOOKUP(record[[#This Row],[ProcessSN]],表格2_7[],3,FALSE)</f>
        <v>#07</v>
      </c>
      <c r="J7021" t="s">
        <v>588</v>
      </c>
      <c r="K7021" s="195">
        <v>45957.704131944447</v>
      </c>
      <c r="L7021">
        <v>10</v>
      </c>
      <c r="M7021">
        <v>0</v>
      </c>
      <c r="N7021" s="98" t="str">
        <f>IF(record[[#This Row],[Memo]]="Browser:chrome os:android","平板報工",IF(record[[#This Row],[Memo]]=0,"委外",record[[#This Row],[Memo]]))</f>
        <v/>
      </c>
      <c r="O7021" t="s">
        <v>58</v>
      </c>
      <c r="P7021" t="s">
        <v>113</v>
      </c>
      <c r="Q7021" t="s">
        <v>58</v>
      </c>
      <c r="R7021" t="str">
        <f>IFERROR(VLOOKUP(record[[#This Row],[PCUSTID]],廠商[],2,FALSE),"")</f>
        <v/>
      </c>
      <c r="S7021" t="str">
        <f>VLOOKUP(record[[#This Row],[employeeID]],員工[],2,FALSE)</f>
        <v>王奕蓁</v>
      </c>
    </row>
    <row r="7022" spans="6:19" hidden="1" x14ac:dyDescent="0.25">
      <c r="F7022" t="s">
        <v>642</v>
      </c>
      <c r="G7022" t="s">
        <v>417</v>
      </c>
      <c r="H7022" t="str">
        <f>VLOOKUP(record[[#This Row],[ProcessSN]],表格2_7[],2,FALSE)</f>
        <v>30-4118-018-5XX</v>
      </c>
      <c r="I7022" t="str">
        <f>VLOOKUP(record[[#This Row],[ProcessSN]],表格2_7[],3,FALSE)</f>
        <v>#06</v>
      </c>
      <c r="J7022" t="s">
        <v>593</v>
      </c>
      <c r="K7022" s="195">
        <v>45957.704050925924</v>
      </c>
      <c r="L7022">
        <v>9</v>
      </c>
      <c r="M7022">
        <v>0</v>
      </c>
      <c r="N7022" s="98" t="str">
        <f>IF(record[[#This Row],[Memo]]="Browser:chrome os:android","平板報工",IF(record[[#This Row],[Memo]]=0,"委外",record[[#This Row],[Memo]]))</f>
        <v/>
      </c>
      <c r="O7022" t="s">
        <v>58</v>
      </c>
      <c r="P7022" t="s">
        <v>113</v>
      </c>
      <c r="Q7022" t="s">
        <v>58</v>
      </c>
      <c r="R7022" t="str">
        <f>IFERROR(VLOOKUP(record[[#This Row],[PCUSTID]],廠商[],2,FALSE),"")</f>
        <v/>
      </c>
      <c r="S7022" t="str">
        <f>VLOOKUP(record[[#This Row],[employeeID]],員工[],2,FALSE)</f>
        <v>王奕蓁</v>
      </c>
    </row>
    <row r="7023" spans="6:19" hidden="1" x14ac:dyDescent="0.25">
      <c r="F7023" t="s">
        <v>642</v>
      </c>
      <c r="G7023" t="s">
        <v>416</v>
      </c>
      <c r="H7023" t="str">
        <f>VLOOKUP(record[[#This Row],[ProcessSN]],表格2_7[],2,FALSE)</f>
        <v>30-4118-018-5XX</v>
      </c>
      <c r="I7023" t="str">
        <f>VLOOKUP(record[[#This Row],[ProcessSN]],表格2_7[],3,FALSE)</f>
        <v>#05</v>
      </c>
      <c r="J7023" t="s">
        <v>588</v>
      </c>
      <c r="K7023" s="195">
        <v>45957.703981481478</v>
      </c>
      <c r="L7023">
        <v>1</v>
      </c>
      <c r="M7023">
        <v>0</v>
      </c>
      <c r="N7023" s="98" t="str">
        <f>IF(record[[#This Row],[Memo]]="Browser:chrome os:android","平板報工",IF(record[[#This Row],[Memo]]=0,"委外",record[[#This Row],[Memo]]))</f>
        <v/>
      </c>
      <c r="O7023" t="s">
        <v>58</v>
      </c>
      <c r="P7023" t="s">
        <v>113</v>
      </c>
      <c r="Q7023" t="s">
        <v>58</v>
      </c>
      <c r="R7023" t="str">
        <f>IFERROR(VLOOKUP(record[[#This Row],[PCUSTID]],廠商[],2,FALSE),"")</f>
        <v/>
      </c>
      <c r="S7023" t="str">
        <f>VLOOKUP(record[[#This Row],[employeeID]],員工[],2,FALSE)</f>
        <v>王奕蓁</v>
      </c>
    </row>
    <row r="7024" spans="6:19" hidden="1" x14ac:dyDescent="0.25">
      <c r="F7024" t="s">
        <v>642</v>
      </c>
      <c r="G7024" t="s">
        <v>417</v>
      </c>
      <c r="H7024" t="str">
        <f>VLOOKUP(record[[#This Row],[ProcessSN]],表格2_7[],2,FALSE)</f>
        <v>30-4118-018-5XX</v>
      </c>
      <c r="I7024" t="str">
        <f>VLOOKUP(record[[#This Row],[ProcessSN]],表格2_7[],3,FALSE)</f>
        <v>#06</v>
      </c>
      <c r="J7024" t="s">
        <v>593</v>
      </c>
      <c r="K7024" s="195">
        <v>45957.703206018516</v>
      </c>
      <c r="L7024">
        <v>1</v>
      </c>
      <c r="M7024">
        <v>-1</v>
      </c>
      <c r="N7024" s="98" t="str">
        <f>IF(record[[#This Row],[Memo]]="Browser:chrome os:android","平板報工",IF(record[[#This Row],[Memo]]=0,"委外",record[[#This Row],[Memo]]))</f>
        <v>領1140018覆回</v>
      </c>
      <c r="O7024" t="s">
        <v>1154</v>
      </c>
      <c r="P7024" t="s">
        <v>113</v>
      </c>
      <c r="Q7024" t="s">
        <v>58</v>
      </c>
      <c r="R7024" t="str">
        <f>IFERROR(VLOOKUP(record[[#This Row],[PCUSTID]],廠商[],2,FALSE),"")</f>
        <v/>
      </c>
      <c r="S7024" t="str">
        <f>VLOOKUP(record[[#This Row],[employeeID]],員工[],2,FALSE)</f>
        <v>王奕蓁</v>
      </c>
    </row>
    <row r="7025" spans="6:19" hidden="1" x14ac:dyDescent="0.25">
      <c r="F7025" t="s">
        <v>642</v>
      </c>
      <c r="G7025" t="s">
        <v>416</v>
      </c>
      <c r="H7025" t="str">
        <f>VLOOKUP(record[[#This Row],[ProcessSN]],表格2_7[],2,FALSE)</f>
        <v>30-4118-018-5XX</v>
      </c>
      <c r="I7025" t="str">
        <f>VLOOKUP(record[[#This Row],[ProcessSN]],表格2_7[],3,FALSE)</f>
        <v>#05</v>
      </c>
      <c r="J7025" t="s">
        <v>588</v>
      </c>
      <c r="K7025" s="195">
        <v>45957.70175925926</v>
      </c>
      <c r="L7025">
        <v>8</v>
      </c>
      <c r="M7025">
        <v>-8</v>
      </c>
      <c r="N7025" s="98" t="str">
        <f>IF(record[[#This Row],[Memo]]="Browser:chrome os:android","平板報工",IF(record[[#This Row],[Memo]]=0,"委外",record[[#This Row],[Memo]]))</f>
        <v>領1140017 覆回</v>
      </c>
      <c r="O7025" t="s">
        <v>1153</v>
      </c>
      <c r="P7025" t="s">
        <v>113</v>
      </c>
      <c r="Q7025" t="s">
        <v>58</v>
      </c>
      <c r="R7025" t="str">
        <f>IFERROR(VLOOKUP(record[[#This Row],[PCUSTID]],廠商[],2,FALSE),"")</f>
        <v/>
      </c>
      <c r="S7025" t="str">
        <f>VLOOKUP(record[[#This Row],[employeeID]],員工[],2,FALSE)</f>
        <v>王奕蓁</v>
      </c>
    </row>
    <row r="7026" spans="6:19" hidden="1" x14ac:dyDescent="0.25">
      <c r="F7026" t="s">
        <v>642</v>
      </c>
      <c r="G7026" t="s">
        <v>415</v>
      </c>
      <c r="H7026" t="str">
        <f>VLOOKUP(record[[#This Row],[ProcessSN]],表格2_7[],2,FALSE)</f>
        <v>30-4118-018-5XX</v>
      </c>
      <c r="I7026" t="str">
        <f>VLOOKUP(record[[#This Row],[ProcessSN]],表格2_7[],3,FALSE)</f>
        <v>#04</v>
      </c>
      <c r="J7026" t="s">
        <v>588</v>
      </c>
      <c r="K7026" s="195">
        <v>45957.701597222222</v>
      </c>
      <c r="L7026">
        <v>1</v>
      </c>
      <c r="M7026">
        <v>-1</v>
      </c>
      <c r="N7026" s="98" t="str">
        <f>IF(record[[#This Row],[Memo]]="Browser:chrome os:android","平板報工",IF(record[[#This Row],[Memo]]=0,"委外",record[[#This Row],[Memo]]))</f>
        <v>領1140016 覆回</v>
      </c>
      <c r="O7026" t="s">
        <v>1152</v>
      </c>
      <c r="P7026" t="s">
        <v>113</v>
      </c>
      <c r="Q7026" t="s">
        <v>58</v>
      </c>
      <c r="R7026" t="str">
        <f>IFERROR(VLOOKUP(record[[#This Row],[PCUSTID]],廠商[],2,FALSE),"")</f>
        <v/>
      </c>
      <c r="S7026" t="str">
        <f>VLOOKUP(record[[#This Row],[employeeID]],員工[],2,FALSE)</f>
        <v>王奕蓁</v>
      </c>
    </row>
    <row r="7027" spans="6:19" hidden="1" x14ac:dyDescent="0.25">
      <c r="F7027" t="s">
        <v>904</v>
      </c>
      <c r="G7027" t="s">
        <v>418</v>
      </c>
      <c r="H7027" t="str">
        <f>VLOOKUP(record[[#This Row],[ProcessSN]],表格2_7[],2,FALSE)</f>
        <v>30-4118-018-5XX</v>
      </c>
      <c r="I7027" t="str">
        <f>VLOOKUP(record[[#This Row],[ProcessSN]],表格2_7[],3,FALSE)</f>
        <v>#07</v>
      </c>
      <c r="J7027" t="s">
        <v>588</v>
      </c>
      <c r="K7027" s="195">
        <v>45957.696608796294</v>
      </c>
      <c r="L7027">
        <v>20</v>
      </c>
      <c r="M7027">
        <v>0</v>
      </c>
      <c r="N7027" s="98" t="str">
        <f>IF(record[[#This Row],[Memo]]="Browser:chrome os:android","平板報工",IF(record[[#This Row],[Memo]]=0,"委外",record[[#This Row],[Memo]]))</f>
        <v>舊料覆回</v>
      </c>
      <c r="O7027" t="s">
        <v>1151</v>
      </c>
      <c r="P7027" t="s">
        <v>113</v>
      </c>
      <c r="Q7027" t="s">
        <v>58</v>
      </c>
      <c r="R7027" t="str">
        <f>IFERROR(VLOOKUP(record[[#This Row],[PCUSTID]],廠商[],2,FALSE),"")</f>
        <v/>
      </c>
      <c r="S7027" t="str">
        <f>VLOOKUP(record[[#This Row],[employeeID]],員工[],2,FALSE)</f>
        <v>王奕蓁</v>
      </c>
    </row>
    <row r="7028" spans="6:19" hidden="1" x14ac:dyDescent="0.25">
      <c r="F7028" t="s">
        <v>904</v>
      </c>
      <c r="G7028" t="s">
        <v>417</v>
      </c>
      <c r="H7028" t="str">
        <f>VLOOKUP(record[[#This Row],[ProcessSN]],表格2_7[],2,FALSE)</f>
        <v>30-4118-018-5XX</v>
      </c>
      <c r="I7028" t="str">
        <f>VLOOKUP(record[[#This Row],[ProcessSN]],表格2_7[],3,FALSE)</f>
        <v>#06</v>
      </c>
      <c r="J7028" t="s">
        <v>593</v>
      </c>
      <c r="K7028" s="195">
        <v>45957.696423611109</v>
      </c>
      <c r="L7028">
        <v>16</v>
      </c>
      <c r="M7028">
        <v>0</v>
      </c>
      <c r="N7028" s="98" t="str">
        <f>IF(record[[#This Row],[Memo]]="Browser:chrome os:android","平板報工",IF(record[[#This Row],[Memo]]=0,"委外",record[[#This Row],[Memo]]))</f>
        <v>舊料覆回</v>
      </c>
      <c r="O7028" t="s">
        <v>1151</v>
      </c>
      <c r="P7028" t="s">
        <v>113</v>
      </c>
      <c r="Q7028" t="s">
        <v>58</v>
      </c>
      <c r="R7028" t="str">
        <f>IFERROR(VLOOKUP(record[[#This Row],[PCUSTID]],廠商[],2,FALSE),"")</f>
        <v/>
      </c>
      <c r="S7028" t="str">
        <f>VLOOKUP(record[[#This Row],[employeeID]],員工[],2,FALSE)</f>
        <v>王奕蓁</v>
      </c>
    </row>
    <row r="7029" spans="6:19" hidden="1" x14ac:dyDescent="0.25">
      <c r="F7029" t="s">
        <v>1015</v>
      </c>
      <c r="G7029" t="s">
        <v>418</v>
      </c>
      <c r="H7029" t="str">
        <f>VLOOKUP(record[[#This Row],[ProcessSN]],表格2_7[],2,FALSE)</f>
        <v>30-4118-018-5XX</v>
      </c>
      <c r="I7029" t="str">
        <f>VLOOKUP(record[[#This Row],[ProcessSN]],表格2_7[],3,FALSE)</f>
        <v>#07</v>
      </c>
      <c r="J7029" t="s">
        <v>588</v>
      </c>
      <c r="K7029" s="195">
        <v>45957.696180555555</v>
      </c>
      <c r="L7029">
        <v>5</v>
      </c>
      <c r="M7029">
        <v>0</v>
      </c>
      <c r="N7029" s="98" t="str">
        <f>IF(record[[#This Row],[Memo]]="Browser:chrome os:android","平板報工",IF(record[[#This Row],[Memo]]=0,"委外",record[[#This Row],[Memo]]))</f>
        <v>舊料覆回</v>
      </c>
      <c r="O7029" t="s">
        <v>1151</v>
      </c>
      <c r="P7029" t="s">
        <v>113</v>
      </c>
      <c r="Q7029" t="s">
        <v>58</v>
      </c>
      <c r="R7029" t="str">
        <f>IFERROR(VLOOKUP(record[[#This Row],[PCUSTID]],廠商[],2,FALSE),"")</f>
        <v/>
      </c>
      <c r="S7029" t="str">
        <f>VLOOKUP(record[[#This Row],[employeeID]],員工[],2,FALSE)</f>
        <v>王奕蓁</v>
      </c>
    </row>
    <row r="7030" spans="6:19" hidden="1" x14ac:dyDescent="0.25">
      <c r="F7030" t="s">
        <v>1015</v>
      </c>
      <c r="G7030" t="s">
        <v>417</v>
      </c>
      <c r="H7030" t="str">
        <f>VLOOKUP(record[[#This Row],[ProcessSN]],表格2_7[],2,FALSE)</f>
        <v>30-4118-018-5XX</v>
      </c>
      <c r="I7030" t="str">
        <f>VLOOKUP(record[[#This Row],[ProcessSN]],表格2_7[],3,FALSE)</f>
        <v>#06</v>
      </c>
      <c r="J7030" t="s">
        <v>593</v>
      </c>
      <c r="K7030" s="195">
        <v>45957.69604166667</v>
      </c>
      <c r="L7030">
        <v>5</v>
      </c>
      <c r="M7030">
        <v>0</v>
      </c>
      <c r="N7030" s="98" t="str">
        <f>IF(record[[#This Row],[Memo]]="Browser:chrome os:android","平板報工",IF(record[[#This Row],[Memo]]=0,"委外",record[[#This Row],[Memo]]))</f>
        <v>舊料覆回</v>
      </c>
      <c r="O7030" t="s">
        <v>1151</v>
      </c>
      <c r="P7030" t="s">
        <v>113</v>
      </c>
      <c r="Q7030" t="s">
        <v>58</v>
      </c>
      <c r="R7030" t="str">
        <f>IFERROR(VLOOKUP(record[[#This Row],[PCUSTID]],廠商[],2,FALSE),"")</f>
        <v/>
      </c>
      <c r="S7030" t="str">
        <f>VLOOKUP(record[[#This Row],[employeeID]],員工[],2,FALSE)</f>
        <v>王奕蓁</v>
      </c>
    </row>
    <row r="7031" spans="6:19" hidden="1" x14ac:dyDescent="0.25">
      <c r="F7031" t="s">
        <v>1015</v>
      </c>
      <c r="G7031" t="s">
        <v>416</v>
      </c>
      <c r="H7031" t="str">
        <f>VLOOKUP(record[[#This Row],[ProcessSN]],表格2_7[],2,FALSE)</f>
        <v>30-4118-018-5XX</v>
      </c>
      <c r="I7031" t="str">
        <f>VLOOKUP(record[[#This Row],[ProcessSN]],表格2_7[],3,FALSE)</f>
        <v>#05</v>
      </c>
      <c r="J7031" t="s">
        <v>588</v>
      </c>
      <c r="K7031" s="195">
        <v>45957.695914351854</v>
      </c>
      <c r="L7031">
        <v>5</v>
      </c>
      <c r="M7031">
        <v>0</v>
      </c>
      <c r="N7031" s="98" t="str">
        <f>IF(record[[#This Row],[Memo]]="Browser:chrome os:android","平板報工",IF(record[[#This Row],[Memo]]=0,"委外",record[[#This Row],[Memo]]))</f>
        <v>舊料覆回</v>
      </c>
      <c r="O7031" t="s">
        <v>1151</v>
      </c>
      <c r="P7031" t="s">
        <v>113</v>
      </c>
      <c r="Q7031" t="s">
        <v>58</v>
      </c>
      <c r="R7031" t="str">
        <f>IFERROR(VLOOKUP(record[[#This Row],[PCUSTID]],廠商[],2,FALSE),"")</f>
        <v/>
      </c>
      <c r="S7031" t="str">
        <f>VLOOKUP(record[[#This Row],[employeeID]],員工[],2,FALSE)</f>
        <v>王奕蓁</v>
      </c>
    </row>
    <row r="7032" spans="6:19" hidden="1" x14ac:dyDescent="0.25">
      <c r="F7032" t="s">
        <v>778</v>
      </c>
      <c r="G7032" t="s">
        <v>415</v>
      </c>
      <c r="H7032" t="str">
        <f>VLOOKUP(record[[#This Row],[ProcessSN]],表格2_7[],2,FALSE)</f>
        <v>30-4118-018-5XX</v>
      </c>
      <c r="I7032" t="str">
        <f>VLOOKUP(record[[#This Row],[ProcessSN]],表格2_7[],3,FALSE)</f>
        <v>#04</v>
      </c>
      <c r="J7032" t="s">
        <v>588</v>
      </c>
      <c r="K7032" s="195">
        <v>45957.683333333334</v>
      </c>
      <c r="L7032">
        <v>8</v>
      </c>
      <c r="M7032">
        <v>-8</v>
      </c>
      <c r="N7032" s="98" t="str">
        <f>IF(record[[#This Row],[Memo]]="Browser:chrome os:android","平板報工",IF(record[[#This Row],[Memo]]=0,"委外",record[[#This Row],[Memo]]))</f>
        <v>10/27覆回</v>
      </c>
      <c r="O7032" t="s">
        <v>1150</v>
      </c>
      <c r="P7032" t="s">
        <v>113</v>
      </c>
      <c r="Q7032" t="s">
        <v>58</v>
      </c>
      <c r="R7032" t="str">
        <f>IFERROR(VLOOKUP(record[[#This Row],[PCUSTID]],廠商[],2,FALSE),"")</f>
        <v/>
      </c>
      <c r="S7032" t="str">
        <f>VLOOKUP(record[[#This Row],[employeeID]],員工[],2,FALSE)</f>
        <v>王奕蓁</v>
      </c>
    </row>
    <row r="7033" spans="6:19" hidden="1" x14ac:dyDescent="0.25">
      <c r="F7033" t="s">
        <v>854</v>
      </c>
      <c r="G7033" t="s">
        <v>415</v>
      </c>
      <c r="H7033" t="str">
        <f>VLOOKUP(record[[#This Row],[ProcessSN]],表格2_7[],2,FALSE)</f>
        <v>30-4118-018-5XX</v>
      </c>
      <c r="I7033" t="str">
        <f>VLOOKUP(record[[#This Row],[ProcessSN]],表格2_7[],3,FALSE)</f>
        <v>#04</v>
      </c>
      <c r="J7033" t="s">
        <v>588</v>
      </c>
      <c r="K7033" s="195">
        <v>45957.675578703704</v>
      </c>
      <c r="L7033">
        <v>55</v>
      </c>
      <c r="M7033">
        <v>-55</v>
      </c>
      <c r="N7033" s="98" t="str">
        <f>IF(record[[#This Row],[Memo]]="Browser:chrome os:android","平板報工",IF(record[[#This Row],[Memo]]=0,"委外",record[[#This Row],[Memo]]))</f>
        <v>10/27覆回</v>
      </c>
      <c r="O7033" t="s">
        <v>1150</v>
      </c>
      <c r="P7033" t="s">
        <v>113</v>
      </c>
      <c r="R7033" t="str">
        <f>IFERROR(VLOOKUP(record[[#This Row],[PCUSTID]],廠商[],2,FALSE),"")</f>
        <v/>
      </c>
      <c r="S7033" t="str">
        <f>VLOOKUP(record[[#This Row],[employeeID]],員工[],2,FALSE)</f>
        <v>王奕蓁</v>
      </c>
    </row>
    <row r="7034" spans="6:19" hidden="1" x14ac:dyDescent="0.25">
      <c r="F7034" t="s">
        <v>1043</v>
      </c>
      <c r="G7034" t="s">
        <v>466</v>
      </c>
      <c r="H7034" t="str">
        <f>VLOOKUP(record[[#This Row],[ProcessSN]],表格2_7[],2,FALSE)</f>
        <v>30-4118-018-XXX</v>
      </c>
      <c r="I7034" t="str">
        <f>VLOOKUP(record[[#This Row],[ProcessSN]],表格2_7[],3,FALSE)</f>
        <v>#01-2</v>
      </c>
      <c r="J7034" t="s">
        <v>588</v>
      </c>
      <c r="K7034" s="195">
        <v>45957.651655092595</v>
      </c>
      <c r="L7034">
        <v>273</v>
      </c>
      <c r="M7034">
        <v>3</v>
      </c>
      <c r="N7034" s="98" t="str">
        <f>IF(record[[#This Row],[Memo]]="Browser:chrome os:android","平板報工",IF(record[[#This Row],[Memo]]=0,"委外",record[[#This Row],[Memo]]))</f>
        <v>平板報工</v>
      </c>
      <c r="O7034" t="s">
        <v>643</v>
      </c>
      <c r="P7034" t="s">
        <v>107</v>
      </c>
      <c r="Q7034" t="s">
        <v>644</v>
      </c>
      <c r="R7034" t="str">
        <f>IFERROR(VLOOKUP(record[[#This Row],[PCUSTID]],廠商[],2,FALSE),"")</f>
        <v/>
      </c>
      <c r="S7034" t="str">
        <f>VLOOKUP(record[[#This Row],[employeeID]],員工[],2,FALSE)</f>
        <v>黎氏順</v>
      </c>
    </row>
    <row r="7035" spans="6:19" hidden="1" x14ac:dyDescent="0.25">
      <c r="F7035" t="s">
        <v>1101</v>
      </c>
      <c r="G7035" t="s">
        <v>376</v>
      </c>
      <c r="H7035" t="str">
        <f>VLOOKUP(record[[#This Row],[ProcessSN]],表格2_7[],2,FALSE)</f>
        <v>30-4118-018-4XX</v>
      </c>
      <c r="I7035" t="str">
        <f>VLOOKUP(record[[#This Row],[ProcessSN]],表格2_7[],3,FALSE)</f>
        <v>#06</v>
      </c>
      <c r="J7035" t="s">
        <v>593</v>
      </c>
      <c r="K7035" s="195">
        <v>45957.641608796293</v>
      </c>
      <c r="L7035">
        <v>180</v>
      </c>
      <c r="M7035">
        <v>3</v>
      </c>
      <c r="N7035" s="98" t="str">
        <f>IF(record[[#This Row],[Memo]]="Browser:chrome os:android","平板報工",IF(record[[#This Row],[Memo]]=0,"委外",record[[#This Row],[Memo]]))</f>
        <v>平板報工</v>
      </c>
      <c r="O7035" t="s">
        <v>643</v>
      </c>
      <c r="P7035" t="s">
        <v>166</v>
      </c>
      <c r="Q7035" t="s">
        <v>644</v>
      </c>
      <c r="R7035" t="str">
        <f>IFERROR(VLOOKUP(record[[#This Row],[PCUSTID]],廠商[],2,FALSE),"")</f>
        <v/>
      </c>
      <c r="S7035" t="str">
        <f>VLOOKUP(record[[#This Row],[employeeID]],員工[],2,FALSE)</f>
        <v>阮懷香</v>
      </c>
    </row>
    <row r="7036" spans="6:19" hidden="1" x14ac:dyDescent="0.25">
      <c r="F7036" t="s">
        <v>778</v>
      </c>
      <c r="G7036" t="s">
        <v>418</v>
      </c>
      <c r="H7036" t="str">
        <f>VLOOKUP(record[[#This Row],[ProcessSN]],表格2_7[],2,FALSE)</f>
        <v>30-4118-018-5XX</v>
      </c>
      <c r="I7036" t="str">
        <f>VLOOKUP(record[[#This Row],[ProcessSN]],表格2_7[],3,FALSE)</f>
        <v>#07</v>
      </c>
      <c r="J7036" t="s">
        <v>588</v>
      </c>
      <c r="K7036" s="195">
        <v>45957.634571759256</v>
      </c>
      <c r="L7036">
        <v>18</v>
      </c>
      <c r="M7036">
        <v>0</v>
      </c>
      <c r="N7036" s="98" t="str">
        <f>IF(record[[#This Row],[Memo]]="Browser:chrome os:android","平板報工",IF(record[[#This Row],[Memo]]=0,"委外",record[[#This Row],[Memo]]))</f>
        <v>10/27覆回*10pcs</v>
      </c>
      <c r="O7036" t="s">
        <v>1149</v>
      </c>
      <c r="P7036" t="s">
        <v>1075</v>
      </c>
      <c r="Q7036" t="s">
        <v>58</v>
      </c>
      <c r="R7036" t="str">
        <f>IFERROR(VLOOKUP(record[[#This Row],[PCUSTID]],廠商[],2,FALSE),"")</f>
        <v/>
      </c>
      <c r="S7036" t="str">
        <f>VLOOKUP(record[[#This Row],[employeeID]],員工[],2,FALSE)</f>
        <v>吳宥叡</v>
      </c>
    </row>
    <row r="7037" spans="6:19" hidden="1" x14ac:dyDescent="0.25">
      <c r="F7037" t="s">
        <v>778</v>
      </c>
      <c r="G7037" t="s">
        <v>417</v>
      </c>
      <c r="H7037" t="str">
        <f>VLOOKUP(record[[#This Row],[ProcessSN]],表格2_7[],2,FALSE)</f>
        <v>30-4118-018-5XX</v>
      </c>
      <c r="I7037" t="str">
        <f>VLOOKUP(record[[#This Row],[ProcessSN]],表格2_7[],3,FALSE)</f>
        <v>#06</v>
      </c>
      <c r="J7037" t="s">
        <v>593</v>
      </c>
      <c r="K7037" s="195">
        <v>45957.62431712963</v>
      </c>
      <c r="L7037">
        <v>18</v>
      </c>
      <c r="M7037">
        <v>0</v>
      </c>
      <c r="N7037" s="98" t="str">
        <f>IF(record[[#This Row],[Memo]]="Browser:chrome os:android","平板報工",IF(record[[#This Row],[Memo]]=0,"委外",record[[#This Row],[Memo]]))</f>
        <v>10/27覆回*10pcs</v>
      </c>
      <c r="O7037" t="s">
        <v>1149</v>
      </c>
      <c r="P7037" t="s">
        <v>1075</v>
      </c>
      <c r="Q7037" t="s">
        <v>58</v>
      </c>
      <c r="R7037" t="str">
        <f>IFERROR(VLOOKUP(record[[#This Row],[PCUSTID]],廠商[],2,FALSE),"")</f>
        <v/>
      </c>
      <c r="S7037" t="str">
        <f>VLOOKUP(record[[#This Row],[employeeID]],員工[],2,FALSE)</f>
        <v>吳宥叡</v>
      </c>
    </row>
    <row r="7038" spans="6:19" hidden="1" x14ac:dyDescent="0.25">
      <c r="F7038" t="s">
        <v>814</v>
      </c>
      <c r="G7038" t="s">
        <v>416</v>
      </c>
      <c r="H7038" t="str">
        <f>VLOOKUP(record[[#This Row],[ProcessSN]],表格2_7[],2,FALSE)</f>
        <v>30-4118-018-5XX</v>
      </c>
      <c r="I7038" t="str">
        <f>VLOOKUP(record[[#This Row],[ProcessSN]],表格2_7[],3,FALSE)</f>
        <v>#05</v>
      </c>
      <c r="J7038" t="s">
        <v>588</v>
      </c>
      <c r="K7038" s="195">
        <v>45957.624027777776</v>
      </c>
      <c r="L7038">
        <v>18</v>
      </c>
      <c r="M7038">
        <v>0</v>
      </c>
      <c r="N7038" s="98" t="str">
        <f>IF(record[[#This Row],[Memo]]="Browser:chrome os:android","平板報工",IF(record[[#This Row],[Memo]]=0,"委外",record[[#This Row],[Memo]]))</f>
        <v>10/27覆回*10pcs</v>
      </c>
      <c r="O7038" t="s">
        <v>1149</v>
      </c>
      <c r="P7038" t="s">
        <v>1075</v>
      </c>
      <c r="Q7038" t="s">
        <v>58</v>
      </c>
      <c r="R7038" t="str">
        <f>IFERROR(VLOOKUP(record[[#This Row],[PCUSTID]],廠商[],2,FALSE),"")</f>
        <v/>
      </c>
      <c r="S7038" t="str">
        <f>VLOOKUP(record[[#This Row],[employeeID]],員工[],2,FALSE)</f>
        <v>吳宥叡</v>
      </c>
    </row>
    <row r="7039" spans="6:19" hidden="1" x14ac:dyDescent="0.25">
      <c r="F7039" t="s">
        <v>1129</v>
      </c>
      <c r="G7039" t="s">
        <v>362</v>
      </c>
      <c r="H7039" t="str">
        <f>VLOOKUP(record[[#This Row],[ProcessSN]],表格2_7[],2,FALSE)</f>
        <v>30-4118-018-450</v>
      </c>
      <c r="I7039" t="str">
        <f>VLOOKUP(record[[#This Row],[ProcessSN]],表格2_7[],3,FALSE)</f>
        <v>#100SHIP</v>
      </c>
      <c r="J7039" t="s">
        <v>600</v>
      </c>
      <c r="K7039" s="195">
        <v>45957.623773148145</v>
      </c>
      <c r="L7039">
        <v>94</v>
      </c>
      <c r="M7039">
        <v>0</v>
      </c>
      <c r="N7039" s="98" t="str">
        <f>IF(record[[#This Row],[Memo]]="Browser:chrome os:android","平板報工",IF(record[[#This Row],[Memo]]=0,"委外",record[[#This Row],[Memo]]))</f>
        <v/>
      </c>
      <c r="O7039" t="s">
        <v>58</v>
      </c>
      <c r="P7039" t="s">
        <v>886</v>
      </c>
      <c r="Q7039" t="s">
        <v>58</v>
      </c>
      <c r="R7039" t="str">
        <f>IFERROR(VLOOKUP(record[[#This Row],[PCUSTID]],廠商[],2,FALSE),"")</f>
        <v/>
      </c>
      <c r="S7039" t="str">
        <f>VLOOKUP(record[[#This Row],[employeeID]],員工[],2,FALSE)</f>
        <v>謝蓁薰</v>
      </c>
    </row>
    <row r="7040" spans="6:19" hidden="1" x14ac:dyDescent="0.25">
      <c r="F7040" t="s">
        <v>778</v>
      </c>
      <c r="G7040" t="s">
        <v>415</v>
      </c>
      <c r="H7040" t="str">
        <f>VLOOKUP(record[[#This Row],[ProcessSN]],表格2_7[],2,FALSE)</f>
        <v>30-4118-018-5XX</v>
      </c>
      <c r="I7040" t="str">
        <f>VLOOKUP(record[[#This Row],[ProcessSN]],表格2_7[],3,FALSE)</f>
        <v>#04</v>
      </c>
      <c r="J7040" t="s">
        <v>588</v>
      </c>
      <c r="K7040" s="195">
        <v>45957.623738425929</v>
      </c>
      <c r="L7040">
        <v>97</v>
      </c>
      <c r="M7040">
        <v>0</v>
      </c>
      <c r="N7040" s="98" t="str">
        <f>IF(record[[#This Row],[Memo]]="Browser:chrome os:android","平板報工",IF(record[[#This Row],[Memo]]=0,"委外",record[[#This Row],[Memo]]))</f>
        <v>10/27覆回*10pcs</v>
      </c>
      <c r="O7040" t="s">
        <v>1149</v>
      </c>
      <c r="P7040" t="s">
        <v>1075</v>
      </c>
      <c r="Q7040" t="s">
        <v>58</v>
      </c>
      <c r="R7040" t="str">
        <f>IFERROR(VLOOKUP(record[[#This Row],[PCUSTID]],廠商[],2,FALSE),"")</f>
        <v/>
      </c>
      <c r="S7040" t="str">
        <f>VLOOKUP(record[[#This Row],[employeeID]],員工[],2,FALSE)</f>
        <v>吳宥叡</v>
      </c>
    </row>
    <row r="7041" spans="6:19" hidden="1" x14ac:dyDescent="0.25">
      <c r="F7041" t="s">
        <v>1129</v>
      </c>
      <c r="G7041" t="s">
        <v>361</v>
      </c>
      <c r="H7041" t="str">
        <f>VLOOKUP(record[[#This Row],[ProcessSN]],表格2_7[],2,FALSE)</f>
        <v>30-4118-018-450</v>
      </c>
      <c r="I7041" t="str">
        <f>VLOOKUP(record[[#This Row],[ProcessSN]],表格2_7[],3,FALSE)</f>
        <v>#100STOCK</v>
      </c>
      <c r="J7041" t="s">
        <v>592</v>
      </c>
      <c r="K7041" s="195">
        <v>45957.623645833337</v>
      </c>
      <c r="L7041">
        <v>94</v>
      </c>
      <c r="M7041">
        <v>0</v>
      </c>
      <c r="N7041" s="98" t="str">
        <f>IF(record[[#This Row],[Memo]]="Browser:chrome os:android","平板報工",IF(record[[#This Row],[Memo]]=0,"委外",record[[#This Row],[Memo]]))</f>
        <v/>
      </c>
      <c r="O7041" t="s">
        <v>58</v>
      </c>
      <c r="P7041" t="s">
        <v>886</v>
      </c>
      <c r="Q7041" t="s">
        <v>58</v>
      </c>
      <c r="R7041" t="str">
        <f>IFERROR(VLOOKUP(record[[#This Row],[PCUSTID]],廠商[],2,FALSE),"")</f>
        <v/>
      </c>
      <c r="S7041" t="str">
        <f>VLOOKUP(record[[#This Row],[employeeID]],員工[],2,FALSE)</f>
        <v>謝蓁薰</v>
      </c>
    </row>
    <row r="7042" spans="6:19" hidden="1" x14ac:dyDescent="0.25">
      <c r="F7042" t="s">
        <v>1122</v>
      </c>
      <c r="G7042" t="s">
        <v>362</v>
      </c>
      <c r="H7042" t="str">
        <f>VLOOKUP(record[[#This Row],[ProcessSN]],表格2_7[],2,FALSE)</f>
        <v>30-4118-018-450</v>
      </c>
      <c r="I7042" t="str">
        <f>VLOOKUP(record[[#This Row],[ProcessSN]],表格2_7[],3,FALSE)</f>
        <v>#100SHIP</v>
      </c>
      <c r="J7042" t="s">
        <v>600</v>
      </c>
      <c r="K7042" s="195">
        <v>45957.623506944445</v>
      </c>
      <c r="L7042">
        <v>6</v>
      </c>
      <c r="M7042">
        <v>0</v>
      </c>
      <c r="N7042" s="98" t="str">
        <f>IF(record[[#This Row],[Memo]]="Browser:chrome os:android","平板報工",IF(record[[#This Row],[Memo]]=0,"委外",record[[#This Row],[Memo]]))</f>
        <v/>
      </c>
      <c r="O7042" t="s">
        <v>58</v>
      </c>
      <c r="P7042" t="s">
        <v>886</v>
      </c>
      <c r="Q7042" t="s">
        <v>58</v>
      </c>
      <c r="R7042" t="str">
        <f>IFERROR(VLOOKUP(record[[#This Row],[PCUSTID]],廠商[],2,FALSE),"")</f>
        <v/>
      </c>
      <c r="S7042" t="str">
        <f>VLOOKUP(record[[#This Row],[employeeID]],員工[],2,FALSE)</f>
        <v>謝蓁薰</v>
      </c>
    </row>
    <row r="7043" spans="6:19" hidden="1" x14ac:dyDescent="0.25">
      <c r="F7043" t="s">
        <v>1129</v>
      </c>
      <c r="G7043" t="s">
        <v>360</v>
      </c>
      <c r="H7043" t="str">
        <f>VLOOKUP(record[[#This Row],[ProcessSN]],表格2_7[],2,FALSE)</f>
        <v>30-4118-018-450</v>
      </c>
      <c r="I7043" t="str">
        <f>VLOOKUP(record[[#This Row],[ProcessSN]],表格2_7[],3,FALSE)</f>
        <v>#100OQC</v>
      </c>
      <c r="J7043" t="s">
        <v>599</v>
      </c>
      <c r="K7043" s="195">
        <v>45957.621157407404</v>
      </c>
      <c r="L7043">
        <v>192</v>
      </c>
      <c r="M7043">
        <v>0</v>
      </c>
      <c r="N7043" s="98" t="str">
        <f>IF(record[[#This Row],[Memo]]="Browser:chrome os:android","平板報工",IF(record[[#This Row],[Memo]]=0,"委外",record[[#This Row],[Memo]]))</f>
        <v/>
      </c>
      <c r="O7043" t="s">
        <v>58</v>
      </c>
      <c r="P7043" t="s">
        <v>121</v>
      </c>
      <c r="Q7043" t="s">
        <v>58</v>
      </c>
      <c r="R7043" t="str">
        <f>IFERROR(VLOOKUP(record[[#This Row],[PCUSTID]],廠商[],2,FALSE),"")</f>
        <v/>
      </c>
      <c r="S7043" t="str">
        <f>VLOOKUP(record[[#This Row],[employeeID]],員工[],2,FALSE)</f>
        <v>謝素卿</v>
      </c>
    </row>
    <row r="7044" spans="6:19" hidden="1" x14ac:dyDescent="0.25">
      <c r="F7044" t="s">
        <v>1148</v>
      </c>
      <c r="G7044" t="s">
        <v>462</v>
      </c>
      <c r="H7044" t="str">
        <f>VLOOKUP(record[[#This Row],[ProcessSN]],表格2_7[],2,FALSE)</f>
        <v>30-4118-018-XXX</v>
      </c>
      <c r="I7044" t="str">
        <f>VLOOKUP(record[[#This Row],[ProcessSN]],表格2_7[],3,FALSE)</f>
        <v>#00PICK</v>
      </c>
      <c r="J7044" t="s">
        <v>582</v>
      </c>
      <c r="K7044" s="195">
        <v>45957.590682870374</v>
      </c>
      <c r="L7044">
        <v>1200</v>
      </c>
      <c r="M7044">
        <v>0</v>
      </c>
      <c r="N7044" s="98" t="str">
        <f>IF(record[[#This Row],[Memo]]="Browser:chrome os:android","平板報工",IF(record[[#This Row],[Memo]]=0,"委外",record[[#This Row],[Memo]]))</f>
        <v/>
      </c>
      <c r="O7044" t="s">
        <v>58</v>
      </c>
      <c r="P7044" t="s">
        <v>196</v>
      </c>
      <c r="Q7044" t="s">
        <v>58</v>
      </c>
      <c r="R7044" t="str">
        <f>IFERROR(VLOOKUP(record[[#This Row],[PCUSTID]],廠商[],2,FALSE),"")</f>
        <v/>
      </c>
      <c r="S7044" t="str">
        <f>VLOOKUP(record[[#This Row],[employeeID]],員工[],2,FALSE)</f>
        <v>張淑惠</v>
      </c>
    </row>
    <row r="7045" spans="6:19" hidden="1" x14ac:dyDescent="0.25">
      <c r="F7045" t="s">
        <v>854</v>
      </c>
      <c r="G7045" t="s">
        <v>418</v>
      </c>
      <c r="H7045" t="str">
        <f>VLOOKUP(record[[#This Row],[ProcessSN]],表格2_7[],2,FALSE)</f>
        <v>30-4118-018-5XX</v>
      </c>
      <c r="I7045" t="str">
        <f>VLOOKUP(record[[#This Row],[ProcessSN]],表格2_7[],3,FALSE)</f>
        <v>#07</v>
      </c>
      <c r="J7045" t="s">
        <v>588</v>
      </c>
      <c r="K7045" s="195">
        <v>45957.549745370372</v>
      </c>
      <c r="L7045">
        <v>59</v>
      </c>
      <c r="M7045">
        <v>0</v>
      </c>
      <c r="N7045" s="98" t="str">
        <f>IF(record[[#This Row],[Memo]]="Browser:chrome os:android","平板報工",IF(record[[#This Row],[Memo]]=0,"委外",record[[#This Row],[Memo]]))</f>
        <v>10/27覆回*4PCS</v>
      </c>
      <c r="O7045" t="s">
        <v>1147</v>
      </c>
      <c r="P7045" t="s">
        <v>1075</v>
      </c>
      <c r="Q7045" t="s">
        <v>58</v>
      </c>
      <c r="R7045" t="str">
        <f>IFERROR(VLOOKUP(record[[#This Row],[PCUSTID]],廠商[],2,FALSE),"")</f>
        <v/>
      </c>
      <c r="S7045" t="str">
        <f>VLOOKUP(record[[#This Row],[employeeID]],員工[],2,FALSE)</f>
        <v>吳宥叡</v>
      </c>
    </row>
    <row r="7046" spans="6:19" hidden="1" x14ac:dyDescent="0.25">
      <c r="F7046" t="s">
        <v>854</v>
      </c>
      <c r="G7046" t="s">
        <v>417</v>
      </c>
      <c r="H7046" t="str">
        <f>VLOOKUP(record[[#This Row],[ProcessSN]],表格2_7[],2,FALSE)</f>
        <v>30-4118-018-5XX</v>
      </c>
      <c r="I7046" t="str">
        <f>VLOOKUP(record[[#This Row],[ProcessSN]],表格2_7[],3,FALSE)</f>
        <v>#06</v>
      </c>
      <c r="J7046" t="s">
        <v>593</v>
      </c>
      <c r="K7046" s="195">
        <v>45957.549583333333</v>
      </c>
      <c r="L7046">
        <v>59</v>
      </c>
      <c r="M7046">
        <v>0</v>
      </c>
      <c r="N7046" s="98" t="str">
        <f>IF(record[[#This Row],[Memo]]="Browser:chrome os:android","平板報工",IF(record[[#This Row],[Memo]]=0,"委外",record[[#This Row],[Memo]]))</f>
        <v>10/27覆回*4PCS</v>
      </c>
      <c r="O7046" t="s">
        <v>1147</v>
      </c>
      <c r="P7046" t="s">
        <v>1075</v>
      </c>
      <c r="Q7046" t="s">
        <v>58</v>
      </c>
      <c r="R7046" t="str">
        <f>IFERROR(VLOOKUP(record[[#This Row],[PCUSTID]],廠商[],2,FALSE),"")</f>
        <v/>
      </c>
      <c r="S7046" t="str">
        <f>VLOOKUP(record[[#This Row],[employeeID]],員工[],2,FALSE)</f>
        <v>吳宥叡</v>
      </c>
    </row>
    <row r="7047" spans="6:19" hidden="1" x14ac:dyDescent="0.25">
      <c r="F7047" t="s">
        <v>854</v>
      </c>
      <c r="G7047" t="s">
        <v>416</v>
      </c>
      <c r="H7047" t="str">
        <f>VLOOKUP(record[[#This Row],[ProcessSN]],表格2_7[],2,FALSE)</f>
        <v>30-4118-018-5XX</v>
      </c>
      <c r="I7047" t="str">
        <f>VLOOKUP(record[[#This Row],[ProcessSN]],表格2_7[],3,FALSE)</f>
        <v>#05</v>
      </c>
      <c r="J7047" t="s">
        <v>588</v>
      </c>
      <c r="K7047" s="195">
        <v>45957.549444444441</v>
      </c>
      <c r="L7047">
        <v>59</v>
      </c>
      <c r="M7047">
        <v>0</v>
      </c>
      <c r="N7047" s="98" t="str">
        <f>IF(record[[#This Row],[Memo]]="Browser:chrome os:android","平板報工",IF(record[[#This Row],[Memo]]=0,"委外",record[[#This Row],[Memo]]))</f>
        <v>10/27覆回*4PCS</v>
      </c>
      <c r="O7047" t="s">
        <v>1147</v>
      </c>
      <c r="P7047" t="s">
        <v>1075</v>
      </c>
      <c r="Q7047" t="s">
        <v>58</v>
      </c>
      <c r="R7047" t="str">
        <f>IFERROR(VLOOKUP(record[[#This Row],[PCUSTID]],廠商[],2,FALSE),"")</f>
        <v/>
      </c>
      <c r="S7047" t="str">
        <f>VLOOKUP(record[[#This Row],[employeeID]],員工[],2,FALSE)</f>
        <v>吳宥叡</v>
      </c>
    </row>
    <row r="7048" spans="6:19" hidden="1" x14ac:dyDescent="0.25">
      <c r="F7048" t="s">
        <v>854</v>
      </c>
      <c r="G7048" t="s">
        <v>415</v>
      </c>
      <c r="H7048" t="str">
        <f>VLOOKUP(record[[#This Row],[ProcessSN]],表格2_7[],2,FALSE)</f>
        <v>30-4118-018-5XX</v>
      </c>
      <c r="I7048" t="str">
        <f>VLOOKUP(record[[#This Row],[ProcessSN]],表格2_7[],3,FALSE)</f>
        <v>#04</v>
      </c>
      <c r="J7048" t="s">
        <v>588</v>
      </c>
      <c r="K7048" s="195">
        <v>45957.54928240741</v>
      </c>
      <c r="L7048">
        <v>104</v>
      </c>
      <c r="M7048">
        <v>0</v>
      </c>
      <c r="N7048" s="98" t="str">
        <f>IF(record[[#This Row],[Memo]]="Browser:chrome os:android","平板報工",IF(record[[#This Row],[Memo]]=0,"委外",record[[#This Row],[Memo]]))</f>
        <v>10/27覆回*4PCS</v>
      </c>
      <c r="O7048" t="s">
        <v>1147</v>
      </c>
      <c r="P7048" t="s">
        <v>1075</v>
      </c>
      <c r="Q7048" t="s">
        <v>58</v>
      </c>
      <c r="R7048" t="str">
        <f>IFERROR(VLOOKUP(record[[#This Row],[PCUSTID]],廠商[],2,FALSE),"")</f>
        <v/>
      </c>
      <c r="S7048" t="str">
        <f>VLOOKUP(record[[#This Row],[employeeID]],員工[],2,FALSE)</f>
        <v>吳宥叡</v>
      </c>
    </row>
    <row r="7049" spans="6:19" hidden="1" x14ac:dyDescent="0.25">
      <c r="F7049" t="s">
        <v>1143</v>
      </c>
      <c r="G7049" t="s">
        <v>423</v>
      </c>
      <c r="H7049" t="str">
        <f>VLOOKUP(record[[#This Row],[ProcessSN]],表格2_7[],2,FALSE)</f>
        <v>30-4118-018-600</v>
      </c>
      <c r="I7049" t="str">
        <f>VLOOKUP(record[[#This Row],[ProcessSN]],表格2_7[],3,FALSE)</f>
        <v>#08RCV</v>
      </c>
      <c r="J7049" t="s">
        <v>591</v>
      </c>
      <c r="K7049" s="195">
        <v>45957.49931712963</v>
      </c>
      <c r="L7049">
        <v>570</v>
      </c>
      <c r="M7049">
        <v>0</v>
      </c>
      <c r="N7049" s="98" t="str">
        <f>IF(record[[#This Row],[Memo]]="Browser:chrome os:android","平板報工",IF(record[[#This Row],[Memo]]=0,"委外",record[[#This Row],[Memo]]))</f>
        <v/>
      </c>
      <c r="O7049" t="s">
        <v>58</v>
      </c>
      <c r="P7049" t="s">
        <v>186</v>
      </c>
      <c r="Q7049" t="s">
        <v>58</v>
      </c>
      <c r="R7049" t="str">
        <f>IFERROR(VLOOKUP(record[[#This Row],[PCUSTID]],廠商[],2,FALSE),"")</f>
        <v/>
      </c>
      <c r="S7049" t="str">
        <f>VLOOKUP(record[[#This Row],[employeeID]],員工[],2,FALSE)</f>
        <v>許文姍</v>
      </c>
    </row>
    <row r="7050" spans="6:19" hidden="1" x14ac:dyDescent="0.25">
      <c r="F7050" t="s">
        <v>1129</v>
      </c>
      <c r="G7050" t="s">
        <v>359</v>
      </c>
      <c r="H7050" t="str">
        <f>VLOOKUP(record[[#This Row],[ProcessSN]],表格2_7[],2,FALSE)</f>
        <v>30-4118-018-450</v>
      </c>
      <c r="I7050" t="str">
        <f>VLOOKUP(record[[#This Row],[ProcessSN]],表格2_7[],3,FALSE)</f>
        <v>#100</v>
      </c>
      <c r="J7050" t="s">
        <v>598</v>
      </c>
      <c r="K7050" s="195">
        <v>45957.47111111111</v>
      </c>
      <c r="L7050">
        <v>192</v>
      </c>
      <c r="M7050">
        <v>0</v>
      </c>
      <c r="N7050" s="98" t="str">
        <f>IF(record[[#This Row],[Memo]]="Browser:chrome os:android","平板報工",IF(record[[#This Row],[Memo]]=0,"委外",record[[#This Row],[Memo]]))</f>
        <v>平板報工</v>
      </c>
      <c r="O7050" t="s">
        <v>643</v>
      </c>
      <c r="P7050" t="s">
        <v>99</v>
      </c>
      <c r="Q7050" t="s">
        <v>644</v>
      </c>
      <c r="R7050" t="str">
        <f>IFERROR(VLOOKUP(record[[#This Row],[PCUSTID]],廠商[],2,FALSE),"")</f>
        <v/>
      </c>
      <c r="S7050" t="str">
        <f>VLOOKUP(record[[#This Row],[employeeID]],員工[],2,FALSE)</f>
        <v>阮氏河</v>
      </c>
    </row>
    <row r="7051" spans="6:19" hidden="1" x14ac:dyDescent="0.25">
      <c r="F7051" t="s">
        <v>1043</v>
      </c>
      <c r="G7051" t="s">
        <v>468</v>
      </c>
      <c r="H7051" t="str">
        <f>VLOOKUP(record[[#This Row],[ProcessSN]],表格2_7[],2,FALSE)</f>
        <v>30-4118-018-XXX</v>
      </c>
      <c r="I7051" t="str">
        <f>VLOOKUP(record[[#This Row],[ProcessSN]],表格2_7[],3,FALSE)</f>
        <v>#02</v>
      </c>
      <c r="J7051" t="s">
        <v>590</v>
      </c>
      <c r="K7051" s="195">
        <v>45957.374282407407</v>
      </c>
      <c r="L7051">
        <v>1676</v>
      </c>
      <c r="M7051">
        <v>0</v>
      </c>
      <c r="N7051" s="98" t="str">
        <f>IF(record[[#This Row],[Memo]]="Browser:chrome os:android","平板報工",IF(record[[#This Row],[Memo]]=0,"委外",record[[#This Row],[Memo]]))</f>
        <v>委外</v>
      </c>
      <c r="P7051" t="s">
        <v>186</v>
      </c>
      <c r="Q7051" t="s">
        <v>216</v>
      </c>
      <c r="R7051" t="str">
        <f>IFERROR(VLOOKUP(record[[#This Row],[PCUSTID]],廠商[],2,FALSE),"")</f>
        <v>俊杰</v>
      </c>
      <c r="S7051" t="str">
        <f>VLOOKUP(record[[#This Row],[employeeID]],員工[],2,FALSE)</f>
        <v>許文姍</v>
      </c>
    </row>
    <row r="7052" spans="6:19" hidden="1" x14ac:dyDescent="0.25">
      <c r="F7052" t="s">
        <v>1043</v>
      </c>
      <c r="G7052" t="s">
        <v>467</v>
      </c>
      <c r="H7052" t="str">
        <f>VLOOKUP(record[[#This Row],[ProcessSN]],表格2_7[],2,FALSE)</f>
        <v>30-4118-018-XXX</v>
      </c>
      <c r="I7052" t="str">
        <f>VLOOKUP(record[[#This Row],[ProcessSN]],表格2_7[],3,FALSE)</f>
        <v>#01QC</v>
      </c>
      <c r="J7052" t="s">
        <v>589</v>
      </c>
      <c r="K7052" s="195">
        <v>45957.364942129629</v>
      </c>
      <c r="L7052">
        <v>838</v>
      </c>
      <c r="M7052">
        <v>0</v>
      </c>
      <c r="N7052" s="98" t="str">
        <f>IF(record[[#This Row],[Memo]]="Browser:chrome os:android","平板報工",IF(record[[#This Row],[Memo]]=0,"委外",record[[#This Row],[Memo]]))</f>
        <v>平板報工</v>
      </c>
      <c r="O7052" t="s">
        <v>643</v>
      </c>
      <c r="P7052" t="s">
        <v>182</v>
      </c>
      <c r="Q7052" t="s">
        <v>644</v>
      </c>
      <c r="R7052" t="str">
        <f>IFERROR(VLOOKUP(record[[#This Row],[PCUSTID]],廠商[],2,FALSE),"")</f>
        <v/>
      </c>
      <c r="S7052" t="str">
        <f>VLOOKUP(record[[#This Row],[employeeID]],員工[],2,FALSE)</f>
        <v>梅氏和</v>
      </c>
    </row>
    <row r="7053" spans="6:19" hidden="1" x14ac:dyDescent="0.25">
      <c r="F7053" t="s">
        <v>1043</v>
      </c>
      <c r="G7053" t="s">
        <v>466</v>
      </c>
      <c r="H7053" t="str">
        <f>VLOOKUP(record[[#This Row],[ProcessSN]],表格2_7[],2,FALSE)</f>
        <v>30-4118-018-XXX</v>
      </c>
      <c r="I7053" t="str">
        <f>VLOOKUP(record[[#This Row],[ProcessSN]],表格2_7[],3,FALSE)</f>
        <v>#01-2</v>
      </c>
      <c r="J7053" t="s">
        <v>588</v>
      </c>
      <c r="K7053" s="195">
        <v>45954.30064814815</v>
      </c>
      <c r="L7053">
        <v>564</v>
      </c>
      <c r="M7053">
        <v>0</v>
      </c>
      <c r="N7053" s="98" t="str">
        <f>IF(record[[#This Row],[Memo]]="Browser:chrome os:android","平板報工",IF(record[[#This Row],[Memo]]=0,"委外",record[[#This Row],[Memo]]))</f>
        <v/>
      </c>
      <c r="O7053" t="s">
        <v>58</v>
      </c>
      <c r="P7053" t="s">
        <v>135</v>
      </c>
      <c r="Q7053" t="s">
        <v>58</v>
      </c>
      <c r="R7053" t="str">
        <f>IFERROR(VLOOKUP(record[[#This Row],[PCUSTID]],廠商[],2,FALSE),"")</f>
        <v/>
      </c>
      <c r="S7053" t="str">
        <f>VLOOKUP(record[[#This Row],[employeeID]],員工[],2,FALSE)</f>
        <v>阮士文</v>
      </c>
    </row>
    <row r="7054" spans="6:19" hidden="1" x14ac:dyDescent="0.25">
      <c r="F7054" t="s">
        <v>1101</v>
      </c>
      <c r="G7054" t="s">
        <v>375</v>
      </c>
      <c r="H7054" t="str">
        <f>VLOOKUP(record[[#This Row],[ProcessSN]],表格2_7[],2,FALSE)</f>
        <v>30-4118-018-4XX</v>
      </c>
      <c r="I7054" t="str">
        <f>VLOOKUP(record[[#This Row],[ProcessSN]],表格2_7[],3,FALSE)</f>
        <v>#05</v>
      </c>
      <c r="J7054" t="s">
        <v>588</v>
      </c>
      <c r="K7054" s="195">
        <v>45954.288391203707</v>
      </c>
      <c r="L7054">
        <v>192</v>
      </c>
      <c r="M7054">
        <v>0</v>
      </c>
      <c r="N7054" s="98" t="str">
        <f>IF(record[[#This Row],[Memo]]="Browser:chrome os:android","平板報工",IF(record[[#This Row],[Memo]]=0,"委外",record[[#This Row],[Memo]]))</f>
        <v/>
      </c>
      <c r="O7054" t="s">
        <v>58</v>
      </c>
      <c r="P7054" t="s">
        <v>135</v>
      </c>
      <c r="Q7054" t="s">
        <v>58</v>
      </c>
      <c r="R7054" t="str">
        <f>IFERROR(VLOOKUP(record[[#This Row],[PCUSTID]],廠商[],2,FALSE),"")</f>
        <v/>
      </c>
      <c r="S7054" t="str">
        <f>VLOOKUP(record[[#This Row],[employeeID]],員工[],2,FALSE)</f>
        <v>阮士文</v>
      </c>
    </row>
    <row r="7055" spans="6:19" hidden="1" x14ac:dyDescent="0.25">
      <c r="F7055" t="s">
        <v>1101</v>
      </c>
      <c r="G7055" t="s">
        <v>374</v>
      </c>
      <c r="H7055" t="str">
        <f>VLOOKUP(record[[#This Row],[ProcessSN]],表格2_7[],2,FALSE)</f>
        <v>30-4118-018-4XX</v>
      </c>
      <c r="I7055" t="str">
        <f>VLOOKUP(record[[#This Row],[ProcessSN]],表格2_7[],3,FALSE)</f>
        <v>#04</v>
      </c>
      <c r="J7055" t="s">
        <v>588</v>
      </c>
      <c r="K7055" s="195">
        <v>45954.288055555553</v>
      </c>
      <c r="L7055">
        <v>54</v>
      </c>
      <c r="M7055">
        <v>7</v>
      </c>
      <c r="N7055" s="98" t="str">
        <f>IF(record[[#This Row],[Memo]]="Browser:chrome os:android","平板報工",IF(record[[#This Row],[Memo]]=0,"委外",record[[#This Row],[Memo]]))</f>
        <v/>
      </c>
      <c r="O7055" t="s">
        <v>58</v>
      </c>
      <c r="P7055" t="s">
        <v>135</v>
      </c>
      <c r="Q7055" t="s">
        <v>58</v>
      </c>
      <c r="R7055" t="str">
        <f>IFERROR(VLOOKUP(record[[#This Row],[PCUSTID]],廠商[],2,FALSE),"")</f>
        <v/>
      </c>
      <c r="S7055" t="str">
        <f>VLOOKUP(record[[#This Row],[employeeID]],員工[],2,FALSE)</f>
        <v>阮士文</v>
      </c>
    </row>
    <row r="7056" spans="6:19" hidden="1" x14ac:dyDescent="0.25">
      <c r="F7056" t="s">
        <v>1101</v>
      </c>
      <c r="G7056" t="s">
        <v>373</v>
      </c>
      <c r="H7056" t="str">
        <f>VLOOKUP(record[[#This Row],[ProcessSN]],表格2_7[],2,FALSE)</f>
        <v>30-4118-018-4XX</v>
      </c>
      <c r="I7056" t="str">
        <f>VLOOKUP(record[[#This Row],[ProcessSN]],表格2_7[],3,FALSE)</f>
        <v>#03</v>
      </c>
      <c r="J7056" t="s">
        <v>588</v>
      </c>
      <c r="K7056" s="195">
        <v>45954.287743055553</v>
      </c>
      <c r="L7056">
        <v>35</v>
      </c>
      <c r="M7056">
        <v>0</v>
      </c>
      <c r="N7056" s="98" t="str">
        <f>IF(record[[#This Row],[Memo]]="Browser:chrome os:android","平板報工",IF(record[[#This Row],[Memo]]=0,"委外",record[[#This Row],[Memo]]))</f>
        <v/>
      </c>
      <c r="O7056" t="s">
        <v>58</v>
      </c>
      <c r="P7056" t="s">
        <v>135</v>
      </c>
      <c r="Q7056" t="s">
        <v>58</v>
      </c>
      <c r="R7056" t="str">
        <f>IFERROR(VLOOKUP(record[[#This Row],[PCUSTID]],廠商[],2,FALSE),"")</f>
        <v/>
      </c>
      <c r="S7056" t="str">
        <f>VLOOKUP(record[[#This Row],[employeeID]],員工[],2,FALSE)</f>
        <v>阮士文</v>
      </c>
    </row>
    <row r="7057" spans="6:19" hidden="1" x14ac:dyDescent="0.25">
      <c r="F7057" t="s">
        <v>1101</v>
      </c>
      <c r="G7057" t="s">
        <v>374</v>
      </c>
      <c r="H7057" t="str">
        <f>VLOOKUP(record[[#This Row],[ProcessSN]],表格2_7[],2,FALSE)</f>
        <v>30-4118-018-4XX</v>
      </c>
      <c r="I7057" t="str">
        <f>VLOOKUP(record[[#This Row],[ProcessSN]],表格2_7[],3,FALSE)</f>
        <v>#04</v>
      </c>
      <c r="J7057" t="s">
        <v>588</v>
      </c>
      <c r="K7057" s="195">
        <v>45953.943136574075</v>
      </c>
      <c r="L7057">
        <v>138</v>
      </c>
      <c r="M7057">
        <v>1</v>
      </c>
      <c r="N7057" s="98" t="str">
        <f>IF(record[[#This Row],[Memo]]="Browser:chrome os:android","平板報工",IF(record[[#This Row],[Memo]]=0,"委外",record[[#This Row],[Memo]]))</f>
        <v/>
      </c>
      <c r="O7057" t="s">
        <v>58</v>
      </c>
      <c r="P7057" t="s">
        <v>89</v>
      </c>
      <c r="Q7057" t="s">
        <v>58</v>
      </c>
      <c r="R7057" t="str">
        <f>IFERROR(VLOOKUP(record[[#This Row],[PCUSTID]],廠商[],2,FALSE),"")</f>
        <v/>
      </c>
      <c r="S7057" t="str">
        <f>VLOOKUP(record[[#This Row],[employeeID]],員工[],2,FALSE)</f>
        <v>李美蓮</v>
      </c>
    </row>
    <row r="7058" spans="6:19" hidden="1" x14ac:dyDescent="0.25">
      <c r="F7058" t="s">
        <v>1101</v>
      </c>
      <c r="G7058" t="s">
        <v>374</v>
      </c>
      <c r="H7058" t="str">
        <f>VLOOKUP(record[[#This Row],[ProcessSN]],表格2_7[],2,FALSE)</f>
        <v>30-4118-018-4XX</v>
      </c>
      <c r="I7058" t="str">
        <f>VLOOKUP(record[[#This Row],[ProcessSN]],表格2_7[],3,FALSE)</f>
        <v>#04</v>
      </c>
      <c r="J7058" t="s">
        <v>588</v>
      </c>
      <c r="K7058" s="195">
        <v>45953.763252314813</v>
      </c>
      <c r="L7058">
        <v>120</v>
      </c>
      <c r="M7058">
        <v>0</v>
      </c>
      <c r="N7058" s="98" t="str">
        <f>IF(record[[#This Row],[Memo]]="Browser:chrome os:android","平板報工",IF(record[[#This Row],[Memo]]=0,"委外",record[[#This Row],[Memo]]))</f>
        <v>10/23刪改幫丫光報工</v>
      </c>
      <c r="O7058" t="s">
        <v>1146</v>
      </c>
      <c r="P7058" t="s">
        <v>1075</v>
      </c>
      <c r="Q7058" t="s">
        <v>58</v>
      </c>
      <c r="R7058" t="str">
        <f>IFERROR(VLOOKUP(record[[#This Row],[PCUSTID]],廠商[],2,FALSE),"")</f>
        <v/>
      </c>
      <c r="S7058" t="str">
        <f>VLOOKUP(record[[#This Row],[employeeID]],員工[],2,FALSE)</f>
        <v>吳宥叡</v>
      </c>
    </row>
    <row r="7059" spans="6:19" hidden="1" x14ac:dyDescent="0.25">
      <c r="F7059" t="s">
        <v>1101</v>
      </c>
      <c r="G7059" t="s">
        <v>375</v>
      </c>
      <c r="H7059" t="str">
        <f>VLOOKUP(record[[#This Row],[ProcessSN]],表格2_7[],2,FALSE)</f>
        <v>30-4118-018-4XX</v>
      </c>
      <c r="I7059" t="str">
        <f>VLOOKUP(record[[#This Row],[ProcessSN]],表格2_7[],3,FALSE)</f>
        <v>#05</v>
      </c>
      <c r="J7059" t="s">
        <v>588</v>
      </c>
      <c r="K7059" s="195">
        <v>45953.704872685186</v>
      </c>
      <c r="L7059">
        <v>22</v>
      </c>
      <c r="M7059">
        <v>0</v>
      </c>
      <c r="N7059" s="98" t="str">
        <f>IF(record[[#This Row],[Memo]]="Browser:chrome os:android","平板報工",IF(record[[#This Row],[Memo]]=0,"委外",record[[#This Row],[Memo]]))</f>
        <v/>
      </c>
      <c r="O7059" t="s">
        <v>58</v>
      </c>
      <c r="P7059" t="s">
        <v>101</v>
      </c>
      <c r="Q7059" t="s">
        <v>58</v>
      </c>
      <c r="R7059" t="str">
        <f>IFERROR(VLOOKUP(record[[#This Row],[PCUSTID]],廠商[],2,FALSE),"")</f>
        <v/>
      </c>
      <c r="S7059" t="str">
        <f>VLOOKUP(record[[#This Row],[employeeID]],員工[],2,FALSE)</f>
        <v>陳氏絨</v>
      </c>
    </row>
    <row r="7060" spans="6:19" hidden="1" x14ac:dyDescent="0.25">
      <c r="F7060" t="s">
        <v>1101</v>
      </c>
      <c r="G7060" t="s">
        <v>374</v>
      </c>
      <c r="H7060" t="str">
        <f>VLOOKUP(record[[#This Row],[ProcessSN]],表格2_7[],2,FALSE)</f>
        <v>30-4118-018-4XX</v>
      </c>
      <c r="I7060" t="str">
        <f>VLOOKUP(record[[#This Row],[ProcessSN]],表格2_7[],3,FALSE)</f>
        <v>#04</v>
      </c>
      <c r="J7060" t="s">
        <v>588</v>
      </c>
      <c r="K7060" s="195">
        <v>45953.704606481479</v>
      </c>
      <c r="L7060">
        <v>22</v>
      </c>
      <c r="M7060">
        <v>0</v>
      </c>
      <c r="N7060" s="98" t="str">
        <f>IF(record[[#This Row],[Memo]]="Browser:chrome os:android","平板報工",IF(record[[#This Row],[Memo]]=0,"委外",record[[#This Row],[Memo]]))</f>
        <v>補報早班</v>
      </c>
      <c r="O7060" t="s">
        <v>1145</v>
      </c>
      <c r="P7060" t="s">
        <v>101</v>
      </c>
      <c r="Q7060" t="s">
        <v>58</v>
      </c>
      <c r="R7060" t="str">
        <f>IFERROR(VLOOKUP(record[[#This Row],[PCUSTID]],廠商[],2,FALSE),"")</f>
        <v/>
      </c>
      <c r="S7060" t="str">
        <f>VLOOKUP(record[[#This Row],[employeeID]],員工[],2,FALSE)</f>
        <v>陳氏絨</v>
      </c>
    </row>
    <row r="7061" spans="6:19" hidden="1" x14ac:dyDescent="0.25">
      <c r="F7061" t="s">
        <v>1136</v>
      </c>
      <c r="G7061" t="s">
        <v>358</v>
      </c>
      <c r="H7061" t="str">
        <f>VLOOKUP(record[[#This Row],[ProcessSN]],表格2_7[],2,FALSE)</f>
        <v>30-4118-018-450</v>
      </c>
      <c r="I7061" t="str">
        <f>VLOOKUP(record[[#This Row],[ProcessSN]],表格2_7[],3,FALSE)</f>
        <v>#08IQC</v>
      </c>
      <c r="J7061" t="s">
        <v>583</v>
      </c>
      <c r="K7061" s="195">
        <v>45953.701828703706</v>
      </c>
      <c r="L7061">
        <v>469</v>
      </c>
      <c r="M7061">
        <v>0</v>
      </c>
      <c r="N7061" s="98" t="str">
        <f>IF(record[[#This Row],[Memo]]="Browser:chrome os:android","平板報工",IF(record[[#This Row],[Memo]]=0,"委外",record[[#This Row],[Memo]]))</f>
        <v/>
      </c>
      <c r="O7061" t="s">
        <v>58</v>
      </c>
      <c r="P7061" t="s">
        <v>109</v>
      </c>
      <c r="Q7061" t="s">
        <v>58</v>
      </c>
      <c r="R7061" t="str">
        <f>IFERROR(VLOOKUP(record[[#This Row],[PCUSTID]],廠商[],2,FALSE),"")</f>
        <v/>
      </c>
      <c r="S7061" t="str">
        <f>VLOOKUP(record[[#This Row],[employeeID]],員工[],2,FALSE)</f>
        <v>裴氏璧鳳</v>
      </c>
    </row>
    <row r="7062" spans="6:19" hidden="1" x14ac:dyDescent="0.25">
      <c r="F7062" t="s">
        <v>1129</v>
      </c>
      <c r="G7062" t="s">
        <v>358</v>
      </c>
      <c r="H7062" t="str">
        <f>VLOOKUP(record[[#This Row],[ProcessSN]],表格2_7[],2,FALSE)</f>
        <v>30-4118-018-450</v>
      </c>
      <c r="I7062" t="str">
        <f>VLOOKUP(record[[#This Row],[ProcessSN]],表格2_7[],3,FALSE)</f>
        <v>#08IQC</v>
      </c>
      <c r="J7062" t="s">
        <v>583</v>
      </c>
      <c r="K7062" s="195">
        <v>45953.70171296296</v>
      </c>
      <c r="L7062">
        <v>312</v>
      </c>
      <c r="M7062">
        <v>0</v>
      </c>
      <c r="N7062" s="98" t="str">
        <f>IF(record[[#This Row],[Memo]]="Browser:chrome os:android","平板報工",IF(record[[#This Row],[Memo]]=0,"委外",record[[#This Row],[Memo]]))</f>
        <v/>
      </c>
      <c r="O7062" t="s">
        <v>58</v>
      </c>
      <c r="P7062" t="s">
        <v>109</v>
      </c>
      <c r="Q7062" t="s">
        <v>58</v>
      </c>
      <c r="R7062" t="str">
        <f>IFERROR(VLOOKUP(record[[#This Row],[PCUSTID]],廠商[],2,FALSE),"")</f>
        <v/>
      </c>
      <c r="S7062" t="str">
        <f>VLOOKUP(record[[#This Row],[employeeID]],員工[],2,FALSE)</f>
        <v>裴氏璧鳳</v>
      </c>
    </row>
    <row r="7063" spans="6:19" hidden="1" x14ac:dyDescent="0.25">
      <c r="F7063" t="s">
        <v>1130</v>
      </c>
      <c r="G7063" t="s">
        <v>424</v>
      </c>
      <c r="H7063" t="str">
        <f>VLOOKUP(record[[#This Row],[ProcessSN]],表格2_7[],2,FALSE)</f>
        <v>30-4118-018-600</v>
      </c>
      <c r="I7063" t="str">
        <f>VLOOKUP(record[[#This Row],[ProcessSN]],表格2_7[],3,FALSE)</f>
        <v>#08IQC</v>
      </c>
      <c r="J7063" t="s">
        <v>583</v>
      </c>
      <c r="K7063" s="195">
        <v>45953.701574074075</v>
      </c>
      <c r="L7063">
        <v>35</v>
      </c>
      <c r="M7063">
        <v>0</v>
      </c>
      <c r="N7063" s="98" t="str">
        <f>IF(record[[#This Row],[Memo]]="Browser:chrome os:android","平板報工",IF(record[[#This Row],[Memo]]=0,"委外",record[[#This Row],[Memo]]))</f>
        <v/>
      </c>
      <c r="O7063" t="s">
        <v>58</v>
      </c>
      <c r="P7063" t="s">
        <v>109</v>
      </c>
      <c r="Q7063" t="s">
        <v>58</v>
      </c>
      <c r="R7063" t="str">
        <f>IFERROR(VLOOKUP(record[[#This Row],[PCUSTID]],廠商[],2,FALSE),"")</f>
        <v/>
      </c>
      <c r="S7063" t="str">
        <f>VLOOKUP(record[[#This Row],[employeeID]],員工[],2,FALSE)</f>
        <v>裴氏璧鳳</v>
      </c>
    </row>
    <row r="7064" spans="6:19" hidden="1" x14ac:dyDescent="0.25">
      <c r="F7064" t="s">
        <v>1099</v>
      </c>
      <c r="G7064" t="s">
        <v>450</v>
      </c>
      <c r="H7064" t="str">
        <f>VLOOKUP(record[[#This Row],[ProcessSN]],表格2_7[],2,FALSE)</f>
        <v>30-4118-018-6XX</v>
      </c>
      <c r="I7064" t="str">
        <f>VLOOKUP(record[[#This Row],[ProcessSN]],表格2_7[],3,FALSE)</f>
        <v>#06</v>
      </c>
      <c r="J7064" t="s">
        <v>593</v>
      </c>
      <c r="K7064" s="195">
        <v>45953.659583333334</v>
      </c>
      <c r="L7064">
        <v>115</v>
      </c>
      <c r="M7064">
        <v>0</v>
      </c>
      <c r="N7064" s="98" t="str">
        <f>IF(record[[#This Row],[Memo]]="Browser:chrome os:android","平板報工",IF(record[[#This Row],[Memo]]=0,"委外",record[[#This Row],[Memo]]))</f>
        <v>平板報工</v>
      </c>
      <c r="O7064" t="s">
        <v>643</v>
      </c>
      <c r="P7064" t="s">
        <v>166</v>
      </c>
      <c r="Q7064" t="s">
        <v>644</v>
      </c>
      <c r="R7064" t="str">
        <f>IFERROR(VLOOKUP(record[[#This Row],[PCUSTID]],廠商[],2,FALSE),"")</f>
        <v/>
      </c>
      <c r="S7064" t="str">
        <f>VLOOKUP(record[[#This Row],[employeeID]],員工[],2,FALSE)</f>
        <v>阮懷香</v>
      </c>
    </row>
    <row r="7065" spans="6:19" hidden="1" x14ac:dyDescent="0.25">
      <c r="F7065" t="s">
        <v>1136</v>
      </c>
      <c r="G7065" t="s">
        <v>357</v>
      </c>
      <c r="H7065" t="str">
        <f>VLOOKUP(record[[#This Row],[ProcessSN]],表格2_7[],2,FALSE)</f>
        <v>30-4118-018-450</v>
      </c>
      <c r="I7065" t="str">
        <f>VLOOKUP(record[[#This Row],[ProcessSN]],表格2_7[],3,FALSE)</f>
        <v>#08RCV</v>
      </c>
      <c r="J7065" t="s">
        <v>591</v>
      </c>
      <c r="K7065" s="195">
        <v>45953.657048611109</v>
      </c>
      <c r="L7065">
        <v>469</v>
      </c>
      <c r="M7065">
        <v>0</v>
      </c>
      <c r="N7065" s="98" t="str">
        <f>IF(record[[#This Row],[Memo]]="Browser:chrome os:android","平板報工",IF(record[[#This Row],[Memo]]=0,"委外",record[[#This Row],[Memo]]))</f>
        <v/>
      </c>
      <c r="O7065" t="s">
        <v>58</v>
      </c>
      <c r="P7065" t="s">
        <v>186</v>
      </c>
      <c r="Q7065" t="s">
        <v>58</v>
      </c>
      <c r="R7065" t="str">
        <f>IFERROR(VLOOKUP(record[[#This Row],[PCUSTID]],廠商[],2,FALSE),"")</f>
        <v/>
      </c>
      <c r="S7065" t="str">
        <f>VLOOKUP(record[[#This Row],[employeeID]],員工[],2,FALSE)</f>
        <v>許文姍</v>
      </c>
    </row>
    <row r="7066" spans="6:19" hidden="1" x14ac:dyDescent="0.25">
      <c r="F7066" t="s">
        <v>1129</v>
      </c>
      <c r="G7066" t="s">
        <v>357</v>
      </c>
      <c r="H7066" t="str">
        <f>VLOOKUP(record[[#This Row],[ProcessSN]],表格2_7[],2,FALSE)</f>
        <v>30-4118-018-450</v>
      </c>
      <c r="I7066" t="str">
        <f>VLOOKUP(record[[#This Row],[ProcessSN]],表格2_7[],3,FALSE)</f>
        <v>#08RCV</v>
      </c>
      <c r="J7066" t="s">
        <v>591</v>
      </c>
      <c r="K7066" s="195">
        <v>45953.656805555554</v>
      </c>
      <c r="L7066">
        <v>0</v>
      </c>
      <c r="M7066">
        <v>4</v>
      </c>
      <c r="N7066" s="98" t="str">
        <f>IF(record[[#This Row],[Memo]]="Browser:chrome os:android","平板報工",IF(record[[#This Row],[Memo]]=0,"委外",record[[#This Row],[Memo]]))</f>
        <v/>
      </c>
      <c r="O7066" t="s">
        <v>58</v>
      </c>
      <c r="P7066" t="s">
        <v>186</v>
      </c>
      <c r="Q7066" t="s">
        <v>58</v>
      </c>
      <c r="R7066" t="str">
        <f>IFERROR(VLOOKUP(record[[#This Row],[PCUSTID]],廠商[],2,FALSE),"")</f>
        <v/>
      </c>
      <c r="S7066" t="str">
        <f>VLOOKUP(record[[#This Row],[employeeID]],員工[],2,FALSE)</f>
        <v>許文姍</v>
      </c>
    </row>
    <row r="7067" spans="6:19" hidden="1" x14ac:dyDescent="0.25">
      <c r="F7067" t="s">
        <v>1129</v>
      </c>
      <c r="G7067" t="s">
        <v>357</v>
      </c>
      <c r="H7067" t="str">
        <f>VLOOKUP(record[[#This Row],[ProcessSN]],表格2_7[],2,FALSE)</f>
        <v>30-4118-018-450</v>
      </c>
      <c r="I7067" t="str">
        <f>VLOOKUP(record[[#This Row],[ProcessSN]],表格2_7[],3,FALSE)</f>
        <v>#08RCV</v>
      </c>
      <c r="J7067" t="s">
        <v>591</v>
      </c>
      <c r="K7067" s="195">
        <v>45953.654768518521</v>
      </c>
      <c r="L7067">
        <v>312</v>
      </c>
      <c r="M7067">
        <v>0</v>
      </c>
      <c r="N7067" s="98" t="str">
        <f>IF(record[[#This Row],[Memo]]="Browser:chrome os:android","平板報工",IF(record[[#This Row],[Memo]]=0,"委外",record[[#This Row],[Memo]]))</f>
        <v/>
      </c>
      <c r="O7067" t="s">
        <v>58</v>
      </c>
      <c r="P7067" t="s">
        <v>186</v>
      </c>
      <c r="Q7067" t="s">
        <v>58</v>
      </c>
      <c r="R7067" t="str">
        <f>IFERROR(VLOOKUP(record[[#This Row],[PCUSTID]],廠商[],2,FALSE),"")</f>
        <v/>
      </c>
      <c r="S7067" t="str">
        <f>VLOOKUP(record[[#This Row],[employeeID]],員工[],2,FALSE)</f>
        <v>許文姍</v>
      </c>
    </row>
    <row r="7068" spans="6:19" hidden="1" x14ac:dyDescent="0.25">
      <c r="F7068" t="s">
        <v>1130</v>
      </c>
      <c r="G7068" t="s">
        <v>423</v>
      </c>
      <c r="H7068" t="str">
        <f>VLOOKUP(record[[#This Row],[ProcessSN]],表格2_7[],2,FALSE)</f>
        <v>30-4118-018-600</v>
      </c>
      <c r="I7068" t="str">
        <f>VLOOKUP(record[[#This Row],[ProcessSN]],表格2_7[],3,FALSE)</f>
        <v>#08RCV</v>
      </c>
      <c r="J7068" t="s">
        <v>591</v>
      </c>
      <c r="K7068" s="195">
        <v>45953.653854166667</v>
      </c>
      <c r="L7068">
        <v>35</v>
      </c>
      <c r="M7068">
        <v>0</v>
      </c>
      <c r="N7068" s="98" t="str">
        <f>IF(record[[#This Row],[Memo]]="Browser:chrome os:android","平板報工",IF(record[[#This Row],[Memo]]=0,"委外",record[[#This Row],[Memo]]))</f>
        <v/>
      </c>
      <c r="O7068" t="s">
        <v>58</v>
      </c>
      <c r="P7068" t="s">
        <v>186</v>
      </c>
      <c r="Q7068" t="s">
        <v>58</v>
      </c>
      <c r="R7068" t="str">
        <f>IFERROR(VLOOKUP(record[[#This Row],[PCUSTID]],廠商[],2,FALSE),"")</f>
        <v/>
      </c>
      <c r="S7068" t="str">
        <f>VLOOKUP(record[[#This Row],[employeeID]],員工[],2,FALSE)</f>
        <v>許文姍</v>
      </c>
    </row>
    <row r="7069" spans="6:19" hidden="1" x14ac:dyDescent="0.25">
      <c r="F7069" t="s">
        <v>1101</v>
      </c>
      <c r="G7069" t="s">
        <v>375</v>
      </c>
      <c r="H7069" t="str">
        <f>VLOOKUP(record[[#This Row],[ProcessSN]],表格2_7[],2,FALSE)</f>
        <v>30-4118-018-4XX</v>
      </c>
      <c r="I7069" t="str">
        <f>VLOOKUP(record[[#This Row],[ProcessSN]],表格2_7[],3,FALSE)</f>
        <v>#05</v>
      </c>
      <c r="J7069" t="s">
        <v>588</v>
      </c>
      <c r="K7069" s="195">
        <v>45953.64943287037</v>
      </c>
      <c r="L7069">
        <v>200</v>
      </c>
      <c r="M7069">
        <v>0</v>
      </c>
      <c r="N7069" s="98" t="str">
        <f>IF(record[[#This Row],[Memo]]="Browser:chrome os:android","平板報工",IF(record[[#This Row],[Memo]]=0,"委外",record[[#This Row],[Memo]]))</f>
        <v>平板報工</v>
      </c>
      <c r="O7069" t="s">
        <v>643</v>
      </c>
      <c r="P7069" t="s">
        <v>1098</v>
      </c>
      <c r="Q7069" t="s">
        <v>644</v>
      </c>
      <c r="R7069" t="str">
        <f>IFERROR(VLOOKUP(record[[#This Row],[PCUSTID]],廠商[],2,FALSE),"")</f>
        <v/>
      </c>
      <c r="S7069" t="str">
        <f>VLOOKUP(record[[#This Row],[employeeID]],員工[],2,FALSE)</f>
        <v>阮氏芳英(英)</v>
      </c>
    </row>
    <row r="7070" spans="6:19" hidden="1" x14ac:dyDescent="0.25">
      <c r="F7070" t="s">
        <v>1043</v>
      </c>
      <c r="G7070" t="s">
        <v>466</v>
      </c>
      <c r="H7070" t="str">
        <f>VLOOKUP(record[[#This Row],[ProcessSN]],表格2_7[],2,FALSE)</f>
        <v>30-4118-018-XXX</v>
      </c>
      <c r="I7070" t="str">
        <f>VLOOKUP(record[[#This Row],[ProcessSN]],表格2_7[],3,FALSE)</f>
        <v>#01-2</v>
      </c>
      <c r="J7070" t="s">
        <v>588</v>
      </c>
      <c r="K7070" s="195">
        <v>45953.648680555554</v>
      </c>
      <c r="L7070">
        <v>335</v>
      </c>
      <c r="M7070">
        <v>1</v>
      </c>
      <c r="N7070" s="98" t="str">
        <f>IF(record[[#This Row],[Memo]]="Browser:chrome os:android","平板報工",IF(record[[#This Row],[Memo]]=0,"委外",record[[#This Row],[Memo]]))</f>
        <v>平板報工</v>
      </c>
      <c r="O7070" t="s">
        <v>643</v>
      </c>
      <c r="P7070" t="s">
        <v>107</v>
      </c>
      <c r="Q7070" t="s">
        <v>644</v>
      </c>
      <c r="R7070" t="str">
        <f>IFERROR(VLOOKUP(record[[#This Row],[PCUSTID]],廠商[],2,FALSE),"")</f>
        <v/>
      </c>
      <c r="S7070" t="str">
        <f>VLOOKUP(record[[#This Row],[employeeID]],員工[],2,FALSE)</f>
        <v>黎氏順</v>
      </c>
    </row>
    <row r="7071" spans="6:19" hidden="1" x14ac:dyDescent="0.25">
      <c r="F7071" t="s">
        <v>1143</v>
      </c>
      <c r="G7071" t="s">
        <v>422</v>
      </c>
      <c r="H7071" t="str">
        <f>VLOOKUP(record[[#This Row],[ProcessSN]],表格2_7[],2,FALSE)</f>
        <v>30-4118-018-600</v>
      </c>
      <c r="I7071" t="str">
        <f>VLOOKUP(record[[#This Row],[ProcessSN]],表格2_7[],3,FALSE)</f>
        <v>#08</v>
      </c>
      <c r="J7071" t="s">
        <v>597</v>
      </c>
      <c r="K7071" s="195">
        <v>45953.624965277777</v>
      </c>
      <c r="L7071">
        <v>625</v>
      </c>
      <c r="M7071">
        <v>0</v>
      </c>
      <c r="N7071" s="98" t="str">
        <f>IF(record[[#This Row],[Memo]]="Browser:chrome os:android","平板報工",IF(record[[#This Row],[Memo]]=0,"委外",record[[#This Row],[Memo]]))</f>
        <v>委外</v>
      </c>
      <c r="P7071" t="s">
        <v>186</v>
      </c>
      <c r="Q7071" t="s">
        <v>287</v>
      </c>
      <c r="R7071" t="str">
        <f>IFERROR(VLOOKUP(record[[#This Row],[PCUSTID]],廠商[],2,FALSE),"")</f>
        <v>泉盛</v>
      </c>
      <c r="S7071" t="str">
        <f>VLOOKUP(record[[#This Row],[employeeID]],員工[],2,FALSE)</f>
        <v>許文姍</v>
      </c>
    </row>
    <row r="7072" spans="6:19" hidden="1" x14ac:dyDescent="0.25">
      <c r="F7072" t="s">
        <v>1063</v>
      </c>
      <c r="G7072" t="s">
        <v>403</v>
      </c>
      <c r="H7072" t="str">
        <f>VLOOKUP(record[[#This Row],[ProcessSN]],表格2_7[],2,FALSE)</f>
        <v>30-4118-018-550</v>
      </c>
      <c r="I7072" t="str">
        <f>VLOOKUP(record[[#This Row],[ProcessSN]],表格2_7[],3,FALSE)</f>
        <v>#100SHIP</v>
      </c>
      <c r="J7072" t="s">
        <v>600</v>
      </c>
      <c r="K7072" s="195">
        <v>45953.548032407409</v>
      </c>
      <c r="L7072">
        <v>170</v>
      </c>
      <c r="M7072">
        <v>0</v>
      </c>
      <c r="N7072" s="98" t="str">
        <f>IF(record[[#This Row],[Memo]]="Browser:chrome os:android","平板報工",IF(record[[#This Row],[Memo]]=0,"委外",record[[#This Row],[Memo]]))</f>
        <v/>
      </c>
      <c r="O7072" t="s">
        <v>58</v>
      </c>
      <c r="P7072" t="s">
        <v>886</v>
      </c>
      <c r="Q7072" t="s">
        <v>58</v>
      </c>
      <c r="R7072" t="str">
        <f>IFERROR(VLOOKUP(record[[#This Row],[PCUSTID]],廠商[],2,FALSE),"")</f>
        <v/>
      </c>
      <c r="S7072" t="str">
        <f>VLOOKUP(record[[#This Row],[employeeID]],員工[],2,FALSE)</f>
        <v>謝蓁薰</v>
      </c>
    </row>
    <row r="7073" spans="6:19" hidden="1" x14ac:dyDescent="0.25">
      <c r="F7073" t="s">
        <v>1059</v>
      </c>
      <c r="G7073" t="s">
        <v>403</v>
      </c>
      <c r="H7073" t="str">
        <f>VLOOKUP(record[[#This Row],[ProcessSN]],表格2_7[],2,FALSE)</f>
        <v>30-4118-018-550</v>
      </c>
      <c r="I7073" t="str">
        <f>VLOOKUP(record[[#This Row],[ProcessSN]],表格2_7[],3,FALSE)</f>
        <v>#100SHIP</v>
      </c>
      <c r="J7073" t="s">
        <v>600</v>
      </c>
      <c r="K7073" s="195">
        <v>45953.547835648147</v>
      </c>
      <c r="L7073">
        <v>213</v>
      </c>
      <c r="M7073">
        <v>0</v>
      </c>
      <c r="N7073" s="98" t="str">
        <f>IF(record[[#This Row],[Memo]]="Browser:chrome os:android","平板報工",IF(record[[#This Row],[Memo]]=0,"委外",record[[#This Row],[Memo]]))</f>
        <v/>
      </c>
      <c r="O7073" t="s">
        <v>58</v>
      </c>
      <c r="P7073" t="s">
        <v>886</v>
      </c>
      <c r="Q7073" t="s">
        <v>58</v>
      </c>
      <c r="R7073" t="str">
        <f>IFERROR(VLOOKUP(record[[#This Row],[PCUSTID]],廠商[],2,FALSE),"")</f>
        <v/>
      </c>
      <c r="S7073" t="str">
        <f>VLOOKUP(record[[#This Row],[employeeID]],員工[],2,FALSE)</f>
        <v>謝蓁薰</v>
      </c>
    </row>
    <row r="7074" spans="6:19" hidden="1" x14ac:dyDescent="0.25">
      <c r="F7074" t="s">
        <v>1099</v>
      </c>
      <c r="G7074" t="s">
        <v>453</v>
      </c>
      <c r="H7074" t="str">
        <f>VLOOKUP(record[[#This Row],[ProcessSN]],表格2_7[],2,FALSE)</f>
        <v>30-4118-018-6XX</v>
      </c>
      <c r="I7074" t="str">
        <f>VLOOKUP(record[[#This Row],[ProcessSN]],表格2_7[],3,FALSE)</f>
        <v>#07STOCK</v>
      </c>
      <c r="J7074" t="s">
        <v>592</v>
      </c>
      <c r="K7074" s="195">
        <v>45953.463043981479</v>
      </c>
      <c r="L7074">
        <v>625</v>
      </c>
      <c r="M7074">
        <v>0</v>
      </c>
      <c r="N7074" s="98" t="str">
        <f>IF(record[[#This Row],[Memo]]="Browser:chrome os:android","平板報工",IF(record[[#This Row],[Memo]]=0,"委外",record[[#This Row],[Memo]]))</f>
        <v/>
      </c>
      <c r="O7074" t="s">
        <v>58</v>
      </c>
      <c r="P7074" t="s">
        <v>196</v>
      </c>
      <c r="Q7074" t="s">
        <v>58</v>
      </c>
      <c r="R7074" t="str">
        <f>IFERROR(VLOOKUP(record[[#This Row],[PCUSTID]],廠商[],2,FALSE),"")</f>
        <v/>
      </c>
      <c r="S7074" t="str">
        <f>VLOOKUP(record[[#This Row],[employeeID]],員工[],2,FALSE)</f>
        <v>張淑惠</v>
      </c>
    </row>
    <row r="7075" spans="6:19" hidden="1" x14ac:dyDescent="0.25">
      <c r="F7075" t="s">
        <v>1143</v>
      </c>
      <c r="G7075" t="s">
        <v>421</v>
      </c>
      <c r="H7075" t="str">
        <f>VLOOKUP(record[[#This Row],[ProcessSN]],表格2_7[],2,FALSE)</f>
        <v>30-4118-018-600</v>
      </c>
      <c r="I7075" t="str">
        <f>VLOOKUP(record[[#This Row],[ProcessSN]],表格2_7[],3,FALSE)</f>
        <v>#08PICK</v>
      </c>
      <c r="J7075" t="s">
        <v>582</v>
      </c>
      <c r="K7075" s="195">
        <v>45953.462650462963</v>
      </c>
      <c r="L7075">
        <v>625</v>
      </c>
      <c r="M7075">
        <v>0</v>
      </c>
      <c r="N7075" s="98" t="str">
        <f>IF(record[[#This Row],[Memo]]="Browser:chrome os:android","平板報工",IF(record[[#This Row],[Memo]]=0,"委外",record[[#This Row],[Memo]]))</f>
        <v/>
      </c>
      <c r="O7075" t="s">
        <v>58</v>
      </c>
      <c r="P7075" t="s">
        <v>196</v>
      </c>
      <c r="Q7075" t="s">
        <v>58</v>
      </c>
      <c r="R7075" t="str">
        <f>IFERROR(VLOOKUP(record[[#This Row],[PCUSTID]],廠商[],2,FALSE),"")</f>
        <v/>
      </c>
      <c r="S7075" t="str">
        <f>VLOOKUP(record[[#This Row],[employeeID]],員工[],2,FALSE)</f>
        <v>張淑惠</v>
      </c>
    </row>
    <row r="7076" spans="6:19" hidden="1" x14ac:dyDescent="0.25">
      <c r="F7076" t="s">
        <v>1099</v>
      </c>
      <c r="G7076" t="s">
        <v>452</v>
      </c>
      <c r="H7076" t="str">
        <f>VLOOKUP(record[[#This Row],[ProcessSN]],表格2_7[],2,FALSE)</f>
        <v>30-4118-018-6XX</v>
      </c>
      <c r="I7076" t="str">
        <f>VLOOKUP(record[[#This Row],[ProcessSN]],表格2_7[],3,FALSE)</f>
        <v>#07QC</v>
      </c>
      <c r="J7076" t="s">
        <v>589</v>
      </c>
      <c r="K7076" s="195">
        <v>45953.452800925923</v>
      </c>
      <c r="L7076">
        <v>0</v>
      </c>
      <c r="M7076">
        <v>6</v>
      </c>
      <c r="N7076" s="98" t="str">
        <f>IF(record[[#This Row],[Memo]]="Browser:chrome os:android","平板報工",IF(record[[#This Row],[Memo]]=0,"委外",record[[#This Row],[Memo]]))</f>
        <v>平板報工</v>
      </c>
      <c r="O7076" t="s">
        <v>643</v>
      </c>
      <c r="P7076" t="s">
        <v>141</v>
      </c>
      <c r="Q7076" t="s">
        <v>644</v>
      </c>
      <c r="R7076" t="str">
        <f>IFERROR(VLOOKUP(record[[#This Row],[PCUSTID]],廠商[],2,FALSE),"")</f>
        <v/>
      </c>
      <c r="S7076" t="str">
        <f>VLOOKUP(record[[#This Row],[employeeID]],員工[],2,FALSE)</f>
        <v>蔣梅</v>
      </c>
    </row>
    <row r="7077" spans="6:19" hidden="1" x14ac:dyDescent="0.25">
      <c r="F7077" t="s">
        <v>1099</v>
      </c>
      <c r="G7077" t="s">
        <v>452</v>
      </c>
      <c r="H7077" t="str">
        <f>VLOOKUP(record[[#This Row],[ProcessSN]],表格2_7[],2,FALSE)</f>
        <v>30-4118-018-6XX</v>
      </c>
      <c r="I7077" t="str">
        <f>VLOOKUP(record[[#This Row],[ProcessSN]],表格2_7[],3,FALSE)</f>
        <v>#07QC</v>
      </c>
      <c r="J7077" t="s">
        <v>589</v>
      </c>
      <c r="K7077" s="195">
        <v>45953.452581018515</v>
      </c>
      <c r="L7077">
        <v>625</v>
      </c>
      <c r="M7077">
        <v>0</v>
      </c>
      <c r="N7077" s="98" t="str">
        <f>IF(record[[#This Row],[Memo]]="Browser:chrome os:android","平板報工",IF(record[[#This Row],[Memo]]=0,"委外",record[[#This Row],[Memo]]))</f>
        <v>平板報工</v>
      </c>
      <c r="O7077" t="s">
        <v>643</v>
      </c>
      <c r="P7077" t="s">
        <v>141</v>
      </c>
      <c r="Q7077" t="s">
        <v>644</v>
      </c>
      <c r="R7077" t="str">
        <f>IFERROR(VLOOKUP(record[[#This Row],[PCUSTID]],廠商[],2,FALSE),"")</f>
        <v/>
      </c>
      <c r="S7077" t="str">
        <f>VLOOKUP(record[[#This Row],[employeeID]],員工[],2,FALSE)</f>
        <v>蔣梅</v>
      </c>
    </row>
    <row r="7078" spans="6:19" hidden="1" x14ac:dyDescent="0.25">
      <c r="F7078" t="s">
        <v>1117</v>
      </c>
      <c r="G7078" t="s">
        <v>427</v>
      </c>
      <c r="H7078" t="str">
        <f>VLOOKUP(record[[#This Row],[ProcessSN]],表格2_7[],2,FALSE)</f>
        <v>30-4118-018-600</v>
      </c>
      <c r="I7078" t="str">
        <f>VLOOKUP(record[[#This Row],[ProcessSN]],表格2_7[],3,FALSE)</f>
        <v>#100STOCK</v>
      </c>
      <c r="J7078" t="s">
        <v>592</v>
      </c>
      <c r="K7078" s="195">
        <v>45953.387523148151</v>
      </c>
      <c r="L7078">
        <v>23</v>
      </c>
      <c r="M7078">
        <v>0</v>
      </c>
      <c r="N7078" s="98" t="str">
        <f>IF(record[[#This Row],[Memo]]="Browser:chrome os:android","平板報工",IF(record[[#This Row],[Memo]]=0,"委外",record[[#This Row],[Memo]]))</f>
        <v/>
      </c>
      <c r="O7078" t="s">
        <v>58</v>
      </c>
      <c r="P7078" t="s">
        <v>886</v>
      </c>
      <c r="Q7078" t="s">
        <v>58</v>
      </c>
      <c r="R7078" t="str">
        <f>IFERROR(VLOOKUP(record[[#This Row],[PCUSTID]],廠商[],2,FALSE),"")</f>
        <v/>
      </c>
      <c r="S7078" t="str">
        <f>VLOOKUP(record[[#This Row],[employeeID]],員工[],2,FALSE)</f>
        <v>謝蓁薰</v>
      </c>
    </row>
    <row r="7079" spans="6:19" hidden="1" x14ac:dyDescent="0.25">
      <c r="F7079" t="s">
        <v>1122</v>
      </c>
      <c r="G7079" t="s">
        <v>361</v>
      </c>
      <c r="H7079" t="str">
        <f>VLOOKUP(record[[#This Row],[ProcessSN]],表格2_7[],2,FALSE)</f>
        <v>30-4118-018-450</v>
      </c>
      <c r="I7079" t="str">
        <f>VLOOKUP(record[[#This Row],[ProcessSN]],表格2_7[],3,FALSE)</f>
        <v>#100STOCK</v>
      </c>
      <c r="J7079" t="s">
        <v>592</v>
      </c>
      <c r="K7079" s="195">
        <v>45953.387129629627</v>
      </c>
      <c r="L7079">
        <v>6</v>
      </c>
      <c r="M7079">
        <v>0</v>
      </c>
      <c r="N7079" s="98" t="str">
        <f>IF(record[[#This Row],[Memo]]="Browser:chrome os:android","平板報工",IF(record[[#This Row],[Memo]]=0,"委外",record[[#This Row],[Memo]]))</f>
        <v/>
      </c>
      <c r="O7079" t="s">
        <v>58</v>
      </c>
      <c r="P7079" t="s">
        <v>886</v>
      </c>
      <c r="Q7079" t="s">
        <v>58</v>
      </c>
      <c r="R7079" t="str">
        <f>IFERROR(VLOOKUP(record[[#This Row],[PCUSTID]],廠商[],2,FALSE),"")</f>
        <v/>
      </c>
      <c r="S7079" t="str">
        <f>VLOOKUP(record[[#This Row],[employeeID]],員工[],2,FALSE)</f>
        <v>謝蓁薰</v>
      </c>
    </row>
    <row r="7080" spans="6:19" hidden="1" x14ac:dyDescent="0.25">
      <c r="F7080" t="s">
        <v>1043</v>
      </c>
      <c r="G7080" t="s">
        <v>467</v>
      </c>
      <c r="H7080" t="str">
        <f>VLOOKUP(record[[#This Row],[ProcessSN]],表格2_7[],2,FALSE)</f>
        <v>30-4118-018-XXX</v>
      </c>
      <c r="I7080" t="str">
        <f>VLOOKUP(record[[#This Row],[ProcessSN]],表格2_7[],3,FALSE)</f>
        <v>#01QC</v>
      </c>
      <c r="J7080" t="s">
        <v>589</v>
      </c>
      <c r="K7080" s="195">
        <v>45953.363240740742</v>
      </c>
      <c r="L7080">
        <v>838</v>
      </c>
      <c r="M7080">
        <v>0</v>
      </c>
      <c r="N7080" s="98" t="str">
        <f>IF(record[[#This Row],[Memo]]="Browser:chrome os:android","平板報工",IF(record[[#This Row],[Memo]]=0,"委外",record[[#This Row],[Memo]]))</f>
        <v>平板報工</v>
      </c>
      <c r="O7080" t="s">
        <v>643</v>
      </c>
      <c r="P7080" t="s">
        <v>182</v>
      </c>
      <c r="Q7080" t="s">
        <v>644</v>
      </c>
      <c r="R7080" t="str">
        <f>IFERROR(VLOOKUP(record[[#This Row],[PCUSTID]],廠商[],2,FALSE),"")</f>
        <v/>
      </c>
      <c r="S7080" t="str">
        <f>VLOOKUP(record[[#This Row],[employeeID]],員工[],2,FALSE)</f>
        <v>梅氏和</v>
      </c>
    </row>
    <row r="7081" spans="6:19" hidden="1" x14ac:dyDescent="0.25">
      <c r="F7081" t="s">
        <v>1059</v>
      </c>
      <c r="G7081" t="s">
        <v>402</v>
      </c>
      <c r="H7081" t="str">
        <f>VLOOKUP(record[[#This Row],[ProcessSN]],表格2_7[],2,FALSE)</f>
        <v>30-4118-018-550</v>
      </c>
      <c r="I7081" t="str">
        <f>VLOOKUP(record[[#This Row],[ProcessSN]],表格2_7[],3,FALSE)</f>
        <v>#100STOCK</v>
      </c>
      <c r="J7081" t="s">
        <v>592</v>
      </c>
      <c r="K7081" s="195">
        <v>45953.363055555557</v>
      </c>
      <c r="L7081">
        <v>213</v>
      </c>
      <c r="M7081">
        <v>0</v>
      </c>
      <c r="N7081" s="98" t="str">
        <f>IF(record[[#This Row],[Memo]]="Browser:chrome os:android","平板報工",IF(record[[#This Row],[Memo]]=0,"委外",record[[#This Row],[Memo]]))</f>
        <v/>
      </c>
      <c r="O7081" t="s">
        <v>58</v>
      </c>
      <c r="P7081" t="s">
        <v>886</v>
      </c>
      <c r="Q7081" t="s">
        <v>58</v>
      </c>
      <c r="R7081" t="str">
        <f>IFERROR(VLOOKUP(record[[#This Row],[PCUSTID]],廠商[],2,FALSE),"")</f>
        <v/>
      </c>
      <c r="S7081" t="str">
        <f>VLOOKUP(record[[#This Row],[employeeID]],員工[],2,FALSE)</f>
        <v>謝蓁薰</v>
      </c>
    </row>
    <row r="7082" spans="6:19" hidden="1" x14ac:dyDescent="0.25">
      <c r="F7082" t="s">
        <v>1099</v>
      </c>
      <c r="G7082" t="s">
        <v>450</v>
      </c>
      <c r="H7082" t="str">
        <f>VLOOKUP(record[[#This Row],[ProcessSN]],表格2_7[],2,FALSE)</f>
        <v>30-4118-018-6XX</v>
      </c>
      <c r="I7082" t="str">
        <f>VLOOKUP(record[[#This Row],[ProcessSN]],表格2_7[],3,FALSE)</f>
        <v>#06</v>
      </c>
      <c r="J7082" t="s">
        <v>593</v>
      </c>
      <c r="K7082" s="195">
        <v>45953.321400462963</v>
      </c>
      <c r="L7082">
        <v>239</v>
      </c>
      <c r="M7082">
        <v>3</v>
      </c>
      <c r="N7082" s="98" t="str">
        <f>IF(record[[#This Row],[Memo]]="Browser:chrome os:android","平板報工",IF(record[[#This Row],[Memo]]=0,"委外",record[[#This Row],[Memo]]))</f>
        <v/>
      </c>
      <c r="O7082" t="s">
        <v>58</v>
      </c>
      <c r="P7082" t="s">
        <v>135</v>
      </c>
      <c r="Q7082" t="s">
        <v>58</v>
      </c>
      <c r="R7082" t="str">
        <f>IFERROR(VLOOKUP(record[[#This Row],[PCUSTID]],廠商[],2,FALSE),"")</f>
        <v/>
      </c>
      <c r="S7082" t="str">
        <f>VLOOKUP(record[[#This Row],[employeeID]],員工[],2,FALSE)</f>
        <v>阮士文</v>
      </c>
    </row>
    <row r="7083" spans="6:19" hidden="1" x14ac:dyDescent="0.25">
      <c r="F7083" t="s">
        <v>1043</v>
      </c>
      <c r="G7083" t="s">
        <v>466</v>
      </c>
      <c r="H7083" t="str">
        <f>VLOOKUP(record[[#This Row],[ProcessSN]],表格2_7[],2,FALSE)</f>
        <v>30-4118-018-XXX</v>
      </c>
      <c r="I7083" t="str">
        <f>VLOOKUP(record[[#This Row],[ProcessSN]],表格2_7[],3,FALSE)</f>
        <v>#01-2</v>
      </c>
      <c r="J7083" t="s">
        <v>588</v>
      </c>
      <c r="K7083" s="195">
        <v>45953.320555555554</v>
      </c>
      <c r="L7083">
        <v>571</v>
      </c>
      <c r="M7083">
        <v>1</v>
      </c>
      <c r="N7083" s="98" t="str">
        <f>IF(record[[#This Row],[Memo]]="Browser:chrome os:android","平板報工",IF(record[[#This Row],[Memo]]=0,"委外",record[[#This Row],[Memo]]))</f>
        <v/>
      </c>
      <c r="O7083" t="s">
        <v>58</v>
      </c>
      <c r="P7083" t="s">
        <v>135</v>
      </c>
      <c r="Q7083" t="s">
        <v>58</v>
      </c>
      <c r="R7083" t="str">
        <f>IFERROR(VLOOKUP(record[[#This Row],[PCUSTID]],廠商[],2,FALSE),"")</f>
        <v/>
      </c>
      <c r="S7083" t="str">
        <f>VLOOKUP(record[[#This Row],[employeeID]],員工[],2,FALSE)</f>
        <v>阮士文</v>
      </c>
    </row>
    <row r="7084" spans="6:19" hidden="1" x14ac:dyDescent="0.25">
      <c r="F7084" t="s">
        <v>1099</v>
      </c>
      <c r="G7084" t="s">
        <v>449</v>
      </c>
      <c r="H7084" t="str">
        <f>VLOOKUP(record[[#This Row],[ProcessSN]],表格2_7[],2,FALSE)</f>
        <v>30-4118-018-6XX</v>
      </c>
      <c r="I7084" t="str">
        <f>VLOOKUP(record[[#This Row],[ProcessSN]],表格2_7[],3,FALSE)</f>
        <v>#05</v>
      </c>
      <c r="J7084" t="s">
        <v>588</v>
      </c>
      <c r="K7084" s="195">
        <v>45953.319293981483</v>
      </c>
      <c r="L7084">
        <v>148</v>
      </c>
      <c r="M7084">
        <v>0</v>
      </c>
      <c r="N7084" s="98" t="str">
        <f>IF(record[[#This Row],[Memo]]="Browser:chrome os:android","平板報工",IF(record[[#This Row],[Memo]]=0,"委外",record[[#This Row],[Memo]]))</f>
        <v/>
      </c>
      <c r="O7084" t="s">
        <v>58</v>
      </c>
      <c r="P7084" t="s">
        <v>135</v>
      </c>
      <c r="Q7084" t="s">
        <v>58</v>
      </c>
      <c r="R7084" t="str">
        <f>IFERROR(VLOOKUP(record[[#This Row],[PCUSTID]],廠商[],2,FALSE),"")</f>
        <v/>
      </c>
      <c r="S7084" t="str">
        <f>VLOOKUP(record[[#This Row],[employeeID]],員工[],2,FALSE)</f>
        <v>阮士文</v>
      </c>
    </row>
    <row r="7085" spans="6:19" hidden="1" x14ac:dyDescent="0.25">
      <c r="F7085" t="s">
        <v>1099</v>
      </c>
      <c r="G7085" t="s">
        <v>450</v>
      </c>
      <c r="H7085" t="str">
        <f>VLOOKUP(record[[#This Row],[ProcessSN]],表格2_7[],2,FALSE)</f>
        <v>30-4118-018-6XX</v>
      </c>
      <c r="I7085" t="str">
        <f>VLOOKUP(record[[#This Row],[ProcessSN]],表格2_7[],3,FALSE)</f>
        <v>#06</v>
      </c>
      <c r="J7085" t="s">
        <v>593</v>
      </c>
      <c r="K7085" s="195">
        <v>45952.95071759259</v>
      </c>
      <c r="L7085">
        <v>165</v>
      </c>
      <c r="M7085">
        <v>0</v>
      </c>
      <c r="N7085" s="98" t="str">
        <f>IF(record[[#This Row],[Memo]]="Browser:chrome os:android","平板報工",IF(record[[#This Row],[Memo]]=0,"委外",record[[#This Row],[Memo]]))</f>
        <v/>
      </c>
      <c r="O7085" t="s">
        <v>58</v>
      </c>
      <c r="P7085" t="s">
        <v>176</v>
      </c>
      <c r="Q7085" t="s">
        <v>58</v>
      </c>
      <c r="R7085" t="str">
        <f>IFERROR(VLOOKUP(record[[#This Row],[PCUSTID]],廠商[],2,FALSE),"")</f>
        <v/>
      </c>
      <c r="S7085" t="str">
        <f>VLOOKUP(record[[#This Row],[employeeID]],員工[],2,FALSE)</f>
        <v>郭政雄</v>
      </c>
    </row>
    <row r="7086" spans="6:19" hidden="1" x14ac:dyDescent="0.25">
      <c r="F7086" t="s">
        <v>1099</v>
      </c>
      <c r="G7086" t="s">
        <v>450</v>
      </c>
      <c r="H7086" t="str">
        <f>VLOOKUP(record[[#This Row],[ProcessSN]],表格2_7[],2,FALSE)</f>
        <v>30-4118-018-6XX</v>
      </c>
      <c r="I7086" t="str">
        <f>VLOOKUP(record[[#This Row],[ProcessSN]],表格2_7[],3,FALSE)</f>
        <v>#06</v>
      </c>
      <c r="J7086" t="s">
        <v>593</v>
      </c>
      <c r="K7086" s="195">
        <v>45952.858425925922</v>
      </c>
      <c r="L7086">
        <v>18</v>
      </c>
      <c r="M7086">
        <v>0</v>
      </c>
      <c r="N7086" s="98" t="str">
        <f>IF(record[[#This Row],[Memo]]="Browser:chrome os:android","平板報工",IF(record[[#This Row],[Memo]]=0,"委外",record[[#This Row],[Memo]]))</f>
        <v>補報10/21中</v>
      </c>
      <c r="O7086" t="s">
        <v>1140</v>
      </c>
      <c r="P7086" t="s">
        <v>127</v>
      </c>
      <c r="Q7086" t="s">
        <v>58</v>
      </c>
      <c r="R7086" t="str">
        <f>IFERROR(VLOOKUP(record[[#This Row],[PCUSTID]],廠商[],2,FALSE),"")</f>
        <v/>
      </c>
      <c r="S7086" t="str">
        <f>VLOOKUP(record[[#This Row],[employeeID]],員工[],2,FALSE)</f>
        <v>潘雪梅</v>
      </c>
    </row>
    <row r="7087" spans="6:19" hidden="1" x14ac:dyDescent="0.25">
      <c r="F7087" t="s">
        <v>1099</v>
      </c>
      <c r="G7087" t="s">
        <v>448</v>
      </c>
      <c r="H7087" t="str">
        <f>VLOOKUP(record[[#This Row],[ProcessSN]],表格2_7[],2,FALSE)</f>
        <v>30-4118-018-6XX</v>
      </c>
      <c r="I7087" t="str">
        <f>VLOOKUP(record[[#This Row],[ProcessSN]],表格2_7[],3,FALSE)</f>
        <v>#04</v>
      </c>
      <c r="J7087" t="s">
        <v>588</v>
      </c>
      <c r="K7087" s="195">
        <v>45952.857557870368</v>
      </c>
      <c r="L7087">
        <v>100</v>
      </c>
      <c r="M7087">
        <v>0</v>
      </c>
      <c r="N7087" s="98" t="str">
        <f>IF(record[[#This Row],[Memo]]="Browser:chrome os:android","平板報工",IF(record[[#This Row],[Memo]]=0,"委外",record[[#This Row],[Memo]]))</f>
        <v/>
      </c>
      <c r="O7087" t="s">
        <v>58</v>
      </c>
      <c r="P7087" t="s">
        <v>89</v>
      </c>
      <c r="Q7087" t="s">
        <v>58</v>
      </c>
      <c r="R7087" t="str">
        <f>IFERROR(VLOOKUP(record[[#This Row],[PCUSTID]],廠商[],2,FALSE),"")</f>
        <v/>
      </c>
      <c r="S7087" t="str">
        <f>VLOOKUP(record[[#This Row],[employeeID]],員工[],2,FALSE)</f>
        <v>李美蓮</v>
      </c>
    </row>
    <row r="7088" spans="6:19" hidden="1" x14ac:dyDescent="0.25">
      <c r="F7088" t="s">
        <v>1101</v>
      </c>
      <c r="G7088" t="s">
        <v>373</v>
      </c>
      <c r="H7088" t="str">
        <f>VLOOKUP(record[[#This Row],[ProcessSN]],表格2_7[],2,FALSE)</f>
        <v>30-4118-018-4XX</v>
      </c>
      <c r="I7088" t="str">
        <f>VLOOKUP(record[[#This Row],[ProcessSN]],表格2_7[],3,FALSE)</f>
        <v>#03</v>
      </c>
      <c r="J7088" t="s">
        <v>588</v>
      </c>
      <c r="K7088" s="195">
        <v>45952.661886574075</v>
      </c>
      <c r="L7088">
        <v>307</v>
      </c>
      <c r="M7088">
        <v>1</v>
      </c>
      <c r="N7088" s="98" t="str">
        <f>IF(record[[#This Row],[Memo]]="Browser:chrome os:android","平板報工",IF(record[[#This Row],[Memo]]=0,"委外",record[[#This Row],[Memo]]))</f>
        <v>平板報工</v>
      </c>
      <c r="O7088" t="s">
        <v>643</v>
      </c>
      <c r="P7088" t="s">
        <v>1098</v>
      </c>
      <c r="Q7088" t="s">
        <v>644</v>
      </c>
      <c r="R7088" t="str">
        <f>IFERROR(VLOOKUP(record[[#This Row],[PCUSTID]],廠商[],2,FALSE),"")</f>
        <v/>
      </c>
      <c r="S7088" t="str">
        <f>VLOOKUP(record[[#This Row],[employeeID]],員工[],2,FALSE)</f>
        <v>阮氏芳英(英)</v>
      </c>
    </row>
    <row r="7089" spans="6:19" hidden="1" x14ac:dyDescent="0.25">
      <c r="F7089" t="s">
        <v>1099</v>
      </c>
      <c r="G7089" t="s">
        <v>449</v>
      </c>
      <c r="H7089" t="str">
        <f>VLOOKUP(record[[#This Row],[ProcessSN]],表格2_7[],2,FALSE)</f>
        <v>30-4118-018-6XX</v>
      </c>
      <c r="I7089" t="str">
        <f>VLOOKUP(record[[#This Row],[ProcessSN]],表格2_7[],3,FALSE)</f>
        <v>#05</v>
      </c>
      <c r="J7089" t="s">
        <v>588</v>
      </c>
      <c r="K7089" s="195">
        <v>45952.661562499998</v>
      </c>
      <c r="L7089">
        <v>144</v>
      </c>
      <c r="M7089">
        <v>0</v>
      </c>
      <c r="N7089" s="98" t="str">
        <f>IF(record[[#This Row],[Memo]]="Browser:chrome os:android","平板報工",IF(record[[#This Row],[Memo]]=0,"委外",record[[#This Row],[Memo]]))</f>
        <v>平板報工</v>
      </c>
      <c r="O7089" t="s">
        <v>643</v>
      </c>
      <c r="P7089" t="s">
        <v>1098</v>
      </c>
      <c r="Q7089" t="s">
        <v>644</v>
      </c>
      <c r="R7089" t="str">
        <f>IFERROR(VLOOKUP(record[[#This Row],[PCUSTID]],廠商[],2,FALSE),"")</f>
        <v/>
      </c>
      <c r="S7089" t="str">
        <f>VLOOKUP(record[[#This Row],[employeeID]],員工[],2,FALSE)</f>
        <v>阮氏芳英(英)</v>
      </c>
    </row>
    <row r="7090" spans="6:19" hidden="1" x14ac:dyDescent="0.25">
      <c r="F7090" t="s">
        <v>1099</v>
      </c>
      <c r="G7090" t="s">
        <v>448</v>
      </c>
      <c r="H7090" t="str">
        <f>VLOOKUP(record[[#This Row],[ProcessSN]],表格2_7[],2,FALSE)</f>
        <v>30-4118-018-6XX</v>
      </c>
      <c r="I7090" t="str">
        <f>VLOOKUP(record[[#This Row],[ProcessSN]],表格2_7[],3,FALSE)</f>
        <v>#04</v>
      </c>
      <c r="J7090" t="s">
        <v>588</v>
      </c>
      <c r="K7090" s="195">
        <v>45952.656550925924</v>
      </c>
      <c r="L7090">
        <v>128</v>
      </c>
      <c r="M7090">
        <v>0</v>
      </c>
      <c r="N7090" s="98" t="str">
        <f>IF(record[[#This Row],[Memo]]="Browser:chrome os:android","平板報工",IF(record[[#This Row],[Memo]]=0,"委外",record[[#This Row],[Memo]]))</f>
        <v>平板報工</v>
      </c>
      <c r="O7090" t="s">
        <v>643</v>
      </c>
      <c r="P7090" t="s">
        <v>785</v>
      </c>
      <c r="Q7090" t="s">
        <v>644</v>
      </c>
      <c r="R7090" t="str">
        <f>IFERROR(VLOOKUP(record[[#This Row],[PCUSTID]],廠商[],2,FALSE),"")</f>
        <v/>
      </c>
      <c r="S7090" t="str">
        <f>VLOOKUP(record[[#This Row],[employeeID]],員工[],2,FALSE)</f>
        <v>謝刻光</v>
      </c>
    </row>
    <row r="7091" spans="6:19" hidden="1" x14ac:dyDescent="0.25">
      <c r="F7091" t="s">
        <v>1099</v>
      </c>
      <c r="G7091" t="s">
        <v>451</v>
      </c>
      <c r="H7091" t="str">
        <f>VLOOKUP(record[[#This Row],[ProcessSN]],表格2_7[],2,FALSE)</f>
        <v>30-4118-018-6XX</v>
      </c>
      <c r="I7091" t="str">
        <f>VLOOKUP(record[[#This Row],[ProcessSN]],表格2_7[],3,FALSE)</f>
        <v>#07</v>
      </c>
      <c r="J7091" t="s">
        <v>588</v>
      </c>
      <c r="K7091" s="195">
        <v>45952.654027777775</v>
      </c>
      <c r="L7091">
        <v>100</v>
      </c>
      <c r="M7091">
        <v>6</v>
      </c>
      <c r="N7091" s="98" t="str">
        <f>IF(record[[#This Row],[Memo]]="Browser:chrome os:android","平板報工",IF(record[[#This Row],[Memo]]=0,"委外",record[[#This Row],[Memo]]))</f>
        <v>平板報工</v>
      </c>
      <c r="O7091" t="s">
        <v>643</v>
      </c>
      <c r="P7091" t="s">
        <v>107</v>
      </c>
      <c r="Q7091" t="s">
        <v>644</v>
      </c>
      <c r="R7091" t="str">
        <f>IFERROR(VLOOKUP(record[[#This Row],[PCUSTID]],廠商[],2,FALSE),"")</f>
        <v/>
      </c>
      <c r="S7091" t="str">
        <f>VLOOKUP(record[[#This Row],[employeeID]],員工[],2,FALSE)</f>
        <v>黎氏順</v>
      </c>
    </row>
    <row r="7092" spans="6:19" hidden="1" x14ac:dyDescent="0.25">
      <c r="F7092" t="s">
        <v>1043</v>
      </c>
      <c r="G7092" t="s">
        <v>466</v>
      </c>
      <c r="H7092" t="str">
        <f>VLOOKUP(record[[#This Row],[ProcessSN]],表格2_7[],2,FALSE)</f>
        <v>30-4118-018-XXX</v>
      </c>
      <c r="I7092" t="str">
        <f>VLOOKUP(record[[#This Row],[ProcessSN]],表格2_7[],3,FALSE)</f>
        <v>#01-2</v>
      </c>
      <c r="J7092" t="s">
        <v>588</v>
      </c>
      <c r="K7092" s="195">
        <v>45952.653437499997</v>
      </c>
      <c r="L7092">
        <v>390</v>
      </c>
      <c r="M7092">
        <v>0</v>
      </c>
      <c r="N7092" s="98" t="str">
        <f>IF(record[[#This Row],[Memo]]="Browser:chrome os:android","平板報工",IF(record[[#This Row],[Memo]]=0,"委外",record[[#This Row],[Memo]]))</f>
        <v>平板報工</v>
      </c>
      <c r="O7092" t="s">
        <v>643</v>
      </c>
      <c r="P7092" t="s">
        <v>107</v>
      </c>
      <c r="Q7092" t="s">
        <v>644</v>
      </c>
      <c r="R7092" t="str">
        <f>IFERROR(VLOOKUP(record[[#This Row],[PCUSTID]],廠商[],2,FALSE),"")</f>
        <v/>
      </c>
      <c r="S7092" t="str">
        <f>VLOOKUP(record[[#This Row],[employeeID]],員工[],2,FALSE)</f>
        <v>黎氏順</v>
      </c>
    </row>
    <row r="7093" spans="6:19" hidden="1" x14ac:dyDescent="0.25">
      <c r="F7093" t="s">
        <v>1099</v>
      </c>
      <c r="G7093" t="s">
        <v>450</v>
      </c>
      <c r="H7093" t="str">
        <f>VLOOKUP(record[[#This Row],[ProcessSN]],表格2_7[],2,FALSE)</f>
        <v>30-4118-018-6XX</v>
      </c>
      <c r="I7093" t="str">
        <f>VLOOKUP(record[[#This Row],[ProcessSN]],表格2_7[],3,FALSE)</f>
        <v>#06</v>
      </c>
      <c r="J7093" t="s">
        <v>593</v>
      </c>
      <c r="K7093" s="195">
        <v>45952.642268518517</v>
      </c>
      <c r="L7093">
        <v>120</v>
      </c>
      <c r="M7093">
        <v>0</v>
      </c>
      <c r="N7093" s="98" t="str">
        <f>IF(record[[#This Row],[Memo]]="Browser:chrome os:android","平板報工",IF(record[[#This Row],[Memo]]=0,"委外",record[[#This Row],[Memo]]))</f>
        <v>平板報工</v>
      </c>
      <c r="O7093" t="s">
        <v>643</v>
      </c>
      <c r="P7093" t="s">
        <v>111</v>
      </c>
      <c r="Q7093" t="s">
        <v>644</v>
      </c>
      <c r="R7093" t="str">
        <f>IFERROR(VLOOKUP(record[[#This Row],[PCUSTID]],廠商[],2,FALSE),"")</f>
        <v/>
      </c>
      <c r="S7093" t="str">
        <f>VLOOKUP(record[[#This Row],[employeeID]],員工[],2,FALSE)</f>
        <v>江栩妘</v>
      </c>
    </row>
    <row r="7094" spans="6:19" hidden="1" x14ac:dyDescent="0.25">
      <c r="F7094" t="s">
        <v>1059</v>
      </c>
      <c r="G7094" t="s">
        <v>403</v>
      </c>
      <c r="H7094" t="str">
        <f>VLOOKUP(record[[#This Row],[ProcessSN]],表格2_7[],2,FALSE)</f>
        <v>30-4118-018-550</v>
      </c>
      <c r="I7094" t="str">
        <f>VLOOKUP(record[[#This Row],[ProcessSN]],表格2_7[],3,FALSE)</f>
        <v>#100SHIP</v>
      </c>
      <c r="J7094" t="s">
        <v>600</v>
      </c>
      <c r="K7094" s="195">
        <v>45952.575972222221</v>
      </c>
      <c r="L7094">
        <v>39</v>
      </c>
      <c r="M7094">
        <v>0</v>
      </c>
      <c r="N7094" s="98" t="str">
        <f>IF(record[[#This Row],[Memo]]="Browser:chrome os:android","平板報工",IF(record[[#This Row],[Memo]]=0,"委外",record[[#This Row],[Memo]]))</f>
        <v/>
      </c>
      <c r="O7094" t="s">
        <v>58</v>
      </c>
      <c r="P7094" t="s">
        <v>886</v>
      </c>
      <c r="Q7094" t="s">
        <v>58</v>
      </c>
      <c r="R7094" t="str">
        <f>IFERROR(VLOOKUP(record[[#This Row],[PCUSTID]],廠商[],2,FALSE),"")</f>
        <v/>
      </c>
      <c r="S7094" t="str">
        <f>VLOOKUP(record[[#This Row],[employeeID]],員工[],2,FALSE)</f>
        <v>謝蓁薰</v>
      </c>
    </row>
    <row r="7095" spans="6:19" hidden="1" x14ac:dyDescent="0.25">
      <c r="F7095" t="s">
        <v>1033</v>
      </c>
      <c r="G7095" t="s">
        <v>403</v>
      </c>
      <c r="H7095" t="str">
        <f>VLOOKUP(record[[#This Row],[ProcessSN]],表格2_7[],2,FALSE)</f>
        <v>30-4118-018-550</v>
      </c>
      <c r="I7095" t="str">
        <f>VLOOKUP(record[[#This Row],[ProcessSN]],表格2_7[],3,FALSE)</f>
        <v>#100SHIP</v>
      </c>
      <c r="J7095" t="s">
        <v>600</v>
      </c>
      <c r="K7095" s="195">
        <v>45952.575833333336</v>
      </c>
      <c r="L7095">
        <v>82</v>
      </c>
      <c r="M7095">
        <v>0</v>
      </c>
      <c r="N7095" s="98" t="str">
        <f>IF(record[[#This Row],[Memo]]="Browser:chrome os:android","平板報工",IF(record[[#This Row],[Memo]]=0,"委外",record[[#This Row],[Memo]]))</f>
        <v/>
      </c>
      <c r="O7095" t="s">
        <v>58</v>
      </c>
      <c r="P7095" t="s">
        <v>886</v>
      </c>
      <c r="Q7095" t="s">
        <v>58</v>
      </c>
      <c r="R7095" t="str">
        <f>IFERROR(VLOOKUP(record[[#This Row],[PCUSTID]],廠商[],2,FALSE),"")</f>
        <v/>
      </c>
      <c r="S7095" t="str">
        <f>VLOOKUP(record[[#This Row],[employeeID]],員工[],2,FALSE)</f>
        <v>謝蓁薰</v>
      </c>
    </row>
    <row r="7096" spans="6:19" hidden="1" x14ac:dyDescent="0.25">
      <c r="F7096" t="s">
        <v>1099</v>
      </c>
      <c r="G7096" t="s">
        <v>451</v>
      </c>
      <c r="H7096" t="str">
        <f>VLOOKUP(record[[#This Row],[ProcessSN]],表格2_7[],2,FALSE)</f>
        <v>30-4118-018-6XX</v>
      </c>
      <c r="I7096" t="str">
        <f>VLOOKUP(record[[#This Row],[ProcessSN]],表格2_7[],3,FALSE)</f>
        <v>#07</v>
      </c>
      <c r="J7096" t="s">
        <v>588</v>
      </c>
      <c r="K7096" s="195">
        <v>45952.559942129628</v>
      </c>
      <c r="L7096">
        <v>133</v>
      </c>
      <c r="M7096">
        <v>1</v>
      </c>
      <c r="N7096" s="98" t="str">
        <f>IF(record[[#This Row],[Memo]]="Browser:chrome os:android","平板報工",IF(record[[#This Row],[Memo]]=0,"委外",record[[#This Row],[Memo]]))</f>
        <v>10/22覆回*2pcs</v>
      </c>
      <c r="O7096" t="s">
        <v>1139</v>
      </c>
      <c r="P7096" t="s">
        <v>1075</v>
      </c>
      <c r="Q7096" t="s">
        <v>58</v>
      </c>
      <c r="R7096" t="str">
        <f>IFERROR(VLOOKUP(record[[#This Row],[PCUSTID]],廠商[],2,FALSE),"")</f>
        <v/>
      </c>
      <c r="S7096" t="str">
        <f>VLOOKUP(record[[#This Row],[employeeID]],員工[],2,FALSE)</f>
        <v>吳宥叡</v>
      </c>
    </row>
    <row r="7097" spans="6:19" hidden="1" x14ac:dyDescent="0.25">
      <c r="F7097" t="s">
        <v>1063</v>
      </c>
      <c r="G7097" t="s">
        <v>402</v>
      </c>
      <c r="H7097" t="str">
        <f>VLOOKUP(record[[#This Row],[ProcessSN]],表格2_7[],2,FALSE)</f>
        <v>30-4118-018-550</v>
      </c>
      <c r="I7097" t="str">
        <f>VLOOKUP(record[[#This Row],[ProcessSN]],表格2_7[],3,FALSE)</f>
        <v>#100STOCK</v>
      </c>
      <c r="J7097" t="s">
        <v>592</v>
      </c>
      <c r="K7097" s="195">
        <v>45952.3749537037</v>
      </c>
      <c r="L7097">
        <v>336</v>
      </c>
      <c r="M7097">
        <v>0</v>
      </c>
      <c r="N7097" s="98" t="str">
        <f>IF(record[[#This Row],[Memo]]="Browser:chrome os:android","平板報工",IF(record[[#This Row],[Memo]]=0,"委外",record[[#This Row],[Memo]]))</f>
        <v/>
      </c>
      <c r="O7097" t="s">
        <v>58</v>
      </c>
      <c r="P7097" t="s">
        <v>886</v>
      </c>
      <c r="Q7097" t="s">
        <v>58</v>
      </c>
      <c r="R7097" t="str">
        <f>IFERROR(VLOOKUP(record[[#This Row],[PCUSTID]],廠商[],2,FALSE),"")</f>
        <v/>
      </c>
      <c r="S7097" t="str">
        <f>VLOOKUP(record[[#This Row],[employeeID]],員工[],2,FALSE)</f>
        <v>謝蓁薰</v>
      </c>
    </row>
    <row r="7098" spans="6:19" hidden="1" x14ac:dyDescent="0.25">
      <c r="F7098" t="s">
        <v>1059</v>
      </c>
      <c r="G7098" t="s">
        <v>402</v>
      </c>
      <c r="H7098" t="str">
        <f>VLOOKUP(record[[#This Row],[ProcessSN]],表格2_7[],2,FALSE)</f>
        <v>30-4118-018-550</v>
      </c>
      <c r="I7098" t="str">
        <f>VLOOKUP(record[[#This Row],[ProcessSN]],表格2_7[],3,FALSE)</f>
        <v>#100STOCK</v>
      </c>
      <c r="J7098" t="s">
        <v>592</v>
      </c>
      <c r="K7098" s="195">
        <v>45952.350243055553</v>
      </c>
      <c r="L7098">
        <v>39</v>
      </c>
      <c r="M7098">
        <v>0</v>
      </c>
      <c r="N7098" s="98" t="str">
        <f>IF(record[[#This Row],[Memo]]="Browser:chrome os:android","平板報工",IF(record[[#This Row],[Memo]]=0,"委外",record[[#This Row],[Memo]]))</f>
        <v/>
      </c>
      <c r="O7098" t="s">
        <v>58</v>
      </c>
      <c r="P7098" t="s">
        <v>886</v>
      </c>
      <c r="Q7098" t="s">
        <v>58</v>
      </c>
      <c r="R7098" t="str">
        <f>IFERROR(VLOOKUP(record[[#This Row],[PCUSTID]],廠商[],2,FALSE),"")</f>
        <v/>
      </c>
      <c r="S7098" t="str">
        <f>VLOOKUP(record[[#This Row],[employeeID]],員工[],2,FALSE)</f>
        <v>謝蓁薰</v>
      </c>
    </row>
    <row r="7099" spans="6:19" hidden="1" x14ac:dyDescent="0.25">
      <c r="F7099" t="s">
        <v>1099</v>
      </c>
      <c r="G7099" t="s">
        <v>451</v>
      </c>
      <c r="H7099" t="str">
        <f>VLOOKUP(record[[#This Row],[ProcessSN]],表格2_7[],2,FALSE)</f>
        <v>30-4118-018-6XX</v>
      </c>
      <c r="I7099" t="str">
        <f>VLOOKUP(record[[#This Row],[ProcessSN]],表格2_7[],3,FALSE)</f>
        <v>#07</v>
      </c>
      <c r="J7099" t="s">
        <v>588</v>
      </c>
      <c r="K7099" s="195">
        <v>45952.315486111111</v>
      </c>
      <c r="L7099">
        <v>159</v>
      </c>
      <c r="M7099">
        <v>6</v>
      </c>
      <c r="N7099" s="98" t="str">
        <f>IF(record[[#This Row],[Memo]]="Browser:chrome os:android","平板報工",IF(record[[#This Row],[Memo]]=0,"委外",record[[#This Row],[Memo]]))</f>
        <v/>
      </c>
      <c r="O7099" t="s">
        <v>58</v>
      </c>
      <c r="P7099" t="s">
        <v>135</v>
      </c>
      <c r="Q7099" t="s">
        <v>58</v>
      </c>
      <c r="R7099" t="str">
        <f>IFERROR(VLOOKUP(record[[#This Row],[PCUSTID]],廠商[],2,FALSE),"")</f>
        <v/>
      </c>
      <c r="S7099" t="str">
        <f>VLOOKUP(record[[#This Row],[employeeID]],員工[],2,FALSE)</f>
        <v>阮士文</v>
      </c>
    </row>
    <row r="7100" spans="6:19" hidden="1" x14ac:dyDescent="0.25">
      <c r="F7100" t="s">
        <v>1099</v>
      </c>
      <c r="G7100" t="s">
        <v>450</v>
      </c>
      <c r="H7100" t="str">
        <f>VLOOKUP(record[[#This Row],[ProcessSN]],表格2_7[],2,FALSE)</f>
        <v>30-4118-018-6XX</v>
      </c>
      <c r="I7100" t="str">
        <f>VLOOKUP(record[[#This Row],[ProcessSN]],表格2_7[],3,FALSE)</f>
        <v>#06</v>
      </c>
      <c r="J7100" t="s">
        <v>593</v>
      </c>
      <c r="K7100" s="195">
        <v>45952.31517361111</v>
      </c>
      <c r="L7100">
        <v>121</v>
      </c>
      <c r="M7100">
        <v>0</v>
      </c>
      <c r="N7100" s="98" t="str">
        <f>IF(record[[#This Row],[Memo]]="Browser:chrome os:android","平板報工",IF(record[[#This Row],[Memo]]=0,"委外",record[[#This Row],[Memo]]))</f>
        <v/>
      </c>
      <c r="O7100" t="s">
        <v>58</v>
      </c>
      <c r="P7100" t="s">
        <v>135</v>
      </c>
      <c r="Q7100" t="s">
        <v>58</v>
      </c>
      <c r="R7100" t="str">
        <f>IFERROR(VLOOKUP(record[[#This Row],[PCUSTID]],廠商[],2,FALSE),"")</f>
        <v/>
      </c>
      <c r="S7100" t="str">
        <f>VLOOKUP(record[[#This Row],[employeeID]],員工[],2,FALSE)</f>
        <v>阮士文</v>
      </c>
    </row>
    <row r="7101" spans="6:19" hidden="1" x14ac:dyDescent="0.25">
      <c r="F7101" t="s">
        <v>1099</v>
      </c>
      <c r="G7101" t="s">
        <v>449</v>
      </c>
      <c r="H7101" t="str">
        <f>VLOOKUP(record[[#This Row],[ProcessSN]],表格2_7[],2,FALSE)</f>
        <v>30-4118-018-6XX</v>
      </c>
      <c r="I7101" t="str">
        <f>VLOOKUP(record[[#This Row],[ProcessSN]],表格2_7[],3,FALSE)</f>
        <v>#05</v>
      </c>
      <c r="J7101" t="s">
        <v>588</v>
      </c>
      <c r="K7101" s="195">
        <v>45952.315011574072</v>
      </c>
      <c r="L7101">
        <v>287</v>
      </c>
      <c r="M7101">
        <v>0</v>
      </c>
      <c r="N7101" s="98" t="str">
        <f>IF(record[[#This Row],[Memo]]="Browser:chrome os:android","平板報工",IF(record[[#This Row],[Memo]]=0,"委外",record[[#This Row],[Memo]]))</f>
        <v/>
      </c>
      <c r="O7101" t="s">
        <v>58</v>
      </c>
      <c r="P7101" t="s">
        <v>135</v>
      </c>
      <c r="Q7101" t="s">
        <v>58</v>
      </c>
      <c r="R7101" t="str">
        <f>IFERROR(VLOOKUP(record[[#This Row],[PCUSTID]],廠商[],2,FALSE),"")</f>
        <v/>
      </c>
      <c r="S7101" t="str">
        <f>VLOOKUP(record[[#This Row],[employeeID]],員工[],2,FALSE)</f>
        <v>阮士文</v>
      </c>
    </row>
    <row r="7102" spans="6:19" hidden="1" x14ac:dyDescent="0.25">
      <c r="F7102" t="s">
        <v>1099</v>
      </c>
      <c r="G7102" t="s">
        <v>448</v>
      </c>
      <c r="H7102" t="str">
        <f>VLOOKUP(record[[#This Row],[ProcessSN]],表格2_7[],2,FALSE)</f>
        <v>30-4118-018-6XX</v>
      </c>
      <c r="I7102" t="str">
        <f>VLOOKUP(record[[#This Row],[ProcessSN]],表格2_7[],3,FALSE)</f>
        <v>#04</v>
      </c>
      <c r="J7102" t="s">
        <v>588</v>
      </c>
      <c r="K7102" s="195">
        <v>45952.314421296294</v>
      </c>
      <c r="L7102">
        <v>128</v>
      </c>
      <c r="M7102">
        <v>0</v>
      </c>
      <c r="N7102" s="98" t="str">
        <f>IF(record[[#This Row],[Memo]]="Browser:chrome os:android","平板報工",IF(record[[#This Row],[Memo]]=0,"委外",record[[#This Row],[Memo]]))</f>
        <v/>
      </c>
      <c r="O7102" t="s">
        <v>58</v>
      </c>
      <c r="P7102" t="s">
        <v>135</v>
      </c>
      <c r="Q7102" t="s">
        <v>58</v>
      </c>
      <c r="R7102" t="str">
        <f>IFERROR(VLOOKUP(record[[#This Row],[PCUSTID]],廠商[],2,FALSE),"")</f>
        <v/>
      </c>
      <c r="S7102" t="str">
        <f>VLOOKUP(record[[#This Row],[employeeID]],員工[],2,FALSE)</f>
        <v>阮士文</v>
      </c>
    </row>
    <row r="7103" spans="6:19" hidden="1" x14ac:dyDescent="0.25">
      <c r="F7103" t="s">
        <v>1099</v>
      </c>
      <c r="G7103" t="s">
        <v>450</v>
      </c>
      <c r="H7103" t="str">
        <f>VLOOKUP(record[[#This Row],[ProcessSN]],表格2_7[],2,FALSE)</f>
        <v>30-4118-018-6XX</v>
      </c>
      <c r="I7103" t="str">
        <f>VLOOKUP(record[[#This Row],[ProcessSN]],表格2_7[],3,FALSE)</f>
        <v>#06</v>
      </c>
      <c r="J7103" t="s">
        <v>593</v>
      </c>
      <c r="K7103" s="195">
        <v>45951.972881944443</v>
      </c>
      <c r="L7103">
        <v>115</v>
      </c>
      <c r="M7103">
        <v>9</v>
      </c>
      <c r="N7103" s="98" t="str">
        <f>IF(record[[#This Row],[Memo]]="Browser:chrome os:android","平板報工",IF(record[[#This Row],[Memo]]=0,"委外",record[[#This Row],[Memo]]))</f>
        <v/>
      </c>
      <c r="O7103" t="s">
        <v>58</v>
      </c>
      <c r="P7103" t="s">
        <v>176</v>
      </c>
      <c r="Q7103" t="s">
        <v>58</v>
      </c>
      <c r="R7103" t="str">
        <f>IFERROR(VLOOKUP(record[[#This Row],[PCUSTID]],廠商[],2,FALSE),"")</f>
        <v/>
      </c>
      <c r="S7103" t="str">
        <f>VLOOKUP(record[[#This Row],[employeeID]],員工[],2,FALSE)</f>
        <v>郭政雄</v>
      </c>
    </row>
    <row r="7104" spans="6:19" hidden="1" x14ac:dyDescent="0.25">
      <c r="F7104" t="s">
        <v>1099</v>
      </c>
      <c r="G7104" t="s">
        <v>448</v>
      </c>
      <c r="H7104" t="str">
        <f>VLOOKUP(record[[#This Row],[ProcessSN]],表格2_7[],2,FALSE)</f>
        <v>30-4118-018-6XX</v>
      </c>
      <c r="I7104" t="str">
        <f>VLOOKUP(record[[#This Row],[ProcessSN]],表格2_7[],3,FALSE)</f>
        <v>#04</v>
      </c>
      <c r="J7104" t="s">
        <v>588</v>
      </c>
      <c r="K7104" s="195">
        <v>45951.970567129632</v>
      </c>
      <c r="L7104">
        <v>120</v>
      </c>
      <c r="M7104">
        <v>0</v>
      </c>
      <c r="N7104" s="98" t="str">
        <f>IF(record[[#This Row],[Memo]]="Browser:chrome os:android","平板報工",IF(record[[#This Row],[Memo]]=0,"委外",record[[#This Row],[Memo]]))</f>
        <v/>
      </c>
      <c r="O7104" t="s">
        <v>58</v>
      </c>
      <c r="P7104" t="s">
        <v>89</v>
      </c>
      <c r="Q7104" t="s">
        <v>58</v>
      </c>
      <c r="R7104" t="str">
        <f>IFERROR(VLOOKUP(record[[#This Row],[PCUSTID]],廠商[],2,FALSE),"")</f>
        <v/>
      </c>
      <c r="S7104" t="str">
        <f>VLOOKUP(record[[#This Row],[employeeID]],員工[],2,FALSE)</f>
        <v>李美蓮</v>
      </c>
    </row>
    <row r="7105" spans="6:19" hidden="1" x14ac:dyDescent="0.25">
      <c r="F7105" t="s">
        <v>1099</v>
      </c>
      <c r="G7105" t="s">
        <v>451</v>
      </c>
      <c r="H7105" t="str">
        <f>VLOOKUP(record[[#This Row],[ProcessSN]],表格2_7[],2,FALSE)</f>
        <v>30-4118-018-6XX</v>
      </c>
      <c r="I7105" t="str">
        <f>VLOOKUP(record[[#This Row],[ProcessSN]],表格2_7[],3,FALSE)</f>
        <v>#07</v>
      </c>
      <c r="J7105" t="s">
        <v>588</v>
      </c>
      <c r="K7105" s="195">
        <v>45951.969687500001</v>
      </c>
      <c r="L7105">
        <v>130</v>
      </c>
      <c r="M7105">
        <v>1</v>
      </c>
      <c r="N7105" s="98" t="str">
        <f>IF(record[[#This Row],[Memo]]="Browser:chrome os:android","平板報工",IF(record[[#This Row],[Memo]]=0,"委外",record[[#This Row],[Memo]]))</f>
        <v/>
      </c>
      <c r="O7105" t="s">
        <v>58</v>
      </c>
      <c r="P7105" t="s">
        <v>89</v>
      </c>
      <c r="Q7105" t="s">
        <v>58</v>
      </c>
      <c r="R7105" t="str">
        <f>IFERROR(VLOOKUP(record[[#This Row],[PCUSTID]],廠商[],2,FALSE),"")</f>
        <v/>
      </c>
      <c r="S7105" t="str">
        <f>VLOOKUP(record[[#This Row],[employeeID]],員工[],2,FALSE)</f>
        <v>李美蓮</v>
      </c>
    </row>
    <row r="7106" spans="6:19" hidden="1" x14ac:dyDescent="0.25">
      <c r="F7106" t="s">
        <v>1101</v>
      </c>
      <c r="G7106" t="s">
        <v>379</v>
      </c>
      <c r="H7106" t="str">
        <f>VLOOKUP(record[[#This Row],[ProcessSN]],表格2_7[],2,FALSE)</f>
        <v>30-4118-018-4XX</v>
      </c>
      <c r="I7106" t="str">
        <f>VLOOKUP(record[[#This Row],[ProcessSN]],表格2_7[],3,FALSE)</f>
        <v>#07STOCK</v>
      </c>
      <c r="J7106" t="s">
        <v>592</v>
      </c>
      <c r="K7106" s="195">
        <v>45951.679826388892</v>
      </c>
      <c r="L7106">
        <v>495</v>
      </c>
      <c r="M7106">
        <v>0</v>
      </c>
      <c r="N7106" s="98" t="str">
        <f>IF(record[[#This Row],[Memo]]="Browser:chrome os:android","平板報工",IF(record[[#This Row],[Memo]]=0,"委外",record[[#This Row],[Memo]]))</f>
        <v/>
      </c>
      <c r="O7106" t="s">
        <v>58</v>
      </c>
      <c r="P7106" t="s">
        <v>196</v>
      </c>
      <c r="Q7106" t="s">
        <v>58</v>
      </c>
      <c r="R7106" t="str">
        <f>IFERROR(VLOOKUP(record[[#This Row],[PCUSTID]],廠商[],2,FALSE),"")</f>
        <v/>
      </c>
      <c r="S7106" t="str">
        <f>VLOOKUP(record[[#This Row],[employeeID]],員工[],2,FALSE)</f>
        <v>張淑惠</v>
      </c>
    </row>
    <row r="7107" spans="6:19" hidden="1" x14ac:dyDescent="0.25">
      <c r="F7107" t="s">
        <v>1117</v>
      </c>
      <c r="G7107" t="s">
        <v>428</v>
      </c>
      <c r="H7107" t="str">
        <f>VLOOKUP(record[[#This Row],[ProcessSN]],表格2_7[],2,FALSE)</f>
        <v>30-4118-018-600</v>
      </c>
      <c r="I7107" t="str">
        <f>VLOOKUP(record[[#This Row],[ProcessSN]],表格2_7[],3,FALSE)</f>
        <v>#100SHIP</v>
      </c>
      <c r="J7107" t="s">
        <v>600</v>
      </c>
      <c r="K7107" s="195">
        <v>45951.67763888889</v>
      </c>
      <c r="L7107">
        <v>391</v>
      </c>
      <c r="M7107">
        <v>0</v>
      </c>
      <c r="N7107" s="98" t="str">
        <f>IF(record[[#This Row],[Memo]]="Browser:chrome os:android","平板報工",IF(record[[#This Row],[Memo]]=0,"委外",record[[#This Row],[Memo]]))</f>
        <v/>
      </c>
      <c r="O7107" t="s">
        <v>58</v>
      </c>
      <c r="P7107" t="s">
        <v>886</v>
      </c>
      <c r="Q7107" t="s">
        <v>58</v>
      </c>
      <c r="R7107" t="str">
        <f>IFERROR(VLOOKUP(record[[#This Row],[PCUSTID]],廠商[],2,FALSE),"")</f>
        <v/>
      </c>
      <c r="S7107" t="str">
        <f>VLOOKUP(record[[#This Row],[employeeID]],員工[],2,FALSE)</f>
        <v>謝蓁薰</v>
      </c>
    </row>
    <row r="7108" spans="6:19" hidden="1" x14ac:dyDescent="0.25">
      <c r="F7108" t="s">
        <v>1113</v>
      </c>
      <c r="G7108" t="s">
        <v>428</v>
      </c>
      <c r="H7108" t="str">
        <f>VLOOKUP(record[[#This Row],[ProcessSN]],表格2_7[],2,FALSE)</f>
        <v>30-4118-018-600</v>
      </c>
      <c r="I7108" t="str">
        <f>VLOOKUP(record[[#This Row],[ProcessSN]],表格2_7[],3,FALSE)</f>
        <v>#100SHIP</v>
      </c>
      <c r="J7108" t="s">
        <v>600</v>
      </c>
      <c r="K7108" s="195">
        <v>45951.677407407406</v>
      </c>
      <c r="L7108">
        <v>168</v>
      </c>
      <c r="M7108">
        <v>0</v>
      </c>
      <c r="N7108" s="98" t="str">
        <f>IF(record[[#This Row],[Memo]]="Browser:chrome os:android","平板報工",IF(record[[#This Row],[Memo]]=0,"委外",record[[#This Row],[Memo]]))</f>
        <v/>
      </c>
      <c r="O7108" t="s">
        <v>58</v>
      </c>
      <c r="P7108" t="s">
        <v>886</v>
      </c>
      <c r="Q7108" t="s">
        <v>58</v>
      </c>
      <c r="R7108" t="str">
        <f>IFERROR(VLOOKUP(record[[#This Row],[PCUSTID]],廠商[],2,FALSE),"")</f>
        <v/>
      </c>
      <c r="S7108" t="str">
        <f>VLOOKUP(record[[#This Row],[employeeID]],員工[],2,FALSE)</f>
        <v>謝蓁薰</v>
      </c>
    </row>
    <row r="7109" spans="6:19" hidden="1" x14ac:dyDescent="0.25">
      <c r="F7109" t="s">
        <v>1111</v>
      </c>
      <c r="G7109" t="s">
        <v>428</v>
      </c>
      <c r="H7109" t="str">
        <f>VLOOKUP(record[[#This Row],[ProcessSN]],表格2_7[],2,FALSE)</f>
        <v>30-4118-018-600</v>
      </c>
      <c r="I7109" t="str">
        <f>VLOOKUP(record[[#This Row],[ProcessSN]],表格2_7[],3,FALSE)</f>
        <v>#100SHIP</v>
      </c>
      <c r="J7109" t="s">
        <v>600</v>
      </c>
      <c r="K7109" s="195">
        <v>45951.67728009259</v>
      </c>
      <c r="L7109">
        <v>3</v>
      </c>
      <c r="M7109">
        <v>0</v>
      </c>
      <c r="N7109" s="98" t="str">
        <f>IF(record[[#This Row],[Memo]]="Browser:chrome os:android","平板報工",IF(record[[#This Row],[Memo]]=0,"委外",record[[#This Row],[Memo]]))</f>
        <v/>
      </c>
      <c r="O7109" t="s">
        <v>58</v>
      </c>
      <c r="P7109" t="s">
        <v>886</v>
      </c>
      <c r="Q7109" t="s">
        <v>58</v>
      </c>
      <c r="R7109" t="str">
        <f>IFERROR(VLOOKUP(record[[#This Row],[PCUSTID]],廠商[],2,FALSE),"")</f>
        <v/>
      </c>
      <c r="S7109" t="str">
        <f>VLOOKUP(record[[#This Row],[employeeID]],員工[],2,FALSE)</f>
        <v>謝蓁薰</v>
      </c>
    </row>
    <row r="7110" spans="6:19" hidden="1" x14ac:dyDescent="0.25">
      <c r="F7110" t="s">
        <v>1107</v>
      </c>
      <c r="G7110" t="s">
        <v>428</v>
      </c>
      <c r="H7110" t="str">
        <f>VLOOKUP(record[[#This Row],[ProcessSN]],表格2_7[],2,FALSE)</f>
        <v>30-4118-018-600</v>
      </c>
      <c r="I7110" t="str">
        <f>VLOOKUP(record[[#This Row],[ProcessSN]],表格2_7[],3,FALSE)</f>
        <v>#100SHIP</v>
      </c>
      <c r="J7110" t="s">
        <v>600</v>
      </c>
      <c r="K7110" s="195">
        <v>45951.677152777775</v>
      </c>
      <c r="L7110">
        <v>88</v>
      </c>
      <c r="M7110">
        <v>0</v>
      </c>
      <c r="N7110" s="98" t="str">
        <f>IF(record[[#This Row],[Memo]]="Browser:chrome os:android","平板報工",IF(record[[#This Row],[Memo]]=0,"委外",record[[#This Row],[Memo]]))</f>
        <v/>
      </c>
      <c r="O7110" t="s">
        <v>58</v>
      </c>
      <c r="P7110" t="s">
        <v>886</v>
      </c>
      <c r="Q7110" t="s">
        <v>58</v>
      </c>
      <c r="R7110" t="str">
        <f>IFERROR(VLOOKUP(record[[#This Row],[PCUSTID]],廠商[],2,FALSE),"")</f>
        <v/>
      </c>
      <c r="S7110" t="str">
        <f>VLOOKUP(record[[#This Row],[employeeID]],員工[],2,FALSE)</f>
        <v>謝蓁薰</v>
      </c>
    </row>
    <row r="7111" spans="6:19" hidden="1" x14ac:dyDescent="0.25">
      <c r="F7111" t="s">
        <v>1117</v>
      </c>
      <c r="G7111" t="s">
        <v>427</v>
      </c>
      <c r="H7111" t="str">
        <f>VLOOKUP(record[[#This Row],[ProcessSN]],表格2_7[],2,FALSE)</f>
        <v>30-4118-018-600</v>
      </c>
      <c r="I7111" t="str">
        <f>VLOOKUP(record[[#This Row],[ProcessSN]],表格2_7[],3,FALSE)</f>
        <v>#100STOCK</v>
      </c>
      <c r="J7111" t="s">
        <v>592</v>
      </c>
      <c r="K7111" s="195">
        <v>45951.67696759259</v>
      </c>
      <c r="L7111">
        <v>391</v>
      </c>
      <c r="M7111">
        <v>0</v>
      </c>
      <c r="N7111" s="98" t="str">
        <f>IF(record[[#This Row],[Memo]]="Browser:chrome os:android","平板報工",IF(record[[#This Row],[Memo]]=0,"委外",record[[#This Row],[Memo]]))</f>
        <v/>
      </c>
      <c r="O7111" t="s">
        <v>58</v>
      </c>
      <c r="P7111" t="s">
        <v>886</v>
      </c>
      <c r="Q7111" t="s">
        <v>58</v>
      </c>
      <c r="R7111" t="str">
        <f>IFERROR(VLOOKUP(record[[#This Row],[PCUSTID]],廠商[],2,FALSE),"")</f>
        <v/>
      </c>
      <c r="S7111" t="str">
        <f>VLOOKUP(record[[#This Row],[employeeID]],員工[],2,FALSE)</f>
        <v>謝蓁薰</v>
      </c>
    </row>
    <row r="7112" spans="6:19" hidden="1" x14ac:dyDescent="0.25">
      <c r="F7112" t="s">
        <v>1113</v>
      </c>
      <c r="G7112" t="s">
        <v>427</v>
      </c>
      <c r="H7112" t="str">
        <f>VLOOKUP(record[[#This Row],[ProcessSN]],表格2_7[],2,FALSE)</f>
        <v>30-4118-018-600</v>
      </c>
      <c r="I7112" t="str">
        <f>VLOOKUP(record[[#This Row],[ProcessSN]],表格2_7[],3,FALSE)</f>
        <v>#100STOCK</v>
      </c>
      <c r="J7112" t="s">
        <v>592</v>
      </c>
      <c r="K7112" s="195">
        <v>45951.676851851851</v>
      </c>
      <c r="L7112">
        <v>168</v>
      </c>
      <c r="M7112">
        <v>0</v>
      </c>
      <c r="N7112" s="98" t="str">
        <f>IF(record[[#This Row],[Memo]]="Browser:chrome os:android","平板報工",IF(record[[#This Row],[Memo]]=0,"委外",record[[#This Row],[Memo]]))</f>
        <v/>
      </c>
      <c r="O7112" t="s">
        <v>58</v>
      </c>
      <c r="P7112" t="s">
        <v>886</v>
      </c>
      <c r="Q7112" t="s">
        <v>58</v>
      </c>
      <c r="R7112" t="str">
        <f>IFERROR(VLOOKUP(record[[#This Row],[PCUSTID]],廠商[],2,FALSE),"")</f>
        <v/>
      </c>
      <c r="S7112" t="str">
        <f>VLOOKUP(record[[#This Row],[employeeID]],員工[],2,FALSE)</f>
        <v>謝蓁薰</v>
      </c>
    </row>
    <row r="7113" spans="6:19" hidden="1" x14ac:dyDescent="0.25">
      <c r="F7113" t="s">
        <v>1111</v>
      </c>
      <c r="G7113" t="s">
        <v>427</v>
      </c>
      <c r="H7113" t="str">
        <f>VLOOKUP(record[[#This Row],[ProcessSN]],表格2_7[],2,FALSE)</f>
        <v>30-4118-018-600</v>
      </c>
      <c r="I7113" t="str">
        <f>VLOOKUP(record[[#This Row],[ProcessSN]],表格2_7[],3,FALSE)</f>
        <v>#100STOCK</v>
      </c>
      <c r="J7113" t="s">
        <v>592</v>
      </c>
      <c r="K7113" s="195">
        <v>45951.676724537036</v>
      </c>
      <c r="L7113">
        <v>3</v>
      </c>
      <c r="M7113">
        <v>0</v>
      </c>
      <c r="N7113" s="98" t="str">
        <f>IF(record[[#This Row],[Memo]]="Browser:chrome os:android","平板報工",IF(record[[#This Row],[Memo]]=0,"委外",record[[#This Row],[Memo]]))</f>
        <v/>
      </c>
      <c r="O7113" t="s">
        <v>58</v>
      </c>
      <c r="P7113" t="s">
        <v>886</v>
      </c>
      <c r="Q7113" t="s">
        <v>58</v>
      </c>
      <c r="R7113" t="str">
        <f>IFERROR(VLOOKUP(record[[#This Row],[PCUSTID]],廠商[],2,FALSE),"")</f>
        <v/>
      </c>
      <c r="S7113" t="str">
        <f>VLOOKUP(record[[#This Row],[employeeID]],員工[],2,FALSE)</f>
        <v>謝蓁薰</v>
      </c>
    </row>
    <row r="7114" spans="6:19" hidden="1" x14ac:dyDescent="0.25">
      <c r="F7114" t="s">
        <v>1107</v>
      </c>
      <c r="G7114" t="s">
        <v>427</v>
      </c>
      <c r="H7114" t="str">
        <f>VLOOKUP(record[[#This Row],[ProcessSN]],表格2_7[],2,FALSE)</f>
        <v>30-4118-018-600</v>
      </c>
      <c r="I7114" t="str">
        <f>VLOOKUP(record[[#This Row],[ProcessSN]],表格2_7[],3,FALSE)</f>
        <v>#100STOCK</v>
      </c>
      <c r="J7114" t="s">
        <v>592</v>
      </c>
      <c r="K7114" s="195">
        <v>45951.676585648151</v>
      </c>
      <c r="L7114">
        <v>88</v>
      </c>
      <c r="M7114">
        <v>0</v>
      </c>
      <c r="N7114" s="98" t="str">
        <f>IF(record[[#This Row],[Memo]]="Browser:chrome os:android","平板報工",IF(record[[#This Row],[Memo]]=0,"委外",record[[#This Row],[Memo]]))</f>
        <v/>
      </c>
      <c r="O7114" t="s">
        <v>58</v>
      </c>
      <c r="P7114" t="s">
        <v>886</v>
      </c>
      <c r="Q7114" t="s">
        <v>58</v>
      </c>
      <c r="R7114" t="str">
        <f>IFERROR(VLOOKUP(record[[#This Row],[PCUSTID]],廠商[],2,FALSE),"")</f>
        <v/>
      </c>
      <c r="S7114" t="str">
        <f>VLOOKUP(record[[#This Row],[employeeID]],員工[],2,FALSE)</f>
        <v>謝蓁薰</v>
      </c>
    </row>
    <row r="7115" spans="6:19" hidden="1" x14ac:dyDescent="0.25">
      <c r="F7115" t="s">
        <v>1064</v>
      </c>
      <c r="G7115" t="s">
        <v>403</v>
      </c>
      <c r="H7115" t="str">
        <f>VLOOKUP(record[[#This Row],[ProcessSN]],表格2_7[],2,FALSE)</f>
        <v>30-4118-018-550</v>
      </c>
      <c r="I7115" t="str">
        <f>VLOOKUP(record[[#This Row],[ProcessSN]],表格2_7[],3,FALSE)</f>
        <v>#100SHIP</v>
      </c>
      <c r="J7115" t="s">
        <v>600</v>
      </c>
      <c r="K7115" s="195">
        <v>45951.676388888889</v>
      </c>
      <c r="L7115">
        <v>4</v>
      </c>
      <c r="M7115">
        <v>0</v>
      </c>
      <c r="N7115" s="98" t="str">
        <f>IF(record[[#This Row],[Memo]]="Browser:chrome os:android","平板報工",IF(record[[#This Row],[Memo]]=0,"委外",record[[#This Row],[Memo]]))</f>
        <v/>
      </c>
      <c r="O7115" t="s">
        <v>58</v>
      </c>
      <c r="P7115" t="s">
        <v>886</v>
      </c>
      <c r="Q7115" t="s">
        <v>58</v>
      </c>
      <c r="R7115" t="str">
        <f>IFERROR(VLOOKUP(record[[#This Row],[PCUSTID]],廠商[],2,FALSE),"")</f>
        <v/>
      </c>
      <c r="S7115" t="str">
        <f>VLOOKUP(record[[#This Row],[employeeID]],員工[],2,FALSE)</f>
        <v>謝蓁薰</v>
      </c>
    </row>
    <row r="7116" spans="6:19" hidden="1" x14ac:dyDescent="0.25">
      <c r="F7116" t="s">
        <v>1059</v>
      </c>
      <c r="G7116" t="s">
        <v>403</v>
      </c>
      <c r="H7116" t="str">
        <f>VLOOKUP(record[[#This Row],[ProcessSN]],表格2_7[],2,FALSE)</f>
        <v>30-4118-018-550</v>
      </c>
      <c r="I7116" t="str">
        <f>VLOOKUP(record[[#This Row],[ProcessSN]],表格2_7[],3,FALSE)</f>
        <v>#100SHIP</v>
      </c>
      <c r="J7116" t="s">
        <v>600</v>
      </c>
      <c r="K7116" s="195">
        <v>45951.676226851851</v>
      </c>
      <c r="L7116">
        <v>216</v>
      </c>
      <c r="M7116">
        <v>0</v>
      </c>
      <c r="N7116" s="98" t="str">
        <f>IF(record[[#This Row],[Memo]]="Browser:chrome os:android","平板報工",IF(record[[#This Row],[Memo]]=0,"委外",record[[#This Row],[Memo]]))</f>
        <v/>
      </c>
      <c r="O7116" t="s">
        <v>58</v>
      </c>
      <c r="P7116" t="s">
        <v>886</v>
      </c>
      <c r="Q7116" t="s">
        <v>58</v>
      </c>
      <c r="R7116" t="str">
        <f>IFERROR(VLOOKUP(record[[#This Row],[PCUSTID]],廠商[],2,FALSE),"")</f>
        <v/>
      </c>
      <c r="S7116" t="str">
        <f>VLOOKUP(record[[#This Row],[employeeID]],員工[],2,FALSE)</f>
        <v>謝蓁薰</v>
      </c>
    </row>
    <row r="7117" spans="6:19" hidden="1" x14ac:dyDescent="0.25">
      <c r="F7117" t="s">
        <v>1059</v>
      </c>
      <c r="G7117" t="s">
        <v>402</v>
      </c>
      <c r="H7117" t="str">
        <f>VLOOKUP(record[[#This Row],[ProcessSN]],表格2_7[],2,FALSE)</f>
        <v>30-4118-018-550</v>
      </c>
      <c r="I7117" t="str">
        <f>VLOOKUP(record[[#This Row],[ProcessSN]],表格2_7[],3,FALSE)</f>
        <v>#100STOCK</v>
      </c>
      <c r="J7117" t="s">
        <v>592</v>
      </c>
      <c r="K7117" s="195">
        <v>45951.676122685189</v>
      </c>
      <c r="L7117">
        <v>216</v>
      </c>
      <c r="M7117">
        <v>0</v>
      </c>
      <c r="N7117" s="98" t="str">
        <f>IF(record[[#This Row],[Memo]]="Browser:chrome os:android","平板報工",IF(record[[#This Row],[Memo]]=0,"委外",record[[#This Row],[Memo]]))</f>
        <v/>
      </c>
      <c r="O7117" t="s">
        <v>58</v>
      </c>
      <c r="P7117" t="s">
        <v>886</v>
      </c>
      <c r="Q7117" t="s">
        <v>58</v>
      </c>
      <c r="R7117" t="str">
        <f>IFERROR(VLOOKUP(record[[#This Row],[PCUSTID]],廠商[],2,FALSE),"")</f>
        <v/>
      </c>
      <c r="S7117" t="str">
        <f>VLOOKUP(record[[#This Row],[employeeID]],員工[],2,FALSE)</f>
        <v>謝蓁薰</v>
      </c>
    </row>
    <row r="7118" spans="6:19" hidden="1" x14ac:dyDescent="0.25">
      <c r="F7118" t="s">
        <v>1122</v>
      </c>
      <c r="G7118" t="s">
        <v>362</v>
      </c>
      <c r="H7118" t="str">
        <f>VLOOKUP(record[[#This Row],[ProcessSN]],表格2_7[],2,FALSE)</f>
        <v>30-4118-018-450</v>
      </c>
      <c r="I7118" t="str">
        <f>VLOOKUP(record[[#This Row],[ProcessSN]],表格2_7[],3,FALSE)</f>
        <v>#100SHIP</v>
      </c>
      <c r="J7118" t="s">
        <v>600</v>
      </c>
      <c r="K7118" s="195">
        <v>45951.675937499997</v>
      </c>
      <c r="L7118">
        <v>177</v>
      </c>
      <c r="M7118">
        <v>0</v>
      </c>
      <c r="N7118" s="98" t="str">
        <f>IF(record[[#This Row],[Memo]]="Browser:chrome os:android","平板報工",IF(record[[#This Row],[Memo]]=0,"委外",record[[#This Row],[Memo]]))</f>
        <v/>
      </c>
      <c r="O7118" t="s">
        <v>58</v>
      </c>
      <c r="P7118" t="s">
        <v>886</v>
      </c>
      <c r="Q7118" t="s">
        <v>58</v>
      </c>
      <c r="R7118" t="str">
        <f>IFERROR(VLOOKUP(record[[#This Row],[PCUSTID]],廠商[],2,FALSE),"")</f>
        <v/>
      </c>
      <c r="S7118" t="str">
        <f>VLOOKUP(record[[#This Row],[employeeID]],員工[],2,FALSE)</f>
        <v>謝蓁薰</v>
      </c>
    </row>
    <row r="7119" spans="6:19" hidden="1" x14ac:dyDescent="0.25">
      <c r="F7119" t="s">
        <v>1122</v>
      </c>
      <c r="G7119" t="s">
        <v>361</v>
      </c>
      <c r="H7119" t="str">
        <f>VLOOKUP(record[[#This Row],[ProcessSN]],表格2_7[],2,FALSE)</f>
        <v>30-4118-018-450</v>
      </c>
      <c r="I7119" t="str">
        <f>VLOOKUP(record[[#This Row],[ProcessSN]],表格2_7[],3,FALSE)</f>
        <v>#100STOCK</v>
      </c>
      <c r="J7119" t="s">
        <v>592</v>
      </c>
      <c r="K7119" s="195">
        <v>45951.675775462965</v>
      </c>
      <c r="L7119">
        <v>177</v>
      </c>
      <c r="M7119">
        <v>0</v>
      </c>
      <c r="N7119" s="98" t="str">
        <f>IF(record[[#This Row],[Memo]]="Browser:chrome os:android","平板報工",IF(record[[#This Row],[Memo]]=0,"委外",record[[#This Row],[Memo]]))</f>
        <v/>
      </c>
      <c r="O7119" t="s">
        <v>58</v>
      </c>
      <c r="P7119" t="s">
        <v>886</v>
      </c>
      <c r="Q7119" t="s">
        <v>58</v>
      </c>
      <c r="R7119" t="str">
        <f>IFERROR(VLOOKUP(record[[#This Row],[PCUSTID]],廠商[],2,FALSE),"")</f>
        <v/>
      </c>
      <c r="S7119" t="str">
        <f>VLOOKUP(record[[#This Row],[employeeID]],員工[],2,FALSE)</f>
        <v>謝蓁薰</v>
      </c>
    </row>
    <row r="7120" spans="6:19" hidden="1" x14ac:dyDescent="0.25">
      <c r="F7120" t="s">
        <v>1045</v>
      </c>
      <c r="G7120" t="s">
        <v>362</v>
      </c>
      <c r="H7120" t="str">
        <f>VLOOKUP(record[[#This Row],[ProcessSN]],表格2_7[],2,FALSE)</f>
        <v>30-4118-018-450</v>
      </c>
      <c r="I7120" t="str">
        <f>VLOOKUP(record[[#This Row],[ProcessSN]],表格2_7[],3,FALSE)</f>
        <v>#100SHIP</v>
      </c>
      <c r="J7120" t="s">
        <v>600</v>
      </c>
      <c r="K7120" s="195">
        <v>45951.67560185185</v>
      </c>
      <c r="L7120">
        <v>178</v>
      </c>
      <c r="M7120">
        <v>0</v>
      </c>
      <c r="N7120" s="98" t="str">
        <f>IF(record[[#This Row],[Memo]]="Browser:chrome os:android","平板報工",IF(record[[#This Row],[Memo]]=0,"委外",record[[#This Row],[Memo]]))</f>
        <v/>
      </c>
      <c r="O7120" t="s">
        <v>58</v>
      </c>
      <c r="P7120" t="s">
        <v>886</v>
      </c>
      <c r="Q7120" t="s">
        <v>58</v>
      </c>
      <c r="R7120" t="str">
        <f>IFERROR(VLOOKUP(record[[#This Row],[PCUSTID]],廠商[],2,FALSE),"")</f>
        <v/>
      </c>
      <c r="S7120" t="str">
        <f>VLOOKUP(record[[#This Row],[employeeID]],員工[],2,FALSE)</f>
        <v>謝蓁薰</v>
      </c>
    </row>
    <row r="7121" spans="6:19" hidden="1" x14ac:dyDescent="0.25">
      <c r="F7121" t="s">
        <v>1101</v>
      </c>
      <c r="G7121" t="s">
        <v>378</v>
      </c>
      <c r="H7121" t="str">
        <f>VLOOKUP(record[[#This Row],[ProcessSN]],表格2_7[],2,FALSE)</f>
        <v>30-4118-018-4XX</v>
      </c>
      <c r="I7121" t="str">
        <f>VLOOKUP(record[[#This Row],[ProcessSN]],表格2_7[],3,FALSE)</f>
        <v>#07QC</v>
      </c>
      <c r="J7121" t="s">
        <v>589</v>
      </c>
      <c r="K7121" s="195">
        <v>45951.670902777776</v>
      </c>
      <c r="L7121">
        <v>0</v>
      </c>
      <c r="M7121">
        <v>1</v>
      </c>
      <c r="N7121" s="98" t="str">
        <f>IF(record[[#This Row],[Memo]]="Browser:chrome os:android","平板報工",IF(record[[#This Row],[Memo]]=0,"委外",record[[#This Row],[Memo]]))</f>
        <v>平板報工</v>
      </c>
      <c r="O7121" t="s">
        <v>643</v>
      </c>
      <c r="P7121" t="s">
        <v>141</v>
      </c>
      <c r="Q7121" t="s">
        <v>644</v>
      </c>
      <c r="R7121" t="str">
        <f>IFERROR(VLOOKUP(record[[#This Row],[PCUSTID]],廠商[],2,FALSE),"")</f>
        <v/>
      </c>
      <c r="S7121" t="str">
        <f>VLOOKUP(record[[#This Row],[employeeID]],員工[],2,FALSE)</f>
        <v>蔣梅</v>
      </c>
    </row>
    <row r="7122" spans="6:19" hidden="1" x14ac:dyDescent="0.25">
      <c r="F7122" t="s">
        <v>1101</v>
      </c>
      <c r="G7122" t="s">
        <v>378</v>
      </c>
      <c r="H7122" t="str">
        <f>VLOOKUP(record[[#This Row],[ProcessSN]],表格2_7[],2,FALSE)</f>
        <v>30-4118-018-4XX</v>
      </c>
      <c r="I7122" t="str">
        <f>VLOOKUP(record[[#This Row],[ProcessSN]],表格2_7[],3,FALSE)</f>
        <v>#07QC</v>
      </c>
      <c r="J7122" t="s">
        <v>589</v>
      </c>
      <c r="K7122" s="195">
        <v>45951.670694444445</v>
      </c>
      <c r="L7122">
        <v>495</v>
      </c>
      <c r="M7122">
        <v>0</v>
      </c>
      <c r="N7122" s="98" t="str">
        <f>IF(record[[#This Row],[Memo]]="Browser:chrome os:android","平板報工",IF(record[[#This Row],[Memo]]=0,"委外",record[[#This Row],[Memo]]))</f>
        <v>平板報工</v>
      </c>
      <c r="O7122" t="s">
        <v>643</v>
      </c>
      <c r="P7122" t="s">
        <v>141</v>
      </c>
      <c r="Q7122" t="s">
        <v>644</v>
      </c>
      <c r="R7122" t="str">
        <f>IFERROR(VLOOKUP(record[[#This Row],[PCUSTID]],廠商[],2,FALSE),"")</f>
        <v/>
      </c>
      <c r="S7122" t="str">
        <f>VLOOKUP(record[[#This Row],[employeeID]],員工[],2,FALSE)</f>
        <v>蔣梅</v>
      </c>
    </row>
    <row r="7123" spans="6:19" hidden="1" x14ac:dyDescent="0.25">
      <c r="F7123" t="s">
        <v>1099</v>
      </c>
      <c r="G7123" t="s">
        <v>449</v>
      </c>
      <c r="H7123" t="str">
        <f>VLOOKUP(record[[#This Row],[ProcessSN]],表格2_7[],2,FALSE)</f>
        <v>30-4118-018-6XX</v>
      </c>
      <c r="I7123" t="str">
        <f>VLOOKUP(record[[#This Row],[ProcessSN]],表格2_7[],3,FALSE)</f>
        <v>#05</v>
      </c>
      <c r="J7123" t="s">
        <v>588</v>
      </c>
      <c r="K7123" s="195">
        <v>45951.658472222225</v>
      </c>
      <c r="L7123">
        <v>230</v>
      </c>
      <c r="M7123">
        <v>0</v>
      </c>
      <c r="N7123" s="98" t="str">
        <f>IF(record[[#This Row],[Memo]]="Browser:chrome os:android","平板報工",IF(record[[#This Row],[Memo]]=0,"委外",record[[#This Row],[Memo]]))</f>
        <v>平板報工</v>
      </c>
      <c r="O7123" t="s">
        <v>643</v>
      </c>
      <c r="P7123" t="s">
        <v>1098</v>
      </c>
      <c r="Q7123" t="s">
        <v>644</v>
      </c>
      <c r="R7123" t="str">
        <f>IFERROR(VLOOKUP(record[[#This Row],[PCUSTID]],廠商[],2,FALSE),"")</f>
        <v/>
      </c>
      <c r="S7123" t="str">
        <f>VLOOKUP(record[[#This Row],[employeeID]],員工[],2,FALSE)</f>
        <v>阮氏芳英(英)</v>
      </c>
    </row>
    <row r="7124" spans="6:19" hidden="1" x14ac:dyDescent="0.25">
      <c r="F7124" t="s">
        <v>1099</v>
      </c>
      <c r="G7124" t="s">
        <v>448</v>
      </c>
      <c r="H7124" t="str">
        <f>VLOOKUP(record[[#This Row],[ProcessSN]],表格2_7[],2,FALSE)</f>
        <v>30-4118-018-6XX</v>
      </c>
      <c r="I7124" t="str">
        <f>VLOOKUP(record[[#This Row],[ProcessSN]],表格2_7[],3,FALSE)</f>
        <v>#04</v>
      </c>
      <c r="J7124" t="s">
        <v>588</v>
      </c>
      <c r="K7124" s="195">
        <v>45951.656145833331</v>
      </c>
      <c r="L7124">
        <v>122</v>
      </c>
      <c r="M7124">
        <v>1</v>
      </c>
      <c r="N7124" s="98" t="str">
        <f>IF(record[[#This Row],[Memo]]="Browser:chrome os:android","平板報工",IF(record[[#This Row],[Memo]]=0,"委外",record[[#This Row],[Memo]]))</f>
        <v>平板報工</v>
      </c>
      <c r="O7124" t="s">
        <v>643</v>
      </c>
      <c r="P7124" t="s">
        <v>785</v>
      </c>
      <c r="Q7124" t="s">
        <v>644</v>
      </c>
      <c r="R7124" t="str">
        <f>IFERROR(VLOOKUP(record[[#This Row],[PCUSTID]],廠商[],2,FALSE),"")</f>
        <v/>
      </c>
      <c r="S7124" t="str">
        <f>VLOOKUP(record[[#This Row],[employeeID]],員工[],2,FALSE)</f>
        <v>謝刻光</v>
      </c>
    </row>
    <row r="7125" spans="6:19" hidden="1" x14ac:dyDescent="0.25">
      <c r="F7125" t="s">
        <v>1099</v>
      </c>
      <c r="G7125" t="s">
        <v>451</v>
      </c>
      <c r="H7125" t="str">
        <f>VLOOKUP(record[[#This Row],[ProcessSN]],表格2_7[],2,FALSE)</f>
        <v>30-4118-018-6XX</v>
      </c>
      <c r="I7125" t="str">
        <f>VLOOKUP(record[[#This Row],[ProcessSN]],表格2_7[],3,FALSE)</f>
        <v>#07</v>
      </c>
      <c r="J7125" t="s">
        <v>588</v>
      </c>
      <c r="K7125" s="195">
        <v>45951.655624999999</v>
      </c>
      <c r="L7125">
        <v>112</v>
      </c>
      <c r="M7125">
        <v>0</v>
      </c>
      <c r="N7125" s="98" t="str">
        <f>IF(record[[#This Row],[Memo]]="Browser:chrome os:android","平板報工",IF(record[[#This Row],[Memo]]=0,"委外",record[[#This Row],[Memo]]))</f>
        <v>平板報工</v>
      </c>
      <c r="O7125" t="s">
        <v>643</v>
      </c>
      <c r="P7125" t="s">
        <v>785</v>
      </c>
      <c r="Q7125" t="s">
        <v>644</v>
      </c>
      <c r="R7125" t="str">
        <f>IFERROR(VLOOKUP(record[[#This Row],[PCUSTID]],廠商[],2,FALSE),"")</f>
        <v/>
      </c>
      <c r="S7125" t="str">
        <f>VLOOKUP(record[[#This Row],[employeeID]],員工[],2,FALSE)</f>
        <v>謝刻光</v>
      </c>
    </row>
    <row r="7126" spans="6:19" hidden="1" x14ac:dyDescent="0.25">
      <c r="F7126" t="s">
        <v>1043</v>
      </c>
      <c r="G7126" t="s">
        <v>466</v>
      </c>
      <c r="H7126" t="str">
        <f>VLOOKUP(record[[#This Row],[ProcessSN]],表格2_7[],2,FALSE)</f>
        <v>30-4118-018-XXX</v>
      </c>
      <c r="I7126" t="str">
        <f>VLOOKUP(record[[#This Row],[ProcessSN]],表格2_7[],3,FALSE)</f>
        <v>#01-2</v>
      </c>
      <c r="J7126" t="s">
        <v>588</v>
      </c>
      <c r="K7126" s="195">
        <v>45951.649861111109</v>
      </c>
      <c r="L7126">
        <v>380</v>
      </c>
      <c r="M7126">
        <v>2</v>
      </c>
      <c r="N7126" s="98" t="str">
        <f>IF(record[[#This Row],[Memo]]="Browser:chrome os:android","平板報工",IF(record[[#This Row],[Memo]]=0,"委外",record[[#This Row],[Memo]]))</f>
        <v>平板報工</v>
      </c>
      <c r="O7126" t="s">
        <v>643</v>
      </c>
      <c r="P7126" t="s">
        <v>107</v>
      </c>
      <c r="Q7126" t="s">
        <v>644</v>
      </c>
      <c r="R7126" t="str">
        <f>IFERROR(VLOOKUP(record[[#This Row],[PCUSTID]],廠商[],2,FALSE),"")</f>
        <v/>
      </c>
      <c r="S7126" t="str">
        <f>VLOOKUP(record[[#This Row],[employeeID]],員工[],2,FALSE)</f>
        <v>黎氏順</v>
      </c>
    </row>
    <row r="7127" spans="6:19" hidden="1" x14ac:dyDescent="0.25">
      <c r="F7127" t="s">
        <v>1136</v>
      </c>
      <c r="G7127" t="s">
        <v>356</v>
      </c>
      <c r="H7127" t="str">
        <f>VLOOKUP(record[[#This Row],[ProcessSN]],表格2_7[],2,FALSE)</f>
        <v>30-4118-018-450</v>
      </c>
      <c r="I7127" t="str">
        <f>VLOOKUP(record[[#This Row],[ProcessSN]],表格2_7[],3,FALSE)</f>
        <v>#08</v>
      </c>
      <c r="J7127" t="s">
        <v>597</v>
      </c>
      <c r="K7127" s="195">
        <v>45951.646423611113</v>
      </c>
      <c r="L7127">
        <v>495</v>
      </c>
      <c r="M7127">
        <v>0</v>
      </c>
      <c r="N7127" s="98" t="str">
        <f>IF(record[[#This Row],[Memo]]="Browser:chrome os:android","平板報工",IF(record[[#This Row],[Memo]]=0,"委外",record[[#This Row],[Memo]]))</f>
        <v>委外</v>
      </c>
      <c r="P7127" t="s">
        <v>186</v>
      </c>
      <c r="Q7127" t="s">
        <v>287</v>
      </c>
      <c r="R7127" t="str">
        <f>IFERROR(VLOOKUP(record[[#This Row],[PCUSTID]],廠商[],2,FALSE),"")</f>
        <v>泉盛</v>
      </c>
      <c r="S7127" t="str">
        <f>VLOOKUP(record[[#This Row],[employeeID]],員工[],2,FALSE)</f>
        <v>許文姍</v>
      </c>
    </row>
    <row r="7128" spans="6:19" hidden="1" x14ac:dyDescent="0.25">
      <c r="F7128" t="s">
        <v>1099</v>
      </c>
      <c r="G7128" t="s">
        <v>450</v>
      </c>
      <c r="H7128" t="str">
        <f>VLOOKUP(record[[#This Row],[ProcessSN]],表格2_7[],2,FALSE)</f>
        <v>30-4118-018-6XX</v>
      </c>
      <c r="I7128" t="str">
        <f>VLOOKUP(record[[#This Row],[ProcessSN]],表格2_7[],3,FALSE)</f>
        <v>#06</v>
      </c>
      <c r="J7128" t="s">
        <v>593</v>
      </c>
      <c r="K7128" s="195">
        <v>45951.644467592596</v>
      </c>
      <c r="L7128">
        <v>179</v>
      </c>
      <c r="M7128">
        <v>6</v>
      </c>
      <c r="N7128" s="98" t="str">
        <f>IF(record[[#This Row],[Memo]]="Browser:chrome os:android","平板報工",IF(record[[#This Row],[Memo]]=0,"委外",record[[#This Row],[Memo]]))</f>
        <v>平板報工</v>
      </c>
      <c r="O7128" t="s">
        <v>643</v>
      </c>
      <c r="P7128" t="s">
        <v>111</v>
      </c>
      <c r="Q7128" t="s">
        <v>644</v>
      </c>
      <c r="R7128" t="str">
        <f>IFERROR(VLOOKUP(record[[#This Row],[PCUSTID]],廠商[],2,FALSE),"")</f>
        <v/>
      </c>
      <c r="S7128" t="str">
        <f>VLOOKUP(record[[#This Row],[employeeID]],員工[],2,FALSE)</f>
        <v>江栩妘</v>
      </c>
    </row>
    <row r="7129" spans="6:19" hidden="1" x14ac:dyDescent="0.25">
      <c r="F7129" t="s">
        <v>1101</v>
      </c>
      <c r="G7129" t="s">
        <v>377</v>
      </c>
      <c r="H7129" t="str">
        <f>VLOOKUP(record[[#This Row],[ProcessSN]],表格2_7[],2,FALSE)</f>
        <v>30-4118-018-4XX</v>
      </c>
      <c r="I7129" t="str">
        <f>VLOOKUP(record[[#This Row],[ProcessSN]],表格2_7[],3,FALSE)</f>
        <v>#07</v>
      </c>
      <c r="J7129" t="s">
        <v>588</v>
      </c>
      <c r="K7129" s="195">
        <v>45951.635289351849</v>
      </c>
      <c r="L7129">
        <v>22</v>
      </c>
      <c r="M7129">
        <v>0</v>
      </c>
      <c r="N7129" s="98" t="str">
        <f>IF(record[[#This Row],[Memo]]="Browser:chrome os:android","平板報工",IF(record[[#This Row],[Memo]]=0,"委外",record[[#This Row],[Memo]]))</f>
        <v>10/21補報10/16早中班22PCS</v>
      </c>
      <c r="O7129" t="s">
        <v>1138</v>
      </c>
      <c r="P7129" t="s">
        <v>1075</v>
      </c>
      <c r="Q7129" t="s">
        <v>58</v>
      </c>
      <c r="R7129" t="str">
        <f>IFERROR(VLOOKUP(record[[#This Row],[PCUSTID]],廠商[],2,FALSE),"")</f>
        <v/>
      </c>
      <c r="S7129" t="str">
        <f>VLOOKUP(record[[#This Row],[employeeID]],員工[],2,FALSE)</f>
        <v>吳宥叡</v>
      </c>
    </row>
    <row r="7130" spans="6:19" hidden="1" x14ac:dyDescent="0.25">
      <c r="F7130" t="s">
        <v>1117</v>
      </c>
      <c r="G7130" t="s">
        <v>426</v>
      </c>
      <c r="H7130" t="str">
        <f>VLOOKUP(record[[#This Row],[ProcessSN]],表格2_7[],2,FALSE)</f>
        <v>30-4118-018-600</v>
      </c>
      <c r="I7130" t="str">
        <f>VLOOKUP(record[[#This Row],[ProcessSN]],表格2_7[],3,FALSE)</f>
        <v>#100OQC</v>
      </c>
      <c r="J7130" t="s">
        <v>599</v>
      </c>
      <c r="K7130" s="195">
        <v>45951.611041666663</v>
      </c>
      <c r="L7130">
        <v>414</v>
      </c>
      <c r="M7130">
        <v>0</v>
      </c>
      <c r="N7130" s="98" t="str">
        <f>IF(record[[#This Row],[Memo]]="Browser:chrome os:android","平板報工",IF(record[[#This Row],[Memo]]=0,"委外",record[[#This Row],[Memo]]))</f>
        <v/>
      </c>
      <c r="O7130" t="s">
        <v>58</v>
      </c>
      <c r="P7130" t="s">
        <v>121</v>
      </c>
      <c r="Q7130" t="s">
        <v>58</v>
      </c>
      <c r="R7130" t="str">
        <f>IFERROR(VLOOKUP(record[[#This Row],[PCUSTID]],廠商[],2,FALSE),"")</f>
        <v/>
      </c>
      <c r="S7130" t="str">
        <f>VLOOKUP(record[[#This Row],[employeeID]],員工[],2,FALSE)</f>
        <v>謝素卿</v>
      </c>
    </row>
    <row r="7131" spans="6:19" hidden="1" x14ac:dyDescent="0.25">
      <c r="F7131" t="s">
        <v>1113</v>
      </c>
      <c r="G7131" t="s">
        <v>426</v>
      </c>
      <c r="H7131" t="str">
        <f>VLOOKUP(record[[#This Row],[ProcessSN]],表格2_7[],2,FALSE)</f>
        <v>30-4118-018-600</v>
      </c>
      <c r="I7131" t="str">
        <f>VLOOKUP(record[[#This Row],[ProcessSN]],表格2_7[],3,FALSE)</f>
        <v>#100OQC</v>
      </c>
      <c r="J7131" t="s">
        <v>599</v>
      </c>
      <c r="K7131" s="195">
        <v>45951.610914351855</v>
      </c>
      <c r="L7131">
        <v>168</v>
      </c>
      <c r="M7131">
        <v>0</v>
      </c>
      <c r="N7131" s="98" t="str">
        <f>IF(record[[#This Row],[Memo]]="Browser:chrome os:android","平板報工",IF(record[[#This Row],[Memo]]=0,"委外",record[[#This Row],[Memo]]))</f>
        <v/>
      </c>
      <c r="O7131" t="s">
        <v>58</v>
      </c>
      <c r="P7131" t="s">
        <v>121</v>
      </c>
      <c r="Q7131" t="s">
        <v>58</v>
      </c>
      <c r="R7131" t="str">
        <f>IFERROR(VLOOKUP(record[[#This Row],[PCUSTID]],廠商[],2,FALSE),"")</f>
        <v/>
      </c>
      <c r="S7131" t="str">
        <f>VLOOKUP(record[[#This Row],[employeeID]],員工[],2,FALSE)</f>
        <v>謝素卿</v>
      </c>
    </row>
    <row r="7132" spans="6:19" hidden="1" x14ac:dyDescent="0.25">
      <c r="F7132" t="s">
        <v>1122</v>
      </c>
      <c r="G7132" t="s">
        <v>360</v>
      </c>
      <c r="H7132" t="str">
        <f>VLOOKUP(record[[#This Row],[ProcessSN]],表格2_7[],2,FALSE)</f>
        <v>30-4118-018-450</v>
      </c>
      <c r="I7132" t="str">
        <f>VLOOKUP(record[[#This Row],[ProcessSN]],表格2_7[],3,FALSE)</f>
        <v>#100OQC</v>
      </c>
      <c r="J7132" t="s">
        <v>599</v>
      </c>
      <c r="K7132" s="195">
        <v>45951.61074074074</v>
      </c>
      <c r="L7132">
        <v>183</v>
      </c>
      <c r="M7132">
        <v>0</v>
      </c>
      <c r="N7132" s="98" t="str">
        <f>IF(record[[#This Row],[Memo]]="Browser:chrome os:android","平板報工",IF(record[[#This Row],[Memo]]=0,"委外",record[[#This Row],[Memo]]))</f>
        <v/>
      </c>
      <c r="O7132" t="s">
        <v>58</v>
      </c>
      <c r="P7132" t="s">
        <v>121</v>
      </c>
      <c r="Q7132" t="s">
        <v>58</v>
      </c>
      <c r="R7132" t="str">
        <f>IFERROR(VLOOKUP(record[[#This Row],[PCUSTID]],廠商[],2,FALSE),"")</f>
        <v/>
      </c>
      <c r="S7132" t="str">
        <f>VLOOKUP(record[[#This Row],[employeeID]],員工[],2,FALSE)</f>
        <v>謝素卿</v>
      </c>
    </row>
    <row r="7133" spans="6:19" hidden="1" x14ac:dyDescent="0.25">
      <c r="F7133" t="s">
        <v>1136</v>
      </c>
      <c r="G7133" t="s">
        <v>355</v>
      </c>
      <c r="H7133" t="str">
        <f>VLOOKUP(record[[#This Row],[ProcessSN]],表格2_7[],2,FALSE)</f>
        <v>30-4118-018-450</v>
      </c>
      <c r="I7133" t="str">
        <f>VLOOKUP(record[[#This Row],[ProcessSN]],表格2_7[],3,FALSE)</f>
        <v>#08PICK</v>
      </c>
      <c r="J7133" t="s">
        <v>582</v>
      </c>
      <c r="K7133" s="195">
        <v>45951.446944444448</v>
      </c>
      <c r="L7133">
        <v>495</v>
      </c>
      <c r="M7133">
        <v>0</v>
      </c>
      <c r="N7133" s="98" t="str">
        <f>IF(record[[#This Row],[Memo]]="Browser:chrome os:android","平板報工",IF(record[[#This Row],[Memo]]=0,"委外",record[[#This Row],[Memo]]))</f>
        <v/>
      </c>
      <c r="O7133" t="s">
        <v>58</v>
      </c>
      <c r="P7133" t="s">
        <v>196</v>
      </c>
      <c r="Q7133" t="s">
        <v>58</v>
      </c>
      <c r="R7133" t="str">
        <f>IFERROR(VLOOKUP(record[[#This Row],[PCUSTID]],廠商[],2,FALSE),"")</f>
        <v/>
      </c>
      <c r="S7133" t="str">
        <f>VLOOKUP(record[[#This Row],[employeeID]],員工[],2,FALSE)</f>
        <v>張淑惠</v>
      </c>
    </row>
    <row r="7134" spans="6:19" hidden="1" x14ac:dyDescent="0.25">
      <c r="F7134" t="s">
        <v>1101</v>
      </c>
      <c r="G7134" t="s">
        <v>379</v>
      </c>
      <c r="H7134" t="str">
        <f>VLOOKUP(record[[#This Row],[ProcessSN]],表格2_7[],2,FALSE)</f>
        <v>30-4118-018-4XX</v>
      </c>
      <c r="I7134" t="str">
        <f>VLOOKUP(record[[#This Row],[ProcessSN]],表格2_7[],3,FALSE)</f>
        <v>#07STOCK</v>
      </c>
      <c r="J7134" t="s">
        <v>592</v>
      </c>
      <c r="K7134" s="195">
        <v>45951.446157407408</v>
      </c>
      <c r="L7134">
        <v>316</v>
      </c>
      <c r="M7134">
        <v>0</v>
      </c>
      <c r="N7134" s="98" t="str">
        <f>IF(record[[#This Row],[Memo]]="Browser:chrome os:android","平板報工",IF(record[[#This Row],[Memo]]=0,"委外",record[[#This Row],[Memo]]))</f>
        <v/>
      </c>
      <c r="O7134" t="s">
        <v>58</v>
      </c>
      <c r="P7134" t="s">
        <v>196</v>
      </c>
      <c r="Q7134" t="s">
        <v>58</v>
      </c>
      <c r="R7134" t="str">
        <f>IFERROR(VLOOKUP(record[[#This Row],[PCUSTID]],廠商[],2,FALSE),"")</f>
        <v/>
      </c>
      <c r="S7134" t="str">
        <f>VLOOKUP(record[[#This Row],[employeeID]],員工[],2,FALSE)</f>
        <v>張淑惠</v>
      </c>
    </row>
    <row r="7135" spans="6:19" hidden="1" x14ac:dyDescent="0.25">
      <c r="F7135" t="s">
        <v>1099</v>
      </c>
      <c r="G7135" t="s">
        <v>450</v>
      </c>
      <c r="H7135" t="str">
        <f>VLOOKUP(record[[#This Row],[ProcessSN]],表格2_7[],2,FALSE)</f>
        <v>30-4118-018-6XX</v>
      </c>
      <c r="I7135" t="str">
        <f>VLOOKUP(record[[#This Row],[ProcessSN]],表格2_7[],3,FALSE)</f>
        <v>#06</v>
      </c>
      <c r="J7135" t="s">
        <v>593</v>
      </c>
      <c r="K7135" s="195">
        <v>45951.318113425928</v>
      </c>
      <c r="L7135">
        <v>257</v>
      </c>
      <c r="M7135">
        <v>0</v>
      </c>
      <c r="N7135" s="98" t="str">
        <f>IF(record[[#This Row],[Memo]]="Browser:chrome os:android","平板報工",IF(record[[#This Row],[Memo]]=0,"委外",record[[#This Row],[Memo]]))</f>
        <v/>
      </c>
      <c r="O7135" t="s">
        <v>58</v>
      </c>
      <c r="P7135" t="s">
        <v>135</v>
      </c>
      <c r="Q7135" t="s">
        <v>58</v>
      </c>
      <c r="R7135" t="str">
        <f>IFERROR(VLOOKUP(record[[#This Row],[PCUSTID]],廠商[],2,FALSE),"")</f>
        <v/>
      </c>
      <c r="S7135" t="str">
        <f>VLOOKUP(record[[#This Row],[employeeID]],員工[],2,FALSE)</f>
        <v>阮士文</v>
      </c>
    </row>
    <row r="7136" spans="6:19" hidden="1" x14ac:dyDescent="0.25">
      <c r="F7136" t="s">
        <v>1099</v>
      </c>
      <c r="G7136" t="s">
        <v>448</v>
      </c>
      <c r="H7136" t="str">
        <f>VLOOKUP(record[[#This Row],[ProcessSN]],表格2_7[],2,FALSE)</f>
        <v>30-4118-018-6XX</v>
      </c>
      <c r="I7136" t="str">
        <f>VLOOKUP(record[[#This Row],[ProcessSN]],表格2_7[],3,FALSE)</f>
        <v>#04</v>
      </c>
      <c r="J7136" t="s">
        <v>588</v>
      </c>
      <c r="K7136" s="195">
        <v>45951.314525462964</v>
      </c>
      <c r="L7136">
        <v>117</v>
      </c>
      <c r="M7136">
        <v>0</v>
      </c>
      <c r="N7136" s="98" t="str">
        <f>IF(record[[#This Row],[Memo]]="Browser:chrome os:android","平板報工",IF(record[[#This Row],[Memo]]=0,"委外",record[[#This Row],[Memo]]))</f>
        <v/>
      </c>
      <c r="O7136" t="s">
        <v>58</v>
      </c>
      <c r="P7136" t="s">
        <v>135</v>
      </c>
      <c r="Q7136" t="s">
        <v>58</v>
      </c>
      <c r="R7136" t="str">
        <f>IFERROR(VLOOKUP(record[[#This Row],[PCUSTID]],廠商[],2,FALSE),"")</f>
        <v/>
      </c>
      <c r="S7136" t="str">
        <f>VLOOKUP(record[[#This Row],[employeeID]],員工[],2,FALSE)</f>
        <v>阮士文</v>
      </c>
    </row>
    <row r="7137" spans="6:19" hidden="1" x14ac:dyDescent="0.25">
      <c r="F7137" t="s">
        <v>1099</v>
      </c>
      <c r="G7137" t="s">
        <v>449</v>
      </c>
      <c r="H7137" t="str">
        <f>VLOOKUP(record[[#This Row],[ProcessSN]],表格2_7[],2,FALSE)</f>
        <v>30-4118-018-6XX</v>
      </c>
      <c r="I7137" t="str">
        <f>VLOOKUP(record[[#This Row],[ProcessSN]],表格2_7[],3,FALSE)</f>
        <v>#05</v>
      </c>
      <c r="J7137" t="s">
        <v>588</v>
      </c>
      <c r="K7137" s="195">
        <v>45951.314097222225</v>
      </c>
      <c r="L7137">
        <v>272</v>
      </c>
      <c r="M7137">
        <v>0</v>
      </c>
      <c r="N7137" s="98" t="str">
        <f>IF(record[[#This Row],[Memo]]="Browser:chrome os:android","平板報工",IF(record[[#This Row],[Memo]]=0,"委外",record[[#This Row],[Memo]]))</f>
        <v/>
      </c>
      <c r="O7137" t="s">
        <v>58</v>
      </c>
      <c r="P7137" t="s">
        <v>135</v>
      </c>
      <c r="Q7137" t="s">
        <v>58</v>
      </c>
      <c r="R7137" t="str">
        <f>IFERROR(VLOOKUP(record[[#This Row],[PCUSTID]],廠商[],2,FALSE),"")</f>
        <v/>
      </c>
      <c r="S7137" t="str">
        <f>VLOOKUP(record[[#This Row],[employeeID]],員工[],2,FALSE)</f>
        <v>阮士文</v>
      </c>
    </row>
    <row r="7138" spans="6:19" hidden="1" x14ac:dyDescent="0.25">
      <c r="F7138" t="s">
        <v>1099</v>
      </c>
      <c r="G7138" t="s">
        <v>450</v>
      </c>
      <c r="H7138" t="str">
        <f>VLOOKUP(record[[#This Row],[ProcessSN]],表格2_7[],2,FALSE)</f>
        <v>30-4118-018-6XX</v>
      </c>
      <c r="I7138" t="str">
        <f>VLOOKUP(record[[#This Row],[ProcessSN]],表格2_7[],3,FALSE)</f>
        <v>#06</v>
      </c>
      <c r="J7138" t="s">
        <v>593</v>
      </c>
      <c r="K7138" s="195">
        <v>45950.963495370372</v>
      </c>
      <c r="L7138">
        <v>95</v>
      </c>
      <c r="M7138">
        <v>0</v>
      </c>
      <c r="N7138" s="98" t="str">
        <f>IF(record[[#This Row],[Memo]]="Browser:chrome os:android","平板報工",IF(record[[#This Row],[Memo]]=0,"委外",record[[#This Row],[Memo]]))</f>
        <v/>
      </c>
      <c r="O7138" t="s">
        <v>58</v>
      </c>
      <c r="P7138" t="s">
        <v>176</v>
      </c>
      <c r="Q7138" t="s">
        <v>58</v>
      </c>
      <c r="R7138" t="str">
        <f>IFERROR(VLOOKUP(record[[#This Row],[PCUSTID]],廠商[],2,FALSE),"")</f>
        <v/>
      </c>
      <c r="S7138" t="str">
        <f>VLOOKUP(record[[#This Row],[employeeID]],員工[],2,FALSE)</f>
        <v>郭政雄</v>
      </c>
    </row>
    <row r="7139" spans="6:19" hidden="1" x14ac:dyDescent="0.25">
      <c r="F7139" t="s">
        <v>1099</v>
      </c>
      <c r="G7139" t="s">
        <v>448</v>
      </c>
      <c r="H7139" t="str">
        <f>VLOOKUP(record[[#This Row],[ProcessSN]],表格2_7[],2,FALSE)</f>
        <v>30-4118-018-6XX</v>
      </c>
      <c r="I7139" t="str">
        <f>VLOOKUP(record[[#This Row],[ProcessSN]],表格2_7[],3,FALSE)</f>
        <v>#04</v>
      </c>
      <c r="J7139" t="s">
        <v>588</v>
      </c>
      <c r="K7139" s="195">
        <v>45950.962476851855</v>
      </c>
      <c r="L7139">
        <v>144</v>
      </c>
      <c r="M7139">
        <v>0</v>
      </c>
      <c r="N7139" s="98" t="str">
        <f>IF(record[[#This Row],[Memo]]="Browser:chrome os:android","平板報工",IF(record[[#This Row],[Memo]]=0,"委外",record[[#This Row],[Memo]]))</f>
        <v/>
      </c>
      <c r="O7139" t="s">
        <v>58</v>
      </c>
      <c r="P7139" t="s">
        <v>89</v>
      </c>
      <c r="Q7139" t="s">
        <v>58</v>
      </c>
      <c r="R7139" t="str">
        <f>IFERROR(VLOOKUP(record[[#This Row],[PCUSTID]],廠商[],2,FALSE),"")</f>
        <v/>
      </c>
      <c r="S7139" t="str">
        <f>VLOOKUP(record[[#This Row],[employeeID]],員工[],2,FALSE)</f>
        <v>李美蓮</v>
      </c>
    </row>
    <row r="7140" spans="6:19" hidden="1" x14ac:dyDescent="0.25">
      <c r="F7140" t="s">
        <v>1099</v>
      </c>
      <c r="G7140" t="s">
        <v>449</v>
      </c>
      <c r="H7140" t="str">
        <f>VLOOKUP(record[[#This Row],[ProcessSN]],表格2_7[],2,FALSE)</f>
        <v>30-4118-018-6XX</v>
      </c>
      <c r="I7140" t="str">
        <f>VLOOKUP(record[[#This Row],[ProcessSN]],表格2_7[],3,FALSE)</f>
        <v>#05</v>
      </c>
      <c r="J7140" t="s">
        <v>588</v>
      </c>
      <c r="K7140" s="195">
        <v>45950.927743055552</v>
      </c>
      <c r="L7140">
        <v>40</v>
      </c>
      <c r="M7140">
        <v>0</v>
      </c>
      <c r="N7140" s="98" t="str">
        <f>IF(record[[#This Row],[Memo]]="Browser:chrome os:android","平板報工",IF(record[[#This Row],[Memo]]=0,"委外",record[[#This Row],[Memo]]))</f>
        <v/>
      </c>
      <c r="O7140" t="s">
        <v>58</v>
      </c>
      <c r="P7140" t="s">
        <v>89</v>
      </c>
      <c r="Q7140" t="s">
        <v>58</v>
      </c>
      <c r="R7140" t="str">
        <f>IFERROR(VLOOKUP(record[[#This Row],[PCUSTID]],廠商[],2,FALSE),"")</f>
        <v/>
      </c>
      <c r="S7140" t="str">
        <f>VLOOKUP(record[[#This Row],[employeeID]],員工[],2,FALSE)</f>
        <v>李美蓮</v>
      </c>
    </row>
    <row r="7141" spans="6:19" hidden="1" x14ac:dyDescent="0.25">
      <c r="F7141" t="s">
        <v>1101</v>
      </c>
      <c r="G7141" t="s">
        <v>377</v>
      </c>
      <c r="H7141" t="str">
        <f>VLOOKUP(record[[#This Row],[ProcessSN]],表格2_7[],2,FALSE)</f>
        <v>30-4118-018-4XX</v>
      </c>
      <c r="I7141" t="str">
        <f>VLOOKUP(record[[#This Row],[ProcessSN]],表格2_7[],3,FALSE)</f>
        <v>#07</v>
      </c>
      <c r="J7141" t="s">
        <v>588</v>
      </c>
      <c r="K7141" s="195">
        <v>45950.927430555559</v>
      </c>
      <c r="L7141">
        <v>219</v>
      </c>
      <c r="M7141">
        <v>0</v>
      </c>
      <c r="N7141" s="98" t="str">
        <f>IF(record[[#This Row],[Memo]]="Browser:chrome os:android","平板報工",IF(record[[#This Row],[Memo]]=0,"委外",record[[#This Row],[Memo]]))</f>
        <v/>
      </c>
      <c r="O7141" t="s">
        <v>58</v>
      </c>
      <c r="P7141" t="s">
        <v>89</v>
      </c>
      <c r="Q7141" t="s">
        <v>58</v>
      </c>
      <c r="R7141" t="str">
        <f>IFERROR(VLOOKUP(record[[#This Row],[PCUSTID]],廠商[],2,FALSE),"")</f>
        <v/>
      </c>
      <c r="S7141" t="str">
        <f>VLOOKUP(record[[#This Row],[employeeID]],員工[],2,FALSE)</f>
        <v>李美蓮</v>
      </c>
    </row>
    <row r="7142" spans="6:19" hidden="1" x14ac:dyDescent="0.25">
      <c r="F7142" t="s">
        <v>1101</v>
      </c>
      <c r="G7142" t="s">
        <v>376</v>
      </c>
      <c r="H7142" t="str">
        <f>VLOOKUP(record[[#This Row],[ProcessSN]],表格2_7[],2,FALSE)</f>
        <v>30-4118-018-4XX</v>
      </c>
      <c r="I7142" t="str">
        <f>VLOOKUP(record[[#This Row],[ProcessSN]],表格2_7[],3,FALSE)</f>
        <v>#06</v>
      </c>
      <c r="J7142" t="s">
        <v>593</v>
      </c>
      <c r="K7142" s="195">
        <v>45950.926030092596</v>
      </c>
      <c r="L7142">
        <v>147</v>
      </c>
      <c r="M7142">
        <v>0</v>
      </c>
      <c r="N7142" s="98" t="str">
        <f>IF(record[[#This Row],[Memo]]="Browser:chrome os:android","平板報工",IF(record[[#This Row],[Memo]]=0,"委外",record[[#This Row],[Memo]]))</f>
        <v/>
      </c>
      <c r="O7142" t="s">
        <v>58</v>
      </c>
      <c r="P7142" t="s">
        <v>176</v>
      </c>
      <c r="Q7142" t="s">
        <v>58</v>
      </c>
      <c r="R7142" t="str">
        <f>IFERROR(VLOOKUP(record[[#This Row],[PCUSTID]],廠商[],2,FALSE),"")</f>
        <v/>
      </c>
      <c r="S7142" t="str">
        <f>VLOOKUP(record[[#This Row],[employeeID]],員工[],2,FALSE)</f>
        <v>郭政雄</v>
      </c>
    </row>
    <row r="7143" spans="6:19" hidden="1" x14ac:dyDescent="0.25">
      <c r="F7143" t="s">
        <v>1122</v>
      </c>
      <c r="G7143" t="s">
        <v>359</v>
      </c>
      <c r="H7143" t="str">
        <f>VLOOKUP(record[[#This Row],[ProcessSN]],表格2_7[],2,FALSE)</f>
        <v>30-4118-018-450</v>
      </c>
      <c r="I7143" t="str">
        <f>VLOOKUP(record[[#This Row],[ProcessSN]],表格2_7[],3,FALSE)</f>
        <v>#100</v>
      </c>
      <c r="J7143" t="s">
        <v>598</v>
      </c>
      <c r="K7143" s="195">
        <v>45950.666238425925</v>
      </c>
      <c r="L7143">
        <v>1</v>
      </c>
      <c r="M7143">
        <v>0</v>
      </c>
      <c r="N7143" s="98" t="str">
        <f>IF(record[[#This Row],[Memo]]="Browser:chrome os:android","平板報工",IF(record[[#This Row],[Memo]]=0,"委外",record[[#This Row],[Memo]]))</f>
        <v/>
      </c>
      <c r="O7143" t="s">
        <v>58</v>
      </c>
      <c r="P7143" t="s">
        <v>141</v>
      </c>
      <c r="Q7143" t="s">
        <v>58</v>
      </c>
      <c r="R7143" t="str">
        <f>IFERROR(VLOOKUP(record[[#This Row],[PCUSTID]],廠商[],2,FALSE),"")</f>
        <v/>
      </c>
      <c r="S7143" t="str">
        <f>VLOOKUP(record[[#This Row],[employeeID]],員工[],2,FALSE)</f>
        <v>蔣梅</v>
      </c>
    </row>
    <row r="7144" spans="6:19" hidden="1" x14ac:dyDescent="0.25">
      <c r="F7144" t="s">
        <v>1122</v>
      </c>
      <c r="G7144" t="s">
        <v>358</v>
      </c>
      <c r="H7144" t="str">
        <f>VLOOKUP(record[[#This Row],[ProcessSN]],表格2_7[],2,FALSE)</f>
        <v>30-4118-018-450</v>
      </c>
      <c r="I7144" t="str">
        <f>VLOOKUP(record[[#This Row],[ProcessSN]],表格2_7[],3,FALSE)</f>
        <v>#08IQC</v>
      </c>
      <c r="J7144" t="s">
        <v>583</v>
      </c>
      <c r="K7144" s="195">
        <v>45950.666041666664</v>
      </c>
      <c r="L7144">
        <v>1</v>
      </c>
      <c r="M7144">
        <v>0</v>
      </c>
      <c r="N7144" s="98" t="str">
        <f>IF(record[[#This Row],[Memo]]="Browser:chrome os:android","平板報工",IF(record[[#This Row],[Memo]]=0,"委外",record[[#This Row],[Memo]]))</f>
        <v>覆回品</v>
      </c>
      <c r="O7144" t="s">
        <v>664</v>
      </c>
      <c r="P7144" t="s">
        <v>113</v>
      </c>
      <c r="Q7144" t="s">
        <v>58</v>
      </c>
      <c r="R7144" t="str">
        <f>IFERROR(VLOOKUP(record[[#This Row],[PCUSTID]],廠商[],2,FALSE),"")</f>
        <v/>
      </c>
      <c r="S7144" t="str">
        <f>VLOOKUP(record[[#This Row],[employeeID]],員工[],2,FALSE)</f>
        <v>王奕蓁</v>
      </c>
    </row>
    <row r="7145" spans="6:19" hidden="1" x14ac:dyDescent="0.25">
      <c r="F7145" t="s">
        <v>1122</v>
      </c>
      <c r="G7145" t="s">
        <v>357</v>
      </c>
      <c r="H7145" t="str">
        <f>VLOOKUP(record[[#This Row],[ProcessSN]],表格2_7[],2,FALSE)</f>
        <v>30-4118-018-450</v>
      </c>
      <c r="I7145" t="str">
        <f>VLOOKUP(record[[#This Row],[ProcessSN]],表格2_7[],3,FALSE)</f>
        <v>#08RCV</v>
      </c>
      <c r="J7145" t="s">
        <v>591</v>
      </c>
      <c r="K7145" s="195">
        <v>45950.665277777778</v>
      </c>
      <c r="L7145">
        <v>1</v>
      </c>
      <c r="M7145">
        <v>-1</v>
      </c>
      <c r="N7145" s="98" t="str">
        <f>IF(record[[#This Row],[Memo]]="Browser:chrome os:android","平板報工",IF(record[[#This Row],[Memo]]=0,"委外",record[[#This Row],[Memo]]))</f>
        <v>覆回品</v>
      </c>
      <c r="O7145" t="s">
        <v>664</v>
      </c>
      <c r="P7145" t="s">
        <v>113</v>
      </c>
      <c r="Q7145" t="s">
        <v>58</v>
      </c>
      <c r="R7145" t="str">
        <f>IFERROR(VLOOKUP(record[[#This Row],[PCUSTID]],廠商[],2,FALSE),"")</f>
        <v/>
      </c>
      <c r="S7145" t="str">
        <f>VLOOKUP(record[[#This Row],[employeeID]],員工[],2,FALSE)</f>
        <v>王奕蓁</v>
      </c>
    </row>
    <row r="7146" spans="6:19" hidden="1" x14ac:dyDescent="0.25">
      <c r="F7146" t="s">
        <v>1117</v>
      </c>
      <c r="G7146" t="s">
        <v>425</v>
      </c>
      <c r="H7146" t="str">
        <f>VLOOKUP(record[[#This Row],[ProcessSN]],表格2_7[],2,FALSE)</f>
        <v>30-4118-018-600</v>
      </c>
      <c r="I7146" t="str">
        <f>VLOOKUP(record[[#This Row],[ProcessSN]],表格2_7[],3,FALSE)</f>
        <v>#100</v>
      </c>
      <c r="J7146" t="s">
        <v>598</v>
      </c>
      <c r="K7146" s="195">
        <v>45950.663449074076</v>
      </c>
      <c r="L7146">
        <v>414</v>
      </c>
      <c r="M7146">
        <v>0</v>
      </c>
      <c r="N7146" s="98" t="str">
        <f>IF(record[[#This Row],[Memo]]="Browser:chrome os:android","平板報工",IF(record[[#This Row],[Memo]]=0,"委外",record[[#This Row],[Memo]]))</f>
        <v/>
      </c>
      <c r="O7146" t="s">
        <v>58</v>
      </c>
      <c r="P7146" t="s">
        <v>141</v>
      </c>
      <c r="Q7146" t="s">
        <v>58</v>
      </c>
      <c r="R7146" t="str">
        <f>IFERROR(VLOOKUP(record[[#This Row],[PCUSTID]],廠商[],2,FALSE),"")</f>
        <v/>
      </c>
      <c r="S7146" t="str">
        <f>VLOOKUP(record[[#This Row],[employeeID]],員工[],2,FALSE)</f>
        <v>蔣梅</v>
      </c>
    </row>
    <row r="7147" spans="6:19" hidden="1" x14ac:dyDescent="0.25">
      <c r="F7147" t="s">
        <v>1113</v>
      </c>
      <c r="G7147" t="s">
        <v>425</v>
      </c>
      <c r="H7147" t="str">
        <f>VLOOKUP(record[[#This Row],[ProcessSN]],表格2_7[],2,FALSE)</f>
        <v>30-4118-018-600</v>
      </c>
      <c r="I7147" t="str">
        <f>VLOOKUP(record[[#This Row],[ProcessSN]],表格2_7[],3,FALSE)</f>
        <v>#100</v>
      </c>
      <c r="J7147" t="s">
        <v>598</v>
      </c>
      <c r="K7147" s="195">
        <v>45950.663171296299</v>
      </c>
      <c r="L7147">
        <v>168</v>
      </c>
      <c r="M7147">
        <v>0</v>
      </c>
      <c r="N7147" s="98" t="str">
        <f>IF(record[[#This Row],[Memo]]="Browser:chrome os:android","平板報工",IF(record[[#This Row],[Memo]]=0,"委外",record[[#This Row],[Memo]]))</f>
        <v/>
      </c>
      <c r="O7147" t="s">
        <v>58</v>
      </c>
      <c r="P7147" t="s">
        <v>141</v>
      </c>
      <c r="Q7147" t="s">
        <v>58</v>
      </c>
      <c r="R7147" t="str">
        <f>IFERROR(VLOOKUP(record[[#This Row],[PCUSTID]],廠商[],2,FALSE),"")</f>
        <v/>
      </c>
      <c r="S7147" t="str">
        <f>VLOOKUP(record[[#This Row],[employeeID]],員工[],2,FALSE)</f>
        <v>蔣梅</v>
      </c>
    </row>
    <row r="7148" spans="6:19" hidden="1" x14ac:dyDescent="0.25">
      <c r="F7148" t="s">
        <v>1122</v>
      </c>
      <c r="G7148" t="s">
        <v>359</v>
      </c>
      <c r="H7148" t="str">
        <f>VLOOKUP(record[[#This Row],[ProcessSN]],表格2_7[],2,FALSE)</f>
        <v>30-4118-018-450</v>
      </c>
      <c r="I7148" t="str">
        <f>VLOOKUP(record[[#This Row],[ProcessSN]],表格2_7[],3,FALSE)</f>
        <v>#100</v>
      </c>
      <c r="J7148" t="s">
        <v>598</v>
      </c>
      <c r="K7148" s="195">
        <v>45950.662256944444</v>
      </c>
      <c r="L7148">
        <v>182</v>
      </c>
      <c r="M7148">
        <v>0</v>
      </c>
      <c r="N7148" s="98" t="str">
        <f>IF(record[[#This Row],[Memo]]="Browser:chrome os:android","平板報工",IF(record[[#This Row],[Memo]]=0,"委外",record[[#This Row],[Memo]]))</f>
        <v/>
      </c>
      <c r="O7148" t="s">
        <v>58</v>
      </c>
      <c r="P7148" t="s">
        <v>141</v>
      </c>
      <c r="Q7148" t="s">
        <v>58</v>
      </c>
      <c r="R7148" t="str">
        <f>IFERROR(VLOOKUP(record[[#This Row],[PCUSTID]],廠商[],2,FALSE),"")</f>
        <v/>
      </c>
      <c r="S7148" t="str">
        <f>VLOOKUP(record[[#This Row],[employeeID]],員工[],2,FALSE)</f>
        <v>蔣梅</v>
      </c>
    </row>
    <row r="7149" spans="6:19" hidden="1" x14ac:dyDescent="0.25">
      <c r="F7149" t="s">
        <v>1101</v>
      </c>
      <c r="G7149" t="s">
        <v>377</v>
      </c>
      <c r="H7149" t="str">
        <f>VLOOKUP(record[[#This Row],[ProcessSN]],表格2_7[],2,FALSE)</f>
        <v>30-4118-018-4XX</v>
      </c>
      <c r="I7149" t="str">
        <f>VLOOKUP(record[[#This Row],[ProcessSN]],表格2_7[],3,FALSE)</f>
        <v>#07</v>
      </c>
      <c r="J7149" t="s">
        <v>588</v>
      </c>
      <c r="K7149" s="195">
        <v>45950.657777777778</v>
      </c>
      <c r="L7149">
        <v>190</v>
      </c>
      <c r="M7149">
        <v>0</v>
      </c>
      <c r="N7149" s="98" t="str">
        <f>IF(record[[#This Row],[Memo]]="Browser:chrome os:android","平板報工",IF(record[[#This Row],[Memo]]=0,"委外",record[[#This Row],[Memo]]))</f>
        <v>平板報工</v>
      </c>
      <c r="O7149" t="s">
        <v>643</v>
      </c>
      <c r="P7149" t="s">
        <v>785</v>
      </c>
      <c r="Q7149" t="s">
        <v>644</v>
      </c>
      <c r="R7149" t="str">
        <f>IFERROR(VLOOKUP(record[[#This Row],[PCUSTID]],廠商[],2,FALSE),"")</f>
        <v/>
      </c>
      <c r="S7149" t="str">
        <f>VLOOKUP(record[[#This Row],[employeeID]],員工[],2,FALSE)</f>
        <v>謝刻光</v>
      </c>
    </row>
    <row r="7150" spans="6:19" hidden="1" x14ac:dyDescent="0.25">
      <c r="F7150" t="s">
        <v>1101</v>
      </c>
      <c r="G7150" t="s">
        <v>376</v>
      </c>
      <c r="H7150" t="str">
        <f>VLOOKUP(record[[#This Row],[ProcessSN]],表格2_7[],2,FALSE)</f>
        <v>30-4118-018-4XX</v>
      </c>
      <c r="I7150" t="str">
        <f>VLOOKUP(record[[#This Row],[ProcessSN]],表格2_7[],3,FALSE)</f>
        <v>#06</v>
      </c>
      <c r="J7150" t="s">
        <v>593</v>
      </c>
      <c r="K7150" s="195">
        <v>45950.657199074078</v>
      </c>
      <c r="L7150">
        <v>196</v>
      </c>
      <c r="M7150">
        <v>6</v>
      </c>
      <c r="N7150" s="98" t="str">
        <f>IF(record[[#This Row],[Memo]]="Browser:chrome os:android","平板報工",IF(record[[#This Row],[Memo]]=0,"委外",record[[#This Row],[Memo]]))</f>
        <v>平板報工</v>
      </c>
      <c r="O7150" t="s">
        <v>643</v>
      </c>
      <c r="P7150" t="s">
        <v>166</v>
      </c>
      <c r="Q7150" t="s">
        <v>644</v>
      </c>
      <c r="R7150" t="str">
        <f>IFERROR(VLOOKUP(record[[#This Row],[PCUSTID]],廠商[],2,FALSE),"")</f>
        <v/>
      </c>
      <c r="S7150" t="str">
        <f>VLOOKUP(record[[#This Row],[employeeID]],員工[],2,FALSE)</f>
        <v>阮懷香</v>
      </c>
    </row>
    <row r="7151" spans="6:19" hidden="1" x14ac:dyDescent="0.25">
      <c r="F7151" t="s">
        <v>1099</v>
      </c>
      <c r="G7151" t="s">
        <v>448</v>
      </c>
      <c r="H7151" t="str">
        <f>VLOOKUP(record[[#This Row],[ProcessSN]],表格2_7[],2,FALSE)</f>
        <v>30-4118-018-6XX</v>
      </c>
      <c r="I7151" t="str">
        <f>VLOOKUP(record[[#This Row],[ProcessSN]],表格2_7[],3,FALSE)</f>
        <v>#04</v>
      </c>
      <c r="J7151" t="s">
        <v>588</v>
      </c>
      <c r="K7151" s="195">
        <v>45950.654930555553</v>
      </c>
      <c r="L7151">
        <v>120</v>
      </c>
      <c r="M7151">
        <v>0</v>
      </c>
      <c r="N7151" s="98" t="str">
        <f>IF(record[[#This Row],[Memo]]="Browser:chrome os:android","平板報工",IF(record[[#This Row],[Memo]]=0,"委外",record[[#This Row],[Memo]]))</f>
        <v>平板報工</v>
      </c>
      <c r="O7151" t="s">
        <v>643</v>
      </c>
      <c r="P7151" t="s">
        <v>785</v>
      </c>
      <c r="Q7151" t="s">
        <v>644</v>
      </c>
      <c r="R7151" t="str">
        <f>IFERROR(VLOOKUP(record[[#This Row],[PCUSTID]],廠商[],2,FALSE),"")</f>
        <v/>
      </c>
      <c r="S7151" t="str">
        <f>VLOOKUP(record[[#This Row],[employeeID]],員工[],2,FALSE)</f>
        <v>謝刻光</v>
      </c>
    </row>
    <row r="7152" spans="6:19" hidden="1" x14ac:dyDescent="0.25">
      <c r="F7152" t="s">
        <v>1101</v>
      </c>
      <c r="G7152" t="s">
        <v>375</v>
      </c>
      <c r="H7152" t="str">
        <f>VLOOKUP(record[[#This Row],[ProcessSN]],表格2_7[],2,FALSE)</f>
        <v>30-4118-018-4XX</v>
      </c>
      <c r="I7152" t="str">
        <f>VLOOKUP(record[[#This Row],[ProcessSN]],表格2_7[],3,FALSE)</f>
        <v>#05</v>
      </c>
      <c r="J7152" t="s">
        <v>588</v>
      </c>
      <c r="K7152" s="195">
        <v>45950.654363425929</v>
      </c>
      <c r="L7152">
        <v>252</v>
      </c>
      <c r="M7152">
        <v>0</v>
      </c>
      <c r="N7152" s="98" t="str">
        <f>IF(record[[#This Row],[Memo]]="Browser:chrome os:android","平板報工",IF(record[[#This Row],[Memo]]=0,"委外",record[[#This Row],[Memo]]))</f>
        <v>平板報工</v>
      </c>
      <c r="O7152" t="s">
        <v>643</v>
      </c>
      <c r="P7152" t="s">
        <v>1098</v>
      </c>
      <c r="Q7152" t="s">
        <v>644</v>
      </c>
      <c r="R7152" t="str">
        <f>IFERROR(VLOOKUP(record[[#This Row],[PCUSTID]],廠商[],2,FALSE),"")</f>
        <v/>
      </c>
      <c r="S7152" t="str">
        <f>VLOOKUP(record[[#This Row],[employeeID]],員工[],2,FALSE)</f>
        <v>阮氏芳英(英)</v>
      </c>
    </row>
    <row r="7153" spans="6:19" hidden="1" x14ac:dyDescent="0.25">
      <c r="F7153" t="s">
        <v>1099</v>
      </c>
      <c r="G7153" t="s">
        <v>449</v>
      </c>
      <c r="H7153" t="str">
        <f>VLOOKUP(record[[#This Row],[ProcessSN]],表格2_7[],2,FALSE)</f>
        <v>30-4118-018-6XX</v>
      </c>
      <c r="I7153" t="str">
        <f>VLOOKUP(record[[#This Row],[ProcessSN]],表格2_7[],3,FALSE)</f>
        <v>#05</v>
      </c>
      <c r="J7153" t="s">
        <v>588</v>
      </c>
      <c r="K7153" s="195">
        <v>45950.654062499998</v>
      </c>
      <c r="L7153">
        <v>24</v>
      </c>
      <c r="M7153">
        <v>0</v>
      </c>
      <c r="N7153" s="98" t="str">
        <f>IF(record[[#This Row],[Memo]]="Browser:chrome os:android","平板報工",IF(record[[#This Row],[Memo]]=0,"委外",record[[#This Row],[Memo]]))</f>
        <v>平板報工</v>
      </c>
      <c r="O7153" t="s">
        <v>643</v>
      </c>
      <c r="P7153" t="s">
        <v>1098</v>
      </c>
      <c r="Q7153" t="s">
        <v>644</v>
      </c>
      <c r="R7153" t="str">
        <f>IFERROR(VLOOKUP(record[[#This Row],[PCUSTID]],廠商[],2,FALSE),"")</f>
        <v/>
      </c>
      <c r="S7153" t="str">
        <f>VLOOKUP(record[[#This Row],[employeeID]],員工[],2,FALSE)</f>
        <v>阮氏芳英(英)</v>
      </c>
    </row>
    <row r="7154" spans="6:19" hidden="1" x14ac:dyDescent="0.25">
      <c r="F7154" t="s">
        <v>1063</v>
      </c>
      <c r="G7154" t="s">
        <v>401</v>
      </c>
      <c r="H7154" t="str">
        <f>VLOOKUP(record[[#This Row],[ProcessSN]],表格2_7[],2,FALSE)</f>
        <v>30-4118-018-550</v>
      </c>
      <c r="I7154" t="str">
        <f>VLOOKUP(record[[#This Row],[ProcessSN]],表格2_7[],3,FALSE)</f>
        <v>#100OQC</v>
      </c>
      <c r="J7154" t="s">
        <v>599</v>
      </c>
      <c r="K7154" s="195">
        <v>45950.646793981483</v>
      </c>
      <c r="L7154">
        <v>336</v>
      </c>
      <c r="M7154">
        <v>0</v>
      </c>
      <c r="N7154" s="98" t="str">
        <f>IF(record[[#This Row],[Memo]]="Browser:chrome os:android","平板報工",IF(record[[#This Row],[Memo]]=0,"委外",record[[#This Row],[Memo]]))</f>
        <v/>
      </c>
      <c r="O7154" t="s">
        <v>58</v>
      </c>
      <c r="P7154" t="s">
        <v>121</v>
      </c>
      <c r="Q7154" t="s">
        <v>58</v>
      </c>
      <c r="R7154" t="str">
        <f>IFERROR(VLOOKUP(record[[#This Row],[PCUSTID]],廠商[],2,FALSE),"")</f>
        <v/>
      </c>
      <c r="S7154" t="str">
        <f>VLOOKUP(record[[#This Row],[employeeID]],員工[],2,FALSE)</f>
        <v>謝素卿</v>
      </c>
    </row>
    <row r="7155" spans="6:19" hidden="1" x14ac:dyDescent="0.25">
      <c r="F7155" t="s">
        <v>1059</v>
      </c>
      <c r="G7155" t="s">
        <v>401</v>
      </c>
      <c r="H7155" t="str">
        <f>VLOOKUP(record[[#This Row],[ProcessSN]],表格2_7[],2,FALSE)</f>
        <v>30-4118-018-550</v>
      </c>
      <c r="I7155" t="str">
        <f>VLOOKUP(record[[#This Row],[ProcessSN]],表格2_7[],3,FALSE)</f>
        <v>#100OQC</v>
      </c>
      <c r="J7155" t="s">
        <v>599</v>
      </c>
      <c r="K7155" s="195">
        <v>45950.646643518521</v>
      </c>
      <c r="L7155">
        <v>468</v>
      </c>
      <c r="M7155">
        <v>0</v>
      </c>
      <c r="N7155" s="98" t="str">
        <f>IF(record[[#This Row],[Memo]]="Browser:chrome os:android","平板報工",IF(record[[#This Row],[Memo]]=0,"委外",record[[#This Row],[Memo]]))</f>
        <v/>
      </c>
      <c r="O7155" t="s">
        <v>58</v>
      </c>
      <c r="P7155" t="s">
        <v>121</v>
      </c>
      <c r="Q7155" t="s">
        <v>58</v>
      </c>
      <c r="R7155" t="str">
        <f>IFERROR(VLOOKUP(record[[#This Row],[PCUSTID]],廠商[],2,FALSE),"")</f>
        <v/>
      </c>
      <c r="S7155" t="str">
        <f>VLOOKUP(record[[#This Row],[employeeID]],員工[],2,FALSE)</f>
        <v>謝素卿</v>
      </c>
    </row>
    <row r="7156" spans="6:19" hidden="1" x14ac:dyDescent="0.25">
      <c r="F7156" t="s">
        <v>1117</v>
      </c>
      <c r="G7156" t="s">
        <v>424</v>
      </c>
      <c r="H7156" t="str">
        <f>VLOOKUP(record[[#This Row],[ProcessSN]],表格2_7[],2,FALSE)</f>
        <v>30-4118-018-600</v>
      </c>
      <c r="I7156" t="str">
        <f>VLOOKUP(record[[#This Row],[ProcessSN]],表格2_7[],3,FALSE)</f>
        <v>#08IQC</v>
      </c>
      <c r="J7156" t="s">
        <v>583</v>
      </c>
      <c r="K7156" s="195">
        <v>45950.554537037038</v>
      </c>
      <c r="L7156">
        <v>457</v>
      </c>
      <c r="M7156">
        <v>0</v>
      </c>
      <c r="N7156" s="98" t="str">
        <f>IF(record[[#This Row],[Memo]]="Browser:chrome os:android","平板報工",IF(record[[#This Row],[Memo]]=0,"委外",record[[#This Row],[Memo]]))</f>
        <v/>
      </c>
      <c r="O7156" t="s">
        <v>58</v>
      </c>
      <c r="P7156" t="s">
        <v>109</v>
      </c>
      <c r="Q7156" t="s">
        <v>58</v>
      </c>
      <c r="R7156" t="str">
        <f>IFERROR(VLOOKUP(record[[#This Row],[PCUSTID]],廠商[],2,FALSE),"")</f>
        <v/>
      </c>
      <c r="S7156" t="str">
        <f>VLOOKUP(record[[#This Row],[employeeID]],員工[],2,FALSE)</f>
        <v>裴氏璧鳳</v>
      </c>
    </row>
    <row r="7157" spans="6:19" hidden="1" x14ac:dyDescent="0.25">
      <c r="F7157" t="s">
        <v>1113</v>
      </c>
      <c r="G7157" t="s">
        <v>424</v>
      </c>
      <c r="H7157" t="str">
        <f>VLOOKUP(record[[#This Row],[ProcessSN]],表格2_7[],2,FALSE)</f>
        <v>30-4118-018-600</v>
      </c>
      <c r="I7157" t="str">
        <f>VLOOKUP(record[[#This Row],[ProcessSN]],表格2_7[],3,FALSE)</f>
        <v>#08IQC</v>
      </c>
      <c r="J7157" t="s">
        <v>583</v>
      </c>
      <c r="K7157" s="195">
        <v>45950.554398148146</v>
      </c>
      <c r="L7157">
        <v>168</v>
      </c>
      <c r="M7157">
        <v>0</v>
      </c>
      <c r="N7157" s="98" t="str">
        <f>IF(record[[#This Row],[Memo]]="Browser:chrome os:android","平板報工",IF(record[[#This Row],[Memo]]=0,"委外",record[[#This Row],[Memo]]))</f>
        <v/>
      </c>
      <c r="O7157" t="s">
        <v>58</v>
      </c>
      <c r="P7157" t="s">
        <v>109</v>
      </c>
      <c r="Q7157" t="s">
        <v>58</v>
      </c>
      <c r="R7157" t="str">
        <f>IFERROR(VLOOKUP(record[[#This Row],[PCUSTID]],廠商[],2,FALSE),"")</f>
        <v/>
      </c>
      <c r="S7157" t="str">
        <f>VLOOKUP(record[[#This Row],[employeeID]],員工[],2,FALSE)</f>
        <v>裴氏璧鳳</v>
      </c>
    </row>
    <row r="7158" spans="6:19" hidden="1" x14ac:dyDescent="0.25">
      <c r="F7158" t="s">
        <v>1122</v>
      </c>
      <c r="G7158" t="s">
        <v>358</v>
      </c>
      <c r="H7158" t="str">
        <f>VLOOKUP(record[[#This Row],[ProcessSN]],表格2_7[],2,FALSE)</f>
        <v>30-4118-018-450</v>
      </c>
      <c r="I7158" t="str">
        <f>VLOOKUP(record[[#This Row],[ProcessSN]],表格2_7[],3,FALSE)</f>
        <v>#08IQC</v>
      </c>
      <c r="J7158" t="s">
        <v>583</v>
      </c>
      <c r="K7158" s="195">
        <v>45950.554224537038</v>
      </c>
      <c r="L7158">
        <v>182</v>
      </c>
      <c r="M7158">
        <v>0</v>
      </c>
      <c r="N7158" s="98" t="str">
        <f>IF(record[[#This Row],[Memo]]="Browser:chrome os:android","平板報工",IF(record[[#This Row],[Memo]]=0,"委外",record[[#This Row],[Memo]]))</f>
        <v/>
      </c>
      <c r="O7158" t="s">
        <v>58</v>
      </c>
      <c r="P7158" t="s">
        <v>109</v>
      </c>
      <c r="Q7158" t="s">
        <v>58</v>
      </c>
      <c r="R7158" t="str">
        <f>IFERROR(VLOOKUP(record[[#This Row],[PCUSTID]],廠商[],2,FALSE),"")</f>
        <v/>
      </c>
      <c r="S7158" t="str">
        <f>VLOOKUP(record[[#This Row],[employeeID]],員工[],2,FALSE)</f>
        <v>裴氏璧鳳</v>
      </c>
    </row>
    <row r="7159" spans="6:19" hidden="1" x14ac:dyDescent="0.25">
      <c r="F7159" t="s">
        <v>1117</v>
      </c>
      <c r="G7159" t="s">
        <v>423</v>
      </c>
      <c r="H7159" t="str">
        <f>VLOOKUP(record[[#This Row],[ProcessSN]],表格2_7[],2,FALSE)</f>
        <v>30-4118-018-600</v>
      </c>
      <c r="I7159" t="str">
        <f>VLOOKUP(record[[#This Row],[ProcessSN]],表格2_7[],3,FALSE)</f>
        <v>#08RCV</v>
      </c>
      <c r="J7159" t="s">
        <v>591</v>
      </c>
      <c r="K7159" s="195">
        <v>45950.499351851853</v>
      </c>
      <c r="L7159">
        <v>43</v>
      </c>
      <c r="M7159">
        <v>0</v>
      </c>
      <c r="N7159" s="98" t="str">
        <f>IF(record[[#This Row],[Memo]]="Browser:chrome os:android","平板報工",IF(record[[#This Row],[Memo]]=0,"委外",record[[#This Row],[Memo]]))</f>
        <v/>
      </c>
      <c r="O7159" t="s">
        <v>58</v>
      </c>
      <c r="P7159" t="s">
        <v>886</v>
      </c>
      <c r="Q7159" t="s">
        <v>58</v>
      </c>
      <c r="R7159" t="str">
        <f>IFERROR(VLOOKUP(record[[#This Row],[PCUSTID]],廠商[],2,FALSE),"")</f>
        <v/>
      </c>
      <c r="S7159" t="str">
        <f>VLOOKUP(record[[#This Row],[employeeID]],員工[],2,FALSE)</f>
        <v>謝蓁薰</v>
      </c>
    </row>
    <row r="7160" spans="6:19" hidden="1" x14ac:dyDescent="0.25">
      <c r="F7160" t="s">
        <v>1113</v>
      </c>
      <c r="G7160" t="s">
        <v>423</v>
      </c>
      <c r="H7160" t="str">
        <f>VLOOKUP(record[[#This Row],[ProcessSN]],表格2_7[],2,FALSE)</f>
        <v>30-4118-018-600</v>
      </c>
      <c r="I7160" t="str">
        <f>VLOOKUP(record[[#This Row],[ProcessSN]],表格2_7[],3,FALSE)</f>
        <v>#08RCV</v>
      </c>
      <c r="J7160" t="s">
        <v>591</v>
      </c>
      <c r="K7160" s="195">
        <v>45950.499097222222</v>
      </c>
      <c r="L7160">
        <v>0</v>
      </c>
      <c r="M7160">
        <v>22</v>
      </c>
      <c r="N7160" s="98" t="str">
        <f>IF(record[[#This Row],[Memo]]="Browser:chrome os:android","平板報工",IF(record[[#This Row],[Memo]]=0,"委外",record[[#This Row],[Memo]]))</f>
        <v/>
      </c>
      <c r="O7160" t="s">
        <v>58</v>
      </c>
      <c r="P7160" t="s">
        <v>886</v>
      </c>
      <c r="Q7160" t="s">
        <v>58</v>
      </c>
      <c r="R7160" t="str">
        <f>IFERROR(VLOOKUP(record[[#This Row],[PCUSTID]],廠商[],2,FALSE),"")</f>
        <v/>
      </c>
      <c r="S7160" t="str">
        <f>VLOOKUP(record[[#This Row],[employeeID]],員工[],2,FALSE)</f>
        <v>謝蓁薰</v>
      </c>
    </row>
    <row r="7161" spans="6:19" hidden="1" x14ac:dyDescent="0.25">
      <c r="F7161" t="s">
        <v>1122</v>
      </c>
      <c r="G7161" t="s">
        <v>357</v>
      </c>
      <c r="H7161" t="str">
        <f>VLOOKUP(record[[#This Row],[ProcessSN]],表格2_7[],2,FALSE)</f>
        <v>30-4118-018-450</v>
      </c>
      <c r="I7161" t="str">
        <f>VLOOKUP(record[[#This Row],[ProcessSN]],表格2_7[],3,FALSE)</f>
        <v>#08RCV</v>
      </c>
      <c r="J7161" t="s">
        <v>591</v>
      </c>
      <c r="K7161" s="195">
        <v>45950.498923611114</v>
      </c>
      <c r="L7161">
        <v>0</v>
      </c>
      <c r="M7161">
        <v>3</v>
      </c>
      <c r="N7161" s="98" t="str">
        <f>IF(record[[#This Row],[Memo]]="Browser:chrome os:android","平板報工",IF(record[[#This Row],[Memo]]=0,"委外",record[[#This Row],[Memo]]))</f>
        <v/>
      </c>
      <c r="O7161" t="s">
        <v>58</v>
      </c>
      <c r="P7161" t="s">
        <v>886</v>
      </c>
      <c r="Q7161" t="s">
        <v>58</v>
      </c>
      <c r="R7161" t="str">
        <f>IFERROR(VLOOKUP(record[[#This Row],[PCUSTID]],廠商[],2,FALSE),"")</f>
        <v/>
      </c>
      <c r="S7161" t="str">
        <f>VLOOKUP(record[[#This Row],[employeeID]],員工[],2,FALSE)</f>
        <v>謝蓁薰</v>
      </c>
    </row>
    <row r="7162" spans="6:19" hidden="1" x14ac:dyDescent="0.25">
      <c r="F7162" t="s">
        <v>1117</v>
      </c>
      <c r="G7162" t="s">
        <v>423</v>
      </c>
      <c r="H7162" t="str">
        <f>VLOOKUP(record[[#This Row],[ProcessSN]],表格2_7[],2,FALSE)</f>
        <v>30-4118-018-600</v>
      </c>
      <c r="I7162" t="str">
        <f>VLOOKUP(record[[#This Row],[ProcessSN]],表格2_7[],3,FALSE)</f>
        <v>#08RCV</v>
      </c>
      <c r="J7162" t="s">
        <v>591</v>
      </c>
      <c r="K7162" s="195">
        <v>45950.498715277776</v>
      </c>
      <c r="L7162">
        <v>0</v>
      </c>
      <c r="M7162">
        <v>17</v>
      </c>
      <c r="N7162" s="98" t="str">
        <f>IF(record[[#This Row],[Memo]]="Browser:chrome os:android","平板報工",IF(record[[#This Row],[Memo]]=0,"委外",record[[#This Row],[Memo]]))</f>
        <v/>
      </c>
      <c r="O7162" t="s">
        <v>58</v>
      </c>
      <c r="P7162" t="s">
        <v>886</v>
      </c>
      <c r="Q7162" t="s">
        <v>58</v>
      </c>
      <c r="R7162" t="str">
        <f>IFERROR(VLOOKUP(record[[#This Row],[PCUSTID]],廠商[],2,FALSE),"")</f>
        <v/>
      </c>
      <c r="S7162" t="str">
        <f>VLOOKUP(record[[#This Row],[employeeID]],員工[],2,FALSE)</f>
        <v>謝蓁薰</v>
      </c>
    </row>
    <row r="7163" spans="6:19" hidden="1" x14ac:dyDescent="0.25">
      <c r="F7163" t="s">
        <v>1117</v>
      </c>
      <c r="G7163" t="s">
        <v>423</v>
      </c>
      <c r="H7163" t="str">
        <f>VLOOKUP(record[[#This Row],[ProcessSN]],表格2_7[],2,FALSE)</f>
        <v>30-4118-018-600</v>
      </c>
      <c r="I7163" t="str">
        <f>VLOOKUP(record[[#This Row],[ProcessSN]],表格2_7[],3,FALSE)</f>
        <v>#08RCV</v>
      </c>
      <c r="J7163" t="s">
        <v>591</v>
      </c>
      <c r="K7163" s="195">
        <v>45950.498599537037</v>
      </c>
      <c r="L7163">
        <v>414</v>
      </c>
      <c r="M7163">
        <v>0</v>
      </c>
      <c r="N7163" s="98" t="str">
        <f>IF(record[[#This Row],[Memo]]="Browser:chrome os:android","平板報工",IF(record[[#This Row],[Memo]]=0,"委外",record[[#This Row],[Memo]]))</f>
        <v/>
      </c>
      <c r="O7163" t="s">
        <v>58</v>
      </c>
      <c r="P7163" t="s">
        <v>886</v>
      </c>
      <c r="Q7163" t="s">
        <v>58</v>
      </c>
      <c r="R7163" t="str">
        <f>IFERROR(VLOOKUP(record[[#This Row],[PCUSTID]],廠商[],2,FALSE),"")</f>
        <v/>
      </c>
      <c r="S7163" t="str">
        <f>VLOOKUP(record[[#This Row],[employeeID]],員工[],2,FALSE)</f>
        <v>謝蓁薰</v>
      </c>
    </row>
    <row r="7164" spans="6:19" hidden="1" x14ac:dyDescent="0.25">
      <c r="F7164" t="s">
        <v>1113</v>
      </c>
      <c r="G7164" t="s">
        <v>423</v>
      </c>
      <c r="H7164" t="str">
        <f>VLOOKUP(record[[#This Row],[ProcessSN]],表格2_7[],2,FALSE)</f>
        <v>30-4118-018-600</v>
      </c>
      <c r="I7164" t="str">
        <f>VLOOKUP(record[[#This Row],[ProcessSN]],表格2_7[],3,FALSE)</f>
        <v>#08RCV</v>
      </c>
      <c r="J7164" t="s">
        <v>591</v>
      </c>
      <c r="K7164" s="195">
        <v>45950.498402777775</v>
      </c>
      <c r="L7164">
        <v>0</v>
      </c>
      <c r="M7164">
        <v>1</v>
      </c>
      <c r="N7164" s="98" t="str">
        <f>IF(record[[#This Row],[Memo]]="Browser:chrome os:android","平板報工",IF(record[[#This Row],[Memo]]=0,"委外",record[[#This Row],[Memo]]))</f>
        <v/>
      </c>
      <c r="O7164" t="s">
        <v>58</v>
      </c>
      <c r="P7164" t="s">
        <v>886</v>
      </c>
      <c r="Q7164" t="s">
        <v>58</v>
      </c>
      <c r="R7164" t="str">
        <f>IFERROR(VLOOKUP(record[[#This Row],[PCUSTID]],廠商[],2,FALSE),"")</f>
        <v/>
      </c>
      <c r="S7164" t="str">
        <f>VLOOKUP(record[[#This Row],[employeeID]],員工[],2,FALSE)</f>
        <v>謝蓁薰</v>
      </c>
    </row>
    <row r="7165" spans="6:19" hidden="1" x14ac:dyDescent="0.25">
      <c r="F7165" t="s">
        <v>1113</v>
      </c>
      <c r="G7165" t="s">
        <v>423</v>
      </c>
      <c r="H7165" t="str">
        <f>VLOOKUP(record[[#This Row],[ProcessSN]],表格2_7[],2,FALSE)</f>
        <v>30-4118-018-600</v>
      </c>
      <c r="I7165" t="str">
        <f>VLOOKUP(record[[#This Row],[ProcessSN]],表格2_7[],3,FALSE)</f>
        <v>#08RCV</v>
      </c>
      <c r="J7165" t="s">
        <v>591</v>
      </c>
      <c r="K7165" s="195">
        <v>45950.498287037037</v>
      </c>
      <c r="L7165">
        <v>168</v>
      </c>
      <c r="M7165">
        <v>0</v>
      </c>
      <c r="N7165" s="98" t="str">
        <f>IF(record[[#This Row],[Memo]]="Browser:chrome os:android","平板報工",IF(record[[#This Row],[Memo]]=0,"委外",record[[#This Row],[Memo]]))</f>
        <v/>
      </c>
      <c r="O7165" t="s">
        <v>58</v>
      </c>
      <c r="P7165" t="s">
        <v>886</v>
      </c>
      <c r="Q7165" t="s">
        <v>58</v>
      </c>
      <c r="R7165" t="str">
        <f>IFERROR(VLOOKUP(record[[#This Row],[PCUSTID]],廠商[],2,FALSE),"")</f>
        <v/>
      </c>
      <c r="S7165" t="str">
        <f>VLOOKUP(record[[#This Row],[employeeID]],員工[],2,FALSE)</f>
        <v>謝蓁薰</v>
      </c>
    </row>
    <row r="7166" spans="6:19" hidden="1" x14ac:dyDescent="0.25">
      <c r="F7166" t="s">
        <v>1122</v>
      </c>
      <c r="G7166" t="s">
        <v>357</v>
      </c>
      <c r="H7166" t="str">
        <f>VLOOKUP(record[[#This Row],[ProcessSN]],表格2_7[],2,FALSE)</f>
        <v>30-4118-018-450</v>
      </c>
      <c r="I7166" t="str">
        <f>VLOOKUP(record[[#This Row],[ProcessSN]],表格2_7[],3,FALSE)</f>
        <v>#08RCV</v>
      </c>
      <c r="J7166" t="s">
        <v>591</v>
      </c>
      <c r="K7166" s="195">
        <v>45950.498032407406</v>
      </c>
      <c r="L7166">
        <v>0</v>
      </c>
      <c r="M7166">
        <v>1</v>
      </c>
      <c r="N7166" s="98" t="str">
        <f>IF(record[[#This Row],[Memo]]="Browser:chrome os:android","平板報工",IF(record[[#This Row],[Memo]]=0,"委外",record[[#This Row],[Memo]]))</f>
        <v/>
      </c>
      <c r="O7166" t="s">
        <v>58</v>
      </c>
      <c r="P7166" t="s">
        <v>886</v>
      </c>
      <c r="Q7166" t="s">
        <v>58</v>
      </c>
      <c r="R7166" t="str">
        <f>IFERROR(VLOOKUP(record[[#This Row],[PCUSTID]],廠商[],2,FALSE),"")</f>
        <v/>
      </c>
      <c r="S7166" t="str">
        <f>VLOOKUP(record[[#This Row],[employeeID]],員工[],2,FALSE)</f>
        <v>謝蓁薰</v>
      </c>
    </row>
    <row r="7167" spans="6:19" hidden="1" x14ac:dyDescent="0.25">
      <c r="F7167" t="s">
        <v>1122</v>
      </c>
      <c r="G7167" t="s">
        <v>357</v>
      </c>
      <c r="H7167" t="str">
        <f>VLOOKUP(record[[#This Row],[ProcessSN]],表格2_7[],2,FALSE)</f>
        <v>30-4118-018-450</v>
      </c>
      <c r="I7167" t="str">
        <f>VLOOKUP(record[[#This Row],[ProcessSN]],表格2_7[],3,FALSE)</f>
        <v>#08RCV</v>
      </c>
      <c r="J7167" t="s">
        <v>591</v>
      </c>
      <c r="K7167" s="195">
        <v>45950.497881944444</v>
      </c>
      <c r="L7167">
        <v>182</v>
      </c>
      <c r="M7167">
        <v>0</v>
      </c>
      <c r="N7167" s="98" t="str">
        <f>IF(record[[#This Row],[Memo]]="Browser:chrome os:android","平板報工",IF(record[[#This Row],[Memo]]=0,"委外",record[[#This Row],[Memo]]))</f>
        <v/>
      </c>
      <c r="O7167" t="s">
        <v>58</v>
      </c>
      <c r="P7167" t="s">
        <v>886</v>
      </c>
      <c r="Q7167" t="s">
        <v>58</v>
      </c>
      <c r="R7167" t="str">
        <f>IFERROR(VLOOKUP(record[[#This Row],[PCUSTID]],廠商[],2,FALSE),"")</f>
        <v/>
      </c>
      <c r="S7167" t="str">
        <f>VLOOKUP(record[[#This Row],[employeeID]],員工[],2,FALSE)</f>
        <v>謝蓁薰</v>
      </c>
    </row>
    <row r="7168" spans="6:19" hidden="1" x14ac:dyDescent="0.25">
      <c r="F7168" t="s">
        <v>1129</v>
      </c>
      <c r="G7168" t="s">
        <v>356</v>
      </c>
      <c r="H7168" t="str">
        <f>VLOOKUP(record[[#This Row],[ProcessSN]],表格2_7[],2,FALSE)</f>
        <v>30-4118-018-450</v>
      </c>
      <c r="I7168" t="str">
        <f>VLOOKUP(record[[#This Row],[ProcessSN]],表格2_7[],3,FALSE)</f>
        <v>#08</v>
      </c>
      <c r="J7168" t="s">
        <v>597</v>
      </c>
      <c r="K7168" s="195">
        <v>45950.417002314818</v>
      </c>
      <c r="L7168">
        <v>316</v>
      </c>
      <c r="M7168">
        <v>0</v>
      </c>
      <c r="N7168" s="98" t="str">
        <f>IF(record[[#This Row],[Memo]]="Browser:chrome os:android","平板報工",IF(record[[#This Row],[Memo]]=0,"委外",record[[#This Row],[Memo]]))</f>
        <v>委外</v>
      </c>
      <c r="P7168" t="s">
        <v>886</v>
      </c>
      <c r="Q7168" t="s">
        <v>287</v>
      </c>
      <c r="R7168" t="str">
        <f>IFERROR(VLOOKUP(record[[#This Row],[PCUSTID]],廠商[],2,FALSE),"")</f>
        <v>泉盛</v>
      </c>
      <c r="S7168" t="str">
        <f>VLOOKUP(record[[#This Row],[employeeID]],員工[],2,FALSE)</f>
        <v>謝蓁薰</v>
      </c>
    </row>
    <row r="7169" spans="6:19" hidden="1" x14ac:dyDescent="0.25">
      <c r="F7169" t="s">
        <v>1099</v>
      </c>
      <c r="G7169" t="s">
        <v>453</v>
      </c>
      <c r="H7169" t="str">
        <f>VLOOKUP(record[[#This Row],[ProcessSN]],表格2_7[],2,FALSE)</f>
        <v>30-4118-018-6XX</v>
      </c>
      <c r="I7169" t="str">
        <f>VLOOKUP(record[[#This Row],[ProcessSN]],表格2_7[],3,FALSE)</f>
        <v>#07STOCK</v>
      </c>
      <c r="J7169" t="s">
        <v>592</v>
      </c>
      <c r="K7169" s="195">
        <v>45950.41684027778</v>
      </c>
      <c r="L7169">
        <v>16</v>
      </c>
      <c r="M7169">
        <v>0</v>
      </c>
      <c r="N7169" s="98" t="str">
        <f>IF(record[[#This Row],[Memo]]="Browser:chrome os:android","平板報工",IF(record[[#This Row],[Memo]]=0,"委外",record[[#This Row],[Memo]]))</f>
        <v/>
      </c>
      <c r="O7169" t="s">
        <v>58</v>
      </c>
      <c r="P7169" t="s">
        <v>196</v>
      </c>
      <c r="Q7169" t="s">
        <v>58</v>
      </c>
      <c r="R7169" t="str">
        <f>IFERROR(VLOOKUP(record[[#This Row],[PCUSTID]],廠商[],2,FALSE),"")</f>
        <v/>
      </c>
      <c r="S7169" t="str">
        <f>VLOOKUP(record[[#This Row],[employeeID]],員工[],2,FALSE)</f>
        <v>張淑惠</v>
      </c>
    </row>
    <row r="7170" spans="6:19" hidden="1" x14ac:dyDescent="0.25">
      <c r="F7170" t="s">
        <v>1130</v>
      </c>
      <c r="G7170" t="s">
        <v>422</v>
      </c>
      <c r="H7170" t="str">
        <f>VLOOKUP(record[[#This Row],[ProcessSN]],表格2_7[],2,FALSE)</f>
        <v>30-4118-018-600</v>
      </c>
      <c r="I7170" t="str">
        <f>VLOOKUP(record[[#This Row],[ProcessSN]],表格2_7[],3,FALSE)</f>
        <v>#08</v>
      </c>
      <c r="J7170" t="s">
        <v>597</v>
      </c>
      <c r="K7170" s="195">
        <v>45950.41678240741</v>
      </c>
      <c r="L7170">
        <v>47</v>
      </c>
      <c r="M7170">
        <v>0</v>
      </c>
      <c r="N7170" s="98" t="str">
        <f>IF(record[[#This Row],[Memo]]="Browser:chrome os:android","平板報工",IF(record[[#This Row],[Memo]]=0,"委外",record[[#This Row],[Memo]]))</f>
        <v>委外</v>
      </c>
      <c r="P7170" t="s">
        <v>886</v>
      </c>
      <c r="Q7170" t="s">
        <v>287</v>
      </c>
      <c r="R7170" t="str">
        <f>IFERROR(VLOOKUP(record[[#This Row],[PCUSTID]],廠商[],2,FALSE),"")</f>
        <v>泉盛</v>
      </c>
      <c r="S7170" t="str">
        <f>VLOOKUP(record[[#This Row],[employeeID]],員工[],2,FALSE)</f>
        <v>謝蓁薰</v>
      </c>
    </row>
    <row r="7171" spans="6:19" hidden="1" x14ac:dyDescent="0.25">
      <c r="F7171" t="s">
        <v>1025</v>
      </c>
      <c r="G7171" t="s">
        <v>453</v>
      </c>
      <c r="H7171" t="str">
        <f>VLOOKUP(record[[#This Row],[ProcessSN]],表格2_7[],2,FALSE)</f>
        <v>30-4118-018-6XX</v>
      </c>
      <c r="I7171" t="str">
        <f>VLOOKUP(record[[#This Row],[ProcessSN]],表格2_7[],3,FALSE)</f>
        <v>#07STOCK</v>
      </c>
      <c r="J7171" t="s">
        <v>592</v>
      </c>
      <c r="K7171" s="195">
        <v>45950.416655092595</v>
      </c>
      <c r="L7171">
        <v>31</v>
      </c>
      <c r="M7171">
        <v>0</v>
      </c>
      <c r="N7171" s="98" t="str">
        <f>IF(record[[#This Row],[Memo]]="Browser:chrome os:android","平板報工",IF(record[[#This Row],[Memo]]=0,"委外",record[[#This Row],[Memo]]))</f>
        <v/>
      </c>
      <c r="O7171" t="s">
        <v>58</v>
      </c>
      <c r="P7171" t="s">
        <v>196</v>
      </c>
      <c r="Q7171" t="s">
        <v>58</v>
      </c>
      <c r="R7171" t="str">
        <f>IFERROR(VLOOKUP(record[[#This Row],[PCUSTID]],廠商[],2,FALSE),"")</f>
        <v/>
      </c>
      <c r="S7171" t="str">
        <f>VLOOKUP(record[[#This Row],[employeeID]],員工[],2,FALSE)</f>
        <v>張淑惠</v>
      </c>
    </row>
    <row r="7172" spans="6:19" hidden="1" x14ac:dyDescent="0.25">
      <c r="F7172" t="s">
        <v>1130</v>
      </c>
      <c r="G7172" t="s">
        <v>421</v>
      </c>
      <c r="H7172" t="str">
        <f>VLOOKUP(record[[#This Row],[ProcessSN]],表格2_7[],2,FALSE)</f>
        <v>30-4118-018-600</v>
      </c>
      <c r="I7172" t="str">
        <f>VLOOKUP(record[[#This Row],[ProcessSN]],表格2_7[],3,FALSE)</f>
        <v>#08PICK</v>
      </c>
      <c r="J7172" t="s">
        <v>582</v>
      </c>
      <c r="K7172" s="195">
        <v>45950.41511574074</v>
      </c>
      <c r="L7172">
        <v>47</v>
      </c>
      <c r="M7172">
        <v>0</v>
      </c>
      <c r="N7172" s="98" t="str">
        <f>IF(record[[#This Row],[Memo]]="Browser:chrome os:android","平板報工",IF(record[[#This Row],[Memo]]=0,"委外",record[[#This Row],[Memo]]))</f>
        <v/>
      </c>
      <c r="O7172" t="s">
        <v>58</v>
      </c>
      <c r="P7172" t="s">
        <v>196</v>
      </c>
      <c r="Q7172" t="s">
        <v>58</v>
      </c>
      <c r="R7172" t="str">
        <f>IFERROR(VLOOKUP(record[[#This Row],[PCUSTID]],廠商[],2,FALSE),"")</f>
        <v/>
      </c>
      <c r="S7172" t="str">
        <f>VLOOKUP(record[[#This Row],[employeeID]],員工[],2,FALSE)</f>
        <v>張淑惠</v>
      </c>
    </row>
    <row r="7173" spans="6:19" hidden="1" x14ac:dyDescent="0.25">
      <c r="F7173" t="s">
        <v>1129</v>
      </c>
      <c r="G7173" t="s">
        <v>355</v>
      </c>
      <c r="H7173" t="str">
        <f>VLOOKUP(record[[#This Row],[ProcessSN]],表格2_7[],2,FALSE)</f>
        <v>30-4118-018-450</v>
      </c>
      <c r="I7173" t="str">
        <f>VLOOKUP(record[[#This Row],[ProcessSN]],表格2_7[],3,FALSE)</f>
        <v>#08PICK</v>
      </c>
      <c r="J7173" t="s">
        <v>582</v>
      </c>
      <c r="K7173" s="195">
        <v>45950.415011574078</v>
      </c>
      <c r="L7173">
        <v>316</v>
      </c>
      <c r="M7173">
        <v>0</v>
      </c>
      <c r="N7173" s="98" t="str">
        <f>IF(record[[#This Row],[Memo]]="Browser:chrome os:android","平板報工",IF(record[[#This Row],[Memo]]=0,"委外",record[[#This Row],[Memo]]))</f>
        <v/>
      </c>
      <c r="O7173" t="s">
        <v>58</v>
      </c>
      <c r="P7173" t="s">
        <v>196</v>
      </c>
      <c r="Q7173" t="s">
        <v>58</v>
      </c>
      <c r="R7173" t="str">
        <f>IFERROR(VLOOKUP(record[[#This Row],[PCUSTID]],廠商[],2,FALSE),"")</f>
        <v/>
      </c>
      <c r="S7173" t="str">
        <f>VLOOKUP(record[[#This Row],[employeeID]],員工[],2,FALSE)</f>
        <v>張淑惠</v>
      </c>
    </row>
    <row r="7174" spans="6:19" hidden="1" x14ac:dyDescent="0.25">
      <c r="F7174" t="s">
        <v>1099</v>
      </c>
      <c r="G7174" t="s">
        <v>452</v>
      </c>
      <c r="H7174" t="str">
        <f>VLOOKUP(record[[#This Row],[ProcessSN]],表格2_7[],2,FALSE)</f>
        <v>30-4118-018-6XX</v>
      </c>
      <c r="I7174" t="str">
        <f>VLOOKUP(record[[#This Row],[ProcessSN]],表格2_7[],3,FALSE)</f>
        <v>#07QC</v>
      </c>
      <c r="J7174" t="s">
        <v>589</v>
      </c>
      <c r="K7174" s="195">
        <v>45950.407881944448</v>
      </c>
      <c r="L7174">
        <v>16</v>
      </c>
      <c r="M7174">
        <v>0</v>
      </c>
      <c r="N7174" s="98" t="str">
        <f>IF(record[[#This Row],[Memo]]="Browser:chrome os:android","平板報工",IF(record[[#This Row],[Memo]]=0,"委外",record[[#This Row],[Memo]]))</f>
        <v>改10/16報工</v>
      </c>
      <c r="O7174" t="s">
        <v>1128</v>
      </c>
      <c r="P7174" t="s">
        <v>141</v>
      </c>
      <c r="Q7174" t="s">
        <v>58</v>
      </c>
      <c r="R7174" t="str">
        <f>IFERROR(VLOOKUP(record[[#This Row],[PCUSTID]],廠商[],2,FALSE),"")</f>
        <v/>
      </c>
      <c r="S7174" t="str">
        <f>VLOOKUP(record[[#This Row],[employeeID]],員工[],2,FALSE)</f>
        <v>蔣梅</v>
      </c>
    </row>
    <row r="7175" spans="6:19" hidden="1" x14ac:dyDescent="0.25">
      <c r="F7175" t="s">
        <v>1101</v>
      </c>
      <c r="G7175" t="s">
        <v>378</v>
      </c>
      <c r="H7175" t="str">
        <f>VLOOKUP(record[[#This Row],[ProcessSN]],表格2_7[],2,FALSE)</f>
        <v>30-4118-018-4XX</v>
      </c>
      <c r="I7175" t="str">
        <f>VLOOKUP(record[[#This Row],[ProcessSN]],表格2_7[],3,FALSE)</f>
        <v>#07QC</v>
      </c>
      <c r="J7175" t="s">
        <v>589</v>
      </c>
      <c r="K7175" s="195">
        <v>45950.399456018517</v>
      </c>
      <c r="L7175">
        <v>316</v>
      </c>
      <c r="M7175">
        <v>0</v>
      </c>
      <c r="N7175" s="98" t="str">
        <f>IF(record[[#This Row],[Memo]]="Browser:chrome os:android","平板報工",IF(record[[#This Row],[Memo]]=0,"委外",record[[#This Row],[Memo]]))</f>
        <v>平板報工</v>
      </c>
      <c r="O7175" t="s">
        <v>643</v>
      </c>
      <c r="P7175" t="s">
        <v>141</v>
      </c>
      <c r="Q7175" t="s">
        <v>644</v>
      </c>
      <c r="R7175" t="str">
        <f>IFERROR(VLOOKUP(record[[#This Row],[PCUSTID]],廠商[],2,FALSE),"")</f>
        <v/>
      </c>
      <c r="S7175" t="str">
        <f>VLOOKUP(record[[#This Row],[employeeID]],員工[],2,FALSE)</f>
        <v>蔣梅</v>
      </c>
    </row>
    <row r="7176" spans="6:19" hidden="1" x14ac:dyDescent="0.25">
      <c r="F7176" t="s">
        <v>1099</v>
      </c>
      <c r="G7176" t="s">
        <v>448</v>
      </c>
      <c r="H7176" t="str">
        <f>VLOOKUP(record[[#This Row],[ProcessSN]],表格2_7[],2,FALSE)</f>
        <v>30-4118-018-6XX</v>
      </c>
      <c r="I7176" t="str">
        <f>VLOOKUP(record[[#This Row],[ProcessSN]],表格2_7[],3,FALSE)</f>
        <v>#04</v>
      </c>
      <c r="J7176" t="s">
        <v>588</v>
      </c>
      <c r="K7176" s="195">
        <v>45947.316921296297</v>
      </c>
      <c r="L7176">
        <v>100</v>
      </c>
      <c r="M7176">
        <v>0</v>
      </c>
      <c r="N7176" s="98" t="str">
        <f>IF(record[[#This Row],[Memo]]="Browser:chrome os:android","平板報工",IF(record[[#This Row],[Memo]]=0,"委外",record[[#This Row],[Memo]]))</f>
        <v/>
      </c>
      <c r="O7176" t="s">
        <v>58</v>
      </c>
      <c r="P7176" t="s">
        <v>135</v>
      </c>
      <c r="Q7176" t="s">
        <v>58</v>
      </c>
      <c r="R7176" t="str">
        <f>IFERROR(VLOOKUP(record[[#This Row],[PCUSTID]],廠商[],2,FALSE),"")</f>
        <v/>
      </c>
      <c r="S7176" t="str">
        <f>VLOOKUP(record[[#This Row],[employeeID]],員工[],2,FALSE)</f>
        <v>阮士文</v>
      </c>
    </row>
    <row r="7177" spans="6:19" hidden="1" x14ac:dyDescent="0.25">
      <c r="F7177" t="s">
        <v>1101</v>
      </c>
      <c r="G7177" t="s">
        <v>377</v>
      </c>
      <c r="H7177" t="str">
        <f>VLOOKUP(record[[#This Row],[ProcessSN]],表格2_7[],2,FALSE)</f>
        <v>30-4118-018-4XX</v>
      </c>
      <c r="I7177" t="str">
        <f>VLOOKUP(record[[#This Row],[ProcessSN]],表格2_7[],3,FALSE)</f>
        <v>#07</v>
      </c>
      <c r="J7177" t="s">
        <v>588</v>
      </c>
      <c r="K7177" s="195">
        <v>45947.316643518519</v>
      </c>
      <c r="L7177">
        <v>178</v>
      </c>
      <c r="M7177">
        <v>0</v>
      </c>
      <c r="N7177" s="98" t="str">
        <f>IF(record[[#This Row],[Memo]]="Browser:chrome os:android","平板報工",IF(record[[#This Row],[Memo]]=0,"委外",record[[#This Row],[Memo]]))</f>
        <v/>
      </c>
      <c r="O7177" t="s">
        <v>58</v>
      </c>
      <c r="P7177" t="s">
        <v>135</v>
      </c>
      <c r="Q7177" t="s">
        <v>58</v>
      </c>
      <c r="R7177" t="str">
        <f>IFERROR(VLOOKUP(record[[#This Row],[PCUSTID]],廠商[],2,FALSE),"")</f>
        <v/>
      </c>
      <c r="S7177" t="str">
        <f>VLOOKUP(record[[#This Row],[employeeID]],員工[],2,FALSE)</f>
        <v>阮士文</v>
      </c>
    </row>
    <row r="7178" spans="6:19" hidden="1" x14ac:dyDescent="0.25">
      <c r="F7178" t="s">
        <v>1101</v>
      </c>
      <c r="G7178" t="s">
        <v>375</v>
      </c>
      <c r="H7178" t="str">
        <f>VLOOKUP(record[[#This Row],[ProcessSN]],表格2_7[],2,FALSE)</f>
        <v>30-4118-018-4XX</v>
      </c>
      <c r="I7178" t="str">
        <f>VLOOKUP(record[[#This Row],[ProcessSN]],表格2_7[],3,FALSE)</f>
        <v>#05</v>
      </c>
      <c r="J7178" t="s">
        <v>588</v>
      </c>
      <c r="K7178" s="195">
        <v>45947.316157407404</v>
      </c>
      <c r="L7178">
        <v>227</v>
      </c>
      <c r="M7178">
        <v>0</v>
      </c>
      <c r="N7178" s="98" t="str">
        <f>IF(record[[#This Row],[Memo]]="Browser:chrome os:android","平板報工",IF(record[[#This Row],[Memo]]=0,"委外",record[[#This Row],[Memo]]))</f>
        <v/>
      </c>
      <c r="O7178" t="s">
        <v>58</v>
      </c>
      <c r="P7178" t="s">
        <v>135</v>
      </c>
      <c r="Q7178" t="s">
        <v>58</v>
      </c>
      <c r="R7178" t="str">
        <f>IFERROR(VLOOKUP(record[[#This Row],[PCUSTID]],廠商[],2,FALSE),"")</f>
        <v/>
      </c>
      <c r="S7178" t="str">
        <f>VLOOKUP(record[[#This Row],[employeeID]],員工[],2,FALSE)</f>
        <v>阮士文</v>
      </c>
    </row>
    <row r="7179" spans="6:19" hidden="1" x14ac:dyDescent="0.25">
      <c r="F7179" t="s">
        <v>1101</v>
      </c>
      <c r="G7179" t="s">
        <v>374</v>
      </c>
      <c r="H7179" t="str">
        <f>VLOOKUP(record[[#This Row],[ProcessSN]],表格2_7[],2,FALSE)</f>
        <v>30-4118-018-4XX</v>
      </c>
      <c r="I7179" t="str">
        <f>VLOOKUP(record[[#This Row],[ProcessSN]],表格2_7[],3,FALSE)</f>
        <v>#04</v>
      </c>
      <c r="J7179" t="s">
        <v>588</v>
      </c>
      <c r="K7179" s="195">
        <v>45946.986388888887</v>
      </c>
      <c r="L7179">
        <v>169</v>
      </c>
      <c r="M7179">
        <v>0</v>
      </c>
      <c r="N7179" s="98" t="str">
        <f>IF(record[[#This Row],[Memo]]="Browser:chrome os:android","平板報工",IF(record[[#This Row],[Memo]]=0,"委外",record[[#This Row],[Memo]]))</f>
        <v/>
      </c>
      <c r="O7179" t="s">
        <v>58</v>
      </c>
      <c r="P7179" t="s">
        <v>133</v>
      </c>
      <c r="Q7179" t="s">
        <v>58</v>
      </c>
      <c r="R7179" t="str">
        <f>IFERROR(VLOOKUP(record[[#This Row],[PCUSTID]],廠商[],2,FALSE),"")</f>
        <v/>
      </c>
      <c r="S7179" t="str">
        <f>VLOOKUP(record[[#This Row],[employeeID]],員工[],2,FALSE)</f>
        <v>黎長維</v>
      </c>
    </row>
    <row r="7180" spans="6:19" hidden="1" x14ac:dyDescent="0.25">
      <c r="F7180" t="s">
        <v>1101</v>
      </c>
      <c r="G7180" t="s">
        <v>377</v>
      </c>
      <c r="H7180" t="str">
        <f>VLOOKUP(record[[#This Row],[ProcessSN]],表格2_7[],2,FALSE)</f>
        <v>30-4118-018-4XX</v>
      </c>
      <c r="I7180" t="str">
        <f>VLOOKUP(record[[#This Row],[ProcessSN]],表格2_7[],3,FALSE)</f>
        <v>#07</v>
      </c>
      <c r="J7180" t="s">
        <v>588</v>
      </c>
      <c r="K7180" s="195">
        <v>45946.985821759263</v>
      </c>
      <c r="L7180">
        <v>203</v>
      </c>
      <c r="M7180">
        <v>1</v>
      </c>
      <c r="N7180" s="98" t="str">
        <f>IF(record[[#This Row],[Memo]]="Browser:chrome os:android","平板報工",IF(record[[#This Row],[Memo]]=0,"委外",record[[#This Row],[Memo]]))</f>
        <v/>
      </c>
      <c r="O7180" t="s">
        <v>58</v>
      </c>
      <c r="P7180" t="s">
        <v>89</v>
      </c>
      <c r="Q7180" t="s">
        <v>58</v>
      </c>
      <c r="R7180" t="str">
        <f>IFERROR(VLOOKUP(record[[#This Row],[PCUSTID]],廠商[],2,FALSE),"")</f>
        <v/>
      </c>
      <c r="S7180" t="str">
        <f>VLOOKUP(record[[#This Row],[employeeID]],員工[],2,FALSE)</f>
        <v>李美蓮</v>
      </c>
    </row>
    <row r="7181" spans="6:19" hidden="1" x14ac:dyDescent="0.25">
      <c r="F7181" t="s">
        <v>1101</v>
      </c>
      <c r="G7181" t="s">
        <v>376</v>
      </c>
      <c r="H7181" t="str">
        <f>VLOOKUP(record[[#This Row],[ProcessSN]],表格2_7[],2,FALSE)</f>
        <v>30-4118-018-4XX</v>
      </c>
      <c r="I7181" t="str">
        <f>VLOOKUP(record[[#This Row],[ProcessSN]],表格2_7[],3,FALSE)</f>
        <v>#06</v>
      </c>
      <c r="J7181" t="s">
        <v>593</v>
      </c>
      <c r="K7181" s="195">
        <v>45946.984537037039</v>
      </c>
      <c r="L7181">
        <v>211</v>
      </c>
      <c r="M7181">
        <v>0</v>
      </c>
      <c r="N7181" s="98" t="str">
        <f>IF(record[[#This Row],[Memo]]="Browser:chrome os:android","平板報工",IF(record[[#This Row],[Memo]]=0,"委外",record[[#This Row],[Memo]]))</f>
        <v/>
      </c>
      <c r="O7181" t="s">
        <v>58</v>
      </c>
      <c r="P7181" t="s">
        <v>176</v>
      </c>
      <c r="Q7181" t="s">
        <v>58</v>
      </c>
      <c r="R7181" t="str">
        <f>IFERROR(VLOOKUP(record[[#This Row],[PCUSTID]],廠商[],2,FALSE),"")</f>
        <v/>
      </c>
      <c r="S7181" t="str">
        <f>VLOOKUP(record[[#This Row],[employeeID]],員工[],2,FALSE)</f>
        <v>郭政雄</v>
      </c>
    </row>
    <row r="7182" spans="6:19" hidden="1" x14ac:dyDescent="0.25">
      <c r="F7182" t="s">
        <v>1101</v>
      </c>
      <c r="G7182" t="s">
        <v>375</v>
      </c>
      <c r="H7182" t="str">
        <f>VLOOKUP(record[[#This Row],[ProcessSN]],表格2_7[],2,FALSE)</f>
        <v>30-4118-018-4XX</v>
      </c>
      <c r="I7182" t="str">
        <f>VLOOKUP(record[[#This Row],[ProcessSN]],表格2_7[],3,FALSE)</f>
        <v>#05</v>
      </c>
      <c r="J7182" t="s">
        <v>588</v>
      </c>
      <c r="K7182" s="195">
        <v>45946.982037037036</v>
      </c>
      <c r="L7182">
        <v>264</v>
      </c>
      <c r="M7182">
        <v>0</v>
      </c>
      <c r="N7182" s="98" t="str">
        <f>IF(record[[#This Row],[Memo]]="Browser:chrome os:android","平板報工",IF(record[[#This Row],[Memo]]=0,"委外",record[[#This Row],[Memo]]))</f>
        <v/>
      </c>
      <c r="O7182" t="s">
        <v>58</v>
      </c>
      <c r="P7182" t="s">
        <v>89</v>
      </c>
      <c r="Q7182" t="s">
        <v>58</v>
      </c>
      <c r="R7182" t="str">
        <f>IFERROR(VLOOKUP(record[[#This Row],[PCUSTID]],廠商[],2,FALSE),"")</f>
        <v/>
      </c>
      <c r="S7182" t="str">
        <f>VLOOKUP(record[[#This Row],[employeeID]],員工[],2,FALSE)</f>
        <v>李美蓮</v>
      </c>
    </row>
    <row r="7183" spans="6:19" hidden="1" x14ac:dyDescent="0.25">
      <c r="F7183" t="s">
        <v>1122</v>
      </c>
      <c r="G7183" t="s">
        <v>356</v>
      </c>
      <c r="H7183" t="str">
        <f>VLOOKUP(record[[#This Row],[ProcessSN]],表格2_7[],2,FALSE)</f>
        <v>30-4118-018-450</v>
      </c>
      <c r="I7183" t="str">
        <f>VLOOKUP(record[[#This Row],[ProcessSN]],表格2_7[],3,FALSE)</f>
        <v>#08</v>
      </c>
      <c r="J7183" t="s">
        <v>597</v>
      </c>
      <c r="K7183" s="195">
        <v>45946.750150462962</v>
      </c>
      <c r="L7183">
        <v>186</v>
      </c>
      <c r="M7183">
        <v>0</v>
      </c>
      <c r="N7183" s="98" t="str">
        <f>IF(record[[#This Row],[Memo]]="Browser:chrome os:android","平板報工",IF(record[[#This Row],[Memo]]=0,"委外",record[[#This Row],[Memo]]))</f>
        <v>委外</v>
      </c>
      <c r="P7183" t="s">
        <v>886</v>
      </c>
      <c r="Q7183" t="s">
        <v>287</v>
      </c>
      <c r="R7183" t="str">
        <f>IFERROR(VLOOKUP(record[[#This Row],[PCUSTID]],廠商[],2,FALSE),"")</f>
        <v>泉盛</v>
      </c>
      <c r="S7183" t="str">
        <f>VLOOKUP(record[[#This Row],[employeeID]],員工[],2,FALSE)</f>
        <v>謝蓁薰</v>
      </c>
    </row>
    <row r="7184" spans="6:19" hidden="1" x14ac:dyDescent="0.25">
      <c r="F7184" t="s">
        <v>1101</v>
      </c>
      <c r="G7184" t="s">
        <v>379</v>
      </c>
      <c r="H7184" t="str">
        <f>VLOOKUP(record[[#This Row],[ProcessSN]],表格2_7[],2,FALSE)</f>
        <v>30-4118-018-4XX</v>
      </c>
      <c r="I7184" t="str">
        <f>VLOOKUP(record[[#This Row],[ProcessSN]],表格2_7[],3,FALSE)</f>
        <v>#07STOCK</v>
      </c>
      <c r="J7184" t="s">
        <v>592</v>
      </c>
      <c r="K7184" s="195">
        <v>45946.712222222224</v>
      </c>
      <c r="L7184">
        <v>180</v>
      </c>
      <c r="M7184">
        <v>0</v>
      </c>
      <c r="N7184" s="98" t="str">
        <f>IF(record[[#This Row],[Memo]]="Browser:chrome os:android","平板報工",IF(record[[#This Row],[Memo]]=0,"委外",record[[#This Row],[Memo]]))</f>
        <v/>
      </c>
      <c r="O7184" t="s">
        <v>58</v>
      </c>
      <c r="P7184" t="s">
        <v>196</v>
      </c>
      <c r="Q7184" t="s">
        <v>58</v>
      </c>
      <c r="R7184" t="str">
        <f>IFERROR(VLOOKUP(record[[#This Row],[PCUSTID]],廠商[],2,FALSE),"")</f>
        <v/>
      </c>
      <c r="S7184" t="str">
        <f>VLOOKUP(record[[#This Row],[employeeID]],員工[],2,FALSE)</f>
        <v>張淑惠</v>
      </c>
    </row>
    <row r="7185" spans="6:19" hidden="1" x14ac:dyDescent="0.25">
      <c r="F7185" t="s">
        <v>1023</v>
      </c>
      <c r="G7185" t="s">
        <v>379</v>
      </c>
      <c r="H7185" t="str">
        <f>VLOOKUP(record[[#This Row],[ProcessSN]],表格2_7[],2,FALSE)</f>
        <v>30-4118-018-4XX</v>
      </c>
      <c r="I7185" t="str">
        <f>VLOOKUP(record[[#This Row],[ProcessSN]],表格2_7[],3,FALSE)</f>
        <v>#07STOCK</v>
      </c>
      <c r="J7185" t="s">
        <v>592</v>
      </c>
      <c r="K7185" s="195">
        <v>45946.712106481478</v>
      </c>
      <c r="L7185">
        <v>6</v>
      </c>
      <c r="M7185">
        <v>0</v>
      </c>
      <c r="N7185" s="98" t="str">
        <f>IF(record[[#This Row],[Memo]]="Browser:chrome os:android","平板報工",IF(record[[#This Row],[Memo]]=0,"委外",record[[#This Row],[Memo]]))</f>
        <v/>
      </c>
      <c r="O7185" t="s">
        <v>58</v>
      </c>
      <c r="P7185" t="s">
        <v>196</v>
      </c>
      <c r="Q7185" t="s">
        <v>58</v>
      </c>
      <c r="R7185" t="str">
        <f>IFERROR(VLOOKUP(record[[#This Row],[PCUSTID]],廠商[],2,FALSE),"")</f>
        <v/>
      </c>
      <c r="S7185" t="str">
        <f>VLOOKUP(record[[#This Row],[employeeID]],員工[],2,FALSE)</f>
        <v>張淑惠</v>
      </c>
    </row>
    <row r="7186" spans="6:19" hidden="1" x14ac:dyDescent="0.25">
      <c r="F7186" t="s">
        <v>1107</v>
      </c>
      <c r="G7186" t="s">
        <v>428</v>
      </c>
      <c r="H7186" t="str">
        <f>VLOOKUP(record[[#This Row],[ProcessSN]],表格2_7[],2,FALSE)</f>
        <v>30-4118-018-600</v>
      </c>
      <c r="I7186" t="str">
        <f>VLOOKUP(record[[#This Row],[ProcessSN]],表格2_7[],3,FALSE)</f>
        <v>#100SHIP</v>
      </c>
      <c r="J7186" t="s">
        <v>600</v>
      </c>
      <c r="K7186" s="195">
        <v>45946.701157407406</v>
      </c>
      <c r="L7186">
        <v>59</v>
      </c>
      <c r="M7186">
        <v>0</v>
      </c>
      <c r="N7186" s="98" t="str">
        <f>IF(record[[#This Row],[Memo]]="Browser:chrome os:android","平板報工",IF(record[[#This Row],[Memo]]=0,"委外",record[[#This Row],[Memo]]))</f>
        <v/>
      </c>
      <c r="O7186" t="s">
        <v>58</v>
      </c>
      <c r="P7186" t="s">
        <v>886</v>
      </c>
      <c r="Q7186" t="s">
        <v>58</v>
      </c>
      <c r="R7186" t="str">
        <f>IFERROR(VLOOKUP(record[[#This Row],[PCUSTID]],廠商[],2,FALSE),"")</f>
        <v/>
      </c>
      <c r="S7186" t="str">
        <f>VLOOKUP(record[[#This Row],[employeeID]],員工[],2,FALSE)</f>
        <v>謝蓁薰</v>
      </c>
    </row>
    <row r="7187" spans="6:19" hidden="1" x14ac:dyDescent="0.25">
      <c r="F7187" t="s">
        <v>1107</v>
      </c>
      <c r="G7187" t="s">
        <v>427</v>
      </c>
      <c r="H7187" t="str">
        <f>VLOOKUP(record[[#This Row],[ProcessSN]],表格2_7[],2,FALSE)</f>
        <v>30-4118-018-600</v>
      </c>
      <c r="I7187" t="str">
        <f>VLOOKUP(record[[#This Row],[ProcessSN]],表格2_7[],3,FALSE)</f>
        <v>#100STOCK</v>
      </c>
      <c r="J7187" t="s">
        <v>592</v>
      </c>
      <c r="K7187" s="195">
        <v>45946.701041666667</v>
      </c>
      <c r="L7187">
        <v>59</v>
      </c>
      <c r="M7187">
        <v>0</v>
      </c>
      <c r="N7187" s="98" t="str">
        <f>IF(record[[#This Row],[Memo]]="Browser:chrome os:android","平板報工",IF(record[[#This Row],[Memo]]=0,"委外",record[[#This Row],[Memo]]))</f>
        <v/>
      </c>
      <c r="O7187" t="s">
        <v>58</v>
      </c>
      <c r="P7187" t="s">
        <v>886</v>
      </c>
      <c r="Q7187" t="s">
        <v>58</v>
      </c>
      <c r="R7187" t="str">
        <f>IFERROR(VLOOKUP(record[[#This Row],[PCUSTID]],廠商[],2,FALSE),"")</f>
        <v/>
      </c>
      <c r="S7187" t="str">
        <f>VLOOKUP(record[[#This Row],[employeeID]],員工[],2,FALSE)</f>
        <v>謝蓁薰</v>
      </c>
    </row>
    <row r="7188" spans="6:19" hidden="1" x14ac:dyDescent="0.25">
      <c r="F7188" t="s">
        <v>1101</v>
      </c>
      <c r="G7188" t="s">
        <v>378</v>
      </c>
      <c r="H7188" t="str">
        <f>VLOOKUP(record[[#This Row],[ProcessSN]],表格2_7[],2,FALSE)</f>
        <v>30-4118-018-4XX</v>
      </c>
      <c r="I7188" t="str">
        <f>VLOOKUP(record[[#This Row],[ProcessSN]],表格2_7[],3,FALSE)</f>
        <v>#07QC</v>
      </c>
      <c r="J7188" t="s">
        <v>589</v>
      </c>
      <c r="K7188" s="195">
        <v>45946.700312499997</v>
      </c>
      <c r="L7188">
        <v>180</v>
      </c>
      <c r="M7188">
        <v>0</v>
      </c>
      <c r="N7188" s="98" t="str">
        <f>IF(record[[#This Row],[Memo]]="Browser:chrome os:android","平板報工",IF(record[[#This Row],[Memo]]=0,"委外",record[[#This Row],[Memo]]))</f>
        <v>平板報工</v>
      </c>
      <c r="O7188" t="s">
        <v>643</v>
      </c>
      <c r="P7188" t="s">
        <v>141</v>
      </c>
      <c r="Q7188" t="s">
        <v>644</v>
      </c>
      <c r="R7188" t="str">
        <f>IFERROR(VLOOKUP(record[[#This Row],[PCUSTID]],廠商[],2,FALSE),"")</f>
        <v/>
      </c>
      <c r="S7188" t="str">
        <f>VLOOKUP(record[[#This Row],[employeeID]],員工[],2,FALSE)</f>
        <v>蔣梅</v>
      </c>
    </row>
    <row r="7189" spans="6:19" hidden="1" x14ac:dyDescent="0.25">
      <c r="F7189" t="s">
        <v>1101</v>
      </c>
      <c r="G7189" t="s">
        <v>377</v>
      </c>
      <c r="H7189" t="str">
        <f>VLOOKUP(record[[#This Row],[ProcessSN]],表格2_7[],2,FALSE)</f>
        <v>30-4118-018-4XX</v>
      </c>
      <c r="I7189" t="str">
        <f>VLOOKUP(record[[#This Row],[ProcessSN]],表格2_7[],3,FALSE)</f>
        <v>#07</v>
      </c>
      <c r="J7189" t="s">
        <v>588</v>
      </c>
      <c r="K7189" s="195">
        <v>45946.69976851852</v>
      </c>
      <c r="L7189">
        <v>22</v>
      </c>
      <c r="M7189">
        <v>0</v>
      </c>
      <c r="N7189" s="98" t="str">
        <f>IF(record[[#This Row],[Memo]]="Browser:chrome os:android","平板報工",IF(record[[#This Row],[Memo]]=0,"委外",record[[#This Row],[Memo]]))</f>
        <v>10/16中班的先報工</v>
      </c>
      <c r="O7189" t="s">
        <v>1123</v>
      </c>
      <c r="P7189" t="s">
        <v>1075</v>
      </c>
      <c r="Q7189" t="s">
        <v>58</v>
      </c>
      <c r="R7189" t="str">
        <f>IFERROR(VLOOKUP(record[[#This Row],[PCUSTID]],廠商[],2,FALSE),"")</f>
        <v/>
      </c>
      <c r="S7189" t="str">
        <f>VLOOKUP(record[[#This Row],[employeeID]],員工[],2,FALSE)</f>
        <v>吳宥叡</v>
      </c>
    </row>
    <row r="7190" spans="6:19" hidden="1" x14ac:dyDescent="0.25">
      <c r="F7190" t="s">
        <v>1101</v>
      </c>
      <c r="G7190" t="s">
        <v>376</v>
      </c>
      <c r="H7190" t="str">
        <f>VLOOKUP(record[[#This Row],[ProcessSN]],表格2_7[],2,FALSE)</f>
        <v>30-4118-018-4XX</v>
      </c>
      <c r="I7190" t="str">
        <f>VLOOKUP(record[[#This Row],[ProcessSN]],表格2_7[],3,FALSE)</f>
        <v>#06</v>
      </c>
      <c r="J7190" t="s">
        <v>593</v>
      </c>
      <c r="K7190" s="195">
        <v>45946.699560185189</v>
      </c>
      <c r="L7190">
        <v>22</v>
      </c>
      <c r="M7190">
        <v>0</v>
      </c>
      <c r="N7190" s="98" t="str">
        <f>IF(record[[#This Row],[Memo]]="Browser:chrome os:android","平板報工",IF(record[[#This Row],[Memo]]=0,"委外",record[[#This Row],[Memo]]))</f>
        <v>10/16中班的先報工</v>
      </c>
      <c r="O7190" t="s">
        <v>1123</v>
      </c>
      <c r="P7190" t="s">
        <v>1075</v>
      </c>
      <c r="Q7190" t="s">
        <v>58</v>
      </c>
      <c r="R7190" t="str">
        <f>IFERROR(VLOOKUP(record[[#This Row],[PCUSTID]],廠商[],2,FALSE),"")</f>
        <v/>
      </c>
      <c r="S7190" t="str">
        <f>VLOOKUP(record[[#This Row],[employeeID]],員工[],2,FALSE)</f>
        <v>吳宥叡</v>
      </c>
    </row>
    <row r="7191" spans="6:19" hidden="1" x14ac:dyDescent="0.25">
      <c r="F7191" t="s">
        <v>1101</v>
      </c>
      <c r="G7191" t="s">
        <v>375</v>
      </c>
      <c r="H7191" t="str">
        <f>VLOOKUP(record[[#This Row],[ProcessSN]],表格2_7[],2,FALSE)</f>
        <v>30-4118-018-4XX</v>
      </c>
      <c r="I7191" t="str">
        <f>VLOOKUP(record[[#This Row],[ProcessSN]],表格2_7[],3,FALSE)</f>
        <v>#05</v>
      </c>
      <c r="J7191" t="s">
        <v>588</v>
      </c>
      <c r="K7191" s="195">
        <v>45946.699201388888</v>
      </c>
      <c r="L7191">
        <v>22</v>
      </c>
      <c r="M7191">
        <v>0</v>
      </c>
      <c r="N7191" s="98" t="str">
        <f>IF(record[[#This Row],[Memo]]="Browser:chrome os:android","平板報工",IF(record[[#This Row],[Memo]]=0,"委外",record[[#This Row],[Memo]]))</f>
        <v/>
      </c>
      <c r="O7191" t="s">
        <v>58</v>
      </c>
      <c r="P7191" t="s">
        <v>1075</v>
      </c>
      <c r="Q7191" t="s">
        <v>58</v>
      </c>
      <c r="R7191" t="str">
        <f>IFERROR(VLOOKUP(record[[#This Row],[PCUSTID]],廠商[],2,FALSE),"")</f>
        <v/>
      </c>
      <c r="S7191" t="str">
        <f>VLOOKUP(record[[#This Row],[employeeID]],員工[],2,FALSE)</f>
        <v>吳宥叡</v>
      </c>
    </row>
    <row r="7192" spans="6:19" hidden="1" x14ac:dyDescent="0.25">
      <c r="F7192" t="s">
        <v>1122</v>
      </c>
      <c r="G7192" t="s">
        <v>355</v>
      </c>
      <c r="H7192" t="str">
        <f>VLOOKUP(record[[#This Row],[ProcessSN]],表格2_7[],2,FALSE)</f>
        <v>30-4118-018-450</v>
      </c>
      <c r="I7192" t="str">
        <f>VLOOKUP(record[[#This Row],[ProcessSN]],表格2_7[],3,FALSE)</f>
        <v>#08PICK</v>
      </c>
      <c r="J7192" t="s">
        <v>582</v>
      </c>
      <c r="K7192" s="195">
        <v>45946.696689814817</v>
      </c>
      <c r="L7192">
        <v>186</v>
      </c>
      <c r="M7192">
        <v>0</v>
      </c>
      <c r="N7192" s="98" t="str">
        <f>IF(record[[#This Row],[Memo]]="Browser:chrome os:android","平板報工",IF(record[[#This Row],[Memo]]=0,"委外",record[[#This Row],[Memo]]))</f>
        <v/>
      </c>
      <c r="O7192" t="s">
        <v>58</v>
      </c>
      <c r="P7192" t="s">
        <v>196</v>
      </c>
      <c r="Q7192" t="s">
        <v>58</v>
      </c>
      <c r="R7192" t="str">
        <f>IFERROR(VLOOKUP(record[[#This Row],[PCUSTID]],廠商[],2,FALSE),"")</f>
        <v/>
      </c>
      <c r="S7192" t="str">
        <f>VLOOKUP(record[[#This Row],[employeeID]],員工[],2,FALSE)</f>
        <v>張淑惠</v>
      </c>
    </row>
    <row r="7193" spans="6:19" hidden="1" x14ac:dyDescent="0.25">
      <c r="F7193" t="s">
        <v>1101</v>
      </c>
      <c r="G7193" t="s">
        <v>377</v>
      </c>
      <c r="H7193" t="str">
        <f>VLOOKUP(record[[#This Row],[ProcessSN]],表格2_7[],2,FALSE)</f>
        <v>30-4118-018-4XX</v>
      </c>
      <c r="I7193" t="str">
        <f>VLOOKUP(record[[#This Row],[ProcessSN]],表格2_7[],3,FALSE)</f>
        <v>#07</v>
      </c>
      <c r="J7193" t="s">
        <v>588</v>
      </c>
      <c r="K7193" s="195">
        <v>45946.695173611108</v>
      </c>
      <c r="L7193">
        <v>14</v>
      </c>
      <c r="M7193">
        <v>0</v>
      </c>
      <c r="N7193" s="98" t="str">
        <f>IF(record[[#This Row],[Memo]]="Browser:chrome os:android","平板報工",IF(record[[#This Row],[Memo]]=0,"委外",record[[#This Row],[Memo]]))</f>
        <v>平板報工</v>
      </c>
      <c r="O7193" t="s">
        <v>643</v>
      </c>
      <c r="P7193" t="s">
        <v>1075</v>
      </c>
      <c r="Q7193" t="s">
        <v>644</v>
      </c>
      <c r="R7193" t="str">
        <f>IFERROR(VLOOKUP(record[[#This Row],[PCUSTID]],廠商[],2,FALSE),"")</f>
        <v/>
      </c>
      <c r="S7193" t="str">
        <f>VLOOKUP(record[[#This Row],[employeeID]],員工[],2,FALSE)</f>
        <v>吳宥叡</v>
      </c>
    </row>
    <row r="7194" spans="6:19" hidden="1" x14ac:dyDescent="0.25">
      <c r="F7194" t="s">
        <v>1081</v>
      </c>
      <c r="G7194" t="s">
        <v>428</v>
      </c>
      <c r="H7194" t="str">
        <f>VLOOKUP(record[[#This Row],[ProcessSN]],表格2_7[],2,FALSE)</f>
        <v>30-4118-018-600</v>
      </c>
      <c r="I7194" t="str">
        <f>VLOOKUP(record[[#This Row],[ProcessSN]],表格2_7[],3,FALSE)</f>
        <v>#100SHIP</v>
      </c>
      <c r="J7194" t="s">
        <v>600</v>
      </c>
      <c r="K7194" s="195">
        <v>45946.691296296296</v>
      </c>
      <c r="L7194">
        <v>51</v>
      </c>
      <c r="M7194">
        <v>0</v>
      </c>
      <c r="N7194" s="98" t="str">
        <f>IF(record[[#This Row],[Memo]]="Browser:chrome os:android","平板報工",IF(record[[#This Row],[Memo]]=0,"委外",record[[#This Row],[Memo]]))</f>
        <v/>
      </c>
      <c r="O7194" t="s">
        <v>58</v>
      </c>
      <c r="P7194" t="s">
        <v>121</v>
      </c>
      <c r="Q7194" t="s">
        <v>58</v>
      </c>
      <c r="R7194" t="str">
        <f>IFERROR(VLOOKUP(record[[#This Row],[PCUSTID]],廠商[],2,FALSE),"")</f>
        <v/>
      </c>
      <c r="S7194" t="str">
        <f>VLOOKUP(record[[#This Row],[employeeID]],員工[],2,FALSE)</f>
        <v>謝素卿</v>
      </c>
    </row>
    <row r="7195" spans="6:19" hidden="1" x14ac:dyDescent="0.25">
      <c r="F7195" t="s">
        <v>1081</v>
      </c>
      <c r="G7195" t="s">
        <v>427</v>
      </c>
      <c r="H7195" t="str">
        <f>VLOOKUP(record[[#This Row],[ProcessSN]],表格2_7[],2,FALSE)</f>
        <v>30-4118-018-600</v>
      </c>
      <c r="I7195" t="str">
        <f>VLOOKUP(record[[#This Row],[ProcessSN]],表格2_7[],3,FALSE)</f>
        <v>#100STOCK</v>
      </c>
      <c r="J7195" t="s">
        <v>592</v>
      </c>
      <c r="K7195" s="195">
        <v>45946.691168981481</v>
      </c>
      <c r="L7195">
        <v>11</v>
      </c>
      <c r="M7195">
        <v>0</v>
      </c>
      <c r="N7195" s="98" t="str">
        <f>IF(record[[#This Row],[Memo]]="Browser:chrome os:android","平板報工",IF(record[[#This Row],[Memo]]=0,"委外",record[[#This Row],[Memo]]))</f>
        <v/>
      </c>
      <c r="O7195" t="s">
        <v>58</v>
      </c>
      <c r="P7195" t="s">
        <v>121</v>
      </c>
      <c r="Q7195" t="s">
        <v>58</v>
      </c>
      <c r="R7195" t="str">
        <f>IFERROR(VLOOKUP(record[[#This Row],[PCUSTID]],廠商[],2,FALSE),"")</f>
        <v/>
      </c>
      <c r="S7195" t="str">
        <f>VLOOKUP(record[[#This Row],[employeeID]],員工[],2,FALSE)</f>
        <v>謝素卿</v>
      </c>
    </row>
    <row r="7196" spans="6:19" hidden="1" x14ac:dyDescent="0.25">
      <c r="F7196" t="s">
        <v>1099</v>
      </c>
      <c r="G7196" t="s">
        <v>451</v>
      </c>
      <c r="H7196" t="str">
        <f>VLOOKUP(record[[#This Row],[ProcessSN]],表格2_7[],2,FALSE)</f>
        <v>30-4118-018-6XX</v>
      </c>
      <c r="I7196" t="str">
        <f>VLOOKUP(record[[#This Row],[ProcessSN]],表格2_7[],3,FALSE)</f>
        <v>#07</v>
      </c>
      <c r="J7196" t="s">
        <v>588</v>
      </c>
      <c r="K7196" s="195">
        <v>45946.678912037038</v>
      </c>
      <c r="L7196">
        <v>55</v>
      </c>
      <c r="M7196">
        <v>0</v>
      </c>
      <c r="N7196" s="98" t="str">
        <f>IF(record[[#This Row],[Memo]]="Browser:chrome os:android","平板報工",IF(record[[#This Row],[Memo]]=0,"委外",record[[#This Row],[Memo]]))</f>
        <v/>
      </c>
      <c r="O7196" t="s">
        <v>58</v>
      </c>
      <c r="P7196" t="s">
        <v>101</v>
      </c>
      <c r="Q7196" t="s">
        <v>58</v>
      </c>
      <c r="R7196" t="str">
        <f>IFERROR(VLOOKUP(record[[#This Row],[PCUSTID]],廠商[],2,FALSE),"")</f>
        <v/>
      </c>
      <c r="S7196" t="str">
        <f>VLOOKUP(record[[#This Row],[employeeID]],員工[],2,FALSE)</f>
        <v>陳氏絨</v>
      </c>
    </row>
    <row r="7197" spans="6:19" hidden="1" x14ac:dyDescent="0.25">
      <c r="F7197" t="s">
        <v>1081</v>
      </c>
      <c r="G7197" t="s">
        <v>426</v>
      </c>
      <c r="H7197" t="str">
        <f>VLOOKUP(record[[#This Row],[ProcessSN]],表格2_7[],2,FALSE)</f>
        <v>30-4118-018-600</v>
      </c>
      <c r="I7197" t="str">
        <f>VLOOKUP(record[[#This Row],[ProcessSN]],表格2_7[],3,FALSE)</f>
        <v>#100OQC</v>
      </c>
      <c r="J7197" t="s">
        <v>599</v>
      </c>
      <c r="K7197" s="195">
        <v>45946.667581018519</v>
      </c>
      <c r="L7197">
        <v>11</v>
      </c>
      <c r="M7197">
        <v>0</v>
      </c>
      <c r="N7197" s="98" t="str">
        <f>IF(record[[#This Row],[Memo]]="Browser:chrome os:android","平板報工",IF(record[[#This Row],[Memo]]=0,"委外",record[[#This Row],[Memo]]))</f>
        <v/>
      </c>
      <c r="O7197" t="s">
        <v>58</v>
      </c>
      <c r="P7197" t="s">
        <v>121</v>
      </c>
      <c r="Q7197" t="s">
        <v>58</v>
      </c>
      <c r="R7197" t="str">
        <f>IFERROR(VLOOKUP(record[[#This Row],[PCUSTID]],廠商[],2,FALSE),"")</f>
        <v/>
      </c>
      <c r="S7197" t="str">
        <f>VLOOKUP(record[[#This Row],[employeeID]],員工[],2,FALSE)</f>
        <v>謝素卿</v>
      </c>
    </row>
    <row r="7198" spans="6:19" hidden="1" x14ac:dyDescent="0.25">
      <c r="F7198" t="s">
        <v>1111</v>
      </c>
      <c r="G7198" t="s">
        <v>426</v>
      </c>
      <c r="H7198" t="str">
        <f>VLOOKUP(record[[#This Row],[ProcessSN]],表格2_7[],2,FALSE)</f>
        <v>30-4118-018-600</v>
      </c>
      <c r="I7198" t="str">
        <f>VLOOKUP(record[[#This Row],[ProcessSN]],表格2_7[],3,FALSE)</f>
        <v>#100OQC</v>
      </c>
      <c r="J7198" t="s">
        <v>599</v>
      </c>
      <c r="K7198" s="195">
        <v>45946.667442129627</v>
      </c>
      <c r="L7198">
        <v>3</v>
      </c>
      <c r="M7198">
        <v>0</v>
      </c>
      <c r="N7198" s="98" t="str">
        <f>IF(record[[#This Row],[Memo]]="Browser:chrome os:android","平板報工",IF(record[[#This Row],[Memo]]=0,"委外",record[[#This Row],[Memo]]))</f>
        <v/>
      </c>
      <c r="O7198" t="s">
        <v>58</v>
      </c>
      <c r="P7198" t="s">
        <v>121</v>
      </c>
      <c r="Q7198" t="s">
        <v>58</v>
      </c>
      <c r="R7198" t="str">
        <f>IFERROR(VLOOKUP(record[[#This Row],[PCUSTID]],廠商[],2,FALSE),"")</f>
        <v/>
      </c>
      <c r="S7198" t="str">
        <f>VLOOKUP(record[[#This Row],[employeeID]],員工[],2,FALSE)</f>
        <v>謝素卿</v>
      </c>
    </row>
    <row r="7199" spans="6:19" hidden="1" x14ac:dyDescent="0.25">
      <c r="F7199" t="s">
        <v>1107</v>
      </c>
      <c r="G7199" t="s">
        <v>426</v>
      </c>
      <c r="H7199" t="str">
        <f>VLOOKUP(record[[#This Row],[ProcessSN]],表格2_7[],2,FALSE)</f>
        <v>30-4118-018-600</v>
      </c>
      <c r="I7199" t="str">
        <f>VLOOKUP(record[[#This Row],[ProcessSN]],表格2_7[],3,FALSE)</f>
        <v>#100OQC</v>
      </c>
      <c r="J7199" t="s">
        <v>599</v>
      </c>
      <c r="K7199" s="195">
        <v>45946.667314814818</v>
      </c>
      <c r="L7199">
        <v>147</v>
      </c>
      <c r="M7199">
        <v>0</v>
      </c>
      <c r="N7199" s="98" t="str">
        <f>IF(record[[#This Row],[Memo]]="Browser:chrome os:android","平板報工",IF(record[[#This Row],[Memo]]=0,"委外",record[[#This Row],[Memo]]))</f>
        <v/>
      </c>
      <c r="O7199" t="s">
        <v>58</v>
      </c>
      <c r="P7199" t="s">
        <v>121</v>
      </c>
      <c r="Q7199" t="s">
        <v>58</v>
      </c>
      <c r="R7199" t="str">
        <f>IFERROR(VLOOKUP(record[[#This Row],[PCUSTID]],廠商[],2,FALSE),"")</f>
        <v/>
      </c>
      <c r="S7199" t="str">
        <f>VLOOKUP(record[[#This Row],[employeeID]],員工[],2,FALSE)</f>
        <v>謝素卿</v>
      </c>
    </row>
    <row r="7200" spans="6:19" hidden="1" x14ac:dyDescent="0.25">
      <c r="F7200" t="s">
        <v>1101</v>
      </c>
      <c r="G7200" t="s">
        <v>375</v>
      </c>
      <c r="H7200" t="str">
        <f>VLOOKUP(record[[#This Row],[ProcessSN]],表格2_7[],2,FALSE)</f>
        <v>30-4118-018-4XX</v>
      </c>
      <c r="I7200" t="str">
        <f>VLOOKUP(record[[#This Row],[ProcessSN]],表格2_7[],3,FALSE)</f>
        <v>#05</v>
      </c>
      <c r="J7200" t="s">
        <v>588</v>
      </c>
      <c r="K7200" s="195">
        <v>45946.650590277779</v>
      </c>
      <c r="L7200">
        <v>7</v>
      </c>
      <c r="M7200">
        <v>0</v>
      </c>
      <c r="N7200" s="98" t="str">
        <f>IF(record[[#This Row],[Memo]]="Browser:chrome os:android","平板報工",IF(record[[#This Row],[Memo]]=0,"委外",record[[#This Row],[Memo]]))</f>
        <v>平板報工</v>
      </c>
      <c r="O7200" t="s">
        <v>643</v>
      </c>
      <c r="P7200" t="s">
        <v>1098</v>
      </c>
      <c r="Q7200" t="s">
        <v>644</v>
      </c>
      <c r="R7200" t="str">
        <f>IFERROR(VLOOKUP(record[[#This Row],[PCUSTID]],廠商[],2,FALSE),"")</f>
        <v/>
      </c>
      <c r="S7200" t="str">
        <f>VLOOKUP(record[[#This Row],[employeeID]],員工[],2,FALSE)</f>
        <v>阮氏芳英(英)</v>
      </c>
    </row>
    <row r="7201" spans="6:19" hidden="1" x14ac:dyDescent="0.25">
      <c r="F7201" t="s">
        <v>1101</v>
      </c>
      <c r="G7201" t="s">
        <v>377</v>
      </c>
      <c r="H7201" t="str">
        <f>VLOOKUP(record[[#This Row],[ProcessSN]],表格2_7[],2,FALSE)</f>
        <v>30-4118-018-4XX</v>
      </c>
      <c r="I7201" t="str">
        <f>VLOOKUP(record[[#This Row],[ProcessSN]],表格2_7[],3,FALSE)</f>
        <v>#07</v>
      </c>
      <c r="J7201" t="s">
        <v>588</v>
      </c>
      <c r="K7201" s="195">
        <v>45946.650150462963</v>
      </c>
      <c r="L7201">
        <v>144</v>
      </c>
      <c r="M7201">
        <v>0</v>
      </c>
      <c r="N7201" s="98" t="str">
        <f>IF(record[[#This Row],[Memo]]="Browser:chrome os:android","平板報工",IF(record[[#This Row],[Memo]]=0,"委外",record[[#This Row],[Memo]]))</f>
        <v>平板報工</v>
      </c>
      <c r="O7201" t="s">
        <v>643</v>
      </c>
      <c r="P7201" t="s">
        <v>785</v>
      </c>
      <c r="Q7201" t="s">
        <v>644</v>
      </c>
      <c r="R7201" t="str">
        <f>IFERROR(VLOOKUP(record[[#This Row],[PCUSTID]],廠商[],2,FALSE),"")</f>
        <v/>
      </c>
      <c r="S7201" t="str">
        <f>VLOOKUP(record[[#This Row],[employeeID]],員工[],2,FALSE)</f>
        <v>謝刻光</v>
      </c>
    </row>
    <row r="7202" spans="6:19" hidden="1" x14ac:dyDescent="0.25">
      <c r="F7202" t="s">
        <v>1099</v>
      </c>
      <c r="G7202" t="s">
        <v>450</v>
      </c>
      <c r="H7202" t="str">
        <f>VLOOKUP(record[[#This Row],[ProcessSN]],表格2_7[],2,FALSE)</f>
        <v>30-4118-018-6XX</v>
      </c>
      <c r="I7202" t="str">
        <f>VLOOKUP(record[[#This Row],[ProcessSN]],表格2_7[],3,FALSE)</f>
        <v>#06</v>
      </c>
      <c r="J7202" t="s">
        <v>593</v>
      </c>
      <c r="K7202" s="195">
        <v>45946.648923611108</v>
      </c>
      <c r="L7202">
        <v>11</v>
      </c>
      <c r="M7202">
        <v>0</v>
      </c>
      <c r="N7202" s="98" t="str">
        <f>IF(record[[#This Row],[Memo]]="Browser:chrome os:android","平板報工",IF(record[[#This Row],[Memo]]=0,"委外",record[[#This Row],[Memo]]))</f>
        <v>平板報工</v>
      </c>
      <c r="O7202" t="s">
        <v>643</v>
      </c>
      <c r="P7202" t="s">
        <v>166</v>
      </c>
      <c r="Q7202" t="s">
        <v>644</v>
      </c>
      <c r="R7202" t="str">
        <f>IFERROR(VLOOKUP(record[[#This Row],[PCUSTID]],廠商[],2,FALSE),"")</f>
        <v/>
      </c>
      <c r="S7202" t="str">
        <f>VLOOKUP(record[[#This Row],[employeeID]],員工[],2,FALSE)</f>
        <v>阮懷香</v>
      </c>
    </row>
    <row r="7203" spans="6:19" hidden="1" x14ac:dyDescent="0.25">
      <c r="F7203" t="s">
        <v>1101</v>
      </c>
      <c r="G7203" t="s">
        <v>376</v>
      </c>
      <c r="H7203" t="str">
        <f>VLOOKUP(record[[#This Row],[ProcessSN]],表格2_7[],2,FALSE)</f>
        <v>30-4118-018-4XX</v>
      </c>
      <c r="I7203" t="str">
        <f>VLOOKUP(record[[#This Row],[ProcessSN]],表格2_7[],3,FALSE)</f>
        <v>#06</v>
      </c>
      <c r="J7203" t="s">
        <v>593</v>
      </c>
      <c r="K7203" s="195">
        <v>45946.648460648146</v>
      </c>
      <c r="L7203">
        <v>173</v>
      </c>
      <c r="M7203">
        <v>2</v>
      </c>
      <c r="N7203" s="98" t="str">
        <f>IF(record[[#This Row],[Memo]]="Browser:chrome os:android","平板報工",IF(record[[#This Row],[Memo]]=0,"委外",record[[#This Row],[Memo]]))</f>
        <v>平板報工</v>
      </c>
      <c r="O7203" t="s">
        <v>643</v>
      </c>
      <c r="P7203" t="s">
        <v>166</v>
      </c>
      <c r="Q7203" t="s">
        <v>644</v>
      </c>
      <c r="R7203" t="str">
        <f>IFERROR(VLOOKUP(record[[#This Row],[PCUSTID]],廠商[],2,FALSE),"")</f>
        <v/>
      </c>
      <c r="S7203" t="str">
        <f>VLOOKUP(record[[#This Row],[employeeID]],員工[],2,FALSE)</f>
        <v>阮懷香</v>
      </c>
    </row>
    <row r="7204" spans="6:19" hidden="1" x14ac:dyDescent="0.25">
      <c r="F7204" t="s">
        <v>1101</v>
      </c>
      <c r="G7204" t="s">
        <v>375</v>
      </c>
      <c r="H7204" t="str">
        <f>VLOOKUP(record[[#This Row],[ProcessSN]],表格2_7[],2,FALSE)</f>
        <v>30-4118-018-4XX</v>
      </c>
      <c r="I7204" t="str">
        <f>VLOOKUP(record[[#This Row],[ProcessSN]],表格2_7[],3,FALSE)</f>
        <v>#05</v>
      </c>
      <c r="J7204" t="s">
        <v>588</v>
      </c>
      <c r="K7204" s="195">
        <v>45946.643784722219</v>
      </c>
      <c r="L7204">
        <v>250</v>
      </c>
      <c r="M7204">
        <v>0</v>
      </c>
      <c r="N7204" s="98" t="str">
        <f>IF(record[[#This Row],[Memo]]="Browser:chrome os:android","平板報工",IF(record[[#This Row],[Memo]]=0,"委外",record[[#This Row],[Memo]]))</f>
        <v>平板報工</v>
      </c>
      <c r="O7204" t="s">
        <v>643</v>
      </c>
      <c r="P7204" t="s">
        <v>1098</v>
      </c>
      <c r="Q7204" t="s">
        <v>644</v>
      </c>
      <c r="R7204" t="str">
        <f>IFERROR(VLOOKUP(record[[#This Row],[PCUSTID]],廠商[],2,FALSE),"")</f>
        <v/>
      </c>
      <c r="S7204" t="str">
        <f>VLOOKUP(record[[#This Row],[employeeID]],員工[],2,FALSE)</f>
        <v>阮氏芳英(英)</v>
      </c>
    </row>
    <row r="7205" spans="6:19" hidden="1" x14ac:dyDescent="0.25">
      <c r="F7205" t="s">
        <v>1099</v>
      </c>
      <c r="G7205" t="s">
        <v>448</v>
      </c>
      <c r="H7205" t="str">
        <f>VLOOKUP(record[[#This Row],[ProcessSN]],表格2_7[],2,FALSE)</f>
        <v>30-4118-018-6XX</v>
      </c>
      <c r="I7205" t="str">
        <f>VLOOKUP(record[[#This Row],[ProcessSN]],表格2_7[],3,FALSE)</f>
        <v>#04</v>
      </c>
      <c r="J7205" t="s">
        <v>588</v>
      </c>
      <c r="K7205" s="195">
        <v>45946.643009259256</v>
      </c>
      <c r="L7205">
        <v>0</v>
      </c>
      <c r="M7205">
        <v>7</v>
      </c>
      <c r="N7205" s="98" t="str">
        <f>IF(record[[#This Row],[Memo]]="Browser:chrome os:android","平板報工",IF(record[[#This Row],[Memo]]=0,"委外",record[[#This Row],[Memo]]))</f>
        <v>平板報工</v>
      </c>
      <c r="O7205" t="s">
        <v>643</v>
      </c>
      <c r="P7205" t="s">
        <v>785</v>
      </c>
      <c r="Q7205" t="s">
        <v>644</v>
      </c>
      <c r="R7205" t="str">
        <f>IFERROR(VLOOKUP(record[[#This Row],[PCUSTID]],廠商[],2,FALSE),"")</f>
        <v/>
      </c>
      <c r="S7205" t="str">
        <f>VLOOKUP(record[[#This Row],[employeeID]],員工[],2,FALSE)</f>
        <v>謝刻光</v>
      </c>
    </row>
    <row r="7206" spans="6:19" hidden="1" x14ac:dyDescent="0.25">
      <c r="F7206" t="s">
        <v>1101</v>
      </c>
      <c r="G7206" t="s">
        <v>374</v>
      </c>
      <c r="H7206" t="str">
        <f>VLOOKUP(record[[#This Row],[ProcessSN]],表格2_7[],2,FALSE)</f>
        <v>30-4118-018-4XX</v>
      </c>
      <c r="I7206" t="str">
        <f>VLOOKUP(record[[#This Row],[ProcessSN]],表格2_7[],3,FALSE)</f>
        <v>#04</v>
      </c>
      <c r="J7206" t="s">
        <v>588</v>
      </c>
      <c r="K7206" s="195">
        <v>45946.642824074072</v>
      </c>
      <c r="L7206">
        <v>148</v>
      </c>
      <c r="M7206">
        <v>1</v>
      </c>
      <c r="N7206" s="98" t="str">
        <f>IF(record[[#This Row],[Memo]]="Browser:chrome os:android","平板報工",IF(record[[#This Row],[Memo]]=0,"委外",record[[#This Row],[Memo]]))</f>
        <v>平板報工</v>
      </c>
      <c r="O7206" t="s">
        <v>643</v>
      </c>
      <c r="P7206" t="s">
        <v>785</v>
      </c>
      <c r="Q7206" t="s">
        <v>644</v>
      </c>
      <c r="R7206" t="str">
        <f>IFERROR(VLOOKUP(record[[#This Row],[PCUSTID]],廠商[],2,FALSE),"")</f>
        <v/>
      </c>
      <c r="S7206" t="str">
        <f>VLOOKUP(record[[#This Row],[employeeID]],員工[],2,FALSE)</f>
        <v>謝刻光</v>
      </c>
    </row>
    <row r="7207" spans="6:19" hidden="1" x14ac:dyDescent="0.25">
      <c r="F7207" t="s">
        <v>1045</v>
      </c>
      <c r="G7207" t="s">
        <v>362</v>
      </c>
      <c r="H7207" t="str">
        <f>VLOOKUP(record[[#This Row],[ProcessSN]],表格2_7[],2,FALSE)</f>
        <v>30-4118-018-450</v>
      </c>
      <c r="I7207" t="str">
        <f>VLOOKUP(record[[#This Row],[ProcessSN]],表格2_7[],3,FALSE)</f>
        <v>#100SHIP</v>
      </c>
      <c r="J7207" t="s">
        <v>600</v>
      </c>
      <c r="K7207" s="195">
        <v>45946.613923611112</v>
      </c>
      <c r="L7207">
        <v>120</v>
      </c>
      <c r="M7207">
        <v>0</v>
      </c>
      <c r="N7207" s="98" t="str">
        <f>IF(record[[#This Row],[Memo]]="Browser:chrome os:android","平板報工",IF(record[[#This Row],[Memo]]=0,"委外",record[[#This Row],[Memo]]))</f>
        <v/>
      </c>
      <c r="O7207" t="s">
        <v>58</v>
      </c>
      <c r="P7207" t="s">
        <v>886</v>
      </c>
      <c r="Q7207" t="s">
        <v>58</v>
      </c>
      <c r="R7207" t="str">
        <f>IFERROR(VLOOKUP(record[[#This Row],[PCUSTID]],廠商[],2,FALSE),"")</f>
        <v/>
      </c>
      <c r="S7207" t="str">
        <f>VLOOKUP(record[[#This Row],[employeeID]],員工[],2,FALSE)</f>
        <v>謝蓁薰</v>
      </c>
    </row>
    <row r="7208" spans="6:19" hidden="1" x14ac:dyDescent="0.25">
      <c r="F7208" t="s">
        <v>1023</v>
      </c>
      <c r="G7208" t="s">
        <v>378</v>
      </c>
      <c r="H7208" t="str">
        <f>VLOOKUP(record[[#This Row],[ProcessSN]],表格2_7[],2,FALSE)</f>
        <v>30-4118-018-4XX</v>
      </c>
      <c r="I7208" t="str">
        <f>VLOOKUP(record[[#This Row],[ProcessSN]],表格2_7[],3,FALSE)</f>
        <v>#07QC</v>
      </c>
      <c r="J7208" t="s">
        <v>589</v>
      </c>
      <c r="K7208" s="195">
        <v>45946.605902777781</v>
      </c>
      <c r="L7208">
        <v>6</v>
      </c>
      <c r="M7208">
        <v>0</v>
      </c>
      <c r="N7208" s="98" t="str">
        <f>IF(record[[#This Row],[Memo]]="Browser:chrome os:android","平板報工",IF(record[[#This Row],[Memo]]=0,"委外",record[[#This Row],[Memo]]))</f>
        <v/>
      </c>
      <c r="O7208" t="s">
        <v>58</v>
      </c>
      <c r="P7208" t="s">
        <v>141</v>
      </c>
      <c r="Q7208" t="s">
        <v>58</v>
      </c>
      <c r="R7208" t="str">
        <f>IFERROR(VLOOKUP(record[[#This Row],[PCUSTID]],廠商[],2,FALSE),"")</f>
        <v/>
      </c>
      <c r="S7208" t="str">
        <f>VLOOKUP(record[[#This Row],[employeeID]],員工[],2,FALSE)</f>
        <v>蔣梅</v>
      </c>
    </row>
    <row r="7209" spans="6:19" hidden="1" x14ac:dyDescent="0.25">
      <c r="F7209" t="s">
        <v>1081</v>
      </c>
      <c r="G7209" t="s">
        <v>425</v>
      </c>
      <c r="H7209" t="str">
        <f>VLOOKUP(record[[#This Row],[ProcessSN]],表格2_7[],2,FALSE)</f>
        <v>30-4118-018-600</v>
      </c>
      <c r="I7209" t="str">
        <f>VLOOKUP(record[[#This Row],[ProcessSN]],表格2_7[],3,FALSE)</f>
        <v>#100</v>
      </c>
      <c r="J7209" t="s">
        <v>598</v>
      </c>
      <c r="K7209" s="195">
        <v>45946.553206018521</v>
      </c>
      <c r="L7209">
        <v>11</v>
      </c>
      <c r="M7209">
        <v>0</v>
      </c>
      <c r="N7209" s="98" t="str">
        <f>IF(record[[#This Row],[Memo]]="Browser:chrome os:android","平板報工",IF(record[[#This Row],[Memo]]=0,"委外",record[[#This Row],[Memo]]))</f>
        <v>覆回品</v>
      </c>
      <c r="O7209" t="s">
        <v>664</v>
      </c>
      <c r="P7209" t="s">
        <v>141</v>
      </c>
      <c r="Q7209" t="s">
        <v>58</v>
      </c>
      <c r="R7209" t="str">
        <f>IFERROR(VLOOKUP(record[[#This Row],[PCUSTID]],廠商[],2,FALSE),"")</f>
        <v/>
      </c>
      <c r="S7209" t="str">
        <f>VLOOKUP(record[[#This Row],[employeeID]],員工[],2,FALSE)</f>
        <v>蔣梅</v>
      </c>
    </row>
    <row r="7210" spans="6:19" hidden="1" x14ac:dyDescent="0.25">
      <c r="F7210" t="s">
        <v>1081</v>
      </c>
      <c r="G7210" t="s">
        <v>424</v>
      </c>
      <c r="H7210" t="str">
        <f>VLOOKUP(record[[#This Row],[ProcessSN]],表格2_7[],2,FALSE)</f>
        <v>30-4118-018-600</v>
      </c>
      <c r="I7210" t="str">
        <f>VLOOKUP(record[[#This Row],[ProcessSN]],表格2_7[],3,FALSE)</f>
        <v>#08IQC</v>
      </c>
      <c r="J7210" t="s">
        <v>583</v>
      </c>
      <c r="K7210" s="195">
        <v>45946.552997685183</v>
      </c>
      <c r="L7210">
        <v>11</v>
      </c>
      <c r="M7210">
        <v>0</v>
      </c>
      <c r="N7210" s="98" t="str">
        <f>IF(record[[#This Row],[Memo]]="Browser:chrome os:android","平板報工",IF(record[[#This Row],[Memo]]=0,"委外",record[[#This Row],[Memo]]))</f>
        <v>覆回品</v>
      </c>
      <c r="O7210" t="s">
        <v>664</v>
      </c>
      <c r="P7210" t="s">
        <v>141</v>
      </c>
      <c r="Q7210" t="s">
        <v>58</v>
      </c>
      <c r="R7210" t="str">
        <f>IFERROR(VLOOKUP(record[[#This Row],[PCUSTID]],廠商[],2,FALSE),"")</f>
        <v/>
      </c>
      <c r="S7210" t="str">
        <f>VLOOKUP(record[[#This Row],[employeeID]],員工[],2,FALSE)</f>
        <v>蔣梅</v>
      </c>
    </row>
    <row r="7211" spans="6:19" hidden="1" x14ac:dyDescent="0.25">
      <c r="F7211" t="s">
        <v>1081</v>
      </c>
      <c r="G7211" t="s">
        <v>423</v>
      </c>
      <c r="H7211" t="str">
        <f>VLOOKUP(record[[#This Row],[ProcessSN]],表格2_7[],2,FALSE)</f>
        <v>30-4118-018-600</v>
      </c>
      <c r="I7211" t="str">
        <f>VLOOKUP(record[[#This Row],[ProcessSN]],表格2_7[],3,FALSE)</f>
        <v>#08RCV</v>
      </c>
      <c r="J7211" t="s">
        <v>591</v>
      </c>
      <c r="K7211" s="195">
        <v>45946.552604166667</v>
      </c>
      <c r="L7211">
        <v>0</v>
      </c>
      <c r="M7211">
        <v>71</v>
      </c>
      <c r="N7211" s="98" t="str">
        <f>IF(record[[#This Row],[Memo]]="Browser:chrome os:android","平板報工",IF(record[[#This Row],[Memo]]=0,"委外",record[[#This Row],[Memo]]))</f>
        <v/>
      </c>
      <c r="O7211" t="s">
        <v>58</v>
      </c>
      <c r="P7211" t="s">
        <v>141</v>
      </c>
      <c r="Q7211" t="s">
        <v>58</v>
      </c>
      <c r="R7211" t="str">
        <f>IFERROR(VLOOKUP(record[[#This Row],[PCUSTID]],廠商[],2,FALSE),"")</f>
        <v/>
      </c>
      <c r="S7211" t="str">
        <f>VLOOKUP(record[[#This Row],[employeeID]],員工[],2,FALSE)</f>
        <v>蔣梅</v>
      </c>
    </row>
    <row r="7212" spans="6:19" hidden="1" x14ac:dyDescent="0.25">
      <c r="F7212" t="s">
        <v>1081</v>
      </c>
      <c r="G7212" t="s">
        <v>423</v>
      </c>
      <c r="H7212" t="str">
        <f>VLOOKUP(record[[#This Row],[ProcessSN]],表格2_7[],2,FALSE)</f>
        <v>30-4118-018-600</v>
      </c>
      <c r="I7212" t="str">
        <f>VLOOKUP(record[[#This Row],[ProcessSN]],表格2_7[],3,FALSE)</f>
        <v>#08RCV</v>
      </c>
      <c r="J7212" t="s">
        <v>591</v>
      </c>
      <c r="K7212" s="195">
        <v>45946.552430555559</v>
      </c>
      <c r="L7212">
        <v>11</v>
      </c>
      <c r="M7212">
        <v>0</v>
      </c>
      <c r="N7212" s="98" t="str">
        <f>IF(record[[#This Row],[Memo]]="Browser:chrome os:android","平板報工",IF(record[[#This Row],[Memo]]=0,"委外",record[[#This Row],[Memo]]))</f>
        <v>覆回品</v>
      </c>
      <c r="O7212" t="s">
        <v>664</v>
      </c>
      <c r="P7212" t="s">
        <v>141</v>
      </c>
      <c r="Q7212" t="s">
        <v>58</v>
      </c>
      <c r="R7212" t="str">
        <f>IFERROR(VLOOKUP(record[[#This Row],[PCUSTID]],廠商[],2,FALSE),"")</f>
        <v/>
      </c>
      <c r="S7212" t="str">
        <f>VLOOKUP(record[[#This Row],[employeeID]],員工[],2,FALSE)</f>
        <v>蔣梅</v>
      </c>
    </row>
    <row r="7213" spans="6:19" hidden="1" x14ac:dyDescent="0.25">
      <c r="F7213" t="s">
        <v>1111</v>
      </c>
      <c r="G7213" t="s">
        <v>425</v>
      </c>
      <c r="H7213" t="str">
        <f>VLOOKUP(record[[#This Row],[ProcessSN]],表格2_7[],2,FALSE)</f>
        <v>30-4118-018-600</v>
      </c>
      <c r="I7213" t="str">
        <f>VLOOKUP(record[[#This Row],[ProcessSN]],表格2_7[],3,FALSE)</f>
        <v>#100</v>
      </c>
      <c r="J7213" t="s">
        <v>598</v>
      </c>
      <c r="K7213" s="195">
        <v>45946.549895833334</v>
      </c>
      <c r="L7213">
        <v>3</v>
      </c>
      <c r="M7213">
        <v>0</v>
      </c>
      <c r="N7213" s="98" t="str">
        <f>IF(record[[#This Row],[Memo]]="Browser:chrome os:android","平板報工",IF(record[[#This Row],[Memo]]=0,"委外",record[[#This Row],[Memo]]))</f>
        <v/>
      </c>
      <c r="O7213" t="s">
        <v>58</v>
      </c>
      <c r="P7213" t="s">
        <v>141</v>
      </c>
      <c r="Q7213" t="s">
        <v>58</v>
      </c>
      <c r="R7213" t="str">
        <f>IFERROR(VLOOKUP(record[[#This Row],[PCUSTID]],廠商[],2,FALSE),"")</f>
        <v/>
      </c>
      <c r="S7213" t="str">
        <f>VLOOKUP(record[[#This Row],[employeeID]],員工[],2,FALSE)</f>
        <v>蔣梅</v>
      </c>
    </row>
    <row r="7214" spans="6:19" hidden="1" x14ac:dyDescent="0.25">
      <c r="F7214" t="s">
        <v>1107</v>
      </c>
      <c r="G7214" t="s">
        <v>425</v>
      </c>
      <c r="H7214" t="str">
        <f>VLOOKUP(record[[#This Row],[ProcessSN]],表格2_7[],2,FALSE)</f>
        <v>30-4118-018-600</v>
      </c>
      <c r="I7214" t="str">
        <f>VLOOKUP(record[[#This Row],[ProcessSN]],表格2_7[],3,FALSE)</f>
        <v>#100</v>
      </c>
      <c r="J7214" t="s">
        <v>598</v>
      </c>
      <c r="K7214" s="195">
        <v>45946.549710648149</v>
      </c>
      <c r="L7214">
        <v>147</v>
      </c>
      <c r="M7214">
        <v>0</v>
      </c>
      <c r="N7214" s="98" t="str">
        <f>IF(record[[#This Row],[Memo]]="Browser:chrome os:android","平板報工",IF(record[[#This Row],[Memo]]=0,"委外",record[[#This Row],[Memo]]))</f>
        <v/>
      </c>
      <c r="O7214" t="s">
        <v>58</v>
      </c>
      <c r="P7214" t="s">
        <v>141</v>
      </c>
      <c r="Q7214" t="s">
        <v>58</v>
      </c>
      <c r="R7214" t="str">
        <f>IFERROR(VLOOKUP(record[[#This Row],[PCUSTID]],廠商[],2,FALSE),"")</f>
        <v/>
      </c>
      <c r="S7214" t="str">
        <f>VLOOKUP(record[[#This Row],[employeeID]],員工[],2,FALSE)</f>
        <v>蔣梅</v>
      </c>
    </row>
    <row r="7215" spans="6:19" hidden="1" x14ac:dyDescent="0.25">
      <c r="F7215" t="s">
        <v>1111</v>
      </c>
      <c r="G7215" t="s">
        <v>424</v>
      </c>
      <c r="H7215" t="str">
        <f>VLOOKUP(record[[#This Row],[ProcessSN]],表格2_7[],2,FALSE)</f>
        <v>30-4118-018-600</v>
      </c>
      <c r="I7215" t="str">
        <f>VLOOKUP(record[[#This Row],[ProcessSN]],表格2_7[],3,FALSE)</f>
        <v>#08IQC</v>
      </c>
      <c r="J7215" t="s">
        <v>583</v>
      </c>
      <c r="K7215" s="195">
        <v>45946.49491898148</v>
      </c>
      <c r="L7215">
        <v>3</v>
      </c>
      <c r="M7215">
        <v>0</v>
      </c>
      <c r="N7215" s="98" t="str">
        <f>IF(record[[#This Row],[Memo]]="Browser:chrome os:android","平板報工",IF(record[[#This Row],[Memo]]=0,"委外",record[[#This Row],[Memo]]))</f>
        <v/>
      </c>
      <c r="O7215" t="s">
        <v>58</v>
      </c>
      <c r="P7215" t="s">
        <v>109</v>
      </c>
      <c r="Q7215" t="s">
        <v>58</v>
      </c>
      <c r="R7215" t="str">
        <f>IFERROR(VLOOKUP(record[[#This Row],[PCUSTID]],廠商[],2,FALSE),"")</f>
        <v/>
      </c>
      <c r="S7215" t="str">
        <f>VLOOKUP(record[[#This Row],[employeeID]],員工[],2,FALSE)</f>
        <v>裴氏璧鳳</v>
      </c>
    </row>
    <row r="7216" spans="6:19" hidden="1" x14ac:dyDescent="0.25">
      <c r="F7216" t="s">
        <v>1107</v>
      </c>
      <c r="G7216" t="s">
        <v>424</v>
      </c>
      <c r="H7216" t="str">
        <f>VLOOKUP(record[[#This Row],[ProcessSN]],表格2_7[],2,FALSE)</f>
        <v>30-4118-018-600</v>
      </c>
      <c r="I7216" t="str">
        <f>VLOOKUP(record[[#This Row],[ProcessSN]],表格2_7[],3,FALSE)</f>
        <v>#08IQC</v>
      </c>
      <c r="J7216" t="s">
        <v>583</v>
      </c>
      <c r="K7216" s="195">
        <v>45946.494039351855</v>
      </c>
      <c r="L7216">
        <v>147</v>
      </c>
      <c r="M7216">
        <v>0</v>
      </c>
      <c r="N7216" s="98" t="str">
        <f>IF(record[[#This Row],[Memo]]="Browser:chrome os:android","平板報工",IF(record[[#This Row],[Memo]]=0,"委外",record[[#This Row],[Memo]]))</f>
        <v/>
      </c>
      <c r="O7216" t="s">
        <v>58</v>
      </c>
      <c r="P7216" t="s">
        <v>109</v>
      </c>
      <c r="Q7216" t="s">
        <v>58</v>
      </c>
      <c r="R7216" t="str">
        <f>IFERROR(VLOOKUP(record[[#This Row],[PCUSTID]],廠商[],2,FALSE),"")</f>
        <v/>
      </c>
      <c r="S7216" t="str">
        <f>VLOOKUP(record[[#This Row],[employeeID]],員工[],2,FALSE)</f>
        <v>裴氏璧鳳</v>
      </c>
    </row>
    <row r="7217" spans="6:19" hidden="1" x14ac:dyDescent="0.25">
      <c r="F7217" t="s">
        <v>1121</v>
      </c>
      <c r="G7217" t="s">
        <v>377</v>
      </c>
      <c r="H7217" t="str">
        <f>VLOOKUP(record[[#This Row],[ProcessSN]],表格2_7[],2,FALSE)</f>
        <v>30-4118-018-4XX</v>
      </c>
      <c r="I7217" t="str">
        <f>VLOOKUP(record[[#This Row],[ProcessSN]],表格2_7[],3,FALSE)</f>
        <v>#07</v>
      </c>
      <c r="J7217" t="s">
        <v>588</v>
      </c>
      <c r="K7217" s="195">
        <v>45946.494016203702</v>
      </c>
      <c r="L7217">
        <v>3</v>
      </c>
      <c r="M7217">
        <v>0</v>
      </c>
      <c r="N7217" s="98" t="str">
        <f>IF(record[[#This Row],[Memo]]="Browser:chrome os:android","平板報工",IF(record[[#This Row],[Memo]]=0,"委外",record[[#This Row],[Memo]]))</f>
        <v>10/16覆回*3pcs</v>
      </c>
      <c r="O7217" t="s">
        <v>1119</v>
      </c>
      <c r="P7217" t="s">
        <v>1075</v>
      </c>
      <c r="Q7217" t="s">
        <v>58</v>
      </c>
      <c r="R7217" t="str">
        <f>IFERROR(VLOOKUP(record[[#This Row],[PCUSTID]],廠商[],2,FALSE),"")</f>
        <v/>
      </c>
      <c r="S7217" t="str">
        <f>VLOOKUP(record[[#This Row],[employeeID]],員工[],2,FALSE)</f>
        <v>吳宥叡</v>
      </c>
    </row>
    <row r="7218" spans="6:19" hidden="1" x14ac:dyDescent="0.25">
      <c r="F7218" t="s">
        <v>1121</v>
      </c>
      <c r="G7218" t="s">
        <v>376</v>
      </c>
      <c r="H7218" t="str">
        <f>VLOOKUP(record[[#This Row],[ProcessSN]],表格2_7[],2,FALSE)</f>
        <v>30-4118-018-4XX</v>
      </c>
      <c r="I7218" t="str">
        <f>VLOOKUP(record[[#This Row],[ProcessSN]],表格2_7[],3,FALSE)</f>
        <v>#06</v>
      </c>
      <c r="J7218" t="s">
        <v>593</v>
      </c>
      <c r="K7218" s="195">
        <v>45946.493888888886</v>
      </c>
      <c r="L7218">
        <v>3</v>
      </c>
      <c r="M7218">
        <v>0</v>
      </c>
      <c r="N7218" s="98" t="str">
        <f>IF(record[[#This Row],[Memo]]="Browser:chrome os:android","平板報工",IF(record[[#This Row],[Memo]]=0,"委外",record[[#This Row],[Memo]]))</f>
        <v>10/16覆回*3pcs</v>
      </c>
      <c r="O7218" t="s">
        <v>1119</v>
      </c>
      <c r="P7218" t="s">
        <v>1075</v>
      </c>
      <c r="Q7218" t="s">
        <v>58</v>
      </c>
      <c r="R7218" t="str">
        <f>IFERROR(VLOOKUP(record[[#This Row],[PCUSTID]],廠商[],2,FALSE),"")</f>
        <v/>
      </c>
      <c r="S7218" t="str">
        <f>VLOOKUP(record[[#This Row],[employeeID]],員工[],2,FALSE)</f>
        <v>吳宥叡</v>
      </c>
    </row>
    <row r="7219" spans="6:19" hidden="1" x14ac:dyDescent="0.25">
      <c r="F7219" t="s">
        <v>1121</v>
      </c>
      <c r="G7219" t="s">
        <v>375</v>
      </c>
      <c r="H7219" t="str">
        <f>VLOOKUP(record[[#This Row],[ProcessSN]],表格2_7[],2,FALSE)</f>
        <v>30-4118-018-4XX</v>
      </c>
      <c r="I7219" t="str">
        <f>VLOOKUP(record[[#This Row],[ProcessSN]],表格2_7[],3,FALSE)</f>
        <v>#05</v>
      </c>
      <c r="J7219" t="s">
        <v>588</v>
      </c>
      <c r="K7219" s="195">
        <v>45946.493738425925</v>
      </c>
      <c r="L7219">
        <v>3</v>
      </c>
      <c r="M7219">
        <v>0</v>
      </c>
      <c r="N7219" s="98" t="str">
        <f>IF(record[[#This Row],[Memo]]="Browser:chrome os:android","平板報工",IF(record[[#This Row],[Memo]]=0,"委外",record[[#This Row],[Memo]]))</f>
        <v>10/16覆回*3pcs</v>
      </c>
      <c r="O7219" t="s">
        <v>1119</v>
      </c>
      <c r="P7219" t="s">
        <v>1075</v>
      </c>
      <c r="Q7219" t="s">
        <v>58</v>
      </c>
      <c r="R7219" t="str">
        <f>IFERROR(VLOOKUP(record[[#This Row],[PCUSTID]],廠商[],2,FALSE),"")</f>
        <v/>
      </c>
      <c r="S7219" t="str">
        <f>VLOOKUP(record[[#This Row],[employeeID]],員工[],2,FALSE)</f>
        <v>吳宥叡</v>
      </c>
    </row>
    <row r="7220" spans="6:19" hidden="1" x14ac:dyDescent="0.25">
      <c r="F7220" t="s">
        <v>1121</v>
      </c>
      <c r="G7220" t="s">
        <v>374</v>
      </c>
      <c r="H7220" t="str">
        <f>VLOOKUP(record[[#This Row],[ProcessSN]],表格2_7[],2,FALSE)</f>
        <v>30-4118-018-4XX</v>
      </c>
      <c r="I7220" t="str">
        <f>VLOOKUP(record[[#This Row],[ProcessSN]],表格2_7[],3,FALSE)</f>
        <v>#04</v>
      </c>
      <c r="J7220" t="s">
        <v>588</v>
      </c>
      <c r="K7220" s="195">
        <v>45946.493530092594</v>
      </c>
      <c r="L7220">
        <v>3</v>
      </c>
      <c r="M7220">
        <v>0</v>
      </c>
      <c r="N7220" s="98" t="str">
        <f>IF(record[[#This Row],[Memo]]="Browser:chrome os:android","平板報工",IF(record[[#This Row],[Memo]]=0,"委外",record[[#This Row],[Memo]]))</f>
        <v>10/16覆回*3pcs</v>
      </c>
      <c r="O7220" t="s">
        <v>1119</v>
      </c>
      <c r="P7220" t="s">
        <v>1075</v>
      </c>
      <c r="Q7220" t="s">
        <v>58</v>
      </c>
      <c r="R7220" t="str">
        <f>IFERROR(VLOOKUP(record[[#This Row],[PCUSTID]],廠商[],2,FALSE),"")</f>
        <v/>
      </c>
      <c r="S7220" t="str">
        <f>VLOOKUP(record[[#This Row],[employeeID]],員工[],2,FALSE)</f>
        <v>吳宥叡</v>
      </c>
    </row>
    <row r="7221" spans="6:19" hidden="1" x14ac:dyDescent="0.25">
      <c r="F7221" t="s">
        <v>1023</v>
      </c>
      <c r="G7221" t="s">
        <v>373</v>
      </c>
      <c r="H7221" t="str">
        <f>VLOOKUP(record[[#This Row],[ProcessSN]],表格2_7[],2,FALSE)</f>
        <v>30-4118-018-4XX</v>
      </c>
      <c r="I7221" t="str">
        <f>VLOOKUP(record[[#This Row],[ProcessSN]],表格2_7[],3,FALSE)</f>
        <v>#03</v>
      </c>
      <c r="J7221" t="s">
        <v>588</v>
      </c>
      <c r="K7221" s="195">
        <v>45946.493263888886</v>
      </c>
      <c r="L7221">
        <v>503</v>
      </c>
      <c r="M7221">
        <v>1</v>
      </c>
      <c r="N7221" s="98" t="str">
        <f>IF(record[[#This Row],[Memo]]="Browser:chrome os:android","平板報工",IF(record[[#This Row],[Memo]]=0,"委外",record[[#This Row],[Memo]]))</f>
        <v>10/16覆回*3pcs</v>
      </c>
      <c r="O7221" t="s">
        <v>1119</v>
      </c>
      <c r="P7221" t="s">
        <v>1075</v>
      </c>
      <c r="Q7221" t="s">
        <v>58</v>
      </c>
      <c r="R7221" t="str">
        <f>IFERROR(VLOOKUP(record[[#This Row],[PCUSTID]],廠商[],2,FALSE),"")</f>
        <v/>
      </c>
      <c r="S7221" t="str">
        <f>VLOOKUP(record[[#This Row],[employeeID]],員工[],2,FALSE)</f>
        <v>吳宥叡</v>
      </c>
    </row>
    <row r="7222" spans="6:19" hidden="1" x14ac:dyDescent="0.25">
      <c r="F7222" t="s">
        <v>1111</v>
      </c>
      <c r="G7222" t="s">
        <v>423</v>
      </c>
      <c r="H7222" t="str">
        <f>VLOOKUP(record[[#This Row],[ProcessSN]],表格2_7[],2,FALSE)</f>
        <v>30-4118-018-600</v>
      </c>
      <c r="I7222" t="str">
        <f>VLOOKUP(record[[#This Row],[ProcessSN]],表格2_7[],3,FALSE)</f>
        <v>#08RCV</v>
      </c>
      <c r="J7222" t="s">
        <v>591</v>
      </c>
      <c r="K7222" s="195">
        <v>45946.488611111112</v>
      </c>
      <c r="L7222">
        <v>3</v>
      </c>
      <c r="M7222">
        <v>0</v>
      </c>
      <c r="N7222" s="98" t="str">
        <f>IF(record[[#This Row],[Memo]]="Browser:chrome os:android","平板報工",IF(record[[#This Row],[Memo]]=0,"委外",record[[#This Row],[Memo]]))</f>
        <v/>
      </c>
      <c r="O7222" t="s">
        <v>58</v>
      </c>
      <c r="P7222" t="s">
        <v>886</v>
      </c>
      <c r="Q7222" t="s">
        <v>58</v>
      </c>
      <c r="R7222" t="str">
        <f>IFERROR(VLOOKUP(record[[#This Row],[PCUSTID]],廠商[],2,FALSE),"")</f>
        <v/>
      </c>
      <c r="S7222" t="str">
        <f>VLOOKUP(record[[#This Row],[employeeID]],員工[],2,FALSE)</f>
        <v>謝蓁薰</v>
      </c>
    </row>
    <row r="7223" spans="6:19" hidden="1" x14ac:dyDescent="0.25">
      <c r="F7223" t="s">
        <v>1107</v>
      </c>
      <c r="G7223" t="s">
        <v>423</v>
      </c>
      <c r="H7223" t="str">
        <f>VLOOKUP(record[[#This Row],[ProcessSN]],表格2_7[],2,FALSE)</f>
        <v>30-4118-018-600</v>
      </c>
      <c r="I7223" t="str">
        <f>VLOOKUP(record[[#This Row],[ProcessSN]],表格2_7[],3,FALSE)</f>
        <v>#08RCV</v>
      </c>
      <c r="J7223" t="s">
        <v>591</v>
      </c>
      <c r="K7223" s="195">
        <v>45946.488356481481</v>
      </c>
      <c r="L7223">
        <v>147</v>
      </c>
      <c r="M7223">
        <v>0</v>
      </c>
      <c r="N7223" s="98" t="str">
        <f>IF(record[[#This Row],[Memo]]="Browser:chrome os:android","平板報工",IF(record[[#This Row],[Memo]]=0,"委外",record[[#This Row],[Memo]]))</f>
        <v/>
      </c>
      <c r="O7223" t="s">
        <v>58</v>
      </c>
      <c r="P7223" t="s">
        <v>886</v>
      </c>
      <c r="Q7223" t="s">
        <v>58</v>
      </c>
      <c r="R7223" t="str">
        <f>IFERROR(VLOOKUP(record[[#This Row],[PCUSTID]],廠商[],2,FALSE),"")</f>
        <v/>
      </c>
      <c r="S7223" t="str">
        <f>VLOOKUP(record[[#This Row],[employeeID]],員工[],2,FALSE)</f>
        <v>謝蓁薰</v>
      </c>
    </row>
    <row r="7224" spans="6:19" hidden="1" x14ac:dyDescent="0.25">
      <c r="F7224" t="s">
        <v>1101</v>
      </c>
      <c r="G7224" t="s">
        <v>376</v>
      </c>
      <c r="H7224" t="str">
        <f>VLOOKUP(record[[#This Row],[ProcessSN]],表格2_7[],2,FALSE)</f>
        <v>30-4118-018-4XX</v>
      </c>
      <c r="I7224" t="str">
        <f>VLOOKUP(record[[#This Row],[ProcessSN]],表格2_7[],3,FALSE)</f>
        <v>#06</v>
      </c>
      <c r="J7224" t="s">
        <v>593</v>
      </c>
      <c r="K7224" s="195">
        <v>45946.468124999999</v>
      </c>
      <c r="L7224">
        <v>0</v>
      </c>
      <c r="M7224">
        <v>2</v>
      </c>
      <c r="N7224" s="98" t="str">
        <f>IF(record[[#This Row],[Memo]]="Browser:chrome os:android","平板報工",IF(record[[#This Row],[Memo]]=0,"委外",record[[#This Row],[Memo]]))</f>
        <v>10/16技師丫祥調機NG*2</v>
      </c>
      <c r="O7224" t="s">
        <v>1120</v>
      </c>
      <c r="P7224" t="s">
        <v>1075</v>
      </c>
      <c r="Q7224" t="s">
        <v>58</v>
      </c>
      <c r="R7224" t="str">
        <f>IFERROR(VLOOKUP(record[[#This Row],[PCUSTID]],廠商[],2,FALSE),"")</f>
        <v/>
      </c>
      <c r="S7224" t="str">
        <f>VLOOKUP(record[[#This Row],[employeeID]],員工[],2,FALSE)</f>
        <v>吳宥叡</v>
      </c>
    </row>
    <row r="7225" spans="6:19" hidden="1" x14ac:dyDescent="0.25">
      <c r="F7225" t="s">
        <v>1101</v>
      </c>
      <c r="G7225" t="s">
        <v>375</v>
      </c>
      <c r="H7225" t="str">
        <f>VLOOKUP(record[[#This Row],[ProcessSN]],表格2_7[],2,FALSE)</f>
        <v>30-4118-018-4XX</v>
      </c>
      <c r="I7225" t="str">
        <f>VLOOKUP(record[[#This Row],[ProcessSN]],表格2_7[],3,FALSE)</f>
        <v>#05</v>
      </c>
      <c r="J7225" t="s">
        <v>588</v>
      </c>
      <c r="K7225" s="195">
        <v>45946.467847222222</v>
      </c>
      <c r="L7225">
        <v>2</v>
      </c>
      <c r="M7225">
        <v>0</v>
      </c>
      <c r="N7225" s="98" t="str">
        <f>IF(record[[#This Row],[Memo]]="Browser:chrome os:android","平板報工",IF(record[[#This Row],[Memo]]=0,"委外",record[[#This Row],[Memo]]))</f>
        <v/>
      </c>
      <c r="O7225" t="s">
        <v>58</v>
      </c>
      <c r="P7225" t="s">
        <v>1075</v>
      </c>
      <c r="Q7225" t="s">
        <v>58</v>
      </c>
      <c r="R7225" t="str">
        <f>IFERROR(VLOOKUP(record[[#This Row],[PCUSTID]],廠商[],2,FALSE),"")</f>
        <v/>
      </c>
      <c r="S7225" t="str">
        <f>VLOOKUP(record[[#This Row],[employeeID]],員工[],2,FALSE)</f>
        <v>吳宥叡</v>
      </c>
    </row>
    <row r="7226" spans="6:19" hidden="1" x14ac:dyDescent="0.25">
      <c r="F7226" t="s">
        <v>1023</v>
      </c>
      <c r="G7226" t="s">
        <v>377</v>
      </c>
      <c r="H7226" t="str">
        <f>VLOOKUP(record[[#This Row],[ProcessSN]],表格2_7[],2,FALSE)</f>
        <v>30-4118-018-4XX</v>
      </c>
      <c r="I7226" t="str">
        <f>VLOOKUP(record[[#This Row],[ProcessSN]],表格2_7[],3,FALSE)</f>
        <v>#07</v>
      </c>
      <c r="J7226" t="s">
        <v>588</v>
      </c>
      <c r="K7226" s="195">
        <v>45946.463043981479</v>
      </c>
      <c r="L7226">
        <v>3</v>
      </c>
      <c r="M7226">
        <v>0</v>
      </c>
      <c r="N7226" s="98" t="str">
        <f>IF(record[[#This Row],[Memo]]="Browser:chrome os:android","平板報工",IF(record[[#This Row],[Memo]]=0,"委外",record[[#This Row],[Memo]]))</f>
        <v>10/16覆回*3pcs</v>
      </c>
      <c r="O7226" t="s">
        <v>1119</v>
      </c>
      <c r="P7226" t="s">
        <v>1075</v>
      </c>
      <c r="Q7226" t="s">
        <v>58</v>
      </c>
      <c r="R7226" t="str">
        <f>IFERROR(VLOOKUP(record[[#This Row],[PCUSTID]],廠商[],2,FALSE),"")</f>
        <v/>
      </c>
      <c r="S7226" t="str">
        <f>VLOOKUP(record[[#This Row],[employeeID]],員工[],2,FALSE)</f>
        <v>吳宥叡</v>
      </c>
    </row>
    <row r="7227" spans="6:19" hidden="1" x14ac:dyDescent="0.25">
      <c r="F7227" t="s">
        <v>1025</v>
      </c>
      <c r="G7227" t="s">
        <v>452</v>
      </c>
      <c r="H7227" t="str">
        <f>VLOOKUP(record[[#This Row],[ProcessSN]],表格2_7[],2,FALSE)</f>
        <v>30-4118-018-6XX</v>
      </c>
      <c r="I7227" t="str">
        <f>VLOOKUP(record[[#This Row],[ProcessSN]],表格2_7[],3,FALSE)</f>
        <v>#07QC</v>
      </c>
      <c r="J7227" t="s">
        <v>589</v>
      </c>
      <c r="K7227" s="195">
        <v>45946.45826388889</v>
      </c>
      <c r="L7227">
        <v>31</v>
      </c>
      <c r="M7227">
        <v>0</v>
      </c>
      <c r="N7227" s="98" t="str">
        <f>IF(record[[#This Row],[Memo]]="Browser:chrome os:android","平板報工",IF(record[[#This Row],[Memo]]=0,"委外",record[[#This Row],[Memo]]))</f>
        <v>平板報工</v>
      </c>
      <c r="O7227" t="s">
        <v>643</v>
      </c>
      <c r="P7227" t="s">
        <v>141</v>
      </c>
      <c r="Q7227" t="s">
        <v>644</v>
      </c>
      <c r="R7227" t="str">
        <f>IFERROR(VLOOKUP(record[[#This Row],[PCUSTID]],廠商[],2,FALSE),"")</f>
        <v/>
      </c>
      <c r="S7227" t="str">
        <f>VLOOKUP(record[[#This Row],[employeeID]],員工[],2,FALSE)</f>
        <v>蔣梅</v>
      </c>
    </row>
    <row r="7228" spans="6:19" hidden="1" x14ac:dyDescent="0.25">
      <c r="F7228" t="s">
        <v>1117</v>
      </c>
      <c r="G7228" t="s">
        <v>422</v>
      </c>
      <c r="H7228" t="str">
        <f>VLOOKUP(record[[#This Row],[ProcessSN]],表格2_7[],2,FALSE)</f>
        <v>30-4118-018-600</v>
      </c>
      <c r="I7228" t="str">
        <f>VLOOKUP(record[[#This Row],[ProcessSN]],表格2_7[],3,FALSE)</f>
        <v>#08</v>
      </c>
      <c r="J7228" t="s">
        <v>597</v>
      </c>
      <c r="K7228" s="195">
        <v>45946.430289351854</v>
      </c>
      <c r="L7228">
        <v>474</v>
      </c>
      <c r="M7228">
        <v>0</v>
      </c>
      <c r="N7228" s="98" t="str">
        <f>IF(record[[#This Row],[Memo]]="Browser:chrome os:android","平板報工",IF(record[[#This Row],[Memo]]=0,"委外",record[[#This Row],[Memo]]))</f>
        <v>委外</v>
      </c>
      <c r="P7228" t="s">
        <v>886</v>
      </c>
      <c r="Q7228" t="s">
        <v>287</v>
      </c>
      <c r="R7228" t="str">
        <f>IFERROR(VLOOKUP(record[[#This Row],[PCUSTID]],廠商[],2,FALSE),"")</f>
        <v>泉盛</v>
      </c>
      <c r="S7228" t="str">
        <f>VLOOKUP(record[[#This Row],[employeeID]],員工[],2,FALSE)</f>
        <v>謝蓁薰</v>
      </c>
    </row>
    <row r="7229" spans="6:19" hidden="1" x14ac:dyDescent="0.25">
      <c r="F7229" t="s">
        <v>1099</v>
      </c>
      <c r="G7229" t="s">
        <v>453</v>
      </c>
      <c r="H7229" t="str">
        <f>VLOOKUP(record[[#This Row],[ProcessSN]],表格2_7[],2,FALSE)</f>
        <v>30-4118-018-6XX</v>
      </c>
      <c r="I7229" t="str">
        <f>VLOOKUP(record[[#This Row],[ProcessSN]],表格2_7[],3,FALSE)</f>
        <v>#07STOCK</v>
      </c>
      <c r="J7229" t="s">
        <v>592</v>
      </c>
      <c r="K7229" s="195">
        <v>45946.429282407407</v>
      </c>
      <c r="L7229">
        <v>474</v>
      </c>
      <c r="M7229">
        <v>0</v>
      </c>
      <c r="N7229" s="98" t="str">
        <f>IF(record[[#This Row],[Memo]]="Browser:chrome os:android","平板報工",IF(record[[#This Row],[Memo]]=0,"委外",record[[#This Row],[Memo]]))</f>
        <v/>
      </c>
      <c r="O7229" t="s">
        <v>58</v>
      </c>
      <c r="P7229" t="s">
        <v>196</v>
      </c>
      <c r="Q7229" t="s">
        <v>58</v>
      </c>
      <c r="R7229" t="str">
        <f>IFERROR(VLOOKUP(record[[#This Row],[PCUSTID]],廠商[],2,FALSE),"")</f>
        <v/>
      </c>
      <c r="S7229" t="str">
        <f>VLOOKUP(record[[#This Row],[employeeID]],員工[],2,FALSE)</f>
        <v>張淑惠</v>
      </c>
    </row>
    <row r="7230" spans="6:19" hidden="1" x14ac:dyDescent="0.25">
      <c r="F7230" t="s">
        <v>1099</v>
      </c>
      <c r="G7230" t="s">
        <v>452</v>
      </c>
      <c r="H7230" t="str">
        <f>VLOOKUP(record[[#This Row],[ProcessSN]],表格2_7[],2,FALSE)</f>
        <v>30-4118-018-6XX</v>
      </c>
      <c r="I7230" t="str">
        <f>VLOOKUP(record[[#This Row],[ProcessSN]],表格2_7[],3,FALSE)</f>
        <v>#07QC</v>
      </c>
      <c r="J7230" t="s">
        <v>589</v>
      </c>
      <c r="K7230" s="195">
        <v>45946.428113425929</v>
      </c>
      <c r="L7230">
        <v>474</v>
      </c>
      <c r="M7230">
        <v>0</v>
      </c>
      <c r="N7230" s="98" t="str">
        <f>IF(record[[#This Row],[Memo]]="Browser:chrome os:android","平板報工",IF(record[[#This Row],[Memo]]=0,"委外",record[[#This Row],[Memo]]))</f>
        <v>平板報工</v>
      </c>
      <c r="O7230" t="s">
        <v>643</v>
      </c>
      <c r="P7230" t="s">
        <v>141</v>
      </c>
      <c r="Q7230" t="s">
        <v>644</v>
      </c>
      <c r="R7230" t="str">
        <f>IFERROR(VLOOKUP(record[[#This Row],[PCUSTID]],廠商[],2,FALSE),"")</f>
        <v/>
      </c>
      <c r="S7230" t="str">
        <f>VLOOKUP(record[[#This Row],[employeeID]],員工[],2,FALSE)</f>
        <v>蔣梅</v>
      </c>
    </row>
    <row r="7231" spans="6:19" hidden="1" x14ac:dyDescent="0.25">
      <c r="F7231" t="s">
        <v>1117</v>
      </c>
      <c r="G7231" t="s">
        <v>421</v>
      </c>
      <c r="H7231" t="str">
        <f>VLOOKUP(record[[#This Row],[ProcessSN]],表格2_7[],2,FALSE)</f>
        <v>30-4118-018-600</v>
      </c>
      <c r="I7231" t="str">
        <f>VLOOKUP(record[[#This Row],[ProcessSN]],表格2_7[],3,FALSE)</f>
        <v>#08PICK</v>
      </c>
      <c r="J7231" t="s">
        <v>582</v>
      </c>
      <c r="K7231" s="195">
        <v>45946.42728009259</v>
      </c>
      <c r="L7231">
        <v>474</v>
      </c>
      <c r="M7231">
        <v>0</v>
      </c>
      <c r="N7231" s="98" t="str">
        <f>IF(record[[#This Row],[Memo]]="Browser:chrome os:android","平板報工",IF(record[[#This Row],[Memo]]=0,"委外",record[[#This Row],[Memo]]))</f>
        <v/>
      </c>
      <c r="O7231" t="s">
        <v>58</v>
      </c>
      <c r="P7231" t="s">
        <v>196</v>
      </c>
      <c r="Q7231" t="s">
        <v>58</v>
      </c>
      <c r="R7231" t="str">
        <f>IFERROR(VLOOKUP(record[[#This Row],[PCUSTID]],廠商[],2,FALSE),"")</f>
        <v/>
      </c>
      <c r="S7231" t="str">
        <f>VLOOKUP(record[[#This Row],[employeeID]],員工[],2,FALSE)</f>
        <v>張淑惠</v>
      </c>
    </row>
    <row r="7232" spans="6:19" hidden="1" x14ac:dyDescent="0.25">
      <c r="F7232" t="s">
        <v>1025</v>
      </c>
      <c r="G7232" t="s">
        <v>451</v>
      </c>
      <c r="H7232" t="str">
        <f>VLOOKUP(record[[#This Row],[ProcessSN]],表格2_7[],2,FALSE)</f>
        <v>30-4118-018-6XX</v>
      </c>
      <c r="I7232" t="str">
        <f>VLOOKUP(record[[#This Row],[ProcessSN]],表格2_7[],3,FALSE)</f>
        <v>#07</v>
      </c>
      <c r="J7232" t="s">
        <v>588</v>
      </c>
      <c r="K7232" s="195">
        <v>45946.325289351851</v>
      </c>
      <c r="L7232">
        <v>31</v>
      </c>
      <c r="M7232">
        <v>0</v>
      </c>
      <c r="N7232" s="98" t="str">
        <f>IF(record[[#This Row],[Memo]]="Browser:chrome os:android","平板報工",IF(record[[#This Row],[Memo]]=0,"委外",record[[#This Row],[Memo]]))</f>
        <v>10/16覆回*31PCS</v>
      </c>
      <c r="O7232" t="s">
        <v>1116</v>
      </c>
      <c r="P7232" t="s">
        <v>1075</v>
      </c>
      <c r="Q7232" t="s">
        <v>58</v>
      </c>
      <c r="R7232" t="str">
        <f>IFERROR(VLOOKUP(record[[#This Row],[PCUSTID]],廠商[],2,FALSE),"")</f>
        <v/>
      </c>
      <c r="S7232" t="str">
        <f>VLOOKUP(record[[#This Row],[employeeID]],員工[],2,FALSE)</f>
        <v>吳宥叡</v>
      </c>
    </row>
    <row r="7233" spans="6:19" hidden="1" x14ac:dyDescent="0.25">
      <c r="F7233" t="s">
        <v>1025</v>
      </c>
      <c r="G7233" t="s">
        <v>450</v>
      </c>
      <c r="H7233" t="str">
        <f>VLOOKUP(record[[#This Row],[ProcessSN]],表格2_7[],2,FALSE)</f>
        <v>30-4118-018-6XX</v>
      </c>
      <c r="I7233" t="str">
        <f>VLOOKUP(record[[#This Row],[ProcessSN]],表格2_7[],3,FALSE)</f>
        <v>#06</v>
      </c>
      <c r="J7233" t="s">
        <v>593</v>
      </c>
      <c r="K7233" s="195">
        <v>45946.325138888889</v>
      </c>
      <c r="L7233">
        <v>31</v>
      </c>
      <c r="M7233">
        <v>0</v>
      </c>
      <c r="N7233" s="98" t="str">
        <f>IF(record[[#This Row],[Memo]]="Browser:chrome os:android","平板報工",IF(record[[#This Row],[Memo]]=0,"委外",record[[#This Row],[Memo]]))</f>
        <v>10/16覆回*31PCS</v>
      </c>
      <c r="O7233" t="s">
        <v>1116</v>
      </c>
      <c r="P7233" t="s">
        <v>1075</v>
      </c>
      <c r="Q7233" t="s">
        <v>58</v>
      </c>
      <c r="R7233" t="str">
        <f>IFERROR(VLOOKUP(record[[#This Row],[PCUSTID]],廠商[],2,FALSE),"")</f>
        <v/>
      </c>
      <c r="S7233" t="str">
        <f>VLOOKUP(record[[#This Row],[employeeID]],員工[],2,FALSE)</f>
        <v>吳宥叡</v>
      </c>
    </row>
    <row r="7234" spans="6:19" hidden="1" x14ac:dyDescent="0.25">
      <c r="F7234" t="s">
        <v>1025</v>
      </c>
      <c r="G7234" t="s">
        <v>449</v>
      </c>
      <c r="H7234" t="str">
        <f>VLOOKUP(record[[#This Row],[ProcessSN]],表格2_7[],2,FALSE)</f>
        <v>30-4118-018-6XX</v>
      </c>
      <c r="I7234" t="str">
        <f>VLOOKUP(record[[#This Row],[ProcessSN]],表格2_7[],3,FALSE)</f>
        <v>#05</v>
      </c>
      <c r="J7234" t="s">
        <v>588</v>
      </c>
      <c r="K7234" s="195">
        <v>45946.324965277781</v>
      </c>
      <c r="L7234">
        <v>31</v>
      </c>
      <c r="M7234">
        <v>0</v>
      </c>
      <c r="N7234" s="98" t="str">
        <f>IF(record[[#This Row],[Memo]]="Browser:chrome os:android","平板報工",IF(record[[#This Row],[Memo]]=0,"委外",record[[#This Row],[Memo]]))</f>
        <v>10/16覆回*31PCS</v>
      </c>
      <c r="O7234" t="s">
        <v>1116</v>
      </c>
      <c r="P7234" t="s">
        <v>1075</v>
      </c>
      <c r="Q7234" t="s">
        <v>58</v>
      </c>
      <c r="R7234" t="str">
        <f>IFERROR(VLOOKUP(record[[#This Row],[PCUSTID]],廠商[],2,FALSE),"")</f>
        <v/>
      </c>
      <c r="S7234" t="str">
        <f>VLOOKUP(record[[#This Row],[employeeID]],員工[],2,FALSE)</f>
        <v>吳宥叡</v>
      </c>
    </row>
    <row r="7235" spans="6:19" hidden="1" x14ac:dyDescent="0.25">
      <c r="F7235" t="s">
        <v>1101</v>
      </c>
      <c r="G7235" t="s">
        <v>374</v>
      </c>
      <c r="H7235" t="str">
        <f>VLOOKUP(record[[#This Row],[ProcessSN]],表格2_7[],2,FALSE)</f>
        <v>30-4118-018-4XX</v>
      </c>
      <c r="I7235" t="str">
        <f>VLOOKUP(record[[#This Row],[ProcessSN]],表格2_7[],3,FALSE)</f>
        <v>#04</v>
      </c>
      <c r="J7235" t="s">
        <v>588</v>
      </c>
      <c r="K7235" s="195">
        <v>45946.309386574074</v>
      </c>
      <c r="L7235">
        <v>165</v>
      </c>
      <c r="M7235">
        <v>0</v>
      </c>
      <c r="N7235" s="98" t="str">
        <f>IF(record[[#This Row],[Memo]]="Browser:chrome os:android","平板報工",IF(record[[#This Row],[Memo]]=0,"委外",record[[#This Row],[Memo]]))</f>
        <v/>
      </c>
      <c r="O7235" t="s">
        <v>58</v>
      </c>
      <c r="P7235" t="s">
        <v>135</v>
      </c>
      <c r="Q7235" t="s">
        <v>58</v>
      </c>
      <c r="R7235" t="str">
        <f>IFERROR(VLOOKUP(record[[#This Row],[PCUSTID]],廠商[],2,FALSE),"")</f>
        <v/>
      </c>
      <c r="S7235" t="str">
        <f>VLOOKUP(record[[#This Row],[employeeID]],員工[],2,FALSE)</f>
        <v>阮士文</v>
      </c>
    </row>
    <row r="7236" spans="6:19" hidden="1" x14ac:dyDescent="0.25">
      <c r="F7236" t="s">
        <v>1099</v>
      </c>
      <c r="G7236" t="s">
        <v>451</v>
      </c>
      <c r="H7236" t="str">
        <f>VLOOKUP(record[[#This Row],[ProcessSN]],表格2_7[],2,FALSE)</f>
        <v>30-4118-018-6XX</v>
      </c>
      <c r="I7236" t="str">
        <f>VLOOKUP(record[[#This Row],[ProcessSN]],表格2_7[],3,FALSE)</f>
        <v>#07</v>
      </c>
      <c r="J7236" t="s">
        <v>588</v>
      </c>
      <c r="K7236" s="195">
        <v>45946.308969907404</v>
      </c>
      <c r="L7236">
        <v>169</v>
      </c>
      <c r="M7236">
        <v>0</v>
      </c>
      <c r="N7236" s="98" t="str">
        <f>IF(record[[#This Row],[Memo]]="Browser:chrome os:android","平板報工",IF(record[[#This Row],[Memo]]=0,"委外",record[[#This Row],[Memo]]))</f>
        <v/>
      </c>
      <c r="O7236" t="s">
        <v>58</v>
      </c>
      <c r="P7236" t="s">
        <v>135</v>
      </c>
      <c r="Q7236" t="s">
        <v>58</v>
      </c>
      <c r="R7236" t="str">
        <f>IFERROR(VLOOKUP(record[[#This Row],[PCUSTID]],廠商[],2,FALSE),"")</f>
        <v/>
      </c>
      <c r="S7236" t="str">
        <f>VLOOKUP(record[[#This Row],[employeeID]],員工[],2,FALSE)</f>
        <v>阮士文</v>
      </c>
    </row>
    <row r="7237" spans="6:19" hidden="1" x14ac:dyDescent="0.25">
      <c r="F7237" t="s">
        <v>1099</v>
      </c>
      <c r="G7237" t="s">
        <v>450</v>
      </c>
      <c r="H7237" t="str">
        <f>VLOOKUP(record[[#This Row],[ProcessSN]],表格2_7[],2,FALSE)</f>
        <v>30-4118-018-6XX</v>
      </c>
      <c r="I7237" t="str">
        <f>VLOOKUP(record[[#This Row],[ProcessSN]],表格2_7[],3,FALSE)</f>
        <v>#06</v>
      </c>
      <c r="J7237" t="s">
        <v>593</v>
      </c>
      <c r="K7237" s="195">
        <v>45946.308738425927</v>
      </c>
      <c r="L7237">
        <v>221</v>
      </c>
      <c r="M7237">
        <v>0</v>
      </c>
      <c r="N7237" s="98" t="str">
        <f>IF(record[[#This Row],[Memo]]="Browser:chrome os:android","平板報工",IF(record[[#This Row],[Memo]]=0,"委外",record[[#This Row],[Memo]]))</f>
        <v/>
      </c>
      <c r="O7237" t="s">
        <v>58</v>
      </c>
      <c r="P7237" t="s">
        <v>135</v>
      </c>
      <c r="Q7237" t="s">
        <v>58</v>
      </c>
      <c r="R7237" t="str">
        <f>IFERROR(VLOOKUP(record[[#This Row],[PCUSTID]],廠商[],2,FALSE),"")</f>
        <v/>
      </c>
      <c r="S7237" t="str">
        <f>VLOOKUP(record[[#This Row],[employeeID]],員工[],2,FALSE)</f>
        <v>阮士文</v>
      </c>
    </row>
    <row r="7238" spans="6:19" hidden="1" x14ac:dyDescent="0.25">
      <c r="F7238" t="s">
        <v>1101</v>
      </c>
      <c r="G7238" t="s">
        <v>374</v>
      </c>
      <c r="H7238" t="str">
        <f>VLOOKUP(record[[#This Row],[ProcessSN]],表格2_7[],2,FALSE)</f>
        <v>30-4118-018-4XX</v>
      </c>
      <c r="I7238" t="str">
        <f>VLOOKUP(record[[#This Row],[ProcessSN]],表格2_7[],3,FALSE)</f>
        <v>#04</v>
      </c>
      <c r="J7238" t="s">
        <v>588</v>
      </c>
      <c r="K7238" s="195">
        <v>45945.969907407409</v>
      </c>
      <c r="L7238">
        <v>150</v>
      </c>
      <c r="M7238">
        <v>0</v>
      </c>
      <c r="N7238" s="98" t="str">
        <f>IF(record[[#This Row],[Memo]]="Browser:chrome os:android","平板報工",IF(record[[#This Row],[Memo]]=0,"委外",record[[#This Row],[Memo]]))</f>
        <v/>
      </c>
      <c r="O7238" t="s">
        <v>58</v>
      </c>
      <c r="P7238" t="s">
        <v>133</v>
      </c>
      <c r="Q7238" t="s">
        <v>58</v>
      </c>
      <c r="R7238" t="str">
        <f>IFERROR(VLOOKUP(record[[#This Row],[PCUSTID]],廠商[],2,FALSE),"")</f>
        <v/>
      </c>
      <c r="S7238" t="str">
        <f>VLOOKUP(record[[#This Row],[employeeID]],員工[],2,FALSE)</f>
        <v>黎長維</v>
      </c>
    </row>
    <row r="7239" spans="6:19" hidden="1" x14ac:dyDescent="0.25">
      <c r="F7239" t="s">
        <v>1099</v>
      </c>
      <c r="G7239" t="s">
        <v>451</v>
      </c>
      <c r="H7239" t="str">
        <f>VLOOKUP(record[[#This Row],[ProcessSN]],表格2_7[],2,FALSE)</f>
        <v>30-4118-018-6XX</v>
      </c>
      <c r="I7239" t="str">
        <f>VLOOKUP(record[[#This Row],[ProcessSN]],表格2_7[],3,FALSE)</f>
        <v>#07</v>
      </c>
      <c r="J7239" t="s">
        <v>588</v>
      </c>
      <c r="K7239" s="195">
        <v>45945.969606481478</v>
      </c>
      <c r="L7239">
        <v>230</v>
      </c>
      <c r="M7239">
        <v>1</v>
      </c>
      <c r="N7239" s="98" t="str">
        <f>IF(record[[#This Row],[Memo]]="Browser:chrome os:android","平板報工",IF(record[[#This Row],[Memo]]=0,"委外",record[[#This Row],[Memo]]))</f>
        <v/>
      </c>
      <c r="O7239" t="s">
        <v>58</v>
      </c>
      <c r="P7239" t="s">
        <v>133</v>
      </c>
      <c r="Q7239" t="s">
        <v>58</v>
      </c>
      <c r="R7239" t="str">
        <f>IFERROR(VLOOKUP(record[[#This Row],[PCUSTID]],廠商[],2,FALSE),"")</f>
        <v/>
      </c>
      <c r="S7239" t="str">
        <f>VLOOKUP(record[[#This Row],[employeeID]],員工[],2,FALSE)</f>
        <v>黎長維</v>
      </c>
    </row>
    <row r="7240" spans="6:19" hidden="1" x14ac:dyDescent="0.25">
      <c r="F7240" t="s">
        <v>1099</v>
      </c>
      <c r="G7240" t="s">
        <v>450</v>
      </c>
      <c r="H7240" t="str">
        <f>VLOOKUP(record[[#This Row],[ProcessSN]],表格2_7[],2,FALSE)</f>
        <v>30-4118-018-6XX</v>
      </c>
      <c r="I7240" t="str">
        <f>VLOOKUP(record[[#This Row],[ProcessSN]],表格2_7[],3,FALSE)</f>
        <v>#06</v>
      </c>
      <c r="J7240" t="s">
        <v>593</v>
      </c>
      <c r="K7240" s="195">
        <v>45945.969143518516</v>
      </c>
      <c r="L7240">
        <v>226</v>
      </c>
      <c r="M7240">
        <v>2</v>
      </c>
      <c r="N7240" s="98" t="str">
        <f>IF(record[[#This Row],[Memo]]="Browser:chrome os:android","平板報工",IF(record[[#This Row],[Memo]]=0,"委外",record[[#This Row],[Memo]]))</f>
        <v/>
      </c>
      <c r="O7240" t="s">
        <v>58</v>
      </c>
      <c r="P7240" t="s">
        <v>176</v>
      </c>
      <c r="Q7240" t="s">
        <v>58</v>
      </c>
      <c r="R7240" t="str">
        <f>IFERROR(VLOOKUP(record[[#This Row],[PCUSTID]],廠商[],2,FALSE),"")</f>
        <v/>
      </c>
      <c r="S7240" t="str">
        <f>VLOOKUP(record[[#This Row],[employeeID]],員工[],2,FALSE)</f>
        <v>郭政雄</v>
      </c>
    </row>
    <row r="7241" spans="6:19" hidden="1" x14ac:dyDescent="0.25">
      <c r="F7241" t="s">
        <v>1099</v>
      </c>
      <c r="G7241" t="s">
        <v>449</v>
      </c>
      <c r="H7241" t="str">
        <f>VLOOKUP(record[[#This Row],[ProcessSN]],表格2_7[],2,FALSE)</f>
        <v>30-4118-018-6XX</v>
      </c>
      <c r="I7241" t="str">
        <f>VLOOKUP(record[[#This Row],[ProcessSN]],表格2_7[],3,FALSE)</f>
        <v>#05</v>
      </c>
      <c r="J7241" t="s">
        <v>588</v>
      </c>
      <c r="K7241" s="195">
        <v>45945.967777777776</v>
      </c>
      <c r="L7241">
        <v>254</v>
      </c>
      <c r="M7241">
        <v>3</v>
      </c>
      <c r="N7241" s="98" t="str">
        <f>IF(record[[#This Row],[Memo]]="Browser:chrome os:android","平板報工",IF(record[[#This Row],[Memo]]=0,"委外",record[[#This Row],[Memo]]))</f>
        <v/>
      </c>
      <c r="O7241" t="s">
        <v>58</v>
      </c>
      <c r="P7241" t="s">
        <v>89</v>
      </c>
      <c r="Q7241" t="s">
        <v>58</v>
      </c>
      <c r="R7241" t="str">
        <f>IFERROR(VLOOKUP(record[[#This Row],[PCUSTID]],廠商[],2,FALSE),"")</f>
        <v/>
      </c>
      <c r="S7241" t="str">
        <f>VLOOKUP(record[[#This Row],[employeeID]],員工[],2,FALSE)</f>
        <v>李美蓮</v>
      </c>
    </row>
    <row r="7242" spans="6:19" hidden="1" x14ac:dyDescent="0.25">
      <c r="F7242" t="s">
        <v>1099</v>
      </c>
      <c r="G7242" t="s">
        <v>449</v>
      </c>
      <c r="H7242" t="str">
        <f>VLOOKUP(record[[#This Row],[ProcessSN]],表格2_7[],2,FALSE)</f>
        <v>30-4118-018-6XX</v>
      </c>
      <c r="I7242" t="str">
        <f>VLOOKUP(record[[#This Row],[ProcessSN]],表格2_7[],3,FALSE)</f>
        <v>#05</v>
      </c>
      <c r="J7242" t="s">
        <v>588</v>
      </c>
      <c r="K7242" s="195">
        <v>45945.966828703706</v>
      </c>
      <c r="L7242">
        <v>253</v>
      </c>
      <c r="M7242">
        <v>0</v>
      </c>
      <c r="N7242" s="98" t="str">
        <f>IF(record[[#This Row],[Memo]]="Browser:chrome os:android","平板報工",IF(record[[#This Row],[Memo]]=0,"委外",record[[#This Row],[Memo]]))</f>
        <v>補報10/14中</v>
      </c>
      <c r="O7242" t="s">
        <v>1115</v>
      </c>
      <c r="P7242" t="s">
        <v>127</v>
      </c>
      <c r="Q7242" t="s">
        <v>58</v>
      </c>
      <c r="R7242" t="str">
        <f>IFERROR(VLOOKUP(record[[#This Row],[PCUSTID]],廠商[],2,FALSE),"")</f>
        <v/>
      </c>
      <c r="S7242" t="str">
        <f>VLOOKUP(record[[#This Row],[employeeID]],員工[],2,FALSE)</f>
        <v>潘雪梅</v>
      </c>
    </row>
    <row r="7243" spans="6:19" hidden="1" x14ac:dyDescent="0.25">
      <c r="F7243" t="s">
        <v>1113</v>
      </c>
      <c r="G7243" t="s">
        <v>422</v>
      </c>
      <c r="H7243" t="str">
        <f>VLOOKUP(record[[#This Row],[ProcessSN]],表格2_7[],2,FALSE)</f>
        <v>30-4118-018-600</v>
      </c>
      <c r="I7243" t="str">
        <f>VLOOKUP(record[[#This Row],[ProcessSN]],表格2_7[],3,FALSE)</f>
        <v>#08</v>
      </c>
      <c r="J7243" t="s">
        <v>597</v>
      </c>
      <c r="K7243" s="195">
        <v>45945.665949074071</v>
      </c>
      <c r="L7243">
        <v>191</v>
      </c>
      <c r="M7243">
        <v>0</v>
      </c>
      <c r="N7243" s="98" t="str">
        <f>IF(record[[#This Row],[Memo]]="Browser:chrome os:android","平板報工",IF(record[[#This Row],[Memo]]=0,"委外",record[[#This Row],[Memo]]))</f>
        <v>委外</v>
      </c>
      <c r="P7243" t="s">
        <v>186</v>
      </c>
      <c r="Q7243" t="s">
        <v>287</v>
      </c>
      <c r="R7243" t="str">
        <f>IFERROR(VLOOKUP(record[[#This Row],[PCUSTID]],廠商[],2,FALSE),"")</f>
        <v>泉盛</v>
      </c>
      <c r="S7243" t="str">
        <f>VLOOKUP(record[[#This Row],[employeeID]],員工[],2,FALSE)</f>
        <v>許文姍</v>
      </c>
    </row>
    <row r="7244" spans="6:19" hidden="1" x14ac:dyDescent="0.25">
      <c r="F7244" t="s">
        <v>1101</v>
      </c>
      <c r="G7244" t="s">
        <v>374</v>
      </c>
      <c r="H7244" t="str">
        <f>VLOOKUP(record[[#This Row],[ProcessSN]],表格2_7[],2,FALSE)</f>
        <v>30-4118-018-4XX</v>
      </c>
      <c r="I7244" t="str">
        <f>VLOOKUP(record[[#This Row],[ProcessSN]],表格2_7[],3,FALSE)</f>
        <v>#04</v>
      </c>
      <c r="J7244" t="s">
        <v>588</v>
      </c>
      <c r="K7244" s="195">
        <v>45945.653773148151</v>
      </c>
      <c r="L7244">
        <v>160</v>
      </c>
      <c r="M7244">
        <v>5</v>
      </c>
      <c r="N7244" s="98" t="str">
        <f>IF(record[[#This Row],[Memo]]="Browser:chrome os:android","平板報工",IF(record[[#This Row],[Memo]]=0,"委外",record[[#This Row],[Memo]]))</f>
        <v>平板報工</v>
      </c>
      <c r="O7244" t="s">
        <v>643</v>
      </c>
      <c r="P7244" t="s">
        <v>785</v>
      </c>
      <c r="Q7244" t="s">
        <v>644</v>
      </c>
      <c r="R7244" t="str">
        <f>IFERROR(VLOOKUP(record[[#This Row],[PCUSTID]],廠商[],2,FALSE),"")</f>
        <v/>
      </c>
      <c r="S7244" t="str">
        <f>VLOOKUP(record[[#This Row],[employeeID]],員工[],2,FALSE)</f>
        <v>謝刻光</v>
      </c>
    </row>
    <row r="7245" spans="6:19" hidden="1" x14ac:dyDescent="0.25">
      <c r="F7245" t="s">
        <v>1099</v>
      </c>
      <c r="G7245" t="s">
        <v>451</v>
      </c>
      <c r="H7245" t="str">
        <f>VLOOKUP(record[[#This Row],[ProcessSN]],表格2_7[],2,FALSE)</f>
        <v>30-4118-018-6XX</v>
      </c>
      <c r="I7245" t="str">
        <f>VLOOKUP(record[[#This Row],[ProcessSN]],表格2_7[],3,FALSE)</f>
        <v>#07</v>
      </c>
      <c r="J7245" t="s">
        <v>588</v>
      </c>
      <c r="K7245" s="195">
        <v>45945.652974537035</v>
      </c>
      <c r="L7245">
        <v>176</v>
      </c>
      <c r="M7245">
        <v>1</v>
      </c>
      <c r="N7245" s="98" t="str">
        <f>IF(record[[#This Row],[Memo]]="Browser:chrome os:android","平板報工",IF(record[[#This Row],[Memo]]=0,"委外",record[[#This Row],[Memo]]))</f>
        <v>平板報工</v>
      </c>
      <c r="O7245" t="s">
        <v>643</v>
      </c>
      <c r="P7245" t="s">
        <v>785</v>
      </c>
      <c r="Q7245" t="s">
        <v>644</v>
      </c>
      <c r="R7245" t="str">
        <f>IFERROR(VLOOKUP(record[[#This Row],[PCUSTID]],廠商[],2,FALSE),"")</f>
        <v/>
      </c>
      <c r="S7245" t="str">
        <f>VLOOKUP(record[[#This Row],[employeeID]],員工[],2,FALSE)</f>
        <v>謝刻光</v>
      </c>
    </row>
    <row r="7246" spans="6:19" hidden="1" x14ac:dyDescent="0.25">
      <c r="F7246" t="s">
        <v>1099</v>
      </c>
      <c r="G7246" t="s">
        <v>450</v>
      </c>
      <c r="H7246" t="str">
        <f>VLOOKUP(record[[#This Row],[ProcessSN]],表格2_7[],2,FALSE)</f>
        <v>30-4118-018-6XX</v>
      </c>
      <c r="I7246" t="str">
        <f>VLOOKUP(record[[#This Row],[ProcessSN]],表格2_7[],3,FALSE)</f>
        <v>#06</v>
      </c>
      <c r="J7246" t="s">
        <v>593</v>
      </c>
      <c r="K7246" s="195">
        <v>45945.652222222219</v>
      </c>
      <c r="L7246">
        <v>94</v>
      </c>
      <c r="M7246">
        <v>6</v>
      </c>
      <c r="N7246" s="98" t="str">
        <f>IF(record[[#This Row],[Memo]]="Browser:chrome os:android","平板報工",IF(record[[#This Row],[Memo]]=0,"委外",record[[#This Row],[Memo]]))</f>
        <v>平板報工</v>
      </c>
      <c r="O7246" t="s">
        <v>643</v>
      </c>
      <c r="P7246" t="s">
        <v>111</v>
      </c>
      <c r="Q7246" t="s">
        <v>644</v>
      </c>
      <c r="R7246" t="str">
        <f>IFERROR(VLOOKUP(record[[#This Row],[PCUSTID]],廠商[],2,FALSE),"")</f>
        <v/>
      </c>
      <c r="S7246" t="str">
        <f>VLOOKUP(record[[#This Row],[employeeID]],員工[],2,FALSE)</f>
        <v>江栩妘</v>
      </c>
    </row>
    <row r="7247" spans="6:19" hidden="1" x14ac:dyDescent="0.25">
      <c r="F7247" t="s">
        <v>1099</v>
      </c>
      <c r="G7247" t="s">
        <v>449</v>
      </c>
      <c r="H7247" t="str">
        <f>VLOOKUP(record[[#This Row],[ProcessSN]],表格2_7[],2,FALSE)</f>
        <v>30-4118-018-6XX</v>
      </c>
      <c r="I7247" t="str">
        <f>VLOOKUP(record[[#This Row],[ProcessSN]],表格2_7[],3,FALSE)</f>
        <v>#05</v>
      </c>
      <c r="J7247" t="s">
        <v>588</v>
      </c>
      <c r="K7247" s="195">
        <v>45945.649201388886</v>
      </c>
      <c r="L7247">
        <v>224</v>
      </c>
      <c r="M7247">
        <v>0</v>
      </c>
      <c r="N7247" s="98" t="str">
        <f>IF(record[[#This Row],[Memo]]="Browser:chrome os:android","平板報工",IF(record[[#This Row],[Memo]]=0,"委外",record[[#This Row],[Memo]]))</f>
        <v>平板報工</v>
      </c>
      <c r="O7247" t="s">
        <v>643</v>
      </c>
      <c r="P7247" t="s">
        <v>1098</v>
      </c>
      <c r="Q7247" t="s">
        <v>644</v>
      </c>
      <c r="R7247" t="str">
        <f>IFERROR(VLOOKUP(record[[#This Row],[PCUSTID]],廠商[],2,FALSE),"")</f>
        <v/>
      </c>
      <c r="S7247" t="str">
        <f>VLOOKUP(record[[#This Row],[employeeID]],員工[],2,FALSE)</f>
        <v>阮氏芳英(英)</v>
      </c>
    </row>
    <row r="7248" spans="6:19" hidden="1" x14ac:dyDescent="0.25">
      <c r="F7248" t="s">
        <v>1064</v>
      </c>
      <c r="G7248" t="s">
        <v>403</v>
      </c>
      <c r="H7248" t="str">
        <f>VLOOKUP(record[[#This Row],[ProcessSN]],表格2_7[],2,FALSE)</f>
        <v>30-4118-018-550</v>
      </c>
      <c r="I7248" t="str">
        <f>VLOOKUP(record[[#This Row],[ProcessSN]],表格2_7[],3,FALSE)</f>
        <v>#100SHIP</v>
      </c>
      <c r="J7248" t="s">
        <v>600</v>
      </c>
      <c r="K7248" s="195">
        <v>45945.549664351849</v>
      </c>
      <c r="L7248">
        <v>314</v>
      </c>
      <c r="M7248">
        <v>0</v>
      </c>
      <c r="N7248" s="98" t="str">
        <f>IF(record[[#This Row],[Memo]]="Browser:chrome os:android","平板報工",IF(record[[#This Row],[Memo]]=0,"委外",record[[#This Row],[Memo]]))</f>
        <v/>
      </c>
      <c r="O7248" t="s">
        <v>58</v>
      </c>
      <c r="P7248" t="s">
        <v>886</v>
      </c>
      <c r="Q7248" t="s">
        <v>58</v>
      </c>
      <c r="R7248" t="str">
        <f>IFERROR(VLOOKUP(record[[#This Row],[PCUSTID]],廠商[],2,FALSE),"")</f>
        <v/>
      </c>
      <c r="S7248" t="str">
        <f>VLOOKUP(record[[#This Row],[employeeID]],員工[],2,FALSE)</f>
        <v>謝蓁薰</v>
      </c>
    </row>
    <row r="7249" spans="6:19" hidden="1" x14ac:dyDescent="0.25">
      <c r="F7249" t="s">
        <v>1052</v>
      </c>
      <c r="G7249" t="s">
        <v>403</v>
      </c>
      <c r="H7249" t="str">
        <f>VLOOKUP(record[[#This Row],[ProcessSN]],表格2_7[],2,FALSE)</f>
        <v>30-4118-018-550</v>
      </c>
      <c r="I7249" t="str">
        <f>VLOOKUP(record[[#This Row],[ProcessSN]],表格2_7[],3,FALSE)</f>
        <v>#100SHIP</v>
      </c>
      <c r="J7249" t="s">
        <v>600</v>
      </c>
      <c r="K7249" s="195">
        <v>45945.549525462964</v>
      </c>
      <c r="L7249">
        <v>12</v>
      </c>
      <c r="M7249">
        <v>0</v>
      </c>
      <c r="N7249" s="98" t="str">
        <f>IF(record[[#This Row],[Memo]]="Browser:chrome os:android","平板報工",IF(record[[#This Row],[Memo]]=0,"委外",record[[#This Row],[Memo]]))</f>
        <v/>
      </c>
      <c r="O7249" t="s">
        <v>58</v>
      </c>
      <c r="P7249" t="s">
        <v>886</v>
      </c>
      <c r="Q7249" t="s">
        <v>58</v>
      </c>
      <c r="R7249" t="str">
        <f>IFERROR(VLOOKUP(record[[#This Row],[PCUSTID]],廠商[],2,FALSE),"")</f>
        <v/>
      </c>
      <c r="S7249" t="str">
        <f>VLOOKUP(record[[#This Row],[employeeID]],員工[],2,FALSE)</f>
        <v>謝蓁薰</v>
      </c>
    </row>
    <row r="7250" spans="6:19" hidden="1" x14ac:dyDescent="0.25">
      <c r="F7250" t="s">
        <v>1045</v>
      </c>
      <c r="G7250" t="s">
        <v>362</v>
      </c>
      <c r="H7250" t="str">
        <f>VLOOKUP(record[[#This Row],[ProcessSN]],表格2_7[],2,FALSE)</f>
        <v>30-4118-018-450</v>
      </c>
      <c r="I7250" t="str">
        <f>VLOOKUP(record[[#This Row],[ProcessSN]],表格2_7[],3,FALSE)</f>
        <v>#100SHIP</v>
      </c>
      <c r="J7250" t="s">
        <v>600</v>
      </c>
      <c r="K7250" s="195">
        <v>45945.549375000002</v>
      </c>
      <c r="L7250">
        <v>91</v>
      </c>
      <c r="M7250">
        <v>0</v>
      </c>
      <c r="N7250" s="98" t="str">
        <f>IF(record[[#This Row],[Memo]]="Browser:chrome os:android","平板報工",IF(record[[#This Row],[Memo]]=0,"委外",record[[#This Row],[Memo]]))</f>
        <v/>
      </c>
      <c r="O7250" t="s">
        <v>58</v>
      </c>
      <c r="P7250" t="s">
        <v>886</v>
      </c>
      <c r="Q7250" t="s">
        <v>58</v>
      </c>
      <c r="R7250" t="str">
        <f>IFERROR(VLOOKUP(record[[#This Row],[PCUSTID]],廠商[],2,FALSE),"")</f>
        <v/>
      </c>
      <c r="S7250" t="str">
        <f>VLOOKUP(record[[#This Row],[employeeID]],員工[],2,FALSE)</f>
        <v>謝蓁薰</v>
      </c>
    </row>
    <row r="7251" spans="6:19" hidden="1" x14ac:dyDescent="0.25">
      <c r="F7251" t="s">
        <v>1041</v>
      </c>
      <c r="G7251" t="s">
        <v>362</v>
      </c>
      <c r="H7251" t="str">
        <f>VLOOKUP(record[[#This Row],[ProcessSN]],表格2_7[],2,FALSE)</f>
        <v>30-4118-018-450</v>
      </c>
      <c r="I7251" t="str">
        <f>VLOOKUP(record[[#This Row],[ProcessSN]],表格2_7[],3,FALSE)</f>
        <v>#100SHIP</v>
      </c>
      <c r="J7251" t="s">
        <v>600</v>
      </c>
      <c r="K7251" s="195">
        <v>45945.549085648148</v>
      </c>
      <c r="L7251">
        <v>39</v>
      </c>
      <c r="M7251">
        <v>0</v>
      </c>
      <c r="N7251" s="98" t="str">
        <f>IF(record[[#This Row],[Memo]]="Browser:chrome os:android","平板報工",IF(record[[#This Row],[Memo]]=0,"委外",record[[#This Row],[Memo]]))</f>
        <v/>
      </c>
      <c r="O7251" t="s">
        <v>58</v>
      </c>
      <c r="P7251" t="s">
        <v>886</v>
      </c>
      <c r="Q7251" t="s">
        <v>58</v>
      </c>
      <c r="R7251" t="str">
        <f>IFERROR(VLOOKUP(record[[#This Row],[PCUSTID]],廠商[],2,FALSE),"")</f>
        <v/>
      </c>
      <c r="S7251" t="str">
        <f>VLOOKUP(record[[#This Row],[employeeID]],員工[],2,FALSE)</f>
        <v>謝蓁薰</v>
      </c>
    </row>
    <row r="7252" spans="6:19" hidden="1" x14ac:dyDescent="0.25">
      <c r="F7252" t="s">
        <v>1099</v>
      </c>
      <c r="G7252" t="s">
        <v>453</v>
      </c>
      <c r="H7252" t="str">
        <f>VLOOKUP(record[[#This Row],[ProcessSN]],表格2_7[],2,FALSE)</f>
        <v>30-4118-018-6XX</v>
      </c>
      <c r="I7252" t="str">
        <f>VLOOKUP(record[[#This Row],[ProcessSN]],表格2_7[],3,FALSE)</f>
        <v>#07STOCK</v>
      </c>
      <c r="J7252" t="s">
        <v>592</v>
      </c>
      <c r="K7252" s="195">
        <v>45945.394317129627</v>
      </c>
      <c r="L7252">
        <v>191</v>
      </c>
      <c r="M7252">
        <v>0</v>
      </c>
      <c r="N7252" s="98" t="str">
        <f>IF(record[[#This Row],[Memo]]="Browser:chrome os:android","平板報工",IF(record[[#This Row],[Memo]]=0,"委外",record[[#This Row],[Memo]]))</f>
        <v/>
      </c>
      <c r="O7252" t="s">
        <v>58</v>
      </c>
      <c r="P7252" t="s">
        <v>196</v>
      </c>
      <c r="Q7252" t="s">
        <v>58</v>
      </c>
      <c r="R7252" t="str">
        <f>IFERROR(VLOOKUP(record[[#This Row],[PCUSTID]],廠商[],2,FALSE),"")</f>
        <v/>
      </c>
      <c r="S7252" t="str">
        <f>VLOOKUP(record[[#This Row],[employeeID]],員工[],2,FALSE)</f>
        <v>張淑惠</v>
      </c>
    </row>
    <row r="7253" spans="6:19" hidden="1" x14ac:dyDescent="0.25">
      <c r="F7253" t="s">
        <v>1099</v>
      </c>
      <c r="G7253" t="s">
        <v>452</v>
      </c>
      <c r="H7253" t="str">
        <f>VLOOKUP(record[[#This Row],[ProcessSN]],表格2_7[],2,FALSE)</f>
        <v>30-4118-018-6XX</v>
      </c>
      <c r="I7253" t="str">
        <f>VLOOKUP(record[[#This Row],[ProcessSN]],表格2_7[],3,FALSE)</f>
        <v>#07QC</v>
      </c>
      <c r="J7253" t="s">
        <v>589</v>
      </c>
      <c r="K7253" s="195">
        <v>45945.392083333332</v>
      </c>
      <c r="L7253">
        <v>0</v>
      </c>
      <c r="M7253">
        <v>3</v>
      </c>
      <c r="N7253" s="98" t="str">
        <f>IF(record[[#This Row],[Memo]]="Browser:chrome os:android","平板報工",IF(record[[#This Row],[Memo]]=0,"委外",record[[#This Row],[Memo]]))</f>
        <v>平板報工</v>
      </c>
      <c r="O7253" t="s">
        <v>643</v>
      </c>
      <c r="P7253" t="s">
        <v>141</v>
      </c>
      <c r="Q7253" t="s">
        <v>644</v>
      </c>
      <c r="R7253" t="str">
        <f>IFERROR(VLOOKUP(record[[#This Row],[PCUSTID]],廠商[],2,FALSE),"")</f>
        <v/>
      </c>
      <c r="S7253" t="str">
        <f>VLOOKUP(record[[#This Row],[employeeID]],員工[],2,FALSE)</f>
        <v>蔣梅</v>
      </c>
    </row>
    <row r="7254" spans="6:19" hidden="1" x14ac:dyDescent="0.25">
      <c r="F7254" t="s">
        <v>1099</v>
      </c>
      <c r="G7254" t="s">
        <v>452</v>
      </c>
      <c r="H7254" t="str">
        <f>VLOOKUP(record[[#This Row],[ProcessSN]],表格2_7[],2,FALSE)</f>
        <v>30-4118-018-6XX</v>
      </c>
      <c r="I7254" t="str">
        <f>VLOOKUP(record[[#This Row],[ProcessSN]],表格2_7[],3,FALSE)</f>
        <v>#07QC</v>
      </c>
      <c r="J7254" t="s">
        <v>589</v>
      </c>
      <c r="K7254" s="195">
        <v>45945.39166666667</v>
      </c>
      <c r="L7254">
        <v>191</v>
      </c>
      <c r="M7254">
        <v>0</v>
      </c>
      <c r="N7254" s="98" t="str">
        <f>IF(record[[#This Row],[Memo]]="Browser:chrome os:android","平板報工",IF(record[[#This Row],[Memo]]=0,"委外",record[[#This Row],[Memo]]))</f>
        <v>平板報工</v>
      </c>
      <c r="O7254" t="s">
        <v>643</v>
      </c>
      <c r="P7254" t="s">
        <v>141</v>
      </c>
      <c r="Q7254" t="s">
        <v>644</v>
      </c>
      <c r="R7254" t="str">
        <f>IFERROR(VLOOKUP(record[[#This Row],[PCUSTID]],廠商[],2,FALSE),"")</f>
        <v/>
      </c>
      <c r="S7254" t="str">
        <f>VLOOKUP(record[[#This Row],[employeeID]],員工[],2,FALSE)</f>
        <v>蔣梅</v>
      </c>
    </row>
    <row r="7255" spans="6:19" hidden="1" x14ac:dyDescent="0.25">
      <c r="F7255" t="s">
        <v>1025</v>
      </c>
      <c r="G7255" t="s">
        <v>453</v>
      </c>
      <c r="H7255" t="str">
        <f>VLOOKUP(record[[#This Row],[ProcessSN]],表格2_7[],2,FALSE)</f>
        <v>30-4118-018-6XX</v>
      </c>
      <c r="I7255" t="str">
        <f>VLOOKUP(record[[#This Row],[ProcessSN]],表格2_7[],3,FALSE)</f>
        <v>#07STOCK</v>
      </c>
      <c r="J7255" t="s">
        <v>592</v>
      </c>
      <c r="K7255" s="195">
        <v>45945.391122685185</v>
      </c>
      <c r="L7255">
        <v>23</v>
      </c>
      <c r="M7255">
        <v>0</v>
      </c>
      <c r="N7255" s="98" t="str">
        <f>IF(record[[#This Row],[Memo]]="Browser:chrome os:android","平板報工",IF(record[[#This Row],[Memo]]=0,"委外",record[[#This Row],[Memo]]))</f>
        <v/>
      </c>
      <c r="O7255" t="s">
        <v>58</v>
      </c>
      <c r="P7255" t="s">
        <v>196</v>
      </c>
      <c r="Q7255" t="s">
        <v>58</v>
      </c>
      <c r="R7255" t="str">
        <f>IFERROR(VLOOKUP(record[[#This Row],[PCUSTID]],廠商[],2,FALSE),"")</f>
        <v/>
      </c>
      <c r="S7255" t="str">
        <f>VLOOKUP(record[[#This Row],[employeeID]],員工[],2,FALSE)</f>
        <v>張淑惠</v>
      </c>
    </row>
    <row r="7256" spans="6:19" hidden="1" x14ac:dyDescent="0.25">
      <c r="F7256" t="s">
        <v>1113</v>
      </c>
      <c r="G7256" t="s">
        <v>421</v>
      </c>
      <c r="H7256" t="str">
        <f>VLOOKUP(record[[#This Row],[ProcessSN]],表格2_7[],2,FALSE)</f>
        <v>30-4118-018-600</v>
      </c>
      <c r="I7256" t="str">
        <f>VLOOKUP(record[[#This Row],[ProcessSN]],表格2_7[],3,FALSE)</f>
        <v>#08PICK</v>
      </c>
      <c r="J7256" t="s">
        <v>582</v>
      </c>
      <c r="K7256" s="195">
        <v>45945.390567129631</v>
      </c>
      <c r="L7256">
        <v>191</v>
      </c>
      <c r="M7256">
        <v>0</v>
      </c>
      <c r="N7256" s="98" t="str">
        <f>IF(record[[#This Row],[Memo]]="Browser:chrome os:android","平板報工",IF(record[[#This Row],[Memo]]=0,"委外",record[[#This Row],[Memo]]))</f>
        <v/>
      </c>
      <c r="O7256" t="s">
        <v>58</v>
      </c>
      <c r="P7256" t="s">
        <v>196</v>
      </c>
      <c r="Q7256" t="s">
        <v>58</v>
      </c>
      <c r="R7256" t="str">
        <f>IFERROR(VLOOKUP(record[[#This Row],[PCUSTID]],廠商[],2,FALSE),"")</f>
        <v/>
      </c>
      <c r="S7256" t="str">
        <f>VLOOKUP(record[[#This Row],[employeeID]],員工[],2,FALSE)</f>
        <v>張淑惠</v>
      </c>
    </row>
    <row r="7257" spans="6:19" hidden="1" x14ac:dyDescent="0.25">
      <c r="F7257" t="s">
        <v>1099</v>
      </c>
      <c r="G7257" t="s">
        <v>450</v>
      </c>
      <c r="H7257" t="str">
        <f>VLOOKUP(record[[#This Row],[ProcessSN]],表格2_7[],2,FALSE)</f>
        <v>30-4118-018-6XX</v>
      </c>
      <c r="I7257" t="str">
        <f>VLOOKUP(record[[#This Row],[ProcessSN]],表格2_7[],3,FALSE)</f>
        <v>#06</v>
      </c>
      <c r="J7257" t="s">
        <v>593</v>
      </c>
      <c r="K7257" s="195">
        <v>45945.318773148145</v>
      </c>
      <c r="L7257">
        <v>121</v>
      </c>
      <c r="M7257">
        <v>1</v>
      </c>
      <c r="N7257" s="98" t="str">
        <f>IF(record[[#This Row],[Memo]]="Browser:chrome os:android","平板報工",IF(record[[#This Row],[Memo]]=0,"委外",record[[#This Row],[Memo]]))</f>
        <v/>
      </c>
      <c r="O7257" t="s">
        <v>58</v>
      </c>
      <c r="P7257" t="s">
        <v>135</v>
      </c>
      <c r="Q7257" t="s">
        <v>58</v>
      </c>
      <c r="R7257" t="str">
        <f>IFERROR(VLOOKUP(record[[#This Row],[PCUSTID]],廠商[],2,FALSE),"")</f>
        <v/>
      </c>
      <c r="S7257" t="str">
        <f>VLOOKUP(record[[#This Row],[employeeID]],員工[],2,FALSE)</f>
        <v>阮士文</v>
      </c>
    </row>
    <row r="7258" spans="6:19" hidden="1" x14ac:dyDescent="0.25">
      <c r="F7258" t="s">
        <v>1101</v>
      </c>
      <c r="G7258" t="s">
        <v>374</v>
      </c>
      <c r="H7258" t="str">
        <f>VLOOKUP(record[[#This Row],[ProcessSN]],表格2_7[],2,FALSE)</f>
        <v>30-4118-018-4XX</v>
      </c>
      <c r="I7258" t="str">
        <f>VLOOKUP(record[[#This Row],[ProcessSN]],表格2_7[],3,FALSE)</f>
        <v>#04</v>
      </c>
      <c r="J7258" t="s">
        <v>588</v>
      </c>
      <c r="K7258" s="195">
        <v>45945.316377314812</v>
      </c>
      <c r="L7258">
        <v>177</v>
      </c>
      <c r="M7258">
        <v>0</v>
      </c>
      <c r="N7258" s="98" t="str">
        <f>IF(record[[#This Row],[Memo]]="Browser:chrome os:android","平板報工",IF(record[[#This Row],[Memo]]=0,"委外",record[[#This Row],[Memo]]))</f>
        <v/>
      </c>
      <c r="O7258" t="s">
        <v>58</v>
      </c>
      <c r="P7258" t="s">
        <v>135</v>
      </c>
      <c r="Q7258" t="s">
        <v>58</v>
      </c>
      <c r="R7258" t="str">
        <f>IFERROR(VLOOKUP(record[[#This Row],[PCUSTID]],廠商[],2,FALSE),"")</f>
        <v/>
      </c>
      <c r="S7258" t="str">
        <f>VLOOKUP(record[[#This Row],[employeeID]],員工[],2,FALSE)</f>
        <v>阮士文</v>
      </c>
    </row>
    <row r="7259" spans="6:19" hidden="1" x14ac:dyDescent="0.25">
      <c r="F7259" t="s">
        <v>1101</v>
      </c>
      <c r="G7259" t="s">
        <v>374</v>
      </c>
      <c r="H7259" t="str">
        <f>VLOOKUP(record[[#This Row],[ProcessSN]],表格2_7[],2,FALSE)</f>
        <v>30-4118-018-4XX</v>
      </c>
      <c r="I7259" t="str">
        <f>VLOOKUP(record[[#This Row],[ProcessSN]],表格2_7[],3,FALSE)</f>
        <v>#04</v>
      </c>
      <c r="J7259" t="s">
        <v>588</v>
      </c>
      <c r="K7259" s="195">
        <v>45944.968368055554</v>
      </c>
      <c r="L7259">
        <v>135</v>
      </c>
      <c r="M7259">
        <v>0</v>
      </c>
      <c r="N7259" s="98" t="str">
        <f>IF(record[[#This Row],[Memo]]="Browser:chrome os:android","平板報工",IF(record[[#This Row],[Memo]]=0,"委外",record[[#This Row],[Memo]]))</f>
        <v/>
      </c>
      <c r="O7259" t="s">
        <v>58</v>
      </c>
      <c r="P7259" t="s">
        <v>133</v>
      </c>
      <c r="Q7259" t="s">
        <v>58</v>
      </c>
      <c r="R7259" t="str">
        <f>IFERROR(VLOOKUP(record[[#This Row],[PCUSTID]],廠商[],2,FALSE),"")</f>
        <v/>
      </c>
      <c r="S7259" t="str">
        <f>VLOOKUP(record[[#This Row],[employeeID]],員工[],2,FALSE)</f>
        <v>黎長維</v>
      </c>
    </row>
    <row r="7260" spans="6:19" hidden="1" x14ac:dyDescent="0.25">
      <c r="F7260" t="s">
        <v>1099</v>
      </c>
      <c r="G7260" t="s">
        <v>451</v>
      </c>
      <c r="H7260" t="str">
        <f>VLOOKUP(record[[#This Row],[ProcessSN]],表格2_7[],2,FALSE)</f>
        <v>30-4118-018-6XX</v>
      </c>
      <c r="I7260" t="str">
        <f>VLOOKUP(record[[#This Row],[ProcessSN]],表格2_7[],3,FALSE)</f>
        <v>#07</v>
      </c>
      <c r="J7260" t="s">
        <v>588</v>
      </c>
      <c r="K7260" s="195">
        <v>45944.968090277776</v>
      </c>
      <c r="L7260">
        <v>77</v>
      </c>
      <c r="M7260">
        <v>1</v>
      </c>
      <c r="N7260" s="98" t="str">
        <f>IF(record[[#This Row],[Memo]]="Browser:chrome os:android","平板報工",IF(record[[#This Row],[Memo]]=0,"委外",record[[#This Row],[Memo]]))</f>
        <v/>
      </c>
      <c r="O7260" t="s">
        <v>58</v>
      </c>
      <c r="P7260" t="s">
        <v>133</v>
      </c>
      <c r="Q7260" t="s">
        <v>58</v>
      </c>
      <c r="R7260" t="str">
        <f>IFERROR(VLOOKUP(record[[#This Row],[PCUSTID]],廠商[],2,FALSE),"")</f>
        <v/>
      </c>
      <c r="S7260" t="str">
        <f>VLOOKUP(record[[#This Row],[employeeID]],員工[],2,FALSE)</f>
        <v>黎長維</v>
      </c>
    </row>
    <row r="7261" spans="6:19" hidden="1" x14ac:dyDescent="0.25">
      <c r="F7261" t="s">
        <v>1099</v>
      </c>
      <c r="G7261" t="s">
        <v>450</v>
      </c>
      <c r="H7261" t="str">
        <f>VLOOKUP(record[[#This Row],[ProcessSN]],表格2_7[],2,FALSE)</f>
        <v>30-4118-018-6XX</v>
      </c>
      <c r="I7261" t="str">
        <f>VLOOKUP(record[[#This Row],[ProcessSN]],表格2_7[],3,FALSE)</f>
        <v>#06</v>
      </c>
      <c r="J7261" t="s">
        <v>593</v>
      </c>
      <c r="K7261" s="195">
        <v>45944.966469907406</v>
      </c>
      <c r="L7261">
        <v>78</v>
      </c>
      <c r="M7261">
        <v>3</v>
      </c>
      <c r="N7261" s="98" t="str">
        <f>IF(record[[#This Row],[Memo]]="Browser:chrome os:android","平板報工",IF(record[[#This Row],[Memo]]=0,"委外",record[[#This Row],[Memo]]))</f>
        <v/>
      </c>
      <c r="O7261" t="s">
        <v>58</v>
      </c>
      <c r="P7261" t="s">
        <v>176</v>
      </c>
      <c r="Q7261" t="s">
        <v>58</v>
      </c>
      <c r="R7261" t="str">
        <f>IFERROR(VLOOKUP(record[[#This Row],[PCUSTID]],廠商[],2,FALSE),"")</f>
        <v/>
      </c>
      <c r="S7261" t="str">
        <f>VLOOKUP(record[[#This Row],[employeeID]],員工[],2,FALSE)</f>
        <v>郭政雄</v>
      </c>
    </row>
    <row r="7262" spans="6:19" hidden="1" x14ac:dyDescent="0.25">
      <c r="F7262" t="s">
        <v>1043</v>
      </c>
      <c r="G7262" t="s">
        <v>465</v>
      </c>
      <c r="H7262" t="str">
        <f>VLOOKUP(record[[#This Row],[ProcessSN]],表格2_7[],2,FALSE)</f>
        <v>30-4118-018-XXX</v>
      </c>
      <c r="I7262" t="str">
        <f>VLOOKUP(record[[#This Row],[ProcessSN]],表格2_7[],3,FALSE)</f>
        <v>#01-1</v>
      </c>
      <c r="J7262" t="s">
        <v>588</v>
      </c>
      <c r="K7262" s="195">
        <v>45944.698958333334</v>
      </c>
      <c r="L7262">
        <v>105</v>
      </c>
      <c r="M7262">
        <v>0</v>
      </c>
      <c r="N7262" s="98" t="str">
        <f>IF(record[[#This Row],[Memo]]="Browser:chrome os:android","平板報工",IF(record[[#This Row],[Memo]]=0,"委外",record[[#This Row],[Memo]]))</f>
        <v/>
      </c>
      <c r="O7262" t="s">
        <v>58</v>
      </c>
      <c r="P7262" t="s">
        <v>101</v>
      </c>
      <c r="Q7262" t="s">
        <v>58</v>
      </c>
      <c r="R7262" t="str">
        <f>IFERROR(VLOOKUP(record[[#This Row],[PCUSTID]],廠商[],2,FALSE),"")</f>
        <v/>
      </c>
      <c r="S7262" t="str">
        <f>VLOOKUP(record[[#This Row],[employeeID]],員工[],2,FALSE)</f>
        <v>陳氏絨</v>
      </c>
    </row>
    <row r="7263" spans="6:19" hidden="1" x14ac:dyDescent="0.25">
      <c r="F7263" t="s">
        <v>1099</v>
      </c>
      <c r="G7263" t="s">
        <v>449</v>
      </c>
      <c r="H7263" t="str">
        <f>VLOOKUP(record[[#This Row],[ProcessSN]],表格2_7[],2,FALSE)</f>
        <v>30-4118-018-6XX</v>
      </c>
      <c r="I7263" t="str">
        <f>VLOOKUP(record[[#This Row],[ProcessSN]],表格2_7[],3,FALSE)</f>
        <v>#05</v>
      </c>
      <c r="J7263" t="s">
        <v>588</v>
      </c>
      <c r="K7263" s="195">
        <v>45944.665486111109</v>
      </c>
      <c r="L7263">
        <v>194</v>
      </c>
      <c r="M7263">
        <v>0</v>
      </c>
      <c r="N7263" s="98" t="str">
        <f>IF(record[[#This Row],[Memo]]="Browser:chrome os:android","平板報工",IF(record[[#This Row],[Memo]]=0,"委外",record[[#This Row],[Memo]]))</f>
        <v>平板報工</v>
      </c>
      <c r="O7263" t="s">
        <v>643</v>
      </c>
      <c r="P7263" t="s">
        <v>1098</v>
      </c>
      <c r="Q7263" t="s">
        <v>644</v>
      </c>
      <c r="R7263" t="str">
        <f>IFERROR(VLOOKUP(record[[#This Row],[PCUSTID]],廠商[],2,FALSE),"")</f>
        <v/>
      </c>
      <c r="S7263" t="str">
        <f>VLOOKUP(record[[#This Row],[employeeID]],員工[],2,FALSE)</f>
        <v>阮氏芳英(英)</v>
      </c>
    </row>
    <row r="7264" spans="6:19" hidden="1" x14ac:dyDescent="0.25">
      <c r="F7264" t="s">
        <v>1099</v>
      </c>
      <c r="G7264" t="s">
        <v>450</v>
      </c>
      <c r="H7264" t="str">
        <f>VLOOKUP(record[[#This Row],[ProcessSN]],表格2_7[],2,FALSE)</f>
        <v>30-4118-018-6XX</v>
      </c>
      <c r="I7264" t="str">
        <f>VLOOKUP(record[[#This Row],[ProcessSN]],表格2_7[],3,FALSE)</f>
        <v>#06</v>
      </c>
      <c r="J7264" t="s">
        <v>593</v>
      </c>
      <c r="K7264" s="195">
        <v>45944.661631944444</v>
      </c>
      <c r="L7264">
        <v>16</v>
      </c>
      <c r="M7264">
        <v>0</v>
      </c>
      <c r="N7264" s="98" t="str">
        <f>IF(record[[#This Row],[Memo]]="Browser:chrome os:android","平板報工",IF(record[[#This Row],[Memo]]=0,"委外",record[[#This Row],[Memo]]))</f>
        <v>平板報工</v>
      </c>
      <c r="O7264" t="s">
        <v>643</v>
      </c>
      <c r="P7264" t="s">
        <v>111</v>
      </c>
      <c r="Q7264" t="s">
        <v>644</v>
      </c>
      <c r="R7264" t="str">
        <f>IFERROR(VLOOKUP(record[[#This Row],[PCUSTID]],廠商[],2,FALSE),"")</f>
        <v/>
      </c>
      <c r="S7264" t="str">
        <f>VLOOKUP(record[[#This Row],[employeeID]],員工[],2,FALSE)</f>
        <v>江栩妘</v>
      </c>
    </row>
    <row r="7265" spans="6:19" hidden="1" x14ac:dyDescent="0.25">
      <c r="F7265" t="s">
        <v>1099</v>
      </c>
      <c r="G7265" t="s">
        <v>448</v>
      </c>
      <c r="H7265" t="str">
        <f>VLOOKUP(record[[#This Row],[ProcessSN]],表格2_7[],2,FALSE)</f>
        <v>30-4118-018-6XX</v>
      </c>
      <c r="I7265" t="str">
        <f>VLOOKUP(record[[#This Row],[ProcessSN]],表格2_7[],3,FALSE)</f>
        <v>#04</v>
      </c>
      <c r="J7265" t="s">
        <v>588</v>
      </c>
      <c r="K7265" s="195">
        <v>45944.648831018516</v>
      </c>
      <c r="L7265">
        <v>50</v>
      </c>
      <c r="M7265">
        <v>3</v>
      </c>
      <c r="N7265" s="98" t="str">
        <f>IF(record[[#This Row],[Memo]]="Browser:chrome os:android","平板報工",IF(record[[#This Row],[Memo]]=0,"委外",record[[#This Row],[Memo]]))</f>
        <v>平板報工</v>
      </c>
      <c r="O7265" t="s">
        <v>643</v>
      </c>
      <c r="P7265" t="s">
        <v>785</v>
      </c>
      <c r="Q7265" t="s">
        <v>644</v>
      </c>
      <c r="R7265" t="str">
        <f>IFERROR(VLOOKUP(record[[#This Row],[PCUSTID]],廠商[],2,FALSE),"")</f>
        <v/>
      </c>
      <c r="S7265" t="str">
        <f>VLOOKUP(record[[#This Row],[employeeID]],員工[],2,FALSE)</f>
        <v>謝刻光</v>
      </c>
    </row>
    <row r="7266" spans="6:19" hidden="1" x14ac:dyDescent="0.25">
      <c r="F7266" t="s">
        <v>1099</v>
      </c>
      <c r="G7266" t="s">
        <v>451</v>
      </c>
      <c r="H7266" t="str">
        <f>VLOOKUP(record[[#This Row],[ProcessSN]],表格2_7[],2,FALSE)</f>
        <v>30-4118-018-6XX</v>
      </c>
      <c r="I7266" t="str">
        <f>VLOOKUP(record[[#This Row],[ProcessSN]],表格2_7[],3,FALSE)</f>
        <v>#07</v>
      </c>
      <c r="J7266" t="s">
        <v>588</v>
      </c>
      <c r="K7266" s="195">
        <v>45944.587280092594</v>
      </c>
      <c r="L7266">
        <v>125</v>
      </c>
      <c r="M7266">
        <v>0</v>
      </c>
      <c r="N7266" s="98" t="str">
        <f>IF(record[[#This Row],[Memo]]="Browser:chrome os:android","平板報工",IF(record[[#This Row],[Memo]]=0,"委外",record[[#This Row],[Memo]]))</f>
        <v>10/14覆回*1pcs</v>
      </c>
      <c r="O7266" t="s">
        <v>1112</v>
      </c>
      <c r="P7266" t="s">
        <v>1075</v>
      </c>
      <c r="Q7266" t="s">
        <v>58</v>
      </c>
      <c r="R7266" t="str">
        <f>IFERROR(VLOOKUP(record[[#This Row],[PCUSTID]],廠商[],2,FALSE),"")</f>
        <v/>
      </c>
      <c r="S7266" t="str">
        <f>VLOOKUP(record[[#This Row],[employeeID]],員工[],2,FALSE)</f>
        <v>吳宥叡</v>
      </c>
    </row>
    <row r="7267" spans="6:19" hidden="1" x14ac:dyDescent="0.25">
      <c r="F7267" t="s">
        <v>1025</v>
      </c>
      <c r="G7267" t="s">
        <v>452</v>
      </c>
      <c r="H7267" t="str">
        <f>VLOOKUP(record[[#This Row],[ProcessSN]],表格2_7[],2,FALSE)</f>
        <v>30-4118-018-6XX</v>
      </c>
      <c r="I7267" t="str">
        <f>VLOOKUP(record[[#This Row],[ProcessSN]],表格2_7[],3,FALSE)</f>
        <v>#07QC</v>
      </c>
      <c r="J7267" t="s">
        <v>589</v>
      </c>
      <c r="K7267" s="195">
        <v>45944.420624999999</v>
      </c>
      <c r="L7267">
        <v>23</v>
      </c>
      <c r="M7267">
        <v>0</v>
      </c>
      <c r="N7267" s="98" t="str">
        <f>IF(record[[#This Row],[Memo]]="Browser:chrome os:android","平板報工",IF(record[[#This Row],[Memo]]=0,"委外",record[[#This Row],[Memo]]))</f>
        <v>覆回品</v>
      </c>
      <c r="O7267" t="s">
        <v>664</v>
      </c>
      <c r="P7267" t="s">
        <v>141</v>
      </c>
      <c r="Q7267" t="s">
        <v>58</v>
      </c>
      <c r="R7267" t="str">
        <f>IFERROR(VLOOKUP(record[[#This Row],[PCUSTID]],廠商[],2,FALSE),"")</f>
        <v/>
      </c>
      <c r="S7267" t="str">
        <f>VLOOKUP(record[[#This Row],[employeeID]],員工[],2,FALSE)</f>
        <v>蔣梅</v>
      </c>
    </row>
    <row r="7268" spans="6:19" hidden="1" x14ac:dyDescent="0.25">
      <c r="F7268" t="s">
        <v>1025</v>
      </c>
      <c r="G7268" t="s">
        <v>451</v>
      </c>
      <c r="H7268" t="str">
        <f>VLOOKUP(record[[#This Row],[ProcessSN]],表格2_7[],2,FALSE)</f>
        <v>30-4118-018-6XX</v>
      </c>
      <c r="I7268" t="str">
        <f>VLOOKUP(record[[#This Row],[ProcessSN]],表格2_7[],3,FALSE)</f>
        <v>#07</v>
      </c>
      <c r="J7268" t="s">
        <v>588</v>
      </c>
      <c r="K7268" s="195">
        <v>45944.42046296296</v>
      </c>
      <c r="L7268">
        <v>7</v>
      </c>
      <c r="M7268">
        <v>0</v>
      </c>
      <c r="N7268" s="98" t="str">
        <f>IF(record[[#This Row],[Memo]]="Browser:chrome os:android","平板報工",IF(record[[#This Row],[Memo]]=0,"委外",record[[#This Row],[Memo]]))</f>
        <v>覆回品</v>
      </c>
      <c r="O7268" t="s">
        <v>664</v>
      </c>
      <c r="P7268" t="s">
        <v>141</v>
      </c>
      <c r="Q7268" t="s">
        <v>58</v>
      </c>
      <c r="R7268" t="str">
        <f>IFERROR(VLOOKUP(record[[#This Row],[PCUSTID]],廠商[],2,FALSE),"")</f>
        <v/>
      </c>
      <c r="S7268" t="str">
        <f>VLOOKUP(record[[#This Row],[employeeID]],員工[],2,FALSE)</f>
        <v>蔣梅</v>
      </c>
    </row>
    <row r="7269" spans="6:19" hidden="1" x14ac:dyDescent="0.25">
      <c r="F7269" t="s">
        <v>1025</v>
      </c>
      <c r="G7269" t="s">
        <v>450</v>
      </c>
      <c r="H7269" t="str">
        <f>VLOOKUP(record[[#This Row],[ProcessSN]],表格2_7[],2,FALSE)</f>
        <v>30-4118-018-6XX</v>
      </c>
      <c r="I7269" t="str">
        <f>VLOOKUP(record[[#This Row],[ProcessSN]],表格2_7[],3,FALSE)</f>
        <v>#06</v>
      </c>
      <c r="J7269" t="s">
        <v>593</v>
      </c>
      <c r="K7269" s="195">
        <v>45944.420312499999</v>
      </c>
      <c r="L7269">
        <v>7</v>
      </c>
      <c r="M7269">
        <v>0</v>
      </c>
      <c r="N7269" s="98" t="str">
        <f>IF(record[[#This Row],[Memo]]="Browser:chrome os:android","平板報工",IF(record[[#This Row],[Memo]]=0,"委外",record[[#This Row],[Memo]]))</f>
        <v>覆回品</v>
      </c>
      <c r="O7269" t="s">
        <v>664</v>
      </c>
      <c r="P7269" t="s">
        <v>141</v>
      </c>
      <c r="Q7269" t="s">
        <v>58</v>
      </c>
      <c r="R7269" t="str">
        <f>IFERROR(VLOOKUP(record[[#This Row],[PCUSTID]],廠商[],2,FALSE),"")</f>
        <v/>
      </c>
      <c r="S7269" t="str">
        <f>VLOOKUP(record[[#This Row],[employeeID]],員工[],2,FALSE)</f>
        <v>蔣梅</v>
      </c>
    </row>
    <row r="7270" spans="6:19" hidden="1" x14ac:dyDescent="0.25">
      <c r="F7270" t="s">
        <v>1025</v>
      </c>
      <c r="G7270" t="s">
        <v>449</v>
      </c>
      <c r="H7270" t="str">
        <f>VLOOKUP(record[[#This Row],[ProcessSN]],表格2_7[],2,FALSE)</f>
        <v>30-4118-018-6XX</v>
      </c>
      <c r="I7270" t="str">
        <f>VLOOKUP(record[[#This Row],[ProcessSN]],表格2_7[],3,FALSE)</f>
        <v>#05</v>
      </c>
      <c r="J7270" t="s">
        <v>588</v>
      </c>
      <c r="K7270" s="195">
        <v>45944.420173611114</v>
      </c>
      <c r="L7270">
        <v>7</v>
      </c>
      <c r="M7270">
        <v>0</v>
      </c>
      <c r="N7270" s="98" t="str">
        <f>IF(record[[#This Row],[Memo]]="Browser:chrome os:android","平板報工",IF(record[[#This Row],[Memo]]=0,"委外",record[[#This Row],[Memo]]))</f>
        <v>覆回品</v>
      </c>
      <c r="O7270" t="s">
        <v>664</v>
      </c>
      <c r="P7270" t="s">
        <v>141</v>
      </c>
      <c r="Q7270" t="s">
        <v>58</v>
      </c>
      <c r="R7270" t="str">
        <f>IFERROR(VLOOKUP(record[[#This Row],[PCUSTID]],廠商[],2,FALSE),"")</f>
        <v/>
      </c>
      <c r="S7270" t="str">
        <f>VLOOKUP(record[[#This Row],[employeeID]],員工[],2,FALSE)</f>
        <v>蔣梅</v>
      </c>
    </row>
    <row r="7271" spans="6:19" hidden="1" x14ac:dyDescent="0.25">
      <c r="F7271" t="s">
        <v>1025</v>
      </c>
      <c r="G7271" t="s">
        <v>448</v>
      </c>
      <c r="H7271" t="str">
        <f>VLOOKUP(record[[#This Row],[ProcessSN]],表格2_7[],2,FALSE)</f>
        <v>30-4118-018-6XX</v>
      </c>
      <c r="I7271" t="str">
        <f>VLOOKUP(record[[#This Row],[ProcessSN]],表格2_7[],3,FALSE)</f>
        <v>#04</v>
      </c>
      <c r="J7271" t="s">
        <v>588</v>
      </c>
      <c r="K7271" s="195">
        <v>45944.419988425929</v>
      </c>
      <c r="L7271">
        <v>7</v>
      </c>
      <c r="M7271">
        <v>0</v>
      </c>
      <c r="N7271" s="98" t="str">
        <f>IF(record[[#This Row],[Memo]]="Browser:chrome os:android","平板報工",IF(record[[#This Row],[Memo]]=0,"委外",record[[#This Row],[Memo]]))</f>
        <v>覆回品</v>
      </c>
      <c r="O7271" t="s">
        <v>664</v>
      </c>
      <c r="P7271" t="s">
        <v>141</v>
      </c>
      <c r="Q7271" t="s">
        <v>58</v>
      </c>
      <c r="R7271" t="str">
        <f>IFERROR(VLOOKUP(record[[#This Row],[PCUSTID]],廠商[],2,FALSE),"")</f>
        <v/>
      </c>
      <c r="S7271" t="str">
        <f>VLOOKUP(record[[#This Row],[employeeID]],員工[],2,FALSE)</f>
        <v>蔣梅</v>
      </c>
    </row>
    <row r="7272" spans="6:19" hidden="1" x14ac:dyDescent="0.25">
      <c r="F7272" t="s">
        <v>1025</v>
      </c>
      <c r="G7272" t="s">
        <v>447</v>
      </c>
      <c r="H7272" t="str">
        <f>VLOOKUP(record[[#This Row],[ProcessSN]],表格2_7[],2,FALSE)</f>
        <v>30-4118-018-6XX</v>
      </c>
      <c r="I7272" t="str">
        <f>VLOOKUP(record[[#This Row],[ProcessSN]],表格2_7[],3,FALSE)</f>
        <v>#03</v>
      </c>
      <c r="J7272" t="s">
        <v>588</v>
      </c>
      <c r="K7272" s="195">
        <v>45944.419618055559</v>
      </c>
      <c r="L7272">
        <v>7</v>
      </c>
      <c r="M7272">
        <v>0</v>
      </c>
      <c r="N7272" s="98" t="str">
        <f>IF(record[[#This Row],[Memo]]="Browser:chrome os:android","平板報工",IF(record[[#This Row],[Memo]]=0,"委外",record[[#This Row],[Memo]]))</f>
        <v>覆回品</v>
      </c>
      <c r="O7272" t="s">
        <v>664</v>
      </c>
      <c r="P7272" t="s">
        <v>141</v>
      </c>
      <c r="Q7272" t="s">
        <v>58</v>
      </c>
      <c r="R7272" t="str">
        <f>IFERROR(VLOOKUP(record[[#This Row],[PCUSTID]],廠商[],2,FALSE),"")</f>
        <v/>
      </c>
      <c r="S7272" t="str">
        <f>VLOOKUP(record[[#This Row],[employeeID]],員工[],2,FALSE)</f>
        <v>蔣梅</v>
      </c>
    </row>
    <row r="7273" spans="6:19" hidden="1" x14ac:dyDescent="0.25">
      <c r="F7273" t="s">
        <v>1111</v>
      </c>
      <c r="G7273" t="s">
        <v>422</v>
      </c>
      <c r="H7273" t="str">
        <f>VLOOKUP(record[[#This Row],[ProcessSN]],表格2_7[],2,FALSE)</f>
        <v>30-4118-018-600</v>
      </c>
      <c r="I7273" t="str">
        <f>VLOOKUP(record[[#This Row],[ProcessSN]],表格2_7[],3,FALSE)</f>
        <v>#08</v>
      </c>
      <c r="J7273" t="s">
        <v>597</v>
      </c>
      <c r="K7273" s="195">
        <v>45944.406921296293</v>
      </c>
      <c r="L7273">
        <v>52</v>
      </c>
      <c r="M7273">
        <v>0</v>
      </c>
      <c r="N7273" s="98" t="str">
        <f>IF(record[[#This Row],[Memo]]="Browser:chrome os:android","平板報工",IF(record[[#This Row],[Memo]]=0,"委外",record[[#This Row],[Memo]]))</f>
        <v>委外</v>
      </c>
      <c r="P7273" t="s">
        <v>186</v>
      </c>
      <c r="Q7273" t="s">
        <v>287</v>
      </c>
      <c r="R7273" t="str">
        <f>IFERROR(VLOOKUP(record[[#This Row],[PCUSTID]],廠商[],2,FALSE),"")</f>
        <v>泉盛</v>
      </c>
      <c r="S7273" t="str">
        <f>VLOOKUP(record[[#This Row],[employeeID]],員工[],2,FALSE)</f>
        <v>許文姍</v>
      </c>
    </row>
    <row r="7274" spans="6:19" hidden="1" x14ac:dyDescent="0.25">
      <c r="F7274" t="s">
        <v>1111</v>
      </c>
      <c r="G7274" t="s">
        <v>421</v>
      </c>
      <c r="H7274" t="str">
        <f>VLOOKUP(record[[#This Row],[ProcessSN]],表格2_7[],2,FALSE)</f>
        <v>30-4118-018-600</v>
      </c>
      <c r="I7274" t="str">
        <f>VLOOKUP(record[[#This Row],[ProcessSN]],表格2_7[],3,FALSE)</f>
        <v>#08PICK</v>
      </c>
      <c r="J7274" t="s">
        <v>582</v>
      </c>
      <c r="K7274" s="195">
        <v>45944.406469907408</v>
      </c>
      <c r="L7274">
        <v>52</v>
      </c>
      <c r="M7274">
        <v>0</v>
      </c>
      <c r="N7274" s="98" t="str">
        <f>IF(record[[#This Row],[Memo]]="Browser:chrome os:android","平板報工",IF(record[[#This Row],[Memo]]=0,"委外",record[[#This Row],[Memo]]))</f>
        <v/>
      </c>
      <c r="O7274" t="s">
        <v>58</v>
      </c>
      <c r="P7274" t="s">
        <v>196</v>
      </c>
      <c r="Q7274" t="s">
        <v>58</v>
      </c>
      <c r="R7274" t="str">
        <f>IFERROR(VLOOKUP(record[[#This Row],[PCUSTID]],廠商[],2,FALSE),"")</f>
        <v/>
      </c>
      <c r="S7274" t="str">
        <f>VLOOKUP(record[[#This Row],[employeeID]],員工[],2,FALSE)</f>
        <v>張淑惠</v>
      </c>
    </row>
    <row r="7275" spans="6:19" hidden="1" x14ac:dyDescent="0.25">
      <c r="F7275" t="s">
        <v>1107</v>
      </c>
      <c r="G7275" t="s">
        <v>422</v>
      </c>
      <c r="H7275" t="str">
        <f>VLOOKUP(record[[#This Row],[ProcessSN]],表格2_7[],2,FALSE)</f>
        <v>30-4118-018-600</v>
      </c>
      <c r="I7275" t="str">
        <f>VLOOKUP(record[[#This Row],[ProcessSN]],表格2_7[],3,FALSE)</f>
        <v>#08</v>
      </c>
      <c r="J7275" t="s">
        <v>597</v>
      </c>
      <c r="K7275" s="195">
        <v>45944.402743055558</v>
      </c>
      <c r="L7275">
        <v>147</v>
      </c>
      <c r="M7275">
        <v>0</v>
      </c>
      <c r="N7275" s="98" t="str">
        <f>IF(record[[#This Row],[Memo]]="Browser:chrome os:android","平板報工",IF(record[[#This Row],[Memo]]=0,"委外",record[[#This Row],[Memo]]))</f>
        <v>委外</v>
      </c>
      <c r="P7275" t="s">
        <v>186</v>
      </c>
      <c r="Q7275" t="s">
        <v>287</v>
      </c>
      <c r="R7275" t="str">
        <f>IFERROR(VLOOKUP(record[[#This Row],[PCUSTID]],廠商[],2,FALSE),"")</f>
        <v>泉盛</v>
      </c>
      <c r="S7275" t="str">
        <f>VLOOKUP(record[[#This Row],[employeeID]],員工[],2,FALSE)</f>
        <v>許文姍</v>
      </c>
    </row>
    <row r="7276" spans="6:19" hidden="1" x14ac:dyDescent="0.25">
      <c r="F7276" t="s">
        <v>1099</v>
      </c>
      <c r="G7276" t="s">
        <v>453</v>
      </c>
      <c r="H7276" t="str">
        <f>VLOOKUP(record[[#This Row],[ProcessSN]],表格2_7[],2,FALSE)</f>
        <v>30-4118-018-6XX</v>
      </c>
      <c r="I7276" t="str">
        <f>VLOOKUP(record[[#This Row],[ProcessSN]],表格2_7[],3,FALSE)</f>
        <v>#07STOCK</v>
      </c>
      <c r="J7276" t="s">
        <v>592</v>
      </c>
      <c r="K7276" s="195">
        <v>45944.399201388886</v>
      </c>
      <c r="L7276">
        <v>124</v>
      </c>
      <c r="M7276">
        <v>0</v>
      </c>
      <c r="N7276" s="98" t="str">
        <f>IF(record[[#This Row],[Memo]]="Browser:chrome os:android","平板報工",IF(record[[#This Row],[Memo]]=0,"委外",record[[#This Row],[Memo]]))</f>
        <v/>
      </c>
      <c r="O7276" t="s">
        <v>58</v>
      </c>
      <c r="P7276" t="s">
        <v>196</v>
      </c>
      <c r="Q7276" t="s">
        <v>58</v>
      </c>
      <c r="R7276" t="str">
        <f>IFERROR(VLOOKUP(record[[#This Row],[PCUSTID]],廠商[],2,FALSE),"")</f>
        <v/>
      </c>
      <c r="S7276" t="str">
        <f>VLOOKUP(record[[#This Row],[employeeID]],員工[],2,FALSE)</f>
        <v>張淑惠</v>
      </c>
    </row>
    <row r="7277" spans="6:19" hidden="1" x14ac:dyDescent="0.25">
      <c r="F7277" t="s">
        <v>1107</v>
      </c>
      <c r="G7277" t="s">
        <v>421</v>
      </c>
      <c r="H7277" t="str">
        <f>VLOOKUP(record[[#This Row],[ProcessSN]],表格2_7[],2,FALSE)</f>
        <v>30-4118-018-600</v>
      </c>
      <c r="I7277" t="str">
        <f>VLOOKUP(record[[#This Row],[ProcessSN]],表格2_7[],3,FALSE)</f>
        <v>#08PICK</v>
      </c>
      <c r="J7277" t="s">
        <v>582</v>
      </c>
      <c r="K7277" s="195">
        <v>45944.396145833336</v>
      </c>
      <c r="L7277">
        <v>147</v>
      </c>
      <c r="M7277">
        <v>0</v>
      </c>
      <c r="N7277" s="98" t="str">
        <f>IF(record[[#This Row],[Memo]]="Browser:chrome os:android","平板報工",IF(record[[#This Row],[Memo]]=0,"委外",record[[#This Row],[Memo]]))</f>
        <v/>
      </c>
      <c r="O7277" t="s">
        <v>58</v>
      </c>
      <c r="P7277" t="s">
        <v>196</v>
      </c>
      <c r="Q7277" t="s">
        <v>58</v>
      </c>
      <c r="R7277" t="str">
        <f>IFERROR(VLOOKUP(record[[#This Row],[PCUSTID]],廠商[],2,FALSE),"")</f>
        <v/>
      </c>
      <c r="S7277" t="str">
        <f>VLOOKUP(record[[#This Row],[employeeID]],員工[],2,FALSE)</f>
        <v>張淑惠</v>
      </c>
    </row>
    <row r="7278" spans="6:19" hidden="1" x14ac:dyDescent="0.25">
      <c r="F7278" t="s">
        <v>1099</v>
      </c>
      <c r="G7278" t="s">
        <v>452</v>
      </c>
      <c r="H7278" t="str">
        <f>VLOOKUP(record[[#This Row],[ProcessSN]],表格2_7[],2,FALSE)</f>
        <v>30-4118-018-6XX</v>
      </c>
      <c r="I7278" t="str">
        <f>VLOOKUP(record[[#This Row],[ProcessSN]],表格2_7[],3,FALSE)</f>
        <v>#07QC</v>
      </c>
      <c r="J7278" t="s">
        <v>589</v>
      </c>
      <c r="K7278" s="195">
        <v>45944.381678240738</v>
      </c>
      <c r="L7278">
        <v>124</v>
      </c>
      <c r="M7278">
        <v>0</v>
      </c>
      <c r="N7278" s="98" t="str">
        <f>IF(record[[#This Row],[Memo]]="Browser:chrome os:android","平板報工",IF(record[[#This Row],[Memo]]=0,"委外",record[[#This Row],[Memo]]))</f>
        <v/>
      </c>
      <c r="O7278" t="s">
        <v>58</v>
      </c>
      <c r="P7278" t="s">
        <v>141</v>
      </c>
      <c r="Q7278" t="s">
        <v>58</v>
      </c>
      <c r="R7278" t="str">
        <f>IFERROR(VLOOKUP(record[[#This Row],[PCUSTID]],廠商[],2,FALSE),"")</f>
        <v/>
      </c>
      <c r="S7278" t="str">
        <f>VLOOKUP(record[[#This Row],[employeeID]],員工[],2,FALSE)</f>
        <v>蔣梅</v>
      </c>
    </row>
    <row r="7279" spans="6:19" hidden="1" x14ac:dyDescent="0.25">
      <c r="F7279" t="s">
        <v>1099</v>
      </c>
      <c r="G7279" t="s">
        <v>450</v>
      </c>
      <c r="H7279" t="str">
        <f>VLOOKUP(record[[#This Row],[ProcessSN]],表格2_7[],2,FALSE)</f>
        <v>30-4118-018-6XX</v>
      </c>
      <c r="I7279" t="str">
        <f>VLOOKUP(record[[#This Row],[ProcessSN]],表格2_7[],3,FALSE)</f>
        <v>#06</v>
      </c>
      <c r="J7279" t="s">
        <v>593</v>
      </c>
      <c r="K7279" s="195">
        <v>45944.314363425925</v>
      </c>
      <c r="L7279">
        <v>118</v>
      </c>
      <c r="M7279">
        <v>0</v>
      </c>
      <c r="N7279" s="98" t="str">
        <f>IF(record[[#This Row],[Memo]]="Browser:chrome os:android","平板報工",IF(record[[#This Row],[Memo]]=0,"委外",record[[#This Row],[Memo]]))</f>
        <v/>
      </c>
      <c r="O7279" t="s">
        <v>58</v>
      </c>
      <c r="P7279" t="s">
        <v>135</v>
      </c>
      <c r="Q7279" t="s">
        <v>58</v>
      </c>
      <c r="R7279" t="str">
        <f>IFERROR(VLOOKUP(record[[#This Row],[PCUSTID]],廠商[],2,FALSE),"")</f>
        <v/>
      </c>
      <c r="S7279" t="str">
        <f>VLOOKUP(record[[#This Row],[employeeID]],員工[],2,FALSE)</f>
        <v>阮士文</v>
      </c>
    </row>
    <row r="7280" spans="6:19" hidden="1" x14ac:dyDescent="0.25">
      <c r="F7280" t="s">
        <v>1099</v>
      </c>
      <c r="G7280" t="s">
        <v>448</v>
      </c>
      <c r="H7280" t="str">
        <f>VLOOKUP(record[[#This Row],[ProcessSN]],表格2_7[],2,FALSE)</f>
        <v>30-4118-018-6XX</v>
      </c>
      <c r="I7280" t="str">
        <f>VLOOKUP(record[[#This Row],[ProcessSN]],表格2_7[],3,FALSE)</f>
        <v>#04</v>
      </c>
      <c r="J7280" t="s">
        <v>588</v>
      </c>
      <c r="K7280" s="195">
        <v>45944.313275462962</v>
      </c>
      <c r="L7280">
        <v>90</v>
      </c>
      <c r="M7280">
        <v>4</v>
      </c>
      <c r="N7280" s="98" t="str">
        <f>IF(record[[#This Row],[Memo]]="Browser:chrome os:android","平板報工",IF(record[[#This Row],[Memo]]=0,"委外",record[[#This Row],[Memo]]))</f>
        <v/>
      </c>
      <c r="O7280" t="s">
        <v>58</v>
      </c>
      <c r="P7280" t="s">
        <v>135</v>
      </c>
      <c r="Q7280" t="s">
        <v>58</v>
      </c>
      <c r="R7280" t="str">
        <f>IFERROR(VLOOKUP(record[[#This Row],[PCUSTID]],廠商[],2,FALSE),"")</f>
        <v/>
      </c>
      <c r="S7280" t="str">
        <f>VLOOKUP(record[[#This Row],[employeeID]],員工[],2,FALSE)</f>
        <v>阮士文</v>
      </c>
    </row>
    <row r="7281" spans="6:19" hidden="1" x14ac:dyDescent="0.25">
      <c r="F7281" t="s">
        <v>1099</v>
      </c>
      <c r="G7281" t="s">
        <v>448</v>
      </c>
      <c r="H7281" t="str">
        <f>VLOOKUP(record[[#This Row],[ProcessSN]],表格2_7[],2,FALSE)</f>
        <v>30-4118-018-6XX</v>
      </c>
      <c r="I7281" t="str">
        <f>VLOOKUP(record[[#This Row],[ProcessSN]],表格2_7[],3,FALSE)</f>
        <v>#04</v>
      </c>
      <c r="J7281" t="s">
        <v>588</v>
      </c>
      <c r="K7281" s="195">
        <v>45943.982442129629</v>
      </c>
      <c r="L7281">
        <v>125</v>
      </c>
      <c r="M7281">
        <v>2</v>
      </c>
      <c r="N7281" s="98" t="str">
        <f>IF(record[[#This Row],[Memo]]="Browser:chrome os:android","平板報工",IF(record[[#This Row],[Memo]]=0,"委外",record[[#This Row],[Memo]]))</f>
        <v/>
      </c>
      <c r="O7281" t="s">
        <v>58</v>
      </c>
      <c r="P7281" t="s">
        <v>89</v>
      </c>
      <c r="Q7281" t="s">
        <v>58</v>
      </c>
      <c r="R7281" t="str">
        <f>IFERROR(VLOOKUP(record[[#This Row],[PCUSTID]],廠商[],2,FALSE),"")</f>
        <v/>
      </c>
      <c r="S7281" t="str">
        <f>VLOOKUP(record[[#This Row],[employeeID]],員工[],2,FALSE)</f>
        <v>李美蓮</v>
      </c>
    </row>
    <row r="7282" spans="6:19" hidden="1" x14ac:dyDescent="0.25">
      <c r="F7282" t="s">
        <v>1099</v>
      </c>
      <c r="G7282" t="s">
        <v>450</v>
      </c>
      <c r="H7282" t="str">
        <f>VLOOKUP(record[[#This Row],[ProcessSN]],表格2_7[],2,FALSE)</f>
        <v>30-4118-018-6XX</v>
      </c>
      <c r="I7282" t="str">
        <f>VLOOKUP(record[[#This Row],[ProcessSN]],表格2_7[],3,FALSE)</f>
        <v>#06</v>
      </c>
      <c r="J7282" t="s">
        <v>593</v>
      </c>
      <c r="K7282" s="195">
        <v>45943.981504629628</v>
      </c>
      <c r="L7282">
        <v>125</v>
      </c>
      <c r="M7282">
        <v>3</v>
      </c>
      <c r="N7282" s="98" t="str">
        <f>IF(record[[#This Row],[Memo]]="Browser:chrome os:android","平板報工",IF(record[[#This Row],[Memo]]=0,"委外",record[[#This Row],[Memo]]))</f>
        <v/>
      </c>
      <c r="O7282" t="s">
        <v>58</v>
      </c>
      <c r="P7282" t="s">
        <v>115</v>
      </c>
      <c r="Q7282" t="s">
        <v>58</v>
      </c>
      <c r="R7282" t="str">
        <f>IFERROR(VLOOKUP(record[[#This Row],[PCUSTID]],廠商[],2,FALSE),"")</f>
        <v/>
      </c>
      <c r="S7282" t="str">
        <f>VLOOKUP(record[[#This Row],[employeeID]],員工[],2,FALSE)</f>
        <v>溫智淵</v>
      </c>
    </row>
    <row r="7283" spans="6:19" hidden="1" x14ac:dyDescent="0.25">
      <c r="F7283" t="s">
        <v>1099</v>
      </c>
      <c r="G7283" t="s">
        <v>450</v>
      </c>
      <c r="H7283" t="str">
        <f>VLOOKUP(record[[#This Row],[ProcessSN]],表格2_7[],2,FALSE)</f>
        <v>30-4118-018-6XX</v>
      </c>
      <c r="I7283" t="str">
        <f>VLOOKUP(record[[#This Row],[ProcessSN]],表格2_7[],3,FALSE)</f>
        <v>#06</v>
      </c>
      <c r="J7283" t="s">
        <v>593</v>
      </c>
      <c r="K7283" s="195">
        <v>45943.717835648145</v>
      </c>
      <c r="L7283">
        <v>0</v>
      </c>
      <c r="M7283">
        <v>1</v>
      </c>
      <c r="N7283" s="98" t="str">
        <f>IF(record[[#This Row],[Memo]]="Browser:chrome os:android","平板報工",IF(record[[#This Row],[Memo]]=0,"委外",record[[#This Row],[Memo]]))</f>
        <v/>
      </c>
      <c r="O7283" t="s">
        <v>58</v>
      </c>
      <c r="P7283" t="s">
        <v>101</v>
      </c>
      <c r="Q7283" t="s">
        <v>58</v>
      </c>
      <c r="R7283" t="str">
        <f>IFERROR(VLOOKUP(record[[#This Row],[PCUSTID]],廠商[],2,FALSE),"")</f>
        <v/>
      </c>
      <c r="S7283" t="str">
        <f>VLOOKUP(record[[#This Row],[employeeID]],員工[],2,FALSE)</f>
        <v>陳氏絨</v>
      </c>
    </row>
    <row r="7284" spans="6:19" hidden="1" x14ac:dyDescent="0.25">
      <c r="F7284" t="s">
        <v>1099</v>
      </c>
      <c r="G7284" t="s">
        <v>449</v>
      </c>
      <c r="H7284" t="str">
        <f>VLOOKUP(record[[#This Row],[ProcessSN]],表格2_7[],2,FALSE)</f>
        <v>30-4118-018-6XX</v>
      </c>
      <c r="I7284" t="str">
        <f>VLOOKUP(record[[#This Row],[ProcessSN]],表格2_7[],3,FALSE)</f>
        <v>#05</v>
      </c>
      <c r="J7284" t="s">
        <v>588</v>
      </c>
      <c r="K7284" s="195">
        <v>45943.657708333332</v>
      </c>
      <c r="L7284">
        <v>240</v>
      </c>
      <c r="M7284">
        <v>0</v>
      </c>
      <c r="N7284" s="98" t="str">
        <f>IF(record[[#This Row],[Memo]]="Browser:chrome os:android","平板報工",IF(record[[#This Row],[Memo]]=0,"委外",record[[#This Row],[Memo]]))</f>
        <v>平板報工</v>
      </c>
      <c r="O7284" t="s">
        <v>643</v>
      </c>
      <c r="P7284" t="s">
        <v>785</v>
      </c>
      <c r="Q7284" t="s">
        <v>644</v>
      </c>
      <c r="R7284" t="str">
        <f>IFERROR(VLOOKUP(record[[#This Row],[PCUSTID]],廠商[],2,FALSE),"")</f>
        <v/>
      </c>
      <c r="S7284" t="str">
        <f>VLOOKUP(record[[#This Row],[employeeID]],員工[],2,FALSE)</f>
        <v>謝刻光</v>
      </c>
    </row>
    <row r="7285" spans="6:19" hidden="1" x14ac:dyDescent="0.25">
      <c r="F7285" t="s">
        <v>1099</v>
      </c>
      <c r="G7285" t="s">
        <v>448</v>
      </c>
      <c r="H7285" t="str">
        <f>VLOOKUP(record[[#This Row],[ProcessSN]],表格2_7[],2,FALSE)</f>
        <v>30-4118-018-6XX</v>
      </c>
      <c r="I7285" t="str">
        <f>VLOOKUP(record[[#This Row],[ProcessSN]],表格2_7[],3,FALSE)</f>
        <v>#04</v>
      </c>
      <c r="J7285" t="s">
        <v>588</v>
      </c>
      <c r="K7285" s="195">
        <v>45943.657488425924</v>
      </c>
      <c r="L7285">
        <v>118</v>
      </c>
      <c r="M7285">
        <v>1</v>
      </c>
      <c r="N7285" s="98" t="str">
        <f>IF(record[[#This Row],[Memo]]="Browser:chrome os:android","平板報工",IF(record[[#This Row],[Memo]]=0,"委外",record[[#This Row],[Memo]]))</f>
        <v>平板報工</v>
      </c>
      <c r="O7285" t="s">
        <v>643</v>
      </c>
      <c r="P7285" t="s">
        <v>785</v>
      </c>
      <c r="Q7285" t="s">
        <v>644</v>
      </c>
      <c r="R7285" t="str">
        <f>IFERROR(VLOOKUP(record[[#This Row],[PCUSTID]],廠商[],2,FALSE),"")</f>
        <v/>
      </c>
      <c r="S7285" t="str">
        <f>VLOOKUP(record[[#This Row],[employeeID]],員工[],2,FALSE)</f>
        <v>謝刻光</v>
      </c>
    </row>
    <row r="7286" spans="6:19" hidden="1" x14ac:dyDescent="0.25">
      <c r="F7286" t="s">
        <v>1043</v>
      </c>
      <c r="G7286" t="s">
        <v>465</v>
      </c>
      <c r="H7286" t="str">
        <f>VLOOKUP(record[[#This Row],[ProcessSN]],表格2_7[],2,FALSE)</f>
        <v>30-4118-018-XXX</v>
      </c>
      <c r="I7286" t="str">
        <f>VLOOKUP(record[[#This Row],[ProcessSN]],表格2_7[],3,FALSE)</f>
        <v>#01-1</v>
      </c>
      <c r="J7286" t="s">
        <v>588</v>
      </c>
      <c r="K7286" s="195">
        <v>45943.656006944446</v>
      </c>
      <c r="L7286">
        <v>878</v>
      </c>
      <c r="M7286">
        <v>0</v>
      </c>
      <c r="N7286" s="98" t="str">
        <f>IF(record[[#This Row],[Memo]]="Browser:chrome os:android","平板報工",IF(record[[#This Row],[Memo]]=0,"委外",record[[#This Row],[Memo]]))</f>
        <v>平板報工</v>
      </c>
      <c r="O7286" t="s">
        <v>643</v>
      </c>
      <c r="P7286" t="s">
        <v>1098</v>
      </c>
      <c r="Q7286" t="s">
        <v>644</v>
      </c>
      <c r="R7286" t="str">
        <f>IFERROR(VLOOKUP(record[[#This Row],[PCUSTID]],廠商[],2,FALSE),"")</f>
        <v/>
      </c>
      <c r="S7286" t="str">
        <f>VLOOKUP(record[[#This Row],[employeeID]],員工[],2,FALSE)</f>
        <v>阮氏芳英(英)</v>
      </c>
    </row>
    <row r="7287" spans="6:19" hidden="1" x14ac:dyDescent="0.25">
      <c r="F7287" t="s">
        <v>1081</v>
      </c>
      <c r="G7287" t="s">
        <v>428</v>
      </c>
      <c r="H7287" t="str">
        <f>VLOOKUP(record[[#This Row],[ProcessSN]],表格2_7[],2,FALSE)</f>
        <v>30-4118-018-600</v>
      </c>
      <c r="I7287" t="str">
        <f>VLOOKUP(record[[#This Row],[ProcessSN]],表格2_7[],3,FALSE)</f>
        <v>#100SHIP</v>
      </c>
      <c r="J7287" t="s">
        <v>600</v>
      </c>
      <c r="K7287" s="195">
        <v>45943.545914351853</v>
      </c>
      <c r="L7287">
        <v>180</v>
      </c>
      <c r="M7287">
        <v>0</v>
      </c>
      <c r="N7287" s="98" t="str">
        <f>IF(record[[#This Row],[Memo]]="Browser:chrome os:android","平板報工",IF(record[[#This Row],[Memo]]=0,"委外",record[[#This Row],[Memo]]))</f>
        <v/>
      </c>
      <c r="O7287" t="s">
        <v>58</v>
      </c>
      <c r="P7287" t="s">
        <v>886</v>
      </c>
      <c r="Q7287" t="s">
        <v>58</v>
      </c>
      <c r="R7287" t="str">
        <f>IFERROR(VLOOKUP(record[[#This Row],[PCUSTID]],廠商[],2,FALSE),"")</f>
        <v/>
      </c>
      <c r="S7287" t="str">
        <f>VLOOKUP(record[[#This Row],[employeeID]],員工[],2,FALSE)</f>
        <v>謝蓁薰</v>
      </c>
    </row>
    <row r="7288" spans="6:19" hidden="1" x14ac:dyDescent="0.25">
      <c r="F7288" t="s">
        <v>1052</v>
      </c>
      <c r="G7288" t="s">
        <v>403</v>
      </c>
      <c r="H7288" t="str">
        <f>VLOOKUP(record[[#This Row],[ProcessSN]],表格2_7[],2,FALSE)</f>
        <v>30-4118-018-550</v>
      </c>
      <c r="I7288" t="str">
        <f>VLOOKUP(record[[#This Row],[ProcessSN]],表格2_7[],3,FALSE)</f>
        <v>#100SHIP</v>
      </c>
      <c r="J7288" t="s">
        <v>600</v>
      </c>
      <c r="K7288" s="195">
        <v>45943.545729166668</v>
      </c>
      <c r="L7288">
        <v>54</v>
      </c>
      <c r="M7288">
        <v>0</v>
      </c>
      <c r="N7288" s="98" t="str">
        <f>IF(record[[#This Row],[Memo]]="Browser:chrome os:android","平板報工",IF(record[[#This Row],[Memo]]=0,"委外",record[[#This Row],[Memo]]))</f>
        <v/>
      </c>
      <c r="O7288" t="s">
        <v>58</v>
      </c>
      <c r="P7288" t="s">
        <v>886</v>
      </c>
      <c r="Q7288" t="s">
        <v>58</v>
      </c>
      <c r="R7288" t="str">
        <f>IFERROR(VLOOKUP(record[[#This Row],[PCUSTID]],廠商[],2,FALSE),"")</f>
        <v/>
      </c>
      <c r="S7288" t="str">
        <f>VLOOKUP(record[[#This Row],[employeeID]],員工[],2,FALSE)</f>
        <v>謝蓁薰</v>
      </c>
    </row>
    <row r="7289" spans="6:19" hidden="1" x14ac:dyDescent="0.25">
      <c r="F7289" t="s">
        <v>1048</v>
      </c>
      <c r="G7289" t="s">
        <v>403</v>
      </c>
      <c r="H7289" t="str">
        <f>VLOOKUP(record[[#This Row],[ProcessSN]],表格2_7[],2,FALSE)</f>
        <v>30-4118-018-550</v>
      </c>
      <c r="I7289" t="str">
        <f>VLOOKUP(record[[#This Row],[ProcessSN]],表格2_7[],3,FALSE)</f>
        <v>#100SHIP</v>
      </c>
      <c r="J7289" t="s">
        <v>600</v>
      </c>
      <c r="K7289" s="195">
        <v>45943.54550925926</v>
      </c>
      <c r="L7289">
        <v>257</v>
      </c>
      <c r="M7289">
        <v>0</v>
      </c>
      <c r="N7289" s="98" t="str">
        <f>IF(record[[#This Row],[Memo]]="Browser:chrome os:android","平板報工",IF(record[[#This Row],[Memo]]=0,"委外",record[[#This Row],[Memo]]))</f>
        <v/>
      </c>
      <c r="O7289" t="s">
        <v>58</v>
      </c>
      <c r="P7289" t="s">
        <v>886</v>
      </c>
      <c r="Q7289" t="s">
        <v>58</v>
      </c>
      <c r="R7289" t="str">
        <f>IFERROR(VLOOKUP(record[[#This Row],[PCUSTID]],廠商[],2,FALSE),"")</f>
        <v/>
      </c>
      <c r="S7289" t="str">
        <f>VLOOKUP(record[[#This Row],[employeeID]],員工[],2,FALSE)</f>
        <v>謝蓁薰</v>
      </c>
    </row>
    <row r="7290" spans="6:19" hidden="1" x14ac:dyDescent="0.25">
      <c r="F7290" t="s">
        <v>1099</v>
      </c>
      <c r="G7290" t="s">
        <v>448</v>
      </c>
      <c r="H7290" t="str">
        <f>VLOOKUP(record[[#This Row],[ProcessSN]],表格2_7[],2,FALSE)</f>
        <v>30-4118-018-6XX</v>
      </c>
      <c r="I7290" t="str">
        <f>VLOOKUP(record[[#This Row],[ProcessSN]],表格2_7[],3,FALSE)</f>
        <v>#04</v>
      </c>
      <c r="J7290" t="s">
        <v>588</v>
      </c>
      <c r="K7290" s="195">
        <v>45941.311273148145</v>
      </c>
      <c r="L7290">
        <v>122</v>
      </c>
      <c r="M7290">
        <v>0</v>
      </c>
      <c r="N7290" s="98" t="str">
        <f>IF(record[[#This Row],[Memo]]="Browser:chrome os:android","平板報工",IF(record[[#This Row],[Memo]]=0,"委外",record[[#This Row],[Memo]]))</f>
        <v/>
      </c>
      <c r="O7290" t="s">
        <v>58</v>
      </c>
      <c r="P7290" t="s">
        <v>135</v>
      </c>
      <c r="Q7290" t="s">
        <v>58</v>
      </c>
      <c r="R7290" t="str">
        <f>IFERROR(VLOOKUP(record[[#This Row],[PCUSTID]],廠商[],2,FALSE),"")</f>
        <v/>
      </c>
      <c r="S7290" t="str">
        <f>VLOOKUP(record[[#This Row],[employeeID]],員工[],2,FALSE)</f>
        <v>阮士文</v>
      </c>
    </row>
    <row r="7291" spans="6:19" hidden="1" x14ac:dyDescent="0.25">
      <c r="F7291" t="s">
        <v>1099</v>
      </c>
      <c r="G7291" t="s">
        <v>448</v>
      </c>
      <c r="H7291" t="str">
        <f>VLOOKUP(record[[#This Row],[ProcessSN]],表格2_7[],2,FALSE)</f>
        <v>30-4118-018-6XX</v>
      </c>
      <c r="I7291" t="str">
        <f>VLOOKUP(record[[#This Row],[ProcessSN]],表格2_7[],3,FALSE)</f>
        <v>#04</v>
      </c>
      <c r="J7291" t="s">
        <v>588</v>
      </c>
      <c r="K7291" s="195">
        <v>45940.96565972222</v>
      </c>
      <c r="L7291">
        <v>130</v>
      </c>
      <c r="M7291">
        <v>0</v>
      </c>
      <c r="N7291" s="98" t="str">
        <f>IF(record[[#This Row],[Memo]]="Browser:chrome os:android","平板報工",IF(record[[#This Row],[Memo]]=0,"委外",record[[#This Row],[Memo]]))</f>
        <v/>
      </c>
      <c r="O7291" t="s">
        <v>58</v>
      </c>
      <c r="P7291" t="s">
        <v>89</v>
      </c>
      <c r="Q7291" t="s">
        <v>58</v>
      </c>
      <c r="R7291" t="str">
        <f>IFERROR(VLOOKUP(record[[#This Row],[PCUSTID]],廠商[],2,FALSE),"")</f>
        <v/>
      </c>
      <c r="S7291" t="str">
        <f>VLOOKUP(record[[#This Row],[employeeID]],員工[],2,FALSE)</f>
        <v>李美蓮</v>
      </c>
    </row>
    <row r="7292" spans="6:19" hidden="1" x14ac:dyDescent="0.25">
      <c r="F7292" t="s">
        <v>1043</v>
      </c>
      <c r="G7292" t="s">
        <v>465</v>
      </c>
      <c r="H7292" t="str">
        <f>VLOOKUP(record[[#This Row],[ProcessSN]],表格2_7[],2,FALSE)</f>
        <v>30-4118-018-XXX</v>
      </c>
      <c r="I7292" t="str">
        <f>VLOOKUP(record[[#This Row],[ProcessSN]],表格2_7[],3,FALSE)</f>
        <v>#01-1</v>
      </c>
      <c r="J7292" t="s">
        <v>588</v>
      </c>
      <c r="K7292" s="195">
        <v>45940.965289351851</v>
      </c>
      <c r="L7292">
        <v>934</v>
      </c>
      <c r="M7292">
        <v>0</v>
      </c>
      <c r="N7292" s="98" t="str">
        <f>IF(record[[#This Row],[Memo]]="Browser:chrome os:android","平板報工",IF(record[[#This Row],[Memo]]=0,"委外",record[[#This Row],[Memo]]))</f>
        <v/>
      </c>
      <c r="O7292" t="s">
        <v>58</v>
      </c>
      <c r="P7292" t="s">
        <v>89</v>
      </c>
      <c r="Q7292" t="s">
        <v>58</v>
      </c>
      <c r="R7292" t="str">
        <f>IFERROR(VLOOKUP(record[[#This Row],[PCUSTID]],廠商[],2,FALSE),"")</f>
        <v/>
      </c>
      <c r="S7292" t="str">
        <f>VLOOKUP(record[[#This Row],[employeeID]],員工[],2,FALSE)</f>
        <v>李美蓮</v>
      </c>
    </row>
    <row r="7293" spans="6:19" hidden="1" x14ac:dyDescent="0.25">
      <c r="F7293" t="s">
        <v>1023</v>
      </c>
      <c r="G7293" t="s">
        <v>376</v>
      </c>
      <c r="H7293" t="str">
        <f>VLOOKUP(record[[#This Row],[ProcessSN]],表格2_7[],2,FALSE)</f>
        <v>30-4118-018-4XX</v>
      </c>
      <c r="I7293" t="str">
        <f>VLOOKUP(record[[#This Row],[ProcessSN]],表格2_7[],3,FALSE)</f>
        <v>#06</v>
      </c>
      <c r="J7293" t="s">
        <v>593</v>
      </c>
      <c r="K7293" s="195">
        <v>45940.705289351848</v>
      </c>
      <c r="L7293">
        <v>124</v>
      </c>
      <c r="M7293">
        <v>0</v>
      </c>
      <c r="N7293" s="98" t="str">
        <f>IF(record[[#This Row],[Memo]]="Browser:chrome os:android","平板報工",IF(record[[#This Row],[Memo]]=0,"委外",record[[#This Row],[Memo]]))</f>
        <v>覆回10/10*3pcs</v>
      </c>
      <c r="O7293" t="s">
        <v>1105</v>
      </c>
      <c r="P7293" t="s">
        <v>101</v>
      </c>
      <c r="Q7293" t="s">
        <v>58</v>
      </c>
      <c r="R7293" t="str">
        <f>IFERROR(VLOOKUP(record[[#This Row],[PCUSTID]],廠商[],2,FALSE),"")</f>
        <v/>
      </c>
      <c r="S7293" t="str">
        <f>VLOOKUP(record[[#This Row],[employeeID]],員工[],2,FALSE)</f>
        <v>陳氏絨</v>
      </c>
    </row>
    <row r="7294" spans="6:19" hidden="1" x14ac:dyDescent="0.25">
      <c r="F7294" t="s">
        <v>1043</v>
      </c>
      <c r="G7294" t="s">
        <v>465</v>
      </c>
      <c r="H7294" t="str">
        <f>VLOOKUP(record[[#This Row],[ProcessSN]],表格2_7[],2,FALSE)</f>
        <v>30-4118-018-XXX</v>
      </c>
      <c r="I7294" t="str">
        <f>VLOOKUP(record[[#This Row],[ProcessSN]],表格2_7[],3,FALSE)</f>
        <v>#01-1</v>
      </c>
      <c r="J7294" t="s">
        <v>588</v>
      </c>
      <c r="K7294" s="195">
        <v>45940.644155092596</v>
      </c>
      <c r="L7294">
        <v>816</v>
      </c>
      <c r="M7294">
        <v>0</v>
      </c>
      <c r="N7294" s="98" t="str">
        <f>IF(record[[#This Row],[Memo]]="Browser:chrome os:android","平板報工",IF(record[[#This Row],[Memo]]=0,"委外",record[[#This Row],[Memo]]))</f>
        <v>平板報工</v>
      </c>
      <c r="O7294" t="s">
        <v>643</v>
      </c>
      <c r="P7294" t="s">
        <v>1098</v>
      </c>
      <c r="Q7294" t="s">
        <v>644</v>
      </c>
      <c r="R7294" t="str">
        <f>IFERROR(VLOOKUP(record[[#This Row],[PCUSTID]],廠商[],2,FALSE),"")</f>
        <v/>
      </c>
      <c r="S7294" t="str">
        <f>VLOOKUP(record[[#This Row],[employeeID]],員工[],2,FALSE)</f>
        <v>阮氏芳英(英)</v>
      </c>
    </row>
    <row r="7295" spans="6:19" hidden="1" x14ac:dyDescent="0.25">
      <c r="F7295" t="s">
        <v>1099</v>
      </c>
      <c r="G7295" t="s">
        <v>448</v>
      </c>
      <c r="H7295" t="str">
        <f>VLOOKUP(record[[#This Row],[ProcessSN]],表格2_7[],2,FALSE)</f>
        <v>30-4118-018-6XX</v>
      </c>
      <c r="I7295" t="str">
        <f>VLOOKUP(record[[#This Row],[ProcessSN]],表格2_7[],3,FALSE)</f>
        <v>#04</v>
      </c>
      <c r="J7295" t="s">
        <v>588</v>
      </c>
      <c r="K7295" s="195">
        <v>45940.63548611111</v>
      </c>
      <c r="L7295">
        <v>124</v>
      </c>
      <c r="M7295">
        <v>0</v>
      </c>
      <c r="N7295" s="98" t="str">
        <f>IF(record[[#This Row],[Memo]]="Browser:chrome os:android","平板報工",IF(record[[#This Row],[Memo]]=0,"委外",record[[#This Row],[Memo]]))</f>
        <v>平板報工</v>
      </c>
      <c r="O7295" t="s">
        <v>643</v>
      </c>
      <c r="P7295" t="s">
        <v>785</v>
      </c>
      <c r="Q7295" t="s">
        <v>644</v>
      </c>
      <c r="R7295" t="str">
        <f>IFERROR(VLOOKUP(record[[#This Row],[PCUSTID]],廠商[],2,FALSE),"")</f>
        <v/>
      </c>
      <c r="S7295" t="str">
        <f>VLOOKUP(record[[#This Row],[employeeID]],員工[],2,FALSE)</f>
        <v>謝刻光</v>
      </c>
    </row>
    <row r="7296" spans="6:19" hidden="1" x14ac:dyDescent="0.25">
      <c r="F7296" t="s">
        <v>1099</v>
      </c>
      <c r="G7296" t="s">
        <v>449</v>
      </c>
      <c r="H7296" t="str">
        <f>VLOOKUP(record[[#This Row],[ProcessSN]],表格2_7[],2,FALSE)</f>
        <v>30-4118-018-6XX</v>
      </c>
      <c r="I7296" t="str">
        <f>VLOOKUP(record[[#This Row],[ProcessSN]],表格2_7[],3,FALSE)</f>
        <v>#05</v>
      </c>
      <c r="J7296" t="s">
        <v>588</v>
      </c>
      <c r="K7296" s="195">
        <v>45940.635185185187</v>
      </c>
      <c r="L7296">
        <v>167</v>
      </c>
      <c r="M7296">
        <v>0</v>
      </c>
      <c r="N7296" s="98" t="str">
        <f>IF(record[[#This Row],[Memo]]="Browser:chrome os:android","平板報工",IF(record[[#This Row],[Memo]]=0,"委外",record[[#This Row],[Memo]]))</f>
        <v>平板報工</v>
      </c>
      <c r="O7296" t="s">
        <v>643</v>
      </c>
      <c r="P7296" t="s">
        <v>785</v>
      </c>
      <c r="Q7296" t="s">
        <v>644</v>
      </c>
      <c r="R7296" t="str">
        <f>IFERROR(VLOOKUP(record[[#This Row],[PCUSTID]],廠商[],2,FALSE),"")</f>
        <v/>
      </c>
      <c r="S7296" t="str">
        <f>VLOOKUP(record[[#This Row],[employeeID]],員工[],2,FALSE)</f>
        <v>謝刻光</v>
      </c>
    </row>
    <row r="7297" spans="6:19" hidden="1" x14ac:dyDescent="0.25">
      <c r="F7297" t="s">
        <v>1099</v>
      </c>
      <c r="G7297" t="s">
        <v>448</v>
      </c>
      <c r="H7297" t="str">
        <f>VLOOKUP(record[[#This Row],[ProcessSN]],表格2_7[],2,FALSE)</f>
        <v>30-4118-018-6XX</v>
      </c>
      <c r="I7297" t="str">
        <f>VLOOKUP(record[[#This Row],[ProcessSN]],表格2_7[],3,FALSE)</f>
        <v>#04</v>
      </c>
      <c r="J7297" t="s">
        <v>588</v>
      </c>
      <c r="K7297" s="195">
        <v>45940.325312499997</v>
      </c>
      <c r="L7297">
        <v>125</v>
      </c>
      <c r="M7297">
        <v>0</v>
      </c>
      <c r="N7297" s="98" t="str">
        <f>IF(record[[#This Row],[Memo]]="Browser:chrome os:android","平板報工",IF(record[[#This Row],[Memo]]=0,"委外",record[[#This Row],[Memo]]))</f>
        <v/>
      </c>
      <c r="O7297" t="s">
        <v>58</v>
      </c>
      <c r="P7297" t="s">
        <v>135</v>
      </c>
      <c r="Q7297" t="s">
        <v>58</v>
      </c>
      <c r="R7297" t="str">
        <f>IFERROR(VLOOKUP(record[[#This Row],[PCUSTID]],廠商[],2,FALSE),"")</f>
        <v/>
      </c>
      <c r="S7297" t="str">
        <f>VLOOKUP(record[[#This Row],[employeeID]],員工[],2,FALSE)</f>
        <v>阮士文</v>
      </c>
    </row>
    <row r="7298" spans="6:19" hidden="1" x14ac:dyDescent="0.25">
      <c r="F7298" t="s">
        <v>1043</v>
      </c>
      <c r="G7298" t="s">
        <v>465</v>
      </c>
      <c r="H7298" t="str">
        <f>VLOOKUP(record[[#This Row],[ProcessSN]],表格2_7[],2,FALSE)</f>
        <v>30-4118-018-XXX</v>
      </c>
      <c r="I7298" t="str">
        <f>VLOOKUP(record[[#This Row],[ProcessSN]],表格2_7[],3,FALSE)</f>
        <v>#01-1</v>
      </c>
      <c r="J7298" t="s">
        <v>588</v>
      </c>
      <c r="K7298" s="195">
        <v>45940.324606481481</v>
      </c>
      <c r="L7298">
        <v>912</v>
      </c>
      <c r="M7298">
        <v>0</v>
      </c>
      <c r="N7298" s="98" t="str">
        <f>IF(record[[#This Row],[Memo]]="Browser:chrome os:android","平板報工",IF(record[[#This Row],[Memo]]=0,"委外",record[[#This Row],[Memo]]))</f>
        <v/>
      </c>
      <c r="O7298" t="s">
        <v>58</v>
      </c>
      <c r="P7298" t="s">
        <v>135</v>
      </c>
      <c r="Q7298" t="s">
        <v>58</v>
      </c>
      <c r="R7298" t="str">
        <f>IFERROR(VLOOKUP(record[[#This Row],[PCUSTID]],廠商[],2,FALSE),"")</f>
        <v/>
      </c>
      <c r="S7298" t="str">
        <f>VLOOKUP(record[[#This Row],[employeeID]],員工[],2,FALSE)</f>
        <v>阮士文</v>
      </c>
    </row>
    <row r="7299" spans="6:19" hidden="1" x14ac:dyDescent="0.25">
      <c r="F7299" t="s">
        <v>1099</v>
      </c>
      <c r="G7299" t="s">
        <v>448</v>
      </c>
      <c r="H7299" t="str">
        <f>VLOOKUP(record[[#This Row],[ProcessSN]],表格2_7[],2,FALSE)</f>
        <v>30-4118-018-6XX</v>
      </c>
      <c r="I7299" t="str">
        <f>VLOOKUP(record[[#This Row],[ProcessSN]],表格2_7[],3,FALSE)</f>
        <v>#04</v>
      </c>
      <c r="J7299" t="s">
        <v>588</v>
      </c>
      <c r="K7299" s="195">
        <v>45939.983703703707</v>
      </c>
      <c r="L7299">
        <v>130</v>
      </c>
      <c r="M7299">
        <v>0</v>
      </c>
      <c r="N7299" s="98" t="str">
        <f>IF(record[[#This Row],[Memo]]="Browser:chrome os:android","平板報工",IF(record[[#This Row],[Memo]]=0,"委外",record[[#This Row],[Memo]]))</f>
        <v/>
      </c>
      <c r="O7299" t="s">
        <v>58</v>
      </c>
      <c r="P7299" t="s">
        <v>89</v>
      </c>
      <c r="Q7299" t="s">
        <v>58</v>
      </c>
      <c r="R7299" t="str">
        <f>IFERROR(VLOOKUP(record[[#This Row],[PCUSTID]],廠商[],2,FALSE),"")</f>
        <v/>
      </c>
      <c r="S7299" t="str">
        <f>VLOOKUP(record[[#This Row],[employeeID]],員工[],2,FALSE)</f>
        <v>李美蓮</v>
      </c>
    </row>
    <row r="7300" spans="6:19" hidden="1" x14ac:dyDescent="0.25">
      <c r="F7300" t="s">
        <v>1101</v>
      </c>
      <c r="G7300" t="s">
        <v>373</v>
      </c>
      <c r="H7300" t="str">
        <f>VLOOKUP(record[[#This Row],[ProcessSN]],表格2_7[],2,FALSE)</f>
        <v>30-4118-018-4XX</v>
      </c>
      <c r="I7300" t="str">
        <f>VLOOKUP(record[[#This Row],[ProcessSN]],表格2_7[],3,FALSE)</f>
        <v>#03</v>
      </c>
      <c r="J7300" t="s">
        <v>588</v>
      </c>
      <c r="K7300" s="195">
        <v>45939.95071759259</v>
      </c>
      <c r="L7300">
        <v>606</v>
      </c>
      <c r="M7300">
        <v>4</v>
      </c>
      <c r="N7300" s="98" t="str">
        <f>IF(record[[#This Row],[Memo]]="Browser:chrome os:android","平板報工",IF(record[[#This Row],[Memo]]=0,"委外",record[[#This Row],[Memo]]))</f>
        <v/>
      </c>
      <c r="O7300" t="s">
        <v>58</v>
      </c>
      <c r="P7300" t="s">
        <v>806</v>
      </c>
      <c r="Q7300" t="s">
        <v>58</v>
      </c>
      <c r="R7300" t="str">
        <f>IFERROR(VLOOKUP(record[[#This Row],[PCUSTID]],廠商[],2,FALSE),"")</f>
        <v/>
      </c>
      <c r="S7300" t="str">
        <f>VLOOKUP(record[[#This Row],[employeeID]],員工[],2,FALSE)</f>
        <v>方思緯</v>
      </c>
    </row>
    <row r="7301" spans="6:19" hidden="1" x14ac:dyDescent="0.25">
      <c r="F7301" t="s">
        <v>1043</v>
      </c>
      <c r="G7301" t="s">
        <v>465</v>
      </c>
      <c r="H7301" t="str">
        <f>VLOOKUP(record[[#This Row],[ProcessSN]],表格2_7[],2,FALSE)</f>
        <v>30-4118-018-XXX</v>
      </c>
      <c r="I7301" t="str">
        <f>VLOOKUP(record[[#This Row],[ProcessSN]],表格2_7[],3,FALSE)</f>
        <v>#01-1</v>
      </c>
      <c r="J7301" t="s">
        <v>588</v>
      </c>
      <c r="K7301" s="195">
        <v>45939.895543981482</v>
      </c>
      <c r="L7301">
        <v>48</v>
      </c>
      <c r="M7301">
        <v>0</v>
      </c>
      <c r="N7301" s="98" t="str">
        <f>IF(record[[#This Row],[Memo]]="Browser:chrome os:android","平板報工",IF(record[[#This Row],[Memo]]=0,"委外",record[[#This Row],[Memo]]))</f>
        <v/>
      </c>
      <c r="O7301" t="s">
        <v>58</v>
      </c>
      <c r="P7301" t="s">
        <v>89</v>
      </c>
      <c r="Q7301" t="s">
        <v>58</v>
      </c>
      <c r="R7301" t="str">
        <f>IFERROR(VLOOKUP(record[[#This Row],[PCUSTID]],廠商[],2,FALSE),"")</f>
        <v/>
      </c>
      <c r="S7301" t="str">
        <f>VLOOKUP(record[[#This Row],[employeeID]],員工[],2,FALSE)</f>
        <v>李美蓮</v>
      </c>
    </row>
    <row r="7302" spans="6:19" hidden="1" x14ac:dyDescent="0.25">
      <c r="F7302" t="s">
        <v>1099</v>
      </c>
      <c r="G7302" t="s">
        <v>447</v>
      </c>
      <c r="H7302" t="str">
        <f>VLOOKUP(record[[#This Row],[ProcessSN]],表格2_7[],2,FALSE)</f>
        <v>30-4118-018-6XX</v>
      </c>
      <c r="I7302" t="str">
        <f>VLOOKUP(record[[#This Row],[ProcessSN]],表格2_7[],3,FALSE)</f>
        <v>#03</v>
      </c>
      <c r="J7302" t="s">
        <v>588</v>
      </c>
      <c r="K7302" s="195">
        <v>45939.668738425928</v>
      </c>
      <c r="L7302">
        <v>316</v>
      </c>
      <c r="M7302">
        <v>0</v>
      </c>
      <c r="N7302" s="98" t="str">
        <f>IF(record[[#This Row],[Memo]]="Browser:chrome os:android","平板報工",IF(record[[#This Row],[Memo]]=0,"委外",record[[#This Row],[Memo]]))</f>
        <v>平板報工</v>
      </c>
      <c r="O7302" t="s">
        <v>643</v>
      </c>
      <c r="P7302" t="s">
        <v>107</v>
      </c>
      <c r="Q7302" t="s">
        <v>644</v>
      </c>
      <c r="R7302" t="str">
        <f>IFERROR(VLOOKUP(record[[#This Row],[PCUSTID]],廠商[],2,FALSE),"")</f>
        <v/>
      </c>
      <c r="S7302" t="str">
        <f>VLOOKUP(record[[#This Row],[employeeID]],員工[],2,FALSE)</f>
        <v>黎氏順</v>
      </c>
    </row>
    <row r="7303" spans="6:19" hidden="1" x14ac:dyDescent="0.25">
      <c r="F7303" t="s">
        <v>1101</v>
      </c>
      <c r="G7303" t="s">
        <v>373</v>
      </c>
      <c r="H7303" t="str">
        <f>VLOOKUP(record[[#This Row],[ProcessSN]],表格2_7[],2,FALSE)</f>
        <v>30-4118-018-4XX</v>
      </c>
      <c r="I7303" t="str">
        <f>VLOOKUP(record[[#This Row],[ProcessSN]],表格2_7[],3,FALSE)</f>
        <v>#03</v>
      </c>
      <c r="J7303" t="s">
        <v>588</v>
      </c>
      <c r="K7303" s="195">
        <v>45939.668263888889</v>
      </c>
      <c r="L7303">
        <v>504</v>
      </c>
      <c r="M7303">
        <v>0</v>
      </c>
      <c r="N7303" s="98" t="str">
        <f>IF(record[[#This Row],[Memo]]="Browser:chrome os:android","平板報工",IF(record[[#This Row],[Memo]]=0,"委外",record[[#This Row],[Memo]]))</f>
        <v>平板報工</v>
      </c>
      <c r="O7303" t="s">
        <v>643</v>
      </c>
      <c r="P7303" t="s">
        <v>107</v>
      </c>
      <c r="Q7303" t="s">
        <v>644</v>
      </c>
      <c r="R7303" t="str">
        <f>IFERROR(VLOOKUP(record[[#This Row],[PCUSTID]],廠商[],2,FALSE),"")</f>
        <v/>
      </c>
      <c r="S7303" t="str">
        <f>VLOOKUP(record[[#This Row],[employeeID]],員工[],2,FALSE)</f>
        <v>黎氏順</v>
      </c>
    </row>
    <row r="7304" spans="6:19" hidden="1" x14ac:dyDescent="0.25">
      <c r="F7304" t="s">
        <v>1043</v>
      </c>
      <c r="G7304" t="s">
        <v>465</v>
      </c>
      <c r="H7304" t="str">
        <f>VLOOKUP(record[[#This Row],[ProcessSN]],表格2_7[],2,FALSE)</f>
        <v>30-4118-018-XXX</v>
      </c>
      <c r="I7304" t="str">
        <f>VLOOKUP(record[[#This Row],[ProcessSN]],表格2_7[],3,FALSE)</f>
        <v>#01-1</v>
      </c>
      <c r="J7304" t="s">
        <v>588</v>
      </c>
      <c r="K7304" s="195">
        <v>45939.65625</v>
      </c>
      <c r="L7304">
        <v>144</v>
      </c>
      <c r="M7304">
        <v>0</v>
      </c>
      <c r="N7304" s="98" t="str">
        <f>IF(record[[#This Row],[Memo]]="Browser:chrome os:android","平板報工",IF(record[[#This Row],[Memo]]=0,"委外",record[[#This Row],[Memo]]))</f>
        <v>平板報工</v>
      </c>
      <c r="O7304" t="s">
        <v>643</v>
      </c>
      <c r="P7304" t="s">
        <v>1098</v>
      </c>
      <c r="Q7304" t="s">
        <v>644</v>
      </c>
      <c r="R7304" t="str">
        <f>IFERROR(VLOOKUP(record[[#This Row],[PCUSTID]],廠商[],2,FALSE),"")</f>
        <v/>
      </c>
      <c r="S7304" t="str">
        <f>VLOOKUP(record[[#This Row],[employeeID]],員工[],2,FALSE)</f>
        <v>阮氏芳英(英)</v>
      </c>
    </row>
    <row r="7305" spans="6:19" hidden="1" x14ac:dyDescent="0.25">
      <c r="F7305" t="s">
        <v>1099</v>
      </c>
      <c r="G7305" t="s">
        <v>448</v>
      </c>
      <c r="H7305" t="str">
        <f>VLOOKUP(record[[#This Row],[ProcessSN]],表格2_7[],2,FALSE)</f>
        <v>30-4118-018-6XX</v>
      </c>
      <c r="I7305" t="str">
        <f>VLOOKUP(record[[#This Row],[ProcessSN]],表格2_7[],3,FALSE)</f>
        <v>#04</v>
      </c>
      <c r="J7305" t="s">
        <v>588</v>
      </c>
      <c r="K7305" s="195">
        <v>45939.653136574074</v>
      </c>
      <c r="L7305">
        <v>130</v>
      </c>
      <c r="M7305">
        <v>0</v>
      </c>
      <c r="N7305" s="98" t="str">
        <f>IF(record[[#This Row],[Memo]]="Browser:chrome os:android","平板報工",IF(record[[#This Row],[Memo]]=0,"委外",record[[#This Row],[Memo]]))</f>
        <v>平板報工</v>
      </c>
      <c r="O7305" t="s">
        <v>643</v>
      </c>
      <c r="P7305" t="s">
        <v>785</v>
      </c>
      <c r="Q7305" t="s">
        <v>644</v>
      </c>
      <c r="R7305" t="str">
        <f>IFERROR(VLOOKUP(record[[#This Row],[PCUSTID]],廠商[],2,FALSE),"")</f>
        <v/>
      </c>
      <c r="S7305" t="str">
        <f>VLOOKUP(record[[#This Row],[employeeID]],員工[],2,FALSE)</f>
        <v>謝刻光</v>
      </c>
    </row>
    <row r="7306" spans="6:19" hidden="1" x14ac:dyDescent="0.25">
      <c r="F7306" t="s">
        <v>1081</v>
      </c>
      <c r="G7306" t="s">
        <v>428</v>
      </c>
      <c r="H7306" t="str">
        <f>VLOOKUP(record[[#This Row],[ProcessSN]],表格2_7[],2,FALSE)</f>
        <v>30-4118-018-600</v>
      </c>
      <c r="I7306" t="str">
        <f>VLOOKUP(record[[#This Row],[ProcessSN]],表格2_7[],3,FALSE)</f>
        <v>#100SHIP</v>
      </c>
      <c r="J7306" t="s">
        <v>600</v>
      </c>
      <c r="K7306" s="195">
        <v>45939.478935185187</v>
      </c>
      <c r="L7306">
        <v>172</v>
      </c>
      <c r="M7306">
        <v>0</v>
      </c>
      <c r="N7306" s="98" t="str">
        <f>IF(record[[#This Row],[Memo]]="Browser:chrome os:android","平板報工",IF(record[[#This Row],[Memo]]=0,"委外",record[[#This Row],[Memo]]))</f>
        <v/>
      </c>
      <c r="O7306" t="s">
        <v>58</v>
      </c>
      <c r="P7306" t="s">
        <v>886</v>
      </c>
      <c r="Q7306" t="s">
        <v>58</v>
      </c>
      <c r="R7306" t="str">
        <f>IFERROR(VLOOKUP(record[[#This Row],[PCUSTID]],廠商[],2,FALSE),"")</f>
        <v/>
      </c>
      <c r="S7306" t="str">
        <f>VLOOKUP(record[[#This Row],[employeeID]],員工[],2,FALSE)</f>
        <v>謝蓁薰</v>
      </c>
    </row>
    <row r="7307" spans="6:19" hidden="1" x14ac:dyDescent="0.25">
      <c r="F7307" t="s">
        <v>1048</v>
      </c>
      <c r="G7307" t="s">
        <v>403</v>
      </c>
      <c r="H7307" t="str">
        <f>VLOOKUP(record[[#This Row],[ProcessSN]],表格2_7[],2,FALSE)</f>
        <v>30-4118-018-550</v>
      </c>
      <c r="I7307" t="str">
        <f>VLOOKUP(record[[#This Row],[ProcessSN]],表格2_7[],3,FALSE)</f>
        <v>#100SHIP</v>
      </c>
      <c r="J7307" t="s">
        <v>600</v>
      </c>
      <c r="K7307" s="195">
        <v>45939.478807870371</v>
      </c>
      <c r="L7307">
        <v>50</v>
      </c>
      <c r="M7307">
        <v>0</v>
      </c>
      <c r="N7307" s="98" t="str">
        <f>IF(record[[#This Row],[Memo]]="Browser:chrome os:android","平板報工",IF(record[[#This Row],[Memo]]=0,"委外",record[[#This Row],[Memo]]))</f>
        <v/>
      </c>
      <c r="O7307" t="s">
        <v>58</v>
      </c>
      <c r="P7307" t="s">
        <v>886</v>
      </c>
      <c r="Q7307" t="s">
        <v>58</v>
      </c>
      <c r="R7307" t="str">
        <f>IFERROR(VLOOKUP(record[[#This Row],[PCUSTID]],廠商[],2,FALSE),"")</f>
        <v/>
      </c>
      <c r="S7307" t="str">
        <f>VLOOKUP(record[[#This Row],[employeeID]],員工[],2,FALSE)</f>
        <v>謝蓁薰</v>
      </c>
    </row>
    <row r="7308" spans="6:19" hidden="1" x14ac:dyDescent="0.25">
      <c r="F7308" t="s">
        <v>1047</v>
      </c>
      <c r="G7308" t="s">
        <v>403</v>
      </c>
      <c r="H7308" t="str">
        <f>VLOOKUP(record[[#This Row],[ProcessSN]],表格2_7[],2,FALSE)</f>
        <v>30-4118-018-550</v>
      </c>
      <c r="I7308" t="str">
        <f>VLOOKUP(record[[#This Row],[ProcessSN]],表格2_7[],3,FALSE)</f>
        <v>#100SHIP</v>
      </c>
      <c r="J7308" t="s">
        <v>600</v>
      </c>
      <c r="K7308" s="195">
        <v>45939.478680555556</v>
      </c>
      <c r="L7308">
        <v>160</v>
      </c>
      <c r="M7308">
        <v>0</v>
      </c>
      <c r="N7308" s="98" t="str">
        <f>IF(record[[#This Row],[Memo]]="Browser:chrome os:android","平板報工",IF(record[[#This Row],[Memo]]=0,"委外",record[[#This Row],[Memo]]))</f>
        <v/>
      </c>
      <c r="O7308" t="s">
        <v>58</v>
      </c>
      <c r="P7308" t="s">
        <v>886</v>
      </c>
      <c r="Q7308" t="s">
        <v>58</v>
      </c>
      <c r="R7308" t="str">
        <f>IFERROR(VLOOKUP(record[[#This Row],[PCUSTID]],廠商[],2,FALSE),"")</f>
        <v/>
      </c>
      <c r="S7308" t="str">
        <f>VLOOKUP(record[[#This Row],[employeeID]],員工[],2,FALSE)</f>
        <v>謝蓁薰</v>
      </c>
    </row>
    <row r="7309" spans="6:19" hidden="1" x14ac:dyDescent="0.25">
      <c r="F7309" t="s">
        <v>1011</v>
      </c>
      <c r="G7309" t="s">
        <v>403</v>
      </c>
      <c r="H7309" t="str">
        <f>VLOOKUP(record[[#This Row],[ProcessSN]],表格2_7[],2,FALSE)</f>
        <v>30-4118-018-550</v>
      </c>
      <c r="I7309" t="str">
        <f>VLOOKUP(record[[#This Row],[ProcessSN]],表格2_7[],3,FALSE)</f>
        <v>#100SHIP</v>
      </c>
      <c r="J7309" t="s">
        <v>600</v>
      </c>
      <c r="K7309" s="195">
        <v>45939.478541666664</v>
      </c>
      <c r="L7309">
        <v>41</v>
      </c>
      <c r="M7309">
        <v>0</v>
      </c>
      <c r="N7309" s="98" t="str">
        <f>IF(record[[#This Row],[Memo]]="Browser:chrome os:android","平板報工",IF(record[[#This Row],[Memo]]=0,"委外",record[[#This Row],[Memo]]))</f>
        <v/>
      </c>
      <c r="O7309" t="s">
        <v>58</v>
      </c>
      <c r="P7309" t="s">
        <v>886</v>
      </c>
      <c r="Q7309" t="s">
        <v>58</v>
      </c>
      <c r="R7309" t="str">
        <f>IFERROR(VLOOKUP(record[[#This Row],[PCUSTID]],廠商[],2,FALSE),"")</f>
        <v/>
      </c>
      <c r="S7309" t="str">
        <f>VLOOKUP(record[[#This Row],[employeeID]],員工[],2,FALSE)</f>
        <v>謝蓁薰</v>
      </c>
    </row>
    <row r="7310" spans="6:19" hidden="1" x14ac:dyDescent="0.25">
      <c r="F7310" t="s">
        <v>999</v>
      </c>
      <c r="G7310" t="s">
        <v>403</v>
      </c>
      <c r="H7310" t="str">
        <f>VLOOKUP(record[[#This Row],[ProcessSN]],表格2_7[],2,FALSE)</f>
        <v>30-4118-018-550</v>
      </c>
      <c r="I7310" t="str">
        <f>VLOOKUP(record[[#This Row],[ProcessSN]],表格2_7[],3,FALSE)</f>
        <v>#100SHIP</v>
      </c>
      <c r="J7310" t="s">
        <v>600</v>
      </c>
      <c r="K7310" s="195">
        <v>45939.474270833336</v>
      </c>
      <c r="L7310">
        <v>2</v>
      </c>
      <c r="M7310">
        <v>0</v>
      </c>
      <c r="N7310" s="98" t="str">
        <f>IF(record[[#This Row],[Memo]]="Browser:chrome os:android","平板報工",IF(record[[#This Row],[Memo]]=0,"委外",record[[#This Row],[Memo]]))</f>
        <v/>
      </c>
      <c r="O7310" t="s">
        <v>58</v>
      </c>
      <c r="P7310" t="s">
        <v>886</v>
      </c>
      <c r="Q7310" t="s">
        <v>58</v>
      </c>
      <c r="R7310" t="str">
        <f>IFERROR(VLOOKUP(record[[#This Row],[PCUSTID]],廠商[],2,FALSE),"")</f>
        <v/>
      </c>
      <c r="S7310" t="str">
        <f>VLOOKUP(record[[#This Row],[employeeID]],員工[],2,FALSE)</f>
        <v>謝蓁薰</v>
      </c>
    </row>
    <row r="7311" spans="6:19" hidden="1" x14ac:dyDescent="0.25">
      <c r="F7311" t="s">
        <v>1041</v>
      </c>
      <c r="G7311" t="s">
        <v>362</v>
      </c>
      <c r="H7311" t="str">
        <f>VLOOKUP(record[[#This Row],[ProcessSN]],表格2_7[],2,FALSE)</f>
        <v>30-4118-018-450</v>
      </c>
      <c r="I7311" t="str">
        <f>VLOOKUP(record[[#This Row],[ProcessSN]],表格2_7[],3,FALSE)</f>
        <v>#100SHIP</v>
      </c>
      <c r="J7311" t="s">
        <v>600</v>
      </c>
      <c r="K7311" s="195">
        <v>45939.474131944444</v>
      </c>
      <c r="L7311">
        <v>110</v>
      </c>
      <c r="M7311">
        <v>0</v>
      </c>
      <c r="N7311" s="98" t="str">
        <f>IF(record[[#This Row],[Memo]]="Browser:chrome os:android","平板報工",IF(record[[#This Row],[Memo]]=0,"委外",record[[#This Row],[Memo]]))</f>
        <v/>
      </c>
      <c r="O7311" t="s">
        <v>58</v>
      </c>
      <c r="P7311" t="s">
        <v>886</v>
      </c>
      <c r="Q7311" t="s">
        <v>58</v>
      </c>
      <c r="R7311" t="str">
        <f>IFERROR(VLOOKUP(record[[#This Row],[PCUSTID]],廠商[],2,FALSE),"")</f>
        <v/>
      </c>
      <c r="S7311" t="str">
        <f>VLOOKUP(record[[#This Row],[employeeID]],員工[],2,FALSE)</f>
        <v>謝蓁薰</v>
      </c>
    </row>
    <row r="7312" spans="6:19" hidden="1" x14ac:dyDescent="0.25">
      <c r="F7312" t="s">
        <v>1099</v>
      </c>
      <c r="G7312" t="s">
        <v>448</v>
      </c>
      <c r="H7312" t="str">
        <f>VLOOKUP(record[[#This Row],[ProcessSN]],表格2_7[],2,FALSE)</f>
        <v>30-4118-018-6XX</v>
      </c>
      <c r="I7312" t="str">
        <f>VLOOKUP(record[[#This Row],[ProcessSN]],表格2_7[],3,FALSE)</f>
        <v>#04</v>
      </c>
      <c r="J7312" t="s">
        <v>588</v>
      </c>
      <c r="K7312" s="195">
        <v>45939.320671296293</v>
      </c>
      <c r="L7312">
        <v>128</v>
      </c>
      <c r="M7312">
        <v>1</v>
      </c>
      <c r="N7312" s="98" t="str">
        <f>IF(record[[#This Row],[Memo]]="Browser:chrome os:android","平板報工",IF(record[[#This Row],[Memo]]=0,"委外",record[[#This Row],[Memo]]))</f>
        <v/>
      </c>
      <c r="O7312" t="s">
        <v>58</v>
      </c>
      <c r="P7312" t="s">
        <v>135</v>
      </c>
      <c r="Q7312" t="s">
        <v>58</v>
      </c>
      <c r="R7312" t="str">
        <f>IFERROR(VLOOKUP(record[[#This Row],[PCUSTID]],廠商[],2,FALSE),"")</f>
        <v/>
      </c>
      <c r="S7312" t="str">
        <f>VLOOKUP(record[[#This Row],[employeeID]],員工[],2,FALSE)</f>
        <v>阮士文</v>
      </c>
    </row>
    <row r="7313" spans="6:19" hidden="1" x14ac:dyDescent="0.25">
      <c r="F7313" t="s">
        <v>1099</v>
      </c>
      <c r="G7313" t="s">
        <v>448</v>
      </c>
      <c r="H7313" t="str">
        <f>VLOOKUP(record[[#This Row],[ProcessSN]],表格2_7[],2,FALSE)</f>
        <v>30-4118-018-6XX</v>
      </c>
      <c r="I7313" t="str">
        <f>VLOOKUP(record[[#This Row],[ProcessSN]],表格2_7[],3,FALSE)</f>
        <v>#04</v>
      </c>
      <c r="J7313" t="s">
        <v>588</v>
      </c>
      <c r="K7313" s="195">
        <v>45938.974791666667</v>
      </c>
      <c r="L7313">
        <v>129</v>
      </c>
      <c r="M7313">
        <v>1</v>
      </c>
      <c r="N7313" s="98" t="str">
        <f>IF(record[[#This Row],[Memo]]="Browser:chrome os:android","平板報工",IF(record[[#This Row],[Memo]]=0,"委外",record[[#This Row],[Memo]]))</f>
        <v/>
      </c>
      <c r="O7313" t="s">
        <v>58</v>
      </c>
      <c r="P7313" t="s">
        <v>176</v>
      </c>
      <c r="Q7313" t="s">
        <v>58</v>
      </c>
      <c r="R7313" t="str">
        <f>IFERROR(VLOOKUP(record[[#This Row],[PCUSTID]],廠商[],2,FALSE),"")</f>
        <v/>
      </c>
      <c r="S7313" t="str">
        <f>VLOOKUP(record[[#This Row],[employeeID]],員工[],2,FALSE)</f>
        <v>郭政雄</v>
      </c>
    </row>
    <row r="7314" spans="6:19" hidden="1" x14ac:dyDescent="0.25">
      <c r="F7314" t="s">
        <v>1099</v>
      </c>
      <c r="G7314" t="s">
        <v>447</v>
      </c>
      <c r="H7314" t="str">
        <f>VLOOKUP(record[[#This Row],[ProcessSN]],表格2_7[],2,FALSE)</f>
        <v>30-4118-018-6XX</v>
      </c>
      <c r="I7314" t="str">
        <f>VLOOKUP(record[[#This Row],[ProcessSN]],表格2_7[],3,FALSE)</f>
        <v>#03</v>
      </c>
      <c r="J7314" t="s">
        <v>588</v>
      </c>
      <c r="K7314" s="195">
        <v>45938.974409722221</v>
      </c>
      <c r="L7314">
        <v>792</v>
      </c>
      <c r="M7314">
        <v>0</v>
      </c>
      <c r="N7314" s="98" t="str">
        <f>IF(record[[#This Row],[Memo]]="Browser:chrome os:android","平板報工",IF(record[[#This Row],[Memo]]=0,"委外",record[[#This Row],[Memo]]))</f>
        <v/>
      </c>
      <c r="O7314" t="s">
        <v>58</v>
      </c>
      <c r="P7314" t="s">
        <v>806</v>
      </c>
      <c r="Q7314" t="s">
        <v>58</v>
      </c>
      <c r="R7314" t="str">
        <f>IFERROR(VLOOKUP(record[[#This Row],[PCUSTID]],廠商[],2,FALSE),"")</f>
        <v/>
      </c>
      <c r="S7314" t="str">
        <f>VLOOKUP(record[[#This Row],[employeeID]],員工[],2,FALSE)</f>
        <v>方思緯</v>
      </c>
    </row>
    <row r="7315" spans="6:19" hidden="1" x14ac:dyDescent="0.25">
      <c r="F7315" t="s">
        <v>1099</v>
      </c>
      <c r="G7315" t="s">
        <v>447</v>
      </c>
      <c r="H7315" t="str">
        <f>VLOOKUP(record[[#This Row],[ProcessSN]],表格2_7[],2,FALSE)</f>
        <v>30-4118-018-6XX</v>
      </c>
      <c r="I7315" t="str">
        <f>VLOOKUP(record[[#This Row],[ProcessSN]],表格2_7[],3,FALSE)</f>
        <v>#03</v>
      </c>
      <c r="J7315" t="s">
        <v>588</v>
      </c>
      <c r="K7315" s="195">
        <v>45938.669224537036</v>
      </c>
      <c r="L7315">
        <v>652</v>
      </c>
      <c r="M7315">
        <v>0</v>
      </c>
      <c r="N7315" s="98" t="str">
        <f>IF(record[[#This Row],[Memo]]="Browser:chrome os:android","平板報工",IF(record[[#This Row],[Memo]]=0,"委外",record[[#This Row],[Memo]]))</f>
        <v>平板報工</v>
      </c>
      <c r="O7315" t="s">
        <v>643</v>
      </c>
      <c r="P7315" t="s">
        <v>107</v>
      </c>
      <c r="Q7315" t="s">
        <v>644</v>
      </c>
      <c r="R7315" t="str">
        <f>IFERROR(VLOOKUP(record[[#This Row],[PCUSTID]],廠商[],2,FALSE),"")</f>
        <v/>
      </c>
      <c r="S7315" t="str">
        <f>VLOOKUP(record[[#This Row],[employeeID]],員工[],2,FALSE)</f>
        <v>黎氏順</v>
      </c>
    </row>
    <row r="7316" spans="6:19" hidden="1" x14ac:dyDescent="0.25">
      <c r="F7316" t="s">
        <v>1025</v>
      </c>
      <c r="G7316" t="s">
        <v>448</v>
      </c>
      <c r="H7316" t="str">
        <f>VLOOKUP(record[[#This Row],[ProcessSN]],表格2_7[],2,FALSE)</f>
        <v>30-4118-018-6XX</v>
      </c>
      <c r="I7316" t="str">
        <f>VLOOKUP(record[[#This Row],[ProcessSN]],表格2_7[],3,FALSE)</f>
        <v>#04</v>
      </c>
      <c r="J7316" t="s">
        <v>588</v>
      </c>
      <c r="K7316" s="195">
        <v>45938.610497685186</v>
      </c>
      <c r="L7316">
        <v>1</v>
      </c>
      <c r="M7316">
        <v>0</v>
      </c>
      <c r="N7316" s="98" t="str">
        <f>IF(record[[#This Row],[Memo]]="Browser:chrome os:android","平板報工",IF(record[[#This Row],[Memo]]=0,"委外",record[[#This Row],[Memo]]))</f>
        <v>10/8覆回*1</v>
      </c>
      <c r="O7316" t="s">
        <v>1104</v>
      </c>
      <c r="P7316" t="s">
        <v>1075</v>
      </c>
      <c r="Q7316" t="s">
        <v>58</v>
      </c>
      <c r="R7316" t="str">
        <f>IFERROR(VLOOKUP(record[[#This Row],[PCUSTID]],廠商[],2,FALSE),"")</f>
        <v/>
      </c>
      <c r="S7316" t="str">
        <f>VLOOKUP(record[[#This Row],[employeeID]],員工[],2,FALSE)</f>
        <v>吳宥叡</v>
      </c>
    </row>
    <row r="7317" spans="6:19" hidden="1" x14ac:dyDescent="0.25">
      <c r="F7317" t="s">
        <v>1025</v>
      </c>
      <c r="G7317" t="s">
        <v>447</v>
      </c>
      <c r="H7317" t="str">
        <f>VLOOKUP(record[[#This Row],[ProcessSN]],表格2_7[],2,FALSE)</f>
        <v>30-4118-018-6XX</v>
      </c>
      <c r="I7317" t="str">
        <f>VLOOKUP(record[[#This Row],[ProcessSN]],表格2_7[],3,FALSE)</f>
        <v>#03</v>
      </c>
      <c r="J7317" t="s">
        <v>588</v>
      </c>
      <c r="K7317" s="195">
        <v>45938.609780092593</v>
      </c>
      <c r="L7317">
        <v>198</v>
      </c>
      <c r="M7317">
        <v>0</v>
      </c>
      <c r="N7317" s="98" t="str">
        <f>IF(record[[#This Row],[Memo]]="Browser:chrome os:android","平板報工",IF(record[[#This Row],[Memo]]=0,"委外",record[[#This Row],[Memo]]))</f>
        <v>10/8覆回*1</v>
      </c>
      <c r="O7317" t="s">
        <v>1104</v>
      </c>
      <c r="P7317" t="s">
        <v>1075</v>
      </c>
      <c r="Q7317" t="s">
        <v>58</v>
      </c>
      <c r="R7317" t="str">
        <f>IFERROR(VLOOKUP(record[[#This Row],[PCUSTID]],廠商[],2,FALSE),"")</f>
        <v/>
      </c>
      <c r="S7317" t="str">
        <f>VLOOKUP(record[[#This Row],[employeeID]],員工[],2,FALSE)</f>
        <v>吳宥叡</v>
      </c>
    </row>
    <row r="7318" spans="6:19" hidden="1" x14ac:dyDescent="0.25">
      <c r="F7318" t="s">
        <v>1025</v>
      </c>
      <c r="G7318" t="s">
        <v>448</v>
      </c>
      <c r="H7318" t="str">
        <f>VLOOKUP(record[[#This Row],[ProcessSN]],表格2_7[],2,FALSE)</f>
        <v>30-4118-018-6XX</v>
      </c>
      <c r="I7318" t="str">
        <f>VLOOKUP(record[[#This Row],[ProcessSN]],表格2_7[],3,FALSE)</f>
        <v>#04</v>
      </c>
      <c r="J7318" t="s">
        <v>588</v>
      </c>
      <c r="K7318" s="195">
        <v>45938.60738425926</v>
      </c>
      <c r="L7318">
        <v>89</v>
      </c>
      <c r="M7318">
        <v>0</v>
      </c>
      <c r="N7318" s="98" t="str">
        <f>IF(record[[#This Row],[Memo]]="Browser:chrome os:android","平板報工",IF(record[[#This Row],[Memo]]=0,"委外",record[[#This Row],[Memo]]))</f>
        <v>10/8覆回*30</v>
      </c>
      <c r="O7318" t="s">
        <v>1103</v>
      </c>
      <c r="P7318" t="s">
        <v>1075</v>
      </c>
      <c r="Q7318" t="s">
        <v>58</v>
      </c>
      <c r="R7318" t="str">
        <f>IFERROR(VLOOKUP(record[[#This Row],[PCUSTID]],廠商[],2,FALSE),"")</f>
        <v/>
      </c>
      <c r="S7318" t="str">
        <f>VLOOKUP(record[[#This Row],[employeeID]],員工[],2,FALSE)</f>
        <v>吳宥叡</v>
      </c>
    </row>
    <row r="7319" spans="6:19" hidden="1" x14ac:dyDescent="0.25">
      <c r="F7319" t="s">
        <v>1041</v>
      </c>
      <c r="G7319" t="s">
        <v>362</v>
      </c>
      <c r="H7319" t="str">
        <f>VLOOKUP(record[[#This Row],[ProcessSN]],表格2_7[],2,FALSE)</f>
        <v>30-4118-018-450</v>
      </c>
      <c r="I7319" t="str">
        <f>VLOOKUP(record[[#This Row],[ProcessSN]],表格2_7[],3,FALSE)</f>
        <v>#100SHIP</v>
      </c>
      <c r="J7319" t="s">
        <v>600</v>
      </c>
      <c r="K7319" s="195">
        <v>45938.55605324074</v>
      </c>
      <c r="L7319">
        <v>5</v>
      </c>
      <c r="M7319">
        <v>0</v>
      </c>
      <c r="N7319" s="98" t="str">
        <f>IF(record[[#This Row],[Memo]]="Browser:chrome os:android","平板報工",IF(record[[#This Row],[Memo]]=0,"委外",record[[#This Row],[Memo]]))</f>
        <v/>
      </c>
      <c r="O7319" t="s">
        <v>58</v>
      </c>
      <c r="P7319" t="s">
        <v>886</v>
      </c>
      <c r="Q7319" t="s">
        <v>58</v>
      </c>
      <c r="R7319" t="str">
        <f>IFERROR(VLOOKUP(record[[#This Row],[PCUSTID]],廠商[],2,FALSE),"")</f>
        <v/>
      </c>
      <c r="S7319" t="str">
        <f>VLOOKUP(record[[#This Row],[employeeID]],員工[],2,FALSE)</f>
        <v>謝蓁薰</v>
      </c>
    </row>
    <row r="7320" spans="6:19" hidden="1" x14ac:dyDescent="0.25">
      <c r="F7320" t="s">
        <v>1024</v>
      </c>
      <c r="G7320" t="s">
        <v>420</v>
      </c>
      <c r="H7320" t="str">
        <f>VLOOKUP(record[[#This Row],[ProcessSN]],表格2_7[],2,FALSE)</f>
        <v>30-4118-018-5XX</v>
      </c>
      <c r="I7320" t="str">
        <f>VLOOKUP(record[[#This Row],[ProcessSN]],表格2_7[],3,FALSE)</f>
        <v>#07STOCK</v>
      </c>
      <c r="J7320" t="s">
        <v>592</v>
      </c>
      <c r="K7320" s="195">
        <v>45938.388113425928</v>
      </c>
      <c r="L7320">
        <v>3</v>
      </c>
      <c r="M7320">
        <v>0</v>
      </c>
      <c r="N7320" s="98" t="str">
        <f>IF(record[[#This Row],[Memo]]="Browser:chrome os:android","平板報工",IF(record[[#This Row],[Memo]]=0,"委外",record[[#This Row],[Memo]]))</f>
        <v/>
      </c>
      <c r="O7320" t="s">
        <v>58</v>
      </c>
      <c r="P7320" t="s">
        <v>196</v>
      </c>
      <c r="Q7320" t="s">
        <v>58</v>
      </c>
      <c r="R7320" t="str">
        <f>IFERROR(VLOOKUP(record[[#This Row],[PCUSTID]],廠商[],2,FALSE),"")</f>
        <v/>
      </c>
      <c r="S7320" t="str">
        <f>VLOOKUP(record[[#This Row],[employeeID]],員工[],2,FALSE)</f>
        <v>張淑惠</v>
      </c>
    </row>
    <row r="7321" spans="6:19" hidden="1" x14ac:dyDescent="0.25">
      <c r="F7321" t="s">
        <v>1099</v>
      </c>
      <c r="G7321" t="s">
        <v>447</v>
      </c>
      <c r="H7321" t="str">
        <f>VLOOKUP(record[[#This Row],[ProcessSN]],表格2_7[],2,FALSE)</f>
        <v>30-4118-018-6XX</v>
      </c>
      <c r="I7321" t="str">
        <f>VLOOKUP(record[[#This Row],[ProcessSN]],表格2_7[],3,FALSE)</f>
        <v>#03</v>
      </c>
      <c r="J7321" t="s">
        <v>588</v>
      </c>
      <c r="K7321" s="195">
        <v>45937.978935185187</v>
      </c>
      <c r="L7321">
        <v>620</v>
      </c>
      <c r="M7321">
        <v>0</v>
      </c>
      <c r="N7321" s="98" t="str">
        <f>IF(record[[#This Row],[Memo]]="Browser:chrome os:android","平板報工",IF(record[[#This Row],[Memo]]=0,"委外",record[[#This Row],[Memo]]))</f>
        <v/>
      </c>
      <c r="O7321" t="s">
        <v>58</v>
      </c>
      <c r="P7321" t="s">
        <v>806</v>
      </c>
      <c r="Q7321" t="s">
        <v>58</v>
      </c>
      <c r="R7321" t="str">
        <f>IFERROR(VLOOKUP(record[[#This Row],[PCUSTID]],廠商[],2,FALSE),"")</f>
        <v/>
      </c>
      <c r="S7321" t="str">
        <f>VLOOKUP(record[[#This Row],[employeeID]],員工[],2,FALSE)</f>
        <v>方思緯</v>
      </c>
    </row>
    <row r="7322" spans="6:19" hidden="1" x14ac:dyDescent="0.25">
      <c r="F7322" t="s">
        <v>1041</v>
      </c>
      <c r="G7322" t="s">
        <v>362</v>
      </c>
      <c r="H7322" t="str">
        <f>VLOOKUP(record[[#This Row],[ProcessSN]],表格2_7[],2,FALSE)</f>
        <v>30-4118-018-450</v>
      </c>
      <c r="I7322" t="str">
        <f>VLOOKUP(record[[#This Row],[ProcessSN]],表格2_7[],3,FALSE)</f>
        <v>#100SHIP</v>
      </c>
      <c r="J7322" t="s">
        <v>600</v>
      </c>
      <c r="K7322" s="195">
        <v>45937.704641203702</v>
      </c>
      <c r="L7322">
        <v>2</v>
      </c>
      <c r="M7322">
        <v>0</v>
      </c>
      <c r="N7322" s="98" t="str">
        <f>IF(record[[#This Row],[Memo]]="Browser:chrome os:android","平板報工",IF(record[[#This Row],[Memo]]=0,"委外",record[[#This Row],[Memo]]))</f>
        <v/>
      </c>
      <c r="O7322" t="s">
        <v>58</v>
      </c>
      <c r="P7322" t="s">
        <v>886</v>
      </c>
      <c r="Q7322" t="s">
        <v>58</v>
      </c>
      <c r="R7322" t="str">
        <f>IFERROR(VLOOKUP(record[[#This Row],[PCUSTID]],廠商[],2,FALSE),"")</f>
        <v/>
      </c>
      <c r="S7322" t="str">
        <f>VLOOKUP(record[[#This Row],[employeeID]],員工[],2,FALSE)</f>
        <v>謝蓁薰</v>
      </c>
    </row>
    <row r="7323" spans="6:19" hidden="1" x14ac:dyDescent="0.25">
      <c r="F7323" t="s">
        <v>1099</v>
      </c>
      <c r="G7323" t="s">
        <v>447</v>
      </c>
      <c r="H7323" t="str">
        <f>VLOOKUP(record[[#This Row],[ProcessSN]],表格2_7[],2,FALSE)</f>
        <v>30-4118-018-6XX</v>
      </c>
      <c r="I7323" t="str">
        <f>VLOOKUP(record[[#This Row],[ProcessSN]],表格2_7[],3,FALSE)</f>
        <v>#03</v>
      </c>
      <c r="J7323" t="s">
        <v>588</v>
      </c>
      <c r="K7323" s="195">
        <v>45937.665497685186</v>
      </c>
      <c r="L7323">
        <v>120</v>
      </c>
      <c r="M7323">
        <v>0</v>
      </c>
      <c r="N7323" s="98" t="str">
        <f>IF(record[[#This Row],[Memo]]="Browser:chrome os:android","平板報工",IF(record[[#This Row],[Memo]]=0,"委外",record[[#This Row],[Memo]]))</f>
        <v>平板報工</v>
      </c>
      <c r="O7323" t="s">
        <v>643</v>
      </c>
      <c r="P7323" t="s">
        <v>107</v>
      </c>
      <c r="Q7323" t="s">
        <v>644</v>
      </c>
      <c r="R7323" t="str">
        <f>IFERROR(VLOOKUP(record[[#This Row],[PCUSTID]],廠商[],2,FALSE),"")</f>
        <v/>
      </c>
      <c r="S7323" t="str">
        <f>VLOOKUP(record[[#This Row],[employeeID]],員工[],2,FALSE)</f>
        <v>黎氏順</v>
      </c>
    </row>
    <row r="7324" spans="6:19" hidden="1" x14ac:dyDescent="0.25">
      <c r="F7324" t="s">
        <v>1099</v>
      </c>
      <c r="G7324" t="s">
        <v>446</v>
      </c>
      <c r="H7324" t="str">
        <f>VLOOKUP(record[[#This Row],[ProcessSN]],表格2_7[],2,FALSE)</f>
        <v>30-4118-018-6XX</v>
      </c>
      <c r="I7324" t="str">
        <f>VLOOKUP(record[[#This Row],[ProcessSN]],表格2_7[],3,FALSE)</f>
        <v>#03GIVE</v>
      </c>
      <c r="J7324" t="s">
        <v>587</v>
      </c>
      <c r="K7324" s="195">
        <v>45933.425787037035</v>
      </c>
      <c r="L7324">
        <v>2500</v>
      </c>
      <c r="M7324">
        <v>0</v>
      </c>
      <c r="N7324" s="98" t="str">
        <f>IF(record[[#This Row],[Memo]]="Browser:chrome os:android","平板報工",IF(record[[#This Row],[Memo]]=0,"委外",record[[#This Row],[Memo]]))</f>
        <v/>
      </c>
      <c r="O7324" t="s">
        <v>58</v>
      </c>
      <c r="P7324" t="s">
        <v>208</v>
      </c>
      <c r="Q7324" t="s">
        <v>58</v>
      </c>
      <c r="R7324" t="str">
        <f>IFERROR(VLOOKUP(record[[#This Row],[PCUSTID]],廠商[],2,FALSE),"")</f>
        <v/>
      </c>
      <c r="S7324" t="str">
        <f>VLOOKUP(record[[#This Row],[employeeID]],員工[],2,FALSE)</f>
        <v>陳治宏</v>
      </c>
    </row>
    <row r="7325" spans="6:19" hidden="1" x14ac:dyDescent="0.25">
      <c r="F7325" t="s">
        <v>1101</v>
      </c>
      <c r="G7325" t="s">
        <v>372</v>
      </c>
      <c r="H7325" t="str">
        <f>VLOOKUP(record[[#This Row],[ProcessSN]],表格2_7[],2,FALSE)</f>
        <v>30-4118-018-4XX</v>
      </c>
      <c r="I7325" t="str">
        <f>VLOOKUP(record[[#This Row],[ProcessSN]],表格2_7[],3,FALSE)</f>
        <v>#03GIVE</v>
      </c>
      <c r="J7325" t="s">
        <v>587</v>
      </c>
      <c r="K7325" s="195">
        <v>45933.425659722219</v>
      </c>
      <c r="L7325">
        <v>1484</v>
      </c>
      <c r="M7325">
        <v>0</v>
      </c>
      <c r="N7325" s="98" t="str">
        <f>IF(record[[#This Row],[Memo]]="Browser:chrome os:android","平板報工",IF(record[[#This Row],[Memo]]=0,"委外",record[[#This Row],[Memo]]))</f>
        <v/>
      </c>
      <c r="O7325" t="s">
        <v>58</v>
      </c>
      <c r="P7325" t="s">
        <v>208</v>
      </c>
      <c r="Q7325" t="s">
        <v>58</v>
      </c>
      <c r="R7325" t="str">
        <f>IFERROR(VLOOKUP(record[[#This Row],[PCUSTID]],廠商[],2,FALSE),"")</f>
        <v/>
      </c>
      <c r="S7325" t="str">
        <f>VLOOKUP(record[[#This Row],[employeeID]],員工[],2,FALSE)</f>
        <v>陳治宏</v>
      </c>
    </row>
    <row r="7326" spans="6:19" hidden="1" x14ac:dyDescent="0.25">
      <c r="F7326" t="s">
        <v>1081</v>
      </c>
      <c r="G7326" t="s">
        <v>428</v>
      </c>
      <c r="H7326" t="str">
        <f>VLOOKUP(record[[#This Row],[ProcessSN]],表格2_7[],2,FALSE)</f>
        <v>30-4118-018-600</v>
      </c>
      <c r="I7326" t="str">
        <f>VLOOKUP(record[[#This Row],[ProcessSN]],表格2_7[],3,FALSE)</f>
        <v>#100SHIP</v>
      </c>
      <c r="J7326" t="s">
        <v>600</v>
      </c>
      <c r="K7326" s="195">
        <v>45933.389884259261</v>
      </c>
      <c r="L7326">
        <v>116</v>
      </c>
      <c r="M7326">
        <v>0</v>
      </c>
      <c r="N7326" s="98" t="str">
        <f>IF(record[[#This Row],[Memo]]="Browser:chrome os:android","平板報工",IF(record[[#This Row],[Memo]]=0,"委外",record[[#This Row],[Memo]]))</f>
        <v/>
      </c>
      <c r="O7326" t="s">
        <v>58</v>
      </c>
      <c r="P7326" t="s">
        <v>886</v>
      </c>
      <c r="Q7326" t="s">
        <v>58</v>
      </c>
      <c r="R7326" t="str">
        <f>IFERROR(VLOOKUP(record[[#This Row],[PCUSTID]],廠商[],2,FALSE),"")</f>
        <v/>
      </c>
      <c r="S7326" t="str">
        <f>VLOOKUP(record[[#This Row],[employeeID]],員工[],2,FALSE)</f>
        <v>謝蓁薰</v>
      </c>
    </row>
    <row r="7327" spans="6:19" hidden="1" x14ac:dyDescent="0.25">
      <c r="F7327" t="s">
        <v>1067</v>
      </c>
      <c r="G7327" t="s">
        <v>428</v>
      </c>
      <c r="H7327" t="str">
        <f>VLOOKUP(record[[#This Row],[ProcessSN]],表格2_7[],2,FALSE)</f>
        <v>30-4118-018-600</v>
      </c>
      <c r="I7327" t="str">
        <f>VLOOKUP(record[[#This Row],[ProcessSN]],表格2_7[],3,FALSE)</f>
        <v>#100SHIP</v>
      </c>
      <c r="J7327" t="s">
        <v>600</v>
      </c>
      <c r="K7327" s="195">
        <v>45933.389733796299</v>
      </c>
      <c r="L7327">
        <v>163</v>
      </c>
      <c r="M7327">
        <v>0</v>
      </c>
      <c r="N7327" s="98" t="str">
        <f>IF(record[[#This Row],[Memo]]="Browser:chrome os:android","平板報工",IF(record[[#This Row],[Memo]]=0,"委外",record[[#This Row],[Memo]]))</f>
        <v/>
      </c>
      <c r="O7327" t="s">
        <v>58</v>
      </c>
      <c r="P7327" t="s">
        <v>886</v>
      </c>
      <c r="Q7327" t="s">
        <v>58</v>
      </c>
      <c r="R7327" t="str">
        <f>IFERROR(VLOOKUP(record[[#This Row],[PCUSTID]],廠商[],2,FALSE),"")</f>
        <v/>
      </c>
      <c r="S7327" t="str">
        <f>VLOOKUP(record[[#This Row],[employeeID]],員工[],2,FALSE)</f>
        <v>謝蓁薰</v>
      </c>
    </row>
    <row r="7328" spans="6:19" hidden="1" x14ac:dyDescent="0.25">
      <c r="F7328" t="s">
        <v>1065</v>
      </c>
      <c r="G7328" t="s">
        <v>428</v>
      </c>
      <c r="H7328" t="str">
        <f>VLOOKUP(record[[#This Row],[ProcessSN]],表格2_7[],2,FALSE)</f>
        <v>30-4118-018-600</v>
      </c>
      <c r="I7328" t="str">
        <f>VLOOKUP(record[[#This Row],[ProcessSN]],表格2_7[],3,FALSE)</f>
        <v>#100SHIP</v>
      </c>
      <c r="J7328" t="s">
        <v>600</v>
      </c>
      <c r="K7328" s="195">
        <v>45933.38957175926</v>
      </c>
      <c r="L7328">
        <v>101</v>
      </c>
      <c r="M7328">
        <v>0</v>
      </c>
      <c r="N7328" s="98" t="str">
        <f>IF(record[[#This Row],[Memo]]="Browser:chrome os:android","平板報工",IF(record[[#This Row],[Memo]]=0,"委外",record[[#This Row],[Memo]]))</f>
        <v/>
      </c>
      <c r="O7328" t="s">
        <v>58</v>
      </c>
      <c r="P7328" t="s">
        <v>886</v>
      </c>
      <c r="Q7328" t="s">
        <v>58</v>
      </c>
      <c r="R7328" t="str">
        <f>IFERROR(VLOOKUP(record[[#This Row],[PCUSTID]],廠商[],2,FALSE),"")</f>
        <v/>
      </c>
      <c r="S7328" t="str">
        <f>VLOOKUP(record[[#This Row],[employeeID]],員工[],2,FALSE)</f>
        <v>謝蓁薰</v>
      </c>
    </row>
    <row r="7329" spans="6:19" hidden="1" x14ac:dyDescent="0.25">
      <c r="F7329" t="s">
        <v>1045</v>
      </c>
      <c r="G7329" t="s">
        <v>362</v>
      </c>
      <c r="H7329" t="str">
        <f>VLOOKUP(record[[#This Row],[ProcessSN]],表格2_7[],2,FALSE)</f>
        <v>30-4118-018-450</v>
      </c>
      <c r="I7329" t="str">
        <f>VLOOKUP(record[[#This Row],[ProcessSN]],表格2_7[],3,FALSE)</f>
        <v>#100SHIP</v>
      </c>
      <c r="J7329" t="s">
        <v>600</v>
      </c>
      <c r="K7329" s="195">
        <v>45933.389444444445</v>
      </c>
      <c r="L7329">
        <v>8</v>
      </c>
      <c r="M7329">
        <v>0</v>
      </c>
      <c r="N7329" s="98" t="str">
        <f>IF(record[[#This Row],[Memo]]="Browser:chrome os:android","平板報工",IF(record[[#This Row],[Memo]]=0,"委外",record[[#This Row],[Memo]]))</f>
        <v/>
      </c>
      <c r="O7329" t="s">
        <v>58</v>
      </c>
      <c r="P7329" t="s">
        <v>886</v>
      </c>
      <c r="Q7329" t="s">
        <v>58</v>
      </c>
      <c r="R7329" t="str">
        <f>IFERROR(VLOOKUP(record[[#This Row],[PCUSTID]],廠商[],2,FALSE),"")</f>
        <v/>
      </c>
      <c r="S7329" t="str">
        <f>VLOOKUP(record[[#This Row],[employeeID]],員工[],2,FALSE)</f>
        <v>謝蓁薰</v>
      </c>
    </row>
    <row r="7330" spans="6:19" hidden="1" x14ac:dyDescent="0.25">
      <c r="F7330" t="s">
        <v>1101</v>
      </c>
      <c r="G7330" t="s">
        <v>371</v>
      </c>
      <c r="H7330" t="str">
        <f>VLOOKUP(record[[#This Row],[ProcessSN]],表格2_7[],2,FALSE)</f>
        <v>30-4118-018-4XX</v>
      </c>
      <c r="I7330" t="str">
        <f>VLOOKUP(record[[#This Row],[ProcessSN]],表格2_7[],3,FALSE)</f>
        <v>#03PICK</v>
      </c>
      <c r="J7330" t="s">
        <v>582</v>
      </c>
      <c r="K7330" s="195">
        <v>45933.351967592593</v>
      </c>
      <c r="L7330">
        <v>1484</v>
      </c>
      <c r="M7330">
        <v>0</v>
      </c>
      <c r="N7330" s="98" t="str">
        <f>IF(record[[#This Row],[Memo]]="Browser:chrome os:android","平板報工",IF(record[[#This Row],[Memo]]=0,"委外",record[[#This Row],[Memo]]))</f>
        <v/>
      </c>
      <c r="O7330" t="s">
        <v>58</v>
      </c>
      <c r="P7330" t="s">
        <v>65</v>
      </c>
      <c r="Q7330" t="s">
        <v>58</v>
      </c>
      <c r="R7330" t="str">
        <f>IFERROR(VLOOKUP(record[[#This Row],[PCUSTID]],廠商[],2,FALSE),"")</f>
        <v/>
      </c>
      <c r="S7330" t="str">
        <f>VLOOKUP(record[[#This Row],[employeeID]],員工[],2,FALSE)</f>
        <v>蘇進昌</v>
      </c>
    </row>
    <row r="7331" spans="6:19" hidden="1" x14ac:dyDescent="0.25">
      <c r="F7331" t="s">
        <v>1099</v>
      </c>
      <c r="G7331" t="s">
        <v>445</v>
      </c>
      <c r="H7331" t="str">
        <f>VLOOKUP(record[[#This Row],[ProcessSN]],表格2_7[],2,FALSE)</f>
        <v>30-4118-018-6XX</v>
      </c>
      <c r="I7331" t="str">
        <f>VLOOKUP(record[[#This Row],[ProcessSN]],表格2_7[],3,FALSE)</f>
        <v>#03PICK</v>
      </c>
      <c r="J7331" t="s">
        <v>582</v>
      </c>
      <c r="K7331" s="195">
        <v>45933.351851851854</v>
      </c>
      <c r="L7331">
        <v>2500</v>
      </c>
      <c r="M7331">
        <v>0</v>
      </c>
      <c r="N7331" s="98" t="str">
        <f>IF(record[[#This Row],[Memo]]="Browser:chrome os:android","平板報工",IF(record[[#This Row],[Memo]]=0,"委外",record[[#This Row],[Memo]]))</f>
        <v/>
      </c>
      <c r="O7331" t="s">
        <v>58</v>
      </c>
      <c r="P7331" t="s">
        <v>65</v>
      </c>
      <c r="Q7331" t="s">
        <v>58</v>
      </c>
      <c r="R7331" t="str">
        <f>IFERROR(VLOOKUP(record[[#This Row],[PCUSTID]],廠商[],2,FALSE),"")</f>
        <v/>
      </c>
      <c r="S7331" t="str">
        <f>VLOOKUP(record[[#This Row],[employeeID]],員工[],2,FALSE)</f>
        <v>蘇進昌</v>
      </c>
    </row>
    <row r="7332" spans="6:19" hidden="1" x14ac:dyDescent="0.25">
      <c r="F7332" t="s">
        <v>1081</v>
      </c>
      <c r="G7332" t="s">
        <v>427</v>
      </c>
      <c r="H7332" t="str">
        <f>VLOOKUP(record[[#This Row],[ProcessSN]],表格2_7[],2,FALSE)</f>
        <v>30-4118-018-600</v>
      </c>
      <c r="I7332" t="str">
        <f>VLOOKUP(record[[#This Row],[ProcessSN]],表格2_7[],3,FALSE)</f>
        <v>#100STOCK</v>
      </c>
      <c r="J7332" t="s">
        <v>592</v>
      </c>
      <c r="K7332" s="195">
        <v>45933.339502314811</v>
      </c>
      <c r="L7332">
        <v>263</v>
      </c>
      <c r="M7332">
        <v>0</v>
      </c>
      <c r="N7332" s="98" t="str">
        <f>IF(record[[#This Row],[Memo]]="Browser:chrome os:android","平板報工",IF(record[[#This Row],[Memo]]=0,"委外",record[[#This Row],[Memo]]))</f>
        <v/>
      </c>
      <c r="O7332" t="s">
        <v>58</v>
      </c>
      <c r="P7332" t="s">
        <v>886</v>
      </c>
      <c r="Q7332" t="s">
        <v>58</v>
      </c>
      <c r="R7332" t="str">
        <f>IFERROR(VLOOKUP(record[[#This Row],[PCUSTID]],廠商[],2,FALSE),"")</f>
        <v/>
      </c>
      <c r="S7332" t="str">
        <f>VLOOKUP(record[[#This Row],[employeeID]],員工[],2,FALSE)</f>
        <v>謝蓁薰</v>
      </c>
    </row>
    <row r="7333" spans="6:19" hidden="1" x14ac:dyDescent="0.25">
      <c r="F7333" t="s">
        <v>1081</v>
      </c>
      <c r="G7333" t="s">
        <v>426</v>
      </c>
      <c r="H7333" t="str">
        <f>VLOOKUP(record[[#This Row],[ProcessSN]],表格2_7[],2,FALSE)</f>
        <v>30-4118-018-600</v>
      </c>
      <c r="I7333" t="str">
        <f>VLOOKUP(record[[#This Row],[ProcessSN]],表格2_7[],3,FALSE)</f>
        <v>#100OQC</v>
      </c>
      <c r="J7333" t="s">
        <v>599</v>
      </c>
      <c r="K7333" s="195">
        <v>45932.632870370369</v>
      </c>
      <c r="L7333">
        <v>263</v>
      </c>
      <c r="M7333">
        <v>0</v>
      </c>
      <c r="N7333" s="98" t="str">
        <f>IF(record[[#This Row],[Memo]]="Browser:chrome os:android","平板報工",IF(record[[#This Row],[Memo]]=0,"委外",record[[#This Row],[Memo]]))</f>
        <v/>
      </c>
      <c r="O7333" t="s">
        <v>58</v>
      </c>
      <c r="P7333" t="s">
        <v>121</v>
      </c>
      <c r="Q7333" t="s">
        <v>58</v>
      </c>
      <c r="R7333" t="str">
        <f>IFERROR(VLOOKUP(record[[#This Row],[PCUSTID]],廠商[],2,FALSE),"")</f>
        <v/>
      </c>
      <c r="S7333" t="str">
        <f>VLOOKUP(record[[#This Row],[employeeID]],員工[],2,FALSE)</f>
        <v>謝素卿</v>
      </c>
    </row>
    <row r="7334" spans="6:19" hidden="1" x14ac:dyDescent="0.25">
      <c r="F7334" t="s">
        <v>1081</v>
      </c>
      <c r="G7334" t="s">
        <v>425</v>
      </c>
      <c r="H7334" t="str">
        <f>VLOOKUP(record[[#This Row],[ProcessSN]],表格2_7[],2,FALSE)</f>
        <v>30-4118-018-600</v>
      </c>
      <c r="I7334" t="str">
        <f>VLOOKUP(record[[#This Row],[ProcessSN]],表格2_7[],3,FALSE)</f>
        <v>#100</v>
      </c>
      <c r="J7334" t="s">
        <v>598</v>
      </c>
      <c r="K7334" s="195">
        <v>45932.572442129633</v>
      </c>
      <c r="L7334">
        <v>263</v>
      </c>
      <c r="M7334">
        <v>0</v>
      </c>
      <c r="N7334" s="98" t="str">
        <f>IF(record[[#This Row],[Memo]]="Browser:chrome os:android","平板報工",IF(record[[#This Row],[Memo]]=0,"委外",record[[#This Row],[Memo]]))</f>
        <v>覆回品</v>
      </c>
      <c r="O7334" t="s">
        <v>664</v>
      </c>
      <c r="P7334" t="s">
        <v>141</v>
      </c>
      <c r="Q7334" t="s">
        <v>58</v>
      </c>
      <c r="R7334" t="str">
        <f>IFERROR(VLOOKUP(record[[#This Row],[PCUSTID]],廠商[],2,FALSE),"")</f>
        <v/>
      </c>
      <c r="S7334" t="str">
        <f>VLOOKUP(record[[#This Row],[employeeID]],員工[],2,FALSE)</f>
        <v>蔣梅</v>
      </c>
    </row>
    <row r="7335" spans="6:19" hidden="1" x14ac:dyDescent="0.25">
      <c r="F7335" t="s">
        <v>1081</v>
      </c>
      <c r="G7335" t="s">
        <v>424</v>
      </c>
      <c r="H7335" t="str">
        <f>VLOOKUP(record[[#This Row],[ProcessSN]],表格2_7[],2,FALSE)</f>
        <v>30-4118-018-600</v>
      </c>
      <c r="I7335" t="str">
        <f>VLOOKUP(record[[#This Row],[ProcessSN]],表格2_7[],3,FALSE)</f>
        <v>#08IQC</v>
      </c>
      <c r="J7335" t="s">
        <v>583</v>
      </c>
      <c r="K7335" s="195">
        <v>45932.571898148148</v>
      </c>
      <c r="L7335">
        <v>167</v>
      </c>
      <c r="M7335">
        <v>0</v>
      </c>
      <c r="N7335" s="98" t="str">
        <f>IF(record[[#This Row],[Memo]]="Browser:chrome os:android","平板報工",IF(record[[#This Row],[Memo]]=0,"委外",record[[#This Row],[Memo]]))</f>
        <v>覆回品</v>
      </c>
      <c r="O7335" t="s">
        <v>664</v>
      </c>
      <c r="P7335" t="s">
        <v>141</v>
      </c>
      <c r="Q7335" t="s">
        <v>58</v>
      </c>
      <c r="R7335" t="str">
        <f>IFERROR(VLOOKUP(record[[#This Row],[PCUSTID]],廠商[],2,FALSE),"")</f>
        <v/>
      </c>
      <c r="S7335" t="str">
        <f>VLOOKUP(record[[#This Row],[employeeID]],員工[],2,FALSE)</f>
        <v>蔣梅</v>
      </c>
    </row>
    <row r="7336" spans="6:19" hidden="1" x14ac:dyDescent="0.25">
      <c r="F7336" t="s">
        <v>1081</v>
      </c>
      <c r="G7336" t="s">
        <v>423</v>
      </c>
      <c r="H7336" t="str">
        <f>VLOOKUP(record[[#This Row],[ProcessSN]],表格2_7[],2,FALSE)</f>
        <v>30-4118-018-600</v>
      </c>
      <c r="I7336" t="str">
        <f>VLOOKUP(record[[#This Row],[ProcessSN]],表格2_7[],3,FALSE)</f>
        <v>#08RCV</v>
      </c>
      <c r="J7336" t="s">
        <v>591</v>
      </c>
      <c r="K7336" s="195">
        <v>45932.571701388886</v>
      </c>
      <c r="L7336">
        <v>167</v>
      </c>
      <c r="M7336">
        <v>0</v>
      </c>
      <c r="N7336" s="98" t="str">
        <f>IF(record[[#This Row],[Memo]]="Browser:chrome os:android","平板報工",IF(record[[#This Row],[Memo]]=0,"委外",record[[#This Row],[Memo]]))</f>
        <v>覆回品</v>
      </c>
      <c r="O7336" t="s">
        <v>664</v>
      </c>
      <c r="P7336" t="s">
        <v>141</v>
      </c>
      <c r="Q7336" t="s">
        <v>58</v>
      </c>
      <c r="R7336" t="str">
        <f>IFERROR(VLOOKUP(record[[#This Row],[PCUSTID]],廠商[],2,FALSE),"")</f>
        <v/>
      </c>
      <c r="S7336" t="str">
        <f>VLOOKUP(record[[#This Row],[employeeID]],員工[],2,FALSE)</f>
        <v>蔣梅</v>
      </c>
    </row>
    <row r="7337" spans="6:19" hidden="1" x14ac:dyDescent="0.25">
      <c r="F7337" t="s">
        <v>1041</v>
      </c>
      <c r="G7337" t="s">
        <v>362</v>
      </c>
      <c r="H7337" t="str">
        <f>VLOOKUP(record[[#This Row],[ProcessSN]],表格2_7[],2,FALSE)</f>
        <v>30-4118-018-450</v>
      </c>
      <c r="I7337" t="str">
        <f>VLOOKUP(record[[#This Row],[ProcessSN]],表格2_7[],3,FALSE)</f>
        <v>#100SHIP</v>
      </c>
      <c r="J7337" t="s">
        <v>600</v>
      </c>
      <c r="K7337" s="195">
        <v>45932.566863425927</v>
      </c>
      <c r="L7337">
        <v>2</v>
      </c>
      <c r="M7337">
        <v>0</v>
      </c>
      <c r="N7337" s="98" t="str">
        <f>IF(record[[#This Row],[Memo]]="Browser:chrome os:android","平板報工",IF(record[[#This Row],[Memo]]=0,"委外",record[[#This Row],[Memo]]))</f>
        <v/>
      </c>
      <c r="O7337" t="s">
        <v>58</v>
      </c>
      <c r="P7337" t="s">
        <v>886</v>
      </c>
      <c r="Q7337" t="s">
        <v>58</v>
      </c>
      <c r="R7337" t="str">
        <f>IFERROR(VLOOKUP(record[[#This Row],[PCUSTID]],廠商[],2,FALSE),"")</f>
        <v/>
      </c>
      <c r="S7337" t="str">
        <f>VLOOKUP(record[[#This Row],[employeeID]],員工[],2,FALSE)</f>
        <v>謝蓁薰</v>
      </c>
    </row>
    <row r="7338" spans="6:19" hidden="1" x14ac:dyDescent="0.25">
      <c r="F7338" t="s">
        <v>1052</v>
      </c>
      <c r="G7338" t="s">
        <v>402</v>
      </c>
      <c r="H7338" t="str">
        <f>VLOOKUP(record[[#This Row],[ProcessSN]],表格2_7[],2,FALSE)</f>
        <v>30-4118-018-550</v>
      </c>
      <c r="I7338" t="str">
        <f>VLOOKUP(record[[#This Row],[ProcessSN]],表格2_7[],3,FALSE)</f>
        <v>#100STOCK</v>
      </c>
      <c r="J7338" t="s">
        <v>592</v>
      </c>
      <c r="K7338" s="195">
        <v>45931.693622685183</v>
      </c>
      <c r="L7338">
        <v>66</v>
      </c>
      <c r="M7338">
        <v>0</v>
      </c>
      <c r="N7338" s="98" t="str">
        <f>IF(record[[#This Row],[Memo]]="Browser:chrome os:android","平板報工",IF(record[[#This Row],[Memo]]=0,"委外",record[[#This Row],[Memo]]))</f>
        <v/>
      </c>
      <c r="O7338" t="s">
        <v>58</v>
      </c>
      <c r="P7338" t="s">
        <v>886</v>
      </c>
      <c r="Q7338" t="s">
        <v>58</v>
      </c>
      <c r="R7338" t="str">
        <f>IFERROR(VLOOKUP(record[[#This Row],[PCUSTID]],廠商[],2,FALSE),"")</f>
        <v/>
      </c>
      <c r="S7338" t="str">
        <f>VLOOKUP(record[[#This Row],[employeeID]],員工[],2,FALSE)</f>
        <v>謝蓁薰</v>
      </c>
    </row>
    <row r="7339" spans="6:19" hidden="1" x14ac:dyDescent="0.25">
      <c r="F7339" t="s">
        <v>1064</v>
      </c>
      <c r="G7339" t="s">
        <v>402</v>
      </c>
      <c r="H7339" t="str">
        <f>VLOOKUP(record[[#This Row],[ProcessSN]],表格2_7[],2,FALSE)</f>
        <v>30-4118-018-550</v>
      </c>
      <c r="I7339" t="str">
        <f>VLOOKUP(record[[#This Row],[ProcessSN]],表格2_7[],3,FALSE)</f>
        <v>#100STOCK</v>
      </c>
      <c r="J7339" t="s">
        <v>592</v>
      </c>
      <c r="K7339" s="195">
        <v>45931.69321759259</v>
      </c>
      <c r="L7339">
        <v>318</v>
      </c>
      <c r="M7339">
        <v>0</v>
      </c>
      <c r="N7339" s="98" t="str">
        <f>IF(record[[#This Row],[Memo]]="Browser:chrome os:android","平板報工",IF(record[[#This Row],[Memo]]=0,"委外",record[[#This Row],[Memo]]))</f>
        <v/>
      </c>
      <c r="O7339" t="s">
        <v>58</v>
      </c>
      <c r="P7339" t="s">
        <v>886</v>
      </c>
      <c r="Q7339" t="s">
        <v>58</v>
      </c>
      <c r="R7339" t="str">
        <f>IFERROR(VLOOKUP(record[[#This Row],[PCUSTID]],廠商[],2,FALSE),"")</f>
        <v/>
      </c>
      <c r="S7339" t="str">
        <f>VLOOKUP(record[[#This Row],[employeeID]],員工[],2,FALSE)</f>
        <v>謝蓁薰</v>
      </c>
    </row>
    <row r="7340" spans="6:19" hidden="1" x14ac:dyDescent="0.25">
      <c r="F7340" t="s">
        <v>1065</v>
      </c>
      <c r="G7340" t="s">
        <v>428</v>
      </c>
      <c r="H7340" t="str">
        <f>VLOOKUP(record[[#This Row],[ProcessSN]],表格2_7[],2,FALSE)</f>
        <v>30-4118-018-600</v>
      </c>
      <c r="I7340" t="str">
        <f>VLOOKUP(record[[#This Row],[ProcessSN]],表格2_7[],3,FALSE)</f>
        <v>#100SHIP</v>
      </c>
      <c r="J7340" t="s">
        <v>600</v>
      </c>
      <c r="K7340" s="195">
        <v>45931.64025462963</v>
      </c>
      <c r="L7340">
        <v>58</v>
      </c>
      <c r="M7340">
        <v>0</v>
      </c>
      <c r="N7340" s="98" t="str">
        <f>IF(record[[#This Row],[Memo]]="Browser:chrome os:android","平板報工",IF(record[[#This Row],[Memo]]=0,"委外",record[[#This Row],[Memo]]))</f>
        <v/>
      </c>
      <c r="O7340" t="s">
        <v>58</v>
      </c>
      <c r="P7340" t="s">
        <v>886</v>
      </c>
      <c r="Q7340" t="s">
        <v>58</v>
      </c>
      <c r="R7340" t="str">
        <f>IFERROR(VLOOKUP(record[[#This Row],[PCUSTID]],廠商[],2,FALSE),"")</f>
        <v/>
      </c>
      <c r="S7340" t="str">
        <f>VLOOKUP(record[[#This Row],[employeeID]],員工[],2,FALSE)</f>
        <v>謝蓁薰</v>
      </c>
    </row>
    <row r="7341" spans="6:19" hidden="1" x14ac:dyDescent="0.25">
      <c r="F7341" t="s">
        <v>984</v>
      </c>
      <c r="G7341" t="s">
        <v>428</v>
      </c>
      <c r="H7341" t="str">
        <f>VLOOKUP(record[[#This Row],[ProcessSN]],表格2_7[],2,FALSE)</f>
        <v>30-4118-018-600</v>
      </c>
      <c r="I7341" t="str">
        <f>VLOOKUP(record[[#This Row],[ProcessSN]],表格2_7[],3,FALSE)</f>
        <v>#100SHIP</v>
      </c>
      <c r="J7341" t="s">
        <v>600</v>
      </c>
      <c r="K7341" s="195">
        <v>45931.640092592592</v>
      </c>
      <c r="L7341">
        <v>289</v>
      </c>
      <c r="M7341">
        <v>0</v>
      </c>
      <c r="N7341" s="98" t="str">
        <f>IF(record[[#This Row],[Memo]]="Browser:chrome os:android","平板報工",IF(record[[#This Row],[Memo]]=0,"委外",record[[#This Row],[Memo]]))</f>
        <v/>
      </c>
      <c r="O7341" t="s">
        <v>58</v>
      </c>
      <c r="P7341" t="s">
        <v>886</v>
      </c>
      <c r="Q7341" t="s">
        <v>58</v>
      </c>
      <c r="R7341" t="str">
        <f>IFERROR(VLOOKUP(record[[#This Row],[PCUSTID]],廠商[],2,FALSE),"")</f>
        <v/>
      </c>
      <c r="S7341" t="str">
        <f>VLOOKUP(record[[#This Row],[employeeID]],員工[],2,FALSE)</f>
        <v>謝蓁薰</v>
      </c>
    </row>
    <row r="7342" spans="6:19" hidden="1" x14ac:dyDescent="0.25">
      <c r="F7342" t="s">
        <v>1065</v>
      </c>
      <c r="G7342" t="s">
        <v>427</v>
      </c>
      <c r="H7342" t="str">
        <f>VLOOKUP(record[[#This Row],[ProcessSN]],表格2_7[],2,FALSE)</f>
        <v>30-4118-018-600</v>
      </c>
      <c r="I7342" t="str">
        <f>VLOOKUP(record[[#This Row],[ProcessSN]],表格2_7[],3,FALSE)</f>
        <v>#100STOCK</v>
      </c>
      <c r="J7342" t="s">
        <v>592</v>
      </c>
      <c r="K7342" s="195">
        <v>45931.628368055557</v>
      </c>
      <c r="L7342">
        <v>159</v>
      </c>
      <c r="M7342">
        <v>0</v>
      </c>
      <c r="N7342" s="98" t="str">
        <f>IF(record[[#This Row],[Memo]]="Browser:chrome os:android","平板報工",IF(record[[#This Row],[Memo]]=0,"委外",record[[#This Row],[Memo]]))</f>
        <v/>
      </c>
      <c r="O7342" t="s">
        <v>58</v>
      </c>
      <c r="P7342" t="s">
        <v>886</v>
      </c>
      <c r="Q7342" t="s">
        <v>58</v>
      </c>
      <c r="R7342" t="str">
        <f>IFERROR(VLOOKUP(record[[#This Row],[PCUSTID]],廠商[],2,FALSE),"")</f>
        <v/>
      </c>
      <c r="S7342" t="str">
        <f>VLOOKUP(record[[#This Row],[employeeID]],員工[],2,FALSE)</f>
        <v>謝蓁薰</v>
      </c>
    </row>
    <row r="7343" spans="6:19" hidden="1" x14ac:dyDescent="0.25">
      <c r="F7343" t="s">
        <v>1067</v>
      </c>
      <c r="G7343" t="s">
        <v>427</v>
      </c>
      <c r="H7343" t="str">
        <f>VLOOKUP(record[[#This Row],[ProcessSN]],表格2_7[],2,FALSE)</f>
        <v>30-4118-018-600</v>
      </c>
      <c r="I7343" t="str">
        <f>VLOOKUP(record[[#This Row],[ProcessSN]],表格2_7[],3,FALSE)</f>
        <v>#100STOCK</v>
      </c>
      <c r="J7343" t="s">
        <v>592</v>
      </c>
      <c r="K7343" s="195">
        <v>45931.627858796295</v>
      </c>
      <c r="L7343">
        <v>163</v>
      </c>
      <c r="M7343">
        <v>0</v>
      </c>
      <c r="N7343" s="98" t="str">
        <f>IF(record[[#This Row],[Memo]]="Browser:chrome os:android","平板報工",IF(record[[#This Row],[Memo]]=0,"委外",record[[#This Row],[Memo]]))</f>
        <v/>
      </c>
      <c r="O7343" t="s">
        <v>58</v>
      </c>
      <c r="P7343" t="s">
        <v>886</v>
      </c>
      <c r="Q7343" t="s">
        <v>58</v>
      </c>
      <c r="R7343" t="str">
        <f>IFERROR(VLOOKUP(record[[#This Row],[PCUSTID]],廠商[],2,FALSE),"")</f>
        <v/>
      </c>
      <c r="S7343" t="str">
        <f>VLOOKUP(record[[#This Row],[employeeID]],員工[],2,FALSE)</f>
        <v>謝蓁薰</v>
      </c>
    </row>
    <row r="7344" spans="6:19" hidden="1" x14ac:dyDescent="0.25">
      <c r="F7344" t="s">
        <v>1081</v>
      </c>
      <c r="G7344" t="s">
        <v>427</v>
      </c>
      <c r="H7344" t="str">
        <f>VLOOKUP(record[[#This Row],[ProcessSN]],表格2_7[],2,FALSE)</f>
        <v>30-4118-018-600</v>
      </c>
      <c r="I7344" t="str">
        <f>VLOOKUP(record[[#This Row],[ProcessSN]],表格2_7[],3,FALSE)</f>
        <v>#100STOCK</v>
      </c>
      <c r="J7344" t="s">
        <v>592</v>
      </c>
      <c r="K7344" s="195">
        <v>45931.627743055556</v>
      </c>
      <c r="L7344">
        <v>245</v>
      </c>
      <c r="M7344">
        <v>0</v>
      </c>
      <c r="N7344" s="98" t="str">
        <f>IF(record[[#This Row],[Memo]]="Browser:chrome os:android","平板報工",IF(record[[#This Row],[Memo]]=0,"委外",record[[#This Row],[Memo]]))</f>
        <v/>
      </c>
      <c r="O7344" t="s">
        <v>58</v>
      </c>
      <c r="P7344" t="s">
        <v>886</v>
      </c>
      <c r="Q7344" t="s">
        <v>58</v>
      </c>
      <c r="R7344" t="str">
        <f>IFERROR(VLOOKUP(record[[#This Row],[PCUSTID]],廠商[],2,FALSE),"")</f>
        <v/>
      </c>
      <c r="S7344" t="str">
        <f>VLOOKUP(record[[#This Row],[employeeID]],員工[],2,FALSE)</f>
        <v>謝蓁薰</v>
      </c>
    </row>
    <row r="7345" spans="6:19" hidden="1" x14ac:dyDescent="0.25">
      <c r="F7345" t="s">
        <v>1048</v>
      </c>
      <c r="G7345" t="s">
        <v>402</v>
      </c>
      <c r="H7345" t="str">
        <f>VLOOKUP(record[[#This Row],[ProcessSN]],表格2_7[],2,FALSE)</f>
        <v>30-4118-018-550</v>
      </c>
      <c r="I7345" t="str">
        <f>VLOOKUP(record[[#This Row],[ProcessSN]],表格2_7[],3,FALSE)</f>
        <v>#100STOCK</v>
      </c>
      <c r="J7345" t="s">
        <v>592</v>
      </c>
      <c r="K7345" s="195">
        <v>45931.626574074071</v>
      </c>
      <c r="L7345">
        <v>307</v>
      </c>
      <c r="M7345">
        <v>0</v>
      </c>
      <c r="N7345" s="98" t="str">
        <f>IF(record[[#This Row],[Memo]]="Browser:chrome os:android","平板報工",IF(record[[#This Row],[Memo]]=0,"委外",record[[#This Row],[Memo]]))</f>
        <v/>
      </c>
      <c r="O7345" t="s">
        <v>58</v>
      </c>
      <c r="P7345" t="s">
        <v>886</v>
      </c>
      <c r="Q7345" t="s">
        <v>58</v>
      </c>
      <c r="R7345" t="str">
        <f>IFERROR(VLOOKUP(record[[#This Row],[PCUSTID]],廠商[],2,FALSE),"")</f>
        <v/>
      </c>
      <c r="S7345" t="str">
        <f>VLOOKUP(record[[#This Row],[employeeID]],員工[],2,FALSE)</f>
        <v>謝蓁薰</v>
      </c>
    </row>
    <row r="7346" spans="6:19" hidden="1" x14ac:dyDescent="0.25">
      <c r="F7346" t="s">
        <v>1047</v>
      </c>
      <c r="G7346" t="s">
        <v>402</v>
      </c>
      <c r="H7346" t="str">
        <f>VLOOKUP(record[[#This Row],[ProcessSN]],表格2_7[],2,FALSE)</f>
        <v>30-4118-018-550</v>
      </c>
      <c r="I7346" t="str">
        <f>VLOOKUP(record[[#This Row],[ProcessSN]],表格2_7[],3,FALSE)</f>
        <v>#100STOCK</v>
      </c>
      <c r="J7346" t="s">
        <v>592</v>
      </c>
      <c r="K7346" s="195">
        <v>45931.626354166663</v>
      </c>
      <c r="L7346">
        <v>160</v>
      </c>
      <c r="M7346">
        <v>0</v>
      </c>
      <c r="N7346" s="98" t="str">
        <f>IF(record[[#This Row],[Memo]]="Browser:chrome os:android","平板報工",IF(record[[#This Row],[Memo]]=0,"委外",record[[#This Row],[Memo]]))</f>
        <v/>
      </c>
      <c r="O7346" t="s">
        <v>58</v>
      </c>
      <c r="P7346" t="s">
        <v>886</v>
      </c>
      <c r="Q7346" t="s">
        <v>58</v>
      </c>
      <c r="R7346" t="str">
        <f>IFERROR(VLOOKUP(record[[#This Row],[PCUSTID]],廠商[],2,FALSE),"")</f>
        <v/>
      </c>
      <c r="S7346" t="str">
        <f>VLOOKUP(record[[#This Row],[employeeID]],員工[],2,FALSE)</f>
        <v>謝蓁薰</v>
      </c>
    </row>
    <row r="7347" spans="6:19" hidden="1" x14ac:dyDescent="0.25">
      <c r="F7347" t="s">
        <v>1011</v>
      </c>
      <c r="G7347" t="s">
        <v>402</v>
      </c>
      <c r="H7347" t="str">
        <f>VLOOKUP(record[[#This Row],[ProcessSN]],表格2_7[],2,FALSE)</f>
        <v>30-4118-018-550</v>
      </c>
      <c r="I7347" t="str">
        <f>VLOOKUP(record[[#This Row],[ProcessSN]],表格2_7[],3,FALSE)</f>
        <v>#100STOCK</v>
      </c>
      <c r="J7347" t="s">
        <v>592</v>
      </c>
      <c r="K7347" s="195">
        <v>45931.626087962963</v>
      </c>
      <c r="L7347">
        <v>41</v>
      </c>
      <c r="M7347">
        <v>0</v>
      </c>
      <c r="N7347" s="98" t="str">
        <f>IF(record[[#This Row],[Memo]]="Browser:chrome os:android","平板報工",IF(record[[#This Row],[Memo]]=0,"委外",record[[#This Row],[Memo]]))</f>
        <v/>
      </c>
      <c r="O7347" t="s">
        <v>58</v>
      </c>
      <c r="P7347" t="s">
        <v>886</v>
      </c>
      <c r="Q7347" t="s">
        <v>58</v>
      </c>
      <c r="R7347" t="str">
        <f>IFERROR(VLOOKUP(record[[#This Row],[PCUSTID]],廠商[],2,FALSE),"")</f>
        <v/>
      </c>
      <c r="S7347" t="str">
        <f>VLOOKUP(record[[#This Row],[employeeID]],員工[],2,FALSE)</f>
        <v>謝蓁薰</v>
      </c>
    </row>
    <row r="7348" spans="6:19" hidden="1" x14ac:dyDescent="0.25">
      <c r="F7348" t="s">
        <v>999</v>
      </c>
      <c r="G7348" t="s">
        <v>402</v>
      </c>
      <c r="H7348" t="str">
        <f>VLOOKUP(record[[#This Row],[ProcessSN]],表格2_7[],2,FALSE)</f>
        <v>30-4118-018-550</v>
      </c>
      <c r="I7348" t="str">
        <f>VLOOKUP(record[[#This Row],[ProcessSN]],表格2_7[],3,FALSE)</f>
        <v>#100STOCK</v>
      </c>
      <c r="J7348" t="s">
        <v>592</v>
      </c>
      <c r="K7348" s="195">
        <v>45931.625949074078</v>
      </c>
      <c r="L7348">
        <v>2</v>
      </c>
      <c r="M7348">
        <v>0</v>
      </c>
      <c r="N7348" s="98" t="str">
        <f>IF(record[[#This Row],[Memo]]="Browser:chrome os:android","平板報工",IF(record[[#This Row],[Memo]]=0,"委外",record[[#This Row],[Memo]]))</f>
        <v/>
      </c>
      <c r="O7348" t="s">
        <v>58</v>
      </c>
      <c r="P7348" t="s">
        <v>886</v>
      </c>
      <c r="Q7348" t="s">
        <v>58</v>
      </c>
      <c r="R7348" t="str">
        <f>IFERROR(VLOOKUP(record[[#This Row],[PCUSTID]],廠商[],2,FALSE),"")</f>
        <v/>
      </c>
      <c r="S7348" t="str">
        <f>VLOOKUP(record[[#This Row],[employeeID]],員工[],2,FALSE)</f>
        <v>謝蓁薰</v>
      </c>
    </row>
    <row r="7349" spans="6:19" hidden="1" x14ac:dyDescent="0.25">
      <c r="F7349" t="s">
        <v>1081</v>
      </c>
      <c r="G7349" t="s">
        <v>426</v>
      </c>
      <c r="H7349" t="str">
        <f>VLOOKUP(record[[#This Row],[ProcessSN]],表格2_7[],2,FALSE)</f>
        <v>30-4118-018-600</v>
      </c>
      <c r="I7349" t="str">
        <f>VLOOKUP(record[[#This Row],[ProcessSN]],表格2_7[],3,FALSE)</f>
        <v>#100OQC</v>
      </c>
      <c r="J7349" t="s">
        <v>599</v>
      </c>
      <c r="K7349" s="195">
        <v>45931.587870370371</v>
      </c>
      <c r="L7349">
        <v>245</v>
      </c>
      <c r="M7349">
        <v>0</v>
      </c>
      <c r="N7349" s="98" t="str">
        <f>IF(record[[#This Row],[Memo]]="Browser:chrome os:android","平板報工",IF(record[[#This Row],[Memo]]=0,"委外",record[[#This Row],[Memo]]))</f>
        <v/>
      </c>
      <c r="O7349" t="s">
        <v>58</v>
      </c>
      <c r="P7349" t="s">
        <v>121</v>
      </c>
      <c r="Q7349" t="s">
        <v>58</v>
      </c>
      <c r="R7349" t="str">
        <f>IFERROR(VLOOKUP(record[[#This Row],[PCUSTID]],廠商[],2,FALSE),"")</f>
        <v/>
      </c>
      <c r="S7349" t="str">
        <f>VLOOKUP(record[[#This Row],[employeeID]],員工[],2,FALSE)</f>
        <v>謝素卿</v>
      </c>
    </row>
    <row r="7350" spans="6:19" hidden="1" x14ac:dyDescent="0.25">
      <c r="F7350" t="s">
        <v>1093</v>
      </c>
      <c r="G7350" t="s">
        <v>426</v>
      </c>
      <c r="H7350" t="str">
        <f>VLOOKUP(record[[#This Row],[ProcessSN]],表格2_7[],2,FALSE)</f>
        <v>30-4118-018-600</v>
      </c>
      <c r="I7350" t="str">
        <f>VLOOKUP(record[[#This Row],[ProcessSN]],表格2_7[],3,FALSE)</f>
        <v>#100OQC</v>
      </c>
      <c r="J7350" t="s">
        <v>599</v>
      </c>
      <c r="K7350" s="195">
        <v>45931.587719907409</v>
      </c>
      <c r="L7350">
        <v>163</v>
      </c>
      <c r="M7350">
        <v>0</v>
      </c>
      <c r="N7350" s="98" t="str">
        <f>IF(record[[#This Row],[Memo]]="Browser:chrome os:android","平板報工",IF(record[[#This Row],[Memo]]=0,"委外",record[[#This Row],[Memo]]))</f>
        <v/>
      </c>
      <c r="O7350" t="s">
        <v>58</v>
      </c>
      <c r="P7350" t="s">
        <v>121</v>
      </c>
      <c r="Q7350" t="s">
        <v>58</v>
      </c>
      <c r="R7350" t="str">
        <f>IFERROR(VLOOKUP(record[[#This Row],[PCUSTID]],廠商[],2,FALSE),"")</f>
        <v/>
      </c>
      <c r="S7350" t="str">
        <f>VLOOKUP(record[[#This Row],[employeeID]],員工[],2,FALSE)</f>
        <v>謝素卿</v>
      </c>
    </row>
    <row r="7351" spans="6:19" hidden="1" x14ac:dyDescent="0.25">
      <c r="F7351" t="s">
        <v>1065</v>
      </c>
      <c r="G7351" t="s">
        <v>426</v>
      </c>
      <c r="H7351" t="str">
        <f>VLOOKUP(record[[#This Row],[ProcessSN]],表格2_7[],2,FALSE)</f>
        <v>30-4118-018-600</v>
      </c>
      <c r="I7351" t="str">
        <f>VLOOKUP(record[[#This Row],[ProcessSN]],表格2_7[],3,FALSE)</f>
        <v>#100OQC</v>
      </c>
      <c r="J7351" t="s">
        <v>599</v>
      </c>
      <c r="K7351" s="195">
        <v>45931.587581018517</v>
      </c>
      <c r="L7351">
        <v>159</v>
      </c>
      <c r="M7351">
        <v>0</v>
      </c>
      <c r="N7351" s="98" t="str">
        <f>IF(record[[#This Row],[Memo]]="Browser:chrome os:android","平板報工",IF(record[[#This Row],[Memo]]=0,"委外",record[[#This Row],[Memo]]))</f>
        <v/>
      </c>
      <c r="O7351" t="s">
        <v>58</v>
      </c>
      <c r="P7351" t="s">
        <v>121</v>
      </c>
      <c r="Q7351" t="s">
        <v>58</v>
      </c>
      <c r="R7351" t="str">
        <f>IFERROR(VLOOKUP(record[[#This Row],[PCUSTID]],廠商[],2,FALSE),"")</f>
        <v/>
      </c>
      <c r="S7351" t="str">
        <f>VLOOKUP(record[[#This Row],[employeeID]],員工[],2,FALSE)</f>
        <v>謝素卿</v>
      </c>
    </row>
    <row r="7352" spans="6:19" hidden="1" x14ac:dyDescent="0.25">
      <c r="F7352" t="s">
        <v>1063</v>
      </c>
      <c r="G7352" t="s">
        <v>400</v>
      </c>
      <c r="H7352" t="str">
        <f>VLOOKUP(record[[#This Row],[ProcessSN]],表格2_7[],2,FALSE)</f>
        <v>30-4118-018-550</v>
      </c>
      <c r="I7352" t="str">
        <f>VLOOKUP(record[[#This Row],[ProcessSN]],表格2_7[],3,FALSE)</f>
        <v>#100</v>
      </c>
      <c r="J7352" t="s">
        <v>598</v>
      </c>
      <c r="K7352" s="195">
        <v>45931.4846875</v>
      </c>
      <c r="L7352">
        <v>336</v>
      </c>
      <c r="M7352">
        <v>0</v>
      </c>
      <c r="N7352" s="98" t="str">
        <f>IF(record[[#This Row],[Memo]]="Browser:chrome os:android","平板報工",IF(record[[#This Row],[Memo]]=0,"委外",record[[#This Row],[Memo]]))</f>
        <v/>
      </c>
      <c r="O7352" t="s">
        <v>58</v>
      </c>
      <c r="P7352" t="s">
        <v>141</v>
      </c>
      <c r="Q7352" t="s">
        <v>58</v>
      </c>
      <c r="R7352" t="str">
        <f>IFERROR(VLOOKUP(record[[#This Row],[PCUSTID]],廠商[],2,FALSE),"")</f>
        <v/>
      </c>
      <c r="S7352" t="str">
        <f>VLOOKUP(record[[#This Row],[employeeID]],員工[],2,FALSE)</f>
        <v>蔣梅</v>
      </c>
    </row>
    <row r="7353" spans="6:19" hidden="1" x14ac:dyDescent="0.25">
      <c r="F7353" t="s">
        <v>1059</v>
      </c>
      <c r="G7353" t="s">
        <v>400</v>
      </c>
      <c r="H7353" t="str">
        <f>VLOOKUP(record[[#This Row],[ProcessSN]],表格2_7[],2,FALSE)</f>
        <v>30-4118-018-550</v>
      </c>
      <c r="I7353" t="str">
        <f>VLOOKUP(record[[#This Row],[ProcessSN]],表格2_7[],3,FALSE)</f>
        <v>#100</v>
      </c>
      <c r="J7353" t="s">
        <v>598</v>
      </c>
      <c r="K7353" s="195">
        <v>45931.484386574077</v>
      </c>
      <c r="L7353">
        <v>468</v>
      </c>
      <c r="M7353">
        <v>0</v>
      </c>
      <c r="N7353" s="98" t="str">
        <f>IF(record[[#This Row],[Memo]]="Browser:chrome os:android","平板報工",IF(record[[#This Row],[Memo]]=0,"委外",record[[#This Row],[Memo]]))</f>
        <v/>
      </c>
      <c r="O7353" t="s">
        <v>58</v>
      </c>
      <c r="P7353" t="s">
        <v>141</v>
      </c>
      <c r="Q7353" t="s">
        <v>58</v>
      </c>
      <c r="R7353" t="str">
        <f>IFERROR(VLOOKUP(record[[#This Row],[PCUSTID]],廠商[],2,FALSE),"")</f>
        <v/>
      </c>
      <c r="S7353" t="str">
        <f>VLOOKUP(record[[#This Row],[employeeID]],員工[],2,FALSE)</f>
        <v>蔣梅</v>
      </c>
    </row>
    <row r="7354" spans="6:19" hidden="1" x14ac:dyDescent="0.25">
      <c r="F7354" t="s">
        <v>1059</v>
      </c>
      <c r="G7354" t="s">
        <v>399</v>
      </c>
      <c r="H7354" t="str">
        <f>VLOOKUP(record[[#This Row],[ProcessSN]],表格2_7[],2,FALSE)</f>
        <v>30-4118-018-550</v>
      </c>
      <c r="I7354" t="str">
        <f>VLOOKUP(record[[#This Row],[ProcessSN]],表格2_7[],3,FALSE)</f>
        <v>#08IQC</v>
      </c>
      <c r="J7354" t="s">
        <v>583</v>
      </c>
      <c r="K7354" s="195">
        <v>45931.484050925923</v>
      </c>
      <c r="L7354">
        <v>10</v>
      </c>
      <c r="M7354">
        <v>0</v>
      </c>
      <c r="N7354" s="98" t="str">
        <f>IF(record[[#This Row],[Memo]]="Browser:chrome os:android","平板報工",IF(record[[#This Row],[Memo]]=0,"委外",record[[#This Row],[Memo]]))</f>
        <v>覆回品</v>
      </c>
      <c r="O7354" t="s">
        <v>664</v>
      </c>
      <c r="P7354" t="s">
        <v>141</v>
      </c>
      <c r="Q7354" t="s">
        <v>58</v>
      </c>
      <c r="R7354" t="str">
        <f>IFERROR(VLOOKUP(record[[#This Row],[PCUSTID]],廠商[],2,FALSE),"")</f>
        <v/>
      </c>
      <c r="S7354" t="str">
        <f>VLOOKUP(record[[#This Row],[employeeID]],員工[],2,FALSE)</f>
        <v>蔣梅</v>
      </c>
    </row>
    <row r="7355" spans="6:19" hidden="1" x14ac:dyDescent="0.25">
      <c r="F7355" t="s">
        <v>1059</v>
      </c>
      <c r="G7355" t="s">
        <v>398</v>
      </c>
      <c r="H7355" t="str">
        <f>VLOOKUP(record[[#This Row],[ProcessSN]],表格2_7[],2,FALSE)</f>
        <v>30-4118-018-550</v>
      </c>
      <c r="I7355" t="str">
        <f>VLOOKUP(record[[#This Row],[ProcessSN]],表格2_7[],3,FALSE)</f>
        <v>#08RCV</v>
      </c>
      <c r="J7355" t="s">
        <v>591</v>
      </c>
      <c r="K7355" s="195">
        <v>45931.483530092592</v>
      </c>
      <c r="L7355">
        <v>0</v>
      </c>
      <c r="M7355">
        <v>31</v>
      </c>
      <c r="N7355" s="98" t="str">
        <f>IF(record[[#This Row],[Memo]]="Browser:chrome os:android","平板報工",IF(record[[#This Row],[Memo]]=0,"委外",record[[#This Row],[Memo]]))</f>
        <v/>
      </c>
      <c r="O7355" t="s">
        <v>58</v>
      </c>
      <c r="P7355" t="s">
        <v>141</v>
      </c>
      <c r="Q7355" t="s">
        <v>58</v>
      </c>
      <c r="R7355" t="str">
        <f>IFERROR(VLOOKUP(record[[#This Row],[PCUSTID]],廠商[],2,FALSE),"")</f>
        <v/>
      </c>
      <c r="S7355" t="str">
        <f>VLOOKUP(record[[#This Row],[employeeID]],員工[],2,FALSE)</f>
        <v>蔣梅</v>
      </c>
    </row>
    <row r="7356" spans="6:19" hidden="1" x14ac:dyDescent="0.25">
      <c r="F7356" t="s">
        <v>1059</v>
      </c>
      <c r="G7356" t="s">
        <v>398</v>
      </c>
      <c r="H7356" t="str">
        <f>VLOOKUP(record[[#This Row],[ProcessSN]],表格2_7[],2,FALSE)</f>
        <v>30-4118-018-550</v>
      </c>
      <c r="I7356" t="str">
        <f>VLOOKUP(record[[#This Row],[ProcessSN]],表格2_7[],3,FALSE)</f>
        <v>#08RCV</v>
      </c>
      <c r="J7356" t="s">
        <v>591</v>
      </c>
      <c r="K7356" s="195">
        <v>45931.483298611114</v>
      </c>
      <c r="L7356">
        <v>10</v>
      </c>
      <c r="M7356">
        <v>0</v>
      </c>
      <c r="N7356" s="98" t="str">
        <f>IF(record[[#This Row],[Memo]]="Browser:chrome os:android","平板報工",IF(record[[#This Row],[Memo]]=0,"委外",record[[#This Row],[Memo]]))</f>
        <v>覆回品</v>
      </c>
      <c r="O7356" t="s">
        <v>664</v>
      </c>
      <c r="P7356" t="s">
        <v>141</v>
      </c>
      <c r="Q7356" t="s">
        <v>58</v>
      </c>
      <c r="R7356" t="str">
        <f>IFERROR(VLOOKUP(record[[#This Row],[PCUSTID]],廠商[],2,FALSE),"")</f>
        <v/>
      </c>
      <c r="S7356" t="str">
        <f>VLOOKUP(record[[#This Row],[employeeID]],員工[],2,FALSE)</f>
        <v>蔣梅</v>
      </c>
    </row>
    <row r="7357" spans="6:19" hidden="1" x14ac:dyDescent="0.25">
      <c r="F7357" t="s">
        <v>1081</v>
      </c>
      <c r="G7357" t="s">
        <v>424</v>
      </c>
      <c r="H7357" t="str">
        <f>VLOOKUP(record[[#This Row],[ProcessSN]],表格2_7[],2,FALSE)</f>
        <v>30-4118-018-600</v>
      </c>
      <c r="I7357" t="str">
        <f>VLOOKUP(record[[#This Row],[ProcessSN]],表格2_7[],3,FALSE)</f>
        <v>#08IQC</v>
      </c>
      <c r="J7357" t="s">
        <v>583</v>
      </c>
      <c r="K7357" s="195">
        <v>45930.758472222224</v>
      </c>
      <c r="L7357">
        <v>90</v>
      </c>
      <c r="M7357">
        <v>0</v>
      </c>
      <c r="N7357" s="98" t="str">
        <f>IF(record[[#This Row],[Memo]]="Browser:chrome os:android","平板報工",IF(record[[#This Row],[Memo]]=0,"委外",record[[#This Row],[Memo]]))</f>
        <v/>
      </c>
      <c r="O7357" t="s">
        <v>58</v>
      </c>
      <c r="P7357" t="s">
        <v>109</v>
      </c>
      <c r="Q7357" t="s">
        <v>58</v>
      </c>
      <c r="R7357" t="str">
        <f>IFERROR(VLOOKUP(record[[#This Row],[PCUSTID]],廠商[],2,FALSE),"")</f>
        <v/>
      </c>
      <c r="S7357" t="str">
        <f>VLOOKUP(record[[#This Row],[employeeID]],員工[],2,FALSE)</f>
        <v>裴氏璧鳳</v>
      </c>
    </row>
    <row r="7358" spans="6:19" hidden="1" x14ac:dyDescent="0.25">
      <c r="F7358" t="s">
        <v>1081</v>
      </c>
      <c r="G7358" t="s">
        <v>425</v>
      </c>
      <c r="H7358" t="str">
        <f>VLOOKUP(record[[#This Row],[ProcessSN]],表格2_7[],2,FALSE)</f>
        <v>30-4118-018-600</v>
      </c>
      <c r="I7358" t="str">
        <f>VLOOKUP(record[[#This Row],[ProcessSN]],表格2_7[],3,FALSE)</f>
        <v>#100</v>
      </c>
      <c r="J7358" t="s">
        <v>598</v>
      </c>
      <c r="K7358" s="195">
        <v>45930.676655092589</v>
      </c>
      <c r="L7358">
        <v>245</v>
      </c>
      <c r="M7358">
        <v>0</v>
      </c>
      <c r="N7358" s="98" t="str">
        <f>IF(record[[#This Row],[Memo]]="Browser:chrome os:android","平板報工",IF(record[[#This Row],[Memo]]=0,"委外",record[[#This Row],[Memo]]))</f>
        <v/>
      </c>
      <c r="O7358" t="s">
        <v>58</v>
      </c>
      <c r="P7358" t="s">
        <v>99</v>
      </c>
      <c r="Q7358" t="s">
        <v>58</v>
      </c>
      <c r="R7358" t="str">
        <f>IFERROR(VLOOKUP(record[[#This Row],[PCUSTID]],廠商[],2,FALSE),"")</f>
        <v/>
      </c>
      <c r="S7358" t="str">
        <f>VLOOKUP(record[[#This Row],[employeeID]],員工[],2,FALSE)</f>
        <v>阮氏河</v>
      </c>
    </row>
    <row r="7359" spans="6:19" hidden="1" x14ac:dyDescent="0.25">
      <c r="F7359" t="s">
        <v>1093</v>
      </c>
      <c r="G7359" t="s">
        <v>425</v>
      </c>
      <c r="H7359" t="str">
        <f>VLOOKUP(record[[#This Row],[ProcessSN]],表格2_7[],2,FALSE)</f>
        <v>30-4118-018-600</v>
      </c>
      <c r="I7359" t="str">
        <f>VLOOKUP(record[[#This Row],[ProcessSN]],表格2_7[],3,FALSE)</f>
        <v>#100</v>
      </c>
      <c r="J7359" t="s">
        <v>598</v>
      </c>
      <c r="K7359" s="195">
        <v>45930.674872685187</v>
      </c>
      <c r="L7359">
        <v>163</v>
      </c>
      <c r="M7359">
        <v>0</v>
      </c>
      <c r="N7359" s="98" t="str">
        <f>IF(record[[#This Row],[Memo]]="Browser:chrome os:android","平板報工",IF(record[[#This Row],[Memo]]=0,"委外",record[[#This Row],[Memo]]))</f>
        <v/>
      </c>
      <c r="O7359" t="s">
        <v>58</v>
      </c>
      <c r="P7359" t="s">
        <v>99</v>
      </c>
      <c r="Q7359" t="s">
        <v>58</v>
      </c>
      <c r="R7359" t="str">
        <f>IFERROR(VLOOKUP(record[[#This Row],[PCUSTID]],廠商[],2,FALSE),"")</f>
        <v/>
      </c>
      <c r="S7359" t="str">
        <f>VLOOKUP(record[[#This Row],[employeeID]],員工[],2,FALSE)</f>
        <v>阮氏河</v>
      </c>
    </row>
    <row r="7360" spans="6:19" hidden="1" x14ac:dyDescent="0.25">
      <c r="F7360" t="s">
        <v>1081</v>
      </c>
      <c r="G7360" t="s">
        <v>423</v>
      </c>
      <c r="H7360" t="str">
        <f>VLOOKUP(record[[#This Row],[ProcessSN]],表格2_7[],2,FALSE)</f>
        <v>30-4118-018-600</v>
      </c>
      <c r="I7360" t="str">
        <f>VLOOKUP(record[[#This Row],[ProcessSN]],表格2_7[],3,FALSE)</f>
        <v>#08RCV</v>
      </c>
      <c r="J7360" t="s">
        <v>591</v>
      </c>
      <c r="K7360" s="195">
        <v>45930.654097222221</v>
      </c>
      <c r="L7360">
        <v>90</v>
      </c>
      <c r="M7360">
        <v>0</v>
      </c>
      <c r="N7360" s="98" t="str">
        <f>IF(record[[#This Row],[Memo]]="Browser:chrome os:android","平板報工",IF(record[[#This Row],[Memo]]=0,"委外",record[[#This Row],[Memo]]))</f>
        <v/>
      </c>
      <c r="O7360" t="s">
        <v>58</v>
      </c>
      <c r="P7360" t="s">
        <v>186</v>
      </c>
      <c r="Q7360" t="s">
        <v>58</v>
      </c>
      <c r="R7360" t="str">
        <f>IFERROR(VLOOKUP(record[[#This Row],[PCUSTID]],廠商[],2,FALSE),"")</f>
        <v/>
      </c>
      <c r="S7360" t="str">
        <f>VLOOKUP(record[[#This Row],[employeeID]],員工[],2,FALSE)</f>
        <v>許文姍</v>
      </c>
    </row>
    <row r="7361" spans="6:19" hidden="1" x14ac:dyDescent="0.25">
      <c r="F7361" t="s">
        <v>1024</v>
      </c>
      <c r="G7361" t="s">
        <v>419</v>
      </c>
      <c r="H7361" t="str">
        <f>VLOOKUP(record[[#This Row],[ProcessSN]],表格2_7[],2,FALSE)</f>
        <v>30-4118-018-5XX</v>
      </c>
      <c r="I7361" t="str">
        <f>VLOOKUP(record[[#This Row],[ProcessSN]],表格2_7[],3,FALSE)</f>
        <v>#07QC</v>
      </c>
      <c r="J7361" t="s">
        <v>589</v>
      </c>
      <c r="K7361" s="195">
        <v>45930.575509259259</v>
      </c>
      <c r="L7361">
        <v>3</v>
      </c>
      <c r="M7361">
        <v>0</v>
      </c>
      <c r="N7361" s="98" t="str">
        <f>IF(record[[#This Row],[Memo]]="Browser:chrome os:android","平板報工",IF(record[[#This Row],[Memo]]=0,"委外",record[[#This Row],[Memo]]))</f>
        <v>覆回品</v>
      </c>
      <c r="O7361" t="s">
        <v>664</v>
      </c>
      <c r="P7361" t="s">
        <v>141</v>
      </c>
      <c r="Q7361" t="s">
        <v>58</v>
      </c>
      <c r="R7361" t="str">
        <f>IFERROR(VLOOKUP(record[[#This Row],[PCUSTID]],廠商[],2,FALSE),"")</f>
        <v/>
      </c>
      <c r="S7361" t="str">
        <f>VLOOKUP(record[[#This Row],[employeeID]],員工[],2,FALSE)</f>
        <v>蔣梅</v>
      </c>
    </row>
    <row r="7362" spans="6:19" hidden="1" x14ac:dyDescent="0.25">
      <c r="F7362" t="s">
        <v>1045</v>
      </c>
      <c r="G7362" t="s">
        <v>362</v>
      </c>
      <c r="H7362" t="str">
        <f>VLOOKUP(record[[#This Row],[ProcessSN]],表格2_7[],2,FALSE)</f>
        <v>30-4118-018-450</v>
      </c>
      <c r="I7362" t="str">
        <f>VLOOKUP(record[[#This Row],[ProcessSN]],表格2_7[],3,FALSE)</f>
        <v>#100SHIP</v>
      </c>
      <c r="J7362" t="s">
        <v>600</v>
      </c>
      <c r="K7362" s="195">
        <v>45930.556608796294</v>
      </c>
      <c r="L7362">
        <v>120</v>
      </c>
      <c r="M7362">
        <v>0</v>
      </c>
      <c r="N7362" s="98" t="str">
        <f>IF(record[[#This Row],[Memo]]="Browser:chrome os:android","平板報工",IF(record[[#This Row],[Memo]]=0,"委外",record[[#This Row],[Memo]]))</f>
        <v/>
      </c>
      <c r="O7362" t="s">
        <v>58</v>
      </c>
      <c r="P7362" t="s">
        <v>886</v>
      </c>
      <c r="Q7362" t="s">
        <v>58</v>
      </c>
      <c r="R7362" t="str">
        <f>IFERROR(VLOOKUP(record[[#This Row],[PCUSTID]],廠商[],2,FALSE),"")</f>
        <v/>
      </c>
      <c r="S7362" t="str">
        <f>VLOOKUP(record[[#This Row],[employeeID]],員工[],2,FALSE)</f>
        <v>謝蓁薰</v>
      </c>
    </row>
    <row r="7363" spans="6:19" hidden="1" x14ac:dyDescent="0.25">
      <c r="F7363" t="s">
        <v>984</v>
      </c>
      <c r="G7363" t="s">
        <v>428</v>
      </c>
      <c r="H7363" t="str">
        <f>VLOOKUP(record[[#This Row],[ProcessSN]],表格2_7[],2,FALSE)</f>
        <v>30-4118-018-600</v>
      </c>
      <c r="I7363" t="str">
        <f>VLOOKUP(record[[#This Row],[ProcessSN]],表格2_7[],3,FALSE)</f>
        <v>#100SHIP</v>
      </c>
      <c r="J7363" t="s">
        <v>600</v>
      </c>
      <c r="K7363" s="195">
        <v>45926.413703703707</v>
      </c>
      <c r="L7363">
        <v>1</v>
      </c>
      <c r="M7363">
        <v>0</v>
      </c>
      <c r="N7363" s="98" t="str">
        <f>IF(record[[#This Row],[Memo]]="Browser:chrome os:android","平板報工",IF(record[[#This Row],[Memo]]=0,"委外",record[[#This Row],[Memo]]))</f>
        <v/>
      </c>
      <c r="O7363" t="s">
        <v>58</v>
      </c>
      <c r="P7363" t="s">
        <v>886</v>
      </c>
      <c r="Q7363" t="s">
        <v>58</v>
      </c>
      <c r="R7363" t="str">
        <f>IFERROR(VLOOKUP(record[[#This Row],[PCUSTID]],廠商[],2,FALSE),"")</f>
        <v/>
      </c>
      <c r="S7363" t="str">
        <f>VLOOKUP(record[[#This Row],[employeeID]],員工[],2,FALSE)</f>
        <v>謝蓁薰</v>
      </c>
    </row>
    <row r="7364" spans="6:19" hidden="1" x14ac:dyDescent="0.25">
      <c r="F7364" t="s">
        <v>1052</v>
      </c>
      <c r="G7364" t="s">
        <v>403</v>
      </c>
      <c r="H7364" t="str">
        <f>VLOOKUP(record[[#This Row],[ProcessSN]],表格2_7[],2,FALSE)</f>
        <v>30-4118-018-550</v>
      </c>
      <c r="I7364" t="str">
        <f>VLOOKUP(record[[#This Row],[ProcessSN]],表格2_7[],3,FALSE)</f>
        <v>#100SHIP</v>
      </c>
      <c r="J7364" t="s">
        <v>600</v>
      </c>
      <c r="K7364" s="195">
        <v>45926.413541666669</v>
      </c>
      <c r="L7364">
        <v>246</v>
      </c>
      <c r="M7364">
        <v>0</v>
      </c>
      <c r="N7364" s="98" t="str">
        <f>IF(record[[#This Row],[Memo]]="Browser:chrome os:android","平板報工",IF(record[[#This Row],[Memo]]=0,"委外",record[[#This Row],[Memo]]))</f>
        <v/>
      </c>
      <c r="O7364" t="s">
        <v>58</v>
      </c>
      <c r="P7364" t="s">
        <v>886</v>
      </c>
      <c r="Q7364" t="s">
        <v>58</v>
      </c>
      <c r="R7364" t="str">
        <f>IFERROR(VLOOKUP(record[[#This Row],[PCUSTID]],廠商[],2,FALSE),"")</f>
        <v/>
      </c>
      <c r="S7364" t="str">
        <f>VLOOKUP(record[[#This Row],[employeeID]],員工[],2,FALSE)</f>
        <v>謝蓁薰</v>
      </c>
    </row>
    <row r="7365" spans="6:19" hidden="1" x14ac:dyDescent="0.25">
      <c r="F7365" t="s">
        <v>1052</v>
      </c>
      <c r="G7365" t="s">
        <v>402</v>
      </c>
      <c r="H7365" t="str">
        <f>VLOOKUP(record[[#This Row],[ProcessSN]],表格2_7[],2,FALSE)</f>
        <v>30-4118-018-550</v>
      </c>
      <c r="I7365" t="str">
        <f>VLOOKUP(record[[#This Row],[ProcessSN]],表格2_7[],3,FALSE)</f>
        <v>#100STOCK</v>
      </c>
      <c r="J7365" t="s">
        <v>592</v>
      </c>
      <c r="K7365" s="195">
        <v>45926.413240740738</v>
      </c>
      <c r="L7365">
        <v>246</v>
      </c>
      <c r="M7365">
        <v>0</v>
      </c>
      <c r="N7365" s="98" t="str">
        <f>IF(record[[#This Row],[Memo]]="Browser:chrome os:android","平板報工",IF(record[[#This Row],[Memo]]=0,"委外",record[[#This Row],[Memo]]))</f>
        <v/>
      </c>
      <c r="O7365" t="s">
        <v>58</v>
      </c>
      <c r="P7365" t="s">
        <v>886</v>
      </c>
      <c r="Q7365" t="s">
        <v>58</v>
      </c>
      <c r="R7365" t="str">
        <f>IFERROR(VLOOKUP(record[[#This Row],[PCUSTID]],廠商[],2,FALSE),"")</f>
        <v/>
      </c>
      <c r="S7365" t="str">
        <f>VLOOKUP(record[[#This Row],[employeeID]],員工[],2,FALSE)</f>
        <v>謝蓁薰</v>
      </c>
    </row>
    <row r="7366" spans="6:19" hidden="1" x14ac:dyDescent="0.25">
      <c r="F7366" t="s">
        <v>1051</v>
      </c>
      <c r="G7366" t="s">
        <v>403</v>
      </c>
      <c r="H7366" t="str">
        <f>VLOOKUP(record[[#This Row],[ProcessSN]],表格2_7[],2,FALSE)</f>
        <v>30-4118-018-550</v>
      </c>
      <c r="I7366" t="str">
        <f>VLOOKUP(record[[#This Row],[ProcessSN]],表格2_7[],3,FALSE)</f>
        <v>#100SHIP</v>
      </c>
      <c r="J7366" t="s">
        <v>600</v>
      </c>
      <c r="K7366" s="195">
        <v>45926.41300925926</v>
      </c>
      <c r="L7366">
        <v>463</v>
      </c>
      <c r="M7366">
        <v>0</v>
      </c>
      <c r="N7366" s="98" t="str">
        <f>IF(record[[#This Row],[Memo]]="Browser:chrome os:android","平板報工",IF(record[[#This Row],[Memo]]=0,"委外",record[[#This Row],[Memo]]))</f>
        <v/>
      </c>
      <c r="O7366" t="s">
        <v>58</v>
      </c>
      <c r="P7366" t="s">
        <v>886</v>
      </c>
      <c r="Q7366" t="s">
        <v>58</v>
      </c>
      <c r="R7366" t="str">
        <f>IFERROR(VLOOKUP(record[[#This Row],[PCUSTID]],廠商[],2,FALSE),"")</f>
        <v/>
      </c>
      <c r="S7366" t="str">
        <f>VLOOKUP(record[[#This Row],[employeeID]],員工[],2,FALSE)</f>
        <v>謝蓁薰</v>
      </c>
    </row>
    <row r="7367" spans="6:19" hidden="1" x14ac:dyDescent="0.25">
      <c r="F7367" t="s">
        <v>1051</v>
      </c>
      <c r="G7367" t="s">
        <v>402</v>
      </c>
      <c r="H7367" t="str">
        <f>VLOOKUP(record[[#This Row],[ProcessSN]],表格2_7[],2,FALSE)</f>
        <v>30-4118-018-550</v>
      </c>
      <c r="I7367" t="str">
        <f>VLOOKUP(record[[#This Row],[ProcessSN]],表格2_7[],3,FALSE)</f>
        <v>#100STOCK</v>
      </c>
      <c r="J7367" t="s">
        <v>592</v>
      </c>
      <c r="K7367" s="195">
        <v>45926.412870370368</v>
      </c>
      <c r="L7367">
        <v>463</v>
      </c>
      <c r="M7367">
        <v>0</v>
      </c>
      <c r="N7367" s="98" t="str">
        <f>IF(record[[#This Row],[Memo]]="Browser:chrome os:android","平板報工",IF(record[[#This Row],[Memo]]=0,"委外",record[[#This Row],[Memo]]))</f>
        <v/>
      </c>
      <c r="O7367" t="s">
        <v>58</v>
      </c>
      <c r="P7367" t="s">
        <v>886</v>
      </c>
      <c r="Q7367" t="s">
        <v>58</v>
      </c>
      <c r="R7367" t="str">
        <f>IFERROR(VLOOKUP(record[[#This Row],[PCUSTID]],廠商[],2,FALSE),"")</f>
        <v/>
      </c>
      <c r="S7367" t="str">
        <f>VLOOKUP(record[[#This Row],[employeeID]],員工[],2,FALSE)</f>
        <v>謝蓁薰</v>
      </c>
    </row>
    <row r="7368" spans="6:19" hidden="1" x14ac:dyDescent="0.25">
      <c r="F7368" t="s">
        <v>1038</v>
      </c>
      <c r="G7368" t="s">
        <v>403</v>
      </c>
      <c r="H7368" t="str">
        <f>VLOOKUP(record[[#This Row],[ProcessSN]],表格2_7[],2,FALSE)</f>
        <v>30-4118-018-550</v>
      </c>
      <c r="I7368" t="str">
        <f>VLOOKUP(record[[#This Row],[ProcessSN]],表格2_7[],3,FALSE)</f>
        <v>#100SHIP</v>
      </c>
      <c r="J7368" t="s">
        <v>600</v>
      </c>
      <c r="K7368" s="195">
        <v>45926.412708333337</v>
      </c>
      <c r="L7368">
        <v>25</v>
      </c>
      <c r="M7368">
        <v>0</v>
      </c>
      <c r="N7368" s="98" t="str">
        <f>IF(record[[#This Row],[Memo]]="Browser:chrome os:android","平板報工",IF(record[[#This Row],[Memo]]=0,"委外",record[[#This Row],[Memo]]))</f>
        <v/>
      </c>
      <c r="O7368" t="s">
        <v>58</v>
      </c>
      <c r="P7368" t="s">
        <v>886</v>
      </c>
      <c r="Q7368" t="s">
        <v>58</v>
      </c>
      <c r="R7368" t="str">
        <f>IFERROR(VLOOKUP(record[[#This Row],[PCUSTID]],廠商[],2,FALSE),"")</f>
        <v/>
      </c>
      <c r="S7368" t="str">
        <f>VLOOKUP(record[[#This Row],[employeeID]],員工[],2,FALSE)</f>
        <v>謝蓁薰</v>
      </c>
    </row>
    <row r="7369" spans="6:19" hidden="1" x14ac:dyDescent="0.25">
      <c r="F7369" t="s">
        <v>1045</v>
      </c>
      <c r="G7369" t="s">
        <v>362</v>
      </c>
      <c r="H7369" t="str">
        <f>VLOOKUP(record[[#This Row],[ProcessSN]],表格2_7[],2,FALSE)</f>
        <v>30-4118-018-450</v>
      </c>
      <c r="I7369" t="str">
        <f>VLOOKUP(record[[#This Row],[ProcessSN]],表格2_7[],3,FALSE)</f>
        <v>#100SHIP</v>
      </c>
      <c r="J7369" t="s">
        <v>600</v>
      </c>
      <c r="K7369" s="195">
        <v>45926.412569444445</v>
      </c>
      <c r="L7369">
        <v>8</v>
      </c>
      <c r="M7369">
        <v>0</v>
      </c>
      <c r="N7369" s="98" t="str">
        <f>IF(record[[#This Row],[Memo]]="Browser:chrome os:android","平板報工",IF(record[[#This Row],[Memo]]=0,"委外",record[[#This Row],[Memo]]))</f>
        <v/>
      </c>
      <c r="O7369" t="s">
        <v>58</v>
      </c>
      <c r="P7369" t="s">
        <v>886</v>
      </c>
      <c r="Q7369" t="s">
        <v>58</v>
      </c>
      <c r="R7369" t="str">
        <f>IFERROR(VLOOKUP(record[[#This Row],[PCUSTID]],廠商[],2,FALSE),"")</f>
        <v/>
      </c>
      <c r="S7369" t="str">
        <f>VLOOKUP(record[[#This Row],[employeeID]],員工[],2,FALSE)</f>
        <v>謝蓁薰</v>
      </c>
    </row>
    <row r="7370" spans="6:19" hidden="1" x14ac:dyDescent="0.25">
      <c r="F7370" t="s">
        <v>1067</v>
      </c>
      <c r="G7370" t="s">
        <v>424</v>
      </c>
      <c r="H7370" t="str">
        <f>VLOOKUP(record[[#This Row],[ProcessSN]],表格2_7[],2,FALSE)</f>
        <v>30-4118-018-600</v>
      </c>
      <c r="I7370" t="str">
        <f>VLOOKUP(record[[#This Row],[ProcessSN]],表格2_7[],3,FALSE)</f>
        <v>#08IQC</v>
      </c>
      <c r="J7370" t="s">
        <v>583</v>
      </c>
      <c r="K7370" s="195">
        <v>45925.72320601852</v>
      </c>
      <c r="L7370">
        <v>163</v>
      </c>
      <c r="M7370">
        <v>0</v>
      </c>
      <c r="N7370" s="98" t="str">
        <f>IF(record[[#This Row],[Memo]]="Browser:chrome os:android","平板報工",IF(record[[#This Row],[Memo]]=0,"委外",record[[#This Row],[Memo]]))</f>
        <v/>
      </c>
      <c r="O7370" t="s">
        <v>58</v>
      </c>
      <c r="P7370" t="s">
        <v>109</v>
      </c>
      <c r="Q7370" t="s">
        <v>58</v>
      </c>
      <c r="R7370" t="str">
        <f>IFERROR(VLOOKUP(record[[#This Row],[PCUSTID]],廠商[],2,FALSE),"")</f>
        <v/>
      </c>
      <c r="S7370" t="str">
        <f>VLOOKUP(record[[#This Row],[employeeID]],員工[],2,FALSE)</f>
        <v>裴氏璧鳳</v>
      </c>
    </row>
    <row r="7371" spans="6:19" hidden="1" x14ac:dyDescent="0.25">
      <c r="F7371" t="s">
        <v>1081</v>
      </c>
      <c r="G7371" t="s">
        <v>424</v>
      </c>
      <c r="H7371" t="str">
        <f>VLOOKUP(record[[#This Row],[ProcessSN]],表格2_7[],2,FALSE)</f>
        <v>30-4118-018-600</v>
      </c>
      <c r="I7371" t="str">
        <f>VLOOKUP(record[[#This Row],[ProcessSN]],表格2_7[],3,FALSE)</f>
        <v>#08IQC</v>
      </c>
      <c r="J7371" t="s">
        <v>583</v>
      </c>
      <c r="K7371" s="195">
        <v>45925.722997685189</v>
      </c>
      <c r="L7371">
        <v>251</v>
      </c>
      <c r="M7371">
        <v>0</v>
      </c>
      <c r="N7371" s="98" t="str">
        <f>IF(record[[#This Row],[Memo]]="Browser:chrome os:android","平板報工",IF(record[[#This Row],[Memo]]=0,"委外",record[[#This Row],[Memo]]))</f>
        <v/>
      </c>
      <c r="O7371" t="s">
        <v>58</v>
      </c>
      <c r="P7371" t="s">
        <v>109</v>
      </c>
      <c r="Q7371" t="s">
        <v>58</v>
      </c>
      <c r="R7371" t="str">
        <f>IFERROR(VLOOKUP(record[[#This Row],[PCUSTID]],廠商[],2,FALSE),"")</f>
        <v/>
      </c>
      <c r="S7371" t="str">
        <f>VLOOKUP(record[[#This Row],[employeeID]],員工[],2,FALSE)</f>
        <v>裴氏璧鳳</v>
      </c>
    </row>
    <row r="7372" spans="6:19" hidden="1" x14ac:dyDescent="0.25">
      <c r="F7372" t="s">
        <v>1067</v>
      </c>
      <c r="G7372" t="s">
        <v>423</v>
      </c>
      <c r="H7372" t="str">
        <f>VLOOKUP(record[[#This Row],[ProcessSN]],表格2_7[],2,FALSE)</f>
        <v>30-4118-018-600</v>
      </c>
      <c r="I7372" t="str">
        <f>VLOOKUP(record[[#This Row],[ProcessSN]],表格2_7[],3,FALSE)</f>
        <v>#08RCV</v>
      </c>
      <c r="J7372" t="s">
        <v>591</v>
      </c>
      <c r="K7372" s="195">
        <v>45925.687534722223</v>
      </c>
      <c r="L7372">
        <v>163</v>
      </c>
      <c r="M7372">
        <v>0</v>
      </c>
      <c r="N7372" s="98" t="str">
        <f>IF(record[[#This Row],[Memo]]="Browser:chrome os:android","平板報工",IF(record[[#This Row],[Memo]]=0,"委外",record[[#This Row],[Memo]]))</f>
        <v/>
      </c>
      <c r="O7372" t="s">
        <v>58</v>
      </c>
      <c r="P7372" t="s">
        <v>186</v>
      </c>
      <c r="Q7372" t="s">
        <v>58</v>
      </c>
      <c r="R7372" t="str">
        <f>IFERROR(VLOOKUP(record[[#This Row],[PCUSTID]],廠商[],2,FALSE),"")</f>
        <v/>
      </c>
      <c r="S7372" t="str">
        <f>VLOOKUP(record[[#This Row],[employeeID]],員工[],2,FALSE)</f>
        <v>許文姍</v>
      </c>
    </row>
    <row r="7373" spans="6:19" hidden="1" x14ac:dyDescent="0.25">
      <c r="F7373" t="s">
        <v>1081</v>
      </c>
      <c r="G7373" t="s">
        <v>423</v>
      </c>
      <c r="H7373" t="str">
        <f>VLOOKUP(record[[#This Row],[ProcessSN]],表格2_7[],2,FALSE)</f>
        <v>30-4118-018-600</v>
      </c>
      <c r="I7373" t="str">
        <f>VLOOKUP(record[[#This Row],[ProcessSN]],表格2_7[],3,FALSE)</f>
        <v>#08RCV</v>
      </c>
      <c r="J7373" t="s">
        <v>591</v>
      </c>
      <c r="K7373" s="195">
        <v>45925.687175925923</v>
      </c>
      <c r="L7373">
        <v>0</v>
      </c>
      <c r="M7373">
        <v>68</v>
      </c>
      <c r="N7373" s="98" t="str">
        <f>IF(record[[#This Row],[Memo]]="Browser:chrome os:android","平板報工",IF(record[[#This Row],[Memo]]=0,"委外",record[[#This Row],[Memo]]))</f>
        <v/>
      </c>
      <c r="O7373" t="s">
        <v>58</v>
      </c>
      <c r="P7373" t="s">
        <v>186</v>
      </c>
      <c r="Q7373" t="s">
        <v>58</v>
      </c>
      <c r="R7373" t="str">
        <f>IFERROR(VLOOKUP(record[[#This Row],[PCUSTID]],廠商[],2,FALSE),"")</f>
        <v/>
      </c>
      <c r="S7373" t="str">
        <f>VLOOKUP(record[[#This Row],[employeeID]],員工[],2,FALSE)</f>
        <v>許文姍</v>
      </c>
    </row>
    <row r="7374" spans="6:19" hidden="1" x14ac:dyDescent="0.25">
      <c r="F7374" t="s">
        <v>1081</v>
      </c>
      <c r="G7374" t="s">
        <v>423</v>
      </c>
      <c r="H7374" t="str">
        <f>VLOOKUP(record[[#This Row],[ProcessSN]],表格2_7[],2,FALSE)</f>
        <v>30-4118-018-600</v>
      </c>
      <c r="I7374" t="str">
        <f>VLOOKUP(record[[#This Row],[ProcessSN]],表格2_7[],3,FALSE)</f>
        <v>#08RCV</v>
      </c>
      <c r="J7374" t="s">
        <v>591</v>
      </c>
      <c r="K7374" s="195">
        <v>45925.686909722222</v>
      </c>
      <c r="L7374">
        <v>251</v>
      </c>
      <c r="M7374">
        <v>0</v>
      </c>
      <c r="N7374" s="98" t="str">
        <f>IF(record[[#This Row],[Memo]]="Browser:chrome os:android","平板報工",IF(record[[#This Row],[Memo]]=0,"委外",record[[#This Row],[Memo]]))</f>
        <v/>
      </c>
      <c r="O7374" t="s">
        <v>58</v>
      </c>
      <c r="P7374" t="s">
        <v>186</v>
      </c>
      <c r="Q7374" t="s">
        <v>58</v>
      </c>
      <c r="R7374" t="str">
        <f>IFERROR(VLOOKUP(record[[#This Row],[PCUSTID]],廠商[],2,FALSE),"")</f>
        <v/>
      </c>
      <c r="S7374" t="str">
        <f>VLOOKUP(record[[#This Row],[employeeID]],員工[],2,FALSE)</f>
        <v>許文姍</v>
      </c>
    </row>
    <row r="7375" spans="6:19" hidden="1" x14ac:dyDescent="0.25">
      <c r="F7375" t="s">
        <v>1024</v>
      </c>
      <c r="G7375" t="s">
        <v>420</v>
      </c>
      <c r="H7375" t="str">
        <f>VLOOKUP(record[[#This Row],[ProcessSN]],表格2_7[],2,FALSE)</f>
        <v>30-4118-018-5XX</v>
      </c>
      <c r="I7375" t="str">
        <f>VLOOKUP(record[[#This Row],[ProcessSN]],表格2_7[],3,FALSE)</f>
        <v>#07STOCK</v>
      </c>
      <c r="J7375" t="s">
        <v>592</v>
      </c>
      <c r="K7375" s="195">
        <v>45925.677141203705</v>
      </c>
      <c r="L7375">
        <v>652</v>
      </c>
      <c r="M7375">
        <v>0</v>
      </c>
      <c r="N7375" s="98" t="str">
        <f>IF(record[[#This Row],[Memo]]="Browser:chrome os:android","平板報工",IF(record[[#This Row],[Memo]]=0,"委外",record[[#This Row],[Memo]]))</f>
        <v/>
      </c>
      <c r="O7375" t="s">
        <v>58</v>
      </c>
      <c r="P7375" t="s">
        <v>196</v>
      </c>
      <c r="Q7375" t="s">
        <v>58</v>
      </c>
      <c r="R7375" t="str">
        <f>IFERROR(VLOOKUP(record[[#This Row],[PCUSTID]],廠商[],2,FALSE),"")</f>
        <v/>
      </c>
      <c r="S7375" t="str">
        <f>VLOOKUP(record[[#This Row],[employeeID]],員工[],2,FALSE)</f>
        <v>張淑惠</v>
      </c>
    </row>
    <row r="7376" spans="6:19" hidden="1" x14ac:dyDescent="0.25">
      <c r="F7376" t="s">
        <v>1018</v>
      </c>
      <c r="G7376" t="s">
        <v>420</v>
      </c>
      <c r="H7376" t="str">
        <f>VLOOKUP(record[[#This Row],[ProcessSN]],表格2_7[],2,FALSE)</f>
        <v>30-4118-018-5XX</v>
      </c>
      <c r="I7376" t="str">
        <f>VLOOKUP(record[[#This Row],[ProcessSN]],表格2_7[],3,FALSE)</f>
        <v>#07STOCK</v>
      </c>
      <c r="J7376" t="s">
        <v>592</v>
      </c>
      <c r="K7376" s="195">
        <v>45925.67696759259</v>
      </c>
      <c r="L7376">
        <v>2</v>
      </c>
      <c r="M7376">
        <v>0</v>
      </c>
      <c r="N7376" s="98" t="str">
        <f>IF(record[[#This Row],[Memo]]="Browser:chrome os:android","平板報工",IF(record[[#This Row],[Memo]]=0,"委外",record[[#This Row],[Memo]]))</f>
        <v/>
      </c>
      <c r="O7376" t="s">
        <v>58</v>
      </c>
      <c r="P7376" t="s">
        <v>196</v>
      </c>
      <c r="Q7376" t="s">
        <v>58</v>
      </c>
      <c r="R7376" t="str">
        <f>IFERROR(VLOOKUP(record[[#This Row],[PCUSTID]],廠商[],2,FALSE),"")</f>
        <v/>
      </c>
      <c r="S7376" t="str">
        <f>VLOOKUP(record[[#This Row],[employeeID]],員工[],2,FALSE)</f>
        <v>張淑惠</v>
      </c>
    </row>
    <row r="7377" spans="6:19" hidden="1" x14ac:dyDescent="0.25">
      <c r="F7377" t="s">
        <v>1081</v>
      </c>
      <c r="G7377" t="s">
        <v>422</v>
      </c>
      <c r="H7377" t="str">
        <f>VLOOKUP(record[[#This Row],[ProcessSN]],表格2_7[],2,FALSE)</f>
        <v>30-4118-018-600</v>
      </c>
      <c r="I7377" t="str">
        <f>VLOOKUP(record[[#This Row],[ProcessSN]],表格2_7[],3,FALSE)</f>
        <v>#08</v>
      </c>
      <c r="J7377" t="s">
        <v>597</v>
      </c>
      <c r="K7377" s="195">
        <v>45925.676064814812</v>
      </c>
      <c r="L7377">
        <v>658</v>
      </c>
      <c r="M7377">
        <v>0</v>
      </c>
      <c r="N7377" s="98" t="str">
        <f>IF(record[[#This Row],[Memo]]="Browser:chrome os:android","平板報工",IF(record[[#This Row],[Memo]]=0,"委外",record[[#This Row],[Memo]]))</f>
        <v>委外</v>
      </c>
      <c r="P7377" t="s">
        <v>186</v>
      </c>
      <c r="Q7377" t="s">
        <v>287</v>
      </c>
      <c r="R7377" t="str">
        <f>IFERROR(VLOOKUP(record[[#This Row],[PCUSTID]],廠商[],2,FALSE),"")</f>
        <v>泉盛</v>
      </c>
      <c r="S7377" t="str">
        <f>VLOOKUP(record[[#This Row],[employeeID]],員工[],2,FALSE)</f>
        <v>許文姍</v>
      </c>
    </row>
    <row r="7378" spans="6:19" hidden="1" x14ac:dyDescent="0.25">
      <c r="F7378" t="s">
        <v>1081</v>
      </c>
      <c r="G7378" t="s">
        <v>421</v>
      </c>
      <c r="H7378" t="str">
        <f>VLOOKUP(record[[#This Row],[ProcessSN]],表格2_7[],2,FALSE)</f>
        <v>30-4118-018-600</v>
      </c>
      <c r="I7378" t="str">
        <f>VLOOKUP(record[[#This Row],[ProcessSN]],表格2_7[],3,FALSE)</f>
        <v>#08PICK</v>
      </c>
      <c r="J7378" t="s">
        <v>582</v>
      </c>
      <c r="K7378" s="195">
        <v>45925.675798611112</v>
      </c>
      <c r="L7378">
        <v>658</v>
      </c>
      <c r="M7378">
        <v>0</v>
      </c>
      <c r="N7378" s="98" t="str">
        <f>IF(record[[#This Row],[Memo]]="Browser:chrome os:android","平板報工",IF(record[[#This Row],[Memo]]=0,"委外",record[[#This Row],[Memo]]))</f>
        <v/>
      </c>
      <c r="O7378" t="s">
        <v>58</v>
      </c>
      <c r="P7378" t="s">
        <v>196</v>
      </c>
      <c r="Q7378" t="s">
        <v>58</v>
      </c>
      <c r="R7378" t="str">
        <f>IFERROR(VLOOKUP(record[[#This Row],[PCUSTID]],廠商[],2,FALSE),"")</f>
        <v/>
      </c>
      <c r="S7378" t="str">
        <f>VLOOKUP(record[[#This Row],[employeeID]],員工[],2,FALSE)</f>
        <v>張淑惠</v>
      </c>
    </row>
    <row r="7379" spans="6:19" hidden="1" x14ac:dyDescent="0.25">
      <c r="F7379" t="s">
        <v>1024</v>
      </c>
      <c r="G7379" t="s">
        <v>418</v>
      </c>
      <c r="H7379" t="str">
        <f>VLOOKUP(record[[#This Row],[ProcessSN]],表格2_7[],2,FALSE)</f>
        <v>30-4118-018-5XX</v>
      </c>
      <c r="I7379" t="str">
        <f>VLOOKUP(record[[#This Row],[ProcessSN]],表格2_7[],3,FALSE)</f>
        <v>#07</v>
      </c>
      <c r="J7379" t="s">
        <v>588</v>
      </c>
      <c r="K7379" s="195">
        <v>45925.66741898148</v>
      </c>
      <c r="L7379">
        <v>234</v>
      </c>
      <c r="M7379">
        <v>0</v>
      </c>
      <c r="N7379" s="98" t="str">
        <f>IF(record[[#This Row],[Memo]]="Browser:chrome os:android","平板報工",IF(record[[#This Row],[Memo]]=0,"委外",record[[#This Row],[Memo]]))</f>
        <v>9/25覆回*3pcs</v>
      </c>
      <c r="O7379" t="s">
        <v>1085</v>
      </c>
      <c r="P7379" t="s">
        <v>1075</v>
      </c>
      <c r="Q7379" t="s">
        <v>58</v>
      </c>
      <c r="R7379" t="str">
        <f>IFERROR(VLOOKUP(record[[#This Row],[PCUSTID]],廠商[],2,FALSE),"")</f>
        <v/>
      </c>
      <c r="S7379" t="str">
        <f>VLOOKUP(record[[#This Row],[employeeID]],員工[],2,FALSE)</f>
        <v>吳宥叡</v>
      </c>
    </row>
    <row r="7380" spans="6:19" hidden="1" x14ac:dyDescent="0.25">
      <c r="F7380" t="s">
        <v>1065</v>
      </c>
      <c r="G7380" t="s">
        <v>425</v>
      </c>
      <c r="H7380" t="str">
        <f>VLOOKUP(record[[#This Row],[ProcessSN]],表格2_7[],2,FALSE)</f>
        <v>30-4118-018-600</v>
      </c>
      <c r="I7380" t="str">
        <f>VLOOKUP(record[[#This Row],[ProcessSN]],表格2_7[],3,FALSE)</f>
        <v>#100</v>
      </c>
      <c r="J7380" t="s">
        <v>598</v>
      </c>
      <c r="K7380" s="195">
        <v>45925.647372685184</v>
      </c>
      <c r="L7380">
        <v>159</v>
      </c>
      <c r="M7380">
        <v>0</v>
      </c>
      <c r="N7380" s="98" t="str">
        <f>IF(record[[#This Row],[Memo]]="Browser:chrome os:android","平板報工",IF(record[[#This Row],[Memo]]=0,"委外",record[[#This Row],[Memo]]))</f>
        <v/>
      </c>
      <c r="O7380" t="s">
        <v>58</v>
      </c>
      <c r="P7380" t="s">
        <v>141</v>
      </c>
      <c r="Q7380" t="s">
        <v>58</v>
      </c>
      <c r="R7380" t="str">
        <f>IFERROR(VLOOKUP(record[[#This Row],[PCUSTID]],廠商[],2,FALSE),"")</f>
        <v/>
      </c>
      <c r="S7380" t="str">
        <f>VLOOKUP(record[[#This Row],[employeeID]],員工[],2,FALSE)</f>
        <v>蔣梅</v>
      </c>
    </row>
    <row r="7381" spans="6:19" hidden="1" x14ac:dyDescent="0.25">
      <c r="F7381" t="s">
        <v>1064</v>
      </c>
      <c r="G7381" t="s">
        <v>401</v>
      </c>
      <c r="H7381" t="str">
        <f>VLOOKUP(record[[#This Row],[ProcessSN]],表格2_7[],2,FALSE)</f>
        <v>30-4118-018-550</v>
      </c>
      <c r="I7381" t="str">
        <f>VLOOKUP(record[[#This Row],[ProcessSN]],表格2_7[],3,FALSE)</f>
        <v>#100OQC</v>
      </c>
      <c r="J7381" t="s">
        <v>599</v>
      </c>
      <c r="K7381" s="195">
        <v>45925.631550925929</v>
      </c>
      <c r="L7381">
        <v>318</v>
      </c>
      <c r="M7381">
        <v>0</v>
      </c>
      <c r="N7381" s="98" t="str">
        <f>IF(record[[#This Row],[Memo]]="Browser:chrome os:android","平板報工",IF(record[[#This Row],[Memo]]=0,"委外",record[[#This Row],[Memo]]))</f>
        <v/>
      </c>
      <c r="O7381" t="s">
        <v>58</v>
      </c>
      <c r="P7381" t="s">
        <v>121</v>
      </c>
      <c r="Q7381" t="s">
        <v>58</v>
      </c>
      <c r="R7381" t="str">
        <f>IFERROR(VLOOKUP(record[[#This Row],[PCUSTID]],廠商[],2,FALSE),"")</f>
        <v/>
      </c>
      <c r="S7381" t="str">
        <f>VLOOKUP(record[[#This Row],[employeeID]],員工[],2,FALSE)</f>
        <v>謝素卿</v>
      </c>
    </row>
    <row r="7382" spans="6:19" hidden="1" x14ac:dyDescent="0.25">
      <c r="F7382" t="s">
        <v>1052</v>
      </c>
      <c r="G7382" t="s">
        <v>401</v>
      </c>
      <c r="H7382" t="str">
        <f>VLOOKUP(record[[#This Row],[ProcessSN]],表格2_7[],2,FALSE)</f>
        <v>30-4118-018-550</v>
      </c>
      <c r="I7382" t="str">
        <f>VLOOKUP(record[[#This Row],[ProcessSN]],表格2_7[],3,FALSE)</f>
        <v>#100OQC</v>
      </c>
      <c r="J7382" t="s">
        <v>599</v>
      </c>
      <c r="K7382" s="195">
        <v>45925.631354166668</v>
      </c>
      <c r="L7382">
        <v>312</v>
      </c>
      <c r="M7382">
        <v>0</v>
      </c>
      <c r="N7382" s="98" t="str">
        <f>IF(record[[#This Row],[Memo]]="Browser:chrome os:android","平板報工",IF(record[[#This Row],[Memo]]=0,"委外",record[[#This Row],[Memo]]))</f>
        <v/>
      </c>
      <c r="O7382" t="s">
        <v>58</v>
      </c>
      <c r="P7382" t="s">
        <v>121</v>
      </c>
      <c r="Q7382" t="s">
        <v>58</v>
      </c>
      <c r="R7382" t="str">
        <f>IFERROR(VLOOKUP(record[[#This Row],[PCUSTID]],廠商[],2,FALSE),"")</f>
        <v/>
      </c>
      <c r="S7382" t="str">
        <f>VLOOKUP(record[[#This Row],[employeeID]],員工[],2,FALSE)</f>
        <v>謝素卿</v>
      </c>
    </row>
    <row r="7383" spans="6:19" hidden="1" x14ac:dyDescent="0.25">
      <c r="F7383" t="s">
        <v>1051</v>
      </c>
      <c r="G7383" t="s">
        <v>401</v>
      </c>
      <c r="H7383" t="str">
        <f>VLOOKUP(record[[#This Row],[ProcessSN]],表格2_7[],2,FALSE)</f>
        <v>30-4118-018-550</v>
      </c>
      <c r="I7383" t="str">
        <f>VLOOKUP(record[[#This Row],[ProcessSN]],表格2_7[],3,FALSE)</f>
        <v>#100OQC</v>
      </c>
      <c r="J7383" t="s">
        <v>599</v>
      </c>
      <c r="K7383" s="195">
        <v>45925.631168981483</v>
      </c>
      <c r="L7383">
        <v>463</v>
      </c>
      <c r="M7383">
        <v>0</v>
      </c>
      <c r="N7383" s="98" t="str">
        <f>IF(record[[#This Row],[Memo]]="Browser:chrome os:android","平板報工",IF(record[[#This Row],[Memo]]=0,"委外",record[[#This Row],[Memo]]))</f>
        <v/>
      </c>
      <c r="O7383" t="s">
        <v>58</v>
      </c>
      <c r="P7383" t="s">
        <v>121</v>
      </c>
      <c r="Q7383" t="s">
        <v>58</v>
      </c>
      <c r="R7383" t="str">
        <f>IFERROR(VLOOKUP(record[[#This Row],[PCUSTID]],廠商[],2,FALSE),"")</f>
        <v/>
      </c>
      <c r="S7383" t="str">
        <f>VLOOKUP(record[[#This Row],[employeeID]],員工[],2,FALSE)</f>
        <v>謝素卿</v>
      </c>
    </row>
    <row r="7384" spans="6:19" hidden="1" x14ac:dyDescent="0.25">
      <c r="F7384" t="s">
        <v>1048</v>
      </c>
      <c r="G7384" t="s">
        <v>401</v>
      </c>
      <c r="H7384" t="str">
        <f>VLOOKUP(record[[#This Row],[ProcessSN]],表格2_7[],2,FALSE)</f>
        <v>30-4118-018-550</v>
      </c>
      <c r="I7384" t="str">
        <f>VLOOKUP(record[[#This Row],[ProcessSN]],表格2_7[],3,FALSE)</f>
        <v>#100OQC</v>
      </c>
      <c r="J7384" t="s">
        <v>599</v>
      </c>
      <c r="K7384" s="195">
        <v>45925.631030092591</v>
      </c>
      <c r="L7384">
        <v>307</v>
      </c>
      <c r="M7384">
        <v>0</v>
      </c>
      <c r="N7384" s="98" t="str">
        <f>IF(record[[#This Row],[Memo]]="Browser:chrome os:android","平板報工",IF(record[[#This Row],[Memo]]=0,"委外",record[[#This Row],[Memo]]))</f>
        <v/>
      </c>
      <c r="O7384" t="s">
        <v>58</v>
      </c>
      <c r="P7384" t="s">
        <v>121</v>
      </c>
      <c r="Q7384" t="s">
        <v>58</v>
      </c>
      <c r="R7384" t="str">
        <f>IFERROR(VLOOKUP(record[[#This Row],[PCUSTID]],廠商[],2,FALSE),"")</f>
        <v/>
      </c>
      <c r="S7384" t="str">
        <f>VLOOKUP(record[[#This Row],[employeeID]],員工[],2,FALSE)</f>
        <v>謝素卿</v>
      </c>
    </row>
    <row r="7385" spans="6:19" hidden="1" x14ac:dyDescent="0.25">
      <c r="F7385" t="s">
        <v>1011</v>
      </c>
      <c r="G7385" t="s">
        <v>401</v>
      </c>
      <c r="H7385" t="str">
        <f>VLOOKUP(record[[#This Row],[ProcessSN]],表格2_7[],2,FALSE)</f>
        <v>30-4118-018-550</v>
      </c>
      <c r="I7385" t="str">
        <f>VLOOKUP(record[[#This Row],[ProcessSN]],表格2_7[],3,FALSE)</f>
        <v>#100OQC</v>
      </c>
      <c r="J7385" t="s">
        <v>599</v>
      </c>
      <c r="K7385" s="195">
        <v>45925.624560185184</v>
      </c>
      <c r="L7385">
        <v>41</v>
      </c>
      <c r="M7385">
        <v>0</v>
      </c>
      <c r="N7385" s="98" t="str">
        <f>IF(record[[#This Row],[Memo]]="Browser:chrome os:android","平板報工",IF(record[[#This Row],[Memo]]=0,"委外",record[[#This Row],[Memo]]))</f>
        <v/>
      </c>
      <c r="O7385" t="s">
        <v>58</v>
      </c>
      <c r="P7385" t="s">
        <v>121</v>
      </c>
      <c r="Q7385" t="s">
        <v>58</v>
      </c>
      <c r="R7385" t="str">
        <f>IFERROR(VLOOKUP(record[[#This Row],[PCUSTID]],廠商[],2,FALSE),"")</f>
        <v/>
      </c>
      <c r="S7385" t="str">
        <f>VLOOKUP(record[[#This Row],[employeeID]],員工[],2,FALSE)</f>
        <v>謝素卿</v>
      </c>
    </row>
    <row r="7386" spans="6:19" hidden="1" x14ac:dyDescent="0.25">
      <c r="F7386" t="s">
        <v>999</v>
      </c>
      <c r="G7386" t="s">
        <v>401</v>
      </c>
      <c r="H7386" t="str">
        <f>VLOOKUP(record[[#This Row],[ProcessSN]],表格2_7[],2,FALSE)</f>
        <v>30-4118-018-550</v>
      </c>
      <c r="I7386" t="str">
        <f>VLOOKUP(record[[#This Row],[ProcessSN]],表格2_7[],3,FALSE)</f>
        <v>#100OQC</v>
      </c>
      <c r="J7386" t="s">
        <v>599</v>
      </c>
      <c r="K7386" s="195">
        <v>45925.624409722222</v>
      </c>
      <c r="L7386">
        <v>2</v>
      </c>
      <c r="M7386">
        <v>0</v>
      </c>
      <c r="N7386" s="98" t="str">
        <f>IF(record[[#This Row],[Memo]]="Browser:chrome os:android","平板報工",IF(record[[#This Row],[Memo]]=0,"委外",record[[#This Row],[Memo]]))</f>
        <v/>
      </c>
      <c r="O7386" t="s">
        <v>58</v>
      </c>
      <c r="P7386" t="s">
        <v>121</v>
      </c>
      <c r="Q7386" t="s">
        <v>58</v>
      </c>
      <c r="R7386" t="str">
        <f>IFERROR(VLOOKUP(record[[#This Row],[PCUSTID]],廠商[],2,FALSE),"")</f>
        <v/>
      </c>
      <c r="S7386" t="str">
        <f>VLOOKUP(record[[#This Row],[employeeID]],員工[],2,FALSE)</f>
        <v>謝素卿</v>
      </c>
    </row>
    <row r="7387" spans="6:19" hidden="1" x14ac:dyDescent="0.25">
      <c r="F7387" t="s">
        <v>1047</v>
      </c>
      <c r="G7387" t="s">
        <v>401</v>
      </c>
      <c r="H7387" t="str">
        <f>VLOOKUP(record[[#This Row],[ProcessSN]],表格2_7[],2,FALSE)</f>
        <v>30-4118-018-550</v>
      </c>
      <c r="I7387" t="str">
        <f>VLOOKUP(record[[#This Row],[ProcessSN]],表格2_7[],3,FALSE)</f>
        <v>#100OQC</v>
      </c>
      <c r="J7387" t="s">
        <v>599</v>
      </c>
      <c r="K7387" s="195">
        <v>45925.62427083333</v>
      </c>
      <c r="L7387">
        <v>160</v>
      </c>
      <c r="M7387">
        <v>0</v>
      </c>
      <c r="N7387" s="98" t="str">
        <f>IF(record[[#This Row],[Memo]]="Browser:chrome os:android","平板報工",IF(record[[#This Row],[Memo]]=0,"委外",record[[#This Row],[Memo]]))</f>
        <v/>
      </c>
      <c r="O7387" t="s">
        <v>58</v>
      </c>
      <c r="P7387" t="s">
        <v>121</v>
      </c>
      <c r="Q7387" t="s">
        <v>58</v>
      </c>
      <c r="R7387" t="str">
        <f>IFERROR(VLOOKUP(record[[#This Row],[PCUSTID]],廠商[],2,FALSE),"")</f>
        <v/>
      </c>
      <c r="S7387" t="str">
        <f>VLOOKUP(record[[#This Row],[employeeID]],員工[],2,FALSE)</f>
        <v>謝素卿</v>
      </c>
    </row>
    <row r="7388" spans="6:19" hidden="1" x14ac:dyDescent="0.25">
      <c r="F7388" t="s">
        <v>1065</v>
      </c>
      <c r="G7388" t="s">
        <v>424</v>
      </c>
      <c r="H7388" t="str">
        <f>VLOOKUP(record[[#This Row],[ProcessSN]],表格2_7[],2,FALSE)</f>
        <v>30-4118-018-600</v>
      </c>
      <c r="I7388" t="str">
        <f>VLOOKUP(record[[#This Row],[ProcessSN]],表格2_7[],3,FALSE)</f>
        <v>#08IQC</v>
      </c>
      <c r="J7388" t="s">
        <v>583</v>
      </c>
      <c r="K7388" s="195">
        <v>45924.598020833335</v>
      </c>
      <c r="L7388">
        <v>159</v>
      </c>
      <c r="M7388">
        <v>0</v>
      </c>
      <c r="N7388" s="98" t="str">
        <f>IF(record[[#This Row],[Memo]]="Browser:chrome os:android","平板報工",IF(record[[#This Row],[Memo]]=0,"委外",record[[#This Row],[Memo]]))</f>
        <v/>
      </c>
      <c r="O7388" t="s">
        <v>58</v>
      </c>
      <c r="P7388" t="s">
        <v>109</v>
      </c>
      <c r="Q7388" t="s">
        <v>58</v>
      </c>
      <c r="R7388" t="str">
        <f>IFERROR(VLOOKUP(record[[#This Row],[PCUSTID]],廠商[],2,FALSE),"")</f>
        <v/>
      </c>
      <c r="S7388" t="str">
        <f>VLOOKUP(record[[#This Row],[employeeID]],員工[],2,FALSE)</f>
        <v>裴氏璧鳳</v>
      </c>
    </row>
    <row r="7389" spans="6:19" hidden="1" x14ac:dyDescent="0.25">
      <c r="F7389" t="s">
        <v>1065</v>
      </c>
      <c r="G7389" t="s">
        <v>423</v>
      </c>
      <c r="H7389" t="str">
        <f>VLOOKUP(record[[#This Row],[ProcessSN]],表格2_7[],2,FALSE)</f>
        <v>30-4118-018-600</v>
      </c>
      <c r="I7389" t="str">
        <f>VLOOKUP(record[[#This Row],[ProcessSN]],表格2_7[],3,FALSE)</f>
        <v>#08RCV</v>
      </c>
      <c r="J7389" t="s">
        <v>591</v>
      </c>
      <c r="K7389" s="195">
        <v>45924.482951388891</v>
      </c>
      <c r="L7389">
        <v>0</v>
      </c>
      <c r="M7389">
        <v>8</v>
      </c>
      <c r="N7389" s="98" t="str">
        <f>IF(record[[#This Row],[Memo]]="Browser:chrome os:android","平板報工",IF(record[[#This Row],[Memo]]=0,"委外",record[[#This Row],[Memo]]))</f>
        <v/>
      </c>
      <c r="O7389" t="s">
        <v>58</v>
      </c>
      <c r="P7389" t="s">
        <v>186</v>
      </c>
      <c r="Q7389" t="s">
        <v>58</v>
      </c>
      <c r="R7389" t="str">
        <f>IFERROR(VLOOKUP(record[[#This Row],[PCUSTID]],廠商[],2,FALSE),"")</f>
        <v/>
      </c>
      <c r="S7389" t="str">
        <f>VLOOKUP(record[[#This Row],[employeeID]],員工[],2,FALSE)</f>
        <v>許文姍</v>
      </c>
    </row>
    <row r="7390" spans="6:19" hidden="1" x14ac:dyDescent="0.25">
      <c r="F7390" t="s">
        <v>1065</v>
      </c>
      <c r="G7390" t="s">
        <v>423</v>
      </c>
      <c r="H7390" t="str">
        <f>VLOOKUP(record[[#This Row],[ProcessSN]],表格2_7[],2,FALSE)</f>
        <v>30-4118-018-600</v>
      </c>
      <c r="I7390" t="str">
        <f>VLOOKUP(record[[#This Row],[ProcessSN]],表格2_7[],3,FALSE)</f>
        <v>#08RCV</v>
      </c>
      <c r="J7390" t="s">
        <v>591</v>
      </c>
      <c r="K7390" s="195">
        <v>45924.481909722221</v>
      </c>
      <c r="L7390">
        <v>159</v>
      </c>
      <c r="M7390">
        <v>0</v>
      </c>
      <c r="N7390" s="98" t="str">
        <f>IF(record[[#This Row],[Memo]]="Browser:chrome os:android","平板報工",IF(record[[#This Row],[Memo]]=0,"委外",record[[#This Row],[Memo]]))</f>
        <v/>
      </c>
      <c r="O7390" t="s">
        <v>58</v>
      </c>
      <c r="P7390" t="s">
        <v>186</v>
      </c>
      <c r="Q7390" t="s">
        <v>58</v>
      </c>
      <c r="R7390" t="str">
        <f>IFERROR(VLOOKUP(record[[#This Row],[PCUSTID]],廠商[],2,FALSE),"")</f>
        <v/>
      </c>
      <c r="S7390" t="str">
        <f>VLOOKUP(record[[#This Row],[employeeID]],員工[],2,FALSE)</f>
        <v>許文姍</v>
      </c>
    </row>
    <row r="7391" spans="6:19" hidden="1" x14ac:dyDescent="0.25">
      <c r="F7391" t="s">
        <v>1082</v>
      </c>
      <c r="G7391" t="s">
        <v>453</v>
      </c>
      <c r="H7391" t="str">
        <f>VLOOKUP(record[[#This Row],[ProcessSN]],表格2_7[],2,FALSE)</f>
        <v>30-4118-018-6XX</v>
      </c>
      <c r="I7391" t="str">
        <f>VLOOKUP(record[[#This Row],[ProcessSN]],表格2_7[],3,FALSE)</f>
        <v>#07STOCK</v>
      </c>
      <c r="J7391" t="s">
        <v>592</v>
      </c>
      <c r="K7391" s="195">
        <v>45924.479930555557</v>
      </c>
      <c r="L7391">
        <v>54</v>
      </c>
      <c r="M7391">
        <v>0</v>
      </c>
      <c r="N7391" s="98" t="str">
        <f>IF(record[[#This Row],[Memo]]="Browser:chrome os:android","平板報工",IF(record[[#This Row],[Memo]]=0,"委外",record[[#This Row],[Memo]]))</f>
        <v/>
      </c>
      <c r="O7391" t="s">
        <v>58</v>
      </c>
      <c r="P7391" t="s">
        <v>196</v>
      </c>
      <c r="Q7391" t="s">
        <v>58</v>
      </c>
      <c r="R7391" t="str">
        <f>IFERROR(VLOOKUP(record[[#This Row],[PCUSTID]],廠商[],2,FALSE),"")</f>
        <v/>
      </c>
      <c r="S7391" t="str">
        <f>VLOOKUP(record[[#This Row],[employeeID]],員工[],2,FALSE)</f>
        <v>張淑惠</v>
      </c>
    </row>
    <row r="7392" spans="6:19" hidden="1" x14ac:dyDescent="0.25">
      <c r="F7392" t="s">
        <v>1025</v>
      </c>
      <c r="G7392" t="s">
        <v>453</v>
      </c>
      <c r="H7392" t="str">
        <f>VLOOKUP(record[[#This Row],[ProcessSN]],表格2_7[],2,FALSE)</f>
        <v>30-4118-018-6XX</v>
      </c>
      <c r="I7392" t="str">
        <f>VLOOKUP(record[[#This Row],[ProcessSN]],表格2_7[],3,FALSE)</f>
        <v>#07STOCK</v>
      </c>
      <c r="J7392" t="s">
        <v>592</v>
      </c>
      <c r="K7392" s="195">
        <v>45924.479814814818</v>
      </c>
      <c r="L7392">
        <v>604</v>
      </c>
      <c r="M7392">
        <v>0</v>
      </c>
      <c r="N7392" s="98" t="str">
        <f>IF(record[[#This Row],[Memo]]="Browser:chrome os:android","平板報工",IF(record[[#This Row],[Memo]]=0,"委外",record[[#This Row],[Memo]]))</f>
        <v/>
      </c>
      <c r="O7392" t="s">
        <v>58</v>
      </c>
      <c r="P7392" t="s">
        <v>196</v>
      </c>
      <c r="Q7392" t="s">
        <v>58</v>
      </c>
      <c r="R7392" t="str">
        <f>IFERROR(VLOOKUP(record[[#This Row],[PCUSTID]],廠商[],2,FALSE),"")</f>
        <v/>
      </c>
      <c r="S7392" t="str">
        <f>VLOOKUP(record[[#This Row],[employeeID]],員工[],2,FALSE)</f>
        <v>張淑惠</v>
      </c>
    </row>
    <row r="7393" spans="6:19" hidden="1" x14ac:dyDescent="0.25">
      <c r="F7393" t="s">
        <v>1082</v>
      </c>
      <c r="G7393" t="s">
        <v>452</v>
      </c>
      <c r="H7393" t="str">
        <f>VLOOKUP(record[[#This Row],[ProcessSN]],表格2_7[],2,FALSE)</f>
        <v>30-4118-018-6XX</v>
      </c>
      <c r="I7393" t="str">
        <f>VLOOKUP(record[[#This Row],[ProcessSN]],表格2_7[],3,FALSE)</f>
        <v>#07QC</v>
      </c>
      <c r="J7393" t="s">
        <v>589</v>
      </c>
      <c r="K7393" s="195">
        <v>45924.479097222225</v>
      </c>
      <c r="L7393">
        <v>54</v>
      </c>
      <c r="M7393">
        <v>0</v>
      </c>
      <c r="N7393" s="98" t="str">
        <f>IF(record[[#This Row],[Memo]]="Browser:chrome os:android","平板報工",IF(record[[#This Row],[Memo]]=0,"委外",record[[#This Row],[Memo]]))</f>
        <v/>
      </c>
      <c r="O7393" t="s">
        <v>58</v>
      </c>
      <c r="P7393" t="s">
        <v>141</v>
      </c>
      <c r="Q7393" t="s">
        <v>58</v>
      </c>
      <c r="R7393" t="str">
        <f>IFERROR(VLOOKUP(record[[#This Row],[PCUSTID]],廠商[],2,FALSE),"")</f>
        <v/>
      </c>
      <c r="S7393" t="str">
        <f>VLOOKUP(record[[#This Row],[employeeID]],員工[],2,FALSE)</f>
        <v>蔣梅</v>
      </c>
    </row>
    <row r="7394" spans="6:19" hidden="1" x14ac:dyDescent="0.25">
      <c r="F7394" t="s">
        <v>1082</v>
      </c>
      <c r="G7394" t="s">
        <v>451</v>
      </c>
      <c r="H7394" t="str">
        <f>VLOOKUP(record[[#This Row],[ProcessSN]],表格2_7[],2,FALSE)</f>
        <v>30-4118-018-6XX</v>
      </c>
      <c r="I7394" t="str">
        <f>VLOOKUP(record[[#This Row],[ProcessSN]],表格2_7[],3,FALSE)</f>
        <v>#07</v>
      </c>
      <c r="J7394" t="s">
        <v>588</v>
      </c>
      <c r="K7394" s="195">
        <v>45924.478402777779</v>
      </c>
      <c r="L7394">
        <v>54</v>
      </c>
      <c r="M7394">
        <v>0</v>
      </c>
      <c r="N7394" s="98" t="str">
        <f>IF(record[[#This Row],[Memo]]="Browser:chrome os:android","平板報工",IF(record[[#This Row],[Memo]]=0,"委外",record[[#This Row],[Memo]]))</f>
        <v/>
      </c>
      <c r="O7394" t="s">
        <v>58</v>
      </c>
      <c r="P7394" t="s">
        <v>196</v>
      </c>
      <c r="Q7394" t="s">
        <v>58</v>
      </c>
      <c r="R7394" t="str">
        <f>IFERROR(VLOOKUP(record[[#This Row],[PCUSTID]],廠商[],2,FALSE),"")</f>
        <v/>
      </c>
      <c r="S7394" t="str">
        <f>VLOOKUP(record[[#This Row],[employeeID]],員工[],2,FALSE)</f>
        <v>張淑惠</v>
      </c>
    </row>
    <row r="7395" spans="6:19" hidden="1" x14ac:dyDescent="0.25">
      <c r="F7395" t="s">
        <v>1082</v>
      </c>
      <c r="G7395" t="s">
        <v>450</v>
      </c>
      <c r="H7395" t="str">
        <f>VLOOKUP(record[[#This Row],[ProcessSN]],表格2_7[],2,FALSE)</f>
        <v>30-4118-018-6XX</v>
      </c>
      <c r="I7395" t="str">
        <f>VLOOKUP(record[[#This Row],[ProcessSN]],表格2_7[],3,FALSE)</f>
        <v>#06</v>
      </c>
      <c r="J7395" t="s">
        <v>593</v>
      </c>
      <c r="K7395" s="195">
        <v>45924.478321759256</v>
      </c>
      <c r="L7395">
        <v>54</v>
      </c>
      <c r="M7395">
        <v>0</v>
      </c>
      <c r="N7395" s="98" t="str">
        <f>IF(record[[#This Row],[Memo]]="Browser:chrome os:android","平板報工",IF(record[[#This Row],[Memo]]=0,"委外",record[[#This Row],[Memo]]))</f>
        <v/>
      </c>
      <c r="O7395" t="s">
        <v>58</v>
      </c>
      <c r="P7395" t="s">
        <v>196</v>
      </c>
      <c r="Q7395" t="s">
        <v>58</v>
      </c>
      <c r="R7395" t="str">
        <f>IFERROR(VLOOKUP(record[[#This Row],[PCUSTID]],廠商[],2,FALSE),"")</f>
        <v/>
      </c>
      <c r="S7395" t="str">
        <f>VLOOKUP(record[[#This Row],[employeeID]],員工[],2,FALSE)</f>
        <v>張淑惠</v>
      </c>
    </row>
    <row r="7396" spans="6:19" hidden="1" x14ac:dyDescent="0.25">
      <c r="F7396" t="s">
        <v>1082</v>
      </c>
      <c r="G7396" t="s">
        <v>449</v>
      </c>
      <c r="H7396" t="str">
        <f>VLOOKUP(record[[#This Row],[ProcessSN]],表格2_7[],2,FALSE)</f>
        <v>30-4118-018-6XX</v>
      </c>
      <c r="I7396" t="str">
        <f>VLOOKUP(record[[#This Row],[ProcessSN]],表格2_7[],3,FALSE)</f>
        <v>#05</v>
      </c>
      <c r="J7396" t="s">
        <v>588</v>
      </c>
      <c r="K7396" s="195">
        <v>45924.478252314817</v>
      </c>
      <c r="L7396">
        <v>54</v>
      </c>
      <c r="M7396">
        <v>0</v>
      </c>
      <c r="N7396" s="98" t="str">
        <f>IF(record[[#This Row],[Memo]]="Browser:chrome os:android","平板報工",IF(record[[#This Row],[Memo]]=0,"委外",record[[#This Row],[Memo]]))</f>
        <v/>
      </c>
      <c r="O7396" t="s">
        <v>58</v>
      </c>
      <c r="P7396" t="s">
        <v>196</v>
      </c>
      <c r="Q7396" t="s">
        <v>58</v>
      </c>
      <c r="R7396" t="str">
        <f>IFERROR(VLOOKUP(record[[#This Row],[PCUSTID]],廠商[],2,FALSE),"")</f>
        <v/>
      </c>
      <c r="S7396" t="str">
        <f>VLOOKUP(record[[#This Row],[employeeID]],員工[],2,FALSE)</f>
        <v>張淑惠</v>
      </c>
    </row>
    <row r="7397" spans="6:19" hidden="1" x14ac:dyDescent="0.25">
      <c r="F7397" t="s">
        <v>1082</v>
      </c>
      <c r="G7397" t="s">
        <v>448</v>
      </c>
      <c r="H7397" t="str">
        <f>VLOOKUP(record[[#This Row],[ProcessSN]],表格2_7[],2,FALSE)</f>
        <v>30-4118-018-6XX</v>
      </c>
      <c r="I7397" t="str">
        <f>VLOOKUP(record[[#This Row],[ProcessSN]],表格2_7[],3,FALSE)</f>
        <v>#04</v>
      </c>
      <c r="J7397" t="s">
        <v>588</v>
      </c>
      <c r="K7397" s="195">
        <v>45924.478182870371</v>
      </c>
      <c r="L7397">
        <v>54</v>
      </c>
      <c r="M7397">
        <v>0</v>
      </c>
      <c r="N7397" s="98" t="str">
        <f>IF(record[[#This Row],[Memo]]="Browser:chrome os:android","平板報工",IF(record[[#This Row],[Memo]]=0,"委外",record[[#This Row],[Memo]]))</f>
        <v/>
      </c>
      <c r="O7397" t="s">
        <v>58</v>
      </c>
      <c r="P7397" t="s">
        <v>196</v>
      </c>
      <c r="Q7397" t="s">
        <v>58</v>
      </c>
      <c r="R7397" t="str">
        <f>IFERROR(VLOOKUP(record[[#This Row],[PCUSTID]],廠商[],2,FALSE),"")</f>
        <v/>
      </c>
      <c r="S7397" t="str">
        <f>VLOOKUP(record[[#This Row],[employeeID]],員工[],2,FALSE)</f>
        <v>張淑惠</v>
      </c>
    </row>
    <row r="7398" spans="6:19" hidden="1" x14ac:dyDescent="0.25">
      <c r="F7398" t="s">
        <v>1082</v>
      </c>
      <c r="G7398" t="s">
        <v>447</v>
      </c>
      <c r="H7398" t="str">
        <f>VLOOKUP(record[[#This Row],[ProcessSN]],表格2_7[],2,FALSE)</f>
        <v>30-4118-018-6XX</v>
      </c>
      <c r="I7398" t="str">
        <f>VLOOKUP(record[[#This Row],[ProcessSN]],表格2_7[],3,FALSE)</f>
        <v>#03</v>
      </c>
      <c r="J7398" t="s">
        <v>588</v>
      </c>
      <c r="K7398" s="195">
        <v>45924.478101851855</v>
      </c>
      <c r="L7398">
        <v>54</v>
      </c>
      <c r="M7398">
        <v>0</v>
      </c>
      <c r="N7398" s="98" t="str">
        <f>IF(record[[#This Row],[Memo]]="Browser:chrome os:android","平板報工",IF(record[[#This Row],[Memo]]=0,"委外",record[[#This Row],[Memo]]))</f>
        <v/>
      </c>
      <c r="O7398" t="s">
        <v>58</v>
      </c>
      <c r="P7398" t="s">
        <v>196</v>
      </c>
      <c r="Q7398" t="s">
        <v>58</v>
      </c>
      <c r="R7398" t="str">
        <f>IFERROR(VLOOKUP(record[[#This Row],[PCUSTID]],廠商[],2,FALSE),"")</f>
        <v/>
      </c>
      <c r="S7398" t="str">
        <f>VLOOKUP(record[[#This Row],[employeeID]],員工[],2,FALSE)</f>
        <v>張淑惠</v>
      </c>
    </row>
    <row r="7399" spans="6:19" hidden="1" x14ac:dyDescent="0.25">
      <c r="F7399" t="s">
        <v>1082</v>
      </c>
      <c r="G7399" t="s">
        <v>446</v>
      </c>
      <c r="H7399" t="str">
        <f>VLOOKUP(record[[#This Row],[ProcessSN]],表格2_7[],2,FALSE)</f>
        <v>30-4118-018-6XX</v>
      </c>
      <c r="I7399" t="str">
        <f>VLOOKUP(record[[#This Row],[ProcessSN]],表格2_7[],3,FALSE)</f>
        <v>#03GIVE</v>
      </c>
      <c r="J7399" t="s">
        <v>587</v>
      </c>
      <c r="K7399" s="195">
        <v>45924.478009259263</v>
      </c>
      <c r="L7399">
        <v>54</v>
      </c>
      <c r="M7399">
        <v>0</v>
      </c>
      <c r="N7399" s="98" t="str">
        <f>IF(record[[#This Row],[Memo]]="Browser:chrome os:android","平板報工",IF(record[[#This Row],[Memo]]=0,"委外",record[[#This Row],[Memo]]))</f>
        <v/>
      </c>
      <c r="O7399" t="s">
        <v>58</v>
      </c>
      <c r="P7399" t="s">
        <v>196</v>
      </c>
      <c r="Q7399" t="s">
        <v>58</v>
      </c>
      <c r="R7399" t="str">
        <f>IFERROR(VLOOKUP(record[[#This Row],[PCUSTID]],廠商[],2,FALSE),"")</f>
        <v/>
      </c>
      <c r="S7399" t="str">
        <f>VLOOKUP(record[[#This Row],[employeeID]],員工[],2,FALSE)</f>
        <v>張淑惠</v>
      </c>
    </row>
    <row r="7400" spans="6:19" hidden="1" x14ac:dyDescent="0.25">
      <c r="F7400" t="s">
        <v>1082</v>
      </c>
      <c r="G7400" t="s">
        <v>445</v>
      </c>
      <c r="H7400" t="str">
        <f>VLOOKUP(record[[#This Row],[ProcessSN]],表格2_7[],2,FALSE)</f>
        <v>30-4118-018-6XX</v>
      </c>
      <c r="I7400" t="str">
        <f>VLOOKUP(record[[#This Row],[ProcessSN]],表格2_7[],3,FALSE)</f>
        <v>#03PICK</v>
      </c>
      <c r="J7400" t="s">
        <v>582</v>
      </c>
      <c r="K7400" s="195">
        <v>45924.477812500001</v>
      </c>
      <c r="L7400">
        <v>54</v>
      </c>
      <c r="M7400">
        <v>0</v>
      </c>
      <c r="N7400" s="98" t="str">
        <f>IF(record[[#This Row],[Memo]]="Browser:chrome os:android","平板報工",IF(record[[#This Row],[Memo]]=0,"委外",record[[#This Row],[Memo]]))</f>
        <v>54</v>
      </c>
      <c r="O7400" t="s">
        <v>1083</v>
      </c>
      <c r="P7400" t="s">
        <v>196</v>
      </c>
      <c r="Q7400" t="s">
        <v>58</v>
      </c>
      <c r="R7400" t="str">
        <f>IFERROR(VLOOKUP(record[[#This Row],[PCUSTID]],廠商[],2,FALSE),"")</f>
        <v/>
      </c>
      <c r="S7400" t="str">
        <f>VLOOKUP(record[[#This Row],[employeeID]],員工[],2,FALSE)</f>
        <v>張淑惠</v>
      </c>
    </row>
    <row r="7401" spans="6:19" hidden="1" x14ac:dyDescent="0.25">
      <c r="F7401" t="s">
        <v>1064</v>
      </c>
      <c r="G7401" t="s">
        <v>400</v>
      </c>
      <c r="H7401" t="str">
        <f>VLOOKUP(record[[#This Row],[ProcessSN]],表格2_7[],2,FALSE)</f>
        <v>30-4118-018-550</v>
      </c>
      <c r="I7401" t="str">
        <f>VLOOKUP(record[[#This Row],[ProcessSN]],表格2_7[],3,FALSE)</f>
        <v>#100</v>
      </c>
      <c r="J7401" t="s">
        <v>598</v>
      </c>
      <c r="K7401" s="195">
        <v>45924.460081018522</v>
      </c>
      <c r="L7401">
        <v>318</v>
      </c>
      <c r="M7401">
        <v>0</v>
      </c>
      <c r="N7401" s="98" t="str">
        <f>IF(record[[#This Row],[Memo]]="Browser:chrome os:android","平板報工",IF(record[[#This Row],[Memo]]=0,"委外",record[[#This Row],[Memo]]))</f>
        <v>補9/23</v>
      </c>
      <c r="O7401" t="s">
        <v>1079</v>
      </c>
      <c r="P7401" t="s">
        <v>141</v>
      </c>
      <c r="Q7401" t="s">
        <v>58</v>
      </c>
      <c r="R7401" t="str">
        <f>IFERROR(VLOOKUP(record[[#This Row],[PCUSTID]],廠商[],2,FALSE),"")</f>
        <v/>
      </c>
      <c r="S7401" t="str">
        <f>VLOOKUP(record[[#This Row],[employeeID]],員工[],2,FALSE)</f>
        <v>蔣梅</v>
      </c>
    </row>
    <row r="7402" spans="6:19" hidden="1" x14ac:dyDescent="0.25">
      <c r="F7402" t="s">
        <v>1025</v>
      </c>
      <c r="G7402" t="s">
        <v>452</v>
      </c>
      <c r="H7402" t="str">
        <f>VLOOKUP(record[[#This Row],[ProcessSN]],表格2_7[],2,FALSE)</f>
        <v>30-4118-018-6XX</v>
      </c>
      <c r="I7402" t="str">
        <f>VLOOKUP(record[[#This Row],[ProcessSN]],表格2_7[],3,FALSE)</f>
        <v>#07QC</v>
      </c>
      <c r="J7402" t="s">
        <v>589</v>
      </c>
      <c r="K7402" s="195">
        <v>45924.45925925926</v>
      </c>
      <c r="L7402">
        <v>285</v>
      </c>
      <c r="M7402">
        <v>0</v>
      </c>
      <c r="N7402" s="98" t="str">
        <f>IF(record[[#This Row],[Memo]]="Browser:chrome os:android","平板報工",IF(record[[#This Row],[Memo]]=0,"委外",record[[#This Row],[Memo]]))</f>
        <v/>
      </c>
      <c r="O7402" t="s">
        <v>58</v>
      </c>
      <c r="P7402" t="s">
        <v>141</v>
      </c>
      <c r="Q7402" t="s">
        <v>58</v>
      </c>
      <c r="R7402" t="str">
        <f>IFERROR(VLOOKUP(record[[#This Row],[PCUSTID]],廠商[],2,FALSE),"")</f>
        <v/>
      </c>
      <c r="S7402" t="str">
        <f>VLOOKUP(record[[#This Row],[employeeID]],員工[],2,FALSE)</f>
        <v>蔣梅</v>
      </c>
    </row>
    <row r="7403" spans="6:19" hidden="1" x14ac:dyDescent="0.25">
      <c r="F7403" t="s">
        <v>1025</v>
      </c>
      <c r="G7403" t="s">
        <v>452</v>
      </c>
      <c r="H7403" t="str">
        <f>VLOOKUP(record[[#This Row],[ProcessSN]],表格2_7[],2,FALSE)</f>
        <v>30-4118-018-6XX</v>
      </c>
      <c r="I7403" t="str">
        <f>VLOOKUP(record[[#This Row],[ProcessSN]],表格2_7[],3,FALSE)</f>
        <v>#07QC</v>
      </c>
      <c r="J7403" t="s">
        <v>589</v>
      </c>
      <c r="K7403" s="195">
        <v>45924.458819444444</v>
      </c>
      <c r="L7403">
        <v>319</v>
      </c>
      <c r="M7403">
        <v>0</v>
      </c>
      <c r="N7403" s="98" t="str">
        <f>IF(record[[#This Row],[Memo]]="Browser:chrome os:android","平板報工",IF(record[[#This Row],[Memo]]=0,"委外",record[[#This Row],[Memo]]))</f>
        <v>補9/23</v>
      </c>
      <c r="O7403" t="s">
        <v>1079</v>
      </c>
      <c r="P7403" t="s">
        <v>141</v>
      </c>
      <c r="Q7403" t="s">
        <v>58</v>
      </c>
      <c r="R7403" t="str">
        <f>IFERROR(VLOOKUP(record[[#This Row],[PCUSTID]],廠商[],2,FALSE),"")</f>
        <v/>
      </c>
      <c r="S7403" t="str">
        <f>VLOOKUP(record[[#This Row],[employeeID]],員工[],2,FALSE)</f>
        <v>蔣梅</v>
      </c>
    </row>
    <row r="7404" spans="6:19" hidden="1" x14ac:dyDescent="0.25">
      <c r="F7404" t="s">
        <v>1038</v>
      </c>
      <c r="G7404" t="s">
        <v>403</v>
      </c>
      <c r="H7404" t="str">
        <f>VLOOKUP(record[[#This Row],[ProcessSN]],表格2_7[],2,FALSE)</f>
        <v>30-4118-018-550</v>
      </c>
      <c r="I7404" t="str">
        <f>VLOOKUP(record[[#This Row],[ProcessSN]],表格2_7[],3,FALSE)</f>
        <v>#100SHIP</v>
      </c>
      <c r="J7404" t="s">
        <v>600</v>
      </c>
      <c r="K7404" s="195">
        <v>45924.453773148147</v>
      </c>
      <c r="L7404">
        <v>101</v>
      </c>
      <c r="M7404">
        <v>0</v>
      </c>
      <c r="N7404" s="98" t="str">
        <f>IF(record[[#This Row],[Memo]]="Browser:chrome os:android","平板報工",IF(record[[#This Row],[Memo]]=0,"委外",record[[#This Row],[Memo]]))</f>
        <v>補9/23出貨</v>
      </c>
      <c r="O7404" t="s">
        <v>1080</v>
      </c>
      <c r="P7404" t="s">
        <v>886</v>
      </c>
      <c r="Q7404" t="s">
        <v>58</v>
      </c>
      <c r="R7404" t="str">
        <f>IFERROR(VLOOKUP(record[[#This Row],[PCUSTID]],廠商[],2,FALSE),"")</f>
        <v/>
      </c>
      <c r="S7404" t="str">
        <f>VLOOKUP(record[[#This Row],[employeeID]],員工[],2,FALSE)</f>
        <v>謝蓁薰</v>
      </c>
    </row>
    <row r="7405" spans="6:19" hidden="1" x14ac:dyDescent="0.25">
      <c r="F7405" t="s">
        <v>1064</v>
      </c>
      <c r="G7405" t="s">
        <v>399</v>
      </c>
      <c r="H7405" t="str">
        <f>VLOOKUP(record[[#This Row],[ProcessSN]],表格2_7[],2,FALSE)</f>
        <v>30-4118-018-550</v>
      </c>
      <c r="I7405" t="str">
        <f>VLOOKUP(record[[#This Row],[ProcessSN]],表格2_7[],3,FALSE)</f>
        <v>#08IQC</v>
      </c>
      <c r="J7405" t="s">
        <v>583</v>
      </c>
      <c r="K7405" s="195">
        <v>45924.435069444444</v>
      </c>
      <c r="L7405">
        <v>318</v>
      </c>
      <c r="M7405">
        <v>0</v>
      </c>
      <c r="N7405" s="98" t="str">
        <f>IF(record[[#This Row],[Memo]]="Browser:chrome os:android","平板報工",IF(record[[#This Row],[Memo]]=0,"委外",record[[#This Row],[Memo]]))</f>
        <v/>
      </c>
      <c r="O7405" t="s">
        <v>58</v>
      </c>
      <c r="P7405" t="s">
        <v>109</v>
      </c>
      <c r="Q7405" t="s">
        <v>58</v>
      </c>
      <c r="R7405" t="str">
        <f>IFERROR(VLOOKUP(record[[#This Row],[PCUSTID]],廠商[],2,FALSE),"")</f>
        <v/>
      </c>
      <c r="S7405" t="str">
        <f>VLOOKUP(record[[#This Row],[employeeID]],員工[],2,FALSE)</f>
        <v>裴氏璧鳳</v>
      </c>
    </row>
    <row r="7406" spans="6:19" hidden="1" x14ac:dyDescent="0.25">
      <c r="F7406" t="s">
        <v>1025</v>
      </c>
      <c r="G7406" t="s">
        <v>453</v>
      </c>
      <c r="H7406" t="str">
        <f>VLOOKUP(record[[#This Row],[ProcessSN]],表格2_7[],2,FALSE)</f>
        <v>30-4118-018-6XX</v>
      </c>
      <c r="I7406" t="str">
        <f>VLOOKUP(record[[#This Row],[ProcessSN]],表格2_7[],3,FALSE)</f>
        <v>#07STOCK</v>
      </c>
      <c r="J7406" t="s">
        <v>592</v>
      </c>
      <c r="K7406" s="195">
        <v>45924.422893518517</v>
      </c>
      <c r="L7406">
        <v>163</v>
      </c>
      <c r="M7406">
        <v>0</v>
      </c>
      <c r="N7406" s="98" t="str">
        <f>IF(record[[#This Row],[Memo]]="Browser:chrome os:android","平板報工",IF(record[[#This Row],[Memo]]=0,"委外",record[[#This Row],[Memo]]))</f>
        <v/>
      </c>
      <c r="O7406" t="s">
        <v>58</v>
      </c>
      <c r="P7406" t="s">
        <v>196</v>
      </c>
      <c r="Q7406" t="s">
        <v>58</v>
      </c>
      <c r="R7406" t="str">
        <f>IFERROR(VLOOKUP(record[[#This Row],[PCUSTID]],廠商[],2,FALSE),"")</f>
        <v/>
      </c>
      <c r="S7406" t="str">
        <f>VLOOKUP(record[[#This Row],[employeeID]],員工[],2,FALSE)</f>
        <v>張淑惠</v>
      </c>
    </row>
    <row r="7407" spans="6:19" hidden="1" x14ac:dyDescent="0.25">
      <c r="F7407" t="s">
        <v>1025</v>
      </c>
      <c r="G7407" t="s">
        <v>452</v>
      </c>
      <c r="H7407" t="str">
        <f>VLOOKUP(record[[#This Row],[ProcessSN]],表格2_7[],2,FALSE)</f>
        <v>30-4118-018-6XX</v>
      </c>
      <c r="I7407" t="str">
        <f>VLOOKUP(record[[#This Row],[ProcessSN]],表格2_7[],3,FALSE)</f>
        <v>#07QC</v>
      </c>
      <c r="J7407" t="s">
        <v>589</v>
      </c>
      <c r="K7407" s="195">
        <v>45924.421898148146</v>
      </c>
      <c r="L7407">
        <v>163</v>
      </c>
      <c r="M7407">
        <v>0</v>
      </c>
      <c r="N7407" s="98" t="str">
        <f>IF(record[[#This Row],[Memo]]="Browser:chrome os:android","平板報工",IF(record[[#This Row],[Memo]]=0,"委外",record[[#This Row],[Memo]]))</f>
        <v>補9/22</v>
      </c>
      <c r="O7407" t="s">
        <v>1068</v>
      </c>
      <c r="P7407" t="s">
        <v>141</v>
      </c>
      <c r="Q7407" t="s">
        <v>58</v>
      </c>
      <c r="R7407" t="str">
        <f>IFERROR(VLOOKUP(record[[#This Row],[PCUSTID]],廠商[],2,FALSE),"")</f>
        <v/>
      </c>
      <c r="S7407" t="str">
        <f>VLOOKUP(record[[#This Row],[employeeID]],員工[],2,FALSE)</f>
        <v>蔣梅</v>
      </c>
    </row>
    <row r="7408" spans="6:19" hidden="1" x14ac:dyDescent="0.25">
      <c r="F7408" t="s">
        <v>1025</v>
      </c>
      <c r="G7408" t="s">
        <v>453</v>
      </c>
      <c r="H7408" t="str">
        <f>VLOOKUP(record[[#This Row],[ProcessSN]],表格2_7[],2,FALSE)</f>
        <v>30-4118-018-6XX</v>
      </c>
      <c r="I7408" t="str">
        <f>VLOOKUP(record[[#This Row],[ProcessSN]],表格2_7[],3,FALSE)</f>
        <v>#07STOCK</v>
      </c>
      <c r="J7408" t="s">
        <v>592</v>
      </c>
      <c r="K7408" s="195">
        <v>45924.404826388891</v>
      </c>
      <c r="L7408">
        <v>167</v>
      </c>
      <c r="M7408">
        <v>0</v>
      </c>
      <c r="N7408" s="98" t="str">
        <f>IF(record[[#This Row],[Memo]]="Browser:chrome os:android","平板報工",IF(record[[#This Row],[Memo]]=0,"委外",record[[#This Row],[Memo]]))</f>
        <v/>
      </c>
      <c r="O7408" t="s">
        <v>58</v>
      </c>
      <c r="P7408" t="s">
        <v>196</v>
      </c>
      <c r="Q7408" t="s">
        <v>58</v>
      </c>
      <c r="R7408" t="str">
        <f>IFERROR(VLOOKUP(record[[#This Row],[PCUSTID]],廠商[],2,FALSE),"")</f>
        <v/>
      </c>
      <c r="S7408" t="str">
        <f>VLOOKUP(record[[#This Row],[employeeID]],員工[],2,FALSE)</f>
        <v>張淑惠</v>
      </c>
    </row>
    <row r="7409" spans="6:19" hidden="1" x14ac:dyDescent="0.25">
      <c r="F7409" t="s">
        <v>1067</v>
      </c>
      <c r="G7409" t="s">
        <v>422</v>
      </c>
      <c r="H7409" t="str">
        <f>VLOOKUP(record[[#This Row],[ProcessSN]],表格2_7[],2,FALSE)</f>
        <v>30-4118-018-600</v>
      </c>
      <c r="I7409" t="str">
        <f>VLOOKUP(record[[#This Row],[ProcessSN]],表格2_7[],3,FALSE)</f>
        <v>#08</v>
      </c>
      <c r="J7409" t="s">
        <v>597</v>
      </c>
      <c r="K7409" s="195">
        <v>45924.368854166663</v>
      </c>
      <c r="L7409">
        <v>163</v>
      </c>
      <c r="M7409">
        <v>0</v>
      </c>
      <c r="N7409" s="98" t="str">
        <f>IF(record[[#This Row],[Memo]]="Browser:chrome os:android","平板報工",IF(record[[#This Row],[Memo]]=0,"委外",record[[#This Row],[Memo]]))</f>
        <v/>
      </c>
      <c r="O7409" t="s">
        <v>58</v>
      </c>
      <c r="P7409" t="s">
        <v>186</v>
      </c>
      <c r="Q7409" t="s">
        <v>58</v>
      </c>
      <c r="R7409" t="str">
        <f>IFERROR(VLOOKUP(record[[#This Row],[PCUSTID]],廠商[],2,FALSE),"")</f>
        <v/>
      </c>
      <c r="S7409" t="str">
        <f>VLOOKUP(record[[#This Row],[employeeID]],員工[],2,FALSE)</f>
        <v>許文姍</v>
      </c>
    </row>
    <row r="7410" spans="6:19" hidden="1" x14ac:dyDescent="0.25">
      <c r="F7410" t="s">
        <v>1067</v>
      </c>
      <c r="G7410" t="s">
        <v>421</v>
      </c>
      <c r="H7410" t="str">
        <f>VLOOKUP(record[[#This Row],[ProcessSN]],表格2_7[],2,FALSE)</f>
        <v>30-4118-018-600</v>
      </c>
      <c r="I7410" t="str">
        <f>VLOOKUP(record[[#This Row],[ProcessSN]],表格2_7[],3,FALSE)</f>
        <v>#08PICK</v>
      </c>
      <c r="J7410" t="s">
        <v>582</v>
      </c>
      <c r="K7410" s="195">
        <v>45924.368692129632</v>
      </c>
      <c r="L7410">
        <v>163</v>
      </c>
      <c r="M7410">
        <v>0</v>
      </c>
      <c r="N7410" s="98" t="str">
        <f>IF(record[[#This Row],[Memo]]="Browser:chrome os:android","平板報工",IF(record[[#This Row],[Memo]]=0,"委外",record[[#This Row],[Memo]]))</f>
        <v/>
      </c>
      <c r="O7410" t="s">
        <v>58</v>
      </c>
      <c r="P7410" t="s">
        <v>186</v>
      </c>
      <c r="Q7410" t="s">
        <v>58</v>
      </c>
      <c r="R7410" t="str">
        <f>IFERROR(VLOOKUP(record[[#This Row],[PCUSTID]],廠商[],2,FALSE),"")</f>
        <v/>
      </c>
      <c r="S7410" t="str">
        <f>VLOOKUP(record[[#This Row],[employeeID]],員工[],2,FALSE)</f>
        <v>許文姍</v>
      </c>
    </row>
    <row r="7411" spans="6:19" hidden="1" x14ac:dyDescent="0.25">
      <c r="F7411" t="s">
        <v>1065</v>
      </c>
      <c r="G7411" t="s">
        <v>422</v>
      </c>
      <c r="H7411" t="str">
        <f>VLOOKUP(record[[#This Row],[ProcessSN]],表格2_7[],2,FALSE)</f>
        <v>30-4118-018-600</v>
      </c>
      <c r="I7411" t="str">
        <f>VLOOKUP(record[[#This Row],[ProcessSN]],表格2_7[],3,FALSE)</f>
        <v>#08</v>
      </c>
      <c r="J7411" t="s">
        <v>597</v>
      </c>
      <c r="K7411" s="195">
        <v>45924.368090277778</v>
      </c>
      <c r="L7411">
        <v>167</v>
      </c>
      <c r="M7411">
        <v>0</v>
      </c>
      <c r="N7411" s="98" t="str">
        <f>IF(record[[#This Row],[Memo]]="Browser:chrome os:android","平板報工",IF(record[[#This Row],[Memo]]=0,"委外",record[[#This Row],[Memo]]))</f>
        <v/>
      </c>
      <c r="O7411" t="s">
        <v>58</v>
      </c>
      <c r="P7411" t="s">
        <v>186</v>
      </c>
      <c r="Q7411" t="s">
        <v>58</v>
      </c>
      <c r="R7411" t="str">
        <f>IFERROR(VLOOKUP(record[[#This Row],[PCUSTID]],廠商[],2,FALSE),"")</f>
        <v/>
      </c>
      <c r="S7411" t="str">
        <f>VLOOKUP(record[[#This Row],[employeeID]],員工[],2,FALSE)</f>
        <v>許文姍</v>
      </c>
    </row>
    <row r="7412" spans="6:19" hidden="1" x14ac:dyDescent="0.25">
      <c r="F7412" t="s">
        <v>1064</v>
      </c>
      <c r="G7412" t="s">
        <v>398</v>
      </c>
      <c r="H7412" t="str">
        <f>VLOOKUP(record[[#This Row],[ProcessSN]],表格2_7[],2,FALSE)</f>
        <v>30-4118-018-550</v>
      </c>
      <c r="I7412" t="str">
        <f>VLOOKUP(record[[#This Row],[ProcessSN]],表格2_7[],3,FALSE)</f>
        <v>#08RCV</v>
      </c>
      <c r="J7412" t="s">
        <v>591</v>
      </c>
      <c r="K7412" s="195">
        <v>45924.367476851854</v>
      </c>
      <c r="L7412">
        <v>318</v>
      </c>
      <c r="M7412">
        <v>0</v>
      </c>
      <c r="N7412" s="98" t="str">
        <f>IF(record[[#This Row],[Memo]]="Browser:chrome os:android","平板報工",IF(record[[#This Row],[Memo]]=0,"委外",record[[#This Row],[Memo]]))</f>
        <v/>
      </c>
      <c r="O7412" t="s">
        <v>58</v>
      </c>
      <c r="P7412" t="s">
        <v>186</v>
      </c>
      <c r="Q7412" t="s">
        <v>58</v>
      </c>
      <c r="R7412" t="str">
        <f>IFERROR(VLOOKUP(record[[#This Row],[PCUSTID]],廠商[],2,FALSE),"")</f>
        <v/>
      </c>
      <c r="S7412" t="str">
        <f>VLOOKUP(record[[#This Row],[employeeID]],員工[],2,FALSE)</f>
        <v>許文姍</v>
      </c>
    </row>
    <row r="7413" spans="6:19" hidden="1" x14ac:dyDescent="0.25">
      <c r="F7413" t="s">
        <v>1064</v>
      </c>
      <c r="G7413" t="s">
        <v>397</v>
      </c>
      <c r="H7413" t="str">
        <f>VLOOKUP(record[[#This Row],[ProcessSN]],表格2_7[],2,FALSE)</f>
        <v>30-4118-018-550</v>
      </c>
      <c r="I7413" t="str">
        <f>VLOOKUP(record[[#This Row],[ProcessSN]],表格2_7[],3,FALSE)</f>
        <v>#08</v>
      </c>
      <c r="J7413" t="s">
        <v>597</v>
      </c>
      <c r="K7413" s="195">
        <v>45924.366527777776</v>
      </c>
      <c r="L7413">
        <v>318</v>
      </c>
      <c r="M7413">
        <v>0</v>
      </c>
      <c r="N7413" s="98" t="str">
        <f>IF(record[[#This Row],[Memo]]="Browser:chrome os:android","平板報工",IF(record[[#This Row],[Memo]]=0,"委外",record[[#This Row],[Memo]]))</f>
        <v/>
      </c>
      <c r="O7413" t="s">
        <v>58</v>
      </c>
      <c r="P7413" t="s">
        <v>186</v>
      </c>
      <c r="Q7413" t="s">
        <v>287</v>
      </c>
      <c r="R7413" t="str">
        <f>IFERROR(VLOOKUP(record[[#This Row],[PCUSTID]],廠商[],2,FALSE),"")</f>
        <v>泉盛</v>
      </c>
      <c r="S7413" t="str">
        <f>VLOOKUP(record[[#This Row],[employeeID]],員工[],2,FALSE)</f>
        <v>許文姍</v>
      </c>
    </row>
    <row r="7414" spans="6:19" hidden="1" x14ac:dyDescent="0.25">
      <c r="F7414" t="s">
        <v>1059</v>
      </c>
      <c r="G7414" t="s">
        <v>399</v>
      </c>
      <c r="H7414" t="str">
        <f>VLOOKUP(record[[#This Row],[ProcessSN]],表格2_7[],2,FALSE)</f>
        <v>30-4118-018-550</v>
      </c>
      <c r="I7414" t="str">
        <f>VLOOKUP(record[[#This Row],[ProcessSN]],表格2_7[],3,FALSE)</f>
        <v>#08IQC</v>
      </c>
      <c r="J7414" t="s">
        <v>583</v>
      </c>
      <c r="K7414" s="195">
        <v>45923.766979166663</v>
      </c>
      <c r="L7414">
        <v>458</v>
      </c>
      <c r="M7414">
        <v>0</v>
      </c>
      <c r="N7414" s="98" t="str">
        <f>IF(record[[#This Row],[Memo]]="Browser:chrome os:android","平板報工",IF(record[[#This Row],[Memo]]=0,"委外",record[[#This Row],[Memo]]))</f>
        <v/>
      </c>
      <c r="O7414" t="s">
        <v>58</v>
      </c>
      <c r="P7414" t="s">
        <v>109</v>
      </c>
      <c r="Q7414" t="s">
        <v>58</v>
      </c>
      <c r="R7414" t="str">
        <f>IFERROR(VLOOKUP(record[[#This Row],[PCUSTID]],廠商[],2,FALSE),"")</f>
        <v/>
      </c>
      <c r="S7414" t="str">
        <f>VLOOKUP(record[[#This Row],[employeeID]],員工[],2,FALSE)</f>
        <v>裴氏璧鳳</v>
      </c>
    </row>
    <row r="7415" spans="6:19" hidden="1" x14ac:dyDescent="0.25">
      <c r="F7415" t="s">
        <v>1063</v>
      </c>
      <c r="G7415" t="s">
        <v>399</v>
      </c>
      <c r="H7415" t="str">
        <f>VLOOKUP(record[[#This Row],[ProcessSN]],表格2_7[],2,FALSE)</f>
        <v>30-4118-018-550</v>
      </c>
      <c r="I7415" t="str">
        <f>VLOOKUP(record[[#This Row],[ProcessSN]],表格2_7[],3,FALSE)</f>
        <v>#08IQC</v>
      </c>
      <c r="J7415" t="s">
        <v>583</v>
      </c>
      <c r="K7415" s="195">
        <v>45923.766828703701</v>
      </c>
      <c r="L7415">
        <v>336</v>
      </c>
      <c r="M7415">
        <v>0</v>
      </c>
      <c r="N7415" s="98" t="str">
        <f>IF(record[[#This Row],[Memo]]="Browser:chrome os:android","平板報工",IF(record[[#This Row],[Memo]]=0,"委外",record[[#This Row],[Memo]]))</f>
        <v/>
      </c>
      <c r="O7415" t="s">
        <v>58</v>
      </c>
      <c r="P7415" t="s">
        <v>109</v>
      </c>
      <c r="Q7415" t="s">
        <v>58</v>
      </c>
      <c r="R7415" t="str">
        <f>IFERROR(VLOOKUP(record[[#This Row],[PCUSTID]],廠商[],2,FALSE),"")</f>
        <v/>
      </c>
      <c r="S7415" t="str">
        <f>VLOOKUP(record[[#This Row],[employeeID]],員工[],2,FALSE)</f>
        <v>裴氏璧鳳</v>
      </c>
    </row>
    <row r="7416" spans="6:19" hidden="1" x14ac:dyDescent="0.25">
      <c r="F7416" t="s">
        <v>1025</v>
      </c>
      <c r="G7416" t="s">
        <v>450</v>
      </c>
      <c r="H7416" t="str">
        <f>VLOOKUP(record[[#This Row],[ProcessSN]],表格2_7[],2,FALSE)</f>
        <v>30-4118-018-6XX</v>
      </c>
      <c r="I7416" t="str">
        <f>VLOOKUP(record[[#This Row],[ProcessSN]],表格2_7[],3,FALSE)</f>
        <v>#06</v>
      </c>
      <c r="J7416" t="s">
        <v>593</v>
      </c>
      <c r="K7416" s="195">
        <v>45923.754618055558</v>
      </c>
      <c r="L7416">
        <v>95</v>
      </c>
      <c r="M7416">
        <v>0</v>
      </c>
      <c r="N7416" s="98" t="str">
        <f>IF(record[[#This Row],[Memo]]="Browser:chrome os:android","平板報工",IF(record[[#This Row],[Memo]]=0,"委外",record[[#This Row],[Memo]]))</f>
        <v/>
      </c>
      <c r="O7416" t="s">
        <v>58</v>
      </c>
      <c r="P7416" t="s">
        <v>127</v>
      </c>
      <c r="Q7416" t="s">
        <v>58</v>
      </c>
      <c r="R7416" t="str">
        <f>IFERROR(VLOOKUP(record[[#This Row],[PCUSTID]],廠商[],2,FALSE),"")</f>
        <v/>
      </c>
      <c r="S7416" t="str">
        <f>VLOOKUP(record[[#This Row],[employeeID]],員工[],2,FALSE)</f>
        <v>潘雪梅</v>
      </c>
    </row>
    <row r="7417" spans="6:19" hidden="1" x14ac:dyDescent="0.25">
      <c r="F7417" t="s">
        <v>1025</v>
      </c>
      <c r="G7417" t="s">
        <v>450</v>
      </c>
      <c r="H7417" t="str">
        <f>VLOOKUP(record[[#This Row],[ProcessSN]],表格2_7[],2,FALSE)</f>
        <v>30-4118-018-6XX</v>
      </c>
      <c r="I7417" t="str">
        <f>VLOOKUP(record[[#This Row],[ProcessSN]],表格2_7[],3,FALSE)</f>
        <v>#06</v>
      </c>
      <c r="J7417" t="s">
        <v>593</v>
      </c>
      <c r="K7417" s="195">
        <v>45923.728263888886</v>
      </c>
      <c r="L7417">
        <v>110</v>
      </c>
      <c r="M7417">
        <v>0</v>
      </c>
      <c r="N7417" s="98" t="str">
        <f>IF(record[[#This Row],[Memo]]="Browser:chrome os:android","平板報工",IF(record[[#This Row],[Memo]]=0,"委外",record[[#This Row],[Memo]]))</f>
        <v>補報9/19</v>
      </c>
      <c r="O7417" t="s">
        <v>1069</v>
      </c>
      <c r="P7417" t="s">
        <v>127</v>
      </c>
      <c r="Q7417" t="s">
        <v>58</v>
      </c>
      <c r="R7417" t="str">
        <f>IFERROR(VLOOKUP(record[[#This Row],[PCUSTID]],廠商[],2,FALSE),"")</f>
        <v/>
      </c>
      <c r="S7417" t="str">
        <f>VLOOKUP(record[[#This Row],[employeeID]],員工[],2,FALSE)</f>
        <v>潘雪梅</v>
      </c>
    </row>
    <row r="7418" spans="6:19" hidden="1" x14ac:dyDescent="0.25">
      <c r="F7418" t="s">
        <v>1025</v>
      </c>
      <c r="G7418" t="s">
        <v>450</v>
      </c>
      <c r="H7418" t="str">
        <f>VLOOKUP(record[[#This Row],[ProcessSN]],表格2_7[],2,FALSE)</f>
        <v>30-4118-018-6XX</v>
      </c>
      <c r="I7418" t="str">
        <f>VLOOKUP(record[[#This Row],[ProcessSN]],表格2_7[],3,FALSE)</f>
        <v>#06</v>
      </c>
      <c r="J7418" t="s">
        <v>593</v>
      </c>
      <c r="K7418" s="195">
        <v>45923.722025462965</v>
      </c>
      <c r="L7418">
        <v>121</v>
      </c>
      <c r="M7418">
        <v>0</v>
      </c>
      <c r="N7418" s="98" t="str">
        <f>IF(record[[#This Row],[Memo]]="Browser:chrome os:android","平板報工",IF(record[[#This Row],[Memo]]=0,"委外",record[[#This Row],[Memo]]))</f>
        <v/>
      </c>
      <c r="O7418" t="s">
        <v>58</v>
      </c>
      <c r="P7418" t="s">
        <v>101</v>
      </c>
      <c r="Q7418" t="s">
        <v>58</v>
      </c>
      <c r="R7418" t="str">
        <f>IFERROR(VLOOKUP(record[[#This Row],[PCUSTID]],廠商[],2,FALSE),"")</f>
        <v/>
      </c>
      <c r="S7418" t="str">
        <f>VLOOKUP(record[[#This Row],[employeeID]],員工[],2,FALSE)</f>
        <v>陳氏絨</v>
      </c>
    </row>
    <row r="7419" spans="6:19" hidden="1" x14ac:dyDescent="0.25">
      <c r="F7419" t="s">
        <v>1025</v>
      </c>
      <c r="G7419" t="s">
        <v>451</v>
      </c>
      <c r="H7419" t="str">
        <f>VLOOKUP(record[[#This Row],[ProcessSN]],表格2_7[],2,FALSE)</f>
        <v>30-4118-018-6XX</v>
      </c>
      <c r="I7419" t="str">
        <f>VLOOKUP(record[[#This Row],[ProcessSN]],表格2_7[],3,FALSE)</f>
        <v>#07</v>
      </c>
      <c r="J7419" t="s">
        <v>588</v>
      </c>
      <c r="K7419" s="195">
        <v>45923.720381944448</v>
      </c>
      <c r="L7419">
        <v>85</v>
      </c>
      <c r="M7419">
        <v>0</v>
      </c>
      <c r="N7419" s="98" t="str">
        <f>IF(record[[#This Row],[Memo]]="Browser:chrome os:android","平板報工",IF(record[[#This Row],[Memo]]=0,"委外",record[[#This Row],[Memo]]))</f>
        <v>補報9/19</v>
      </c>
      <c r="O7419" t="s">
        <v>1069</v>
      </c>
      <c r="P7419" t="s">
        <v>127</v>
      </c>
      <c r="Q7419" t="s">
        <v>58</v>
      </c>
      <c r="R7419" t="str">
        <f>IFERROR(VLOOKUP(record[[#This Row],[PCUSTID]],廠商[],2,FALSE),"")</f>
        <v/>
      </c>
      <c r="S7419" t="str">
        <f>VLOOKUP(record[[#This Row],[employeeID]],員工[],2,FALSE)</f>
        <v>潘雪梅</v>
      </c>
    </row>
    <row r="7420" spans="6:19" hidden="1" x14ac:dyDescent="0.25">
      <c r="F7420" t="s">
        <v>1025</v>
      </c>
      <c r="G7420" t="s">
        <v>451</v>
      </c>
      <c r="H7420" t="str">
        <f>VLOOKUP(record[[#This Row],[ProcessSN]],表格2_7[],2,FALSE)</f>
        <v>30-4118-018-6XX</v>
      </c>
      <c r="I7420" t="str">
        <f>VLOOKUP(record[[#This Row],[ProcessSN]],表格2_7[],3,FALSE)</f>
        <v>#07</v>
      </c>
      <c r="J7420" t="s">
        <v>588</v>
      </c>
      <c r="K7420" s="195">
        <v>45923.654490740744</v>
      </c>
      <c r="L7420">
        <v>218</v>
      </c>
      <c r="M7420">
        <v>0</v>
      </c>
      <c r="N7420" s="98" t="str">
        <f>IF(record[[#This Row],[Memo]]="Browser:chrome os:android","平板報工",IF(record[[#This Row],[Memo]]=0,"委外",record[[#This Row],[Memo]]))</f>
        <v>平板報工</v>
      </c>
      <c r="O7420" t="s">
        <v>643</v>
      </c>
      <c r="P7420" t="s">
        <v>785</v>
      </c>
      <c r="Q7420" t="s">
        <v>644</v>
      </c>
      <c r="R7420" t="str">
        <f>IFERROR(VLOOKUP(record[[#This Row],[PCUSTID]],廠商[],2,FALSE),"")</f>
        <v/>
      </c>
      <c r="S7420" t="str">
        <f>VLOOKUP(record[[#This Row],[employeeID]],員工[],2,FALSE)</f>
        <v>謝刻光</v>
      </c>
    </row>
    <row r="7421" spans="6:19" hidden="1" x14ac:dyDescent="0.25">
      <c r="F7421" t="s">
        <v>1052</v>
      </c>
      <c r="G7421" t="s">
        <v>400</v>
      </c>
      <c r="H7421" t="str">
        <f>VLOOKUP(record[[#This Row],[ProcessSN]],表格2_7[],2,FALSE)</f>
        <v>30-4118-018-550</v>
      </c>
      <c r="I7421" t="str">
        <f>VLOOKUP(record[[#This Row],[ProcessSN]],表格2_7[],3,FALSE)</f>
        <v>#100</v>
      </c>
      <c r="J7421" t="s">
        <v>598</v>
      </c>
      <c r="K7421" s="195">
        <v>45923.647627314815</v>
      </c>
      <c r="L7421">
        <v>312</v>
      </c>
      <c r="M7421">
        <v>0</v>
      </c>
      <c r="N7421" s="98" t="str">
        <f>IF(record[[#This Row],[Memo]]="Browser:chrome os:android","平板報工",IF(record[[#This Row],[Memo]]=0,"委外",record[[#This Row],[Memo]]))</f>
        <v/>
      </c>
      <c r="O7421" t="s">
        <v>58</v>
      </c>
      <c r="P7421" t="s">
        <v>141</v>
      </c>
      <c r="Q7421" t="s">
        <v>58</v>
      </c>
      <c r="R7421" t="str">
        <f>IFERROR(VLOOKUP(record[[#This Row],[PCUSTID]],廠商[],2,FALSE),"")</f>
        <v/>
      </c>
      <c r="S7421" t="str">
        <f>VLOOKUP(record[[#This Row],[employeeID]],員工[],2,FALSE)</f>
        <v>蔣梅</v>
      </c>
    </row>
    <row r="7422" spans="6:19" hidden="1" x14ac:dyDescent="0.25">
      <c r="F7422" t="s">
        <v>1052</v>
      </c>
      <c r="G7422" t="s">
        <v>399</v>
      </c>
      <c r="H7422" t="str">
        <f>VLOOKUP(record[[#This Row],[ProcessSN]],表格2_7[],2,FALSE)</f>
        <v>30-4118-018-550</v>
      </c>
      <c r="I7422" t="str">
        <f>VLOOKUP(record[[#This Row],[ProcessSN]],表格2_7[],3,FALSE)</f>
        <v>#08IQC</v>
      </c>
      <c r="J7422" t="s">
        <v>583</v>
      </c>
      <c r="K7422" s="195">
        <v>45923.647430555553</v>
      </c>
      <c r="L7422">
        <v>1</v>
      </c>
      <c r="M7422">
        <v>0</v>
      </c>
      <c r="N7422" s="98" t="str">
        <f>IF(record[[#This Row],[Memo]]="Browser:chrome os:android","平板報工",IF(record[[#This Row],[Memo]]=0,"委外",record[[#This Row],[Memo]]))</f>
        <v>覆回品</v>
      </c>
      <c r="O7422" t="s">
        <v>664</v>
      </c>
      <c r="P7422" t="s">
        <v>141</v>
      </c>
      <c r="Q7422" t="s">
        <v>58</v>
      </c>
      <c r="R7422" t="str">
        <f>IFERROR(VLOOKUP(record[[#This Row],[PCUSTID]],廠商[],2,FALSE),"")</f>
        <v/>
      </c>
      <c r="S7422" t="str">
        <f>VLOOKUP(record[[#This Row],[employeeID]],員工[],2,FALSE)</f>
        <v>蔣梅</v>
      </c>
    </row>
    <row r="7423" spans="6:19" hidden="1" x14ac:dyDescent="0.25">
      <c r="F7423" t="s">
        <v>1052</v>
      </c>
      <c r="G7423" t="s">
        <v>398</v>
      </c>
      <c r="H7423" t="str">
        <f>VLOOKUP(record[[#This Row],[ProcessSN]],表格2_7[],2,FALSE)</f>
        <v>30-4118-018-550</v>
      </c>
      <c r="I7423" t="str">
        <f>VLOOKUP(record[[#This Row],[ProcessSN]],表格2_7[],3,FALSE)</f>
        <v>#08RCV</v>
      </c>
      <c r="J7423" t="s">
        <v>591</v>
      </c>
      <c r="K7423" s="195">
        <v>45923.647118055553</v>
      </c>
      <c r="L7423">
        <v>0</v>
      </c>
      <c r="M7423">
        <v>1</v>
      </c>
      <c r="N7423" s="98" t="str">
        <f>IF(record[[#This Row],[Memo]]="Browser:chrome os:android","平板報工",IF(record[[#This Row],[Memo]]=0,"委外",record[[#This Row],[Memo]]))</f>
        <v/>
      </c>
      <c r="O7423" t="s">
        <v>58</v>
      </c>
      <c r="P7423" t="s">
        <v>141</v>
      </c>
      <c r="Q7423" t="s">
        <v>58</v>
      </c>
      <c r="R7423" t="str">
        <f>IFERROR(VLOOKUP(record[[#This Row],[PCUSTID]],廠商[],2,FALSE),"")</f>
        <v/>
      </c>
      <c r="S7423" t="str">
        <f>VLOOKUP(record[[#This Row],[employeeID]],員工[],2,FALSE)</f>
        <v>蔣梅</v>
      </c>
    </row>
    <row r="7424" spans="6:19" hidden="1" x14ac:dyDescent="0.25">
      <c r="F7424" t="s">
        <v>1052</v>
      </c>
      <c r="G7424" t="s">
        <v>398</v>
      </c>
      <c r="H7424" t="str">
        <f>VLOOKUP(record[[#This Row],[ProcessSN]],表格2_7[],2,FALSE)</f>
        <v>30-4118-018-550</v>
      </c>
      <c r="I7424" t="str">
        <f>VLOOKUP(record[[#This Row],[ProcessSN]],表格2_7[],3,FALSE)</f>
        <v>#08RCV</v>
      </c>
      <c r="J7424" t="s">
        <v>591</v>
      </c>
      <c r="K7424" s="195">
        <v>45923.646932870368</v>
      </c>
      <c r="L7424">
        <v>1</v>
      </c>
      <c r="M7424">
        <v>0</v>
      </c>
      <c r="N7424" s="98" t="str">
        <f>IF(record[[#This Row],[Memo]]="Browser:chrome os:android","平板報工",IF(record[[#This Row],[Memo]]=0,"委外",record[[#This Row],[Memo]]))</f>
        <v>覆回品</v>
      </c>
      <c r="O7424" t="s">
        <v>664</v>
      </c>
      <c r="P7424" t="s">
        <v>141</v>
      </c>
      <c r="Q7424" t="s">
        <v>58</v>
      </c>
      <c r="R7424" t="str">
        <f>IFERROR(VLOOKUP(record[[#This Row],[PCUSTID]],廠商[],2,FALSE),"")</f>
        <v/>
      </c>
      <c r="S7424" t="str">
        <f>VLOOKUP(record[[#This Row],[employeeID]],員工[],2,FALSE)</f>
        <v>蔣梅</v>
      </c>
    </row>
    <row r="7425" spans="6:19" hidden="1" x14ac:dyDescent="0.25">
      <c r="F7425" t="s">
        <v>1051</v>
      </c>
      <c r="G7425" t="s">
        <v>400</v>
      </c>
      <c r="H7425" t="str">
        <f>VLOOKUP(record[[#This Row],[ProcessSN]],表格2_7[],2,FALSE)</f>
        <v>30-4118-018-550</v>
      </c>
      <c r="I7425" t="str">
        <f>VLOOKUP(record[[#This Row],[ProcessSN]],表格2_7[],3,FALSE)</f>
        <v>#100</v>
      </c>
      <c r="J7425" t="s">
        <v>598</v>
      </c>
      <c r="K7425" s="195">
        <v>45923.645798611113</v>
      </c>
      <c r="L7425">
        <v>463</v>
      </c>
      <c r="M7425">
        <v>0</v>
      </c>
      <c r="N7425" s="98" t="str">
        <f>IF(record[[#This Row],[Memo]]="Browser:chrome os:android","平板報工",IF(record[[#This Row],[Memo]]=0,"委外",record[[#This Row],[Memo]]))</f>
        <v>補9/22</v>
      </c>
      <c r="O7425" t="s">
        <v>1068</v>
      </c>
      <c r="P7425" t="s">
        <v>141</v>
      </c>
      <c r="Q7425" t="s">
        <v>58</v>
      </c>
      <c r="R7425" t="str">
        <f>IFERROR(VLOOKUP(record[[#This Row],[PCUSTID]],廠商[],2,FALSE),"")</f>
        <v/>
      </c>
      <c r="S7425" t="str">
        <f>VLOOKUP(record[[#This Row],[employeeID]],員工[],2,FALSE)</f>
        <v>蔣梅</v>
      </c>
    </row>
    <row r="7426" spans="6:19" hidden="1" x14ac:dyDescent="0.25">
      <c r="F7426" t="s">
        <v>1059</v>
      </c>
      <c r="G7426" t="s">
        <v>398</v>
      </c>
      <c r="H7426" t="str">
        <f>VLOOKUP(record[[#This Row],[ProcessSN]],表格2_7[],2,FALSE)</f>
        <v>30-4118-018-550</v>
      </c>
      <c r="I7426" t="str">
        <f>VLOOKUP(record[[#This Row],[ProcessSN]],表格2_7[],3,FALSE)</f>
        <v>#08RCV</v>
      </c>
      <c r="J7426" t="s">
        <v>591</v>
      </c>
      <c r="K7426" s="195">
        <v>45923.64162037037</v>
      </c>
      <c r="L7426">
        <v>54</v>
      </c>
      <c r="M7426">
        <v>0</v>
      </c>
      <c r="N7426" s="98" t="str">
        <f>IF(record[[#This Row],[Memo]]="Browser:chrome os:android","平板報工",IF(record[[#This Row],[Memo]]=0,"委外",record[[#This Row],[Memo]]))</f>
        <v/>
      </c>
      <c r="O7426" t="s">
        <v>58</v>
      </c>
      <c r="P7426" t="s">
        <v>186</v>
      </c>
      <c r="Q7426" t="s">
        <v>58</v>
      </c>
      <c r="R7426" t="str">
        <f>IFERROR(VLOOKUP(record[[#This Row],[PCUSTID]],廠商[],2,FALSE),"")</f>
        <v/>
      </c>
      <c r="S7426" t="str">
        <f>VLOOKUP(record[[#This Row],[employeeID]],員工[],2,FALSE)</f>
        <v>許文姍</v>
      </c>
    </row>
    <row r="7427" spans="6:19" hidden="1" x14ac:dyDescent="0.25">
      <c r="F7427" t="s">
        <v>1059</v>
      </c>
      <c r="G7427" t="s">
        <v>398</v>
      </c>
      <c r="H7427" t="str">
        <f>VLOOKUP(record[[#This Row],[ProcessSN]],表格2_7[],2,FALSE)</f>
        <v>30-4118-018-550</v>
      </c>
      <c r="I7427" t="str">
        <f>VLOOKUP(record[[#This Row],[ProcessSN]],表格2_7[],3,FALSE)</f>
        <v>#08RCV</v>
      </c>
      <c r="J7427" t="s">
        <v>591</v>
      </c>
      <c r="K7427" s="195">
        <v>45923.641203703701</v>
      </c>
      <c r="L7427">
        <v>404</v>
      </c>
      <c r="M7427">
        <v>0</v>
      </c>
      <c r="N7427" s="98" t="str">
        <f>IF(record[[#This Row],[Memo]]="Browser:chrome os:android","平板報工",IF(record[[#This Row],[Memo]]=0,"委外",record[[#This Row],[Memo]]))</f>
        <v/>
      </c>
      <c r="O7427" t="s">
        <v>58</v>
      </c>
      <c r="P7427" t="s">
        <v>186</v>
      </c>
      <c r="Q7427" t="s">
        <v>58</v>
      </c>
      <c r="R7427" t="str">
        <f>IFERROR(VLOOKUP(record[[#This Row],[PCUSTID]],廠商[],2,FALSE),"")</f>
        <v/>
      </c>
      <c r="S7427" t="str">
        <f>VLOOKUP(record[[#This Row],[employeeID]],員工[],2,FALSE)</f>
        <v>許文姍</v>
      </c>
    </row>
    <row r="7428" spans="6:19" hidden="1" x14ac:dyDescent="0.25">
      <c r="F7428" t="s">
        <v>1063</v>
      </c>
      <c r="G7428" t="s">
        <v>398</v>
      </c>
      <c r="H7428" t="str">
        <f>VLOOKUP(record[[#This Row],[ProcessSN]],表格2_7[],2,FALSE)</f>
        <v>30-4118-018-550</v>
      </c>
      <c r="I7428" t="str">
        <f>VLOOKUP(record[[#This Row],[ProcessSN]],表格2_7[],3,FALSE)</f>
        <v>#08RCV</v>
      </c>
      <c r="J7428" t="s">
        <v>591</v>
      </c>
      <c r="K7428" s="195">
        <v>45923.640763888892</v>
      </c>
      <c r="L7428">
        <v>336</v>
      </c>
      <c r="M7428">
        <v>0</v>
      </c>
      <c r="N7428" s="98" t="str">
        <f>IF(record[[#This Row],[Memo]]="Browser:chrome os:android","平板報工",IF(record[[#This Row],[Memo]]=0,"委外",record[[#This Row],[Memo]]))</f>
        <v/>
      </c>
      <c r="O7428" t="s">
        <v>58</v>
      </c>
      <c r="P7428" t="s">
        <v>186</v>
      </c>
      <c r="Q7428" t="s">
        <v>58</v>
      </c>
      <c r="R7428" t="str">
        <f>IFERROR(VLOOKUP(record[[#This Row],[PCUSTID]],廠商[],2,FALSE),"")</f>
        <v/>
      </c>
      <c r="S7428" t="str">
        <f>VLOOKUP(record[[#This Row],[employeeID]],員工[],2,FALSE)</f>
        <v>許文姍</v>
      </c>
    </row>
    <row r="7429" spans="6:19" hidden="1" x14ac:dyDescent="0.25">
      <c r="F7429" t="s">
        <v>1024</v>
      </c>
      <c r="G7429" t="s">
        <v>419</v>
      </c>
      <c r="H7429" t="str">
        <f>VLOOKUP(record[[#This Row],[ProcessSN]],表格2_7[],2,FALSE)</f>
        <v>30-4118-018-5XX</v>
      </c>
      <c r="I7429" t="str">
        <f>VLOOKUP(record[[#This Row],[ProcessSN]],表格2_7[],3,FALSE)</f>
        <v>#07QC</v>
      </c>
      <c r="J7429" t="s">
        <v>589</v>
      </c>
      <c r="K7429" s="195">
        <v>45919.544942129629</v>
      </c>
      <c r="L7429">
        <v>0</v>
      </c>
      <c r="M7429">
        <v>2</v>
      </c>
      <c r="N7429" s="98" t="str">
        <f>IF(record[[#This Row],[Memo]]="Browser:chrome os:android","平板報工",IF(record[[#This Row],[Memo]]=0,"委外",record[[#This Row],[Memo]]))</f>
        <v/>
      </c>
      <c r="O7429" t="s">
        <v>58</v>
      </c>
      <c r="P7429" t="s">
        <v>141</v>
      </c>
      <c r="Q7429" t="s">
        <v>58</v>
      </c>
      <c r="R7429" t="str">
        <f>IFERROR(VLOOKUP(record[[#This Row],[PCUSTID]],廠商[],2,FALSE),"")</f>
        <v/>
      </c>
      <c r="S7429" t="str">
        <f>VLOOKUP(record[[#This Row],[employeeID]],員工[],2,FALSE)</f>
        <v>蔣梅</v>
      </c>
    </row>
    <row r="7430" spans="6:19" hidden="1" x14ac:dyDescent="0.25">
      <c r="F7430" t="s">
        <v>1024</v>
      </c>
      <c r="G7430" t="s">
        <v>419</v>
      </c>
      <c r="H7430" t="str">
        <f>VLOOKUP(record[[#This Row],[ProcessSN]],表格2_7[],2,FALSE)</f>
        <v>30-4118-018-5XX</v>
      </c>
      <c r="I7430" t="str">
        <f>VLOOKUP(record[[#This Row],[ProcessSN]],表格2_7[],3,FALSE)</f>
        <v>#07QC</v>
      </c>
      <c r="J7430" t="s">
        <v>589</v>
      </c>
      <c r="K7430" s="195">
        <v>45919.544664351852</v>
      </c>
      <c r="L7430">
        <v>318</v>
      </c>
      <c r="M7430">
        <v>0</v>
      </c>
      <c r="N7430" s="98" t="str">
        <f>IF(record[[#This Row],[Memo]]="Browser:chrome os:android","平板報工",IF(record[[#This Row],[Memo]]=0,"委外",record[[#This Row],[Memo]]))</f>
        <v/>
      </c>
      <c r="O7430" t="s">
        <v>58</v>
      </c>
      <c r="P7430" t="s">
        <v>141</v>
      </c>
      <c r="Q7430" t="s">
        <v>58</v>
      </c>
      <c r="R7430" t="str">
        <f>IFERROR(VLOOKUP(record[[#This Row],[PCUSTID]],廠商[],2,FALSE),"")</f>
        <v/>
      </c>
      <c r="S7430" t="str">
        <f>VLOOKUP(record[[#This Row],[employeeID]],員工[],2,FALSE)</f>
        <v>蔣梅</v>
      </c>
    </row>
    <row r="7431" spans="6:19" hidden="1" x14ac:dyDescent="0.25">
      <c r="F7431" t="s">
        <v>1024</v>
      </c>
      <c r="G7431" t="s">
        <v>418</v>
      </c>
      <c r="H7431" t="str">
        <f>VLOOKUP(record[[#This Row],[ProcessSN]],表格2_7[],2,FALSE)</f>
        <v>30-4118-018-5XX</v>
      </c>
      <c r="I7431" t="str">
        <f>VLOOKUP(record[[#This Row],[ProcessSN]],表格2_7[],3,FALSE)</f>
        <v>#07</v>
      </c>
      <c r="J7431" t="s">
        <v>588</v>
      </c>
      <c r="K7431" s="195">
        <v>45919.490787037037</v>
      </c>
      <c r="L7431">
        <v>189</v>
      </c>
      <c r="M7431">
        <v>1</v>
      </c>
      <c r="N7431" s="98" t="str">
        <f>IF(record[[#This Row],[Memo]]="Browser:chrome os:android","平板報工",IF(record[[#This Row],[Memo]]=0,"委外",record[[#This Row],[Memo]]))</f>
        <v>9/11 中</v>
      </c>
      <c r="O7431" t="s">
        <v>1066</v>
      </c>
      <c r="P7431" t="s">
        <v>119</v>
      </c>
      <c r="Q7431" t="s">
        <v>58</v>
      </c>
      <c r="R7431" t="str">
        <f>IFERROR(VLOOKUP(record[[#This Row],[PCUSTID]],廠商[],2,FALSE),"")</f>
        <v/>
      </c>
      <c r="S7431" t="str">
        <f>VLOOKUP(record[[#This Row],[employeeID]],員工[],2,FALSE)</f>
        <v>廖俊彥</v>
      </c>
    </row>
    <row r="7432" spans="6:19" hidden="1" x14ac:dyDescent="0.25">
      <c r="F7432" t="s">
        <v>1065</v>
      </c>
      <c r="G7432" t="s">
        <v>421</v>
      </c>
      <c r="H7432" t="str">
        <f>VLOOKUP(record[[#This Row],[ProcessSN]],表格2_7[],2,FALSE)</f>
        <v>30-4118-018-600</v>
      </c>
      <c r="I7432" t="str">
        <f>VLOOKUP(record[[#This Row],[ProcessSN]],表格2_7[],3,FALSE)</f>
        <v>#08PICK</v>
      </c>
      <c r="J7432" t="s">
        <v>582</v>
      </c>
      <c r="K7432" s="195">
        <v>45919.476550925923</v>
      </c>
      <c r="L7432">
        <v>167</v>
      </c>
      <c r="M7432">
        <v>0</v>
      </c>
      <c r="N7432" s="98" t="str">
        <f>IF(record[[#This Row],[Memo]]="Browser:chrome os:android","平板報工",IF(record[[#This Row],[Memo]]=0,"委外",record[[#This Row],[Memo]]))</f>
        <v/>
      </c>
      <c r="O7432" t="s">
        <v>58</v>
      </c>
      <c r="P7432" t="s">
        <v>196</v>
      </c>
      <c r="Q7432" t="s">
        <v>58</v>
      </c>
      <c r="R7432" t="str">
        <f>IFERROR(VLOOKUP(record[[#This Row],[PCUSTID]],廠商[],2,FALSE),"")</f>
        <v/>
      </c>
      <c r="S7432" t="str">
        <f>VLOOKUP(record[[#This Row],[employeeID]],員工[],2,FALSE)</f>
        <v>張淑惠</v>
      </c>
    </row>
    <row r="7433" spans="6:19" hidden="1" x14ac:dyDescent="0.25">
      <c r="F7433" t="s">
        <v>1025</v>
      </c>
      <c r="G7433" t="s">
        <v>452</v>
      </c>
      <c r="H7433" t="str">
        <f>VLOOKUP(record[[#This Row],[ProcessSN]],表格2_7[],2,FALSE)</f>
        <v>30-4118-018-6XX</v>
      </c>
      <c r="I7433" t="str">
        <f>VLOOKUP(record[[#This Row],[ProcessSN]],表格2_7[],3,FALSE)</f>
        <v>#07QC</v>
      </c>
      <c r="J7433" t="s">
        <v>589</v>
      </c>
      <c r="K7433" s="195">
        <v>45919.472453703704</v>
      </c>
      <c r="L7433">
        <v>0</v>
      </c>
      <c r="M7433">
        <v>1</v>
      </c>
      <c r="N7433" s="98" t="str">
        <f>IF(record[[#This Row],[Memo]]="Browser:chrome os:android","平板報工",IF(record[[#This Row],[Memo]]=0,"委外",record[[#This Row],[Memo]]))</f>
        <v/>
      </c>
      <c r="O7433" t="s">
        <v>58</v>
      </c>
      <c r="P7433" t="s">
        <v>141</v>
      </c>
      <c r="Q7433" t="s">
        <v>58</v>
      </c>
      <c r="R7433" t="str">
        <f>IFERROR(VLOOKUP(record[[#This Row],[PCUSTID]],廠商[],2,FALSE),"")</f>
        <v/>
      </c>
      <c r="S7433" t="str">
        <f>VLOOKUP(record[[#This Row],[employeeID]],員工[],2,FALSE)</f>
        <v>蔣梅</v>
      </c>
    </row>
    <row r="7434" spans="6:19" hidden="1" x14ac:dyDescent="0.25">
      <c r="F7434" t="s">
        <v>1025</v>
      </c>
      <c r="G7434" t="s">
        <v>452</v>
      </c>
      <c r="H7434" t="str">
        <f>VLOOKUP(record[[#This Row],[ProcessSN]],表格2_7[],2,FALSE)</f>
        <v>30-4118-018-6XX</v>
      </c>
      <c r="I7434" t="str">
        <f>VLOOKUP(record[[#This Row],[ProcessSN]],表格2_7[],3,FALSE)</f>
        <v>#07QC</v>
      </c>
      <c r="J7434" t="s">
        <v>589</v>
      </c>
      <c r="K7434" s="195">
        <v>45919.472280092596</v>
      </c>
      <c r="L7434">
        <v>167</v>
      </c>
      <c r="M7434">
        <v>0</v>
      </c>
      <c r="N7434" s="98" t="str">
        <f>IF(record[[#This Row],[Memo]]="Browser:chrome os:android","平板報工",IF(record[[#This Row],[Memo]]=0,"委外",record[[#This Row],[Memo]]))</f>
        <v/>
      </c>
      <c r="O7434" t="s">
        <v>58</v>
      </c>
      <c r="P7434" t="s">
        <v>141</v>
      </c>
      <c r="Q7434" t="s">
        <v>58</v>
      </c>
      <c r="R7434" t="str">
        <f>IFERROR(VLOOKUP(record[[#This Row],[PCUSTID]],廠商[],2,FALSE),"")</f>
        <v/>
      </c>
      <c r="S7434" t="str">
        <f>VLOOKUP(record[[#This Row],[employeeID]],員工[],2,FALSE)</f>
        <v>蔣梅</v>
      </c>
    </row>
    <row r="7435" spans="6:19" hidden="1" x14ac:dyDescent="0.25">
      <c r="F7435" t="s">
        <v>1064</v>
      </c>
      <c r="G7435" t="s">
        <v>396</v>
      </c>
      <c r="H7435" t="str">
        <f>VLOOKUP(record[[#This Row],[ProcessSN]],表格2_7[],2,FALSE)</f>
        <v>30-4118-018-550</v>
      </c>
      <c r="I7435" t="str">
        <f>VLOOKUP(record[[#This Row],[ProcessSN]],表格2_7[],3,FALSE)</f>
        <v>#08PICK</v>
      </c>
      <c r="J7435" t="s">
        <v>582</v>
      </c>
      <c r="K7435" s="195">
        <v>45919.432997685188</v>
      </c>
      <c r="L7435">
        <v>318</v>
      </c>
      <c r="M7435">
        <v>0</v>
      </c>
      <c r="N7435" s="98" t="str">
        <f>IF(record[[#This Row],[Memo]]="Browser:chrome os:android","平板報工",IF(record[[#This Row],[Memo]]=0,"委外",record[[#This Row],[Memo]]))</f>
        <v/>
      </c>
      <c r="O7435" t="s">
        <v>58</v>
      </c>
      <c r="P7435" t="s">
        <v>196</v>
      </c>
      <c r="Q7435" t="s">
        <v>58</v>
      </c>
      <c r="R7435" t="str">
        <f>IFERROR(VLOOKUP(record[[#This Row],[PCUSTID]],廠商[],2,FALSE),"")</f>
        <v/>
      </c>
      <c r="S7435" t="str">
        <f>VLOOKUP(record[[#This Row],[employeeID]],員工[],2,FALSE)</f>
        <v>張淑惠</v>
      </c>
    </row>
    <row r="7436" spans="6:19" hidden="1" x14ac:dyDescent="0.25">
      <c r="F7436" t="s">
        <v>1025</v>
      </c>
      <c r="G7436" t="s">
        <v>450</v>
      </c>
      <c r="H7436" t="str">
        <f>VLOOKUP(record[[#This Row],[ProcessSN]],表格2_7[],2,FALSE)</f>
        <v>30-4118-018-6XX</v>
      </c>
      <c r="I7436" t="str">
        <f>VLOOKUP(record[[#This Row],[ProcessSN]],表格2_7[],3,FALSE)</f>
        <v>#06</v>
      </c>
      <c r="J7436" t="s">
        <v>593</v>
      </c>
      <c r="K7436" s="195">
        <v>45919.316435185188</v>
      </c>
      <c r="L7436">
        <v>120</v>
      </c>
      <c r="M7436">
        <v>1</v>
      </c>
      <c r="N7436" s="98" t="str">
        <f>IF(record[[#This Row],[Memo]]="Browser:chrome os:android","平板報工",IF(record[[#This Row],[Memo]]=0,"委外",record[[#This Row],[Memo]]))</f>
        <v/>
      </c>
      <c r="O7436" t="s">
        <v>58</v>
      </c>
      <c r="P7436" t="s">
        <v>135</v>
      </c>
      <c r="Q7436" t="s">
        <v>58</v>
      </c>
      <c r="R7436" t="str">
        <f>IFERROR(VLOOKUP(record[[#This Row],[PCUSTID]],廠商[],2,FALSE),"")</f>
        <v/>
      </c>
      <c r="S7436" t="str">
        <f>VLOOKUP(record[[#This Row],[employeeID]],員工[],2,FALSE)</f>
        <v>阮士文</v>
      </c>
    </row>
    <row r="7437" spans="6:19" hidden="1" x14ac:dyDescent="0.25">
      <c r="F7437" t="s">
        <v>1025</v>
      </c>
      <c r="G7437" t="s">
        <v>450</v>
      </c>
      <c r="H7437" t="str">
        <f>VLOOKUP(record[[#This Row],[ProcessSN]],表格2_7[],2,FALSE)</f>
        <v>30-4118-018-6XX</v>
      </c>
      <c r="I7437" t="str">
        <f>VLOOKUP(record[[#This Row],[ProcessSN]],表格2_7[],3,FALSE)</f>
        <v>#06</v>
      </c>
      <c r="J7437" t="s">
        <v>593</v>
      </c>
      <c r="K7437" s="195">
        <v>45918.971030092594</v>
      </c>
      <c r="L7437">
        <v>121</v>
      </c>
      <c r="M7437">
        <v>0</v>
      </c>
      <c r="N7437" s="98" t="str">
        <f>IF(record[[#This Row],[Memo]]="Browser:chrome os:android","平板報工",IF(record[[#This Row],[Memo]]=0,"委外",record[[#This Row],[Memo]]))</f>
        <v/>
      </c>
      <c r="O7437" t="s">
        <v>58</v>
      </c>
      <c r="P7437" t="s">
        <v>841</v>
      </c>
      <c r="Q7437" t="s">
        <v>58</v>
      </c>
      <c r="R7437" t="str">
        <f>IFERROR(VLOOKUP(record[[#This Row],[PCUSTID]],廠商[],2,FALSE),"")</f>
        <v/>
      </c>
      <c r="S7437" t="str">
        <f>VLOOKUP(record[[#This Row],[employeeID]],員工[],2,FALSE)</f>
        <v>范氏香</v>
      </c>
    </row>
    <row r="7438" spans="6:19" hidden="1" x14ac:dyDescent="0.25">
      <c r="F7438" t="s">
        <v>1051</v>
      </c>
      <c r="G7438" t="s">
        <v>399</v>
      </c>
      <c r="H7438" t="str">
        <f>VLOOKUP(record[[#This Row],[ProcessSN]],表格2_7[],2,FALSE)</f>
        <v>30-4118-018-550</v>
      </c>
      <c r="I7438" t="str">
        <f>VLOOKUP(record[[#This Row],[ProcessSN]],表格2_7[],3,FALSE)</f>
        <v>#08IQC</v>
      </c>
      <c r="J7438" t="s">
        <v>583</v>
      </c>
      <c r="K7438" s="195">
        <v>45918.787974537037</v>
      </c>
      <c r="L7438">
        <v>463</v>
      </c>
      <c r="M7438">
        <v>0</v>
      </c>
      <c r="N7438" s="98" t="str">
        <f>IF(record[[#This Row],[Memo]]="Browser:chrome os:android","平板報工",IF(record[[#This Row],[Memo]]=0,"委外",record[[#This Row],[Memo]]))</f>
        <v/>
      </c>
      <c r="O7438" t="s">
        <v>58</v>
      </c>
      <c r="P7438" t="s">
        <v>109</v>
      </c>
      <c r="Q7438" t="s">
        <v>58</v>
      </c>
      <c r="R7438" t="str">
        <f>IFERROR(VLOOKUP(record[[#This Row],[PCUSTID]],廠商[],2,FALSE),"")</f>
        <v/>
      </c>
      <c r="S7438" t="str">
        <f>VLOOKUP(record[[#This Row],[employeeID]],員工[],2,FALSE)</f>
        <v>裴氏璧鳳</v>
      </c>
    </row>
    <row r="7439" spans="6:19" hidden="1" x14ac:dyDescent="0.25">
      <c r="F7439" t="s">
        <v>1052</v>
      </c>
      <c r="G7439" t="s">
        <v>399</v>
      </c>
      <c r="H7439" t="str">
        <f>VLOOKUP(record[[#This Row],[ProcessSN]],表格2_7[],2,FALSE)</f>
        <v>30-4118-018-550</v>
      </c>
      <c r="I7439" t="str">
        <f>VLOOKUP(record[[#This Row],[ProcessSN]],表格2_7[],3,FALSE)</f>
        <v>#08IQC</v>
      </c>
      <c r="J7439" t="s">
        <v>583</v>
      </c>
      <c r="K7439" s="195">
        <v>45918.787858796299</v>
      </c>
      <c r="L7439">
        <v>311</v>
      </c>
      <c r="M7439">
        <v>0</v>
      </c>
      <c r="N7439" s="98" t="str">
        <f>IF(record[[#This Row],[Memo]]="Browser:chrome os:android","平板報工",IF(record[[#This Row],[Memo]]=0,"委外",record[[#This Row],[Memo]]))</f>
        <v/>
      </c>
      <c r="O7439" t="s">
        <v>58</v>
      </c>
      <c r="P7439" t="s">
        <v>109</v>
      </c>
      <c r="Q7439" t="s">
        <v>58</v>
      </c>
      <c r="R7439" t="str">
        <f>IFERROR(VLOOKUP(record[[#This Row],[PCUSTID]],廠商[],2,FALSE),"")</f>
        <v/>
      </c>
      <c r="S7439" t="str">
        <f>VLOOKUP(record[[#This Row],[employeeID]],員工[],2,FALSE)</f>
        <v>裴氏璧鳳</v>
      </c>
    </row>
    <row r="7440" spans="6:19" hidden="1" x14ac:dyDescent="0.25">
      <c r="F7440" t="s">
        <v>1051</v>
      </c>
      <c r="G7440" t="s">
        <v>398</v>
      </c>
      <c r="H7440" t="str">
        <f>VLOOKUP(record[[#This Row],[ProcessSN]],表格2_7[],2,FALSE)</f>
        <v>30-4118-018-550</v>
      </c>
      <c r="I7440" t="str">
        <f>VLOOKUP(record[[#This Row],[ProcessSN]],表格2_7[],3,FALSE)</f>
        <v>#08RCV</v>
      </c>
      <c r="J7440" t="s">
        <v>591</v>
      </c>
      <c r="K7440" s="195">
        <v>45918.671388888892</v>
      </c>
      <c r="L7440">
        <v>0</v>
      </c>
      <c r="M7440">
        <v>8</v>
      </c>
      <c r="N7440" s="98" t="str">
        <f>IF(record[[#This Row],[Memo]]="Browser:chrome os:android","平板報工",IF(record[[#This Row],[Memo]]=0,"委外",record[[#This Row],[Memo]]))</f>
        <v/>
      </c>
      <c r="O7440" t="s">
        <v>58</v>
      </c>
      <c r="P7440" t="s">
        <v>186</v>
      </c>
      <c r="Q7440" t="s">
        <v>58</v>
      </c>
      <c r="R7440" t="str">
        <f>IFERROR(VLOOKUP(record[[#This Row],[PCUSTID]],廠商[],2,FALSE),"")</f>
        <v/>
      </c>
      <c r="S7440" t="str">
        <f>VLOOKUP(record[[#This Row],[employeeID]],員工[],2,FALSE)</f>
        <v>許文姍</v>
      </c>
    </row>
    <row r="7441" spans="6:19" hidden="1" x14ac:dyDescent="0.25">
      <c r="F7441" t="s">
        <v>1051</v>
      </c>
      <c r="G7441" t="s">
        <v>398</v>
      </c>
      <c r="H7441" t="str">
        <f>VLOOKUP(record[[#This Row],[ProcessSN]],表格2_7[],2,FALSE)</f>
        <v>30-4118-018-550</v>
      </c>
      <c r="I7441" t="str">
        <f>VLOOKUP(record[[#This Row],[ProcessSN]],表格2_7[],3,FALSE)</f>
        <v>#08RCV</v>
      </c>
      <c r="J7441" t="s">
        <v>591</v>
      </c>
      <c r="K7441" s="195">
        <v>45918.671180555553</v>
      </c>
      <c r="L7441">
        <v>463</v>
      </c>
      <c r="M7441">
        <v>0</v>
      </c>
      <c r="N7441" s="98" t="str">
        <f>IF(record[[#This Row],[Memo]]="Browser:chrome os:android","平板報工",IF(record[[#This Row],[Memo]]=0,"委外",record[[#This Row],[Memo]]))</f>
        <v/>
      </c>
      <c r="O7441" t="s">
        <v>58</v>
      </c>
      <c r="P7441" t="s">
        <v>186</v>
      </c>
      <c r="Q7441" t="s">
        <v>58</v>
      </c>
      <c r="R7441" t="str">
        <f>IFERROR(VLOOKUP(record[[#This Row],[PCUSTID]],廠商[],2,FALSE),"")</f>
        <v/>
      </c>
      <c r="S7441" t="str">
        <f>VLOOKUP(record[[#This Row],[employeeID]],員工[],2,FALSE)</f>
        <v>許文姍</v>
      </c>
    </row>
    <row r="7442" spans="6:19" hidden="1" x14ac:dyDescent="0.25">
      <c r="F7442" t="s">
        <v>1052</v>
      </c>
      <c r="G7442" t="s">
        <v>398</v>
      </c>
      <c r="H7442" t="str">
        <f>VLOOKUP(record[[#This Row],[ProcessSN]],表格2_7[],2,FALSE)</f>
        <v>30-4118-018-550</v>
      </c>
      <c r="I7442" t="str">
        <f>VLOOKUP(record[[#This Row],[ProcessSN]],表格2_7[],3,FALSE)</f>
        <v>#08RCV</v>
      </c>
      <c r="J7442" t="s">
        <v>591</v>
      </c>
      <c r="K7442" s="195">
        <v>45918.670844907407</v>
      </c>
      <c r="L7442">
        <v>311</v>
      </c>
      <c r="M7442">
        <v>0</v>
      </c>
      <c r="N7442" s="98" t="str">
        <f>IF(record[[#This Row],[Memo]]="Browser:chrome os:android","平板報工",IF(record[[#This Row],[Memo]]=0,"委外",record[[#This Row],[Memo]]))</f>
        <v/>
      </c>
      <c r="O7442" t="s">
        <v>58</v>
      </c>
      <c r="P7442" t="s">
        <v>186</v>
      </c>
      <c r="Q7442" t="s">
        <v>58</v>
      </c>
      <c r="R7442" t="str">
        <f>IFERROR(VLOOKUP(record[[#This Row],[PCUSTID]],廠商[],2,FALSE),"")</f>
        <v/>
      </c>
      <c r="S7442" t="str">
        <f>VLOOKUP(record[[#This Row],[employeeID]],員工[],2,FALSE)</f>
        <v>許文姍</v>
      </c>
    </row>
    <row r="7443" spans="6:19" hidden="1" x14ac:dyDescent="0.25">
      <c r="F7443" t="s">
        <v>1063</v>
      </c>
      <c r="G7443" t="s">
        <v>397</v>
      </c>
      <c r="H7443" t="str">
        <f>VLOOKUP(record[[#This Row],[ProcessSN]],表格2_7[],2,FALSE)</f>
        <v>30-4118-018-550</v>
      </c>
      <c r="I7443" t="str">
        <f>VLOOKUP(record[[#This Row],[ProcessSN]],表格2_7[],3,FALSE)</f>
        <v>#08</v>
      </c>
      <c r="J7443" t="s">
        <v>597</v>
      </c>
      <c r="K7443" s="195">
        <v>45918.655057870368</v>
      </c>
      <c r="L7443">
        <v>336</v>
      </c>
      <c r="M7443">
        <v>0</v>
      </c>
      <c r="N7443" s="98" t="str">
        <f>IF(record[[#This Row],[Memo]]="Browser:chrome os:android","平板報工",IF(record[[#This Row],[Memo]]=0,"委外",record[[#This Row],[Memo]]))</f>
        <v/>
      </c>
      <c r="O7443" t="s">
        <v>58</v>
      </c>
      <c r="P7443" t="s">
        <v>186</v>
      </c>
      <c r="Q7443" t="s">
        <v>287</v>
      </c>
      <c r="R7443" t="str">
        <f>IFERROR(VLOOKUP(record[[#This Row],[PCUSTID]],廠商[],2,FALSE),"")</f>
        <v>泉盛</v>
      </c>
      <c r="S7443" t="str">
        <f>VLOOKUP(record[[#This Row],[employeeID]],員工[],2,FALSE)</f>
        <v>許文姍</v>
      </c>
    </row>
    <row r="7444" spans="6:19" hidden="1" x14ac:dyDescent="0.25">
      <c r="F7444" t="s">
        <v>1025</v>
      </c>
      <c r="G7444" t="s">
        <v>449</v>
      </c>
      <c r="H7444" t="str">
        <f>VLOOKUP(record[[#This Row],[ProcessSN]],表格2_7[],2,FALSE)</f>
        <v>30-4118-018-6XX</v>
      </c>
      <c r="I7444" t="str">
        <f>VLOOKUP(record[[#This Row],[ProcessSN]],表格2_7[],3,FALSE)</f>
        <v>#05</v>
      </c>
      <c r="J7444" t="s">
        <v>588</v>
      </c>
      <c r="K7444" s="195">
        <v>45918.636840277781</v>
      </c>
      <c r="L7444">
        <v>239</v>
      </c>
      <c r="M7444">
        <v>0</v>
      </c>
      <c r="N7444" s="98" t="str">
        <f>IF(record[[#This Row],[Memo]]="Browser:chrome os:android","平板報工",IF(record[[#This Row],[Memo]]=0,"委外",record[[#This Row],[Memo]]))</f>
        <v/>
      </c>
      <c r="O7444" t="s">
        <v>58</v>
      </c>
      <c r="P7444" t="s">
        <v>119</v>
      </c>
      <c r="Q7444" t="s">
        <v>58</v>
      </c>
      <c r="R7444" t="str">
        <f>IFERROR(VLOOKUP(record[[#This Row],[PCUSTID]],廠商[],2,FALSE),"")</f>
        <v/>
      </c>
      <c r="S7444" t="str">
        <f>VLOOKUP(record[[#This Row],[employeeID]],員工[],2,FALSE)</f>
        <v>廖俊彥</v>
      </c>
    </row>
    <row r="7445" spans="6:19" hidden="1" x14ac:dyDescent="0.25">
      <c r="F7445" t="s">
        <v>1024</v>
      </c>
      <c r="G7445" t="s">
        <v>418</v>
      </c>
      <c r="H7445" t="str">
        <f>VLOOKUP(record[[#This Row],[ProcessSN]],表格2_7[],2,FALSE)</f>
        <v>30-4118-018-5XX</v>
      </c>
      <c r="I7445" t="str">
        <f>VLOOKUP(record[[#This Row],[ProcessSN]],表格2_7[],3,FALSE)</f>
        <v>#07</v>
      </c>
      <c r="J7445" t="s">
        <v>588</v>
      </c>
      <c r="K7445" s="195">
        <v>45918.620405092595</v>
      </c>
      <c r="L7445">
        <v>174</v>
      </c>
      <c r="M7445">
        <v>0</v>
      </c>
      <c r="N7445" s="98" t="str">
        <f>IF(record[[#This Row],[Memo]]="Browser:chrome os:android","平板報工",IF(record[[#This Row],[Memo]]=0,"委外",record[[#This Row],[Memo]]))</f>
        <v/>
      </c>
      <c r="O7445" t="s">
        <v>58</v>
      </c>
      <c r="P7445" t="s">
        <v>119</v>
      </c>
      <c r="Q7445" t="s">
        <v>58</v>
      </c>
      <c r="R7445" t="str">
        <f>IFERROR(VLOOKUP(record[[#This Row],[PCUSTID]],廠商[],2,FALSE),"")</f>
        <v/>
      </c>
      <c r="S7445" t="str">
        <f>VLOOKUP(record[[#This Row],[employeeID]],員工[],2,FALSE)</f>
        <v>廖俊彥</v>
      </c>
    </row>
    <row r="7446" spans="6:19" hidden="1" x14ac:dyDescent="0.25">
      <c r="F7446" t="s">
        <v>1025</v>
      </c>
      <c r="G7446" t="s">
        <v>450</v>
      </c>
      <c r="H7446" t="str">
        <f>VLOOKUP(record[[#This Row],[ProcessSN]],表格2_7[],2,FALSE)</f>
        <v>30-4118-018-6XX</v>
      </c>
      <c r="I7446" t="str">
        <f>VLOOKUP(record[[#This Row],[ProcessSN]],表格2_7[],3,FALSE)</f>
        <v>#06</v>
      </c>
      <c r="J7446" t="s">
        <v>593</v>
      </c>
      <c r="K7446" s="195">
        <v>45918.612627314818</v>
      </c>
      <c r="L7446">
        <v>116</v>
      </c>
      <c r="M7446">
        <v>0</v>
      </c>
      <c r="N7446" s="98" t="str">
        <f>IF(record[[#This Row],[Memo]]="Browser:chrome os:android","平板報工",IF(record[[#This Row],[Memo]]=0,"委外",record[[#This Row],[Memo]]))</f>
        <v>平板報工</v>
      </c>
      <c r="O7446" t="s">
        <v>643</v>
      </c>
      <c r="P7446" t="s">
        <v>166</v>
      </c>
      <c r="Q7446" t="s">
        <v>644</v>
      </c>
      <c r="R7446" t="str">
        <f>IFERROR(VLOOKUP(record[[#This Row],[PCUSTID]],廠商[],2,FALSE),"")</f>
        <v/>
      </c>
      <c r="S7446" t="str">
        <f>VLOOKUP(record[[#This Row],[employeeID]],員工[],2,FALSE)</f>
        <v>阮懷香</v>
      </c>
    </row>
    <row r="7447" spans="6:19" hidden="1" x14ac:dyDescent="0.25">
      <c r="F7447" t="s">
        <v>1048</v>
      </c>
      <c r="G7447" t="s">
        <v>400</v>
      </c>
      <c r="H7447" t="str">
        <f>VLOOKUP(record[[#This Row],[ProcessSN]],表格2_7[],2,FALSE)</f>
        <v>30-4118-018-550</v>
      </c>
      <c r="I7447" t="str">
        <f>VLOOKUP(record[[#This Row],[ProcessSN]],表格2_7[],3,FALSE)</f>
        <v>#100</v>
      </c>
      <c r="J7447" t="s">
        <v>598</v>
      </c>
      <c r="K7447" s="195">
        <v>45918.588958333334</v>
      </c>
      <c r="L7447">
        <v>307</v>
      </c>
      <c r="M7447">
        <v>0</v>
      </c>
      <c r="N7447" s="98" t="str">
        <f>IF(record[[#This Row],[Memo]]="Browser:chrome os:android","平板報工",IF(record[[#This Row],[Memo]]=0,"委外",record[[#This Row],[Memo]]))</f>
        <v/>
      </c>
      <c r="O7447" t="s">
        <v>58</v>
      </c>
      <c r="P7447" t="s">
        <v>141</v>
      </c>
      <c r="Q7447" t="s">
        <v>58</v>
      </c>
      <c r="R7447" t="str">
        <f>IFERROR(VLOOKUP(record[[#This Row],[PCUSTID]],廠商[],2,FALSE),"")</f>
        <v/>
      </c>
      <c r="S7447" t="str">
        <f>VLOOKUP(record[[#This Row],[employeeID]],員工[],2,FALSE)</f>
        <v>蔣梅</v>
      </c>
    </row>
    <row r="7448" spans="6:19" hidden="1" x14ac:dyDescent="0.25">
      <c r="F7448" t="s">
        <v>1011</v>
      </c>
      <c r="G7448" t="s">
        <v>400</v>
      </c>
      <c r="H7448" t="str">
        <f>VLOOKUP(record[[#This Row],[ProcessSN]],表格2_7[],2,FALSE)</f>
        <v>30-4118-018-550</v>
      </c>
      <c r="I7448" t="str">
        <f>VLOOKUP(record[[#This Row],[ProcessSN]],表格2_7[],3,FALSE)</f>
        <v>#100</v>
      </c>
      <c r="J7448" t="s">
        <v>598</v>
      </c>
      <c r="K7448" s="195">
        <v>45918.580312500002</v>
      </c>
      <c r="L7448">
        <v>41</v>
      </c>
      <c r="M7448">
        <v>0</v>
      </c>
      <c r="N7448" s="98" t="str">
        <f>IF(record[[#This Row],[Memo]]="Browser:chrome os:android","平板報工",IF(record[[#This Row],[Memo]]=0,"委外",record[[#This Row],[Memo]]))</f>
        <v>覆回品</v>
      </c>
      <c r="O7448" t="s">
        <v>664</v>
      </c>
      <c r="P7448" t="s">
        <v>141</v>
      </c>
      <c r="Q7448" t="s">
        <v>58</v>
      </c>
      <c r="R7448" t="str">
        <f>IFERROR(VLOOKUP(record[[#This Row],[PCUSTID]],廠商[],2,FALSE),"")</f>
        <v/>
      </c>
      <c r="S7448" t="str">
        <f>VLOOKUP(record[[#This Row],[employeeID]],員工[],2,FALSE)</f>
        <v>蔣梅</v>
      </c>
    </row>
    <row r="7449" spans="6:19" hidden="1" x14ac:dyDescent="0.25">
      <c r="F7449" t="s">
        <v>1011</v>
      </c>
      <c r="G7449" t="s">
        <v>398</v>
      </c>
      <c r="H7449" t="str">
        <f>VLOOKUP(record[[#This Row],[ProcessSN]],表格2_7[],2,FALSE)</f>
        <v>30-4118-018-550</v>
      </c>
      <c r="I7449" t="str">
        <f>VLOOKUP(record[[#This Row],[ProcessSN]],表格2_7[],3,FALSE)</f>
        <v>#08RCV</v>
      </c>
      <c r="J7449" t="s">
        <v>591</v>
      </c>
      <c r="K7449" s="195">
        <v>45918.58</v>
      </c>
      <c r="L7449">
        <v>0</v>
      </c>
      <c r="M7449">
        <v>9</v>
      </c>
      <c r="N7449" s="98" t="str">
        <f>IF(record[[#This Row],[Memo]]="Browser:chrome os:android","平板報工",IF(record[[#This Row],[Memo]]=0,"委外",record[[#This Row],[Memo]]))</f>
        <v/>
      </c>
      <c r="O7449" t="s">
        <v>58</v>
      </c>
      <c r="P7449" t="s">
        <v>141</v>
      </c>
      <c r="Q7449" t="s">
        <v>58</v>
      </c>
      <c r="R7449" t="str">
        <f>IFERROR(VLOOKUP(record[[#This Row],[PCUSTID]],廠商[],2,FALSE),"")</f>
        <v/>
      </c>
      <c r="S7449" t="str">
        <f>VLOOKUP(record[[#This Row],[employeeID]],員工[],2,FALSE)</f>
        <v>蔣梅</v>
      </c>
    </row>
    <row r="7450" spans="6:19" hidden="1" x14ac:dyDescent="0.25">
      <c r="F7450" t="s">
        <v>1011</v>
      </c>
      <c r="G7450" t="s">
        <v>399</v>
      </c>
      <c r="H7450" t="str">
        <f>VLOOKUP(record[[#This Row],[ProcessSN]],表格2_7[],2,FALSE)</f>
        <v>30-4118-018-550</v>
      </c>
      <c r="I7450" t="str">
        <f>VLOOKUP(record[[#This Row],[ProcessSN]],表格2_7[],3,FALSE)</f>
        <v>#08IQC</v>
      </c>
      <c r="J7450" t="s">
        <v>583</v>
      </c>
      <c r="K7450" s="195">
        <v>45918.579826388886</v>
      </c>
      <c r="L7450">
        <v>16</v>
      </c>
      <c r="M7450">
        <v>0</v>
      </c>
      <c r="N7450" s="98" t="str">
        <f>IF(record[[#This Row],[Memo]]="Browser:chrome os:android","平板報工",IF(record[[#This Row],[Memo]]=0,"委外",record[[#This Row],[Memo]]))</f>
        <v>覆回品</v>
      </c>
      <c r="O7450" t="s">
        <v>664</v>
      </c>
      <c r="P7450" t="s">
        <v>141</v>
      </c>
      <c r="Q7450" t="s">
        <v>58</v>
      </c>
      <c r="R7450" t="str">
        <f>IFERROR(VLOOKUP(record[[#This Row],[PCUSTID]],廠商[],2,FALSE),"")</f>
        <v/>
      </c>
      <c r="S7450" t="str">
        <f>VLOOKUP(record[[#This Row],[employeeID]],員工[],2,FALSE)</f>
        <v>蔣梅</v>
      </c>
    </row>
    <row r="7451" spans="6:19" hidden="1" x14ac:dyDescent="0.25">
      <c r="F7451" t="s">
        <v>1011</v>
      </c>
      <c r="G7451" t="s">
        <v>398</v>
      </c>
      <c r="H7451" t="str">
        <f>VLOOKUP(record[[#This Row],[ProcessSN]],表格2_7[],2,FALSE)</f>
        <v>30-4118-018-550</v>
      </c>
      <c r="I7451" t="str">
        <f>VLOOKUP(record[[#This Row],[ProcessSN]],表格2_7[],3,FALSE)</f>
        <v>#08RCV</v>
      </c>
      <c r="J7451" t="s">
        <v>591</v>
      </c>
      <c r="K7451" s="195">
        <v>45918.579467592594</v>
      </c>
      <c r="L7451">
        <v>16</v>
      </c>
      <c r="M7451">
        <v>0</v>
      </c>
      <c r="N7451" s="98" t="str">
        <f>IF(record[[#This Row],[Memo]]="Browser:chrome os:android","平板報工",IF(record[[#This Row],[Memo]]=0,"委外",record[[#This Row],[Memo]]))</f>
        <v>覆回品</v>
      </c>
      <c r="O7451" t="s">
        <v>664</v>
      </c>
      <c r="P7451" t="s">
        <v>141</v>
      </c>
      <c r="Q7451" t="s">
        <v>58</v>
      </c>
      <c r="R7451" t="str">
        <f>IFERROR(VLOOKUP(record[[#This Row],[PCUSTID]],廠商[],2,FALSE),"")</f>
        <v/>
      </c>
      <c r="S7451" t="str">
        <f>VLOOKUP(record[[#This Row],[employeeID]],員工[],2,FALSE)</f>
        <v>蔣梅</v>
      </c>
    </row>
    <row r="7452" spans="6:19" hidden="1" x14ac:dyDescent="0.25">
      <c r="F7452" t="s">
        <v>999</v>
      </c>
      <c r="G7452" t="s">
        <v>400</v>
      </c>
      <c r="H7452" t="str">
        <f>VLOOKUP(record[[#This Row],[ProcessSN]],表格2_7[],2,FALSE)</f>
        <v>30-4118-018-550</v>
      </c>
      <c r="I7452" t="str">
        <f>VLOOKUP(record[[#This Row],[ProcessSN]],表格2_7[],3,FALSE)</f>
        <v>#100</v>
      </c>
      <c r="J7452" t="s">
        <v>598</v>
      </c>
      <c r="K7452" s="195">
        <v>45918.577407407407</v>
      </c>
      <c r="L7452">
        <v>2</v>
      </c>
      <c r="M7452">
        <v>0</v>
      </c>
      <c r="N7452" s="98" t="str">
        <f>IF(record[[#This Row],[Memo]]="Browser:chrome os:android","平板報工",IF(record[[#This Row],[Memo]]=0,"委外",record[[#This Row],[Memo]]))</f>
        <v/>
      </c>
      <c r="O7452" t="s">
        <v>58</v>
      </c>
      <c r="P7452" t="s">
        <v>141</v>
      </c>
      <c r="Q7452" t="s">
        <v>58</v>
      </c>
      <c r="R7452" t="str">
        <f>IFERROR(VLOOKUP(record[[#This Row],[PCUSTID]],廠商[],2,FALSE),"")</f>
        <v/>
      </c>
      <c r="S7452" t="str">
        <f>VLOOKUP(record[[#This Row],[employeeID]],員工[],2,FALSE)</f>
        <v>蔣梅</v>
      </c>
    </row>
    <row r="7453" spans="6:19" hidden="1" x14ac:dyDescent="0.25">
      <c r="F7453" t="s">
        <v>999</v>
      </c>
      <c r="G7453" t="s">
        <v>399</v>
      </c>
      <c r="H7453" t="str">
        <f>VLOOKUP(record[[#This Row],[ProcessSN]],表格2_7[],2,FALSE)</f>
        <v>30-4118-018-550</v>
      </c>
      <c r="I7453" t="str">
        <f>VLOOKUP(record[[#This Row],[ProcessSN]],表格2_7[],3,FALSE)</f>
        <v>#08IQC</v>
      </c>
      <c r="J7453" t="s">
        <v>583</v>
      </c>
      <c r="K7453" s="195">
        <v>45918.577256944445</v>
      </c>
      <c r="L7453">
        <v>2</v>
      </c>
      <c r="M7453">
        <v>0</v>
      </c>
      <c r="N7453" s="98" t="str">
        <f>IF(record[[#This Row],[Memo]]="Browser:chrome os:android","平板報工",IF(record[[#This Row],[Memo]]=0,"委外",record[[#This Row],[Memo]]))</f>
        <v>覆回品</v>
      </c>
      <c r="O7453" t="s">
        <v>664</v>
      </c>
      <c r="P7453" t="s">
        <v>141</v>
      </c>
      <c r="Q7453" t="s">
        <v>58</v>
      </c>
      <c r="R7453" t="str">
        <f>IFERROR(VLOOKUP(record[[#This Row],[PCUSTID]],廠商[],2,FALSE),"")</f>
        <v/>
      </c>
      <c r="S7453" t="str">
        <f>VLOOKUP(record[[#This Row],[employeeID]],員工[],2,FALSE)</f>
        <v>蔣梅</v>
      </c>
    </row>
    <row r="7454" spans="6:19" hidden="1" x14ac:dyDescent="0.25">
      <c r="F7454" t="s">
        <v>999</v>
      </c>
      <c r="G7454" t="s">
        <v>398</v>
      </c>
      <c r="H7454" t="str">
        <f>VLOOKUP(record[[#This Row],[ProcessSN]],表格2_7[],2,FALSE)</f>
        <v>30-4118-018-550</v>
      </c>
      <c r="I7454" t="str">
        <f>VLOOKUP(record[[#This Row],[ProcessSN]],表格2_7[],3,FALSE)</f>
        <v>#08RCV</v>
      </c>
      <c r="J7454" t="s">
        <v>591</v>
      </c>
      <c r="K7454" s="195">
        <v>45918.576932870368</v>
      </c>
      <c r="L7454">
        <v>0</v>
      </c>
      <c r="M7454">
        <v>4</v>
      </c>
      <c r="N7454" s="98" t="str">
        <f>IF(record[[#This Row],[Memo]]="Browser:chrome os:android","平板報工",IF(record[[#This Row],[Memo]]=0,"委外",record[[#This Row],[Memo]]))</f>
        <v/>
      </c>
      <c r="O7454" t="s">
        <v>58</v>
      </c>
      <c r="P7454" t="s">
        <v>141</v>
      </c>
      <c r="Q7454" t="s">
        <v>58</v>
      </c>
      <c r="R7454" t="str">
        <f>IFERROR(VLOOKUP(record[[#This Row],[PCUSTID]],廠商[],2,FALSE),"")</f>
        <v/>
      </c>
      <c r="S7454" t="str">
        <f>VLOOKUP(record[[#This Row],[employeeID]],員工[],2,FALSE)</f>
        <v>蔣梅</v>
      </c>
    </row>
    <row r="7455" spans="6:19" hidden="1" x14ac:dyDescent="0.25">
      <c r="F7455" t="s">
        <v>999</v>
      </c>
      <c r="G7455" t="s">
        <v>398</v>
      </c>
      <c r="H7455" t="str">
        <f>VLOOKUP(record[[#This Row],[ProcessSN]],表格2_7[],2,FALSE)</f>
        <v>30-4118-018-550</v>
      </c>
      <c r="I7455" t="str">
        <f>VLOOKUP(record[[#This Row],[ProcessSN]],表格2_7[],3,FALSE)</f>
        <v>#08RCV</v>
      </c>
      <c r="J7455" t="s">
        <v>591</v>
      </c>
      <c r="K7455" s="195">
        <v>45918.576793981483</v>
      </c>
      <c r="L7455">
        <v>2</v>
      </c>
      <c r="M7455">
        <v>0</v>
      </c>
      <c r="N7455" s="98" t="str">
        <f>IF(record[[#This Row],[Memo]]="Browser:chrome os:android","平板報工",IF(record[[#This Row],[Memo]]=0,"委外",record[[#This Row],[Memo]]))</f>
        <v>覆回品</v>
      </c>
      <c r="O7455" t="s">
        <v>664</v>
      </c>
      <c r="P7455" t="s">
        <v>141</v>
      </c>
      <c r="Q7455" t="s">
        <v>58</v>
      </c>
      <c r="R7455" t="str">
        <f>IFERROR(VLOOKUP(record[[#This Row],[PCUSTID]],廠商[],2,FALSE),"")</f>
        <v/>
      </c>
      <c r="S7455" t="str">
        <f>VLOOKUP(record[[#This Row],[employeeID]],員工[],2,FALSE)</f>
        <v>蔣梅</v>
      </c>
    </row>
    <row r="7456" spans="6:19" hidden="1" x14ac:dyDescent="0.25">
      <c r="F7456" t="s">
        <v>1047</v>
      </c>
      <c r="G7456" t="s">
        <v>400</v>
      </c>
      <c r="H7456" t="str">
        <f>VLOOKUP(record[[#This Row],[ProcessSN]],表格2_7[],2,FALSE)</f>
        <v>30-4118-018-550</v>
      </c>
      <c r="I7456" t="str">
        <f>VLOOKUP(record[[#This Row],[ProcessSN]],表格2_7[],3,FALSE)</f>
        <v>#100</v>
      </c>
      <c r="J7456" t="s">
        <v>598</v>
      </c>
      <c r="K7456" s="195">
        <v>45918.573923611111</v>
      </c>
      <c r="L7456">
        <v>160</v>
      </c>
      <c r="M7456">
        <v>0</v>
      </c>
      <c r="N7456" s="98" t="str">
        <f>IF(record[[#This Row],[Memo]]="Browser:chrome os:android","平板報工",IF(record[[#This Row],[Memo]]=0,"委外",record[[#This Row],[Memo]]))</f>
        <v/>
      </c>
      <c r="O7456" t="s">
        <v>58</v>
      </c>
      <c r="P7456" t="s">
        <v>141</v>
      </c>
      <c r="Q7456" t="s">
        <v>58</v>
      </c>
      <c r="R7456" t="str">
        <f>IFERROR(VLOOKUP(record[[#This Row],[PCUSTID]],廠商[],2,FALSE),"")</f>
        <v/>
      </c>
      <c r="S7456" t="str">
        <f>VLOOKUP(record[[#This Row],[employeeID]],員工[],2,FALSE)</f>
        <v>蔣梅</v>
      </c>
    </row>
    <row r="7457" spans="6:19" hidden="1" x14ac:dyDescent="0.25">
      <c r="F7457" t="s">
        <v>1048</v>
      </c>
      <c r="G7457" t="s">
        <v>399</v>
      </c>
      <c r="H7457" t="str">
        <f>VLOOKUP(record[[#This Row],[ProcessSN]],表格2_7[],2,FALSE)</f>
        <v>30-4118-018-550</v>
      </c>
      <c r="I7457" t="str">
        <f>VLOOKUP(record[[#This Row],[ProcessSN]],表格2_7[],3,FALSE)</f>
        <v>#08IQC</v>
      </c>
      <c r="J7457" t="s">
        <v>583</v>
      </c>
      <c r="K7457" s="195">
        <v>45918.571712962963</v>
      </c>
      <c r="L7457">
        <v>5</v>
      </c>
      <c r="M7457">
        <v>0</v>
      </c>
      <c r="N7457" s="98" t="str">
        <f>IF(record[[#This Row],[Memo]]="Browser:chrome os:android","平板報工",IF(record[[#This Row],[Memo]]=0,"委外",record[[#This Row],[Memo]]))</f>
        <v/>
      </c>
      <c r="O7457" t="s">
        <v>58</v>
      </c>
      <c r="P7457" t="s">
        <v>141</v>
      </c>
      <c r="Q7457" t="s">
        <v>58</v>
      </c>
      <c r="R7457" t="str">
        <f>IFERROR(VLOOKUP(record[[#This Row],[PCUSTID]],廠商[],2,FALSE),"")</f>
        <v/>
      </c>
      <c r="S7457" t="str">
        <f>VLOOKUP(record[[#This Row],[employeeID]],員工[],2,FALSE)</f>
        <v>蔣梅</v>
      </c>
    </row>
    <row r="7458" spans="6:19" hidden="1" x14ac:dyDescent="0.25">
      <c r="F7458" t="s">
        <v>1048</v>
      </c>
      <c r="G7458" t="s">
        <v>398</v>
      </c>
      <c r="H7458" t="str">
        <f>VLOOKUP(record[[#This Row],[ProcessSN]],表格2_7[],2,FALSE)</f>
        <v>30-4118-018-550</v>
      </c>
      <c r="I7458" t="str">
        <f>VLOOKUP(record[[#This Row],[ProcessSN]],表格2_7[],3,FALSE)</f>
        <v>#08RCV</v>
      </c>
      <c r="J7458" t="s">
        <v>591</v>
      </c>
      <c r="K7458" s="195">
        <v>45918.571550925924</v>
      </c>
      <c r="L7458">
        <v>0</v>
      </c>
      <c r="M7458">
        <v>13</v>
      </c>
      <c r="N7458" s="98" t="str">
        <f>IF(record[[#This Row],[Memo]]="Browser:chrome os:android","平板報工",IF(record[[#This Row],[Memo]]=0,"委外",record[[#This Row],[Memo]]))</f>
        <v/>
      </c>
      <c r="O7458" t="s">
        <v>58</v>
      </c>
      <c r="P7458" t="s">
        <v>141</v>
      </c>
      <c r="Q7458" t="s">
        <v>58</v>
      </c>
      <c r="R7458" t="str">
        <f>IFERROR(VLOOKUP(record[[#This Row],[PCUSTID]],廠商[],2,FALSE),"")</f>
        <v/>
      </c>
      <c r="S7458" t="str">
        <f>VLOOKUP(record[[#This Row],[employeeID]],員工[],2,FALSE)</f>
        <v>蔣梅</v>
      </c>
    </row>
    <row r="7459" spans="6:19" hidden="1" x14ac:dyDescent="0.25">
      <c r="F7459" t="s">
        <v>1048</v>
      </c>
      <c r="G7459" t="s">
        <v>398</v>
      </c>
      <c r="H7459" t="str">
        <f>VLOOKUP(record[[#This Row],[ProcessSN]],表格2_7[],2,FALSE)</f>
        <v>30-4118-018-550</v>
      </c>
      <c r="I7459" t="str">
        <f>VLOOKUP(record[[#This Row],[ProcessSN]],表格2_7[],3,FALSE)</f>
        <v>#08RCV</v>
      </c>
      <c r="J7459" t="s">
        <v>591</v>
      </c>
      <c r="K7459" s="195">
        <v>45918.57135416667</v>
      </c>
      <c r="L7459">
        <v>5</v>
      </c>
      <c r="M7459">
        <v>0</v>
      </c>
      <c r="N7459" s="98" t="str">
        <f>IF(record[[#This Row],[Memo]]="Browser:chrome os:android","平板報工",IF(record[[#This Row],[Memo]]=0,"委外",record[[#This Row],[Memo]]))</f>
        <v>覆回品</v>
      </c>
      <c r="O7459" t="s">
        <v>664</v>
      </c>
      <c r="P7459" t="s">
        <v>141</v>
      </c>
      <c r="Q7459" t="s">
        <v>58</v>
      </c>
      <c r="R7459" t="str">
        <f>IFERROR(VLOOKUP(record[[#This Row],[PCUSTID]],廠商[],2,FALSE),"")</f>
        <v/>
      </c>
      <c r="S7459" t="str">
        <f>VLOOKUP(record[[#This Row],[employeeID]],員工[],2,FALSE)</f>
        <v>蔣梅</v>
      </c>
    </row>
    <row r="7460" spans="6:19" hidden="1" x14ac:dyDescent="0.25">
      <c r="F7460" t="s">
        <v>1045</v>
      </c>
      <c r="G7460" t="s">
        <v>361</v>
      </c>
      <c r="H7460" t="str">
        <f>VLOOKUP(record[[#This Row],[ProcessSN]],表格2_7[],2,FALSE)</f>
        <v>30-4118-018-450</v>
      </c>
      <c r="I7460" t="str">
        <f>VLOOKUP(record[[#This Row],[ProcessSN]],表格2_7[],3,FALSE)</f>
        <v>#100STOCK</v>
      </c>
      <c r="J7460" t="s">
        <v>592</v>
      </c>
      <c r="K7460" s="195">
        <v>45918.570196759261</v>
      </c>
      <c r="L7460">
        <v>525</v>
      </c>
      <c r="M7460">
        <v>0</v>
      </c>
      <c r="N7460" s="98" t="str">
        <f>IF(record[[#This Row],[Memo]]="Browser:chrome os:android","平板報工",IF(record[[#This Row],[Memo]]=0,"委外",record[[#This Row],[Memo]]))</f>
        <v/>
      </c>
      <c r="O7460" t="s">
        <v>58</v>
      </c>
      <c r="P7460" t="s">
        <v>886</v>
      </c>
      <c r="Q7460" t="s">
        <v>58</v>
      </c>
      <c r="R7460" t="str">
        <f>IFERROR(VLOOKUP(record[[#This Row],[PCUSTID]],廠商[],2,FALSE),"")</f>
        <v/>
      </c>
      <c r="S7460" t="str">
        <f>VLOOKUP(record[[#This Row],[employeeID]],員工[],2,FALSE)</f>
        <v>謝蓁薰</v>
      </c>
    </row>
    <row r="7461" spans="6:19" hidden="1" x14ac:dyDescent="0.25">
      <c r="F7461" t="s">
        <v>1024</v>
      </c>
      <c r="G7461" t="s">
        <v>419</v>
      </c>
      <c r="H7461" t="str">
        <f>VLOOKUP(record[[#This Row],[ProcessSN]],表格2_7[],2,FALSE)</f>
        <v>30-4118-018-5XX</v>
      </c>
      <c r="I7461" t="str">
        <f>VLOOKUP(record[[#This Row],[ProcessSN]],表格2_7[],3,FALSE)</f>
        <v>#07QC</v>
      </c>
      <c r="J7461" t="s">
        <v>589</v>
      </c>
      <c r="K7461" s="195">
        <v>45918.440775462965</v>
      </c>
      <c r="L7461">
        <v>334</v>
      </c>
      <c r="M7461">
        <v>0</v>
      </c>
      <c r="N7461" s="98" t="str">
        <f>IF(record[[#This Row],[Memo]]="Browser:chrome os:android","平板報工",IF(record[[#This Row],[Memo]]=0,"委外",record[[#This Row],[Memo]]))</f>
        <v>平板報工</v>
      </c>
      <c r="O7461" t="s">
        <v>643</v>
      </c>
      <c r="P7461" t="s">
        <v>141</v>
      </c>
      <c r="Q7461" t="s">
        <v>644</v>
      </c>
      <c r="R7461" t="str">
        <f>IFERROR(VLOOKUP(record[[#This Row],[PCUSTID]],廠商[],2,FALSE),"")</f>
        <v/>
      </c>
      <c r="S7461" t="str">
        <f>VLOOKUP(record[[#This Row],[employeeID]],員工[],2,FALSE)</f>
        <v>蔣梅</v>
      </c>
    </row>
    <row r="7462" spans="6:19" hidden="1" x14ac:dyDescent="0.25">
      <c r="F7462" t="s">
        <v>1063</v>
      </c>
      <c r="G7462" t="s">
        <v>396</v>
      </c>
      <c r="H7462" t="str">
        <f>VLOOKUP(record[[#This Row],[ProcessSN]],表格2_7[],2,FALSE)</f>
        <v>30-4118-018-550</v>
      </c>
      <c r="I7462" t="str">
        <f>VLOOKUP(record[[#This Row],[ProcessSN]],表格2_7[],3,FALSE)</f>
        <v>#08PICK</v>
      </c>
      <c r="J7462" t="s">
        <v>582</v>
      </c>
      <c r="K7462" s="195">
        <v>45918.440196759257</v>
      </c>
      <c r="L7462">
        <v>336</v>
      </c>
      <c r="M7462">
        <v>0</v>
      </c>
      <c r="N7462" s="98" t="str">
        <f>IF(record[[#This Row],[Memo]]="Browser:chrome os:android","平板報工",IF(record[[#This Row],[Memo]]=0,"委外",record[[#This Row],[Memo]]))</f>
        <v/>
      </c>
      <c r="O7462" t="s">
        <v>58</v>
      </c>
      <c r="P7462" t="s">
        <v>196</v>
      </c>
      <c r="Q7462" t="s">
        <v>58</v>
      </c>
      <c r="R7462" t="str">
        <f>IFERROR(VLOOKUP(record[[#This Row],[PCUSTID]],廠商[],2,FALSE),"")</f>
        <v/>
      </c>
      <c r="S7462" t="str">
        <f>VLOOKUP(record[[#This Row],[employeeID]],員工[],2,FALSE)</f>
        <v>張淑惠</v>
      </c>
    </row>
    <row r="7463" spans="6:19" hidden="1" x14ac:dyDescent="0.25">
      <c r="F7463" t="s">
        <v>1041</v>
      </c>
      <c r="G7463" t="s">
        <v>362</v>
      </c>
      <c r="H7463" t="str">
        <f>VLOOKUP(record[[#This Row],[ProcessSN]],表格2_7[],2,FALSE)</f>
        <v>30-4118-018-450</v>
      </c>
      <c r="I7463" t="str">
        <f>VLOOKUP(record[[#This Row],[ProcessSN]],表格2_7[],3,FALSE)</f>
        <v>#100SHIP</v>
      </c>
      <c r="J7463" t="s">
        <v>600</v>
      </c>
      <c r="K7463" s="195">
        <v>45918.405393518522</v>
      </c>
      <c r="L7463">
        <v>165</v>
      </c>
      <c r="M7463">
        <v>0</v>
      </c>
      <c r="N7463" s="98" t="str">
        <f>IF(record[[#This Row],[Memo]]="Browser:chrome os:android","平板報工",IF(record[[#This Row],[Memo]]=0,"委外",record[[#This Row],[Memo]]))</f>
        <v/>
      </c>
      <c r="O7463" t="s">
        <v>58</v>
      </c>
      <c r="P7463" t="s">
        <v>886</v>
      </c>
      <c r="Q7463" t="s">
        <v>58</v>
      </c>
      <c r="R7463" t="str">
        <f>IFERROR(VLOOKUP(record[[#This Row],[PCUSTID]],廠商[],2,FALSE),"")</f>
        <v/>
      </c>
      <c r="S7463" t="str">
        <f>VLOOKUP(record[[#This Row],[employeeID]],員工[],2,FALSE)</f>
        <v>謝蓁薰</v>
      </c>
    </row>
    <row r="7464" spans="6:19" hidden="1" x14ac:dyDescent="0.25">
      <c r="F7464" t="s">
        <v>945</v>
      </c>
      <c r="G7464" t="s">
        <v>362</v>
      </c>
      <c r="H7464" t="str">
        <f>VLOOKUP(record[[#This Row],[ProcessSN]],表格2_7[],2,FALSE)</f>
        <v>30-4118-018-450</v>
      </c>
      <c r="I7464" t="str">
        <f>VLOOKUP(record[[#This Row],[ProcessSN]],表格2_7[],3,FALSE)</f>
        <v>#100SHIP</v>
      </c>
      <c r="J7464" t="s">
        <v>600</v>
      </c>
      <c r="K7464" s="195">
        <v>45918.405115740738</v>
      </c>
      <c r="L7464">
        <v>8</v>
      </c>
      <c r="M7464">
        <v>0</v>
      </c>
      <c r="N7464" s="98" t="str">
        <f>IF(record[[#This Row],[Memo]]="Browser:chrome os:android","平板報工",IF(record[[#This Row],[Memo]]=0,"委外",record[[#This Row],[Memo]]))</f>
        <v/>
      </c>
      <c r="O7464" t="s">
        <v>58</v>
      </c>
      <c r="P7464" t="s">
        <v>886</v>
      </c>
      <c r="Q7464" t="s">
        <v>58</v>
      </c>
      <c r="R7464" t="str">
        <f>IFERROR(VLOOKUP(record[[#This Row],[PCUSTID]],廠商[],2,FALSE),"")</f>
        <v/>
      </c>
      <c r="S7464" t="str">
        <f>VLOOKUP(record[[#This Row],[employeeID]],員工[],2,FALSE)</f>
        <v>謝蓁薰</v>
      </c>
    </row>
    <row r="7465" spans="6:19" hidden="1" x14ac:dyDescent="0.25">
      <c r="F7465" t="s">
        <v>959</v>
      </c>
      <c r="G7465" t="s">
        <v>362</v>
      </c>
      <c r="H7465" t="str">
        <f>VLOOKUP(record[[#This Row],[ProcessSN]],表格2_7[],2,FALSE)</f>
        <v>30-4118-018-450</v>
      </c>
      <c r="I7465" t="str">
        <f>VLOOKUP(record[[#This Row],[ProcessSN]],表格2_7[],3,FALSE)</f>
        <v>#100SHIP</v>
      </c>
      <c r="J7465" t="s">
        <v>600</v>
      </c>
      <c r="K7465" s="195">
        <v>45918.404965277776</v>
      </c>
      <c r="L7465">
        <v>30</v>
      </c>
      <c r="M7465">
        <v>0</v>
      </c>
      <c r="N7465" s="98" t="str">
        <f>IF(record[[#This Row],[Memo]]="Browser:chrome os:android","平板報工",IF(record[[#This Row],[Memo]]=0,"委外",record[[#This Row],[Memo]]))</f>
        <v/>
      </c>
      <c r="O7465" t="s">
        <v>58</v>
      </c>
      <c r="P7465" t="s">
        <v>886</v>
      </c>
      <c r="Q7465" t="s">
        <v>58</v>
      </c>
      <c r="R7465" t="str">
        <f>IFERROR(VLOOKUP(record[[#This Row],[PCUSTID]],廠商[],2,FALSE),"")</f>
        <v/>
      </c>
      <c r="S7465" t="str">
        <f>VLOOKUP(record[[#This Row],[employeeID]],員工[],2,FALSE)</f>
        <v>謝蓁薰</v>
      </c>
    </row>
    <row r="7466" spans="6:19" hidden="1" x14ac:dyDescent="0.25">
      <c r="F7466" t="s">
        <v>956</v>
      </c>
      <c r="G7466" t="s">
        <v>362</v>
      </c>
      <c r="H7466" t="str">
        <f>VLOOKUP(record[[#This Row],[ProcessSN]],表格2_7[],2,FALSE)</f>
        <v>30-4118-018-450</v>
      </c>
      <c r="I7466" t="str">
        <f>VLOOKUP(record[[#This Row],[ProcessSN]],表格2_7[],3,FALSE)</f>
        <v>#100SHIP</v>
      </c>
      <c r="J7466" t="s">
        <v>600</v>
      </c>
      <c r="K7466" s="195">
        <v>45918.404756944445</v>
      </c>
      <c r="L7466">
        <v>24</v>
      </c>
      <c r="M7466">
        <v>0</v>
      </c>
      <c r="N7466" s="98" t="str">
        <f>IF(record[[#This Row],[Memo]]="Browser:chrome os:android","平板報工",IF(record[[#This Row],[Memo]]=0,"委外",record[[#This Row],[Memo]]))</f>
        <v/>
      </c>
      <c r="O7466" t="s">
        <v>58</v>
      </c>
      <c r="P7466" t="s">
        <v>886</v>
      </c>
      <c r="Q7466" t="s">
        <v>58</v>
      </c>
      <c r="R7466" t="str">
        <f>IFERROR(VLOOKUP(record[[#This Row],[PCUSTID]],廠商[],2,FALSE),"")</f>
        <v/>
      </c>
      <c r="S7466" t="str">
        <f>VLOOKUP(record[[#This Row],[employeeID]],員工[],2,FALSE)</f>
        <v>謝蓁薰</v>
      </c>
    </row>
    <row r="7467" spans="6:19" hidden="1" x14ac:dyDescent="0.25">
      <c r="F7467" t="s">
        <v>1048</v>
      </c>
      <c r="G7467" t="s">
        <v>399</v>
      </c>
      <c r="H7467" t="str">
        <f>VLOOKUP(record[[#This Row],[ProcessSN]],表格2_7[],2,FALSE)</f>
        <v>30-4118-018-550</v>
      </c>
      <c r="I7467" t="str">
        <f>VLOOKUP(record[[#This Row],[ProcessSN]],表格2_7[],3,FALSE)</f>
        <v>#08IQC</v>
      </c>
      <c r="J7467" t="s">
        <v>583</v>
      </c>
      <c r="K7467" s="195">
        <v>45918.404699074075</v>
      </c>
      <c r="L7467">
        <v>1</v>
      </c>
      <c r="M7467">
        <v>0</v>
      </c>
      <c r="N7467" s="98" t="str">
        <f>IF(record[[#This Row],[Memo]]="Browser:chrome os:android","平板報工",IF(record[[#This Row],[Memo]]=0,"委外",record[[#This Row],[Memo]]))</f>
        <v>覆回品</v>
      </c>
      <c r="O7467" t="s">
        <v>664</v>
      </c>
      <c r="P7467" t="s">
        <v>186</v>
      </c>
      <c r="Q7467" t="s">
        <v>58</v>
      </c>
      <c r="R7467" t="str">
        <f>IFERROR(VLOOKUP(record[[#This Row],[PCUSTID]],廠商[],2,FALSE),"")</f>
        <v/>
      </c>
      <c r="S7467" t="str">
        <f>VLOOKUP(record[[#This Row],[employeeID]],員工[],2,FALSE)</f>
        <v>許文姍</v>
      </c>
    </row>
    <row r="7468" spans="6:19" hidden="1" x14ac:dyDescent="0.25">
      <c r="F7468" t="s">
        <v>1048</v>
      </c>
      <c r="G7468" t="s">
        <v>398</v>
      </c>
      <c r="H7468" t="str">
        <f>VLOOKUP(record[[#This Row],[ProcessSN]],表格2_7[],2,FALSE)</f>
        <v>30-4118-018-550</v>
      </c>
      <c r="I7468" t="str">
        <f>VLOOKUP(record[[#This Row],[ProcessSN]],表格2_7[],3,FALSE)</f>
        <v>#08RCV</v>
      </c>
      <c r="J7468" t="s">
        <v>591</v>
      </c>
      <c r="K7468" s="195">
        <v>45918.403171296297</v>
      </c>
      <c r="L7468">
        <v>1</v>
      </c>
      <c r="M7468">
        <v>0</v>
      </c>
      <c r="N7468" s="98" t="str">
        <f>IF(record[[#This Row],[Memo]]="Browser:chrome os:android","平板報工",IF(record[[#This Row],[Memo]]=0,"委外",record[[#This Row],[Memo]]))</f>
        <v>覆回品</v>
      </c>
      <c r="O7468" t="s">
        <v>664</v>
      </c>
      <c r="P7468" t="s">
        <v>186</v>
      </c>
      <c r="Q7468" t="s">
        <v>58</v>
      </c>
      <c r="R7468" t="str">
        <f>IFERROR(VLOOKUP(record[[#This Row],[PCUSTID]],廠商[],2,FALSE),"")</f>
        <v/>
      </c>
      <c r="S7468" t="str">
        <f>VLOOKUP(record[[#This Row],[employeeID]],員工[],2,FALSE)</f>
        <v>許文姍</v>
      </c>
    </row>
    <row r="7469" spans="6:19" hidden="1" x14ac:dyDescent="0.25">
      <c r="F7469" t="s">
        <v>1025</v>
      </c>
      <c r="G7469" t="s">
        <v>450</v>
      </c>
      <c r="H7469" t="str">
        <f>VLOOKUP(record[[#This Row],[ProcessSN]],表格2_7[],2,FALSE)</f>
        <v>30-4118-018-6XX</v>
      </c>
      <c r="I7469" t="str">
        <f>VLOOKUP(record[[#This Row],[ProcessSN]],表格2_7[],3,FALSE)</f>
        <v>#06</v>
      </c>
      <c r="J7469" t="s">
        <v>593</v>
      </c>
      <c r="K7469" s="195">
        <v>45918.303680555553</v>
      </c>
      <c r="L7469">
        <v>121</v>
      </c>
      <c r="M7469">
        <v>0</v>
      </c>
      <c r="N7469" s="98" t="str">
        <f>IF(record[[#This Row],[Memo]]="Browser:chrome os:android","平板報工",IF(record[[#This Row],[Memo]]=0,"委外",record[[#This Row],[Memo]]))</f>
        <v/>
      </c>
      <c r="O7469" t="s">
        <v>58</v>
      </c>
      <c r="P7469" t="s">
        <v>135</v>
      </c>
      <c r="Q7469" t="s">
        <v>58</v>
      </c>
      <c r="R7469" t="str">
        <f>IFERROR(VLOOKUP(record[[#This Row],[PCUSTID]],廠商[],2,FALSE),"")</f>
        <v/>
      </c>
      <c r="S7469" t="str">
        <f>VLOOKUP(record[[#This Row],[employeeID]],員工[],2,FALSE)</f>
        <v>阮士文</v>
      </c>
    </row>
    <row r="7470" spans="6:19" hidden="1" x14ac:dyDescent="0.25">
      <c r="F7470" t="s">
        <v>1025</v>
      </c>
      <c r="G7470" t="s">
        <v>449</v>
      </c>
      <c r="H7470" t="str">
        <f>VLOOKUP(record[[#This Row],[ProcessSN]],表格2_7[],2,FALSE)</f>
        <v>30-4118-018-6XX</v>
      </c>
      <c r="I7470" t="str">
        <f>VLOOKUP(record[[#This Row],[ProcessSN]],表格2_7[],3,FALSE)</f>
        <v>#05</v>
      </c>
      <c r="J7470" t="s">
        <v>588</v>
      </c>
      <c r="K7470" s="195">
        <v>45918.301504629628</v>
      </c>
      <c r="L7470">
        <v>227</v>
      </c>
      <c r="M7470">
        <v>0</v>
      </c>
      <c r="N7470" s="98" t="str">
        <f>IF(record[[#This Row],[Memo]]="Browser:chrome os:android","平板報工",IF(record[[#This Row],[Memo]]=0,"委外",record[[#This Row],[Memo]]))</f>
        <v/>
      </c>
      <c r="O7470" t="s">
        <v>58</v>
      </c>
      <c r="P7470" t="s">
        <v>135</v>
      </c>
      <c r="Q7470" t="s">
        <v>58</v>
      </c>
      <c r="R7470" t="str">
        <f>IFERROR(VLOOKUP(record[[#This Row],[PCUSTID]],廠商[],2,FALSE),"")</f>
        <v/>
      </c>
      <c r="S7470" t="str">
        <f>VLOOKUP(record[[#This Row],[employeeID]],員工[],2,FALSE)</f>
        <v>阮士文</v>
      </c>
    </row>
    <row r="7471" spans="6:19" hidden="1" x14ac:dyDescent="0.25">
      <c r="F7471" t="s">
        <v>1025</v>
      </c>
      <c r="G7471" t="s">
        <v>448</v>
      </c>
      <c r="H7471" t="str">
        <f>VLOOKUP(record[[#This Row],[ProcessSN]],表格2_7[],2,FALSE)</f>
        <v>30-4118-018-6XX</v>
      </c>
      <c r="I7471" t="str">
        <f>VLOOKUP(record[[#This Row],[ProcessSN]],表格2_7[],3,FALSE)</f>
        <v>#04</v>
      </c>
      <c r="J7471" t="s">
        <v>588</v>
      </c>
      <c r="K7471" s="195">
        <v>45918.300995370373</v>
      </c>
      <c r="L7471">
        <v>115</v>
      </c>
      <c r="M7471">
        <v>0</v>
      </c>
      <c r="N7471" s="98" t="str">
        <f>IF(record[[#This Row],[Memo]]="Browser:chrome os:android","平板報工",IF(record[[#This Row],[Memo]]=0,"委外",record[[#This Row],[Memo]]))</f>
        <v/>
      </c>
      <c r="O7471" t="s">
        <v>58</v>
      </c>
      <c r="P7471" t="s">
        <v>135</v>
      </c>
      <c r="Q7471" t="s">
        <v>58</v>
      </c>
      <c r="R7471" t="str">
        <f>IFERROR(VLOOKUP(record[[#This Row],[PCUSTID]],廠商[],2,FALSE),"")</f>
        <v/>
      </c>
      <c r="S7471" t="str">
        <f>VLOOKUP(record[[#This Row],[employeeID]],員工[],2,FALSE)</f>
        <v>阮士文</v>
      </c>
    </row>
    <row r="7472" spans="6:19" hidden="1" x14ac:dyDescent="0.25">
      <c r="F7472" t="s">
        <v>1025</v>
      </c>
      <c r="G7472" t="s">
        <v>450</v>
      </c>
      <c r="H7472" t="str">
        <f>VLOOKUP(record[[#This Row],[ProcessSN]],表格2_7[],2,FALSE)</f>
        <v>30-4118-018-6XX</v>
      </c>
      <c r="I7472" t="str">
        <f>VLOOKUP(record[[#This Row],[ProcessSN]],表格2_7[],3,FALSE)</f>
        <v>#06</v>
      </c>
      <c r="J7472" t="s">
        <v>593</v>
      </c>
      <c r="K7472" s="195">
        <v>45917.9531712963</v>
      </c>
      <c r="L7472">
        <v>121</v>
      </c>
      <c r="M7472">
        <v>0</v>
      </c>
      <c r="N7472" s="98" t="str">
        <f>IF(record[[#This Row],[Memo]]="Browser:chrome os:android","平板報工",IF(record[[#This Row],[Memo]]=0,"委外",record[[#This Row],[Memo]]))</f>
        <v/>
      </c>
      <c r="O7472" t="s">
        <v>58</v>
      </c>
      <c r="P7472" t="s">
        <v>841</v>
      </c>
      <c r="Q7472" t="s">
        <v>58</v>
      </c>
      <c r="R7472" t="str">
        <f>IFERROR(VLOOKUP(record[[#This Row],[PCUSTID]],廠商[],2,FALSE),"")</f>
        <v/>
      </c>
      <c r="S7472" t="str">
        <f>VLOOKUP(record[[#This Row],[employeeID]],員工[],2,FALSE)</f>
        <v>范氏香</v>
      </c>
    </row>
    <row r="7473" spans="6:19" hidden="1" x14ac:dyDescent="0.25">
      <c r="F7473" t="s">
        <v>1025</v>
      </c>
      <c r="G7473" t="s">
        <v>448</v>
      </c>
      <c r="H7473" t="str">
        <f>VLOOKUP(record[[#This Row],[ProcessSN]],表格2_7[],2,FALSE)</f>
        <v>30-4118-018-6XX</v>
      </c>
      <c r="I7473" t="str">
        <f>VLOOKUP(record[[#This Row],[ProcessSN]],表格2_7[],3,FALSE)</f>
        <v>#04</v>
      </c>
      <c r="J7473" t="s">
        <v>588</v>
      </c>
      <c r="K7473" s="195">
        <v>45917.948113425926</v>
      </c>
      <c r="L7473">
        <v>130</v>
      </c>
      <c r="M7473">
        <v>0</v>
      </c>
      <c r="N7473" s="98" t="str">
        <f>IF(record[[#This Row],[Memo]]="Browser:chrome os:android","平板報工",IF(record[[#This Row],[Memo]]=0,"委外",record[[#This Row],[Memo]]))</f>
        <v/>
      </c>
      <c r="O7473" t="s">
        <v>58</v>
      </c>
      <c r="P7473" t="s">
        <v>806</v>
      </c>
      <c r="Q7473" t="s">
        <v>58</v>
      </c>
      <c r="R7473" t="str">
        <f>IFERROR(VLOOKUP(record[[#This Row],[PCUSTID]],廠商[],2,FALSE),"")</f>
        <v/>
      </c>
      <c r="S7473" t="str">
        <f>VLOOKUP(record[[#This Row],[employeeID]],員工[],2,FALSE)</f>
        <v>方思緯</v>
      </c>
    </row>
    <row r="7474" spans="6:19" hidden="1" x14ac:dyDescent="0.25">
      <c r="F7474" t="s">
        <v>1024</v>
      </c>
      <c r="G7474" t="s">
        <v>418</v>
      </c>
      <c r="H7474" t="str">
        <f>VLOOKUP(record[[#This Row],[ProcessSN]],表格2_7[],2,FALSE)</f>
        <v>30-4118-018-5XX</v>
      </c>
      <c r="I7474" t="str">
        <f>VLOOKUP(record[[#This Row],[ProcessSN]],表格2_7[],3,FALSE)</f>
        <v>#07</v>
      </c>
      <c r="J7474" t="s">
        <v>588</v>
      </c>
      <c r="K7474" s="195">
        <v>45917.947187500002</v>
      </c>
      <c r="L7474">
        <v>184</v>
      </c>
      <c r="M7474">
        <v>0</v>
      </c>
      <c r="N7474" s="98" t="str">
        <f>IF(record[[#This Row],[Memo]]="Browser:chrome os:android","平板報工",IF(record[[#This Row],[Memo]]=0,"委外",record[[#This Row],[Memo]]))</f>
        <v/>
      </c>
      <c r="O7474" t="s">
        <v>58</v>
      </c>
      <c r="P7474" t="s">
        <v>89</v>
      </c>
      <c r="Q7474" t="s">
        <v>58</v>
      </c>
      <c r="R7474" t="str">
        <f>IFERROR(VLOOKUP(record[[#This Row],[PCUSTID]],廠商[],2,FALSE),"")</f>
        <v/>
      </c>
      <c r="S7474" t="str">
        <f>VLOOKUP(record[[#This Row],[employeeID]],員工[],2,FALSE)</f>
        <v>李美蓮</v>
      </c>
    </row>
    <row r="7475" spans="6:19" hidden="1" x14ac:dyDescent="0.25">
      <c r="F7475" t="s">
        <v>1025</v>
      </c>
      <c r="G7475" t="s">
        <v>449</v>
      </c>
      <c r="H7475" t="str">
        <f>VLOOKUP(record[[#This Row],[ProcessSN]],表格2_7[],2,FALSE)</f>
        <v>30-4118-018-6XX</v>
      </c>
      <c r="I7475" t="str">
        <f>VLOOKUP(record[[#This Row],[ProcessSN]],表格2_7[],3,FALSE)</f>
        <v>#05</v>
      </c>
      <c r="J7475" t="s">
        <v>588</v>
      </c>
      <c r="K7475" s="195">
        <v>45917.646516203706</v>
      </c>
      <c r="L7475">
        <v>252</v>
      </c>
      <c r="M7475">
        <v>0</v>
      </c>
      <c r="N7475" s="98" t="str">
        <f>IF(record[[#This Row],[Memo]]="Browser:chrome os:android","平板報工",IF(record[[#This Row],[Memo]]=0,"委外",record[[#This Row],[Memo]]))</f>
        <v>平板報工</v>
      </c>
      <c r="O7475" t="s">
        <v>643</v>
      </c>
      <c r="P7475" t="s">
        <v>145</v>
      </c>
      <c r="Q7475" t="s">
        <v>644</v>
      </c>
      <c r="R7475" t="str">
        <f>IFERROR(VLOOKUP(record[[#This Row],[PCUSTID]],廠商[],2,FALSE),"")</f>
        <v/>
      </c>
      <c r="S7475" t="str">
        <f>VLOOKUP(record[[#This Row],[employeeID]],員工[],2,FALSE)</f>
        <v>阮秋霞</v>
      </c>
    </row>
    <row r="7476" spans="6:19" hidden="1" x14ac:dyDescent="0.25">
      <c r="F7476" t="s">
        <v>1025</v>
      </c>
      <c r="G7476" t="s">
        <v>448</v>
      </c>
      <c r="H7476" t="str">
        <f>VLOOKUP(record[[#This Row],[ProcessSN]],表格2_7[],2,FALSE)</f>
        <v>30-4118-018-6XX</v>
      </c>
      <c r="I7476" t="str">
        <f>VLOOKUP(record[[#This Row],[ProcessSN]],表格2_7[],3,FALSE)</f>
        <v>#04</v>
      </c>
      <c r="J7476" t="s">
        <v>588</v>
      </c>
      <c r="K7476" s="195">
        <v>45917.644537037035</v>
      </c>
      <c r="L7476">
        <v>135</v>
      </c>
      <c r="M7476">
        <v>0</v>
      </c>
      <c r="N7476" s="98" t="str">
        <f>IF(record[[#This Row],[Memo]]="Browser:chrome os:android","平板報工",IF(record[[#This Row],[Memo]]=0,"委外",record[[#This Row],[Memo]]))</f>
        <v>平板報工</v>
      </c>
      <c r="O7476" t="s">
        <v>643</v>
      </c>
      <c r="P7476" t="s">
        <v>107</v>
      </c>
      <c r="Q7476" t="s">
        <v>644</v>
      </c>
      <c r="R7476" t="str">
        <f>IFERROR(VLOOKUP(record[[#This Row],[PCUSTID]],廠商[],2,FALSE),"")</f>
        <v/>
      </c>
      <c r="S7476" t="str">
        <f>VLOOKUP(record[[#This Row],[employeeID]],員工[],2,FALSE)</f>
        <v>黎氏順</v>
      </c>
    </row>
    <row r="7477" spans="6:19" hidden="1" x14ac:dyDescent="0.25">
      <c r="F7477" t="s">
        <v>1024</v>
      </c>
      <c r="G7477" t="s">
        <v>418</v>
      </c>
      <c r="H7477" t="str">
        <f>VLOOKUP(record[[#This Row],[ProcessSN]],表格2_7[],2,FALSE)</f>
        <v>30-4118-018-5XX</v>
      </c>
      <c r="I7477" t="str">
        <f>VLOOKUP(record[[#This Row],[ProcessSN]],表格2_7[],3,FALSE)</f>
        <v>#07</v>
      </c>
      <c r="J7477" t="s">
        <v>588</v>
      </c>
      <c r="K7477" s="195">
        <v>45917.64234953704</v>
      </c>
      <c r="L7477">
        <v>203</v>
      </c>
      <c r="M7477">
        <v>0</v>
      </c>
      <c r="N7477" s="98" t="str">
        <f>IF(record[[#This Row],[Memo]]="Browser:chrome os:android","平板報工",IF(record[[#This Row],[Memo]]=0,"委外",record[[#This Row],[Memo]]))</f>
        <v>平板報工</v>
      </c>
      <c r="O7477" t="s">
        <v>643</v>
      </c>
      <c r="P7477" t="s">
        <v>785</v>
      </c>
      <c r="Q7477" t="s">
        <v>644</v>
      </c>
      <c r="R7477" t="str">
        <f>IFERROR(VLOOKUP(record[[#This Row],[PCUSTID]],廠商[],2,FALSE),"")</f>
        <v/>
      </c>
      <c r="S7477" t="str">
        <f>VLOOKUP(record[[#This Row],[employeeID]],員工[],2,FALSE)</f>
        <v>謝刻光</v>
      </c>
    </row>
    <row r="7478" spans="6:19" hidden="1" x14ac:dyDescent="0.25">
      <c r="F7478" t="s">
        <v>1018</v>
      </c>
      <c r="G7478" t="s">
        <v>419</v>
      </c>
      <c r="H7478" t="str">
        <f>VLOOKUP(record[[#This Row],[ProcessSN]],表格2_7[],2,FALSE)</f>
        <v>30-4118-018-5XX</v>
      </c>
      <c r="I7478" t="str">
        <f>VLOOKUP(record[[#This Row],[ProcessSN]],表格2_7[],3,FALSE)</f>
        <v>#07QC</v>
      </c>
      <c r="J7478" t="s">
        <v>589</v>
      </c>
      <c r="K7478" s="195">
        <v>45917.624756944446</v>
      </c>
      <c r="L7478">
        <v>0</v>
      </c>
      <c r="M7478">
        <v>6</v>
      </c>
      <c r="N7478" s="98" t="str">
        <f>IF(record[[#This Row],[Memo]]="Browser:chrome os:android","平板報工",IF(record[[#This Row],[Memo]]=0,"委外",record[[#This Row],[Memo]]))</f>
        <v/>
      </c>
      <c r="O7478" t="s">
        <v>58</v>
      </c>
      <c r="P7478" t="s">
        <v>141</v>
      </c>
      <c r="Q7478" t="s">
        <v>58</v>
      </c>
      <c r="R7478" t="str">
        <f>IFERROR(VLOOKUP(record[[#This Row],[PCUSTID]],廠商[],2,FALSE),"")</f>
        <v/>
      </c>
      <c r="S7478" t="str">
        <f>VLOOKUP(record[[#This Row],[employeeID]],員工[],2,FALSE)</f>
        <v>蔣梅</v>
      </c>
    </row>
    <row r="7479" spans="6:19" hidden="1" x14ac:dyDescent="0.25">
      <c r="F7479" t="s">
        <v>1018</v>
      </c>
      <c r="G7479" t="s">
        <v>419</v>
      </c>
      <c r="H7479" t="str">
        <f>VLOOKUP(record[[#This Row],[ProcessSN]],表格2_7[],2,FALSE)</f>
        <v>30-4118-018-5XX</v>
      </c>
      <c r="I7479" t="str">
        <f>VLOOKUP(record[[#This Row],[ProcessSN]],表格2_7[],3,FALSE)</f>
        <v>#07QC</v>
      </c>
      <c r="J7479" t="s">
        <v>589</v>
      </c>
      <c r="K7479" s="195">
        <v>45917.624594907407</v>
      </c>
      <c r="L7479">
        <v>2</v>
      </c>
      <c r="M7479">
        <v>0</v>
      </c>
      <c r="N7479" s="98" t="str">
        <f>IF(record[[#This Row],[Memo]]="Browser:chrome os:android","平板報工",IF(record[[#This Row],[Memo]]=0,"委外",record[[#This Row],[Memo]]))</f>
        <v>覆回品</v>
      </c>
      <c r="O7479" t="s">
        <v>664</v>
      </c>
      <c r="P7479" t="s">
        <v>141</v>
      </c>
      <c r="Q7479" t="s">
        <v>58</v>
      </c>
      <c r="R7479" t="str">
        <f>IFERROR(VLOOKUP(record[[#This Row],[PCUSTID]],廠商[],2,FALSE),"")</f>
        <v/>
      </c>
      <c r="S7479" t="str">
        <f>VLOOKUP(record[[#This Row],[employeeID]],員工[],2,FALSE)</f>
        <v>蔣梅</v>
      </c>
    </row>
    <row r="7480" spans="6:19" hidden="1" x14ac:dyDescent="0.25">
      <c r="F7480" t="s">
        <v>1024</v>
      </c>
      <c r="G7480" t="s">
        <v>417</v>
      </c>
      <c r="H7480" t="str">
        <f>VLOOKUP(record[[#This Row],[ProcessSN]],表格2_7[],2,FALSE)</f>
        <v>30-4118-018-5XX</v>
      </c>
      <c r="I7480" t="str">
        <f>VLOOKUP(record[[#This Row],[ProcessSN]],表格2_7[],3,FALSE)</f>
        <v>#06</v>
      </c>
      <c r="J7480" t="s">
        <v>593</v>
      </c>
      <c r="K7480" s="195">
        <v>45917.624525462961</v>
      </c>
      <c r="L7480">
        <v>44</v>
      </c>
      <c r="M7480">
        <v>0</v>
      </c>
      <c r="N7480" s="98" t="str">
        <f>IF(record[[#This Row],[Memo]]="Browser:chrome os:android","平板報工",IF(record[[#This Row],[Memo]]=0,"委外",record[[#This Row],[Memo]]))</f>
        <v/>
      </c>
      <c r="O7480" t="s">
        <v>58</v>
      </c>
      <c r="P7480" t="s">
        <v>119</v>
      </c>
      <c r="Q7480" t="s">
        <v>58</v>
      </c>
      <c r="R7480" t="str">
        <f>IFERROR(VLOOKUP(record[[#This Row],[PCUSTID]],廠商[],2,FALSE),"")</f>
        <v/>
      </c>
      <c r="S7480" t="str">
        <f>VLOOKUP(record[[#This Row],[employeeID]],員工[],2,FALSE)</f>
        <v>廖俊彥</v>
      </c>
    </row>
    <row r="7481" spans="6:19" hidden="1" x14ac:dyDescent="0.25">
      <c r="F7481" t="s">
        <v>1025</v>
      </c>
      <c r="G7481" t="s">
        <v>450</v>
      </c>
      <c r="H7481" t="str">
        <f>VLOOKUP(record[[#This Row],[ProcessSN]],表格2_7[],2,FALSE)</f>
        <v>30-4118-018-6XX</v>
      </c>
      <c r="I7481" t="str">
        <f>VLOOKUP(record[[#This Row],[ProcessSN]],表格2_7[],3,FALSE)</f>
        <v>#06</v>
      </c>
      <c r="J7481" t="s">
        <v>593</v>
      </c>
      <c r="K7481" s="195">
        <v>45917.619976851849</v>
      </c>
      <c r="L7481">
        <v>32</v>
      </c>
      <c r="M7481">
        <v>0</v>
      </c>
      <c r="N7481" s="98" t="str">
        <f>IF(record[[#This Row],[Memo]]="Browser:chrome os:android","平板報工",IF(record[[#This Row],[Memo]]=0,"委外",record[[#This Row],[Memo]]))</f>
        <v>平板報工</v>
      </c>
      <c r="O7481" t="s">
        <v>643</v>
      </c>
      <c r="P7481" t="s">
        <v>166</v>
      </c>
      <c r="Q7481" t="s">
        <v>644</v>
      </c>
      <c r="R7481" t="str">
        <f>IFERROR(VLOOKUP(record[[#This Row],[PCUSTID]],廠商[],2,FALSE),"")</f>
        <v/>
      </c>
      <c r="S7481" t="str">
        <f>VLOOKUP(record[[#This Row],[employeeID]],員工[],2,FALSE)</f>
        <v>阮懷香</v>
      </c>
    </row>
    <row r="7482" spans="6:19" hidden="1" x14ac:dyDescent="0.25">
      <c r="F7482" t="s">
        <v>1023</v>
      </c>
      <c r="G7482" t="s">
        <v>377</v>
      </c>
      <c r="H7482" t="str">
        <f>VLOOKUP(record[[#This Row],[ProcessSN]],表格2_7[],2,FALSE)</f>
        <v>30-4118-018-4XX</v>
      </c>
      <c r="I7482" t="str">
        <f>VLOOKUP(record[[#This Row],[ProcessSN]],表格2_7[],3,FALSE)</f>
        <v>#07</v>
      </c>
      <c r="J7482" t="s">
        <v>588</v>
      </c>
      <c r="K7482" s="195">
        <v>45917.610925925925</v>
      </c>
      <c r="L7482">
        <v>230</v>
      </c>
      <c r="M7482">
        <v>3</v>
      </c>
      <c r="N7482" s="98" t="str">
        <f>IF(record[[#This Row],[Memo]]="Browser:chrome os:android","平板報工",IF(record[[#This Row],[Memo]]=0,"委外",record[[#This Row],[Memo]]))</f>
        <v/>
      </c>
      <c r="O7482" t="s">
        <v>58</v>
      </c>
      <c r="P7482" t="s">
        <v>119</v>
      </c>
      <c r="Q7482" t="s">
        <v>58</v>
      </c>
      <c r="R7482" t="str">
        <f>IFERROR(VLOOKUP(record[[#This Row],[PCUSTID]],廠商[],2,FALSE),"")</f>
        <v/>
      </c>
      <c r="S7482" t="str">
        <f>VLOOKUP(record[[#This Row],[employeeID]],員工[],2,FALSE)</f>
        <v>廖俊彥</v>
      </c>
    </row>
    <row r="7483" spans="6:19" hidden="1" x14ac:dyDescent="0.25">
      <c r="F7483" t="s">
        <v>1059</v>
      </c>
      <c r="G7483" t="s">
        <v>397</v>
      </c>
      <c r="H7483" t="str">
        <f>VLOOKUP(record[[#This Row],[ProcessSN]],表格2_7[],2,FALSE)</f>
        <v>30-4118-018-550</v>
      </c>
      <c r="I7483" t="str">
        <f>VLOOKUP(record[[#This Row],[ProcessSN]],表格2_7[],3,FALSE)</f>
        <v>#08</v>
      </c>
      <c r="J7483" t="s">
        <v>597</v>
      </c>
      <c r="K7483" s="195">
        <v>45917.586516203701</v>
      </c>
      <c r="L7483">
        <v>499</v>
      </c>
      <c r="M7483">
        <v>0</v>
      </c>
      <c r="N7483" s="98" t="str">
        <f>IF(record[[#This Row],[Memo]]="Browser:chrome os:android","平板報工",IF(record[[#This Row],[Memo]]=0,"委外",record[[#This Row],[Memo]]))</f>
        <v/>
      </c>
      <c r="O7483" t="s">
        <v>58</v>
      </c>
      <c r="P7483" t="s">
        <v>186</v>
      </c>
      <c r="Q7483" t="s">
        <v>287</v>
      </c>
      <c r="R7483" t="str">
        <f>IFERROR(VLOOKUP(record[[#This Row],[PCUSTID]],廠商[],2,FALSE),"")</f>
        <v>泉盛</v>
      </c>
      <c r="S7483" t="str">
        <f>VLOOKUP(record[[#This Row],[employeeID]],員工[],2,FALSE)</f>
        <v>許文姍</v>
      </c>
    </row>
    <row r="7484" spans="6:19" hidden="1" x14ac:dyDescent="0.25">
      <c r="F7484" t="s">
        <v>937</v>
      </c>
      <c r="G7484" t="s">
        <v>428</v>
      </c>
      <c r="H7484" t="str">
        <f>VLOOKUP(record[[#This Row],[ProcessSN]],表格2_7[],2,FALSE)</f>
        <v>30-4118-018-600</v>
      </c>
      <c r="I7484" t="str">
        <f>VLOOKUP(record[[#This Row],[ProcessSN]],表格2_7[],3,FALSE)</f>
        <v>#100SHIP</v>
      </c>
      <c r="J7484" t="s">
        <v>600</v>
      </c>
      <c r="K7484" s="195">
        <v>45917.48128472222</v>
      </c>
      <c r="L7484">
        <v>7</v>
      </c>
      <c r="M7484">
        <v>0</v>
      </c>
      <c r="N7484" s="98" t="str">
        <f>IF(record[[#This Row],[Memo]]="Browser:chrome os:android","平板報工",IF(record[[#This Row],[Memo]]=0,"委外",record[[#This Row],[Memo]]))</f>
        <v/>
      </c>
      <c r="O7484" t="s">
        <v>58</v>
      </c>
      <c r="P7484" t="s">
        <v>886</v>
      </c>
      <c r="Q7484" t="s">
        <v>58</v>
      </c>
      <c r="R7484" t="str">
        <f>IFERROR(VLOOKUP(record[[#This Row],[PCUSTID]],廠商[],2,FALSE),"")</f>
        <v/>
      </c>
      <c r="S7484" t="str">
        <f>VLOOKUP(record[[#This Row],[employeeID]],員工[],2,FALSE)</f>
        <v>謝蓁薰</v>
      </c>
    </row>
    <row r="7485" spans="6:19" hidden="1" x14ac:dyDescent="0.25">
      <c r="F7485" t="s">
        <v>951</v>
      </c>
      <c r="G7485" t="s">
        <v>428</v>
      </c>
      <c r="H7485" t="str">
        <f>VLOOKUP(record[[#This Row],[ProcessSN]],表格2_7[],2,FALSE)</f>
        <v>30-4118-018-600</v>
      </c>
      <c r="I7485" t="str">
        <f>VLOOKUP(record[[#This Row],[ProcessSN]],表格2_7[],3,FALSE)</f>
        <v>#100SHIP</v>
      </c>
      <c r="J7485" t="s">
        <v>600</v>
      </c>
      <c r="K7485" s="195">
        <v>45917.481145833335</v>
      </c>
      <c r="L7485">
        <v>25</v>
      </c>
      <c r="M7485">
        <v>0</v>
      </c>
      <c r="N7485" s="98" t="str">
        <f>IF(record[[#This Row],[Memo]]="Browser:chrome os:android","平板報工",IF(record[[#This Row],[Memo]]=0,"委外",record[[#This Row],[Memo]]))</f>
        <v/>
      </c>
      <c r="O7485" t="s">
        <v>58</v>
      </c>
      <c r="P7485" t="s">
        <v>886</v>
      </c>
      <c r="Q7485" t="s">
        <v>58</v>
      </c>
      <c r="R7485" t="str">
        <f>IFERROR(VLOOKUP(record[[#This Row],[PCUSTID]],廠商[],2,FALSE),"")</f>
        <v/>
      </c>
      <c r="S7485" t="str">
        <f>VLOOKUP(record[[#This Row],[employeeID]],員工[],2,FALSE)</f>
        <v>謝蓁薰</v>
      </c>
    </row>
    <row r="7486" spans="6:19" hidden="1" x14ac:dyDescent="0.25">
      <c r="F7486" t="s">
        <v>984</v>
      </c>
      <c r="G7486" t="s">
        <v>428</v>
      </c>
      <c r="H7486" t="str">
        <f>VLOOKUP(record[[#This Row],[ProcessSN]],表格2_7[],2,FALSE)</f>
        <v>30-4118-018-600</v>
      </c>
      <c r="I7486" t="str">
        <f>VLOOKUP(record[[#This Row],[ProcessSN]],表格2_7[],3,FALSE)</f>
        <v>#100SHIP</v>
      </c>
      <c r="J7486" t="s">
        <v>600</v>
      </c>
      <c r="K7486" s="195">
        <v>45917.480995370373</v>
      </c>
      <c r="L7486">
        <v>93</v>
      </c>
      <c r="M7486">
        <v>0</v>
      </c>
      <c r="N7486" s="98" t="str">
        <f>IF(record[[#This Row],[Memo]]="Browser:chrome os:android","平板報工",IF(record[[#This Row],[Memo]]=0,"委外",record[[#This Row],[Memo]]))</f>
        <v/>
      </c>
      <c r="O7486" t="s">
        <v>58</v>
      </c>
      <c r="P7486" t="s">
        <v>886</v>
      </c>
      <c r="Q7486" t="s">
        <v>58</v>
      </c>
      <c r="R7486" t="str">
        <f>IFERROR(VLOOKUP(record[[#This Row],[PCUSTID]],廠商[],2,FALSE),"")</f>
        <v/>
      </c>
      <c r="S7486" t="str">
        <f>VLOOKUP(record[[#This Row],[employeeID]],員工[],2,FALSE)</f>
        <v>謝蓁薰</v>
      </c>
    </row>
    <row r="7487" spans="6:19" hidden="1" x14ac:dyDescent="0.25">
      <c r="F7487" t="s">
        <v>1038</v>
      </c>
      <c r="G7487" t="s">
        <v>403</v>
      </c>
      <c r="H7487" t="str">
        <f>VLOOKUP(record[[#This Row],[ProcessSN]],表格2_7[],2,FALSE)</f>
        <v>30-4118-018-550</v>
      </c>
      <c r="I7487" t="str">
        <f>VLOOKUP(record[[#This Row],[ProcessSN]],表格2_7[],3,FALSE)</f>
        <v>#100SHIP</v>
      </c>
      <c r="J7487" t="s">
        <v>600</v>
      </c>
      <c r="K7487" s="195">
        <v>45917.480717592596</v>
      </c>
      <c r="L7487">
        <v>165</v>
      </c>
      <c r="M7487">
        <v>0</v>
      </c>
      <c r="N7487" s="98" t="str">
        <f>IF(record[[#This Row],[Memo]]="Browser:chrome os:android","平板報工",IF(record[[#This Row],[Memo]]=0,"委外",record[[#This Row],[Memo]]))</f>
        <v/>
      </c>
      <c r="O7487" t="s">
        <v>58</v>
      </c>
      <c r="P7487" t="s">
        <v>886</v>
      </c>
      <c r="Q7487" t="s">
        <v>58</v>
      </c>
      <c r="R7487" t="str">
        <f>IFERROR(VLOOKUP(record[[#This Row],[PCUSTID]],廠商[],2,FALSE),"")</f>
        <v/>
      </c>
      <c r="S7487" t="str">
        <f>VLOOKUP(record[[#This Row],[employeeID]],員工[],2,FALSE)</f>
        <v>謝蓁薰</v>
      </c>
    </row>
    <row r="7488" spans="6:19" hidden="1" x14ac:dyDescent="0.25">
      <c r="F7488" t="s">
        <v>1035</v>
      </c>
      <c r="G7488" t="s">
        <v>403</v>
      </c>
      <c r="H7488" t="str">
        <f>VLOOKUP(record[[#This Row],[ProcessSN]],表格2_7[],2,FALSE)</f>
        <v>30-4118-018-550</v>
      </c>
      <c r="I7488" t="str">
        <f>VLOOKUP(record[[#This Row],[ProcessSN]],表格2_7[],3,FALSE)</f>
        <v>#100SHIP</v>
      </c>
      <c r="J7488" t="s">
        <v>600</v>
      </c>
      <c r="K7488" s="195">
        <v>45917.480439814812</v>
      </c>
      <c r="L7488">
        <v>129</v>
      </c>
      <c r="M7488">
        <v>0</v>
      </c>
      <c r="N7488" s="98" t="str">
        <f>IF(record[[#This Row],[Memo]]="Browser:chrome os:android","平板報工",IF(record[[#This Row],[Memo]]=0,"委外",record[[#This Row],[Memo]]))</f>
        <v/>
      </c>
      <c r="O7488" t="s">
        <v>58</v>
      </c>
      <c r="P7488" t="s">
        <v>886</v>
      </c>
      <c r="Q7488" t="s">
        <v>58</v>
      </c>
      <c r="R7488" t="str">
        <f>IFERROR(VLOOKUP(record[[#This Row],[PCUSTID]],廠商[],2,FALSE),"")</f>
        <v/>
      </c>
      <c r="S7488" t="str">
        <f>VLOOKUP(record[[#This Row],[employeeID]],員工[],2,FALSE)</f>
        <v>謝蓁薰</v>
      </c>
    </row>
    <row r="7489" spans="6:19" hidden="1" x14ac:dyDescent="0.25">
      <c r="F7489" t="s">
        <v>945</v>
      </c>
      <c r="G7489" t="s">
        <v>362</v>
      </c>
      <c r="H7489" t="str">
        <f>VLOOKUP(record[[#This Row],[ProcessSN]],表格2_7[],2,FALSE)</f>
        <v>30-4118-018-450</v>
      </c>
      <c r="I7489" t="str">
        <f>VLOOKUP(record[[#This Row],[ProcessSN]],表格2_7[],3,FALSE)</f>
        <v>#100SHIP</v>
      </c>
      <c r="J7489" t="s">
        <v>600</v>
      </c>
      <c r="K7489" s="195">
        <v>45917.480266203704</v>
      </c>
      <c r="L7489">
        <v>3</v>
      </c>
      <c r="M7489">
        <v>0</v>
      </c>
      <c r="N7489" s="98" t="str">
        <f>IF(record[[#This Row],[Memo]]="Browser:chrome os:android","平板報工",IF(record[[#This Row],[Memo]]=0,"委外",record[[#This Row],[Memo]]))</f>
        <v/>
      </c>
      <c r="O7489" t="s">
        <v>58</v>
      </c>
      <c r="P7489" t="s">
        <v>886</v>
      </c>
      <c r="Q7489" t="s">
        <v>58</v>
      </c>
      <c r="R7489" t="str">
        <f>IFERROR(VLOOKUP(record[[#This Row],[PCUSTID]],廠商[],2,FALSE),"")</f>
        <v/>
      </c>
      <c r="S7489" t="str">
        <f>VLOOKUP(record[[#This Row],[employeeID]],員工[],2,FALSE)</f>
        <v>謝蓁薰</v>
      </c>
    </row>
    <row r="7490" spans="6:19" hidden="1" x14ac:dyDescent="0.25">
      <c r="F7490" t="s">
        <v>1024</v>
      </c>
      <c r="G7490" t="s">
        <v>420</v>
      </c>
      <c r="H7490" t="str">
        <f>VLOOKUP(record[[#This Row],[ProcessSN]],表格2_7[],2,FALSE)</f>
        <v>30-4118-018-5XX</v>
      </c>
      <c r="I7490" t="str">
        <f>VLOOKUP(record[[#This Row],[ProcessSN]],表格2_7[],3,FALSE)</f>
        <v>#07STOCK</v>
      </c>
      <c r="J7490" t="s">
        <v>592</v>
      </c>
      <c r="K7490" s="195">
        <v>45917.459548611114</v>
      </c>
      <c r="L7490">
        <v>499</v>
      </c>
      <c r="M7490">
        <v>0</v>
      </c>
      <c r="N7490" s="98" t="str">
        <f>IF(record[[#This Row],[Memo]]="Browser:chrome os:android","平板報工",IF(record[[#This Row],[Memo]]=0,"委外",record[[#This Row],[Memo]]))</f>
        <v/>
      </c>
      <c r="O7490" t="s">
        <v>58</v>
      </c>
      <c r="P7490" t="s">
        <v>196</v>
      </c>
      <c r="Q7490" t="s">
        <v>58</v>
      </c>
      <c r="R7490" t="str">
        <f>IFERROR(VLOOKUP(record[[#This Row],[PCUSTID]],廠商[],2,FALSE),"")</f>
        <v/>
      </c>
      <c r="S7490" t="str">
        <f>VLOOKUP(record[[#This Row],[employeeID]],員工[],2,FALSE)</f>
        <v>張淑惠</v>
      </c>
    </row>
    <row r="7491" spans="6:19" hidden="1" x14ac:dyDescent="0.25">
      <c r="F7491" t="s">
        <v>1059</v>
      </c>
      <c r="G7491" t="s">
        <v>396</v>
      </c>
      <c r="H7491" t="str">
        <f>VLOOKUP(record[[#This Row],[ProcessSN]],表格2_7[],2,FALSE)</f>
        <v>30-4118-018-550</v>
      </c>
      <c r="I7491" t="str">
        <f>VLOOKUP(record[[#This Row],[ProcessSN]],表格2_7[],3,FALSE)</f>
        <v>#08PICK</v>
      </c>
      <c r="J7491" t="s">
        <v>582</v>
      </c>
      <c r="K7491" s="195">
        <v>45917.458784722221</v>
      </c>
      <c r="L7491">
        <v>499</v>
      </c>
      <c r="M7491">
        <v>0</v>
      </c>
      <c r="N7491" s="98" t="str">
        <f>IF(record[[#This Row],[Memo]]="Browser:chrome os:android","平板報工",IF(record[[#This Row],[Memo]]=0,"委外",record[[#This Row],[Memo]]))</f>
        <v/>
      </c>
      <c r="O7491" t="s">
        <v>58</v>
      </c>
      <c r="P7491" t="s">
        <v>196</v>
      </c>
      <c r="Q7491" t="s">
        <v>58</v>
      </c>
      <c r="R7491" t="str">
        <f>IFERROR(VLOOKUP(record[[#This Row],[PCUSTID]],廠商[],2,FALSE),"")</f>
        <v/>
      </c>
      <c r="S7491" t="str">
        <f>VLOOKUP(record[[#This Row],[employeeID]],員工[],2,FALSE)</f>
        <v>張淑惠</v>
      </c>
    </row>
    <row r="7492" spans="6:19" hidden="1" x14ac:dyDescent="0.25">
      <c r="F7492" t="s">
        <v>1024</v>
      </c>
      <c r="G7492" t="s">
        <v>419</v>
      </c>
      <c r="H7492" t="str">
        <f>VLOOKUP(record[[#This Row],[ProcessSN]],表格2_7[],2,FALSE)</f>
        <v>30-4118-018-5XX</v>
      </c>
      <c r="I7492" t="str">
        <f>VLOOKUP(record[[#This Row],[ProcessSN]],表格2_7[],3,FALSE)</f>
        <v>#07QC</v>
      </c>
      <c r="J7492" t="s">
        <v>589</v>
      </c>
      <c r="K7492" s="195">
        <v>45917.455972222226</v>
      </c>
      <c r="L7492">
        <v>499</v>
      </c>
      <c r="M7492">
        <v>0</v>
      </c>
      <c r="N7492" s="98" t="str">
        <f>IF(record[[#This Row],[Memo]]="Browser:chrome os:android","平板報工",IF(record[[#This Row],[Memo]]=0,"委外",record[[#This Row],[Memo]]))</f>
        <v>平板報工</v>
      </c>
      <c r="O7492" t="s">
        <v>643</v>
      </c>
      <c r="P7492" t="s">
        <v>141</v>
      </c>
      <c r="Q7492" t="s">
        <v>644</v>
      </c>
      <c r="R7492" t="str">
        <f>IFERROR(VLOOKUP(record[[#This Row],[PCUSTID]],廠商[],2,FALSE),"")</f>
        <v/>
      </c>
      <c r="S7492" t="str">
        <f>VLOOKUP(record[[#This Row],[employeeID]],員工[],2,FALSE)</f>
        <v>蔣梅</v>
      </c>
    </row>
    <row r="7493" spans="6:19" hidden="1" x14ac:dyDescent="0.25">
      <c r="F7493" t="s">
        <v>1025</v>
      </c>
      <c r="G7493" t="s">
        <v>448</v>
      </c>
      <c r="H7493" t="str">
        <f>VLOOKUP(record[[#This Row],[ProcessSN]],表格2_7[],2,FALSE)</f>
        <v>30-4118-018-6XX</v>
      </c>
      <c r="I7493" t="str">
        <f>VLOOKUP(record[[#This Row],[ProcessSN]],表格2_7[],3,FALSE)</f>
        <v>#04</v>
      </c>
      <c r="J7493" t="s">
        <v>588</v>
      </c>
      <c r="K7493" s="195">
        <v>45917.415370370371</v>
      </c>
      <c r="L7493">
        <v>114</v>
      </c>
      <c r="M7493">
        <v>0</v>
      </c>
      <c r="N7493" s="98" t="str">
        <f>IF(record[[#This Row],[Memo]]="Browser:chrome os:android","平板報工",IF(record[[#This Row],[Memo]]=0,"委外",record[[#This Row],[Memo]]))</f>
        <v>9/16 中</v>
      </c>
      <c r="O7493" t="s">
        <v>1057</v>
      </c>
      <c r="P7493" t="s">
        <v>119</v>
      </c>
      <c r="Q7493" t="s">
        <v>58</v>
      </c>
      <c r="R7493" t="str">
        <f>IFERROR(VLOOKUP(record[[#This Row],[PCUSTID]],廠商[],2,FALSE),"")</f>
        <v/>
      </c>
      <c r="S7493" t="str">
        <f>VLOOKUP(record[[#This Row],[employeeID]],員工[],2,FALSE)</f>
        <v>廖俊彥</v>
      </c>
    </row>
    <row r="7494" spans="6:19" hidden="1" x14ac:dyDescent="0.25">
      <c r="F7494" t="s">
        <v>1041</v>
      </c>
      <c r="G7494" t="s">
        <v>361</v>
      </c>
      <c r="H7494" t="str">
        <f>VLOOKUP(record[[#This Row],[ProcessSN]],表格2_7[],2,FALSE)</f>
        <v>30-4118-018-450</v>
      </c>
      <c r="I7494" t="str">
        <f>VLOOKUP(record[[#This Row],[ProcessSN]],表格2_7[],3,FALSE)</f>
        <v>#100STOCK</v>
      </c>
      <c r="J7494" t="s">
        <v>592</v>
      </c>
      <c r="K7494" s="195">
        <v>45917.403414351851</v>
      </c>
      <c r="L7494">
        <v>323</v>
      </c>
      <c r="M7494">
        <v>0</v>
      </c>
      <c r="N7494" s="98" t="str">
        <f>IF(record[[#This Row],[Memo]]="Browser:chrome os:android","平板報工",IF(record[[#This Row],[Memo]]=0,"委外",record[[#This Row],[Memo]]))</f>
        <v/>
      </c>
      <c r="O7494" t="s">
        <v>58</v>
      </c>
      <c r="P7494" t="s">
        <v>886</v>
      </c>
      <c r="Q7494" t="s">
        <v>58</v>
      </c>
      <c r="R7494" t="str">
        <f>IFERROR(VLOOKUP(record[[#This Row],[PCUSTID]],廠商[],2,FALSE),"")</f>
        <v/>
      </c>
      <c r="S7494" t="str">
        <f>VLOOKUP(record[[#This Row],[employeeID]],員工[],2,FALSE)</f>
        <v>謝蓁薰</v>
      </c>
    </row>
    <row r="7495" spans="6:19" hidden="1" x14ac:dyDescent="0.25">
      <c r="F7495" t="s">
        <v>1024</v>
      </c>
      <c r="G7495" t="s">
        <v>417</v>
      </c>
      <c r="H7495" t="str">
        <f>VLOOKUP(record[[#This Row],[ProcessSN]],表格2_7[],2,FALSE)</f>
        <v>30-4118-018-5XX</v>
      </c>
      <c r="I7495" t="str">
        <f>VLOOKUP(record[[#This Row],[ProcessSN]],表格2_7[],3,FALSE)</f>
        <v>#06</v>
      </c>
      <c r="J7495" t="s">
        <v>593</v>
      </c>
      <c r="K7495" s="195">
        <v>45917.316111111111</v>
      </c>
      <c r="L7495">
        <v>121</v>
      </c>
      <c r="M7495">
        <v>1</v>
      </c>
      <c r="N7495" s="98" t="str">
        <f>IF(record[[#This Row],[Memo]]="Browser:chrome os:android","平板報工",IF(record[[#This Row],[Memo]]=0,"委外",record[[#This Row],[Memo]]))</f>
        <v/>
      </c>
      <c r="O7495" t="s">
        <v>58</v>
      </c>
      <c r="P7495" t="s">
        <v>135</v>
      </c>
      <c r="Q7495" t="s">
        <v>58</v>
      </c>
      <c r="R7495" t="str">
        <f>IFERROR(VLOOKUP(record[[#This Row],[PCUSTID]],廠商[],2,FALSE),"")</f>
        <v/>
      </c>
      <c r="S7495" t="str">
        <f>VLOOKUP(record[[#This Row],[employeeID]],員工[],2,FALSE)</f>
        <v>阮士文</v>
      </c>
    </row>
    <row r="7496" spans="6:19" hidden="1" x14ac:dyDescent="0.25">
      <c r="F7496" t="s">
        <v>1025</v>
      </c>
      <c r="G7496" t="s">
        <v>448</v>
      </c>
      <c r="H7496" t="str">
        <f>VLOOKUP(record[[#This Row],[ProcessSN]],表格2_7[],2,FALSE)</f>
        <v>30-4118-018-6XX</v>
      </c>
      <c r="I7496" t="str">
        <f>VLOOKUP(record[[#This Row],[ProcessSN]],表格2_7[],3,FALSE)</f>
        <v>#04</v>
      </c>
      <c r="J7496" t="s">
        <v>588</v>
      </c>
      <c r="K7496" s="195">
        <v>45917.312534722223</v>
      </c>
      <c r="L7496">
        <v>135</v>
      </c>
      <c r="M7496">
        <v>0</v>
      </c>
      <c r="N7496" s="98" t="str">
        <f>IF(record[[#This Row],[Memo]]="Browser:chrome os:android","平板報工",IF(record[[#This Row],[Memo]]=0,"委外",record[[#This Row],[Memo]]))</f>
        <v/>
      </c>
      <c r="O7496" t="s">
        <v>58</v>
      </c>
      <c r="P7496" t="s">
        <v>135</v>
      </c>
      <c r="Q7496" t="s">
        <v>58</v>
      </c>
      <c r="R7496" t="str">
        <f>IFERROR(VLOOKUP(record[[#This Row],[PCUSTID]],廠商[],2,FALSE),"")</f>
        <v/>
      </c>
      <c r="S7496" t="str">
        <f>VLOOKUP(record[[#This Row],[employeeID]],員工[],2,FALSE)</f>
        <v>阮士文</v>
      </c>
    </row>
    <row r="7497" spans="6:19" hidden="1" x14ac:dyDescent="0.25">
      <c r="F7497" t="s">
        <v>1024</v>
      </c>
      <c r="G7497" t="s">
        <v>417</v>
      </c>
      <c r="H7497" t="str">
        <f>VLOOKUP(record[[#This Row],[ProcessSN]],表格2_7[],2,FALSE)</f>
        <v>30-4118-018-5XX</v>
      </c>
      <c r="I7497" t="str">
        <f>VLOOKUP(record[[#This Row],[ProcessSN]],表格2_7[],3,FALSE)</f>
        <v>#06</v>
      </c>
      <c r="J7497" t="s">
        <v>593</v>
      </c>
      <c r="K7497" s="195">
        <v>45916.968553240738</v>
      </c>
      <c r="L7497">
        <v>121</v>
      </c>
      <c r="M7497">
        <v>0</v>
      </c>
      <c r="N7497" s="98" t="str">
        <f>IF(record[[#This Row],[Memo]]="Browser:chrome os:android","平板報工",IF(record[[#This Row],[Memo]]=0,"委外",record[[#This Row],[Memo]]))</f>
        <v/>
      </c>
      <c r="O7497" t="s">
        <v>58</v>
      </c>
      <c r="P7497" t="s">
        <v>841</v>
      </c>
      <c r="Q7497" t="s">
        <v>58</v>
      </c>
      <c r="R7497" t="str">
        <f>IFERROR(VLOOKUP(record[[#This Row],[PCUSTID]],廠商[],2,FALSE),"")</f>
        <v/>
      </c>
      <c r="S7497" t="str">
        <f>VLOOKUP(record[[#This Row],[employeeID]],員工[],2,FALSE)</f>
        <v>范氏香</v>
      </c>
    </row>
    <row r="7498" spans="6:19" hidden="1" x14ac:dyDescent="0.25">
      <c r="F7498" t="s">
        <v>1024</v>
      </c>
      <c r="G7498" t="s">
        <v>418</v>
      </c>
      <c r="H7498" t="str">
        <f>VLOOKUP(record[[#This Row],[ProcessSN]],表格2_7[],2,FALSE)</f>
        <v>30-4118-018-5XX</v>
      </c>
      <c r="I7498" t="str">
        <f>VLOOKUP(record[[#This Row],[ProcessSN]],表格2_7[],3,FALSE)</f>
        <v>#07</v>
      </c>
      <c r="J7498" t="s">
        <v>588</v>
      </c>
      <c r="K7498" s="195">
        <v>45916.965081018519</v>
      </c>
      <c r="L7498">
        <v>191</v>
      </c>
      <c r="M7498">
        <v>1</v>
      </c>
      <c r="N7498" s="98" t="str">
        <f>IF(record[[#This Row],[Memo]]="Browser:chrome os:android","平板報工",IF(record[[#This Row],[Memo]]=0,"委外",record[[#This Row],[Memo]]))</f>
        <v/>
      </c>
      <c r="O7498" t="s">
        <v>58</v>
      </c>
      <c r="P7498" t="s">
        <v>89</v>
      </c>
      <c r="Q7498" t="s">
        <v>58</v>
      </c>
      <c r="R7498" t="str">
        <f>IFERROR(VLOOKUP(record[[#This Row],[PCUSTID]],廠商[],2,FALSE),"")</f>
        <v/>
      </c>
      <c r="S7498" t="str">
        <f>VLOOKUP(record[[#This Row],[employeeID]],員工[],2,FALSE)</f>
        <v>李美蓮</v>
      </c>
    </row>
    <row r="7499" spans="6:19" hidden="1" x14ac:dyDescent="0.25">
      <c r="F7499" t="s">
        <v>1048</v>
      </c>
      <c r="G7499" t="s">
        <v>399</v>
      </c>
      <c r="H7499" t="str">
        <f>VLOOKUP(record[[#This Row],[ProcessSN]],表格2_7[],2,FALSE)</f>
        <v>30-4118-018-550</v>
      </c>
      <c r="I7499" t="str">
        <f>VLOOKUP(record[[#This Row],[ProcessSN]],表格2_7[],3,FALSE)</f>
        <v>#08IQC</v>
      </c>
      <c r="J7499" t="s">
        <v>583</v>
      </c>
      <c r="K7499" s="195">
        <v>45916.708101851851</v>
      </c>
      <c r="L7499">
        <v>307</v>
      </c>
      <c r="M7499">
        <v>0</v>
      </c>
      <c r="N7499" s="98" t="str">
        <f>IF(record[[#This Row],[Memo]]="Browser:chrome os:android","平板報工",IF(record[[#This Row],[Memo]]=0,"委外",record[[#This Row],[Memo]]))</f>
        <v/>
      </c>
      <c r="O7499" t="s">
        <v>58</v>
      </c>
      <c r="P7499" t="s">
        <v>109</v>
      </c>
      <c r="Q7499" t="s">
        <v>58</v>
      </c>
      <c r="R7499" t="str">
        <f>IFERROR(VLOOKUP(record[[#This Row],[PCUSTID]],廠商[],2,FALSE),"")</f>
        <v/>
      </c>
      <c r="S7499" t="str">
        <f>VLOOKUP(record[[#This Row],[employeeID]],員工[],2,FALSE)</f>
        <v>裴氏璧鳳</v>
      </c>
    </row>
    <row r="7500" spans="6:19" hidden="1" x14ac:dyDescent="0.25">
      <c r="F7500" t="s">
        <v>1047</v>
      </c>
      <c r="G7500" t="s">
        <v>399</v>
      </c>
      <c r="H7500" t="str">
        <f>VLOOKUP(record[[#This Row],[ProcessSN]],表格2_7[],2,FALSE)</f>
        <v>30-4118-018-550</v>
      </c>
      <c r="I7500" t="str">
        <f>VLOOKUP(record[[#This Row],[ProcessSN]],表格2_7[],3,FALSE)</f>
        <v>#08IQC</v>
      </c>
      <c r="J7500" t="s">
        <v>583</v>
      </c>
      <c r="K7500" s="195">
        <v>45916.707986111112</v>
      </c>
      <c r="L7500">
        <v>160</v>
      </c>
      <c r="M7500">
        <v>0</v>
      </c>
      <c r="N7500" s="98" t="str">
        <f>IF(record[[#This Row],[Memo]]="Browser:chrome os:android","平板報工",IF(record[[#This Row],[Memo]]=0,"委外",record[[#This Row],[Memo]]))</f>
        <v/>
      </c>
      <c r="O7500" t="s">
        <v>58</v>
      </c>
      <c r="P7500" t="s">
        <v>109</v>
      </c>
      <c r="Q7500" t="s">
        <v>58</v>
      </c>
      <c r="R7500" t="str">
        <f>IFERROR(VLOOKUP(record[[#This Row],[PCUSTID]],廠商[],2,FALSE),"")</f>
        <v/>
      </c>
      <c r="S7500" t="str">
        <f>VLOOKUP(record[[#This Row],[employeeID]],員工[],2,FALSE)</f>
        <v>裴氏璧鳳</v>
      </c>
    </row>
    <row r="7501" spans="6:19" hidden="1" x14ac:dyDescent="0.25">
      <c r="F7501" t="s">
        <v>1048</v>
      </c>
      <c r="G7501" t="s">
        <v>398</v>
      </c>
      <c r="H7501" t="str">
        <f>VLOOKUP(record[[#This Row],[ProcessSN]],表格2_7[],2,FALSE)</f>
        <v>30-4118-018-550</v>
      </c>
      <c r="I7501" t="str">
        <f>VLOOKUP(record[[#This Row],[ProcessSN]],表格2_7[],3,FALSE)</f>
        <v>#08RCV</v>
      </c>
      <c r="J7501" t="s">
        <v>591</v>
      </c>
      <c r="K7501" s="195">
        <v>45916.698923611111</v>
      </c>
      <c r="L7501">
        <v>307</v>
      </c>
      <c r="M7501">
        <v>0</v>
      </c>
      <c r="N7501" s="98" t="str">
        <f>IF(record[[#This Row],[Memo]]="Browser:chrome os:android","平板報工",IF(record[[#This Row],[Memo]]=0,"委外",record[[#This Row],[Memo]]))</f>
        <v/>
      </c>
      <c r="O7501" t="s">
        <v>58</v>
      </c>
      <c r="P7501" t="s">
        <v>886</v>
      </c>
      <c r="Q7501" t="s">
        <v>58</v>
      </c>
      <c r="R7501" t="str">
        <f>IFERROR(VLOOKUP(record[[#This Row],[PCUSTID]],廠商[],2,FALSE),"")</f>
        <v/>
      </c>
      <c r="S7501" t="str">
        <f>VLOOKUP(record[[#This Row],[employeeID]],員工[],2,FALSE)</f>
        <v>謝蓁薰</v>
      </c>
    </row>
    <row r="7502" spans="6:19" hidden="1" x14ac:dyDescent="0.25">
      <c r="F7502" t="s">
        <v>1047</v>
      </c>
      <c r="G7502" t="s">
        <v>398</v>
      </c>
      <c r="H7502" t="str">
        <f>VLOOKUP(record[[#This Row],[ProcessSN]],表格2_7[],2,FALSE)</f>
        <v>30-4118-018-550</v>
      </c>
      <c r="I7502" t="str">
        <f>VLOOKUP(record[[#This Row],[ProcessSN]],表格2_7[],3,FALSE)</f>
        <v>#08RCV</v>
      </c>
      <c r="J7502" t="s">
        <v>591</v>
      </c>
      <c r="K7502" s="195">
        <v>45916.698634259257</v>
      </c>
      <c r="L7502">
        <v>160</v>
      </c>
      <c r="M7502">
        <v>0</v>
      </c>
      <c r="N7502" s="98" t="str">
        <f>IF(record[[#This Row],[Memo]]="Browser:chrome os:android","平板報工",IF(record[[#This Row],[Memo]]=0,"委外",record[[#This Row],[Memo]]))</f>
        <v/>
      </c>
      <c r="O7502" t="s">
        <v>58</v>
      </c>
      <c r="P7502" t="s">
        <v>886</v>
      </c>
      <c r="Q7502" t="s">
        <v>58</v>
      </c>
      <c r="R7502" t="str">
        <f>IFERROR(VLOOKUP(record[[#This Row],[PCUSTID]],廠商[],2,FALSE),"")</f>
        <v/>
      </c>
      <c r="S7502" t="str">
        <f>VLOOKUP(record[[#This Row],[employeeID]],員工[],2,FALSE)</f>
        <v>謝蓁薰</v>
      </c>
    </row>
    <row r="7503" spans="6:19" hidden="1" x14ac:dyDescent="0.25">
      <c r="F7503" t="s">
        <v>1025</v>
      </c>
      <c r="G7503" t="s">
        <v>449</v>
      </c>
      <c r="H7503" t="str">
        <f>VLOOKUP(record[[#This Row],[ProcessSN]],表格2_7[],2,FALSE)</f>
        <v>30-4118-018-6XX</v>
      </c>
      <c r="I7503" t="str">
        <f>VLOOKUP(record[[#This Row],[ProcessSN]],表格2_7[],3,FALSE)</f>
        <v>#05</v>
      </c>
      <c r="J7503" t="s">
        <v>588</v>
      </c>
      <c r="K7503" s="195">
        <v>45916.643206018518</v>
      </c>
      <c r="L7503">
        <v>240</v>
      </c>
      <c r="M7503">
        <v>0</v>
      </c>
      <c r="N7503" s="98" t="str">
        <f>IF(record[[#This Row],[Memo]]="Browser:chrome os:android","平板報工",IF(record[[#This Row],[Memo]]=0,"委外",record[[#This Row],[Memo]]))</f>
        <v>平板報工</v>
      </c>
      <c r="O7503" t="s">
        <v>643</v>
      </c>
      <c r="P7503" t="s">
        <v>145</v>
      </c>
      <c r="Q7503" t="s">
        <v>644</v>
      </c>
      <c r="R7503" t="str">
        <f>IFERROR(VLOOKUP(record[[#This Row],[PCUSTID]],廠商[],2,FALSE),"")</f>
        <v/>
      </c>
      <c r="S7503" t="str">
        <f>VLOOKUP(record[[#This Row],[employeeID]],員工[],2,FALSE)</f>
        <v>阮秋霞</v>
      </c>
    </row>
    <row r="7504" spans="6:19" hidden="1" x14ac:dyDescent="0.25">
      <c r="F7504" t="s">
        <v>1025</v>
      </c>
      <c r="G7504" t="s">
        <v>448</v>
      </c>
      <c r="H7504" t="str">
        <f>VLOOKUP(record[[#This Row],[ProcessSN]],表格2_7[],2,FALSE)</f>
        <v>30-4118-018-6XX</v>
      </c>
      <c r="I7504" t="str">
        <f>VLOOKUP(record[[#This Row],[ProcessSN]],表格2_7[],3,FALSE)</f>
        <v>#04</v>
      </c>
      <c r="J7504" t="s">
        <v>588</v>
      </c>
      <c r="K7504" s="195">
        <v>45916.640706018516</v>
      </c>
      <c r="L7504">
        <v>135</v>
      </c>
      <c r="M7504">
        <v>0</v>
      </c>
      <c r="N7504" s="98" t="str">
        <f>IF(record[[#This Row],[Memo]]="Browser:chrome os:android","平板報工",IF(record[[#This Row],[Memo]]=0,"委外",record[[#This Row],[Memo]]))</f>
        <v>平板報工</v>
      </c>
      <c r="O7504" t="s">
        <v>643</v>
      </c>
      <c r="P7504" t="s">
        <v>107</v>
      </c>
      <c r="Q7504" t="s">
        <v>644</v>
      </c>
      <c r="R7504" t="str">
        <f>IFERROR(VLOOKUP(record[[#This Row],[PCUSTID]],廠商[],2,FALSE),"")</f>
        <v/>
      </c>
      <c r="S7504" t="str">
        <f>VLOOKUP(record[[#This Row],[employeeID]],員工[],2,FALSE)</f>
        <v>黎氏順</v>
      </c>
    </row>
    <row r="7505" spans="6:19" hidden="1" x14ac:dyDescent="0.25">
      <c r="F7505" t="s">
        <v>1024</v>
      </c>
      <c r="G7505" t="s">
        <v>418</v>
      </c>
      <c r="H7505" t="str">
        <f>VLOOKUP(record[[#This Row],[ProcessSN]],表格2_7[],2,FALSE)</f>
        <v>30-4118-018-5XX</v>
      </c>
      <c r="I7505" t="str">
        <f>VLOOKUP(record[[#This Row],[ProcessSN]],表格2_7[],3,FALSE)</f>
        <v>#07</v>
      </c>
      <c r="J7505" t="s">
        <v>588</v>
      </c>
      <c r="K7505" s="195">
        <v>45916.61314814815</v>
      </c>
      <c r="L7505">
        <v>205</v>
      </c>
      <c r="M7505">
        <v>0</v>
      </c>
      <c r="N7505" s="98" t="str">
        <f>IF(record[[#This Row],[Memo]]="Browser:chrome os:android","平板報工",IF(record[[#This Row],[Memo]]=0,"委外",record[[#This Row],[Memo]]))</f>
        <v>平板報工</v>
      </c>
      <c r="O7505" t="s">
        <v>643</v>
      </c>
      <c r="P7505" t="s">
        <v>785</v>
      </c>
      <c r="Q7505" t="s">
        <v>644</v>
      </c>
      <c r="R7505" t="str">
        <f>IFERROR(VLOOKUP(record[[#This Row],[PCUSTID]],廠商[],2,FALSE),"")</f>
        <v/>
      </c>
      <c r="S7505" t="str">
        <f>VLOOKUP(record[[#This Row],[employeeID]],員工[],2,FALSE)</f>
        <v>謝刻光</v>
      </c>
    </row>
    <row r="7506" spans="6:19" hidden="1" x14ac:dyDescent="0.25">
      <c r="F7506" t="s">
        <v>1024</v>
      </c>
      <c r="G7506" t="s">
        <v>417</v>
      </c>
      <c r="H7506" t="str">
        <f>VLOOKUP(record[[#This Row],[ProcessSN]],表格2_7[],2,FALSE)</f>
        <v>30-4118-018-5XX</v>
      </c>
      <c r="I7506" t="str">
        <f>VLOOKUP(record[[#This Row],[ProcessSN]],表格2_7[],3,FALSE)</f>
        <v>#06</v>
      </c>
      <c r="J7506" t="s">
        <v>593</v>
      </c>
      <c r="K7506" s="195">
        <v>45916.607835648145</v>
      </c>
      <c r="L7506">
        <v>121</v>
      </c>
      <c r="M7506">
        <v>0</v>
      </c>
      <c r="N7506" s="98" t="str">
        <f>IF(record[[#This Row],[Memo]]="Browser:chrome os:android","平板報工",IF(record[[#This Row],[Memo]]=0,"委外",record[[#This Row],[Memo]]))</f>
        <v>平板報工</v>
      </c>
      <c r="O7506" t="s">
        <v>643</v>
      </c>
      <c r="P7506" t="s">
        <v>166</v>
      </c>
      <c r="Q7506" t="s">
        <v>644</v>
      </c>
      <c r="R7506" t="str">
        <f>IFERROR(VLOOKUP(record[[#This Row],[PCUSTID]],廠商[],2,FALSE),"")</f>
        <v/>
      </c>
      <c r="S7506" t="str">
        <f>VLOOKUP(record[[#This Row],[employeeID]],員工[],2,FALSE)</f>
        <v>阮懷香</v>
      </c>
    </row>
    <row r="7507" spans="6:19" hidden="1" x14ac:dyDescent="0.25">
      <c r="F7507" t="s">
        <v>1045</v>
      </c>
      <c r="G7507" t="s">
        <v>360</v>
      </c>
      <c r="H7507" t="str">
        <f>VLOOKUP(record[[#This Row],[ProcessSN]],表格2_7[],2,FALSE)</f>
        <v>30-4118-018-450</v>
      </c>
      <c r="I7507" t="str">
        <f>VLOOKUP(record[[#This Row],[ProcessSN]],表格2_7[],3,FALSE)</f>
        <v>#100OQC</v>
      </c>
      <c r="J7507" t="s">
        <v>599</v>
      </c>
      <c r="K7507" s="195">
        <v>45916.556354166663</v>
      </c>
      <c r="L7507">
        <v>525</v>
      </c>
      <c r="M7507">
        <v>0</v>
      </c>
      <c r="N7507" s="98" t="str">
        <f>IF(record[[#This Row],[Memo]]="Browser:chrome os:android","平板報工",IF(record[[#This Row],[Memo]]=0,"委外",record[[#This Row],[Memo]]))</f>
        <v/>
      </c>
      <c r="O7507" t="s">
        <v>58</v>
      </c>
      <c r="P7507" t="s">
        <v>121</v>
      </c>
      <c r="Q7507" t="s">
        <v>58</v>
      </c>
      <c r="R7507" t="str">
        <f>IFERROR(VLOOKUP(record[[#This Row],[PCUSTID]],廠商[],2,FALSE),"")</f>
        <v/>
      </c>
      <c r="S7507" t="str">
        <f>VLOOKUP(record[[#This Row],[employeeID]],員工[],2,FALSE)</f>
        <v>謝素卿</v>
      </c>
    </row>
    <row r="7508" spans="6:19" hidden="1" x14ac:dyDescent="0.25">
      <c r="F7508" t="s">
        <v>1041</v>
      </c>
      <c r="G7508" t="s">
        <v>360</v>
      </c>
      <c r="H7508" t="str">
        <f>VLOOKUP(record[[#This Row],[ProcessSN]],表格2_7[],2,FALSE)</f>
        <v>30-4118-018-450</v>
      </c>
      <c r="I7508" t="str">
        <f>VLOOKUP(record[[#This Row],[ProcessSN]],表格2_7[],3,FALSE)</f>
        <v>#100OQC</v>
      </c>
      <c r="J7508" t="s">
        <v>599</v>
      </c>
      <c r="K7508" s="195">
        <v>45916.556192129632</v>
      </c>
      <c r="L7508">
        <v>323</v>
      </c>
      <c r="M7508">
        <v>0</v>
      </c>
      <c r="N7508" s="98" t="str">
        <f>IF(record[[#This Row],[Memo]]="Browser:chrome os:android","平板報工",IF(record[[#This Row],[Memo]]=0,"委外",record[[#This Row],[Memo]]))</f>
        <v/>
      </c>
      <c r="O7508" t="s">
        <v>58</v>
      </c>
      <c r="P7508" t="s">
        <v>121</v>
      </c>
      <c r="Q7508" t="s">
        <v>58</v>
      </c>
      <c r="R7508" t="str">
        <f>IFERROR(VLOOKUP(record[[#This Row],[PCUSTID]],廠商[],2,FALSE),"")</f>
        <v/>
      </c>
      <c r="S7508" t="str">
        <f>VLOOKUP(record[[#This Row],[employeeID]],員工[],2,FALSE)</f>
        <v>謝素卿</v>
      </c>
    </row>
    <row r="7509" spans="6:19" hidden="1" x14ac:dyDescent="0.25">
      <c r="F7509" t="s">
        <v>1045</v>
      </c>
      <c r="G7509" t="s">
        <v>359</v>
      </c>
      <c r="H7509" t="str">
        <f>VLOOKUP(record[[#This Row],[ProcessSN]],表格2_7[],2,FALSE)</f>
        <v>30-4118-018-450</v>
      </c>
      <c r="I7509" t="str">
        <f>VLOOKUP(record[[#This Row],[ProcessSN]],表格2_7[],3,FALSE)</f>
        <v>#100</v>
      </c>
      <c r="J7509" t="s">
        <v>598</v>
      </c>
      <c r="K7509" s="195">
        <v>45916.461736111109</v>
      </c>
      <c r="L7509">
        <v>525</v>
      </c>
      <c r="M7509">
        <v>0</v>
      </c>
      <c r="N7509" s="98" t="str">
        <f>IF(record[[#This Row],[Memo]]="Browser:chrome os:android","平板報工",IF(record[[#This Row],[Memo]]=0,"委外",record[[#This Row],[Memo]]))</f>
        <v/>
      </c>
      <c r="O7509" t="s">
        <v>58</v>
      </c>
      <c r="P7509" t="s">
        <v>141</v>
      </c>
      <c r="Q7509" t="s">
        <v>58</v>
      </c>
      <c r="R7509" t="str">
        <f>IFERROR(VLOOKUP(record[[#This Row],[PCUSTID]],廠商[],2,FALSE),"")</f>
        <v/>
      </c>
      <c r="S7509" t="str">
        <f>VLOOKUP(record[[#This Row],[employeeID]],員工[],2,FALSE)</f>
        <v>蔣梅</v>
      </c>
    </row>
    <row r="7510" spans="6:19" hidden="1" x14ac:dyDescent="0.25">
      <c r="F7510" t="s">
        <v>1045</v>
      </c>
      <c r="G7510" t="s">
        <v>358</v>
      </c>
      <c r="H7510" t="str">
        <f>VLOOKUP(record[[#This Row],[ProcessSN]],表格2_7[],2,FALSE)</f>
        <v>30-4118-018-450</v>
      </c>
      <c r="I7510" t="str">
        <f>VLOOKUP(record[[#This Row],[ProcessSN]],表格2_7[],3,FALSE)</f>
        <v>#08IQC</v>
      </c>
      <c r="J7510" t="s">
        <v>583</v>
      </c>
      <c r="K7510" s="195">
        <v>45916.461539351854</v>
      </c>
      <c r="L7510">
        <v>6</v>
      </c>
      <c r="M7510">
        <v>0</v>
      </c>
      <c r="N7510" s="98" t="str">
        <f>IF(record[[#This Row],[Memo]]="Browser:chrome os:android","平板報工",IF(record[[#This Row],[Memo]]=0,"委外",record[[#This Row],[Memo]]))</f>
        <v>覆回品</v>
      </c>
      <c r="O7510" t="s">
        <v>664</v>
      </c>
      <c r="P7510" t="s">
        <v>141</v>
      </c>
      <c r="Q7510" t="s">
        <v>58</v>
      </c>
      <c r="R7510" t="str">
        <f>IFERROR(VLOOKUP(record[[#This Row],[PCUSTID]],廠商[],2,FALSE),"")</f>
        <v/>
      </c>
      <c r="S7510" t="str">
        <f>VLOOKUP(record[[#This Row],[employeeID]],員工[],2,FALSE)</f>
        <v>蔣梅</v>
      </c>
    </row>
    <row r="7511" spans="6:19" hidden="1" x14ac:dyDescent="0.25">
      <c r="F7511" t="s">
        <v>1045</v>
      </c>
      <c r="G7511" t="s">
        <v>357</v>
      </c>
      <c r="H7511" t="str">
        <f>VLOOKUP(record[[#This Row],[ProcessSN]],表格2_7[],2,FALSE)</f>
        <v>30-4118-018-450</v>
      </c>
      <c r="I7511" t="str">
        <f>VLOOKUP(record[[#This Row],[ProcessSN]],表格2_7[],3,FALSE)</f>
        <v>#08RCV</v>
      </c>
      <c r="J7511" t="s">
        <v>591</v>
      </c>
      <c r="K7511" s="195">
        <v>45916.461030092592</v>
      </c>
      <c r="L7511">
        <v>6</v>
      </c>
      <c r="M7511">
        <v>0</v>
      </c>
      <c r="N7511" s="98" t="str">
        <f>IF(record[[#This Row],[Memo]]="Browser:chrome os:android","平板報工",IF(record[[#This Row],[Memo]]=0,"委外",record[[#This Row],[Memo]]))</f>
        <v>覆回品</v>
      </c>
      <c r="O7511" t="s">
        <v>664</v>
      </c>
      <c r="P7511" t="s">
        <v>141</v>
      </c>
      <c r="Q7511" t="s">
        <v>58</v>
      </c>
      <c r="R7511" t="str">
        <f>IFERROR(VLOOKUP(record[[#This Row],[PCUSTID]],廠商[],2,FALSE),"")</f>
        <v/>
      </c>
      <c r="S7511" t="str">
        <f>VLOOKUP(record[[#This Row],[employeeID]],員工[],2,FALSE)</f>
        <v>蔣梅</v>
      </c>
    </row>
    <row r="7512" spans="6:19" hidden="1" x14ac:dyDescent="0.25">
      <c r="F7512" t="s">
        <v>1035</v>
      </c>
      <c r="G7512" t="s">
        <v>403</v>
      </c>
      <c r="H7512" t="str">
        <f>VLOOKUP(record[[#This Row],[ProcessSN]],表格2_7[],2,FALSE)</f>
        <v>30-4118-018-550</v>
      </c>
      <c r="I7512" t="str">
        <f>VLOOKUP(record[[#This Row],[ProcessSN]],表格2_7[],3,FALSE)</f>
        <v>#100SHIP</v>
      </c>
      <c r="J7512" t="s">
        <v>600</v>
      </c>
      <c r="K7512" s="195">
        <v>45916.459918981483</v>
      </c>
      <c r="L7512">
        <v>1</v>
      </c>
      <c r="M7512">
        <v>0</v>
      </c>
      <c r="N7512" s="98" t="str">
        <f>IF(record[[#This Row],[Memo]]="Browser:chrome os:android","平板報工",IF(record[[#This Row],[Memo]]=0,"委外",record[[#This Row],[Memo]]))</f>
        <v/>
      </c>
      <c r="O7512" t="s">
        <v>58</v>
      </c>
      <c r="P7512" t="s">
        <v>886</v>
      </c>
      <c r="Q7512" t="s">
        <v>58</v>
      </c>
      <c r="R7512" t="str">
        <f>IFERROR(VLOOKUP(record[[#This Row],[PCUSTID]],廠商[],2,FALSE),"")</f>
        <v/>
      </c>
      <c r="S7512" t="str">
        <f>VLOOKUP(record[[#This Row],[employeeID]],員工[],2,FALSE)</f>
        <v>謝蓁薰</v>
      </c>
    </row>
    <row r="7513" spans="6:19" hidden="1" x14ac:dyDescent="0.25">
      <c r="F7513" t="s">
        <v>951</v>
      </c>
      <c r="G7513" t="s">
        <v>428</v>
      </c>
      <c r="H7513" t="str">
        <f>VLOOKUP(record[[#This Row],[ProcessSN]],表格2_7[],2,FALSE)</f>
        <v>30-4118-018-600</v>
      </c>
      <c r="I7513" t="str">
        <f>VLOOKUP(record[[#This Row],[ProcessSN]],表格2_7[],3,FALSE)</f>
        <v>#100SHIP</v>
      </c>
      <c r="J7513" t="s">
        <v>600</v>
      </c>
      <c r="K7513" s="195">
        <v>45916.458634259259</v>
      </c>
      <c r="L7513">
        <v>1</v>
      </c>
      <c r="M7513">
        <v>0</v>
      </c>
      <c r="N7513" s="98" t="str">
        <f>IF(record[[#This Row],[Memo]]="Browser:chrome os:android","平板報工",IF(record[[#This Row],[Memo]]=0,"委外",record[[#This Row],[Memo]]))</f>
        <v/>
      </c>
      <c r="O7513" t="s">
        <v>58</v>
      </c>
      <c r="P7513" t="s">
        <v>886</v>
      </c>
      <c r="Q7513" t="s">
        <v>58</v>
      </c>
      <c r="R7513" t="str">
        <f>IFERROR(VLOOKUP(record[[#This Row],[PCUSTID]],廠商[],2,FALSE),"")</f>
        <v/>
      </c>
      <c r="S7513" t="str">
        <f>VLOOKUP(record[[#This Row],[employeeID]],員工[],2,FALSE)</f>
        <v>謝蓁薰</v>
      </c>
    </row>
    <row r="7514" spans="6:19" hidden="1" x14ac:dyDescent="0.25">
      <c r="F7514" t="s">
        <v>945</v>
      </c>
      <c r="G7514" t="s">
        <v>362</v>
      </c>
      <c r="H7514" t="str">
        <f>VLOOKUP(record[[#This Row],[ProcessSN]],表格2_7[],2,FALSE)</f>
        <v>30-4118-018-450</v>
      </c>
      <c r="I7514" t="str">
        <f>VLOOKUP(record[[#This Row],[ProcessSN]],表格2_7[],3,FALSE)</f>
        <v>#100SHIP</v>
      </c>
      <c r="J7514" t="s">
        <v>600</v>
      </c>
      <c r="K7514" s="195">
        <v>45916.458472222221</v>
      </c>
      <c r="L7514">
        <v>4</v>
      </c>
      <c r="M7514">
        <v>0</v>
      </c>
      <c r="N7514" s="98" t="str">
        <f>IF(record[[#This Row],[Memo]]="Browser:chrome os:android","平板報工",IF(record[[#This Row],[Memo]]=0,"委外",record[[#This Row],[Memo]]))</f>
        <v/>
      </c>
      <c r="O7514" t="s">
        <v>58</v>
      </c>
      <c r="P7514" t="s">
        <v>886</v>
      </c>
      <c r="Q7514" t="s">
        <v>58</v>
      </c>
      <c r="R7514" t="str">
        <f>IFERROR(VLOOKUP(record[[#This Row],[PCUSTID]],廠商[],2,FALSE),"")</f>
        <v/>
      </c>
      <c r="S7514" t="str">
        <f>VLOOKUP(record[[#This Row],[employeeID]],員工[],2,FALSE)</f>
        <v>謝蓁薰</v>
      </c>
    </row>
    <row r="7515" spans="6:19" hidden="1" x14ac:dyDescent="0.25">
      <c r="F7515" t="s">
        <v>1052</v>
      </c>
      <c r="G7515" t="s">
        <v>397</v>
      </c>
      <c r="H7515" t="str">
        <f>VLOOKUP(record[[#This Row],[ProcessSN]],表格2_7[],2,FALSE)</f>
        <v>30-4118-018-550</v>
      </c>
      <c r="I7515" t="str">
        <f>VLOOKUP(record[[#This Row],[ProcessSN]],表格2_7[],3,FALSE)</f>
        <v>#08</v>
      </c>
      <c r="J7515" t="s">
        <v>597</v>
      </c>
      <c r="K7515" s="195">
        <v>45916.438020833331</v>
      </c>
      <c r="L7515">
        <v>313</v>
      </c>
      <c r="M7515">
        <v>0</v>
      </c>
      <c r="N7515" s="98" t="str">
        <f>IF(record[[#This Row],[Memo]]="Browser:chrome os:android","平板報工",IF(record[[#This Row],[Memo]]=0,"委外",record[[#This Row],[Memo]]))</f>
        <v/>
      </c>
      <c r="O7515" t="s">
        <v>58</v>
      </c>
      <c r="P7515" t="s">
        <v>886</v>
      </c>
      <c r="Q7515" t="s">
        <v>287</v>
      </c>
      <c r="R7515" t="str">
        <f>IFERROR(VLOOKUP(record[[#This Row],[PCUSTID]],廠商[],2,FALSE),"")</f>
        <v>泉盛</v>
      </c>
      <c r="S7515" t="str">
        <f>VLOOKUP(record[[#This Row],[employeeID]],員工[],2,FALSE)</f>
        <v>謝蓁薰</v>
      </c>
    </row>
    <row r="7516" spans="6:19" hidden="1" x14ac:dyDescent="0.25">
      <c r="F7516" t="s">
        <v>989</v>
      </c>
      <c r="G7516" t="s">
        <v>471</v>
      </c>
      <c r="H7516" t="str">
        <f>VLOOKUP(record[[#This Row],[ProcessSN]],表格2_7[],2,FALSE)</f>
        <v>30-4118-018-XXX</v>
      </c>
      <c r="I7516" t="str">
        <f>VLOOKUP(record[[#This Row],[ProcessSN]],表格2_7[],3,FALSE)</f>
        <v>#02STOCK</v>
      </c>
      <c r="J7516" t="s">
        <v>592</v>
      </c>
      <c r="K7516" s="195">
        <v>45916.402233796296</v>
      </c>
      <c r="L7516">
        <v>759</v>
      </c>
      <c r="M7516">
        <v>0</v>
      </c>
      <c r="N7516" s="98" t="str">
        <f>IF(record[[#This Row],[Memo]]="Browser:chrome os:android","平板報工",IF(record[[#This Row],[Memo]]=0,"委外",record[[#This Row],[Memo]]))</f>
        <v/>
      </c>
      <c r="O7516" t="s">
        <v>58</v>
      </c>
      <c r="P7516" t="s">
        <v>196</v>
      </c>
      <c r="Q7516" t="s">
        <v>58</v>
      </c>
      <c r="R7516" t="str">
        <f>IFERROR(VLOOKUP(record[[#This Row],[PCUSTID]],廠商[],2,FALSE),"")</f>
        <v/>
      </c>
      <c r="S7516" t="str">
        <f>VLOOKUP(record[[#This Row],[employeeID]],員工[],2,FALSE)</f>
        <v>張淑惠</v>
      </c>
    </row>
    <row r="7517" spans="6:19" hidden="1" x14ac:dyDescent="0.25">
      <c r="F7517" t="s">
        <v>1024</v>
      </c>
      <c r="G7517" t="s">
        <v>420</v>
      </c>
      <c r="H7517" t="str">
        <f>VLOOKUP(record[[#This Row],[ProcessSN]],表格2_7[],2,FALSE)</f>
        <v>30-4118-018-5XX</v>
      </c>
      <c r="I7517" t="str">
        <f>VLOOKUP(record[[#This Row],[ProcessSN]],表格2_7[],3,FALSE)</f>
        <v>#07STOCK</v>
      </c>
      <c r="J7517" t="s">
        <v>592</v>
      </c>
      <c r="K7517" s="195">
        <v>45916.401608796295</v>
      </c>
      <c r="L7517">
        <v>313</v>
      </c>
      <c r="M7517">
        <v>0</v>
      </c>
      <c r="N7517" s="98" t="str">
        <f>IF(record[[#This Row],[Memo]]="Browser:chrome os:android","平板報工",IF(record[[#This Row],[Memo]]=0,"委外",record[[#This Row],[Memo]]))</f>
        <v/>
      </c>
      <c r="O7517" t="s">
        <v>58</v>
      </c>
      <c r="P7517" t="s">
        <v>196</v>
      </c>
      <c r="Q7517" t="s">
        <v>58</v>
      </c>
      <c r="R7517" t="str">
        <f>IFERROR(VLOOKUP(record[[#This Row],[PCUSTID]],廠商[],2,FALSE),"")</f>
        <v/>
      </c>
      <c r="S7517" t="str">
        <f>VLOOKUP(record[[#This Row],[employeeID]],員工[],2,FALSE)</f>
        <v>張淑惠</v>
      </c>
    </row>
    <row r="7518" spans="6:19" hidden="1" x14ac:dyDescent="0.25">
      <c r="F7518" t="s">
        <v>1018</v>
      </c>
      <c r="G7518" t="s">
        <v>420</v>
      </c>
      <c r="H7518" t="str">
        <f>VLOOKUP(record[[#This Row],[ProcessSN]],表格2_7[],2,FALSE)</f>
        <v>30-4118-018-5XX</v>
      </c>
      <c r="I7518" t="str">
        <f>VLOOKUP(record[[#This Row],[ProcessSN]],表格2_7[],3,FALSE)</f>
        <v>#07STOCK</v>
      </c>
      <c r="J7518" t="s">
        <v>592</v>
      </c>
      <c r="K7518" s="195">
        <v>45916.40148148148</v>
      </c>
      <c r="L7518">
        <v>471</v>
      </c>
      <c r="M7518">
        <v>0</v>
      </c>
      <c r="N7518" s="98" t="str">
        <f>IF(record[[#This Row],[Memo]]="Browser:chrome os:android","平板報工",IF(record[[#This Row],[Memo]]=0,"委外",record[[#This Row],[Memo]]))</f>
        <v/>
      </c>
      <c r="O7518" t="s">
        <v>58</v>
      </c>
      <c r="P7518" t="s">
        <v>196</v>
      </c>
      <c r="Q7518" t="s">
        <v>58</v>
      </c>
      <c r="R7518" t="str">
        <f>IFERROR(VLOOKUP(record[[#This Row],[PCUSTID]],廠商[],2,FALSE),"")</f>
        <v/>
      </c>
      <c r="S7518" t="str">
        <f>VLOOKUP(record[[#This Row],[employeeID]],員工[],2,FALSE)</f>
        <v>張淑惠</v>
      </c>
    </row>
    <row r="7519" spans="6:19" hidden="1" x14ac:dyDescent="0.25">
      <c r="F7519" t="s">
        <v>1052</v>
      </c>
      <c r="G7519" t="s">
        <v>396</v>
      </c>
      <c r="H7519" t="str">
        <f>VLOOKUP(record[[#This Row],[ProcessSN]],表格2_7[],2,FALSE)</f>
        <v>30-4118-018-550</v>
      </c>
      <c r="I7519" t="str">
        <f>VLOOKUP(record[[#This Row],[ProcessSN]],表格2_7[],3,FALSE)</f>
        <v>#08PICK</v>
      </c>
      <c r="J7519" t="s">
        <v>582</v>
      </c>
      <c r="K7519" s="195">
        <v>45916.396562499998</v>
      </c>
      <c r="L7519">
        <v>313</v>
      </c>
      <c r="M7519">
        <v>0</v>
      </c>
      <c r="N7519" s="98" t="str">
        <f>IF(record[[#This Row],[Memo]]="Browser:chrome os:android","平板報工",IF(record[[#This Row],[Memo]]=0,"委外",record[[#This Row],[Memo]]))</f>
        <v/>
      </c>
      <c r="O7519" t="s">
        <v>58</v>
      </c>
      <c r="P7519" t="s">
        <v>196</v>
      </c>
      <c r="Q7519" t="s">
        <v>58</v>
      </c>
      <c r="R7519" t="str">
        <f>IFERROR(VLOOKUP(record[[#This Row],[PCUSTID]],廠商[],2,FALSE),"")</f>
        <v/>
      </c>
      <c r="S7519" t="str">
        <f>VLOOKUP(record[[#This Row],[employeeID]],員工[],2,FALSE)</f>
        <v>張淑惠</v>
      </c>
    </row>
    <row r="7520" spans="6:19" hidden="1" x14ac:dyDescent="0.25">
      <c r="F7520" t="s">
        <v>1024</v>
      </c>
      <c r="G7520" t="s">
        <v>419</v>
      </c>
      <c r="H7520" t="str">
        <f>VLOOKUP(record[[#This Row],[ProcessSN]],表格2_7[],2,FALSE)</f>
        <v>30-4118-018-5XX</v>
      </c>
      <c r="I7520" t="str">
        <f>VLOOKUP(record[[#This Row],[ProcessSN]],表格2_7[],3,FALSE)</f>
        <v>#07QC</v>
      </c>
      <c r="J7520" t="s">
        <v>589</v>
      </c>
      <c r="K7520" s="195">
        <v>45916.395185185182</v>
      </c>
      <c r="L7520">
        <v>0</v>
      </c>
      <c r="M7520">
        <v>2</v>
      </c>
      <c r="N7520" s="98" t="str">
        <f>IF(record[[#This Row],[Memo]]="Browser:chrome os:android","平板報工",IF(record[[#This Row],[Memo]]=0,"委外",record[[#This Row],[Memo]]))</f>
        <v>平板報工</v>
      </c>
      <c r="O7520" t="s">
        <v>643</v>
      </c>
      <c r="P7520" t="s">
        <v>141</v>
      </c>
      <c r="Q7520" t="s">
        <v>644</v>
      </c>
      <c r="R7520" t="str">
        <f>IFERROR(VLOOKUP(record[[#This Row],[PCUSTID]],廠商[],2,FALSE),"")</f>
        <v/>
      </c>
      <c r="S7520" t="str">
        <f>VLOOKUP(record[[#This Row],[employeeID]],員工[],2,FALSE)</f>
        <v>蔣梅</v>
      </c>
    </row>
    <row r="7521" spans="6:19" hidden="1" x14ac:dyDescent="0.25">
      <c r="F7521" t="s">
        <v>1024</v>
      </c>
      <c r="G7521" t="s">
        <v>419</v>
      </c>
      <c r="H7521" t="str">
        <f>VLOOKUP(record[[#This Row],[ProcessSN]],表格2_7[],2,FALSE)</f>
        <v>30-4118-018-5XX</v>
      </c>
      <c r="I7521" t="str">
        <f>VLOOKUP(record[[#This Row],[ProcessSN]],表格2_7[],3,FALSE)</f>
        <v>#07QC</v>
      </c>
      <c r="J7521" t="s">
        <v>589</v>
      </c>
      <c r="K7521" s="195">
        <v>45916.394976851851</v>
      </c>
      <c r="L7521">
        <v>313</v>
      </c>
      <c r="M7521">
        <v>0</v>
      </c>
      <c r="N7521" s="98" t="str">
        <f>IF(record[[#This Row],[Memo]]="Browser:chrome os:android","平板報工",IF(record[[#This Row],[Memo]]=0,"委外",record[[#This Row],[Memo]]))</f>
        <v>平板報工</v>
      </c>
      <c r="O7521" t="s">
        <v>643</v>
      </c>
      <c r="P7521" t="s">
        <v>141</v>
      </c>
      <c r="Q7521" t="s">
        <v>644</v>
      </c>
      <c r="R7521" t="str">
        <f>IFERROR(VLOOKUP(record[[#This Row],[PCUSTID]],廠商[],2,FALSE),"")</f>
        <v/>
      </c>
      <c r="S7521" t="str">
        <f>VLOOKUP(record[[#This Row],[employeeID]],員工[],2,FALSE)</f>
        <v>蔣梅</v>
      </c>
    </row>
    <row r="7522" spans="6:19" hidden="1" x14ac:dyDescent="0.25">
      <c r="F7522" t="s">
        <v>1024</v>
      </c>
      <c r="G7522" t="s">
        <v>417</v>
      </c>
      <c r="H7522" t="str">
        <f>VLOOKUP(record[[#This Row],[ProcessSN]],表格2_7[],2,FALSE)</f>
        <v>30-4118-018-5XX</v>
      </c>
      <c r="I7522" t="str">
        <f>VLOOKUP(record[[#This Row],[ProcessSN]],表格2_7[],3,FALSE)</f>
        <v>#06</v>
      </c>
      <c r="J7522" t="s">
        <v>593</v>
      </c>
      <c r="K7522" s="195">
        <v>45916.302685185183</v>
      </c>
      <c r="L7522">
        <v>121</v>
      </c>
      <c r="M7522">
        <v>0</v>
      </c>
      <c r="N7522" s="98" t="str">
        <f>IF(record[[#This Row],[Memo]]="Browser:chrome os:android","平板報工",IF(record[[#This Row],[Memo]]=0,"委外",record[[#This Row],[Memo]]))</f>
        <v/>
      </c>
      <c r="O7522" t="s">
        <v>58</v>
      </c>
      <c r="P7522" t="s">
        <v>135</v>
      </c>
      <c r="Q7522" t="s">
        <v>58</v>
      </c>
      <c r="R7522" t="str">
        <f>IFERROR(VLOOKUP(record[[#This Row],[PCUSTID]],廠商[],2,FALSE),"")</f>
        <v/>
      </c>
      <c r="S7522" t="str">
        <f>VLOOKUP(record[[#This Row],[employeeID]],員工[],2,FALSE)</f>
        <v>阮士文</v>
      </c>
    </row>
    <row r="7523" spans="6:19" hidden="1" x14ac:dyDescent="0.25">
      <c r="F7523" t="s">
        <v>1025</v>
      </c>
      <c r="G7523" t="s">
        <v>448</v>
      </c>
      <c r="H7523" t="str">
        <f>VLOOKUP(record[[#This Row],[ProcessSN]],表格2_7[],2,FALSE)</f>
        <v>30-4118-018-6XX</v>
      </c>
      <c r="I7523" t="str">
        <f>VLOOKUP(record[[#This Row],[ProcessSN]],表格2_7[],3,FALSE)</f>
        <v>#04</v>
      </c>
      <c r="J7523" t="s">
        <v>588</v>
      </c>
      <c r="K7523" s="195">
        <v>45916.30128472222</v>
      </c>
      <c r="L7523">
        <v>135</v>
      </c>
      <c r="M7523">
        <v>0</v>
      </c>
      <c r="N7523" s="98" t="str">
        <f>IF(record[[#This Row],[Memo]]="Browser:chrome os:android","平板報工",IF(record[[#This Row],[Memo]]=0,"委外",record[[#This Row],[Memo]]))</f>
        <v/>
      </c>
      <c r="O7523" t="s">
        <v>58</v>
      </c>
      <c r="P7523" t="s">
        <v>135</v>
      </c>
      <c r="Q7523" t="s">
        <v>58</v>
      </c>
      <c r="R7523" t="str">
        <f>IFERROR(VLOOKUP(record[[#This Row],[PCUSTID]],廠商[],2,FALSE),"")</f>
        <v/>
      </c>
      <c r="S7523" t="str">
        <f>VLOOKUP(record[[#This Row],[employeeID]],員工[],2,FALSE)</f>
        <v>阮士文</v>
      </c>
    </row>
    <row r="7524" spans="6:19" hidden="1" x14ac:dyDescent="0.25">
      <c r="F7524" t="s">
        <v>1024</v>
      </c>
      <c r="G7524" t="s">
        <v>417</v>
      </c>
      <c r="H7524" t="str">
        <f>VLOOKUP(record[[#This Row],[ProcessSN]],表格2_7[],2,FALSE)</f>
        <v>30-4118-018-5XX</v>
      </c>
      <c r="I7524" t="str">
        <f>VLOOKUP(record[[#This Row],[ProcessSN]],表格2_7[],3,FALSE)</f>
        <v>#06</v>
      </c>
      <c r="J7524" t="s">
        <v>593</v>
      </c>
      <c r="K7524" s="195">
        <v>45915.983020833337</v>
      </c>
      <c r="L7524">
        <v>121</v>
      </c>
      <c r="M7524">
        <v>0</v>
      </c>
      <c r="N7524" s="98" t="str">
        <f>IF(record[[#This Row],[Memo]]="Browser:chrome os:android","平板報工",IF(record[[#This Row],[Memo]]=0,"委外",record[[#This Row],[Memo]]))</f>
        <v/>
      </c>
      <c r="O7524" t="s">
        <v>58</v>
      </c>
      <c r="P7524" t="s">
        <v>841</v>
      </c>
      <c r="Q7524" t="s">
        <v>58</v>
      </c>
      <c r="R7524" t="str">
        <f>IFERROR(VLOOKUP(record[[#This Row],[PCUSTID]],廠商[],2,FALSE),"")</f>
        <v/>
      </c>
      <c r="S7524" t="str">
        <f>VLOOKUP(record[[#This Row],[employeeID]],員工[],2,FALSE)</f>
        <v>范氏香</v>
      </c>
    </row>
    <row r="7525" spans="6:19" hidden="1" x14ac:dyDescent="0.25">
      <c r="F7525" t="s">
        <v>1024</v>
      </c>
      <c r="G7525" t="s">
        <v>418</v>
      </c>
      <c r="H7525" t="str">
        <f>VLOOKUP(record[[#This Row],[ProcessSN]],表格2_7[],2,FALSE)</f>
        <v>30-4118-018-5XX</v>
      </c>
      <c r="I7525" t="str">
        <f>VLOOKUP(record[[#This Row],[ProcessSN]],表格2_7[],3,FALSE)</f>
        <v>#07</v>
      </c>
      <c r="J7525" t="s">
        <v>588</v>
      </c>
      <c r="K7525" s="195">
        <v>45915.973773148151</v>
      </c>
      <c r="L7525">
        <v>190</v>
      </c>
      <c r="M7525">
        <v>0</v>
      </c>
      <c r="N7525" s="98" t="str">
        <f>IF(record[[#This Row],[Memo]]="Browser:chrome os:android","平板報工",IF(record[[#This Row],[Memo]]=0,"委外",record[[#This Row],[Memo]]))</f>
        <v/>
      </c>
      <c r="O7525" t="s">
        <v>58</v>
      </c>
      <c r="P7525" t="s">
        <v>89</v>
      </c>
      <c r="Q7525" t="s">
        <v>58</v>
      </c>
      <c r="R7525" t="str">
        <f>IFERROR(VLOOKUP(record[[#This Row],[PCUSTID]],廠商[],2,FALSE),"")</f>
        <v/>
      </c>
      <c r="S7525" t="str">
        <f>VLOOKUP(record[[#This Row],[employeeID]],員工[],2,FALSE)</f>
        <v>李美蓮</v>
      </c>
    </row>
    <row r="7526" spans="6:19" hidden="1" x14ac:dyDescent="0.25">
      <c r="F7526" t="s">
        <v>1024</v>
      </c>
      <c r="G7526" t="s">
        <v>416</v>
      </c>
      <c r="H7526" t="str">
        <f>VLOOKUP(record[[#This Row],[ProcessSN]],表格2_7[],2,FALSE)</f>
        <v>30-4118-018-5XX</v>
      </c>
      <c r="I7526" t="str">
        <f>VLOOKUP(record[[#This Row],[ProcessSN]],表格2_7[],3,FALSE)</f>
        <v>#05</v>
      </c>
      <c r="J7526" t="s">
        <v>588</v>
      </c>
      <c r="K7526" s="195">
        <v>45915.973449074074</v>
      </c>
      <c r="L7526">
        <v>218</v>
      </c>
      <c r="M7526">
        <v>0</v>
      </c>
      <c r="N7526" s="98" t="str">
        <f>IF(record[[#This Row],[Memo]]="Browser:chrome os:android","平板報工",IF(record[[#This Row],[Memo]]=0,"委外",record[[#This Row],[Memo]]))</f>
        <v/>
      </c>
      <c r="O7526" t="s">
        <v>58</v>
      </c>
      <c r="P7526" t="s">
        <v>89</v>
      </c>
      <c r="Q7526" t="s">
        <v>58</v>
      </c>
      <c r="R7526" t="str">
        <f>IFERROR(VLOOKUP(record[[#This Row],[PCUSTID]],廠商[],2,FALSE),"")</f>
        <v/>
      </c>
      <c r="S7526" t="str">
        <f>VLOOKUP(record[[#This Row],[employeeID]],員工[],2,FALSE)</f>
        <v>李美蓮</v>
      </c>
    </row>
    <row r="7527" spans="6:19" hidden="1" x14ac:dyDescent="0.25">
      <c r="F7527" t="s">
        <v>1024</v>
      </c>
      <c r="G7527" t="s">
        <v>415</v>
      </c>
      <c r="H7527" t="str">
        <f>VLOOKUP(record[[#This Row],[ProcessSN]],表格2_7[],2,FALSE)</f>
        <v>30-4118-018-5XX</v>
      </c>
      <c r="I7527" t="str">
        <f>VLOOKUP(record[[#This Row],[ProcessSN]],表格2_7[],3,FALSE)</f>
        <v>#04</v>
      </c>
      <c r="J7527" t="s">
        <v>588</v>
      </c>
      <c r="K7527" s="195">
        <v>45915.971898148149</v>
      </c>
      <c r="L7527">
        <v>116</v>
      </c>
      <c r="M7527">
        <v>0</v>
      </c>
      <c r="N7527" s="98" t="str">
        <f>IF(record[[#This Row],[Memo]]="Browser:chrome os:android","平板報工",IF(record[[#This Row],[Memo]]=0,"委外",record[[#This Row],[Memo]]))</f>
        <v/>
      </c>
      <c r="O7527" t="s">
        <v>58</v>
      </c>
      <c r="P7527" t="s">
        <v>806</v>
      </c>
      <c r="Q7527" t="s">
        <v>58</v>
      </c>
      <c r="R7527" t="str">
        <f>IFERROR(VLOOKUP(record[[#This Row],[PCUSTID]],廠商[],2,FALSE),"")</f>
        <v/>
      </c>
      <c r="S7527" t="str">
        <f>VLOOKUP(record[[#This Row],[employeeID]],員工[],2,FALSE)</f>
        <v>方思緯</v>
      </c>
    </row>
    <row r="7528" spans="6:19" hidden="1" x14ac:dyDescent="0.25">
      <c r="F7528" t="s">
        <v>1051</v>
      </c>
      <c r="G7528" t="s">
        <v>397</v>
      </c>
      <c r="H7528" t="str">
        <f>VLOOKUP(record[[#This Row],[ProcessSN]],表格2_7[],2,FALSE)</f>
        <v>30-4118-018-550</v>
      </c>
      <c r="I7528" t="str">
        <f>VLOOKUP(record[[#This Row],[ProcessSN]],表格2_7[],3,FALSE)</f>
        <v>#08</v>
      </c>
      <c r="J7528" t="s">
        <v>597</v>
      </c>
      <c r="K7528" s="195">
        <v>45915.651250000003</v>
      </c>
      <c r="L7528">
        <v>471</v>
      </c>
      <c r="M7528">
        <v>0</v>
      </c>
      <c r="N7528" s="98" t="str">
        <f>IF(record[[#This Row],[Memo]]="Browser:chrome os:android","平板報工",IF(record[[#This Row],[Memo]]=0,"委外",record[[#This Row],[Memo]]))</f>
        <v/>
      </c>
      <c r="O7528" t="s">
        <v>58</v>
      </c>
      <c r="P7528" t="s">
        <v>186</v>
      </c>
      <c r="Q7528" t="s">
        <v>287</v>
      </c>
      <c r="R7528" t="str">
        <f>IFERROR(VLOOKUP(record[[#This Row],[PCUSTID]],廠商[],2,FALSE),"")</f>
        <v>泉盛</v>
      </c>
      <c r="S7528" t="str">
        <f>VLOOKUP(record[[#This Row],[employeeID]],員工[],2,FALSE)</f>
        <v>許文姍</v>
      </c>
    </row>
    <row r="7529" spans="6:19" hidden="1" x14ac:dyDescent="0.25">
      <c r="F7529" t="s">
        <v>1024</v>
      </c>
      <c r="G7529" t="s">
        <v>417</v>
      </c>
      <c r="H7529" t="str">
        <f>VLOOKUP(record[[#This Row],[ProcessSN]],表格2_7[],2,FALSE)</f>
        <v>30-4118-018-5XX</v>
      </c>
      <c r="I7529" t="str">
        <f>VLOOKUP(record[[#This Row],[ProcessSN]],表格2_7[],3,FALSE)</f>
        <v>#06</v>
      </c>
      <c r="J7529" t="s">
        <v>593</v>
      </c>
      <c r="K7529" s="195">
        <v>45915.632488425923</v>
      </c>
      <c r="L7529">
        <v>120</v>
      </c>
      <c r="M7529">
        <v>1</v>
      </c>
      <c r="N7529" s="98" t="str">
        <f>IF(record[[#This Row],[Memo]]="Browser:chrome os:android","平板報工",IF(record[[#This Row],[Memo]]=0,"委外",record[[#This Row],[Memo]]))</f>
        <v/>
      </c>
      <c r="O7529" t="s">
        <v>58</v>
      </c>
      <c r="P7529" t="s">
        <v>119</v>
      </c>
      <c r="Q7529" t="s">
        <v>58</v>
      </c>
      <c r="R7529" t="str">
        <f>IFERROR(VLOOKUP(record[[#This Row],[PCUSTID]],廠商[],2,FALSE),"")</f>
        <v/>
      </c>
      <c r="S7529" t="str">
        <f>VLOOKUP(record[[#This Row],[employeeID]],員工[],2,FALSE)</f>
        <v>廖俊彥</v>
      </c>
    </row>
    <row r="7530" spans="6:19" hidden="1" x14ac:dyDescent="0.25">
      <c r="F7530" t="s">
        <v>1024</v>
      </c>
      <c r="G7530" t="s">
        <v>416</v>
      </c>
      <c r="H7530" t="str">
        <f>VLOOKUP(record[[#This Row],[ProcessSN]],表格2_7[],2,FALSE)</f>
        <v>30-4118-018-5XX</v>
      </c>
      <c r="I7530" t="str">
        <f>VLOOKUP(record[[#This Row],[ProcessSN]],表格2_7[],3,FALSE)</f>
        <v>#05</v>
      </c>
      <c r="J7530" t="s">
        <v>588</v>
      </c>
      <c r="K7530" s="195">
        <v>45915.632222222222</v>
      </c>
      <c r="L7530">
        <v>274</v>
      </c>
      <c r="M7530">
        <v>0</v>
      </c>
      <c r="N7530" s="98" t="str">
        <f>IF(record[[#This Row],[Memo]]="Browser:chrome os:android","平板報工",IF(record[[#This Row],[Memo]]=0,"委外",record[[#This Row],[Memo]]))</f>
        <v/>
      </c>
      <c r="O7530" t="s">
        <v>58</v>
      </c>
      <c r="P7530" t="s">
        <v>119</v>
      </c>
      <c r="Q7530" t="s">
        <v>58</v>
      </c>
      <c r="R7530" t="str">
        <f>IFERROR(VLOOKUP(record[[#This Row],[PCUSTID]],廠商[],2,FALSE),"")</f>
        <v/>
      </c>
      <c r="S7530" t="str">
        <f>VLOOKUP(record[[#This Row],[employeeID]],員工[],2,FALSE)</f>
        <v>廖俊彥</v>
      </c>
    </row>
    <row r="7531" spans="6:19" hidden="1" x14ac:dyDescent="0.25">
      <c r="F7531" t="s">
        <v>1024</v>
      </c>
      <c r="G7531" t="s">
        <v>415</v>
      </c>
      <c r="H7531" t="str">
        <f>VLOOKUP(record[[#This Row],[ProcessSN]],表格2_7[],2,FALSE)</f>
        <v>30-4118-018-5XX</v>
      </c>
      <c r="I7531" t="str">
        <f>VLOOKUP(record[[#This Row],[ProcessSN]],表格2_7[],3,FALSE)</f>
        <v>#04</v>
      </c>
      <c r="J7531" t="s">
        <v>588</v>
      </c>
      <c r="K7531" s="195">
        <v>45915.632060185184</v>
      </c>
      <c r="L7531">
        <v>126</v>
      </c>
      <c r="M7531">
        <v>0</v>
      </c>
      <c r="N7531" s="98" t="str">
        <f>IF(record[[#This Row],[Memo]]="Browser:chrome os:android","平板報工",IF(record[[#This Row],[Memo]]=0,"委外",record[[#This Row],[Memo]]))</f>
        <v/>
      </c>
      <c r="O7531" t="s">
        <v>58</v>
      </c>
      <c r="P7531" t="s">
        <v>119</v>
      </c>
      <c r="Q7531" t="s">
        <v>58</v>
      </c>
      <c r="R7531" t="str">
        <f>IFERROR(VLOOKUP(record[[#This Row],[PCUSTID]],廠商[],2,FALSE),"")</f>
        <v/>
      </c>
      <c r="S7531" t="str">
        <f>VLOOKUP(record[[#This Row],[employeeID]],員工[],2,FALSE)</f>
        <v>廖俊彥</v>
      </c>
    </row>
    <row r="7532" spans="6:19" hidden="1" x14ac:dyDescent="0.25">
      <c r="F7532" t="s">
        <v>937</v>
      </c>
      <c r="G7532" t="s">
        <v>428</v>
      </c>
      <c r="H7532" t="str">
        <f>VLOOKUP(record[[#This Row],[ProcessSN]],表格2_7[],2,FALSE)</f>
        <v>30-4118-018-600</v>
      </c>
      <c r="I7532" t="str">
        <f>VLOOKUP(record[[#This Row],[ProcessSN]],表格2_7[],3,FALSE)</f>
        <v>#100SHIP</v>
      </c>
      <c r="J7532" t="s">
        <v>600</v>
      </c>
      <c r="K7532" s="195">
        <v>45915.488495370373</v>
      </c>
      <c r="L7532">
        <v>8</v>
      </c>
      <c r="M7532">
        <v>0</v>
      </c>
      <c r="N7532" s="98" t="str">
        <f>IF(record[[#This Row],[Memo]]="Browser:chrome os:android","平板報工",IF(record[[#This Row],[Memo]]=0,"委外",record[[#This Row],[Memo]]))</f>
        <v/>
      </c>
      <c r="O7532" t="s">
        <v>58</v>
      </c>
      <c r="P7532" t="s">
        <v>886</v>
      </c>
      <c r="Q7532" t="s">
        <v>58</v>
      </c>
      <c r="R7532" t="str">
        <f>IFERROR(VLOOKUP(record[[#This Row],[PCUSTID]],廠商[],2,FALSE),"")</f>
        <v/>
      </c>
      <c r="S7532" t="str">
        <f>VLOOKUP(record[[#This Row],[employeeID]],員工[],2,FALSE)</f>
        <v>謝蓁薰</v>
      </c>
    </row>
    <row r="7533" spans="6:19" hidden="1" x14ac:dyDescent="0.25">
      <c r="F7533" t="s">
        <v>951</v>
      </c>
      <c r="G7533" t="s">
        <v>428</v>
      </c>
      <c r="H7533" t="str">
        <f>VLOOKUP(record[[#This Row],[ProcessSN]],表格2_7[],2,FALSE)</f>
        <v>30-4118-018-600</v>
      </c>
      <c r="I7533" t="str">
        <f>VLOOKUP(record[[#This Row],[ProcessSN]],表格2_7[],3,FALSE)</f>
        <v>#100SHIP</v>
      </c>
      <c r="J7533" t="s">
        <v>600</v>
      </c>
      <c r="K7533" s="195">
        <v>45915.488344907404</v>
      </c>
      <c r="L7533">
        <v>2</v>
      </c>
      <c r="M7533">
        <v>0</v>
      </c>
      <c r="N7533" s="98" t="str">
        <f>IF(record[[#This Row],[Memo]]="Browser:chrome os:android","平板報工",IF(record[[#This Row],[Memo]]=0,"委外",record[[#This Row],[Memo]]))</f>
        <v/>
      </c>
      <c r="O7533" t="s">
        <v>58</v>
      </c>
      <c r="P7533" t="s">
        <v>886</v>
      </c>
      <c r="Q7533" t="s">
        <v>58</v>
      </c>
      <c r="R7533" t="str">
        <f>IFERROR(VLOOKUP(record[[#This Row],[PCUSTID]],廠商[],2,FALSE),"")</f>
        <v/>
      </c>
      <c r="S7533" t="str">
        <f>VLOOKUP(record[[#This Row],[employeeID]],員工[],2,FALSE)</f>
        <v>謝蓁薰</v>
      </c>
    </row>
    <row r="7534" spans="6:19" hidden="1" x14ac:dyDescent="0.25">
      <c r="F7534" t="s">
        <v>1035</v>
      </c>
      <c r="G7534" t="s">
        <v>403</v>
      </c>
      <c r="H7534" t="str">
        <f>VLOOKUP(record[[#This Row],[ProcessSN]],表格2_7[],2,FALSE)</f>
        <v>30-4118-018-550</v>
      </c>
      <c r="I7534" t="str">
        <f>VLOOKUP(record[[#This Row],[ProcessSN]],表格2_7[],3,FALSE)</f>
        <v>#100SHIP</v>
      </c>
      <c r="J7534" t="s">
        <v>600</v>
      </c>
      <c r="K7534" s="195">
        <v>45915.48814814815</v>
      </c>
      <c r="L7534">
        <v>31</v>
      </c>
      <c r="M7534">
        <v>0</v>
      </c>
      <c r="N7534" s="98" t="str">
        <f>IF(record[[#This Row],[Memo]]="Browser:chrome os:android","平板報工",IF(record[[#This Row],[Memo]]=0,"委外",record[[#This Row],[Memo]]))</f>
        <v/>
      </c>
      <c r="O7534" t="s">
        <v>58</v>
      </c>
      <c r="P7534" t="s">
        <v>886</v>
      </c>
      <c r="Q7534" t="s">
        <v>58</v>
      </c>
      <c r="R7534" t="str">
        <f>IFERROR(VLOOKUP(record[[#This Row],[PCUSTID]],廠商[],2,FALSE),"")</f>
        <v/>
      </c>
      <c r="S7534" t="str">
        <f>VLOOKUP(record[[#This Row],[employeeID]],員工[],2,FALSE)</f>
        <v>謝蓁薰</v>
      </c>
    </row>
    <row r="7535" spans="6:19" hidden="1" x14ac:dyDescent="0.25">
      <c r="F7535" t="s">
        <v>999</v>
      </c>
      <c r="G7535" t="s">
        <v>403</v>
      </c>
      <c r="H7535" t="str">
        <f>VLOOKUP(record[[#This Row],[ProcessSN]],表格2_7[],2,FALSE)</f>
        <v>30-4118-018-550</v>
      </c>
      <c r="I7535" t="str">
        <f>VLOOKUP(record[[#This Row],[ProcessSN]],表格2_7[],3,FALSE)</f>
        <v>#100SHIP</v>
      </c>
      <c r="J7535" t="s">
        <v>600</v>
      </c>
      <c r="K7535" s="195">
        <v>45915.487962962965</v>
      </c>
      <c r="L7535">
        <v>1</v>
      </c>
      <c r="M7535">
        <v>0</v>
      </c>
      <c r="N7535" s="98" t="str">
        <f>IF(record[[#This Row],[Memo]]="Browser:chrome os:android","平板報工",IF(record[[#This Row],[Memo]]=0,"委外",record[[#This Row],[Memo]]))</f>
        <v/>
      </c>
      <c r="O7535" t="s">
        <v>58</v>
      </c>
      <c r="P7535" t="s">
        <v>886</v>
      </c>
      <c r="Q7535" t="s">
        <v>58</v>
      </c>
      <c r="R7535" t="str">
        <f>IFERROR(VLOOKUP(record[[#This Row],[PCUSTID]],廠商[],2,FALSE),"")</f>
        <v/>
      </c>
      <c r="S7535" t="str">
        <f>VLOOKUP(record[[#This Row],[employeeID]],員工[],2,FALSE)</f>
        <v>謝蓁薰</v>
      </c>
    </row>
    <row r="7536" spans="6:19" hidden="1" x14ac:dyDescent="0.25">
      <c r="F7536" t="s">
        <v>945</v>
      </c>
      <c r="G7536" t="s">
        <v>362</v>
      </c>
      <c r="H7536" t="str">
        <f>VLOOKUP(record[[#This Row],[ProcessSN]],表格2_7[],2,FALSE)</f>
        <v>30-4118-018-450</v>
      </c>
      <c r="I7536" t="str">
        <f>VLOOKUP(record[[#This Row],[ProcessSN]],表格2_7[],3,FALSE)</f>
        <v>#100SHIP</v>
      </c>
      <c r="J7536" t="s">
        <v>600</v>
      </c>
      <c r="K7536" s="195">
        <v>45915.48778935185</v>
      </c>
      <c r="L7536">
        <v>5</v>
      </c>
      <c r="M7536">
        <v>0</v>
      </c>
      <c r="N7536" s="98" t="str">
        <f>IF(record[[#This Row],[Memo]]="Browser:chrome os:android","平板報工",IF(record[[#This Row],[Memo]]=0,"委外",record[[#This Row],[Memo]]))</f>
        <v/>
      </c>
      <c r="O7536" t="s">
        <v>58</v>
      </c>
      <c r="P7536" t="s">
        <v>886</v>
      </c>
      <c r="Q7536" t="s">
        <v>58</v>
      </c>
      <c r="R7536" t="str">
        <f>IFERROR(VLOOKUP(record[[#This Row],[PCUSTID]],廠商[],2,FALSE),"")</f>
        <v/>
      </c>
      <c r="S7536" t="str">
        <f>VLOOKUP(record[[#This Row],[employeeID]],員工[],2,FALSE)</f>
        <v>謝蓁薰</v>
      </c>
    </row>
    <row r="7537" spans="6:19" hidden="1" x14ac:dyDescent="0.25">
      <c r="F7537" t="s">
        <v>942</v>
      </c>
      <c r="G7537" t="s">
        <v>362</v>
      </c>
      <c r="H7537" t="str">
        <f>VLOOKUP(record[[#This Row],[ProcessSN]],表格2_7[],2,FALSE)</f>
        <v>30-4118-018-450</v>
      </c>
      <c r="I7537" t="str">
        <f>VLOOKUP(record[[#This Row],[ProcessSN]],表格2_7[],3,FALSE)</f>
        <v>#100SHIP</v>
      </c>
      <c r="J7537" t="s">
        <v>600</v>
      </c>
      <c r="K7537" s="195">
        <v>45915.487511574072</v>
      </c>
      <c r="L7537">
        <v>8</v>
      </c>
      <c r="M7537">
        <v>0</v>
      </c>
      <c r="N7537" s="98" t="str">
        <f>IF(record[[#This Row],[Memo]]="Browser:chrome os:android","平板報工",IF(record[[#This Row],[Memo]]=0,"委外",record[[#This Row],[Memo]]))</f>
        <v/>
      </c>
      <c r="O7537" t="s">
        <v>58</v>
      </c>
      <c r="P7537" t="s">
        <v>886</v>
      </c>
      <c r="Q7537" t="s">
        <v>58</v>
      </c>
      <c r="R7537" t="str">
        <f>IFERROR(VLOOKUP(record[[#This Row],[PCUSTID]],廠商[],2,FALSE),"")</f>
        <v/>
      </c>
      <c r="S7537" t="str">
        <f>VLOOKUP(record[[#This Row],[employeeID]],員工[],2,FALSE)</f>
        <v>謝蓁薰</v>
      </c>
    </row>
    <row r="7538" spans="6:19" hidden="1" x14ac:dyDescent="0.25">
      <c r="F7538" t="s">
        <v>1018</v>
      </c>
      <c r="G7538" t="s">
        <v>419</v>
      </c>
      <c r="H7538" t="str">
        <f>VLOOKUP(record[[#This Row],[ProcessSN]],表格2_7[],2,FALSE)</f>
        <v>30-4118-018-5XX</v>
      </c>
      <c r="I7538" t="str">
        <f>VLOOKUP(record[[#This Row],[ProcessSN]],表格2_7[],3,FALSE)</f>
        <v>#07QC</v>
      </c>
      <c r="J7538" t="s">
        <v>589</v>
      </c>
      <c r="K7538" s="195">
        <v>45915.459513888891</v>
      </c>
      <c r="L7538">
        <v>471</v>
      </c>
      <c r="M7538">
        <v>0</v>
      </c>
      <c r="N7538" s="98" t="str">
        <f>IF(record[[#This Row],[Memo]]="Browser:chrome os:android","平板報工",IF(record[[#This Row],[Memo]]=0,"委外",record[[#This Row],[Memo]]))</f>
        <v>平板報工</v>
      </c>
      <c r="O7538" t="s">
        <v>643</v>
      </c>
      <c r="P7538" t="s">
        <v>141</v>
      </c>
      <c r="Q7538" t="s">
        <v>644</v>
      </c>
      <c r="R7538" t="str">
        <f>IFERROR(VLOOKUP(record[[#This Row],[PCUSTID]],廠商[],2,FALSE),"")</f>
        <v/>
      </c>
      <c r="S7538" t="str">
        <f>VLOOKUP(record[[#This Row],[employeeID]],員工[],2,FALSE)</f>
        <v>蔣梅</v>
      </c>
    </row>
    <row r="7539" spans="6:19" hidden="1" x14ac:dyDescent="0.25">
      <c r="F7539" t="s">
        <v>1018</v>
      </c>
      <c r="G7539" t="s">
        <v>418</v>
      </c>
      <c r="H7539" t="str">
        <f>VLOOKUP(record[[#This Row],[ProcessSN]],表格2_7[],2,FALSE)</f>
        <v>30-4118-018-5XX</v>
      </c>
      <c r="I7539" t="str">
        <f>VLOOKUP(record[[#This Row],[ProcessSN]],表格2_7[],3,FALSE)</f>
        <v>#07</v>
      </c>
      <c r="J7539" t="s">
        <v>588</v>
      </c>
      <c r="K7539" s="195">
        <v>45915.458356481482</v>
      </c>
      <c r="L7539">
        <v>63</v>
      </c>
      <c r="M7539">
        <v>9</v>
      </c>
      <c r="N7539" s="98" t="str">
        <f>IF(record[[#This Row],[Memo]]="Browser:chrome os:android","平板報工",IF(record[[#This Row],[Memo]]=0,"委外",record[[#This Row],[Memo]]))</f>
        <v/>
      </c>
      <c r="O7539" t="s">
        <v>58</v>
      </c>
      <c r="P7539" t="s">
        <v>119</v>
      </c>
      <c r="Q7539" t="s">
        <v>58</v>
      </c>
      <c r="R7539" t="str">
        <f>IFERROR(VLOOKUP(record[[#This Row],[PCUSTID]],廠商[],2,FALSE),"")</f>
        <v/>
      </c>
      <c r="S7539" t="str">
        <f>VLOOKUP(record[[#This Row],[employeeID]],員工[],2,FALSE)</f>
        <v>廖俊彥</v>
      </c>
    </row>
    <row r="7540" spans="6:19" hidden="1" x14ac:dyDescent="0.25">
      <c r="F7540" t="s">
        <v>1051</v>
      </c>
      <c r="G7540" t="s">
        <v>396</v>
      </c>
      <c r="H7540" t="str">
        <f>VLOOKUP(record[[#This Row],[ProcessSN]],表格2_7[],2,FALSE)</f>
        <v>30-4118-018-550</v>
      </c>
      <c r="I7540" t="str">
        <f>VLOOKUP(record[[#This Row],[ProcessSN]],表格2_7[],3,FALSE)</f>
        <v>#08PICK</v>
      </c>
      <c r="J7540" t="s">
        <v>582</v>
      </c>
      <c r="K7540" s="195">
        <v>45915.450138888889</v>
      </c>
      <c r="L7540">
        <v>471</v>
      </c>
      <c r="M7540">
        <v>0</v>
      </c>
      <c r="N7540" s="98" t="str">
        <f>IF(record[[#This Row],[Memo]]="Browser:chrome os:android","平板報工",IF(record[[#This Row],[Memo]]=0,"委外",record[[#This Row],[Memo]]))</f>
        <v/>
      </c>
      <c r="O7540" t="s">
        <v>58</v>
      </c>
      <c r="P7540" t="s">
        <v>196</v>
      </c>
      <c r="Q7540" t="s">
        <v>58</v>
      </c>
      <c r="R7540" t="str">
        <f>IFERROR(VLOOKUP(record[[#This Row],[PCUSTID]],廠商[],2,FALSE),"")</f>
        <v/>
      </c>
      <c r="S7540" t="str">
        <f>VLOOKUP(record[[#This Row],[employeeID]],員工[],2,FALSE)</f>
        <v>張淑惠</v>
      </c>
    </row>
    <row r="7541" spans="6:19" hidden="1" x14ac:dyDescent="0.25">
      <c r="F7541" t="s">
        <v>1018</v>
      </c>
      <c r="G7541" t="s">
        <v>418</v>
      </c>
      <c r="H7541" t="str">
        <f>VLOOKUP(record[[#This Row],[ProcessSN]],表格2_7[],2,FALSE)</f>
        <v>30-4118-018-5XX</v>
      </c>
      <c r="I7541" t="str">
        <f>VLOOKUP(record[[#This Row],[ProcessSN]],表格2_7[],3,FALSE)</f>
        <v>#07</v>
      </c>
      <c r="J7541" t="s">
        <v>588</v>
      </c>
      <c r="K7541" s="195">
        <v>45915.399340277778</v>
      </c>
      <c r="L7541">
        <v>3</v>
      </c>
      <c r="M7541">
        <v>0</v>
      </c>
      <c r="N7541" s="98" t="str">
        <f>IF(record[[#This Row],[Memo]]="Browser:chrome os:android","平板報工",IF(record[[#This Row],[Memo]]=0,"委外",record[[#This Row],[Memo]]))</f>
        <v/>
      </c>
      <c r="O7541" t="s">
        <v>58</v>
      </c>
      <c r="P7541" t="s">
        <v>119</v>
      </c>
      <c r="Q7541" t="s">
        <v>58</v>
      </c>
      <c r="R7541" t="str">
        <f>IFERROR(VLOOKUP(record[[#This Row],[PCUSTID]],廠商[],2,FALSE),"")</f>
        <v/>
      </c>
      <c r="S7541" t="str">
        <f>VLOOKUP(record[[#This Row],[employeeID]],員工[],2,FALSE)</f>
        <v>廖俊彥</v>
      </c>
    </row>
    <row r="7542" spans="6:19" hidden="1" x14ac:dyDescent="0.25">
      <c r="F7542" t="s">
        <v>1018</v>
      </c>
      <c r="G7542" t="s">
        <v>417</v>
      </c>
      <c r="H7542" t="str">
        <f>VLOOKUP(record[[#This Row],[ProcessSN]],表格2_7[],2,FALSE)</f>
        <v>30-4118-018-5XX</v>
      </c>
      <c r="I7542" t="str">
        <f>VLOOKUP(record[[#This Row],[ProcessSN]],表格2_7[],3,FALSE)</f>
        <v>#06</v>
      </c>
      <c r="J7542" t="s">
        <v>593</v>
      </c>
      <c r="K7542" s="195">
        <v>45915.399201388886</v>
      </c>
      <c r="L7542">
        <v>3</v>
      </c>
      <c r="M7542">
        <v>0</v>
      </c>
      <c r="N7542" s="98" t="str">
        <f>IF(record[[#This Row],[Memo]]="Browser:chrome os:android","平板報工",IF(record[[#This Row],[Memo]]=0,"委外",record[[#This Row],[Memo]]))</f>
        <v/>
      </c>
      <c r="O7542" t="s">
        <v>58</v>
      </c>
      <c r="P7542" t="s">
        <v>119</v>
      </c>
      <c r="Q7542" t="s">
        <v>58</v>
      </c>
      <c r="R7542" t="str">
        <f>IFERROR(VLOOKUP(record[[#This Row],[PCUSTID]],廠商[],2,FALSE),"")</f>
        <v/>
      </c>
      <c r="S7542" t="str">
        <f>VLOOKUP(record[[#This Row],[employeeID]],員工[],2,FALSE)</f>
        <v>廖俊彥</v>
      </c>
    </row>
    <row r="7543" spans="6:19" hidden="1" x14ac:dyDescent="0.25">
      <c r="F7543" t="s">
        <v>1018</v>
      </c>
      <c r="G7543" t="s">
        <v>416</v>
      </c>
      <c r="H7543" t="str">
        <f>VLOOKUP(record[[#This Row],[ProcessSN]],表格2_7[],2,FALSE)</f>
        <v>30-4118-018-5XX</v>
      </c>
      <c r="I7543" t="str">
        <f>VLOOKUP(record[[#This Row],[ProcessSN]],表格2_7[],3,FALSE)</f>
        <v>#05</v>
      </c>
      <c r="J7543" t="s">
        <v>588</v>
      </c>
      <c r="K7543" s="195">
        <v>45915.399085648147</v>
      </c>
      <c r="L7543">
        <v>115</v>
      </c>
      <c r="M7543">
        <v>3</v>
      </c>
      <c r="N7543" s="98" t="str">
        <f>IF(record[[#This Row],[Memo]]="Browser:chrome os:android","平板報工",IF(record[[#This Row],[Memo]]=0,"委外",record[[#This Row],[Memo]]))</f>
        <v/>
      </c>
      <c r="O7543" t="s">
        <v>58</v>
      </c>
      <c r="P7543" t="s">
        <v>119</v>
      </c>
      <c r="Q7543" t="s">
        <v>58</v>
      </c>
      <c r="R7543" t="str">
        <f>IFERROR(VLOOKUP(record[[#This Row],[PCUSTID]],廠商[],2,FALSE),"")</f>
        <v/>
      </c>
      <c r="S7543" t="str">
        <f>VLOOKUP(record[[#This Row],[employeeID]],員工[],2,FALSE)</f>
        <v>廖俊彥</v>
      </c>
    </row>
    <row r="7544" spans="6:19" hidden="1" x14ac:dyDescent="0.25">
      <c r="F7544" t="s">
        <v>1024</v>
      </c>
      <c r="G7544" t="s">
        <v>417</v>
      </c>
      <c r="H7544" t="str">
        <f>VLOOKUP(record[[#This Row],[ProcessSN]],表格2_7[],2,FALSE)</f>
        <v>30-4118-018-5XX</v>
      </c>
      <c r="I7544" t="str">
        <f>VLOOKUP(record[[#This Row],[ProcessSN]],表格2_7[],3,FALSE)</f>
        <v>#06</v>
      </c>
      <c r="J7544" t="s">
        <v>593</v>
      </c>
      <c r="K7544" s="195">
        <v>45913.297060185185</v>
      </c>
      <c r="L7544">
        <v>122</v>
      </c>
      <c r="M7544">
        <v>0</v>
      </c>
      <c r="N7544" s="98" t="str">
        <f>IF(record[[#This Row],[Memo]]="Browser:chrome os:android","平板報工",IF(record[[#This Row],[Memo]]=0,"委外",record[[#This Row],[Memo]]))</f>
        <v/>
      </c>
      <c r="O7544" t="s">
        <v>58</v>
      </c>
      <c r="P7544" t="s">
        <v>135</v>
      </c>
      <c r="Q7544" t="s">
        <v>58</v>
      </c>
      <c r="R7544" t="str">
        <f>IFERROR(VLOOKUP(record[[#This Row],[PCUSTID]],廠商[],2,FALSE),"")</f>
        <v/>
      </c>
      <c r="S7544" t="str">
        <f>VLOOKUP(record[[#This Row],[employeeID]],員工[],2,FALSE)</f>
        <v>阮士文</v>
      </c>
    </row>
    <row r="7545" spans="6:19" hidden="1" x14ac:dyDescent="0.25">
      <c r="F7545" t="s">
        <v>1024</v>
      </c>
      <c r="G7545" t="s">
        <v>415</v>
      </c>
      <c r="H7545" t="str">
        <f>VLOOKUP(record[[#This Row],[ProcessSN]],表格2_7[],2,FALSE)</f>
        <v>30-4118-018-5XX</v>
      </c>
      <c r="I7545" t="str">
        <f>VLOOKUP(record[[#This Row],[ProcessSN]],表格2_7[],3,FALSE)</f>
        <v>#04</v>
      </c>
      <c r="J7545" t="s">
        <v>588</v>
      </c>
      <c r="K7545" s="195">
        <v>45913.288368055553</v>
      </c>
      <c r="L7545">
        <v>132</v>
      </c>
      <c r="M7545">
        <v>0</v>
      </c>
      <c r="N7545" s="98" t="str">
        <f>IF(record[[#This Row],[Memo]]="Browser:chrome os:android","平板報工",IF(record[[#This Row],[Memo]]=0,"委外",record[[#This Row],[Memo]]))</f>
        <v/>
      </c>
      <c r="O7545" t="s">
        <v>58</v>
      </c>
      <c r="P7545" t="s">
        <v>135</v>
      </c>
      <c r="Q7545" t="s">
        <v>58</v>
      </c>
      <c r="R7545" t="str">
        <f>IFERROR(VLOOKUP(record[[#This Row],[PCUSTID]],廠商[],2,FALSE),"")</f>
        <v/>
      </c>
      <c r="S7545" t="str">
        <f>VLOOKUP(record[[#This Row],[employeeID]],員工[],2,FALSE)</f>
        <v>阮士文</v>
      </c>
    </row>
    <row r="7546" spans="6:19" hidden="1" x14ac:dyDescent="0.25">
      <c r="F7546" t="s">
        <v>1024</v>
      </c>
      <c r="G7546" t="s">
        <v>417</v>
      </c>
      <c r="H7546" t="str">
        <f>VLOOKUP(record[[#This Row],[ProcessSN]],表格2_7[],2,FALSE)</f>
        <v>30-4118-018-5XX</v>
      </c>
      <c r="I7546" t="str">
        <f>VLOOKUP(record[[#This Row],[ProcessSN]],表格2_7[],3,FALSE)</f>
        <v>#06</v>
      </c>
      <c r="J7546" t="s">
        <v>593</v>
      </c>
      <c r="K7546" s="195">
        <v>45912.961655092593</v>
      </c>
      <c r="L7546">
        <v>121</v>
      </c>
      <c r="M7546">
        <v>0</v>
      </c>
      <c r="N7546" s="98" t="str">
        <f>IF(record[[#This Row],[Memo]]="Browser:chrome os:android","平板報工",IF(record[[#This Row],[Memo]]=0,"委外",record[[#This Row],[Memo]]))</f>
        <v/>
      </c>
      <c r="O7546" t="s">
        <v>58</v>
      </c>
      <c r="P7546" t="s">
        <v>841</v>
      </c>
      <c r="Q7546" t="s">
        <v>58</v>
      </c>
      <c r="R7546" t="str">
        <f>IFERROR(VLOOKUP(record[[#This Row],[PCUSTID]],廠商[],2,FALSE),"")</f>
        <v/>
      </c>
      <c r="S7546" t="str">
        <f>VLOOKUP(record[[#This Row],[employeeID]],員工[],2,FALSE)</f>
        <v>范氏香</v>
      </c>
    </row>
    <row r="7547" spans="6:19" hidden="1" x14ac:dyDescent="0.25">
      <c r="F7547" t="s">
        <v>1018</v>
      </c>
      <c r="G7547" t="s">
        <v>418</v>
      </c>
      <c r="H7547" t="str">
        <f>VLOOKUP(record[[#This Row],[ProcessSN]],表格2_7[],2,FALSE)</f>
        <v>30-4118-018-5XX</v>
      </c>
      <c r="I7547" t="str">
        <f>VLOOKUP(record[[#This Row],[ProcessSN]],表格2_7[],3,FALSE)</f>
        <v>#07</v>
      </c>
      <c r="J7547" t="s">
        <v>588</v>
      </c>
      <c r="K7547" s="195">
        <v>45912.956620370373</v>
      </c>
      <c r="L7547">
        <v>193</v>
      </c>
      <c r="M7547">
        <v>1</v>
      </c>
      <c r="N7547" s="98" t="str">
        <f>IF(record[[#This Row],[Memo]]="Browser:chrome os:android","平板報工",IF(record[[#This Row],[Memo]]=0,"委外",record[[#This Row],[Memo]]))</f>
        <v/>
      </c>
      <c r="O7547" t="s">
        <v>58</v>
      </c>
      <c r="P7547" t="s">
        <v>89</v>
      </c>
      <c r="Q7547" t="s">
        <v>58</v>
      </c>
      <c r="R7547" t="str">
        <f>IFERROR(VLOOKUP(record[[#This Row],[PCUSTID]],廠商[],2,FALSE),"")</f>
        <v/>
      </c>
      <c r="S7547" t="str">
        <f>VLOOKUP(record[[#This Row],[employeeID]],員工[],2,FALSE)</f>
        <v>李美蓮</v>
      </c>
    </row>
    <row r="7548" spans="6:19" hidden="1" x14ac:dyDescent="0.25">
      <c r="F7548" t="s">
        <v>1024</v>
      </c>
      <c r="G7548" t="s">
        <v>416</v>
      </c>
      <c r="H7548" t="str">
        <f>VLOOKUP(record[[#This Row],[ProcessSN]],表格2_7[],2,FALSE)</f>
        <v>30-4118-018-5XX</v>
      </c>
      <c r="I7548" t="str">
        <f>VLOOKUP(record[[#This Row],[ProcessSN]],表格2_7[],3,FALSE)</f>
        <v>#05</v>
      </c>
      <c r="J7548" t="s">
        <v>588</v>
      </c>
      <c r="K7548" s="195">
        <v>45912.95584490741</v>
      </c>
      <c r="L7548">
        <v>244</v>
      </c>
      <c r="M7548">
        <v>0</v>
      </c>
      <c r="N7548" s="98" t="str">
        <f>IF(record[[#This Row],[Memo]]="Browser:chrome os:android","平板報工",IF(record[[#This Row],[Memo]]=0,"委外",record[[#This Row],[Memo]]))</f>
        <v/>
      </c>
      <c r="O7548" t="s">
        <v>58</v>
      </c>
      <c r="P7548" t="s">
        <v>89</v>
      </c>
      <c r="Q7548" t="s">
        <v>58</v>
      </c>
      <c r="R7548" t="str">
        <f>IFERROR(VLOOKUP(record[[#This Row],[PCUSTID]],廠商[],2,FALSE),"")</f>
        <v/>
      </c>
      <c r="S7548" t="str">
        <f>VLOOKUP(record[[#This Row],[employeeID]],員工[],2,FALSE)</f>
        <v>李美蓮</v>
      </c>
    </row>
    <row r="7549" spans="6:19" hidden="1" x14ac:dyDescent="0.25">
      <c r="F7549" t="s">
        <v>1024</v>
      </c>
      <c r="G7549" t="s">
        <v>415</v>
      </c>
      <c r="H7549" t="str">
        <f>VLOOKUP(record[[#This Row],[ProcessSN]],表格2_7[],2,FALSE)</f>
        <v>30-4118-018-5XX</v>
      </c>
      <c r="I7549" t="str">
        <f>VLOOKUP(record[[#This Row],[ProcessSN]],表格2_7[],3,FALSE)</f>
        <v>#04</v>
      </c>
      <c r="J7549" t="s">
        <v>588</v>
      </c>
      <c r="K7549" s="195">
        <v>45912.95417824074</v>
      </c>
      <c r="L7549">
        <v>130</v>
      </c>
      <c r="M7549">
        <v>0</v>
      </c>
      <c r="N7549" s="98" t="str">
        <f>IF(record[[#This Row],[Memo]]="Browser:chrome os:android","平板報工",IF(record[[#This Row],[Memo]]=0,"委外",record[[#This Row],[Memo]]))</f>
        <v/>
      </c>
      <c r="O7549" t="s">
        <v>58</v>
      </c>
      <c r="P7549" t="s">
        <v>806</v>
      </c>
      <c r="Q7549" t="s">
        <v>58</v>
      </c>
      <c r="R7549" t="str">
        <f>IFERROR(VLOOKUP(record[[#This Row],[PCUSTID]],廠商[],2,FALSE),"")</f>
        <v/>
      </c>
      <c r="S7549" t="str">
        <f>VLOOKUP(record[[#This Row],[employeeID]],員工[],2,FALSE)</f>
        <v>方思緯</v>
      </c>
    </row>
    <row r="7550" spans="6:19" hidden="1" x14ac:dyDescent="0.25">
      <c r="F7550" t="s">
        <v>989</v>
      </c>
      <c r="G7550" t="s">
        <v>470</v>
      </c>
      <c r="H7550" t="str">
        <f>VLOOKUP(record[[#This Row],[ProcessSN]],表格2_7[],2,FALSE)</f>
        <v>30-4118-018-XXX</v>
      </c>
      <c r="I7550" t="str">
        <f>VLOOKUP(record[[#This Row],[ProcessSN]],表格2_7[],3,FALSE)</f>
        <v>#02IQC</v>
      </c>
      <c r="J7550" t="s">
        <v>583</v>
      </c>
      <c r="K7550" s="195">
        <v>45912.73060185185</v>
      </c>
      <c r="L7550">
        <v>759</v>
      </c>
      <c r="M7550">
        <v>0</v>
      </c>
      <c r="N7550" s="98" t="str">
        <f>IF(record[[#This Row],[Memo]]="Browser:chrome os:android","平板報工",IF(record[[#This Row],[Memo]]=0,"委外",record[[#This Row],[Memo]]))</f>
        <v/>
      </c>
      <c r="O7550" t="s">
        <v>58</v>
      </c>
      <c r="P7550" t="s">
        <v>109</v>
      </c>
      <c r="Q7550" t="s">
        <v>58</v>
      </c>
      <c r="R7550" t="str">
        <f>IFERROR(VLOOKUP(record[[#This Row],[PCUSTID]],廠商[],2,FALSE),"")</f>
        <v/>
      </c>
      <c r="S7550" t="str">
        <f>VLOOKUP(record[[#This Row],[employeeID]],員工[],2,FALSE)</f>
        <v>裴氏璧鳳</v>
      </c>
    </row>
    <row r="7551" spans="6:19" hidden="1" x14ac:dyDescent="0.25">
      <c r="F7551" t="s">
        <v>1024</v>
      </c>
      <c r="G7551" t="s">
        <v>415</v>
      </c>
      <c r="H7551" t="str">
        <f>VLOOKUP(record[[#This Row],[ProcessSN]],表格2_7[],2,FALSE)</f>
        <v>30-4118-018-5XX</v>
      </c>
      <c r="I7551" t="str">
        <f>VLOOKUP(record[[#This Row],[ProcessSN]],表格2_7[],3,FALSE)</f>
        <v>#04</v>
      </c>
      <c r="J7551" t="s">
        <v>588</v>
      </c>
      <c r="K7551" s="195">
        <v>45912.663506944446</v>
      </c>
      <c r="L7551">
        <v>146</v>
      </c>
      <c r="M7551">
        <v>0</v>
      </c>
      <c r="N7551" s="98" t="str">
        <f>IF(record[[#This Row],[Memo]]="Browser:chrome os:android","平板報工",IF(record[[#This Row],[Memo]]=0,"委外",record[[#This Row],[Memo]]))</f>
        <v/>
      </c>
      <c r="O7551" t="s">
        <v>58</v>
      </c>
      <c r="P7551" t="s">
        <v>101</v>
      </c>
      <c r="Q7551" t="s">
        <v>58</v>
      </c>
      <c r="R7551" t="str">
        <f>IFERROR(VLOOKUP(record[[#This Row],[PCUSTID]],廠商[],2,FALSE),"")</f>
        <v/>
      </c>
      <c r="S7551" t="str">
        <f>VLOOKUP(record[[#This Row],[employeeID]],員工[],2,FALSE)</f>
        <v>陳氏絨</v>
      </c>
    </row>
    <row r="7552" spans="6:19" hidden="1" x14ac:dyDescent="0.25">
      <c r="F7552" t="s">
        <v>1018</v>
      </c>
      <c r="G7552" t="s">
        <v>418</v>
      </c>
      <c r="H7552" t="str">
        <f>VLOOKUP(record[[#This Row],[ProcessSN]],表格2_7[],2,FALSE)</f>
        <v>30-4118-018-5XX</v>
      </c>
      <c r="I7552" t="str">
        <f>VLOOKUP(record[[#This Row],[ProcessSN]],表格2_7[],3,FALSE)</f>
        <v>#07</v>
      </c>
      <c r="J7552" t="s">
        <v>588</v>
      </c>
      <c r="K7552" s="195">
        <v>45912.655312499999</v>
      </c>
      <c r="L7552">
        <v>220</v>
      </c>
      <c r="M7552">
        <v>3</v>
      </c>
      <c r="N7552" s="98" t="str">
        <f>IF(record[[#This Row],[Memo]]="Browser:chrome os:android","平板報工",IF(record[[#This Row],[Memo]]=0,"委外",record[[#This Row],[Memo]]))</f>
        <v/>
      </c>
      <c r="O7552" t="s">
        <v>58</v>
      </c>
      <c r="P7552" t="s">
        <v>101</v>
      </c>
      <c r="Q7552" t="s">
        <v>58</v>
      </c>
      <c r="R7552" t="str">
        <f>IFERROR(VLOOKUP(record[[#This Row],[PCUSTID]],廠商[],2,FALSE),"")</f>
        <v/>
      </c>
      <c r="S7552" t="str">
        <f>VLOOKUP(record[[#This Row],[employeeID]],員工[],2,FALSE)</f>
        <v>陳氏絨</v>
      </c>
    </row>
    <row r="7553" spans="6:19" hidden="1" x14ac:dyDescent="0.25">
      <c r="F7553" t="s">
        <v>1024</v>
      </c>
      <c r="G7553" t="s">
        <v>416</v>
      </c>
      <c r="H7553" t="str">
        <f>VLOOKUP(record[[#This Row],[ProcessSN]],表格2_7[],2,FALSE)</f>
        <v>30-4118-018-5XX</v>
      </c>
      <c r="I7553" t="str">
        <f>VLOOKUP(record[[#This Row],[ProcessSN]],表格2_7[],3,FALSE)</f>
        <v>#05</v>
      </c>
      <c r="J7553" t="s">
        <v>588</v>
      </c>
      <c r="K7553" s="195">
        <v>45912.654513888891</v>
      </c>
      <c r="L7553">
        <v>260</v>
      </c>
      <c r="M7553">
        <v>0</v>
      </c>
      <c r="N7553" s="98" t="str">
        <f>IF(record[[#This Row],[Memo]]="Browser:chrome os:android","平板報工",IF(record[[#This Row],[Memo]]=0,"委外",record[[#This Row],[Memo]]))</f>
        <v/>
      </c>
      <c r="O7553" t="s">
        <v>58</v>
      </c>
      <c r="P7553" t="s">
        <v>101</v>
      </c>
      <c r="Q7553" t="s">
        <v>58</v>
      </c>
      <c r="R7553" t="str">
        <f>IFERROR(VLOOKUP(record[[#This Row],[PCUSTID]],廠商[],2,FALSE),"")</f>
        <v/>
      </c>
      <c r="S7553" t="str">
        <f>VLOOKUP(record[[#This Row],[employeeID]],員工[],2,FALSE)</f>
        <v>陳氏絨</v>
      </c>
    </row>
    <row r="7554" spans="6:19" hidden="1" x14ac:dyDescent="0.25">
      <c r="F7554" t="s">
        <v>1024</v>
      </c>
      <c r="G7554" t="s">
        <v>417</v>
      </c>
      <c r="H7554" t="str">
        <f>VLOOKUP(record[[#This Row],[ProcessSN]],表格2_7[],2,FALSE)</f>
        <v>30-4118-018-5XX</v>
      </c>
      <c r="I7554" t="str">
        <f>VLOOKUP(record[[#This Row],[ProcessSN]],表格2_7[],3,FALSE)</f>
        <v>#06</v>
      </c>
      <c r="J7554" t="s">
        <v>593</v>
      </c>
      <c r="K7554" s="195">
        <v>45912.621365740742</v>
      </c>
      <c r="L7554">
        <v>100</v>
      </c>
      <c r="M7554">
        <v>1</v>
      </c>
      <c r="N7554" s="98" t="str">
        <f>IF(record[[#This Row],[Memo]]="Browser:chrome os:android","平板報工",IF(record[[#This Row],[Memo]]=0,"委外",record[[#This Row],[Memo]]))</f>
        <v>平板報工</v>
      </c>
      <c r="O7554" t="s">
        <v>643</v>
      </c>
      <c r="P7554" t="s">
        <v>101</v>
      </c>
      <c r="Q7554" t="s">
        <v>644</v>
      </c>
      <c r="R7554" t="str">
        <f>IFERROR(VLOOKUP(record[[#This Row],[PCUSTID]],廠商[],2,FALSE),"")</f>
        <v/>
      </c>
      <c r="S7554" t="str">
        <f>VLOOKUP(record[[#This Row],[employeeID]],員工[],2,FALSE)</f>
        <v>陳氏絨</v>
      </c>
    </row>
    <row r="7555" spans="6:19" hidden="1" x14ac:dyDescent="0.25">
      <c r="F7555" t="s">
        <v>989</v>
      </c>
      <c r="G7555" t="s">
        <v>471</v>
      </c>
      <c r="H7555" t="str">
        <f>VLOOKUP(record[[#This Row],[ProcessSN]],表格2_7[],2,FALSE)</f>
        <v>30-4118-018-XXX</v>
      </c>
      <c r="I7555" t="str">
        <f>VLOOKUP(record[[#This Row],[ProcessSN]],表格2_7[],3,FALSE)</f>
        <v>#02STOCK</v>
      </c>
      <c r="J7555" t="s">
        <v>592</v>
      </c>
      <c r="K7555" s="195">
        <v>45912.611076388886</v>
      </c>
      <c r="L7555">
        <v>1176</v>
      </c>
      <c r="M7555">
        <v>0</v>
      </c>
      <c r="N7555" s="98" t="str">
        <f>IF(record[[#This Row],[Memo]]="Browser:chrome os:android","平板報工",IF(record[[#This Row],[Memo]]=0,"委外",record[[#This Row],[Memo]]))</f>
        <v/>
      </c>
      <c r="O7555" t="s">
        <v>58</v>
      </c>
      <c r="P7555" t="s">
        <v>196</v>
      </c>
      <c r="Q7555" t="s">
        <v>58</v>
      </c>
      <c r="R7555" t="str">
        <f>IFERROR(VLOOKUP(record[[#This Row],[PCUSTID]],廠商[],2,FALSE),"")</f>
        <v/>
      </c>
      <c r="S7555" t="str">
        <f>VLOOKUP(record[[#This Row],[employeeID]],員工[],2,FALSE)</f>
        <v>張淑惠</v>
      </c>
    </row>
    <row r="7556" spans="6:19" hidden="1" x14ac:dyDescent="0.25">
      <c r="F7556" t="s">
        <v>1048</v>
      </c>
      <c r="G7556" t="s">
        <v>397</v>
      </c>
      <c r="H7556" t="str">
        <f>VLOOKUP(record[[#This Row],[ProcessSN]],表格2_7[],2,FALSE)</f>
        <v>30-4118-018-550</v>
      </c>
      <c r="I7556" t="str">
        <f>VLOOKUP(record[[#This Row],[ProcessSN]],表格2_7[],3,FALSE)</f>
        <v>#08</v>
      </c>
      <c r="J7556" t="s">
        <v>597</v>
      </c>
      <c r="K7556" s="195">
        <v>45912.574988425928</v>
      </c>
      <c r="L7556">
        <v>326</v>
      </c>
      <c r="M7556">
        <v>0</v>
      </c>
      <c r="N7556" s="98" t="str">
        <f>IF(record[[#This Row],[Memo]]="Browser:chrome os:android","平板報工",IF(record[[#This Row],[Memo]]=0,"委外",record[[#This Row],[Memo]]))</f>
        <v/>
      </c>
      <c r="O7556" t="s">
        <v>58</v>
      </c>
      <c r="P7556" t="s">
        <v>886</v>
      </c>
      <c r="Q7556" t="s">
        <v>287</v>
      </c>
      <c r="R7556" t="str">
        <f>IFERROR(VLOOKUP(record[[#This Row],[PCUSTID]],廠商[],2,FALSE),"")</f>
        <v>泉盛</v>
      </c>
      <c r="S7556" t="str">
        <f>VLOOKUP(record[[#This Row],[employeeID]],員工[],2,FALSE)</f>
        <v>謝蓁薰</v>
      </c>
    </row>
    <row r="7557" spans="6:19" hidden="1" x14ac:dyDescent="0.25">
      <c r="F7557" t="s">
        <v>989</v>
      </c>
      <c r="G7557" t="s">
        <v>469</v>
      </c>
      <c r="H7557" t="str">
        <f>VLOOKUP(record[[#This Row],[ProcessSN]],表格2_7[],2,FALSE)</f>
        <v>30-4118-018-XXX</v>
      </c>
      <c r="I7557" t="str">
        <f>VLOOKUP(record[[#This Row],[ProcessSN]],表格2_7[],3,FALSE)</f>
        <v>#02RCV</v>
      </c>
      <c r="J7557" t="s">
        <v>591</v>
      </c>
      <c r="K7557" s="195">
        <v>45912.477303240739</v>
      </c>
      <c r="L7557">
        <v>0</v>
      </c>
      <c r="M7557">
        <v>1</v>
      </c>
      <c r="N7557" s="98" t="str">
        <f>IF(record[[#This Row],[Memo]]="Browser:chrome os:android","平板報工",IF(record[[#This Row],[Memo]]=0,"委外",record[[#This Row],[Memo]]))</f>
        <v/>
      </c>
      <c r="O7557" t="s">
        <v>58</v>
      </c>
      <c r="P7557" t="s">
        <v>886</v>
      </c>
      <c r="Q7557" t="s">
        <v>58</v>
      </c>
      <c r="R7557" t="str">
        <f>IFERROR(VLOOKUP(record[[#This Row],[PCUSTID]],廠商[],2,FALSE),"")</f>
        <v/>
      </c>
      <c r="S7557" t="str">
        <f>VLOOKUP(record[[#This Row],[employeeID]],員工[],2,FALSE)</f>
        <v>謝蓁薰</v>
      </c>
    </row>
    <row r="7558" spans="6:19" hidden="1" x14ac:dyDescent="0.25">
      <c r="F7558" t="s">
        <v>989</v>
      </c>
      <c r="G7558" t="s">
        <v>469</v>
      </c>
      <c r="H7558" t="str">
        <f>VLOOKUP(record[[#This Row],[ProcessSN]],表格2_7[],2,FALSE)</f>
        <v>30-4118-018-XXX</v>
      </c>
      <c r="I7558" t="str">
        <f>VLOOKUP(record[[#This Row],[ProcessSN]],表格2_7[],3,FALSE)</f>
        <v>#02RCV</v>
      </c>
      <c r="J7558" t="s">
        <v>591</v>
      </c>
      <c r="K7558" s="195">
        <v>45912.477175925924</v>
      </c>
      <c r="L7558">
        <v>759</v>
      </c>
      <c r="M7558">
        <v>0</v>
      </c>
      <c r="N7558" s="98" t="str">
        <f>IF(record[[#This Row],[Memo]]="Browser:chrome os:android","平板報工",IF(record[[#This Row],[Memo]]=0,"委外",record[[#This Row],[Memo]]))</f>
        <v/>
      </c>
      <c r="O7558" t="s">
        <v>58</v>
      </c>
      <c r="P7558" t="s">
        <v>886</v>
      </c>
      <c r="Q7558" t="s">
        <v>58</v>
      </c>
      <c r="R7558" t="str">
        <f>IFERROR(VLOOKUP(record[[#This Row],[PCUSTID]],廠商[],2,FALSE),"")</f>
        <v/>
      </c>
      <c r="S7558" t="str">
        <f>VLOOKUP(record[[#This Row],[employeeID]],員工[],2,FALSE)</f>
        <v>謝蓁薰</v>
      </c>
    </row>
    <row r="7559" spans="6:19" hidden="1" x14ac:dyDescent="0.25">
      <c r="F7559" t="s">
        <v>1024</v>
      </c>
      <c r="G7559" t="s">
        <v>420</v>
      </c>
      <c r="H7559" t="str">
        <f>VLOOKUP(record[[#This Row],[ProcessSN]],表格2_7[],2,FALSE)</f>
        <v>30-4118-018-5XX</v>
      </c>
      <c r="I7559" t="str">
        <f>VLOOKUP(record[[#This Row],[ProcessSN]],表格2_7[],3,FALSE)</f>
        <v>#07STOCK</v>
      </c>
      <c r="J7559" t="s">
        <v>592</v>
      </c>
      <c r="K7559" s="195">
        <v>45912.426782407405</v>
      </c>
      <c r="L7559">
        <v>486</v>
      </c>
      <c r="M7559">
        <v>0</v>
      </c>
      <c r="N7559" s="98" t="str">
        <f>IF(record[[#This Row],[Memo]]="Browser:chrome os:android","平板報工",IF(record[[#This Row],[Memo]]=0,"委外",record[[#This Row],[Memo]]))</f>
        <v/>
      </c>
      <c r="O7559" t="s">
        <v>58</v>
      </c>
      <c r="P7559" t="s">
        <v>196</v>
      </c>
      <c r="Q7559" t="s">
        <v>58</v>
      </c>
      <c r="R7559" t="str">
        <f>IFERROR(VLOOKUP(record[[#This Row],[PCUSTID]],廠商[],2,FALSE),"")</f>
        <v/>
      </c>
      <c r="S7559" t="str">
        <f>VLOOKUP(record[[#This Row],[employeeID]],員工[],2,FALSE)</f>
        <v>張淑惠</v>
      </c>
    </row>
    <row r="7560" spans="6:19" hidden="1" x14ac:dyDescent="0.25">
      <c r="F7560" t="s">
        <v>1048</v>
      </c>
      <c r="G7560" t="s">
        <v>396</v>
      </c>
      <c r="H7560" t="str">
        <f>VLOOKUP(record[[#This Row],[ProcessSN]],表格2_7[],2,FALSE)</f>
        <v>30-4118-018-550</v>
      </c>
      <c r="I7560" t="str">
        <f>VLOOKUP(record[[#This Row],[ProcessSN]],表格2_7[],3,FALSE)</f>
        <v>#08PICK</v>
      </c>
      <c r="J7560" t="s">
        <v>582</v>
      </c>
      <c r="K7560" s="195">
        <v>45912.425763888888</v>
      </c>
      <c r="L7560">
        <v>326</v>
      </c>
      <c r="M7560">
        <v>0</v>
      </c>
      <c r="N7560" s="98" t="str">
        <f>IF(record[[#This Row],[Memo]]="Browser:chrome os:android","平板報工",IF(record[[#This Row],[Memo]]=0,"委外",record[[#This Row],[Memo]]))</f>
        <v/>
      </c>
      <c r="O7560" t="s">
        <v>58</v>
      </c>
      <c r="P7560" t="s">
        <v>196</v>
      </c>
      <c r="Q7560" t="s">
        <v>58</v>
      </c>
      <c r="R7560" t="str">
        <f>IFERROR(VLOOKUP(record[[#This Row],[PCUSTID]],廠商[],2,FALSE),"")</f>
        <v/>
      </c>
      <c r="S7560" t="str">
        <f>VLOOKUP(record[[#This Row],[employeeID]],員工[],2,FALSE)</f>
        <v>張淑惠</v>
      </c>
    </row>
    <row r="7561" spans="6:19" hidden="1" x14ac:dyDescent="0.25">
      <c r="F7561" t="s">
        <v>1024</v>
      </c>
      <c r="G7561" t="s">
        <v>419</v>
      </c>
      <c r="H7561" t="str">
        <f>VLOOKUP(record[[#This Row],[ProcessSN]],表格2_7[],2,FALSE)</f>
        <v>30-4118-018-5XX</v>
      </c>
      <c r="I7561" t="str">
        <f>VLOOKUP(record[[#This Row],[ProcessSN]],表格2_7[],3,FALSE)</f>
        <v>#07QC</v>
      </c>
      <c r="J7561" t="s">
        <v>589</v>
      </c>
      <c r="K7561" s="195">
        <v>45912.425682870373</v>
      </c>
      <c r="L7561">
        <v>0</v>
      </c>
      <c r="M7561">
        <v>1</v>
      </c>
      <c r="N7561" s="98" t="str">
        <f>IF(record[[#This Row],[Memo]]="Browser:chrome os:android","平板報工",IF(record[[#This Row],[Memo]]=0,"委外",record[[#This Row],[Memo]]))</f>
        <v>平板報工</v>
      </c>
      <c r="O7561" t="s">
        <v>643</v>
      </c>
      <c r="P7561" t="s">
        <v>141</v>
      </c>
      <c r="Q7561" t="s">
        <v>644</v>
      </c>
      <c r="R7561" t="str">
        <f>IFERROR(VLOOKUP(record[[#This Row],[PCUSTID]],廠商[],2,FALSE),"")</f>
        <v/>
      </c>
      <c r="S7561" t="str">
        <f>VLOOKUP(record[[#This Row],[employeeID]],員工[],2,FALSE)</f>
        <v>蔣梅</v>
      </c>
    </row>
    <row r="7562" spans="6:19" hidden="1" x14ac:dyDescent="0.25">
      <c r="F7562" t="s">
        <v>1024</v>
      </c>
      <c r="G7562" t="s">
        <v>419</v>
      </c>
      <c r="H7562" t="str">
        <f>VLOOKUP(record[[#This Row],[ProcessSN]],表格2_7[],2,FALSE)</f>
        <v>30-4118-018-5XX</v>
      </c>
      <c r="I7562" t="str">
        <f>VLOOKUP(record[[#This Row],[ProcessSN]],表格2_7[],3,FALSE)</f>
        <v>#07QC</v>
      </c>
      <c r="J7562" t="s">
        <v>589</v>
      </c>
      <c r="K7562" s="195">
        <v>45912.425474537034</v>
      </c>
      <c r="L7562">
        <v>326</v>
      </c>
      <c r="M7562">
        <v>0</v>
      </c>
      <c r="N7562" s="98" t="str">
        <f>IF(record[[#This Row],[Memo]]="Browser:chrome os:android","平板報工",IF(record[[#This Row],[Memo]]=0,"委外",record[[#This Row],[Memo]]))</f>
        <v>平板報工</v>
      </c>
      <c r="O7562" t="s">
        <v>643</v>
      </c>
      <c r="P7562" t="s">
        <v>141</v>
      </c>
      <c r="Q7562" t="s">
        <v>644</v>
      </c>
      <c r="R7562" t="str">
        <f>IFERROR(VLOOKUP(record[[#This Row],[PCUSTID]],廠商[],2,FALSE),"")</f>
        <v/>
      </c>
      <c r="S7562" t="str">
        <f>VLOOKUP(record[[#This Row],[employeeID]],員工[],2,FALSE)</f>
        <v>蔣梅</v>
      </c>
    </row>
    <row r="7563" spans="6:19" hidden="1" x14ac:dyDescent="0.25">
      <c r="F7563" t="s">
        <v>1024</v>
      </c>
      <c r="G7563" t="s">
        <v>417</v>
      </c>
      <c r="H7563" t="str">
        <f>VLOOKUP(record[[#This Row],[ProcessSN]],表格2_7[],2,FALSE)</f>
        <v>30-4118-018-5XX</v>
      </c>
      <c r="I7563" t="str">
        <f>VLOOKUP(record[[#This Row],[ProcessSN]],表格2_7[],3,FALSE)</f>
        <v>#06</v>
      </c>
      <c r="J7563" t="s">
        <v>593</v>
      </c>
      <c r="K7563" s="195">
        <v>45912.302152777775</v>
      </c>
      <c r="L7563">
        <v>123</v>
      </c>
      <c r="M7563">
        <v>0</v>
      </c>
      <c r="N7563" s="98" t="str">
        <f>IF(record[[#This Row],[Memo]]="Browser:chrome os:android","平板報工",IF(record[[#This Row],[Memo]]=0,"委外",record[[#This Row],[Memo]]))</f>
        <v/>
      </c>
      <c r="O7563" t="s">
        <v>58</v>
      </c>
      <c r="P7563" t="s">
        <v>135</v>
      </c>
      <c r="Q7563" t="s">
        <v>58</v>
      </c>
      <c r="R7563" t="str">
        <f>IFERROR(VLOOKUP(record[[#This Row],[PCUSTID]],廠商[],2,FALSE),"")</f>
        <v/>
      </c>
      <c r="S7563" t="str">
        <f>VLOOKUP(record[[#This Row],[employeeID]],員工[],2,FALSE)</f>
        <v>阮士文</v>
      </c>
    </row>
    <row r="7564" spans="6:19" hidden="1" x14ac:dyDescent="0.25">
      <c r="F7564" t="s">
        <v>1024</v>
      </c>
      <c r="G7564" t="s">
        <v>415</v>
      </c>
      <c r="H7564" t="str">
        <f>VLOOKUP(record[[#This Row],[ProcessSN]],表格2_7[],2,FALSE)</f>
        <v>30-4118-018-5XX</v>
      </c>
      <c r="I7564" t="str">
        <f>VLOOKUP(record[[#This Row],[ProcessSN]],表格2_7[],3,FALSE)</f>
        <v>#04</v>
      </c>
      <c r="J7564" t="s">
        <v>588</v>
      </c>
      <c r="K7564" s="195">
        <v>45912.299108796295</v>
      </c>
      <c r="L7564">
        <v>139</v>
      </c>
      <c r="M7564">
        <v>0</v>
      </c>
      <c r="N7564" s="98" t="str">
        <f>IF(record[[#This Row],[Memo]]="Browser:chrome os:android","平板報工",IF(record[[#This Row],[Memo]]=0,"委外",record[[#This Row],[Memo]]))</f>
        <v/>
      </c>
      <c r="O7564" t="s">
        <v>58</v>
      </c>
      <c r="P7564" t="s">
        <v>135</v>
      </c>
      <c r="Q7564" t="s">
        <v>58</v>
      </c>
      <c r="R7564" t="str">
        <f>IFERROR(VLOOKUP(record[[#This Row],[PCUSTID]],廠商[],2,FALSE),"")</f>
        <v/>
      </c>
      <c r="S7564" t="str">
        <f>VLOOKUP(record[[#This Row],[employeeID]],員工[],2,FALSE)</f>
        <v>阮士文</v>
      </c>
    </row>
    <row r="7565" spans="6:19" hidden="1" x14ac:dyDescent="0.25">
      <c r="F7565" t="s">
        <v>1024</v>
      </c>
      <c r="G7565" t="s">
        <v>415</v>
      </c>
      <c r="H7565" t="str">
        <f>VLOOKUP(record[[#This Row],[ProcessSN]],表格2_7[],2,FALSE)</f>
        <v>30-4118-018-5XX</v>
      </c>
      <c r="I7565" t="str">
        <f>VLOOKUP(record[[#This Row],[ProcessSN]],表格2_7[],3,FALSE)</f>
        <v>#04</v>
      </c>
      <c r="J7565" t="s">
        <v>588</v>
      </c>
      <c r="K7565" s="195">
        <v>45911.977592592593</v>
      </c>
      <c r="L7565">
        <v>135</v>
      </c>
      <c r="M7565">
        <v>0</v>
      </c>
      <c r="N7565" s="98" t="str">
        <f>IF(record[[#This Row],[Memo]]="Browser:chrome os:android","平板報工",IF(record[[#This Row],[Memo]]=0,"委外",record[[#This Row],[Memo]]))</f>
        <v/>
      </c>
      <c r="O7565" t="s">
        <v>58</v>
      </c>
      <c r="P7565" t="s">
        <v>806</v>
      </c>
      <c r="Q7565" t="s">
        <v>58</v>
      </c>
      <c r="R7565" t="str">
        <f>IFERROR(VLOOKUP(record[[#This Row],[PCUSTID]],廠商[],2,FALSE),"")</f>
        <v/>
      </c>
      <c r="S7565" t="str">
        <f>VLOOKUP(record[[#This Row],[employeeID]],員工[],2,FALSE)</f>
        <v>方思緯</v>
      </c>
    </row>
    <row r="7566" spans="6:19" hidden="1" x14ac:dyDescent="0.25">
      <c r="F7566" t="s">
        <v>1024</v>
      </c>
      <c r="G7566" t="s">
        <v>417</v>
      </c>
      <c r="H7566" t="str">
        <f>VLOOKUP(record[[#This Row],[ProcessSN]],表格2_7[],2,FALSE)</f>
        <v>30-4118-018-5XX</v>
      </c>
      <c r="I7566" t="str">
        <f>VLOOKUP(record[[#This Row],[ProcessSN]],表格2_7[],3,FALSE)</f>
        <v>#06</v>
      </c>
      <c r="J7566" t="s">
        <v>593</v>
      </c>
      <c r="K7566" s="195">
        <v>45911.940659722219</v>
      </c>
      <c r="L7566">
        <v>121</v>
      </c>
      <c r="M7566">
        <v>0</v>
      </c>
      <c r="N7566" s="98" t="str">
        <f>IF(record[[#This Row],[Memo]]="Browser:chrome os:android","平板報工",IF(record[[#This Row],[Memo]]=0,"委外",record[[#This Row],[Memo]]))</f>
        <v/>
      </c>
      <c r="O7566" t="s">
        <v>58</v>
      </c>
      <c r="P7566" t="s">
        <v>841</v>
      </c>
      <c r="Q7566" t="s">
        <v>58</v>
      </c>
      <c r="R7566" t="str">
        <f>IFERROR(VLOOKUP(record[[#This Row],[PCUSTID]],廠商[],2,FALSE),"")</f>
        <v/>
      </c>
      <c r="S7566" t="str">
        <f>VLOOKUP(record[[#This Row],[employeeID]],員工[],2,FALSE)</f>
        <v>范氏香</v>
      </c>
    </row>
    <row r="7567" spans="6:19" hidden="1" x14ac:dyDescent="0.25">
      <c r="F7567" t="s">
        <v>1024</v>
      </c>
      <c r="G7567" t="s">
        <v>416</v>
      </c>
      <c r="H7567" t="str">
        <f>VLOOKUP(record[[#This Row],[ProcessSN]],表格2_7[],2,FALSE)</f>
        <v>30-4118-018-5XX</v>
      </c>
      <c r="I7567" t="str">
        <f>VLOOKUP(record[[#This Row],[ProcessSN]],表格2_7[],3,FALSE)</f>
        <v>#05</v>
      </c>
      <c r="J7567" t="s">
        <v>588</v>
      </c>
      <c r="K7567" s="195">
        <v>45911.937592592592</v>
      </c>
      <c r="L7567">
        <v>168</v>
      </c>
      <c r="M7567">
        <v>0</v>
      </c>
      <c r="N7567" s="98" t="str">
        <f>IF(record[[#This Row],[Memo]]="Browser:chrome os:android","平板報工",IF(record[[#This Row],[Memo]]=0,"委外",record[[#This Row],[Memo]]))</f>
        <v/>
      </c>
      <c r="O7567" t="s">
        <v>58</v>
      </c>
      <c r="P7567" t="s">
        <v>89</v>
      </c>
      <c r="Q7567" t="s">
        <v>58</v>
      </c>
      <c r="R7567" t="str">
        <f>IFERROR(VLOOKUP(record[[#This Row],[PCUSTID]],廠商[],2,FALSE),"")</f>
        <v/>
      </c>
      <c r="S7567" t="str">
        <f>VLOOKUP(record[[#This Row],[employeeID]],員工[],2,FALSE)</f>
        <v>李美蓮</v>
      </c>
    </row>
    <row r="7568" spans="6:19" hidden="1" x14ac:dyDescent="0.25">
      <c r="F7568" t="s">
        <v>1045</v>
      </c>
      <c r="G7568" t="s">
        <v>358</v>
      </c>
      <c r="H7568" t="str">
        <f>VLOOKUP(record[[#This Row],[ProcessSN]],表格2_7[],2,FALSE)</f>
        <v>30-4118-018-450</v>
      </c>
      <c r="I7568" t="str">
        <f>VLOOKUP(record[[#This Row],[ProcessSN]],表格2_7[],3,FALSE)</f>
        <v>#08IQC</v>
      </c>
      <c r="J7568" t="s">
        <v>583</v>
      </c>
      <c r="K7568" s="195">
        <v>45911.693692129629</v>
      </c>
      <c r="L7568">
        <v>519</v>
      </c>
      <c r="M7568">
        <v>0</v>
      </c>
      <c r="N7568" s="98" t="str">
        <f>IF(record[[#This Row],[Memo]]="Browser:chrome os:android","平板報工",IF(record[[#This Row],[Memo]]=0,"委外",record[[#This Row],[Memo]]))</f>
        <v/>
      </c>
      <c r="O7568" t="s">
        <v>58</v>
      </c>
      <c r="P7568" t="s">
        <v>109</v>
      </c>
      <c r="Q7568" t="s">
        <v>58</v>
      </c>
      <c r="R7568" t="str">
        <f>IFERROR(VLOOKUP(record[[#This Row],[PCUSTID]],廠商[],2,FALSE),"")</f>
        <v/>
      </c>
      <c r="S7568" t="str">
        <f>VLOOKUP(record[[#This Row],[employeeID]],員工[],2,FALSE)</f>
        <v>裴氏璧鳳</v>
      </c>
    </row>
    <row r="7569" spans="6:19" hidden="1" x14ac:dyDescent="0.25">
      <c r="F7569" t="s">
        <v>1018</v>
      </c>
      <c r="G7569" t="s">
        <v>417</v>
      </c>
      <c r="H7569" t="str">
        <f>VLOOKUP(record[[#This Row],[ProcessSN]],表格2_7[],2,FALSE)</f>
        <v>30-4118-018-5XX</v>
      </c>
      <c r="I7569" t="str">
        <f>VLOOKUP(record[[#This Row],[ProcessSN]],表格2_7[],3,FALSE)</f>
        <v>#06</v>
      </c>
      <c r="J7569" t="s">
        <v>593</v>
      </c>
      <c r="K7569" s="195">
        <v>45911.646319444444</v>
      </c>
      <c r="L7569">
        <v>46</v>
      </c>
      <c r="M7569">
        <v>0</v>
      </c>
      <c r="N7569" s="98" t="str">
        <f>IF(record[[#This Row],[Memo]]="Browser:chrome os:android","平板報工",IF(record[[#This Row],[Memo]]=0,"委外",record[[#This Row],[Memo]]))</f>
        <v/>
      </c>
      <c r="O7569" t="s">
        <v>58</v>
      </c>
      <c r="P7569" t="s">
        <v>119</v>
      </c>
      <c r="Q7569" t="s">
        <v>58</v>
      </c>
      <c r="R7569" t="str">
        <f>IFERROR(VLOOKUP(record[[#This Row],[PCUSTID]],廠商[],2,FALSE),"")</f>
        <v/>
      </c>
      <c r="S7569" t="str">
        <f>VLOOKUP(record[[#This Row],[employeeID]],員工[],2,FALSE)</f>
        <v>廖俊彥</v>
      </c>
    </row>
    <row r="7570" spans="6:19" hidden="1" x14ac:dyDescent="0.25">
      <c r="F7570" t="s">
        <v>1024</v>
      </c>
      <c r="G7570" t="s">
        <v>417</v>
      </c>
      <c r="H7570" t="str">
        <f>VLOOKUP(record[[#This Row],[ProcessSN]],表格2_7[],2,FALSE)</f>
        <v>30-4118-018-5XX</v>
      </c>
      <c r="I7570" t="str">
        <f>VLOOKUP(record[[#This Row],[ProcessSN]],表格2_7[],3,FALSE)</f>
        <v>#06</v>
      </c>
      <c r="J7570" t="s">
        <v>593</v>
      </c>
      <c r="K7570" s="195">
        <v>45911.646122685182</v>
      </c>
      <c r="L7570">
        <v>75</v>
      </c>
      <c r="M7570">
        <v>0</v>
      </c>
      <c r="N7570" s="98" t="str">
        <f>IF(record[[#This Row],[Memo]]="Browser:chrome os:android","平板報工",IF(record[[#This Row],[Memo]]=0,"委外",record[[#This Row],[Memo]]))</f>
        <v/>
      </c>
      <c r="O7570" t="s">
        <v>58</v>
      </c>
      <c r="P7570" t="s">
        <v>119</v>
      </c>
      <c r="Q7570" t="s">
        <v>58</v>
      </c>
      <c r="R7570" t="str">
        <f>IFERROR(VLOOKUP(record[[#This Row],[PCUSTID]],廠商[],2,FALSE),"")</f>
        <v/>
      </c>
      <c r="S7570" t="str">
        <f>VLOOKUP(record[[#This Row],[employeeID]],員工[],2,FALSE)</f>
        <v>廖俊彥</v>
      </c>
    </row>
    <row r="7571" spans="6:19" hidden="1" x14ac:dyDescent="0.25">
      <c r="F7571" t="s">
        <v>1024</v>
      </c>
      <c r="G7571" t="s">
        <v>418</v>
      </c>
      <c r="H7571" t="str">
        <f>VLOOKUP(record[[#This Row],[ProcessSN]],表格2_7[],2,FALSE)</f>
        <v>30-4118-018-5XX</v>
      </c>
      <c r="I7571" t="str">
        <f>VLOOKUP(record[[#This Row],[ProcessSN]],表格2_7[],3,FALSE)</f>
        <v>#07</v>
      </c>
      <c r="J7571" t="s">
        <v>588</v>
      </c>
      <c r="K7571" s="195">
        <v>45911.641504629632</v>
      </c>
      <c r="L7571">
        <v>208</v>
      </c>
      <c r="M7571">
        <v>0</v>
      </c>
      <c r="N7571" s="98" t="str">
        <f>IF(record[[#This Row],[Memo]]="Browser:chrome os:android","平板報工",IF(record[[#This Row],[Memo]]=0,"委外",record[[#This Row],[Memo]]))</f>
        <v/>
      </c>
      <c r="O7571" t="s">
        <v>58</v>
      </c>
      <c r="P7571" t="s">
        <v>119</v>
      </c>
      <c r="Q7571" t="s">
        <v>58</v>
      </c>
      <c r="R7571" t="str">
        <f>IFERROR(VLOOKUP(record[[#This Row],[PCUSTID]],廠商[],2,FALSE),"")</f>
        <v/>
      </c>
      <c r="S7571" t="str">
        <f>VLOOKUP(record[[#This Row],[employeeID]],員工[],2,FALSE)</f>
        <v>廖俊彥</v>
      </c>
    </row>
    <row r="7572" spans="6:19" hidden="1" x14ac:dyDescent="0.25">
      <c r="F7572" t="s">
        <v>1024</v>
      </c>
      <c r="G7572" t="s">
        <v>416</v>
      </c>
      <c r="H7572" t="str">
        <f>VLOOKUP(record[[#This Row],[ProcessSN]],表格2_7[],2,FALSE)</f>
        <v>30-4118-018-5XX</v>
      </c>
      <c r="I7572" t="str">
        <f>VLOOKUP(record[[#This Row],[ProcessSN]],表格2_7[],3,FALSE)</f>
        <v>#05</v>
      </c>
      <c r="J7572" t="s">
        <v>588</v>
      </c>
      <c r="K7572" s="195">
        <v>45911.640243055554</v>
      </c>
      <c r="L7572">
        <v>168</v>
      </c>
      <c r="M7572">
        <v>0</v>
      </c>
      <c r="N7572" s="98" t="str">
        <f>IF(record[[#This Row],[Memo]]="Browser:chrome os:android","平板報工",IF(record[[#This Row],[Memo]]=0,"委外",record[[#This Row],[Memo]]))</f>
        <v/>
      </c>
      <c r="O7572" t="s">
        <v>58</v>
      </c>
      <c r="P7572" t="s">
        <v>119</v>
      </c>
      <c r="Q7572" t="s">
        <v>58</v>
      </c>
      <c r="R7572" t="str">
        <f>IFERROR(VLOOKUP(record[[#This Row],[PCUSTID]],廠商[],2,FALSE),"")</f>
        <v/>
      </c>
      <c r="S7572" t="str">
        <f>VLOOKUP(record[[#This Row],[employeeID]],員工[],2,FALSE)</f>
        <v>廖俊彥</v>
      </c>
    </row>
    <row r="7573" spans="6:19" hidden="1" x14ac:dyDescent="0.25">
      <c r="F7573" t="s">
        <v>1024</v>
      </c>
      <c r="G7573" t="s">
        <v>415</v>
      </c>
      <c r="H7573" t="str">
        <f>VLOOKUP(record[[#This Row],[ProcessSN]],表格2_7[],2,FALSE)</f>
        <v>30-4118-018-5XX</v>
      </c>
      <c r="I7573" t="str">
        <f>VLOOKUP(record[[#This Row],[ProcessSN]],表格2_7[],3,FALSE)</f>
        <v>#04</v>
      </c>
      <c r="J7573" t="s">
        <v>588</v>
      </c>
      <c r="K7573" s="195">
        <v>45911.640081018515</v>
      </c>
      <c r="L7573">
        <v>130</v>
      </c>
      <c r="M7573">
        <v>0</v>
      </c>
      <c r="N7573" s="98" t="str">
        <f>IF(record[[#This Row],[Memo]]="Browser:chrome os:android","平板報工",IF(record[[#This Row],[Memo]]=0,"委外",record[[#This Row],[Memo]]))</f>
        <v/>
      </c>
      <c r="O7573" t="s">
        <v>58</v>
      </c>
      <c r="P7573" t="s">
        <v>119</v>
      </c>
      <c r="Q7573" t="s">
        <v>58</v>
      </c>
      <c r="R7573" t="str">
        <f>IFERROR(VLOOKUP(record[[#This Row],[PCUSTID]],廠商[],2,FALSE),"")</f>
        <v/>
      </c>
      <c r="S7573" t="str">
        <f>VLOOKUP(record[[#This Row],[employeeID]],員工[],2,FALSE)</f>
        <v>廖俊彥</v>
      </c>
    </row>
    <row r="7574" spans="6:19" hidden="1" x14ac:dyDescent="0.25">
      <c r="F7574" t="s">
        <v>1045</v>
      </c>
      <c r="G7574" t="s">
        <v>357</v>
      </c>
      <c r="H7574" t="str">
        <f>VLOOKUP(record[[#This Row],[ProcessSN]],表格2_7[],2,FALSE)</f>
        <v>30-4118-018-450</v>
      </c>
      <c r="I7574" t="str">
        <f>VLOOKUP(record[[#This Row],[ProcessSN]],表格2_7[],3,FALSE)</f>
        <v>#08RCV</v>
      </c>
      <c r="J7574" t="s">
        <v>591</v>
      </c>
      <c r="K7574" s="195">
        <v>45911.619803240741</v>
      </c>
      <c r="L7574">
        <v>519</v>
      </c>
      <c r="M7574">
        <v>0</v>
      </c>
      <c r="N7574" s="98" t="str">
        <f>IF(record[[#This Row],[Memo]]="Browser:chrome os:android","平板報工",IF(record[[#This Row],[Memo]]=0,"委外",record[[#This Row],[Memo]]))</f>
        <v/>
      </c>
      <c r="O7574" t="s">
        <v>58</v>
      </c>
      <c r="P7574" t="s">
        <v>186</v>
      </c>
      <c r="Q7574" t="s">
        <v>58</v>
      </c>
      <c r="R7574" t="str">
        <f>IFERROR(VLOOKUP(record[[#This Row],[PCUSTID]],廠商[],2,FALSE),"")</f>
        <v/>
      </c>
      <c r="S7574" t="str">
        <f>VLOOKUP(record[[#This Row],[employeeID]],員工[],2,FALSE)</f>
        <v>許文姍</v>
      </c>
    </row>
    <row r="7575" spans="6:19" hidden="1" x14ac:dyDescent="0.25">
      <c r="F7575" t="s">
        <v>999</v>
      </c>
      <c r="G7575" t="s">
        <v>402</v>
      </c>
      <c r="H7575" t="str">
        <f>VLOOKUP(record[[#This Row],[ProcessSN]],表格2_7[],2,FALSE)</f>
        <v>30-4118-018-550</v>
      </c>
      <c r="I7575" t="str">
        <f>VLOOKUP(record[[#This Row],[ProcessSN]],表格2_7[],3,FALSE)</f>
        <v>#100STOCK</v>
      </c>
      <c r="J7575" t="s">
        <v>592</v>
      </c>
      <c r="K7575" s="195">
        <v>45911.565416666665</v>
      </c>
      <c r="L7575">
        <v>1</v>
      </c>
      <c r="M7575">
        <v>0</v>
      </c>
      <c r="N7575" s="98" t="str">
        <f>IF(record[[#This Row],[Memo]]="Browser:chrome os:android","平板報工",IF(record[[#This Row],[Memo]]=0,"委外",record[[#This Row],[Memo]]))</f>
        <v/>
      </c>
      <c r="O7575" t="s">
        <v>58</v>
      </c>
      <c r="P7575" t="s">
        <v>886</v>
      </c>
      <c r="Q7575" t="s">
        <v>58</v>
      </c>
      <c r="R7575" t="str">
        <f>IFERROR(VLOOKUP(record[[#This Row],[PCUSTID]],廠商[],2,FALSE),"")</f>
        <v/>
      </c>
      <c r="S7575" t="str">
        <f>VLOOKUP(record[[#This Row],[employeeID]],員工[],2,FALSE)</f>
        <v>謝蓁薰</v>
      </c>
    </row>
    <row r="7576" spans="6:19" hidden="1" x14ac:dyDescent="0.25">
      <c r="F7576" t="s">
        <v>1035</v>
      </c>
      <c r="G7576" t="s">
        <v>402</v>
      </c>
      <c r="H7576" t="str">
        <f>VLOOKUP(record[[#This Row],[ProcessSN]],表格2_7[],2,FALSE)</f>
        <v>30-4118-018-550</v>
      </c>
      <c r="I7576" t="str">
        <f>VLOOKUP(record[[#This Row],[ProcessSN]],表格2_7[],3,FALSE)</f>
        <v>#100STOCK</v>
      </c>
      <c r="J7576" t="s">
        <v>592</v>
      </c>
      <c r="K7576" s="195">
        <v>45911.56521990741</v>
      </c>
      <c r="L7576">
        <v>161</v>
      </c>
      <c r="M7576">
        <v>0</v>
      </c>
      <c r="N7576" s="98" t="str">
        <f>IF(record[[#This Row],[Memo]]="Browser:chrome os:android","平板報工",IF(record[[#This Row],[Memo]]=0,"委外",record[[#This Row],[Memo]]))</f>
        <v/>
      </c>
      <c r="O7576" t="s">
        <v>58</v>
      </c>
      <c r="P7576" t="s">
        <v>886</v>
      </c>
      <c r="Q7576" t="s">
        <v>58</v>
      </c>
      <c r="R7576" t="str">
        <f>IFERROR(VLOOKUP(record[[#This Row],[PCUSTID]],廠商[],2,FALSE),"")</f>
        <v/>
      </c>
      <c r="S7576" t="str">
        <f>VLOOKUP(record[[#This Row],[employeeID]],員工[],2,FALSE)</f>
        <v>謝蓁薰</v>
      </c>
    </row>
    <row r="7577" spans="6:19" hidden="1" x14ac:dyDescent="0.25">
      <c r="F7577" t="s">
        <v>1038</v>
      </c>
      <c r="G7577" t="s">
        <v>402</v>
      </c>
      <c r="H7577" t="str">
        <f>VLOOKUP(record[[#This Row],[ProcessSN]],表格2_7[],2,FALSE)</f>
        <v>30-4118-018-550</v>
      </c>
      <c r="I7577" t="str">
        <f>VLOOKUP(record[[#This Row],[ProcessSN]],表格2_7[],3,FALSE)</f>
        <v>#100STOCK</v>
      </c>
      <c r="J7577" t="s">
        <v>592</v>
      </c>
      <c r="K7577" s="195">
        <v>45911.562465277777</v>
      </c>
      <c r="L7577">
        <v>291</v>
      </c>
      <c r="M7577">
        <v>0</v>
      </c>
      <c r="N7577" s="98" t="str">
        <f>IF(record[[#This Row],[Memo]]="Browser:chrome os:android","平板報工",IF(record[[#This Row],[Memo]]=0,"委外",record[[#This Row],[Memo]]))</f>
        <v/>
      </c>
      <c r="O7577" t="s">
        <v>58</v>
      </c>
      <c r="P7577" t="s">
        <v>886</v>
      </c>
      <c r="Q7577" t="s">
        <v>58</v>
      </c>
      <c r="R7577" t="str">
        <f>IFERROR(VLOOKUP(record[[#This Row],[PCUSTID]],廠商[],2,FALSE),"")</f>
        <v/>
      </c>
      <c r="S7577" t="str">
        <f>VLOOKUP(record[[#This Row],[employeeID]],員工[],2,FALSE)</f>
        <v>謝蓁薰</v>
      </c>
    </row>
    <row r="7578" spans="6:19" hidden="1" x14ac:dyDescent="0.25">
      <c r="F7578" t="s">
        <v>999</v>
      </c>
      <c r="G7578" t="s">
        <v>401</v>
      </c>
      <c r="H7578" t="str">
        <f>VLOOKUP(record[[#This Row],[ProcessSN]],表格2_7[],2,FALSE)</f>
        <v>30-4118-018-550</v>
      </c>
      <c r="I7578" t="str">
        <f>VLOOKUP(record[[#This Row],[ProcessSN]],表格2_7[],3,FALSE)</f>
        <v>#100OQC</v>
      </c>
      <c r="J7578" t="s">
        <v>599</v>
      </c>
      <c r="K7578" s="195">
        <v>45911.550949074073</v>
      </c>
      <c r="L7578">
        <v>1</v>
      </c>
      <c r="M7578">
        <v>0</v>
      </c>
      <c r="N7578" s="98" t="str">
        <f>IF(record[[#This Row],[Memo]]="Browser:chrome os:android","平板報工",IF(record[[#This Row],[Memo]]=0,"委外",record[[#This Row],[Memo]]))</f>
        <v/>
      </c>
      <c r="O7578" t="s">
        <v>58</v>
      </c>
      <c r="P7578" t="s">
        <v>121</v>
      </c>
      <c r="Q7578" t="s">
        <v>58</v>
      </c>
      <c r="R7578" t="str">
        <f>IFERROR(VLOOKUP(record[[#This Row],[PCUSTID]],廠商[],2,FALSE),"")</f>
        <v/>
      </c>
      <c r="S7578" t="str">
        <f>VLOOKUP(record[[#This Row],[employeeID]],員工[],2,FALSE)</f>
        <v>謝素卿</v>
      </c>
    </row>
    <row r="7579" spans="6:19" hidden="1" x14ac:dyDescent="0.25">
      <c r="F7579" t="s">
        <v>1038</v>
      </c>
      <c r="G7579" t="s">
        <v>401</v>
      </c>
      <c r="H7579" t="str">
        <f>VLOOKUP(record[[#This Row],[ProcessSN]],表格2_7[],2,FALSE)</f>
        <v>30-4118-018-550</v>
      </c>
      <c r="I7579" t="str">
        <f>VLOOKUP(record[[#This Row],[ProcessSN]],表格2_7[],3,FALSE)</f>
        <v>#100OQC</v>
      </c>
      <c r="J7579" t="s">
        <v>599</v>
      </c>
      <c r="K7579" s="195">
        <v>45911.550810185188</v>
      </c>
      <c r="L7579">
        <v>291</v>
      </c>
      <c r="M7579">
        <v>0</v>
      </c>
      <c r="N7579" s="98" t="str">
        <f>IF(record[[#This Row],[Memo]]="Browser:chrome os:android","平板報工",IF(record[[#This Row],[Memo]]=0,"委外",record[[#This Row],[Memo]]))</f>
        <v/>
      </c>
      <c r="O7579" t="s">
        <v>58</v>
      </c>
      <c r="P7579" t="s">
        <v>121</v>
      </c>
      <c r="Q7579" t="s">
        <v>58</v>
      </c>
      <c r="R7579" t="str">
        <f>IFERROR(VLOOKUP(record[[#This Row],[PCUSTID]],廠商[],2,FALSE),"")</f>
        <v/>
      </c>
      <c r="S7579" t="str">
        <f>VLOOKUP(record[[#This Row],[employeeID]],員工[],2,FALSE)</f>
        <v>謝素卿</v>
      </c>
    </row>
    <row r="7580" spans="6:19" hidden="1" x14ac:dyDescent="0.25">
      <c r="F7580" t="s">
        <v>1035</v>
      </c>
      <c r="G7580" t="s">
        <v>401</v>
      </c>
      <c r="H7580" t="str">
        <f>VLOOKUP(record[[#This Row],[ProcessSN]],表格2_7[],2,FALSE)</f>
        <v>30-4118-018-550</v>
      </c>
      <c r="I7580" t="str">
        <f>VLOOKUP(record[[#This Row],[ProcessSN]],表格2_7[],3,FALSE)</f>
        <v>#100OQC</v>
      </c>
      <c r="J7580" t="s">
        <v>599</v>
      </c>
      <c r="K7580" s="195">
        <v>45911.550682870373</v>
      </c>
      <c r="L7580">
        <v>161</v>
      </c>
      <c r="M7580">
        <v>0</v>
      </c>
      <c r="N7580" s="98" t="str">
        <f>IF(record[[#This Row],[Memo]]="Browser:chrome os:android","平板報工",IF(record[[#This Row],[Memo]]=0,"委外",record[[#This Row],[Memo]]))</f>
        <v/>
      </c>
      <c r="O7580" t="s">
        <v>58</v>
      </c>
      <c r="P7580" t="s">
        <v>121</v>
      </c>
      <c r="Q7580" t="s">
        <v>58</v>
      </c>
      <c r="R7580" t="str">
        <f>IFERROR(VLOOKUP(record[[#This Row],[PCUSTID]],廠商[],2,FALSE),"")</f>
        <v/>
      </c>
      <c r="S7580" t="str">
        <f>VLOOKUP(record[[#This Row],[employeeID]],員工[],2,FALSE)</f>
        <v>謝素卿</v>
      </c>
    </row>
    <row r="7581" spans="6:19" hidden="1" x14ac:dyDescent="0.25">
      <c r="F7581" t="s">
        <v>1047</v>
      </c>
      <c r="G7581" t="s">
        <v>397</v>
      </c>
      <c r="H7581" t="str">
        <f>VLOOKUP(record[[#This Row],[ProcessSN]],表格2_7[],2,FALSE)</f>
        <v>30-4118-018-550</v>
      </c>
      <c r="I7581" t="str">
        <f>VLOOKUP(record[[#This Row],[ProcessSN]],表格2_7[],3,FALSE)</f>
        <v>#08</v>
      </c>
      <c r="J7581" t="s">
        <v>597</v>
      </c>
      <c r="K7581" s="195">
        <v>45911.497291666667</v>
      </c>
      <c r="L7581">
        <v>160</v>
      </c>
      <c r="M7581">
        <v>0</v>
      </c>
      <c r="N7581" s="98" t="str">
        <f>IF(record[[#This Row],[Memo]]="Browser:chrome os:android","平板報工",IF(record[[#This Row],[Memo]]=0,"委外",record[[#This Row],[Memo]]))</f>
        <v/>
      </c>
      <c r="O7581" t="s">
        <v>58</v>
      </c>
      <c r="P7581" t="s">
        <v>186</v>
      </c>
      <c r="Q7581" t="s">
        <v>287</v>
      </c>
      <c r="R7581" t="str">
        <f>IFERROR(VLOOKUP(record[[#This Row],[PCUSTID]],廠商[],2,FALSE),"")</f>
        <v>泉盛</v>
      </c>
      <c r="S7581" t="str">
        <f>VLOOKUP(record[[#This Row],[employeeID]],員工[],2,FALSE)</f>
        <v>許文姍</v>
      </c>
    </row>
    <row r="7582" spans="6:19" hidden="1" x14ac:dyDescent="0.25">
      <c r="F7582" t="s">
        <v>1024</v>
      </c>
      <c r="G7582" t="s">
        <v>419</v>
      </c>
      <c r="H7582" t="str">
        <f>VLOOKUP(record[[#This Row],[ProcessSN]],表格2_7[],2,FALSE)</f>
        <v>30-4118-018-5XX</v>
      </c>
      <c r="I7582" t="str">
        <f>VLOOKUP(record[[#This Row],[ProcessSN]],表格2_7[],3,FALSE)</f>
        <v>#07QC</v>
      </c>
      <c r="J7582" t="s">
        <v>589</v>
      </c>
      <c r="K7582" s="195">
        <v>45911.482986111114</v>
      </c>
      <c r="L7582">
        <v>160</v>
      </c>
      <c r="M7582">
        <v>0</v>
      </c>
      <c r="N7582" s="98" t="str">
        <f>IF(record[[#This Row],[Memo]]="Browser:chrome os:android","平板報工",IF(record[[#This Row],[Memo]]=0,"委外",record[[#This Row],[Memo]]))</f>
        <v>平板報工</v>
      </c>
      <c r="O7582" t="s">
        <v>643</v>
      </c>
      <c r="P7582" t="s">
        <v>141</v>
      </c>
      <c r="Q7582" t="s">
        <v>644</v>
      </c>
      <c r="R7582" t="str">
        <f>IFERROR(VLOOKUP(record[[#This Row],[PCUSTID]],廠商[],2,FALSE),"")</f>
        <v/>
      </c>
      <c r="S7582" t="str">
        <f>VLOOKUP(record[[#This Row],[employeeID]],員工[],2,FALSE)</f>
        <v>蔣梅</v>
      </c>
    </row>
    <row r="7583" spans="6:19" hidden="1" x14ac:dyDescent="0.25">
      <c r="F7583" t="s">
        <v>1047</v>
      </c>
      <c r="G7583" t="s">
        <v>396</v>
      </c>
      <c r="H7583" t="str">
        <f>VLOOKUP(record[[#This Row],[ProcessSN]],表格2_7[],2,FALSE)</f>
        <v>30-4118-018-550</v>
      </c>
      <c r="I7583" t="str">
        <f>VLOOKUP(record[[#This Row],[ProcessSN]],表格2_7[],3,FALSE)</f>
        <v>#08PICK</v>
      </c>
      <c r="J7583" t="s">
        <v>582</v>
      </c>
      <c r="K7583" s="195">
        <v>45911.482557870368</v>
      </c>
      <c r="L7583">
        <v>160</v>
      </c>
      <c r="M7583">
        <v>0</v>
      </c>
      <c r="N7583" s="98" t="str">
        <f>IF(record[[#This Row],[Memo]]="Browser:chrome os:android","平板報工",IF(record[[#This Row],[Memo]]=0,"委外",record[[#This Row],[Memo]]))</f>
        <v/>
      </c>
      <c r="O7583" t="s">
        <v>58</v>
      </c>
      <c r="P7583" t="s">
        <v>196</v>
      </c>
      <c r="Q7583" t="s">
        <v>58</v>
      </c>
      <c r="R7583" t="str">
        <f>IFERROR(VLOOKUP(record[[#This Row],[PCUSTID]],廠商[],2,FALSE),"")</f>
        <v/>
      </c>
      <c r="S7583" t="str">
        <f>VLOOKUP(record[[#This Row],[employeeID]],員工[],2,FALSE)</f>
        <v>張淑惠</v>
      </c>
    </row>
    <row r="7584" spans="6:19" hidden="1" x14ac:dyDescent="0.25">
      <c r="F7584" t="s">
        <v>1033</v>
      </c>
      <c r="G7584" t="s">
        <v>402</v>
      </c>
      <c r="H7584" t="str">
        <f>VLOOKUP(record[[#This Row],[ProcessSN]],表格2_7[],2,FALSE)</f>
        <v>30-4118-018-550</v>
      </c>
      <c r="I7584" t="str">
        <f>VLOOKUP(record[[#This Row],[ProcessSN]],表格2_7[],3,FALSE)</f>
        <v>#100STOCK</v>
      </c>
      <c r="J7584" t="s">
        <v>592</v>
      </c>
      <c r="K7584" s="195">
        <v>45911.47320601852</v>
      </c>
      <c r="L7584">
        <v>82</v>
      </c>
      <c r="M7584">
        <v>0</v>
      </c>
      <c r="N7584" s="98" t="str">
        <f>IF(record[[#This Row],[Memo]]="Browser:chrome os:android","平板報工",IF(record[[#This Row],[Memo]]=0,"委外",record[[#This Row],[Memo]]))</f>
        <v/>
      </c>
      <c r="O7584" t="s">
        <v>58</v>
      </c>
      <c r="P7584" t="s">
        <v>886</v>
      </c>
      <c r="Q7584" t="s">
        <v>58</v>
      </c>
      <c r="R7584" t="str">
        <f>IFERROR(VLOOKUP(record[[#This Row],[PCUSTID]],廠商[],2,FALSE),"")</f>
        <v/>
      </c>
      <c r="S7584" t="str">
        <f>VLOOKUP(record[[#This Row],[employeeID]],員工[],2,FALSE)</f>
        <v>謝蓁薰</v>
      </c>
    </row>
    <row r="7585" spans="6:19" hidden="1" x14ac:dyDescent="0.25">
      <c r="F7585" t="s">
        <v>1041</v>
      </c>
      <c r="G7585" t="s">
        <v>359</v>
      </c>
      <c r="H7585" t="str">
        <f>VLOOKUP(record[[#This Row],[ProcessSN]],表格2_7[],2,FALSE)</f>
        <v>30-4118-018-450</v>
      </c>
      <c r="I7585" t="str">
        <f>VLOOKUP(record[[#This Row],[ProcessSN]],表格2_7[],3,FALSE)</f>
        <v>#100</v>
      </c>
      <c r="J7585" t="s">
        <v>598</v>
      </c>
      <c r="K7585" s="195">
        <v>45911.443379629629</v>
      </c>
      <c r="L7585">
        <v>323</v>
      </c>
      <c r="M7585">
        <v>0</v>
      </c>
      <c r="N7585" s="98" t="str">
        <f>IF(record[[#This Row],[Memo]]="Browser:chrome os:android","平板報工",IF(record[[#This Row],[Memo]]=0,"委外",record[[#This Row],[Memo]]))</f>
        <v/>
      </c>
      <c r="O7585" t="s">
        <v>58</v>
      </c>
      <c r="P7585" t="s">
        <v>141</v>
      </c>
      <c r="Q7585" t="s">
        <v>58</v>
      </c>
      <c r="R7585" t="str">
        <f>IFERROR(VLOOKUP(record[[#This Row],[PCUSTID]],廠商[],2,FALSE),"")</f>
        <v/>
      </c>
      <c r="S7585" t="str">
        <f>VLOOKUP(record[[#This Row],[employeeID]],員工[],2,FALSE)</f>
        <v>蔣梅</v>
      </c>
    </row>
    <row r="7586" spans="6:19" hidden="1" x14ac:dyDescent="0.25">
      <c r="F7586" t="s">
        <v>999</v>
      </c>
      <c r="G7586" t="s">
        <v>400</v>
      </c>
      <c r="H7586" t="str">
        <f>VLOOKUP(record[[#This Row],[ProcessSN]],表格2_7[],2,FALSE)</f>
        <v>30-4118-018-550</v>
      </c>
      <c r="I7586" t="str">
        <f>VLOOKUP(record[[#This Row],[ProcessSN]],表格2_7[],3,FALSE)</f>
        <v>#100</v>
      </c>
      <c r="J7586" t="s">
        <v>598</v>
      </c>
      <c r="K7586" s="195">
        <v>45911.443009259259</v>
      </c>
      <c r="L7586">
        <v>1</v>
      </c>
      <c r="M7586">
        <v>0</v>
      </c>
      <c r="N7586" s="98" t="str">
        <f>IF(record[[#This Row],[Memo]]="Browser:chrome os:android","平板報工",IF(record[[#This Row],[Memo]]=0,"委外",record[[#This Row],[Memo]]))</f>
        <v/>
      </c>
      <c r="O7586" t="s">
        <v>58</v>
      </c>
      <c r="P7586" t="s">
        <v>141</v>
      </c>
      <c r="Q7586" t="s">
        <v>58</v>
      </c>
      <c r="R7586" t="str">
        <f>IFERROR(VLOOKUP(record[[#This Row],[PCUSTID]],廠商[],2,FALSE),"")</f>
        <v/>
      </c>
      <c r="S7586" t="str">
        <f>VLOOKUP(record[[#This Row],[employeeID]],員工[],2,FALSE)</f>
        <v>蔣梅</v>
      </c>
    </row>
    <row r="7587" spans="6:19" hidden="1" x14ac:dyDescent="0.25">
      <c r="F7587" t="s">
        <v>951</v>
      </c>
      <c r="G7587" t="s">
        <v>427</v>
      </c>
      <c r="H7587" t="str">
        <f>VLOOKUP(record[[#This Row],[ProcessSN]],表格2_7[],2,FALSE)</f>
        <v>30-4118-018-600</v>
      </c>
      <c r="I7587" t="str">
        <f>VLOOKUP(record[[#This Row],[ProcessSN]],表格2_7[],3,FALSE)</f>
        <v>#100STOCK</v>
      </c>
      <c r="J7587" t="s">
        <v>592</v>
      </c>
      <c r="K7587" s="195">
        <v>45911.36314814815</v>
      </c>
      <c r="L7587">
        <v>22</v>
      </c>
      <c r="M7587">
        <v>0</v>
      </c>
      <c r="N7587" s="98" t="str">
        <f>IF(record[[#This Row],[Memo]]="Browser:chrome os:android","平板報工",IF(record[[#This Row],[Memo]]=0,"委外",record[[#This Row],[Memo]]))</f>
        <v/>
      </c>
      <c r="O7587" t="s">
        <v>58</v>
      </c>
      <c r="P7587" t="s">
        <v>886</v>
      </c>
      <c r="Q7587" t="s">
        <v>58</v>
      </c>
      <c r="R7587" t="str">
        <f>IFERROR(VLOOKUP(record[[#This Row],[PCUSTID]],廠商[],2,FALSE),"")</f>
        <v/>
      </c>
      <c r="S7587" t="str">
        <f>VLOOKUP(record[[#This Row],[employeeID]],員工[],2,FALSE)</f>
        <v>謝蓁薰</v>
      </c>
    </row>
    <row r="7588" spans="6:19" hidden="1" x14ac:dyDescent="0.25">
      <c r="F7588" t="s">
        <v>1018</v>
      </c>
      <c r="G7588" t="s">
        <v>417</v>
      </c>
      <c r="H7588" t="str">
        <f>VLOOKUP(record[[#This Row],[ProcessSN]],表格2_7[],2,FALSE)</f>
        <v>30-4118-018-5XX</v>
      </c>
      <c r="I7588" t="str">
        <f>VLOOKUP(record[[#This Row],[ProcessSN]],表格2_7[],3,FALSE)</f>
        <v>#06</v>
      </c>
      <c r="J7588" t="s">
        <v>593</v>
      </c>
      <c r="K7588" s="195">
        <v>45911.310023148151</v>
      </c>
      <c r="L7588">
        <v>114</v>
      </c>
      <c r="M7588">
        <v>0</v>
      </c>
      <c r="N7588" s="98" t="str">
        <f>IF(record[[#This Row],[Memo]]="Browser:chrome os:android","平板報工",IF(record[[#This Row],[Memo]]=0,"委外",record[[#This Row],[Memo]]))</f>
        <v/>
      </c>
      <c r="O7588" t="s">
        <v>58</v>
      </c>
      <c r="P7588" t="s">
        <v>135</v>
      </c>
      <c r="Q7588" t="s">
        <v>58</v>
      </c>
      <c r="R7588" t="str">
        <f>IFERROR(VLOOKUP(record[[#This Row],[PCUSTID]],廠商[],2,FALSE),"")</f>
        <v/>
      </c>
      <c r="S7588" t="str">
        <f>VLOOKUP(record[[#This Row],[employeeID]],員工[],2,FALSE)</f>
        <v>阮士文</v>
      </c>
    </row>
    <row r="7589" spans="6:19" hidden="1" x14ac:dyDescent="0.25">
      <c r="F7589" t="s">
        <v>1024</v>
      </c>
      <c r="G7589" t="s">
        <v>417</v>
      </c>
      <c r="H7589" t="str">
        <f>VLOOKUP(record[[#This Row],[ProcessSN]],表格2_7[],2,FALSE)</f>
        <v>30-4118-018-5XX</v>
      </c>
      <c r="I7589" t="str">
        <f>VLOOKUP(record[[#This Row],[ProcessSN]],表格2_7[],3,FALSE)</f>
        <v>#06</v>
      </c>
      <c r="J7589" t="s">
        <v>593</v>
      </c>
      <c r="K7589" s="195">
        <v>45911.309814814813</v>
      </c>
      <c r="L7589">
        <v>17</v>
      </c>
      <c r="M7589">
        <v>0</v>
      </c>
      <c r="N7589" s="98" t="str">
        <f>IF(record[[#This Row],[Memo]]="Browser:chrome os:android","平板報工",IF(record[[#This Row],[Memo]]=0,"委外",record[[#This Row],[Memo]]))</f>
        <v/>
      </c>
      <c r="O7589" t="s">
        <v>58</v>
      </c>
      <c r="P7589" t="s">
        <v>135</v>
      </c>
      <c r="Q7589" t="s">
        <v>58</v>
      </c>
      <c r="R7589" t="str">
        <f>IFERROR(VLOOKUP(record[[#This Row],[PCUSTID]],廠商[],2,FALSE),"")</f>
        <v/>
      </c>
      <c r="S7589" t="str">
        <f>VLOOKUP(record[[#This Row],[employeeID]],員工[],2,FALSE)</f>
        <v>阮士文</v>
      </c>
    </row>
    <row r="7590" spans="6:19" hidden="1" x14ac:dyDescent="0.25">
      <c r="F7590" t="s">
        <v>1024</v>
      </c>
      <c r="G7590" t="s">
        <v>415</v>
      </c>
      <c r="H7590" t="str">
        <f>VLOOKUP(record[[#This Row],[ProcessSN]],表格2_7[],2,FALSE)</f>
        <v>30-4118-018-5XX</v>
      </c>
      <c r="I7590" t="str">
        <f>VLOOKUP(record[[#This Row],[ProcessSN]],表格2_7[],3,FALSE)</f>
        <v>#04</v>
      </c>
      <c r="J7590" t="s">
        <v>588</v>
      </c>
      <c r="K7590" s="195">
        <v>45911.301168981481</v>
      </c>
      <c r="L7590">
        <v>148</v>
      </c>
      <c r="M7590">
        <v>0</v>
      </c>
      <c r="N7590" s="98" t="str">
        <f>IF(record[[#This Row],[Memo]]="Browser:chrome os:android","平板報工",IF(record[[#This Row],[Memo]]=0,"委外",record[[#This Row],[Memo]]))</f>
        <v/>
      </c>
      <c r="O7590" t="s">
        <v>58</v>
      </c>
      <c r="P7590" t="s">
        <v>135</v>
      </c>
      <c r="Q7590" t="s">
        <v>58</v>
      </c>
      <c r="R7590" t="str">
        <f>IFERROR(VLOOKUP(record[[#This Row],[PCUSTID]],廠商[],2,FALSE),"")</f>
        <v/>
      </c>
      <c r="S7590" t="str">
        <f>VLOOKUP(record[[#This Row],[employeeID]],員工[],2,FALSE)</f>
        <v>阮士文</v>
      </c>
    </row>
    <row r="7591" spans="6:19" hidden="1" x14ac:dyDescent="0.25">
      <c r="F7591" t="s">
        <v>1024</v>
      </c>
      <c r="G7591" t="s">
        <v>417</v>
      </c>
      <c r="H7591" t="str">
        <f>VLOOKUP(record[[#This Row],[ProcessSN]],表格2_7[],2,FALSE)</f>
        <v>30-4118-018-5XX</v>
      </c>
      <c r="I7591" t="str">
        <f>VLOOKUP(record[[#This Row],[ProcessSN]],表格2_7[],3,FALSE)</f>
        <v>#06</v>
      </c>
      <c r="J7591" t="s">
        <v>593</v>
      </c>
      <c r="K7591" s="195">
        <v>45910.958032407405</v>
      </c>
      <c r="L7591">
        <v>121</v>
      </c>
      <c r="M7591">
        <v>0</v>
      </c>
      <c r="N7591" s="98" t="str">
        <f>IF(record[[#This Row],[Memo]]="Browser:chrome os:android","平板報工",IF(record[[#This Row],[Memo]]=0,"委外",record[[#This Row],[Memo]]))</f>
        <v/>
      </c>
      <c r="O7591" t="s">
        <v>58</v>
      </c>
      <c r="P7591" t="s">
        <v>841</v>
      </c>
      <c r="Q7591" t="s">
        <v>58</v>
      </c>
      <c r="R7591" t="str">
        <f>IFERROR(VLOOKUP(record[[#This Row],[PCUSTID]],廠商[],2,FALSE),"")</f>
        <v/>
      </c>
      <c r="S7591" t="str">
        <f>VLOOKUP(record[[#This Row],[employeeID]],員工[],2,FALSE)</f>
        <v>范氏香</v>
      </c>
    </row>
    <row r="7592" spans="6:19" hidden="1" x14ac:dyDescent="0.25">
      <c r="F7592" t="s">
        <v>1024</v>
      </c>
      <c r="G7592" t="s">
        <v>415</v>
      </c>
      <c r="H7592" t="str">
        <f>VLOOKUP(record[[#This Row],[ProcessSN]],表格2_7[],2,FALSE)</f>
        <v>30-4118-018-5XX</v>
      </c>
      <c r="I7592" t="str">
        <f>VLOOKUP(record[[#This Row],[ProcessSN]],表格2_7[],3,FALSE)</f>
        <v>#04</v>
      </c>
      <c r="J7592" t="s">
        <v>588</v>
      </c>
      <c r="K7592" s="195">
        <v>45910.950115740743</v>
      </c>
      <c r="L7592">
        <v>130</v>
      </c>
      <c r="M7592">
        <v>0</v>
      </c>
      <c r="N7592" s="98" t="str">
        <f>IF(record[[#This Row],[Memo]]="Browser:chrome os:android","平板報工",IF(record[[#This Row],[Memo]]=0,"委外",record[[#This Row],[Memo]]))</f>
        <v/>
      </c>
      <c r="O7592" t="s">
        <v>58</v>
      </c>
      <c r="P7592" t="s">
        <v>806</v>
      </c>
      <c r="Q7592" t="s">
        <v>58</v>
      </c>
      <c r="R7592" t="str">
        <f>IFERROR(VLOOKUP(record[[#This Row],[PCUSTID]],廠商[],2,FALSE),"")</f>
        <v/>
      </c>
      <c r="S7592" t="str">
        <f>VLOOKUP(record[[#This Row],[employeeID]],員工[],2,FALSE)</f>
        <v>方思緯</v>
      </c>
    </row>
    <row r="7593" spans="6:19" hidden="1" x14ac:dyDescent="0.25">
      <c r="F7593" t="s">
        <v>1024</v>
      </c>
      <c r="G7593" t="s">
        <v>418</v>
      </c>
      <c r="H7593" t="str">
        <f>VLOOKUP(record[[#This Row],[ProcessSN]],表格2_7[],2,FALSE)</f>
        <v>30-4118-018-5XX</v>
      </c>
      <c r="I7593" t="str">
        <f>VLOOKUP(record[[#This Row],[ProcessSN]],表格2_7[],3,FALSE)</f>
        <v>#07</v>
      </c>
      <c r="J7593" t="s">
        <v>588</v>
      </c>
      <c r="K7593" s="195">
        <v>45910.947025462963</v>
      </c>
      <c r="L7593">
        <v>184</v>
      </c>
      <c r="M7593">
        <v>1</v>
      </c>
      <c r="N7593" s="98" t="str">
        <f>IF(record[[#This Row],[Memo]]="Browser:chrome os:android","平板報工",IF(record[[#This Row],[Memo]]=0,"委外",record[[#This Row],[Memo]]))</f>
        <v/>
      </c>
      <c r="O7593" t="s">
        <v>58</v>
      </c>
      <c r="P7593" t="s">
        <v>89</v>
      </c>
      <c r="Q7593" t="s">
        <v>58</v>
      </c>
      <c r="R7593" t="str">
        <f>IFERROR(VLOOKUP(record[[#This Row],[PCUSTID]],廠商[],2,FALSE),"")</f>
        <v/>
      </c>
      <c r="S7593" t="str">
        <f>VLOOKUP(record[[#This Row],[employeeID]],員工[],2,FALSE)</f>
        <v>李美蓮</v>
      </c>
    </row>
    <row r="7594" spans="6:19" hidden="1" x14ac:dyDescent="0.25">
      <c r="F7594" t="s">
        <v>1038</v>
      </c>
      <c r="G7594" t="s">
        <v>400</v>
      </c>
      <c r="H7594" t="str">
        <f>VLOOKUP(record[[#This Row],[ProcessSN]],表格2_7[],2,FALSE)</f>
        <v>30-4118-018-550</v>
      </c>
      <c r="I7594" t="str">
        <f>VLOOKUP(record[[#This Row],[ProcessSN]],表格2_7[],3,FALSE)</f>
        <v>#100</v>
      </c>
      <c r="J7594" t="s">
        <v>598</v>
      </c>
      <c r="K7594" s="195">
        <v>45910.754004629627</v>
      </c>
      <c r="L7594">
        <v>291</v>
      </c>
      <c r="M7594">
        <v>0</v>
      </c>
      <c r="N7594" s="98" t="str">
        <f>IF(record[[#This Row],[Memo]]="Browser:chrome os:android","平板報工",IF(record[[#This Row],[Memo]]=0,"委外",record[[#This Row],[Memo]]))</f>
        <v/>
      </c>
      <c r="O7594" t="s">
        <v>58</v>
      </c>
      <c r="P7594" t="s">
        <v>141</v>
      </c>
      <c r="Q7594" t="s">
        <v>58</v>
      </c>
      <c r="R7594" t="str">
        <f>IFERROR(VLOOKUP(record[[#This Row],[PCUSTID]],廠商[],2,FALSE),"")</f>
        <v/>
      </c>
      <c r="S7594" t="str">
        <f>VLOOKUP(record[[#This Row],[employeeID]],員工[],2,FALSE)</f>
        <v>蔣梅</v>
      </c>
    </row>
    <row r="7595" spans="6:19" hidden="1" x14ac:dyDescent="0.25">
      <c r="F7595" t="s">
        <v>1038</v>
      </c>
      <c r="G7595" t="s">
        <v>398</v>
      </c>
      <c r="H7595" t="str">
        <f>VLOOKUP(record[[#This Row],[ProcessSN]],表格2_7[],2,FALSE)</f>
        <v>30-4118-018-550</v>
      </c>
      <c r="I7595" t="str">
        <f>VLOOKUP(record[[#This Row],[ProcessSN]],表格2_7[],3,FALSE)</f>
        <v>#08RCV</v>
      </c>
      <c r="J7595" t="s">
        <v>591</v>
      </c>
      <c r="K7595" s="195">
        <v>45910.753761574073</v>
      </c>
      <c r="L7595">
        <v>0</v>
      </c>
      <c r="M7595">
        <v>9</v>
      </c>
      <c r="N7595" s="98" t="str">
        <f>IF(record[[#This Row],[Memo]]="Browser:chrome os:android","平板報工",IF(record[[#This Row],[Memo]]=0,"委外",record[[#This Row],[Memo]]))</f>
        <v/>
      </c>
      <c r="O7595" t="s">
        <v>58</v>
      </c>
      <c r="P7595" t="s">
        <v>141</v>
      </c>
      <c r="Q7595" t="s">
        <v>58</v>
      </c>
      <c r="R7595" t="str">
        <f>IFERROR(VLOOKUP(record[[#This Row],[PCUSTID]],廠商[],2,FALSE),"")</f>
        <v/>
      </c>
      <c r="S7595" t="str">
        <f>VLOOKUP(record[[#This Row],[employeeID]],員工[],2,FALSE)</f>
        <v>蔣梅</v>
      </c>
    </row>
    <row r="7596" spans="6:19" hidden="1" x14ac:dyDescent="0.25">
      <c r="F7596" t="s">
        <v>1038</v>
      </c>
      <c r="G7596" t="s">
        <v>399</v>
      </c>
      <c r="H7596" t="str">
        <f>VLOOKUP(record[[#This Row],[ProcessSN]],表格2_7[],2,FALSE)</f>
        <v>30-4118-018-550</v>
      </c>
      <c r="I7596" t="str">
        <f>VLOOKUP(record[[#This Row],[ProcessSN]],表格2_7[],3,FALSE)</f>
        <v>#08IQC</v>
      </c>
      <c r="J7596" t="s">
        <v>583</v>
      </c>
      <c r="K7596" s="195">
        <v>45910.753599537034</v>
      </c>
      <c r="L7596">
        <v>6</v>
      </c>
      <c r="M7596">
        <v>0</v>
      </c>
      <c r="N7596" s="98" t="str">
        <f>IF(record[[#This Row],[Memo]]="Browser:chrome os:android","平板報工",IF(record[[#This Row],[Memo]]=0,"委外",record[[#This Row],[Memo]]))</f>
        <v>覆回品</v>
      </c>
      <c r="O7596" t="s">
        <v>664</v>
      </c>
      <c r="P7596" t="s">
        <v>141</v>
      </c>
      <c r="Q7596" t="s">
        <v>58</v>
      </c>
      <c r="R7596" t="str">
        <f>IFERROR(VLOOKUP(record[[#This Row],[PCUSTID]],廠商[],2,FALSE),"")</f>
        <v/>
      </c>
      <c r="S7596" t="str">
        <f>VLOOKUP(record[[#This Row],[employeeID]],員工[],2,FALSE)</f>
        <v>蔣梅</v>
      </c>
    </row>
    <row r="7597" spans="6:19" hidden="1" x14ac:dyDescent="0.25">
      <c r="F7597" t="s">
        <v>1038</v>
      </c>
      <c r="G7597" t="s">
        <v>398</v>
      </c>
      <c r="H7597" t="str">
        <f>VLOOKUP(record[[#This Row],[ProcessSN]],表格2_7[],2,FALSE)</f>
        <v>30-4118-018-550</v>
      </c>
      <c r="I7597" t="str">
        <f>VLOOKUP(record[[#This Row],[ProcessSN]],表格2_7[],3,FALSE)</f>
        <v>#08RCV</v>
      </c>
      <c r="J7597" t="s">
        <v>591</v>
      </c>
      <c r="K7597" s="195">
        <v>45910.753171296295</v>
      </c>
      <c r="L7597">
        <v>6</v>
      </c>
      <c r="M7597">
        <v>0</v>
      </c>
      <c r="N7597" s="98" t="str">
        <f>IF(record[[#This Row],[Memo]]="Browser:chrome os:android","平板報工",IF(record[[#This Row],[Memo]]=0,"委外",record[[#This Row],[Memo]]))</f>
        <v>覆回品</v>
      </c>
      <c r="O7597" t="s">
        <v>664</v>
      </c>
      <c r="P7597" t="s">
        <v>141</v>
      </c>
      <c r="Q7597" t="s">
        <v>58</v>
      </c>
      <c r="R7597" t="str">
        <f>IFERROR(VLOOKUP(record[[#This Row],[PCUSTID]],廠商[],2,FALSE),"")</f>
        <v/>
      </c>
      <c r="S7597" t="str">
        <f>VLOOKUP(record[[#This Row],[employeeID]],員工[],2,FALSE)</f>
        <v>蔣梅</v>
      </c>
    </row>
    <row r="7598" spans="6:19" hidden="1" x14ac:dyDescent="0.25">
      <c r="F7598" t="s">
        <v>1041</v>
      </c>
      <c r="G7598" t="s">
        <v>358</v>
      </c>
      <c r="H7598" t="str">
        <f>VLOOKUP(record[[#This Row],[ProcessSN]],表格2_7[],2,FALSE)</f>
        <v>30-4118-018-450</v>
      </c>
      <c r="I7598" t="str">
        <f>VLOOKUP(record[[#This Row],[ProcessSN]],表格2_7[],3,FALSE)</f>
        <v>#08IQC</v>
      </c>
      <c r="J7598" t="s">
        <v>583</v>
      </c>
      <c r="K7598" s="195">
        <v>45910.743344907409</v>
      </c>
      <c r="L7598">
        <v>323</v>
      </c>
      <c r="M7598">
        <v>0</v>
      </c>
      <c r="N7598" s="98" t="str">
        <f>IF(record[[#This Row],[Memo]]="Browser:chrome os:android","平板報工",IF(record[[#This Row],[Memo]]=0,"委外",record[[#This Row],[Memo]]))</f>
        <v/>
      </c>
      <c r="O7598" t="s">
        <v>58</v>
      </c>
      <c r="P7598" t="s">
        <v>109</v>
      </c>
      <c r="Q7598" t="s">
        <v>58</v>
      </c>
      <c r="R7598" t="str">
        <f>IFERROR(VLOOKUP(record[[#This Row],[PCUSTID]],廠商[],2,FALSE),"")</f>
        <v/>
      </c>
      <c r="S7598" t="str">
        <f>VLOOKUP(record[[#This Row],[employeeID]],員工[],2,FALSE)</f>
        <v>裴氏璧鳳</v>
      </c>
    </row>
    <row r="7599" spans="6:19" hidden="1" x14ac:dyDescent="0.25">
      <c r="F7599" t="s">
        <v>989</v>
      </c>
      <c r="G7599" t="s">
        <v>470</v>
      </c>
      <c r="H7599" t="str">
        <f>VLOOKUP(record[[#This Row],[ProcessSN]],表格2_7[],2,FALSE)</f>
        <v>30-4118-018-XXX</v>
      </c>
      <c r="I7599" t="str">
        <f>VLOOKUP(record[[#This Row],[ProcessSN]],表格2_7[],3,FALSE)</f>
        <v>#02IQC</v>
      </c>
      <c r="J7599" t="s">
        <v>583</v>
      </c>
      <c r="K7599" s="195">
        <v>45910.740358796298</v>
      </c>
      <c r="L7599">
        <v>1176</v>
      </c>
      <c r="M7599">
        <v>0</v>
      </c>
      <c r="N7599" s="98" t="str">
        <f>IF(record[[#This Row],[Memo]]="Browser:chrome os:android","平板報工",IF(record[[#This Row],[Memo]]=0,"委外",record[[#This Row],[Memo]]))</f>
        <v/>
      </c>
      <c r="O7599" t="s">
        <v>58</v>
      </c>
      <c r="P7599" t="s">
        <v>109</v>
      </c>
      <c r="Q7599" t="s">
        <v>58</v>
      </c>
      <c r="R7599" t="str">
        <f>IFERROR(VLOOKUP(record[[#This Row],[PCUSTID]],廠商[],2,FALSE),"")</f>
        <v/>
      </c>
      <c r="S7599" t="str">
        <f>VLOOKUP(record[[#This Row],[employeeID]],員工[],2,FALSE)</f>
        <v>裴氏璧鳳</v>
      </c>
    </row>
    <row r="7600" spans="6:19" hidden="1" x14ac:dyDescent="0.25">
      <c r="F7600" t="s">
        <v>1024</v>
      </c>
      <c r="G7600" t="s">
        <v>417</v>
      </c>
      <c r="H7600" t="str">
        <f>VLOOKUP(record[[#This Row],[ProcessSN]],表格2_7[],2,FALSE)</f>
        <v>30-4118-018-5XX</v>
      </c>
      <c r="I7600" t="str">
        <f>VLOOKUP(record[[#This Row],[ProcessSN]],表格2_7[],3,FALSE)</f>
        <v>#06</v>
      </c>
      <c r="J7600" t="s">
        <v>593</v>
      </c>
      <c r="K7600" s="195">
        <v>45910.683587962965</v>
      </c>
      <c r="L7600">
        <v>23</v>
      </c>
      <c r="M7600">
        <v>0</v>
      </c>
      <c r="N7600" s="98" t="str">
        <f>IF(record[[#This Row],[Memo]]="Browser:chrome os:android","平板報工",IF(record[[#This Row],[Memo]]=0,"委外",record[[#This Row],[Memo]]))</f>
        <v/>
      </c>
      <c r="O7600" t="s">
        <v>58</v>
      </c>
      <c r="P7600" t="s">
        <v>119</v>
      </c>
      <c r="Q7600" t="s">
        <v>58</v>
      </c>
      <c r="R7600" t="str">
        <f>IFERROR(VLOOKUP(record[[#This Row],[PCUSTID]],廠商[],2,FALSE),"")</f>
        <v/>
      </c>
      <c r="S7600" t="str">
        <f>VLOOKUP(record[[#This Row],[employeeID]],員工[],2,FALSE)</f>
        <v>廖俊彥</v>
      </c>
    </row>
    <row r="7601" spans="6:19" hidden="1" x14ac:dyDescent="0.25">
      <c r="F7601" t="s">
        <v>1018</v>
      </c>
      <c r="G7601" t="s">
        <v>417</v>
      </c>
      <c r="H7601" t="str">
        <f>VLOOKUP(record[[#This Row],[ProcessSN]],表格2_7[],2,FALSE)</f>
        <v>30-4118-018-5XX</v>
      </c>
      <c r="I7601" t="str">
        <f>VLOOKUP(record[[#This Row],[ProcessSN]],表格2_7[],3,FALSE)</f>
        <v>#06</v>
      </c>
      <c r="J7601" t="s">
        <v>593</v>
      </c>
      <c r="K7601" s="195">
        <v>45910.683344907404</v>
      </c>
      <c r="L7601">
        <v>98</v>
      </c>
      <c r="M7601">
        <v>0</v>
      </c>
      <c r="N7601" s="98" t="str">
        <f>IF(record[[#This Row],[Memo]]="Browser:chrome os:android","平板報工",IF(record[[#This Row],[Memo]]=0,"委外",record[[#This Row],[Memo]]))</f>
        <v/>
      </c>
      <c r="O7601" t="s">
        <v>58</v>
      </c>
      <c r="P7601" t="s">
        <v>119</v>
      </c>
      <c r="Q7601" t="s">
        <v>58</v>
      </c>
      <c r="R7601" t="str">
        <f>IFERROR(VLOOKUP(record[[#This Row],[PCUSTID]],廠商[],2,FALSE),"")</f>
        <v/>
      </c>
      <c r="S7601" t="str">
        <f>VLOOKUP(record[[#This Row],[employeeID]],員工[],2,FALSE)</f>
        <v>廖俊彥</v>
      </c>
    </row>
    <row r="7602" spans="6:19" hidden="1" x14ac:dyDescent="0.25">
      <c r="F7602" t="s">
        <v>1024</v>
      </c>
      <c r="G7602" t="s">
        <v>417</v>
      </c>
      <c r="H7602" t="str">
        <f>VLOOKUP(record[[#This Row],[ProcessSN]],表格2_7[],2,FALSE)</f>
        <v>30-4118-018-5XX</v>
      </c>
      <c r="I7602" t="str">
        <f>VLOOKUP(record[[#This Row],[ProcessSN]],表格2_7[],3,FALSE)</f>
        <v>#06</v>
      </c>
      <c r="J7602" t="s">
        <v>593</v>
      </c>
      <c r="K7602" s="195">
        <v>45910.661238425928</v>
      </c>
      <c r="L7602">
        <v>46</v>
      </c>
      <c r="M7602">
        <v>3</v>
      </c>
      <c r="N7602" s="98" t="str">
        <f>IF(record[[#This Row],[Memo]]="Browser:chrome os:android","平板報工",IF(record[[#This Row],[Memo]]=0,"委外",record[[#This Row],[Memo]]))</f>
        <v/>
      </c>
      <c r="O7602" t="s">
        <v>58</v>
      </c>
      <c r="P7602" t="s">
        <v>119</v>
      </c>
      <c r="Q7602" t="s">
        <v>58</v>
      </c>
      <c r="R7602" t="str">
        <f>IFERROR(VLOOKUP(record[[#This Row],[PCUSTID]],廠商[],2,FALSE),"")</f>
        <v/>
      </c>
      <c r="S7602" t="str">
        <f>VLOOKUP(record[[#This Row],[employeeID]],員工[],2,FALSE)</f>
        <v>廖俊彥</v>
      </c>
    </row>
    <row r="7603" spans="6:19" hidden="1" x14ac:dyDescent="0.25">
      <c r="F7603" t="s">
        <v>1024</v>
      </c>
      <c r="G7603" t="s">
        <v>416</v>
      </c>
      <c r="H7603" t="str">
        <f>VLOOKUP(record[[#This Row],[ProcessSN]],表格2_7[],2,FALSE)</f>
        <v>30-4118-018-5XX</v>
      </c>
      <c r="I7603" t="str">
        <f>VLOOKUP(record[[#This Row],[ProcessSN]],表格2_7[],3,FALSE)</f>
        <v>#05</v>
      </c>
      <c r="J7603" t="s">
        <v>588</v>
      </c>
      <c r="K7603" s="195">
        <v>45910.660416666666</v>
      </c>
      <c r="L7603">
        <v>151</v>
      </c>
      <c r="M7603">
        <v>0</v>
      </c>
      <c r="N7603" s="98" t="str">
        <f>IF(record[[#This Row],[Memo]]="Browser:chrome os:android","平板報工",IF(record[[#This Row],[Memo]]=0,"委外",record[[#This Row],[Memo]]))</f>
        <v/>
      </c>
      <c r="O7603" t="s">
        <v>58</v>
      </c>
      <c r="P7603" t="s">
        <v>119</v>
      </c>
      <c r="Q7603" t="s">
        <v>58</v>
      </c>
      <c r="R7603" t="str">
        <f>IFERROR(VLOOKUP(record[[#This Row],[PCUSTID]],廠商[],2,FALSE),"")</f>
        <v/>
      </c>
      <c r="S7603" t="str">
        <f>VLOOKUP(record[[#This Row],[employeeID]],員工[],2,FALSE)</f>
        <v>廖俊彥</v>
      </c>
    </row>
    <row r="7604" spans="6:19" hidden="1" x14ac:dyDescent="0.25">
      <c r="F7604" t="s">
        <v>1024</v>
      </c>
      <c r="G7604" t="s">
        <v>415</v>
      </c>
      <c r="H7604" t="str">
        <f>VLOOKUP(record[[#This Row],[ProcessSN]],表格2_7[],2,FALSE)</f>
        <v>30-4118-018-5XX</v>
      </c>
      <c r="I7604" t="str">
        <f>VLOOKUP(record[[#This Row],[ProcessSN]],表格2_7[],3,FALSE)</f>
        <v>#04</v>
      </c>
      <c r="J7604" t="s">
        <v>588</v>
      </c>
      <c r="K7604" s="195">
        <v>45910.660219907404</v>
      </c>
      <c r="L7604">
        <v>136</v>
      </c>
      <c r="M7604">
        <v>0</v>
      </c>
      <c r="N7604" s="98" t="str">
        <f>IF(record[[#This Row],[Memo]]="Browser:chrome os:android","平板報工",IF(record[[#This Row],[Memo]]=0,"委外",record[[#This Row],[Memo]]))</f>
        <v/>
      </c>
      <c r="O7604" t="s">
        <v>58</v>
      </c>
      <c r="P7604" t="s">
        <v>119</v>
      </c>
      <c r="Q7604" t="s">
        <v>58</v>
      </c>
      <c r="R7604" t="str">
        <f>IFERROR(VLOOKUP(record[[#This Row],[PCUSTID]],廠商[],2,FALSE),"")</f>
        <v/>
      </c>
      <c r="S7604" t="str">
        <f>VLOOKUP(record[[#This Row],[employeeID]],員工[],2,FALSE)</f>
        <v>廖俊彥</v>
      </c>
    </row>
    <row r="7605" spans="6:19" hidden="1" x14ac:dyDescent="0.25">
      <c r="F7605" t="s">
        <v>999</v>
      </c>
      <c r="G7605" t="s">
        <v>399</v>
      </c>
      <c r="H7605" t="str">
        <f>VLOOKUP(record[[#This Row],[ProcessSN]],表格2_7[],2,FALSE)</f>
        <v>30-4118-018-550</v>
      </c>
      <c r="I7605" t="str">
        <f>VLOOKUP(record[[#This Row],[ProcessSN]],表格2_7[],3,FALSE)</f>
        <v>#08IQC</v>
      </c>
      <c r="J7605" t="s">
        <v>583</v>
      </c>
      <c r="K7605" s="195">
        <v>45910.652812499997</v>
      </c>
      <c r="L7605">
        <v>1</v>
      </c>
      <c r="M7605">
        <v>0</v>
      </c>
      <c r="N7605" s="98" t="str">
        <f>IF(record[[#This Row],[Memo]]="Browser:chrome os:android","平板報工",IF(record[[#This Row],[Memo]]=0,"委外",record[[#This Row],[Memo]]))</f>
        <v>覆回品</v>
      </c>
      <c r="O7605" t="s">
        <v>664</v>
      </c>
      <c r="P7605" t="s">
        <v>186</v>
      </c>
      <c r="Q7605" t="s">
        <v>58</v>
      </c>
      <c r="R7605" t="str">
        <f>IFERROR(VLOOKUP(record[[#This Row],[PCUSTID]],廠商[],2,FALSE),"")</f>
        <v/>
      </c>
      <c r="S7605" t="str">
        <f>VLOOKUP(record[[#This Row],[employeeID]],員工[],2,FALSE)</f>
        <v>許文姍</v>
      </c>
    </row>
    <row r="7606" spans="6:19" hidden="1" x14ac:dyDescent="0.25">
      <c r="F7606" t="s">
        <v>999</v>
      </c>
      <c r="G7606" t="s">
        <v>398</v>
      </c>
      <c r="H7606" t="str">
        <f>VLOOKUP(record[[#This Row],[ProcessSN]],表格2_7[],2,FALSE)</f>
        <v>30-4118-018-550</v>
      </c>
      <c r="I7606" t="str">
        <f>VLOOKUP(record[[#This Row],[ProcessSN]],表格2_7[],3,FALSE)</f>
        <v>#08RCV</v>
      </c>
      <c r="J7606" t="s">
        <v>591</v>
      </c>
      <c r="K7606" s="195">
        <v>45910.652465277781</v>
      </c>
      <c r="L7606">
        <v>1</v>
      </c>
      <c r="M7606">
        <v>0</v>
      </c>
      <c r="N7606" s="98" t="str">
        <f>IF(record[[#This Row],[Memo]]="Browser:chrome os:android","平板報工",IF(record[[#This Row],[Memo]]=0,"委外",record[[#This Row],[Memo]]))</f>
        <v/>
      </c>
      <c r="O7606" t="s">
        <v>58</v>
      </c>
      <c r="P7606" t="s">
        <v>186</v>
      </c>
      <c r="Q7606" t="s">
        <v>58</v>
      </c>
      <c r="R7606" t="str">
        <f>IFERROR(VLOOKUP(record[[#This Row],[PCUSTID]],廠商[],2,FALSE),"")</f>
        <v/>
      </c>
      <c r="S7606" t="str">
        <f>VLOOKUP(record[[#This Row],[employeeID]],員工[],2,FALSE)</f>
        <v>許文姍</v>
      </c>
    </row>
    <row r="7607" spans="6:19" hidden="1" x14ac:dyDescent="0.25">
      <c r="F7607" t="s">
        <v>1041</v>
      </c>
      <c r="G7607" t="s">
        <v>357</v>
      </c>
      <c r="H7607" t="str">
        <f>VLOOKUP(record[[#This Row],[ProcessSN]],表格2_7[],2,FALSE)</f>
        <v>30-4118-018-450</v>
      </c>
      <c r="I7607" t="str">
        <f>VLOOKUP(record[[#This Row],[ProcessSN]],表格2_7[],3,FALSE)</f>
        <v>#08RCV</v>
      </c>
      <c r="J7607" t="s">
        <v>591</v>
      </c>
      <c r="K7607" s="195">
        <v>45910.640046296299</v>
      </c>
      <c r="L7607">
        <v>0</v>
      </c>
      <c r="M7607">
        <v>3</v>
      </c>
      <c r="N7607" s="98" t="str">
        <f>IF(record[[#This Row],[Memo]]="Browser:chrome os:android","平板報工",IF(record[[#This Row],[Memo]]=0,"委外",record[[#This Row],[Memo]]))</f>
        <v/>
      </c>
      <c r="O7607" t="s">
        <v>58</v>
      </c>
      <c r="P7607" t="s">
        <v>186</v>
      </c>
      <c r="Q7607" t="s">
        <v>58</v>
      </c>
      <c r="R7607" t="str">
        <f>IFERROR(VLOOKUP(record[[#This Row],[PCUSTID]],廠商[],2,FALSE),"")</f>
        <v/>
      </c>
      <c r="S7607" t="str">
        <f>VLOOKUP(record[[#This Row],[employeeID]],員工[],2,FALSE)</f>
        <v>許文姍</v>
      </c>
    </row>
    <row r="7608" spans="6:19" hidden="1" x14ac:dyDescent="0.25">
      <c r="F7608" t="s">
        <v>1041</v>
      </c>
      <c r="G7608" t="s">
        <v>357</v>
      </c>
      <c r="H7608" t="str">
        <f>VLOOKUP(record[[#This Row],[ProcessSN]],表格2_7[],2,FALSE)</f>
        <v>30-4118-018-450</v>
      </c>
      <c r="I7608" t="str">
        <f>VLOOKUP(record[[#This Row],[ProcessSN]],表格2_7[],3,FALSE)</f>
        <v>#08RCV</v>
      </c>
      <c r="J7608" t="s">
        <v>591</v>
      </c>
      <c r="K7608" s="195">
        <v>45910.63994212963</v>
      </c>
      <c r="L7608">
        <v>323</v>
      </c>
      <c r="M7608">
        <v>0</v>
      </c>
      <c r="N7608" s="98" t="str">
        <f>IF(record[[#This Row],[Memo]]="Browser:chrome os:android","平板報工",IF(record[[#This Row],[Memo]]=0,"委外",record[[#This Row],[Memo]]))</f>
        <v/>
      </c>
      <c r="O7608" t="s">
        <v>58</v>
      </c>
      <c r="P7608" t="s">
        <v>186</v>
      </c>
      <c r="Q7608" t="s">
        <v>58</v>
      </c>
      <c r="R7608" t="str">
        <f>IFERROR(VLOOKUP(record[[#This Row],[PCUSTID]],廠商[],2,FALSE),"")</f>
        <v/>
      </c>
      <c r="S7608" t="str">
        <f>VLOOKUP(record[[#This Row],[employeeID]],員工[],2,FALSE)</f>
        <v>許文姍</v>
      </c>
    </row>
    <row r="7609" spans="6:19" hidden="1" x14ac:dyDescent="0.25">
      <c r="F7609" t="s">
        <v>937</v>
      </c>
      <c r="G7609" t="s">
        <v>428</v>
      </c>
      <c r="H7609" t="str">
        <f>VLOOKUP(record[[#This Row],[ProcessSN]],表格2_7[],2,FALSE)</f>
        <v>30-4118-018-600</v>
      </c>
      <c r="I7609" t="str">
        <f>VLOOKUP(record[[#This Row],[ProcessSN]],表格2_7[],3,FALSE)</f>
        <v>#100SHIP</v>
      </c>
      <c r="J7609" t="s">
        <v>600</v>
      </c>
      <c r="K7609" s="195">
        <v>45910.619513888887</v>
      </c>
      <c r="L7609">
        <v>4</v>
      </c>
      <c r="M7609">
        <v>0</v>
      </c>
      <c r="N7609" s="98" t="str">
        <f>IF(record[[#This Row],[Memo]]="Browser:chrome os:android","平板報工",IF(record[[#This Row],[Memo]]=0,"委外",record[[#This Row],[Memo]]))</f>
        <v/>
      </c>
      <c r="O7609" t="s">
        <v>58</v>
      </c>
      <c r="P7609" t="s">
        <v>886</v>
      </c>
      <c r="Q7609" t="s">
        <v>58</v>
      </c>
      <c r="R7609" t="str">
        <f>IFERROR(VLOOKUP(record[[#This Row],[PCUSTID]],廠商[],2,FALSE),"")</f>
        <v/>
      </c>
      <c r="S7609" t="str">
        <f>VLOOKUP(record[[#This Row],[employeeID]],員工[],2,FALSE)</f>
        <v>謝蓁薰</v>
      </c>
    </row>
    <row r="7610" spans="6:19" hidden="1" x14ac:dyDescent="0.25">
      <c r="F7610" t="s">
        <v>820</v>
      </c>
      <c r="G7610" t="s">
        <v>428</v>
      </c>
      <c r="H7610" t="str">
        <f>VLOOKUP(record[[#This Row],[ProcessSN]],表格2_7[],2,FALSE)</f>
        <v>30-4118-018-600</v>
      </c>
      <c r="I7610" t="str">
        <f>VLOOKUP(record[[#This Row],[ProcessSN]],表格2_7[],3,FALSE)</f>
        <v>#100SHIP</v>
      </c>
      <c r="J7610" t="s">
        <v>600</v>
      </c>
      <c r="K7610" s="195">
        <v>45910.619386574072</v>
      </c>
      <c r="L7610">
        <v>2</v>
      </c>
      <c r="M7610">
        <v>0</v>
      </c>
      <c r="N7610" s="98" t="str">
        <f>IF(record[[#This Row],[Memo]]="Browser:chrome os:android","平板報工",IF(record[[#This Row],[Memo]]=0,"委外",record[[#This Row],[Memo]]))</f>
        <v/>
      </c>
      <c r="O7610" t="s">
        <v>58</v>
      </c>
      <c r="P7610" t="s">
        <v>886</v>
      </c>
      <c r="Q7610" t="s">
        <v>58</v>
      </c>
      <c r="R7610" t="str">
        <f>IFERROR(VLOOKUP(record[[#This Row],[PCUSTID]],廠商[],2,FALSE),"")</f>
        <v/>
      </c>
      <c r="S7610" t="str">
        <f>VLOOKUP(record[[#This Row],[employeeID]],員工[],2,FALSE)</f>
        <v>謝蓁薰</v>
      </c>
    </row>
    <row r="7611" spans="6:19" hidden="1" x14ac:dyDescent="0.25">
      <c r="F7611" t="s">
        <v>1033</v>
      </c>
      <c r="G7611" t="s">
        <v>403</v>
      </c>
      <c r="H7611" t="str">
        <f>VLOOKUP(record[[#This Row],[ProcessSN]],表格2_7[],2,FALSE)</f>
        <v>30-4118-018-550</v>
      </c>
      <c r="I7611" t="str">
        <f>VLOOKUP(record[[#This Row],[ProcessSN]],表格2_7[],3,FALSE)</f>
        <v>#100SHIP</v>
      </c>
      <c r="J7611" t="s">
        <v>600</v>
      </c>
      <c r="K7611" s="195">
        <v>45910.619085648148</v>
      </c>
      <c r="L7611">
        <v>77</v>
      </c>
      <c r="M7611">
        <v>0</v>
      </c>
      <c r="N7611" s="98" t="str">
        <f>IF(record[[#This Row],[Memo]]="Browser:chrome os:android","平板報工",IF(record[[#This Row],[Memo]]=0,"委外",record[[#This Row],[Memo]]))</f>
        <v/>
      </c>
      <c r="O7611" t="s">
        <v>58</v>
      </c>
      <c r="P7611" t="s">
        <v>886</v>
      </c>
      <c r="Q7611" t="s">
        <v>58</v>
      </c>
      <c r="R7611" t="str">
        <f>IFERROR(VLOOKUP(record[[#This Row],[PCUSTID]],廠商[],2,FALSE),"")</f>
        <v/>
      </c>
      <c r="S7611" t="str">
        <f>VLOOKUP(record[[#This Row],[employeeID]],員工[],2,FALSE)</f>
        <v>謝蓁薰</v>
      </c>
    </row>
    <row r="7612" spans="6:19" hidden="1" x14ac:dyDescent="0.25">
      <c r="F7612" t="s">
        <v>1033</v>
      </c>
      <c r="G7612" t="s">
        <v>402</v>
      </c>
      <c r="H7612" t="str">
        <f>VLOOKUP(record[[#This Row],[ProcessSN]],表格2_7[],2,FALSE)</f>
        <v>30-4118-018-550</v>
      </c>
      <c r="I7612" t="str">
        <f>VLOOKUP(record[[#This Row],[ProcessSN]],表格2_7[],3,FALSE)</f>
        <v>#100STOCK</v>
      </c>
      <c r="J7612" t="s">
        <v>592</v>
      </c>
      <c r="K7612" s="195">
        <v>45910.618969907409</v>
      </c>
      <c r="L7612">
        <v>77</v>
      </c>
      <c r="M7612">
        <v>0</v>
      </c>
      <c r="N7612" s="98" t="str">
        <f>IF(record[[#This Row],[Memo]]="Browser:chrome os:android","平板報工",IF(record[[#This Row],[Memo]]=0,"委外",record[[#This Row],[Memo]]))</f>
        <v/>
      </c>
      <c r="O7612" t="s">
        <v>58</v>
      </c>
      <c r="P7612" t="s">
        <v>886</v>
      </c>
      <c r="Q7612" t="s">
        <v>58</v>
      </c>
      <c r="R7612" t="str">
        <f>IFERROR(VLOOKUP(record[[#This Row],[PCUSTID]],廠商[],2,FALSE),"")</f>
        <v/>
      </c>
      <c r="S7612" t="str">
        <f>VLOOKUP(record[[#This Row],[employeeID]],員工[],2,FALSE)</f>
        <v>謝蓁薰</v>
      </c>
    </row>
    <row r="7613" spans="6:19" hidden="1" x14ac:dyDescent="0.25">
      <c r="F7613" t="s">
        <v>1022</v>
      </c>
      <c r="G7613" t="s">
        <v>403</v>
      </c>
      <c r="H7613" t="str">
        <f>VLOOKUP(record[[#This Row],[ProcessSN]],表格2_7[],2,FALSE)</f>
        <v>30-4118-018-550</v>
      </c>
      <c r="I7613" t="str">
        <f>VLOOKUP(record[[#This Row],[ProcessSN]],表格2_7[],3,FALSE)</f>
        <v>#100SHIP</v>
      </c>
      <c r="J7613" t="s">
        <v>600</v>
      </c>
      <c r="K7613" s="195">
        <v>45910.618506944447</v>
      </c>
      <c r="L7613">
        <v>46</v>
      </c>
      <c r="M7613">
        <v>0</v>
      </c>
      <c r="N7613" s="98" t="str">
        <f>IF(record[[#This Row],[Memo]]="Browser:chrome os:android","平板報工",IF(record[[#This Row],[Memo]]=0,"委外",record[[#This Row],[Memo]]))</f>
        <v/>
      </c>
      <c r="O7613" t="s">
        <v>58</v>
      </c>
      <c r="P7613" t="s">
        <v>886</v>
      </c>
      <c r="Q7613" t="s">
        <v>58</v>
      </c>
      <c r="R7613" t="str">
        <f>IFERROR(VLOOKUP(record[[#This Row],[PCUSTID]],廠商[],2,FALSE),"")</f>
        <v/>
      </c>
      <c r="S7613" t="str">
        <f>VLOOKUP(record[[#This Row],[employeeID]],員工[],2,FALSE)</f>
        <v>謝蓁薰</v>
      </c>
    </row>
    <row r="7614" spans="6:19" hidden="1" x14ac:dyDescent="0.25">
      <c r="F7614" t="s">
        <v>1022</v>
      </c>
      <c r="G7614" t="s">
        <v>402</v>
      </c>
      <c r="H7614" t="str">
        <f>VLOOKUP(record[[#This Row],[ProcessSN]],表格2_7[],2,FALSE)</f>
        <v>30-4118-018-550</v>
      </c>
      <c r="I7614" t="str">
        <f>VLOOKUP(record[[#This Row],[ProcessSN]],表格2_7[],3,FALSE)</f>
        <v>#100STOCK</v>
      </c>
      <c r="J7614" t="s">
        <v>592</v>
      </c>
      <c r="K7614" s="195">
        <v>45910.616597222222</v>
      </c>
      <c r="L7614">
        <v>46</v>
      </c>
      <c r="M7614">
        <v>0</v>
      </c>
      <c r="N7614" s="98" t="str">
        <f>IF(record[[#This Row],[Memo]]="Browser:chrome os:android","平板報工",IF(record[[#This Row],[Memo]]=0,"委外",record[[#This Row],[Memo]]))</f>
        <v/>
      </c>
      <c r="O7614" t="s">
        <v>58</v>
      </c>
      <c r="P7614" t="s">
        <v>886</v>
      </c>
      <c r="Q7614" t="s">
        <v>58</v>
      </c>
      <c r="R7614" t="str">
        <f>IFERROR(VLOOKUP(record[[#This Row],[PCUSTID]],廠商[],2,FALSE),"")</f>
        <v/>
      </c>
      <c r="S7614" t="str">
        <f>VLOOKUP(record[[#This Row],[employeeID]],員工[],2,FALSE)</f>
        <v>謝蓁薰</v>
      </c>
    </row>
    <row r="7615" spans="6:19" hidden="1" x14ac:dyDescent="0.25">
      <c r="F7615" t="s">
        <v>1043</v>
      </c>
      <c r="G7615" t="s">
        <v>464</v>
      </c>
      <c r="H7615" t="str">
        <f>VLOOKUP(record[[#This Row],[ProcessSN]],表格2_7[],2,FALSE)</f>
        <v>30-4118-018-XXX</v>
      </c>
      <c r="I7615" t="str">
        <f>VLOOKUP(record[[#This Row],[ProcessSN]],表格2_7[],3,FALSE)</f>
        <v>#01GIVE</v>
      </c>
      <c r="J7615" t="s">
        <v>587</v>
      </c>
      <c r="K7615" s="195">
        <v>45910.487488425926</v>
      </c>
      <c r="L7615">
        <v>3840</v>
      </c>
      <c r="M7615">
        <v>0</v>
      </c>
      <c r="N7615" s="98" t="str">
        <f>IF(record[[#This Row],[Memo]]="Browser:chrome os:android","平板報工",IF(record[[#This Row],[Memo]]=0,"委外",record[[#This Row],[Memo]]))</f>
        <v/>
      </c>
      <c r="O7615" t="s">
        <v>58</v>
      </c>
      <c r="P7615" t="s">
        <v>208</v>
      </c>
      <c r="Q7615" t="s">
        <v>58</v>
      </c>
      <c r="R7615" t="str">
        <f>IFERROR(VLOOKUP(record[[#This Row],[PCUSTID]],廠商[],2,FALSE),"")</f>
        <v/>
      </c>
      <c r="S7615" t="str">
        <f>VLOOKUP(record[[#This Row],[employeeID]],員工[],2,FALSE)</f>
        <v>陳治宏</v>
      </c>
    </row>
    <row r="7616" spans="6:19" hidden="1" x14ac:dyDescent="0.25">
      <c r="F7616" t="s">
        <v>989</v>
      </c>
      <c r="G7616" t="s">
        <v>469</v>
      </c>
      <c r="H7616" t="str">
        <f>VLOOKUP(record[[#This Row],[ProcessSN]],表格2_7[],2,FALSE)</f>
        <v>30-4118-018-XXX</v>
      </c>
      <c r="I7616" t="str">
        <f>VLOOKUP(record[[#This Row],[ProcessSN]],表格2_7[],3,FALSE)</f>
        <v>#02RCV</v>
      </c>
      <c r="J7616" t="s">
        <v>591</v>
      </c>
      <c r="K7616" s="195">
        <v>45910.47283564815</v>
      </c>
      <c r="L7616">
        <v>1176</v>
      </c>
      <c r="M7616">
        <v>0</v>
      </c>
      <c r="N7616" s="98" t="str">
        <f>IF(record[[#This Row],[Memo]]="Browser:chrome os:android","平板報工",IF(record[[#This Row],[Memo]]=0,"委外",record[[#This Row],[Memo]]))</f>
        <v/>
      </c>
      <c r="O7616" t="s">
        <v>58</v>
      </c>
      <c r="P7616" t="s">
        <v>186</v>
      </c>
      <c r="Q7616" t="s">
        <v>58</v>
      </c>
      <c r="R7616" t="str">
        <f>IFERROR(VLOOKUP(record[[#This Row],[PCUSTID]],廠商[],2,FALSE),"")</f>
        <v/>
      </c>
      <c r="S7616" t="str">
        <f>VLOOKUP(record[[#This Row],[employeeID]],員工[],2,FALSE)</f>
        <v>許文姍</v>
      </c>
    </row>
    <row r="7617" spans="6:19" hidden="1" x14ac:dyDescent="0.25">
      <c r="F7617" t="s">
        <v>951</v>
      </c>
      <c r="G7617" t="s">
        <v>427</v>
      </c>
      <c r="H7617" t="str">
        <f>VLOOKUP(record[[#This Row],[ProcessSN]],表格2_7[],2,FALSE)</f>
        <v>30-4118-018-600</v>
      </c>
      <c r="I7617" t="str">
        <f>VLOOKUP(record[[#This Row],[ProcessSN]],表格2_7[],3,FALSE)</f>
        <v>#100STOCK</v>
      </c>
      <c r="J7617" t="s">
        <v>592</v>
      </c>
      <c r="K7617" s="195">
        <v>45910.465219907404</v>
      </c>
      <c r="L7617">
        <v>6</v>
      </c>
      <c r="M7617">
        <v>0</v>
      </c>
      <c r="N7617" s="98" t="str">
        <f>IF(record[[#This Row],[Memo]]="Browser:chrome os:android","平板報工",IF(record[[#This Row],[Memo]]=0,"委外",record[[#This Row],[Memo]]))</f>
        <v/>
      </c>
      <c r="O7617" t="s">
        <v>58</v>
      </c>
      <c r="P7617" t="s">
        <v>886</v>
      </c>
      <c r="Q7617" t="s">
        <v>58</v>
      </c>
      <c r="R7617" t="str">
        <f>IFERROR(VLOOKUP(record[[#This Row],[PCUSTID]],廠商[],2,FALSE),"")</f>
        <v/>
      </c>
      <c r="S7617" t="str">
        <f>VLOOKUP(record[[#This Row],[employeeID]],員工[],2,FALSE)</f>
        <v>謝蓁薰</v>
      </c>
    </row>
    <row r="7618" spans="6:19" hidden="1" x14ac:dyDescent="0.25">
      <c r="F7618" t="s">
        <v>1018</v>
      </c>
      <c r="G7618" t="s">
        <v>417</v>
      </c>
      <c r="H7618" t="str">
        <f>VLOOKUP(record[[#This Row],[ProcessSN]],表格2_7[],2,FALSE)</f>
        <v>30-4118-018-5XX</v>
      </c>
      <c r="I7618" t="str">
        <f>VLOOKUP(record[[#This Row],[ProcessSN]],表格2_7[],3,FALSE)</f>
        <v>#06</v>
      </c>
      <c r="J7618" t="s">
        <v>593</v>
      </c>
      <c r="K7618" s="195">
        <v>45910.314166666663</v>
      </c>
      <c r="L7618">
        <v>63</v>
      </c>
      <c r="M7618">
        <v>0</v>
      </c>
      <c r="N7618" s="98" t="str">
        <f>IF(record[[#This Row],[Memo]]="Browser:chrome os:android","平板報工",IF(record[[#This Row],[Memo]]=0,"委外",record[[#This Row],[Memo]]))</f>
        <v/>
      </c>
      <c r="O7618" t="s">
        <v>58</v>
      </c>
      <c r="P7618" t="s">
        <v>135</v>
      </c>
      <c r="Q7618" t="s">
        <v>58</v>
      </c>
      <c r="R7618" t="str">
        <f>IFERROR(VLOOKUP(record[[#This Row],[PCUSTID]],廠商[],2,FALSE),"")</f>
        <v/>
      </c>
      <c r="S7618" t="str">
        <f>VLOOKUP(record[[#This Row],[employeeID]],員工[],2,FALSE)</f>
        <v>阮士文</v>
      </c>
    </row>
    <row r="7619" spans="6:19" hidden="1" x14ac:dyDescent="0.25">
      <c r="F7619" t="s">
        <v>1024</v>
      </c>
      <c r="G7619" t="s">
        <v>417</v>
      </c>
      <c r="H7619" t="str">
        <f>VLOOKUP(record[[#This Row],[ProcessSN]],表格2_7[],2,FALSE)</f>
        <v>30-4118-018-5XX</v>
      </c>
      <c r="I7619" t="str">
        <f>VLOOKUP(record[[#This Row],[ProcessSN]],表格2_7[],3,FALSE)</f>
        <v>#06</v>
      </c>
      <c r="J7619" t="s">
        <v>593</v>
      </c>
      <c r="K7619" s="195">
        <v>45910.313993055555</v>
      </c>
      <c r="L7619">
        <v>38</v>
      </c>
      <c r="M7619">
        <v>0</v>
      </c>
      <c r="N7619" s="98" t="str">
        <f>IF(record[[#This Row],[Memo]]="Browser:chrome os:android","平板報工",IF(record[[#This Row],[Memo]]=0,"委外",record[[#This Row],[Memo]]))</f>
        <v/>
      </c>
      <c r="O7619" t="s">
        <v>58</v>
      </c>
      <c r="P7619" t="s">
        <v>135</v>
      </c>
      <c r="Q7619" t="s">
        <v>58</v>
      </c>
      <c r="R7619" t="str">
        <f>IFERROR(VLOOKUP(record[[#This Row],[PCUSTID]],廠商[],2,FALSE),"")</f>
        <v/>
      </c>
      <c r="S7619" t="str">
        <f>VLOOKUP(record[[#This Row],[employeeID]],員工[],2,FALSE)</f>
        <v>阮士文</v>
      </c>
    </row>
    <row r="7620" spans="6:19" hidden="1" x14ac:dyDescent="0.25">
      <c r="F7620" t="s">
        <v>1024</v>
      </c>
      <c r="G7620" t="s">
        <v>415</v>
      </c>
      <c r="H7620" t="str">
        <f>VLOOKUP(record[[#This Row],[ProcessSN]],表格2_7[],2,FALSE)</f>
        <v>30-4118-018-5XX</v>
      </c>
      <c r="I7620" t="str">
        <f>VLOOKUP(record[[#This Row],[ProcessSN]],表格2_7[],3,FALSE)</f>
        <v>#04</v>
      </c>
      <c r="J7620" t="s">
        <v>588</v>
      </c>
      <c r="K7620" s="195">
        <v>45910.311608796299</v>
      </c>
      <c r="L7620">
        <v>15</v>
      </c>
      <c r="M7620">
        <v>17</v>
      </c>
      <c r="N7620" s="98" t="str">
        <f>IF(record[[#This Row],[Memo]]="Browser:chrome os:android","平板報工",IF(record[[#This Row],[Memo]]=0,"委外",record[[#This Row],[Memo]]))</f>
        <v/>
      </c>
      <c r="O7620" t="s">
        <v>58</v>
      </c>
      <c r="P7620" t="s">
        <v>135</v>
      </c>
      <c r="Q7620" t="s">
        <v>58</v>
      </c>
      <c r="R7620" t="str">
        <f>IFERROR(VLOOKUP(record[[#This Row],[PCUSTID]],廠商[],2,FALSE),"")</f>
        <v/>
      </c>
      <c r="S7620" t="str">
        <f>VLOOKUP(record[[#This Row],[employeeID]],員工[],2,FALSE)</f>
        <v>阮士文</v>
      </c>
    </row>
    <row r="7621" spans="6:19" hidden="1" x14ac:dyDescent="0.25">
      <c r="F7621" t="s">
        <v>1018</v>
      </c>
      <c r="G7621" t="s">
        <v>415</v>
      </c>
      <c r="H7621" t="str">
        <f>VLOOKUP(record[[#This Row],[ProcessSN]],表格2_7[],2,FALSE)</f>
        <v>30-4118-018-5XX</v>
      </c>
      <c r="I7621" t="str">
        <f>VLOOKUP(record[[#This Row],[ProcessSN]],表格2_7[],3,FALSE)</f>
        <v>#04</v>
      </c>
      <c r="J7621" t="s">
        <v>588</v>
      </c>
      <c r="K7621" s="195">
        <v>45910.311423611114</v>
      </c>
      <c r="L7621">
        <v>105</v>
      </c>
      <c r="M7621">
        <v>0</v>
      </c>
      <c r="N7621" s="98" t="str">
        <f>IF(record[[#This Row],[Memo]]="Browser:chrome os:android","平板報工",IF(record[[#This Row],[Memo]]=0,"委外",record[[#This Row],[Memo]]))</f>
        <v/>
      </c>
      <c r="O7621" t="s">
        <v>58</v>
      </c>
      <c r="P7621" t="s">
        <v>135</v>
      </c>
      <c r="Q7621" t="s">
        <v>58</v>
      </c>
      <c r="R7621" t="str">
        <f>IFERROR(VLOOKUP(record[[#This Row],[PCUSTID]],廠商[],2,FALSE),"")</f>
        <v/>
      </c>
      <c r="S7621" t="str">
        <f>VLOOKUP(record[[#This Row],[employeeID]],員工[],2,FALSE)</f>
        <v>阮士文</v>
      </c>
    </row>
    <row r="7622" spans="6:19" hidden="1" x14ac:dyDescent="0.25">
      <c r="F7622" t="s">
        <v>1024</v>
      </c>
      <c r="G7622" t="s">
        <v>417</v>
      </c>
      <c r="H7622" t="str">
        <f>VLOOKUP(record[[#This Row],[ProcessSN]],表格2_7[],2,FALSE)</f>
        <v>30-4118-018-5XX</v>
      </c>
      <c r="I7622" t="str">
        <f>VLOOKUP(record[[#This Row],[ProcessSN]],表格2_7[],3,FALSE)</f>
        <v>#06</v>
      </c>
      <c r="J7622" t="s">
        <v>593</v>
      </c>
      <c r="K7622" s="195">
        <v>45909.951365740744</v>
      </c>
      <c r="L7622">
        <v>121</v>
      </c>
      <c r="M7622">
        <v>0</v>
      </c>
      <c r="N7622" s="98" t="str">
        <f>IF(record[[#This Row],[Memo]]="Browser:chrome os:android","平板報工",IF(record[[#This Row],[Memo]]=0,"委外",record[[#This Row],[Memo]]))</f>
        <v/>
      </c>
      <c r="O7622" t="s">
        <v>58</v>
      </c>
      <c r="P7622" t="s">
        <v>841</v>
      </c>
      <c r="Q7622" t="s">
        <v>58</v>
      </c>
      <c r="R7622" t="str">
        <f>IFERROR(VLOOKUP(record[[#This Row],[PCUSTID]],廠商[],2,FALSE),"")</f>
        <v/>
      </c>
      <c r="S7622" t="str">
        <f>VLOOKUP(record[[#This Row],[employeeID]],員工[],2,FALSE)</f>
        <v>范氏香</v>
      </c>
    </row>
    <row r="7623" spans="6:19" hidden="1" x14ac:dyDescent="0.25">
      <c r="F7623" t="s">
        <v>1025</v>
      </c>
      <c r="G7623" t="s">
        <v>447</v>
      </c>
      <c r="H7623" t="str">
        <f>VLOOKUP(record[[#This Row],[ProcessSN]],表格2_7[],2,FALSE)</f>
        <v>30-4118-018-6XX</v>
      </c>
      <c r="I7623" t="str">
        <f>VLOOKUP(record[[#This Row],[ProcessSN]],表格2_7[],3,FALSE)</f>
        <v>#03</v>
      </c>
      <c r="J7623" t="s">
        <v>588</v>
      </c>
      <c r="K7623" s="195">
        <v>45909.945173611108</v>
      </c>
      <c r="L7623">
        <v>375</v>
      </c>
      <c r="M7623">
        <v>0</v>
      </c>
      <c r="N7623" s="98" t="str">
        <f>IF(record[[#This Row],[Memo]]="Browser:chrome os:android","平板報工",IF(record[[#This Row],[Memo]]=0,"委外",record[[#This Row],[Memo]]))</f>
        <v/>
      </c>
      <c r="O7623" t="s">
        <v>58</v>
      </c>
      <c r="P7623" t="s">
        <v>89</v>
      </c>
      <c r="Q7623" t="s">
        <v>58</v>
      </c>
      <c r="R7623" t="str">
        <f>IFERROR(VLOOKUP(record[[#This Row],[PCUSTID]],廠商[],2,FALSE),"")</f>
        <v/>
      </c>
      <c r="S7623" t="str">
        <f>VLOOKUP(record[[#This Row],[employeeID]],員工[],2,FALSE)</f>
        <v>李美蓮</v>
      </c>
    </row>
    <row r="7624" spans="6:19" hidden="1" x14ac:dyDescent="0.25">
      <c r="F7624" t="s">
        <v>1018</v>
      </c>
      <c r="G7624" t="s">
        <v>416</v>
      </c>
      <c r="H7624" t="str">
        <f>VLOOKUP(record[[#This Row],[ProcessSN]],表格2_7[],2,FALSE)</f>
        <v>30-4118-018-5XX</v>
      </c>
      <c r="I7624" t="str">
        <f>VLOOKUP(record[[#This Row],[ProcessSN]],表格2_7[],3,FALSE)</f>
        <v>#05</v>
      </c>
      <c r="J7624" t="s">
        <v>588</v>
      </c>
      <c r="K7624" s="195">
        <v>45909.944895833331</v>
      </c>
      <c r="L7624">
        <v>149</v>
      </c>
      <c r="M7624">
        <v>0</v>
      </c>
      <c r="N7624" s="98" t="str">
        <f>IF(record[[#This Row],[Memo]]="Browser:chrome os:android","平板報工",IF(record[[#This Row],[Memo]]=0,"委外",record[[#This Row],[Memo]]))</f>
        <v/>
      </c>
      <c r="O7624" t="s">
        <v>58</v>
      </c>
      <c r="P7624" t="s">
        <v>89</v>
      </c>
      <c r="Q7624" t="s">
        <v>58</v>
      </c>
      <c r="R7624" t="str">
        <f>IFERROR(VLOOKUP(record[[#This Row],[PCUSTID]],廠商[],2,FALSE),"")</f>
        <v/>
      </c>
      <c r="S7624" t="str">
        <f>VLOOKUP(record[[#This Row],[employeeID]],員工[],2,FALSE)</f>
        <v>李美蓮</v>
      </c>
    </row>
    <row r="7625" spans="6:19" hidden="1" x14ac:dyDescent="0.25">
      <c r="F7625" t="s">
        <v>1018</v>
      </c>
      <c r="G7625" t="s">
        <v>415</v>
      </c>
      <c r="H7625" t="str">
        <f>VLOOKUP(record[[#This Row],[ProcessSN]],表格2_7[],2,FALSE)</f>
        <v>30-4118-018-5XX</v>
      </c>
      <c r="I7625" t="str">
        <f>VLOOKUP(record[[#This Row],[ProcessSN]],表格2_7[],3,FALSE)</f>
        <v>#04</v>
      </c>
      <c r="J7625" t="s">
        <v>588</v>
      </c>
      <c r="K7625" s="195">
        <v>45909.944178240738</v>
      </c>
      <c r="L7625">
        <v>130</v>
      </c>
      <c r="M7625">
        <v>0</v>
      </c>
      <c r="N7625" s="98" t="str">
        <f>IF(record[[#This Row],[Memo]]="Browser:chrome os:android","平板報工",IF(record[[#This Row],[Memo]]=0,"委外",record[[#This Row],[Memo]]))</f>
        <v/>
      </c>
      <c r="O7625" t="s">
        <v>58</v>
      </c>
      <c r="P7625" t="s">
        <v>806</v>
      </c>
      <c r="Q7625" t="s">
        <v>58</v>
      </c>
      <c r="R7625" t="str">
        <f>IFERROR(VLOOKUP(record[[#This Row],[PCUSTID]],廠商[],2,FALSE),"")</f>
        <v/>
      </c>
      <c r="S7625" t="str">
        <f>VLOOKUP(record[[#This Row],[employeeID]],員工[],2,FALSE)</f>
        <v>方思緯</v>
      </c>
    </row>
    <row r="7626" spans="6:19" hidden="1" x14ac:dyDescent="0.25">
      <c r="F7626" t="s">
        <v>1038</v>
      </c>
      <c r="G7626" t="s">
        <v>399</v>
      </c>
      <c r="H7626" t="str">
        <f>VLOOKUP(record[[#This Row],[ProcessSN]],表格2_7[],2,FALSE)</f>
        <v>30-4118-018-550</v>
      </c>
      <c r="I7626" t="str">
        <f>VLOOKUP(record[[#This Row],[ProcessSN]],表格2_7[],3,FALSE)</f>
        <v>#08IQC</v>
      </c>
      <c r="J7626" t="s">
        <v>583</v>
      </c>
      <c r="K7626" s="195">
        <v>45909.78497685185</v>
      </c>
      <c r="L7626">
        <v>285</v>
      </c>
      <c r="M7626">
        <v>0</v>
      </c>
      <c r="N7626" s="98" t="str">
        <f>IF(record[[#This Row],[Memo]]="Browser:chrome os:android","平板報工",IF(record[[#This Row],[Memo]]=0,"委外",record[[#This Row],[Memo]]))</f>
        <v/>
      </c>
      <c r="O7626" t="s">
        <v>58</v>
      </c>
      <c r="P7626" t="s">
        <v>109</v>
      </c>
      <c r="Q7626" t="s">
        <v>58</v>
      </c>
      <c r="R7626" t="str">
        <f>IFERROR(VLOOKUP(record[[#This Row],[PCUSTID]],廠商[],2,FALSE),"")</f>
        <v/>
      </c>
      <c r="S7626" t="str">
        <f>VLOOKUP(record[[#This Row],[employeeID]],員工[],2,FALSE)</f>
        <v>裴氏璧鳳</v>
      </c>
    </row>
    <row r="7627" spans="6:19" hidden="1" x14ac:dyDescent="0.25">
      <c r="F7627" t="s">
        <v>1043</v>
      </c>
      <c r="G7627" t="s">
        <v>463</v>
      </c>
      <c r="H7627" t="str">
        <f>VLOOKUP(record[[#This Row],[ProcessSN]],表格2_7[],2,FALSE)</f>
        <v>30-4118-018-XXX</v>
      </c>
      <c r="I7627" t="str">
        <f>VLOOKUP(record[[#This Row],[ProcessSN]],表格2_7[],3,FALSE)</f>
        <v>#00IQC</v>
      </c>
      <c r="J7627" t="s">
        <v>583</v>
      </c>
      <c r="K7627" s="195">
        <v>45909.780474537038</v>
      </c>
      <c r="L7627">
        <v>3840</v>
      </c>
      <c r="M7627">
        <v>0</v>
      </c>
      <c r="N7627" s="98" t="str">
        <f>IF(record[[#This Row],[Memo]]="Browser:chrome os:android","平板報工",IF(record[[#This Row],[Memo]]=0,"委外",record[[#This Row],[Memo]]))</f>
        <v/>
      </c>
      <c r="O7627" t="s">
        <v>58</v>
      </c>
      <c r="P7627" t="s">
        <v>109</v>
      </c>
      <c r="Q7627" t="s">
        <v>58</v>
      </c>
      <c r="R7627" t="str">
        <f>IFERROR(VLOOKUP(record[[#This Row],[PCUSTID]],廠商[],2,FALSE),"")</f>
        <v/>
      </c>
      <c r="S7627" t="str">
        <f>VLOOKUP(record[[#This Row],[employeeID]],員工[],2,FALSE)</f>
        <v>裴氏璧鳳</v>
      </c>
    </row>
    <row r="7628" spans="6:19" hidden="1" x14ac:dyDescent="0.25">
      <c r="F7628" t="s">
        <v>1035</v>
      </c>
      <c r="G7628" t="s">
        <v>400</v>
      </c>
      <c r="H7628" t="str">
        <f>VLOOKUP(record[[#This Row],[ProcessSN]],表格2_7[],2,FALSE)</f>
        <v>30-4118-018-550</v>
      </c>
      <c r="I7628" t="str">
        <f>VLOOKUP(record[[#This Row],[ProcessSN]],表格2_7[],3,FALSE)</f>
        <v>#100</v>
      </c>
      <c r="J7628" t="s">
        <v>598</v>
      </c>
      <c r="K7628" s="195">
        <v>45909.713912037034</v>
      </c>
      <c r="L7628">
        <v>161</v>
      </c>
      <c r="M7628">
        <v>0</v>
      </c>
      <c r="N7628" s="98" t="str">
        <f>IF(record[[#This Row],[Memo]]="Browser:chrome os:android","平板報工",IF(record[[#This Row],[Memo]]=0,"委外",record[[#This Row],[Memo]]))</f>
        <v/>
      </c>
      <c r="O7628" t="s">
        <v>58</v>
      </c>
      <c r="P7628" t="s">
        <v>141</v>
      </c>
      <c r="Q7628" t="s">
        <v>58</v>
      </c>
      <c r="R7628" t="str">
        <f>IFERROR(VLOOKUP(record[[#This Row],[PCUSTID]],廠商[],2,FALSE),"")</f>
        <v/>
      </c>
      <c r="S7628" t="str">
        <f>VLOOKUP(record[[#This Row],[employeeID]],員工[],2,FALSE)</f>
        <v>蔣梅</v>
      </c>
    </row>
    <row r="7629" spans="6:19" hidden="1" x14ac:dyDescent="0.25">
      <c r="F7629" t="s">
        <v>1035</v>
      </c>
      <c r="G7629" t="s">
        <v>399</v>
      </c>
      <c r="H7629" t="str">
        <f>VLOOKUP(record[[#This Row],[ProcessSN]],表格2_7[],2,FALSE)</f>
        <v>30-4118-018-550</v>
      </c>
      <c r="I7629" t="str">
        <f>VLOOKUP(record[[#This Row],[ProcessSN]],表格2_7[],3,FALSE)</f>
        <v>#08IQC</v>
      </c>
      <c r="J7629" t="s">
        <v>583</v>
      </c>
      <c r="K7629" s="195">
        <v>45909.713703703703</v>
      </c>
      <c r="L7629">
        <v>4</v>
      </c>
      <c r="M7629">
        <v>0</v>
      </c>
      <c r="N7629" s="98" t="str">
        <f>IF(record[[#This Row],[Memo]]="Browser:chrome os:android","平板報工",IF(record[[#This Row],[Memo]]=0,"委外",record[[#This Row],[Memo]]))</f>
        <v>覆回品</v>
      </c>
      <c r="O7629" t="s">
        <v>664</v>
      </c>
      <c r="P7629" t="s">
        <v>141</v>
      </c>
      <c r="Q7629" t="s">
        <v>58</v>
      </c>
      <c r="R7629" t="str">
        <f>IFERROR(VLOOKUP(record[[#This Row],[PCUSTID]],廠商[],2,FALSE),"")</f>
        <v/>
      </c>
      <c r="S7629" t="str">
        <f>VLOOKUP(record[[#This Row],[employeeID]],員工[],2,FALSE)</f>
        <v>蔣梅</v>
      </c>
    </row>
    <row r="7630" spans="6:19" hidden="1" x14ac:dyDescent="0.25">
      <c r="F7630" t="s">
        <v>1035</v>
      </c>
      <c r="G7630" t="s">
        <v>398</v>
      </c>
      <c r="H7630" t="str">
        <f>VLOOKUP(record[[#This Row],[ProcessSN]],表格2_7[],2,FALSE)</f>
        <v>30-4118-018-550</v>
      </c>
      <c r="I7630" t="str">
        <f>VLOOKUP(record[[#This Row],[ProcessSN]],表格2_7[],3,FALSE)</f>
        <v>#08RCV</v>
      </c>
      <c r="J7630" t="s">
        <v>591</v>
      </c>
      <c r="K7630" s="195">
        <v>45909.713229166664</v>
      </c>
      <c r="L7630">
        <v>0</v>
      </c>
      <c r="M7630">
        <v>3</v>
      </c>
      <c r="N7630" s="98" t="str">
        <f>IF(record[[#This Row],[Memo]]="Browser:chrome os:android","平板報工",IF(record[[#This Row],[Memo]]=0,"委外",record[[#This Row],[Memo]]))</f>
        <v/>
      </c>
      <c r="O7630" t="s">
        <v>58</v>
      </c>
      <c r="P7630" t="s">
        <v>141</v>
      </c>
      <c r="Q7630" t="s">
        <v>58</v>
      </c>
      <c r="R7630" t="str">
        <f>IFERROR(VLOOKUP(record[[#This Row],[PCUSTID]],廠商[],2,FALSE),"")</f>
        <v/>
      </c>
      <c r="S7630" t="str">
        <f>VLOOKUP(record[[#This Row],[employeeID]],員工[],2,FALSE)</f>
        <v>蔣梅</v>
      </c>
    </row>
    <row r="7631" spans="6:19" hidden="1" x14ac:dyDescent="0.25">
      <c r="F7631" t="s">
        <v>1035</v>
      </c>
      <c r="G7631" t="s">
        <v>398</v>
      </c>
      <c r="H7631" t="str">
        <f>VLOOKUP(record[[#This Row],[ProcessSN]],表格2_7[],2,FALSE)</f>
        <v>30-4118-018-550</v>
      </c>
      <c r="I7631" t="str">
        <f>VLOOKUP(record[[#This Row],[ProcessSN]],表格2_7[],3,FALSE)</f>
        <v>#08RCV</v>
      </c>
      <c r="J7631" t="s">
        <v>591</v>
      </c>
      <c r="K7631" s="195">
        <v>45909.713067129633</v>
      </c>
      <c r="L7631">
        <v>4</v>
      </c>
      <c r="M7631">
        <v>0</v>
      </c>
      <c r="N7631" s="98" t="str">
        <f>IF(record[[#This Row],[Memo]]="Browser:chrome os:android","平板報工",IF(record[[#This Row],[Memo]]=0,"委外",record[[#This Row],[Memo]]))</f>
        <v>覆回品</v>
      </c>
      <c r="O7631" t="s">
        <v>664</v>
      </c>
      <c r="P7631" t="s">
        <v>141</v>
      </c>
      <c r="Q7631" t="s">
        <v>58</v>
      </c>
      <c r="R7631" t="str">
        <f>IFERROR(VLOOKUP(record[[#This Row],[PCUSTID]],廠商[],2,FALSE),"")</f>
        <v/>
      </c>
      <c r="S7631" t="str">
        <f>VLOOKUP(record[[#This Row],[employeeID]],員工[],2,FALSE)</f>
        <v>蔣梅</v>
      </c>
    </row>
    <row r="7632" spans="6:19" hidden="1" x14ac:dyDescent="0.25">
      <c r="F7632" t="s">
        <v>820</v>
      </c>
      <c r="G7632" t="s">
        <v>427</v>
      </c>
      <c r="H7632" t="str">
        <f>VLOOKUP(record[[#This Row],[ProcessSN]],表格2_7[],2,FALSE)</f>
        <v>30-4118-018-600</v>
      </c>
      <c r="I7632" t="str">
        <f>VLOOKUP(record[[#This Row],[ProcessSN]],表格2_7[],3,FALSE)</f>
        <v>#100STOCK</v>
      </c>
      <c r="J7632" t="s">
        <v>592</v>
      </c>
      <c r="K7632" s="195">
        <v>45909.672847222224</v>
      </c>
      <c r="L7632">
        <v>2</v>
      </c>
      <c r="M7632">
        <v>0</v>
      </c>
      <c r="N7632" s="98" t="str">
        <f>IF(record[[#This Row],[Memo]]="Browser:chrome os:android","平板報工",IF(record[[#This Row],[Memo]]=0,"委外",record[[#This Row],[Memo]]))</f>
        <v/>
      </c>
      <c r="O7632" t="s">
        <v>58</v>
      </c>
      <c r="P7632" t="s">
        <v>886</v>
      </c>
      <c r="Q7632" t="s">
        <v>58</v>
      </c>
      <c r="R7632" t="str">
        <f>IFERROR(VLOOKUP(record[[#This Row],[PCUSTID]],廠商[],2,FALSE),"")</f>
        <v/>
      </c>
      <c r="S7632" t="str">
        <f>VLOOKUP(record[[#This Row],[employeeID]],員工[],2,FALSE)</f>
        <v>謝蓁薰</v>
      </c>
    </row>
    <row r="7633" spans="6:19" hidden="1" x14ac:dyDescent="0.25">
      <c r="F7633" t="s">
        <v>989</v>
      </c>
      <c r="G7633" t="s">
        <v>471</v>
      </c>
      <c r="H7633" t="str">
        <f>VLOOKUP(record[[#This Row],[ProcessSN]],表格2_7[],2,FALSE)</f>
        <v>30-4118-018-XXX</v>
      </c>
      <c r="I7633" t="str">
        <f>VLOOKUP(record[[#This Row],[ProcessSN]],表格2_7[],3,FALSE)</f>
        <v>#02STOCK</v>
      </c>
      <c r="J7633" t="s">
        <v>592</v>
      </c>
      <c r="K7633" s="195">
        <v>45909.672685185185</v>
      </c>
      <c r="L7633">
        <v>1006</v>
      </c>
      <c r="M7633">
        <v>0</v>
      </c>
      <c r="N7633" s="98" t="str">
        <f>IF(record[[#This Row],[Memo]]="Browser:chrome os:android","平板報工",IF(record[[#This Row],[Memo]]=0,"委外",record[[#This Row],[Memo]]))</f>
        <v/>
      </c>
      <c r="O7633" t="s">
        <v>58</v>
      </c>
      <c r="P7633" t="s">
        <v>196</v>
      </c>
      <c r="Q7633" t="s">
        <v>58</v>
      </c>
      <c r="R7633" t="str">
        <f>IFERROR(VLOOKUP(record[[#This Row],[PCUSTID]],廠商[],2,FALSE),"")</f>
        <v/>
      </c>
      <c r="S7633" t="str">
        <f>VLOOKUP(record[[#This Row],[employeeID]],員工[],2,FALSE)</f>
        <v>張淑惠</v>
      </c>
    </row>
    <row r="7634" spans="6:19" hidden="1" x14ac:dyDescent="0.25">
      <c r="F7634" t="s">
        <v>984</v>
      </c>
      <c r="G7634" t="s">
        <v>427</v>
      </c>
      <c r="H7634" t="str">
        <f>VLOOKUP(record[[#This Row],[ProcessSN]],表格2_7[],2,FALSE)</f>
        <v>30-4118-018-600</v>
      </c>
      <c r="I7634" t="str">
        <f>VLOOKUP(record[[#This Row],[ProcessSN]],表格2_7[],3,FALSE)</f>
        <v>#100STOCK</v>
      </c>
      <c r="J7634" t="s">
        <v>592</v>
      </c>
      <c r="K7634" s="195">
        <v>45909.671365740738</v>
      </c>
      <c r="L7634">
        <v>383</v>
      </c>
      <c r="M7634">
        <v>0</v>
      </c>
      <c r="N7634" s="98" t="str">
        <f>IF(record[[#This Row],[Memo]]="Browser:chrome os:android","平板報工",IF(record[[#This Row],[Memo]]=0,"委外",record[[#This Row],[Memo]]))</f>
        <v/>
      </c>
      <c r="O7634" t="s">
        <v>58</v>
      </c>
      <c r="P7634" t="s">
        <v>886</v>
      </c>
      <c r="Q7634" t="s">
        <v>58</v>
      </c>
      <c r="R7634" t="str">
        <f>IFERROR(VLOOKUP(record[[#This Row],[PCUSTID]],廠商[],2,FALSE),"")</f>
        <v/>
      </c>
      <c r="S7634" t="str">
        <f>VLOOKUP(record[[#This Row],[employeeID]],員工[],2,FALSE)</f>
        <v>謝蓁薰</v>
      </c>
    </row>
    <row r="7635" spans="6:19" hidden="1" x14ac:dyDescent="0.25">
      <c r="F7635" t="s">
        <v>1024</v>
      </c>
      <c r="G7635" t="s">
        <v>414</v>
      </c>
      <c r="H7635" t="str">
        <f>VLOOKUP(record[[#This Row],[ProcessSN]],表格2_7[],2,FALSE)</f>
        <v>30-4118-018-5XX</v>
      </c>
      <c r="I7635" t="str">
        <f>VLOOKUP(record[[#This Row],[ProcessSN]],表格2_7[],3,FALSE)</f>
        <v>#03</v>
      </c>
      <c r="J7635" t="s">
        <v>588</v>
      </c>
      <c r="K7635" s="195">
        <v>45909.649016203701</v>
      </c>
      <c r="L7635">
        <v>152</v>
      </c>
      <c r="M7635">
        <v>0</v>
      </c>
      <c r="N7635" s="98" t="str">
        <f>IF(record[[#This Row],[Memo]]="Browser:chrome os:android","平板報工",IF(record[[#This Row],[Memo]]=0,"委外",record[[#This Row],[Memo]]))</f>
        <v/>
      </c>
      <c r="O7635" t="s">
        <v>58</v>
      </c>
      <c r="P7635" t="s">
        <v>119</v>
      </c>
      <c r="Q7635" t="s">
        <v>58</v>
      </c>
      <c r="R7635" t="str">
        <f>IFERROR(VLOOKUP(record[[#This Row],[PCUSTID]],廠商[],2,FALSE),"")</f>
        <v/>
      </c>
      <c r="S7635" t="str">
        <f>VLOOKUP(record[[#This Row],[employeeID]],員工[],2,FALSE)</f>
        <v>廖俊彥</v>
      </c>
    </row>
    <row r="7636" spans="6:19" hidden="1" x14ac:dyDescent="0.25">
      <c r="F7636" t="s">
        <v>1018</v>
      </c>
      <c r="G7636" t="s">
        <v>416</v>
      </c>
      <c r="H7636" t="str">
        <f>VLOOKUP(record[[#This Row],[ProcessSN]],表格2_7[],2,FALSE)</f>
        <v>30-4118-018-5XX</v>
      </c>
      <c r="I7636" t="str">
        <f>VLOOKUP(record[[#This Row],[ProcessSN]],表格2_7[],3,FALSE)</f>
        <v>#05</v>
      </c>
      <c r="J7636" t="s">
        <v>588</v>
      </c>
      <c r="K7636" s="195">
        <v>45909.648831018516</v>
      </c>
      <c r="L7636">
        <v>60</v>
      </c>
      <c r="M7636">
        <v>4</v>
      </c>
      <c r="N7636" s="98" t="str">
        <f>IF(record[[#This Row],[Memo]]="Browser:chrome os:android","平板報工",IF(record[[#This Row],[Memo]]=0,"委外",record[[#This Row],[Memo]]))</f>
        <v/>
      </c>
      <c r="O7636" t="s">
        <v>58</v>
      </c>
      <c r="P7636" t="s">
        <v>119</v>
      </c>
      <c r="Q7636" t="s">
        <v>58</v>
      </c>
      <c r="R7636" t="str">
        <f>IFERROR(VLOOKUP(record[[#This Row],[PCUSTID]],廠商[],2,FALSE),"")</f>
        <v/>
      </c>
      <c r="S7636" t="str">
        <f>VLOOKUP(record[[#This Row],[employeeID]],員工[],2,FALSE)</f>
        <v>廖俊彥</v>
      </c>
    </row>
    <row r="7637" spans="6:19" hidden="1" x14ac:dyDescent="0.25">
      <c r="F7637" t="s">
        <v>1018</v>
      </c>
      <c r="G7637" t="s">
        <v>415</v>
      </c>
      <c r="H7637" t="str">
        <f>VLOOKUP(record[[#This Row],[ProcessSN]],表格2_7[],2,FALSE)</f>
        <v>30-4118-018-5XX</v>
      </c>
      <c r="I7637" t="str">
        <f>VLOOKUP(record[[#This Row],[ProcessSN]],表格2_7[],3,FALSE)</f>
        <v>#04</v>
      </c>
      <c r="J7637" t="s">
        <v>588</v>
      </c>
      <c r="K7637" s="195">
        <v>45909.648668981485</v>
      </c>
      <c r="L7637">
        <v>96</v>
      </c>
      <c r="M7637">
        <v>3</v>
      </c>
      <c r="N7637" s="98" t="str">
        <f>IF(record[[#This Row],[Memo]]="Browser:chrome os:android","平板報工",IF(record[[#This Row],[Memo]]=0,"委外",record[[#This Row],[Memo]]))</f>
        <v/>
      </c>
      <c r="O7637" t="s">
        <v>58</v>
      </c>
      <c r="P7637" t="s">
        <v>119</v>
      </c>
      <c r="Q7637" t="s">
        <v>58</v>
      </c>
      <c r="R7637" t="str">
        <f>IFERROR(VLOOKUP(record[[#This Row],[PCUSTID]],廠商[],2,FALSE),"")</f>
        <v/>
      </c>
      <c r="S7637" t="str">
        <f>VLOOKUP(record[[#This Row],[employeeID]],員工[],2,FALSE)</f>
        <v>廖俊彥</v>
      </c>
    </row>
    <row r="7638" spans="6:19" hidden="1" x14ac:dyDescent="0.25">
      <c r="F7638" t="s">
        <v>1024</v>
      </c>
      <c r="G7638" t="s">
        <v>416</v>
      </c>
      <c r="H7638" t="str">
        <f>VLOOKUP(record[[#This Row],[ProcessSN]],表格2_7[],2,FALSE)</f>
        <v>30-4118-018-5XX</v>
      </c>
      <c r="I7638" t="str">
        <f>VLOOKUP(record[[#This Row],[ProcessSN]],表格2_7[],3,FALSE)</f>
        <v>#05</v>
      </c>
      <c r="J7638" t="s">
        <v>588</v>
      </c>
      <c r="K7638" s="195">
        <v>45909.648402777777</v>
      </c>
      <c r="L7638">
        <v>161</v>
      </c>
      <c r="M7638">
        <v>0</v>
      </c>
      <c r="N7638" s="98" t="str">
        <f>IF(record[[#This Row],[Memo]]="Browser:chrome os:android","平板報工",IF(record[[#This Row],[Memo]]=0,"委外",record[[#This Row],[Memo]]))</f>
        <v/>
      </c>
      <c r="O7638" t="s">
        <v>58</v>
      </c>
      <c r="P7638" t="s">
        <v>119</v>
      </c>
      <c r="Q7638" t="s">
        <v>58</v>
      </c>
      <c r="R7638" t="str">
        <f>IFERROR(VLOOKUP(record[[#This Row],[PCUSTID]],廠商[],2,FALSE),"")</f>
        <v/>
      </c>
      <c r="S7638" t="str">
        <f>VLOOKUP(record[[#This Row],[employeeID]],員工[],2,FALSE)</f>
        <v>廖俊彥</v>
      </c>
    </row>
    <row r="7639" spans="6:19" hidden="1" x14ac:dyDescent="0.25">
      <c r="F7639" t="s">
        <v>1024</v>
      </c>
      <c r="G7639" t="s">
        <v>415</v>
      </c>
      <c r="H7639" t="str">
        <f>VLOOKUP(record[[#This Row],[ProcessSN]],表格2_7[],2,FALSE)</f>
        <v>30-4118-018-5XX</v>
      </c>
      <c r="I7639" t="str">
        <f>VLOOKUP(record[[#This Row],[ProcessSN]],表格2_7[],3,FALSE)</f>
        <v>#04</v>
      </c>
      <c r="J7639" t="s">
        <v>588</v>
      </c>
      <c r="K7639" s="195">
        <v>45909.648229166669</v>
      </c>
      <c r="L7639">
        <v>36</v>
      </c>
      <c r="M7639">
        <v>0</v>
      </c>
      <c r="N7639" s="98" t="str">
        <f>IF(record[[#This Row],[Memo]]="Browser:chrome os:android","平板報工",IF(record[[#This Row],[Memo]]=0,"委外",record[[#This Row],[Memo]]))</f>
        <v/>
      </c>
      <c r="O7639" t="s">
        <v>58</v>
      </c>
      <c r="P7639" t="s">
        <v>119</v>
      </c>
      <c r="Q7639" t="s">
        <v>58</v>
      </c>
      <c r="R7639" t="str">
        <f>IFERROR(VLOOKUP(record[[#This Row],[PCUSTID]],廠商[],2,FALSE),"")</f>
        <v/>
      </c>
      <c r="S7639" t="str">
        <f>VLOOKUP(record[[#This Row],[employeeID]],員工[],2,FALSE)</f>
        <v>廖俊彥</v>
      </c>
    </row>
    <row r="7640" spans="6:19" hidden="1" x14ac:dyDescent="0.25">
      <c r="F7640" t="s">
        <v>1038</v>
      </c>
      <c r="G7640" t="s">
        <v>398</v>
      </c>
      <c r="H7640" t="str">
        <f>VLOOKUP(record[[#This Row],[ProcessSN]],表格2_7[],2,FALSE)</f>
        <v>30-4118-018-550</v>
      </c>
      <c r="I7640" t="str">
        <f>VLOOKUP(record[[#This Row],[ProcessSN]],表格2_7[],3,FALSE)</f>
        <v>#08RCV</v>
      </c>
      <c r="J7640" t="s">
        <v>591</v>
      </c>
      <c r="K7640" s="195">
        <v>45909.638993055552</v>
      </c>
      <c r="L7640">
        <v>285</v>
      </c>
      <c r="M7640">
        <v>0</v>
      </c>
      <c r="N7640" s="98" t="str">
        <f>IF(record[[#This Row],[Memo]]="Browser:chrome os:android","平板報工",IF(record[[#This Row],[Memo]]=0,"委外",record[[#This Row],[Memo]]))</f>
        <v/>
      </c>
      <c r="O7640" t="s">
        <v>58</v>
      </c>
      <c r="P7640" t="s">
        <v>186</v>
      </c>
      <c r="Q7640" t="s">
        <v>58</v>
      </c>
      <c r="R7640" t="str">
        <f>IFERROR(VLOOKUP(record[[#This Row],[PCUSTID]],廠商[],2,FALSE),"")</f>
        <v/>
      </c>
      <c r="S7640" t="str">
        <f>VLOOKUP(record[[#This Row],[employeeID]],員工[],2,FALSE)</f>
        <v>許文姍</v>
      </c>
    </row>
    <row r="7641" spans="6:19" hidden="1" x14ac:dyDescent="0.25">
      <c r="F7641" t="s">
        <v>1024</v>
      </c>
      <c r="G7641" t="s">
        <v>417</v>
      </c>
      <c r="H7641" t="str">
        <f>VLOOKUP(record[[#This Row],[ProcessSN]],表格2_7[],2,FALSE)</f>
        <v>30-4118-018-5XX</v>
      </c>
      <c r="I7641" t="str">
        <f>VLOOKUP(record[[#This Row],[ProcessSN]],表格2_7[],3,FALSE)</f>
        <v>#06</v>
      </c>
      <c r="J7641" t="s">
        <v>593</v>
      </c>
      <c r="K7641" s="195">
        <v>45909.61010416667</v>
      </c>
      <c r="L7641">
        <v>8</v>
      </c>
      <c r="M7641">
        <v>1</v>
      </c>
      <c r="N7641" s="98" t="str">
        <f>IF(record[[#This Row],[Memo]]="Browser:chrome os:android","平板報工",IF(record[[#This Row],[Memo]]=0,"委外",record[[#This Row],[Memo]]))</f>
        <v/>
      </c>
      <c r="O7641" t="s">
        <v>58</v>
      </c>
      <c r="P7641" t="s">
        <v>119</v>
      </c>
      <c r="Q7641" t="s">
        <v>58</v>
      </c>
      <c r="R7641" t="str">
        <f>IFERROR(VLOOKUP(record[[#This Row],[PCUSTID]],廠商[],2,FALSE),"")</f>
        <v/>
      </c>
      <c r="S7641" t="str">
        <f>VLOOKUP(record[[#This Row],[employeeID]],員工[],2,FALSE)</f>
        <v>廖俊彥</v>
      </c>
    </row>
    <row r="7642" spans="6:19" hidden="1" x14ac:dyDescent="0.25">
      <c r="F7642" t="s">
        <v>1018</v>
      </c>
      <c r="G7642" t="s">
        <v>417</v>
      </c>
      <c r="H7642" t="str">
        <f>VLOOKUP(record[[#This Row],[ProcessSN]],表格2_7[],2,FALSE)</f>
        <v>30-4118-018-5XX</v>
      </c>
      <c r="I7642" t="str">
        <f>VLOOKUP(record[[#This Row],[ProcessSN]],表格2_7[],3,FALSE)</f>
        <v>#06</v>
      </c>
      <c r="J7642" t="s">
        <v>593</v>
      </c>
      <c r="K7642" s="195">
        <v>45909.609930555554</v>
      </c>
      <c r="L7642">
        <v>113</v>
      </c>
      <c r="M7642">
        <v>0</v>
      </c>
      <c r="N7642" s="98" t="str">
        <f>IF(record[[#This Row],[Memo]]="Browser:chrome os:android","平板報工",IF(record[[#This Row],[Memo]]=0,"委外",record[[#This Row],[Memo]]))</f>
        <v/>
      </c>
      <c r="O7642" t="s">
        <v>58</v>
      </c>
      <c r="P7642" t="s">
        <v>119</v>
      </c>
      <c r="Q7642" t="s">
        <v>58</v>
      </c>
      <c r="R7642" t="str">
        <f>IFERROR(VLOOKUP(record[[#This Row],[PCUSTID]],廠商[],2,FALSE),"")</f>
        <v/>
      </c>
      <c r="S7642" t="str">
        <f>VLOOKUP(record[[#This Row],[employeeID]],員工[],2,FALSE)</f>
        <v>廖俊彥</v>
      </c>
    </row>
    <row r="7643" spans="6:19" hidden="1" x14ac:dyDescent="0.25">
      <c r="F7643" t="s">
        <v>1045</v>
      </c>
      <c r="G7643" t="s">
        <v>356</v>
      </c>
      <c r="H7643" t="str">
        <f>VLOOKUP(record[[#This Row],[ProcessSN]],表格2_7[],2,FALSE)</f>
        <v>30-4118-018-450</v>
      </c>
      <c r="I7643" t="str">
        <f>VLOOKUP(record[[#This Row],[ProcessSN]],表格2_7[],3,FALSE)</f>
        <v>#08</v>
      </c>
      <c r="J7643" t="s">
        <v>597</v>
      </c>
      <c r="K7643" s="195">
        <v>45909.570810185185</v>
      </c>
      <c r="L7643">
        <v>620</v>
      </c>
      <c r="M7643">
        <v>0</v>
      </c>
      <c r="N7643" s="98" t="str">
        <f>IF(record[[#This Row],[Memo]]="Browser:chrome os:android","平板報工",IF(record[[#This Row],[Memo]]=0,"委外",record[[#This Row],[Memo]]))</f>
        <v/>
      </c>
      <c r="O7643" t="s">
        <v>58</v>
      </c>
      <c r="P7643" t="s">
        <v>186</v>
      </c>
      <c r="Q7643" t="s">
        <v>287</v>
      </c>
      <c r="R7643" t="str">
        <f>IFERROR(VLOOKUP(record[[#This Row],[PCUSTID]],廠商[],2,FALSE),"")</f>
        <v>泉盛</v>
      </c>
      <c r="S7643" t="str">
        <f>VLOOKUP(record[[#This Row],[employeeID]],員工[],2,FALSE)</f>
        <v>許文姍</v>
      </c>
    </row>
    <row r="7644" spans="6:19" hidden="1" x14ac:dyDescent="0.25">
      <c r="F7644" t="s">
        <v>1023</v>
      </c>
      <c r="G7644" t="s">
        <v>379</v>
      </c>
      <c r="H7644" t="str">
        <f>VLOOKUP(record[[#This Row],[ProcessSN]],表格2_7[],2,FALSE)</f>
        <v>30-4118-018-4XX</v>
      </c>
      <c r="I7644" t="str">
        <f>VLOOKUP(record[[#This Row],[ProcessSN]],表格2_7[],3,FALSE)</f>
        <v>#07STOCK</v>
      </c>
      <c r="J7644" t="s">
        <v>592</v>
      </c>
      <c r="K7644" s="195">
        <v>45909.479895833334</v>
      </c>
      <c r="L7644">
        <v>620</v>
      </c>
      <c r="M7644">
        <v>0</v>
      </c>
      <c r="N7644" s="98" t="str">
        <f>IF(record[[#This Row],[Memo]]="Browser:chrome os:android","平板報工",IF(record[[#This Row],[Memo]]=0,"委外",record[[#This Row],[Memo]]))</f>
        <v/>
      </c>
      <c r="O7644" t="s">
        <v>58</v>
      </c>
      <c r="P7644" t="s">
        <v>196</v>
      </c>
      <c r="Q7644" t="s">
        <v>58</v>
      </c>
      <c r="R7644" t="str">
        <f>IFERROR(VLOOKUP(record[[#This Row],[PCUSTID]],廠商[],2,FALSE),"")</f>
        <v/>
      </c>
      <c r="S7644" t="str">
        <f>VLOOKUP(record[[#This Row],[employeeID]],員工[],2,FALSE)</f>
        <v>張淑惠</v>
      </c>
    </row>
    <row r="7645" spans="6:19" hidden="1" x14ac:dyDescent="0.25">
      <c r="F7645" t="s">
        <v>1023</v>
      </c>
      <c r="G7645" t="s">
        <v>378</v>
      </c>
      <c r="H7645" t="str">
        <f>VLOOKUP(record[[#This Row],[ProcessSN]],表格2_7[],2,FALSE)</f>
        <v>30-4118-018-4XX</v>
      </c>
      <c r="I7645" t="str">
        <f>VLOOKUP(record[[#This Row],[ProcessSN]],表格2_7[],3,FALSE)</f>
        <v>#07QC</v>
      </c>
      <c r="J7645" t="s">
        <v>589</v>
      </c>
      <c r="K7645" s="195">
        <v>45909.475590277776</v>
      </c>
      <c r="L7645">
        <v>0</v>
      </c>
      <c r="M7645">
        <v>7</v>
      </c>
      <c r="N7645" s="98" t="str">
        <f>IF(record[[#This Row],[Memo]]="Browser:chrome os:android","平板報工",IF(record[[#This Row],[Memo]]=0,"委外",record[[#This Row],[Memo]]))</f>
        <v/>
      </c>
      <c r="O7645" t="s">
        <v>58</v>
      </c>
      <c r="P7645" t="s">
        <v>141</v>
      </c>
      <c r="Q7645" t="s">
        <v>58</v>
      </c>
      <c r="R7645" t="str">
        <f>IFERROR(VLOOKUP(record[[#This Row],[PCUSTID]],廠商[],2,FALSE),"")</f>
        <v/>
      </c>
      <c r="S7645" t="str">
        <f>VLOOKUP(record[[#This Row],[employeeID]],員工[],2,FALSE)</f>
        <v>蔣梅</v>
      </c>
    </row>
    <row r="7646" spans="6:19" hidden="1" x14ac:dyDescent="0.25">
      <c r="F7646" t="s">
        <v>1023</v>
      </c>
      <c r="G7646" t="s">
        <v>378</v>
      </c>
      <c r="H7646" t="str">
        <f>VLOOKUP(record[[#This Row],[ProcessSN]],表格2_7[],2,FALSE)</f>
        <v>30-4118-018-4XX</v>
      </c>
      <c r="I7646" t="str">
        <f>VLOOKUP(record[[#This Row],[ProcessSN]],表格2_7[],3,FALSE)</f>
        <v>#07QC</v>
      </c>
      <c r="J7646" t="s">
        <v>589</v>
      </c>
      <c r="K7646" s="195">
        <v>45909.475405092591</v>
      </c>
      <c r="L7646">
        <v>620</v>
      </c>
      <c r="M7646">
        <v>0</v>
      </c>
      <c r="N7646" s="98" t="str">
        <f>IF(record[[#This Row],[Memo]]="Browser:chrome os:android","平板報工",IF(record[[#This Row],[Memo]]=0,"委外",record[[#This Row],[Memo]]))</f>
        <v/>
      </c>
      <c r="O7646" t="s">
        <v>58</v>
      </c>
      <c r="P7646" t="s">
        <v>141</v>
      </c>
      <c r="Q7646" t="s">
        <v>58</v>
      </c>
      <c r="R7646" t="str">
        <f>IFERROR(VLOOKUP(record[[#This Row],[PCUSTID]],廠商[],2,FALSE),"")</f>
        <v/>
      </c>
      <c r="S7646" t="str">
        <f>VLOOKUP(record[[#This Row],[employeeID]],員工[],2,FALSE)</f>
        <v>蔣梅</v>
      </c>
    </row>
    <row r="7647" spans="6:19" hidden="1" x14ac:dyDescent="0.25">
      <c r="F7647" t="s">
        <v>1045</v>
      </c>
      <c r="G7647" t="s">
        <v>355</v>
      </c>
      <c r="H7647" t="str">
        <f>VLOOKUP(record[[#This Row],[ProcessSN]],表格2_7[],2,FALSE)</f>
        <v>30-4118-018-450</v>
      </c>
      <c r="I7647" t="str">
        <f>VLOOKUP(record[[#This Row],[ProcessSN]],表格2_7[],3,FALSE)</f>
        <v>#08PICK</v>
      </c>
      <c r="J7647" t="s">
        <v>582</v>
      </c>
      <c r="K7647" s="195">
        <v>45909.471134259256</v>
      </c>
      <c r="L7647">
        <v>620</v>
      </c>
      <c r="M7647">
        <v>0</v>
      </c>
      <c r="N7647" s="98" t="str">
        <f>IF(record[[#This Row],[Memo]]="Browser:chrome os:android","平板報工",IF(record[[#This Row],[Memo]]=0,"委外",record[[#This Row],[Memo]]))</f>
        <v/>
      </c>
      <c r="O7647" t="s">
        <v>58</v>
      </c>
      <c r="P7647" t="s">
        <v>196</v>
      </c>
      <c r="Q7647" t="s">
        <v>58</v>
      </c>
      <c r="R7647" t="str">
        <f>IFERROR(VLOOKUP(record[[#This Row],[PCUSTID]],廠商[],2,FALSE),"")</f>
        <v/>
      </c>
      <c r="S7647" t="str">
        <f>VLOOKUP(record[[#This Row],[employeeID]],員工[],2,FALSE)</f>
        <v>張淑惠</v>
      </c>
    </row>
    <row r="7648" spans="6:19" hidden="1" x14ac:dyDescent="0.25">
      <c r="F7648" t="s">
        <v>1043</v>
      </c>
      <c r="G7648" t="s">
        <v>462</v>
      </c>
      <c r="H7648" t="str">
        <f>VLOOKUP(record[[#This Row],[ProcessSN]],表格2_7[],2,FALSE)</f>
        <v>30-4118-018-XXX</v>
      </c>
      <c r="I7648" t="str">
        <f>VLOOKUP(record[[#This Row],[ProcessSN]],表格2_7[],3,FALSE)</f>
        <v>#00PICK</v>
      </c>
      <c r="J7648" t="s">
        <v>582</v>
      </c>
      <c r="K7648" s="195">
        <v>45909.399699074071</v>
      </c>
      <c r="L7648">
        <v>3840</v>
      </c>
      <c r="M7648">
        <v>0</v>
      </c>
      <c r="N7648" s="98" t="str">
        <f>IF(record[[#This Row],[Memo]]="Browser:chrome os:android","平板報工",IF(record[[#This Row],[Memo]]=0,"委外",record[[#This Row],[Memo]]))</f>
        <v/>
      </c>
      <c r="O7648" t="s">
        <v>58</v>
      </c>
      <c r="P7648" t="s">
        <v>196</v>
      </c>
      <c r="Q7648" t="s">
        <v>58</v>
      </c>
      <c r="R7648" t="str">
        <f>IFERROR(VLOOKUP(record[[#This Row],[PCUSTID]],廠商[],2,FALSE),"")</f>
        <v/>
      </c>
      <c r="S7648" t="str">
        <f>VLOOKUP(record[[#This Row],[employeeID]],員工[],2,FALSE)</f>
        <v>張淑惠</v>
      </c>
    </row>
    <row r="7649" spans="6:19" hidden="1" x14ac:dyDescent="0.25">
      <c r="F7649" t="s">
        <v>984</v>
      </c>
      <c r="G7649" t="s">
        <v>426</v>
      </c>
      <c r="H7649" t="str">
        <f>VLOOKUP(record[[#This Row],[ProcessSN]],表格2_7[],2,FALSE)</f>
        <v>30-4118-018-600</v>
      </c>
      <c r="I7649" t="str">
        <f>VLOOKUP(record[[#This Row],[ProcessSN]],表格2_7[],3,FALSE)</f>
        <v>#100OQC</v>
      </c>
      <c r="J7649" t="s">
        <v>599</v>
      </c>
      <c r="K7649" s="195">
        <v>45909.330300925925</v>
      </c>
      <c r="L7649">
        <v>116</v>
      </c>
      <c r="M7649">
        <v>0</v>
      </c>
      <c r="N7649" s="98" t="str">
        <f>IF(record[[#This Row],[Memo]]="Browser:chrome os:android","平板報工",IF(record[[#This Row],[Memo]]=0,"委外",record[[#This Row],[Memo]]))</f>
        <v/>
      </c>
      <c r="O7649" t="s">
        <v>58</v>
      </c>
      <c r="P7649" t="s">
        <v>121</v>
      </c>
      <c r="Q7649" t="s">
        <v>58</v>
      </c>
      <c r="R7649" t="str">
        <f>IFERROR(VLOOKUP(record[[#This Row],[PCUSTID]],廠商[],2,FALSE),"")</f>
        <v/>
      </c>
      <c r="S7649" t="str">
        <f>VLOOKUP(record[[#This Row],[employeeID]],員工[],2,FALSE)</f>
        <v>謝素卿</v>
      </c>
    </row>
    <row r="7650" spans="6:19" hidden="1" x14ac:dyDescent="0.25">
      <c r="F7650" t="s">
        <v>1018</v>
      </c>
      <c r="G7650" t="s">
        <v>417</v>
      </c>
      <c r="H7650" t="str">
        <f>VLOOKUP(record[[#This Row],[ProcessSN]],表格2_7[],2,FALSE)</f>
        <v>30-4118-018-5XX</v>
      </c>
      <c r="I7650" t="str">
        <f>VLOOKUP(record[[#This Row],[ProcessSN]],表格2_7[],3,FALSE)</f>
        <v>#06</v>
      </c>
      <c r="J7650" t="s">
        <v>593</v>
      </c>
      <c r="K7650" s="195">
        <v>45909.307233796295</v>
      </c>
      <c r="L7650">
        <v>55</v>
      </c>
      <c r="M7650">
        <v>0</v>
      </c>
      <c r="N7650" s="98" t="str">
        <f>IF(record[[#This Row],[Memo]]="Browser:chrome os:android","平板報工",IF(record[[#This Row],[Memo]]=0,"委外",record[[#This Row],[Memo]]))</f>
        <v/>
      </c>
      <c r="O7650" t="s">
        <v>58</v>
      </c>
      <c r="P7650" t="s">
        <v>135</v>
      </c>
      <c r="Q7650" t="s">
        <v>58</v>
      </c>
      <c r="R7650" t="str">
        <f>IFERROR(VLOOKUP(record[[#This Row],[PCUSTID]],廠商[],2,FALSE),"")</f>
        <v/>
      </c>
      <c r="S7650" t="str">
        <f>VLOOKUP(record[[#This Row],[employeeID]],員工[],2,FALSE)</f>
        <v>阮士文</v>
      </c>
    </row>
    <row r="7651" spans="6:19" hidden="1" x14ac:dyDescent="0.25">
      <c r="F7651" t="s">
        <v>1024</v>
      </c>
      <c r="G7651" t="s">
        <v>417</v>
      </c>
      <c r="H7651" t="str">
        <f>VLOOKUP(record[[#This Row],[ProcessSN]],表格2_7[],2,FALSE)</f>
        <v>30-4118-018-5XX</v>
      </c>
      <c r="I7651" t="str">
        <f>VLOOKUP(record[[#This Row],[ProcessSN]],表格2_7[],3,FALSE)</f>
        <v>#06</v>
      </c>
      <c r="J7651" t="s">
        <v>593</v>
      </c>
      <c r="K7651" s="195">
        <v>45909.306145833332</v>
      </c>
      <c r="L7651">
        <v>45</v>
      </c>
      <c r="M7651">
        <v>0</v>
      </c>
      <c r="N7651" s="98" t="str">
        <f>IF(record[[#This Row],[Memo]]="Browser:chrome os:android","平板報工",IF(record[[#This Row],[Memo]]=0,"委外",record[[#This Row],[Memo]]))</f>
        <v/>
      </c>
      <c r="O7651" t="s">
        <v>58</v>
      </c>
      <c r="P7651" t="s">
        <v>135</v>
      </c>
      <c r="Q7651" t="s">
        <v>58</v>
      </c>
      <c r="R7651" t="str">
        <f>IFERROR(VLOOKUP(record[[#This Row],[PCUSTID]],廠商[],2,FALSE),"")</f>
        <v/>
      </c>
      <c r="S7651" t="str">
        <f>VLOOKUP(record[[#This Row],[employeeID]],員工[],2,FALSE)</f>
        <v>阮士文</v>
      </c>
    </row>
    <row r="7652" spans="6:19" hidden="1" x14ac:dyDescent="0.25">
      <c r="F7652" t="s">
        <v>1024</v>
      </c>
      <c r="G7652" t="s">
        <v>415</v>
      </c>
      <c r="H7652" t="str">
        <f>VLOOKUP(record[[#This Row],[ProcessSN]],表格2_7[],2,FALSE)</f>
        <v>30-4118-018-5XX</v>
      </c>
      <c r="I7652" t="str">
        <f>VLOOKUP(record[[#This Row],[ProcessSN]],表格2_7[],3,FALSE)</f>
        <v>#04</v>
      </c>
      <c r="J7652" t="s">
        <v>588</v>
      </c>
      <c r="K7652" s="195">
        <v>45909.30400462963</v>
      </c>
      <c r="L7652">
        <v>125</v>
      </c>
      <c r="M7652">
        <v>3</v>
      </c>
      <c r="N7652" s="98" t="str">
        <f>IF(record[[#This Row],[Memo]]="Browser:chrome os:android","平板報工",IF(record[[#This Row],[Memo]]=0,"委外",record[[#This Row],[Memo]]))</f>
        <v/>
      </c>
      <c r="O7652" t="s">
        <v>58</v>
      </c>
      <c r="P7652" t="s">
        <v>135</v>
      </c>
      <c r="Q7652" t="s">
        <v>58</v>
      </c>
      <c r="R7652" t="str">
        <f>IFERROR(VLOOKUP(record[[#This Row],[PCUSTID]],廠商[],2,FALSE),"")</f>
        <v/>
      </c>
      <c r="S7652" t="str">
        <f>VLOOKUP(record[[#This Row],[employeeID]],員工[],2,FALSE)</f>
        <v>阮士文</v>
      </c>
    </row>
    <row r="7653" spans="6:19" hidden="1" x14ac:dyDescent="0.25">
      <c r="F7653" t="s">
        <v>1024</v>
      </c>
      <c r="G7653" t="s">
        <v>416</v>
      </c>
      <c r="H7653" t="str">
        <f>VLOOKUP(record[[#This Row],[ProcessSN]],表格2_7[],2,FALSE)</f>
        <v>30-4118-018-5XX</v>
      </c>
      <c r="I7653" t="str">
        <f>VLOOKUP(record[[#This Row],[ProcessSN]],表格2_7[],3,FALSE)</f>
        <v>#05</v>
      </c>
      <c r="J7653" t="s">
        <v>588</v>
      </c>
      <c r="K7653" s="195">
        <v>45909.301030092596</v>
      </c>
      <c r="L7653">
        <v>168</v>
      </c>
      <c r="M7653">
        <v>0</v>
      </c>
      <c r="N7653" s="98" t="str">
        <f>IF(record[[#This Row],[Memo]]="Browser:chrome os:android","平板報工",IF(record[[#This Row],[Memo]]=0,"委外",record[[#This Row],[Memo]]))</f>
        <v/>
      </c>
      <c r="O7653" t="s">
        <v>58</v>
      </c>
      <c r="P7653" t="s">
        <v>135</v>
      </c>
      <c r="Q7653" t="s">
        <v>58</v>
      </c>
      <c r="R7653" t="str">
        <f>IFERROR(VLOOKUP(record[[#This Row],[PCUSTID]],廠商[],2,FALSE),"")</f>
        <v/>
      </c>
      <c r="S7653" t="str">
        <f>VLOOKUP(record[[#This Row],[employeeID]],員工[],2,FALSE)</f>
        <v>阮士文</v>
      </c>
    </row>
    <row r="7654" spans="6:19" hidden="1" x14ac:dyDescent="0.25">
      <c r="F7654" t="s">
        <v>1023</v>
      </c>
      <c r="G7654" t="s">
        <v>377</v>
      </c>
      <c r="H7654" t="str">
        <f>VLOOKUP(record[[#This Row],[ProcessSN]],表格2_7[],2,FALSE)</f>
        <v>30-4118-018-4XX</v>
      </c>
      <c r="I7654" t="str">
        <f>VLOOKUP(record[[#This Row],[ProcessSN]],表格2_7[],3,FALSE)</f>
        <v>#07</v>
      </c>
      <c r="J7654" t="s">
        <v>588</v>
      </c>
      <c r="K7654" s="195">
        <v>45909.114085648151</v>
      </c>
      <c r="L7654">
        <v>151</v>
      </c>
      <c r="M7654">
        <v>2</v>
      </c>
      <c r="N7654" s="98" t="str">
        <f>IF(record[[#This Row],[Memo]]="Browser:chrome os:android","平板報工",IF(record[[#This Row],[Memo]]=0,"委外",record[[#This Row],[Memo]]))</f>
        <v/>
      </c>
      <c r="O7654" t="s">
        <v>58</v>
      </c>
      <c r="P7654" t="s">
        <v>133</v>
      </c>
      <c r="Q7654" t="s">
        <v>58</v>
      </c>
      <c r="R7654" t="str">
        <f>IFERROR(VLOOKUP(record[[#This Row],[PCUSTID]],廠商[],2,FALSE),"")</f>
        <v/>
      </c>
      <c r="S7654" t="str">
        <f>VLOOKUP(record[[#This Row],[employeeID]],員工[],2,FALSE)</f>
        <v>黎長維</v>
      </c>
    </row>
    <row r="7655" spans="6:19" hidden="1" x14ac:dyDescent="0.25">
      <c r="F7655" t="s">
        <v>1018</v>
      </c>
      <c r="G7655" t="s">
        <v>416</v>
      </c>
      <c r="H7655" t="str">
        <f>VLOOKUP(record[[#This Row],[ProcessSN]],表格2_7[],2,FALSE)</f>
        <v>30-4118-018-5XX</v>
      </c>
      <c r="I7655" t="str">
        <f>VLOOKUP(record[[#This Row],[ProcessSN]],表格2_7[],3,FALSE)</f>
        <v>#05</v>
      </c>
      <c r="J7655" t="s">
        <v>588</v>
      </c>
      <c r="K7655" s="195">
        <v>45909.031400462962</v>
      </c>
      <c r="L7655">
        <v>168</v>
      </c>
      <c r="M7655">
        <v>0</v>
      </c>
      <c r="N7655" s="98" t="str">
        <f>IF(record[[#This Row],[Memo]]="Browser:chrome os:android","平板報工",IF(record[[#This Row],[Memo]]=0,"委外",record[[#This Row],[Memo]]))</f>
        <v/>
      </c>
      <c r="O7655" t="s">
        <v>58</v>
      </c>
      <c r="P7655" t="s">
        <v>127</v>
      </c>
      <c r="Q7655" t="s">
        <v>58</v>
      </c>
      <c r="R7655" t="str">
        <f>IFERROR(VLOOKUP(record[[#This Row],[PCUSTID]],廠商[],2,FALSE),"")</f>
        <v/>
      </c>
      <c r="S7655" t="str">
        <f>VLOOKUP(record[[#This Row],[employeeID]],員工[],2,FALSE)</f>
        <v>潘雪梅</v>
      </c>
    </row>
    <row r="7656" spans="6:19" hidden="1" x14ac:dyDescent="0.25">
      <c r="F7656" t="s">
        <v>1024</v>
      </c>
      <c r="G7656" t="s">
        <v>417</v>
      </c>
      <c r="H7656" t="str">
        <f>VLOOKUP(record[[#This Row],[ProcessSN]],表格2_7[],2,FALSE)</f>
        <v>30-4118-018-5XX</v>
      </c>
      <c r="I7656" t="str">
        <f>VLOOKUP(record[[#This Row],[ProcessSN]],表格2_7[],3,FALSE)</f>
        <v>#06</v>
      </c>
      <c r="J7656" t="s">
        <v>593</v>
      </c>
      <c r="K7656" s="195">
        <v>45908.921851851854</v>
      </c>
      <c r="L7656">
        <v>115</v>
      </c>
      <c r="M7656">
        <v>0</v>
      </c>
      <c r="N7656" s="98" t="str">
        <f>IF(record[[#This Row],[Memo]]="Browser:chrome os:android","平板報工",IF(record[[#This Row],[Memo]]=0,"委外",record[[#This Row],[Memo]]))</f>
        <v/>
      </c>
      <c r="O7656" t="s">
        <v>58</v>
      </c>
      <c r="P7656" t="s">
        <v>841</v>
      </c>
      <c r="Q7656" t="s">
        <v>58</v>
      </c>
      <c r="R7656" t="str">
        <f>IFERROR(VLOOKUP(record[[#This Row],[PCUSTID]],廠商[],2,FALSE),"")</f>
        <v/>
      </c>
      <c r="S7656" t="str">
        <f>VLOOKUP(record[[#This Row],[employeeID]],員工[],2,FALSE)</f>
        <v>范氏香</v>
      </c>
    </row>
    <row r="7657" spans="6:19" hidden="1" x14ac:dyDescent="0.25">
      <c r="F7657" t="s">
        <v>1023</v>
      </c>
      <c r="G7657" t="s">
        <v>377</v>
      </c>
      <c r="H7657" t="str">
        <f>VLOOKUP(record[[#This Row],[ProcessSN]],表格2_7[],2,FALSE)</f>
        <v>30-4118-018-4XX</v>
      </c>
      <c r="I7657" t="str">
        <f>VLOOKUP(record[[#This Row],[ProcessSN]],表格2_7[],3,FALSE)</f>
        <v>#07</v>
      </c>
      <c r="J7657" t="s">
        <v>588</v>
      </c>
      <c r="K7657" s="195">
        <v>45908.918668981481</v>
      </c>
      <c r="L7657">
        <v>182</v>
      </c>
      <c r="M7657">
        <v>0</v>
      </c>
      <c r="N7657" s="98" t="str">
        <f>IF(record[[#This Row],[Memo]]="Browser:chrome os:android","平板報工",IF(record[[#This Row],[Memo]]=0,"委外",record[[#This Row],[Memo]]))</f>
        <v/>
      </c>
      <c r="O7657" t="s">
        <v>58</v>
      </c>
      <c r="P7657" t="s">
        <v>133</v>
      </c>
      <c r="Q7657" t="s">
        <v>58</v>
      </c>
      <c r="R7657" t="str">
        <f>IFERROR(VLOOKUP(record[[#This Row],[PCUSTID]],廠商[],2,FALSE),"")</f>
        <v/>
      </c>
      <c r="S7657" t="str">
        <f>VLOOKUP(record[[#This Row],[employeeID]],員工[],2,FALSE)</f>
        <v>黎長維</v>
      </c>
    </row>
    <row r="7658" spans="6:19" hidden="1" x14ac:dyDescent="0.25">
      <c r="F7658" t="s">
        <v>1024</v>
      </c>
      <c r="G7658" t="s">
        <v>415</v>
      </c>
      <c r="H7658" t="str">
        <f>VLOOKUP(record[[#This Row],[ProcessSN]],表格2_7[],2,FALSE)</f>
        <v>30-4118-018-5XX</v>
      </c>
      <c r="I7658" t="str">
        <f>VLOOKUP(record[[#This Row],[ProcessSN]],表格2_7[],3,FALSE)</f>
        <v>#04</v>
      </c>
      <c r="J7658" t="s">
        <v>588</v>
      </c>
      <c r="K7658" s="195">
        <v>45908.917488425926</v>
      </c>
      <c r="L7658">
        <v>138</v>
      </c>
      <c r="M7658">
        <v>0</v>
      </c>
      <c r="N7658" s="98" t="str">
        <f>IF(record[[#This Row],[Memo]]="Browser:chrome os:android","平板報工",IF(record[[#This Row],[Memo]]=0,"委外",record[[#This Row],[Memo]]))</f>
        <v/>
      </c>
      <c r="O7658" t="s">
        <v>58</v>
      </c>
      <c r="P7658" t="s">
        <v>806</v>
      </c>
      <c r="Q7658" t="s">
        <v>58</v>
      </c>
      <c r="R7658" t="str">
        <f>IFERROR(VLOOKUP(record[[#This Row],[PCUSTID]],廠商[],2,FALSE),"")</f>
        <v/>
      </c>
      <c r="S7658" t="str">
        <f>VLOOKUP(record[[#This Row],[employeeID]],員工[],2,FALSE)</f>
        <v>方思緯</v>
      </c>
    </row>
    <row r="7659" spans="6:19" hidden="1" x14ac:dyDescent="0.25">
      <c r="F7659" t="s">
        <v>1035</v>
      </c>
      <c r="G7659" t="s">
        <v>399</v>
      </c>
      <c r="H7659" t="str">
        <f>VLOOKUP(record[[#This Row],[ProcessSN]],表格2_7[],2,FALSE)</f>
        <v>30-4118-018-550</v>
      </c>
      <c r="I7659" t="str">
        <f>VLOOKUP(record[[#This Row],[ProcessSN]],表格2_7[],3,FALSE)</f>
        <v>#08IQC</v>
      </c>
      <c r="J7659" t="s">
        <v>583</v>
      </c>
      <c r="K7659" s="195">
        <v>45908.864340277774</v>
      </c>
      <c r="L7659">
        <v>157</v>
      </c>
      <c r="M7659">
        <v>0</v>
      </c>
      <c r="N7659" s="98" t="str">
        <f>IF(record[[#This Row],[Memo]]="Browser:chrome os:android","平板報工",IF(record[[#This Row],[Memo]]=0,"委外",record[[#This Row],[Memo]]))</f>
        <v/>
      </c>
      <c r="O7659" t="s">
        <v>58</v>
      </c>
      <c r="P7659" t="s">
        <v>109</v>
      </c>
      <c r="Q7659" t="s">
        <v>58</v>
      </c>
      <c r="R7659" t="str">
        <f>IFERROR(VLOOKUP(record[[#This Row],[PCUSTID]],廠商[],2,FALSE),"")</f>
        <v/>
      </c>
      <c r="S7659" t="str">
        <f>VLOOKUP(record[[#This Row],[employeeID]],員工[],2,FALSE)</f>
        <v>裴氏璧鳳</v>
      </c>
    </row>
    <row r="7660" spans="6:19" hidden="1" x14ac:dyDescent="0.25">
      <c r="F7660" t="s">
        <v>989</v>
      </c>
      <c r="G7660" t="s">
        <v>470</v>
      </c>
      <c r="H7660" t="str">
        <f>VLOOKUP(record[[#This Row],[ProcessSN]],表格2_7[],2,FALSE)</f>
        <v>30-4118-018-XXX</v>
      </c>
      <c r="I7660" t="str">
        <f>VLOOKUP(record[[#This Row],[ProcessSN]],表格2_7[],3,FALSE)</f>
        <v>#02IQC</v>
      </c>
      <c r="J7660" t="s">
        <v>583</v>
      </c>
      <c r="K7660" s="195">
        <v>45908.861215277779</v>
      </c>
      <c r="L7660">
        <v>1006</v>
      </c>
      <c r="M7660">
        <v>0</v>
      </c>
      <c r="N7660" s="98" t="str">
        <f>IF(record[[#This Row],[Memo]]="Browser:chrome os:android","平板報工",IF(record[[#This Row],[Memo]]=0,"委外",record[[#This Row],[Memo]]))</f>
        <v/>
      </c>
      <c r="O7660" t="s">
        <v>58</v>
      </c>
      <c r="P7660" t="s">
        <v>109</v>
      </c>
      <c r="Q7660" t="s">
        <v>58</v>
      </c>
      <c r="R7660" t="str">
        <f>IFERROR(VLOOKUP(record[[#This Row],[PCUSTID]],廠商[],2,FALSE),"")</f>
        <v/>
      </c>
      <c r="S7660" t="str">
        <f>VLOOKUP(record[[#This Row],[employeeID]],員工[],2,FALSE)</f>
        <v>裴氏璧鳳</v>
      </c>
    </row>
    <row r="7661" spans="6:19" hidden="1" x14ac:dyDescent="0.25">
      <c r="F7661" t="s">
        <v>1023</v>
      </c>
      <c r="G7661" t="s">
        <v>376</v>
      </c>
      <c r="H7661" t="str">
        <f>VLOOKUP(record[[#This Row],[ProcessSN]],表格2_7[],2,FALSE)</f>
        <v>30-4118-018-4XX</v>
      </c>
      <c r="I7661" t="str">
        <f>VLOOKUP(record[[#This Row],[ProcessSN]],表格2_7[],3,FALSE)</f>
        <v>#06</v>
      </c>
      <c r="J7661" t="s">
        <v>593</v>
      </c>
      <c r="K7661" s="195">
        <v>45908.790185185186</v>
      </c>
      <c r="L7661">
        <v>6</v>
      </c>
      <c r="M7661">
        <v>0</v>
      </c>
      <c r="N7661" s="98" t="str">
        <f>IF(record[[#This Row],[Memo]]="Browser:chrome os:android","平板報工",IF(record[[#This Row],[Memo]]=0,"委外",record[[#This Row],[Memo]]))</f>
        <v/>
      </c>
      <c r="O7661" t="s">
        <v>58</v>
      </c>
      <c r="P7661" t="s">
        <v>841</v>
      </c>
      <c r="Q7661" t="s">
        <v>58</v>
      </c>
      <c r="R7661" t="str">
        <f>IFERROR(VLOOKUP(record[[#This Row],[PCUSTID]],廠商[],2,FALSE),"")</f>
        <v/>
      </c>
      <c r="S7661" t="str">
        <f>VLOOKUP(record[[#This Row],[employeeID]],員工[],2,FALSE)</f>
        <v>范氏香</v>
      </c>
    </row>
    <row r="7662" spans="6:19" hidden="1" x14ac:dyDescent="0.25">
      <c r="F7662" t="s">
        <v>1022</v>
      </c>
      <c r="G7662" t="s">
        <v>403</v>
      </c>
      <c r="H7662" t="str">
        <f>VLOOKUP(record[[#This Row],[ProcessSN]],表格2_7[],2,FALSE)</f>
        <v>30-4118-018-550</v>
      </c>
      <c r="I7662" t="str">
        <f>VLOOKUP(record[[#This Row],[ProcessSN]],表格2_7[],3,FALSE)</f>
        <v>#100SHIP</v>
      </c>
      <c r="J7662" t="s">
        <v>600</v>
      </c>
      <c r="K7662" s="195">
        <v>45908.729328703703</v>
      </c>
      <c r="L7662">
        <v>394</v>
      </c>
      <c r="M7662">
        <v>0</v>
      </c>
      <c r="N7662" s="98" t="str">
        <f>IF(record[[#This Row],[Memo]]="Browser:chrome os:android","平板報工",IF(record[[#This Row],[Memo]]=0,"委外",record[[#This Row],[Memo]]))</f>
        <v/>
      </c>
      <c r="O7662" t="s">
        <v>58</v>
      </c>
      <c r="P7662" t="s">
        <v>886</v>
      </c>
      <c r="Q7662" t="s">
        <v>58</v>
      </c>
      <c r="R7662" t="str">
        <f>IFERROR(VLOOKUP(record[[#This Row],[PCUSTID]],廠商[],2,FALSE),"")</f>
        <v/>
      </c>
      <c r="S7662" t="str">
        <f>VLOOKUP(record[[#This Row],[employeeID]],員工[],2,FALSE)</f>
        <v>謝蓁薰</v>
      </c>
    </row>
    <row r="7663" spans="6:19" hidden="1" x14ac:dyDescent="0.25">
      <c r="F7663" t="s">
        <v>1022</v>
      </c>
      <c r="G7663" t="s">
        <v>402</v>
      </c>
      <c r="H7663" t="str">
        <f>VLOOKUP(record[[#This Row],[ProcessSN]],表格2_7[],2,FALSE)</f>
        <v>30-4118-018-550</v>
      </c>
      <c r="I7663" t="str">
        <f>VLOOKUP(record[[#This Row],[ProcessSN]],表格2_7[],3,FALSE)</f>
        <v>#100STOCK</v>
      </c>
      <c r="J7663" t="s">
        <v>592</v>
      </c>
      <c r="K7663" s="195">
        <v>45908.729189814818</v>
      </c>
      <c r="L7663">
        <v>394</v>
      </c>
      <c r="M7663">
        <v>0</v>
      </c>
      <c r="N7663" s="98" t="str">
        <f>IF(record[[#This Row],[Memo]]="Browser:chrome os:android","平板報工",IF(record[[#This Row],[Memo]]=0,"委外",record[[#This Row],[Memo]]))</f>
        <v/>
      </c>
      <c r="O7663" t="s">
        <v>58</v>
      </c>
      <c r="P7663" t="s">
        <v>886</v>
      </c>
      <c r="Q7663" t="s">
        <v>58</v>
      </c>
      <c r="R7663" t="str">
        <f>IFERROR(VLOOKUP(record[[#This Row],[PCUSTID]],廠商[],2,FALSE),"")</f>
        <v/>
      </c>
      <c r="S7663" t="str">
        <f>VLOOKUP(record[[#This Row],[employeeID]],員工[],2,FALSE)</f>
        <v>謝蓁薰</v>
      </c>
    </row>
    <row r="7664" spans="6:19" hidden="1" x14ac:dyDescent="0.25">
      <c r="F7664" t="s">
        <v>1011</v>
      </c>
      <c r="G7664" t="s">
        <v>403</v>
      </c>
      <c r="H7664" t="str">
        <f>VLOOKUP(record[[#This Row],[ProcessSN]],表格2_7[],2,FALSE)</f>
        <v>30-4118-018-550</v>
      </c>
      <c r="I7664" t="str">
        <f>VLOOKUP(record[[#This Row],[ProcessSN]],表格2_7[],3,FALSE)</f>
        <v>#100SHIP</v>
      </c>
      <c r="J7664" t="s">
        <v>600</v>
      </c>
      <c r="K7664" s="195">
        <v>45908.729050925926</v>
      </c>
      <c r="L7664">
        <v>5</v>
      </c>
      <c r="M7664">
        <v>0</v>
      </c>
      <c r="N7664" s="98" t="str">
        <f>IF(record[[#This Row],[Memo]]="Browser:chrome os:android","平板報工",IF(record[[#This Row],[Memo]]=0,"委外",record[[#This Row],[Memo]]))</f>
        <v/>
      </c>
      <c r="O7664" t="s">
        <v>58</v>
      </c>
      <c r="P7664" t="s">
        <v>886</v>
      </c>
      <c r="Q7664" t="s">
        <v>58</v>
      </c>
      <c r="R7664" t="str">
        <f>IFERROR(VLOOKUP(record[[#This Row],[PCUSTID]],廠商[],2,FALSE),"")</f>
        <v/>
      </c>
      <c r="S7664" t="str">
        <f>VLOOKUP(record[[#This Row],[employeeID]],員工[],2,FALSE)</f>
        <v>謝蓁薰</v>
      </c>
    </row>
    <row r="7665" spans="6:19" hidden="1" x14ac:dyDescent="0.25">
      <c r="F7665" t="s">
        <v>1022</v>
      </c>
      <c r="G7665" t="s">
        <v>401</v>
      </c>
      <c r="H7665" t="str">
        <f>VLOOKUP(record[[#This Row],[ProcessSN]],表格2_7[],2,FALSE)</f>
        <v>30-4118-018-550</v>
      </c>
      <c r="I7665" t="str">
        <f>VLOOKUP(record[[#This Row],[ProcessSN]],表格2_7[],3,FALSE)</f>
        <v>#100OQC</v>
      </c>
      <c r="J7665" t="s">
        <v>599</v>
      </c>
      <c r="K7665" s="195">
        <v>45908.699687499997</v>
      </c>
      <c r="L7665">
        <v>440</v>
      </c>
      <c r="M7665">
        <v>0</v>
      </c>
      <c r="N7665" s="98" t="str">
        <f>IF(record[[#This Row],[Memo]]="Browser:chrome os:android","平板報工",IF(record[[#This Row],[Memo]]=0,"委外",record[[#This Row],[Memo]]))</f>
        <v/>
      </c>
      <c r="O7665" t="s">
        <v>58</v>
      </c>
      <c r="P7665" t="s">
        <v>121</v>
      </c>
      <c r="Q7665" t="s">
        <v>58</v>
      </c>
      <c r="R7665" t="str">
        <f>IFERROR(VLOOKUP(record[[#This Row],[PCUSTID]],廠商[],2,FALSE),"")</f>
        <v/>
      </c>
      <c r="S7665" t="str">
        <f>VLOOKUP(record[[#This Row],[employeeID]],員工[],2,FALSE)</f>
        <v>謝素卿</v>
      </c>
    </row>
    <row r="7666" spans="6:19" hidden="1" x14ac:dyDescent="0.25">
      <c r="F7666" t="s">
        <v>1033</v>
      </c>
      <c r="G7666" t="s">
        <v>401</v>
      </c>
      <c r="H7666" t="str">
        <f>VLOOKUP(record[[#This Row],[ProcessSN]],表格2_7[],2,FALSE)</f>
        <v>30-4118-018-550</v>
      </c>
      <c r="I7666" t="str">
        <f>VLOOKUP(record[[#This Row],[ProcessSN]],表格2_7[],3,FALSE)</f>
        <v>#100OQC</v>
      </c>
      <c r="J7666" t="s">
        <v>599</v>
      </c>
      <c r="K7666" s="195">
        <v>45908.699479166666</v>
      </c>
      <c r="L7666">
        <v>159</v>
      </c>
      <c r="M7666">
        <v>0</v>
      </c>
      <c r="N7666" s="98" t="str">
        <f>IF(record[[#This Row],[Memo]]="Browser:chrome os:android","平板報工",IF(record[[#This Row],[Memo]]=0,"委外",record[[#This Row],[Memo]]))</f>
        <v/>
      </c>
      <c r="O7666" t="s">
        <v>58</v>
      </c>
      <c r="P7666" t="s">
        <v>121</v>
      </c>
      <c r="Q7666" t="s">
        <v>58</v>
      </c>
      <c r="R7666" t="str">
        <f>IFERROR(VLOOKUP(record[[#This Row],[PCUSTID]],廠商[],2,FALSE),"")</f>
        <v/>
      </c>
      <c r="S7666" t="str">
        <f>VLOOKUP(record[[#This Row],[employeeID]],員工[],2,FALSE)</f>
        <v>謝素卿</v>
      </c>
    </row>
    <row r="7667" spans="6:19" hidden="1" x14ac:dyDescent="0.25">
      <c r="F7667" t="s">
        <v>1035</v>
      </c>
      <c r="G7667" t="s">
        <v>398</v>
      </c>
      <c r="H7667" t="str">
        <f>VLOOKUP(record[[#This Row],[ProcessSN]],表格2_7[],2,FALSE)</f>
        <v>30-4118-018-550</v>
      </c>
      <c r="I7667" t="str">
        <f>VLOOKUP(record[[#This Row],[ProcessSN]],表格2_7[],3,FALSE)</f>
        <v>#08RCV</v>
      </c>
      <c r="J7667" t="s">
        <v>591</v>
      </c>
      <c r="K7667" s="195">
        <v>45908.689351851855</v>
      </c>
      <c r="L7667">
        <v>157</v>
      </c>
      <c r="M7667">
        <v>0</v>
      </c>
      <c r="N7667" s="98" t="str">
        <f>IF(record[[#This Row],[Memo]]="Browser:chrome os:android","平板報工",IF(record[[#This Row],[Memo]]=0,"委外",record[[#This Row],[Memo]]))</f>
        <v/>
      </c>
      <c r="O7667" t="s">
        <v>58</v>
      </c>
      <c r="P7667" t="s">
        <v>186</v>
      </c>
      <c r="Q7667" t="s">
        <v>58</v>
      </c>
      <c r="R7667" t="str">
        <f>IFERROR(VLOOKUP(record[[#This Row],[PCUSTID]],廠商[],2,FALSE),"")</f>
        <v/>
      </c>
      <c r="S7667" t="str">
        <f>VLOOKUP(record[[#This Row],[employeeID]],員工[],2,FALSE)</f>
        <v>許文姍</v>
      </c>
    </row>
    <row r="7668" spans="6:19" hidden="1" x14ac:dyDescent="0.25">
      <c r="F7668" t="s">
        <v>1024</v>
      </c>
      <c r="G7668" t="s">
        <v>415</v>
      </c>
      <c r="H7668" t="str">
        <f>VLOOKUP(record[[#This Row],[ProcessSN]],表格2_7[],2,FALSE)</f>
        <v>30-4118-018-5XX</v>
      </c>
      <c r="I7668" t="str">
        <f>VLOOKUP(record[[#This Row],[ProcessSN]],表格2_7[],3,FALSE)</f>
        <v>#04</v>
      </c>
      <c r="J7668" t="s">
        <v>588</v>
      </c>
      <c r="K7668" s="195">
        <v>45908.648726851854</v>
      </c>
      <c r="L7668">
        <v>30</v>
      </c>
      <c r="M7668">
        <v>0</v>
      </c>
      <c r="N7668" s="98" t="str">
        <f>IF(record[[#This Row],[Memo]]="Browser:chrome os:android","平板報工",IF(record[[#This Row],[Memo]]=0,"委外",record[[#This Row],[Memo]]))</f>
        <v>平板報工</v>
      </c>
      <c r="O7668" t="s">
        <v>643</v>
      </c>
      <c r="P7668" t="s">
        <v>119</v>
      </c>
      <c r="Q7668" t="s">
        <v>644</v>
      </c>
      <c r="R7668" t="str">
        <f>IFERROR(VLOOKUP(record[[#This Row],[PCUSTID]],廠商[],2,FALSE),"")</f>
        <v/>
      </c>
      <c r="S7668" t="str">
        <f>VLOOKUP(record[[#This Row],[employeeID]],員工[],2,FALSE)</f>
        <v>廖俊彥</v>
      </c>
    </row>
    <row r="7669" spans="6:19" hidden="1" x14ac:dyDescent="0.25">
      <c r="F7669" t="s">
        <v>1018</v>
      </c>
      <c r="G7669" t="s">
        <v>415</v>
      </c>
      <c r="H7669" t="str">
        <f>VLOOKUP(record[[#This Row],[ProcessSN]],表格2_7[],2,FALSE)</f>
        <v>30-4118-018-5XX</v>
      </c>
      <c r="I7669" t="str">
        <f>VLOOKUP(record[[#This Row],[ProcessSN]],表格2_7[],3,FALSE)</f>
        <v>#04</v>
      </c>
      <c r="J7669" t="s">
        <v>588</v>
      </c>
      <c r="K7669" s="195">
        <v>45908.647835648146</v>
      </c>
      <c r="L7669">
        <v>86</v>
      </c>
      <c r="M7669">
        <v>0</v>
      </c>
      <c r="N7669" s="98" t="str">
        <f>IF(record[[#This Row],[Memo]]="Browser:chrome os:android","平板報工",IF(record[[#This Row],[Memo]]=0,"委外",record[[#This Row],[Memo]]))</f>
        <v>平板報工</v>
      </c>
      <c r="O7669" t="s">
        <v>643</v>
      </c>
      <c r="P7669" t="s">
        <v>119</v>
      </c>
      <c r="Q7669" t="s">
        <v>644</v>
      </c>
      <c r="R7669" t="str">
        <f>IFERROR(VLOOKUP(record[[#This Row],[PCUSTID]],廠商[],2,FALSE),"")</f>
        <v/>
      </c>
      <c r="S7669" t="str">
        <f>VLOOKUP(record[[#This Row],[employeeID]],員工[],2,FALSE)</f>
        <v>廖俊彥</v>
      </c>
    </row>
    <row r="7670" spans="6:19" hidden="1" x14ac:dyDescent="0.25">
      <c r="F7670" t="s">
        <v>1024</v>
      </c>
      <c r="G7670" t="s">
        <v>414</v>
      </c>
      <c r="H7670" t="str">
        <f>VLOOKUP(record[[#This Row],[ProcessSN]],表格2_7[],2,FALSE)</f>
        <v>30-4118-018-5XX</v>
      </c>
      <c r="I7670" t="str">
        <f>VLOOKUP(record[[#This Row],[ProcessSN]],表格2_7[],3,FALSE)</f>
        <v>#03</v>
      </c>
      <c r="J7670" t="s">
        <v>588</v>
      </c>
      <c r="K7670" s="195">
        <v>45908.64025462963</v>
      </c>
      <c r="L7670">
        <v>504</v>
      </c>
      <c r="M7670">
        <v>0</v>
      </c>
      <c r="N7670" s="98" t="str">
        <f>IF(record[[#This Row],[Memo]]="Browser:chrome os:android","平板報工",IF(record[[#This Row],[Memo]]=0,"委外",record[[#This Row],[Memo]]))</f>
        <v>平板報工</v>
      </c>
      <c r="O7670" t="s">
        <v>643</v>
      </c>
      <c r="P7670" t="s">
        <v>119</v>
      </c>
      <c r="Q7670" t="s">
        <v>644</v>
      </c>
      <c r="R7670" t="str">
        <f>IFERROR(VLOOKUP(record[[#This Row],[PCUSTID]],廠商[],2,FALSE),"")</f>
        <v/>
      </c>
      <c r="S7670" t="str">
        <f>VLOOKUP(record[[#This Row],[employeeID]],員工[],2,FALSE)</f>
        <v>廖俊彥</v>
      </c>
    </row>
    <row r="7671" spans="6:19" hidden="1" x14ac:dyDescent="0.25">
      <c r="F7671" t="s">
        <v>1024</v>
      </c>
      <c r="G7671" t="s">
        <v>416</v>
      </c>
      <c r="H7671" t="str">
        <f>VLOOKUP(record[[#This Row],[ProcessSN]],表格2_7[],2,FALSE)</f>
        <v>30-4118-018-5XX</v>
      </c>
      <c r="I7671" t="str">
        <f>VLOOKUP(record[[#This Row],[ProcessSN]],表格2_7[],3,FALSE)</f>
        <v>#05</v>
      </c>
      <c r="J7671" t="s">
        <v>588</v>
      </c>
      <c r="K7671" s="195">
        <v>45908.639768518522</v>
      </c>
      <c r="L7671">
        <v>40</v>
      </c>
      <c r="M7671">
        <v>0</v>
      </c>
      <c r="N7671" s="98" t="str">
        <f>IF(record[[#This Row],[Memo]]="Browser:chrome os:android","平板報工",IF(record[[#This Row],[Memo]]=0,"委外",record[[#This Row],[Memo]]))</f>
        <v>平板報工</v>
      </c>
      <c r="O7671" t="s">
        <v>643</v>
      </c>
      <c r="P7671" t="s">
        <v>119</v>
      </c>
      <c r="Q7671" t="s">
        <v>644</v>
      </c>
      <c r="R7671" t="str">
        <f>IFERROR(VLOOKUP(record[[#This Row],[PCUSTID]],廠商[],2,FALSE),"")</f>
        <v/>
      </c>
      <c r="S7671" t="str">
        <f>VLOOKUP(record[[#This Row],[employeeID]],員工[],2,FALSE)</f>
        <v>廖俊彥</v>
      </c>
    </row>
    <row r="7672" spans="6:19" hidden="1" x14ac:dyDescent="0.25">
      <c r="F7672" t="s">
        <v>1024</v>
      </c>
      <c r="G7672" t="s">
        <v>415</v>
      </c>
      <c r="H7672" t="str">
        <f>VLOOKUP(record[[#This Row],[ProcessSN]],表格2_7[],2,FALSE)</f>
        <v>30-4118-018-5XX</v>
      </c>
      <c r="I7672" t="str">
        <f>VLOOKUP(record[[#This Row],[ProcessSN]],表格2_7[],3,FALSE)</f>
        <v>#04</v>
      </c>
      <c r="J7672" t="s">
        <v>588</v>
      </c>
      <c r="K7672" s="195">
        <v>45908.639548611114</v>
      </c>
      <c r="L7672">
        <v>10</v>
      </c>
      <c r="M7672">
        <v>0</v>
      </c>
      <c r="N7672" s="98" t="str">
        <f>IF(record[[#This Row],[Memo]]="Browser:chrome os:android","平板報工",IF(record[[#This Row],[Memo]]=0,"委外",record[[#This Row],[Memo]]))</f>
        <v>平板報工</v>
      </c>
      <c r="O7672" t="s">
        <v>643</v>
      </c>
      <c r="P7672" t="s">
        <v>119</v>
      </c>
      <c r="Q7672" t="s">
        <v>644</v>
      </c>
      <c r="R7672" t="str">
        <f>IFERROR(VLOOKUP(record[[#This Row],[PCUSTID]],廠商[],2,FALSE),"")</f>
        <v/>
      </c>
      <c r="S7672" t="str">
        <f>VLOOKUP(record[[#This Row],[employeeID]],員工[],2,FALSE)</f>
        <v>廖俊彥</v>
      </c>
    </row>
    <row r="7673" spans="6:19" hidden="1" x14ac:dyDescent="0.25">
      <c r="F7673" t="s">
        <v>1022</v>
      </c>
      <c r="G7673" t="s">
        <v>400</v>
      </c>
      <c r="H7673" t="str">
        <f>VLOOKUP(record[[#This Row],[ProcessSN]],表格2_7[],2,FALSE)</f>
        <v>30-4118-018-550</v>
      </c>
      <c r="I7673" t="str">
        <f>VLOOKUP(record[[#This Row],[ProcessSN]],表格2_7[],3,FALSE)</f>
        <v>#100</v>
      </c>
      <c r="J7673" t="s">
        <v>598</v>
      </c>
      <c r="K7673" s="195">
        <v>45908.637557870374</v>
      </c>
      <c r="L7673">
        <v>440</v>
      </c>
      <c r="M7673">
        <v>0</v>
      </c>
      <c r="N7673" s="98" t="str">
        <f>IF(record[[#This Row],[Memo]]="Browser:chrome os:android","平板報工",IF(record[[#This Row],[Memo]]=0,"委外",record[[#This Row],[Memo]]))</f>
        <v/>
      </c>
      <c r="O7673" t="s">
        <v>58</v>
      </c>
      <c r="P7673" t="s">
        <v>141</v>
      </c>
      <c r="Q7673" t="s">
        <v>58</v>
      </c>
      <c r="R7673" t="str">
        <f>IFERROR(VLOOKUP(record[[#This Row],[PCUSTID]],廠商[],2,FALSE),"")</f>
        <v/>
      </c>
      <c r="S7673" t="str">
        <f>VLOOKUP(record[[#This Row],[employeeID]],員工[],2,FALSE)</f>
        <v>蔣梅</v>
      </c>
    </row>
    <row r="7674" spans="6:19" hidden="1" x14ac:dyDescent="0.25">
      <c r="F7674" t="s">
        <v>1033</v>
      </c>
      <c r="G7674" t="s">
        <v>400</v>
      </c>
      <c r="H7674" t="str">
        <f>VLOOKUP(record[[#This Row],[ProcessSN]],表格2_7[],2,FALSE)</f>
        <v>30-4118-018-550</v>
      </c>
      <c r="I7674" t="str">
        <f>VLOOKUP(record[[#This Row],[ProcessSN]],表格2_7[],3,FALSE)</f>
        <v>#100</v>
      </c>
      <c r="J7674" t="s">
        <v>598</v>
      </c>
      <c r="K7674" s="195">
        <v>45908.636863425927</v>
      </c>
      <c r="L7674">
        <v>159</v>
      </c>
      <c r="M7674">
        <v>0</v>
      </c>
      <c r="N7674" s="98" t="str">
        <f>IF(record[[#This Row],[Memo]]="Browser:chrome os:android","平板報工",IF(record[[#This Row],[Memo]]=0,"委外",record[[#This Row],[Memo]]))</f>
        <v/>
      </c>
      <c r="O7674" t="s">
        <v>58</v>
      </c>
      <c r="P7674" t="s">
        <v>141</v>
      </c>
      <c r="Q7674" t="s">
        <v>58</v>
      </c>
      <c r="R7674" t="str">
        <f>IFERROR(VLOOKUP(record[[#This Row],[PCUSTID]],廠商[],2,FALSE),"")</f>
        <v/>
      </c>
      <c r="S7674" t="str">
        <f>VLOOKUP(record[[#This Row],[employeeID]],員工[],2,FALSE)</f>
        <v>蔣梅</v>
      </c>
    </row>
    <row r="7675" spans="6:19" hidden="1" x14ac:dyDescent="0.25">
      <c r="F7675" t="s">
        <v>1033</v>
      </c>
      <c r="G7675" t="s">
        <v>398</v>
      </c>
      <c r="H7675" t="str">
        <f>VLOOKUP(record[[#This Row],[ProcessSN]],表格2_7[],2,FALSE)</f>
        <v>30-4118-018-550</v>
      </c>
      <c r="I7675" t="str">
        <f>VLOOKUP(record[[#This Row],[ProcessSN]],表格2_7[],3,FALSE)</f>
        <v>#08RCV</v>
      </c>
      <c r="J7675" t="s">
        <v>591</v>
      </c>
      <c r="K7675" s="195">
        <v>45908.636712962965</v>
      </c>
      <c r="L7675">
        <v>0</v>
      </c>
      <c r="M7675">
        <v>4</v>
      </c>
      <c r="N7675" s="98" t="str">
        <f>IF(record[[#This Row],[Memo]]="Browser:chrome os:android","平板報工",IF(record[[#This Row],[Memo]]=0,"委外",record[[#This Row],[Memo]]))</f>
        <v/>
      </c>
      <c r="O7675" t="s">
        <v>58</v>
      </c>
      <c r="P7675" t="s">
        <v>141</v>
      </c>
      <c r="Q7675" t="s">
        <v>58</v>
      </c>
      <c r="R7675" t="str">
        <f>IFERROR(VLOOKUP(record[[#This Row],[PCUSTID]],廠商[],2,FALSE),"")</f>
        <v/>
      </c>
      <c r="S7675" t="str">
        <f>VLOOKUP(record[[#This Row],[employeeID]],員工[],2,FALSE)</f>
        <v>蔣梅</v>
      </c>
    </row>
    <row r="7676" spans="6:19" hidden="1" x14ac:dyDescent="0.25">
      <c r="F7676" t="s">
        <v>1033</v>
      </c>
      <c r="G7676" t="s">
        <v>399</v>
      </c>
      <c r="H7676" t="str">
        <f>VLOOKUP(record[[#This Row],[ProcessSN]],表格2_7[],2,FALSE)</f>
        <v>30-4118-018-550</v>
      </c>
      <c r="I7676" t="str">
        <f>VLOOKUP(record[[#This Row],[ProcessSN]],表格2_7[],3,FALSE)</f>
        <v>#08IQC</v>
      </c>
      <c r="J7676" t="s">
        <v>583</v>
      </c>
      <c r="K7676" s="195">
        <v>45908.636504629627</v>
      </c>
      <c r="L7676">
        <v>2</v>
      </c>
      <c r="M7676">
        <v>0</v>
      </c>
      <c r="N7676" s="98" t="str">
        <f>IF(record[[#This Row],[Memo]]="Browser:chrome os:android","平板報工",IF(record[[#This Row],[Memo]]=0,"委外",record[[#This Row],[Memo]]))</f>
        <v>覆回品</v>
      </c>
      <c r="O7676" t="s">
        <v>664</v>
      </c>
      <c r="P7676" t="s">
        <v>141</v>
      </c>
      <c r="Q7676" t="s">
        <v>58</v>
      </c>
      <c r="R7676" t="str">
        <f>IFERROR(VLOOKUP(record[[#This Row],[PCUSTID]],廠商[],2,FALSE),"")</f>
        <v/>
      </c>
      <c r="S7676" t="str">
        <f>VLOOKUP(record[[#This Row],[employeeID]],員工[],2,FALSE)</f>
        <v>蔣梅</v>
      </c>
    </row>
    <row r="7677" spans="6:19" hidden="1" x14ac:dyDescent="0.25">
      <c r="F7677" t="s">
        <v>1033</v>
      </c>
      <c r="G7677" t="s">
        <v>398</v>
      </c>
      <c r="H7677" t="str">
        <f>VLOOKUP(record[[#This Row],[ProcessSN]],表格2_7[],2,FALSE)</f>
        <v>30-4118-018-550</v>
      </c>
      <c r="I7677" t="str">
        <f>VLOOKUP(record[[#This Row],[ProcessSN]],表格2_7[],3,FALSE)</f>
        <v>#08RCV</v>
      </c>
      <c r="J7677" t="s">
        <v>591</v>
      </c>
      <c r="K7677" s="195">
        <v>45908.636041666665</v>
      </c>
      <c r="L7677">
        <v>2</v>
      </c>
      <c r="M7677">
        <v>0</v>
      </c>
      <c r="N7677" s="98" t="str">
        <f>IF(record[[#This Row],[Memo]]="Browser:chrome os:android","平板報工",IF(record[[#This Row],[Memo]]=0,"委外",record[[#This Row],[Memo]]))</f>
        <v/>
      </c>
      <c r="O7677" t="s">
        <v>58</v>
      </c>
      <c r="P7677" t="s">
        <v>141</v>
      </c>
      <c r="Q7677" t="s">
        <v>58</v>
      </c>
      <c r="R7677" t="str">
        <f>IFERROR(VLOOKUP(record[[#This Row],[PCUSTID]],廠商[],2,FALSE),"")</f>
        <v/>
      </c>
      <c r="S7677" t="str">
        <f>VLOOKUP(record[[#This Row],[employeeID]],員工[],2,FALSE)</f>
        <v>蔣梅</v>
      </c>
    </row>
    <row r="7678" spans="6:19" hidden="1" x14ac:dyDescent="0.25">
      <c r="F7678" t="s">
        <v>989</v>
      </c>
      <c r="G7678" t="s">
        <v>471</v>
      </c>
      <c r="H7678" t="str">
        <f>VLOOKUP(record[[#This Row],[ProcessSN]],表格2_7[],2,FALSE)</f>
        <v>30-4118-018-XXX</v>
      </c>
      <c r="I7678" t="str">
        <f>VLOOKUP(record[[#This Row],[ProcessSN]],表格2_7[],3,FALSE)</f>
        <v>#02STOCK</v>
      </c>
      <c r="J7678" t="s">
        <v>592</v>
      </c>
      <c r="K7678" s="195">
        <v>45908.590532407405</v>
      </c>
      <c r="L7678">
        <v>1008</v>
      </c>
      <c r="M7678">
        <v>0</v>
      </c>
      <c r="N7678" s="98" t="str">
        <f>IF(record[[#This Row],[Memo]]="Browser:chrome os:android","平板報工",IF(record[[#This Row],[Memo]]=0,"委外",record[[#This Row],[Memo]]))</f>
        <v/>
      </c>
      <c r="O7678" t="s">
        <v>58</v>
      </c>
      <c r="P7678" t="s">
        <v>196</v>
      </c>
      <c r="Q7678" t="s">
        <v>58</v>
      </c>
      <c r="R7678" t="str">
        <f>IFERROR(VLOOKUP(record[[#This Row],[PCUSTID]],廠商[],2,FALSE),"")</f>
        <v/>
      </c>
      <c r="S7678" t="str">
        <f>VLOOKUP(record[[#This Row],[employeeID]],員工[],2,FALSE)</f>
        <v>張淑惠</v>
      </c>
    </row>
    <row r="7679" spans="6:19" hidden="1" x14ac:dyDescent="0.25">
      <c r="F7679" t="s">
        <v>1023</v>
      </c>
      <c r="G7679" t="s">
        <v>379</v>
      </c>
      <c r="H7679" t="str">
        <f>VLOOKUP(record[[#This Row],[ProcessSN]],表格2_7[],2,FALSE)</f>
        <v>30-4118-018-4XX</v>
      </c>
      <c r="I7679" t="str">
        <f>VLOOKUP(record[[#This Row],[ProcessSN]],表格2_7[],3,FALSE)</f>
        <v>#07STOCK</v>
      </c>
      <c r="J7679" t="s">
        <v>592</v>
      </c>
      <c r="K7679" s="195">
        <v>45908.559803240743</v>
      </c>
      <c r="L7679">
        <v>326</v>
      </c>
      <c r="M7679">
        <v>0</v>
      </c>
      <c r="N7679" s="98" t="str">
        <f>IF(record[[#This Row],[Memo]]="Browser:chrome os:android","平板報工",IF(record[[#This Row],[Memo]]=0,"委外",record[[#This Row],[Memo]]))</f>
        <v/>
      </c>
      <c r="O7679" t="s">
        <v>58</v>
      </c>
      <c r="P7679" t="s">
        <v>196</v>
      </c>
      <c r="Q7679" t="s">
        <v>58</v>
      </c>
      <c r="R7679" t="str">
        <f>IFERROR(VLOOKUP(record[[#This Row],[PCUSTID]],廠商[],2,FALSE),"")</f>
        <v/>
      </c>
      <c r="S7679" t="str">
        <f>VLOOKUP(record[[#This Row],[employeeID]],員工[],2,FALSE)</f>
        <v>張淑惠</v>
      </c>
    </row>
    <row r="7680" spans="6:19" hidden="1" x14ac:dyDescent="0.25">
      <c r="F7680" t="s">
        <v>1041</v>
      </c>
      <c r="G7680" t="s">
        <v>356</v>
      </c>
      <c r="H7680" t="str">
        <f>VLOOKUP(record[[#This Row],[ProcessSN]],表格2_7[],2,FALSE)</f>
        <v>30-4118-018-450</v>
      </c>
      <c r="I7680" t="str">
        <f>VLOOKUP(record[[#This Row],[ProcessSN]],表格2_7[],3,FALSE)</f>
        <v>#08</v>
      </c>
      <c r="J7680" t="s">
        <v>597</v>
      </c>
      <c r="K7680" s="195">
        <v>45908.553993055553</v>
      </c>
      <c r="L7680">
        <v>326</v>
      </c>
      <c r="M7680">
        <v>0</v>
      </c>
      <c r="N7680" s="98" t="str">
        <f>IF(record[[#This Row],[Memo]]="Browser:chrome os:android","平板報工",IF(record[[#This Row],[Memo]]=0,"委外",record[[#This Row],[Memo]]))</f>
        <v/>
      </c>
      <c r="O7680" t="s">
        <v>58</v>
      </c>
      <c r="P7680" t="s">
        <v>186</v>
      </c>
      <c r="Q7680" t="s">
        <v>287</v>
      </c>
      <c r="R7680" t="str">
        <f>IFERROR(VLOOKUP(record[[#This Row],[PCUSTID]],廠商[],2,FALSE),"")</f>
        <v>泉盛</v>
      </c>
      <c r="S7680" t="str">
        <f>VLOOKUP(record[[#This Row],[employeeID]],員工[],2,FALSE)</f>
        <v>許文姍</v>
      </c>
    </row>
    <row r="7681" spans="6:19" hidden="1" x14ac:dyDescent="0.25">
      <c r="F7681" t="s">
        <v>989</v>
      </c>
      <c r="G7681" t="s">
        <v>469</v>
      </c>
      <c r="H7681" t="str">
        <f>VLOOKUP(record[[#This Row],[ProcessSN]],表格2_7[],2,FALSE)</f>
        <v>30-4118-018-XXX</v>
      </c>
      <c r="I7681" t="str">
        <f>VLOOKUP(record[[#This Row],[ProcessSN]],表格2_7[],3,FALSE)</f>
        <v>#02RCV</v>
      </c>
      <c r="J7681" t="s">
        <v>591</v>
      </c>
      <c r="K7681" s="195">
        <v>45908.470358796294</v>
      </c>
      <c r="L7681">
        <v>1006</v>
      </c>
      <c r="M7681">
        <v>0</v>
      </c>
      <c r="N7681" s="98" t="str">
        <f>IF(record[[#This Row],[Memo]]="Browser:chrome os:android","平板報工",IF(record[[#This Row],[Memo]]=0,"委外",record[[#This Row],[Memo]]))</f>
        <v/>
      </c>
      <c r="O7681" t="s">
        <v>58</v>
      </c>
      <c r="P7681" t="s">
        <v>186</v>
      </c>
      <c r="Q7681" t="s">
        <v>58</v>
      </c>
      <c r="R7681" t="str">
        <f>IFERROR(VLOOKUP(record[[#This Row],[PCUSTID]],廠商[],2,FALSE),"")</f>
        <v/>
      </c>
      <c r="S7681" t="str">
        <f>VLOOKUP(record[[#This Row],[employeeID]],員工[],2,FALSE)</f>
        <v>許文姍</v>
      </c>
    </row>
    <row r="7682" spans="6:19" hidden="1" x14ac:dyDescent="0.25">
      <c r="F7682" t="s">
        <v>1023</v>
      </c>
      <c r="G7682" t="s">
        <v>378</v>
      </c>
      <c r="H7682" t="str">
        <f>VLOOKUP(record[[#This Row],[ProcessSN]],表格2_7[],2,FALSE)</f>
        <v>30-4118-018-4XX</v>
      </c>
      <c r="I7682" t="str">
        <f>VLOOKUP(record[[#This Row],[ProcessSN]],表格2_7[],3,FALSE)</f>
        <v>#07QC</v>
      </c>
      <c r="J7682" t="s">
        <v>589</v>
      </c>
      <c r="K7682" s="195">
        <v>45908.428622685184</v>
      </c>
      <c r="L7682">
        <v>0</v>
      </c>
      <c r="M7682">
        <v>10</v>
      </c>
      <c r="N7682" s="98" t="str">
        <f>IF(record[[#This Row],[Memo]]="Browser:chrome os:android","平板報工",IF(record[[#This Row],[Memo]]=0,"委外",record[[#This Row],[Memo]]))</f>
        <v>平板報工</v>
      </c>
      <c r="O7682" t="s">
        <v>643</v>
      </c>
      <c r="P7682" t="s">
        <v>141</v>
      </c>
      <c r="Q7682" t="s">
        <v>644</v>
      </c>
      <c r="R7682" t="str">
        <f>IFERROR(VLOOKUP(record[[#This Row],[PCUSTID]],廠商[],2,FALSE),"")</f>
        <v/>
      </c>
      <c r="S7682" t="str">
        <f>VLOOKUP(record[[#This Row],[employeeID]],員工[],2,FALSE)</f>
        <v>蔣梅</v>
      </c>
    </row>
    <row r="7683" spans="6:19" hidden="1" x14ac:dyDescent="0.25">
      <c r="F7683" t="s">
        <v>1023</v>
      </c>
      <c r="G7683" t="s">
        <v>378</v>
      </c>
      <c r="H7683" t="str">
        <f>VLOOKUP(record[[#This Row],[ProcessSN]],表格2_7[],2,FALSE)</f>
        <v>30-4118-018-4XX</v>
      </c>
      <c r="I7683" t="str">
        <f>VLOOKUP(record[[#This Row],[ProcessSN]],表格2_7[],3,FALSE)</f>
        <v>#07QC</v>
      </c>
      <c r="J7683" t="s">
        <v>589</v>
      </c>
      <c r="K7683" s="195">
        <v>45908.428333333337</v>
      </c>
      <c r="L7683">
        <v>326</v>
      </c>
      <c r="M7683">
        <v>0</v>
      </c>
      <c r="N7683" s="98" t="str">
        <f>IF(record[[#This Row],[Memo]]="Browser:chrome os:android","平板報工",IF(record[[#This Row],[Memo]]=0,"委外",record[[#This Row],[Memo]]))</f>
        <v>平板報工</v>
      </c>
      <c r="O7683" t="s">
        <v>643</v>
      </c>
      <c r="P7683" t="s">
        <v>141</v>
      </c>
      <c r="Q7683" t="s">
        <v>644</v>
      </c>
      <c r="R7683" t="str">
        <f>IFERROR(VLOOKUP(record[[#This Row],[PCUSTID]],廠商[],2,FALSE),"")</f>
        <v/>
      </c>
      <c r="S7683" t="str">
        <f>VLOOKUP(record[[#This Row],[employeeID]],員工[],2,FALSE)</f>
        <v>蔣梅</v>
      </c>
    </row>
    <row r="7684" spans="6:19" hidden="1" x14ac:dyDescent="0.25">
      <c r="F7684" t="s">
        <v>1041</v>
      </c>
      <c r="G7684" t="s">
        <v>355</v>
      </c>
      <c r="H7684" t="str">
        <f>VLOOKUP(record[[#This Row],[ProcessSN]],表格2_7[],2,FALSE)</f>
        <v>30-4118-018-450</v>
      </c>
      <c r="I7684" t="str">
        <f>VLOOKUP(record[[#This Row],[ProcessSN]],表格2_7[],3,FALSE)</f>
        <v>#08PICK</v>
      </c>
      <c r="J7684" t="s">
        <v>582</v>
      </c>
      <c r="K7684" s="195">
        <v>45908.416180555556</v>
      </c>
      <c r="L7684">
        <v>326</v>
      </c>
      <c r="M7684">
        <v>0</v>
      </c>
      <c r="N7684" s="98" t="str">
        <f>IF(record[[#This Row],[Memo]]="Browser:chrome os:android","平板報工",IF(record[[#This Row],[Memo]]=0,"委外",record[[#This Row],[Memo]]))</f>
        <v/>
      </c>
      <c r="O7684" t="s">
        <v>58</v>
      </c>
      <c r="P7684" t="s">
        <v>196</v>
      </c>
      <c r="Q7684" t="s">
        <v>58</v>
      </c>
      <c r="R7684" t="str">
        <f>IFERROR(VLOOKUP(record[[#This Row],[PCUSTID]],廠商[],2,FALSE),"")</f>
        <v/>
      </c>
      <c r="S7684" t="str">
        <f>VLOOKUP(record[[#This Row],[employeeID]],員工[],2,FALSE)</f>
        <v>張淑惠</v>
      </c>
    </row>
    <row r="7685" spans="6:19" hidden="1" x14ac:dyDescent="0.25">
      <c r="F7685" t="s">
        <v>1023</v>
      </c>
      <c r="G7685" t="s">
        <v>376</v>
      </c>
      <c r="H7685" t="str">
        <f>VLOOKUP(record[[#This Row],[ProcessSN]],表格2_7[],2,FALSE)</f>
        <v>30-4118-018-4XX</v>
      </c>
      <c r="I7685" t="str">
        <f>VLOOKUP(record[[#This Row],[ProcessSN]],表格2_7[],3,FALSE)</f>
        <v>#06</v>
      </c>
      <c r="J7685" t="s">
        <v>593</v>
      </c>
      <c r="K7685" s="195">
        <v>45906.308530092596</v>
      </c>
      <c r="L7685">
        <v>121</v>
      </c>
      <c r="M7685">
        <v>0</v>
      </c>
      <c r="N7685" s="98" t="str">
        <f>IF(record[[#This Row],[Memo]]="Browser:chrome os:android","平板報工",IF(record[[#This Row],[Memo]]=0,"委外",record[[#This Row],[Memo]]))</f>
        <v/>
      </c>
      <c r="O7685" t="s">
        <v>58</v>
      </c>
      <c r="P7685" t="s">
        <v>135</v>
      </c>
      <c r="Q7685" t="s">
        <v>58</v>
      </c>
      <c r="R7685" t="str">
        <f>IFERROR(VLOOKUP(record[[#This Row],[PCUSTID]],廠商[],2,FALSE),"")</f>
        <v/>
      </c>
      <c r="S7685" t="str">
        <f>VLOOKUP(record[[#This Row],[employeeID]],員工[],2,FALSE)</f>
        <v>阮士文</v>
      </c>
    </row>
    <row r="7686" spans="6:19" hidden="1" x14ac:dyDescent="0.25">
      <c r="F7686" t="s">
        <v>1024</v>
      </c>
      <c r="G7686" t="s">
        <v>416</v>
      </c>
      <c r="H7686" t="str">
        <f>VLOOKUP(record[[#This Row],[ProcessSN]],表格2_7[],2,FALSE)</f>
        <v>30-4118-018-5XX</v>
      </c>
      <c r="I7686" t="str">
        <f>VLOOKUP(record[[#This Row],[ProcessSN]],表格2_7[],3,FALSE)</f>
        <v>#05</v>
      </c>
      <c r="J7686" t="s">
        <v>588</v>
      </c>
      <c r="K7686" s="195">
        <v>45906.307187500002</v>
      </c>
      <c r="L7686">
        <v>120</v>
      </c>
      <c r="M7686">
        <v>0</v>
      </c>
      <c r="N7686" s="98" t="str">
        <f>IF(record[[#This Row],[Memo]]="Browser:chrome os:android","平板報工",IF(record[[#This Row],[Memo]]=0,"委外",record[[#This Row],[Memo]]))</f>
        <v/>
      </c>
      <c r="O7686" t="s">
        <v>58</v>
      </c>
      <c r="P7686" t="s">
        <v>135</v>
      </c>
      <c r="Q7686" t="s">
        <v>58</v>
      </c>
      <c r="R7686" t="str">
        <f>IFERROR(VLOOKUP(record[[#This Row],[PCUSTID]],廠商[],2,FALSE),"")</f>
        <v/>
      </c>
      <c r="S7686" t="str">
        <f>VLOOKUP(record[[#This Row],[employeeID]],員工[],2,FALSE)</f>
        <v>阮士文</v>
      </c>
    </row>
    <row r="7687" spans="6:19" hidden="1" x14ac:dyDescent="0.25">
      <c r="F7687" t="s">
        <v>1024</v>
      </c>
      <c r="G7687" t="s">
        <v>415</v>
      </c>
      <c r="H7687" t="str">
        <f>VLOOKUP(record[[#This Row],[ProcessSN]],表格2_7[],2,FALSE)</f>
        <v>30-4118-018-5XX</v>
      </c>
      <c r="I7687" t="str">
        <f>VLOOKUP(record[[#This Row],[ProcessSN]],表格2_7[],3,FALSE)</f>
        <v>#04</v>
      </c>
      <c r="J7687" t="s">
        <v>588</v>
      </c>
      <c r="K7687" s="195">
        <v>45906.305428240739</v>
      </c>
      <c r="L7687">
        <v>120</v>
      </c>
      <c r="M7687">
        <v>8</v>
      </c>
      <c r="N7687" s="98" t="str">
        <f>IF(record[[#This Row],[Memo]]="Browser:chrome os:android","平板報工",IF(record[[#This Row],[Memo]]=0,"委外",record[[#This Row],[Memo]]))</f>
        <v/>
      </c>
      <c r="O7687" t="s">
        <v>58</v>
      </c>
      <c r="P7687" t="s">
        <v>135</v>
      </c>
      <c r="Q7687" t="s">
        <v>58</v>
      </c>
      <c r="R7687" t="str">
        <f>IFERROR(VLOOKUP(record[[#This Row],[PCUSTID]],廠商[],2,FALSE),"")</f>
        <v/>
      </c>
      <c r="S7687" t="str">
        <f>VLOOKUP(record[[#This Row],[employeeID]],員工[],2,FALSE)</f>
        <v>阮士文</v>
      </c>
    </row>
    <row r="7688" spans="6:19" hidden="1" x14ac:dyDescent="0.25">
      <c r="F7688" t="s">
        <v>1023</v>
      </c>
      <c r="G7688" t="s">
        <v>376</v>
      </c>
      <c r="H7688" t="str">
        <f>VLOOKUP(record[[#This Row],[ProcessSN]],表格2_7[],2,FALSE)</f>
        <v>30-4118-018-4XX</v>
      </c>
      <c r="I7688" t="str">
        <f>VLOOKUP(record[[#This Row],[ProcessSN]],表格2_7[],3,FALSE)</f>
        <v>#06</v>
      </c>
      <c r="J7688" t="s">
        <v>593</v>
      </c>
      <c r="K7688" s="195">
        <v>45905.972083333334</v>
      </c>
      <c r="L7688">
        <v>121</v>
      </c>
      <c r="M7688">
        <v>0</v>
      </c>
      <c r="N7688" s="98" t="str">
        <f>IF(record[[#This Row],[Memo]]="Browser:chrome os:android","平板報工",IF(record[[#This Row],[Memo]]=0,"委外",record[[#This Row],[Memo]]))</f>
        <v/>
      </c>
      <c r="O7688" t="s">
        <v>58</v>
      </c>
      <c r="P7688" t="s">
        <v>841</v>
      </c>
      <c r="Q7688" t="s">
        <v>58</v>
      </c>
      <c r="R7688" t="str">
        <f>IFERROR(VLOOKUP(record[[#This Row],[PCUSTID]],廠商[],2,FALSE),"")</f>
        <v/>
      </c>
      <c r="S7688" t="str">
        <f>VLOOKUP(record[[#This Row],[employeeID]],員工[],2,FALSE)</f>
        <v>范氏香</v>
      </c>
    </row>
    <row r="7689" spans="6:19" hidden="1" x14ac:dyDescent="0.25">
      <c r="F7689" t="s">
        <v>1024</v>
      </c>
      <c r="G7689" t="s">
        <v>415</v>
      </c>
      <c r="H7689" t="str">
        <f>VLOOKUP(record[[#This Row],[ProcessSN]],表格2_7[],2,FALSE)</f>
        <v>30-4118-018-5XX</v>
      </c>
      <c r="I7689" t="str">
        <f>VLOOKUP(record[[#This Row],[ProcessSN]],表格2_7[],3,FALSE)</f>
        <v>#04</v>
      </c>
      <c r="J7689" t="s">
        <v>588</v>
      </c>
      <c r="K7689" s="195">
        <v>45905.96947916667</v>
      </c>
      <c r="L7689">
        <v>30</v>
      </c>
      <c r="M7689">
        <v>0</v>
      </c>
      <c r="N7689" s="98" t="str">
        <f>IF(record[[#This Row],[Memo]]="Browser:chrome os:android","平板報工",IF(record[[#This Row],[Memo]]=0,"委外",record[[#This Row],[Memo]]))</f>
        <v/>
      </c>
      <c r="O7689" t="s">
        <v>58</v>
      </c>
      <c r="P7689" t="s">
        <v>176</v>
      </c>
      <c r="Q7689" t="s">
        <v>58</v>
      </c>
      <c r="R7689" t="str">
        <f>IFERROR(VLOOKUP(record[[#This Row],[PCUSTID]],廠商[],2,FALSE),"")</f>
        <v/>
      </c>
      <c r="S7689" t="str">
        <f>VLOOKUP(record[[#This Row],[employeeID]],員工[],2,FALSE)</f>
        <v>郭政雄</v>
      </c>
    </row>
    <row r="7690" spans="6:19" hidden="1" x14ac:dyDescent="0.25">
      <c r="F7690" t="s">
        <v>1023</v>
      </c>
      <c r="G7690" t="s">
        <v>377</v>
      </c>
      <c r="H7690" t="str">
        <f>VLOOKUP(record[[#This Row],[ProcessSN]],表格2_7[],2,FALSE)</f>
        <v>30-4118-018-4XX</v>
      </c>
      <c r="I7690" t="str">
        <f>VLOOKUP(record[[#This Row],[ProcessSN]],表格2_7[],3,FALSE)</f>
        <v>#07</v>
      </c>
      <c r="J7690" t="s">
        <v>588</v>
      </c>
      <c r="K7690" s="195">
        <v>45905.9684375</v>
      </c>
      <c r="L7690">
        <v>184</v>
      </c>
      <c r="M7690">
        <v>0</v>
      </c>
      <c r="N7690" s="98" t="str">
        <f>IF(record[[#This Row],[Memo]]="Browser:chrome os:android","平板報工",IF(record[[#This Row],[Memo]]=0,"委外",record[[#This Row],[Memo]]))</f>
        <v/>
      </c>
      <c r="O7690" t="s">
        <v>58</v>
      </c>
      <c r="P7690" t="s">
        <v>89</v>
      </c>
      <c r="Q7690" t="s">
        <v>58</v>
      </c>
      <c r="R7690" t="str">
        <f>IFERROR(VLOOKUP(record[[#This Row],[PCUSTID]],廠商[],2,FALSE),"")</f>
        <v/>
      </c>
      <c r="S7690" t="str">
        <f>VLOOKUP(record[[#This Row],[employeeID]],員工[],2,FALSE)</f>
        <v>李美蓮</v>
      </c>
    </row>
    <row r="7691" spans="6:19" hidden="1" x14ac:dyDescent="0.25">
      <c r="F7691" t="s">
        <v>1023</v>
      </c>
      <c r="G7691" t="s">
        <v>375</v>
      </c>
      <c r="H7691" t="str">
        <f>VLOOKUP(record[[#This Row],[ProcessSN]],表格2_7[],2,FALSE)</f>
        <v>30-4118-018-4XX</v>
      </c>
      <c r="I7691" t="str">
        <f>VLOOKUP(record[[#This Row],[ProcessSN]],表格2_7[],3,FALSE)</f>
        <v>#05</v>
      </c>
      <c r="J7691" t="s">
        <v>588</v>
      </c>
      <c r="K7691" s="195">
        <v>45905.967928240738</v>
      </c>
      <c r="L7691">
        <v>268</v>
      </c>
      <c r="M7691">
        <v>0</v>
      </c>
      <c r="N7691" s="98" t="str">
        <f>IF(record[[#This Row],[Memo]]="Browser:chrome os:android","平板報工",IF(record[[#This Row],[Memo]]=0,"委外",record[[#This Row],[Memo]]))</f>
        <v/>
      </c>
      <c r="O7691" t="s">
        <v>58</v>
      </c>
      <c r="P7691" t="s">
        <v>89</v>
      </c>
      <c r="Q7691" t="s">
        <v>58</v>
      </c>
      <c r="R7691" t="str">
        <f>IFERROR(VLOOKUP(record[[#This Row],[PCUSTID]],廠商[],2,FALSE),"")</f>
        <v/>
      </c>
      <c r="S7691" t="str">
        <f>VLOOKUP(record[[#This Row],[employeeID]],員工[],2,FALSE)</f>
        <v>李美蓮</v>
      </c>
    </row>
    <row r="7692" spans="6:19" hidden="1" x14ac:dyDescent="0.25">
      <c r="F7692" t="s">
        <v>1023</v>
      </c>
      <c r="G7692" t="s">
        <v>374</v>
      </c>
      <c r="H7692" t="str">
        <f>VLOOKUP(record[[#This Row],[ProcessSN]],表格2_7[],2,FALSE)</f>
        <v>30-4118-018-4XX</v>
      </c>
      <c r="I7692" t="str">
        <f>VLOOKUP(record[[#This Row],[ProcessSN]],表格2_7[],3,FALSE)</f>
        <v>#04</v>
      </c>
      <c r="J7692" t="s">
        <v>588</v>
      </c>
      <c r="K7692" s="195">
        <v>45905.967627314814</v>
      </c>
      <c r="L7692">
        <v>112</v>
      </c>
      <c r="M7692">
        <v>0</v>
      </c>
      <c r="N7692" s="98" t="str">
        <f>IF(record[[#This Row],[Memo]]="Browser:chrome os:android","平板報工",IF(record[[#This Row],[Memo]]=0,"委外",record[[#This Row],[Memo]]))</f>
        <v/>
      </c>
      <c r="O7692" t="s">
        <v>58</v>
      </c>
      <c r="P7692" t="s">
        <v>176</v>
      </c>
      <c r="Q7692" t="s">
        <v>58</v>
      </c>
      <c r="R7692" t="str">
        <f>IFERROR(VLOOKUP(record[[#This Row],[PCUSTID]],廠商[],2,FALSE),"")</f>
        <v/>
      </c>
      <c r="S7692" t="str">
        <f>VLOOKUP(record[[#This Row],[employeeID]],員工[],2,FALSE)</f>
        <v>郭政雄</v>
      </c>
    </row>
    <row r="7693" spans="6:19" hidden="1" x14ac:dyDescent="0.25">
      <c r="F7693" t="s">
        <v>1022</v>
      </c>
      <c r="G7693" t="s">
        <v>399</v>
      </c>
      <c r="H7693" t="str">
        <f>VLOOKUP(record[[#This Row],[ProcessSN]],表格2_7[],2,FALSE)</f>
        <v>30-4118-018-550</v>
      </c>
      <c r="I7693" t="str">
        <f>VLOOKUP(record[[#This Row],[ProcessSN]],表格2_7[],3,FALSE)</f>
        <v>#08IQC</v>
      </c>
      <c r="J7693" t="s">
        <v>583</v>
      </c>
      <c r="K7693" s="195">
        <v>45905.776921296296</v>
      </c>
      <c r="L7693">
        <v>440</v>
      </c>
      <c r="M7693">
        <v>0</v>
      </c>
      <c r="N7693" s="98" t="str">
        <f>IF(record[[#This Row],[Memo]]="Browser:chrome os:android","平板報工",IF(record[[#This Row],[Memo]]=0,"委外",record[[#This Row],[Memo]]))</f>
        <v/>
      </c>
      <c r="O7693" t="s">
        <v>58</v>
      </c>
      <c r="P7693" t="s">
        <v>109</v>
      </c>
      <c r="Q7693" t="s">
        <v>58</v>
      </c>
      <c r="R7693" t="str">
        <f>IFERROR(VLOOKUP(record[[#This Row],[PCUSTID]],廠商[],2,FALSE),"")</f>
        <v/>
      </c>
      <c r="S7693" t="str">
        <f>VLOOKUP(record[[#This Row],[employeeID]],員工[],2,FALSE)</f>
        <v>裴氏璧鳳</v>
      </c>
    </row>
    <row r="7694" spans="6:19" hidden="1" x14ac:dyDescent="0.25">
      <c r="F7694" t="s">
        <v>1033</v>
      </c>
      <c r="G7694" t="s">
        <v>399</v>
      </c>
      <c r="H7694" t="str">
        <f>VLOOKUP(record[[#This Row],[ProcessSN]],表格2_7[],2,FALSE)</f>
        <v>30-4118-018-550</v>
      </c>
      <c r="I7694" t="str">
        <f>VLOOKUP(record[[#This Row],[ProcessSN]],表格2_7[],3,FALSE)</f>
        <v>#08IQC</v>
      </c>
      <c r="J7694" t="s">
        <v>583</v>
      </c>
      <c r="K7694" s="195">
        <v>45905.77679398148</v>
      </c>
      <c r="L7694">
        <v>157</v>
      </c>
      <c r="M7694">
        <v>0</v>
      </c>
      <c r="N7694" s="98" t="str">
        <f>IF(record[[#This Row],[Memo]]="Browser:chrome os:android","平板報工",IF(record[[#This Row],[Memo]]=0,"委外",record[[#This Row],[Memo]]))</f>
        <v/>
      </c>
      <c r="O7694" t="s">
        <v>58</v>
      </c>
      <c r="P7694" t="s">
        <v>109</v>
      </c>
      <c r="Q7694" t="s">
        <v>58</v>
      </c>
      <c r="R7694" t="str">
        <f>IFERROR(VLOOKUP(record[[#This Row],[PCUSTID]],廠商[],2,FALSE),"")</f>
        <v/>
      </c>
      <c r="S7694" t="str">
        <f>VLOOKUP(record[[#This Row],[employeeID]],員工[],2,FALSE)</f>
        <v>裴氏璧鳳</v>
      </c>
    </row>
    <row r="7695" spans="6:19" hidden="1" x14ac:dyDescent="0.25">
      <c r="F7695" t="s">
        <v>989</v>
      </c>
      <c r="G7695" t="s">
        <v>470</v>
      </c>
      <c r="H7695" t="str">
        <f>VLOOKUP(record[[#This Row],[ProcessSN]],表格2_7[],2,FALSE)</f>
        <v>30-4118-018-XXX</v>
      </c>
      <c r="I7695" t="str">
        <f>VLOOKUP(record[[#This Row],[ProcessSN]],表格2_7[],3,FALSE)</f>
        <v>#02IQC</v>
      </c>
      <c r="J7695" t="s">
        <v>583</v>
      </c>
      <c r="K7695" s="195">
        <v>45905.772962962961</v>
      </c>
      <c r="L7695">
        <v>672</v>
      </c>
      <c r="M7695">
        <v>0</v>
      </c>
      <c r="N7695" s="98" t="str">
        <f>IF(record[[#This Row],[Memo]]="Browser:chrome os:android","平板報工",IF(record[[#This Row],[Memo]]=0,"委外",record[[#This Row],[Memo]]))</f>
        <v/>
      </c>
      <c r="O7695" t="s">
        <v>58</v>
      </c>
      <c r="P7695" t="s">
        <v>109</v>
      </c>
      <c r="Q7695" t="s">
        <v>58</v>
      </c>
      <c r="R7695" t="str">
        <f>IFERROR(VLOOKUP(record[[#This Row],[PCUSTID]],廠商[],2,FALSE),"")</f>
        <v/>
      </c>
      <c r="S7695" t="str">
        <f>VLOOKUP(record[[#This Row],[employeeID]],員工[],2,FALSE)</f>
        <v>裴氏璧鳳</v>
      </c>
    </row>
    <row r="7696" spans="6:19" hidden="1" x14ac:dyDescent="0.25">
      <c r="F7696" t="s">
        <v>1022</v>
      </c>
      <c r="G7696" t="s">
        <v>398</v>
      </c>
      <c r="H7696" t="str">
        <f>VLOOKUP(record[[#This Row],[ProcessSN]],表格2_7[],2,FALSE)</f>
        <v>30-4118-018-550</v>
      </c>
      <c r="I7696" t="str">
        <f>VLOOKUP(record[[#This Row],[ProcessSN]],表格2_7[],3,FALSE)</f>
        <v>#08RCV</v>
      </c>
      <c r="J7696" t="s">
        <v>591</v>
      </c>
      <c r="K7696" s="195">
        <v>45905.661759259259</v>
      </c>
      <c r="L7696">
        <v>0</v>
      </c>
      <c r="M7696">
        <v>24</v>
      </c>
      <c r="N7696" s="98" t="str">
        <f>IF(record[[#This Row],[Memo]]="Browser:chrome os:android","平板報工",IF(record[[#This Row],[Memo]]=0,"委外",record[[#This Row],[Memo]]))</f>
        <v/>
      </c>
      <c r="O7696" t="s">
        <v>58</v>
      </c>
      <c r="P7696" t="s">
        <v>186</v>
      </c>
      <c r="Q7696" t="s">
        <v>58</v>
      </c>
      <c r="R7696" t="str">
        <f>IFERROR(VLOOKUP(record[[#This Row],[PCUSTID]],廠商[],2,FALSE),"")</f>
        <v/>
      </c>
      <c r="S7696" t="str">
        <f>VLOOKUP(record[[#This Row],[employeeID]],員工[],2,FALSE)</f>
        <v>許文姍</v>
      </c>
    </row>
    <row r="7697" spans="6:19" hidden="1" x14ac:dyDescent="0.25">
      <c r="F7697" t="s">
        <v>1022</v>
      </c>
      <c r="G7697" t="s">
        <v>398</v>
      </c>
      <c r="H7697" t="str">
        <f>VLOOKUP(record[[#This Row],[ProcessSN]],表格2_7[],2,FALSE)</f>
        <v>30-4118-018-550</v>
      </c>
      <c r="I7697" t="str">
        <f>VLOOKUP(record[[#This Row],[ProcessSN]],表格2_7[],3,FALSE)</f>
        <v>#08RCV</v>
      </c>
      <c r="J7697" t="s">
        <v>591</v>
      </c>
      <c r="K7697" s="195">
        <v>45905.661493055559</v>
      </c>
      <c r="L7697">
        <v>440</v>
      </c>
      <c r="M7697">
        <v>0</v>
      </c>
      <c r="N7697" s="98" t="str">
        <f>IF(record[[#This Row],[Memo]]="Browser:chrome os:android","平板報工",IF(record[[#This Row],[Memo]]=0,"委外",record[[#This Row],[Memo]]))</f>
        <v/>
      </c>
      <c r="O7697" t="s">
        <v>58</v>
      </c>
      <c r="P7697" t="s">
        <v>186</v>
      </c>
      <c r="Q7697" t="s">
        <v>58</v>
      </c>
      <c r="R7697" t="str">
        <f>IFERROR(VLOOKUP(record[[#This Row],[PCUSTID]],廠商[],2,FALSE),"")</f>
        <v/>
      </c>
      <c r="S7697" t="str">
        <f>VLOOKUP(record[[#This Row],[employeeID]],員工[],2,FALSE)</f>
        <v>許文姍</v>
      </c>
    </row>
    <row r="7698" spans="6:19" hidden="1" x14ac:dyDescent="0.25">
      <c r="F7698" t="s">
        <v>1033</v>
      </c>
      <c r="G7698" t="s">
        <v>398</v>
      </c>
      <c r="H7698" t="str">
        <f>VLOOKUP(record[[#This Row],[ProcessSN]],表格2_7[],2,FALSE)</f>
        <v>30-4118-018-550</v>
      </c>
      <c r="I7698" t="str">
        <f>VLOOKUP(record[[#This Row],[ProcessSN]],表格2_7[],3,FALSE)</f>
        <v>#08RCV</v>
      </c>
      <c r="J7698" t="s">
        <v>591</v>
      </c>
      <c r="K7698" s="195">
        <v>45905.661041666666</v>
      </c>
      <c r="L7698">
        <v>157</v>
      </c>
      <c r="M7698">
        <v>0</v>
      </c>
      <c r="N7698" s="98" t="str">
        <f>IF(record[[#This Row],[Memo]]="Browser:chrome os:android","平板報工",IF(record[[#This Row],[Memo]]=0,"委外",record[[#This Row],[Memo]]))</f>
        <v/>
      </c>
      <c r="O7698" t="s">
        <v>58</v>
      </c>
      <c r="P7698" t="s">
        <v>186</v>
      </c>
      <c r="Q7698" t="s">
        <v>58</v>
      </c>
      <c r="R7698" t="str">
        <f>IFERROR(VLOOKUP(record[[#This Row],[PCUSTID]],廠商[],2,FALSE),"")</f>
        <v/>
      </c>
      <c r="S7698" t="str">
        <f>VLOOKUP(record[[#This Row],[employeeID]],員工[],2,FALSE)</f>
        <v>許文姍</v>
      </c>
    </row>
    <row r="7699" spans="6:19" hidden="1" x14ac:dyDescent="0.25">
      <c r="F7699" t="s">
        <v>1023</v>
      </c>
      <c r="G7699" t="s">
        <v>377</v>
      </c>
      <c r="H7699" t="str">
        <f>VLOOKUP(record[[#This Row],[ProcessSN]],表格2_7[],2,FALSE)</f>
        <v>30-4118-018-4XX</v>
      </c>
      <c r="I7699" t="str">
        <f>VLOOKUP(record[[#This Row],[ProcessSN]],表格2_7[],3,FALSE)</f>
        <v>#07</v>
      </c>
      <c r="J7699" t="s">
        <v>588</v>
      </c>
      <c r="K7699" s="195">
        <v>45905.655833333331</v>
      </c>
      <c r="L7699">
        <v>216</v>
      </c>
      <c r="M7699">
        <v>0</v>
      </c>
      <c r="N7699" s="98" t="str">
        <f>IF(record[[#This Row],[Memo]]="Browser:chrome os:android","平板報工",IF(record[[#This Row],[Memo]]=0,"委外",record[[#This Row],[Memo]]))</f>
        <v/>
      </c>
      <c r="O7699" t="s">
        <v>58</v>
      </c>
      <c r="P7699" t="s">
        <v>119</v>
      </c>
      <c r="Q7699" t="s">
        <v>58</v>
      </c>
      <c r="R7699" t="str">
        <f>IFERROR(VLOOKUP(record[[#This Row],[PCUSTID]],廠商[],2,FALSE),"")</f>
        <v/>
      </c>
      <c r="S7699" t="str">
        <f>VLOOKUP(record[[#This Row],[employeeID]],員工[],2,FALSE)</f>
        <v>廖俊彥</v>
      </c>
    </row>
    <row r="7700" spans="6:19" hidden="1" x14ac:dyDescent="0.25">
      <c r="F7700" t="s">
        <v>1024</v>
      </c>
      <c r="G7700" t="s">
        <v>414</v>
      </c>
      <c r="H7700" t="str">
        <f>VLOOKUP(record[[#This Row],[ProcessSN]],表格2_7[],2,FALSE)</f>
        <v>30-4118-018-5XX</v>
      </c>
      <c r="I7700" t="str">
        <f>VLOOKUP(record[[#This Row],[ProcessSN]],表格2_7[],3,FALSE)</f>
        <v>#03</v>
      </c>
      <c r="J7700" t="s">
        <v>588</v>
      </c>
      <c r="K7700" s="195">
        <v>45905.655034722222</v>
      </c>
      <c r="L7700">
        <v>469</v>
      </c>
      <c r="M7700">
        <v>0</v>
      </c>
      <c r="N7700" s="98" t="str">
        <f>IF(record[[#This Row],[Memo]]="Browser:chrome os:android","平板報工",IF(record[[#This Row],[Memo]]=0,"委外",record[[#This Row],[Memo]]))</f>
        <v/>
      </c>
      <c r="O7700" t="s">
        <v>58</v>
      </c>
      <c r="P7700" t="s">
        <v>119</v>
      </c>
      <c r="Q7700" t="s">
        <v>58</v>
      </c>
      <c r="R7700" t="str">
        <f>IFERROR(VLOOKUP(record[[#This Row],[PCUSTID]],廠商[],2,FALSE),"")</f>
        <v/>
      </c>
      <c r="S7700" t="str">
        <f>VLOOKUP(record[[#This Row],[employeeID]],員工[],2,FALSE)</f>
        <v>廖俊彥</v>
      </c>
    </row>
    <row r="7701" spans="6:19" hidden="1" x14ac:dyDescent="0.25">
      <c r="F7701" t="s">
        <v>1023</v>
      </c>
      <c r="G7701" t="s">
        <v>376</v>
      </c>
      <c r="H7701" t="str">
        <f>VLOOKUP(record[[#This Row],[ProcessSN]],表格2_7[],2,FALSE)</f>
        <v>30-4118-018-4XX</v>
      </c>
      <c r="I7701" t="str">
        <f>VLOOKUP(record[[#This Row],[ProcessSN]],表格2_7[],3,FALSE)</f>
        <v>#06</v>
      </c>
      <c r="J7701" t="s">
        <v>593</v>
      </c>
      <c r="K7701" s="195">
        <v>45905.654803240737</v>
      </c>
      <c r="L7701">
        <v>115</v>
      </c>
      <c r="M7701">
        <v>5</v>
      </c>
      <c r="N7701" s="98" t="str">
        <f>IF(record[[#This Row],[Memo]]="Browser:chrome os:android","平板報工",IF(record[[#This Row],[Memo]]=0,"委外",record[[#This Row],[Memo]]))</f>
        <v/>
      </c>
      <c r="O7701" t="s">
        <v>58</v>
      </c>
      <c r="P7701" t="s">
        <v>119</v>
      </c>
      <c r="Q7701" t="s">
        <v>58</v>
      </c>
      <c r="R7701" t="str">
        <f>IFERROR(VLOOKUP(record[[#This Row],[PCUSTID]],廠商[],2,FALSE),"")</f>
        <v/>
      </c>
      <c r="S7701" t="str">
        <f>VLOOKUP(record[[#This Row],[employeeID]],員工[],2,FALSE)</f>
        <v>廖俊彥</v>
      </c>
    </row>
    <row r="7702" spans="6:19" hidden="1" x14ac:dyDescent="0.25">
      <c r="F7702" t="s">
        <v>1023</v>
      </c>
      <c r="G7702" t="s">
        <v>375</v>
      </c>
      <c r="H7702" t="str">
        <f>VLOOKUP(record[[#This Row],[ProcessSN]],表格2_7[],2,FALSE)</f>
        <v>30-4118-018-4XX</v>
      </c>
      <c r="I7702" t="str">
        <f>VLOOKUP(record[[#This Row],[ProcessSN]],表格2_7[],3,FALSE)</f>
        <v>#05</v>
      </c>
      <c r="J7702" t="s">
        <v>588</v>
      </c>
      <c r="K7702" s="195">
        <v>45905.654618055552</v>
      </c>
      <c r="L7702">
        <v>42</v>
      </c>
      <c r="M7702">
        <v>0</v>
      </c>
      <c r="N7702" s="98" t="str">
        <f>IF(record[[#This Row],[Memo]]="Browser:chrome os:android","平板報工",IF(record[[#This Row],[Memo]]=0,"委外",record[[#This Row],[Memo]]))</f>
        <v/>
      </c>
      <c r="O7702" t="s">
        <v>58</v>
      </c>
      <c r="P7702" t="s">
        <v>119</v>
      </c>
      <c r="Q7702" t="s">
        <v>58</v>
      </c>
      <c r="R7702" t="str">
        <f>IFERROR(VLOOKUP(record[[#This Row],[PCUSTID]],廠商[],2,FALSE),"")</f>
        <v/>
      </c>
      <c r="S7702" t="str">
        <f>VLOOKUP(record[[#This Row],[employeeID]],員工[],2,FALSE)</f>
        <v>廖俊彥</v>
      </c>
    </row>
    <row r="7703" spans="6:19" hidden="1" x14ac:dyDescent="0.25">
      <c r="F7703" t="s">
        <v>1023</v>
      </c>
      <c r="G7703" t="s">
        <v>374</v>
      </c>
      <c r="H7703" t="str">
        <f>VLOOKUP(record[[#This Row],[ProcessSN]],表格2_7[],2,FALSE)</f>
        <v>30-4118-018-4XX</v>
      </c>
      <c r="I7703" t="str">
        <f>VLOOKUP(record[[#This Row],[ProcessSN]],表格2_7[],3,FALSE)</f>
        <v>#04</v>
      </c>
      <c r="J7703" t="s">
        <v>588</v>
      </c>
      <c r="K7703" s="195">
        <v>45905.654421296298</v>
      </c>
      <c r="L7703">
        <v>150</v>
      </c>
      <c r="M7703">
        <v>1</v>
      </c>
      <c r="N7703" s="98" t="str">
        <f>IF(record[[#This Row],[Memo]]="Browser:chrome os:android","平板報工",IF(record[[#This Row],[Memo]]=0,"委外",record[[#This Row],[Memo]]))</f>
        <v/>
      </c>
      <c r="O7703" t="s">
        <v>58</v>
      </c>
      <c r="P7703" t="s">
        <v>119</v>
      </c>
      <c r="Q7703" t="s">
        <v>58</v>
      </c>
      <c r="R7703" t="str">
        <f>IFERROR(VLOOKUP(record[[#This Row],[PCUSTID]],廠商[],2,FALSE),"")</f>
        <v/>
      </c>
      <c r="S7703" t="str">
        <f>VLOOKUP(record[[#This Row],[employeeID]],員工[],2,FALSE)</f>
        <v>廖俊彥</v>
      </c>
    </row>
    <row r="7704" spans="6:19" hidden="1" x14ac:dyDescent="0.25">
      <c r="F7704" t="s">
        <v>1011</v>
      </c>
      <c r="G7704" t="s">
        <v>403</v>
      </c>
      <c r="H7704" t="str">
        <f>VLOOKUP(record[[#This Row],[ProcessSN]],表格2_7[],2,FALSE)</f>
        <v>30-4118-018-550</v>
      </c>
      <c r="I7704" t="str">
        <f>VLOOKUP(record[[#This Row],[ProcessSN]],表格2_7[],3,FALSE)</f>
        <v>#100SHIP</v>
      </c>
      <c r="J7704" t="s">
        <v>600</v>
      </c>
      <c r="K7704" s="195">
        <v>45905.642106481479</v>
      </c>
      <c r="L7704">
        <v>132</v>
      </c>
      <c r="M7704">
        <v>0</v>
      </c>
      <c r="N7704" s="98" t="str">
        <f>IF(record[[#This Row],[Memo]]="Browser:chrome os:android","平板報工",IF(record[[#This Row],[Memo]]=0,"委外",record[[#This Row],[Memo]]))</f>
        <v/>
      </c>
      <c r="O7704" t="s">
        <v>58</v>
      </c>
      <c r="P7704" t="s">
        <v>886</v>
      </c>
      <c r="Q7704" t="s">
        <v>58</v>
      </c>
      <c r="R7704" t="str">
        <f>IFERROR(VLOOKUP(record[[#This Row],[PCUSTID]],廠商[],2,FALSE),"")</f>
        <v/>
      </c>
      <c r="S7704" t="str">
        <f>VLOOKUP(record[[#This Row],[employeeID]],員工[],2,FALSE)</f>
        <v>謝蓁薰</v>
      </c>
    </row>
    <row r="7705" spans="6:19" hidden="1" x14ac:dyDescent="0.25">
      <c r="F7705" t="s">
        <v>1000</v>
      </c>
      <c r="G7705" t="s">
        <v>403</v>
      </c>
      <c r="H7705" t="str">
        <f>VLOOKUP(record[[#This Row],[ProcessSN]],表格2_7[],2,FALSE)</f>
        <v>30-4118-018-550</v>
      </c>
      <c r="I7705" t="str">
        <f>VLOOKUP(record[[#This Row],[ProcessSN]],表格2_7[],3,FALSE)</f>
        <v>#100SHIP</v>
      </c>
      <c r="J7705" t="s">
        <v>600</v>
      </c>
      <c r="K7705" s="195">
        <v>45905.641944444447</v>
      </c>
      <c r="L7705">
        <v>167</v>
      </c>
      <c r="M7705">
        <v>0</v>
      </c>
      <c r="N7705" s="98" t="str">
        <f>IF(record[[#This Row],[Memo]]="Browser:chrome os:android","平板報工",IF(record[[#This Row],[Memo]]=0,"委外",record[[#This Row],[Memo]]))</f>
        <v/>
      </c>
      <c r="O7705" t="s">
        <v>58</v>
      </c>
      <c r="P7705" t="s">
        <v>886</v>
      </c>
      <c r="Q7705" t="s">
        <v>58</v>
      </c>
      <c r="R7705" t="str">
        <f>IFERROR(VLOOKUP(record[[#This Row],[PCUSTID]],廠商[],2,FALSE),"")</f>
        <v/>
      </c>
      <c r="S7705" t="str">
        <f>VLOOKUP(record[[#This Row],[employeeID]],員工[],2,FALSE)</f>
        <v>謝蓁薰</v>
      </c>
    </row>
    <row r="7706" spans="6:19" hidden="1" x14ac:dyDescent="0.25">
      <c r="F7706" t="s">
        <v>1038</v>
      </c>
      <c r="G7706" t="s">
        <v>397</v>
      </c>
      <c r="H7706" t="str">
        <f>VLOOKUP(record[[#This Row],[ProcessSN]],表格2_7[],2,FALSE)</f>
        <v>30-4118-018-550</v>
      </c>
      <c r="I7706" t="str">
        <f>VLOOKUP(record[[#This Row],[ProcessSN]],表格2_7[],3,FALSE)</f>
        <v>#08</v>
      </c>
      <c r="J7706" t="s">
        <v>597</v>
      </c>
      <c r="K7706" s="195">
        <v>45905.579733796294</v>
      </c>
      <c r="L7706">
        <v>300</v>
      </c>
      <c r="M7706">
        <v>0</v>
      </c>
      <c r="N7706" s="98" t="str">
        <f>IF(record[[#This Row],[Memo]]="Browser:chrome os:android","平板報工",IF(record[[#This Row],[Memo]]=0,"委外",record[[#This Row],[Memo]]))</f>
        <v/>
      </c>
      <c r="O7706" t="s">
        <v>58</v>
      </c>
      <c r="P7706" t="s">
        <v>186</v>
      </c>
      <c r="Q7706" t="s">
        <v>287</v>
      </c>
      <c r="R7706" t="str">
        <f>IFERROR(VLOOKUP(record[[#This Row],[PCUSTID]],廠商[],2,FALSE),"")</f>
        <v>泉盛</v>
      </c>
      <c r="S7706" t="str">
        <f>VLOOKUP(record[[#This Row],[employeeID]],員工[],2,FALSE)</f>
        <v>許文姍</v>
      </c>
    </row>
    <row r="7707" spans="6:19" hidden="1" x14ac:dyDescent="0.25">
      <c r="F7707" t="s">
        <v>989</v>
      </c>
      <c r="G7707" t="s">
        <v>469</v>
      </c>
      <c r="H7707" t="str">
        <f>VLOOKUP(record[[#This Row],[ProcessSN]],表格2_7[],2,FALSE)</f>
        <v>30-4118-018-XXX</v>
      </c>
      <c r="I7707" t="str">
        <f>VLOOKUP(record[[#This Row],[ProcessSN]],表格2_7[],3,FALSE)</f>
        <v>#02RCV</v>
      </c>
      <c r="J7707" t="s">
        <v>591</v>
      </c>
      <c r="K7707" s="195">
        <v>45905.558194444442</v>
      </c>
      <c r="L7707">
        <v>672</v>
      </c>
      <c r="M7707">
        <v>0</v>
      </c>
      <c r="N7707" s="98" t="str">
        <f>IF(record[[#This Row],[Memo]]="Browser:chrome os:android","平板報工",IF(record[[#This Row],[Memo]]=0,"委外",record[[#This Row],[Memo]]))</f>
        <v/>
      </c>
      <c r="O7707" t="s">
        <v>58</v>
      </c>
      <c r="P7707" t="s">
        <v>186</v>
      </c>
      <c r="Q7707" t="s">
        <v>58</v>
      </c>
      <c r="R7707" t="str">
        <f>IFERROR(VLOOKUP(record[[#This Row],[PCUSTID]],廠商[],2,FALSE),"")</f>
        <v/>
      </c>
      <c r="S7707" t="str">
        <f>VLOOKUP(record[[#This Row],[employeeID]],員工[],2,FALSE)</f>
        <v>許文姍</v>
      </c>
    </row>
    <row r="7708" spans="6:19" hidden="1" x14ac:dyDescent="0.25">
      <c r="F7708" t="s">
        <v>984</v>
      </c>
      <c r="G7708" t="s">
        <v>425</v>
      </c>
      <c r="H7708" t="str">
        <f>VLOOKUP(record[[#This Row],[ProcessSN]],表格2_7[],2,FALSE)</f>
        <v>30-4118-018-600</v>
      </c>
      <c r="I7708" t="str">
        <f>VLOOKUP(record[[#This Row],[ProcessSN]],表格2_7[],3,FALSE)</f>
        <v>#100</v>
      </c>
      <c r="J7708" t="s">
        <v>598</v>
      </c>
      <c r="K7708" s="195">
        <v>45905.49322916667</v>
      </c>
      <c r="L7708">
        <v>116</v>
      </c>
      <c r="M7708">
        <v>0</v>
      </c>
      <c r="N7708" s="98" t="str">
        <f>IF(record[[#This Row],[Memo]]="Browser:chrome os:android","平板報工",IF(record[[#This Row],[Memo]]=0,"委外",record[[#This Row],[Memo]]))</f>
        <v/>
      </c>
      <c r="O7708" t="s">
        <v>58</v>
      </c>
      <c r="P7708" t="s">
        <v>141</v>
      </c>
      <c r="Q7708" t="s">
        <v>58</v>
      </c>
      <c r="R7708" t="str">
        <f>IFERROR(VLOOKUP(record[[#This Row],[PCUSTID]],廠商[],2,FALSE),"")</f>
        <v/>
      </c>
      <c r="S7708" t="str">
        <f>VLOOKUP(record[[#This Row],[employeeID]],員工[],2,FALSE)</f>
        <v>蔣梅</v>
      </c>
    </row>
    <row r="7709" spans="6:19" hidden="1" x14ac:dyDescent="0.25">
      <c r="F7709" t="s">
        <v>984</v>
      </c>
      <c r="G7709" t="s">
        <v>424</v>
      </c>
      <c r="H7709" t="str">
        <f>VLOOKUP(record[[#This Row],[ProcessSN]],表格2_7[],2,FALSE)</f>
        <v>30-4118-018-600</v>
      </c>
      <c r="I7709" t="str">
        <f>VLOOKUP(record[[#This Row],[ProcessSN]],表格2_7[],3,FALSE)</f>
        <v>#08IQC</v>
      </c>
      <c r="J7709" t="s">
        <v>583</v>
      </c>
      <c r="K7709" s="195">
        <v>45905.4919212963</v>
      </c>
      <c r="L7709">
        <v>5</v>
      </c>
      <c r="M7709">
        <v>0</v>
      </c>
      <c r="N7709" s="98" t="str">
        <f>IF(record[[#This Row],[Memo]]="Browser:chrome os:android","平板報工",IF(record[[#This Row],[Memo]]=0,"委外",record[[#This Row],[Memo]]))</f>
        <v>覆回品</v>
      </c>
      <c r="O7709" t="s">
        <v>664</v>
      </c>
      <c r="P7709" t="s">
        <v>141</v>
      </c>
      <c r="Q7709" t="s">
        <v>58</v>
      </c>
      <c r="R7709" t="str">
        <f>IFERROR(VLOOKUP(record[[#This Row],[PCUSTID]],廠商[],2,FALSE),"")</f>
        <v/>
      </c>
      <c r="S7709" t="str">
        <f>VLOOKUP(record[[#This Row],[employeeID]],員工[],2,FALSE)</f>
        <v>蔣梅</v>
      </c>
    </row>
    <row r="7710" spans="6:19" hidden="1" x14ac:dyDescent="0.25">
      <c r="F7710" t="s">
        <v>984</v>
      </c>
      <c r="G7710" t="s">
        <v>423</v>
      </c>
      <c r="H7710" t="str">
        <f>VLOOKUP(record[[#This Row],[ProcessSN]],表格2_7[],2,FALSE)</f>
        <v>30-4118-018-600</v>
      </c>
      <c r="I7710" t="str">
        <f>VLOOKUP(record[[#This Row],[ProcessSN]],表格2_7[],3,FALSE)</f>
        <v>#08RCV</v>
      </c>
      <c r="J7710" t="s">
        <v>591</v>
      </c>
      <c r="K7710" s="195">
        <v>45905.491365740738</v>
      </c>
      <c r="L7710">
        <v>0</v>
      </c>
      <c r="M7710">
        <v>13</v>
      </c>
      <c r="N7710" s="98" t="str">
        <f>IF(record[[#This Row],[Memo]]="Browser:chrome os:android","平板報工",IF(record[[#This Row],[Memo]]=0,"委外",record[[#This Row],[Memo]]))</f>
        <v>少1PCS</v>
      </c>
      <c r="O7710" t="s">
        <v>1040</v>
      </c>
      <c r="P7710" t="s">
        <v>141</v>
      </c>
      <c r="Q7710" t="s">
        <v>58</v>
      </c>
      <c r="R7710" t="str">
        <f>IFERROR(VLOOKUP(record[[#This Row],[PCUSTID]],廠商[],2,FALSE),"")</f>
        <v/>
      </c>
      <c r="S7710" t="str">
        <f>VLOOKUP(record[[#This Row],[employeeID]],員工[],2,FALSE)</f>
        <v>蔣梅</v>
      </c>
    </row>
    <row r="7711" spans="6:19" hidden="1" x14ac:dyDescent="0.25">
      <c r="F7711" t="s">
        <v>984</v>
      </c>
      <c r="G7711" t="s">
        <v>423</v>
      </c>
      <c r="H7711" t="str">
        <f>VLOOKUP(record[[#This Row],[ProcessSN]],表格2_7[],2,FALSE)</f>
        <v>30-4118-018-600</v>
      </c>
      <c r="I7711" t="str">
        <f>VLOOKUP(record[[#This Row],[ProcessSN]],表格2_7[],3,FALSE)</f>
        <v>#08RCV</v>
      </c>
      <c r="J7711" t="s">
        <v>591</v>
      </c>
      <c r="K7711" s="195">
        <v>45905.49077546296</v>
      </c>
      <c r="L7711">
        <v>5</v>
      </c>
      <c r="M7711">
        <v>0</v>
      </c>
      <c r="N7711" s="98" t="str">
        <f>IF(record[[#This Row],[Memo]]="Browser:chrome os:android","平板報工",IF(record[[#This Row],[Memo]]=0,"委外",record[[#This Row],[Memo]]))</f>
        <v/>
      </c>
      <c r="O7711" t="s">
        <v>58</v>
      </c>
      <c r="P7711" t="s">
        <v>141</v>
      </c>
      <c r="Q7711" t="s">
        <v>58</v>
      </c>
      <c r="R7711" t="str">
        <f>IFERROR(VLOOKUP(record[[#This Row],[PCUSTID]],廠商[],2,FALSE),"")</f>
        <v/>
      </c>
      <c r="S7711" t="str">
        <f>VLOOKUP(record[[#This Row],[employeeID]],員工[],2,FALSE)</f>
        <v>蔣梅</v>
      </c>
    </row>
    <row r="7712" spans="6:19" hidden="1" x14ac:dyDescent="0.25">
      <c r="F7712" t="s">
        <v>1015</v>
      </c>
      <c r="G7712" t="s">
        <v>420</v>
      </c>
      <c r="H7712" t="str">
        <f>VLOOKUP(record[[#This Row],[ProcessSN]],表格2_7[],2,FALSE)</f>
        <v>30-4118-018-5XX</v>
      </c>
      <c r="I7712" t="str">
        <f>VLOOKUP(record[[#This Row],[ProcessSN]],表格2_7[],3,FALSE)</f>
        <v>#07STOCK</v>
      </c>
      <c r="J7712" t="s">
        <v>592</v>
      </c>
      <c r="K7712" s="195">
        <v>45905.430937500001</v>
      </c>
      <c r="L7712">
        <v>300</v>
      </c>
      <c r="M7712">
        <v>0</v>
      </c>
      <c r="N7712" s="98" t="str">
        <f>IF(record[[#This Row],[Memo]]="Browser:chrome os:android","平板報工",IF(record[[#This Row],[Memo]]=0,"委外",record[[#This Row],[Memo]]))</f>
        <v/>
      </c>
      <c r="O7712" t="s">
        <v>58</v>
      </c>
      <c r="P7712" t="s">
        <v>196</v>
      </c>
      <c r="Q7712" t="s">
        <v>58</v>
      </c>
      <c r="R7712" t="str">
        <f>IFERROR(VLOOKUP(record[[#This Row],[PCUSTID]],廠商[],2,FALSE),"")</f>
        <v/>
      </c>
      <c r="S7712" t="str">
        <f>VLOOKUP(record[[#This Row],[employeeID]],員工[],2,FALSE)</f>
        <v>張淑惠</v>
      </c>
    </row>
    <row r="7713" spans="6:19" hidden="1" x14ac:dyDescent="0.25">
      <c r="F7713" t="s">
        <v>1038</v>
      </c>
      <c r="G7713" t="s">
        <v>396</v>
      </c>
      <c r="H7713" t="str">
        <f>VLOOKUP(record[[#This Row],[ProcessSN]],表格2_7[],2,FALSE)</f>
        <v>30-4118-018-550</v>
      </c>
      <c r="I7713" t="str">
        <f>VLOOKUP(record[[#This Row],[ProcessSN]],表格2_7[],3,FALSE)</f>
        <v>#08PICK</v>
      </c>
      <c r="J7713" t="s">
        <v>582</v>
      </c>
      <c r="K7713" s="195">
        <v>45905.428148148145</v>
      </c>
      <c r="L7713">
        <v>300</v>
      </c>
      <c r="M7713">
        <v>0</v>
      </c>
      <c r="N7713" s="98" t="str">
        <f>IF(record[[#This Row],[Memo]]="Browser:chrome os:android","平板報工",IF(record[[#This Row],[Memo]]=0,"委外",record[[#This Row],[Memo]]))</f>
        <v/>
      </c>
      <c r="O7713" t="s">
        <v>58</v>
      </c>
      <c r="P7713" t="s">
        <v>196</v>
      </c>
      <c r="Q7713" t="s">
        <v>58</v>
      </c>
      <c r="R7713" t="str">
        <f>IFERROR(VLOOKUP(record[[#This Row],[PCUSTID]],廠商[],2,FALSE),"")</f>
        <v/>
      </c>
      <c r="S7713" t="str">
        <f>VLOOKUP(record[[#This Row],[employeeID]],員工[],2,FALSE)</f>
        <v>張淑惠</v>
      </c>
    </row>
    <row r="7714" spans="6:19" hidden="1" x14ac:dyDescent="0.25">
      <c r="F7714" t="s">
        <v>1015</v>
      </c>
      <c r="G7714" t="s">
        <v>419</v>
      </c>
      <c r="H7714" t="str">
        <f>VLOOKUP(record[[#This Row],[ProcessSN]],表格2_7[],2,FALSE)</f>
        <v>30-4118-018-5XX</v>
      </c>
      <c r="I7714" t="str">
        <f>VLOOKUP(record[[#This Row],[ProcessSN]],表格2_7[],3,FALSE)</f>
        <v>#07QC</v>
      </c>
      <c r="J7714" t="s">
        <v>589</v>
      </c>
      <c r="K7714" s="195">
        <v>45905.427986111114</v>
      </c>
      <c r="L7714">
        <v>0</v>
      </c>
      <c r="M7714">
        <v>3</v>
      </c>
      <c r="N7714" s="98" t="str">
        <f>IF(record[[#This Row],[Memo]]="Browser:chrome os:android","平板報工",IF(record[[#This Row],[Memo]]=0,"委外",record[[#This Row],[Memo]]))</f>
        <v>平板報工</v>
      </c>
      <c r="O7714" t="s">
        <v>643</v>
      </c>
      <c r="P7714" t="s">
        <v>141</v>
      </c>
      <c r="Q7714" t="s">
        <v>644</v>
      </c>
      <c r="R7714" t="str">
        <f>IFERROR(VLOOKUP(record[[#This Row],[PCUSTID]],廠商[],2,FALSE),"")</f>
        <v/>
      </c>
      <c r="S7714" t="str">
        <f>VLOOKUP(record[[#This Row],[employeeID]],員工[],2,FALSE)</f>
        <v>蔣梅</v>
      </c>
    </row>
    <row r="7715" spans="6:19" hidden="1" x14ac:dyDescent="0.25">
      <c r="F7715" t="s">
        <v>1015</v>
      </c>
      <c r="G7715" t="s">
        <v>419</v>
      </c>
      <c r="H7715" t="str">
        <f>VLOOKUP(record[[#This Row],[ProcessSN]],表格2_7[],2,FALSE)</f>
        <v>30-4118-018-5XX</v>
      </c>
      <c r="I7715" t="str">
        <f>VLOOKUP(record[[#This Row],[ProcessSN]],表格2_7[],3,FALSE)</f>
        <v>#07QC</v>
      </c>
      <c r="J7715" t="s">
        <v>589</v>
      </c>
      <c r="K7715" s="195">
        <v>45905.427731481483</v>
      </c>
      <c r="L7715">
        <v>300</v>
      </c>
      <c r="M7715">
        <v>0</v>
      </c>
      <c r="N7715" s="98" t="str">
        <f>IF(record[[#This Row],[Memo]]="Browser:chrome os:android","平板報工",IF(record[[#This Row],[Memo]]=0,"委外",record[[#This Row],[Memo]]))</f>
        <v>平板報工</v>
      </c>
      <c r="O7715" t="s">
        <v>643</v>
      </c>
      <c r="P7715" t="s">
        <v>141</v>
      </c>
      <c r="Q7715" t="s">
        <v>644</v>
      </c>
      <c r="R7715" t="str">
        <f>IFERROR(VLOOKUP(record[[#This Row],[PCUSTID]],廠商[],2,FALSE),"")</f>
        <v/>
      </c>
      <c r="S7715" t="str">
        <f>VLOOKUP(record[[#This Row],[employeeID]],員工[],2,FALSE)</f>
        <v>蔣梅</v>
      </c>
    </row>
    <row r="7716" spans="6:19" hidden="1" x14ac:dyDescent="0.25">
      <c r="F7716" t="s">
        <v>989</v>
      </c>
      <c r="G7716" t="s">
        <v>468</v>
      </c>
      <c r="H7716" t="str">
        <f>VLOOKUP(record[[#This Row],[ProcessSN]],表格2_7[],2,FALSE)</f>
        <v>30-4118-018-XXX</v>
      </c>
      <c r="I7716" t="str">
        <f>VLOOKUP(record[[#This Row],[ProcessSN]],表格2_7[],3,FALSE)</f>
        <v>#02</v>
      </c>
      <c r="J7716" t="s">
        <v>590</v>
      </c>
      <c r="K7716" s="195">
        <v>45905.373622685183</v>
      </c>
      <c r="L7716">
        <v>1264</v>
      </c>
      <c r="M7716">
        <v>0</v>
      </c>
      <c r="N7716" s="98" t="str">
        <f>IF(record[[#This Row],[Memo]]="Browser:chrome os:android","平板報工",IF(record[[#This Row],[Memo]]=0,"委外",record[[#This Row],[Memo]]))</f>
        <v/>
      </c>
      <c r="O7716" t="s">
        <v>58</v>
      </c>
      <c r="P7716" t="s">
        <v>186</v>
      </c>
      <c r="Q7716" t="s">
        <v>216</v>
      </c>
      <c r="R7716" t="str">
        <f>IFERROR(VLOOKUP(record[[#This Row],[PCUSTID]],廠商[],2,FALSE),"")</f>
        <v>俊杰</v>
      </c>
      <c r="S7716" t="str">
        <f>VLOOKUP(record[[#This Row],[employeeID]],員工[],2,FALSE)</f>
        <v>許文姍</v>
      </c>
    </row>
    <row r="7717" spans="6:19" hidden="1" x14ac:dyDescent="0.25">
      <c r="F7717" t="s">
        <v>1023</v>
      </c>
      <c r="G7717" t="s">
        <v>376</v>
      </c>
      <c r="H7717" t="str">
        <f>VLOOKUP(record[[#This Row],[ProcessSN]],表格2_7[],2,FALSE)</f>
        <v>30-4118-018-4XX</v>
      </c>
      <c r="I7717" t="str">
        <f>VLOOKUP(record[[#This Row],[ProcessSN]],表格2_7[],3,FALSE)</f>
        <v>#06</v>
      </c>
      <c r="J7717" t="s">
        <v>593</v>
      </c>
      <c r="K7717" s="195">
        <v>45905.314120370371</v>
      </c>
      <c r="L7717">
        <v>121</v>
      </c>
      <c r="M7717">
        <v>0</v>
      </c>
      <c r="N7717" s="98" t="str">
        <f>IF(record[[#This Row],[Memo]]="Browser:chrome os:android","平板報工",IF(record[[#This Row],[Memo]]=0,"委外",record[[#This Row],[Memo]]))</f>
        <v/>
      </c>
      <c r="O7717" t="s">
        <v>58</v>
      </c>
      <c r="P7717" t="s">
        <v>135</v>
      </c>
      <c r="Q7717" t="s">
        <v>58</v>
      </c>
      <c r="R7717" t="str">
        <f>IFERROR(VLOOKUP(record[[#This Row],[PCUSTID]],廠商[],2,FALSE),"")</f>
        <v/>
      </c>
      <c r="S7717" t="str">
        <f>VLOOKUP(record[[#This Row],[employeeID]],員工[],2,FALSE)</f>
        <v>阮士文</v>
      </c>
    </row>
    <row r="7718" spans="6:19" hidden="1" x14ac:dyDescent="0.25">
      <c r="F7718" t="s">
        <v>1023</v>
      </c>
      <c r="G7718" t="s">
        <v>375</v>
      </c>
      <c r="H7718" t="str">
        <f>VLOOKUP(record[[#This Row],[ProcessSN]],表格2_7[],2,FALSE)</f>
        <v>30-4118-018-4XX</v>
      </c>
      <c r="I7718" t="str">
        <f>VLOOKUP(record[[#This Row],[ProcessSN]],表格2_7[],3,FALSE)</f>
        <v>#05</v>
      </c>
      <c r="J7718" t="s">
        <v>588</v>
      </c>
      <c r="K7718" s="195">
        <v>45905.313900462963</v>
      </c>
      <c r="L7718">
        <v>228</v>
      </c>
      <c r="M7718">
        <v>0</v>
      </c>
      <c r="N7718" s="98" t="str">
        <f>IF(record[[#This Row],[Memo]]="Browser:chrome os:android","平板報工",IF(record[[#This Row],[Memo]]=0,"委外",record[[#This Row],[Memo]]))</f>
        <v/>
      </c>
      <c r="O7718" t="s">
        <v>58</v>
      </c>
      <c r="P7718" t="s">
        <v>135</v>
      </c>
      <c r="Q7718" t="s">
        <v>58</v>
      </c>
      <c r="R7718" t="str">
        <f>IFERROR(VLOOKUP(record[[#This Row],[PCUSTID]],廠商[],2,FALSE),"")</f>
        <v/>
      </c>
      <c r="S7718" t="str">
        <f>VLOOKUP(record[[#This Row],[employeeID]],員工[],2,FALSE)</f>
        <v>阮士文</v>
      </c>
    </row>
    <row r="7719" spans="6:19" hidden="1" x14ac:dyDescent="0.25">
      <c r="F7719" t="s">
        <v>1023</v>
      </c>
      <c r="G7719" t="s">
        <v>374</v>
      </c>
      <c r="H7719" t="str">
        <f>VLOOKUP(record[[#This Row],[ProcessSN]],表格2_7[],2,FALSE)</f>
        <v>30-4118-018-4XX</v>
      </c>
      <c r="I7719" t="str">
        <f>VLOOKUP(record[[#This Row],[ProcessSN]],表格2_7[],3,FALSE)</f>
        <v>#04</v>
      </c>
      <c r="J7719" t="s">
        <v>588</v>
      </c>
      <c r="K7719" s="195">
        <v>45905.313634259262</v>
      </c>
      <c r="L7719">
        <v>181</v>
      </c>
      <c r="M7719">
        <v>8</v>
      </c>
      <c r="N7719" s="98" t="str">
        <f>IF(record[[#This Row],[Memo]]="Browser:chrome os:android","平板報工",IF(record[[#This Row],[Memo]]=0,"委外",record[[#This Row],[Memo]]))</f>
        <v/>
      </c>
      <c r="O7719" t="s">
        <v>58</v>
      </c>
      <c r="P7719" t="s">
        <v>135</v>
      </c>
      <c r="Q7719" t="s">
        <v>58</v>
      </c>
      <c r="R7719" t="str">
        <f>IFERROR(VLOOKUP(record[[#This Row],[PCUSTID]],廠商[],2,FALSE),"")</f>
        <v/>
      </c>
      <c r="S7719" t="str">
        <f>VLOOKUP(record[[#This Row],[employeeID]],員工[],2,FALSE)</f>
        <v>阮士文</v>
      </c>
    </row>
    <row r="7720" spans="6:19" hidden="1" x14ac:dyDescent="0.25">
      <c r="F7720" t="s">
        <v>1023</v>
      </c>
      <c r="G7720" t="s">
        <v>376</v>
      </c>
      <c r="H7720" t="str">
        <f>VLOOKUP(record[[#This Row],[ProcessSN]],表格2_7[],2,FALSE)</f>
        <v>30-4118-018-4XX</v>
      </c>
      <c r="I7720" t="str">
        <f>VLOOKUP(record[[#This Row],[ProcessSN]],表格2_7[],3,FALSE)</f>
        <v>#06</v>
      </c>
      <c r="J7720" t="s">
        <v>593</v>
      </c>
      <c r="K7720" s="195">
        <v>45904.952638888892</v>
      </c>
      <c r="L7720">
        <v>121</v>
      </c>
      <c r="M7720">
        <v>0</v>
      </c>
      <c r="N7720" s="98" t="str">
        <f>IF(record[[#This Row],[Memo]]="Browser:chrome os:android","平板報工",IF(record[[#This Row],[Memo]]=0,"委外",record[[#This Row],[Memo]]))</f>
        <v/>
      </c>
      <c r="O7720" t="s">
        <v>58</v>
      </c>
      <c r="P7720" t="s">
        <v>841</v>
      </c>
      <c r="Q7720" t="s">
        <v>58</v>
      </c>
      <c r="R7720" t="str">
        <f>IFERROR(VLOOKUP(record[[#This Row],[PCUSTID]],廠商[],2,FALSE),"")</f>
        <v/>
      </c>
      <c r="S7720" t="str">
        <f>VLOOKUP(record[[#This Row],[employeeID]],員工[],2,FALSE)</f>
        <v>范氏香</v>
      </c>
    </row>
    <row r="7721" spans="6:19" hidden="1" x14ac:dyDescent="0.25">
      <c r="F7721" t="s">
        <v>1023</v>
      </c>
      <c r="G7721" t="s">
        <v>375</v>
      </c>
      <c r="H7721" t="str">
        <f>VLOOKUP(record[[#This Row],[ProcessSN]],表格2_7[],2,FALSE)</f>
        <v>30-4118-018-4XX</v>
      </c>
      <c r="I7721" t="str">
        <f>VLOOKUP(record[[#This Row],[ProcessSN]],表格2_7[],3,FALSE)</f>
        <v>#05</v>
      </c>
      <c r="J7721" t="s">
        <v>588</v>
      </c>
      <c r="K7721" s="195">
        <v>45904.952002314814</v>
      </c>
      <c r="L7721">
        <v>168</v>
      </c>
      <c r="M7721">
        <v>0</v>
      </c>
      <c r="N7721" s="98" t="str">
        <f>IF(record[[#This Row],[Memo]]="Browser:chrome os:android","平板報工",IF(record[[#This Row],[Memo]]=0,"委外",record[[#This Row],[Memo]]))</f>
        <v/>
      </c>
      <c r="O7721" t="s">
        <v>58</v>
      </c>
      <c r="P7721" t="s">
        <v>89</v>
      </c>
      <c r="Q7721" t="s">
        <v>58</v>
      </c>
      <c r="R7721" t="str">
        <f>IFERROR(VLOOKUP(record[[#This Row],[PCUSTID]],廠商[],2,FALSE),"")</f>
        <v/>
      </c>
      <c r="S7721" t="str">
        <f>VLOOKUP(record[[#This Row],[employeeID]],員工[],2,FALSE)</f>
        <v>李美蓮</v>
      </c>
    </row>
    <row r="7722" spans="6:19" hidden="1" x14ac:dyDescent="0.25">
      <c r="F7722" t="s">
        <v>1023</v>
      </c>
      <c r="G7722" t="s">
        <v>374</v>
      </c>
      <c r="H7722" t="str">
        <f>VLOOKUP(record[[#This Row],[ProcessSN]],表格2_7[],2,FALSE)</f>
        <v>30-4118-018-4XX</v>
      </c>
      <c r="I7722" t="str">
        <f>VLOOKUP(record[[#This Row],[ProcessSN]],表格2_7[],3,FALSE)</f>
        <v>#04</v>
      </c>
      <c r="J7722" t="s">
        <v>588</v>
      </c>
      <c r="K7722" s="195">
        <v>45904.950682870367</v>
      </c>
      <c r="L7722">
        <v>135</v>
      </c>
      <c r="M7722">
        <v>2</v>
      </c>
      <c r="N7722" s="98" t="str">
        <f>IF(record[[#This Row],[Memo]]="Browser:chrome os:android","平板報工",IF(record[[#This Row],[Memo]]=0,"委外",record[[#This Row],[Memo]]))</f>
        <v/>
      </c>
      <c r="O7722" t="s">
        <v>58</v>
      </c>
      <c r="P7722" t="s">
        <v>806</v>
      </c>
      <c r="Q7722" t="s">
        <v>58</v>
      </c>
      <c r="R7722" t="str">
        <f>IFERROR(VLOOKUP(record[[#This Row],[PCUSTID]],廠商[],2,FALSE),"")</f>
        <v/>
      </c>
      <c r="S7722" t="str">
        <f>VLOOKUP(record[[#This Row],[employeeID]],員工[],2,FALSE)</f>
        <v>方思緯</v>
      </c>
    </row>
    <row r="7723" spans="6:19" hidden="1" x14ac:dyDescent="0.25">
      <c r="F7723" t="s">
        <v>1000</v>
      </c>
      <c r="G7723" t="s">
        <v>403</v>
      </c>
      <c r="H7723" t="str">
        <f>VLOOKUP(record[[#This Row],[ProcessSN]],表格2_7[],2,FALSE)</f>
        <v>30-4118-018-550</v>
      </c>
      <c r="I7723" t="str">
        <f>VLOOKUP(record[[#This Row],[ProcessSN]],表格2_7[],3,FALSE)</f>
        <v>#100SHIP</v>
      </c>
      <c r="J7723" t="s">
        <v>600</v>
      </c>
      <c r="K7723" s="195">
        <v>45904.668993055559</v>
      </c>
      <c r="L7723">
        <v>16</v>
      </c>
      <c r="M7723">
        <v>0</v>
      </c>
      <c r="N7723" s="98" t="str">
        <f>IF(record[[#This Row],[Memo]]="Browser:chrome os:android","平板報工",IF(record[[#This Row],[Memo]]=0,"委外",record[[#This Row],[Memo]]))</f>
        <v/>
      </c>
      <c r="O7723" t="s">
        <v>58</v>
      </c>
      <c r="P7723" t="s">
        <v>886</v>
      </c>
      <c r="Q7723" t="s">
        <v>58</v>
      </c>
      <c r="R7723" t="str">
        <f>IFERROR(VLOOKUP(record[[#This Row],[PCUSTID]],廠商[],2,FALSE),"")</f>
        <v/>
      </c>
      <c r="S7723" t="str">
        <f>VLOOKUP(record[[#This Row],[employeeID]],員工[],2,FALSE)</f>
        <v>謝蓁薰</v>
      </c>
    </row>
    <row r="7724" spans="6:19" hidden="1" x14ac:dyDescent="0.25">
      <c r="F7724" t="s">
        <v>999</v>
      </c>
      <c r="G7724" t="s">
        <v>403</v>
      </c>
      <c r="H7724" t="str">
        <f>VLOOKUP(record[[#This Row],[ProcessSN]],表格2_7[],2,FALSE)</f>
        <v>30-4118-018-550</v>
      </c>
      <c r="I7724" t="str">
        <f>VLOOKUP(record[[#This Row],[ProcessSN]],表格2_7[],3,FALSE)</f>
        <v>#100SHIP</v>
      </c>
      <c r="J7724" t="s">
        <v>600</v>
      </c>
      <c r="K7724" s="195">
        <v>45904.668819444443</v>
      </c>
      <c r="L7724">
        <v>194</v>
      </c>
      <c r="M7724">
        <v>0</v>
      </c>
      <c r="N7724" s="98" t="str">
        <f>IF(record[[#This Row],[Memo]]="Browser:chrome os:android","平板報工",IF(record[[#This Row],[Memo]]=0,"委外",record[[#This Row],[Memo]]))</f>
        <v/>
      </c>
      <c r="O7724" t="s">
        <v>58</v>
      </c>
      <c r="P7724" t="s">
        <v>886</v>
      </c>
      <c r="Q7724" t="s">
        <v>58</v>
      </c>
      <c r="R7724" t="str">
        <f>IFERROR(VLOOKUP(record[[#This Row],[PCUSTID]],廠商[],2,FALSE),"")</f>
        <v/>
      </c>
      <c r="S7724" t="str">
        <f>VLOOKUP(record[[#This Row],[employeeID]],員工[],2,FALSE)</f>
        <v>謝蓁薰</v>
      </c>
    </row>
    <row r="7725" spans="6:19" hidden="1" x14ac:dyDescent="0.25">
      <c r="F7725" t="s">
        <v>1015</v>
      </c>
      <c r="G7725" t="s">
        <v>418</v>
      </c>
      <c r="H7725" t="str">
        <f>VLOOKUP(record[[#This Row],[ProcessSN]],表格2_7[],2,FALSE)</f>
        <v>30-4118-018-5XX</v>
      </c>
      <c r="I7725" t="str">
        <f>VLOOKUP(record[[#This Row],[ProcessSN]],表格2_7[],3,FALSE)</f>
        <v>#07</v>
      </c>
      <c r="J7725" t="s">
        <v>588</v>
      </c>
      <c r="K7725" s="195">
        <v>45904.656782407408</v>
      </c>
      <c r="L7725">
        <v>193</v>
      </c>
      <c r="M7725">
        <v>0</v>
      </c>
      <c r="N7725" s="98" t="str">
        <f>IF(record[[#This Row],[Memo]]="Browser:chrome os:android","平板報工",IF(record[[#This Row],[Memo]]=0,"委外",record[[#This Row],[Memo]]))</f>
        <v/>
      </c>
      <c r="O7725" t="s">
        <v>58</v>
      </c>
      <c r="P7725" t="s">
        <v>119</v>
      </c>
      <c r="Q7725" t="s">
        <v>58</v>
      </c>
      <c r="R7725" t="str">
        <f>IFERROR(VLOOKUP(record[[#This Row],[PCUSTID]],廠商[],2,FALSE),"")</f>
        <v/>
      </c>
      <c r="S7725" t="str">
        <f>VLOOKUP(record[[#This Row],[employeeID]],員工[],2,FALSE)</f>
        <v>廖俊彥</v>
      </c>
    </row>
    <row r="7726" spans="6:19" hidden="1" x14ac:dyDescent="0.25">
      <c r="F7726" t="s">
        <v>1024</v>
      </c>
      <c r="G7726" t="s">
        <v>414</v>
      </c>
      <c r="H7726" t="str">
        <f>VLOOKUP(record[[#This Row],[ProcessSN]],表格2_7[],2,FALSE)</f>
        <v>30-4118-018-5XX</v>
      </c>
      <c r="I7726" t="str">
        <f>VLOOKUP(record[[#This Row],[ProcessSN]],表格2_7[],3,FALSE)</f>
        <v>#03</v>
      </c>
      <c r="J7726" t="s">
        <v>588</v>
      </c>
      <c r="K7726" s="195">
        <v>45904.6559837963</v>
      </c>
      <c r="L7726">
        <v>800</v>
      </c>
      <c r="M7726">
        <v>0</v>
      </c>
      <c r="N7726" s="98" t="str">
        <f>IF(record[[#This Row],[Memo]]="Browser:chrome os:android","平板報工",IF(record[[#This Row],[Memo]]=0,"委外",record[[#This Row],[Memo]]))</f>
        <v/>
      </c>
      <c r="O7726" t="s">
        <v>58</v>
      </c>
      <c r="P7726" t="s">
        <v>119</v>
      </c>
      <c r="Q7726" t="s">
        <v>58</v>
      </c>
      <c r="R7726" t="str">
        <f>IFERROR(VLOOKUP(record[[#This Row],[PCUSTID]],廠商[],2,FALSE),"")</f>
        <v/>
      </c>
      <c r="S7726" t="str">
        <f>VLOOKUP(record[[#This Row],[employeeID]],員工[],2,FALSE)</f>
        <v>廖俊彥</v>
      </c>
    </row>
    <row r="7727" spans="6:19" hidden="1" x14ac:dyDescent="0.25">
      <c r="F7727" t="s">
        <v>1023</v>
      </c>
      <c r="G7727" t="s">
        <v>376</v>
      </c>
      <c r="H7727" t="str">
        <f>VLOOKUP(record[[#This Row],[ProcessSN]],表格2_7[],2,FALSE)</f>
        <v>30-4118-018-4XX</v>
      </c>
      <c r="I7727" t="str">
        <f>VLOOKUP(record[[#This Row],[ProcessSN]],表格2_7[],3,FALSE)</f>
        <v>#06</v>
      </c>
      <c r="J7727" t="s">
        <v>593</v>
      </c>
      <c r="K7727" s="195">
        <v>45904.654722222222</v>
      </c>
      <c r="L7727">
        <v>121</v>
      </c>
      <c r="M7727">
        <v>0</v>
      </c>
      <c r="N7727" s="98" t="str">
        <f>IF(record[[#This Row],[Memo]]="Browser:chrome os:android","平板報工",IF(record[[#This Row],[Memo]]=0,"委外",record[[#This Row],[Memo]]))</f>
        <v/>
      </c>
      <c r="O7727" t="s">
        <v>58</v>
      </c>
      <c r="P7727" t="s">
        <v>119</v>
      </c>
      <c r="Q7727" t="s">
        <v>58</v>
      </c>
      <c r="R7727" t="str">
        <f>IFERROR(VLOOKUP(record[[#This Row],[PCUSTID]],廠商[],2,FALSE),"")</f>
        <v/>
      </c>
      <c r="S7727" t="str">
        <f>VLOOKUP(record[[#This Row],[employeeID]],員工[],2,FALSE)</f>
        <v>廖俊彥</v>
      </c>
    </row>
    <row r="7728" spans="6:19" hidden="1" x14ac:dyDescent="0.25">
      <c r="F7728" t="s">
        <v>1023</v>
      </c>
      <c r="G7728" t="s">
        <v>375</v>
      </c>
      <c r="H7728" t="str">
        <f>VLOOKUP(record[[#This Row],[ProcessSN]],表格2_7[],2,FALSE)</f>
        <v>30-4118-018-4XX</v>
      </c>
      <c r="I7728" t="str">
        <f>VLOOKUP(record[[#This Row],[ProcessSN]],表格2_7[],3,FALSE)</f>
        <v>#05</v>
      </c>
      <c r="J7728" t="s">
        <v>588</v>
      </c>
      <c r="K7728" s="195">
        <v>45904.654537037037</v>
      </c>
      <c r="L7728">
        <v>43</v>
      </c>
      <c r="M7728">
        <v>0</v>
      </c>
      <c r="N7728" s="98" t="str">
        <f>IF(record[[#This Row],[Memo]]="Browser:chrome os:android","平板報工",IF(record[[#This Row],[Memo]]=0,"委外",record[[#This Row],[Memo]]))</f>
        <v/>
      </c>
      <c r="O7728" t="s">
        <v>58</v>
      </c>
      <c r="P7728" t="s">
        <v>119</v>
      </c>
      <c r="Q7728" t="s">
        <v>58</v>
      </c>
      <c r="R7728" t="str">
        <f>IFERROR(VLOOKUP(record[[#This Row],[PCUSTID]],廠商[],2,FALSE),"")</f>
        <v/>
      </c>
      <c r="S7728" t="str">
        <f>VLOOKUP(record[[#This Row],[employeeID]],員工[],2,FALSE)</f>
        <v>廖俊彥</v>
      </c>
    </row>
    <row r="7729" spans="6:19" hidden="1" x14ac:dyDescent="0.25">
      <c r="F7729" t="s">
        <v>1023</v>
      </c>
      <c r="G7729" t="s">
        <v>374</v>
      </c>
      <c r="H7729" t="str">
        <f>VLOOKUP(record[[#This Row],[ProcessSN]],表格2_7[],2,FALSE)</f>
        <v>30-4118-018-4XX</v>
      </c>
      <c r="I7729" t="str">
        <f>VLOOKUP(record[[#This Row],[ProcessSN]],表格2_7[],3,FALSE)</f>
        <v>#04</v>
      </c>
      <c r="J7729" t="s">
        <v>588</v>
      </c>
      <c r="K7729" s="195">
        <v>45904.654317129629</v>
      </c>
      <c r="L7729">
        <v>150</v>
      </c>
      <c r="M7729">
        <v>6</v>
      </c>
      <c r="N7729" s="98" t="str">
        <f>IF(record[[#This Row],[Memo]]="Browser:chrome os:android","平板報工",IF(record[[#This Row],[Memo]]=0,"委外",record[[#This Row],[Memo]]))</f>
        <v/>
      </c>
      <c r="O7729" t="s">
        <v>58</v>
      </c>
      <c r="P7729" t="s">
        <v>119</v>
      </c>
      <c r="Q7729" t="s">
        <v>58</v>
      </c>
      <c r="R7729" t="str">
        <f>IFERROR(VLOOKUP(record[[#This Row],[PCUSTID]],廠商[],2,FALSE),"")</f>
        <v/>
      </c>
      <c r="S7729" t="str">
        <f>VLOOKUP(record[[#This Row],[employeeID]],員工[],2,FALSE)</f>
        <v>廖俊彥</v>
      </c>
    </row>
    <row r="7730" spans="6:19" hidden="1" x14ac:dyDescent="0.25">
      <c r="F7730" t="s">
        <v>820</v>
      </c>
      <c r="G7730" t="s">
        <v>426</v>
      </c>
      <c r="H7730" t="str">
        <f>VLOOKUP(record[[#This Row],[ProcessSN]],表格2_7[],2,FALSE)</f>
        <v>30-4118-018-600</v>
      </c>
      <c r="I7730" t="str">
        <f>VLOOKUP(record[[#This Row],[ProcessSN]],表格2_7[],3,FALSE)</f>
        <v>#100OQC</v>
      </c>
      <c r="J7730" t="s">
        <v>599</v>
      </c>
      <c r="K7730" s="195">
        <v>45904.604004629633</v>
      </c>
      <c r="L7730">
        <v>2</v>
      </c>
      <c r="M7730">
        <v>0</v>
      </c>
      <c r="N7730" s="98" t="str">
        <f>IF(record[[#This Row],[Memo]]="Browser:chrome os:android","平板報工",IF(record[[#This Row],[Memo]]=0,"委外",record[[#This Row],[Memo]]))</f>
        <v/>
      </c>
      <c r="O7730" t="s">
        <v>58</v>
      </c>
      <c r="P7730" t="s">
        <v>121</v>
      </c>
      <c r="Q7730" t="s">
        <v>58</v>
      </c>
      <c r="R7730" t="str">
        <f>IFERROR(VLOOKUP(record[[#This Row],[PCUSTID]],廠商[],2,FALSE),"")</f>
        <v/>
      </c>
      <c r="S7730" t="str">
        <f>VLOOKUP(record[[#This Row],[employeeID]],員工[],2,FALSE)</f>
        <v>謝素卿</v>
      </c>
    </row>
    <row r="7731" spans="6:19" hidden="1" x14ac:dyDescent="0.25">
      <c r="F7731" t="s">
        <v>984</v>
      </c>
      <c r="G7731" t="s">
        <v>426</v>
      </c>
      <c r="H7731" t="str">
        <f>VLOOKUP(record[[#This Row],[ProcessSN]],表格2_7[],2,FALSE)</f>
        <v>30-4118-018-600</v>
      </c>
      <c r="I7731" t="str">
        <f>VLOOKUP(record[[#This Row],[ProcessSN]],表格2_7[],3,FALSE)</f>
        <v>#100OQC</v>
      </c>
      <c r="J7731" t="s">
        <v>599</v>
      </c>
      <c r="K7731" s="195">
        <v>45904.603865740741</v>
      </c>
      <c r="L7731">
        <v>267</v>
      </c>
      <c r="M7731">
        <v>0</v>
      </c>
      <c r="N7731" s="98" t="str">
        <f>IF(record[[#This Row],[Memo]]="Browser:chrome os:android","平板報工",IF(record[[#This Row],[Memo]]=0,"委外",record[[#This Row],[Memo]]))</f>
        <v/>
      </c>
      <c r="O7731" t="s">
        <v>58</v>
      </c>
      <c r="P7731" t="s">
        <v>121</v>
      </c>
      <c r="Q7731" t="s">
        <v>58</v>
      </c>
      <c r="R7731" t="str">
        <f>IFERROR(VLOOKUP(record[[#This Row],[PCUSTID]],廠商[],2,FALSE),"")</f>
        <v/>
      </c>
      <c r="S7731" t="str">
        <f>VLOOKUP(record[[#This Row],[employeeID]],員工[],2,FALSE)</f>
        <v>謝素卿</v>
      </c>
    </row>
    <row r="7732" spans="6:19" hidden="1" x14ac:dyDescent="0.25">
      <c r="F7732" t="s">
        <v>1035</v>
      </c>
      <c r="G7732" t="s">
        <v>397</v>
      </c>
      <c r="H7732" t="str">
        <f>VLOOKUP(record[[#This Row],[ProcessSN]],表格2_7[],2,FALSE)</f>
        <v>30-4118-018-550</v>
      </c>
      <c r="I7732" t="str">
        <f>VLOOKUP(record[[#This Row],[ProcessSN]],表格2_7[],3,FALSE)</f>
        <v>#08</v>
      </c>
      <c r="J7732" t="s">
        <v>597</v>
      </c>
      <c r="K7732" s="195">
        <v>45904.383067129631</v>
      </c>
      <c r="L7732">
        <v>164</v>
      </c>
      <c r="M7732">
        <v>0</v>
      </c>
      <c r="N7732" s="98" t="str">
        <f>IF(record[[#This Row],[Memo]]="Browser:chrome os:android","平板報工",IF(record[[#This Row],[Memo]]=0,"委外",record[[#This Row],[Memo]]))</f>
        <v/>
      </c>
      <c r="O7732" t="s">
        <v>58</v>
      </c>
      <c r="P7732" t="s">
        <v>186</v>
      </c>
      <c r="Q7732" t="s">
        <v>287</v>
      </c>
      <c r="R7732" t="str">
        <f>IFERROR(VLOOKUP(record[[#This Row],[PCUSTID]],廠商[],2,FALSE),"")</f>
        <v>泉盛</v>
      </c>
      <c r="S7732" t="str">
        <f>VLOOKUP(record[[#This Row],[employeeID]],員工[],2,FALSE)</f>
        <v>許文姍</v>
      </c>
    </row>
    <row r="7733" spans="6:19" hidden="1" x14ac:dyDescent="0.25">
      <c r="F7733" t="s">
        <v>1015</v>
      </c>
      <c r="G7733" t="s">
        <v>420</v>
      </c>
      <c r="H7733" t="str">
        <f>VLOOKUP(record[[#This Row],[ProcessSN]],表格2_7[],2,FALSE)</f>
        <v>30-4118-018-5XX</v>
      </c>
      <c r="I7733" t="str">
        <f>VLOOKUP(record[[#This Row],[ProcessSN]],表格2_7[],3,FALSE)</f>
        <v>#07STOCK</v>
      </c>
      <c r="J7733" t="s">
        <v>592</v>
      </c>
      <c r="K7733" s="195">
        <v>45904.379837962966</v>
      </c>
      <c r="L7733">
        <v>164</v>
      </c>
      <c r="M7733">
        <v>0</v>
      </c>
      <c r="N7733" s="98" t="str">
        <f>IF(record[[#This Row],[Memo]]="Browser:chrome os:android","平板報工",IF(record[[#This Row],[Memo]]=0,"委外",record[[#This Row],[Memo]]))</f>
        <v/>
      </c>
      <c r="O7733" t="s">
        <v>58</v>
      </c>
      <c r="P7733" t="s">
        <v>196</v>
      </c>
      <c r="Q7733" t="s">
        <v>58</v>
      </c>
      <c r="R7733" t="str">
        <f>IFERROR(VLOOKUP(record[[#This Row],[PCUSTID]],廠商[],2,FALSE),"")</f>
        <v/>
      </c>
      <c r="S7733" t="str">
        <f>VLOOKUP(record[[#This Row],[employeeID]],員工[],2,FALSE)</f>
        <v>張淑惠</v>
      </c>
    </row>
    <row r="7734" spans="6:19" hidden="1" x14ac:dyDescent="0.25">
      <c r="F7734" t="s">
        <v>1035</v>
      </c>
      <c r="G7734" t="s">
        <v>396</v>
      </c>
      <c r="H7734" t="str">
        <f>VLOOKUP(record[[#This Row],[ProcessSN]],表格2_7[],2,FALSE)</f>
        <v>30-4118-018-550</v>
      </c>
      <c r="I7734" t="str">
        <f>VLOOKUP(record[[#This Row],[ProcessSN]],表格2_7[],3,FALSE)</f>
        <v>#08PICK</v>
      </c>
      <c r="J7734" t="s">
        <v>582</v>
      </c>
      <c r="K7734" s="195">
        <v>45904.379282407404</v>
      </c>
      <c r="L7734">
        <v>164</v>
      </c>
      <c r="M7734">
        <v>0</v>
      </c>
      <c r="N7734" s="98" t="str">
        <f>IF(record[[#This Row],[Memo]]="Browser:chrome os:android","平板報工",IF(record[[#This Row],[Memo]]=0,"委外",record[[#This Row],[Memo]]))</f>
        <v/>
      </c>
      <c r="O7734" t="s">
        <v>58</v>
      </c>
      <c r="P7734" t="s">
        <v>196</v>
      </c>
      <c r="Q7734" t="s">
        <v>58</v>
      </c>
      <c r="R7734" t="str">
        <f>IFERROR(VLOOKUP(record[[#This Row],[PCUSTID]],廠商[],2,FALSE),"")</f>
        <v/>
      </c>
      <c r="S7734" t="str">
        <f>VLOOKUP(record[[#This Row],[employeeID]],員工[],2,FALSE)</f>
        <v>張淑惠</v>
      </c>
    </row>
    <row r="7735" spans="6:19" hidden="1" x14ac:dyDescent="0.25">
      <c r="F7735" t="s">
        <v>1015</v>
      </c>
      <c r="G7735" t="s">
        <v>419</v>
      </c>
      <c r="H7735" t="str">
        <f>VLOOKUP(record[[#This Row],[ProcessSN]],表格2_7[],2,FALSE)</f>
        <v>30-4118-018-5XX</v>
      </c>
      <c r="I7735" t="str">
        <f>VLOOKUP(record[[#This Row],[ProcessSN]],表格2_7[],3,FALSE)</f>
        <v>#07QC</v>
      </c>
      <c r="J7735" t="s">
        <v>589</v>
      </c>
      <c r="K7735" s="195">
        <v>45904.378101851849</v>
      </c>
      <c r="L7735">
        <v>0</v>
      </c>
      <c r="M7735">
        <v>1</v>
      </c>
      <c r="N7735" s="98" t="str">
        <f>IF(record[[#This Row],[Memo]]="Browser:chrome os:android","平板報工",IF(record[[#This Row],[Memo]]=0,"委外",record[[#This Row],[Memo]]))</f>
        <v>平板報工</v>
      </c>
      <c r="O7735" t="s">
        <v>643</v>
      </c>
      <c r="P7735" t="s">
        <v>141</v>
      </c>
      <c r="Q7735" t="s">
        <v>644</v>
      </c>
      <c r="R7735" t="str">
        <f>IFERROR(VLOOKUP(record[[#This Row],[PCUSTID]],廠商[],2,FALSE),"")</f>
        <v/>
      </c>
      <c r="S7735" t="str">
        <f>VLOOKUP(record[[#This Row],[employeeID]],員工[],2,FALSE)</f>
        <v>蔣梅</v>
      </c>
    </row>
    <row r="7736" spans="6:19" hidden="1" x14ac:dyDescent="0.25">
      <c r="F7736" t="s">
        <v>1015</v>
      </c>
      <c r="G7736" t="s">
        <v>419</v>
      </c>
      <c r="H7736" t="str">
        <f>VLOOKUP(record[[#This Row],[ProcessSN]],表格2_7[],2,FALSE)</f>
        <v>30-4118-018-5XX</v>
      </c>
      <c r="I7736" t="str">
        <f>VLOOKUP(record[[#This Row],[ProcessSN]],表格2_7[],3,FALSE)</f>
        <v>#07QC</v>
      </c>
      <c r="J7736" t="s">
        <v>589</v>
      </c>
      <c r="K7736" s="195">
        <v>45904.377905092595</v>
      </c>
      <c r="L7736">
        <v>164</v>
      </c>
      <c r="M7736">
        <v>0</v>
      </c>
      <c r="N7736" s="98" t="str">
        <f>IF(record[[#This Row],[Memo]]="Browser:chrome os:android","平板報工",IF(record[[#This Row],[Memo]]=0,"委外",record[[#This Row],[Memo]]))</f>
        <v>平板報工</v>
      </c>
      <c r="O7736" t="s">
        <v>643</v>
      </c>
      <c r="P7736" t="s">
        <v>141</v>
      </c>
      <c r="Q7736" t="s">
        <v>644</v>
      </c>
      <c r="R7736" t="str">
        <f>IFERROR(VLOOKUP(record[[#This Row],[PCUSTID]],廠商[],2,FALSE),"")</f>
        <v/>
      </c>
      <c r="S7736" t="str">
        <f>VLOOKUP(record[[#This Row],[employeeID]],員工[],2,FALSE)</f>
        <v>蔣梅</v>
      </c>
    </row>
    <row r="7737" spans="6:19" hidden="1" x14ac:dyDescent="0.25">
      <c r="F7737" t="s">
        <v>1023</v>
      </c>
      <c r="G7737" t="s">
        <v>376</v>
      </c>
      <c r="H7737" t="str">
        <f>VLOOKUP(record[[#This Row],[ProcessSN]],表格2_7[],2,FALSE)</f>
        <v>30-4118-018-4XX</v>
      </c>
      <c r="I7737" t="str">
        <f>VLOOKUP(record[[#This Row],[ProcessSN]],表格2_7[],3,FALSE)</f>
        <v>#06</v>
      </c>
      <c r="J7737" t="s">
        <v>593</v>
      </c>
      <c r="K7737" s="195">
        <v>45904.304583333331</v>
      </c>
      <c r="L7737">
        <v>121</v>
      </c>
      <c r="M7737">
        <v>0</v>
      </c>
      <c r="N7737" s="98" t="str">
        <f>IF(record[[#This Row],[Memo]]="Browser:chrome os:android","平板報工",IF(record[[#This Row],[Memo]]=0,"委外",record[[#This Row],[Memo]]))</f>
        <v/>
      </c>
      <c r="O7737" t="s">
        <v>58</v>
      </c>
      <c r="P7737" t="s">
        <v>135</v>
      </c>
      <c r="Q7737" t="s">
        <v>58</v>
      </c>
      <c r="R7737" t="str">
        <f>IFERROR(VLOOKUP(record[[#This Row],[PCUSTID]],廠商[],2,FALSE),"")</f>
        <v/>
      </c>
      <c r="S7737" t="str">
        <f>VLOOKUP(record[[#This Row],[employeeID]],員工[],2,FALSE)</f>
        <v>阮士文</v>
      </c>
    </row>
    <row r="7738" spans="6:19" hidden="1" x14ac:dyDescent="0.25">
      <c r="F7738" t="s">
        <v>1023</v>
      </c>
      <c r="G7738" t="s">
        <v>375</v>
      </c>
      <c r="H7738" t="str">
        <f>VLOOKUP(record[[#This Row],[ProcessSN]],表格2_7[],2,FALSE)</f>
        <v>30-4118-018-4XX</v>
      </c>
      <c r="I7738" t="str">
        <f>VLOOKUP(record[[#This Row],[ProcessSN]],表格2_7[],3,FALSE)</f>
        <v>#05</v>
      </c>
      <c r="J7738" t="s">
        <v>588</v>
      </c>
      <c r="K7738" s="195">
        <v>45904.303726851853</v>
      </c>
      <c r="L7738">
        <v>155</v>
      </c>
      <c r="M7738">
        <v>0</v>
      </c>
      <c r="N7738" s="98" t="str">
        <f>IF(record[[#This Row],[Memo]]="Browser:chrome os:android","平板報工",IF(record[[#This Row],[Memo]]=0,"委外",record[[#This Row],[Memo]]))</f>
        <v/>
      </c>
      <c r="O7738" t="s">
        <v>58</v>
      </c>
      <c r="P7738" t="s">
        <v>135</v>
      </c>
      <c r="Q7738" t="s">
        <v>58</v>
      </c>
      <c r="R7738" t="str">
        <f>IFERROR(VLOOKUP(record[[#This Row],[PCUSTID]],廠商[],2,FALSE),"")</f>
        <v/>
      </c>
      <c r="S7738" t="str">
        <f>VLOOKUP(record[[#This Row],[employeeID]],員工[],2,FALSE)</f>
        <v>阮士文</v>
      </c>
    </row>
    <row r="7739" spans="6:19" hidden="1" x14ac:dyDescent="0.25">
      <c r="F7739" t="s">
        <v>1023</v>
      </c>
      <c r="G7739" t="s">
        <v>374</v>
      </c>
      <c r="H7739" t="str">
        <f>VLOOKUP(record[[#This Row],[ProcessSN]],表格2_7[],2,FALSE)</f>
        <v>30-4118-018-4XX</v>
      </c>
      <c r="I7739" t="str">
        <f>VLOOKUP(record[[#This Row],[ProcessSN]],表格2_7[],3,FALSE)</f>
        <v>#04</v>
      </c>
      <c r="J7739" t="s">
        <v>588</v>
      </c>
      <c r="K7739" s="195">
        <v>45904.303530092591</v>
      </c>
      <c r="L7739">
        <v>158</v>
      </c>
      <c r="M7739">
        <v>0</v>
      </c>
      <c r="N7739" s="98" t="str">
        <f>IF(record[[#This Row],[Memo]]="Browser:chrome os:android","平板報工",IF(record[[#This Row],[Memo]]=0,"委外",record[[#This Row],[Memo]]))</f>
        <v/>
      </c>
      <c r="O7739" t="s">
        <v>58</v>
      </c>
      <c r="P7739" t="s">
        <v>135</v>
      </c>
      <c r="Q7739" t="s">
        <v>58</v>
      </c>
      <c r="R7739" t="str">
        <f>IFERROR(VLOOKUP(record[[#This Row],[PCUSTID]],廠商[],2,FALSE),"")</f>
        <v/>
      </c>
      <c r="S7739" t="str">
        <f>VLOOKUP(record[[#This Row],[employeeID]],員工[],2,FALSE)</f>
        <v>阮士文</v>
      </c>
    </row>
    <row r="7740" spans="6:19" hidden="1" x14ac:dyDescent="0.25">
      <c r="F7740" t="s">
        <v>1015</v>
      </c>
      <c r="G7740" t="s">
        <v>418</v>
      </c>
      <c r="H7740" t="str">
        <f>VLOOKUP(record[[#This Row],[ProcessSN]],表格2_7[],2,FALSE)</f>
        <v>30-4118-018-5XX</v>
      </c>
      <c r="I7740" t="str">
        <f>VLOOKUP(record[[#This Row],[ProcessSN]],表格2_7[],3,FALSE)</f>
        <v>#07</v>
      </c>
      <c r="J7740" t="s">
        <v>588</v>
      </c>
      <c r="K7740" s="195">
        <v>45903.96603009259</v>
      </c>
      <c r="L7740">
        <v>191</v>
      </c>
      <c r="M7740">
        <v>2</v>
      </c>
      <c r="N7740" s="98" t="str">
        <f>IF(record[[#This Row],[Memo]]="Browser:chrome os:android","平板報工",IF(record[[#This Row],[Memo]]=0,"委外",record[[#This Row],[Memo]]))</f>
        <v/>
      </c>
      <c r="O7740" t="s">
        <v>58</v>
      </c>
      <c r="P7740" t="s">
        <v>89</v>
      </c>
      <c r="Q7740" t="s">
        <v>58</v>
      </c>
      <c r="R7740" t="str">
        <f>IFERROR(VLOOKUP(record[[#This Row],[PCUSTID]],廠商[],2,FALSE),"")</f>
        <v/>
      </c>
      <c r="S7740" t="str">
        <f>VLOOKUP(record[[#This Row],[employeeID]],員工[],2,FALSE)</f>
        <v>李美蓮</v>
      </c>
    </row>
    <row r="7741" spans="6:19" hidden="1" x14ac:dyDescent="0.25">
      <c r="F7741" t="s">
        <v>1023</v>
      </c>
      <c r="G7741" t="s">
        <v>375</v>
      </c>
      <c r="H7741" t="str">
        <f>VLOOKUP(record[[#This Row],[ProcessSN]],表格2_7[],2,FALSE)</f>
        <v>30-4118-018-4XX</v>
      </c>
      <c r="I7741" t="str">
        <f>VLOOKUP(record[[#This Row],[ProcessSN]],表格2_7[],3,FALSE)</f>
        <v>#05</v>
      </c>
      <c r="J7741" t="s">
        <v>588</v>
      </c>
      <c r="K7741" s="195">
        <v>45903.965694444443</v>
      </c>
      <c r="L7741">
        <v>72</v>
      </c>
      <c r="M7741">
        <v>0</v>
      </c>
      <c r="N7741" s="98" t="str">
        <f>IF(record[[#This Row],[Memo]]="Browser:chrome os:android","平板報工",IF(record[[#This Row],[Memo]]=0,"委外",record[[#This Row],[Memo]]))</f>
        <v/>
      </c>
      <c r="O7741" t="s">
        <v>58</v>
      </c>
      <c r="P7741" t="s">
        <v>89</v>
      </c>
      <c r="Q7741" t="s">
        <v>58</v>
      </c>
      <c r="R7741" t="str">
        <f>IFERROR(VLOOKUP(record[[#This Row],[PCUSTID]],廠商[],2,FALSE),"")</f>
        <v/>
      </c>
      <c r="S7741" t="str">
        <f>VLOOKUP(record[[#This Row],[employeeID]],員工[],2,FALSE)</f>
        <v>李美蓮</v>
      </c>
    </row>
    <row r="7742" spans="6:19" hidden="1" x14ac:dyDescent="0.25">
      <c r="F7742" t="s">
        <v>1023</v>
      </c>
      <c r="G7742" t="s">
        <v>374</v>
      </c>
      <c r="H7742" t="str">
        <f>VLOOKUP(record[[#This Row],[ProcessSN]],表格2_7[],2,FALSE)</f>
        <v>30-4118-018-4XX</v>
      </c>
      <c r="I7742" t="str">
        <f>VLOOKUP(record[[#This Row],[ProcessSN]],表格2_7[],3,FALSE)</f>
        <v>#04</v>
      </c>
      <c r="J7742" t="s">
        <v>588</v>
      </c>
      <c r="K7742" s="195">
        <v>45903.965266203704</v>
      </c>
      <c r="L7742">
        <v>0</v>
      </c>
      <c r="M7742">
        <v>3</v>
      </c>
      <c r="N7742" s="98" t="str">
        <f>IF(record[[#This Row],[Memo]]="Browser:chrome os:android","平板報工",IF(record[[#This Row],[Memo]]=0,"委外",record[[#This Row],[Memo]]))</f>
        <v/>
      </c>
      <c r="O7742" t="s">
        <v>58</v>
      </c>
      <c r="P7742" t="s">
        <v>806</v>
      </c>
      <c r="Q7742" t="s">
        <v>58</v>
      </c>
      <c r="R7742" t="str">
        <f>IFERROR(VLOOKUP(record[[#This Row],[PCUSTID]],廠商[],2,FALSE),"")</f>
        <v/>
      </c>
      <c r="S7742" t="str">
        <f>VLOOKUP(record[[#This Row],[employeeID]],員工[],2,FALSE)</f>
        <v>方思緯</v>
      </c>
    </row>
    <row r="7743" spans="6:19" hidden="1" x14ac:dyDescent="0.25">
      <c r="F7743" t="s">
        <v>1023</v>
      </c>
      <c r="G7743" t="s">
        <v>374</v>
      </c>
      <c r="H7743" t="str">
        <f>VLOOKUP(record[[#This Row],[ProcessSN]],表格2_7[],2,FALSE)</f>
        <v>30-4118-018-4XX</v>
      </c>
      <c r="I7743" t="str">
        <f>VLOOKUP(record[[#This Row],[ProcessSN]],表格2_7[],3,FALSE)</f>
        <v>#04</v>
      </c>
      <c r="J7743" t="s">
        <v>588</v>
      </c>
      <c r="K7743" s="195">
        <v>45903.964317129627</v>
      </c>
      <c r="L7743">
        <v>90</v>
      </c>
      <c r="M7743">
        <v>0</v>
      </c>
      <c r="N7743" s="98" t="str">
        <f>IF(record[[#This Row],[Memo]]="Browser:chrome os:android","平板報工",IF(record[[#This Row],[Memo]]=0,"委外",record[[#This Row],[Memo]]))</f>
        <v/>
      </c>
      <c r="O7743" t="s">
        <v>58</v>
      </c>
      <c r="P7743" t="s">
        <v>806</v>
      </c>
      <c r="Q7743" t="s">
        <v>58</v>
      </c>
      <c r="R7743" t="str">
        <f>IFERROR(VLOOKUP(record[[#This Row],[PCUSTID]],廠商[],2,FALSE),"")</f>
        <v/>
      </c>
      <c r="S7743" t="str">
        <f>VLOOKUP(record[[#This Row],[employeeID]],員工[],2,FALSE)</f>
        <v>方思緯</v>
      </c>
    </row>
    <row r="7744" spans="6:19" hidden="1" x14ac:dyDescent="0.25">
      <c r="F7744" t="s">
        <v>989</v>
      </c>
      <c r="G7744" t="s">
        <v>467</v>
      </c>
      <c r="H7744" t="str">
        <f>VLOOKUP(record[[#This Row],[ProcessSN]],表格2_7[],2,FALSE)</f>
        <v>30-4118-018-XXX</v>
      </c>
      <c r="I7744" t="str">
        <f>VLOOKUP(record[[#This Row],[ProcessSN]],表格2_7[],3,FALSE)</f>
        <v>#01QC</v>
      </c>
      <c r="J7744" t="s">
        <v>589</v>
      </c>
      <c r="K7744" s="195">
        <v>45903.758680555555</v>
      </c>
      <c r="L7744">
        <v>1264</v>
      </c>
      <c r="M7744">
        <v>0</v>
      </c>
      <c r="N7744" s="98" t="str">
        <f>IF(record[[#This Row],[Memo]]="Browser:chrome os:android","平板報工",IF(record[[#This Row],[Memo]]=0,"委外",record[[#This Row],[Memo]]))</f>
        <v>平板報工</v>
      </c>
      <c r="O7744" t="s">
        <v>643</v>
      </c>
      <c r="P7744" t="s">
        <v>182</v>
      </c>
      <c r="Q7744" t="s">
        <v>644</v>
      </c>
      <c r="R7744" t="str">
        <f>IFERROR(VLOOKUP(record[[#This Row],[PCUSTID]],廠商[],2,FALSE),"")</f>
        <v/>
      </c>
      <c r="S7744" t="str">
        <f>VLOOKUP(record[[#This Row],[employeeID]],員工[],2,FALSE)</f>
        <v>梅氏和</v>
      </c>
    </row>
    <row r="7745" spans="6:19" hidden="1" x14ac:dyDescent="0.25">
      <c r="F7745" t="s">
        <v>989</v>
      </c>
      <c r="G7745" t="s">
        <v>470</v>
      </c>
      <c r="H7745" t="str">
        <f>VLOOKUP(record[[#This Row],[ProcessSN]],表格2_7[],2,FALSE)</f>
        <v>30-4118-018-XXX</v>
      </c>
      <c r="I7745" t="str">
        <f>VLOOKUP(record[[#This Row],[ProcessSN]],表格2_7[],3,FALSE)</f>
        <v>#02IQC</v>
      </c>
      <c r="J7745" t="s">
        <v>583</v>
      </c>
      <c r="K7745" s="195">
        <v>45903.714097222219</v>
      </c>
      <c r="L7745">
        <v>336</v>
      </c>
      <c r="M7745">
        <v>0</v>
      </c>
      <c r="N7745" s="98" t="str">
        <f>IF(record[[#This Row],[Memo]]="Browser:chrome os:android","平板報工",IF(record[[#This Row],[Memo]]=0,"委外",record[[#This Row],[Memo]]))</f>
        <v/>
      </c>
      <c r="O7745" t="s">
        <v>58</v>
      </c>
      <c r="P7745" t="s">
        <v>109</v>
      </c>
      <c r="Q7745" t="s">
        <v>58</v>
      </c>
      <c r="R7745" t="str">
        <f>IFERROR(VLOOKUP(record[[#This Row],[PCUSTID]],廠商[],2,FALSE),"")</f>
        <v/>
      </c>
      <c r="S7745" t="str">
        <f>VLOOKUP(record[[#This Row],[employeeID]],員工[],2,FALSE)</f>
        <v>裴氏璧鳳</v>
      </c>
    </row>
    <row r="7746" spans="6:19" hidden="1" x14ac:dyDescent="0.25">
      <c r="F7746" t="s">
        <v>1015</v>
      </c>
      <c r="G7746" t="s">
        <v>418</v>
      </c>
      <c r="H7746" t="str">
        <f>VLOOKUP(record[[#This Row],[ProcessSN]],表格2_7[],2,FALSE)</f>
        <v>30-4118-018-5XX</v>
      </c>
      <c r="I7746" t="str">
        <f>VLOOKUP(record[[#This Row],[ProcessSN]],表格2_7[],3,FALSE)</f>
        <v>#07</v>
      </c>
      <c r="J7746" t="s">
        <v>588</v>
      </c>
      <c r="K7746" s="195">
        <v>45903.659768518519</v>
      </c>
      <c r="L7746">
        <v>84</v>
      </c>
      <c r="M7746">
        <v>1</v>
      </c>
      <c r="N7746" s="98" t="str">
        <f>IF(record[[#This Row],[Memo]]="Browser:chrome os:android","平板報工",IF(record[[#This Row],[Memo]]=0,"委外",record[[#This Row],[Memo]]))</f>
        <v/>
      </c>
      <c r="O7746" t="s">
        <v>58</v>
      </c>
      <c r="P7746" t="s">
        <v>119</v>
      </c>
      <c r="Q7746" t="s">
        <v>58</v>
      </c>
      <c r="R7746" t="str">
        <f>IFERROR(VLOOKUP(record[[#This Row],[PCUSTID]],廠商[],2,FALSE),"")</f>
        <v/>
      </c>
      <c r="S7746" t="str">
        <f>VLOOKUP(record[[#This Row],[employeeID]],員工[],2,FALSE)</f>
        <v>廖俊彥</v>
      </c>
    </row>
    <row r="7747" spans="6:19" hidden="1" x14ac:dyDescent="0.25">
      <c r="F7747" t="s">
        <v>1024</v>
      </c>
      <c r="G7747" t="s">
        <v>414</v>
      </c>
      <c r="H7747" t="str">
        <f>VLOOKUP(record[[#This Row],[ProcessSN]],表格2_7[],2,FALSE)</f>
        <v>30-4118-018-5XX</v>
      </c>
      <c r="I7747" t="str">
        <f>VLOOKUP(record[[#This Row],[ProcessSN]],表格2_7[],3,FALSE)</f>
        <v>#03</v>
      </c>
      <c r="J7747" t="s">
        <v>588</v>
      </c>
      <c r="K7747" s="195">
        <v>45903.659328703703</v>
      </c>
      <c r="L7747">
        <v>75</v>
      </c>
      <c r="M7747">
        <v>0</v>
      </c>
      <c r="N7747" s="98" t="str">
        <f>IF(record[[#This Row],[Memo]]="Browser:chrome os:android","平板報工",IF(record[[#This Row],[Memo]]=0,"委外",record[[#This Row],[Memo]]))</f>
        <v/>
      </c>
      <c r="O7747" t="s">
        <v>58</v>
      </c>
      <c r="P7747" t="s">
        <v>119</v>
      </c>
      <c r="Q7747" t="s">
        <v>58</v>
      </c>
      <c r="R7747" t="str">
        <f>IFERROR(VLOOKUP(record[[#This Row],[PCUSTID]],廠商[],2,FALSE),"")</f>
        <v/>
      </c>
      <c r="S7747" t="str">
        <f>VLOOKUP(record[[#This Row],[employeeID]],員工[],2,FALSE)</f>
        <v>廖俊彥</v>
      </c>
    </row>
    <row r="7748" spans="6:19" hidden="1" x14ac:dyDescent="0.25">
      <c r="F7748" t="s">
        <v>1023</v>
      </c>
      <c r="G7748" t="s">
        <v>373</v>
      </c>
      <c r="H7748" t="str">
        <f>VLOOKUP(record[[#This Row],[ProcessSN]],表格2_7[],2,FALSE)</f>
        <v>30-4118-018-4XX</v>
      </c>
      <c r="I7748" t="str">
        <f>VLOOKUP(record[[#This Row],[ProcessSN]],表格2_7[],3,FALSE)</f>
        <v>#03</v>
      </c>
      <c r="J7748" t="s">
        <v>588</v>
      </c>
      <c r="K7748" s="195">
        <v>45903.659108796295</v>
      </c>
      <c r="L7748">
        <v>247</v>
      </c>
      <c r="M7748">
        <v>0</v>
      </c>
      <c r="N7748" s="98" t="str">
        <f>IF(record[[#This Row],[Memo]]="Browser:chrome os:android","平板報工",IF(record[[#This Row],[Memo]]=0,"委外",record[[#This Row],[Memo]]))</f>
        <v/>
      </c>
      <c r="O7748" t="s">
        <v>58</v>
      </c>
      <c r="P7748" t="s">
        <v>119</v>
      </c>
      <c r="Q7748" t="s">
        <v>58</v>
      </c>
      <c r="R7748" t="str">
        <f>IFERROR(VLOOKUP(record[[#This Row],[PCUSTID]],廠商[],2,FALSE),"")</f>
        <v/>
      </c>
      <c r="S7748" t="str">
        <f>VLOOKUP(record[[#This Row],[employeeID]],員工[],2,FALSE)</f>
        <v>廖俊彥</v>
      </c>
    </row>
    <row r="7749" spans="6:19" hidden="1" x14ac:dyDescent="0.25">
      <c r="F7749" t="s">
        <v>1033</v>
      </c>
      <c r="G7749" t="s">
        <v>397</v>
      </c>
      <c r="H7749" t="str">
        <f>VLOOKUP(record[[#This Row],[ProcessSN]],表格2_7[],2,FALSE)</f>
        <v>30-4118-018-550</v>
      </c>
      <c r="I7749" t="str">
        <f>VLOOKUP(record[[#This Row],[ProcessSN]],表格2_7[],3,FALSE)</f>
        <v>#08</v>
      </c>
      <c r="J7749" t="s">
        <v>597</v>
      </c>
      <c r="K7749" s="195">
        <v>45903.623148148145</v>
      </c>
      <c r="L7749">
        <v>163</v>
      </c>
      <c r="M7749">
        <v>0</v>
      </c>
      <c r="N7749" s="98" t="str">
        <f>IF(record[[#This Row],[Memo]]="Browser:chrome os:android","平板報工",IF(record[[#This Row],[Memo]]=0,"委外",record[[#This Row],[Memo]]))</f>
        <v/>
      </c>
      <c r="O7749" t="s">
        <v>58</v>
      </c>
      <c r="P7749" t="s">
        <v>186</v>
      </c>
      <c r="Q7749" t="s">
        <v>287</v>
      </c>
      <c r="R7749" t="str">
        <f>IFERROR(VLOOKUP(record[[#This Row],[PCUSTID]],廠商[],2,FALSE),"")</f>
        <v>泉盛</v>
      </c>
      <c r="S7749" t="str">
        <f>VLOOKUP(record[[#This Row],[employeeID]],員工[],2,FALSE)</f>
        <v>許文姍</v>
      </c>
    </row>
    <row r="7750" spans="6:19" hidden="1" x14ac:dyDescent="0.25">
      <c r="F7750" t="s">
        <v>989</v>
      </c>
      <c r="G7750" t="s">
        <v>469</v>
      </c>
      <c r="H7750" t="str">
        <f>VLOOKUP(record[[#This Row],[ProcessSN]],表格2_7[],2,FALSE)</f>
        <v>30-4118-018-XXX</v>
      </c>
      <c r="I7750" t="str">
        <f>VLOOKUP(record[[#This Row],[ProcessSN]],表格2_7[],3,FALSE)</f>
        <v>#02RCV</v>
      </c>
      <c r="J7750" t="s">
        <v>591</v>
      </c>
      <c r="K7750" s="195">
        <v>45903.472592592596</v>
      </c>
      <c r="L7750">
        <v>336</v>
      </c>
      <c r="M7750">
        <v>0</v>
      </c>
      <c r="N7750" s="98" t="str">
        <f>IF(record[[#This Row],[Memo]]="Browser:chrome os:android","平板報工",IF(record[[#This Row],[Memo]]=0,"委外",record[[#This Row],[Memo]]))</f>
        <v>.</v>
      </c>
      <c r="O7750" t="s">
        <v>615</v>
      </c>
      <c r="P7750" t="s">
        <v>186</v>
      </c>
      <c r="Q7750" t="s">
        <v>58</v>
      </c>
      <c r="R7750" t="str">
        <f>IFERROR(VLOOKUP(record[[#This Row],[PCUSTID]],廠商[],2,FALSE),"")</f>
        <v/>
      </c>
      <c r="S7750" t="str">
        <f>VLOOKUP(record[[#This Row],[employeeID]],員工[],2,FALSE)</f>
        <v>許文姍</v>
      </c>
    </row>
    <row r="7751" spans="6:19" hidden="1" x14ac:dyDescent="0.25">
      <c r="F7751" t="s">
        <v>1011</v>
      </c>
      <c r="G7751" t="s">
        <v>402</v>
      </c>
      <c r="H7751" t="str">
        <f>VLOOKUP(record[[#This Row],[ProcessSN]],表格2_7[],2,FALSE)</f>
        <v>30-4118-018-550</v>
      </c>
      <c r="I7751" t="str">
        <f>VLOOKUP(record[[#This Row],[ProcessSN]],表格2_7[],3,FALSE)</f>
        <v>#100STOCK</v>
      </c>
      <c r="J7751" t="s">
        <v>592</v>
      </c>
      <c r="K7751" s="195">
        <v>45903.445219907408</v>
      </c>
      <c r="L7751">
        <v>137</v>
      </c>
      <c r="M7751">
        <v>0</v>
      </c>
      <c r="N7751" s="98" t="str">
        <f>IF(record[[#This Row],[Memo]]="Browser:chrome os:android","平板報工",IF(record[[#This Row],[Memo]]=0,"委外",record[[#This Row],[Memo]]))</f>
        <v/>
      </c>
      <c r="O7751" t="s">
        <v>58</v>
      </c>
      <c r="P7751" t="s">
        <v>886</v>
      </c>
      <c r="Q7751" t="s">
        <v>58</v>
      </c>
      <c r="R7751" t="str">
        <f>IFERROR(VLOOKUP(record[[#This Row],[PCUSTID]],廠商[],2,FALSE),"")</f>
        <v/>
      </c>
      <c r="S7751" t="str">
        <f>VLOOKUP(record[[#This Row],[employeeID]],員工[],2,FALSE)</f>
        <v>謝蓁薰</v>
      </c>
    </row>
    <row r="7752" spans="6:19" hidden="1" x14ac:dyDescent="0.25">
      <c r="F7752" t="s">
        <v>1000</v>
      </c>
      <c r="G7752" t="s">
        <v>402</v>
      </c>
      <c r="H7752" t="str">
        <f>VLOOKUP(record[[#This Row],[ProcessSN]],表格2_7[],2,FALSE)</f>
        <v>30-4118-018-550</v>
      </c>
      <c r="I7752" t="str">
        <f>VLOOKUP(record[[#This Row],[ProcessSN]],表格2_7[],3,FALSE)</f>
        <v>#100STOCK</v>
      </c>
      <c r="J7752" t="s">
        <v>592</v>
      </c>
      <c r="K7752" s="195">
        <v>45903.445034722223</v>
      </c>
      <c r="L7752">
        <v>183</v>
      </c>
      <c r="M7752">
        <v>0</v>
      </c>
      <c r="N7752" s="98" t="str">
        <f>IF(record[[#This Row],[Memo]]="Browser:chrome os:android","平板報工",IF(record[[#This Row],[Memo]]=0,"委外",record[[#This Row],[Memo]]))</f>
        <v/>
      </c>
      <c r="O7752" t="s">
        <v>58</v>
      </c>
      <c r="P7752" t="s">
        <v>886</v>
      </c>
      <c r="Q7752" t="s">
        <v>58</v>
      </c>
      <c r="R7752" t="str">
        <f>IFERROR(VLOOKUP(record[[#This Row],[PCUSTID]],廠商[],2,FALSE),"")</f>
        <v/>
      </c>
      <c r="S7752" t="str">
        <f>VLOOKUP(record[[#This Row],[employeeID]],員工[],2,FALSE)</f>
        <v>謝蓁薰</v>
      </c>
    </row>
    <row r="7753" spans="6:19" hidden="1" x14ac:dyDescent="0.25">
      <c r="F7753" t="s">
        <v>999</v>
      </c>
      <c r="G7753" t="s">
        <v>402</v>
      </c>
      <c r="H7753" t="str">
        <f>VLOOKUP(record[[#This Row],[ProcessSN]],表格2_7[],2,FALSE)</f>
        <v>30-4118-018-550</v>
      </c>
      <c r="I7753" t="str">
        <f>VLOOKUP(record[[#This Row],[ProcessSN]],表格2_7[],3,FALSE)</f>
        <v>#100STOCK</v>
      </c>
      <c r="J7753" t="s">
        <v>592</v>
      </c>
      <c r="K7753" s="195">
        <v>45903.444907407407</v>
      </c>
      <c r="L7753">
        <v>194</v>
      </c>
      <c r="M7753">
        <v>0</v>
      </c>
      <c r="N7753" s="98" t="str">
        <f>IF(record[[#This Row],[Memo]]="Browser:chrome os:android","平板報工",IF(record[[#This Row],[Memo]]=0,"委外",record[[#This Row],[Memo]]))</f>
        <v/>
      </c>
      <c r="O7753" t="s">
        <v>58</v>
      </c>
      <c r="P7753" t="s">
        <v>886</v>
      </c>
      <c r="Q7753" t="s">
        <v>58</v>
      </c>
      <c r="R7753" t="str">
        <f>IFERROR(VLOOKUP(record[[#This Row],[PCUSTID]],廠商[],2,FALSE),"")</f>
        <v/>
      </c>
      <c r="S7753" t="str">
        <f>VLOOKUP(record[[#This Row],[employeeID]],員工[],2,FALSE)</f>
        <v>謝蓁薰</v>
      </c>
    </row>
    <row r="7754" spans="6:19" hidden="1" x14ac:dyDescent="0.25">
      <c r="F7754" t="s">
        <v>1001</v>
      </c>
      <c r="G7754" t="s">
        <v>420</v>
      </c>
      <c r="H7754" t="str">
        <f>VLOOKUP(record[[#This Row],[ProcessSN]],表格2_7[],2,FALSE)</f>
        <v>30-4118-018-5XX</v>
      </c>
      <c r="I7754" t="str">
        <f>VLOOKUP(record[[#This Row],[ProcessSN]],表格2_7[],3,FALSE)</f>
        <v>#07STOCK</v>
      </c>
      <c r="J7754" t="s">
        <v>592</v>
      </c>
      <c r="K7754" s="195">
        <v>45903.438576388886</v>
      </c>
      <c r="L7754">
        <v>163</v>
      </c>
      <c r="M7754">
        <v>0</v>
      </c>
      <c r="N7754" s="98" t="str">
        <f>IF(record[[#This Row],[Memo]]="Browser:chrome os:android","平板報工",IF(record[[#This Row],[Memo]]=0,"委外",record[[#This Row],[Memo]]))</f>
        <v/>
      </c>
      <c r="O7754" t="s">
        <v>58</v>
      </c>
      <c r="P7754" t="s">
        <v>196</v>
      </c>
      <c r="Q7754" t="s">
        <v>58</v>
      </c>
      <c r="R7754" t="str">
        <f>IFERROR(VLOOKUP(record[[#This Row],[PCUSTID]],廠商[],2,FALSE),"")</f>
        <v/>
      </c>
      <c r="S7754" t="str">
        <f>VLOOKUP(record[[#This Row],[employeeID]],員工[],2,FALSE)</f>
        <v>張淑惠</v>
      </c>
    </row>
    <row r="7755" spans="6:19" hidden="1" x14ac:dyDescent="0.25">
      <c r="F7755" t="s">
        <v>1001</v>
      </c>
      <c r="G7755" t="s">
        <v>419</v>
      </c>
      <c r="H7755" t="str">
        <f>VLOOKUP(record[[#This Row],[ProcessSN]],表格2_7[],2,FALSE)</f>
        <v>30-4118-018-5XX</v>
      </c>
      <c r="I7755" t="str">
        <f>VLOOKUP(record[[#This Row],[ProcessSN]],表格2_7[],3,FALSE)</f>
        <v>#07QC</v>
      </c>
      <c r="J7755" t="s">
        <v>589</v>
      </c>
      <c r="K7755" s="195">
        <v>45903.438194444447</v>
      </c>
      <c r="L7755">
        <v>0</v>
      </c>
      <c r="M7755">
        <v>1</v>
      </c>
      <c r="N7755" s="98" t="str">
        <f>IF(record[[#This Row],[Memo]]="Browser:chrome os:android","平板報工",IF(record[[#This Row],[Memo]]=0,"委外",record[[#This Row],[Memo]]))</f>
        <v>平板報工</v>
      </c>
      <c r="O7755" t="s">
        <v>643</v>
      </c>
      <c r="P7755" t="s">
        <v>141</v>
      </c>
      <c r="Q7755" t="s">
        <v>644</v>
      </c>
      <c r="R7755" t="str">
        <f>IFERROR(VLOOKUP(record[[#This Row],[PCUSTID]],廠商[],2,FALSE),"")</f>
        <v/>
      </c>
      <c r="S7755" t="str">
        <f>VLOOKUP(record[[#This Row],[employeeID]],員工[],2,FALSE)</f>
        <v>蔣梅</v>
      </c>
    </row>
    <row r="7756" spans="6:19" hidden="1" x14ac:dyDescent="0.25">
      <c r="F7756" t="s">
        <v>1001</v>
      </c>
      <c r="G7756" t="s">
        <v>419</v>
      </c>
      <c r="H7756" t="str">
        <f>VLOOKUP(record[[#This Row],[ProcessSN]],表格2_7[],2,FALSE)</f>
        <v>30-4118-018-5XX</v>
      </c>
      <c r="I7756" t="str">
        <f>VLOOKUP(record[[#This Row],[ProcessSN]],表格2_7[],3,FALSE)</f>
        <v>#07QC</v>
      </c>
      <c r="J7756" t="s">
        <v>589</v>
      </c>
      <c r="K7756" s="195">
        <v>45903.437962962962</v>
      </c>
      <c r="L7756">
        <v>163</v>
      </c>
      <c r="M7756">
        <v>0</v>
      </c>
      <c r="N7756" s="98" t="str">
        <f>IF(record[[#This Row],[Memo]]="Browser:chrome os:android","平板報工",IF(record[[#This Row],[Memo]]=0,"委外",record[[#This Row],[Memo]]))</f>
        <v>平板報工</v>
      </c>
      <c r="O7756" t="s">
        <v>643</v>
      </c>
      <c r="P7756" t="s">
        <v>141</v>
      </c>
      <c r="Q7756" t="s">
        <v>644</v>
      </c>
      <c r="R7756" t="str">
        <f>IFERROR(VLOOKUP(record[[#This Row],[PCUSTID]],廠商[],2,FALSE),"")</f>
        <v/>
      </c>
      <c r="S7756" t="str">
        <f>VLOOKUP(record[[#This Row],[employeeID]],員工[],2,FALSE)</f>
        <v>蔣梅</v>
      </c>
    </row>
    <row r="7757" spans="6:19" hidden="1" x14ac:dyDescent="0.25">
      <c r="F7757" t="s">
        <v>1033</v>
      </c>
      <c r="G7757" t="s">
        <v>396</v>
      </c>
      <c r="H7757" t="str">
        <f>VLOOKUP(record[[#This Row],[ProcessSN]],表格2_7[],2,FALSE)</f>
        <v>30-4118-018-550</v>
      </c>
      <c r="I7757" t="str">
        <f>VLOOKUP(record[[#This Row],[ProcessSN]],表格2_7[],3,FALSE)</f>
        <v>#08PICK</v>
      </c>
      <c r="J7757" t="s">
        <v>582</v>
      </c>
      <c r="K7757" s="195">
        <v>45903.430277777778</v>
      </c>
      <c r="L7757">
        <v>163</v>
      </c>
      <c r="M7757">
        <v>0</v>
      </c>
      <c r="N7757" s="98" t="str">
        <f>IF(record[[#This Row],[Memo]]="Browser:chrome os:android","平板報工",IF(record[[#This Row],[Memo]]=0,"委外",record[[#This Row],[Memo]]))</f>
        <v/>
      </c>
      <c r="O7757" t="s">
        <v>58</v>
      </c>
      <c r="P7757" t="s">
        <v>196</v>
      </c>
      <c r="Q7757" t="s">
        <v>58</v>
      </c>
      <c r="R7757" t="str">
        <f>IFERROR(VLOOKUP(record[[#This Row],[PCUSTID]],廠商[],2,FALSE),"")</f>
        <v/>
      </c>
      <c r="S7757" t="str">
        <f>VLOOKUP(record[[#This Row],[employeeID]],員工[],2,FALSE)</f>
        <v>張淑惠</v>
      </c>
    </row>
    <row r="7758" spans="6:19" hidden="1" x14ac:dyDescent="0.25">
      <c r="F7758" t="s">
        <v>989</v>
      </c>
      <c r="G7758" t="s">
        <v>468</v>
      </c>
      <c r="H7758" t="str">
        <f>VLOOKUP(record[[#This Row],[ProcessSN]],表格2_7[],2,FALSE)</f>
        <v>30-4118-018-XXX</v>
      </c>
      <c r="I7758" t="str">
        <f>VLOOKUP(record[[#This Row],[ProcessSN]],表格2_7[],3,FALSE)</f>
        <v>#02</v>
      </c>
      <c r="J7758" t="s">
        <v>590</v>
      </c>
      <c r="K7758" s="195">
        <v>45903.39565972222</v>
      </c>
      <c r="L7758">
        <v>1344</v>
      </c>
      <c r="M7758">
        <v>0</v>
      </c>
      <c r="N7758" s="98" t="str">
        <f>IF(record[[#This Row],[Memo]]="Browser:chrome os:android","平板報工",IF(record[[#This Row],[Memo]]=0,"委外",record[[#This Row],[Memo]]))</f>
        <v/>
      </c>
      <c r="O7758" t="s">
        <v>58</v>
      </c>
      <c r="P7758" t="s">
        <v>186</v>
      </c>
      <c r="Q7758" t="s">
        <v>216</v>
      </c>
      <c r="R7758" t="str">
        <f>IFERROR(VLOOKUP(record[[#This Row],[PCUSTID]],廠商[],2,FALSE),"")</f>
        <v>俊杰</v>
      </c>
      <c r="S7758" t="str">
        <f>VLOOKUP(record[[#This Row],[employeeID]],員工[],2,FALSE)</f>
        <v>許文姍</v>
      </c>
    </row>
    <row r="7759" spans="6:19" hidden="1" x14ac:dyDescent="0.25">
      <c r="F7759" t="s">
        <v>989</v>
      </c>
      <c r="G7759" t="s">
        <v>471</v>
      </c>
      <c r="H7759" t="str">
        <f>VLOOKUP(record[[#This Row],[ProcessSN]],表格2_7[],2,FALSE)</f>
        <v>30-4118-018-XXX</v>
      </c>
      <c r="I7759" t="str">
        <f>VLOOKUP(record[[#This Row],[ProcessSN]],表格2_7[],3,FALSE)</f>
        <v>#02STOCK</v>
      </c>
      <c r="J7759" t="s">
        <v>592</v>
      </c>
      <c r="K7759" s="195">
        <v>45903.390289351853</v>
      </c>
      <c r="L7759">
        <v>641</v>
      </c>
      <c r="M7759">
        <v>0</v>
      </c>
      <c r="N7759" s="98" t="str">
        <f>IF(record[[#This Row],[Memo]]="Browser:chrome os:android","平板報工",IF(record[[#This Row],[Memo]]=0,"委外",record[[#This Row],[Memo]]))</f>
        <v/>
      </c>
      <c r="O7759" t="s">
        <v>58</v>
      </c>
      <c r="P7759" t="s">
        <v>196</v>
      </c>
      <c r="Q7759" t="s">
        <v>58</v>
      </c>
      <c r="R7759" t="str">
        <f>IFERROR(VLOOKUP(record[[#This Row],[PCUSTID]],廠商[],2,FALSE),"")</f>
        <v/>
      </c>
      <c r="S7759" t="str">
        <f>VLOOKUP(record[[#This Row],[employeeID]],員工[],2,FALSE)</f>
        <v>張淑惠</v>
      </c>
    </row>
    <row r="7760" spans="6:19" hidden="1" x14ac:dyDescent="0.25">
      <c r="F7760" t="s">
        <v>989</v>
      </c>
      <c r="G7760" t="s">
        <v>466</v>
      </c>
      <c r="H7760" t="str">
        <f>VLOOKUP(record[[#This Row],[ProcessSN]],表格2_7[],2,FALSE)</f>
        <v>30-4118-018-XXX</v>
      </c>
      <c r="I7760" t="str">
        <f>VLOOKUP(record[[#This Row],[ProcessSN]],表格2_7[],3,FALSE)</f>
        <v>#01-2</v>
      </c>
      <c r="J7760" t="s">
        <v>588</v>
      </c>
      <c r="K7760" s="195">
        <v>45903.305138888885</v>
      </c>
      <c r="L7760">
        <v>543</v>
      </c>
      <c r="M7760">
        <v>0</v>
      </c>
      <c r="N7760" s="98" t="str">
        <f>IF(record[[#This Row],[Memo]]="Browser:chrome os:android","平板報工",IF(record[[#This Row],[Memo]]=0,"委外",record[[#This Row],[Memo]]))</f>
        <v/>
      </c>
      <c r="O7760" t="s">
        <v>58</v>
      </c>
      <c r="P7760" t="s">
        <v>135</v>
      </c>
      <c r="Q7760" t="s">
        <v>58</v>
      </c>
      <c r="R7760" t="str">
        <f>IFERROR(VLOOKUP(record[[#This Row],[PCUSTID]],廠商[],2,FALSE),"")</f>
        <v/>
      </c>
      <c r="S7760" t="str">
        <f>VLOOKUP(record[[#This Row],[employeeID]],員工[],2,FALSE)</f>
        <v>阮士文</v>
      </c>
    </row>
    <row r="7761" spans="6:19" hidden="1" x14ac:dyDescent="0.25">
      <c r="F7761" t="s">
        <v>1023</v>
      </c>
      <c r="G7761" t="s">
        <v>373</v>
      </c>
      <c r="H7761" t="str">
        <f>VLOOKUP(record[[#This Row],[ProcessSN]],表格2_7[],2,FALSE)</f>
        <v>30-4118-018-4XX</v>
      </c>
      <c r="I7761" t="str">
        <f>VLOOKUP(record[[#This Row],[ProcessSN]],表格2_7[],3,FALSE)</f>
        <v>#03</v>
      </c>
      <c r="J7761" t="s">
        <v>588</v>
      </c>
      <c r="K7761" s="195">
        <v>45903.304675925923</v>
      </c>
      <c r="L7761">
        <v>249</v>
      </c>
      <c r="M7761">
        <v>0</v>
      </c>
      <c r="N7761" s="98" t="str">
        <f>IF(record[[#This Row],[Memo]]="Browser:chrome os:android","平板報工",IF(record[[#This Row],[Memo]]=0,"委外",record[[#This Row],[Memo]]))</f>
        <v/>
      </c>
      <c r="O7761" t="s">
        <v>58</v>
      </c>
      <c r="P7761" t="s">
        <v>135</v>
      </c>
      <c r="Q7761" t="s">
        <v>58</v>
      </c>
      <c r="R7761" t="str">
        <f>IFERROR(VLOOKUP(record[[#This Row],[PCUSTID]],廠商[],2,FALSE),"")</f>
        <v/>
      </c>
      <c r="S7761" t="str">
        <f>VLOOKUP(record[[#This Row],[employeeID]],員工[],2,FALSE)</f>
        <v>阮士文</v>
      </c>
    </row>
    <row r="7762" spans="6:19" hidden="1" x14ac:dyDescent="0.25">
      <c r="F7762" t="s">
        <v>989</v>
      </c>
      <c r="G7762" t="s">
        <v>466</v>
      </c>
      <c r="H7762" t="str">
        <f>VLOOKUP(record[[#This Row],[ProcessSN]],表格2_7[],2,FALSE)</f>
        <v>30-4118-018-XXX</v>
      </c>
      <c r="I7762" t="str">
        <f>VLOOKUP(record[[#This Row],[ProcessSN]],表格2_7[],3,FALSE)</f>
        <v>#01-2</v>
      </c>
      <c r="J7762" t="s">
        <v>588</v>
      </c>
      <c r="K7762" s="195">
        <v>45902.937685185185</v>
      </c>
      <c r="L7762">
        <v>587</v>
      </c>
      <c r="M7762">
        <v>0</v>
      </c>
      <c r="N7762" s="98" t="str">
        <f>IF(record[[#This Row],[Memo]]="Browser:chrome os:android","平板報工",IF(record[[#This Row],[Memo]]=0,"委外",record[[#This Row],[Memo]]))</f>
        <v/>
      </c>
      <c r="O7762" t="s">
        <v>58</v>
      </c>
      <c r="P7762" t="s">
        <v>806</v>
      </c>
      <c r="Q7762" t="s">
        <v>58</v>
      </c>
      <c r="R7762" t="str">
        <f>IFERROR(VLOOKUP(record[[#This Row],[PCUSTID]],廠商[],2,FALSE),"")</f>
        <v/>
      </c>
      <c r="S7762" t="str">
        <f>VLOOKUP(record[[#This Row],[employeeID]],員工[],2,FALSE)</f>
        <v>方思緯</v>
      </c>
    </row>
    <row r="7763" spans="6:19" hidden="1" x14ac:dyDescent="0.25">
      <c r="F7763" t="s">
        <v>1015</v>
      </c>
      <c r="G7763" t="s">
        <v>417</v>
      </c>
      <c r="H7763" t="str">
        <f>VLOOKUP(record[[#This Row],[ProcessSN]],表格2_7[],2,FALSE)</f>
        <v>30-4118-018-5XX</v>
      </c>
      <c r="I7763" t="str">
        <f>VLOOKUP(record[[#This Row],[ProcessSN]],表格2_7[],3,FALSE)</f>
        <v>#06</v>
      </c>
      <c r="J7763" t="s">
        <v>593</v>
      </c>
      <c r="K7763" s="195">
        <v>45902.837696759256</v>
      </c>
      <c r="L7763">
        <v>13</v>
      </c>
      <c r="M7763">
        <v>0</v>
      </c>
      <c r="N7763" s="98" t="str">
        <f>IF(record[[#This Row],[Memo]]="Browser:chrome os:android","平板報工",IF(record[[#This Row],[Memo]]=0,"委外",record[[#This Row],[Memo]]))</f>
        <v/>
      </c>
      <c r="O7763" t="s">
        <v>58</v>
      </c>
      <c r="P7763" t="s">
        <v>841</v>
      </c>
      <c r="Q7763" t="s">
        <v>58</v>
      </c>
      <c r="R7763" t="str">
        <f>IFERROR(VLOOKUP(record[[#This Row],[PCUSTID]],廠商[],2,FALSE),"")</f>
        <v/>
      </c>
      <c r="S7763" t="str">
        <f>VLOOKUP(record[[#This Row],[employeeID]],員工[],2,FALSE)</f>
        <v>范氏香</v>
      </c>
    </row>
    <row r="7764" spans="6:19" hidden="1" x14ac:dyDescent="0.25">
      <c r="F7764" t="s">
        <v>989</v>
      </c>
      <c r="G7764" t="s">
        <v>467</v>
      </c>
      <c r="H7764" t="str">
        <f>VLOOKUP(record[[#This Row],[ProcessSN]],表格2_7[],2,FALSE)</f>
        <v>30-4118-018-XXX</v>
      </c>
      <c r="I7764" t="str">
        <f>VLOOKUP(record[[#This Row],[ProcessSN]],表格2_7[],3,FALSE)</f>
        <v>#01QC</v>
      </c>
      <c r="J7764" t="s">
        <v>589</v>
      </c>
      <c r="K7764" s="195">
        <v>45902.800694444442</v>
      </c>
      <c r="L7764">
        <v>1344</v>
      </c>
      <c r="M7764">
        <v>0</v>
      </c>
      <c r="N7764" s="98" t="str">
        <f>IF(record[[#This Row],[Memo]]="Browser:chrome os:android","平板報工",IF(record[[#This Row],[Memo]]=0,"委外",record[[#This Row],[Memo]]))</f>
        <v>平板報工</v>
      </c>
      <c r="O7764" t="s">
        <v>643</v>
      </c>
      <c r="P7764" t="s">
        <v>182</v>
      </c>
      <c r="Q7764" t="s">
        <v>644</v>
      </c>
      <c r="R7764" t="str">
        <f>IFERROR(VLOOKUP(record[[#This Row],[PCUSTID]],廠商[],2,FALSE),"")</f>
        <v/>
      </c>
      <c r="S7764" t="str">
        <f>VLOOKUP(record[[#This Row],[employeeID]],員工[],2,FALSE)</f>
        <v>梅氏和</v>
      </c>
    </row>
    <row r="7765" spans="6:19" hidden="1" x14ac:dyDescent="0.25">
      <c r="F7765" t="s">
        <v>984</v>
      </c>
      <c r="G7765" t="s">
        <v>424</v>
      </c>
      <c r="H7765" t="str">
        <f>VLOOKUP(record[[#This Row],[ProcessSN]],表格2_7[],2,FALSE)</f>
        <v>30-4118-018-600</v>
      </c>
      <c r="I7765" t="str">
        <f>VLOOKUP(record[[#This Row],[ProcessSN]],表格2_7[],3,FALSE)</f>
        <v>#08IQC</v>
      </c>
      <c r="J7765" t="s">
        <v>583</v>
      </c>
      <c r="K7765" s="195">
        <v>45902.753750000003</v>
      </c>
      <c r="L7765">
        <v>111</v>
      </c>
      <c r="M7765">
        <v>0</v>
      </c>
      <c r="N7765" s="98" t="str">
        <f>IF(record[[#This Row],[Memo]]="Browser:chrome os:android","平板報工",IF(record[[#This Row],[Memo]]=0,"委外",record[[#This Row],[Memo]]))</f>
        <v/>
      </c>
      <c r="O7765" t="s">
        <v>58</v>
      </c>
      <c r="P7765" t="s">
        <v>109</v>
      </c>
      <c r="Q7765" t="s">
        <v>58</v>
      </c>
      <c r="R7765" t="str">
        <f>IFERROR(VLOOKUP(record[[#This Row],[PCUSTID]],廠商[],2,FALSE),"")</f>
        <v/>
      </c>
      <c r="S7765" t="str">
        <f>VLOOKUP(record[[#This Row],[employeeID]],員工[],2,FALSE)</f>
        <v>裴氏璧鳳</v>
      </c>
    </row>
    <row r="7766" spans="6:19" hidden="1" x14ac:dyDescent="0.25">
      <c r="F7766" t="s">
        <v>989</v>
      </c>
      <c r="G7766" t="s">
        <v>470</v>
      </c>
      <c r="H7766" t="str">
        <f>VLOOKUP(record[[#This Row],[ProcessSN]],表格2_7[],2,FALSE)</f>
        <v>30-4118-018-XXX</v>
      </c>
      <c r="I7766" t="str">
        <f>VLOOKUP(record[[#This Row],[ProcessSN]],表格2_7[],3,FALSE)</f>
        <v>#02IQC</v>
      </c>
      <c r="J7766" t="s">
        <v>583</v>
      </c>
      <c r="K7766" s="195">
        <v>45902.75304398148</v>
      </c>
      <c r="L7766">
        <v>641</v>
      </c>
      <c r="M7766">
        <v>0</v>
      </c>
      <c r="N7766" s="98" t="str">
        <f>IF(record[[#This Row],[Memo]]="Browser:chrome os:android","平板報工",IF(record[[#This Row],[Memo]]=0,"委外",record[[#This Row],[Memo]]))</f>
        <v/>
      </c>
      <c r="O7766" t="s">
        <v>58</v>
      </c>
      <c r="P7766" t="s">
        <v>109</v>
      </c>
      <c r="Q7766" t="s">
        <v>58</v>
      </c>
      <c r="R7766" t="str">
        <f>IFERROR(VLOOKUP(record[[#This Row],[PCUSTID]],廠商[],2,FALSE),"")</f>
        <v/>
      </c>
      <c r="S7766" t="str">
        <f>VLOOKUP(record[[#This Row],[employeeID]],員工[],2,FALSE)</f>
        <v>裴氏璧鳳</v>
      </c>
    </row>
    <row r="7767" spans="6:19" hidden="1" x14ac:dyDescent="0.25">
      <c r="F7767" t="s">
        <v>1015</v>
      </c>
      <c r="G7767" t="s">
        <v>417</v>
      </c>
      <c r="H7767" t="str">
        <f>VLOOKUP(record[[#This Row],[ProcessSN]],表格2_7[],2,FALSE)</f>
        <v>30-4118-018-5XX</v>
      </c>
      <c r="I7767" t="str">
        <f>VLOOKUP(record[[#This Row],[ProcessSN]],表格2_7[],3,FALSE)</f>
        <v>#06</v>
      </c>
      <c r="J7767" t="s">
        <v>593</v>
      </c>
      <c r="K7767" s="195">
        <v>45902.655763888892</v>
      </c>
      <c r="L7767">
        <v>121</v>
      </c>
      <c r="M7767">
        <v>0</v>
      </c>
      <c r="N7767" s="98" t="str">
        <f>IF(record[[#This Row],[Memo]]="Browser:chrome os:android","平板報工",IF(record[[#This Row],[Memo]]=0,"委外",record[[#This Row],[Memo]]))</f>
        <v/>
      </c>
      <c r="O7767" t="s">
        <v>58</v>
      </c>
      <c r="P7767" t="s">
        <v>119</v>
      </c>
      <c r="Q7767" t="s">
        <v>58</v>
      </c>
      <c r="R7767" t="str">
        <f>IFERROR(VLOOKUP(record[[#This Row],[PCUSTID]],廠商[],2,FALSE),"")</f>
        <v/>
      </c>
      <c r="S7767" t="str">
        <f>VLOOKUP(record[[#This Row],[employeeID]],員工[],2,FALSE)</f>
        <v>廖俊彥</v>
      </c>
    </row>
    <row r="7768" spans="6:19" hidden="1" x14ac:dyDescent="0.25">
      <c r="F7768" t="s">
        <v>1001</v>
      </c>
      <c r="G7768" t="s">
        <v>418</v>
      </c>
      <c r="H7768" t="str">
        <f>VLOOKUP(record[[#This Row],[ProcessSN]],表格2_7[],2,FALSE)</f>
        <v>30-4118-018-5XX</v>
      </c>
      <c r="I7768" t="str">
        <f>VLOOKUP(record[[#This Row],[ProcessSN]],表格2_7[],3,FALSE)</f>
        <v>#07</v>
      </c>
      <c r="J7768" t="s">
        <v>588</v>
      </c>
      <c r="K7768" s="195">
        <v>45902.649548611109</v>
      </c>
      <c r="L7768">
        <v>54</v>
      </c>
      <c r="M7768">
        <v>0</v>
      </c>
      <c r="N7768" s="98" t="str">
        <f>IF(record[[#This Row],[Memo]]="Browser:chrome os:android","平板報工",IF(record[[#This Row],[Memo]]=0,"委外",record[[#This Row],[Memo]]))</f>
        <v/>
      </c>
      <c r="O7768" t="s">
        <v>58</v>
      </c>
      <c r="P7768" t="s">
        <v>119</v>
      </c>
      <c r="Q7768" t="s">
        <v>58</v>
      </c>
      <c r="R7768" t="str">
        <f>IFERROR(VLOOKUP(record[[#This Row],[PCUSTID]],廠商[],2,FALSE),"")</f>
        <v/>
      </c>
      <c r="S7768" t="str">
        <f>VLOOKUP(record[[#This Row],[employeeID]],員工[],2,FALSE)</f>
        <v>廖俊彥</v>
      </c>
    </row>
    <row r="7769" spans="6:19" hidden="1" x14ac:dyDescent="0.25">
      <c r="F7769" t="s">
        <v>989</v>
      </c>
      <c r="G7769" t="s">
        <v>466</v>
      </c>
      <c r="H7769" t="str">
        <f>VLOOKUP(record[[#This Row],[ProcessSN]],表格2_7[],2,FALSE)</f>
        <v>30-4118-018-XXX</v>
      </c>
      <c r="I7769" t="str">
        <f>VLOOKUP(record[[#This Row],[ProcessSN]],表格2_7[],3,FALSE)</f>
        <v>#01-2</v>
      </c>
      <c r="J7769" t="s">
        <v>588</v>
      </c>
      <c r="K7769" s="195">
        <v>45902.649305555555</v>
      </c>
      <c r="L7769">
        <v>543</v>
      </c>
      <c r="M7769">
        <v>0</v>
      </c>
      <c r="N7769" s="98" t="str">
        <f>IF(record[[#This Row],[Memo]]="Browser:chrome os:android","平板報工",IF(record[[#This Row],[Memo]]=0,"委外",record[[#This Row],[Memo]]))</f>
        <v/>
      </c>
      <c r="O7769" t="s">
        <v>58</v>
      </c>
      <c r="P7769" t="s">
        <v>119</v>
      </c>
      <c r="Q7769" t="s">
        <v>58</v>
      </c>
      <c r="R7769" t="str">
        <f>IFERROR(VLOOKUP(record[[#This Row],[PCUSTID]],廠商[],2,FALSE),"")</f>
        <v/>
      </c>
      <c r="S7769" t="str">
        <f>VLOOKUP(record[[#This Row],[employeeID]],員工[],2,FALSE)</f>
        <v>廖俊彥</v>
      </c>
    </row>
    <row r="7770" spans="6:19" hidden="1" x14ac:dyDescent="0.25">
      <c r="F7770" t="s">
        <v>1023</v>
      </c>
      <c r="G7770" t="s">
        <v>372</v>
      </c>
      <c r="H7770" t="str">
        <f>VLOOKUP(record[[#This Row],[ProcessSN]],表格2_7[],2,FALSE)</f>
        <v>30-4118-018-4XX</v>
      </c>
      <c r="I7770" t="str">
        <f>VLOOKUP(record[[#This Row],[ProcessSN]],表格2_7[],3,FALSE)</f>
        <v>#03GIVE</v>
      </c>
      <c r="J7770" t="s">
        <v>587</v>
      </c>
      <c r="K7770" s="195">
        <v>45902.625416666669</v>
      </c>
      <c r="L7770">
        <v>1000</v>
      </c>
      <c r="M7770">
        <v>0</v>
      </c>
      <c r="N7770" s="98" t="str">
        <f>IF(record[[#This Row],[Memo]]="Browser:chrome os:android","平板報工",IF(record[[#This Row],[Memo]]=0,"委外",record[[#This Row],[Memo]]))</f>
        <v/>
      </c>
      <c r="O7770" t="s">
        <v>58</v>
      </c>
      <c r="P7770" t="s">
        <v>208</v>
      </c>
      <c r="Q7770" t="s">
        <v>58</v>
      </c>
      <c r="R7770" t="str">
        <f>IFERROR(VLOOKUP(record[[#This Row],[PCUSTID]],廠商[],2,FALSE),"")</f>
        <v/>
      </c>
      <c r="S7770" t="str">
        <f>VLOOKUP(record[[#This Row],[employeeID]],員工[],2,FALSE)</f>
        <v>陳治宏</v>
      </c>
    </row>
    <row r="7771" spans="6:19" hidden="1" x14ac:dyDescent="0.25">
      <c r="F7771" t="s">
        <v>1024</v>
      </c>
      <c r="G7771" t="s">
        <v>413</v>
      </c>
      <c r="H7771" t="str">
        <f>VLOOKUP(record[[#This Row],[ProcessSN]],表格2_7[],2,FALSE)</f>
        <v>30-4118-018-5XX</v>
      </c>
      <c r="I7771" t="str">
        <f>VLOOKUP(record[[#This Row],[ProcessSN]],表格2_7[],3,FALSE)</f>
        <v>#03GIVE</v>
      </c>
      <c r="J7771" t="s">
        <v>587</v>
      </c>
      <c r="K7771" s="195">
        <v>45902.625277777777</v>
      </c>
      <c r="L7771">
        <v>2000</v>
      </c>
      <c r="M7771">
        <v>0</v>
      </c>
      <c r="N7771" s="98" t="str">
        <f>IF(record[[#This Row],[Memo]]="Browser:chrome os:android","平板報工",IF(record[[#This Row],[Memo]]=0,"委外",record[[#This Row],[Memo]]))</f>
        <v/>
      </c>
      <c r="O7771" t="s">
        <v>58</v>
      </c>
      <c r="P7771" t="s">
        <v>208</v>
      </c>
      <c r="Q7771" t="s">
        <v>58</v>
      </c>
      <c r="R7771" t="str">
        <f>IFERROR(VLOOKUP(record[[#This Row],[PCUSTID]],廠商[],2,FALSE),"")</f>
        <v/>
      </c>
      <c r="S7771" t="str">
        <f>VLOOKUP(record[[#This Row],[employeeID]],員工[],2,FALSE)</f>
        <v>陳治宏</v>
      </c>
    </row>
    <row r="7772" spans="6:19" hidden="1" x14ac:dyDescent="0.25">
      <c r="F7772" t="s">
        <v>1025</v>
      </c>
      <c r="G7772" t="s">
        <v>446</v>
      </c>
      <c r="H7772" t="str">
        <f>VLOOKUP(record[[#This Row],[ProcessSN]],表格2_7[],2,FALSE)</f>
        <v>30-4118-018-6XX</v>
      </c>
      <c r="I7772" t="str">
        <f>VLOOKUP(record[[#This Row],[ProcessSN]],表格2_7[],3,FALSE)</f>
        <v>#03GIVE</v>
      </c>
      <c r="J7772" t="s">
        <v>587</v>
      </c>
      <c r="K7772" s="195">
        <v>45902.625138888892</v>
      </c>
      <c r="L7772">
        <v>1000</v>
      </c>
      <c r="M7772">
        <v>0</v>
      </c>
      <c r="N7772" s="98" t="str">
        <f>IF(record[[#This Row],[Memo]]="Browser:chrome os:android","平板報工",IF(record[[#This Row],[Memo]]=0,"委外",record[[#This Row],[Memo]]))</f>
        <v/>
      </c>
      <c r="O7772" t="s">
        <v>58</v>
      </c>
      <c r="P7772" t="s">
        <v>208</v>
      </c>
      <c r="Q7772" t="s">
        <v>58</v>
      </c>
      <c r="R7772" t="str">
        <f>IFERROR(VLOOKUP(record[[#This Row],[PCUSTID]],廠商[],2,FALSE),"")</f>
        <v/>
      </c>
      <c r="S7772" t="str">
        <f>VLOOKUP(record[[#This Row],[employeeID]],員工[],2,FALSE)</f>
        <v>陳治宏</v>
      </c>
    </row>
    <row r="7773" spans="6:19" hidden="1" x14ac:dyDescent="0.25">
      <c r="F7773" t="s">
        <v>984</v>
      </c>
      <c r="G7773" t="s">
        <v>423</v>
      </c>
      <c r="H7773" t="str">
        <f>VLOOKUP(record[[#This Row],[ProcessSN]],表格2_7[],2,FALSE)</f>
        <v>30-4118-018-600</v>
      </c>
      <c r="I7773" t="str">
        <f>VLOOKUP(record[[#This Row],[ProcessSN]],表格2_7[],3,FALSE)</f>
        <v>#08RCV</v>
      </c>
      <c r="J7773" t="s">
        <v>591</v>
      </c>
      <c r="K7773" s="195">
        <v>45902.616087962961</v>
      </c>
      <c r="L7773">
        <v>111</v>
      </c>
      <c r="M7773">
        <v>0</v>
      </c>
      <c r="N7773" s="98" t="str">
        <f>IF(record[[#This Row],[Memo]]="Browser:chrome os:android","平板報工",IF(record[[#This Row],[Memo]]=0,"委外",record[[#This Row],[Memo]]))</f>
        <v/>
      </c>
      <c r="O7773" t="s">
        <v>58</v>
      </c>
      <c r="P7773" t="s">
        <v>186</v>
      </c>
      <c r="Q7773" t="s">
        <v>58</v>
      </c>
      <c r="R7773" t="str">
        <f>IFERROR(VLOOKUP(record[[#This Row],[PCUSTID]],廠商[],2,FALSE),"")</f>
        <v/>
      </c>
      <c r="S7773" t="str">
        <f>VLOOKUP(record[[#This Row],[employeeID]],員工[],2,FALSE)</f>
        <v>許文姍</v>
      </c>
    </row>
    <row r="7774" spans="6:19" hidden="1" x14ac:dyDescent="0.25">
      <c r="F7774" t="s">
        <v>989</v>
      </c>
      <c r="G7774" t="s">
        <v>469</v>
      </c>
      <c r="H7774" t="str">
        <f>VLOOKUP(record[[#This Row],[ProcessSN]],表格2_7[],2,FALSE)</f>
        <v>30-4118-018-XXX</v>
      </c>
      <c r="I7774" t="str">
        <f>VLOOKUP(record[[#This Row],[ProcessSN]],表格2_7[],3,FALSE)</f>
        <v>#02RCV</v>
      </c>
      <c r="J7774" t="s">
        <v>591</v>
      </c>
      <c r="K7774" s="195">
        <v>45902.590416666666</v>
      </c>
      <c r="L7774">
        <v>641</v>
      </c>
      <c r="M7774">
        <v>0</v>
      </c>
      <c r="N7774" s="98" t="str">
        <f>IF(record[[#This Row],[Memo]]="Browser:chrome os:android","平板報工",IF(record[[#This Row],[Memo]]=0,"委外",record[[#This Row],[Memo]]))</f>
        <v/>
      </c>
      <c r="O7774" t="s">
        <v>58</v>
      </c>
      <c r="P7774" t="s">
        <v>186</v>
      </c>
      <c r="Q7774" t="s">
        <v>58</v>
      </c>
      <c r="R7774" t="str">
        <f>IFERROR(VLOOKUP(record[[#This Row],[PCUSTID]],廠商[],2,FALSE),"")</f>
        <v/>
      </c>
      <c r="S7774" t="str">
        <f>VLOOKUP(record[[#This Row],[employeeID]],員工[],2,FALSE)</f>
        <v>許文姍</v>
      </c>
    </row>
    <row r="7775" spans="6:19" hidden="1" x14ac:dyDescent="0.25">
      <c r="F7775" t="s">
        <v>1025</v>
      </c>
      <c r="G7775" t="s">
        <v>445</v>
      </c>
      <c r="H7775" t="str">
        <f>VLOOKUP(record[[#This Row],[ProcessSN]],表格2_7[],2,FALSE)</f>
        <v>30-4118-018-6XX</v>
      </c>
      <c r="I7775" t="str">
        <f>VLOOKUP(record[[#This Row],[ProcessSN]],表格2_7[],3,FALSE)</f>
        <v>#03PICK</v>
      </c>
      <c r="J7775" t="s">
        <v>582</v>
      </c>
      <c r="K7775" s="195">
        <v>45902.572997685187</v>
      </c>
      <c r="L7775">
        <v>1000</v>
      </c>
      <c r="M7775">
        <v>0</v>
      </c>
      <c r="N7775" s="98" t="str">
        <f>IF(record[[#This Row],[Memo]]="Browser:chrome os:android","平板報工",IF(record[[#This Row],[Memo]]=0,"委外",record[[#This Row],[Memo]]))</f>
        <v/>
      </c>
      <c r="O7775" t="s">
        <v>58</v>
      </c>
      <c r="P7775" t="s">
        <v>196</v>
      </c>
      <c r="Q7775" t="s">
        <v>58</v>
      </c>
      <c r="R7775" t="str">
        <f>IFERROR(VLOOKUP(record[[#This Row],[PCUSTID]],廠商[],2,FALSE),"")</f>
        <v/>
      </c>
      <c r="S7775" t="str">
        <f>VLOOKUP(record[[#This Row],[employeeID]],員工[],2,FALSE)</f>
        <v>張淑惠</v>
      </c>
    </row>
    <row r="7776" spans="6:19" hidden="1" x14ac:dyDescent="0.25">
      <c r="F7776" t="s">
        <v>1024</v>
      </c>
      <c r="G7776" t="s">
        <v>412</v>
      </c>
      <c r="H7776" t="str">
        <f>VLOOKUP(record[[#This Row],[ProcessSN]],表格2_7[],2,FALSE)</f>
        <v>30-4118-018-5XX</v>
      </c>
      <c r="I7776" t="str">
        <f>VLOOKUP(record[[#This Row],[ProcessSN]],表格2_7[],3,FALSE)</f>
        <v>#03PICK</v>
      </c>
      <c r="J7776" t="s">
        <v>582</v>
      </c>
      <c r="K7776" s="195">
        <v>45902.572650462964</v>
      </c>
      <c r="L7776">
        <v>2000</v>
      </c>
      <c r="M7776">
        <v>0</v>
      </c>
      <c r="N7776" s="98" t="str">
        <f>IF(record[[#This Row],[Memo]]="Browser:chrome os:android","平板報工",IF(record[[#This Row],[Memo]]=0,"委外",record[[#This Row],[Memo]]))</f>
        <v/>
      </c>
      <c r="O7776" t="s">
        <v>58</v>
      </c>
      <c r="P7776" t="s">
        <v>196</v>
      </c>
      <c r="Q7776" t="s">
        <v>58</v>
      </c>
      <c r="R7776" t="str">
        <f>IFERROR(VLOOKUP(record[[#This Row],[PCUSTID]],廠商[],2,FALSE),"")</f>
        <v/>
      </c>
      <c r="S7776" t="str">
        <f>VLOOKUP(record[[#This Row],[employeeID]],員工[],2,FALSE)</f>
        <v>張淑惠</v>
      </c>
    </row>
    <row r="7777" spans="6:19" hidden="1" x14ac:dyDescent="0.25">
      <c r="F7777" t="s">
        <v>1023</v>
      </c>
      <c r="G7777" t="s">
        <v>371</v>
      </c>
      <c r="H7777" t="str">
        <f>VLOOKUP(record[[#This Row],[ProcessSN]],表格2_7[],2,FALSE)</f>
        <v>30-4118-018-4XX</v>
      </c>
      <c r="I7777" t="str">
        <f>VLOOKUP(record[[#This Row],[ProcessSN]],表格2_7[],3,FALSE)</f>
        <v>#03PICK</v>
      </c>
      <c r="J7777" t="s">
        <v>582</v>
      </c>
      <c r="K7777" s="195">
        <v>45902.572546296295</v>
      </c>
      <c r="L7777">
        <v>1000</v>
      </c>
      <c r="M7777">
        <v>0</v>
      </c>
      <c r="N7777" s="98" t="str">
        <f>IF(record[[#This Row],[Memo]]="Browser:chrome os:android","平板報工",IF(record[[#This Row],[Memo]]=0,"委外",record[[#This Row],[Memo]]))</f>
        <v/>
      </c>
      <c r="O7777" t="s">
        <v>58</v>
      </c>
      <c r="P7777" t="s">
        <v>196</v>
      </c>
      <c r="Q7777" t="s">
        <v>58</v>
      </c>
      <c r="R7777" t="str">
        <f>IFERROR(VLOOKUP(record[[#This Row],[PCUSTID]],廠商[],2,FALSE),"")</f>
        <v/>
      </c>
      <c r="S7777" t="str">
        <f>VLOOKUP(record[[#This Row],[employeeID]],員工[],2,FALSE)</f>
        <v>張淑惠</v>
      </c>
    </row>
    <row r="7778" spans="6:19" hidden="1" x14ac:dyDescent="0.25">
      <c r="F7778" t="s">
        <v>989</v>
      </c>
      <c r="G7778" t="s">
        <v>468</v>
      </c>
      <c r="H7778" t="str">
        <f>VLOOKUP(record[[#This Row],[ProcessSN]],表格2_7[],2,FALSE)</f>
        <v>30-4118-018-XXX</v>
      </c>
      <c r="I7778" t="str">
        <f>VLOOKUP(record[[#This Row],[ProcessSN]],表格2_7[],3,FALSE)</f>
        <v>#02</v>
      </c>
      <c r="J7778" t="s">
        <v>590</v>
      </c>
      <c r="K7778" s="195">
        <v>45902.548761574071</v>
      </c>
      <c r="L7778">
        <v>1342</v>
      </c>
      <c r="M7778">
        <v>0</v>
      </c>
      <c r="N7778" s="98" t="str">
        <f>IF(record[[#This Row],[Memo]]="Browser:chrome os:android","平板報工",IF(record[[#This Row],[Memo]]=0,"委外",record[[#This Row],[Memo]]))</f>
        <v/>
      </c>
      <c r="O7778" t="s">
        <v>58</v>
      </c>
      <c r="P7778" t="s">
        <v>186</v>
      </c>
      <c r="Q7778" t="s">
        <v>216</v>
      </c>
      <c r="R7778" t="str">
        <f>IFERROR(VLOOKUP(record[[#This Row],[PCUSTID]],廠商[],2,FALSE),"")</f>
        <v>俊杰</v>
      </c>
      <c r="S7778" t="str">
        <f>VLOOKUP(record[[#This Row],[employeeID]],員工[],2,FALSE)</f>
        <v>許文姍</v>
      </c>
    </row>
    <row r="7779" spans="6:19" hidden="1" x14ac:dyDescent="0.25">
      <c r="F7779" t="s">
        <v>1022</v>
      </c>
      <c r="G7779" t="s">
        <v>397</v>
      </c>
      <c r="H7779" t="str">
        <f>VLOOKUP(record[[#This Row],[ProcessSN]],表格2_7[],2,FALSE)</f>
        <v>30-4118-018-550</v>
      </c>
      <c r="I7779" t="str">
        <f>VLOOKUP(record[[#This Row],[ProcessSN]],表格2_7[],3,FALSE)</f>
        <v>#08</v>
      </c>
      <c r="J7779" t="s">
        <v>597</v>
      </c>
      <c r="K7779" s="195">
        <v>45902.498402777775</v>
      </c>
      <c r="L7779">
        <v>464</v>
      </c>
      <c r="M7779">
        <v>0</v>
      </c>
      <c r="N7779" s="98" t="str">
        <f>IF(record[[#This Row],[Memo]]="Browser:chrome os:android","平板報工",IF(record[[#This Row],[Memo]]=0,"委外",record[[#This Row],[Memo]]))</f>
        <v/>
      </c>
      <c r="O7779" t="s">
        <v>58</v>
      </c>
      <c r="P7779" t="s">
        <v>186</v>
      </c>
      <c r="Q7779" t="s">
        <v>287</v>
      </c>
      <c r="R7779" t="str">
        <f>IFERROR(VLOOKUP(record[[#This Row],[PCUSTID]],廠商[],2,FALSE),"")</f>
        <v>泉盛</v>
      </c>
      <c r="S7779" t="str">
        <f>VLOOKUP(record[[#This Row],[employeeID]],員工[],2,FALSE)</f>
        <v>許文姍</v>
      </c>
    </row>
    <row r="7780" spans="6:19" hidden="1" x14ac:dyDescent="0.25">
      <c r="F7780" t="s">
        <v>999</v>
      </c>
      <c r="G7780" t="s">
        <v>403</v>
      </c>
      <c r="H7780" t="str">
        <f>VLOOKUP(record[[#This Row],[ProcessSN]],表格2_7[],2,FALSE)</f>
        <v>30-4118-018-550</v>
      </c>
      <c r="I7780" t="str">
        <f>VLOOKUP(record[[#This Row],[ProcessSN]],表格2_7[],3,FALSE)</f>
        <v>#100SHIP</v>
      </c>
      <c r="J7780" t="s">
        <v>600</v>
      </c>
      <c r="K7780" s="195">
        <v>45902.48133101852</v>
      </c>
      <c r="L7780">
        <v>79</v>
      </c>
      <c r="M7780">
        <v>0</v>
      </c>
      <c r="N7780" s="98" t="str">
        <f>IF(record[[#This Row],[Memo]]="Browser:chrome os:android","平板報工",IF(record[[#This Row],[Memo]]=0,"委外",record[[#This Row],[Memo]]))</f>
        <v/>
      </c>
      <c r="O7780" t="s">
        <v>58</v>
      </c>
      <c r="P7780" t="s">
        <v>886</v>
      </c>
      <c r="Q7780" t="s">
        <v>58</v>
      </c>
      <c r="R7780" t="str">
        <f>IFERROR(VLOOKUP(record[[#This Row],[PCUSTID]],廠商[],2,FALSE),"")</f>
        <v/>
      </c>
      <c r="S7780" t="str">
        <f>VLOOKUP(record[[#This Row],[employeeID]],員工[],2,FALSE)</f>
        <v>謝蓁薰</v>
      </c>
    </row>
    <row r="7781" spans="6:19" hidden="1" x14ac:dyDescent="0.25">
      <c r="F7781" t="s">
        <v>999</v>
      </c>
      <c r="G7781" t="s">
        <v>402</v>
      </c>
      <c r="H7781" t="str">
        <f>VLOOKUP(record[[#This Row],[ProcessSN]],表格2_7[],2,FALSE)</f>
        <v>30-4118-018-550</v>
      </c>
      <c r="I7781" t="str">
        <f>VLOOKUP(record[[#This Row],[ProcessSN]],表格2_7[],3,FALSE)</f>
        <v>#100STOCK</v>
      </c>
      <c r="J7781" t="s">
        <v>592</v>
      </c>
      <c r="K7781" s="195">
        <v>45902.481192129628</v>
      </c>
      <c r="L7781">
        <v>79</v>
      </c>
      <c r="M7781">
        <v>0</v>
      </c>
      <c r="N7781" s="98" t="str">
        <f>IF(record[[#This Row],[Memo]]="Browser:chrome os:android","平板報工",IF(record[[#This Row],[Memo]]=0,"委外",record[[#This Row],[Memo]]))</f>
        <v/>
      </c>
      <c r="O7781" t="s">
        <v>58</v>
      </c>
      <c r="P7781" t="s">
        <v>886</v>
      </c>
      <c r="Q7781" t="s">
        <v>58</v>
      </c>
      <c r="R7781" t="str">
        <f>IFERROR(VLOOKUP(record[[#This Row],[PCUSTID]],廠商[],2,FALSE),"")</f>
        <v/>
      </c>
      <c r="S7781" t="str">
        <f>VLOOKUP(record[[#This Row],[employeeID]],員工[],2,FALSE)</f>
        <v>謝蓁薰</v>
      </c>
    </row>
    <row r="7782" spans="6:19" hidden="1" x14ac:dyDescent="0.25">
      <c r="F7782" t="s">
        <v>828</v>
      </c>
      <c r="G7782" t="s">
        <v>403</v>
      </c>
      <c r="H7782" t="str">
        <f>VLOOKUP(record[[#This Row],[ProcessSN]],表格2_7[],2,FALSE)</f>
        <v>30-4118-018-550</v>
      </c>
      <c r="I7782" t="str">
        <f>VLOOKUP(record[[#This Row],[ProcessSN]],表格2_7[],3,FALSE)</f>
        <v>#100SHIP</v>
      </c>
      <c r="J7782" t="s">
        <v>600</v>
      </c>
      <c r="K7782" s="195">
        <v>45902.48101851852</v>
      </c>
      <c r="L7782">
        <v>2</v>
      </c>
      <c r="M7782">
        <v>0</v>
      </c>
      <c r="N7782" s="98" t="str">
        <f>IF(record[[#This Row],[Memo]]="Browser:chrome os:android","平板報工",IF(record[[#This Row],[Memo]]=0,"委外",record[[#This Row],[Memo]]))</f>
        <v/>
      </c>
      <c r="O7782" t="s">
        <v>58</v>
      </c>
      <c r="P7782" t="s">
        <v>886</v>
      </c>
      <c r="Q7782" t="s">
        <v>58</v>
      </c>
      <c r="R7782" t="str">
        <f>IFERROR(VLOOKUP(record[[#This Row],[PCUSTID]],廠商[],2,FALSE),"")</f>
        <v/>
      </c>
      <c r="S7782" t="str">
        <f>VLOOKUP(record[[#This Row],[employeeID]],員工[],2,FALSE)</f>
        <v>謝蓁薰</v>
      </c>
    </row>
    <row r="7783" spans="6:19" hidden="1" x14ac:dyDescent="0.25">
      <c r="F7783" t="s">
        <v>828</v>
      </c>
      <c r="G7783" t="s">
        <v>402</v>
      </c>
      <c r="H7783" t="str">
        <f>VLOOKUP(record[[#This Row],[ProcessSN]],表格2_7[],2,FALSE)</f>
        <v>30-4118-018-550</v>
      </c>
      <c r="I7783" t="str">
        <f>VLOOKUP(record[[#This Row],[ProcessSN]],表格2_7[],3,FALSE)</f>
        <v>#100STOCK</v>
      </c>
      <c r="J7783" t="s">
        <v>592</v>
      </c>
      <c r="K7783" s="195">
        <v>45902.480902777781</v>
      </c>
      <c r="L7783">
        <v>2</v>
      </c>
      <c r="M7783">
        <v>0</v>
      </c>
      <c r="N7783" s="98" t="str">
        <f>IF(record[[#This Row],[Memo]]="Browser:chrome os:android","平板報工",IF(record[[#This Row],[Memo]]=0,"委外",record[[#This Row],[Memo]]))</f>
        <v/>
      </c>
      <c r="O7783" t="s">
        <v>58</v>
      </c>
      <c r="P7783" t="s">
        <v>886</v>
      </c>
      <c r="Q7783" t="s">
        <v>58</v>
      </c>
      <c r="R7783" t="str">
        <f>IFERROR(VLOOKUP(record[[#This Row],[PCUSTID]],廠商[],2,FALSE),"")</f>
        <v/>
      </c>
      <c r="S7783" t="str">
        <f>VLOOKUP(record[[#This Row],[employeeID]],員工[],2,FALSE)</f>
        <v>謝蓁薰</v>
      </c>
    </row>
    <row r="7784" spans="6:19" hidden="1" x14ac:dyDescent="0.25">
      <c r="F7784" t="s">
        <v>993</v>
      </c>
      <c r="G7784" t="s">
        <v>403</v>
      </c>
      <c r="H7784" t="str">
        <f>VLOOKUP(record[[#This Row],[ProcessSN]],表格2_7[],2,FALSE)</f>
        <v>30-4118-018-550</v>
      </c>
      <c r="I7784" t="str">
        <f>VLOOKUP(record[[#This Row],[ProcessSN]],表格2_7[],3,FALSE)</f>
        <v>#100SHIP</v>
      </c>
      <c r="J7784" t="s">
        <v>600</v>
      </c>
      <c r="K7784" s="195">
        <v>45902.480740740742</v>
      </c>
      <c r="L7784">
        <v>92</v>
      </c>
      <c r="M7784">
        <v>0</v>
      </c>
      <c r="N7784" s="98" t="str">
        <f>IF(record[[#This Row],[Memo]]="Browser:chrome os:android","平板報工",IF(record[[#This Row],[Memo]]=0,"委外",record[[#This Row],[Memo]]))</f>
        <v/>
      </c>
      <c r="O7784" t="s">
        <v>58</v>
      </c>
      <c r="P7784" t="s">
        <v>886</v>
      </c>
      <c r="Q7784" t="s">
        <v>58</v>
      </c>
      <c r="R7784" t="str">
        <f>IFERROR(VLOOKUP(record[[#This Row],[PCUSTID]],廠商[],2,FALSE),"")</f>
        <v/>
      </c>
      <c r="S7784" t="str">
        <f>VLOOKUP(record[[#This Row],[employeeID]],員工[],2,FALSE)</f>
        <v>謝蓁薰</v>
      </c>
    </row>
    <row r="7785" spans="6:19" hidden="1" x14ac:dyDescent="0.25">
      <c r="F7785" t="s">
        <v>812</v>
      </c>
      <c r="G7785" t="s">
        <v>403</v>
      </c>
      <c r="H7785" t="str">
        <f>VLOOKUP(record[[#This Row],[ProcessSN]],表格2_7[],2,FALSE)</f>
        <v>30-4118-018-550</v>
      </c>
      <c r="I7785" t="str">
        <f>VLOOKUP(record[[#This Row],[ProcessSN]],表格2_7[],3,FALSE)</f>
        <v>#100SHIP</v>
      </c>
      <c r="J7785" t="s">
        <v>600</v>
      </c>
      <c r="K7785" s="195">
        <v>45902.480474537035</v>
      </c>
      <c r="L7785">
        <v>6</v>
      </c>
      <c r="M7785">
        <v>0</v>
      </c>
      <c r="N7785" s="98" t="str">
        <f>IF(record[[#This Row],[Memo]]="Browser:chrome os:android","平板報工",IF(record[[#This Row],[Memo]]=0,"委外",record[[#This Row],[Memo]]))</f>
        <v/>
      </c>
      <c r="O7785" t="s">
        <v>58</v>
      </c>
      <c r="P7785" t="s">
        <v>886</v>
      </c>
      <c r="Q7785" t="s">
        <v>58</v>
      </c>
      <c r="R7785" t="str">
        <f>IFERROR(VLOOKUP(record[[#This Row],[PCUSTID]],廠商[],2,FALSE),"")</f>
        <v/>
      </c>
      <c r="S7785" t="str">
        <f>VLOOKUP(record[[#This Row],[employeeID]],員工[],2,FALSE)</f>
        <v>謝蓁薰</v>
      </c>
    </row>
    <row r="7786" spans="6:19" hidden="1" x14ac:dyDescent="0.25">
      <c r="F7786" t="s">
        <v>812</v>
      </c>
      <c r="G7786" t="s">
        <v>402</v>
      </c>
      <c r="H7786" t="str">
        <f>VLOOKUP(record[[#This Row],[ProcessSN]],表格2_7[],2,FALSE)</f>
        <v>30-4118-018-550</v>
      </c>
      <c r="I7786" t="str">
        <f>VLOOKUP(record[[#This Row],[ProcessSN]],表格2_7[],3,FALSE)</f>
        <v>#100STOCK</v>
      </c>
      <c r="J7786" t="s">
        <v>592</v>
      </c>
      <c r="K7786" s="195">
        <v>45902.480358796296</v>
      </c>
      <c r="L7786">
        <v>6</v>
      </c>
      <c r="M7786">
        <v>0</v>
      </c>
      <c r="N7786" s="98" t="str">
        <f>IF(record[[#This Row],[Memo]]="Browser:chrome os:android","平板報工",IF(record[[#This Row],[Memo]]=0,"委外",record[[#This Row],[Memo]]))</f>
        <v/>
      </c>
      <c r="O7786" t="s">
        <v>58</v>
      </c>
      <c r="P7786" t="s">
        <v>886</v>
      </c>
      <c r="Q7786" t="s">
        <v>58</v>
      </c>
      <c r="R7786" t="str">
        <f>IFERROR(VLOOKUP(record[[#This Row],[PCUSTID]],廠商[],2,FALSE),"")</f>
        <v/>
      </c>
      <c r="S7786" t="str">
        <f>VLOOKUP(record[[#This Row],[employeeID]],員工[],2,FALSE)</f>
        <v>謝蓁薰</v>
      </c>
    </row>
    <row r="7787" spans="6:19" hidden="1" x14ac:dyDescent="0.25">
      <c r="F7787" t="s">
        <v>1012</v>
      </c>
      <c r="G7787" t="s">
        <v>403</v>
      </c>
      <c r="H7787" t="str">
        <f>VLOOKUP(record[[#This Row],[ProcessSN]],表格2_7[],2,FALSE)</f>
        <v>30-4118-018-550</v>
      </c>
      <c r="I7787" t="str">
        <f>VLOOKUP(record[[#This Row],[ProcessSN]],表格2_7[],3,FALSE)</f>
        <v>#100SHIP</v>
      </c>
      <c r="J7787" t="s">
        <v>600</v>
      </c>
      <c r="K7787" s="195">
        <v>45902.479953703703</v>
      </c>
      <c r="L7787">
        <v>72</v>
      </c>
      <c r="M7787">
        <v>0</v>
      </c>
      <c r="N7787" s="98" t="str">
        <f>IF(record[[#This Row],[Memo]]="Browser:chrome os:android","平板報工",IF(record[[#This Row],[Memo]]=0,"委外",record[[#This Row],[Memo]]))</f>
        <v/>
      </c>
      <c r="O7787" t="s">
        <v>58</v>
      </c>
      <c r="P7787" t="s">
        <v>886</v>
      </c>
      <c r="Q7787" t="s">
        <v>58</v>
      </c>
      <c r="R7787" t="str">
        <f>IFERROR(VLOOKUP(record[[#This Row],[PCUSTID]],廠商[],2,FALSE),"")</f>
        <v/>
      </c>
      <c r="S7787" t="str">
        <f>VLOOKUP(record[[#This Row],[employeeID]],員工[],2,FALSE)</f>
        <v>謝蓁薰</v>
      </c>
    </row>
    <row r="7788" spans="6:19" hidden="1" x14ac:dyDescent="0.25">
      <c r="F7788" t="s">
        <v>1012</v>
      </c>
      <c r="G7788" t="s">
        <v>402</v>
      </c>
      <c r="H7788" t="str">
        <f>VLOOKUP(record[[#This Row],[ProcessSN]],表格2_7[],2,FALSE)</f>
        <v>30-4118-018-550</v>
      </c>
      <c r="I7788" t="str">
        <f>VLOOKUP(record[[#This Row],[ProcessSN]],表格2_7[],3,FALSE)</f>
        <v>#100STOCK</v>
      </c>
      <c r="J7788" t="s">
        <v>592</v>
      </c>
      <c r="K7788" s="195">
        <v>45902.479675925926</v>
      </c>
      <c r="L7788">
        <v>72</v>
      </c>
      <c r="M7788">
        <v>0</v>
      </c>
      <c r="N7788" s="98" t="str">
        <f>IF(record[[#This Row],[Memo]]="Browser:chrome os:android","平板報工",IF(record[[#This Row],[Memo]]=0,"委外",record[[#This Row],[Memo]]))</f>
        <v/>
      </c>
      <c r="O7788" t="s">
        <v>58</v>
      </c>
      <c r="P7788" t="s">
        <v>886</v>
      </c>
      <c r="Q7788" t="s">
        <v>58</v>
      </c>
      <c r="R7788" t="str">
        <f>IFERROR(VLOOKUP(record[[#This Row],[PCUSTID]],廠商[],2,FALSE),"")</f>
        <v/>
      </c>
      <c r="S7788" t="str">
        <f>VLOOKUP(record[[#This Row],[employeeID]],員工[],2,FALSE)</f>
        <v>謝蓁薰</v>
      </c>
    </row>
    <row r="7789" spans="6:19" hidden="1" x14ac:dyDescent="0.25">
      <c r="F7789" t="s">
        <v>801</v>
      </c>
      <c r="G7789" t="s">
        <v>403</v>
      </c>
      <c r="H7789" t="str">
        <f>VLOOKUP(record[[#This Row],[ProcessSN]],表格2_7[],2,FALSE)</f>
        <v>30-4118-018-550</v>
      </c>
      <c r="I7789" t="str">
        <f>VLOOKUP(record[[#This Row],[ProcessSN]],表格2_7[],3,FALSE)</f>
        <v>#100SHIP</v>
      </c>
      <c r="J7789" t="s">
        <v>600</v>
      </c>
      <c r="K7789" s="195">
        <v>45902.479432870372</v>
      </c>
      <c r="L7789">
        <v>15</v>
      </c>
      <c r="M7789">
        <v>0</v>
      </c>
      <c r="N7789" s="98" t="str">
        <f>IF(record[[#This Row],[Memo]]="Browser:chrome os:android","平板報工",IF(record[[#This Row],[Memo]]=0,"委外",record[[#This Row],[Memo]]))</f>
        <v/>
      </c>
      <c r="O7789" t="s">
        <v>58</v>
      </c>
      <c r="P7789" t="s">
        <v>886</v>
      </c>
      <c r="Q7789" t="s">
        <v>58</v>
      </c>
      <c r="R7789" t="str">
        <f>IFERROR(VLOOKUP(record[[#This Row],[PCUSTID]],廠商[],2,FALSE),"")</f>
        <v/>
      </c>
      <c r="S7789" t="str">
        <f>VLOOKUP(record[[#This Row],[employeeID]],員工[],2,FALSE)</f>
        <v>謝蓁薰</v>
      </c>
    </row>
    <row r="7790" spans="6:19" hidden="1" x14ac:dyDescent="0.25">
      <c r="F7790" t="s">
        <v>801</v>
      </c>
      <c r="G7790" t="s">
        <v>402</v>
      </c>
      <c r="H7790" t="str">
        <f>VLOOKUP(record[[#This Row],[ProcessSN]],表格2_7[],2,FALSE)</f>
        <v>30-4118-018-550</v>
      </c>
      <c r="I7790" t="str">
        <f>VLOOKUP(record[[#This Row],[ProcessSN]],表格2_7[],3,FALSE)</f>
        <v>#100STOCK</v>
      </c>
      <c r="J7790" t="s">
        <v>592</v>
      </c>
      <c r="K7790" s="195">
        <v>45902.479259259257</v>
      </c>
      <c r="L7790">
        <v>15</v>
      </c>
      <c r="M7790">
        <v>0</v>
      </c>
      <c r="N7790" s="98" t="str">
        <f>IF(record[[#This Row],[Memo]]="Browser:chrome os:android","平板報工",IF(record[[#This Row],[Memo]]=0,"委外",record[[#This Row],[Memo]]))</f>
        <v/>
      </c>
      <c r="O7790" t="s">
        <v>58</v>
      </c>
      <c r="P7790" t="s">
        <v>886</v>
      </c>
      <c r="Q7790" t="s">
        <v>58</v>
      </c>
      <c r="R7790" t="str">
        <f>IFERROR(VLOOKUP(record[[#This Row],[PCUSTID]],廠商[],2,FALSE),"")</f>
        <v/>
      </c>
      <c r="S7790" t="str">
        <f>VLOOKUP(record[[#This Row],[employeeID]],員工[],2,FALSE)</f>
        <v>謝蓁薰</v>
      </c>
    </row>
    <row r="7791" spans="6:19" hidden="1" x14ac:dyDescent="0.25">
      <c r="F7791" t="s">
        <v>1001</v>
      </c>
      <c r="G7791" t="s">
        <v>420</v>
      </c>
      <c r="H7791" t="str">
        <f>VLOOKUP(record[[#This Row],[ProcessSN]],表格2_7[],2,FALSE)</f>
        <v>30-4118-018-5XX</v>
      </c>
      <c r="I7791" t="str">
        <f>VLOOKUP(record[[#This Row],[ProcessSN]],表格2_7[],3,FALSE)</f>
        <v>#07STOCK</v>
      </c>
      <c r="J7791" t="s">
        <v>592</v>
      </c>
      <c r="K7791" s="195">
        <v>45902.455358796295</v>
      </c>
      <c r="L7791">
        <v>464</v>
      </c>
      <c r="M7791">
        <v>0</v>
      </c>
      <c r="N7791" s="98" t="str">
        <f>IF(record[[#This Row],[Memo]]="Browser:chrome os:android","平板報工",IF(record[[#This Row],[Memo]]=0,"委外",record[[#This Row],[Memo]]))</f>
        <v/>
      </c>
      <c r="O7791" t="s">
        <v>58</v>
      </c>
      <c r="P7791" t="s">
        <v>196</v>
      </c>
      <c r="Q7791" t="s">
        <v>58</v>
      </c>
      <c r="R7791" t="str">
        <f>IFERROR(VLOOKUP(record[[#This Row],[PCUSTID]],廠商[],2,FALSE),"")</f>
        <v/>
      </c>
      <c r="S7791" t="str">
        <f>VLOOKUP(record[[#This Row],[employeeID]],員工[],2,FALSE)</f>
        <v>張淑惠</v>
      </c>
    </row>
    <row r="7792" spans="6:19" hidden="1" x14ac:dyDescent="0.25">
      <c r="F7792" t="s">
        <v>1022</v>
      </c>
      <c r="G7792" t="s">
        <v>396</v>
      </c>
      <c r="H7792" t="str">
        <f>VLOOKUP(record[[#This Row],[ProcessSN]],表格2_7[],2,FALSE)</f>
        <v>30-4118-018-550</v>
      </c>
      <c r="I7792" t="str">
        <f>VLOOKUP(record[[#This Row],[ProcessSN]],表格2_7[],3,FALSE)</f>
        <v>#08PICK</v>
      </c>
      <c r="J7792" t="s">
        <v>582</v>
      </c>
      <c r="K7792" s="195">
        <v>45902.454432870371</v>
      </c>
      <c r="L7792">
        <v>464</v>
      </c>
      <c r="M7792">
        <v>0</v>
      </c>
      <c r="N7792" s="98" t="str">
        <f>IF(record[[#This Row],[Memo]]="Browser:chrome os:android","平板報工",IF(record[[#This Row],[Memo]]=0,"委外",record[[#This Row],[Memo]]))</f>
        <v/>
      </c>
      <c r="O7792" t="s">
        <v>58</v>
      </c>
      <c r="P7792" t="s">
        <v>196</v>
      </c>
      <c r="Q7792" t="s">
        <v>58</v>
      </c>
      <c r="R7792" t="str">
        <f>IFERROR(VLOOKUP(record[[#This Row],[PCUSTID]],廠商[],2,FALSE),"")</f>
        <v/>
      </c>
      <c r="S7792" t="str">
        <f>VLOOKUP(record[[#This Row],[employeeID]],員工[],2,FALSE)</f>
        <v>張淑惠</v>
      </c>
    </row>
    <row r="7793" spans="6:19" hidden="1" x14ac:dyDescent="0.25">
      <c r="F7793" t="s">
        <v>1001</v>
      </c>
      <c r="G7793" t="s">
        <v>419</v>
      </c>
      <c r="H7793" t="str">
        <f>VLOOKUP(record[[#This Row],[ProcessSN]],表格2_7[],2,FALSE)</f>
        <v>30-4118-018-5XX</v>
      </c>
      <c r="I7793" t="str">
        <f>VLOOKUP(record[[#This Row],[ProcessSN]],表格2_7[],3,FALSE)</f>
        <v>#07QC</v>
      </c>
      <c r="J7793" t="s">
        <v>589</v>
      </c>
      <c r="K7793" s="195">
        <v>45902.448865740742</v>
      </c>
      <c r="L7793">
        <v>0</v>
      </c>
      <c r="M7793">
        <v>4</v>
      </c>
      <c r="N7793" s="98" t="str">
        <f>IF(record[[#This Row],[Memo]]="Browser:chrome os:android","平板報工",IF(record[[#This Row],[Memo]]=0,"委外",record[[#This Row],[Memo]]))</f>
        <v>平板報工</v>
      </c>
      <c r="O7793" t="s">
        <v>643</v>
      </c>
      <c r="P7793" t="s">
        <v>141</v>
      </c>
      <c r="Q7793" t="s">
        <v>644</v>
      </c>
      <c r="R7793" t="str">
        <f>IFERROR(VLOOKUP(record[[#This Row],[PCUSTID]],廠商[],2,FALSE),"")</f>
        <v/>
      </c>
      <c r="S7793" t="str">
        <f>VLOOKUP(record[[#This Row],[employeeID]],員工[],2,FALSE)</f>
        <v>蔣梅</v>
      </c>
    </row>
    <row r="7794" spans="6:19" hidden="1" x14ac:dyDescent="0.25">
      <c r="F7794" t="s">
        <v>1001</v>
      </c>
      <c r="G7794" t="s">
        <v>419</v>
      </c>
      <c r="H7794" t="str">
        <f>VLOOKUP(record[[#This Row],[ProcessSN]],表格2_7[],2,FALSE)</f>
        <v>30-4118-018-5XX</v>
      </c>
      <c r="I7794" t="str">
        <f>VLOOKUP(record[[#This Row],[ProcessSN]],表格2_7[],3,FALSE)</f>
        <v>#07QC</v>
      </c>
      <c r="J7794" t="s">
        <v>589</v>
      </c>
      <c r="K7794" s="195">
        <v>45902.44866898148</v>
      </c>
      <c r="L7794">
        <v>464</v>
      </c>
      <c r="M7794">
        <v>0</v>
      </c>
      <c r="N7794" s="98" t="str">
        <f>IF(record[[#This Row],[Memo]]="Browser:chrome os:android","平板報工",IF(record[[#This Row],[Memo]]=0,"委外",record[[#This Row],[Memo]]))</f>
        <v>平板報工</v>
      </c>
      <c r="O7794" t="s">
        <v>643</v>
      </c>
      <c r="P7794" t="s">
        <v>141</v>
      </c>
      <c r="Q7794" t="s">
        <v>644</v>
      </c>
      <c r="R7794" t="str">
        <f>IFERROR(VLOOKUP(record[[#This Row],[PCUSTID]],廠商[],2,FALSE),"")</f>
        <v/>
      </c>
      <c r="S7794" t="str">
        <f>VLOOKUP(record[[#This Row],[employeeID]],員工[],2,FALSE)</f>
        <v>蔣梅</v>
      </c>
    </row>
    <row r="7795" spans="6:19" hidden="1" x14ac:dyDescent="0.25">
      <c r="F7795" t="s">
        <v>989</v>
      </c>
      <c r="G7795" t="s">
        <v>471</v>
      </c>
      <c r="H7795" t="str">
        <f>VLOOKUP(record[[#This Row],[ProcessSN]],表格2_7[],2,FALSE)</f>
        <v>30-4118-018-XXX</v>
      </c>
      <c r="I7795" t="str">
        <f>VLOOKUP(record[[#This Row],[ProcessSN]],表格2_7[],3,FALSE)</f>
        <v>#02STOCK</v>
      </c>
      <c r="J7795" t="s">
        <v>592</v>
      </c>
      <c r="K7795" s="195">
        <v>45902.342106481483</v>
      </c>
      <c r="L7795">
        <v>366</v>
      </c>
      <c r="M7795">
        <v>0</v>
      </c>
      <c r="N7795" s="98" t="str">
        <f>IF(record[[#This Row],[Memo]]="Browser:chrome os:android","平板報工",IF(record[[#This Row],[Memo]]=0,"委外",record[[#This Row],[Memo]]))</f>
        <v/>
      </c>
      <c r="O7795" t="s">
        <v>58</v>
      </c>
      <c r="P7795" t="s">
        <v>196</v>
      </c>
      <c r="Q7795" t="s">
        <v>58</v>
      </c>
      <c r="R7795" t="str">
        <f>IFERROR(VLOOKUP(record[[#This Row],[PCUSTID]],廠商[],2,FALSE),"")</f>
        <v/>
      </c>
      <c r="S7795" t="str">
        <f>VLOOKUP(record[[#This Row],[employeeID]],員工[],2,FALSE)</f>
        <v>張淑惠</v>
      </c>
    </row>
    <row r="7796" spans="6:19" hidden="1" x14ac:dyDescent="0.25">
      <c r="F7796" t="s">
        <v>922</v>
      </c>
      <c r="G7796" t="s">
        <v>471</v>
      </c>
      <c r="H7796" t="str">
        <f>VLOOKUP(record[[#This Row],[ProcessSN]],表格2_7[],2,FALSE)</f>
        <v>30-4118-018-XXX</v>
      </c>
      <c r="I7796" t="str">
        <f>VLOOKUP(record[[#This Row],[ProcessSN]],表格2_7[],3,FALSE)</f>
        <v>#02STOCK</v>
      </c>
      <c r="J7796" t="s">
        <v>592</v>
      </c>
      <c r="K7796" s="195">
        <v>45902.341990740744</v>
      </c>
      <c r="L7796">
        <v>2988</v>
      </c>
      <c r="M7796">
        <v>0</v>
      </c>
      <c r="N7796" s="98" t="str">
        <f>IF(record[[#This Row],[Memo]]="Browser:chrome os:android","平板報工",IF(record[[#This Row],[Memo]]=0,"委外",record[[#This Row],[Memo]]))</f>
        <v/>
      </c>
      <c r="O7796" t="s">
        <v>58</v>
      </c>
      <c r="P7796" t="s">
        <v>196</v>
      </c>
      <c r="Q7796" t="s">
        <v>58</v>
      </c>
      <c r="R7796" t="str">
        <f>IFERROR(VLOOKUP(record[[#This Row],[PCUSTID]],廠商[],2,FALSE),"")</f>
        <v/>
      </c>
      <c r="S7796" t="str">
        <f>VLOOKUP(record[[#This Row],[employeeID]],員工[],2,FALSE)</f>
        <v>張淑惠</v>
      </c>
    </row>
    <row r="7797" spans="6:19" hidden="1" x14ac:dyDescent="0.25">
      <c r="F7797" t="s">
        <v>849</v>
      </c>
      <c r="G7797" t="s">
        <v>471</v>
      </c>
      <c r="H7797" t="str">
        <f>VLOOKUP(record[[#This Row],[ProcessSN]],表格2_7[],2,FALSE)</f>
        <v>30-4118-018-XXX</v>
      </c>
      <c r="I7797" t="str">
        <f>VLOOKUP(record[[#This Row],[ProcessSN]],表格2_7[],3,FALSE)</f>
        <v>#02STOCK</v>
      </c>
      <c r="J7797" t="s">
        <v>592</v>
      </c>
      <c r="K7797" s="195">
        <v>45902.341874999998</v>
      </c>
      <c r="L7797">
        <v>40</v>
      </c>
      <c r="M7797">
        <v>0</v>
      </c>
      <c r="N7797" s="98" t="str">
        <f>IF(record[[#This Row],[Memo]]="Browser:chrome os:android","平板報工",IF(record[[#This Row],[Memo]]=0,"委外",record[[#This Row],[Memo]]))</f>
        <v/>
      </c>
      <c r="O7797" t="s">
        <v>58</v>
      </c>
      <c r="P7797" t="s">
        <v>196</v>
      </c>
      <c r="Q7797" t="s">
        <v>58</v>
      </c>
      <c r="R7797" t="str">
        <f>IFERROR(VLOOKUP(record[[#This Row],[PCUSTID]],廠商[],2,FALSE),"")</f>
        <v/>
      </c>
      <c r="S7797" t="str">
        <f>VLOOKUP(record[[#This Row],[employeeID]],員工[],2,FALSE)</f>
        <v>張淑惠</v>
      </c>
    </row>
    <row r="7798" spans="6:19" hidden="1" x14ac:dyDescent="0.25">
      <c r="F7798" t="s">
        <v>1015</v>
      </c>
      <c r="G7798" t="s">
        <v>417</v>
      </c>
      <c r="H7798" t="str">
        <f>VLOOKUP(record[[#This Row],[ProcessSN]],表格2_7[],2,FALSE)</f>
        <v>30-4118-018-5XX</v>
      </c>
      <c r="I7798" t="str">
        <f>VLOOKUP(record[[#This Row],[ProcessSN]],表格2_7[],3,FALSE)</f>
        <v>#06</v>
      </c>
      <c r="J7798" t="s">
        <v>593</v>
      </c>
      <c r="K7798" s="195">
        <v>45902.313668981478</v>
      </c>
      <c r="L7798">
        <v>121</v>
      </c>
      <c r="M7798">
        <v>0</v>
      </c>
      <c r="N7798" s="98" t="str">
        <f>IF(record[[#This Row],[Memo]]="Browser:chrome os:android","平板報工",IF(record[[#This Row],[Memo]]=0,"委外",record[[#This Row],[Memo]]))</f>
        <v/>
      </c>
      <c r="O7798" t="s">
        <v>58</v>
      </c>
      <c r="P7798" t="s">
        <v>135</v>
      </c>
      <c r="Q7798" t="s">
        <v>58</v>
      </c>
      <c r="R7798" t="str">
        <f>IFERROR(VLOOKUP(record[[#This Row],[PCUSTID]],廠商[],2,FALSE),"")</f>
        <v/>
      </c>
      <c r="S7798" t="str">
        <f>VLOOKUP(record[[#This Row],[employeeID]],員工[],2,FALSE)</f>
        <v>阮士文</v>
      </c>
    </row>
    <row r="7799" spans="6:19" hidden="1" x14ac:dyDescent="0.25">
      <c r="F7799" t="s">
        <v>1001</v>
      </c>
      <c r="G7799" t="s">
        <v>418</v>
      </c>
      <c r="H7799" t="str">
        <f>VLOOKUP(record[[#This Row],[ProcessSN]],表格2_7[],2,FALSE)</f>
        <v>30-4118-018-5XX</v>
      </c>
      <c r="I7799" t="str">
        <f>VLOOKUP(record[[#This Row],[ProcessSN]],表格2_7[],3,FALSE)</f>
        <v>#07</v>
      </c>
      <c r="J7799" t="s">
        <v>588</v>
      </c>
      <c r="K7799" s="195">
        <v>45902.311041666668</v>
      </c>
      <c r="L7799">
        <v>0</v>
      </c>
      <c r="M7799">
        <v>1</v>
      </c>
      <c r="N7799" s="98" t="str">
        <f>IF(record[[#This Row],[Memo]]="Browser:chrome os:android","平板報工",IF(record[[#This Row],[Memo]]=0,"委外",record[[#This Row],[Memo]]))</f>
        <v/>
      </c>
      <c r="O7799" t="s">
        <v>58</v>
      </c>
      <c r="P7799" t="s">
        <v>135</v>
      </c>
      <c r="Q7799" t="s">
        <v>58</v>
      </c>
      <c r="R7799" t="str">
        <f>IFERROR(VLOOKUP(record[[#This Row],[PCUSTID]],廠商[],2,FALSE),"")</f>
        <v/>
      </c>
      <c r="S7799" t="str">
        <f>VLOOKUP(record[[#This Row],[employeeID]],員工[],2,FALSE)</f>
        <v>阮士文</v>
      </c>
    </row>
    <row r="7800" spans="6:19" hidden="1" x14ac:dyDescent="0.25">
      <c r="F7800" t="s">
        <v>1001</v>
      </c>
      <c r="G7800" t="s">
        <v>418</v>
      </c>
      <c r="H7800" t="str">
        <f>VLOOKUP(record[[#This Row],[ProcessSN]],表格2_7[],2,FALSE)</f>
        <v>30-4118-018-5XX</v>
      </c>
      <c r="I7800" t="str">
        <f>VLOOKUP(record[[#This Row],[ProcessSN]],表格2_7[],3,FALSE)</f>
        <v>#07</v>
      </c>
      <c r="J7800" t="s">
        <v>588</v>
      </c>
      <c r="K7800" s="195">
        <v>45902.310694444444</v>
      </c>
      <c r="L7800">
        <v>110</v>
      </c>
      <c r="M7800">
        <v>2</v>
      </c>
      <c r="N7800" s="98" t="str">
        <f>IF(record[[#This Row],[Memo]]="Browser:chrome os:android","平板報工",IF(record[[#This Row],[Memo]]=0,"委外",record[[#This Row],[Memo]]))</f>
        <v/>
      </c>
      <c r="O7800" t="s">
        <v>58</v>
      </c>
      <c r="P7800" t="s">
        <v>135</v>
      </c>
      <c r="Q7800" t="s">
        <v>58</v>
      </c>
      <c r="R7800" t="str">
        <f>IFERROR(VLOOKUP(record[[#This Row],[PCUSTID]],廠商[],2,FALSE),"")</f>
        <v/>
      </c>
      <c r="S7800" t="str">
        <f>VLOOKUP(record[[#This Row],[employeeID]],員工[],2,FALSE)</f>
        <v>阮士文</v>
      </c>
    </row>
    <row r="7801" spans="6:19" hidden="1" x14ac:dyDescent="0.25">
      <c r="F7801" t="s">
        <v>989</v>
      </c>
      <c r="G7801" t="s">
        <v>466</v>
      </c>
      <c r="H7801" t="str">
        <f>VLOOKUP(record[[#This Row],[ProcessSN]],表格2_7[],2,FALSE)</f>
        <v>30-4118-018-XXX</v>
      </c>
      <c r="I7801" t="str">
        <f>VLOOKUP(record[[#This Row],[ProcessSN]],表格2_7[],3,FALSE)</f>
        <v>#01-2</v>
      </c>
      <c r="J7801" t="s">
        <v>588</v>
      </c>
      <c r="K7801" s="195">
        <v>45902.310486111113</v>
      </c>
      <c r="L7801">
        <v>408</v>
      </c>
      <c r="M7801">
        <v>0</v>
      </c>
      <c r="N7801" s="98" t="str">
        <f>IF(record[[#This Row],[Memo]]="Browser:chrome os:android","平板報工",IF(record[[#This Row],[Memo]]=0,"委外",record[[#This Row],[Memo]]))</f>
        <v/>
      </c>
      <c r="O7801" t="s">
        <v>58</v>
      </c>
      <c r="P7801" t="s">
        <v>135</v>
      </c>
      <c r="Q7801" t="s">
        <v>58</v>
      </c>
      <c r="R7801" t="str">
        <f>IFERROR(VLOOKUP(record[[#This Row],[PCUSTID]],廠商[],2,FALSE),"")</f>
        <v/>
      </c>
      <c r="S7801" t="str">
        <f>VLOOKUP(record[[#This Row],[employeeID]],員工[],2,FALSE)</f>
        <v>阮士文</v>
      </c>
    </row>
    <row r="7802" spans="6:19" hidden="1" x14ac:dyDescent="0.25">
      <c r="F7802" t="s">
        <v>1001</v>
      </c>
      <c r="G7802" t="s">
        <v>418</v>
      </c>
      <c r="H7802" t="str">
        <f>VLOOKUP(record[[#This Row],[ProcessSN]],表格2_7[],2,FALSE)</f>
        <v>30-4118-018-5XX</v>
      </c>
      <c r="I7802" t="str">
        <f>VLOOKUP(record[[#This Row],[ProcessSN]],表格2_7[],3,FALSE)</f>
        <v>#07</v>
      </c>
      <c r="J7802" t="s">
        <v>588</v>
      </c>
      <c r="K7802" s="195">
        <v>45902.145196759258</v>
      </c>
      <c r="L7802">
        <v>114</v>
      </c>
      <c r="M7802">
        <v>0</v>
      </c>
      <c r="N7802" s="98" t="str">
        <f>IF(record[[#This Row],[Memo]]="Browser:chrome os:android","平板報工",IF(record[[#This Row],[Memo]]=0,"委外",record[[#This Row],[Memo]]))</f>
        <v/>
      </c>
      <c r="O7802" t="s">
        <v>58</v>
      </c>
      <c r="P7802" t="s">
        <v>133</v>
      </c>
      <c r="Q7802" t="s">
        <v>58</v>
      </c>
      <c r="R7802" t="str">
        <f>IFERROR(VLOOKUP(record[[#This Row],[PCUSTID]],廠商[],2,FALSE),"")</f>
        <v/>
      </c>
      <c r="S7802" t="str">
        <f>VLOOKUP(record[[#This Row],[employeeID]],員工[],2,FALSE)</f>
        <v>黎長維</v>
      </c>
    </row>
    <row r="7803" spans="6:19" hidden="1" x14ac:dyDescent="0.25">
      <c r="F7803" t="s">
        <v>1015</v>
      </c>
      <c r="G7803" t="s">
        <v>417</v>
      </c>
      <c r="H7803" t="str">
        <f>VLOOKUP(record[[#This Row],[ProcessSN]],表格2_7[],2,FALSE)</f>
        <v>30-4118-018-5XX</v>
      </c>
      <c r="I7803" t="str">
        <f>VLOOKUP(record[[#This Row],[ProcessSN]],表格2_7[],3,FALSE)</f>
        <v>#06</v>
      </c>
      <c r="J7803" t="s">
        <v>593</v>
      </c>
      <c r="K7803" s="195">
        <v>45901.969849537039</v>
      </c>
      <c r="L7803">
        <v>50</v>
      </c>
      <c r="M7803">
        <v>0</v>
      </c>
      <c r="N7803" s="98" t="str">
        <f>IF(record[[#This Row],[Memo]]="Browser:chrome os:android","平板報工",IF(record[[#This Row],[Memo]]=0,"委外",record[[#This Row],[Memo]]))</f>
        <v/>
      </c>
      <c r="O7803" t="s">
        <v>58</v>
      </c>
      <c r="P7803" t="s">
        <v>841</v>
      </c>
      <c r="Q7803" t="s">
        <v>58</v>
      </c>
      <c r="R7803" t="str">
        <f>IFERROR(VLOOKUP(record[[#This Row],[PCUSTID]],廠商[],2,FALSE),"")</f>
        <v/>
      </c>
      <c r="S7803" t="str">
        <f>VLOOKUP(record[[#This Row],[employeeID]],員工[],2,FALSE)</f>
        <v>范氏香</v>
      </c>
    </row>
    <row r="7804" spans="6:19" hidden="1" x14ac:dyDescent="0.25">
      <c r="F7804" t="s">
        <v>1001</v>
      </c>
      <c r="G7804" t="s">
        <v>417</v>
      </c>
      <c r="H7804" t="str">
        <f>VLOOKUP(record[[#This Row],[ProcessSN]],表格2_7[],2,FALSE)</f>
        <v>30-4118-018-5XX</v>
      </c>
      <c r="I7804" t="str">
        <f>VLOOKUP(record[[#This Row],[ProcessSN]],表格2_7[],3,FALSE)</f>
        <v>#06</v>
      </c>
      <c r="J7804" t="s">
        <v>593</v>
      </c>
      <c r="K7804" s="195">
        <v>45901.967835648145</v>
      </c>
      <c r="L7804">
        <v>60</v>
      </c>
      <c r="M7804">
        <v>0</v>
      </c>
      <c r="N7804" s="98" t="str">
        <f>IF(record[[#This Row],[Memo]]="Browser:chrome os:android","平板報工",IF(record[[#This Row],[Memo]]=0,"委外",record[[#This Row],[Memo]]))</f>
        <v/>
      </c>
      <c r="O7804" t="s">
        <v>58</v>
      </c>
      <c r="P7804" t="s">
        <v>841</v>
      </c>
      <c r="Q7804" t="s">
        <v>58</v>
      </c>
      <c r="R7804" t="str">
        <f>IFERROR(VLOOKUP(record[[#This Row],[PCUSTID]],廠商[],2,FALSE),"")</f>
        <v/>
      </c>
      <c r="S7804" t="str">
        <f>VLOOKUP(record[[#This Row],[employeeID]],員工[],2,FALSE)</f>
        <v>范氏香</v>
      </c>
    </row>
    <row r="7805" spans="6:19" hidden="1" x14ac:dyDescent="0.25">
      <c r="F7805" t="s">
        <v>1001</v>
      </c>
      <c r="G7805" t="s">
        <v>418</v>
      </c>
      <c r="H7805" t="str">
        <f>VLOOKUP(record[[#This Row],[ProcessSN]],表格2_7[],2,FALSE)</f>
        <v>30-4118-018-5XX</v>
      </c>
      <c r="I7805" t="str">
        <f>VLOOKUP(record[[#This Row],[ProcessSN]],表格2_7[],3,FALSE)</f>
        <v>#07</v>
      </c>
      <c r="J7805" t="s">
        <v>588</v>
      </c>
      <c r="K7805" s="195">
        <v>45901.963043981479</v>
      </c>
      <c r="L7805">
        <v>213</v>
      </c>
      <c r="M7805">
        <v>1</v>
      </c>
      <c r="N7805" s="98" t="str">
        <f>IF(record[[#This Row],[Memo]]="Browser:chrome os:android","平板報工",IF(record[[#This Row],[Memo]]=0,"委外",record[[#This Row],[Memo]]))</f>
        <v/>
      </c>
      <c r="O7805" t="s">
        <v>58</v>
      </c>
      <c r="P7805" t="s">
        <v>89</v>
      </c>
      <c r="Q7805" t="s">
        <v>58</v>
      </c>
      <c r="R7805" t="str">
        <f>IFERROR(VLOOKUP(record[[#This Row],[PCUSTID]],廠商[],2,FALSE),"")</f>
        <v/>
      </c>
      <c r="S7805" t="str">
        <f>VLOOKUP(record[[#This Row],[employeeID]],員工[],2,FALSE)</f>
        <v>李美蓮</v>
      </c>
    </row>
    <row r="7806" spans="6:19" hidden="1" x14ac:dyDescent="0.25">
      <c r="F7806" t="s">
        <v>989</v>
      </c>
      <c r="G7806" t="s">
        <v>466</v>
      </c>
      <c r="H7806" t="str">
        <f>VLOOKUP(record[[#This Row],[ProcessSN]],表格2_7[],2,FALSE)</f>
        <v>30-4118-018-XXX</v>
      </c>
      <c r="I7806" t="str">
        <f>VLOOKUP(record[[#This Row],[ProcessSN]],表格2_7[],3,FALSE)</f>
        <v>#01-2</v>
      </c>
      <c r="J7806" t="s">
        <v>588</v>
      </c>
      <c r="K7806" s="195">
        <v>45901.962650462963</v>
      </c>
      <c r="L7806">
        <v>478</v>
      </c>
      <c r="M7806">
        <v>0</v>
      </c>
      <c r="N7806" s="98" t="str">
        <f>IF(record[[#This Row],[Memo]]="Browser:chrome os:android","平板報工",IF(record[[#This Row],[Memo]]=0,"委外",record[[#This Row],[Memo]]))</f>
        <v/>
      </c>
      <c r="O7806" t="s">
        <v>58</v>
      </c>
      <c r="P7806" t="s">
        <v>806</v>
      </c>
      <c r="Q7806" t="s">
        <v>58</v>
      </c>
      <c r="R7806" t="str">
        <f>IFERROR(VLOOKUP(record[[#This Row],[PCUSTID]],廠商[],2,FALSE),"")</f>
        <v/>
      </c>
      <c r="S7806" t="str">
        <f>VLOOKUP(record[[#This Row],[employeeID]],員工[],2,FALSE)</f>
        <v>方思緯</v>
      </c>
    </row>
    <row r="7807" spans="6:19" hidden="1" x14ac:dyDescent="0.25">
      <c r="F7807" t="s">
        <v>989</v>
      </c>
      <c r="G7807" t="s">
        <v>467</v>
      </c>
      <c r="H7807" t="str">
        <f>VLOOKUP(record[[#This Row],[ProcessSN]],表格2_7[],2,FALSE)</f>
        <v>30-4118-018-XXX</v>
      </c>
      <c r="I7807" t="str">
        <f>VLOOKUP(record[[#This Row],[ProcessSN]],表格2_7[],3,FALSE)</f>
        <v>#01QC</v>
      </c>
      <c r="J7807" t="s">
        <v>589</v>
      </c>
      <c r="K7807" s="195">
        <v>45901.791886574072</v>
      </c>
      <c r="L7807">
        <v>1342</v>
      </c>
      <c r="M7807">
        <v>0</v>
      </c>
      <c r="N7807" s="98" t="str">
        <f>IF(record[[#This Row],[Memo]]="Browser:chrome os:android","平板報工",IF(record[[#This Row],[Memo]]=0,"委外",record[[#This Row],[Memo]]))</f>
        <v>平板報工</v>
      </c>
      <c r="O7807" t="s">
        <v>643</v>
      </c>
      <c r="P7807" t="s">
        <v>182</v>
      </c>
      <c r="Q7807" t="s">
        <v>644</v>
      </c>
      <c r="R7807" t="str">
        <f>IFERROR(VLOOKUP(record[[#This Row],[PCUSTID]],廠商[],2,FALSE),"")</f>
        <v/>
      </c>
      <c r="S7807" t="str">
        <f>VLOOKUP(record[[#This Row],[employeeID]],員工[],2,FALSE)</f>
        <v>梅氏和</v>
      </c>
    </row>
    <row r="7808" spans="6:19" hidden="1" x14ac:dyDescent="0.25">
      <c r="F7808" t="s">
        <v>989</v>
      </c>
      <c r="G7808" t="s">
        <v>470</v>
      </c>
      <c r="H7808" t="str">
        <f>VLOOKUP(record[[#This Row],[ProcessSN]],表格2_7[],2,FALSE)</f>
        <v>30-4118-018-XXX</v>
      </c>
      <c r="I7808" t="str">
        <f>VLOOKUP(record[[#This Row],[ProcessSN]],表格2_7[],3,FALSE)</f>
        <v>#02IQC</v>
      </c>
      <c r="J7808" t="s">
        <v>583</v>
      </c>
      <c r="K7808" s="195">
        <v>45901.777141203704</v>
      </c>
      <c r="L7808">
        <v>366</v>
      </c>
      <c r="M7808">
        <v>0</v>
      </c>
      <c r="N7808" s="98" t="str">
        <f>IF(record[[#This Row],[Memo]]="Browser:chrome os:android","平板報工",IF(record[[#This Row],[Memo]]=0,"委外",record[[#This Row],[Memo]]))</f>
        <v/>
      </c>
      <c r="O7808" t="s">
        <v>58</v>
      </c>
      <c r="P7808" t="s">
        <v>109</v>
      </c>
      <c r="Q7808" t="s">
        <v>58</v>
      </c>
      <c r="R7808" t="str">
        <f>IFERROR(VLOOKUP(record[[#This Row],[PCUSTID]],廠商[],2,FALSE),"")</f>
        <v/>
      </c>
      <c r="S7808" t="str">
        <f>VLOOKUP(record[[#This Row],[employeeID]],員工[],2,FALSE)</f>
        <v>裴氏璧鳳</v>
      </c>
    </row>
    <row r="7809" spans="6:19" hidden="1" x14ac:dyDescent="0.25">
      <c r="F7809" t="s">
        <v>922</v>
      </c>
      <c r="G7809" t="s">
        <v>470</v>
      </c>
      <c r="H7809" t="str">
        <f>VLOOKUP(record[[#This Row],[ProcessSN]],表格2_7[],2,FALSE)</f>
        <v>30-4118-018-XXX</v>
      </c>
      <c r="I7809" t="str">
        <f>VLOOKUP(record[[#This Row],[ProcessSN]],表格2_7[],3,FALSE)</f>
        <v>#02IQC</v>
      </c>
      <c r="J7809" t="s">
        <v>583</v>
      </c>
      <c r="K7809" s="195">
        <v>45901.777002314811</v>
      </c>
      <c r="L7809">
        <v>810</v>
      </c>
      <c r="M7809">
        <v>0</v>
      </c>
      <c r="N7809" s="98" t="str">
        <f>IF(record[[#This Row],[Memo]]="Browser:chrome os:android","平板報工",IF(record[[#This Row],[Memo]]=0,"委外",record[[#This Row],[Memo]]))</f>
        <v/>
      </c>
      <c r="O7809" t="s">
        <v>58</v>
      </c>
      <c r="P7809" t="s">
        <v>109</v>
      </c>
      <c r="Q7809" t="s">
        <v>58</v>
      </c>
      <c r="R7809" t="str">
        <f>IFERROR(VLOOKUP(record[[#This Row],[PCUSTID]],廠商[],2,FALSE),"")</f>
        <v/>
      </c>
      <c r="S7809" t="str">
        <f>VLOOKUP(record[[#This Row],[employeeID]],員工[],2,FALSE)</f>
        <v>裴氏璧鳳</v>
      </c>
    </row>
    <row r="7810" spans="6:19" hidden="1" x14ac:dyDescent="0.25">
      <c r="F7810" t="s">
        <v>1012</v>
      </c>
      <c r="G7810" t="s">
        <v>401</v>
      </c>
      <c r="H7810" t="str">
        <f>VLOOKUP(record[[#This Row],[ProcessSN]],表格2_7[],2,FALSE)</f>
        <v>30-4118-018-550</v>
      </c>
      <c r="I7810" t="str">
        <f>VLOOKUP(record[[#This Row],[ProcessSN]],表格2_7[],3,FALSE)</f>
        <v>#100OQC</v>
      </c>
      <c r="J7810" t="s">
        <v>599</v>
      </c>
      <c r="K7810" s="195">
        <v>45901.753344907411</v>
      </c>
      <c r="L7810">
        <v>72</v>
      </c>
      <c r="M7810">
        <v>0</v>
      </c>
      <c r="N7810" s="98" t="str">
        <f>IF(record[[#This Row],[Memo]]="Browser:chrome os:android","平板報工",IF(record[[#This Row],[Memo]]=0,"委外",record[[#This Row],[Memo]]))</f>
        <v/>
      </c>
      <c r="O7810" t="s">
        <v>58</v>
      </c>
      <c r="P7810" t="s">
        <v>121</v>
      </c>
      <c r="Q7810" t="s">
        <v>58</v>
      </c>
      <c r="R7810" t="str">
        <f>IFERROR(VLOOKUP(record[[#This Row],[PCUSTID]],廠商[],2,FALSE),"")</f>
        <v/>
      </c>
      <c r="S7810" t="str">
        <f>VLOOKUP(record[[#This Row],[employeeID]],員工[],2,FALSE)</f>
        <v>謝素卿</v>
      </c>
    </row>
    <row r="7811" spans="6:19" hidden="1" x14ac:dyDescent="0.25">
      <c r="F7811" t="s">
        <v>812</v>
      </c>
      <c r="G7811" t="s">
        <v>401</v>
      </c>
      <c r="H7811" t="str">
        <f>VLOOKUP(record[[#This Row],[ProcessSN]],表格2_7[],2,FALSE)</f>
        <v>30-4118-018-550</v>
      </c>
      <c r="I7811" t="str">
        <f>VLOOKUP(record[[#This Row],[ProcessSN]],表格2_7[],3,FALSE)</f>
        <v>#100OQC</v>
      </c>
      <c r="J7811" t="s">
        <v>599</v>
      </c>
      <c r="K7811" s="195">
        <v>45901.753206018519</v>
      </c>
      <c r="L7811">
        <v>6</v>
      </c>
      <c r="M7811">
        <v>0</v>
      </c>
      <c r="N7811" s="98" t="str">
        <f>IF(record[[#This Row],[Memo]]="Browser:chrome os:android","平板報工",IF(record[[#This Row],[Memo]]=0,"委外",record[[#This Row],[Memo]]))</f>
        <v/>
      </c>
      <c r="O7811" t="s">
        <v>58</v>
      </c>
      <c r="P7811" t="s">
        <v>121</v>
      </c>
      <c r="Q7811" t="s">
        <v>58</v>
      </c>
      <c r="R7811" t="str">
        <f>IFERROR(VLOOKUP(record[[#This Row],[PCUSTID]],廠商[],2,FALSE),"")</f>
        <v/>
      </c>
      <c r="S7811" t="str">
        <f>VLOOKUP(record[[#This Row],[employeeID]],員工[],2,FALSE)</f>
        <v>謝素卿</v>
      </c>
    </row>
    <row r="7812" spans="6:19" hidden="1" x14ac:dyDescent="0.25">
      <c r="F7812" t="s">
        <v>801</v>
      </c>
      <c r="G7812" t="s">
        <v>401</v>
      </c>
      <c r="H7812" t="str">
        <f>VLOOKUP(record[[#This Row],[ProcessSN]],表格2_7[],2,FALSE)</f>
        <v>30-4118-018-550</v>
      </c>
      <c r="I7812" t="str">
        <f>VLOOKUP(record[[#This Row],[ProcessSN]],表格2_7[],3,FALSE)</f>
        <v>#100OQC</v>
      </c>
      <c r="J7812" t="s">
        <v>599</v>
      </c>
      <c r="K7812" s="195">
        <v>45901.75309027778</v>
      </c>
      <c r="L7812">
        <v>15</v>
      </c>
      <c r="M7812">
        <v>0</v>
      </c>
      <c r="N7812" s="98" t="str">
        <f>IF(record[[#This Row],[Memo]]="Browser:chrome os:android","平板報工",IF(record[[#This Row],[Memo]]=0,"委外",record[[#This Row],[Memo]]))</f>
        <v/>
      </c>
      <c r="O7812" t="s">
        <v>58</v>
      </c>
      <c r="P7812" t="s">
        <v>121</v>
      </c>
      <c r="Q7812" t="s">
        <v>58</v>
      </c>
      <c r="R7812" t="str">
        <f>IFERROR(VLOOKUP(record[[#This Row],[PCUSTID]],廠商[],2,FALSE),"")</f>
        <v/>
      </c>
      <c r="S7812" t="str">
        <f>VLOOKUP(record[[#This Row],[employeeID]],員工[],2,FALSE)</f>
        <v>謝素卿</v>
      </c>
    </row>
    <row r="7813" spans="6:19" hidden="1" x14ac:dyDescent="0.25">
      <c r="F7813" t="s">
        <v>828</v>
      </c>
      <c r="G7813" t="s">
        <v>401</v>
      </c>
      <c r="H7813" t="str">
        <f>VLOOKUP(record[[#This Row],[ProcessSN]],表格2_7[],2,FALSE)</f>
        <v>30-4118-018-550</v>
      </c>
      <c r="I7813" t="str">
        <f>VLOOKUP(record[[#This Row],[ProcessSN]],表格2_7[],3,FALSE)</f>
        <v>#100OQC</v>
      </c>
      <c r="J7813" t="s">
        <v>599</v>
      </c>
      <c r="K7813" s="195">
        <v>45901.752951388888</v>
      </c>
      <c r="L7813">
        <v>2</v>
      </c>
      <c r="M7813">
        <v>0</v>
      </c>
      <c r="N7813" s="98" t="str">
        <f>IF(record[[#This Row],[Memo]]="Browser:chrome os:android","平板報工",IF(record[[#This Row],[Memo]]=0,"委外",record[[#This Row],[Memo]]))</f>
        <v/>
      </c>
      <c r="O7813" t="s">
        <v>58</v>
      </c>
      <c r="P7813" t="s">
        <v>121</v>
      </c>
      <c r="Q7813" t="s">
        <v>58</v>
      </c>
      <c r="R7813" t="str">
        <f>IFERROR(VLOOKUP(record[[#This Row],[PCUSTID]],廠商[],2,FALSE),"")</f>
        <v/>
      </c>
      <c r="S7813" t="str">
        <f>VLOOKUP(record[[#This Row],[employeeID]],員工[],2,FALSE)</f>
        <v>謝素卿</v>
      </c>
    </row>
    <row r="7814" spans="6:19" hidden="1" x14ac:dyDescent="0.25">
      <c r="F7814" t="s">
        <v>999</v>
      </c>
      <c r="G7814" t="s">
        <v>401</v>
      </c>
      <c r="H7814" t="str">
        <f>VLOOKUP(record[[#This Row],[ProcessSN]],表格2_7[],2,FALSE)</f>
        <v>30-4118-018-550</v>
      </c>
      <c r="I7814" t="str">
        <f>VLOOKUP(record[[#This Row],[ProcessSN]],表格2_7[],3,FALSE)</f>
        <v>#100OQC</v>
      </c>
      <c r="J7814" t="s">
        <v>599</v>
      </c>
      <c r="K7814" s="195">
        <v>45901.752812500003</v>
      </c>
      <c r="L7814">
        <v>273</v>
      </c>
      <c r="M7814">
        <v>0</v>
      </c>
      <c r="N7814" s="98" t="str">
        <f>IF(record[[#This Row],[Memo]]="Browser:chrome os:android","平板報工",IF(record[[#This Row],[Memo]]=0,"委外",record[[#This Row],[Memo]]))</f>
        <v/>
      </c>
      <c r="O7814" t="s">
        <v>58</v>
      </c>
      <c r="P7814" t="s">
        <v>121</v>
      </c>
      <c r="Q7814" t="s">
        <v>58</v>
      </c>
      <c r="R7814" t="str">
        <f>IFERROR(VLOOKUP(record[[#This Row],[PCUSTID]],廠商[],2,FALSE),"")</f>
        <v/>
      </c>
      <c r="S7814" t="str">
        <f>VLOOKUP(record[[#This Row],[employeeID]],員工[],2,FALSE)</f>
        <v>謝素卿</v>
      </c>
    </row>
    <row r="7815" spans="6:19" hidden="1" x14ac:dyDescent="0.25">
      <c r="F7815" t="s">
        <v>1000</v>
      </c>
      <c r="G7815" t="s">
        <v>401</v>
      </c>
      <c r="H7815" t="str">
        <f>VLOOKUP(record[[#This Row],[ProcessSN]],表格2_7[],2,FALSE)</f>
        <v>30-4118-018-550</v>
      </c>
      <c r="I7815" t="str">
        <f>VLOOKUP(record[[#This Row],[ProcessSN]],表格2_7[],3,FALSE)</f>
        <v>#100OQC</v>
      </c>
      <c r="J7815" t="s">
        <v>599</v>
      </c>
      <c r="K7815" s="195">
        <v>45901.752638888887</v>
      </c>
      <c r="L7815">
        <v>183</v>
      </c>
      <c r="M7815">
        <v>0</v>
      </c>
      <c r="N7815" s="98" t="str">
        <f>IF(record[[#This Row],[Memo]]="Browser:chrome os:android","平板報工",IF(record[[#This Row],[Memo]]=0,"委外",record[[#This Row],[Memo]]))</f>
        <v/>
      </c>
      <c r="O7815" t="s">
        <v>58</v>
      </c>
      <c r="P7815" t="s">
        <v>121</v>
      </c>
      <c r="Q7815" t="s">
        <v>58</v>
      </c>
      <c r="R7815" t="str">
        <f>IFERROR(VLOOKUP(record[[#This Row],[PCUSTID]],廠商[],2,FALSE),"")</f>
        <v/>
      </c>
      <c r="S7815" t="str">
        <f>VLOOKUP(record[[#This Row],[employeeID]],員工[],2,FALSE)</f>
        <v>謝素卿</v>
      </c>
    </row>
    <row r="7816" spans="6:19" hidden="1" x14ac:dyDescent="0.25">
      <c r="F7816" t="s">
        <v>1011</v>
      </c>
      <c r="G7816" t="s">
        <v>401</v>
      </c>
      <c r="H7816" t="str">
        <f>VLOOKUP(record[[#This Row],[ProcessSN]],表格2_7[],2,FALSE)</f>
        <v>30-4118-018-550</v>
      </c>
      <c r="I7816" t="str">
        <f>VLOOKUP(record[[#This Row],[ProcessSN]],表格2_7[],3,FALSE)</f>
        <v>#100OQC</v>
      </c>
      <c r="J7816" t="s">
        <v>599</v>
      </c>
      <c r="K7816" s="195">
        <v>45901.752500000002</v>
      </c>
      <c r="L7816">
        <v>137</v>
      </c>
      <c r="M7816">
        <v>0</v>
      </c>
      <c r="N7816" s="98" t="str">
        <f>IF(record[[#This Row],[Memo]]="Browser:chrome os:android","平板報工",IF(record[[#This Row],[Memo]]=0,"委外",record[[#This Row],[Memo]]))</f>
        <v/>
      </c>
      <c r="O7816" t="s">
        <v>58</v>
      </c>
      <c r="P7816" t="s">
        <v>121</v>
      </c>
      <c r="Q7816" t="s">
        <v>58</v>
      </c>
      <c r="R7816" t="str">
        <f>IFERROR(VLOOKUP(record[[#This Row],[PCUSTID]],廠商[],2,FALSE),"")</f>
        <v/>
      </c>
      <c r="S7816" t="str">
        <f>VLOOKUP(record[[#This Row],[employeeID]],員工[],2,FALSE)</f>
        <v>謝素卿</v>
      </c>
    </row>
    <row r="7817" spans="6:19" hidden="1" x14ac:dyDescent="0.25">
      <c r="F7817" t="s">
        <v>1001</v>
      </c>
      <c r="G7817" t="s">
        <v>417</v>
      </c>
      <c r="H7817" t="str">
        <f>VLOOKUP(record[[#This Row],[ProcessSN]],表格2_7[],2,FALSE)</f>
        <v>30-4118-018-5XX</v>
      </c>
      <c r="I7817" t="str">
        <f>VLOOKUP(record[[#This Row],[ProcessSN]],表格2_7[],3,FALSE)</f>
        <v>#06</v>
      </c>
      <c r="J7817" t="s">
        <v>593</v>
      </c>
      <c r="K7817" s="195">
        <v>45901.649965277778</v>
      </c>
      <c r="L7817">
        <v>106</v>
      </c>
      <c r="M7817">
        <v>1</v>
      </c>
      <c r="N7817" s="98" t="str">
        <f>IF(record[[#This Row],[Memo]]="Browser:chrome os:android","平板報工",IF(record[[#This Row],[Memo]]=0,"委外",record[[#This Row],[Memo]]))</f>
        <v/>
      </c>
      <c r="O7817" t="s">
        <v>58</v>
      </c>
      <c r="P7817" t="s">
        <v>119</v>
      </c>
      <c r="Q7817" t="s">
        <v>58</v>
      </c>
      <c r="R7817" t="str">
        <f>IFERROR(VLOOKUP(record[[#This Row],[PCUSTID]],廠商[],2,FALSE),"")</f>
        <v/>
      </c>
      <c r="S7817" t="str">
        <f>VLOOKUP(record[[#This Row],[employeeID]],員工[],2,FALSE)</f>
        <v>廖俊彥</v>
      </c>
    </row>
    <row r="7818" spans="6:19" hidden="1" x14ac:dyDescent="0.25">
      <c r="F7818" t="s">
        <v>1015</v>
      </c>
      <c r="G7818" t="s">
        <v>417</v>
      </c>
      <c r="H7818" t="str">
        <f>VLOOKUP(record[[#This Row],[ProcessSN]],表格2_7[],2,FALSE)</f>
        <v>30-4118-018-5XX</v>
      </c>
      <c r="I7818" t="str">
        <f>VLOOKUP(record[[#This Row],[ProcessSN]],表格2_7[],3,FALSE)</f>
        <v>#06</v>
      </c>
      <c r="J7818" t="s">
        <v>593</v>
      </c>
      <c r="K7818" s="195">
        <v>45901.649791666663</v>
      </c>
      <c r="L7818">
        <v>15</v>
      </c>
      <c r="M7818">
        <v>0</v>
      </c>
      <c r="N7818" s="98" t="str">
        <f>IF(record[[#This Row],[Memo]]="Browser:chrome os:android","平板報工",IF(record[[#This Row],[Memo]]=0,"委外",record[[#This Row],[Memo]]))</f>
        <v/>
      </c>
      <c r="O7818" t="s">
        <v>58</v>
      </c>
      <c r="P7818" t="s">
        <v>119</v>
      </c>
      <c r="Q7818" t="s">
        <v>58</v>
      </c>
      <c r="R7818" t="str">
        <f>IFERROR(VLOOKUP(record[[#This Row],[PCUSTID]],廠商[],2,FALSE),"")</f>
        <v/>
      </c>
      <c r="S7818" t="str">
        <f>VLOOKUP(record[[#This Row],[employeeID]],員工[],2,FALSE)</f>
        <v>廖俊彥</v>
      </c>
    </row>
    <row r="7819" spans="6:19" hidden="1" x14ac:dyDescent="0.25">
      <c r="F7819" t="s">
        <v>1001</v>
      </c>
      <c r="G7819" t="s">
        <v>418</v>
      </c>
      <c r="H7819" t="str">
        <f>VLOOKUP(record[[#This Row],[ProcessSN]],表格2_7[],2,FALSE)</f>
        <v>30-4118-018-5XX</v>
      </c>
      <c r="I7819" t="str">
        <f>VLOOKUP(record[[#This Row],[ProcessSN]],表格2_7[],3,FALSE)</f>
        <v>#07</v>
      </c>
      <c r="J7819" t="s">
        <v>588</v>
      </c>
      <c r="K7819" s="195">
        <v>45901.644548611112</v>
      </c>
      <c r="L7819">
        <v>141</v>
      </c>
      <c r="M7819">
        <v>2</v>
      </c>
      <c r="N7819" s="98" t="str">
        <f>IF(record[[#This Row],[Memo]]="Browser:chrome os:android","平板報工",IF(record[[#This Row],[Memo]]=0,"委外",record[[#This Row],[Memo]]))</f>
        <v/>
      </c>
      <c r="O7819" t="s">
        <v>58</v>
      </c>
      <c r="P7819" t="s">
        <v>119</v>
      </c>
      <c r="Q7819" t="s">
        <v>58</v>
      </c>
      <c r="R7819" t="str">
        <f>IFERROR(VLOOKUP(record[[#This Row],[PCUSTID]],廠商[],2,FALSE),"")</f>
        <v/>
      </c>
      <c r="S7819" t="str">
        <f>VLOOKUP(record[[#This Row],[employeeID]],員工[],2,FALSE)</f>
        <v>廖俊彥</v>
      </c>
    </row>
    <row r="7820" spans="6:19" hidden="1" x14ac:dyDescent="0.25">
      <c r="F7820" t="s">
        <v>989</v>
      </c>
      <c r="G7820" t="s">
        <v>466</v>
      </c>
      <c r="H7820" t="str">
        <f>VLOOKUP(record[[#This Row],[ProcessSN]],表格2_7[],2,FALSE)</f>
        <v>30-4118-018-XXX</v>
      </c>
      <c r="I7820" t="str">
        <f>VLOOKUP(record[[#This Row],[ProcessSN]],表格2_7[],3,FALSE)</f>
        <v>#01-2</v>
      </c>
      <c r="J7820" t="s">
        <v>588</v>
      </c>
      <c r="K7820" s="195">
        <v>45901.644293981481</v>
      </c>
      <c r="L7820">
        <v>504</v>
      </c>
      <c r="M7820">
        <v>0</v>
      </c>
      <c r="N7820" s="98" t="str">
        <f>IF(record[[#This Row],[Memo]]="Browser:chrome os:android","平板報工",IF(record[[#This Row],[Memo]]=0,"委外",record[[#This Row],[Memo]]))</f>
        <v/>
      </c>
      <c r="O7820" t="s">
        <v>58</v>
      </c>
      <c r="P7820" t="s">
        <v>119</v>
      </c>
      <c r="Q7820" t="s">
        <v>58</v>
      </c>
      <c r="R7820" t="str">
        <f>IFERROR(VLOOKUP(record[[#This Row],[PCUSTID]],廠商[],2,FALSE),"")</f>
        <v/>
      </c>
      <c r="S7820" t="str">
        <f>VLOOKUP(record[[#This Row],[employeeID]],員工[],2,FALSE)</f>
        <v>廖俊彥</v>
      </c>
    </row>
    <row r="7821" spans="6:19" hidden="1" x14ac:dyDescent="0.25">
      <c r="F7821" t="s">
        <v>820</v>
      </c>
      <c r="G7821" t="s">
        <v>425</v>
      </c>
      <c r="H7821" t="str">
        <f>VLOOKUP(record[[#This Row],[ProcessSN]],表格2_7[],2,FALSE)</f>
        <v>30-4118-018-600</v>
      </c>
      <c r="I7821" t="str">
        <f>VLOOKUP(record[[#This Row],[ProcessSN]],表格2_7[],3,FALSE)</f>
        <v>#100</v>
      </c>
      <c r="J7821" t="s">
        <v>598</v>
      </c>
      <c r="K7821" s="195">
        <v>45901.614722222221</v>
      </c>
      <c r="L7821">
        <v>2</v>
      </c>
      <c r="M7821">
        <v>0</v>
      </c>
      <c r="N7821" s="98" t="str">
        <f>IF(record[[#This Row],[Memo]]="Browser:chrome os:android","平板報工",IF(record[[#This Row],[Memo]]=0,"委外",record[[#This Row],[Memo]]))</f>
        <v/>
      </c>
      <c r="O7821" t="s">
        <v>58</v>
      </c>
      <c r="P7821" t="s">
        <v>141</v>
      </c>
      <c r="Q7821" t="s">
        <v>58</v>
      </c>
      <c r="R7821" t="str">
        <f>IFERROR(VLOOKUP(record[[#This Row],[PCUSTID]],廠商[],2,FALSE),"")</f>
        <v/>
      </c>
      <c r="S7821" t="str">
        <f>VLOOKUP(record[[#This Row],[employeeID]],員工[],2,FALSE)</f>
        <v>蔣梅</v>
      </c>
    </row>
    <row r="7822" spans="6:19" hidden="1" x14ac:dyDescent="0.25">
      <c r="F7822" t="s">
        <v>1012</v>
      </c>
      <c r="G7822" t="s">
        <v>400</v>
      </c>
      <c r="H7822" t="str">
        <f>VLOOKUP(record[[#This Row],[ProcessSN]],表格2_7[],2,FALSE)</f>
        <v>30-4118-018-550</v>
      </c>
      <c r="I7822" t="str">
        <f>VLOOKUP(record[[#This Row],[ProcessSN]],表格2_7[],3,FALSE)</f>
        <v>#100</v>
      </c>
      <c r="J7822" t="s">
        <v>598</v>
      </c>
      <c r="K7822" s="195">
        <v>45901.604861111111</v>
      </c>
      <c r="L7822">
        <v>72</v>
      </c>
      <c r="M7822">
        <v>0</v>
      </c>
      <c r="N7822" s="98" t="str">
        <f>IF(record[[#This Row],[Memo]]="Browser:chrome os:android","平板報工",IF(record[[#This Row],[Memo]]=0,"委外",record[[#This Row],[Memo]]))</f>
        <v/>
      </c>
      <c r="O7822" t="s">
        <v>58</v>
      </c>
      <c r="P7822" t="s">
        <v>141</v>
      </c>
      <c r="Q7822" t="s">
        <v>58</v>
      </c>
      <c r="R7822" t="str">
        <f>IFERROR(VLOOKUP(record[[#This Row],[PCUSTID]],廠商[],2,FALSE),"")</f>
        <v/>
      </c>
      <c r="S7822" t="str">
        <f>VLOOKUP(record[[#This Row],[employeeID]],員工[],2,FALSE)</f>
        <v>蔣梅</v>
      </c>
    </row>
    <row r="7823" spans="6:19" hidden="1" x14ac:dyDescent="0.25">
      <c r="F7823" t="s">
        <v>1012</v>
      </c>
      <c r="G7823" t="s">
        <v>399</v>
      </c>
      <c r="H7823" t="str">
        <f>VLOOKUP(record[[#This Row],[ProcessSN]],表格2_7[],2,FALSE)</f>
        <v>30-4118-018-550</v>
      </c>
      <c r="I7823" t="str">
        <f>VLOOKUP(record[[#This Row],[ProcessSN]],表格2_7[],3,FALSE)</f>
        <v>#08IQC</v>
      </c>
      <c r="J7823" t="s">
        <v>583</v>
      </c>
      <c r="K7823" s="195">
        <v>45901.604664351849</v>
      </c>
      <c r="L7823">
        <v>5</v>
      </c>
      <c r="M7823">
        <v>0</v>
      </c>
      <c r="N7823" s="98" t="str">
        <f>IF(record[[#This Row],[Memo]]="Browser:chrome os:android","平板報工",IF(record[[#This Row],[Memo]]=0,"委外",record[[#This Row],[Memo]]))</f>
        <v/>
      </c>
      <c r="O7823" t="s">
        <v>58</v>
      </c>
      <c r="P7823" t="s">
        <v>141</v>
      </c>
      <c r="Q7823" t="s">
        <v>58</v>
      </c>
      <c r="R7823" t="str">
        <f>IFERROR(VLOOKUP(record[[#This Row],[PCUSTID]],廠商[],2,FALSE),"")</f>
        <v/>
      </c>
      <c r="S7823" t="str">
        <f>VLOOKUP(record[[#This Row],[employeeID]],員工[],2,FALSE)</f>
        <v>蔣梅</v>
      </c>
    </row>
    <row r="7824" spans="6:19" hidden="1" x14ac:dyDescent="0.25">
      <c r="F7824" t="s">
        <v>1012</v>
      </c>
      <c r="G7824" t="s">
        <v>398</v>
      </c>
      <c r="H7824" t="str">
        <f>VLOOKUP(record[[#This Row],[ProcessSN]],表格2_7[],2,FALSE)</f>
        <v>30-4118-018-550</v>
      </c>
      <c r="I7824" t="str">
        <f>VLOOKUP(record[[#This Row],[ProcessSN]],表格2_7[],3,FALSE)</f>
        <v>#08RCV</v>
      </c>
      <c r="J7824" t="s">
        <v>591</v>
      </c>
      <c r="K7824" s="195">
        <v>45901.604444444441</v>
      </c>
      <c r="L7824">
        <v>0</v>
      </c>
      <c r="M7824">
        <v>1</v>
      </c>
      <c r="N7824" s="98" t="str">
        <f>IF(record[[#This Row],[Memo]]="Browser:chrome os:android","平板報工",IF(record[[#This Row],[Memo]]=0,"委外",record[[#This Row],[Memo]]))</f>
        <v/>
      </c>
      <c r="O7824" t="s">
        <v>58</v>
      </c>
      <c r="P7824" t="s">
        <v>141</v>
      </c>
      <c r="Q7824" t="s">
        <v>58</v>
      </c>
      <c r="R7824" t="str">
        <f>IFERROR(VLOOKUP(record[[#This Row],[PCUSTID]],廠商[],2,FALSE),"")</f>
        <v/>
      </c>
      <c r="S7824" t="str">
        <f>VLOOKUP(record[[#This Row],[employeeID]],員工[],2,FALSE)</f>
        <v>蔣梅</v>
      </c>
    </row>
    <row r="7825" spans="6:19" hidden="1" x14ac:dyDescent="0.25">
      <c r="F7825" t="s">
        <v>1012</v>
      </c>
      <c r="G7825" t="s">
        <v>398</v>
      </c>
      <c r="H7825" t="str">
        <f>VLOOKUP(record[[#This Row],[ProcessSN]],表格2_7[],2,FALSE)</f>
        <v>30-4118-018-550</v>
      </c>
      <c r="I7825" t="str">
        <f>VLOOKUP(record[[#This Row],[ProcessSN]],表格2_7[],3,FALSE)</f>
        <v>#08RCV</v>
      </c>
      <c r="J7825" t="s">
        <v>591</v>
      </c>
      <c r="K7825" s="195">
        <v>45901.604212962964</v>
      </c>
      <c r="L7825">
        <v>5</v>
      </c>
      <c r="M7825">
        <v>0</v>
      </c>
      <c r="N7825" s="98" t="str">
        <f>IF(record[[#This Row],[Memo]]="Browser:chrome os:android","平板報工",IF(record[[#This Row],[Memo]]=0,"委外",record[[#This Row],[Memo]]))</f>
        <v/>
      </c>
      <c r="O7825" t="s">
        <v>58</v>
      </c>
      <c r="P7825" t="s">
        <v>141</v>
      </c>
      <c r="Q7825" t="s">
        <v>58</v>
      </c>
      <c r="R7825" t="str">
        <f>IFERROR(VLOOKUP(record[[#This Row],[PCUSTID]],廠商[],2,FALSE),"")</f>
        <v/>
      </c>
      <c r="S7825" t="str">
        <f>VLOOKUP(record[[#This Row],[employeeID]],員工[],2,FALSE)</f>
        <v>蔣梅</v>
      </c>
    </row>
    <row r="7826" spans="6:19" hidden="1" x14ac:dyDescent="0.25">
      <c r="F7826" t="s">
        <v>812</v>
      </c>
      <c r="G7826" t="s">
        <v>400</v>
      </c>
      <c r="H7826" t="str">
        <f>VLOOKUP(record[[#This Row],[ProcessSN]],表格2_7[],2,FALSE)</f>
        <v>30-4118-018-550</v>
      </c>
      <c r="I7826" t="str">
        <f>VLOOKUP(record[[#This Row],[ProcessSN]],表格2_7[],3,FALSE)</f>
        <v>#100</v>
      </c>
      <c r="J7826" t="s">
        <v>598</v>
      </c>
      <c r="K7826" s="195">
        <v>45901.603229166663</v>
      </c>
      <c r="L7826">
        <v>6</v>
      </c>
      <c r="M7826">
        <v>0</v>
      </c>
      <c r="N7826" s="98" t="str">
        <f>IF(record[[#This Row],[Memo]]="Browser:chrome os:android","平板報工",IF(record[[#This Row],[Memo]]=0,"委外",record[[#This Row],[Memo]]))</f>
        <v/>
      </c>
      <c r="O7826" t="s">
        <v>58</v>
      </c>
      <c r="P7826" t="s">
        <v>141</v>
      </c>
      <c r="Q7826" t="s">
        <v>58</v>
      </c>
      <c r="R7826" t="str">
        <f>IFERROR(VLOOKUP(record[[#This Row],[PCUSTID]],廠商[],2,FALSE),"")</f>
        <v/>
      </c>
      <c r="S7826" t="str">
        <f>VLOOKUP(record[[#This Row],[employeeID]],員工[],2,FALSE)</f>
        <v>蔣梅</v>
      </c>
    </row>
    <row r="7827" spans="6:19" hidden="1" x14ac:dyDescent="0.25">
      <c r="F7827" t="s">
        <v>801</v>
      </c>
      <c r="G7827" t="s">
        <v>400</v>
      </c>
      <c r="H7827" t="str">
        <f>VLOOKUP(record[[#This Row],[ProcessSN]],表格2_7[],2,FALSE)</f>
        <v>30-4118-018-550</v>
      </c>
      <c r="I7827" t="str">
        <f>VLOOKUP(record[[#This Row],[ProcessSN]],表格2_7[],3,FALSE)</f>
        <v>#100</v>
      </c>
      <c r="J7827" t="s">
        <v>598</v>
      </c>
      <c r="K7827" s="195">
        <v>45901.603055555555</v>
      </c>
      <c r="L7827">
        <v>15</v>
      </c>
      <c r="M7827">
        <v>0</v>
      </c>
      <c r="N7827" s="98" t="str">
        <f>IF(record[[#This Row],[Memo]]="Browser:chrome os:android","平板報工",IF(record[[#This Row],[Memo]]=0,"委外",record[[#This Row],[Memo]]))</f>
        <v/>
      </c>
      <c r="O7827" t="s">
        <v>58</v>
      </c>
      <c r="P7827" t="s">
        <v>141</v>
      </c>
      <c r="Q7827" t="s">
        <v>58</v>
      </c>
      <c r="R7827" t="str">
        <f>IFERROR(VLOOKUP(record[[#This Row],[PCUSTID]],廠商[],2,FALSE),"")</f>
        <v/>
      </c>
      <c r="S7827" t="str">
        <f>VLOOKUP(record[[#This Row],[employeeID]],員工[],2,FALSE)</f>
        <v>蔣梅</v>
      </c>
    </row>
    <row r="7828" spans="6:19" hidden="1" x14ac:dyDescent="0.25">
      <c r="F7828" t="s">
        <v>984</v>
      </c>
      <c r="G7828" t="s">
        <v>425</v>
      </c>
      <c r="H7828" t="str">
        <f>VLOOKUP(record[[#This Row],[ProcessSN]],表格2_7[],2,FALSE)</f>
        <v>30-4118-018-600</v>
      </c>
      <c r="I7828" t="str">
        <f>VLOOKUP(record[[#This Row],[ProcessSN]],表格2_7[],3,FALSE)</f>
        <v>#100</v>
      </c>
      <c r="J7828" t="s">
        <v>598</v>
      </c>
      <c r="K7828" s="195">
        <v>45901.577997685185</v>
      </c>
      <c r="L7828">
        <v>267</v>
      </c>
      <c r="M7828">
        <v>0</v>
      </c>
      <c r="N7828" s="98" t="str">
        <f>IF(record[[#This Row],[Memo]]="Browser:chrome os:android","平板報工",IF(record[[#This Row],[Memo]]=0,"委外",record[[#This Row],[Memo]]))</f>
        <v/>
      </c>
      <c r="O7828" t="s">
        <v>58</v>
      </c>
      <c r="P7828" t="s">
        <v>141</v>
      </c>
      <c r="Q7828" t="s">
        <v>58</v>
      </c>
      <c r="R7828" t="str">
        <f>IFERROR(VLOOKUP(record[[#This Row],[PCUSTID]],廠商[],2,FALSE),"")</f>
        <v/>
      </c>
      <c r="S7828" t="str">
        <f>VLOOKUP(record[[#This Row],[employeeID]],員工[],2,FALSE)</f>
        <v>蔣梅</v>
      </c>
    </row>
    <row r="7829" spans="6:19" hidden="1" x14ac:dyDescent="0.25">
      <c r="F7829" t="s">
        <v>984</v>
      </c>
      <c r="G7829" t="s">
        <v>424</v>
      </c>
      <c r="H7829" t="str">
        <f>VLOOKUP(record[[#This Row],[ProcessSN]],表格2_7[],2,FALSE)</f>
        <v>30-4118-018-600</v>
      </c>
      <c r="I7829" t="str">
        <f>VLOOKUP(record[[#This Row],[ProcessSN]],表格2_7[],3,FALSE)</f>
        <v>#08IQC</v>
      </c>
      <c r="J7829" t="s">
        <v>583</v>
      </c>
      <c r="K7829" s="195">
        <v>45901.577696759261</v>
      </c>
      <c r="L7829">
        <v>31</v>
      </c>
      <c r="M7829">
        <v>0</v>
      </c>
      <c r="N7829" s="98" t="str">
        <f>IF(record[[#This Row],[Memo]]="Browser:chrome os:android","平板報工",IF(record[[#This Row],[Memo]]=0,"委外",record[[#This Row],[Memo]]))</f>
        <v/>
      </c>
      <c r="O7829" t="s">
        <v>58</v>
      </c>
      <c r="P7829" t="s">
        <v>141</v>
      </c>
      <c r="Q7829" t="s">
        <v>58</v>
      </c>
      <c r="R7829" t="str">
        <f>IFERROR(VLOOKUP(record[[#This Row],[PCUSTID]],廠商[],2,FALSE),"")</f>
        <v/>
      </c>
      <c r="S7829" t="str">
        <f>VLOOKUP(record[[#This Row],[employeeID]],員工[],2,FALSE)</f>
        <v>蔣梅</v>
      </c>
    </row>
    <row r="7830" spans="6:19" hidden="1" x14ac:dyDescent="0.25">
      <c r="F7830" t="s">
        <v>984</v>
      </c>
      <c r="G7830" t="s">
        <v>423</v>
      </c>
      <c r="H7830" t="str">
        <f>VLOOKUP(record[[#This Row],[ProcessSN]],表格2_7[],2,FALSE)</f>
        <v>30-4118-018-600</v>
      </c>
      <c r="I7830" t="str">
        <f>VLOOKUP(record[[#This Row],[ProcessSN]],表格2_7[],3,FALSE)</f>
        <v>#08RCV</v>
      </c>
      <c r="J7830" t="s">
        <v>591</v>
      </c>
      <c r="K7830" s="195">
        <v>45901.577499999999</v>
      </c>
      <c r="L7830">
        <v>31</v>
      </c>
      <c r="M7830">
        <v>0</v>
      </c>
      <c r="N7830" s="98" t="str">
        <f>IF(record[[#This Row],[Memo]]="Browser:chrome os:android","平板報工",IF(record[[#This Row],[Memo]]=0,"委外",record[[#This Row],[Memo]]))</f>
        <v/>
      </c>
      <c r="O7830" t="s">
        <v>58</v>
      </c>
      <c r="P7830" t="s">
        <v>141</v>
      </c>
      <c r="Q7830" t="s">
        <v>58</v>
      </c>
      <c r="R7830" t="str">
        <f>IFERROR(VLOOKUP(record[[#This Row],[PCUSTID]],廠商[],2,FALSE),"")</f>
        <v/>
      </c>
      <c r="S7830" t="str">
        <f>VLOOKUP(record[[#This Row],[employeeID]],員工[],2,FALSE)</f>
        <v>蔣梅</v>
      </c>
    </row>
    <row r="7831" spans="6:19" hidden="1" x14ac:dyDescent="0.25">
      <c r="F7831" t="s">
        <v>984</v>
      </c>
      <c r="G7831" t="s">
        <v>423</v>
      </c>
      <c r="H7831" t="str">
        <f>VLOOKUP(record[[#This Row],[ProcessSN]],表格2_7[],2,FALSE)</f>
        <v>30-4118-018-600</v>
      </c>
      <c r="I7831" t="str">
        <f>VLOOKUP(record[[#This Row],[ProcessSN]],表格2_7[],3,FALSE)</f>
        <v>#08RCV</v>
      </c>
      <c r="J7831" t="s">
        <v>591</v>
      </c>
      <c r="K7831" s="195">
        <v>45901.577222222222</v>
      </c>
      <c r="L7831">
        <v>0</v>
      </c>
      <c r="M7831">
        <v>17</v>
      </c>
      <c r="N7831" s="98" t="str">
        <f>IF(record[[#This Row],[Memo]]="Browser:chrome os:android","平板報工",IF(record[[#This Row],[Memo]]=0,"委外",record[[#This Row],[Memo]]))</f>
        <v/>
      </c>
      <c r="O7831" t="s">
        <v>58</v>
      </c>
      <c r="P7831" t="s">
        <v>141</v>
      </c>
      <c r="Q7831" t="s">
        <v>58</v>
      </c>
      <c r="R7831" t="str">
        <f>IFERROR(VLOOKUP(record[[#This Row],[PCUSTID]],廠商[],2,FALSE),"")</f>
        <v/>
      </c>
      <c r="S7831" t="str">
        <f>VLOOKUP(record[[#This Row],[employeeID]],員工[],2,FALSE)</f>
        <v>蔣梅</v>
      </c>
    </row>
    <row r="7832" spans="6:19" hidden="1" x14ac:dyDescent="0.25">
      <c r="F7832" t="s">
        <v>989</v>
      </c>
      <c r="G7832" t="s">
        <v>469</v>
      </c>
      <c r="H7832" t="str">
        <f>VLOOKUP(record[[#This Row],[ProcessSN]],表格2_7[],2,FALSE)</f>
        <v>30-4118-018-XXX</v>
      </c>
      <c r="I7832" t="str">
        <f>VLOOKUP(record[[#This Row],[ProcessSN]],表格2_7[],3,FALSE)</f>
        <v>#02RCV</v>
      </c>
      <c r="J7832" t="s">
        <v>591</v>
      </c>
      <c r="K7832" s="195">
        <v>45901.475590277776</v>
      </c>
      <c r="L7832">
        <v>366</v>
      </c>
      <c r="M7832">
        <v>0</v>
      </c>
      <c r="N7832" s="98" t="str">
        <f>IF(record[[#This Row],[Memo]]="Browser:chrome os:android","平板報工",IF(record[[#This Row],[Memo]]=0,"委外",record[[#This Row],[Memo]]))</f>
        <v/>
      </c>
      <c r="O7832" t="s">
        <v>58</v>
      </c>
      <c r="P7832" t="s">
        <v>186</v>
      </c>
      <c r="Q7832" t="s">
        <v>58</v>
      </c>
      <c r="R7832" t="str">
        <f>IFERROR(VLOOKUP(record[[#This Row],[PCUSTID]],廠商[],2,FALSE),"")</f>
        <v/>
      </c>
      <c r="S7832" t="str">
        <f>VLOOKUP(record[[#This Row],[employeeID]],員工[],2,FALSE)</f>
        <v>許文姍</v>
      </c>
    </row>
    <row r="7833" spans="6:19" hidden="1" x14ac:dyDescent="0.25">
      <c r="F7833" t="s">
        <v>922</v>
      </c>
      <c r="G7833" t="s">
        <v>469</v>
      </c>
      <c r="H7833" t="str">
        <f>VLOOKUP(record[[#This Row],[ProcessSN]],表格2_7[],2,FALSE)</f>
        <v>30-4118-018-XXX</v>
      </c>
      <c r="I7833" t="str">
        <f>VLOOKUP(record[[#This Row],[ProcessSN]],表格2_7[],3,FALSE)</f>
        <v>#02RCV</v>
      </c>
      <c r="J7833" t="s">
        <v>591</v>
      </c>
      <c r="K7833" s="195">
        <v>45901.475439814814</v>
      </c>
      <c r="L7833">
        <v>810</v>
      </c>
      <c r="M7833">
        <v>0</v>
      </c>
      <c r="N7833" s="98" t="str">
        <f>IF(record[[#This Row],[Memo]]="Browser:chrome os:android","平板報工",IF(record[[#This Row],[Memo]]=0,"委外",record[[#This Row],[Memo]]))</f>
        <v/>
      </c>
      <c r="O7833" t="s">
        <v>58</v>
      </c>
      <c r="P7833" t="s">
        <v>186</v>
      </c>
      <c r="Q7833" t="s">
        <v>58</v>
      </c>
      <c r="R7833" t="str">
        <f>IFERROR(VLOOKUP(record[[#This Row],[PCUSTID]],廠商[],2,FALSE),"")</f>
        <v/>
      </c>
      <c r="S7833" t="str">
        <f>VLOOKUP(record[[#This Row],[employeeID]],員工[],2,FALSE)</f>
        <v>許文姍</v>
      </c>
    </row>
    <row r="7834" spans="6:19" hidden="1" x14ac:dyDescent="0.25">
      <c r="F7834" t="s">
        <v>900</v>
      </c>
      <c r="G7834" t="s">
        <v>453</v>
      </c>
      <c r="H7834" t="str">
        <f>VLOOKUP(record[[#This Row],[ProcessSN]],表格2_7[],2,FALSE)</f>
        <v>30-4118-018-6XX</v>
      </c>
      <c r="I7834" t="str">
        <f>VLOOKUP(record[[#This Row],[ProcessSN]],表格2_7[],3,FALSE)</f>
        <v>#07STOCK</v>
      </c>
      <c r="J7834" t="s">
        <v>592</v>
      </c>
      <c r="K7834" s="195">
        <v>45901.452141203707</v>
      </c>
      <c r="L7834">
        <v>-56</v>
      </c>
      <c r="M7834">
        <v>0</v>
      </c>
      <c r="N7834" s="98" t="str">
        <f>IF(record[[#This Row],[Memo]]="Browser:chrome os:android","平板報工",IF(record[[#This Row],[Memo]]=0,"委外",record[[#This Row],[Memo]]))</f>
        <v>重工NG</v>
      </c>
      <c r="O7834" t="s">
        <v>1020</v>
      </c>
      <c r="P7834" t="s">
        <v>113</v>
      </c>
      <c r="Q7834" t="s">
        <v>58</v>
      </c>
      <c r="R7834" t="str">
        <f>IFERROR(VLOOKUP(record[[#This Row],[PCUSTID]],廠商[],2,FALSE),"")</f>
        <v/>
      </c>
      <c r="S7834" t="str">
        <f>VLOOKUP(record[[#This Row],[employeeID]],員工[],2,FALSE)</f>
        <v>王奕蓁</v>
      </c>
    </row>
    <row r="7835" spans="6:19" hidden="1" x14ac:dyDescent="0.25">
      <c r="F7835" t="s">
        <v>900</v>
      </c>
      <c r="G7835" t="s">
        <v>452</v>
      </c>
      <c r="H7835" t="str">
        <f>VLOOKUP(record[[#This Row],[ProcessSN]],表格2_7[],2,FALSE)</f>
        <v>30-4118-018-6XX</v>
      </c>
      <c r="I7835" t="str">
        <f>VLOOKUP(record[[#This Row],[ProcessSN]],表格2_7[],3,FALSE)</f>
        <v>#07QC</v>
      </c>
      <c r="J7835" t="s">
        <v>589</v>
      </c>
      <c r="K7835" s="195">
        <v>45901.45144675926</v>
      </c>
      <c r="L7835">
        <v>-56</v>
      </c>
      <c r="M7835">
        <v>56</v>
      </c>
      <c r="N7835" s="98" t="str">
        <f>IF(record[[#This Row],[Memo]]="Browser:chrome os:android","平板報工",IF(record[[#This Row],[Memo]]=0,"委外",record[[#This Row],[Memo]]))</f>
        <v>重工NG</v>
      </c>
      <c r="O7835" t="s">
        <v>1020</v>
      </c>
      <c r="P7835" t="s">
        <v>113</v>
      </c>
      <c r="Q7835" t="s">
        <v>58</v>
      </c>
      <c r="R7835" t="str">
        <f>IFERROR(VLOOKUP(record[[#This Row],[PCUSTID]],廠商[],2,FALSE),"")</f>
        <v/>
      </c>
      <c r="S7835" t="str">
        <f>VLOOKUP(record[[#This Row],[employeeID]],員工[],2,FALSE)</f>
        <v>王奕蓁</v>
      </c>
    </row>
    <row r="7836" spans="6:19" hidden="1" x14ac:dyDescent="0.25">
      <c r="F7836" t="s">
        <v>989</v>
      </c>
      <c r="G7836" t="s">
        <v>466</v>
      </c>
      <c r="H7836" t="str">
        <f>VLOOKUP(record[[#This Row],[ProcessSN]],表格2_7[],2,FALSE)</f>
        <v>30-4118-018-XXX</v>
      </c>
      <c r="I7836" t="str">
        <f>VLOOKUP(record[[#This Row],[ProcessSN]],表格2_7[],3,FALSE)</f>
        <v>#01-2</v>
      </c>
      <c r="J7836" t="s">
        <v>588</v>
      </c>
      <c r="K7836" s="195">
        <v>45899.309953703705</v>
      </c>
      <c r="L7836">
        <v>368</v>
      </c>
      <c r="M7836">
        <v>0</v>
      </c>
      <c r="N7836" s="98" t="str">
        <f>IF(record[[#This Row],[Memo]]="Browser:chrome os:android","平板報工",IF(record[[#This Row],[Memo]]=0,"委外",record[[#This Row],[Memo]]))</f>
        <v/>
      </c>
      <c r="O7836" t="s">
        <v>58</v>
      </c>
      <c r="P7836" t="s">
        <v>135</v>
      </c>
      <c r="Q7836" t="s">
        <v>58</v>
      </c>
      <c r="R7836" t="str">
        <f>IFERROR(VLOOKUP(record[[#This Row],[PCUSTID]],廠商[],2,FALSE),"")</f>
        <v/>
      </c>
      <c r="S7836" t="str">
        <f>VLOOKUP(record[[#This Row],[employeeID]],員工[],2,FALSE)</f>
        <v>阮士文</v>
      </c>
    </row>
    <row r="7837" spans="6:19" hidden="1" x14ac:dyDescent="0.25">
      <c r="F7837" t="s">
        <v>1001</v>
      </c>
      <c r="G7837" t="s">
        <v>416</v>
      </c>
      <c r="H7837" t="str">
        <f>VLOOKUP(record[[#This Row],[ProcessSN]],表格2_7[],2,FALSE)</f>
        <v>30-4118-018-5XX</v>
      </c>
      <c r="I7837" t="str">
        <f>VLOOKUP(record[[#This Row],[ProcessSN]],表格2_7[],3,FALSE)</f>
        <v>#05</v>
      </c>
      <c r="J7837" t="s">
        <v>588</v>
      </c>
      <c r="K7837" s="195">
        <v>45899.309490740743</v>
      </c>
      <c r="L7837">
        <v>167</v>
      </c>
      <c r="M7837">
        <v>0</v>
      </c>
      <c r="N7837" s="98" t="str">
        <f>IF(record[[#This Row],[Memo]]="Browser:chrome os:android","平板報工",IF(record[[#This Row],[Memo]]=0,"委外",record[[#This Row],[Memo]]))</f>
        <v/>
      </c>
      <c r="O7837" t="s">
        <v>58</v>
      </c>
      <c r="P7837" t="s">
        <v>135</v>
      </c>
      <c r="Q7837" t="s">
        <v>58</v>
      </c>
      <c r="R7837" t="str">
        <f>IFERROR(VLOOKUP(record[[#This Row],[PCUSTID]],廠商[],2,FALSE),"")</f>
        <v/>
      </c>
      <c r="S7837" t="str">
        <f>VLOOKUP(record[[#This Row],[employeeID]],員工[],2,FALSE)</f>
        <v>阮士文</v>
      </c>
    </row>
    <row r="7838" spans="6:19" hidden="1" x14ac:dyDescent="0.25">
      <c r="F7838" t="s">
        <v>1015</v>
      </c>
      <c r="G7838" t="s">
        <v>416</v>
      </c>
      <c r="H7838" t="str">
        <f>VLOOKUP(record[[#This Row],[ProcessSN]],表格2_7[],2,FALSE)</f>
        <v>30-4118-018-5XX</v>
      </c>
      <c r="I7838" t="str">
        <f>VLOOKUP(record[[#This Row],[ProcessSN]],表格2_7[],3,FALSE)</f>
        <v>#05</v>
      </c>
      <c r="J7838" t="s">
        <v>588</v>
      </c>
      <c r="K7838" s="195">
        <v>45899.309340277781</v>
      </c>
      <c r="L7838">
        <v>129</v>
      </c>
      <c r="M7838">
        <v>0</v>
      </c>
      <c r="N7838" s="98" t="str">
        <f>IF(record[[#This Row],[Memo]]="Browser:chrome os:android","平板報工",IF(record[[#This Row],[Memo]]=0,"委外",record[[#This Row],[Memo]]))</f>
        <v/>
      </c>
      <c r="O7838" t="s">
        <v>58</v>
      </c>
      <c r="P7838" t="s">
        <v>135</v>
      </c>
      <c r="Q7838" t="s">
        <v>58</v>
      </c>
      <c r="R7838" t="str">
        <f>IFERROR(VLOOKUP(record[[#This Row],[PCUSTID]],廠商[],2,FALSE),"")</f>
        <v/>
      </c>
      <c r="S7838" t="str">
        <f>VLOOKUP(record[[#This Row],[employeeID]],員工[],2,FALSE)</f>
        <v>阮士文</v>
      </c>
    </row>
    <row r="7839" spans="6:19" hidden="1" x14ac:dyDescent="0.25">
      <c r="F7839" t="s">
        <v>1015</v>
      </c>
      <c r="G7839" t="s">
        <v>417</v>
      </c>
      <c r="H7839" t="str">
        <f>VLOOKUP(record[[#This Row],[ProcessSN]],表格2_7[],2,FALSE)</f>
        <v>30-4118-018-5XX</v>
      </c>
      <c r="I7839" t="str">
        <f>VLOOKUP(record[[#This Row],[ProcessSN]],表格2_7[],3,FALSE)</f>
        <v>#06</v>
      </c>
      <c r="J7839" t="s">
        <v>593</v>
      </c>
      <c r="K7839" s="195">
        <v>45899.126782407409</v>
      </c>
      <c r="L7839">
        <v>61</v>
      </c>
      <c r="M7839">
        <v>2</v>
      </c>
      <c r="N7839" s="98" t="str">
        <f>IF(record[[#This Row],[Memo]]="Browser:chrome os:android","平板報工",IF(record[[#This Row],[Memo]]=0,"委外",record[[#This Row],[Memo]]))</f>
        <v>平板報工</v>
      </c>
      <c r="O7839" t="s">
        <v>643</v>
      </c>
      <c r="P7839" t="s">
        <v>841</v>
      </c>
      <c r="Q7839" t="s">
        <v>644</v>
      </c>
      <c r="R7839" t="str">
        <f>IFERROR(VLOOKUP(record[[#This Row],[PCUSTID]],廠商[],2,FALSE),"")</f>
        <v/>
      </c>
      <c r="S7839" t="str">
        <f>VLOOKUP(record[[#This Row],[employeeID]],員工[],2,FALSE)</f>
        <v>范氏香</v>
      </c>
    </row>
    <row r="7840" spans="6:19" hidden="1" x14ac:dyDescent="0.25">
      <c r="F7840" t="s">
        <v>1015</v>
      </c>
      <c r="G7840" t="s">
        <v>417</v>
      </c>
      <c r="H7840" t="str">
        <f>VLOOKUP(record[[#This Row],[ProcessSN]],表格2_7[],2,FALSE)</f>
        <v>30-4118-018-5XX</v>
      </c>
      <c r="I7840" t="str">
        <f>VLOOKUP(record[[#This Row],[ProcessSN]],表格2_7[],3,FALSE)</f>
        <v>#06</v>
      </c>
      <c r="J7840" t="s">
        <v>593</v>
      </c>
      <c r="K7840" s="195">
        <v>45898.974212962959</v>
      </c>
      <c r="L7840">
        <v>90</v>
      </c>
      <c r="M7840">
        <v>0</v>
      </c>
      <c r="N7840" s="98" t="str">
        <f>IF(record[[#This Row],[Memo]]="Browser:chrome os:android","平板報工",IF(record[[#This Row],[Memo]]=0,"委外",record[[#This Row],[Memo]]))</f>
        <v/>
      </c>
      <c r="O7840" t="s">
        <v>58</v>
      </c>
      <c r="P7840" t="s">
        <v>841</v>
      </c>
      <c r="Q7840" t="s">
        <v>58</v>
      </c>
      <c r="R7840" t="str">
        <f>IFERROR(VLOOKUP(record[[#This Row],[PCUSTID]],廠商[],2,FALSE),"")</f>
        <v/>
      </c>
      <c r="S7840" t="str">
        <f>VLOOKUP(record[[#This Row],[employeeID]],員工[],2,FALSE)</f>
        <v>范氏香</v>
      </c>
    </row>
    <row r="7841" spans="6:19" hidden="1" x14ac:dyDescent="0.25">
      <c r="F7841" t="s">
        <v>989</v>
      </c>
      <c r="G7841" t="s">
        <v>466</v>
      </c>
      <c r="H7841" t="str">
        <f>VLOOKUP(record[[#This Row],[ProcessSN]],表格2_7[],2,FALSE)</f>
        <v>30-4118-018-XXX</v>
      </c>
      <c r="I7841" t="str">
        <f>VLOOKUP(record[[#This Row],[ProcessSN]],表格2_7[],3,FALSE)</f>
        <v>#01-2</v>
      </c>
      <c r="J7841" t="s">
        <v>588</v>
      </c>
      <c r="K7841" s="195">
        <v>45898.968182870369</v>
      </c>
      <c r="L7841">
        <v>186</v>
      </c>
      <c r="M7841">
        <v>0</v>
      </c>
      <c r="N7841" s="98" t="str">
        <f>IF(record[[#This Row],[Memo]]="Browser:chrome os:android","平板報工",IF(record[[#This Row],[Memo]]=0,"委外",record[[#This Row],[Memo]]))</f>
        <v/>
      </c>
      <c r="O7841" t="s">
        <v>58</v>
      </c>
      <c r="P7841" t="s">
        <v>806</v>
      </c>
      <c r="Q7841" t="s">
        <v>58</v>
      </c>
      <c r="R7841" t="str">
        <f>IFERROR(VLOOKUP(record[[#This Row],[PCUSTID]],廠商[],2,FALSE),"")</f>
        <v/>
      </c>
      <c r="S7841" t="str">
        <f>VLOOKUP(record[[#This Row],[employeeID]],員工[],2,FALSE)</f>
        <v>方思緯</v>
      </c>
    </row>
    <row r="7842" spans="6:19" hidden="1" x14ac:dyDescent="0.25">
      <c r="F7842" t="s">
        <v>1015</v>
      </c>
      <c r="G7842" t="s">
        <v>416</v>
      </c>
      <c r="H7842" t="str">
        <f>VLOOKUP(record[[#This Row],[ProcessSN]],表格2_7[],2,FALSE)</f>
        <v>30-4118-018-5XX</v>
      </c>
      <c r="I7842" t="str">
        <f>VLOOKUP(record[[#This Row],[ProcessSN]],表格2_7[],3,FALSE)</f>
        <v>#05</v>
      </c>
      <c r="J7842" t="s">
        <v>588</v>
      </c>
      <c r="K7842" s="195">
        <v>45898.967465277776</v>
      </c>
      <c r="L7842">
        <v>142</v>
      </c>
      <c r="M7842">
        <v>0</v>
      </c>
      <c r="N7842" s="98" t="str">
        <f>IF(record[[#This Row],[Memo]]="Browser:chrome os:android","平板報工",IF(record[[#This Row],[Memo]]=0,"委外",record[[#This Row],[Memo]]))</f>
        <v/>
      </c>
      <c r="O7842" t="s">
        <v>58</v>
      </c>
      <c r="P7842" t="s">
        <v>691</v>
      </c>
      <c r="Q7842" t="s">
        <v>58</v>
      </c>
      <c r="R7842" t="str">
        <f>IFERROR(VLOOKUP(record[[#This Row],[PCUSTID]],廠商[],2,FALSE),"")</f>
        <v/>
      </c>
      <c r="S7842" t="str">
        <f>VLOOKUP(record[[#This Row],[employeeID]],員工[],2,FALSE)</f>
        <v>武氏賢</v>
      </c>
    </row>
    <row r="7843" spans="6:19" hidden="1" x14ac:dyDescent="0.25">
      <c r="F7843" t="s">
        <v>989</v>
      </c>
      <c r="G7843" t="s">
        <v>466</v>
      </c>
      <c r="H7843" t="str">
        <f>VLOOKUP(record[[#This Row],[ProcessSN]],表格2_7[],2,FALSE)</f>
        <v>30-4118-018-XXX</v>
      </c>
      <c r="I7843" t="str">
        <f>VLOOKUP(record[[#This Row],[ProcessSN]],表格2_7[],3,FALSE)</f>
        <v>#01-2</v>
      </c>
      <c r="J7843" t="s">
        <v>588</v>
      </c>
      <c r="K7843" s="195">
        <v>45898.923634259256</v>
      </c>
      <c r="L7843">
        <v>168</v>
      </c>
      <c r="M7843">
        <v>0</v>
      </c>
      <c r="N7843" s="98" t="str">
        <f>IF(record[[#This Row],[Memo]]="Browser:chrome os:android","平板報工",IF(record[[#This Row],[Memo]]=0,"委外",record[[#This Row],[Memo]]))</f>
        <v/>
      </c>
      <c r="O7843" t="s">
        <v>58</v>
      </c>
      <c r="P7843" t="s">
        <v>691</v>
      </c>
      <c r="Q7843" t="s">
        <v>58</v>
      </c>
      <c r="R7843" t="str">
        <f>IFERROR(VLOOKUP(record[[#This Row],[PCUSTID]],廠商[],2,FALSE),"")</f>
        <v/>
      </c>
      <c r="S7843" t="str">
        <f>VLOOKUP(record[[#This Row],[employeeID]],員工[],2,FALSE)</f>
        <v>武氏賢</v>
      </c>
    </row>
    <row r="7844" spans="6:19" hidden="1" x14ac:dyDescent="0.25">
      <c r="F7844" t="s">
        <v>989</v>
      </c>
      <c r="G7844" t="s">
        <v>466</v>
      </c>
      <c r="H7844" t="str">
        <f>VLOOKUP(record[[#This Row],[ProcessSN]],表格2_7[],2,FALSE)</f>
        <v>30-4118-018-XXX</v>
      </c>
      <c r="I7844" t="str">
        <f>VLOOKUP(record[[#This Row],[ProcessSN]],表格2_7[],3,FALSE)</f>
        <v>#01-2</v>
      </c>
      <c r="J7844" t="s">
        <v>588</v>
      </c>
      <c r="K7844" s="195">
        <v>45898.856458333335</v>
      </c>
      <c r="L7844">
        <v>166</v>
      </c>
      <c r="M7844">
        <v>0</v>
      </c>
      <c r="N7844" s="98" t="str">
        <f>IF(record[[#This Row],[Memo]]="Browser:chrome os:android","平板報工",IF(record[[#This Row],[Memo]]=0,"委外",record[[#This Row],[Memo]]))</f>
        <v/>
      </c>
      <c r="O7844" t="s">
        <v>58</v>
      </c>
      <c r="P7844" t="s">
        <v>785</v>
      </c>
      <c r="Q7844" t="s">
        <v>58</v>
      </c>
      <c r="R7844" t="str">
        <f>IFERROR(VLOOKUP(record[[#This Row],[PCUSTID]],廠商[],2,FALSE),"")</f>
        <v/>
      </c>
      <c r="S7844" t="str">
        <f>VLOOKUP(record[[#This Row],[employeeID]],員工[],2,FALSE)</f>
        <v>謝刻光</v>
      </c>
    </row>
    <row r="7845" spans="6:19" hidden="1" x14ac:dyDescent="0.25">
      <c r="F7845" t="s">
        <v>1015</v>
      </c>
      <c r="G7845" t="s">
        <v>416</v>
      </c>
      <c r="H7845" t="str">
        <f>VLOOKUP(record[[#This Row],[ProcessSN]],表格2_7[],2,FALSE)</f>
        <v>30-4118-018-5XX</v>
      </c>
      <c r="I7845" t="str">
        <f>VLOOKUP(record[[#This Row],[ProcessSN]],表格2_7[],3,FALSE)</f>
        <v>#05</v>
      </c>
      <c r="J7845" t="s">
        <v>588</v>
      </c>
      <c r="K7845" s="195">
        <v>45898.856087962966</v>
      </c>
      <c r="L7845">
        <v>142</v>
      </c>
      <c r="M7845">
        <v>0</v>
      </c>
      <c r="N7845" s="98" t="str">
        <f>IF(record[[#This Row],[Memo]]="Browser:chrome os:android","平板報工",IF(record[[#This Row],[Memo]]=0,"委外",record[[#This Row],[Memo]]))</f>
        <v/>
      </c>
      <c r="O7845" t="s">
        <v>58</v>
      </c>
      <c r="P7845" t="s">
        <v>785</v>
      </c>
      <c r="Q7845" t="s">
        <v>58</v>
      </c>
      <c r="R7845" t="str">
        <f>IFERROR(VLOOKUP(record[[#This Row],[PCUSTID]],廠商[],2,FALSE),"")</f>
        <v/>
      </c>
      <c r="S7845" t="str">
        <f>VLOOKUP(record[[#This Row],[employeeID]],員工[],2,FALSE)</f>
        <v>謝刻光</v>
      </c>
    </row>
    <row r="7846" spans="6:19" hidden="1" x14ac:dyDescent="0.25">
      <c r="F7846" t="s">
        <v>984</v>
      </c>
      <c r="G7846" t="s">
        <v>424</v>
      </c>
      <c r="H7846" t="str">
        <f>VLOOKUP(record[[#This Row],[ProcessSN]],表格2_7[],2,FALSE)</f>
        <v>30-4118-018-600</v>
      </c>
      <c r="I7846" t="str">
        <f>VLOOKUP(record[[#This Row],[ProcessSN]],表格2_7[],3,FALSE)</f>
        <v>#08IQC</v>
      </c>
      <c r="J7846" t="s">
        <v>583</v>
      </c>
      <c r="K7846" s="195">
        <v>45898.796215277776</v>
      </c>
      <c r="L7846">
        <v>236</v>
      </c>
      <c r="M7846">
        <v>0</v>
      </c>
      <c r="N7846" s="98" t="str">
        <f>IF(record[[#This Row],[Memo]]="Browser:chrome os:android","平板報工",IF(record[[#This Row],[Memo]]=0,"委外",record[[#This Row],[Memo]]))</f>
        <v/>
      </c>
      <c r="O7846" t="s">
        <v>58</v>
      </c>
      <c r="P7846" t="s">
        <v>109</v>
      </c>
      <c r="Q7846" t="s">
        <v>58</v>
      </c>
      <c r="R7846" t="str">
        <f>IFERROR(VLOOKUP(record[[#This Row],[PCUSTID]],廠商[],2,FALSE),"")</f>
        <v/>
      </c>
      <c r="S7846" t="str">
        <f>VLOOKUP(record[[#This Row],[employeeID]],員工[],2,FALSE)</f>
        <v>裴氏璧鳳</v>
      </c>
    </row>
    <row r="7847" spans="6:19" hidden="1" x14ac:dyDescent="0.25">
      <c r="F7847" t="s">
        <v>1012</v>
      </c>
      <c r="G7847" t="s">
        <v>399</v>
      </c>
      <c r="H7847" t="str">
        <f>VLOOKUP(record[[#This Row],[ProcessSN]],表格2_7[],2,FALSE)</f>
        <v>30-4118-018-550</v>
      </c>
      <c r="I7847" t="str">
        <f>VLOOKUP(record[[#This Row],[ProcessSN]],表格2_7[],3,FALSE)</f>
        <v>#08IQC</v>
      </c>
      <c r="J7847" t="s">
        <v>583</v>
      </c>
      <c r="K7847" s="195">
        <v>45898.796076388891</v>
      </c>
      <c r="L7847">
        <v>67</v>
      </c>
      <c r="M7847">
        <v>0</v>
      </c>
      <c r="N7847" s="98" t="str">
        <f>IF(record[[#This Row],[Memo]]="Browser:chrome os:android","平板報工",IF(record[[#This Row],[Memo]]=0,"委外",record[[#This Row],[Memo]]))</f>
        <v/>
      </c>
      <c r="O7847" t="s">
        <v>58</v>
      </c>
      <c r="P7847" t="s">
        <v>109</v>
      </c>
      <c r="Q7847" t="s">
        <v>58</v>
      </c>
      <c r="R7847" t="str">
        <f>IFERROR(VLOOKUP(record[[#This Row],[PCUSTID]],廠商[],2,FALSE),"")</f>
        <v/>
      </c>
      <c r="S7847" t="str">
        <f>VLOOKUP(record[[#This Row],[employeeID]],員工[],2,FALSE)</f>
        <v>裴氏璧鳳</v>
      </c>
    </row>
    <row r="7848" spans="6:19" hidden="1" x14ac:dyDescent="0.25">
      <c r="F7848" t="s">
        <v>820</v>
      </c>
      <c r="G7848" t="s">
        <v>424</v>
      </c>
      <c r="H7848" t="str">
        <f>VLOOKUP(record[[#This Row],[ProcessSN]],表格2_7[],2,FALSE)</f>
        <v>30-4118-018-600</v>
      </c>
      <c r="I7848" t="str">
        <f>VLOOKUP(record[[#This Row],[ProcessSN]],表格2_7[],3,FALSE)</f>
        <v>#08IQC</v>
      </c>
      <c r="J7848" t="s">
        <v>583</v>
      </c>
      <c r="K7848" s="195">
        <v>45898.79546296296</v>
      </c>
      <c r="L7848">
        <v>2</v>
      </c>
      <c r="M7848">
        <v>0</v>
      </c>
      <c r="N7848" s="98" t="str">
        <f>IF(record[[#This Row],[Memo]]="Browser:chrome os:android","平板報工",IF(record[[#This Row],[Memo]]=0,"委外",record[[#This Row],[Memo]]))</f>
        <v/>
      </c>
      <c r="O7848" t="s">
        <v>58</v>
      </c>
      <c r="P7848" t="s">
        <v>109</v>
      </c>
      <c r="Q7848" t="s">
        <v>58</v>
      </c>
      <c r="R7848" t="str">
        <f>IFERROR(VLOOKUP(record[[#This Row],[PCUSTID]],廠商[],2,FALSE),"")</f>
        <v/>
      </c>
      <c r="S7848" t="str">
        <f>VLOOKUP(record[[#This Row],[employeeID]],員工[],2,FALSE)</f>
        <v>裴氏璧鳳</v>
      </c>
    </row>
    <row r="7849" spans="6:19" hidden="1" x14ac:dyDescent="0.25">
      <c r="F7849" t="s">
        <v>922</v>
      </c>
      <c r="G7849" t="s">
        <v>470</v>
      </c>
      <c r="H7849" t="str">
        <f>VLOOKUP(record[[#This Row],[ProcessSN]],表格2_7[],2,FALSE)</f>
        <v>30-4118-018-XXX</v>
      </c>
      <c r="I7849" t="str">
        <f>VLOOKUP(record[[#This Row],[ProcessSN]],表格2_7[],3,FALSE)</f>
        <v>#02IQC</v>
      </c>
      <c r="J7849" t="s">
        <v>583</v>
      </c>
      <c r="K7849" s="195">
        <v>45898.792314814818</v>
      </c>
      <c r="L7849">
        <v>1176</v>
      </c>
      <c r="M7849">
        <v>0</v>
      </c>
      <c r="N7849" s="98" t="str">
        <f>IF(record[[#This Row],[Memo]]="Browser:chrome os:android","平板報工",IF(record[[#This Row],[Memo]]=0,"委外",record[[#This Row],[Memo]]))</f>
        <v/>
      </c>
      <c r="O7849" t="s">
        <v>58</v>
      </c>
      <c r="P7849" t="s">
        <v>109</v>
      </c>
      <c r="Q7849" t="s">
        <v>58</v>
      </c>
      <c r="R7849" t="str">
        <f>IFERROR(VLOOKUP(record[[#This Row],[PCUSTID]],廠商[],2,FALSE),"")</f>
        <v/>
      </c>
      <c r="S7849" t="str">
        <f>VLOOKUP(record[[#This Row],[employeeID]],員工[],2,FALSE)</f>
        <v>裴氏璧鳳</v>
      </c>
    </row>
    <row r="7850" spans="6:19" hidden="1" x14ac:dyDescent="0.25">
      <c r="F7850" t="s">
        <v>984</v>
      </c>
      <c r="G7850" t="s">
        <v>423</v>
      </c>
      <c r="H7850" t="str">
        <f>VLOOKUP(record[[#This Row],[ProcessSN]],表格2_7[],2,FALSE)</f>
        <v>30-4118-018-600</v>
      </c>
      <c r="I7850" t="str">
        <f>VLOOKUP(record[[#This Row],[ProcessSN]],表格2_7[],3,FALSE)</f>
        <v>#08RCV</v>
      </c>
      <c r="J7850" t="s">
        <v>591</v>
      </c>
      <c r="K7850" s="195">
        <v>45898.663993055554</v>
      </c>
      <c r="L7850">
        <v>236</v>
      </c>
      <c r="M7850">
        <v>0</v>
      </c>
      <c r="N7850" s="98" t="str">
        <f>IF(record[[#This Row],[Memo]]="Browser:chrome os:android","平板報工",IF(record[[#This Row],[Memo]]=0,"委外",record[[#This Row],[Memo]]))</f>
        <v/>
      </c>
      <c r="O7850" t="s">
        <v>58</v>
      </c>
      <c r="P7850" t="s">
        <v>186</v>
      </c>
      <c r="Q7850" t="s">
        <v>58</v>
      </c>
      <c r="R7850" t="str">
        <f>IFERROR(VLOOKUP(record[[#This Row],[PCUSTID]],廠商[],2,FALSE),"")</f>
        <v/>
      </c>
      <c r="S7850" t="str">
        <f>VLOOKUP(record[[#This Row],[employeeID]],員工[],2,FALSE)</f>
        <v>許文姍</v>
      </c>
    </row>
    <row r="7851" spans="6:19" hidden="1" x14ac:dyDescent="0.25">
      <c r="F7851" t="s">
        <v>1012</v>
      </c>
      <c r="G7851" t="s">
        <v>398</v>
      </c>
      <c r="H7851" t="str">
        <f>VLOOKUP(record[[#This Row],[ProcessSN]],表格2_7[],2,FALSE)</f>
        <v>30-4118-018-550</v>
      </c>
      <c r="I7851" t="str">
        <f>VLOOKUP(record[[#This Row],[ProcessSN]],表格2_7[],3,FALSE)</f>
        <v>#08RCV</v>
      </c>
      <c r="J7851" t="s">
        <v>591</v>
      </c>
      <c r="K7851" s="195">
        <v>45898.663576388892</v>
      </c>
      <c r="L7851">
        <v>67</v>
      </c>
      <c r="M7851">
        <v>0</v>
      </c>
      <c r="N7851" s="98" t="str">
        <f>IF(record[[#This Row],[Memo]]="Browser:chrome os:android","平板報工",IF(record[[#This Row],[Memo]]=0,"委外",record[[#This Row],[Memo]]))</f>
        <v/>
      </c>
      <c r="O7851" t="s">
        <v>58</v>
      </c>
      <c r="P7851" t="s">
        <v>186</v>
      </c>
      <c r="Q7851" t="s">
        <v>58</v>
      </c>
      <c r="R7851" t="str">
        <f>IFERROR(VLOOKUP(record[[#This Row],[PCUSTID]],廠商[],2,FALSE),"")</f>
        <v/>
      </c>
      <c r="S7851" t="str">
        <f>VLOOKUP(record[[#This Row],[employeeID]],員工[],2,FALSE)</f>
        <v>許文姍</v>
      </c>
    </row>
    <row r="7852" spans="6:19" hidden="1" x14ac:dyDescent="0.25">
      <c r="F7852" t="s">
        <v>1015</v>
      </c>
      <c r="G7852" t="s">
        <v>416</v>
      </c>
      <c r="H7852" t="str">
        <f>VLOOKUP(record[[#This Row],[ProcessSN]],表格2_7[],2,FALSE)</f>
        <v>30-4118-018-5XX</v>
      </c>
      <c r="I7852" t="str">
        <f>VLOOKUP(record[[#This Row],[ProcessSN]],表格2_7[],3,FALSE)</f>
        <v>#05</v>
      </c>
      <c r="J7852" t="s">
        <v>588</v>
      </c>
      <c r="K7852" s="195">
        <v>45898.641076388885</v>
      </c>
      <c r="L7852">
        <v>60</v>
      </c>
      <c r="M7852">
        <v>0</v>
      </c>
      <c r="N7852" s="98" t="str">
        <f>IF(record[[#This Row],[Memo]]="Browser:chrome os:android","平板報工",IF(record[[#This Row],[Memo]]=0,"委外",record[[#This Row],[Memo]]))</f>
        <v/>
      </c>
      <c r="O7852" t="s">
        <v>58</v>
      </c>
      <c r="P7852" t="s">
        <v>119</v>
      </c>
      <c r="Q7852" t="s">
        <v>58</v>
      </c>
      <c r="R7852" t="str">
        <f>IFERROR(VLOOKUP(record[[#This Row],[PCUSTID]],廠商[],2,FALSE),"")</f>
        <v/>
      </c>
      <c r="S7852" t="str">
        <f>VLOOKUP(record[[#This Row],[employeeID]],員工[],2,FALSE)</f>
        <v>廖俊彥</v>
      </c>
    </row>
    <row r="7853" spans="6:19" hidden="1" x14ac:dyDescent="0.25">
      <c r="F7853" t="s">
        <v>820</v>
      </c>
      <c r="G7853" t="s">
        <v>423</v>
      </c>
      <c r="H7853" t="str">
        <f>VLOOKUP(record[[#This Row],[ProcessSN]],表格2_7[],2,FALSE)</f>
        <v>30-4118-018-600</v>
      </c>
      <c r="I7853" t="str">
        <f>VLOOKUP(record[[#This Row],[ProcessSN]],表格2_7[],3,FALSE)</f>
        <v>#08RCV</v>
      </c>
      <c r="J7853" t="s">
        <v>591</v>
      </c>
      <c r="K7853" s="195">
        <v>45898.599282407406</v>
      </c>
      <c r="L7853">
        <v>0</v>
      </c>
      <c r="M7853">
        <v>45</v>
      </c>
      <c r="N7853" s="98" t="str">
        <f>IF(record[[#This Row],[Memo]]="Browser:chrome os:android","平板報工",IF(record[[#This Row],[Memo]]=0,"委外",record[[#This Row],[Memo]]))</f>
        <v/>
      </c>
      <c r="O7853" t="s">
        <v>58</v>
      </c>
      <c r="P7853" t="s">
        <v>141</v>
      </c>
      <c r="Q7853" t="s">
        <v>58</v>
      </c>
      <c r="R7853" t="str">
        <f>IFERROR(VLOOKUP(record[[#This Row],[PCUSTID]],廠商[],2,FALSE),"")</f>
        <v/>
      </c>
      <c r="S7853" t="str">
        <f>VLOOKUP(record[[#This Row],[employeeID]],員工[],2,FALSE)</f>
        <v>蔣梅</v>
      </c>
    </row>
    <row r="7854" spans="6:19" hidden="1" x14ac:dyDescent="0.25">
      <c r="F7854" t="s">
        <v>820</v>
      </c>
      <c r="G7854" t="s">
        <v>423</v>
      </c>
      <c r="H7854" t="str">
        <f>VLOOKUP(record[[#This Row],[ProcessSN]],表格2_7[],2,FALSE)</f>
        <v>30-4118-018-600</v>
      </c>
      <c r="I7854" t="str">
        <f>VLOOKUP(record[[#This Row],[ProcessSN]],表格2_7[],3,FALSE)</f>
        <v>#08RCV</v>
      </c>
      <c r="J7854" t="s">
        <v>591</v>
      </c>
      <c r="K7854" s="195">
        <v>45898.599108796298</v>
      </c>
      <c r="L7854">
        <v>2</v>
      </c>
      <c r="M7854">
        <v>0</v>
      </c>
      <c r="N7854" s="98" t="str">
        <f>IF(record[[#This Row],[Memo]]="Browser:chrome os:android","平板報工",IF(record[[#This Row],[Memo]]=0,"委外",record[[#This Row],[Memo]]))</f>
        <v/>
      </c>
      <c r="O7854" t="s">
        <v>58</v>
      </c>
      <c r="P7854" t="s">
        <v>141</v>
      </c>
      <c r="Q7854" t="s">
        <v>58</v>
      </c>
      <c r="R7854" t="str">
        <f>IFERROR(VLOOKUP(record[[#This Row],[PCUSTID]],廠商[],2,FALSE),"")</f>
        <v/>
      </c>
      <c r="S7854" t="str">
        <f>VLOOKUP(record[[#This Row],[employeeID]],員工[],2,FALSE)</f>
        <v>蔣梅</v>
      </c>
    </row>
    <row r="7855" spans="6:19" hidden="1" x14ac:dyDescent="0.25">
      <c r="F7855" t="s">
        <v>922</v>
      </c>
      <c r="G7855" t="s">
        <v>469</v>
      </c>
      <c r="H7855" t="str">
        <f>VLOOKUP(record[[#This Row],[ProcessSN]],表格2_7[],2,FALSE)</f>
        <v>30-4118-018-XXX</v>
      </c>
      <c r="I7855" t="str">
        <f>VLOOKUP(record[[#This Row],[ProcessSN]],表格2_7[],3,FALSE)</f>
        <v>#02RCV</v>
      </c>
      <c r="J7855" t="s">
        <v>591</v>
      </c>
      <c r="K7855" s="195">
        <v>45898.477199074077</v>
      </c>
      <c r="L7855">
        <v>1176</v>
      </c>
      <c r="M7855">
        <v>0</v>
      </c>
      <c r="N7855" s="98" t="str">
        <f>IF(record[[#This Row],[Memo]]="Browser:chrome os:android","平板報工",IF(record[[#This Row],[Memo]]=0,"委外",record[[#This Row],[Memo]]))</f>
        <v/>
      </c>
      <c r="O7855" t="s">
        <v>58</v>
      </c>
      <c r="P7855" t="s">
        <v>186</v>
      </c>
      <c r="Q7855" t="s">
        <v>58</v>
      </c>
      <c r="R7855" t="str">
        <f>IFERROR(VLOOKUP(record[[#This Row],[PCUSTID]],廠商[],2,FALSE),"")</f>
        <v/>
      </c>
      <c r="S7855" t="str">
        <f>VLOOKUP(record[[#This Row],[employeeID]],員工[],2,FALSE)</f>
        <v>許文姍</v>
      </c>
    </row>
    <row r="7856" spans="6:19" hidden="1" x14ac:dyDescent="0.25">
      <c r="F7856" t="s">
        <v>828</v>
      </c>
      <c r="G7856" t="s">
        <v>400</v>
      </c>
      <c r="H7856" t="str">
        <f>VLOOKUP(record[[#This Row],[ProcessSN]],表格2_7[],2,FALSE)</f>
        <v>30-4118-018-550</v>
      </c>
      <c r="I7856" t="str">
        <f>VLOOKUP(record[[#This Row],[ProcessSN]],表格2_7[],3,FALSE)</f>
        <v>#100</v>
      </c>
      <c r="J7856" t="s">
        <v>598</v>
      </c>
      <c r="K7856" s="195">
        <v>45898.42732638889</v>
      </c>
      <c r="L7856">
        <v>0</v>
      </c>
      <c r="M7856">
        <v>1</v>
      </c>
      <c r="N7856" s="98" t="str">
        <f>IF(record[[#This Row],[Memo]]="Browser:chrome os:android","平板報工",IF(record[[#This Row],[Memo]]=0,"委外",record[[#This Row],[Memo]]))</f>
        <v/>
      </c>
      <c r="O7856" t="s">
        <v>58</v>
      </c>
      <c r="P7856" t="s">
        <v>141</v>
      </c>
      <c r="Q7856" t="s">
        <v>58</v>
      </c>
      <c r="R7856" t="str">
        <f>IFERROR(VLOOKUP(record[[#This Row],[PCUSTID]],廠商[],2,FALSE),"")</f>
        <v/>
      </c>
      <c r="S7856" t="str">
        <f>VLOOKUP(record[[#This Row],[employeeID]],員工[],2,FALSE)</f>
        <v>蔣梅</v>
      </c>
    </row>
    <row r="7857" spans="6:19" hidden="1" x14ac:dyDescent="0.25">
      <c r="F7857" t="s">
        <v>828</v>
      </c>
      <c r="G7857" t="s">
        <v>400</v>
      </c>
      <c r="H7857" t="str">
        <f>VLOOKUP(record[[#This Row],[ProcessSN]],表格2_7[],2,FALSE)</f>
        <v>30-4118-018-550</v>
      </c>
      <c r="I7857" t="str">
        <f>VLOOKUP(record[[#This Row],[ProcessSN]],表格2_7[],3,FALSE)</f>
        <v>#100</v>
      </c>
      <c r="J7857" t="s">
        <v>598</v>
      </c>
      <c r="K7857" s="195">
        <v>45898.427164351851</v>
      </c>
      <c r="L7857">
        <v>2</v>
      </c>
      <c r="M7857">
        <v>0</v>
      </c>
      <c r="N7857" s="98" t="str">
        <f>IF(record[[#This Row],[Memo]]="Browser:chrome os:android","平板報工",IF(record[[#This Row],[Memo]]=0,"委外",record[[#This Row],[Memo]]))</f>
        <v/>
      </c>
      <c r="O7857" t="s">
        <v>58</v>
      </c>
      <c r="P7857" t="s">
        <v>141</v>
      </c>
      <c r="Q7857" t="s">
        <v>58</v>
      </c>
      <c r="R7857" t="str">
        <f>IFERROR(VLOOKUP(record[[#This Row],[PCUSTID]],廠商[],2,FALSE),"")</f>
        <v/>
      </c>
      <c r="S7857" t="str">
        <f>VLOOKUP(record[[#This Row],[employeeID]],員工[],2,FALSE)</f>
        <v>蔣梅</v>
      </c>
    </row>
    <row r="7858" spans="6:19" hidden="1" x14ac:dyDescent="0.25">
      <c r="F7858" t="s">
        <v>999</v>
      </c>
      <c r="G7858" t="s">
        <v>400</v>
      </c>
      <c r="H7858" t="str">
        <f>VLOOKUP(record[[#This Row],[ProcessSN]],表格2_7[],2,FALSE)</f>
        <v>30-4118-018-550</v>
      </c>
      <c r="I7858" t="str">
        <f>VLOOKUP(record[[#This Row],[ProcessSN]],表格2_7[],3,FALSE)</f>
        <v>#100</v>
      </c>
      <c r="J7858" t="s">
        <v>598</v>
      </c>
      <c r="K7858" s="195">
        <v>45898.425543981481</v>
      </c>
      <c r="L7858">
        <v>273</v>
      </c>
      <c r="M7858">
        <v>0</v>
      </c>
      <c r="N7858" s="98" t="str">
        <f>IF(record[[#This Row],[Memo]]="Browser:chrome os:android","平板報工",IF(record[[#This Row],[Memo]]=0,"委外",record[[#This Row],[Memo]]))</f>
        <v/>
      </c>
      <c r="O7858" t="s">
        <v>58</v>
      </c>
      <c r="P7858" t="s">
        <v>141</v>
      </c>
      <c r="Q7858" t="s">
        <v>58</v>
      </c>
      <c r="R7858" t="str">
        <f>IFERROR(VLOOKUP(record[[#This Row],[PCUSTID]],廠商[],2,FALSE),"")</f>
        <v/>
      </c>
      <c r="S7858" t="str">
        <f>VLOOKUP(record[[#This Row],[employeeID]],員工[],2,FALSE)</f>
        <v>蔣梅</v>
      </c>
    </row>
    <row r="7859" spans="6:19" hidden="1" x14ac:dyDescent="0.25">
      <c r="F7859" t="s">
        <v>1000</v>
      </c>
      <c r="G7859" t="s">
        <v>400</v>
      </c>
      <c r="H7859" t="str">
        <f>VLOOKUP(record[[#This Row],[ProcessSN]],表格2_7[],2,FALSE)</f>
        <v>30-4118-018-550</v>
      </c>
      <c r="I7859" t="str">
        <f>VLOOKUP(record[[#This Row],[ProcessSN]],表格2_7[],3,FALSE)</f>
        <v>#100</v>
      </c>
      <c r="J7859" t="s">
        <v>598</v>
      </c>
      <c r="K7859" s="195">
        <v>45898.425370370373</v>
      </c>
      <c r="L7859">
        <v>183</v>
      </c>
      <c r="M7859">
        <v>0</v>
      </c>
      <c r="N7859" s="98" t="str">
        <f>IF(record[[#This Row],[Memo]]="Browser:chrome os:android","平板報工",IF(record[[#This Row],[Memo]]=0,"委外",record[[#This Row],[Memo]]))</f>
        <v/>
      </c>
      <c r="O7859" t="s">
        <v>58</v>
      </c>
      <c r="P7859" t="s">
        <v>141</v>
      </c>
      <c r="Q7859" t="s">
        <v>58</v>
      </c>
      <c r="R7859" t="str">
        <f>IFERROR(VLOOKUP(record[[#This Row],[PCUSTID]],廠商[],2,FALSE),"")</f>
        <v/>
      </c>
      <c r="S7859" t="str">
        <f>VLOOKUP(record[[#This Row],[employeeID]],員工[],2,FALSE)</f>
        <v>蔣梅</v>
      </c>
    </row>
    <row r="7860" spans="6:19" hidden="1" x14ac:dyDescent="0.25">
      <c r="F7860" t="s">
        <v>1011</v>
      </c>
      <c r="G7860" t="s">
        <v>400</v>
      </c>
      <c r="H7860" t="str">
        <f>VLOOKUP(record[[#This Row],[ProcessSN]],表格2_7[],2,FALSE)</f>
        <v>30-4118-018-550</v>
      </c>
      <c r="I7860" t="str">
        <f>VLOOKUP(record[[#This Row],[ProcessSN]],表格2_7[],3,FALSE)</f>
        <v>#100</v>
      </c>
      <c r="J7860" t="s">
        <v>598</v>
      </c>
      <c r="K7860" s="195">
        <v>45898.424988425926</v>
      </c>
      <c r="L7860">
        <v>137</v>
      </c>
      <c r="M7860">
        <v>0</v>
      </c>
      <c r="N7860" s="98" t="str">
        <f>IF(record[[#This Row],[Memo]]="Browser:chrome os:android","平板報工",IF(record[[#This Row],[Memo]]=0,"委外",record[[#This Row],[Memo]]))</f>
        <v/>
      </c>
      <c r="O7860" t="s">
        <v>58</v>
      </c>
      <c r="P7860" t="s">
        <v>141</v>
      </c>
      <c r="Q7860" t="s">
        <v>58</v>
      </c>
      <c r="R7860" t="str">
        <f>IFERROR(VLOOKUP(record[[#This Row],[PCUSTID]],廠商[],2,FALSE),"")</f>
        <v/>
      </c>
      <c r="S7860" t="str">
        <f>VLOOKUP(record[[#This Row],[employeeID]],員工[],2,FALSE)</f>
        <v>蔣梅</v>
      </c>
    </row>
    <row r="7861" spans="6:19" hidden="1" x14ac:dyDescent="0.25">
      <c r="F7861" t="s">
        <v>989</v>
      </c>
      <c r="G7861" t="s">
        <v>468</v>
      </c>
      <c r="H7861" t="str">
        <f>VLOOKUP(record[[#This Row],[ProcessSN]],表格2_7[],2,FALSE)</f>
        <v>30-4118-018-XXX</v>
      </c>
      <c r="I7861" t="str">
        <f>VLOOKUP(record[[#This Row],[ProcessSN]],表格2_7[],3,FALSE)</f>
        <v>#02</v>
      </c>
      <c r="J7861" t="s">
        <v>590</v>
      </c>
      <c r="K7861" s="195">
        <v>45898.389108796298</v>
      </c>
      <c r="L7861">
        <v>335</v>
      </c>
      <c r="M7861">
        <v>0</v>
      </c>
      <c r="N7861" s="98" t="str">
        <f>IF(record[[#This Row],[Memo]]="Browser:chrome os:android","平板報工",IF(record[[#This Row],[Memo]]=0,"委外",record[[#This Row],[Memo]]))</f>
        <v/>
      </c>
      <c r="O7861" t="s">
        <v>58</v>
      </c>
      <c r="P7861" t="s">
        <v>186</v>
      </c>
      <c r="Q7861" t="s">
        <v>216</v>
      </c>
      <c r="R7861" t="str">
        <f>IFERROR(VLOOKUP(record[[#This Row],[PCUSTID]],廠商[],2,FALSE),"")</f>
        <v>俊杰</v>
      </c>
      <c r="S7861" t="str">
        <f>VLOOKUP(record[[#This Row],[employeeID]],員工[],2,FALSE)</f>
        <v>許文姍</v>
      </c>
    </row>
    <row r="7862" spans="6:19" hidden="1" x14ac:dyDescent="0.25">
      <c r="F7862" t="s">
        <v>989</v>
      </c>
      <c r="G7862" t="s">
        <v>467</v>
      </c>
      <c r="H7862" t="str">
        <f>VLOOKUP(record[[#This Row],[ProcessSN]],表格2_7[],2,FALSE)</f>
        <v>30-4118-018-XXX</v>
      </c>
      <c r="I7862" t="str">
        <f>VLOOKUP(record[[#This Row],[ProcessSN]],表格2_7[],3,FALSE)</f>
        <v>#01QC</v>
      </c>
      <c r="J7862" t="s">
        <v>589</v>
      </c>
      <c r="K7862" s="195">
        <v>45897.793715277781</v>
      </c>
      <c r="L7862">
        <v>335</v>
      </c>
      <c r="M7862">
        <v>0</v>
      </c>
      <c r="N7862" s="98" t="str">
        <f>IF(record[[#This Row],[Memo]]="Browser:chrome os:android","平板報工",IF(record[[#This Row],[Memo]]=0,"委外",record[[#This Row],[Memo]]))</f>
        <v>平板報工</v>
      </c>
      <c r="O7862" t="s">
        <v>643</v>
      </c>
      <c r="P7862" t="s">
        <v>182</v>
      </c>
      <c r="Q7862" t="s">
        <v>644</v>
      </c>
      <c r="R7862" t="str">
        <f>IFERROR(VLOOKUP(record[[#This Row],[PCUSTID]],廠商[],2,FALSE),"")</f>
        <v/>
      </c>
      <c r="S7862" t="str">
        <f>VLOOKUP(record[[#This Row],[employeeID]],員工[],2,FALSE)</f>
        <v>梅氏和</v>
      </c>
    </row>
    <row r="7863" spans="6:19" hidden="1" x14ac:dyDescent="0.25">
      <c r="F7863" t="s">
        <v>1018</v>
      </c>
      <c r="G7863" t="s">
        <v>415</v>
      </c>
      <c r="H7863" t="str">
        <f>VLOOKUP(record[[#This Row],[ProcessSN]],表格2_7[],2,FALSE)</f>
        <v>30-4118-018-5XX</v>
      </c>
      <c r="I7863" t="str">
        <f>VLOOKUP(record[[#This Row],[ProcessSN]],表格2_7[],3,FALSE)</f>
        <v>#04</v>
      </c>
      <c r="J7863" t="s">
        <v>588</v>
      </c>
      <c r="K7863" s="195">
        <v>45897.689710648148</v>
      </c>
      <c r="L7863">
        <v>57</v>
      </c>
      <c r="M7863">
        <v>0</v>
      </c>
      <c r="N7863" s="98" t="str">
        <f>IF(record[[#This Row],[Memo]]="Browser:chrome os:android","平板報工",IF(record[[#This Row],[Memo]]=0,"委外",record[[#This Row],[Memo]]))</f>
        <v/>
      </c>
      <c r="O7863" t="s">
        <v>58</v>
      </c>
      <c r="P7863" t="s">
        <v>119</v>
      </c>
      <c r="Q7863" t="s">
        <v>58</v>
      </c>
      <c r="R7863" t="str">
        <f>IFERROR(VLOOKUP(record[[#This Row],[PCUSTID]],廠商[],2,FALSE),"")</f>
        <v/>
      </c>
      <c r="S7863" t="str">
        <f>VLOOKUP(record[[#This Row],[employeeID]],員工[],2,FALSE)</f>
        <v>廖俊彥</v>
      </c>
    </row>
    <row r="7864" spans="6:19" hidden="1" x14ac:dyDescent="0.25">
      <c r="F7864" t="s">
        <v>801</v>
      </c>
      <c r="G7864" t="s">
        <v>400</v>
      </c>
      <c r="H7864" t="str">
        <f>VLOOKUP(record[[#This Row],[ProcessSN]],表格2_7[],2,FALSE)</f>
        <v>30-4118-018-550</v>
      </c>
      <c r="I7864" t="str">
        <f>VLOOKUP(record[[#This Row],[ProcessSN]],表格2_7[],3,FALSE)</f>
        <v>#100</v>
      </c>
      <c r="J7864" t="s">
        <v>598</v>
      </c>
      <c r="K7864" s="195">
        <v>45897.441655092596</v>
      </c>
      <c r="L7864">
        <v>0</v>
      </c>
      <c r="M7864">
        <v>-15</v>
      </c>
      <c r="N7864" s="98" t="str">
        <f>IF(record[[#This Row],[Memo]]="Browser:chrome os:android","平板報工",IF(record[[#This Row],[Memo]]=0,"委外",record[[#This Row],[Memo]]))</f>
        <v>覆回品</v>
      </c>
      <c r="O7864" t="s">
        <v>664</v>
      </c>
      <c r="P7864" t="s">
        <v>65</v>
      </c>
      <c r="Q7864" t="s">
        <v>644</v>
      </c>
      <c r="R7864" t="str">
        <f>IFERROR(VLOOKUP(record[[#This Row],[PCUSTID]],廠商[],2,FALSE),"")</f>
        <v/>
      </c>
      <c r="S7864" t="str">
        <f>VLOOKUP(record[[#This Row],[employeeID]],員工[],2,FALSE)</f>
        <v>蘇進昌</v>
      </c>
    </row>
    <row r="7865" spans="6:19" hidden="1" x14ac:dyDescent="0.25">
      <c r="F7865" t="s">
        <v>1018</v>
      </c>
      <c r="G7865" t="s">
        <v>415</v>
      </c>
      <c r="H7865" t="str">
        <f>VLOOKUP(record[[#This Row],[ProcessSN]],表格2_7[],2,FALSE)</f>
        <v>30-4118-018-5XX</v>
      </c>
      <c r="I7865" t="str">
        <f>VLOOKUP(record[[#This Row],[ProcessSN]],表格2_7[],3,FALSE)</f>
        <v>#04</v>
      </c>
      <c r="J7865" t="s">
        <v>588</v>
      </c>
      <c r="K7865" s="195">
        <v>45897.315474537034</v>
      </c>
      <c r="L7865">
        <v>25</v>
      </c>
      <c r="M7865">
        <v>0</v>
      </c>
      <c r="N7865" s="98" t="str">
        <f>IF(record[[#This Row],[Memo]]="Browser:chrome os:android","平板報工",IF(record[[#This Row],[Memo]]=0,"委外",record[[#This Row],[Memo]]))</f>
        <v/>
      </c>
      <c r="O7865" t="s">
        <v>58</v>
      </c>
      <c r="P7865" t="s">
        <v>135</v>
      </c>
      <c r="Q7865" t="s">
        <v>58</v>
      </c>
      <c r="R7865" t="str">
        <f>IFERROR(VLOOKUP(record[[#This Row],[PCUSTID]],廠商[],2,FALSE),"")</f>
        <v/>
      </c>
      <c r="S7865" t="str">
        <f>VLOOKUP(record[[#This Row],[employeeID]],員工[],2,FALSE)</f>
        <v>阮士文</v>
      </c>
    </row>
    <row r="7866" spans="6:19" hidden="1" x14ac:dyDescent="0.25">
      <c r="F7866" t="s">
        <v>1015</v>
      </c>
      <c r="G7866" t="s">
        <v>415</v>
      </c>
      <c r="H7866" t="str">
        <f>VLOOKUP(record[[#This Row],[ProcessSN]],表格2_7[],2,FALSE)</f>
        <v>30-4118-018-5XX</v>
      </c>
      <c r="I7866" t="str">
        <f>VLOOKUP(record[[#This Row],[ProcessSN]],表格2_7[],3,FALSE)</f>
        <v>#04</v>
      </c>
      <c r="J7866" t="s">
        <v>588</v>
      </c>
      <c r="K7866" s="195">
        <v>45897.315312500003</v>
      </c>
      <c r="L7866">
        <v>113</v>
      </c>
      <c r="M7866">
        <v>0</v>
      </c>
      <c r="N7866" s="98" t="str">
        <f>IF(record[[#This Row],[Memo]]="Browser:chrome os:android","平板報工",IF(record[[#This Row],[Memo]]=0,"委外",record[[#This Row],[Memo]]))</f>
        <v/>
      </c>
      <c r="O7866" t="s">
        <v>58</v>
      </c>
      <c r="P7866" t="s">
        <v>135</v>
      </c>
      <c r="Q7866" t="s">
        <v>58</v>
      </c>
      <c r="R7866" t="str">
        <f>IFERROR(VLOOKUP(record[[#This Row],[PCUSTID]],廠商[],2,FALSE),"")</f>
        <v/>
      </c>
      <c r="S7866" t="str">
        <f>VLOOKUP(record[[#This Row],[employeeID]],員工[],2,FALSE)</f>
        <v>阮士文</v>
      </c>
    </row>
    <row r="7867" spans="6:19" hidden="1" x14ac:dyDescent="0.25">
      <c r="F7867" t="s">
        <v>1015</v>
      </c>
      <c r="G7867" t="s">
        <v>415</v>
      </c>
      <c r="H7867" t="str">
        <f>VLOOKUP(record[[#This Row],[ProcessSN]],表格2_7[],2,FALSE)</f>
        <v>30-4118-018-5XX</v>
      </c>
      <c r="I7867" t="str">
        <f>VLOOKUP(record[[#This Row],[ProcessSN]],表格2_7[],3,FALSE)</f>
        <v>#04</v>
      </c>
      <c r="J7867" t="s">
        <v>588</v>
      </c>
      <c r="K7867" s="195">
        <v>45896.959641203706</v>
      </c>
      <c r="L7867">
        <v>63</v>
      </c>
      <c r="M7867">
        <v>0</v>
      </c>
      <c r="N7867" s="98" t="str">
        <f>IF(record[[#This Row],[Memo]]="Browser:chrome os:android","平板報工",IF(record[[#This Row],[Memo]]=0,"委外",record[[#This Row],[Memo]]))</f>
        <v/>
      </c>
      <c r="O7867" t="s">
        <v>58</v>
      </c>
      <c r="P7867" t="s">
        <v>691</v>
      </c>
      <c r="Q7867" t="s">
        <v>58</v>
      </c>
      <c r="R7867" t="str">
        <f>IFERROR(VLOOKUP(record[[#This Row],[PCUSTID]],廠商[],2,FALSE),"")</f>
        <v/>
      </c>
      <c r="S7867" t="str">
        <f>VLOOKUP(record[[#This Row],[employeeID]],員工[],2,FALSE)</f>
        <v>武氏賢</v>
      </c>
    </row>
    <row r="7868" spans="6:19" hidden="1" x14ac:dyDescent="0.25">
      <c r="F7868" t="s">
        <v>1015</v>
      </c>
      <c r="G7868" t="s">
        <v>415</v>
      </c>
      <c r="H7868" t="str">
        <f>VLOOKUP(record[[#This Row],[ProcessSN]],表格2_7[],2,FALSE)</f>
        <v>30-4118-018-5XX</v>
      </c>
      <c r="I7868" t="str">
        <f>VLOOKUP(record[[#This Row],[ProcessSN]],表格2_7[],3,FALSE)</f>
        <v>#04</v>
      </c>
      <c r="J7868" t="s">
        <v>588</v>
      </c>
      <c r="K7868" s="195">
        <v>45896.83084490741</v>
      </c>
      <c r="L7868">
        <v>75</v>
      </c>
      <c r="M7868">
        <v>0</v>
      </c>
      <c r="N7868" s="98" t="str">
        <f>IF(record[[#This Row],[Memo]]="Browser:chrome os:android","平板報工",IF(record[[#This Row],[Memo]]=0,"委外",record[[#This Row],[Memo]]))</f>
        <v/>
      </c>
      <c r="O7868" t="s">
        <v>58</v>
      </c>
      <c r="P7868" t="s">
        <v>785</v>
      </c>
      <c r="Q7868" t="s">
        <v>58</v>
      </c>
      <c r="R7868" t="str">
        <f>IFERROR(VLOOKUP(record[[#This Row],[PCUSTID]],廠商[],2,FALSE),"")</f>
        <v/>
      </c>
      <c r="S7868" t="str">
        <f>VLOOKUP(record[[#This Row],[employeeID]],員工[],2,FALSE)</f>
        <v>謝刻光</v>
      </c>
    </row>
    <row r="7869" spans="6:19" hidden="1" x14ac:dyDescent="0.25">
      <c r="F7869" t="s">
        <v>849</v>
      </c>
      <c r="G7869" t="s">
        <v>470</v>
      </c>
      <c r="H7869" t="str">
        <f>VLOOKUP(record[[#This Row],[ProcessSN]],表格2_7[],2,FALSE)</f>
        <v>30-4118-018-XXX</v>
      </c>
      <c r="I7869" t="str">
        <f>VLOOKUP(record[[#This Row],[ProcessSN]],表格2_7[],3,FALSE)</f>
        <v>#02IQC</v>
      </c>
      <c r="J7869" t="s">
        <v>583</v>
      </c>
      <c r="K7869" s="195">
        <v>45896.788090277776</v>
      </c>
      <c r="L7869">
        <v>40</v>
      </c>
      <c r="M7869">
        <v>0</v>
      </c>
      <c r="N7869" s="98" t="str">
        <f>IF(record[[#This Row],[Memo]]="Browser:chrome os:android","平板報工",IF(record[[#This Row],[Memo]]=0,"委外",record[[#This Row],[Memo]]))</f>
        <v/>
      </c>
      <c r="O7869" t="s">
        <v>58</v>
      </c>
      <c r="P7869" t="s">
        <v>109</v>
      </c>
      <c r="Q7869" t="s">
        <v>58</v>
      </c>
      <c r="R7869" t="str">
        <f>IFERROR(VLOOKUP(record[[#This Row],[PCUSTID]],廠商[],2,FALSE),"")</f>
        <v/>
      </c>
      <c r="S7869" t="str">
        <f>VLOOKUP(record[[#This Row],[employeeID]],員工[],2,FALSE)</f>
        <v>裴氏璧鳳</v>
      </c>
    </row>
    <row r="7870" spans="6:19" hidden="1" x14ac:dyDescent="0.25">
      <c r="F7870" t="s">
        <v>922</v>
      </c>
      <c r="G7870" t="s">
        <v>470</v>
      </c>
      <c r="H7870" t="str">
        <f>VLOOKUP(record[[#This Row],[ProcessSN]],表格2_7[],2,FALSE)</f>
        <v>30-4118-018-XXX</v>
      </c>
      <c r="I7870" t="str">
        <f>VLOOKUP(record[[#This Row],[ProcessSN]],表格2_7[],3,FALSE)</f>
        <v>#02IQC</v>
      </c>
      <c r="J7870" t="s">
        <v>583</v>
      </c>
      <c r="K7870" s="195">
        <v>45896.787986111114</v>
      </c>
      <c r="L7870">
        <v>1002</v>
      </c>
      <c r="M7870">
        <v>0</v>
      </c>
      <c r="N7870" s="98" t="str">
        <f>IF(record[[#This Row],[Memo]]="Browser:chrome os:android","平板報工",IF(record[[#This Row],[Memo]]=0,"委外",record[[#This Row],[Memo]]))</f>
        <v/>
      </c>
      <c r="O7870" t="s">
        <v>58</v>
      </c>
      <c r="P7870" t="s">
        <v>109</v>
      </c>
      <c r="Q7870" t="s">
        <v>58</v>
      </c>
      <c r="R7870" t="str">
        <f>IFERROR(VLOOKUP(record[[#This Row],[PCUSTID]],廠商[],2,FALSE),"")</f>
        <v/>
      </c>
      <c r="S7870" t="str">
        <f>VLOOKUP(record[[#This Row],[employeeID]],員工[],2,FALSE)</f>
        <v>裴氏璧鳳</v>
      </c>
    </row>
    <row r="7871" spans="6:19" hidden="1" x14ac:dyDescent="0.25">
      <c r="F7871" t="s">
        <v>1001</v>
      </c>
      <c r="G7871" t="s">
        <v>417</v>
      </c>
      <c r="H7871" t="str">
        <f>VLOOKUP(record[[#This Row],[ProcessSN]],表格2_7[],2,FALSE)</f>
        <v>30-4118-018-5XX</v>
      </c>
      <c r="I7871" t="str">
        <f>VLOOKUP(record[[#This Row],[ProcessSN]],表格2_7[],3,FALSE)</f>
        <v>#06</v>
      </c>
      <c r="J7871" t="s">
        <v>593</v>
      </c>
      <c r="K7871" s="195">
        <v>45896.733773148146</v>
      </c>
      <c r="L7871">
        <v>119</v>
      </c>
      <c r="M7871">
        <v>1</v>
      </c>
      <c r="N7871" s="98" t="str">
        <f>IF(record[[#This Row],[Memo]]="Browser:chrome os:android","平板報工",IF(record[[#This Row],[Memo]]=0,"委外",record[[#This Row],[Memo]]))</f>
        <v/>
      </c>
      <c r="O7871" t="s">
        <v>58</v>
      </c>
      <c r="P7871" t="s">
        <v>119</v>
      </c>
      <c r="Q7871" t="s">
        <v>58</v>
      </c>
      <c r="R7871" t="str">
        <f>IFERROR(VLOOKUP(record[[#This Row],[PCUSTID]],廠商[],2,FALSE),"")</f>
        <v/>
      </c>
      <c r="S7871" t="str">
        <f>VLOOKUP(record[[#This Row],[employeeID]],員工[],2,FALSE)</f>
        <v>廖俊彥</v>
      </c>
    </row>
    <row r="7872" spans="6:19" hidden="1" x14ac:dyDescent="0.25">
      <c r="F7872" t="s">
        <v>1015</v>
      </c>
      <c r="G7872" t="s">
        <v>415</v>
      </c>
      <c r="H7872" t="str">
        <f>VLOOKUP(record[[#This Row],[ProcessSN]],表格2_7[],2,FALSE)</f>
        <v>30-4118-018-5XX</v>
      </c>
      <c r="I7872" t="str">
        <f>VLOOKUP(record[[#This Row],[ProcessSN]],表格2_7[],3,FALSE)</f>
        <v>#04</v>
      </c>
      <c r="J7872" t="s">
        <v>588</v>
      </c>
      <c r="K7872" s="195">
        <v>45896.730798611112</v>
      </c>
      <c r="L7872">
        <v>132</v>
      </c>
      <c r="M7872">
        <v>0</v>
      </c>
      <c r="N7872" s="98" t="str">
        <f>IF(record[[#This Row],[Memo]]="Browser:chrome os:android","平板報工",IF(record[[#This Row],[Memo]]=0,"委外",record[[#This Row],[Memo]]))</f>
        <v/>
      </c>
      <c r="O7872" t="s">
        <v>58</v>
      </c>
      <c r="P7872" t="s">
        <v>119</v>
      </c>
      <c r="Q7872" t="s">
        <v>58</v>
      </c>
      <c r="R7872" t="str">
        <f>IFERROR(VLOOKUP(record[[#This Row],[PCUSTID]],廠商[],2,FALSE),"")</f>
        <v/>
      </c>
      <c r="S7872" t="str">
        <f>VLOOKUP(record[[#This Row],[employeeID]],員工[],2,FALSE)</f>
        <v>廖俊彥</v>
      </c>
    </row>
    <row r="7873" spans="6:19" hidden="1" x14ac:dyDescent="0.25">
      <c r="F7873" t="s">
        <v>812</v>
      </c>
      <c r="G7873" t="s">
        <v>400</v>
      </c>
      <c r="H7873" t="str">
        <f>VLOOKUP(record[[#This Row],[ProcessSN]],表格2_7[],2,FALSE)</f>
        <v>30-4118-018-550</v>
      </c>
      <c r="I7873" t="str">
        <f>VLOOKUP(record[[#This Row],[ProcessSN]],表格2_7[],3,FALSE)</f>
        <v>#100</v>
      </c>
      <c r="J7873" t="s">
        <v>598</v>
      </c>
      <c r="K7873" s="195">
        <v>45896.625277777777</v>
      </c>
      <c r="L7873">
        <v>0</v>
      </c>
      <c r="M7873">
        <v>-6</v>
      </c>
      <c r="N7873" s="98" t="str">
        <f>IF(record[[#This Row],[Memo]]="Browser:chrome os:android","平板報工",IF(record[[#This Row],[Memo]]=0,"委外",record[[#This Row],[Memo]]))</f>
        <v>覆回品</v>
      </c>
      <c r="O7873" t="s">
        <v>664</v>
      </c>
      <c r="P7873" t="s">
        <v>65</v>
      </c>
      <c r="Q7873" t="s">
        <v>644</v>
      </c>
      <c r="R7873" t="str">
        <f>IFERROR(VLOOKUP(record[[#This Row],[PCUSTID]],廠商[],2,FALSE),"")</f>
        <v/>
      </c>
      <c r="S7873" t="str">
        <f>VLOOKUP(record[[#This Row],[employeeID]],員工[],2,FALSE)</f>
        <v>蘇進昌</v>
      </c>
    </row>
    <row r="7874" spans="6:19" hidden="1" x14ac:dyDescent="0.25">
      <c r="F7874" t="s">
        <v>984</v>
      </c>
      <c r="G7874" t="s">
        <v>422</v>
      </c>
      <c r="H7874" t="str">
        <f>VLOOKUP(record[[#This Row],[ProcessSN]],表格2_7[],2,FALSE)</f>
        <v>30-4118-018-600</v>
      </c>
      <c r="I7874" t="str">
        <f>VLOOKUP(record[[#This Row],[ProcessSN]],表格2_7[],3,FALSE)</f>
        <v>#08</v>
      </c>
      <c r="J7874" t="s">
        <v>597</v>
      </c>
      <c r="K7874" s="195">
        <v>45896.600173611114</v>
      </c>
      <c r="L7874">
        <v>284</v>
      </c>
      <c r="M7874">
        <v>0</v>
      </c>
      <c r="N7874" s="98" t="str">
        <f>IF(record[[#This Row],[Memo]]="Browser:chrome os:android","平板報工",IF(record[[#This Row],[Memo]]=0,"委外",record[[#This Row],[Memo]]))</f>
        <v/>
      </c>
      <c r="O7874" t="s">
        <v>58</v>
      </c>
      <c r="P7874" t="s">
        <v>186</v>
      </c>
      <c r="Q7874" t="s">
        <v>287</v>
      </c>
      <c r="R7874" t="str">
        <f>IFERROR(VLOOKUP(record[[#This Row],[PCUSTID]],廠商[],2,FALSE),"")</f>
        <v>泉盛</v>
      </c>
      <c r="S7874" t="str">
        <f>VLOOKUP(record[[#This Row],[employeeID]],員工[],2,FALSE)</f>
        <v>許文姍</v>
      </c>
    </row>
    <row r="7875" spans="6:19" hidden="1" x14ac:dyDescent="0.25">
      <c r="F7875" t="s">
        <v>942</v>
      </c>
      <c r="G7875" t="s">
        <v>362</v>
      </c>
      <c r="H7875" t="str">
        <f>VLOOKUP(record[[#This Row],[ProcessSN]],表格2_7[],2,FALSE)</f>
        <v>30-4118-018-450</v>
      </c>
      <c r="I7875" t="str">
        <f>VLOOKUP(record[[#This Row],[ProcessSN]],表格2_7[],3,FALSE)</f>
        <v>#100SHIP</v>
      </c>
      <c r="J7875" t="s">
        <v>600</v>
      </c>
      <c r="K7875" s="195">
        <v>45896.556539351855</v>
      </c>
      <c r="L7875">
        <v>153</v>
      </c>
      <c r="M7875">
        <v>0</v>
      </c>
      <c r="N7875" s="98" t="str">
        <f>IF(record[[#This Row],[Memo]]="Browser:chrome os:android","平板報工",IF(record[[#This Row],[Memo]]=0,"委外",record[[#This Row],[Memo]]))</f>
        <v/>
      </c>
      <c r="O7875" t="s">
        <v>58</v>
      </c>
      <c r="P7875" t="s">
        <v>886</v>
      </c>
      <c r="Q7875" t="s">
        <v>58</v>
      </c>
      <c r="R7875" t="str">
        <f>IFERROR(VLOOKUP(record[[#This Row],[PCUSTID]],廠商[],2,FALSE),"")</f>
        <v/>
      </c>
      <c r="S7875" t="str">
        <f>VLOOKUP(record[[#This Row],[employeeID]],員工[],2,FALSE)</f>
        <v>謝蓁薰</v>
      </c>
    </row>
    <row r="7876" spans="6:19" hidden="1" x14ac:dyDescent="0.25">
      <c r="F7876" t="s">
        <v>948</v>
      </c>
      <c r="G7876" t="s">
        <v>362</v>
      </c>
      <c r="H7876" t="str">
        <f>VLOOKUP(record[[#This Row],[ProcessSN]],表格2_7[],2,FALSE)</f>
        <v>30-4118-018-450</v>
      </c>
      <c r="I7876" t="str">
        <f>VLOOKUP(record[[#This Row],[ProcessSN]],表格2_7[],3,FALSE)</f>
        <v>#100SHIP</v>
      </c>
      <c r="J7876" t="s">
        <v>600</v>
      </c>
      <c r="K7876" s="195">
        <v>45896.556388888886</v>
      </c>
      <c r="L7876">
        <v>280</v>
      </c>
      <c r="M7876">
        <v>0</v>
      </c>
      <c r="N7876" s="98" t="str">
        <f>IF(record[[#This Row],[Memo]]="Browser:chrome os:android","平板報工",IF(record[[#This Row],[Memo]]=0,"委外",record[[#This Row],[Memo]]))</f>
        <v/>
      </c>
      <c r="O7876" t="s">
        <v>58</v>
      </c>
      <c r="P7876" t="s">
        <v>886</v>
      </c>
      <c r="Q7876" t="s">
        <v>58</v>
      </c>
      <c r="R7876" t="str">
        <f>IFERROR(VLOOKUP(record[[#This Row],[PCUSTID]],廠商[],2,FALSE),"")</f>
        <v/>
      </c>
      <c r="S7876" t="str">
        <f>VLOOKUP(record[[#This Row],[employeeID]],員工[],2,FALSE)</f>
        <v>謝蓁薰</v>
      </c>
    </row>
    <row r="7877" spans="6:19" hidden="1" x14ac:dyDescent="0.25">
      <c r="F7877" t="s">
        <v>945</v>
      </c>
      <c r="G7877" t="s">
        <v>362</v>
      </c>
      <c r="H7877" t="str">
        <f>VLOOKUP(record[[#This Row],[ProcessSN]],表格2_7[],2,FALSE)</f>
        <v>30-4118-018-450</v>
      </c>
      <c r="I7877" t="str">
        <f>VLOOKUP(record[[#This Row],[ProcessSN]],表格2_7[],3,FALSE)</f>
        <v>#100SHIP</v>
      </c>
      <c r="J7877" t="s">
        <v>600</v>
      </c>
      <c r="K7877" s="195">
        <v>45896.555810185186</v>
      </c>
      <c r="L7877">
        <v>32</v>
      </c>
      <c r="M7877">
        <v>0</v>
      </c>
      <c r="N7877" s="98" t="str">
        <f>IF(record[[#This Row],[Memo]]="Browser:chrome os:android","平板報工",IF(record[[#This Row],[Memo]]=0,"委外",record[[#This Row],[Memo]]))</f>
        <v/>
      </c>
      <c r="O7877" t="s">
        <v>58</v>
      </c>
      <c r="P7877" t="s">
        <v>886</v>
      </c>
      <c r="Q7877" t="s">
        <v>58</v>
      </c>
      <c r="R7877" t="str">
        <f>IFERROR(VLOOKUP(record[[#This Row],[PCUSTID]],廠商[],2,FALSE),"")</f>
        <v/>
      </c>
      <c r="S7877" t="str">
        <f>VLOOKUP(record[[#This Row],[employeeID]],員工[],2,FALSE)</f>
        <v>謝蓁薰</v>
      </c>
    </row>
    <row r="7878" spans="6:19" hidden="1" x14ac:dyDescent="0.25">
      <c r="F7878" t="s">
        <v>849</v>
      </c>
      <c r="G7878" t="s">
        <v>469</v>
      </c>
      <c r="H7878" t="str">
        <f>VLOOKUP(record[[#This Row],[ProcessSN]],表格2_7[],2,FALSE)</f>
        <v>30-4118-018-XXX</v>
      </c>
      <c r="I7878" t="str">
        <f>VLOOKUP(record[[#This Row],[ProcessSN]],表格2_7[],3,FALSE)</f>
        <v>#02RCV</v>
      </c>
      <c r="J7878" t="s">
        <v>591</v>
      </c>
      <c r="K7878" s="195">
        <v>45896.489594907405</v>
      </c>
      <c r="L7878">
        <v>0</v>
      </c>
      <c r="M7878">
        <v>1</v>
      </c>
      <c r="N7878" s="98" t="str">
        <f>IF(record[[#This Row],[Memo]]="Browser:chrome os:android","平板報工",IF(record[[#This Row],[Memo]]=0,"委外",record[[#This Row],[Memo]]))</f>
        <v/>
      </c>
      <c r="O7878" t="s">
        <v>58</v>
      </c>
      <c r="P7878" t="s">
        <v>186</v>
      </c>
      <c r="Q7878" t="s">
        <v>58</v>
      </c>
      <c r="R7878" t="str">
        <f>IFERROR(VLOOKUP(record[[#This Row],[PCUSTID]],廠商[],2,FALSE),"")</f>
        <v/>
      </c>
      <c r="S7878" t="str">
        <f>VLOOKUP(record[[#This Row],[employeeID]],員工[],2,FALSE)</f>
        <v>許文姍</v>
      </c>
    </row>
    <row r="7879" spans="6:19" hidden="1" x14ac:dyDescent="0.25">
      <c r="F7879" t="s">
        <v>849</v>
      </c>
      <c r="G7879" t="s">
        <v>469</v>
      </c>
      <c r="H7879" t="str">
        <f>VLOOKUP(record[[#This Row],[ProcessSN]],表格2_7[],2,FALSE)</f>
        <v>30-4118-018-XXX</v>
      </c>
      <c r="I7879" t="str">
        <f>VLOOKUP(record[[#This Row],[ProcessSN]],表格2_7[],3,FALSE)</f>
        <v>#02RCV</v>
      </c>
      <c r="J7879" t="s">
        <v>591</v>
      </c>
      <c r="K7879" s="195">
        <v>45896.489479166667</v>
      </c>
      <c r="L7879">
        <v>40</v>
      </c>
      <c r="M7879">
        <v>0</v>
      </c>
      <c r="N7879" s="98" t="str">
        <f>IF(record[[#This Row],[Memo]]="Browser:chrome os:android","平板報工",IF(record[[#This Row],[Memo]]=0,"委外",record[[#This Row],[Memo]]))</f>
        <v/>
      </c>
      <c r="O7879" t="s">
        <v>58</v>
      </c>
      <c r="P7879" t="s">
        <v>186</v>
      </c>
      <c r="Q7879" t="s">
        <v>58</v>
      </c>
      <c r="R7879" t="str">
        <f>IFERROR(VLOOKUP(record[[#This Row],[PCUSTID]],廠商[],2,FALSE),"")</f>
        <v/>
      </c>
      <c r="S7879" t="str">
        <f>VLOOKUP(record[[#This Row],[employeeID]],員工[],2,FALSE)</f>
        <v>許文姍</v>
      </c>
    </row>
    <row r="7880" spans="6:19" hidden="1" x14ac:dyDescent="0.25">
      <c r="F7880" t="s">
        <v>922</v>
      </c>
      <c r="G7880" t="s">
        <v>469</v>
      </c>
      <c r="H7880" t="str">
        <f>VLOOKUP(record[[#This Row],[ProcessSN]],表格2_7[],2,FALSE)</f>
        <v>30-4118-018-XXX</v>
      </c>
      <c r="I7880" t="str">
        <f>VLOOKUP(record[[#This Row],[ProcessSN]],表格2_7[],3,FALSE)</f>
        <v>#02RCV</v>
      </c>
      <c r="J7880" t="s">
        <v>591</v>
      </c>
      <c r="K7880" s="195">
        <v>45896.489247685182</v>
      </c>
      <c r="L7880">
        <v>1002</v>
      </c>
      <c r="M7880">
        <v>0</v>
      </c>
      <c r="N7880" s="98" t="str">
        <f>IF(record[[#This Row],[Memo]]="Browser:chrome os:android","平板報工",IF(record[[#This Row],[Memo]]=0,"委外",record[[#This Row],[Memo]]))</f>
        <v/>
      </c>
      <c r="O7880" t="s">
        <v>58</v>
      </c>
      <c r="P7880" t="s">
        <v>186</v>
      </c>
      <c r="Q7880" t="s">
        <v>58</v>
      </c>
      <c r="R7880" t="str">
        <f>IFERROR(VLOOKUP(record[[#This Row],[PCUSTID]],廠商[],2,FALSE),"")</f>
        <v/>
      </c>
      <c r="S7880" t="str">
        <f>VLOOKUP(record[[#This Row],[employeeID]],員工[],2,FALSE)</f>
        <v>許文姍</v>
      </c>
    </row>
    <row r="7881" spans="6:19" hidden="1" x14ac:dyDescent="0.25">
      <c r="F7881" t="s">
        <v>989</v>
      </c>
      <c r="G7881" t="s">
        <v>468</v>
      </c>
      <c r="H7881" t="str">
        <f>VLOOKUP(record[[#This Row],[ProcessSN]],表格2_7[],2,FALSE)</f>
        <v>30-4118-018-XXX</v>
      </c>
      <c r="I7881" t="str">
        <f>VLOOKUP(record[[#This Row],[ProcessSN]],表格2_7[],3,FALSE)</f>
        <v>#02</v>
      </c>
      <c r="J7881" t="s">
        <v>590</v>
      </c>
      <c r="K7881" s="195">
        <v>45896.35087962963</v>
      </c>
      <c r="L7881">
        <v>672</v>
      </c>
      <c r="M7881">
        <v>0</v>
      </c>
      <c r="N7881" s="98" t="str">
        <f>IF(record[[#This Row],[Memo]]="Browser:chrome os:android","平板報工",IF(record[[#This Row],[Memo]]=0,"委外",record[[#This Row],[Memo]]))</f>
        <v/>
      </c>
      <c r="O7881" t="s">
        <v>58</v>
      </c>
      <c r="P7881" t="s">
        <v>186</v>
      </c>
      <c r="Q7881" t="s">
        <v>216</v>
      </c>
      <c r="R7881" t="str">
        <f>IFERROR(VLOOKUP(record[[#This Row],[PCUSTID]],廠商[],2,FALSE),"")</f>
        <v>俊杰</v>
      </c>
      <c r="S7881" t="str">
        <f>VLOOKUP(record[[#This Row],[employeeID]],員工[],2,FALSE)</f>
        <v>許文姍</v>
      </c>
    </row>
    <row r="7882" spans="6:19" hidden="1" x14ac:dyDescent="0.25">
      <c r="F7882" t="s">
        <v>922</v>
      </c>
      <c r="G7882" t="s">
        <v>468</v>
      </c>
      <c r="H7882" t="str">
        <f>VLOOKUP(record[[#This Row],[ProcessSN]],表格2_7[],2,FALSE)</f>
        <v>30-4118-018-XXX</v>
      </c>
      <c r="I7882" t="str">
        <f>VLOOKUP(record[[#This Row],[ProcessSN]],表格2_7[],3,FALSE)</f>
        <v>#02</v>
      </c>
      <c r="J7882" t="s">
        <v>590</v>
      </c>
      <c r="K7882" s="195">
        <v>45896.350659722222</v>
      </c>
      <c r="L7882">
        <v>1986</v>
      </c>
      <c r="M7882">
        <v>0</v>
      </c>
      <c r="N7882" s="98" t="str">
        <f>IF(record[[#This Row],[Memo]]="Browser:chrome os:android","平板報工",IF(record[[#This Row],[Memo]]=0,"委外",record[[#This Row],[Memo]]))</f>
        <v/>
      </c>
      <c r="O7882" t="s">
        <v>58</v>
      </c>
      <c r="P7882" t="s">
        <v>186</v>
      </c>
      <c r="Q7882" t="s">
        <v>216</v>
      </c>
      <c r="R7882" t="str">
        <f>IFERROR(VLOOKUP(record[[#This Row],[PCUSTID]],廠商[],2,FALSE),"")</f>
        <v>俊杰</v>
      </c>
      <c r="S7882" t="str">
        <f>VLOOKUP(record[[#This Row],[employeeID]],員工[],2,FALSE)</f>
        <v>許文姍</v>
      </c>
    </row>
    <row r="7883" spans="6:19" hidden="1" x14ac:dyDescent="0.25">
      <c r="F7883" t="s">
        <v>1015</v>
      </c>
      <c r="G7883" t="s">
        <v>415</v>
      </c>
      <c r="H7883" t="str">
        <f>VLOOKUP(record[[#This Row],[ProcessSN]],表格2_7[],2,FALSE)</f>
        <v>30-4118-018-5XX</v>
      </c>
      <c r="I7883" t="str">
        <f>VLOOKUP(record[[#This Row],[ProcessSN]],表格2_7[],3,FALSE)</f>
        <v>#04</v>
      </c>
      <c r="J7883" t="s">
        <v>588</v>
      </c>
      <c r="K7883" s="195">
        <v>45896.316527777781</v>
      </c>
      <c r="L7883">
        <v>90</v>
      </c>
      <c r="M7883">
        <v>0</v>
      </c>
      <c r="N7883" s="98" t="str">
        <f>IF(record[[#This Row],[Memo]]="Browser:chrome os:android","平板報工",IF(record[[#This Row],[Memo]]=0,"委外",record[[#This Row],[Memo]]))</f>
        <v/>
      </c>
      <c r="O7883" t="s">
        <v>58</v>
      </c>
      <c r="P7883" t="s">
        <v>135</v>
      </c>
      <c r="Q7883" t="s">
        <v>58</v>
      </c>
      <c r="R7883" t="str">
        <f>IFERROR(VLOOKUP(record[[#This Row],[PCUSTID]],廠商[],2,FALSE),"")</f>
        <v/>
      </c>
      <c r="S7883" t="str">
        <f>VLOOKUP(record[[#This Row],[employeeID]],員工[],2,FALSE)</f>
        <v>阮士文</v>
      </c>
    </row>
    <row r="7884" spans="6:19" hidden="1" x14ac:dyDescent="0.25">
      <c r="F7884" t="s">
        <v>1001</v>
      </c>
      <c r="G7884" t="s">
        <v>415</v>
      </c>
      <c r="H7884" t="str">
        <f>VLOOKUP(record[[#This Row],[ProcessSN]],表格2_7[],2,FALSE)</f>
        <v>30-4118-018-5XX</v>
      </c>
      <c r="I7884" t="str">
        <f>VLOOKUP(record[[#This Row],[ProcessSN]],表格2_7[],3,FALSE)</f>
        <v>#04</v>
      </c>
      <c r="J7884" t="s">
        <v>588</v>
      </c>
      <c r="K7884" s="195">
        <v>45896.316377314812</v>
      </c>
      <c r="L7884">
        <v>57</v>
      </c>
      <c r="M7884">
        <v>0</v>
      </c>
      <c r="N7884" s="98" t="str">
        <f>IF(record[[#This Row],[Memo]]="Browser:chrome os:android","平板報工",IF(record[[#This Row],[Memo]]=0,"委外",record[[#This Row],[Memo]]))</f>
        <v/>
      </c>
      <c r="O7884" t="s">
        <v>58</v>
      </c>
      <c r="P7884" t="s">
        <v>135</v>
      </c>
      <c r="Q7884" t="s">
        <v>58</v>
      </c>
      <c r="R7884" t="str">
        <f>IFERROR(VLOOKUP(record[[#This Row],[PCUSTID]],廠商[],2,FALSE),"")</f>
        <v/>
      </c>
      <c r="S7884" t="str">
        <f>VLOOKUP(record[[#This Row],[employeeID]],員工[],2,FALSE)</f>
        <v>阮士文</v>
      </c>
    </row>
    <row r="7885" spans="6:19" hidden="1" x14ac:dyDescent="0.25">
      <c r="F7885" t="s">
        <v>1001</v>
      </c>
      <c r="G7885" t="s">
        <v>415</v>
      </c>
      <c r="H7885" t="str">
        <f>VLOOKUP(record[[#This Row],[ProcessSN]],表格2_7[],2,FALSE)</f>
        <v>30-4118-018-5XX</v>
      </c>
      <c r="I7885" t="str">
        <f>VLOOKUP(record[[#This Row],[ProcessSN]],表格2_7[],3,FALSE)</f>
        <v>#04</v>
      </c>
      <c r="J7885" t="s">
        <v>588</v>
      </c>
      <c r="K7885" s="195">
        <v>45895.952361111114</v>
      </c>
      <c r="L7885">
        <v>100</v>
      </c>
      <c r="M7885">
        <v>0</v>
      </c>
      <c r="N7885" s="98" t="str">
        <f>IF(record[[#This Row],[Memo]]="Browser:chrome os:android","平板報工",IF(record[[#This Row],[Memo]]=0,"委外",record[[#This Row],[Memo]]))</f>
        <v/>
      </c>
      <c r="O7885" t="s">
        <v>58</v>
      </c>
      <c r="P7885" t="s">
        <v>806</v>
      </c>
      <c r="Q7885" t="s">
        <v>58</v>
      </c>
      <c r="R7885" t="str">
        <f>IFERROR(VLOOKUP(record[[#This Row],[PCUSTID]],廠商[],2,FALSE),"")</f>
        <v/>
      </c>
      <c r="S7885" t="str">
        <f>VLOOKUP(record[[#This Row],[employeeID]],員工[],2,FALSE)</f>
        <v>方思緯</v>
      </c>
    </row>
    <row r="7886" spans="6:19" hidden="1" x14ac:dyDescent="0.25">
      <c r="F7886" t="s">
        <v>922</v>
      </c>
      <c r="G7886" t="s">
        <v>467</v>
      </c>
      <c r="H7886" t="str">
        <f>VLOOKUP(record[[#This Row],[ProcessSN]],表格2_7[],2,FALSE)</f>
        <v>30-4118-018-XXX</v>
      </c>
      <c r="I7886" t="str">
        <f>VLOOKUP(record[[#This Row],[ProcessSN]],表格2_7[],3,FALSE)</f>
        <v>#01QC</v>
      </c>
      <c r="J7886" t="s">
        <v>589</v>
      </c>
      <c r="K7886" s="195">
        <v>45895.740520833337</v>
      </c>
      <c r="L7886">
        <v>812</v>
      </c>
      <c r="M7886">
        <v>0</v>
      </c>
      <c r="N7886" s="98" t="str">
        <f>IF(record[[#This Row],[Memo]]="Browser:chrome os:android","平板報工",IF(record[[#This Row],[Memo]]=0,"委外",record[[#This Row],[Memo]]))</f>
        <v>平板報工</v>
      </c>
      <c r="O7886" t="s">
        <v>643</v>
      </c>
      <c r="P7886" t="s">
        <v>182</v>
      </c>
      <c r="Q7886" t="s">
        <v>644</v>
      </c>
      <c r="R7886" t="str">
        <f>IFERROR(VLOOKUP(record[[#This Row],[PCUSTID]],廠商[],2,FALSE),"")</f>
        <v/>
      </c>
      <c r="S7886" t="str">
        <f>VLOOKUP(record[[#This Row],[employeeID]],員工[],2,FALSE)</f>
        <v>梅氏和</v>
      </c>
    </row>
    <row r="7887" spans="6:19" hidden="1" x14ac:dyDescent="0.25">
      <c r="F7887" t="s">
        <v>922</v>
      </c>
      <c r="G7887" t="s">
        <v>466</v>
      </c>
      <c r="H7887" t="str">
        <f>VLOOKUP(record[[#This Row],[ProcessSN]],表格2_7[],2,FALSE)</f>
        <v>30-4118-018-XXX</v>
      </c>
      <c r="I7887" t="str">
        <f>VLOOKUP(record[[#This Row],[ProcessSN]],表格2_7[],3,FALSE)</f>
        <v>#01-2</v>
      </c>
      <c r="J7887" t="s">
        <v>588</v>
      </c>
      <c r="K7887" s="195">
        <v>45895.740046296298</v>
      </c>
      <c r="L7887">
        <v>294</v>
      </c>
      <c r="M7887">
        <v>0</v>
      </c>
      <c r="N7887" s="98" t="str">
        <f>IF(record[[#This Row],[Memo]]="Browser:chrome os:android","平板報工",IF(record[[#This Row],[Memo]]=0,"委外",record[[#This Row],[Memo]]))</f>
        <v>補報</v>
      </c>
      <c r="O7887" t="s">
        <v>868</v>
      </c>
      <c r="P7887" t="s">
        <v>127</v>
      </c>
      <c r="Q7887" t="s">
        <v>58</v>
      </c>
      <c r="R7887" t="str">
        <f>IFERROR(VLOOKUP(record[[#This Row],[PCUSTID]],廠商[],2,FALSE),"")</f>
        <v/>
      </c>
      <c r="S7887" t="str">
        <f>VLOOKUP(record[[#This Row],[employeeID]],員工[],2,FALSE)</f>
        <v>潘雪梅</v>
      </c>
    </row>
    <row r="7888" spans="6:19" hidden="1" x14ac:dyDescent="0.25">
      <c r="F7888" t="s">
        <v>1011</v>
      </c>
      <c r="G7888" t="s">
        <v>399</v>
      </c>
      <c r="H7888" t="str">
        <f>VLOOKUP(record[[#This Row],[ProcessSN]],表格2_7[],2,FALSE)</f>
        <v>30-4118-018-550</v>
      </c>
      <c r="I7888" t="str">
        <f>VLOOKUP(record[[#This Row],[ProcessSN]],表格2_7[],3,FALSE)</f>
        <v>#08IQC</v>
      </c>
      <c r="J7888" t="s">
        <v>583</v>
      </c>
      <c r="K7888" s="195">
        <v>45895.738796296297</v>
      </c>
      <c r="L7888">
        <v>162</v>
      </c>
      <c r="M7888">
        <v>0</v>
      </c>
      <c r="N7888" s="98" t="str">
        <f>IF(record[[#This Row],[Memo]]="Browser:chrome os:android","平板報工",IF(record[[#This Row],[Memo]]=0,"委外",record[[#This Row],[Memo]]))</f>
        <v/>
      </c>
      <c r="O7888" t="s">
        <v>58</v>
      </c>
      <c r="P7888" t="s">
        <v>109</v>
      </c>
      <c r="Q7888" t="s">
        <v>58</v>
      </c>
      <c r="R7888" t="str">
        <f>IFERROR(VLOOKUP(record[[#This Row],[PCUSTID]],廠商[],2,FALSE),"")</f>
        <v/>
      </c>
      <c r="S7888" t="str">
        <f>VLOOKUP(record[[#This Row],[employeeID]],員工[],2,FALSE)</f>
        <v>裴氏璧鳳</v>
      </c>
    </row>
    <row r="7889" spans="6:19" hidden="1" x14ac:dyDescent="0.25">
      <c r="F7889" t="s">
        <v>1000</v>
      </c>
      <c r="G7889" t="s">
        <v>399</v>
      </c>
      <c r="H7889" t="str">
        <f>VLOOKUP(record[[#This Row],[ProcessSN]],表格2_7[],2,FALSE)</f>
        <v>30-4118-018-550</v>
      </c>
      <c r="I7889" t="str">
        <f>VLOOKUP(record[[#This Row],[ProcessSN]],表格2_7[],3,FALSE)</f>
        <v>#08IQC</v>
      </c>
      <c r="J7889" t="s">
        <v>583</v>
      </c>
      <c r="K7889" s="195">
        <v>45895.738634259258</v>
      </c>
      <c r="L7889">
        <v>183</v>
      </c>
      <c r="M7889">
        <v>0</v>
      </c>
      <c r="N7889" s="98" t="str">
        <f>IF(record[[#This Row],[Memo]]="Browser:chrome os:android","平板報工",IF(record[[#This Row],[Memo]]=0,"委外",record[[#This Row],[Memo]]))</f>
        <v/>
      </c>
      <c r="O7889" t="s">
        <v>58</v>
      </c>
      <c r="P7889" t="s">
        <v>109</v>
      </c>
      <c r="Q7889" t="s">
        <v>58</v>
      </c>
      <c r="R7889" t="str">
        <f>IFERROR(VLOOKUP(record[[#This Row],[PCUSTID]],廠商[],2,FALSE),"")</f>
        <v/>
      </c>
      <c r="S7889" t="str">
        <f>VLOOKUP(record[[#This Row],[employeeID]],員工[],2,FALSE)</f>
        <v>裴氏璧鳳</v>
      </c>
    </row>
    <row r="7890" spans="6:19" hidden="1" x14ac:dyDescent="0.25">
      <c r="F7890" t="s">
        <v>989</v>
      </c>
      <c r="G7890" t="s">
        <v>467</v>
      </c>
      <c r="H7890" t="str">
        <f>VLOOKUP(record[[#This Row],[ProcessSN]],表格2_7[],2,FALSE)</f>
        <v>30-4118-018-XXX</v>
      </c>
      <c r="I7890" t="str">
        <f>VLOOKUP(record[[#This Row],[ProcessSN]],表格2_7[],3,FALSE)</f>
        <v>#01QC</v>
      </c>
      <c r="J7890" t="s">
        <v>589</v>
      </c>
      <c r="K7890" s="195">
        <v>45895.680821759262</v>
      </c>
      <c r="L7890">
        <v>672</v>
      </c>
      <c r="M7890">
        <v>0</v>
      </c>
      <c r="N7890" s="98" t="str">
        <f>IF(record[[#This Row],[Memo]]="Browser:chrome os:android","平板報工",IF(record[[#This Row],[Memo]]=0,"委外",record[[#This Row],[Memo]]))</f>
        <v>平板報工</v>
      </c>
      <c r="O7890" t="s">
        <v>643</v>
      </c>
      <c r="P7890" t="s">
        <v>182</v>
      </c>
      <c r="Q7890" t="s">
        <v>644</v>
      </c>
      <c r="R7890" t="str">
        <f>IFERROR(VLOOKUP(record[[#This Row],[PCUSTID]],廠商[],2,FALSE),"")</f>
        <v/>
      </c>
      <c r="S7890" t="str">
        <f>VLOOKUP(record[[#This Row],[employeeID]],員工[],2,FALSE)</f>
        <v>梅氏和</v>
      </c>
    </row>
    <row r="7891" spans="6:19" hidden="1" x14ac:dyDescent="0.25">
      <c r="F7891" t="s">
        <v>942</v>
      </c>
      <c r="G7891" t="s">
        <v>361</v>
      </c>
      <c r="H7891" t="str">
        <f>VLOOKUP(record[[#This Row],[ProcessSN]],表格2_7[],2,FALSE)</f>
        <v>30-4118-018-450</v>
      </c>
      <c r="I7891" t="str">
        <f>VLOOKUP(record[[#This Row],[ProcessSN]],表格2_7[],3,FALSE)</f>
        <v>#100STOCK</v>
      </c>
      <c r="J7891" t="s">
        <v>592</v>
      </c>
      <c r="K7891" s="195">
        <v>45895.667453703703</v>
      </c>
      <c r="L7891">
        <v>161</v>
      </c>
      <c r="M7891">
        <v>0</v>
      </c>
      <c r="N7891" s="98" t="str">
        <f>IF(record[[#This Row],[Memo]]="Browser:chrome os:android","平板報工",IF(record[[#This Row],[Memo]]=0,"委外",record[[#This Row],[Memo]]))</f>
        <v/>
      </c>
      <c r="O7891" t="s">
        <v>58</v>
      </c>
      <c r="P7891" t="s">
        <v>886</v>
      </c>
      <c r="Q7891" t="s">
        <v>58</v>
      </c>
      <c r="R7891" t="str">
        <f>IFERROR(VLOOKUP(record[[#This Row],[PCUSTID]],廠商[],2,FALSE),"")</f>
        <v/>
      </c>
      <c r="S7891" t="str">
        <f>VLOOKUP(record[[#This Row],[employeeID]],員工[],2,FALSE)</f>
        <v>謝蓁薰</v>
      </c>
    </row>
    <row r="7892" spans="6:19" hidden="1" x14ac:dyDescent="0.25">
      <c r="F7892" t="s">
        <v>989</v>
      </c>
      <c r="G7892" t="s">
        <v>466</v>
      </c>
      <c r="H7892" t="str">
        <f>VLOOKUP(record[[#This Row],[ProcessSN]],表格2_7[],2,FALSE)</f>
        <v>30-4118-018-XXX</v>
      </c>
      <c r="I7892" t="str">
        <f>VLOOKUP(record[[#This Row],[ProcessSN]],表格2_7[],3,FALSE)</f>
        <v>#01-2</v>
      </c>
      <c r="J7892" t="s">
        <v>588</v>
      </c>
      <c r="K7892" s="195">
        <v>45895.654166666667</v>
      </c>
      <c r="L7892">
        <v>305</v>
      </c>
      <c r="M7892">
        <v>2</v>
      </c>
      <c r="N7892" s="98" t="str">
        <f>IF(record[[#This Row],[Memo]]="Browser:chrome os:android","平板報工",IF(record[[#This Row],[Memo]]=0,"委外",record[[#This Row],[Memo]]))</f>
        <v/>
      </c>
      <c r="O7892" t="s">
        <v>58</v>
      </c>
      <c r="P7892" t="s">
        <v>119</v>
      </c>
      <c r="Q7892" t="s">
        <v>58</v>
      </c>
      <c r="R7892" t="str">
        <f>IFERROR(VLOOKUP(record[[#This Row],[PCUSTID]],廠商[],2,FALSE),"")</f>
        <v/>
      </c>
      <c r="S7892" t="str">
        <f>VLOOKUP(record[[#This Row],[employeeID]],員工[],2,FALSE)</f>
        <v>廖俊彥</v>
      </c>
    </row>
    <row r="7893" spans="6:19" hidden="1" x14ac:dyDescent="0.25">
      <c r="F7893" t="s">
        <v>1001</v>
      </c>
      <c r="G7893" t="s">
        <v>417</v>
      </c>
      <c r="H7893" t="str">
        <f>VLOOKUP(record[[#This Row],[ProcessSN]],表格2_7[],2,FALSE)</f>
        <v>30-4118-018-5XX</v>
      </c>
      <c r="I7893" t="str">
        <f>VLOOKUP(record[[#This Row],[ProcessSN]],表格2_7[],3,FALSE)</f>
        <v>#06</v>
      </c>
      <c r="J7893" t="s">
        <v>593</v>
      </c>
      <c r="K7893" s="195">
        <v>45895.653437499997</v>
      </c>
      <c r="L7893">
        <v>111</v>
      </c>
      <c r="M7893">
        <v>1</v>
      </c>
      <c r="N7893" s="98" t="str">
        <f>IF(record[[#This Row],[Memo]]="Browser:chrome os:android","平板報工",IF(record[[#This Row],[Memo]]=0,"委外",record[[#This Row],[Memo]]))</f>
        <v/>
      </c>
      <c r="O7893" t="s">
        <v>58</v>
      </c>
      <c r="P7893" t="s">
        <v>119</v>
      </c>
      <c r="Q7893" t="s">
        <v>58</v>
      </c>
      <c r="R7893" t="str">
        <f>IFERROR(VLOOKUP(record[[#This Row],[PCUSTID]],廠商[],2,FALSE),"")</f>
        <v/>
      </c>
      <c r="S7893" t="str">
        <f>VLOOKUP(record[[#This Row],[employeeID]],員工[],2,FALSE)</f>
        <v>廖俊彥</v>
      </c>
    </row>
    <row r="7894" spans="6:19" hidden="1" x14ac:dyDescent="0.25">
      <c r="F7894" t="s">
        <v>1001</v>
      </c>
      <c r="G7894" t="s">
        <v>416</v>
      </c>
      <c r="H7894" t="str">
        <f>VLOOKUP(record[[#This Row],[ProcessSN]],表格2_7[],2,FALSE)</f>
        <v>30-4118-018-5XX</v>
      </c>
      <c r="I7894" t="str">
        <f>VLOOKUP(record[[#This Row],[ProcessSN]],表格2_7[],3,FALSE)</f>
        <v>#05</v>
      </c>
      <c r="J7894" t="s">
        <v>588</v>
      </c>
      <c r="K7894" s="195">
        <v>45895.65320601852</v>
      </c>
      <c r="L7894">
        <v>145</v>
      </c>
      <c r="M7894">
        <v>0</v>
      </c>
      <c r="N7894" s="98" t="str">
        <f>IF(record[[#This Row],[Memo]]="Browser:chrome os:android","平板報工",IF(record[[#This Row],[Memo]]=0,"委外",record[[#This Row],[Memo]]))</f>
        <v/>
      </c>
      <c r="O7894" t="s">
        <v>58</v>
      </c>
      <c r="P7894" t="s">
        <v>119</v>
      </c>
      <c r="Q7894" t="s">
        <v>58</v>
      </c>
      <c r="R7894" t="str">
        <f>IFERROR(VLOOKUP(record[[#This Row],[PCUSTID]],廠商[],2,FALSE),"")</f>
        <v/>
      </c>
      <c r="S7894" t="str">
        <f>VLOOKUP(record[[#This Row],[employeeID]],員工[],2,FALSE)</f>
        <v>廖俊彥</v>
      </c>
    </row>
    <row r="7895" spans="6:19" hidden="1" x14ac:dyDescent="0.25">
      <c r="F7895" t="s">
        <v>1001</v>
      </c>
      <c r="G7895" t="s">
        <v>415</v>
      </c>
      <c r="H7895" t="str">
        <f>VLOOKUP(record[[#This Row],[ProcessSN]],表格2_7[],2,FALSE)</f>
        <v>30-4118-018-5XX</v>
      </c>
      <c r="I7895" t="str">
        <f>VLOOKUP(record[[#This Row],[ProcessSN]],表格2_7[],3,FALSE)</f>
        <v>#04</v>
      </c>
      <c r="J7895" t="s">
        <v>588</v>
      </c>
      <c r="K7895" s="195">
        <v>45895.653009259258</v>
      </c>
      <c r="L7895">
        <v>55</v>
      </c>
      <c r="M7895">
        <v>22</v>
      </c>
      <c r="N7895" s="98" t="str">
        <f>IF(record[[#This Row],[Memo]]="Browser:chrome os:android","平板報工",IF(record[[#This Row],[Memo]]=0,"委外",record[[#This Row],[Memo]]))</f>
        <v/>
      </c>
      <c r="O7895" t="s">
        <v>58</v>
      </c>
      <c r="P7895" t="s">
        <v>119</v>
      </c>
      <c r="Q7895" t="s">
        <v>58</v>
      </c>
      <c r="R7895" t="str">
        <f>IFERROR(VLOOKUP(record[[#This Row],[PCUSTID]],廠商[],2,FALSE),"")</f>
        <v/>
      </c>
      <c r="S7895" t="str">
        <f>VLOOKUP(record[[#This Row],[employeeID]],員工[],2,FALSE)</f>
        <v>廖俊彥</v>
      </c>
    </row>
    <row r="7896" spans="6:19" hidden="1" x14ac:dyDescent="0.25">
      <c r="F7896" t="s">
        <v>993</v>
      </c>
      <c r="G7896" t="s">
        <v>402</v>
      </c>
      <c r="H7896" t="str">
        <f>VLOOKUP(record[[#This Row],[ProcessSN]],表格2_7[],2,FALSE)</f>
        <v>30-4118-018-550</v>
      </c>
      <c r="I7896" t="str">
        <f>VLOOKUP(record[[#This Row],[ProcessSN]],表格2_7[],3,FALSE)</f>
        <v>#100STOCK</v>
      </c>
      <c r="J7896" t="s">
        <v>592</v>
      </c>
      <c r="K7896" s="195">
        <v>45895.65185185185</v>
      </c>
      <c r="L7896">
        <v>92</v>
      </c>
      <c r="M7896">
        <v>0</v>
      </c>
      <c r="N7896" s="98" t="str">
        <f>IF(record[[#This Row],[Memo]]="Browser:chrome os:android","平板報工",IF(record[[#This Row],[Memo]]=0,"委外",record[[#This Row],[Memo]]))</f>
        <v/>
      </c>
      <c r="O7896" t="s">
        <v>58</v>
      </c>
      <c r="P7896" t="s">
        <v>886</v>
      </c>
      <c r="Q7896" t="s">
        <v>58</v>
      </c>
      <c r="R7896" t="str">
        <f>IFERROR(VLOOKUP(record[[#This Row],[PCUSTID]],廠商[],2,FALSE),"")</f>
        <v/>
      </c>
      <c r="S7896" t="str">
        <f>VLOOKUP(record[[#This Row],[employeeID]],員工[],2,FALSE)</f>
        <v>謝蓁薰</v>
      </c>
    </row>
    <row r="7897" spans="6:19" hidden="1" x14ac:dyDescent="0.25">
      <c r="F7897" t="s">
        <v>1011</v>
      </c>
      <c r="G7897" t="s">
        <v>398</v>
      </c>
      <c r="H7897" t="str">
        <f>VLOOKUP(record[[#This Row],[ProcessSN]],表格2_7[],2,FALSE)</f>
        <v>30-4118-018-550</v>
      </c>
      <c r="I7897" t="str">
        <f>VLOOKUP(record[[#This Row],[ProcessSN]],表格2_7[],3,FALSE)</f>
        <v>#08RCV</v>
      </c>
      <c r="J7897" t="s">
        <v>591</v>
      </c>
      <c r="K7897" s="195">
        <v>45895.636377314811</v>
      </c>
      <c r="L7897">
        <v>162</v>
      </c>
      <c r="M7897">
        <v>0</v>
      </c>
      <c r="N7897" s="98" t="str">
        <f>IF(record[[#This Row],[Memo]]="Browser:chrome os:android","平板報工",IF(record[[#This Row],[Memo]]=0,"委外",record[[#This Row],[Memo]]))</f>
        <v/>
      </c>
      <c r="O7897" t="s">
        <v>58</v>
      </c>
      <c r="P7897" t="s">
        <v>186</v>
      </c>
      <c r="Q7897" t="s">
        <v>58</v>
      </c>
      <c r="R7897" t="str">
        <f>IFERROR(VLOOKUP(record[[#This Row],[PCUSTID]],廠商[],2,FALSE),"")</f>
        <v/>
      </c>
      <c r="S7897" t="str">
        <f>VLOOKUP(record[[#This Row],[employeeID]],員工[],2,FALSE)</f>
        <v>許文姍</v>
      </c>
    </row>
    <row r="7898" spans="6:19" hidden="1" x14ac:dyDescent="0.25">
      <c r="F7898" t="s">
        <v>1000</v>
      </c>
      <c r="G7898" t="s">
        <v>398</v>
      </c>
      <c r="H7898" t="str">
        <f>VLOOKUP(record[[#This Row],[ProcessSN]],表格2_7[],2,FALSE)</f>
        <v>30-4118-018-550</v>
      </c>
      <c r="I7898" t="str">
        <f>VLOOKUP(record[[#This Row],[ProcessSN]],表格2_7[],3,FALSE)</f>
        <v>#08RCV</v>
      </c>
      <c r="J7898" t="s">
        <v>591</v>
      </c>
      <c r="K7898" s="195">
        <v>45895.632060185184</v>
      </c>
      <c r="L7898">
        <v>183</v>
      </c>
      <c r="M7898">
        <v>0</v>
      </c>
      <c r="N7898" s="98" t="str">
        <f>IF(record[[#This Row],[Memo]]="Browser:chrome os:android","平板報工",IF(record[[#This Row],[Memo]]=0,"委外",record[[#This Row],[Memo]]))</f>
        <v/>
      </c>
      <c r="O7898" t="s">
        <v>58</v>
      </c>
      <c r="P7898" t="s">
        <v>186</v>
      </c>
      <c r="Q7898" t="s">
        <v>58</v>
      </c>
      <c r="R7898" t="str">
        <f>IFERROR(VLOOKUP(record[[#This Row],[PCUSTID]],廠商[],2,FALSE),"")</f>
        <v/>
      </c>
      <c r="S7898" t="str">
        <f>VLOOKUP(record[[#This Row],[employeeID]],員工[],2,FALSE)</f>
        <v>許文姍</v>
      </c>
    </row>
    <row r="7899" spans="6:19" hidden="1" x14ac:dyDescent="0.25">
      <c r="F7899" t="s">
        <v>1001</v>
      </c>
      <c r="G7899" t="s">
        <v>417</v>
      </c>
      <c r="H7899" t="str">
        <f>VLOOKUP(record[[#This Row],[ProcessSN]],表格2_7[],2,FALSE)</f>
        <v>30-4118-018-5XX</v>
      </c>
      <c r="I7899" t="str">
        <f>VLOOKUP(record[[#This Row],[ProcessSN]],表格2_7[],3,FALSE)</f>
        <v>#06</v>
      </c>
      <c r="J7899" t="s">
        <v>593</v>
      </c>
      <c r="K7899" s="195">
        <v>45895.308564814812</v>
      </c>
      <c r="L7899">
        <v>121</v>
      </c>
      <c r="M7899">
        <v>0</v>
      </c>
      <c r="N7899" s="98" t="str">
        <f>IF(record[[#This Row],[Memo]]="Browser:chrome os:android","平板報工",IF(record[[#This Row],[Memo]]=0,"委外",record[[#This Row],[Memo]]))</f>
        <v/>
      </c>
      <c r="O7899" t="s">
        <v>58</v>
      </c>
      <c r="P7899" t="s">
        <v>135</v>
      </c>
      <c r="Q7899" t="s">
        <v>58</v>
      </c>
      <c r="R7899" t="str">
        <f>IFERROR(VLOOKUP(record[[#This Row],[PCUSTID]],廠商[],2,FALSE),"")</f>
        <v/>
      </c>
      <c r="S7899" t="str">
        <f>VLOOKUP(record[[#This Row],[employeeID]],員工[],2,FALSE)</f>
        <v>阮士文</v>
      </c>
    </row>
    <row r="7900" spans="6:19" hidden="1" x14ac:dyDescent="0.25">
      <c r="F7900" t="s">
        <v>989</v>
      </c>
      <c r="G7900" t="s">
        <v>466</v>
      </c>
      <c r="H7900" t="str">
        <f>VLOOKUP(record[[#This Row],[ProcessSN]],表格2_7[],2,FALSE)</f>
        <v>30-4118-018-XXX</v>
      </c>
      <c r="I7900" t="str">
        <f>VLOOKUP(record[[#This Row],[ProcessSN]],表格2_7[],3,FALSE)</f>
        <v>#01-2</v>
      </c>
      <c r="J7900" t="s">
        <v>588</v>
      </c>
      <c r="K7900" s="195">
        <v>45895.306550925925</v>
      </c>
      <c r="L7900">
        <v>540</v>
      </c>
      <c r="M7900">
        <v>0</v>
      </c>
      <c r="N7900" s="98" t="str">
        <f>IF(record[[#This Row],[Memo]]="Browser:chrome os:android","平板報工",IF(record[[#This Row],[Memo]]=0,"委外",record[[#This Row],[Memo]]))</f>
        <v/>
      </c>
      <c r="O7900" t="s">
        <v>58</v>
      </c>
      <c r="P7900" t="s">
        <v>135</v>
      </c>
      <c r="Q7900" t="s">
        <v>58</v>
      </c>
      <c r="R7900" t="str">
        <f>IFERROR(VLOOKUP(record[[#This Row],[PCUSTID]],廠商[],2,FALSE),"")</f>
        <v/>
      </c>
      <c r="S7900" t="str">
        <f>VLOOKUP(record[[#This Row],[employeeID]],員工[],2,FALSE)</f>
        <v>阮士文</v>
      </c>
    </row>
    <row r="7901" spans="6:19" hidden="1" x14ac:dyDescent="0.25">
      <c r="F7901" t="s">
        <v>1018</v>
      </c>
      <c r="G7901" t="s">
        <v>414</v>
      </c>
      <c r="H7901" t="str">
        <f>VLOOKUP(record[[#This Row],[ProcessSN]],表格2_7[],2,FALSE)</f>
        <v>30-4118-018-5XX</v>
      </c>
      <c r="I7901" t="str">
        <f>VLOOKUP(record[[#This Row],[ProcessSN]],表格2_7[],3,FALSE)</f>
        <v>#03</v>
      </c>
      <c r="J7901" t="s">
        <v>588</v>
      </c>
      <c r="K7901" s="195">
        <v>45895.305925925924</v>
      </c>
      <c r="L7901">
        <v>430</v>
      </c>
      <c r="M7901">
        <v>2</v>
      </c>
      <c r="N7901" s="98" t="str">
        <f>IF(record[[#This Row],[Memo]]="Browser:chrome os:android","平板報工",IF(record[[#This Row],[Memo]]=0,"委外",record[[#This Row],[Memo]]))</f>
        <v/>
      </c>
      <c r="O7901" t="s">
        <v>58</v>
      </c>
      <c r="P7901" t="s">
        <v>135</v>
      </c>
      <c r="Q7901" t="s">
        <v>58</v>
      </c>
      <c r="R7901" t="str">
        <f>IFERROR(VLOOKUP(record[[#This Row],[PCUSTID]],廠商[],2,FALSE),"")</f>
        <v/>
      </c>
      <c r="S7901" t="str">
        <f>VLOOKUP(record[[#This Row],[employeeID]],員工[],2,FALSE)</f>
        <v>阮士文</v>
      </c>
    </row>
    <row r="7902" spans="6:19" hidden="1" x14ac:dyDescent="0.25">
      <c r="F7902" t="s">
        <v>1001</v>
      </c>
      <c r="G7902" t="s">
        <v>415</v>
      </c>
      <c r="H7902" t="str">
        <f>VLOOKUP(record[[#This Row],[ProcessSN]],表格2_7[],2,FALSE)</f>
        <v>30-4118-018-5XX</v>
      </c>
      <c r="I7902" t="str">
        <f>VLOOKUP(record[[#This Row],[ProcessSN]],表格2_7[],3,FALSE)</f>
        <v>#04</v>
      </c>
      <c r="J7902" t="s">
        <v>588</v>
      </c>
      <c r="K7902" s="195">
        <v>45894.943912037037</v>
      </c>
      <c r="L7902">
        <v>0</v>
      </c>
      <c r="M7902">
        <v>1</v>
      </c>
      <c r="N7902" s="98" t="str">
        <f>IF(record[[#This Row],[Memo]]="Browser:chrome os:android","平板報工",IF(record[[#This Row],[Memo]]=0,"委外",record[[#This Row],[Memo]]))</f>
        <v/>
      </c>
      <c r="O7902" t="s">
        <v>58</v>
      </c>
      <c r="P7902" t="s">
        <v>691</v>
      </c>
      <c r="Q7902" t="s">
        <v>58</v>
      </c>
      <c r="R7902" t="str">
        <f>IFERROR(VLOOKUP(record[[#This Row],[PCUSTID]],廠商[],2,FALSE),"")</f>
        <v/>
      </c>
      <c r="S7902" t="str">
        <f>VLOOKUP(record[[#This Row],[employeeID]],員工[],2,FALSE)</f>
        <v>武氏賢</v>
      </c>
    </row>
    <row r="7903" spans="6:19" hidden="1" x14ac:dyDescent="0.25">
      <c r="F7903" t="s">
        <v>1001</v>
      </c>
      <c r="G7903" t="s">
        <v>417</v>
      </c>
      <c r="H7903" t="str">
        <f>VLOOKUP(record[[#This Row],[ProcessSN]],表格2_7[],2,FALSE)</f>
        <v>30-4118-018-5XX</v>
      </c>
      <c r="I7903" t="str">
        <f>VLOOKUP(record[[#This Row],[ProcessSN]],表格2_7[],3,FALSE)</f>
        <v>#06</v>
      </c>
      <c r="J7903" t="s">
        <v>593</v>
      </c>
      <c r="K7903" s="195">
        <v>45894.926736111112</v>
      </c>
      <c r="L7903">
        <v>121</v>
      </c>
      <c r="M7903">
        <v>0</v>
      </c>
      <c r="N7903" s="98" t="str">
        <f>IF(record[[#This Row],[Memo]]="Browser:chrome os:android","平板報工",IF(record[[#This Row],[Memo]]=0,"委外",record[[#This Row],[Memo]]))</f>
        <v/>
      </c>
      <c r="O7903" t="s">
        <v>58</v>
      </c>
      <c r="P7903" t="s">
        <v>841</v>
      </c>
      <c r="Q7903" t="s">
        <v>58</v>
      </c>
      <c r="R7903" t="str">
        <f>IFERROR(VLOOKUP(record[[#This Row],[PCUSTID]],廠商[],2,FALSE),"")</f>
        <v/>
      </c>
      <c r="S7903" t="str">
        <f>VLOOKUP(record[[#This Row],[employeeID]],員工[],2,FALSE)</f>
        <v>范氏香</v>
      </c>
    </row>
    <row r="7904" spans="6:19" hidden="1" x14ac:dyDescent="0.25">
      <c r="F7904" t="s">
        <v>989</v>
      </c>
      <c r="G7904" t="s">
        <v>466</v>
      </c>
      <c r="H7904" t="str">
        <f>VLOOKUP(record[[#This Row],[ProcessSN]],表格2_7[],2,FALSE)</f>
        <v>30-4118-018-XXX</v>
      </c>
      <c r="I7904" t="str">
        <f>VLOOKUP(record[[#This Row],[ProcessSN]],表格2_7[],3,FALSE)</f>
        <v>#01-2</v>
      </c>
      <c r="J7904" t="s">
        <v>588</v>
      </c>
      <c r="K7904" s="195">
        <v>45894.925787037035</v>
      </c>
      <c r="L7904">
        <v>162</v>
      </c>
      <c r="M7904">
        <v>0</v>
      </c>
      <c r="N7904" s="98" t="str">
        <f>IF(record[[#This Row],[Memo]]="Browser:chrome os:android","平板報工",IF(record[[#This Row],[Memo]]=0,"委外",record[[#This Row],[Memo]]))</f>
        <v/>
      </c>
      <c r="O7904" t="s">
        <v>58</v>
      </c>
      <c r="P7904" t="s">
        <v>89</v>
      </c>
      <c r="Q7904" t="s">
        <v>58</v>
      </c>
      <c r="R7904" t="str">
        <f>IFERROR(VLOOKUP(record[[#This Row],[PCUSTID]],廠商[],2,FALSE),"")</f>
        <v/>
      </c>
      <c r="S7904" t="str">
        <f>VLOOKUP(record[[#This Row],[employeeID]],員工[],2,FALSE)</f>
        <v>李美蓮</v>
      </c>
    </row>
    <row r="7905" spans="6:19" hidden="1" x14ac:dyDescent="0.25">
      <c r="F7905" t="s">
        <v>922</v>
      </c>
      <c r="G7905" t="s">
        <v>466</v>
      </c>
      <c r="H7905" t="str">
        <f>VLOOKUP(record[[#This Row],[ProcessSN]],表格2_7[],2,FALSE)</f>
        <v>30-4118-018-XXX</v>
      </c>
      <c r="I7905" t="str">
        <f>VLOOKUP(record[[#This Row],[ProcessSN]],表格2_7[],3,FALSE)</f>
        <v>#01-2</v>
      </c>
      <c r="J7905" t="s">
        <v>588</v>
      </c>
      <c r="K7905" s="195">
        <v>45894.925520833334</v>
      </c>
      <c r="L7905">
        <v>425</v>
      </c>
      <c r="M7905">
        <v>0</v>
      </c>
      <c r="N7905" s="98" t="str">
        <f>IF(record[[#This Row],[Memo]]="Browser:chrome os:android","平板報工",IF(record[[#This Row],[Memo]]=0,"委外",record[[#This Row],[Memo]]))</f>
        <v/>
      </c>
      <c r="O7905" t="s">
        <v>58</v>
      </c>
      <c r="P7905" t="s">
        <v>89</v>
      </c>
      <c r="Q7905" t="s">
        <v>58</v>
      </c>
      <c r="R7905" t="str">
        <f>IFERROR(VLOOKUP(record[[#This Row],[PCUSTID]],廠商[],2,FALSE),"")</f>
        <v/>
      </c>
      <c r="S7905" t="str">
        <f>VLOOKUP(record[[#This Row],[employeeID]],員工[],2,FALSE)</f>
        <v>李美蓮</v>
      </c>
    </row>
    <row r="7906" spans="6:19" hidden="1" x14ac:dyDescent="0.25">
      <c r="F7906" t="s">
        <v>1018</v>
      </c>
      <c r="G7906" t="s">
        <v>414</v>
      </c>
      <c r="H7906" t="str">
        <f>VLOOKUP(record[[#This Row],[ProcessSN]],表格2_7[],2,FALSE)</f>
        <v>30-4118-018-5XX</v>
      </c>
      <c r="I7906" t="str">
        <f>VLOOKUP(record[[#This Row],[ProcessSN]],表格2_7[],3,FALSE)</f>
        <v>#03</v>
      </c>
      <c r="J7906" t="s">
        <v>588</v>
      </c>
      <c r="K7906" s="195">
        <v>45894.925000000003</v>
      </c>
      <c r="L7906">
        <v>72</v>
      </c>
      <c r="M7906">
        <v>0</v>
      </c>
      <c r="N7906" s="98" t="str">
        <f>IF(record[[#This Row],[Memo]]="Browser:chrome os:android","平板報工",IF(record[[#This Row],[Memo]]=0,"委外",record[[#This Row],[Memo]]))</f>
        <v/>
      </c>
      <c r="O7906" t="s">
        <v>58</v>
      </c>
      <c r="P7906" t="s">
        <v>806</v>
      </c>
      <c r="Q7906" t="s">
        <v>58</v>
      </c>
      <c r="R7906" t="str">
        <f>IFERROR(VLOOKUP(record[[#This Row],[PCUSTID]],廠商[],2,FALSE),"")</f>
        <v/>
      </c>
      <c r="S7906" t="str">
        <f>VLOOKUP(record[[#This Row],[employeeID]],員工[],2,FALSE)</f>
        <v>方思緯</v>
      </c>
    </row>
    <row r="7907" spans="6:19" hidden="1" x14ac:dyDescent="0.25">
      <c r="F7907" t="s">
        <v>1015</v>
      </c>
      <c r="G7907" t="s">
        <v>414</v>
      </c>
      <c r="H7907" t="str">
        <f>VLOOKUP(record[[#This Row],[ProcessSN]],表格2_7[],2,FALSE)</f>
        <v>30-4118-018-5XX</v>
      </c>
      <c r="I7907" t="str">
        <f>VLOOKUP(record[[#This Row],[ProcessSN]],表格2_7[],3,FALSE)</f>
        <v>#03</v>
      </c>
      <c r="J7907" t="s">
        <v>588</v>
      </c>
      <c r="K7907" s="195">
        <v>45894.924537037034</v>
      </c>
      <c r="L7907">
        <v>504</v>
      </c>
      <c r="M7907">
        <v>0</v>
      </c>
      <c r="N7907" s="98" t="str">
        <f>IF(record[[#This Row],[Memo]]="Browser:chrome os:android","平板報工",IF(record[[#This Row],[Memo]]=0,"委外",record[[#This Row],[Memo]]))</f>
        <v/>
      </c>
      <c r="O7907" t="s">
        <v>58</v>
      </c>
      <c r="P7907" t="s">
        <v>806</v>
      </c>
      <c r="Q7907" t="s">
        <v>58</v>
      </c>
      <c r="R7907" t="str">
        <f>IFERROR(VLOOKUP(record[[#This Row],[PCUSTID]],廠商[],2,FALSE),"")</f>
        <v/>
      </c>
      <c r="S7907" t="str">
        <f>VLOOKUP(record[[#This Row],[employeeID]],員工[],2,FALSE)</f>
        <v>方思緯</v>
      </c>
    </row>
    <row r="7908" spans="6:19" hidden="1" x14ac:dyDescent="0.25">
      <c r="F7908" t="s">
        <v>999</v>
      </c>
      <c r="G7908" t="s">
        <v>399</v>
      </c>
      <c r="H7908" t="str">
        <f>VLOOKUP(record[[#This Row],[ProcessSN]],表格2_7[],2,FALSE)</f>
        <v>30-4118-018-550</v>
      </c>
      <c r="I7908" t="str">
        <f>VLOOKUP(record[[#This Row],[ProcessSN]],表格2_7[],3,FALSE)</f>
        <v>#08IQC</v>
      </c>
      <c r="J7908" t="s">
        <v>583</v>
      </c>
      <c r="K7908" s="195">
        <v>45894.843715277777</v>
      </c>
      <c r="L7908">
        <v>273</v>
      </c>
      <c r="M7908">
        <v>0</v>
      </c>
      <c r="N7908" s="98" t="str">
        <f>IF(record[[#This Row],[Memo]]="Browser:chrome os:android","平板報工",IF(record[[#This Row],[Memo]]=0,"委外",record[[#This Row],[Memo]]))</f>
        <v/>
      </c>
      <c r="O7908" t="s">
        <v>58</v>
      </c>
      <c r="P7908" t="s">
        <v>109</v>
      </c>
      <c r="Q7908" t="s">
        <v>58</v>
      </c>
      <c r="R7908" t="str">
        <f>IFERROR(VLOOKUP(record[[#This Row],[PCUSTID]],廠商[],2,FALSE),"")</f>
        <v/>
      </c>
      <c r="S7908" t="str">
        <f>VLOOKUP(record[[#This Row],[employeeID]],員工[],2,FALSE)</f>
        <v>裴氏璧鳳</v>
      </c>
    </row>
    <row r="7909" spans="6:19" hidden="1" x14ac:dyDescent="0.25">
      <c r="F7909" t="s">
        <v>1001</v>
      </c>
      <c r="G7909" t="s">
        <v>415</v>
      </c>
      <c r="H7909" t="str">
        <f>VLOOKUP(record[[#This Row],[ProcessSN]],表格2_7[],2,FALSE)</f>
        <v>30-4118-018-5XX</v>
      </c>
      <c r="I7909" t="str">
        <f>VLOOKUP(record[[#This Row],[ProcessSN]],表格2_7[],3,FALSE)</f>
        <v>#04</v>
      </c>
      <c r="J7909" t="s">
        <v>588</v>
      </c>
      <c r="K7909" s="195">
        <v>45894.836724537039</v>
      </c>
      <c r="L7909">
        <v>70</v>
      </c>
      <c r="M7909">
        <v>0</v>
      </c>
      <c r="N7909" s="98" t="str">
        <f>IF(record[[#This Row],[Memo]]="Browser:chrome os:android","平板報工",IF(record[[#This Row],[Memo]]=0,"委外",record[[#This Row],[Memo]]))</f>
        <v/>
      </c>
      <c r="O7909" t="s">
        <v>58</v>
      </c>
      <c r="P7909" t="s">
        <v>785</v>
      </c>
      <c r="Q7909" t="s">
        <v>58</v>
      </c>
      <c r="R7909" t="str">
        <f>IFERROR(VLOOKUP(record[[#This Row],[PCUSTID]],廠商[],2,FALSE),"")</f>
        <v/>
      </c>
      <c r="S7909" t="str">
        <f>VLOOKUP(record[[#This Row],[employeeID]],員工[],2,FALSE)</f>
        <v>謝刻光</v>
      </c>
    </row>
    <row r="7910" spans="6:19" hidden="1" x14ac:dyDescent="0.25">
      <c r="F7910" t="s">
        <v>959</v>
      </c>
      <c r="G7910" t="s">
        <v>361</v>
      </c>
      <c r="H7910" t="str">
        <f>VLOOKUP(record[[#This Row],[ProcessSN]],表格2_7[],2,FALSE)</f>
        <v>30-4118-018-450</v>
      </c>
      <c r="I7910" t="str">
        <f>VLOOKUP(record[[#This Row],[ProcessSN]],表格2_7[],3,FALSE)</f>
        <v>#100STOCK</v>
      </c>
      <c r="J7910" t="s">
        <v>592</v>
      </c>
      <c r="K7910" s="195">
        <v>45894.831307870372</v>
      </c>
      <c r="L7910">
        <v>30</v>
      </c>
      <c r="M7910">
        <v>0</v>
      </c>
      <c r="N7910" s="98" t="str">
        <f>IF(record[[#This Row],[Memo]]="Browser:chrome os:android","平板報工",IF(record[[#This Row],[Memo]]=0,"委外",record[[#This Row],[Memo]]))</f>
        <v/>
      </c>
      <c r="O7910" t="s">
        <v>58</v>
      </c>
      <c r="P7910" t="s">
        <v>886</v>
      </c>
      <c r="Q7910" t="s">
        <v>58</v>
      </c>
      <c r="R7910" t="str">
        <f>IFERROR(VLOOKUP(record[[#This Row],[PCUSTID]],廠商[],2,FALSE),"")</f>
        <v/>
      </c>
      <c r="S7910" t="str">
        <f>VLOOKUP(record[[#This Row],[employeeID]],員工[],2,FALSE)</f>
        <v>謝蓁薰</v>
      </c>
    </row>
    <row r="7911" spans="6:19" hidden="1" x14ac:dyDescent="0.25">
      <c r="F7911" t="s">
        <v>956</v>
      </c>
      <c r="G7911" t="s">
        <v>361</v>
      </c>
      <c r="H7911" t="str">
        <f>VLOOKUP(record[[#This Row],[ProcessSN]],表格2_7[],2,FALSE)</f>
        <v>30-4118-018-450</v>
      </c>
      <c r="I7911" t="str">
        <f>VLOOKUP(record[[#This Row],[ProcessSN]],表格2_7[],3,FALSE)</f>
        <v>#100STOCK</v>
      </c>
      <c r="J7911" t="s">
        <v>592</v>
      </c>
      <c r="K7911" s="195">
        <v>45894.831006944441</v>
      </c>
      <c r="L7911">
        <v>24</v>
      </c>
      <c r="M7911">
        <v>0</v>
      </c>
      <c r="N7911" s="98" t="str">
        <f>IF(record[[#This Row],[Memo]]="Browser:chrome os:android","平板報工",IF(record[[#This Row],[Memo]]=0,"委外",record[[#This Row],[Memo]]))</f>
        <v/>
      </c>
      <c r="O7911" t="s">
        <v>58</v>
      </c>
      <c r="P7911" t="s">
        <v>886</v>
      </c>
      <c r="Q7911" t="s">
        <v>58</v>
      </c>
      <c r="R7911" t="str">
        <f>IFERROR(VLOOKUP(record[[#This Row],[PCUSTID]],廠商[],2,FALSE),"")</f>
        <v/>
      </c>
      <c r="S7911" t="str">
        <f>VLOOKUP(record[[#This Row],[employeeID]],員工[],2,FALSE)</f>
        <v>謝蓁薰</v>
      </c>
    </row>
    <row r="7912" spans="6:19" hidden="1" x14ac:dyDescent="0.25">
      <c r="F7912" t="s">
        <v>1001</v>
      </c>
      <c r="G7912" t="s">
        <v>416</v>
      </c>
      <c r="H7912" t="str">
        <f>VLOOKUP(record[[#This Row],[ProcessSN]],表格2_7[],2,FALSE)</f>
        <v>30-4118-018-5XX</v>
      </c>
      <c r="I7912" t="str">
        <f>VLOOKUP(record[[#This Row],[ProcessSN]],表格2_7[],3,FALSE)</f>
        <v>#05</v>
      </c>
      <c r="J7912" t="s">
        <v>588</v>
      </c>
      <c r="K7912" s="195">
        <v>45894.73846064815</v>
      </c>
      <c r="L7912">
        <v>76</v>
      </c>
      <c r="M7912">
        <v>0</v>
      </c>
      <c r="N7912" s="98" t="str">
        <f>IF(record[[#This Row],[Memo]]="Browser:chrome os:android","平板報工",IF(record[[#This Row],[Memo]]=0,"委外",record[[#This Row],[Memo]]))</f>
        <v/>
      </c>
      <c r="O7912" t="s">
        <v>58</v>
      </c>
      <c r="P7912" t="s">
        <v>806</v>
      </c>
      <c r="Q7912" t="s">
        <v>58</v>
      </c>
      <c r="R7912" t="str">
        <f>IFERROR(VLOOKUP(record[[#This Row],[PCUSTID]],廠商[],2,FALSE),"")</f>
        <v/>
      </c>
      <c r="S7912" t="str">
        <f>VLOOKUP(record[[#This Row],[employeeID]],員工[],2,FALSE)</f>
        <v>方思緯</v>
      </c>
    </row>
    <row r="7913" spans="6:19" hidden="1" x14ac:dyDescent="0.25">
      <c r="F7913" t="s">
        <v>922</v>
      </c>
      <c r="G7913" t="s">
        <v>467</v>
      </c>
      <c r="H7913" t="str">
        <f>VLOOKUP(record[[#This Row],[ProcessSN]],表格2_7[],2,FALSE)</f>
        <v>30-4118-018-XXX</v>
      </c>
      <c r="I7913" t="str">
        <f>VLOOKUP(record[[#This Row],[ProcessSN]],表格2_7[],3,FALSE)</f>
        <v>#01QC</v>
      </c>
      <c r="J7913" t="s">
        <v>589</v>
      </c>
      <c r="K7913" s="195">
        <v>45894.724953703706</v>
      </c>
      <c r="L7913">
        <v>1174</v>
      </c>
      <c r="M7913">
        <v>0</v>
      </c>
      <c r="N7913" s="98" t="str">
        <f>IF(record[[#This Row],[Memo]]="Browser:chrome os:android","平板報工",IF(record[[#This Row],[Memo]]=0,"委外",record[[#This Row],[Memo]]))</f>
        <v>平板報工</v>
      </c>
      <c r="O7913" t="s">
        <v>643</v>
      </c>
      <c r="P7913" t="s">
        <v>182</v>
      </c>
      <c r="Q7913" t="s">
        <v>644</v>
      </c>
      <c r="R7913" t="str">
        <f>IFERROR(VLOOKUP(record[[#This Row],[PCUSTID]],廠商[],2,FALSE),"")</f>
        <v/>
      </c>
      <c r="S7913" t="str">
        <f>VLOOKUP(record[[#This Row],[employeeID]],員工[],2,FALSE)</f>
        <v>梅氏和</v>
      </c>
    </row>
    <row r="7914" spans="6:19" hidden="1" x14ac:dyDescent="0.25">
      <c r="F7914" t="s">
        <v>999</v>
      </c>
      <c r="G7914" t="s">
        <v>398</v>
      </c>
      <c r="H7914" t="str">
        <f>VLOOKUP(record[[#This Row],[ProcessSN]],表格2_7[],2,FALSE)</f>
        <v>30-4118-018-550</v>
      </c>
      <c r="I7914" t="str">
        <f>VLOOKUP(record[[#This Row],[ProcessSN]],表格2_7[],3,FALSE)</f>
        <v>#08RCV</v>
      </c>
      <c r="J7914" t="s">
        <v>591</v>
      </c>
      <c r="K7914" s="195">
        <v>45894.721215277779</v>
      </c>
      <c r="L7914">
        <v>273</v>
      </c>
      <c r="M7914">
        <v>0</v>
      </c>
      <c r="N7914" s="98" t="str">
        <f>IF(record[[#This Row],[Memo]]="Browser:chrome os:android","平板報工",IF(record[[#This Row],[Memo]]=0,"委外",record[[#This Row],[Memo]]))</f>
        <v/>
      </c>
      <c r="O7914" t="s">
        <v>58</v>
      </c>
      <c r="P7914" t="s">
        <v>886</v>
      </c>
      <c r="Q7914" t="s">
        <v>58</v>
      </c>
      <c r="R7914" t="str">
        <f>IFERROR(VLOOKUP(record[[#This Row],[PCUSTID]],廠商[],2,FALSE),"")</f>
        <v/>
      </c>
      <c r="S7914" t="str">
        <f>VLOOKUP(record[[#This Row],[employeeID]],員工[],2,FALSE)</f>
        <v>謝蓁薰</v>
      </c>
    </row>
    <row r="7915" spans="6:19" hidden="1" x14ac:dyDescent="0.25">
      <c r="F7915" t="s">
        <v>1018</v>
      </c>
      <c r="G7915" t="s">
        <v>413</v>
      </c>
      <c r="H7915" t="str">
        <f>VLOOKUP(record[[#This Row],[ProcessSN]],表格2_7[],2,FALSE)</f>
        <v>30-4118-018-5XX</v>
      </c>
      <c r="I7915" t="str">
        <f>VLOOKUP(record[[#This Row],[ProcessSN]],表格2_7[],3,FALSE)</f>
        <v>#03GIVE</v>
      </c>
      <c r="J7915" t="s">
        <v>587</v>
      </c>
      <c r="K7915" s="195">
        <v>45894.715497685182</v>
      </c>
      <c r="L7915">
        <v>504</v>
      </c>
      <c r="M7915">
        <v>0</v>
      </c>
      <c r="N7915" s="98" t="str">
        <f>IF(record[[#This Row],[Memo]]="Browser:chrome os:android","平板報工",IF(record[[#This Row],[Memo]]=0,"委外",record[[#This Row],[Memo]]))</f>
        <v/>
      </c>
      <c r="O7915" t="s">
        <v>58</v>
      </c>
      <c r="P7915" t="s">
        <v>208</v>
      </c>
      <c r="Q7915" t="s">
        <v>58</v>
      </c>
      <c r="R7915" t="str">
        <f>IFERROR(VLOOKUP(record[[#This Row],[PCUSTID]],廠商[],2,FALSE),"")</f>
        <v/>
      </c>
      <c r="S7915" t="str">
        <f>VLOOKUP(record[[#This Row],[employeeID]],員工[],2,FALSE)</f>
        <v>陳治宏</v>
      </c>
    </row>
    <row r="7916" spans="6:19" hidden="1" x14ac:dyDescent="0.25">
      <c r="F7916" t="s">
        <v>993</v>
      </c>
      <c r="G7916" t="s">
        <v>403</v>
      </c>
      <c r="H7916" t="str">
        <f>VLOOKUP(record[[#This Row],[ProcessSN]],表格2_7[],2,FALSE)</f>
        <v>30-4118-018-550</v>
      </c>
      <c r="I7916" t="str">
        <f>VLOOKUP(record[[#This Row],[ProcessSN]],表格2_7[],3,FALSE)</f>
        <v>#100SHIP</v>
      </c>
      <c r="J7916" t="s">
        <v>600</v>
      </c>
      <c r="K7916" s="195">
        <v>45894.695370370369</v>
      </c>
      <c r="L7916">
        <v>160</v>
      </c>
      <c r="M7916">
        <v>0</v>
      </c>
      <c r="N7916" s="98" t="str">
        <f>IF(record[[#This Row],[Memo]]="Browser:chrome os:android","平板報工",IF(record[[#This Row],[Memo]]=0,"委外",record[[#This Row],[Memo]]))</f>
        <v/>
      </c>
      <c r="O7916" t="s">
        <v>58</v>
      </c>
      <c r="P7916" t="s">
        <v>886</v>
      </c>
      <c r="Q7916" t="s">
        <v>58</v>
      </c>
      <c r="R7916" t="str">
        <f>IFERROR(VLOOKUP(record[[#This Row],[PCUSTID]],廠商[],2,FALSE),"")</f>
        <v/>
      </c>
      <c r="S7916" t="str">
        <f>VLOOKUP(record[[#This Row],[employeeID]],員工[],2,FALSE)</f>
        <v>謝蓁薰</v>
      </c>
    </row>
    <row r="7917" spans="6:19" hidden="1" x14ac:dyDescent="0.25">
      <c r="F7917" t="s">
        <v>993</v>
      </c>
      <c r="G7917" t="s">
        <v>402</v>
      </c>
      <c r="H7917" t="str">
        <f>VLOOKUP(record[[#This Row],[ProcessSN]],表格2_7[],2,FALSE)</f>
        <v>30-4118-018-550</v>
      </c>
      <c r="I7917" t="str">
        <f>VLOOKUP(record[[#This Row],[ProcessSN]],表格2_7[],3,FALSE)</f>
        <v>#100STOCK</v>
      </c>
      <c r="J7917" t="s">
        <v>592</v>
      </c>
      <c r="K7917" s="195">
        <v>45894.695243055554</v>
      </c>
      <c r="L7917">
        <v>160</v>
      </c>
      <c r="M7917">
        <v>0</v>
      </c>
      <c r="N7917" s="98" t="str">
        <f>IF(record[[#This Row],[Memo]]="Browser:chrome os:android","平板報工",IF(record[[#This Row],[Memo]]=0,"委外",record[[#This Row],[Memo]]))</f>
        <v/>
      </c>
      <c r="O7917" t="s">
        <v>58</v>
      </c>
      <c r="P7917" t="s">
        <v>886</v>
      </c>
      <c r="Q7917" t="s">
        <v>58</v>
      </c>
      <c r="R7917" t="str">
        <f>IFERROR(VLOOKUP(record[[#This Row],[PCUSTID]],廠商[],2,FALSE),"")</f>
        <v/>
      </c>
      <c r="S7917" t="str">
        <f>VLOOKUP(record[[#This Row],[employeeID]],員工[],2,FALSE)</f>
        <v>謝蓁薰</v>
      </c>
    </row>
    <row r="7918" spans="6:19" hidden="1" x14ac:dyDescent="0.25">
      <c r="F7918" t="s">
        <v>922</v>
      </c>
      <c r="G7918" t="s">
        <v>466</v>
      </c>
      <c r="H7918" t="str">
        <f>VLOOKUP(record[[#This Row],[ProcessSN]],表格2_7[],2,FALSE)</f>
        <v>30-4118-018-XXX</v>
      </c>
      <c r="I7918" t="str">
        <f>VLOOKUP(record[[#This Row],[ProcessSN]],表格2_7[],3,FALSE)</f>
        <v>#01-2</v>
      </c>
      <c r="J7918" t="s">
        <v>588</v>
      </c>
      <c r="K7918" s="195">
        <v>45894.642222222225</v>
      </c>
      <c r="L7918">
        <v>339</v>
      </c>
      <c r="M7918">
        <v>2</v>
      </c>
      <c r="N7918" s="98" t="str">
        <f>IF(record[[#This Row],[Memo]]="Browser:chrome os:android","平板報工",IF(record[[#This Row],[Memo]]=0,"委外",record[[#This Row],[Memo]]))</f>
        <v/>
      </c>
      <c r="O7918" t="s">
        <v>58</v>
      </c>
      <c r="P7918" t="s">
        <v>119</v>
      </c>
      <c r="Q7918" t="s">
        <v>58</v>
      </c>
      <c r="R7918" t="str">
        <f>IFERROR(VLOOKUP(record[[#This Row],[PCUSTID]],廠商[],2,FALSE),"")</f>
        <v/>
      </c>
      <c r="S7918" t="str">
        <f>VLOOKUP(record[[#This Row],[employeeID]],員工[],2,FALSE)</f>
        <v>廖俊彥</v>
      </c>
    </row>
    <row r="7919" spans="6:19" hidden="1" x14ac:dyDescent="0.25">
      <c r="F7919" t="s">
        <v>1001</v>
      </c>
      <c r="G7919" t="s">
        <v>416</v>
      </c>
      <c r="H7919" t="str">
        <f>VLOOKUP(record[[#This Row],[ProcessSN]],表格2_7[],2,FALSE)</f>
        <v>30-4118-018-5XX</v>
      </c>
      <c r="I7919" t="str">
        <f>VLOOKUP(record[[#This Row],[ProcessSN]],表格2_7[],3,FALSE)</f>
        <v>#05</v>
      </c>
      <c r="J7919" t="s">
        <v>588</v>
      </c>
      <c r="K7919" s="195">
        <v>45894.641863425924</v>
      </c>
      <c r="L7919">
        <v>253</v>
      </c>
      <c r="M7919">
        <v>0</v>
      </c>
      <c r="N7919" s="98" t="str">
        <f>IF(record[[#This Row],[Memo]]="Browser:chrome os:android","平板報工",IF(record[[#This Row],[Memo]]=0,"委外",record[[#This Row],[Memo]]))</f>
        <v/>
      </c>
      <c r="O7919" t="s">
        <v>58</v>
      </c>
      <c r="P7919" t="s">
        <v>119</v>
      </c>
      <c r="Q7919" t="s">
        <v>58</v>
      </c>
      <c r="R7919" t="str">
        <f>IFERROR(VLOOKUP(record[[#This Row],[PCUSTID]],廠商[],2,FALSE),"")</f>
        <v/>
      </c>
      <c r="S7919" t="str">
        <f>VLOOKUP(record[[#This Row],[employeeID]],員工[],2,FALSE)</f>
        <v>廖俊彥</v>
      </c>
    </row>
    <row r="7920" spans="6:19" hidden="1" x14ac:dyDescent="0.25">
      <c r="F7920" t="s">
        <v>1001</v>
      </c>
      <c r="G7920" t="s">
        <v>415</v>
      </c>
      <c r="H7920" t="str">
        <f>VLOOKUP(record[[#This Row],[ProcessSN]],表格2_7[],2,FALSE)</f>
        <v>30-4118-018-5XX</v>
      </c>
      <c r="I7920" t="str">
        <f>VLOOKUP(record[[#This Row],[ProcessSN]],表格2_7[],3,FALSE)</f>
        <v>#04</v>
      </c>
      <c r="J7920" t="s">
        <v>588</v>
      </c>
      <c r="K7920" s="195">
        <v>45894.641400462962</v>
      </c>
      <c r="L7920">
        <v>139</v>
      </c>
      <c r="M7920">
        <v>0</v>
      </c>
      <c r="N7920" s="98" t="str">
        <f>IF(record[[#This Row],[Memo]]="Browser:chrome os:android","平板報工",IF(record[[#This Row],[Memo]]=0,"委外",record[[#This Row],[Memo]]))</f>
        <v/>
      </c>
      <c r="O7920" t="s">
        <v>58</v>
      </c>
      <c r="P7920" t="s">
        <v>119</v>
      </c>
      <c r="Q7920" t="s">
        <v>58</v>
      </c>
      <c r="R7920" t="str">
        <f>IFERROR(VLOOKUP(record[[#This Row],[PCUSTID]],廠商[],2,FALSE),"")</f>
        <v/>
      </c>
      <c r="S7920" t="str">
        <f>VLOOKUP(record[[#This Row],[employeeID]],員工[],2,FALSE)</f>
        <v>廖俊彥</v>
      </c>
    </row>
    <row r="7921" spans="6:19" hidden="1" x14ac:dyDescent="0.25">
      <c r="F7921" t="s">
        <v>984</v>
      </c>
      <c r="G7921" t="s">
        <v>422</v>
      </c>
      <c r="H7921" t="str">
        <f>VLOOKUP(record[[#This Row],[ProcessSN]],表格2_7[],2,FALSE)</f>
        <v>30-4118-018-600</v>
      </c>
      <c r="I7921" t="str">
        <f>VLOOKUP(record[[#This Row],[ProcessSN]],表格2_7[],3,FALSE)</f>
        <v>#08</v>
      </c>
      <c r="J7921" t="s">
        <v>597</v>
      </c>
      <c r="K7921" s="195">
        <v>45894.623912037037</v>
      </c>
      <c r="L7921">
        <v>129</v>
      </c>
      <c r="M7921">
        <v>0</v>
      </c>
      <c r="N7921" s="98" t="str">
        <f>IF(record[[#This Row],[Memo]]="Browser:chrome os:android","平板報工",IF(record[[#This Row],[Memo]]=0,"委外",record[[#This Row],[Memo]]))</f>
        <v/>
      </c>
      <c r="O7921" t="s">
        <v>58</v>
      </c>
      <c r="P7921" t="s">
        <v>886</v>
      </c>
      <c r="Q7921" t="s">
        <v>287</v>
      </c>
      <c r="R7921" t="str">
        <f>IFERROR(VLOOKUP(record[[#This Row],[PCUSTID]],廠商[],2,FALSE),"")</f>
        <v>泉盛</v>
      </c>
      <c r="S7921" t="str">
        <f>VLOOKUP(record[[#This Row],[employeeID]],員工[],2,FALSE)</f>
        <v>謝蓁薰</v>
      </c>
    </row>
    <row r="7922" spans="6:19" hidden="1" x14ac:dyDescent="0.25">
      <c r="F7922" t="s">
        <v>1012</v>
      </c>
      <c r="G7922" t="s">
        <v>397</v>
      </c>
      <c r="H7922" t="str">
        <f>VLOOKUP(record[[#This Row],[ProcessSN]],表格2_7[],2,FALSE)</f>
        <v>30-4118-018-550</v>
      </c>
      <c r="I7922" t="str">
        <f>VLOOKUP(record[[#This Row],[ProcessSN]],表格2_7[],3,FALSE)</f>
        <v>#08</v>
      </c>
      <c r="J7922" t="s">
        <v>597</v>
      </c>
      <c r="K7922" s="195">
        <v>45894.615694444445</v>
      </c>
      <c r="L7922">
        <v>73</v>
      </c>
      <c r="M7922">
        <v>0</v>
      </c>
      <c r="N7922" s="98" t="str">
        <f>IF(record[[#This Row],[Memo]]="Browser:chrome os:android","平板報工",IF(record[[#This Row],[Memo]]=0,"委外",record[[#This Row],[Memo]]))</f>
        <v/>
      </c>
      <c r="O7922" t="s">
        <v>58</v>
      </c>
      <c r="P7922" t="s">
        <v>886</v>
      </c>
      <c r="Q7922" t="s">
        <v>287</v>
      </c>
      <c r="R7922" t="str">
        <f>IFERROR(VLOOKUP(record[[#This Row],[PCUSTID]],廠商[],2,FALSE),"")</f>
        <v>泉盛</v>
      </c>
      <c r="S7922" t="str">
        <f>VLOOKUP(record[[#This Row],[employeeID]],員工[],2,FALSE)</f>
        <v>謝蓁薰</v>
      </c>
    </row>
    <row r="7923" spans="6:19" hidden="1" x14ac:dyDescent="0.25">
      <c r="F7923" t="s">
        <v>1018</v>
      </c>
      <c r="G7923" t="s">
        <v>412</v>
      </c>
      <c r="H7923" t="str">
        <f>VLOOKUP(record[[#This Row],[ProcessSN]],表格2_7[],2,FALSE)</f>
        <v>30-4118-018-5XX</v>
      </c>
      <c r="I7923" t="str">
        <f>VLOOKUP(record[[#This Row],[ProcessSN]],表格2_7[],3,FALSE)</f>
        <v>#03PICK</v>
      </c>
      <c r="J7923" t="s">
        <v>582</v>
      </c>
      <c r="K7923" s="195">
        <v>45894.584456018521</v>
      </c>
      <c r="L7923">
        <v>504</v>
      </c>
      <c r="M7923">
        <v>0</v>
      </c>
      <c r="N7923" s="98" t="str">
        <f>IF(record[[#This Row],[Memo]]="Browser:chrome os:android","平板報工",IF(record[[#This Row],[Memo]]=0,"委外",record[[#This Row],[Memo]]))</f>
        <v/>
      </c>
      <c r="O7923" t="s">
        <v>58</v>
      </c>
      <c r="P7923" t="s">
        <v>196</v>
      </c>
      <c r="Q7923" t="s">
        <v>58</v>
      </c>
      <c r="R7923" t="str">
        <f>IFERROR(VLOOKUP(record[[#This Row],[PCUSTID]],廠商[],2,FALSE),"")</f>
        <v/>
      </c>
      <c r="S7923" t="str">
        <f>VLOOKUP(record[[#This Row],[employeeID]],員工[],2,FALSE)</f>
        <v>張淑惠</v>
      </c>
    </row>
    <row r="7924" spans="6:19" hidden="1" x14ac:dyDescent="0.25">
      <c r="F7924" t="s">
        <v>959</v>
      </c>
      <c r="G7924" t="s">
        <v>360</v>
      </c>
      <c r="H7924" t="str">
        <f>VLOOKUP(record[[#This Row],[ProcessSN]],表格2_7[],2,FALSE)</f>
        <v>30-4118-018-450</v>
      </c>
      <c r="I7924" t="str">
        <f>VLOOKUP(record[[#This Row],[ProcessSN]],表格2_7[],3,FALSE)</f>
        <v>#100OQC</v>
      </c>
      <c r="J7924" t="s">
        <v>599</v>
      </c>
      <c r="K7924" s="195">
        <v>45894.531261574077</v>
      </c>
      <c r="L7924">
        <v>30</v>
      </c>
      <c r="M7924">
        <v>0</v>
      </c>
      <c r="N7924" s="98" t="str">
        <f>IF(record[[#This Row],[Memo]]="Browser:chrome os:android","平板報工",IF(record[[#This Row],[Memo]]=0,"委外",record[[#This Row],[Memo]]))</f>
        <v/>
      </c>
      <c r="O7924" t="s">
        <v>58</v>
      </c>
      <c r="P7924" t="s">
        <v>121</v>
      </c>
      <c r="Q7924" t="s">
        <v>58</v>
      </c>
      <c r="R7924" t="str">
        <f>IFERROR(VLOOKUP(record[[#This Row],[PCUSTID]],廠商[],2,FALSE),"")</f>
        <v/>
      </c>
      <c r="S7924" t="str">
        <f>VLOOKUP(record[[#This Row],[employeeID]],員工[],2,FALSE)</f>
        <v>謝素卿</v>
      </c>
    </row>
    <row r="7925" spans="6:19" hidden="1" x14ac:dyDescent="0.25">
      <c r="F7925" t="s">
        <v>922</v>
      </c>
      <c r="G7925" t="s">
        <v>471</v>
      </c>
      <c r="H7925" t="str">
        <f>VLOOKUP(record[[#This Row],[ProcessSN]],表格2_7[],2,FALSE)</f>
        <v>30-4118-018-XXX</v>
      </c>
      <c r="I7925" t="str">
        <f>VLOOKUP(record[[#This Row],[ProcessSN]],表格2_7[],3,FALSE)</f>
        <v>#02STOCK</v>
      </c>
      <c r="J7925" t="s">
        <v>592</v>
      </c>
      <c r="K7925" s="195">
        <v>45894.500451388885</v>
      </c>
      <c r="L7925">
        <v>504</v>
      </c>
      <c r="M7925">
        <v>0</v>
      </c>
      <c r="N7925" s="98" t="str">
        <f>IF(record[[#This Row],[Memo]]="Browser:chrome os:android","平板報工",IF(record[[#This Row],[Memo]]=0,"委外",record[[#This Row],[Memo]]))</f>
        <v/>
      </c>
      <c r="O7925" t="s">
        <v>58</v>
      </c>
      <c r="P7925" t="s">
        <v>208</v>
      </c>
      <c r="Q7925" t="s">
        <v>58</v>
      </c>
      <c r="R7925" t="str">
        <f>IFERROR(VLOOKUP(record[[#This Row],[PCUSTID]],廠商[],2,FALSE),"")</f>
        <v/>
      </c>
      <c r="S7925" t="str">
        <f>VLOOKUP(record[[#This Row],[employeeID]],員工[],2,FALSE)</f>
        <v>陳治宏</v>
      </c>
    </row>
    <row r="7926" spans="6:19" hidden="1" x14ac:dyDescent="0.25">
      <c r="F7926" t="s">
        <v>922</v>
      </c>
      <c r="G7926" t="s">
        <v>470</v>
      </c>
      <c r="H7926" t="str">
        <f>VLOOKUP(record[[#This Row],[ProcessSN]],表格2_7[],2,FALSE)</f>
        <v>30-4118-018-XXX</v>
      </c>
      <c r="I7926" t="str">
        <f>VLOOKUP(record[[#This Row],[ProcessSN]],表格2_7[],3,FALSE)</f>
        <v>#02IQC</v>
      </c>
      <c r="J7926" t="s">
        <v>583</v>
      </c>
      <c r="K7926" s="195">
        <v>45894.498981481483</v>
      </c>
      <c r="L7926">
        <v>504</v>
      </c>
      <c r="M7926">
        <v>0</v>
      </c>
      <c r="N7926" s="98" t="str">
        <f>IF(record[[#This Row],[Memo]]="Browser:chrome os:android","平板報工",IF(record[[#This Row],[Memo]]=0,"委外",record[[#This Row],[Memo]]))</f>
        <v/>
      </c>
      <c r="O7926" t="s">
        <v>58</v>
      </c>
      <c r="P7926" t="s">
        <v>109</v>
      </c>
      <c r="Q7926" t="s">
        <v>58</v>
      </c>
      <c r="R7926" t="str">
        <f>IFERROR(VLOOKUP(record[[#This Row],[PCUSTID]],廠商[],2,FALSE),"")</f>
        <v/>
      </c>
      <c r="S7926" t="str">
        <f>VLOOKUP(record[[#This Row],[employeeID]],員工[],2,FALSE)</f>
        <v>裴氏璧鳳</v>
      </c>
    </row>
    <row r="7927" spans="6:19" hidden="1" x14ac:dyDescent="0.25">
      <c r="F7927" t="s">
        <v>922</v>
      </c>
      <c r="G7927" t="s">
        <v>469</v>
      </c>
      <c r="H7927" t="str">
        <f>VLOOKUP(record[[#This Row],[ProcessSN]],表格2_7[],2,FALSE)</f>
        <v>30-4118-018-XXX</v>
      </c>
      <c r="I7927" t="str">
        <f>VLOOKUP(record[[#This Row],[ProcessSN]],表格2_7[],3,FALSE)</f>
        <v>#02RCV</v>
      </c>
      <c r="J7927" t="s">
        <v>591</v>
      </c>
      <c r="K7927" s="195">
        <v>45894.426666666666</v>
      </c>
      <c r="L7927">
        <v>504</v>
      </c>
      <c r="M7927">
        <v>0</v>
      </c>
      <c r="N7927" s="98" t="str">
        <f>IF(record[[#This Row],[Memo]]="Browser:chrome os:android","平板報工",IF(record[[#This Row],[Memo]]=0,"委外",record[[#This Row],[Memo]]))</f>
        <v/>
      </c>
      <c r="O7927" t="s">
        <v>58</v>
      </c>
      <c r="P7927" t="s">
        <v>886</v>
      </c>
      <c r="Q7927" t="s">
        <v>58</v>
      </c>
      <c r="R7927" t="str">
        <f>IFERROR(VLOOKUP(record[[#This Row],[PCUSTID]],廠商[],2,FALSE),"")</f>
        <v/>
      </c>
      <c r="S7927" t="str">
        <f>VLOOKUP(record[[#This Row],[employeeID]],員工[],2,FALSE)</f>
        <v>謝蓁薰</v>
      </c>
    </row>
    <row r="7928" spans="6:19" hidden="1" x14ac:dyDescent="0.25">
      <c r="F7928" t="s">
        <v>1015</v>
      </c>
      <c r="G7928" t="s">
        <v>413</v>
      </c>
      <c r="H7928" t="str">
        <f>VLOOKUP(record[[#This Row],[ProcessSN]],表格2_7[],2,FALSE)</f>
        <v>30-4118-018-5XX</v>
      </c>
      <c r="I7928" t="str">
        <f>VLOOKUP(record[[#This Row],[ProcessSN]],表格2_7[],3,FALSE)</f>
        <v>#03GIVE</v>
      </c>
      <c r="J7928" t="s">
        <v>587</v>
      </c>
      <c r="K7928" s="195">
        <v>45894.372881944444</v>
      </c>
      <c r="L7928">
        <v>504</v>
      </c>
      <c r="M7928">
        <v>0</v>
      </c>
      <c r="N7928" s="98" t="str">
        <f>IF(record[[#This Row],[Memo]]="Browser:chrome os:android","平板報工",IF(record[[#This Row],[Memo]]=0,"委外",record[[#This Row],[Memo]]))</f>
        <v/>
      </c>
      <c r="O7928" t="s">
        <v>58</v>
      </c>
      <c r="P7928" t="s">
        <v>208</v>
      </c>
      <c r="Q7928" t="s">
        <v>58</v>
      </c>
      <c r="R7928" t="str">
        <f>IFERROR(VLOOKUP(record[[#This Row],[PCUSTID]],廠商[],2,FALSE),"")</f>
        <v/>
      </c>
      <c r="S7928" t="str">
        <f>VLOOKUP(record[[#This Row],[employeeID]],員工[],2,FALSE)</f>
        <v>陳治宏</v>
      </c>
    </row>
    <row r="7929" spans="6:19" hidden="1" x14ac:dyDescent="0.25">
      <c r="F7929" t="s">
        <v>1015</v>
      </c>
      <c r="G7929" t="s">
        <v>412</v>
      </c>
      <c r="H7929" t="str">
        <f>VLOOKUP(record[[#This Row],[ProcessSN]],表格2_7[],2,FALSE)</f>
        <v>30-4118-018-5XX</v>
      </c>
      <c r="I7929" t="str">
        <f>VLOOKUP(record[[#This Row],[ProcessSN]],表格2_7[],3,FALSE)</f>
        <v>#03PICK</v>
      </c>
      <c r="J7929" t="s">
        <v>582</v>
      </c>
      <c r="K7929" s="195">
        <v>45894.362268518518</v>
      </c>
      <c r="L7929">
        <v>504</v>
      </c>
      <c r="M7929">
        <v>0</v>
      </c>
      <c r="N7929" s="98" t="str">
        <f>IF(record[[#This Row],[Memo]]="Browser:chrome os:android","平板報工",IF(record[[#This Row],[Memo]]=0,"委外",record[[#This Row],[Memo]]))</f>
        <v/>
      </c>
      <c r="O7929" t="s">
        <v>58</v>
      </c>
      <c r="P7929" t="s">
        <v>196</v>
      </c>
      <c r="Q7929" t="s">
        <v>58</v>
      </c>
      <c r="R7929" t="str">
        <f>IFERROR(VLOOKUP(record[[#This Row],[PCUSTID]],廠商[],2,FALSE),"")</f>
        <v/>
      </c>
      <c r="S7929" t="str">
        <f>VLOOKUP(record[[#This Row],[employeeID]],員工[],2,FALSE)</f>
        <v>張淑惠</v>
      </c>
    </row>
    <row r="7930" spans="6:19" hidden="1" x14ac:dyDescent="0.25">
      <c r="F7930" t="s">
        <v>922</v>
      </c>
      <c r="G7930" t="s">
        <v>471</v>
      </c>
      <c r="H7930" t="str">
        <f>VLOOKUP(record[[#This Row],[ProcessSN]],表格2_7[],2,FALSE)</f>
        <v>30-4118-018-XXX</v>
      </c>
      <c r="I7930" t="str">
        <f>VLOOKUP(record[[#This Row],[ProcessSN]],表格2_7[],3,FALSE)</f>
        <v>#02STOCK</v>
      </c>
      <c r="J7930" t="s">
        <v>592</v>
      </c>
      <c r="K7930" s="195">
        <v>45894.355763888889</v>
      </c>
      <c r="L7930">
        <v>504</v>
      </c>
      <c r="M7930">
        <v>0</v>
      </c>
      <c r="N7930" s="98" t="str">
        <f>IF(record[[#This Row],[Memo]]="Browser:chrome os:android","平板報工",IF(record[[#This Row],[Memo]]=0,"委外",record[[#This Row],[Memo]]))</f>
        <v/>
      </c>
      <c r="O7930" t="s">
        <v>58</v>
      </c>
      <c r="P7930" t="s">
        <v>208</v>
      </c>
      <c r="Q7930" t="s">
        <v>58</v>
      </c>
      <c r="R7930" t="str">
        <f>IFERROR(VLOOKUP(record[[#This Row],[PCUSTID]],廠商[],2,FALSE),"")</f>
        <v/>
      </c>
      <c r="S7930" t="str">
        <f>VLOOKUP(record[[#This Row],[employeeID]],員工[],2,FALSE)</f>
        <v>陳治宏</v>
      </c>
    </row>
    <row r="7931" spans="6:19" hidden="1" x14ac:dyDescent="0.25">
      <c r="F7931" t="s">
        <v>1001</v>
      </c>
      <c r="G7931" t="s">
        <v>415</v>
      </c>
      <c r="H7931" t="str">
        <f>VLOOKUP(record[[#This Row],[ProcessSN]],表格2_7[],2,FALSE)</f>
        <v>30-4118-018-5XX</v>
      </c>
      <c r="I7931" t="str">
        <f>VLOOKUP(record[[#This Row],[ProcessSN]],表格2_7[],3,FALSE)</f>
        <v>#04</v>
      </c>
      <c r="J7931" t="s">
        <v>588</v>
      </c>
      <c r="K7931" s="195">
        <v>45892.317696759259</v>
      </c>
      <c r="L7931">
        <v>57</v>
      </c>
      <c r="M7931">
        <v>2</v>
      </c>
      <c r="N7931" s="98" t="str">
        <f>IF(record[[#This Row],[Memo]]="Browser:chrome os:android","平板報工",IF(record[[#This Row],[Memo]]=0,"委外",record[[#This Row],[Memo]]))</f>
        <v/>
      </c>
      <c r="O7931" t="s">
        <v>58</v>
      </c>
      <c r="P7931" t="s">
        <v>135</v>
      </c>
      <c r="Q7931" t="s">
        <v>58</v>
      </c>
      <c r="R7931" t="str">
        <f>IFERROR(VLOOKUP(record[[#This Row],[PCUSTID]],廠商[],2,FALSE),"")</f>
        <v/>
      </c>
      <c r="S7931" t="str">
        <f>VLOOKUP(record[[#This Row],[employeeID]],員工[],2,FALSE)</f>
        <v>阮士文</v>
      </c>
    </row>
    <row r="7932" spans="6:19" hidden="1" x14ac:dyDescent="0.25">
      <c r="F7932" t="s">
        <v>922</v>
      </c>
      <c r="G7932" t="s">
        <v>466</v>
      </c>
      <c r="H7932" t="str">
        <f>VLOOKUP(record[[#This Row],[ProcessSN]],表格2_7[],2,FALSE)</f>
        <v>30-4118-018-XXX</v>
      </c>
      <c r="I7932" t="str">
        <f>VLOOKUP(record[[#This Row],[ProcessSN]],表格2_7[],3,FALSE)</f>
        <v>#01-2</v>
      </c>
      <c r="J7932" t="s">
        <v>588</v>
      </c>
      <c r="K7932" s="195">
        <v>45892.316828703704</v>
      </c>
      <c r="L7932">
        <v>552</v>
      </c>
      <c r="M7932">
        <v>1</v>
      </c>
      <c r="N7932" s="98" t="str">
        <f>IF(record[[#This Row],[Memo]]="Browser:chrome os:android","平板報工",IF(record[[#This Row],[Memo]]=0,"委外",record[[#This Row],[Memo]]))</f>
        <v/>
      </c>
      <c r="O7932" t="s">
        <v>58</v>
      </c>
      <c r="P7932" t="s">
        <v>135</v>
      </c>
      <c r="Q7932" t="s">
        <v>58</v>
      </c>
      <c r="R7932" t="str">
        <f>IFERROR(VLOOKUP(record[[#This Row],[PCUSTID]],廠商[],2,FALSE),"")</f>
        <v/>
      </c>
      <c r="S7932" t="str">
        <f>VLOOKUP(record[[#This Row],[employeeID]],員工[],2,FALSE)</f>
        <v>阮士文</v>
      </c>
    </row>
    <row r="7933" spans="6:19" hidden="1" x14ac:dyDescent="0.25">
      <c r="F7933" t="s">
        <v>989</v>
      </c>
      <c r="G7933" t="s">
        <v>465</v>
      </c>
      <c r="H7933" t="str">
        <f>VLOOKUP(record[[#This Row],[ProcessSN]],表格2_7[],2,FALSE)</f>
        <v>30-4118-018-XXX</v>
      </c>
      <c r="I7933" t="str">
        <f>VLOOKUP(record[[#This Row],[ProcessSN]],表格2_7[],3,FALSE)</f>
        <v>#01-1</v>
      </c>
      <c r="J7933" t="s">
        <v>588</v>
      </c>
      <c r="K7933" s="195">
        <v>45892.313298611109</v>
      </c>
      <c r="L7933">
        <v>760</v>
      </c>
      <c r="M7933">
        <v>0</v>
      </c>
      <c r="N7933" s="98" t="str">
        <f>IF(record[[#This Row],[Memo]]="Browser:chrome os:android","平板報工",IF(record[[#This Row],[Memo]]=0,"委外",record[[#This Row],[Memo]]))</f>
        <v/>
      </c>
      <c r="O7933" t="s">
        <v>58</v>
      </c>
      <c r="P7933" t="s">
        <v>135</v>
      </c>
      <c r="Q7933" t="s">
        <v>58</v>
      </c>
      <c r="R7933" t="str">
        <f>IFERROR(VLOOKUP(record[[#This Row],[PCUSTID]],廠商[],2,FALSE),"")</f>
        <v/>
      </c>
      <c r="S7933" t="str">
        <f>VLOOKUP(record[[#This Row],[employeeID]],員工[],2,FALSE)</f>
        <v>阮士文</v>
      </c>
    </row>
    <row r="7934" spans="6:19" hidden="1" x14ac:dyDescent="0.25">
      <c r="F7934" t="s">
        <v>1001</v>
      </c>
      <c r="G7934" t="s">
        <v>415</v>
      </c>
      <c r="H7934" t="str">
        <f>VLOOKUP(record[[#This Row],[ProcessSN]],表格2_7[],2,FALSE)</f>
        <v>30-4118-018-5XX</v>
      </c>
      <c r="I7934" t="str">
        <f>VLOOKUP(record[[#This Row],[ProcessSN]],表格2_7[],3,FALSE)</f>
        <v>#04</v>
      </c>
      <c r="J7934" t="s">
        <v>588</v>
      </c>
      <c r="K7934" s="195">
        <v>45891.964837962965</v>
      </c>
      <c r="L7934">
        <v>72</v>
      </c>
      <c r="M7934">
        <v>0</v>
      </c>
      <c r="N7934" s="98" t="str">
        <f>IF(record[[#This Row],[Memo]]="Browser:chrome os:android","平板報工",IF(record[[#This Row],[Memo]]=0,"委外",record[[#This Row],[Memo]]))</f>
        <v/>
      </c>
      <c r="O7934" t="s">
        <v>58</v>
      </c>
      <c r="P7934" t="s">
        <v>691</v>
      </c>
      <c r="Q7934" t="s">
        <v>58</v>
      </c>
      <c r="R7934" t="str">
        <f>IFERROR(VLOOKUP(record[[#This Row],[PCUSTID]],廠商[],2,FALSE),"")</f>
        <v/>
      </c>
      <c r="S7934" t="str">
        <f>VLOOKUP(record[[#This Row],[employeeID]],員工[],2,FALSE)</f>
        <v>武氏賢</v>
      </c>
    </row>
    <row r="7935" spans="6:19" hidden="1" x14ac:dyDescent="0.25">
      <c r="F7935" t="s">
        <v>989</v>
      </c>
      <c r="G7935" t="s">
        <v>465</v>
      </c>
      <c r="H7935" t="str">
        <f>VLOOKUP(record[[#This Row],[ProcessSN]],表格2_7[],2,FALSE)</f>
        <v>30-4118-018-XXX</v>
      </c>
      <c r="I7935" t="str">
        <f>VLOOKUP(record[[#This Row],[ProcessSN]],表格2_7[],3,FALSE)</f>
        <v>#01-1</v>
      </c>
      <c r="J7935" t="s">
        <v>588</v>
      </c>
      <c r="K7935" s="195">
        <v>45891.964004629626</v>
      </c>
      <c r="L7935">
        <v>731</v>
      </c>
      <c r="M7935">
        <v>0</v>
      </c>
      <c r="N7935" s="98" t="str">
        <f>IF(record[[#This Row],[Memo]]="Browser:chrome os:android","平板報工",IF(record[[#This Row],[Memo]]=0,"委外",record[[#This Row],[Memo]]))</f>
        <v/>
      </c>
      <c r="O7935" t="s">
        <v>58</v>
      </c>
      <c r="P7935" t="s">
        <v>806</v>
      </c>
      <c r="Q7935" t="s">
        <v>58</v>
      </c>
      <c r="R7935" t="str">
        <f>IFERROR(VLOOKUP(record[[#This Row],[PCUSTID]],廠商[],2,FALSE),"")</f>
        <v/>
      </c>
      <c r="S7935" t="str">
        <f>VLOOKUP(record[[#This Row],[employeeID]],員工[],2,FALSE)</f>
        <v>方思緯</v>
      </c>
    </row>
    <row r="7936" spans="6:19" hidden="1" x14ac:dyDescent="0.25">
      <c r="F7936" t="s">
        <v>1001</v>
      </c>
      <c r="G7936" t="s">
        <v>415</v>
      </c>
      <c r="H7936" t="str">
        <f>VLOOKUP(record[[#This Row],[ProcessSN]],表格2_7[],2,FALSE)</f>
        <v>30-4118-018-5XX</v>
      </c>
      <c r="I7936" t="str">
        <f>VLOOKUP(record[[#This Row],[ProcessSN]],表格2_7[],3,FALSE)</f>
        <v>#04</v>
      </c>
      <c r="J7936" t="s">
        <v>588</v>
      </c>
      <c r="K7936" s="195">
        <v>45891.828344907408</v>
      </c>
      <c r="L7936">
        <v>75</v>
      </c>
      <c r="M7936">
        <v>0</v>
      </c>
      <c r="N7936" s="98" t="str">
        <f>IF(record[[#This Row],[Memo]]="Browser:chrome os:android","平板報工",IF(record[[#This Row],[Memo]]=0,"委外",record[[#This Row],[Memo]]))</f>
        <v/>
      </c>
      <c r="O7936" t="s">
        <v>58</v>
      </c>
      <c r="P7936" t="s">
        <v>785</v>
      </c>
      <c r="Q7936" t="s">
        <v>58</v>
      </c>
      <c r="R7936" t="str">
        <f>IFERROR(VLOOKUP(record[[#This Row],[PCUSTID]],廠商[],2,FALSE),"")</f>
        <v/>
      </c>
      <c r="S7936" t="str">
        <f>VLOOKUP(record[[#This Row],[employeeID]],員工[],2,FALSE)</f>
        <v>謝刻光</v>
      </c>
    </row>
    <row r="7937" spans="6:19" hidden="1" x14ac:dyDescent="0.25">
      <c r="F7937" t="s">
        <v>922</v>
      </c>
      <c r="G7937" t="s">
        <v>466</v>
      </c>
      <c r="H7937" t="str">
        <f>VLOOKUP(record[[#This Row],[ProcessSN]],表格2_7[],2,FALSE)</f>
        <v>30-4118-018-XXX</v>
      </c>
      <c r="I7937" t="str">
        <f>VLOOKUP(record[[#This Row],[ProcessSN]],表格2_7[],3,FALSE)</f>
        <v>#01-2</v>
      </c>
      <c r="J7937" t="s">
        <v>588</v>
      </c>
      <c r="K7937" s="195">
        <v>45891.827939814815</v>
      </c>
      <c r="L7937">
        <v>288</v>
      </c>
      <c r="M7937">
        <v>0</v>
      </c>
      <c r="N7937" s="98" t="str">
        <f>IF(record[[#This Row],[Memo]]="Browser:chrome os:android","平板報工",IF(record[[#This Row],[Memo]]=0,"委外",record[[#This Row],[Memo]]))</f>
        <v/>
      </c>
      <c r="O7937" t="s">
        <v>58</v>
      </c>
      <c r="P7937" t="s">
        <v>785</v>
      </c>
      <c r="Q7937" t="s">
        <v>58</v>
      </c>
      <c r="R7937" t="str">
        <f>IFERROR(VLOOKUP(record[[#This Row],[PCUSTID]],廠商[],2,FALSE),"")</f>
        <v/>
      </c>
      <c r="S7937" t="str">
        <f>VLOOKUP(record[[#This Row],[employeeID]],員工[],2,FALSE)</f>
        <v>謝刻光</v>
      </c>
    </row>
    <row r="7938" spans="6:19" hidden="1" x14ac:dyDescent="0.25">
      <c r="F7938" t="s">
        <v>922</v>
      </c>
      <c r="G7938" t="s">
        <v>470</v>
      </c>
      <c r="H7938" t="str">
        <f>VLOOKUP(record[[#This Row],[ProcessSN]],表格2_7[],2,FALSE)</f>
        <v>30-4118-018-XXX</v>
      </c>
      <c r="I7938" t="str">
        <f>VLOOKUP(record[[#This Row],[ProcessSN]],表格2_7[],3,FALSE)</f>
        <v>#02IQC</v>
      </c>
      <c r="J7938" t="s">
        <v>583</v>
      </c>
      <c r="K7938" s="195">
        <v>45891.735081018516</v>
      </c>
      <c r="L7938">
        <v>504</v>
      </c>
      <c r="M7938">
        <v>0</v>
      </c>
      <c r="N7938" s="98" t="str">
        <f>IF(record[[#This Row],[Memo]]="Browser:chrome os:android","平板報工",IF(record[[#This Row],[Memo]]=0,"委外",record[[#This Row],[Memo]]))</f>
        <v/>
      </c>
      <c r="O7938" t="s">
        <v>58</v>
      </c>
      <c r="P7938" t="s">
        <v>109</v>
      </c>
      <c r="Q7938" t="s">
        <v>58</v>
      </c>
      <c r="R7938" t="str">
        <f>IFERROR(VLOOKUP(record[[#This Row],[PCUSTID]],廠商[],2,FALSE),"")</f>
        <v/>
      </c>
      <c r="S7938" t="str">
        <f>VLOOKUP(record[[#This Row],[employeeID]],員工[],2,FALSE)</f>
        <v>裴氏璧鳳</v>
      </c>
    </row>
    <row r="7939" spans="6:19" hidden="1" x14ac:dyDescent="0.25">
      <c r="F7939" t="s">
        <v>951</v>
      </c>
      <c r="G7939" t="s">
        <v>428</v>
      </c>
      <c r="H7939" t="str">
        <f>VLOOKUP(record[[#This Row],[ProcessSN]],表格2_7[],2,FALSE)</f>
        <v>30-4118-018-600</v>
      </c>
      <c r="I7939" t="str">
        <f>VLOOKUP(record[[#This Row],[ProcessSN]],表格2_7[],3,FALSE)</f>
        <v>#100SHIP</v>
      </c>
      <c r="J7939" t="s">
        <v>600</v>
      </c>
      <c r="K7939" s="195">
        <v>45891.710104166668</v>
      </c>
      <c r="L7939">
        <v>419</v>
      </c>
      <c r="M7939">
        <v>0</v>
      </c>
      <c r="N7939" s="98" t="str">
        <f>IF(record[[#This Row],[Memo]]="Browser:chrome os:android","平板報工",IF(record[[#This Row],[Memo]]=0,"委外",record[[#This Row],[Memo]]))</f>
        <v/>
      </c>
      <c r="O7939" t="s">
        <v>58</v>
      </c>
      <c r="P7939" t="s">
        <v>886</v>
      </c>
      <c r="Q7939" t="s">
        <v>58</v>
      </c>
      <c r="R7939" t="str">
        <f>IFERROR(VLOOKUP(record[[#This Row],[PCUSTID]],廠商[],2,FALSE),"")</f>
        <v/>
      </c>
      <c r="S7939" t="str">
        <f>VLOOKUP(record[[#This Row],[employeeID]],員工[],2,FALSE)</f>
        <v>謝蓁薰</v>
      </c>
    </row>
    <row r="7940" spans="6:19" hidden="1" x14ac:dyDescent="0.25">
      <c r="F7940" t="s">
        <v>951</v>
      </c>
      <c r="G7940" t="s">
        <v>427</v>
      </c>
      <c r="H7940" t="str">
        <f>VLOOKUP(record[[#This Row],[ProcessSN]],表格2_7[],2,FALSE)</f>
        <v>30-4118-018-600</v>
      </c>
      <c r="I7940" t="str">
        <f>VLOOKUP(record[[#This Row],[ProcessSN]],表格2_7[],3,FALSE)</f>
        <v>#100STOCK</v>
      </c>
      <c r="J7940" t="s">
        <v>592</v>
      </c>
      <c r="K7940" s="195">
        <v>45891.71</v>
      </c>
      <c r="L7940">
        <v>419</v>
      </c>
      <c r="M7940">
        <v>0</v>
      </c>
      <c r="N7940" s="98" t="str">
        <f>IF(record[[#This Row],[Memo]]="Browser:chrome os:android","平板報工",IF(record[[#This Row],[Memo]]=0,"委外",record[[#This Row],[Memo]]))</f>
        <v/>
      </c>
      <c r="O7940" t="s">
        <v>58</v>
      </c>
      <c r="P7940" t="s">
        <v>886</v>
      </c>
      <c r="Q7940" t="s">
        <v>58</v>
      </c>
      <c r="R7940" t="str">
        <f>IFERROR(VLOOKUP(record[[#This Row],[PCUSTID]],廠商[],2,FALSE),"")</f>
        <v/>
      </c>
      <c r="S7940" t="str">
        <f>VLOOKUP(record[[#This Row],[employeeID]],員工[],2,FALSE)</f>
        <v>謝蓁薰</v>
      </c>
    </row>
    <row r="7941" spans="6:19" hidden="1" x14ac:dyDescent="0.25">
      <c r="F7941" t="s">
        <v>960</v>
      </c>
      <c r="G7941" t="s">
        <v>428</v>
      </c>
      <c r="H7941" t="str">
        <f>VLOOKUP(record[[#This Row],[ProcessSN]],表格2_7[],2,FALSE)</f>
        <v>30-4118-018-600</v>
      </c>
      <c r="I7941" t="str">
        <f>VLOOKUP(record[[#This Row],[ProcessSN]],表格2_7[],3,FALSE)</f>
        <v>#100SHIP</v>
      </c>
      <c r="J7941" t="s">
        <v>600</v>
      </c>
      <c r="K7941" s="195">
        <v>45891.709837962961</v>
      </c>
      <c r="L7941">
        <v>191</v>
      </c>
      <c r="M7941">
        <v>0</v>
      </c>
      <c r="N7941" s="98" t="str">
        <f>IF(record[[#This Row],[Memo]]="Browser:chrome os:android","平板報工",IF(record[[#This Row],[Memo]]=0,"委外",record[[#This Row],[Memo]]))</f>
        <v/>
      </c>
      <c r="O7941" t="s">
        <v>58</v>
      </c>
      <c r="P7941" t="s">
        <v>886</v>
      </c>
      <c r="Q7941" t="s">
        <v>58</v>
      </c>
      <c r="R7941" t="str">
        <f>IFERROR(VLOOKUP(record[[#This Row],[PCUSTID]],廠商[],2,FALSE),"")</f>
        <v/>
      </c>
      <c r="S7941" t="str">
        <f>VLOOKUP(record[[#This Row],[employeeID]],員工[],2,FALSE)</f>
        <v>謝蓁薰</v>
      </c>
    </row>
    <row r="7942" spans="6:19" hidden="1" x14ac:dyDescent="0.25">
      <c r="F7942" t="s">
        <v>960</v>
      </c>
      <c r="G7942" t="s">
        <v>427</v>
      </c>
      <c r="H7942" t="str">
        <f>VLOOKUP(record[[#This Row],[ProcessSN]],表格2_7[],2,FALSE)</f>
        <v>30-4118-018-600</v>
      </c>
      <c r="I7942" t="str">
        <f>VLOOKUP(record[[#This Row],[ProcessSN]],表格2_7[],3,FALSE)</f>
        <v>#100STOCK</v>
      </c>
      <c r="J7942" t="s">
        <v>592</v>
      </c>
      <c r="K7942" s="195">
        <v>45891.709664351853</v>
      </c>
      <c r="L7942">
        <v>191</v>
      </c>
      <c r="M7942">
        <v>0</v>
      </c>
      <c r="N7942" s="98" t="str">
        <f>IF(record[[#This Row],[Memo]]="Browser:chrome os:android","平板報工",IF(record[[#This Row],[Memo]]=0,"委外",record[[#This Row],[Memo]]))</f>
        <v/>
      </c>
      <c r="O7942" t="s">
        <v>58</v>
      </c>
      <c r="P7942" t="s">
        <v>886</v>
      </c>
      <c r="Q7942" t="s">
        <v>58</v>
      </c>
      <c r="R7942" t="str">
        <f>IFERROR(VLOOKUP(record[[#This Row],[PCUSTID]],廠商[],2,FALSE),"")</f>
        <v/>
      </c>
      <c r="S7942" t="str">
        <f>VLOOKUP(record[[#This Row],[employeeID]],員工[],2,FALSE)</f>
        <v>謝蓁薰</v>
      </c>
    </row>
    <row r="7943" spans="6:19" hidden="1" x14ac:dyDescent="0.25">
      <c r="F7943" t="s">
        <v>945</v>
      </c>
      <c r="G7943" t="s">
        <v>362</v>
      </c>
      <c r="H7943" t="str">
        <f>VLOOKUP(record[[#This Row],[ProcessSN]],表格2_7[],2,FALSE)</f>
        <v>30-4118-018-450</v>
      </c>
      <c r="I7943" t="str">
        <f>VLOOKUP(record[[#This Row],[ProcessSN]],表格2_7[],3,FALSE)</f>
        <v>#100SHIP</v>
      </c>
      <c r="J7943" t="s">
        <v>600</v>
      </c>
      <c r="K7943" s="195">
        <v>45891.709479166668</v>
      </c>
      <c r="L7943">
        <v>190</v>
      </c>
      <c r="M7943">
        <v>0</v>
      </c>
      <c r="N7943" s="98" t="str">
        <f>IF(record[[#This Row],[Memo]]="Browser:chrome os:android","平板報工",IF(record[[#This Row],[Memo]]=0,"委外",record[[#This Row],[Memo]]))</f>
        <v/>
      </c>
      <c r="O7943" t="s">
        <v>58</v>
      </c>
      <c r="P7943" t="s">
        <v>886</v>
      </c>
      <c r="Q7943" t="s">
        <v>58</v>
      </c>
      <c r="R7943" t="str">
        <f>IFERROR(VLOOKUP(record[[#This Row],[PCUSTID]],廠商[],2,FALSE),"")</f>
        <v/>
      </c>
      <c r="S7943" t="str">
        <f>VLOOKUP(record[[#This Row],[employeeID]],員工[],2,FALSE)</f>
        <v>謝蓁薰</v>
      </c>
    </row>
    <row r="7944" spans="6:19" hidden="1" x14ac:dyDescent="0.25">
      <c r="F7944" t="s">
        <v>1001</v>
      </c>
      <c r="G7944" t="s">
        <v>415</v>
      </c>
      <c r="H7944" t="str">
        <f>VLOOKUP(record[[#This Row],[ProcessSN]],表格2_7[],2,FALSE)</f>
        <v>30-4118-018-5XX</v>
      </c>
      <c r="I7944" t="str">
        <f>VLOOKUP(record[[#This Row],[ProcessSN]],表格2_7[],3,FALSE)</f>
        <v>#04</v>
      </c>
      <c r="J7944" t="s">
        <v>588</v>
      </c>
      <c r="K7944" s="195">
        <v>45891.700833333336</v>
      </c>
      <c r="L7944">
        <v>16</v>
      </c>
      <c r="M7944">
        <v>5</v>
      </c>
      <c r="N7944" s="98" t="str">
        <f>IF(record[[#This Row],[Memo]]="Browser:chrome os:android","平板報工",IF(record[[#This Row],[Memo]]=0,"委外",record[[#This Row],[Memo]]))</f>
        <v/>
      </c>
      <c r="O7944" t="s">
        <v>58</v>
      </c>
      <c r="P7944" t="s">
        <v>119</v>
      </c>
      <c r="Q7944" t="s">
        <v>58</v>
      </c>
      <c r="R7944" t="str">
        <f>IFERROR(VLOOKUP(record[[#This Row],[PCUSTID]],廠商[],2,FALSE),"")</f>
        <v/>
      </c>
      <c r="S7944" t="str">
        <f>VLOOKUP(record[[#This Row],[employeeID]],員工[],2,FALSE)</f>
        <v>廖俊彥</v>
      </c>
    </row>
    <row r="7945" spans="6:19" hidden="1" x14ac:dyDescent="0.25">
      <c r="F7945" t="s">
        <v>1001</v>
      </c>
      <c r="G7945" t="s">
        <v>414</v>
      </c>
      <c r="H7945" t="str">
        <f>VLOOKUP(record[[#This Row],[ProcessSN]],表格2_7[],2,FALSE)</f>
        <v>30-4118-018-5XX</v>
      </c>
      <c r="I7945" t="str">
        <f>VLOOKUP(record[[#This Row],[ProcessSN]],表格2_7[],3,FALSE)</f>
        <v>#03</v>
      </c>
      <c r="J7945" t="s">
        <v>588</v>
      </c>
      <c r="K7945" s="195">
        <v>45891.700613425928</v>
      </c>
      <c r="L7945">
        <v>671</v>
      </c>
      <c r="M7945">
        <v>1</v>
      </c>
      <c r="N7945" s="98" t="str">
        <f>IF(record[[#This Row],[Memo]]="Browser:chrome os:android","平板報工",IF(record[[#This Row],[Memo]]=0,"委外",record[[#This Row],[Memo]]))</f>
        <v/>
      </c>
      <c r="O7945" t="s">
        <v>58</v>
      </c>
      <c r="P7945" t="s">
        <v>119</v>
      </c>
      <c r="Q7945" t="s">
        <v>58</v>
      </c>
      <c r="R7945" t="str">
        <f>IFERROR(VLOOKUP(record[[#This Row],[PCUSTID]],廠商[],2,FALSE),"")</f>
        <v/>
      </c>
      <c r="S7945" t="str">
        <f>VLOOKUP(record[[#This Row],[employeeID]],員工[],2,FALSE)</f>
        <v>廖俊彥</v>
      </c>
    </row>
    <row r="7946" spans="6:19" hidden="1" x14ac:dyDescent="0.25">
      <c r="F7946" t="s">
        <v>922</v>
      </c>
      <c r="G7946" t="s">
        <v>466</v>
      </c>
      <c r="H7946" t="str">
        <f>VLOOKUP(record[[#This Row],[ProcessSN]],表格2_7[],2,FALSE)</f>
        <v>30-4118-018-XXX</v>
      </c>
      <c r="I7946" t="str">
        <f>VLOOKUP(record[[#This Row],[ProcessSN]],表格2_7[],3,FALSE)</f>
        <v>#01-2</v>
      </c>
      <c r="J7946" t="s">
        <v>588</v>
      </c>
      <c r="K7946" s="195">
        <v>45891.697951388887</v>
      </c>
      <c r="L7946">
        <v>88</v>
      </c>
      <c r="M7946">
        <v>2</v>
      </c>
      <c r="N7946" s="98" t="str">
        <f>IF(record[[#This Row],[Memo]]="Browser:chrome os:android","平板報工",IF(record[[#This Row],[Memo]]=0,"委外",record[[#This Row],[Memo]]))</f>
        <v/>
      </c>
      <c r="O7946" t="s">
        <v>58</v>
      </c>
      <c r="P7946" t="s">
        <v>119</v>
      </c>
      <c r="Q7946" t="s">
        <v>58</v>
      </c>
      <c r="R7946" t="str">
        <f>IFERROR(VLOOKUP(record[[#This Row],[PCUSTID]],廠商[],2,FALSE),"")</f>
        <v/>
      </c>
      <c r="S7946" t="str">
        <f>VLOOKUP(record[[#This Row],[employeeID]],員工[],2,FALSE)</f>
        <v>廖俊彥</v>
      </c>
    </row>
    <row r="7947" spans="6:19" hidden="1" x14ac:dyDescent="0.25">
      <c r="F7947" t="s">
        <v>989</v>
      </c>
      <c r="G7947" t="s">
        <v>465</v>
      </c>
      <c r="H7947" t="str">
        <f>VLOOKUP(record[[#This Row],[ProcessSN]],表格2_7[],2,FALSE)</f>
        <v>30-4118-018-XXX</v>
      </c>
      <c r="I7947" t="str">
        <f>VLOOKUP(record[[#This Row],[ProcessSN]],表格2_7[],3,FALSE)</f>
        <v>#01-1</v>
      </c>
      <c r="J7947" t="s">
        <v>588</v>
      </c>
      <c r="K7947" s="195">
        <v>45891.697789351849</v>
      </c>
      <c r="L7947">
        <v>1045</v>
      </c>
      <c r="M7947">
        <v>0</v>
      </c>
      <c r="N7947" s="98" t="str">
        <f>IF(record[[#This Row],[Memo]]="Browser:chrome os:android","平板報工",IF(record[[#This Row],[Memo]]=0,"委外",record[[#This Row],[Memo]]))</f>
        <v/>
      </c>
      <c r="O7947" t="s">
        <v>58</v>
      </c>
      <c r="P7947" t="s">
        <v>119</v>
      </c>
      <c r="Q7947" t="s">
        <v>58</v>
      </c>
      <c r="R7947" t="str">
        <f>IFERROR(VLOOKUP(record[[#This Row],[PCUSTID]],廠商[],2,FALSE),"")</f>
        <v/>
      </c>
      <c r="S7947" t="str">
        <f>VLOOKUP(record[[#This Row],[employeeID]],員工[],2,FALSE)</f>
        <v>廖俊彥</v>
      </c>
    </row>
    <row r="7948" spans="6:19" hidden="1" x14ac:dyDescent="0.25">
      <c r="F7948" t="s">
        <v>904</v>
      </c>
      <c r="G7948" t="s">
        <v>420</v>
      </c>
      <c r="H7948" t="str">
        <f>VLOOKUP(record[[#This Row],[ProcessSN]],表格2_7[],2,FALSE)</f>
        <v>30-4118-018-5XX</v>
      </c>
      <c r="I7948" t="str">
        <f>VLOOKUP(record[[#This Row],[ProcessSN]],表格2_7[],3,FALSE)</f>
        <v>#07STOCK</v>
      </c>
      <c r="J7948" t="s">
        <v>592</v>
      </c>
      <c r="K7948" s="195">
        <v>45891.623518518521</v>
      </c>
      <c r="L7948">
        <v>260</v>
      </c>
      <c r="M7948">
        <v>0</v>
      </c>
      <c r="N7948" s="98" t="str">
        <f>IF(record[[#This Row],[Memo]]="Browser:chrome os:android","平板報工",IF(record[[#This Row],[Memo]]=0,"委外",record[[#This Row],[Memo]]))</f>
        <v/>
      </c>
      <c r="O7948" t="s">
        <v>58</v>
      </c>
      <c r="P7948" t="s">
        <v>196</v>
      </c>
      <c r="Q7948" t="s">
        <v>58</v>
      </c>
      <c r="R7948" t="str">
        <f>IFERROR(VLOOKUP(record[[#This Row],[PCUSTID]],廠商[],2,FALSE),"")</f>
        <v/>
      </c>
      <c r="S7948" t="str">
        <f>VLOOKUP(record[[#This Row],[employeeID]],員工[],2,FALSE)</f>
        <v>張淑惠</v>
      </c>
    </row>
    <row r="7949" spans="6:19" hidden="1" x14ac:dyDescent="0.25">
      <c r="F7949" t="s">
        <v>1012</v>
      </c>
      <c r="G7949" t="s">
        <v>396</v>
      </c>
      <c r="H7949" t="str">
        <f>VLOOKUP(record[[#This Row],[ProcessSN]],表格2_7[],2,FALSE)</f>
        <v>30-4118-018-550</v>
      </c>
      <c r="I7949" t="str">
        <f>VLOOKUP(record[[#This Row],[ProcessSN]],表格2_7[],3,FALSE)</f>
        <v>#08PICK</v>
      </c>
      <c r="J7949" t="s">
        <v>582</v>
      </c>
      <c r="K7949" s="195">
        <v>45891.621400462966</v>
      </c>
      <c r="L7949">
        <v>73</v>
      </c>
      <c r="M7949">
        <v>0</v>
      </c>
      <c r="N7949" s="98" t="str">
        <f>IF(record[[#This Row],[Memo]]="Browser:chrome os:android","平板報工",IF(record[[#This Row],[Memo]]=0,"委外",record[[#This Row],[Memo]]))</f>
        <v/>
      </c>
      <c r="O7949" t="s">
        <v>58</v>
      </c>
      <c r="P7949" t="s">
        <v>196</v>
      </c>
      <c r="Q7949" t="s">
        <v>58</v>
      </c>
      <c r="R7949" t="str">
        <f>IFERROR(VLOOKUP(record[[#This Row],[PCUSTID]],廠商[],2,FALSE),"")</f>
        <v/>
      </c>
      <c r="S7949" t="str">
        <f>VLOOKUP(record[[#This Row],[employeeID]],員工[],2,FALSE)</f>
        <v>張淑惠</v>
      </c>
    </row>
    <row r="7950" spans="6:19" hidden="1" x14ac:dyDescent="0.25">
      <c r="F7950" t="s">
        <v>904</v>
      </c>
      <c r="G7950" t="s">
        <v>419</v>
      </c>
      <c r="H7950" t="str">
        <f>VLOOKUP(record[[#This Row],[ProcessSN]],表格2_7[],2,FALSE)</f>
        <v>30-4118-018-5XX</v>
      </c>
      <c r="I7950" t="str">
        <f>VLOOKUP(record[[#This Row],[ProcessSN]],表格2_7[],3,FALSE)</f>
        <v>#07QC</v>
      </c>
      <c r="J7950" t="s">
        <v>589</v>
      </c>
      <c r="K7950" s="195">
        <v>45891.6174537037</v>
      </c>
      <c r="L7950">
        <v>0</v>
      </c>
      <c r="M7950">
        <v>3</v>
      </c>
      <c r="N7950" s="98" t="str">
        <f>IF(record[[#This Row],[Memo]]="Browser:chrome os:android","平板報工",IF(record[[#This Row],[Memo]]=0,"委外",record[[#This Row],[Memo]]))</f>
        <v>平板報工</v>
      </c>
      <c r="O7950" t="s">
        <v>643</v>
      </c>
      <c r="P7950" t="s">
        <v>141</v>
      </c>
      <c r="Q7950" t="s">
        <v>644</v>
      </c>
      <c r="R7950" t="str">
        <f>IFERROR(VLOOKUP(record[[#This Row],[PCUSTID]],廠商[],2,FALSE),"")</f>
        <v/>
      </c>
      <c r="S7950" t="str">
        <f>VLOOKUP(record[[#This Row],[employeeID]],員工[],2,FALSE)</f>
        <v>蔣梅</v>
      </c>
    </row>
    <row r="7951" spans="6:19" hidden="1" x14ac:dyDescent="0.25">
      <c r="F7951" t="s">
        <v>904</v>
      </c>
      <c r="G7951" t="s">
        <v>419</v>
      </c>
      <c r="H7951" t="str">
        <f>VLOOKUP(record[[#This Row],[ProcessSN]],表格2_7[],2,FALSE)</f>
        <v>30-4118-018-5XX</v>
      </c>
      <c r="I7951" t="str">
        <f>VLOOKUP(record[[#This Row],[ProcessSN]],表格2_7[],3,FALSE)</f>
        <v>#07QC</v>
      </c>
      <c r="J7951" t="s">
        <v>589</v>
      </c>
      <c r="K7951" s="195">
        <v>45891.6172337963</v>
      </c>
      <c r="L7951">
        <v>73</v>
      </c>
      <c r="M7951">
        <v>0</v>
      </c>
      <c r="N7951" s="98" t="str">
        <f>IF(record[[#This Row],[Memo]]="Browser:chrome os:android","平板報工",IF(record[[#This Row],[Memo]]=0,"委外",record[[#This Row],[Memo]]))</f>
        <v>平板報工</v>
      </c>
      <c r="O7951" t="s">
        <v>643</v>
      </c>
      <c r="P7951" t="s">
        <v>141</v>
      </c>
      <c r="Q7951" t="s">
        <v>644</v>
      </c>
      <c r="R7951" t="str">
        <f>IFERROR(VLOOKUP(record[[#This Row],[PCUSTID]],廠商[],2,FALSE),"")</f>
        <v/>
      </c>
      <c r="S7951" t="str">
        <f>VLOOKUP(record[[#This Row],[employeeID]],員工[],2,FALSE)</f>
        <v>蔣梅</v>
      </c>
    </row>
    <row r="7952" spans="6:19" hidden="1" x14ac:dyDescent="0.25">
      <c r="F7952" t="s">
        <v>1011</v>
      </c>
      <c r="G7952" t="s">
        <v>397</v>
      </c>
      <c r="H7952" t="str">
        <f>VLOOKUP(record[[#This Row],[ProcessSN]],表格2_7[],2,FALSE)</f>
        <v>30-4118-018-550</v>
      </c>
      <c r="I7952" t="str">
        <f>VLOOKUP(record[[#This Row],[ProcessSN]],表格2_7[],3,FALSE)</f>
        <v>#08</v>
      </c>
      <c r="J7952" t="s">
        <v>597</v>
      </c>
      <c r="K7952" s="195">
        <v>45891.607499999998</v>
      </c>
      <c r="L7952">
        <v>187</v>
      </c>
      <c r="M7952">
        <v>0</v>
      </c>
      <c r="N7952" s="98" t="str">
        <f>IF(record[[#This Row],[Memo]]="Browser:chrome os:android","平板報工",IF(record[[#This Row],[Memo]]=0,"委外",record[[#This Row],[Memo]]))</f>
        <v/>
      </c>
      <c r="O7952" t="s">
        <v>58</v>
      </c>
      <c r="P7952" t="s">
        <v>886</v>
      </c>
      <c r="Q7952" t="s">
        <v>287</v>
      </c>
      <c r="R7952" t="str">
        <f>IFERROR(VLOOKUP(record[[#This Row],[PCUSTID]],廠商[],2,FALSE),"")</f>
        <v>泉盛</v>
      </c>
      <c r="S7952" t="str">
        <f>VLOOKUP(record[[#This Row],[employeeID]],員工[],2,FALSE)</f>
        <v>謝蓁薰</v>
      </c>
    </row>
    <row r="7953" spans="6:19" hidden="1" x14ac:dyDescent="0.25">
      <c r="F7953" t="s">
        <v>922</v>
      </c>
      <c r="G7953" t="s">
        <v>469</v>
      </c>
      <c r="H7953" t="str">
        <f>VLOOKUP(record[[#This Row],[ProcessSN]],表格2_7[],2,FALSE)</f>
        <v>30-4118-018-XXX</v>
      </c>
      <c r="I7953" t="str">
        <f>VLOOKUP(record[[#This Row],[ProcessSN]],表格2_7[],3,FALSE)</f>
        <v>#02RCV</v>
      </c>
      <c r="J7953" t="s">
        <v>591</v>
      </c>
      <c r="K7953" s="195">
        <v>45891.557708333334</v>
      </c>
      <c r="L7953">
        <v>504</v>
      </c>
      <c r="M7953">
        <v>0</v>
      </c>
      <c r="N7953" s="98" t="str">
        <f>IF(record[[#This Row],[Memo]]="Browser:chrome os:android","平板報工",IF(record[[#This Row],[Memo]]=0,"委外",record[[#This Row],[Memo]]))</f>
        <v/>
      </c>
      <c r="O7953" t="s">
        <v>58</v>
      </c>
      <c r="P7953" t="s">
        <v>886</v>
      </c>
      <c r="Q7953" t="s">
        <v>58</v>
      </c>
      <c r="R7953" t="str">
        <f>IFERROR(VLOOKUP(record[[#This Row],[PCUSTID]],廠商[],2,FALSE),"")</f>
        <v/>
      </c>
      <c r="S7953" t="str">
        <f>VLOOKUP(record[[#This Row],[employeeID]],員工[],2,FALSE)</f>
        <v>謝蓁薰</v>
      </c>
    </row>
    <row r="7954" spans="6:19" hidden="1" x14ac:dyDescent="0.25">
      <c r="F7954" t="s">
        <v>1001</v>
      </c>
      <c r="G7954" t="s">
        <v>413</v>
      </c>
      <c r="H7954" t="str">
        <f>VLOOKUP(record[[#This Row],[ProcessSN]],表格2_7[],2,FALSE)</f>
        <v>30-4118-018-5XX</v>
      </c>
      <c r="I7954" t="str">
        <f>VLOOKUP(record[[#This Row],[ProcessSN]],表格2_7[],3,FALSE)</f>
        <v>#03GIVE</v>
      </c>
      <c r="J7954" t="s">
        <v>587</v>
      </c>
      <c r="K7954" s="195">
        <v>45891.488900462966</v>
      </c>
      <c r="L7954">
        <v>672</v>
      </c>
      <c r="M7954">
        <v>0</v>
      </c>
      <c r="N7954" s="98" t="str">
        <f>IF(record[[#This Row],[Memo]]="Browser:chrome os:android","平板報工",IF(record[[#This Row],[Memo]]=0,"委外",record[[#This Row],[Memo]]))</f>
        <v/>
      </c>
      <c r="O7954" t="s">
        <v>58</v>
      </c>
      <c r="P7954" t="s">
        <v>208</v>
      </c>
      <c r="Q7954" t="s">
        <v>58</v>
      </c>
      <c r="R7954" t="str">
        <f>IFERROR(VLOOKUP(record[[#This Row],[PCUSTID]],廠商[],2,FALSE),"")</f>
        <v/>
      </c>
      <c r="S7954" t="str">
        <f>VLOOKUP(record[[#This Row],[employeeID]],員工[],2,FALSE)</f>
        <v>陳治宏</v>
      </c>
    </row>
    <row r="7955" spans="6:19" hidden="1" x14ac:dyDescent="0.25">
      <c r="F7955" t="s">
        <v>1001</v>
      </c>
      <c r="G7955" t="s">
        <v>412</v>
      </c>
      <c r="H7955" t="str">
        <f>VLOOKUP(record[[#This Row],[ProcessSN]],表格2_7[],2,FALSE)</f>
        <v>30-4118-018-5XX</v>
      </c>
      <c r="I7955" t="str">
        <f>VLOOKUP(record[[#This Row],[ProcessSN]],表格2_7[],3,FALSE)</f>
        <v>#03PICK</v>
      </c>
      <c r="J7955" t="s">
        <v>582</v>
      </c>
      <c r="K7955" s="195">
        <v>45891.48877314815</v>
      </c>
      <c r="L7955">
        <v>672</v>
      </c>
      <c r="M7955">
        <v>0</v>
      </c>
      <c r="N7955" s="98" t="str">
        <f>IF(record[[#This Row],[Memo]]="Browser:chrome os:android","平板報工",IF(record[[#This Row],[Memo]]=0,"委外",record[[#This Row],[Memo]]))</f>
        <v/>
      </c>
      <c r="O7955" t="s">
        <v>58</v>
      </c>
      <c r="P7955" t="s">
        <v>208</v>
      </c>
      <c r="Q7955" t="s">
        <v>58</v>
      </c>
      <c r="R7955" t="str">
        <f>IFERROR(VLOOKUP(record[[#This Row],[PCUSTID]],廠商[],2,FALSE),"")</f>
        <v/>
      </c>
      <c r="S7955" t="str">
        <f>VLOOKUP(record[[#This Row],[employeeID]],員工[],2,FALSE)</f>
        <v>陳治宏</v>
      </c>
    </row>
    <row r="7956" spans="6:19" hidden="1" x14ac:dyDescent="0.25">
      <c r="F7956" t="s">
        <v>904</v>
      </c>
      <c r="G7956" t="s">
        <v>419</v>
      </c>
      <c r="H7956" t="str">
        <f>VLOOKUP(record[[#This Row],[ProcessSN]],表格2_7[],2,FALSE)</f>
        <v>30-4118-018-5XX</v>
      </c>
      <c r="I7956" t="str">
        <f>VLOOKUP(record[[#This Row],[ProcessSN]],表格2_7[],3,FALSE)</f>
        <v>#07QC</v>
      </c>
      <c r="J7956" t="s">
        <v>589</v>
      </c>
      <c r="K7956" s="195">
        <v>45891.407673611109</v>
      </c>
      <c r="L7956">
        <v>187</v>
      </c>
      <c r="M7956">
        <v>0</v>
      </c>
      <c r="N7956" s="98" t="str">
        <f>IF(record[[#This Row],[Memo]]="Browser:chrome os:android","平板報工",IF(record[[#This Row],[Memo]]=0,"委外",record[[#This Row],[Memo]]))</f>
        <v>平板報工</v>
      </c>
      <c r="O7956" t="s">
        <v>643</v>
      </c>
      <c r="P7956" t="s">
        <v>141</v>
      </c>
      <c r="Q7956" t="s">
        <v>644</v>
      </c>
      <c r="R7956" t="str">
        <f>IFERROR(VLOOKUP(record[[#This Row],[PCUSTID]],廠商[],2,FALSE),"")</f>
        <v/>
      </c>
      <c r="S7956" t="str">
        <f>VLOOKUP(record[[#This Row],[employeeID]],員工[],2,FALSE)</f>
        <v>蔣梅</v>
      </c>
    </row>
    <row r="7957" spans="6:19" hidden="1" x14ac:dyDescent="0.25">
      <c r="F7957" t="s">
        <v>922</v>
      </c>
      <c r="G7957" t="s">
        <v>471</v>
      </c>
      <c r="H7957" t="str">
        <f>VLOOKUP(record[[#This Row],[ProcessSN]],表格2_7[],2,FALSE)</f>
        <v>30-4118-018-XXX</v>
      </c>
      <c r="I7957" t="str">
        <f>VLOOKUP(record[[#This Row],[ProcessSN]],表格2_7[],3,FALSE)</f>
        <v>#02STOCK</v>
      </c>
      <c r="J7957" t="s">
        <v>592</v>
      </c>
      <c r="K7957" s="195">
        <v>45891.390023148146</v>
      </c>
      <c r="L7957">
        <v>672</v>
      </c>
      <c r="M7957">
        <v>0</v>
      </c>
      <c r="N7957" s="98" t="str">
        <f>IF(record[[#This Row],[Memo]]="Browser:chrome os:android","平板報工",IF(record[[#This Row],[Memo]]=0,"委外",record[[#This Row],[Memo]]))</f>
        <v/>
      </c>
      <c r="O7957" t="s">
        <v>58</v>
      </c>
      <c r="P7957" t="s">
        <v>196</v>
      </c>
      <c r="Q7957" t="s">
        <v>58</v>
      </c>
      <c r="R7957" t="str">
        <f>IFERROR(VLOOKUP(record[[#This Row],[PCUSTID]],廠商[],2,FALSE),"")</f>
        <v/>
      </c>
      <c r="S7957" t="str">
        <f>VLOOKUP(record[[#This Row],[employeeID]],員工[],2,FALSE)</f>
        <v>張淑惠</v>
      </c>
    </row>
    <row r="7958" spans="6:19" hidden="1" x14ac:dyDescent="0.25">
      <c r="F7958" t="s">
        <v>1011</v>
      </c>
      <c r="G7958" t="s">
        <v>396</v>
      </c>
      <c r="H7958" t="str">
        <f>VLOOKUP(record[[#This Row],[ProcessSN]],表格2_7[],2,FALSE)</f>
        <v>30-4118-018-550</v>
      </c>
      <c r="I7958" t="str">
        <f>VLOOKUP(record[[#This Row],[ProcessSN]],表格2_7[],3,FALSE)</f>
        <v>#08PICK</v>
      </c>
      <c r="J7958" t="s">
        <v>582</v>
      </c>
      <c r="K7958" s="195">
        <v>45891.387407407405</v>
      </c>
      <c r="L7958">
        <v>187</v>
      </c>
      <c r="M7958">
        <v>0</v>
      </c>
      <c r="N7958" s="98" t="str">
        <f>IF(record[[#This Row],[Memo]]="Browser:chrome os:android","平板報工",IF(record[[#This Row],[Memo]]=0,"委外",record[[#This Row],[Memo]]))</f>
        <v/>
      </c>
      <c r="O7958" t="s">
        <v>58</v>
      </c>
      <c r="P7958" t="s">
        <v>196</v>
      </c>
      <c r="Q7958" t="s">
        <v>58</v>
      </c>
      <c r="R7958" t="str">
        <f>IFERROR(VLOOKUP(record[[#This Row],[PCUSTID]],廠商[],2,FALSE),"")</f>
        <v/>
      </c>
      <c r="S7958" t="str">
        <f>VLOOKUP(record[[#This Row],[employeeID]],員工[],2,FALSE)</f>
        <v>張淑惠</v>
      </c>
    </row>
    <row r="7959" spans="6:19" hidden="1" x14ac:dyDescent="0.25">
      <c r="F7959" t="s">
        <v>922</v>
      </c>
      <c r="G7959" t="s">
        <v>468</v>
      </c>
      <c r="H7959" t="str">
        <f>VLOOKUP(record[[#This Row],[ProcessSN]],表格2_7[],2,FALSE)</f>
        <v>30-4118-018-XXX</v>
      </c>
      <c r="I7959" t="str">
        <f>VLOOKUP(record[[#This Row],[ProcessSN]],表格2_7[],3,FALSE)</f>
        <v>#02</v>
      </c>
      <c r="J7959" t="s">
        <v>590</v>
      </c>
      <c r="K7959" s="195">
        <v>45891.376342592594</v>
      </c>
      <c r="L7959">
        <v>162</v>
      </c>
      <c r="M7959">
        <v>0</v>
      </c>
      <c r="N7959" s="98" t="str">
        <f>IF(record[[#This Row],[Memo]]="Browser:chrome os:android","平板報工",IF(record[[#This Row],[Memo]]=0,"委外",record[[#This Row],[Memo]]))</f>
        <v/>
      </c>
      <c r="O7959" t="s">
        <v>58</v>
      </c>
      <c r="P7959" t="s">
        <v>886</v>
      </c>
      <c r="Q7959" t="s">
        <v>216</v>
      </c>
      <c r="R7959" t="str">
        <f>IFERROR(VLOOKUP(record[[#This Row],[PCUSTID]],廠商[],2,FALSE),"")</f>
        <v>俊杰</v>
      </c>
      <c r="S7959" t="str">
        <f>VLOOKUP(record[[#This Row],[employeeID]],員工[],2,FALSE)</f>
        <v>謝蓁薰</v>
      </c>
    </row>
    <row r="7960" spans="6:19" hidden="1" x14ac:dyDescent="0.25">
      <c r="F7960" t="s">
        <v>989</v>
      </c>
      <c r="G7960" t="s">
        <v>465</v>
      </c>
      <c r="H7960" t="str">
        <f>VLOOKUP(record[[#This Row],[ProcessSN]],表格2_7[],2,FALSE)</f>
        <v>30-4118-018-XXX</v>
      </c>
      <c r="I7960" t="str">
        <f>VLOOKUP(record[[#This Row],[ProcessSN]],表格2_7[],3,FALSE)</f>
        <v>#01-1</v>
      </c>
      <c r="J7960" t="s">
        <v>588</v>
      </c>
      <c r="K7960" s="195">
        <v>45891.309062499997</v>
      </c>
      <c r="L7960">
        <v>960</v>
      </c>
      <c r="M7960">
        <v>0</v>
      </c>
      <c r="N7960" s="98" t="str">
        <f>IF(record[[#This Row],[Memo]]="Browser:chrome os:android","平板報工",IF(record[[#This Row],[Memo]]=0,"委外",record[[#This Row],[Memo]]))</f>
        <v/>
      </c>
      <c r="O7960" t="s">
        <v>58</v>
      </c>
      <c r="P7960" t="s">
        <v>135</v>
      </c>
      <c r="Q7960" t="s">
        <v>58</v>
      </c>
      <c r="R7960" t="str">
        <f>IFERROR(VLOOKUP(record[[#This Row],[PCUSTID]],廠商[],2,FALSE),"")</f>
        <v/>
      </c>
      <c r="S7960" t="str">
        <f>VLOOKUP(record[[#This Row],[employeeID]],員工[],2,FALSE)</f>
        <v>阮士文</v>
      </c>
    </row>
    <row r="7961" spans="6:19" hidden="1" x14ac:dyDescent="0.25">
      <c r="F7961" t="s">
        <v>989</v>
      </c>
      <c r="G7961" t="s">
        <v>465</v>
      </c>
      <c r="H7961" t="str">
        <f>VLOOKUP(record[[#This Row],[ProcessSN]],表格2_7[],2,FALSE)</f>
        <v>30-4118-018-XXX</v>
      </c>
      <c r="I7961" t="str">
        <f>VLOOKUP(record[[#This Row],[ProcessSN]],表格2_7[],3,FALSE)</f>
        <v>#01-1</v>
      </c>
      <c r="J7961" t="s">
        <v>588</v>
      </c>
      <c r="K7961" s="195">
        <v>45890.970219907409</v>
      </c>
      <c r="L7961">
        <v>712</v>
      </c>
      <c r="M7961">
        <v>0</v>
      </c>
      <c r="N7961" s="98" t="str">
        <f>IF(record[[#This Row],[Memo]]="Browser:chrome os:android","平板報工",IF(record[[#This Row],[Memo]]=0,"委外",record[[#This Row],[Memo]]))</f>
        <v/>
      </c>
      <c r="O7961" t="s">
        <v>58</v>
      </c>
      <c r="P7961" t="s">
        <v>806</v>
      </c>
      <c r="Q7961" t="s">
        <v>58</v>
      </c>
      <c r="R7961" t="str">
        <f>IFERROR(VLOOKUP(record[[#This Row],[PCUSTID]],廠商[],2,FALSE),"")</f>
        <v/>
      </c>
      <c r="S7961" t="str">
        <f>VLOOKUP(record[[#This Row],[employeeID]],員工[],2,FALSE)</f>
        <v>方思緯</v>
      </c>
    </row>
    <row r="7962" spans="6:19" hidden="1" x14ac:dyDescent="0.25">
      <c r="F7962" t="s">
        <v>922</v>
      </c>
      <c r="G7962" t="s">
        <v>467</v>
      </c>
      <c r="H7962" t="str">
        <f>VLOOKUP(record[[#This Row],[ProcessSN]],表格2_7[],2,FALSE)</f>
        <v>30-4118-018-XXX</v>
      </c>
      <c r="I7962" t="str">
        <f>VLOOKUP(record[[#This Row],[ProcessSN]],表格2_7[],3,FALSE)</f>
        <v>#01QC</v>
      </c>
      <c r="J7962" t="s">
        <v>589</v>
      </c>
      <c r="K7962" s="195">
        <v>45890.780578703707</v>
      </c>
      <c r="L7962">
        <v>162</v>
      </c>
      <c r="M7962">
        <v>0</v>
      </c>
      <c r="N7962" s="98" t="str">
        <f>IF(record[[#This Row],[Memo]]="Browser:chrome os:android","平板報工",IF(record[[#This Row],[Memo]]=0,"委外",record[[#This Row],[Memo]]))</f>
        <v>平板報工</v>
      </c>
      <c r="O7962" t="s">
        <v>643</v>
      </c>
      <c r="P7962" t="s">
        <v>182</v>
      </c>
      <c r="Q7962" t="s">
        <v>644</v>
      </c>
      <c r="R7962" t="str">
        <f>IFERROR(VLOOKUP(record[[#This Row],[PCUSTID]],廠商[],2,FALSE),"")</f>
        <v/>
      </c>
      <c r="S7962" t="str">
        <f>VLOOKUP(record[[#This Row],[employeeID]],員工[],2,FALSE)</f>
        <v>梅氏和</v>
      </c>
    </row>
    <row r="7963" spans="6:19" hidden="1" x14ac:dyDescent="0.25">
      <c r="F7963" t="s">
        <v>922</v>
      </c>
      <c r="G7963" t="s">
        <v>466</v>
      </c>
      <c r="H7963" t="str">
        <f>VLOOKUP(record[[#This Row],[ProcessSN]],表格2_7[],2,FALSE)</f>
        <v>30-4118-018-XXX</v>
      </c>
      <c r="I7963" t="str">
        <f>VLOOKUP(record[[#This Row],[ProcessSN]],表格2_7[],3,FALSE)</f>
        <v>#01-2</v>
      </c>
      <c r="J7963" t="s">
        <v>588</v>
      </c>
      <c r="K7963" s="195">
        <v>45890.780092592591</v>
      </c>
      <c r="L7963">
        <v>1</v>
      </c>
      <c r="M7963">
        <v>0</v>
      </c>
      <c r="N7963" s="98" t="str">
        <f>IF(record[[#This Row],[Memo]]="Browser:chrome os:android","平板報工",IF(record[[#This Row],[Memo]]=0,"委外",record[[#This Row],[Memo]]))</f>
        <v>補報大夜</v>
      </c>
      <c r="O7963" t="s">
        <v>1010</v>
      </c>
      <c r="P7963" t="s">
        <v>127</v>
      </c>
      <c r="Q7963" t="s">
        <v>58</v>
      </c>
      <c r="R7963" t="str">
        <f>IFERROR(VLOOKUP(record[[#This Row],[PCUSTID]],廠商[],2,FALSE),"")</f>
        <v/>
      </c>
      <c r="S7963" t="str">
        <f>VLOOKUP(record[[#This Row],[employeeID]],員工[],2,FALSE)</f>
        <v>潘雪梅</v>
      </c>
    </row>
    <row r="7964" spans="6:19" hidden="1" x14ac:dyDescent="0.25">
      <c r="F7964" t="s">
        <v>993</v>
      </c>
      <c r="G7964" t="s">
        <v>401</v>
      </c>
      <c r="H7964" t="str">
        <f>VLOOKUP(record[[#This Row],[ProcessSN]],表格2_7[],2,FALSE)</f>
        <v>30-4118-018-550</v>
      </c>
      <c r="I7964" t="str">
        <f>VLOOKUP(record[[#This Row],[ProcessSN]],表格2_7[],3,FALSE)</f>
        <v>#100OQC</v>
      </c>
      <c r="J7964" t="s">
        <v>599</v>
      </c>
      <c r="K7964" s="195">
        <v>45890.745046296295</v>
      </c>
      <c r="L7964">
        <v>4</v>
      </c>
      <c r="M7964">
        <v>0</v>
      </c>
      <c r="N7964" s="98" t="str">
        <f>IF(record[[#This Row],[Memo]]="Browser:chrome os:android","平板報工",IF(record[[#This Row],[Memo]]=0,"委外",record[[#This Row],[Memo]]))</f>
        <v/>
      </c>
      <c r="O7964" t="s">
        <v>58</v>
      </c>
      <c r="P7964" t="s">
        <v>121</v>
      </c>
      <c r="Q7964" t="s">
        <v>58</v>
      </c>
      <c r="R7964" t="str">
        <f>IFERROR(VLOOKUP(record[[#This Row],[PCUSTID]],廠商[],2,FALSE),"")</f>
        <v/>
      </c>
      <c r="S7964" t="str">
        <f>VLOOKUP(record[[#This Row],[employeeID]],員工[],2,FALSE)</f>
        <v>謝素卿</v>
      </c>
    </row>
    <row r="7965" spans="6:19" hidden="1" x14ac:dyDescent="0.25">
      <c r="F7965" t="s">
        <v>989</v>
      </c>
      <c r="G7965" t="s">
        <v>465</v>
      </c>
      <c r="H7965" t="str">
        <f>VLOOKUP(record[[#This Row],[ProcessSN]],表格2_7[],2,FALSE)</f>
        <v>30-4118-018-XXX</v>
      </c>
      <c r="I7965" t="str">
        <f>VLOOKUP(record[[#This Row],[ProcessSN]],表格2_7[],3,FALSE)</f>
        <v>#01-1</v>
      </c>
      <c r="J7965" t="s">
        <v>588</v>
      </c>
      <c r="K7965" s="195">
        <v>45890.730023148149</v>
      </c>
      <c r="L7965">
        <v>752</v>
      </c>
      <c r="M7965">
        <v>0</v>
      </c>
      <c r="N7965" s="98" t="str">
        <f>IF(record[[#This Row],[Memo]]="Browser:chrome os:android","平板報工",IF(record[[#This Row],[Memo]]=0,"委外",record[[#This Row],[Memo]]))</f>
        <v/>
      </c>
      <c r="O7965" t="s">
        <v>58</v>
      </c>
      <c r="P7965" t="s">
        <v>119</v>
      </c>
      <c r="Q7965" t="s">
        <v>58</v>
      </c>
      <c r="R7965" t="str">
        <f>IFERROR(VLOOKUP(record[[#This Row],[PCUSTID]],廠商[],2,FALSE),"")</f>
        <v/>
      </c>
      <c r="S7965" t="str">
        <f>VLOOKUP(record[[#This Row],[employeeID]],員工[],2,FALSE)</f>
        <v>廖俊彥</v>
      </c>
    </row>
    <row r="7966" spans="6:19" hidden="1" x14ac:dyDescent="0.25">
      <c r="F7966" t="s">
        <v>993</v>
      </c>
      <c r="G7966" t="s">
        <v>400</v>
      </c>
      <c r="H7966" t="str">
        <f>VLOOKUP(record[[#This Row],[ProcessSN]],表格2_7[],2,FALSE)</f>
        <v>30-4118-018-550</v>
      </c>
      <c r="I7966" t="str">
        <f>VLOOKUP(record[[#This Row],[ProcessSN]],表格2_7[],3,FALSE)</f>
        <v>#100</v>
      </c>
      <c r="J7966" t="s">
        <v>598</v>
      </c>
      <c r="K7966" s="195">
        <v>45890.710833333331</v>
      </c>
      <c r="L7966">
        <v>4</v>
      </c>
      <c r="M7966">
        <v>0</v>
      </c>
      <c r="N7966" s="98" t="str">
        <f>IF(record[[#This Row],[Memo]]="Browser:chrome os:android","平板報工",IF(record[[#This Row],[Memo]]=0,"委外",record[[#This Row],[Memo]]))</f>
        <v>平板報工</v>
      </c>
      <c r="O7966" t="s">
        <v>643</v>
      </c>
      <c r="P7966" t="s">
        <v>141</v>
      </c>
      <c r="Q7966" t="s">
        <v>644</v>
      </c>
      <c r="R7966" t="str">
        <f>IFERROR(VLOOKUP(record[[#This Row],[PCUSTID]],廠商[],2,FALSE),"")</f>
        <v/>
      </c>
      <c r="S7966" t="str">
        <f>VLOOKUP(record[[#This Row],[employeeID]],員工[],2,FALSE)</f>
        <v>蔣梅</v>
      </c>
    </row>
    <row r="7967" spans="6:19" hidden="1" x14ac:dyDescent="0.25">
      <c r="F7967" t="s">
        <v>922</v>
      </c>
      <c r="G7967" t="s">
        <v>470</v>
      </c>
      <c r="H7967" t="str">
        <f>VLOOKUP(record[[#This Row],[ProcessSN]],表格2_7[],2,FALSE)</f>
        <v>30-4118-018-XXX</v>
      </c>
      <c r="I7967" t="str">
        <f>VLOOKUP(record[[#This Row],[ProcessSN]],表格2_7[],3,FALSE)</f>
        <v>#02IQC</v>
      </c>
      <c r="J7967" t="s">
        <v>583</v>
      </c>
      <c r="K7967" s="195">
        <v>45890.693252314813</v>
      </c>
      <c r="L7967">
        <v>672</v>
      </c>
      <c r="M7967">
        <v>0</v>
      </c>
      <c r="N7967" s="98" t="str">
        <f>IF(record[[#This Row],[Memo]]="Browser:chrome os:android","平板報工",IF(record[[#This Row],[Memo]]=0,"委外",record[[#This Row],[Memo]]))</f>
        <v/>
      </c>
      <c r="O7967" t="s">
        <v>58</v>
      </c>
      <c r="P7967" t="s">
        <v>109</v>
      </c>
      <c r="Q7967" t="s">
        <v>58</v>
      </c>
      <c r="R7967" t="str">
        <f>IFERROR(VLOOKUP(record[[#This Row],[PCUSTID]],廠商[],2,FALSE),"")</f>
        <v/>
      </c>
      <c r="S7967" t="str">
        <f>VLOOKUP(record[[#This Row],[employeeID]],員工[],2,FALSE)</f>
        <v>裴氏璧鳳</v>
      </c>
    </row>
    <row r="7968" spans="6:19" hidden="1" x14ac:dyDescent="0.25">
      <c r="F7968" t="s">
        <v>993</v>
      </c>
      <c r="G7968" t="s">
        <v>403</v>
      </c>
      <c r="H7968" t="str">
        <f>VLOOKUP(record[[#This Row],[ProcessSN]],表格2_7[],2,FALSE)</f>
        <v>30-4118-018-550</v>
      </c>
      <c r="I7968" t="str">
        <f>VLOOKUP(record[[#This Row],[ProcessSN]],表格2_7[],3,FALSE)</f>
        <v>#100SHIP</v>
      </c>
      <c r="J7968" t="s">
        <v>600</v>
      </c>
      <c r="K7968" s="195">
        <v>45890.687384259261</v>
      </c>
      <c r="L7968">
        <v>72</v>
      </c>
      <c r="M7968">
        <v>0</v>
      </c>
      <c r="N7968" s="98" t="str">
        <f>IF(record[[#This Row],[Memo]]="Browser:chrome os:android","平板報工",IF(record[[#This Row],[Memo]]=0,"委外",record[[#This Row],[Memo]]))</f>
        <v/>
      </c>
      <c r="O7968" t="s">
        <v>58</v>
      </c>
      <c r="P7968" t="s">
        <v>886</v>
      </c>
      <c r="Q7968" t="s">
        <v>58</v>
      </c>
      <c r="R7968" t="str">
        <f>IFERROR(VLOOKUP(record[[#This Row],[PCUSTID]],廠商[],2,FALSE),"")</f>
        <v/>
      </c>
      <c r="S7968" t="str">
        <f>VLOOKUP(record[[#This Row],[employeeID]],員工[],2,FALSE)</f>
        <v>謝蓁薰</v>
      </c>
    </row>
    <row r="7969" spans="6:19" hidden="1" x14ac:dyDescent="0.25">
      <c r="F7969" t="s">
        <v>993</v>
      </c>
      <c r="G7969" t="s">
        <v>402</v>
      </c>
      <c r="H7969" t="str">
        <f>VLOOKUP(record[[#This Row],[ProcessSN]],表格2_7[],2,FALSE)</f>
        <v>30-4118-018-550</v>
      </c>
      <c r="I7969" t="str">
        <f>VLOOKUP(record[[#This Row],[ProcessSN]],表格2_7[],3,FALSE)</f>
        <v>#100STOCK</v>
      </c>
      <c r="J7969" t="s">
        <v>592</v>
      </c>
      <c r="K7969" s="195">
        <v>45890.6872337963</v>
      </c>
      <c r="L7969">
        <v>72</v>
      </c>
      <c r="M7969">
        <v>0</v>
      </c>
      <c r="N7969" s="98" t="str">
        <f>IF(record[[#This Row],[Memo]]="Browser:chrome os:android","平板報工",IF(record[[#This Row],[Memo]]=0,"委外",record[[#This Row],[Memo]]))</f>
        <v/>
      </c>
      <c r="O7969" t="s">
        <v>58</v>
      </c>
      <c r="P7969" t="s">
        <v>886</v>
      </c>
      <c r="Q7969" t="s">
        <v>58</v>
      </c>
      <c r="R7969" t="str">
        <f>IFERROR(VLOOKUP(record[[#This Row],[PCUSTID]],廠商[],2,FALSE),"")</f>
        <v/>
      </c>
      <c r="S7969" t="str">
        <f>VLOOKUP(record[[#This Row],[employeeID]],員工[],2,FALSE)</f>
        <v>謝蓁薰</v>
      </c>
    </row>
    <row r="7970" spans="6:19" hidden="1" x14ac:dyDescent="0.25">
      <c r="F7970" t="s">
        <v>993</v>
      </c>
      <c r="G7970" t="s">
        <v>401</v>
      </c>
      <c r="H7970" t="str">
        <f>VLOOKUP(record[[#This Row],[ProcessSN]],表格2_7[],2,FALSE)</f>
        <v>30-4118-018-550</v>
      </c>
      <c r="I7970" t="str">
        <f>VLOOKUP(record[[#This Row],[ProcessSN]],表格2_7[],3,FALSE)</f>
        <v>#100OQC</v>
      </c>
      <c r="J7970" t="s">
        <v>599</v>
      </c>
      <c r="K7970" s="195">
        <v>45890.682592592595</v>
      </c>
      <c r="L7970">
        <v>320</v>
      </c>
      <c r="M7970">
        <v>0</v>
      </c>
      <c r="N7970" s="98" t="str">
        <f>IF(record[[#This Row],[Memo]]="Browser:chrome os:android","平板報工",IF(record[[#This Row],[Memo]]=0,"委外",record[[#This Row],[Memo]]))</f>
        <v/>
      </c>
      <c r="O7970" t="s">
        <v>58</v>
      </c>
      <c r="P7970" t="s">
        <v>121</v>
      </c>
      <c r="Q7970" t="s">
        <v>58</v>
      </c>
      <c r="R7970" t="str">
        <f>IFERROR(VLOOKUP(record[[#This Row],[PCUSTID]],廠商[],2,FALSE),"")</f>
        <v/>
      </c>
      <c r="S7970" t="str">
        <f>VLOOKUP(record[[#This Row],[employeeID]],員工[],2,FALSE)</f>
        <v>謝素卿</v>
      </c>
    </row>
    <row r="7971" spans="6:19" hidden="1" x14ac:dyDescent="0.25">
      <c r="F7971" t="s">
        <v>945</v>
      </c>
      <c r="G7971" t="s">
        <v>362</v>
      </c>
      <c r="H7971" t="str">
        <f>VLOOKUP(record[[#This Row],[ProcessSN]],表格2_7[],2,FALSE)</f>
        <v>30-4118-018-450</v>
      </c>
      <c r="I7971" t="str">
        <f>VLOOKUP(record[[#This Row],[ProcessSN]],表格2_7[],3,FALSE)</f>
        <v>#100SHIP</v>
      </c>
      <c r="J7971" t="s">
        <v>600</v>
      </c>
      <c r="K7971" s="195">
        <v>45890.67392361111</v>
      </c>
      <c r="L7971">
        <v>1</v>
      </c>
      <c r="M7971">
        <v>0</v>
      </c>
      <c r="N7971" s="98" t="str">
        <f>IF(record[[#This Row],[Memo]]="Browser:chrome os:android","平板報工",IF(record[[#This Row],[Memo]]=0,"委外",record[[#This Row],[Memo]]))</f>
        <v/>
      </c>
      <c r="O7971" t="s">
        <v>58</v>
      </c>
      <c r="P7971" t="s">
        <v>886</v>
      </c>
      <c r="Q7971" t="s">
        <v>58</v>
      </c>
      <c r="R7971" t="str">
        <f>IFERROR(VLOOKUP(record[[#This Row],[PCUSTID]],廠商[],2,FALSE),"")</f>
        <v/>
      </c>
      <c r="S7971" t="str">
        <f>VLOOKUP(record[[#This Row],[employeeID]],員工[],2,FALSE)</f>
        <v>謝蓁薰</v>
      </c>
    </row>
    <row r="7972" spans="6:19" hidden="1" x14ac:dyDescent="0.25">
      <c r="F7972" t="s">
        <v>993</v>
      </c>
      <c r="G7972" t="s">
        <v>400</v>
      </c>
      <c r="H7972" t="str">
        <f>VLOOKUP(record[[#This Row],[ProcessSN]],表格2_7[],2,FALSE)</f>
        <v>30-4118-018-550</v>
      </c>
      <c r="I7972" t="str">
        <f>VLOOKUP(record[[#This Row],[ProcessSN]],表格2_7[],3,FALSE)</f>
        <v>#100</v>
      </c>
      <c r="J7972" t="s">
        <v>598</v>
      </c>
      <c r="K7972" s="195">
        <v>45890.673750000002</v>
      </c>
      <c r="L7972">
        <v>0</v>
      </c>
      <c r="M7972">
        <v>12</v>
      </c>
      <c r="N7972" s="98" t="str">
        <f>IF(record[[#This Row],[Memo]]="Browser:chrome os:android","平板報工",IF(record[[#This Row],[Memo]]=0,"委外",record[[#This Row],[Memo]]))</f>
        <v>平板報工</v>
      </c>
      <c r="O7972" t="s">
        <v>643</v>
      </c>
      <c r="P7972" t="s">
        <v>141</v>
      </c>
      <c r="Q7972" t="s">
        <v>644</v>
      </c>
      <c r="R7972" t="str">
        <f>IFERROR(VLOOKUP(record[[#This Row],[PCUSTID]],廠商[],2,FALSE),"")</f>
        <v/>
      </c>
      <c r="S7972" t="str">
        <f>VLOOKUP(record[[#This Row],[employeeID]],員工[],2,FALSE)</f>
        <v>蔣梅</v>
      </c>
    </row>
    <row r="7973" spans="6:19" hidden="1" x14ac:dyDescent="0.25">
      <c r="F7973" t="s">
        <v>993</v>
      </c>
      <c r="G7973" t="s">
        <v>400</v>
      </c>
      <c r="H7973" t="str">
        <f>VLOOKUP(record[[#This Row],[ProcessSN]],表格2_7[],2,FALSE)</f>
        <v>30-4118-018-550</v>
      </c>
      <c r="I7973" t="str">
        <f>VLOOKUP(record[[#This Row],[ProcessSN]],表格2_7[],3,FALSE)</f>
        <v>#100</v>
      </c>
      <c r="J7973" t="s">
        <v>598</v>
      </c>
      <c r="K7973" s="195">
        <v>45890.67355324074</v>
      </c>
      <c r="L7973">
        <v>320</v>
      </c>
      <c r="M7973">
        <v>0</v>
      </c>
      <c r="N7973" s="98" t="str">
        <f>IF(record[[#This Row],[Memo]]="Browser:chrome os:android","平板報工",IF(record[[#This Row],[Memo]]=0,"委外",record[[#This Row],[Memo]]))</f>
        <v>平板報工</v>
      </c>
      <c r="O7973" t="s">
        <v>643</v>
      </c>
      <c r="P7973" t="s">
        <v>141</v>
      </c>
      <c r="Q7973" t="s">
        <v>644</v>
      </c>
      <c r="R7973" t="str">
        <f>IFERROR(VLOOKUP(record[[#This Row],[PCUSTID]],廠商[],2,FALSE),"")</f>
        <v/>
      </c>
      <c r="S7973" t="str">
        <f>VLOOKUP(record[[#This Row],[employeeID]],員工[],2,FALSE)</f>
        <v>蔣梅</v>
      </c>
    </row>
    <row r="7974" spans="6:19" hidden="1" x14ac:dyDescent="0.25">
      <c r="F7974" t="s">
        <v>979</v>
      </c>
      <c r="G7974" t="s">
        <v>403</v>
      </c>
      <c r="H7974" t="str">
        <f>VLOOKUP(record[[#This Row],[ProcessSN]],表格2_7[],2,FALSE)</f>
        <v>30-4118-018-550</v>
      </c>
      <c r="I7974" t="str">
        <f>VLOOKUP(record[[#This Row],[ProcessSN]],表格2_7[],3,FALSE)</f>
        <v>#100SHIP</v>
      </c>
      <c r="J7974" t="s">
        <v>600</v>
      </c>
      <c r="K7974" s="195">
        <v>45890.671886574077</v>
      </c>
      <c r="L7974">
        <v>94</v>
      </c>
      <c r="M7974">
        <v>0</v>
      </c>
      <c r="N7974" s="98" t="str">
        <f>IF(record[[#This Row],[Memo]]="Browser:chrome os:android","平板報工",IF(record[[#This Row],[Memo]]=0,"委外",record[[#This Row],[Memo]]))</f>
        <v/>
      </c>
      <c r="O7974" t="s">
        <v>58</v>
      </c>
      <c r="P7974" t="s">
        <v>886</v>
      </c>
      <c r="Q7974" t="s">
        <v>58</v>
      </c>
      <c r="R7974" t="str">
        <f>IFERROR(VLOOKUP(record[[#This Row],[PCUSTID]],廠商[],2,FALSE),"")</f>
        <v/>
      </c>
      <c r="S7974" t="str">
        <f>VLOOKUP(record[[#This Row],[employeeID]],員工[],2,FALSE)</f>
        <v>謝蓁薰</v>
      </c>
    </row>
    <row r="7975" spans="6:19" hidden="1" x14ac:dyDescent="0.25">
      <c r="F7975" t="s">
        <v>977</v>
      </c>
      <c r="G7975" t="s">
        <v>403</v>
      </c>
      <c r="H7975" t="str">
        <f>VLOOKUP(record[[#This Row],[ProcessSN]],表格2_7[],2,FALSE)</f>
        <v>30-4118-018-550</v>
      </c>
      <c r="I7975" t="str">
        <f>VLOOKUP(record[[#This Row],[ProcessSN]],表格2_7[],3,FALSE)</f>
        <v>#100SHIP</v>
      </c>
      <c r="J7975" t="s">
        <v>600</v>
      </c>
      <c r="K7975" s="195">
        <v>45890.671712962961</v>
      </c>
      <c r="L7975">
        <v>4</v>
      </c>
      <c r="M7975">
        <v>0</v>
      </c>
      <c r="N7975" s="98" t="str">
        <f>IF(record[[#This Row],[Memo]]="Browser:chrome os:android","平板報工",IF(record[[#This Row],[Memo]]=0,"委外",record[[#This Row],[Memo]]))</f>
        <v/>
      </c>
      <c r="O7975" t="s">
        <v>58</v>
      </c>
      <c r="P7975" t="s">
        <v>886</v>
      </c>
      <c r="Q7975" t="s">
        <v>58</v>
      </c>
      <c r="R7975" t="str">
        <f>IFERROR(VLOOKUP(record[[#This Row],[PCUSTID]],廠商[],2,FALSE),"")</f>
        <v/>
      </c>
      <c r="S7975" t="str">
        <f>VLOOKUP(record[[#This Row],[employeeID]],員工[],2,FALSE)</f>
        <v>謝蓁薰</v>
      </c>
    </row>
    <row r="7976" spans="6:19" hidden="1" x14ac:dyDescent="0.25">
      <c r="F7976" t="s">
        <v>904</v>
      </c>
      <c r="G7976" t="s">
        <v>420</v>
      </c>
      <c r="H7976" t="str">
        <f>VLOOKUP(record[[#This Row],[ProcessSN]],表格2_7[],2,FALSE)</f>
        <v>30-4118-018-5XX</v>
      </c>
      <c r="I7976" t="str">
        <f>VLOOKUP(record[[#This Row],[ProcessSN]],表格2_7[],3,FALSE)</f>
        <v>#07STOCK</v>
      </c>
      <c r="J7976" t="s">
        <v>592</v>
      </c>
      <c r="K7976" s="195">
        <v>45890.649988425925</v>
      </c>
      <c r="L7976">
        <v>340</v>
      </c>
      <c r="M7976">
        <v>0</v>
      </c>
      <c r="N7976" s="98" t="str">
        <f>IF(record[[#This Row],[Memo]]="Browser:chrome os:android","平板報工",IF(record[[#This Row],[Memo]]=0,"委外",record[[#This Row],[Memo]]))</f>
        <v/>
      </c>
      <c r="O7976" t="s">
        <v>58</v>
      </c>
      <c r="P7976" t="s">
        <v>196</v>
      </c>
      <c r="Q7976" t="s">
        <v>58</v>
      </c>
      <c r="R7976" t="str">
        <f>IFERROR(VLOOKUP(record[[#This Row],[PCUSTID]],廠商[],2,FALSE),"")</f>
        <v/>
      </c>
      <c r="S7976" t="str">
        <f>VLOOKUP(record[[#This Row],[employeeID]],員工[],2,FALSE)</f>
        <v>張淑惠</v>
      </c>
    </row>
    <row r="7977" spans="6:19" hidden="1" x14ac:dyDescent="0.25">
      <c r="F7977" t="s">
        <v>897</v>
      </c>
      <c r="G7977" t="s">
        <v>420</v>
      </c>
      <c r="H7977" t="str">
        <f>VLOOKUP(record[[#This Row],[ProcessSN]],表格2_7[],2,FALSE)</f>
        <v>30-4118-018-5XX</v>
      </c>
      <c r="I7977" t="str">
        <f>VLOOKUP(record[[#This Row],[ProcessSN]],表格2_7[],3,FALSE)</f>
        <v>#07STOCK</v>
      </c>
      <c r="J7977" t="s">
        <v>592</v>
      </c>
      <c r="K7977" s="195">
        <v>45890.64984953704</v>
      </c>
      <c r="L7977">
        <v>122</v>
      </c>
      <c r="M7977">
        <v>0</v>
      </c>
      <c r="N7977" s="98" t="str">
        <f>IF(record[[#This Row],[Memo]]="Browser:chrome os:android","平板報工",IF(record[[#This Row],[Memo]]=0,"委外",record[[#This Row],[Memo]]))</f>
        <v/>
      </c>
      <c r="O7977" t="s">
        <v>58</v>
      </c>
      <c r="P7977" t="s">
        <v>196</v>
      </c>
      <c r="Q7977" t="s">
        <v>58</v>
      </c>
      <c r="R7977" t="str">
        <f>IFERROR(VLOOKUP(record[[#This Row],[PCUSTID]],廠商[],2,FALSE),"")</f>
        <v/>
      </c>
      <c r="S7977" t="str">
        <f>VLOOKUP(record[[#This Row],[employeeID]],員工[],2,FALSE)</f>
        <v>張淑惠</v>
      </c>
    </row>
    <row r="7978" spans="6:19" hidden="1" x14ac:dyDescent="0.25">
      <c r="F7978" t="s">
        <v>778</v>
      </c>
      <c r="G7978" t="s">
        <v>420</v>
      </c>
      <c r="H7978" t="str">
        <f>VLOOKUP(record[[#This Row],[ProcessSN]],表格2_7[],2,FALSE)</f>
        <v>30-4118-018-5XX</v>
      </c>
      <c r="I7978" t="str">
        <f>VLOOKUP(record[[#This Row],[ProcessSN]],表格2_7[],3,FALSE)</f>
        <v>#07STOCK</v>
      </c>
      <c r="J7978" t="s">
        <v>592</v>
      </c>
      <c r="K7978" s="195">
        <v>45890.649687500001</v>
      </c>
      <c r="L7978">
        <v>1</v>
      </c>
      <c r="M7978">
        <v>0</v>
      </c>
      <c r="N7978" s="98" t="str">
        <f>IF(record[[#This Row],[Memo]]="Browser:chrome os:android","平板報工",IF(record[[#This Row],[Memo]]=0,"委外",record[[#This Row],[Memo]]))</f>
        <v/>
      </c>
      <c r="O7978" t="s">
        <v>58</v>
      </c>
      <c r="P7978" t="s">
        <v>196</v>
      </c>
      <c r="Q7978" t="s">
        <v>58</v>
      </c>
      <c r="R7978" t="str">
        <f>IFERROR(VLOOKUP(record[[#This Row],[PCUSTID]],廠商[],2,FALSE),"")</f>
        <v/>
      </c>
      <c r="S7978" t="str">
        <f>VLOOKUP(record[[#This Row],[employeeID]],員工[],2,FALSE)</f>
        <v>張淑惠</v>
      </c>
    </row>
    <row r="7979" spans="6:19" hidden="1" x14ac:dyDescent="0.25">
      <c r="F7979" t="s">
        <v>993</v>
      </c>
      <c r="G7979" t="s">
        <v>399</v>
      </c>
      <c r="H7979" t="str">
        <f>VLOOKUP(record[[#This Row],[ProcessSN]],表格2_7[],2,FALSE)</f>
        <v>30-4118-018-550</v>
      </c>
      <c r="I7979" t="str">
        <f>VLOOKUP(record[[#This Row],[ProcessSN]],表格2_7[],3,FALSE)</f>
        <v>#08IQC</v>
      </c>
      <c r="J7979" t="s">
        <v>583</v>
      </c>
      <c r="K7979" s="195">
        <v>45890.646053240744</v>
      </c>
      <c r="L7979">
        <v>336</v>
      </c>
      <c r="M7979">
        <v>0</v>
      </c>
      <c r="N7979" s="98" t="str">
        <f>IF(record[[#This Row],[Memo]]="Browser:chrome os:android","平板報工",IF(record[[#This Row],[Memo]]=0,"委外",record[[#This Row],[Memo]]))</f>
        <v/>
      </c>
      <c r="O7979" t="s">
        <v>58</v>
      </c>
      <c r="P7979" t="s">
        <v>109</v>
      </c>
      <c r="Q7979" t="s">
        <v>58</v>
      </c>
      <c r="R7979" t="str">
        <f>IFERROR(VLOOKUP(record[[#This Row],[PCUSTID]],廠商[],2,FALSE),"")</f>
        <v/>
      </c>
      <c r="S7979" t="str">
        <f>VLOOKUP(record[[#This Row],[employeeID]],員工[],2,FALSE)</f>
        <v>裴氏璧鳳</v>
      </c>
    </row>
    <row r="7980" spans="6:19" hidden="1" x14ac:dyDescent="0.25">
      <c r="F7980" t="s">
        <v>993</v>
      </c>
      <c r="G7980" t="s">
        <v>398</v>
      </c>
      <c r="H7980" t="str">
        <f>VLOOKUP(record[[#This Row],[ProcessSN]],表格2_7[],2,FALSE)</f>
        <v>30-4118-018-550</v>
      </c>
      <c r="I7980" t="str">
        <f>VLOOKUP(record[[#This Row],[ProcessSN]],表格2_7[],3,FALSE)</f>
        <v>#08RCV</v>
      </c>
      <c r="J7980" t="s">
        <v>591</v>
      </c>
      <c r="K7980" s="195">
        <v>45890.615798611114</v>
      </c>
      <c r="L7980">
        <v>8</v>
      </c>
      <c r="M7980">
        <v>0</v>
      </c>
      <c r="N7980" s="98" t="str">
        <f>IF(record[[#This Row],[Memo]]="Browser:chrome os:android","平板報工",IF(record[[#This Row],[Memo]]=0,"委外",record[[#This Row],[Memo]]))</f>
        <v/>
      </c>
      <c r="O7980" t="s">
        <v>58</v>
      </c>
      <c r="P7980" t="s">
        <v>886</v>
      </c>
      <c r="Q7980" t="s">
        <v>58</v>
      </c>
      <c r="R7980" t="str">
        <f>IFERROR(VLOOKUP(record[[#This Row],[PCUSTID]],廠商[],2,FALSE),"")</f>
        <v/>
      </c>
      <c r="S7980" t="str">
        <f>VLOOKUP(record[[#This Row],[employeeID]],員工[],2,FALSE)</f>
        <v>謝蓁薰</v>
      </c>
    </row>
    <row r="7981" spans="6:19" hidden="1" x14ac:dyDescent="0.25">
      <c r="F7981" t="s">
        <v>993</v>
      </c>
      <c r="G7981" t="s">
        <v>398</v>
      </c>
      <c r="H7981" t="str">
        <f>VLOOKUP(record[[#This Row],[ProcessSN]],表格2_7[],2,FALSE)</f>
        <v>30-4118-018-550</v>
      </c>
      <c r="I7981" t="str">
        <f>VLOOKUP(record[[#This Row],[ProcessSN]],表格2_7[],3,FALSE)</f>
        <v>#08RCV</v>
      </c>
      <c r="J7981" t="s">
        <v>591</v>
      </c>
      <c r="K7981" s="195">
        <v>45890.615185185183</v>
      </c>
      <c r="L7981">
        <v>328</v>
      </c>
      <c r="M7981">
        <v>0</v>
      </c>
      <c r="N7981" s="98" t="str">
        <f>IF(record[[#This Row],[Memo]]="Browser:chrome os:android","平板報工",IF(record[[#This Row],[Memo]]=0,"委外",record[[#This Row],[Memo]]))</f>
        <v/>
      </c>
      <c r="O7981" t="s">
        <v>58</v>
      </c>
      <c r="P7981" t="s">
        <v>886</v>
      </c>
      <c r="Q7981" t="s">
        <v>58</v>
      </c>
      <c r="R7981" t="str">
        <f>IFERROR(VLOOKUP(record[[#This Row],[PCUSTID]],廠商[],2,FALSE),"")</f>
        <v/>
      </c>
      <c r="S7981" t="str">
        <f>VLOOKUP(record[[#This Row],[employeeID]],員工[],2,FALSE)</f>
        <v>謝蓁薰</v>
      </c>
    </row>
    <row r="7982" spans="6:19" hidden="1" x14ac:dyDescent="0.25">
      <c r="F7982" t="s">
        <v>922</v>
      </c>
      <c r="G7982" t="s">
        <v>469</v>
      </c>
      <c r="H7982" t="str">
        <f>VLOOKUP(record[[#This Row],[ProcessSN]],表格2_7[],2,FALSE)</f>
        <v>30-4118-018-XXX</v>
      </c>
      <c r="I7982" t="str">
        <f>VLOOKUP(record[[#This Row],[ProcessSN]],表格2_7[],3,FALSE)</f>
        <v>#02RCV</v>
      </c>
      <c r="J7982" t="s">
        <v>591</v>
      </c>
      <c r="K7982" s="195">
        <v>45890.486192129632</v>
      </c>
      <c r="L7982">
        <v>672</v>
      </c>
      <c r="M7982">
        <v>0</v>
      </c>
      <c r="N7982" s="98" t="str">
        <f>IF(record[[#This Row],[Memo]]="Browser:chrome os:android","平板報工",IF(record[[#This Row],[Memo]]=0,"委外",record[[#This Row],[Memo]]))</f>
        <v/>
      </c>
      <c r="O7982" t="s">
        <v>58</v>
      </c>
      <c r="P7982" t="s">
        <v>886</v>
      </c>
      <c r="Q7982" t="s">
        <v>58</v>
      </c>
      <c r="R7982" t="str">
        <f>IFERROR(VLOOKUP(record[[#This Row],[PCUSTID]],廠商[],2,FALSE),"")</f>
        <v/>
      </c>
      <c r="S7982" t="str">
        <f>VLOOKUP(record[[#This Row],[employeeID]],員工[],2,FALSE)</f>
        <v>謝蓁薰</v>
      </c>
    </row>
    <row r="7983" spans="6:19" hidden="1" x14ac:dyDescent="0.25">
      <c r="F7983" t="s">
        <v>922</v>
      </c>
      <c r="G7983" t="s">
        <v>468</v>
      </c>
      <c r="H7983" t="str">
        <f>VLOOKUP(record[[#This Row],[ProcessSN]],表格2_7[],2,FALSE)</f>
        <v>30-4118-018-XXX</v>
      </c>
      <c r="I7983" t="str">
        <f>VLOOKUP(record[[#This Row],[ProcessSN]],表格2_7[],3,FALSE)</f>
        <v>#02</v>
      </c>
      <c r="J7983" t="s">
        <v>590</v>
      </c>
      <c r="K7983" s="195">
        <v>45890.442685185182</v>
      </c>
      <c r="L7983">
        <v>1680</v>
      </c>
      <c r="M7983">
        <v>0</v>
      </c>
      <c r="N7983" s="98" t="str">
        <f>IF(record[[#This Row],[Memo]]="Browser:chrome os:android","平板報工",IF(record[[#This Row],[Memo]]=0,"委外",record[[#This Row],[Memo]]))</f>
        <v/>
      </c>
      <c r="O7983" t="s">
        <v>58</v>
      </c>
      <c r="P7983" t="s">
        <v>886</v>
      </c>
      <c r="Q7983" t="s">
        <v>216</v>
      </c>
      <c r="R7983" t="str">
        <f>IFERROR(VLOOKUP(record[[#This Row],[PCUSTID]],廠商[],2,FALSE),"")</f>
        <v>俊杰</v>
      </c>
      <c r="S7983" t="str">
        <f>VLOOKUP(record[[#This Row],[employeeID]],員工[],2,FALSE)</f>
        <v>謝蓁薰</v>
      </c>
    </row>
    <row r="7984" spans="6:19" hidden="1" x14ac:dyDescent="0.25">
      <c r="F7984" t="s">
        <v>1000</v>
      </c>
      <c r="G7984" t="s">
        <v>397</v>
      </c>
      <c r="H7984" t="str">
        <f>VLOOKUP(record[[#This Row],[ProcessSN]],表格2_7[],2,FALSE)</f>
        <v>30-4118-018-550</v>
      </c>
      <c r="I7984" t="str">
        <f>VLOOKUP(record[[#This Row],[ProcessSN]],表格2_7[],3,FALSE)</f>
        <v>#08</v>
      </c>
      <c r="J7984" t="s">
        <v>597</v>
      </c>
      <c r="K7984" s="195">
        <v>45890.437442129631</v>
      </c>
      <c r="L7984">
        <v>183</v>
      </c>
      <c r="M7984">
        <v>0</v>
      </c>
      <c r="N7984" s="98" t="str">
        <f>IF(record[[#This Row],[Memo]]="Browser:chrome os:android","平板報工",IF(record[[#This Row],[Memo]]=0,"委外",record[[#This Row],[Memo]]))</f>
        <v/>
      </c>
      <c r="O7984" t="s">
        <v>58</v>
      </c>
      <c r="P7984" t="s">
        <v>113</v>
      </c>
      <c r="Q7984" t="s">
        <v>287</v>
      </c>
      <c r="R7984" t="str">
        <f>IFERROR(VLOOKUP(record[[#This Row],[PCUSTID]],廠商[],2,FALSE),"")</f>
        <v>泉盛</v>
      </c>
      <c r="S7984" t="str">
        <f>VLOOKUP(record[[#This Row],[employeeID]],員工[],2,FALSE)</f>
        <v>王奕蓁</v>
      </c>
    </row>
    <row r="7985" spans="6:19" hidden="1" x14ac:dyDescent="0.25">
      <c r="F7985" t="s">
        <v>904</v>
      </c>
      <c r="G7985" t="s">
        <v>419</v>
      </c>
      <c r="H7985" t="str">
        <f>VLOOKUP(record[[#This Row],[ProcessSN]],表格2_7[],2,FALSE)</f>
        <v>30-4118-018-5XX</v>
      </c>
      <c r="I7985" t="str">
        <f>VLOOKUP(record[[#This Row],[ProcessSN]],表格2_7[],3,FALSE)</f>
        <v>#07QC</v>
      </c>
      <c r="J7985" t="s">
        <v>589</v>
      </c>
      <c r="K7985" s="195">
        <v>45890.412199074075</v>
      </c>
      <c r="L7985">
        <v>0</v>
      </c>
      <c r="M7985">
        <v>10</v>
      </c>
      <c r="N7985" s="98" t="str">
        <f>IF(record[[#This Row],[Memo]]="Browser:chrome os:android","平板報工",IF(record[[#This Row],[Memo]]=0,"委外",record[[#This Row],[Memo]]))</f>
        <v/>
      </c>
      <c r="O7985" t="s">
        <v>58</v>
      </c>
      <c r="P7985" t="s">
        <v>141</v>
      </c>
      <c r="Q7985" t="s">
        <v>58</v>
      </c>
      <c r="R7985" t="str">
        <f>IFERROR(VLOOKUP(record[[#This Row],[PCUSTID]],廠商[],2,FALSE),"")</f>
        <v/>
      </c>
      <c r="S7985" t="str">
        <f>VLOOKUP(record[[#This Row],[employeeID]],員工[],2,FALSE)</f>
        <v>蔣梅</v>
      </c>
    </row>
    <row r="7986" spans="6:19" hidden="1" x14ac:dyDescent="0.25">
      <c r="F7986" t="s">
        <v>904</v>
      </c>
      <c r="G7986" t="s">
        <v>419</v>
      </c>
      <c r="H7986" t="str">
        <f>VLOOKUP(record[[#This Row],[ProcessSN]],表格2_7[],2,FALSE)</f>
        <v>30-4118-018-5XX</v>
      </c>
      <c r="I7986" t="str">
        <f>VLOOKUP(record[[#This Row],[ProcessSN]],表格2_7[],3,FALSE)</f>
        <v>#07QC</v>
      </c>
      <c r="J7986" t="s">
        <v>589</v>
      </c>
      <c r="K7986" s="195">
        <v>45890.412037037036</v>
      </c>
      <c r="L7986">
        <v>183</v>
      </c>
      <c r="M7986">
        <v>0</v>
      </c>
      <c r="N7986" s="98" t="str">
        <f>IF(record[[#This Row],[Memo]]="Browser:chrome os:android","平板報工",IF(record[[#This Row],[Memo]]=0,"委外",record[[#This Row],[Memo]]))</f>
        <v/>
      </c>
      <c r="O7986" t="s">
        <v>58</v>
      </c>
      <c r="P7986" t="s">
        <v>141</v>
      </c>
      <c r="Q7986" t="s">
        <v>58</v>
      </c>
      <c r="R7986" t="str">
        <f>IFERROR(VLOOKUP(record[[#This Row],[PCUSTID]],廠商[],2,FALSE),"")</f>
        <v/>
      </c>
      <c r="S7986" t="str">
        <f>VLOOKUP(record[[#This Row],[employeeID]],員工[],2,FALSE)</f>
        <v>蔣梅</v>
      </c>
    </row>
    <row r="7987" spans="6:19" hidden="1" x14ac:dyDescent="0.25">
      <c r="F7987" t="s">
        <v>1000</v>
      </c>
      <c r="G7987" t="s">
        <v>396</v>
      </c>
      <c r="H7987" t="str">
        <f>VLOOKUP(record[[#This Row],[ProcessSN]],表格2_7[],2,FALSE)</f>
        <v>30-4118-018-550</v>
      </c>
      <c r="I7987" t="str">
        <f>VLOOKUP(record[[#This Row],[ProcessSN]],表格2_7[],3,FALSE)</f>
        <v>#08PICK</v>
      </c>
      <c r="J7987" t="s">
        <v>582</v>
      </c>
      <c r="K7987" s="195">
        <v>45890.399050925924</v>
      </c>
      <c r="L7987">
        <v>183</v>
      </c>
      <c r="M7987">
        <v>0</v>
      </c>
      <c r="N7987" s="98" t="str">
        <f>IF(record[[#This Row],[Memo]]="Browser:chrome os:android","平板報工",IF(record[[#This Row],[Memo]]=0,"委外",record[[#This Row],[Memo]]))</f>
        <v/>
      </c>
      <c r="O7987" t="s">
        <v>58</v>
      </c>
      <c r="P7987" t="s">
        <v>196</v>
      </c>
      <c r="Q7987" t="s">
        <v>58</v>
      </c>
      <c r="R7987" t="str">
        <f>IFERROR(VLOOKUP(record[[#This Row],[PCUSTID]],廠商[],2,FALSE),"")</f>
        <v/>
      </c>
      <c r="S7987" t="str">
        <f>VLOOKUP(record[[#This Row],[employeeID]],員工[],2,FALSE)</f>
        <v>張淑惠</v>
      </c>
    </row>
    <row r="7988" spans="6:19" hidden="1" x14ac:dyDescent="0.25">
      <c r="F7988" t="s">
        <v>922</v>
      </c>
      <c r="G7988" t="s">
        <v>465</v>
      </c>
      <c r="H7988" t="str">
        <f>VLOOKUP(record[[#This Row],[ProcessSN]],表格2_7[],2,FALSE)</f>
        <v>30-4118-018-XXX</v>
      </c>
      <c r="I7988" t="str">
        <f>VLOOKUP(record[[#This Row],[ProcessSN]],表格2_7[],3,FALSE)</f>
        <v>#01-1</v>
      </c>
      <c r="J7988" t="s">
        <v>588</v>
      </c>
      <c r="K7988" s="195">
        <v>45890.316886574074</v>
      </c>
      <c r="L7988">
        <v>983</v>
      </c>
      <c r="M7988">
        <v>0</v>
      </c>
      <c r="N7988" s="98" t="str">
        <f>IF(record[[#This Row],[Memo]]="Browser:chrome os:android","平板報工",IF(record[[#This Row],[Memo]]=0,"委外",record[[#This Row],[Memo]]))</f>
        <v/>
      </c>
      <c r="O7988" t="s">
        <v>58</v>
      </c>
      <c r="P7988" t="s">
        <v>135</v>
      </c>
      <c r="Q7988" t="s">
        <v>58</v>
      </c>
      <c r="R7988" t="str">
        <f>IFERROR(VLOOKUP(record[[#This Row],[PCUSTID]],廠商[],2,FALSE),"")</f>
        <v/>
      </c>
      <c r="S7988" t="str">
        <f>VLOOKUP(record[[#This Row],[employeeID]],員工[],2,FALSE)</f>
        <v>阮士文</v>
      </c>
    </row>
    <row r="7989" spans="6:19" hidden="1" x14ac:dyDescent="0.25">
      <c r="F7989" t="s">
        <v>922</v>
      </c>
      <c r="G7989" t="s">
        <v>465</v>
      </c>
      <c r="H7989" t="str">
        <f>VLOOKUP(record[[#This Row],[ProcessSN]],表格2_7[],2,FALSE)</f>
        <v>30-4118-018-XXX</v>
      </c>
      <c r="I7989" t="str">
        <f>VLOOKUP(record[[#This Row],[ProcessSN]],表格2_7[],3,FALSE)</f>
        <v>#01-1</v>
      </c>
      <c r="J7989" t="s">
        <v>588</v>
      </c>
      <c r="K7989" s="195">
        <v>45889.946608796294</v>
      </c>
      <c r="L7989">
        <v>504</v>
      </c>
      <c r="M7989">
        <v>1</v>
      </c>
      <c r="N7989" s="98" t="str">
        <f>IF(record[[#This Row],[Memo]]="Browser:chrome os:android","平板報工",IF(record[[#This Row],[Memo]]=0,"委外",record[[#This Row],[Memo]]))</f>
        <v/>
      </c>
      <c r="O7989" t="s">
        <v>58</v>
      </c>
      <c r="P7989" t="s">
        <v>691</v>
      </c>
      <c r="Q7989" t="s">
        <v>58</v>
      </c>
      <c r="R7989" t="str">
        <f>IFERROR(VLOOKUP(record[[#This Row],[PCUSTID]],廠商[],2,FALSE),"")</f>
        <v/>
      </c>
      <c r="S7989" t="str">
        <f>VLOOKUP(record[[#This Row],[employeeID]],員工[],2,FALSE)</f>
        <v>武氏賢</v>
      </c>
    </row>
    <row r="7990" spans="6:19" hidden="1" x14ac:dyDescent="0.25">
      <c r="F7990" t="s">
        <v>922</v>
      </c>
      <c r="G7990" t="s">
        <v>465</v>
      </c>
      <c r="H7990" t="str">
        <f>VLOOKUP(record[[#This Row],[ProcessSN]],表格2_7[],2,FALSE)</f>
        <v>30-4118-018-XXX</v>
      </c>
      <c r="I7990" t="str">
        <f>VLOOKUP(record[[#This Row],[ProcessSN]],表格2_7[],3,FALSE)</f>
        <v>#01-1</v>
      </c>
      <c r="J7990" t="s">
        <v>588</v>
      </c>
      <c r="K7990" s="195">
        <v>45889.818379629629</v>
      </c>
      <c r="L7990">
        <v>432</v>
      </c>
      <c r="M7990">
        <v>0</v>
      </c>
      <c r="N7990" s="98" t="str">
        <f>IF(record[[#This Row],[Memo]]="Browser:chrome os:android","平板報工",IF(record[[#This Row],[Memo]]=0,"委外",record[[#This Row],[Memo]]))</f>
        <v/>
      </c>
      <c r="O7990" t="s">
        <v>58</v>
      </c>
      <c r="P7990" t="s">
        <v>785</v>
      </c>
      <c r="Q7990" t="s">
        <v>58</v>
      </c>
      <c r="R7990" t="str">
        <f>IFERROR(VLOOKUP(record[[#This Row],[PCUSTID]],廠商[],2,FALSE),"")</f>
        <v/>
      </c>
      <c r="S7990" t="str">
        <f>VLOOKUP(record[[#This Row],[employeeID]],員工[],2,FALSE)</f>
        <v>謝刻光</v>
      </c>
    </row>
    <row r="7991" spans="6:19" hidden="1" x14ac:dyDescent="0.25">
      <c r="F7991" t="s">
        <v>922</v>
      </c>
      <c r="G7991" t="s">
        <v>467</v>
      </c>
      <c r="H7991" t="str">
        <f>VLOOKUP(record[[#This Row],[ProcessSN]],表格2_7[],2,FALSE)</f>
        <v>30-4118-018-XXX</v>
      </c>
      <c r="I7991" t="str">
        <f>VLOOKUP(record[[#This Row],[ProcessSN]],表格2_7[],3,FALSE)</f>
        <v>#01QC</v>
      </c>
      <c r="J7991" t="s">
        <v>589</v>
      </c>
      <c r="K7991" s="195">
        <v>45889.816111111111</v>
      </c>
      <c r="L7991">
        <v>168</v>
      </c>
      <c r="M7991">
        <v>0</v>
      </c>
      <c r="N7991" s="98" t="str">
        <f>IF(record[[#This Row],[Memo]]="Browser:chrome os:android","平板報工",IF(record[[#This Row],[Memo]]=0,"委外",record[[#This Row],[Memo]]))</f>
        <v>平板報工</v>
      </c>
      <c r="O7991" t="s">
        <v>643</v>
      </c>
      <c r="P7991" t="s">
        <v>182</v>
      </c>
      <c r="Q7991" t="s">
        <v>644</v>
      </c>
      <c r="R7991" t="str">
        <f>IFERROR(VLOOKUP(record[[#This Row],[PCUSTID]],廠商[],2,FALSE),"")</f>
        <v/>
      </c>
      <c r="S7991" t="str">
        <f>VLOOKUP(record[[#This Row],[employeeID]],員工[],2,FALSE)</f>
        <v>梅氏和</v>
      </c>
    </row>
    <row r="7992" spans="6:19" hidden="1" x14ac:dyDescent="0.25">
      <c r="F7992" t="s">
        <v>922</v>
      </c>
      <c r="G7992" t="s">
        <v>467</v>
      </c>
      <c r="H7992" t="str">
        <f>VLOOKUP(record[[#This Row],[ProcessSN]],表格2_7[],2,FALSE)</f>
        <v>30-4118-018-XXX</v>
      </c>
      <c r="I7992" t="str">
        <f>VLOOKUP(record[[#This Row],[ProcessSN]],表格2_7[],3,FALSE)</f>
        <v>#01QC</v>
      </c>
      <c r="J7992" t="s">
        <v>589</v>
      </c>
      <c r="K7992" s="195">
        <v>45889.813483796293</v>
      </c>
      <c r="L7992">
        <v>1512</v>
      </c>
      <c r="M7992">
        <v>0</v>
      </c>
      <c r="N7992" s="98" t="str">
        <f>IF(record[[#This Row],[Memo]]="Browser:chrome os:android","平板報工",IF(record[[#This Row],[Memo]]=0,"委外",record[[#This Row],[Memo]]))</f>
        <v>平板報工</v>
      </c>
      <c r="O7992" t="s">
        <v>643</v>
      </c>
      <c r="P7992" t="s">
        <v>182</v>
      </c>
      <c r="Q7992" t="s">
        <v>644</v>
      </c>
      <c r="R7992" t="str">
        <f>IFERROR(VLOOKUP(record[[#This Row],[PCUSTID]],廠商[],2,FALSE),"")</f>
        <v/>
      </c>
      <c r="S7992" t="str">
        <f>VLOOKUP(record[[#This Row],[employeeID]],員工[],2,FALSE)</f>
        <v>梅氏和</v>
      </c>
    </row>
    <row r="7993" spans="6:19" hidden="1" x14ac:dyDescent="0.25">
      <c r="F7993" t="s">
        <v>977</v>
      </c>
      <c r="G7993" t="s">
        <v>402</v>
      </c>
      <c r="H7993" t="str">
        <f>VLOOKUP(record[[#This Row],[ProcessSN]],表格2_7[],2,FALSE)</f>
        <v>30-4118-018-550</v>
      </c>
      <c r="I7993" t="str">
        <f>VLOOKUP(record[[#This Row],[ProcessSN]],表格2_7[],3,FALSE)</f>
        <v>#100STOCK</v>
      </c>
      <c r="J7993" t="s">
        <v>592</v>
      </c>
      <c r="K7993" s="195">
        <v>45889.690451388888</v>
      </c>
      <c r="L7993">
        <v>4</v>
      </c>
      <c r="M7993">
        <v>0</v>
      </c>
      <c r="N7993" s="98" t="str">
        <f>IF(record[[#This Row],[Memo]]="Browser:chrome os:android","平板報工",IF(record[[#This Row],[Memo]]=0,"委外",record[[#This Row],[Memo]]))</f>
        <v/>
      </c>
      <c r="O7993" t="s">
        <v>58</v>
      </c>
      <c r="P7993" t="s">
        <v>886</v>
      </c>
      <c r="Q7993" t="s">
        <v>58</v>
      </c>
      <c r="R7993" t="str">
        <f>IFERROR(VLOOKUP(record[[#This Row],[PCUSTID]],廠商[],2,FALSE),"")</f>
        <v/>
      </c>
      <c r="S7993" t="str">
        <f>VLOOKUP(record[[#This Row],[employeeID]],員工[],2,FALSE)</f>
        <v>謝蓁薰</v>
      </c>
    </row>
    <row r="7994" spans="6:19" hidden="1" x14ac:dyDescent="0.25">
      <c r="F7994" t="s">
        <v>959</v>
      </c>
      <c r="G7994" t="s">
        <v>359</v>
      </c>
      <c r="H7994" t="str">
        <f>VLOOKUP(record[[#This Row],[ProcessSN]],表格2_7[],2,FALSE)</f>
        <v>30-4118-018-450</v>
      </c>
      <c r="I7994" t="str">
        <f>VLOOKUP(record[[#This Row],[ProcessSN]],表格2_7[],3,FALSE)</f>
        <v>#100</v>
      </c>
      <c r="J7994" t="s">
        <v>598</v>
      </c>
      <c r="K7994" s="195">
        <v>45889.680173611108</v>
      </c>
      <c r="L7994">
        <v>30</v>
      </c>
      <c r="M7994">
        <v>0</v>
      </c>
      <c r="N7994" s="98" t="str">
        <f>IF(record[[#This Row],[Memo]]="Browser:chrome os:android","平板報工",IF(record[[#This Row],[Memo]]=0,"委外",record[[#This Row],[Memo]]))</f>
        <v>平板報工</v>
      </c>
      <c r="O7994" t="s">
        <v>643</v>
      </c>
      <c r="P7994" t="s">
        <v>99</v>
      </c>
      <c r="Q7994" t="s">
        <v>644</v>
      </c>
      <c r="R7994" t="str">
        <f>IFERROR(VLOOKUP(record[[#This Row],[PCUSTID]],廠商[],2,FALSE),"")</f>
        <v/>
      </c>
      <c r="S7994" t="str">
        <f>VLOOKUP(record[[#This Row],[employeeID]],員工[],2,FALSE)</f>
        <v>阮氏河</v>
      </c>
    </row>
    <row r="7995" spans="6:19" hidden="1" x14ac:dyDescent="0.25">
      <c r="F7995" t="s">
        <v>956</v>
      </c>
      <c r="G7995" t="s">
        <v>359</v>
      </c>
      <c r="H7995" t="str">
        <f>VLOOKUP(record[[#This Row],[ProcessSN]],表格2_7[],2,FALSE)</f>
        <v>30-4118-018-450</v>
      </c>
      <c r="I7995" t="str">
        <f>VLOOKUP(record[[#This Row],[ProcessSN]],表格2_7[],3,FALSE)</f>
        <v>#100</v>
      </c>
      <c r="J7995" t="s">
        <v>598</v>
      </c>
      <c r="K7995" s="195">
        <v>45889.679178240738</v>
      </c>
      <c r="L7995">
        <v>151</v>
      </c>
      <c r="M7995">
        <v>0</v>
      </c>
      <c r="N7995" s="98" t="str">
        <f>IF(record[[#This Row],[Memo]]="Browser:chrome os:android","平板報工",IF(record[[#This Row],[Memo]]=0,"委外",record[[#This Row],[Memo]]))</f>
        <v>平板報工</v>
      </c>
      <c r="O7995" t="s">
        <v>643</v>
      </c>
      <c r="P7995" t="s">
        <v>99</v>
      </c>
      <c r="Q7995" t="s">
        <v>644</v>
      </c>
      <c r="R7995" t="str">
        <f>IFERROR(VLOOKUP(record[[#This Row],[PCUSTID]],廠商[],2,FALSE),"")</f>
        <v/>
      </c>
      <c r="S7995" t="str">
        <f>VLOOKUP(record[[#This Row],[employeeID]],員工[],2,FALSE)</f>
        <v>阮氏河</v>
      </c>
    </row>
    <row r="7996" spans="6:19" hidden="1" x14ac:dyDescent="0.25">
      <c r="F7996" t="s">
        <v>999</v>
      </c>
      <c r="G7996" t="s">
        <v>397</v>
      </c>
      <c r="H7996" t="str">
        <f>VLOOKUP(record[[#This Row],[ProcessSN]],表格2_7[],2,FALSE)</f>
        <v>30-4118-018-550</v>
      </c>
      <c r="I7996" t="str">
        <f>VLOOKUP(record[[#This Row],[ProcessSN]],表格2_7[],3,FALSE)</f>
        <v>#08</v>
      </c>
      <c r="J7996" t="s">
        <v>597</v>
      </c>
      <c r="K7996" s="195">
        <v>45889.645590277774</v>
      </c>
      <c r="L7996">
        <v>280</v>
      </c>
      <c r="M7996">
        <v>0</v>
      </c>
      <c r="N7996" s="98" t="str">
        <f>IF(record[[#This Row],[Memo]]="Browser:chrome os:android","平板報工",IF(record[[#This Row],[Memo]]=0,"委外",record[[#This Row],[Memo]]))</f>
        <v/>
      </c>
      <c r="O7996" t="s">
        <v>58</v>
      </c>
      <c r="P7996" t="s">
        <v>886</v>
      </c>
      <c r="Q7996" t="s">
        <v>287</v>
      </c>
      <c r="R7996" t="str">
        <f>IFERROR(VLOOKUP(record[[#This Row],[PCUSTID]],廠商[],2,FALSE),"")</f>
        <v>泉盛</v>
      </c>
      <c r="S7996" t="str">
        <f>VLOOKUP(record[[#This Row],[employeeID]],員工[],2,FALSE)</f>
        <v>謝蓁薰</v>
      </c>
    </row>
    <row r="7997" spans="6:19" hidden="1" x14ac:dyDescent="0.25">
      <c r="F7997" t="s">
        <v>922</v>
      </c>
      <c r="G7997" t="s">
        <v>466</v>
      </c>
      <c r="H7997" t="str">
        <f>VLOOKUP(record[[#This Row],[ProcessSN]],表格2_7[],2,FALSE)</f>
        <v>30-4118-018-XXX</v>
      </c>
      <c r="I7997" t="str">
        <f>VLOOKUP(record[[#This Row],[ProcessSN]],表格2_7[],3,FALSE)</f>
        <v>#01-2</v>
      </c>
      <c r="J7997" t="s">
        <v>588</v>
      </c>
      <c r="K7997" s="195">
        <v>45889.633159722223</v>
      </c>
      <c r="L7997">
        <v>161</v>
      </c>
      <c r="M7997">
        <v>0</v>
      </c>
      <c r="N7997" s="98" t="str">
        <f>IF(record[[#This Row],[Memo]]="Browser:chrome os:android","平板報工",IF(record[[#This Row],[Memo]]=0,"委外",record[[#This Row],[Memo]]))</f>
        <v/>
      </c>
      <c r="O7997" t="s">
        <v>58</v>
      </c>
      <c r="P7997" t="s">
        <v>101</v>
      </c>
      <c r="Q7997" t="s">
        <v>58</v>
      </c>
      <c r="R7997" t="str">
        <f>IFERROR(VLOOKUP(record[[#This Row],[PCUSTID]],廠商[],2,FALSE),"")</f>
        <v/>
      </c>
      <c r="S7997" t="str">
        <f>VLOOKUP(record[[#This Row],[employeeID]],員工[],2,FALSE)</f>
        <v>陳氏絨</v>
      </c>
    </row>
    <row r="7998" spans="6:19" hidden="1" x14ac:dyDescent="0.25">
      <c r="F7998" t="s">
        <v>922</v>
      </c>
      <c r="G7998" t="s">
        <v>465</v>
      </c>
      <c r="H7998" t="str">
        <f>VLOOKUP(record[[#This Row],[ProcessSN]],表格2_7[],2,FALSE)</f>
        <v>30-4118-018-XXX</v>
      </c>
      <c r="I7998" t="str">
        <f>VLOOKUP(record[[#This Row],[ProcessSN]],表格2_7[],3,FALSE)</f>
        <v>#01-1</v>
      </c>
      <c r="J7998" t="s">
        <v>588</v>
      </c>
      <c r="K7998" s="195">
        <v>45889.632824074077</v>
      </c>
      <c r="L7998">
        <v>72</v>
      </c>
      <c r="M7998">
        <v>0</v>
      </c>
      <c r="N7998" s="98" t="str">
        <f>IF(record[[#This Row],[Memo]]="Browser:chrome os:android","平板報工",IF(record[[#This Row],[Memo]]=0,"委外",record[[#This Row],[Memo]]))</f>
        <v/>
      </c>
      <c r="O7998" t="s">
        <v>58</v>
      </c>
      <c r="P7998" t="s">
        <v>101</v>
      </c>
      <c r="Q7998" t="s">
        <v>58</v>
      </c>
      <c r="R7998" t="str">
        <f>IFERROR(VLOOKUP(record[[#This Row],[PCUSTID]],廠商[],2,FALSE),"")</f>
        <v/>
      </c>
      <c r="S7998" t="str">
        <f>VLOOKUP(record[[#This Row],[employeeID]],員工[],2,FALSE)</f>
        <v>陳氏絨</v>
      </c>
    </row>
    <row r="7999" spans="6:19" hidden="1" x14ac:dyDescent="0.25">
      <c r="F7999" t="s">
        <v>937</v>
      </c>
      <c r="G7999" t="s">
        <v>428</v>
      </c>
      <c r="H7999" t="str">
        <f>VLOOKUP(record[[#This Row],[ProcessSN]],表格2_7[],2,FALSE)</f>
        <v>30-4118-018-600</v>
      </c>
      <c r="I7999" t="str">
        <f>VLOOKUP(record[[#This Row],[ProcessSN]],表格2_7[],3,FALSE)</f>
        <v>#100SHIP</v>
      </c>
      <c r="J7999" t="s">
        <v>600</v>
      </c>
      <c r="K7999" s="195">
        <v>45889.60974537037</v>
      </c>
      <c r="L7999">
        <v>156</v>
      </c>
      <c r="M7999">
        <v>0</v>
      </c>
      <c r="N7999" s="98" t="str">
        <f>IF(record[[#This Row],[Memo]]="Browser:chrome os:android","平板報工",IF(record[[#This Row],[Memo]]=0,"委外",record[[#This Row],[Memo]]))</f>
        <v/>
      </c>
      <c r="O7999" t="s">
        <v>58</v>
      </c>
      <c r="P7999" t="s">
        <v>886</v>
      </c>
      <c r="Q7999" t="s">
        <v>58</v>
      </c>
      <c r="R7999" t="str">
        <f>IFERROR(VLOOKUP(record[[#This Row],[PCUSTID]],廠商[],2,FALSE),"")</f>
        <v/>
      </c>
      <c r="S7999" t="str">
        <f>VLOOKUP(record[[#This Row],[employeeID]],員工[],2,FALSE)</f>
        <v>謝蓁薰</v>
      </c>
    </row>
    <row r="8000" spans="6:19" hidden="1" x14ac:dyDescent="0.25">
      <c r="F8000" t="s">
        <v>932</v>
      </c>
      <c r="G8000" t="s">
        <v>428</v>
      </c>
      <c r="H8000" t="str">
        <f>VLOOKUP(record[[#This Row],[ProcessSN]],表格2_7[],2,FALSE)</f>
        <v>30-4118-018-600</v>
      </c>
      <c r="I8000" t="str">
        <f>VLOOKUP(record[[#This Row],[ProcessSN]],表格2_7[],3,FALSE)</f>
        <v>#100SHIP</v>
      </c>
      <c r="J8000" t="s">
        <v>600</v>
      </c>
      <c r="K8000" s="195">
        <v>45889.609282407408</v>
      </c>
      <c r="L8000">
        <v>149</v>
      </c>
      <c r="M8000">
        <v>0</v>
      </c>
      <c r="N8000" s="98" t="str">
        <f>IF(record[[#This Row],[Memo]]="Browser:chrome os:android","平板報工",IF(record[[#This Row],[Memo]]=0,"委外",record[[#This Row],[Memo]]))</f>
        <v/>
      </c>
      <c r="O8000" t="s">
        <v>58</v>
      </c>
      <c r="P8000" t="s">
        <v>886</v>
      </c>
      <c r="Q8000" t="s">
        <v>58</v>
      </c>
      <c r="R8000" t="str">
        <f>IFERROR(VLOOKUP(record[[#This Row],[PCUSTID]],廠商[],2,FALSE),"")</f>
        <v/>
      </c>
      <c r="S8000" t="str">
        <f>VLOOKUP(record[[#This Row],[employeeID]],員工[],2,FALSE)</f>
        <v>謝蓁薰</v>
      </c>
    </row>
    <row r="8001" spans="6:19" hidden="1" x14ac:dyDescent="0.25">
      <c r="F8001" t="s">
        <v>945</v>
      </c>
      <c r="G8001" t="s">
        <v>362</v>
      </c>
      <c r="H8001" t="str">
        <f>VLOOKUP(record[[#This Row],[ProcessSN]],表格2_7[],2,FALSE)</f>
        <v>30-4118-018-450</v>
      </c>
      <c r="I8001" t="str">
        <f>VLOOKUP(record[[#This Row],[ProcessSN]],表格2_7[],3,FALSE)</f>
        <v>#100SHIP</v>
      </c>
      <c r="J8001" t="s">
        <v>600</v>
      </c>
      <c r="K8001" s="195">
        <v>45889.6090625</v>
      </c>
      <c r="L8001">
        <v>2</v>
      </c>
      <c r="M8001">
        <v>0</v>
      </c>
      <c r="N8001" s="98" t="str">
        <f>IF(record[[#This Row],[Memo]]="Browser:chrome os:android","平板報工",IF(record[[#This Row],[Memo]]=0,"委外",record[[#This Row],[Memo]]))</f>
        <v/>
      </c>
      <c r="O8001" t="s">
        <v>58</v>
      </c>
      <c r="P8001" t="s">
        <v>886</v>
      </c>
      <c r="Q8001" t="s">
        <v>58</v>
      </c>
      <c r="R8001" t="str">
        <f>IFERROR(VLOOKUP(record[[#This Row],[PCUSTID]],廠商[],2,FALSE),"")</f>
        <v/>
      </c>
      <c r="S8001" t="str">
        <f>VLOOKUP(record[[#This Row],[employeeID]],員工[],2,FALSE)</f>
        <v>謝蓁薰</v>
      </c>
    </row>
    <row r="8002" spans="6:19" hidden="1" x14ac:dyDescent="0.25">
      <c r="F8002" t="s">
        <v>999</v>
      </c>
      <c r="G8002" t="s">
        <v>396</v>
      </c>
      <c r="H8002" t="str">
        <f>VLOOKUP(record[[#This Row],[ProcessSN]],表格2_7[],2,FALSE)</f>
        <v>30-4118-018-550</v>
      </c>
      <c r="I8002" t="str">
        <f>VLOOKUP(record[[#This Row],[ProcessSN]],表格2_7[],3,FALSE)</f>
        <v>#08PICK</v>
      </c>
      <c r="J8002" t="s">
        <v>582</v>
      </c>
      <c r="K8002" s="195">
        <v>45889.437881944446</v>
      </c>
      <c r="L8002">
        <v>280</v>
      </c>
      <c r="M8002">
        <v>0</v>
      </c>
      <c r="N8002" s="98" t="str">
        <f>IF(record[[#This Row],[Memo]]="Browser:chrome os:android","平板報工",IF(record[[#This Row],[Memo]]=0,"委外",record[[#This Row],[Memo]]))</f>
        <v/>
      </c>
      <c r="O8002" t="s">
        <v>58</v>
      </c>
      <c r="P8002" t="s">
        <v>196</v>
      </c>
      <c r="Q8002" t="s">
        <v>58</v>
      </c>
      <c r="R8002" t="str">
        <f>IFERROR(VLOOKUP(record[[#This Row],[PCUSTID]],廠商[],2,FALSE),"")</f>
        <v/>
      </c>
      <c r="S8002" t="str">
        <f>VLOOKUP(record[[#This Row],[employeeID]],員工[],2,FALSE)</f>
        <v>張淑惠</v>
      </c>
    </row>
    <row r="8003" spans="6:19" hidden="1" x14ac:dyDescent="0.25">
      <c r="F8003" t="s">
        <v>904</v>
      </c>
      <c r="G8003" t="s">
        <v>419</v>
      </c>
      <c r="H8003" t="str">
        <f>VLOOKUP(record[[#This Row],[ProcessSN]],表格2_7[],2,FALSE)</f>
        <v>30-4118-018-5XX</v>
      </c>
      <c r="I8003" t="str">
        <f>VLOOKUP(record[[#This Row],[ProcessSN]],表格2_7[],3,FALSE)</f>
        <v>#07QC</v>
      </c>
      <c r="J8003" t="s">
        <v>589</v>
      </c>
      <c r="K8003" s="195">
        <v>45889.404953703706</v>
      </c>
      <c r="L8003">
        <v>157</v>
      </c>
      <c r="M8003">
        <v>0</v>
      </c>
      <c r="N8003" s="98" t="str">
        <f>IF(record[[#This Row],[Memo]]="Browser:chrome os:android","平板報工",IF(record[[#This Row],[Memo]]=0,"委外",record[[#This Row],[Memo]]))</f>
        <v/>
      </c>
      <c r="O8003" t="s">
        <v>58</v>
      </c>
      <c r="P8003" t="s">
        <v>141</v>
      </c>
      <c r="Q8003" t="s">
        <v>58</v>
      </c>
      <c r="R8003" t="str">
        <f>IFERROR(VLOOKUP(record[[#This Row],[PCUSTID]],廠商[],2,FALSE),"")</f>
        <v/>
      </c>
      <c r="S8003" t="str">
        <f>VLOOKUP(record[[#This Row],[employeeID]],員工[],2,FALSE)</f>
        <v>蔣梅</v>
      </c>
    </row>
    <row r="8004" spans="6:19" hidden="1" x14ac:dyDescent="0.25">
      <c r="F8004" t="s">
        <v>897</v>
      </c>
      <c r="G8004" t="s">
        <v>419</v>
      </c>
      <c r="H8004" t="str">
        <f>VLOOKUP(record[[#This Row],[ProcessSN]],表格2_7[],2,FALSE)</f>
        <v>30-4118-018-5XX</v>
      </c>
      <c r="I8004" t="str">
        <f>VLOOKUP(record[[#This Row],[ProcessSN]],表格2_7[],3,FALSE)</f>
        <v>#07QC</v>
      </c>
      <c r="J8004" t="s">
        <v>589</v>
      </c>
      <c r="K8004" s="195">
        <v>45889.40452546296</v>
      </c>
      <c r="L8004">
        <v>122</v>
      </c>
      <c r="M8004">
        <v>0</v>
      </c>
      <c r="N8004" s="98" t="str">
        <f>IF(record[[#This Row],[Memo]]="Browser:chrome os:android","平板報工",IF(record[[#This Row],[Memo]]=0,"委外",record[[#This Row],[Memo]]))</f>
        <v/>
      </c>
      <c r="O8004" t="s">
        <v>58</v>
      </c>
      <c r="P8004" t="s">
        <v>141</v>
      </c>
      <c r="Q8004" t="s">
        <v>58</v>
      </c>
      <c r="R8004" t="str">
        <f>IFERROR(VLOOKUP(record[[#This Row],[PCUSTID]],廠商[],2,FALSE),"")</f>
        <v/>
      </c>
      <c r="S8004" t="str">
        <f>VLOOKUP(record[[#This Row],[employeeID]],員工[],2,FALSE)</f>
        <v>蔣梅</v>
      </c>
    </row>
    <row r="8005" spans="6:19" hidden="1" x14ac:dyDescent="0.25">
      <c r="F8005" t="s">
        <v>778</v>
      </c>
      <c r="G8005" t="s">
        <v>419</v>
      </c>
      <c r="H8005" t="str">
        <f>VLOOKUP(record[[#This Row],[ProcessSN]],表格2_7[],2,FALSE)</f>
        <v>30-4118-018-5XX</v>
      </c>
      <c r="I8005" t="str">
        <f>VLOOKUP(record[[#This Row],[ProcessSN]],表格2_7[],3,FALSE)</f>
        <v>#07QC</v>
      </c>
      <c r="J8005" t="s">
        <v>589</v>
      </c>
      <c r="K8005" s="195">
        <v>45889.404363425929</v>
      </c>
      <c r="L8005">
        <v>1</v>
      </c>
      <c r="M8005">
        <v>0</v>
      </c>
      <c r="N8005" s="98" t="str">
        <f>IF(record[[#This Row],[Memo]]="Browser:chrome os:android","平板報工",IF(record[[#This Row],[Memo]]=0,"委外",record[[#This Row],[Memo]]))</f>
        <v/>
      </c>
      <c r="O8005" t="s">
        <v>58</v>
      </c>
      <c r="P8005" t="s">
        <v>141</v>
      </c>
      <c r="Q8005" t="s">
        <v>58</v>
      </c>
      <c r="R8005" t="str">
        <f>IFERROR(VLOOKUP(record[[#This Row],[PCUSTID]],廠商[],2,FALSE),"")</f>
        <v/>
      </c>
      <c r="S8005" t="str">
        <f>VLOOKUP(record[[#This Row],[employeeID]],員工[],2,FALSE)</f>
        <v>蔣梅</v>
      </c>
    </row>
    <row r="8006" spans="6:19" hidden="1" x14ac:dyDescent="0.25">
      <c r="F8006" t="s">
        <v>922</v>
      </c>
      <c r="G8006" t="s">
        <v>466</v>
      </c>
      <c r="H8006" t="str">
        <f>VLOOKUP(record[[#This Row],[ProcessSN]],表格2_7[],2,FALSE)</f>
        <v>30-4118-018-XXX</v>
      </c>
      <c r="I8006" t="str">
        <f>VLOOKUP(record[[#This Row],[ProcessSN]],表格2_7[],3,FALSE)</f>
        <v>#01-2</v>
      </c>
      <c r="J8006" t="s">
        <v>588</v>
      </c>
      <c r="K8006" s="195">
        <v>45889.3128125</v>
      </c>
      <c r="L8006">
        <v>600</v>
      </c>
      <c r="M8006">
        <v>0</v>
      </c>
      <c r="N8006" s="98" t="str">
        <f>IF(record[[#This Row],[Memo]]="Browser:chrome os:android","平板報工",IF(record[[#This Row],[Memo]]=0,"委外",record[[#This Row],[Memo]]))</f>
        <v/>
      </c>
      <c r="O8006" t="s">
        <v>58</v>
      </c>
      <c r="P8006" t="s">
        <v>135</v>
      </c>
      <c r="Q8006" t="s">
        <v>58</v>
      </c>
      <c r="R8006" t="str">
        <f>IFERROR(VLOOKUP(record[[#This Row],[PCUSTID]],廠商[],2,FALSE),"")</f>
        <v/>
      </c>
      <c r="S8006" t="str">
        <f>VLOOKUP(record[[#This Row],[employeeID]],員工[],2,FALSE)</f>
        <v>阮士文</v>
      </c>
    </row>
    <row r="8007" spans="6:19" hidden="1" x14ac:dyDescent="0.25">
      <c r="F8007" t="s">
        <v>922</v>
      </c>
      <c r="G8007" t="s">
        <v>466</v>
      </c>
      <c r="H8007" t="str">
        <f>VLOOKUP(record[[#This Row],[ProcessSN]],表格2_7[],2,FALSE)</f>
        <v>30-4118-018-XXX</v>
      </c>
      <c r="I8007" t="str">
        <f>VLOOKUP(record[[#This Row],[ProcessSN]],表格2_7[],3,FALSE)</f>
        <v>#01-2</v>
      </c>
      <c r="J8007" t="s">
        <v>588</v>
      </c>
      <c r="K8007" s="195">
        <v>45888.969594907408</v>
      </c>
      <c r="L8007">
        <v>600</v>
      </c>
      <c r="M8007">
        <v>0</v>
      </c>
      <c r="N8007" s="98" t="str">
        <f>IF(record[[#This Row],[Memo]]="Browser:chrome os:android","平板報工",IF(record[[#This Row],[Memo]]=0,"委外",record[[#This Row],[Memo]]))</f>
        <v/>
      </c>
      <c r="O8007" t="s">
        <v>58</v>
      </c>
      <c r="P8007" t="s">
        <v>806</v>
      </c>
      <c r="Q8007" t="s">
        <v>58</v>
      </c>
      <c r="R8007" t="str">
        <f>IFERROR(VLOOKUP(record[[#This Row],[PCUSTID]],廠商[],2,FALSE),"")</f>
        <v/>
      </c>
      <c r="S8007" t="str">
        <f>VLOOKUP(record[[#This Row],[employeeID]],員工[],2,FALSE)</f>
        <v>方思緯</v>
      </c>
    </row>
    <row r="8008" spans="6:19" hidden="1" x14ac:dyDescent="0.25">
      <c r="F8008" t="s">
        <v>897</v>
      </c>
      <c r="G8008" t="s">
        <v>419</v>
      </c>
      <c r="H8008" t="str">
        <f>VLOOKUP(record[[#This Row],[ProcessSN]],表格2_7[],2,FALSE)</f>
        <v>30-4118-018-5XX</v>
      </c>
      <c r="I8008" t="str">
        <f>VLOOKUP(record[[#This Row],[ProcessSN]],表格2_7[],3,FALSE)</f>
        <v>#07QC</v>
      </c>
      <c r="J8008" t="s">
        <v>589</v>
      </c>
      <c r="K8008" s="195">
        <v>45888.701701388891</v>
      </c>
      <c r="L8008">
        <v>0</v>
      </c>
      <c r="M8008">
        <v>-2</v>
      </c>
      <c r="N8008" s="98" t="str">
        <f>IF(record[[#This Row],[Memo]]="Browser:chrome os:android","平板報工",IF(record[[#This Row],[Memo]]=0,"委外",record[[#This Row],[Memo]]))</f>
        <v>覆回品</v>
      </c>
      <c r="O8008" t="s">
        <v>664</v>
      </c>
      <c r="P8008" t="s">
        <v>113</v>
      </c>
      <c r="Q8008" t="s">
        <v>644</v>
      </c>
      <c r="R8008" t="str">
        <f>IFERROR(VLOOKUP(record[[#This Row],[PCUSTID]],廠商[],2,FALSE),"")</f>
        <v/>
      </c>
      <c r="S8008" t="str">
        <f>VLOOKUP(record[[#This Row],[employeeID]],員工[],2,FALSE)</f>
        <v>王奕蓁</v>
      </c>
    </row>
    <row r="8009" spans="6:19" hidden="1" x14ac:dyDescent="0.25">
      <c r="F8009" t="s">
        <v>778</v>
      </c>
      <c r="G8009" t="s">
        <v>419</v>
      </c>
      <c r="H8009" t="str">
        <f>VLOOKUP(record[[#This Row],[ProcessSN]],表格2_7[],2,FALSE)</f>
        <v>30-4118-018-5XX</v>
      </c>
      <c r="I8009" t="str">
        <f>VLOOKUP(record[[#This Row],[ProcessSN]],表格2_7[],3,FALSE)</f>
        <v>#07QC</v>
      </c>
      <c r="J8009" t="s">
        <v>589</v>
      </c>
      <c r="K8009" s="195">
        <v>45888.70103009259</v>
      </c>
      <c r="L8009">
        <v>0</v>
      </c>
      <c r="M8009">
        <v>-1</v>
      </c>
      <c r="N8009" s="98" t="str">
        <f>IF(record[[#This Row],[Memo]]="Browser:chrome os:android","平板報工",IF(record[[#This Row],[Memo]]=0,"委外",record[[#This Row],[Memo]]))</f>
        <v>覆回品</v>
      </c>
      <c r="O8009" t="s">
        <v>664</v>
      </c>
      <c r="P8009" t="s">
        <v>113</v>
      </c>
      <c r="Q8009" t="s">
        <v>58</v>
      </c>
      <c r="R8009" t="str">
        <f>IFERROR(VLOOKUP(record[[#This Row],[PCUSTID]],廠商[],2,FALSE),"")</f>
        <v/>
      </c>
      <c r="S8009" t="str">
        <f>VLOOKUP(record[[#This Row],[employeeID]],員工[],2,FALSE)</f>
        <v>王奕蓁</v>
      </c>
    </row>
    <row r="8010" spans="6:19" hidden="1" x14ac:dyDescent="0.25">
      <c r="F8010" t="s">
        <v>922</v>
      </c>
      <c r="G8010" t="s">
        <v>466</v>
      </c>
      <c r="H8010" t="str">
        <f>VLOOKUP(record[[#This Row],[ProcessSN]],表格2_7[],2,FALSE)</f>
        <v>30-4118-018-XXX</v>
      </c>
      <c r="I8010" t="str">
        <f>VLOOKUP(record[[#This Row],[ProcessSN]],表格2_7[],3,FALSE)</f>
        <v>#01-2</v>
      </c>
      <c r="J8010" t="s">
        <v>588</v>
      </c>
      <c r="K8010" s="195">
        <v>45888.650057870371</v>
      </c>
      <c r="L8010">
        <v>345</v>
      </c>
      <c r="M8010">
        <v>0</v>
      </c>
      <c r="N8010" s="98" t="str">
        <f>IF(record[[#This Row],[Memo]]="Browser:chrome os:android","平板報工",IF(record[[#This Row],[Memo]]=0,"委外",record[[#This Row],[Memo]]))</f>
        <v/>
      </c>
      <c r="O8010" t="s">
        <v>58</v>
      </c>
      <c r="P8010" t="s">
        <v>119</v>
      </c>
      <c r="Q8010" t="s">
        <v>58</v>
      </c>
      <c r="R8010" t="str">
        <f>IFERROR(VLOOKUP(record[[#This Row],[PCUSTID]],廠商[],2,FALSE),"")</f>
        <v/>
      </c>
      <c r="S8010" t="str">
        <f>VLOOKUP(record[[#This Row],[employeeID]],員工[],2,FALSE)</f>
        <v>廖俊彥</v>
      </c>
    </row>
    <row r="8011" spans="6:19" hidden="1" x14ac:dyDescent="0.25">
      <c r="F8011" t="s">
        <v>993</v>
      </c>
      <c r="G8011" t="s">
        <v>397</v>
      </c>
      <c r="H8011" t="str">
        <f>VLOOKUP(record[[#This Row],[ProcessSN]],表格2_7[],2,FALSE)</f>
        <v>30-4118-018-550</v>
      </c>
      <c r="I8011" t="str">
        <f>VLOOKUP(record[[#This Row],[ProcessSN]],表格2_7[],3,FALSE)</f>
        <v>#08</v>
      </c>
      <c r="J8011" t="s">
        <v>597</v>
      </c>
      <c r="K8011" s="195">
        <v>45888.640763888892</v>
      </c>
      <c r="L8011">
        <v>336</v>
      </c>
      <c r="M8011">
        <v>0</v>
      </c>
      <c r="N8011" s="98" t="str">
        <f>IF(record[[#This Row],[Memo]]="Browser:chrome os:android","平板報工",IF(record[[#This Row],[Memo]]=0,"委外",record[[#This Row],[Memo]]))</f>
        <v/>
      </c>
      <c r="O8011" t="s">
        <v>58</v>
      </c>
      <c r="P8011" t="s">
        <v>886</v>
      </c>
      <c r="Q8011" t="s">
        <v>287</v>
      </c>
      <c r="R8011" t="str">
        <f>IFERROR(VLOOKUP(record[[#This Row],[PCUSTID]],廠商[],2,FALSE),"")</f>
        <v>泉盛</v>
      </c>
      <c r="S8011" t="str">
        <f>VLOOKUP(record[[#This Row],[employeeID]],員工[],2,FALSE)</f>
        <v>謝蓁薰</v>
      </c>
    </row>
    <row r="8012" spans="6:19" hidden="1" x14ac:dyDescent="0.25">
      <c r="F8012" t="s">
        <v>960</v>
      </c>
      <c r="G8012" t="s">
        <v>426</v>
      </c>
      <c r="H8012" t="str">
        <f>VLOOKUP(record[[#This Row],[ProcessSN]],表格2_7[],2,FALSE)</f>
        <v>30-4118-018-600</v>
      </c>
      <c r="I8012" t="str">
        <f>VLOOKUP(record[[#This Row],[ProcessSN]],表格2_7[],3,FALSE)</f>
        <v>#100OQC</v>
      </c>
      <c r="J8012" t="s">
        <v>599</v>
      </c>
      <c r="K8012" s="195">
        <v>45888.635868055557</v>
      </c>
      <c r="L8012">
        <v>191</v>
      </c>
      <c r="M8012">
        <v>0</v>
      </c>
      <c r="N8012" s="98" t="str">
        <f>IF(record[[#This Row],[Memo]]="Browser:chrome os:android","平板報工",IF(record[[#This Row],[Memo]]=0,"委外",record[[#This Row],[Memo]]))</f>
        <v/>
      </c>
      <c r="O8012" t="s">
        <v>58</v>
      </c>
      <c r="P8012" t="s">
        <v>121</v>
      </c>
      <c r="Q8012" t="s">
        <v>58</v>
      </c>
      <c r="R8012" t="str">
        <f>IFERROR(VLOOKUP(record[[#This Row],[PCUSTID]],廠商[],2,FALSE),"")</f>
        <v/>
      </c>
      <c r="S8012" t="str">
        <f>VLOOKUP(record[[#This Row],[employeeID]],員工[],2,FALSE)</f>
        <v>謝素卿</v>
      </c>
    </row>
    <row r="8013" spans="6:19" hidden="1" x14ac:dyDescent="0.25">
      <c r="F8013" t="s">
        <v>951</v>
      </c>
      <c r="G8013" t="s">
        <v>426</v>
      </c>
      <c r="H8013" t="str">
        <f>VLOOKUP(record[[#This Row],[ProcessSN]],表格2_7[],2,FALSE)</f>
        <v>30-4118-018-600</v>
      </c>
      <c r="I8013" t="str">
        <f>VLOOKUP(record[[#This Row],[ProcessSN]],表格2_7[],3,FALSE)</f>
        <v>#100OQC</v>
      </c>
      <c r="J8013" t="s">
        <v>599</v>
      </c>
      <c r="K8013" s="195">
        <v>45888.635636574072</v>
      </c>
      <c r="L8013">
        <v>447</v>
      </c>
      <c r="M8013">
        <v>0</v>
      </c>
      <c r="N8013" s="98" t="str">
        <f>IF(record[[#This Row],[Memo]]="Browser:chrome os:android","平板報工",IF(record[[#This Row],[Memo]]=0,"委外",record[[#This Row],[Memo]]))</f>
        <v/>
      </c>
      <c r="O8013" t="s">
        <v>58</v>
      </c>
      <c r="P8013" t="s">
        <v>121</v>
      </c>
      <c r="Q8013" t="s">
        <v>58</v>
      </c>
      <c r="R8013" t="str">
        <f>IFERROR(VLOOKUP(record[[#This Row],[PCUSTID]],廠商[],2,FALSE),"")</f>
        <v/>
      </c>
      <c r="S8013" t="str">
        <f>VLOOKUP(record[[#This Row],[employeeID]],員工[],2,FALSE)</f>
        <v>謝素卿</v>
      </c>
    </row>
    <row r="8014" spans="6:19" hidden="1" x14ac:dyDescent="0.25">
      <c r="F8014" t="s">
        <v>932</v>
      </c>
      <c r="G8014" t="s">
        <v>428</v>
      </c>
      <c r="H8014" t="str">
        <f>VLOOKUP(record[[#This Row],[ProcessSN]],表格2_7[],2,FALSE)</f>
        <v>30-4118-018-600</v>
      </c>
      <c r="I8014" t="str">
        <f>VLOOKUP(record[[#This Row],[ProcessSN]],表格2_7[],3,FALSE)</f>
        <v>#100SHIP</v>
      </c>
      <c r="J8014" t="s">
        <v>600</v>
      </c>
      <c r="K8014" s="195">
        <v>45888.634201388886</v>
      </c>
      <c r="L8014">
        <v>90</v>
      </c>
      <c r="M8014">
        <v>0</v>
      </c>
      <c r="N8014" s="98" t="str">
        <f>IF(record[[#This Row],[Memo]]="Browser:chrome os:android","平板報工",IF(record[[#This Row],[Memo]]=0,"委外",record[[#This Row],[Memo]]))</f>
        <v/>
      </c>
      <c r="O8014" t="s">
        <v>58</v>
      </c>
      <c r="P8014" t="s">
        <v>886</v>
      </c>
      <c r="Q8014" t="s">
        <v>58</v>
      </c>
      <c r="R8014" t="str">
        <f>IFERROR(VLOOKUP(record[[#This Row],[PCUSTID]],廠商[],2,FALSE),"")</f>
        <v/>
      </c>
      <c r="S8014" t="str">
        <f>VLOOKUP(record[[#This Row],[employeeID]],員工[],2,FALSE)</f>
        <v>謝蓁薰</v>
      </c>
    </row>
    <row r="8015" spans="6:19" hidden="1" x14ac:dyDescent="0.25">
      <c r="F8015" t="s">
        <v>945</v>
      </c>
      <c r="G8015" t="s">
        <v>362</v>
      </c>
      <c r="H8015" t="str">
        <f>VLOOKUP(record[[#This Row],[ProcessSN]],表格2_7[],2,FALSE)</f>
        <v>30-4118-018-450</v>
      </c>
      <c r="I8015" t="str">
        <f>VLOOKUP(record[[#This Row],[ProcessSN]],表格2_7[],3,FALSE)</f>
        <v>#100SHIP</v>
      </c>
      <c r="J8015" t="s">
        <v>600</v>
      </c>
      <c r="K8015" s="195">
        <v>45888.633958333332</v>
      </c>
      <c r="L8015">
        <v>18</v>
      </c>
      <c r="M8015">
        <v>0</v>
      </c>
      <c r="N8015" s="98" t="str">
        <f>IF(record[[#This Row],[Memo]]="Browser:chrome os:android","平板報工",IF(record[[#This Row],[Memo]]=0,"委外",record[[#This Row],[Memo]]))</f>
        <v/>
      </c>
      <c r="O8015" t="s">
        <v>58</v>
      </c>
      <c r="P8015" t="s">
        <v>886</v>
      </c>
      <c r="Q8015" t="s">
        <v>58</v>
      </c>
      <c r="R8015" t="str">
        <f>IFERROR(VLOOKUP(record[[#This Row],[PCUSTID]],廠商[],2,FALSE),"")</f>
        <v/>
      </c>
      <c r="S8015" t="str">
        <f>VLOOKUP(record[[#This Row],[employeeID]],員工[],2,FALSE)</f>
        <v>謝蓁薰</v>
      </c>
    </row>
    <row r="8016" spans="6:19" hidden="1" x14ac:dyDescent="0.25">
      <c r="F8016" t="s">
        <v>960</v>
      </c>
      <c r="G8016" t="s">
        <v>425</v>
      </c>
      <c r="H8016" t="str">
        <f>VLOOKUP(record[[#This Row],[ProcessSN]],表格2_7[],2,FALSE)</f>
        <v>30-4118-018-600</v>
      </c>
      <c r="I8016" t="str">
        <f>VLOOKUP(record[[#This Row],[ProcessSN]],表格2_7[],3,FALSE)</f>
        <v>#100</v>
      </c>
      <c r="J8016" t="s">
        <v>598</v>
      </c>
      <c r="K8016" s="195">
        <v>45888.563877314817</v>
      </c>
      <c r="L8016">
        <v>0</v>
      </c>
      <c r="M8016">
        <v>23</v>
      </c>
      <c r="N8016" s="98" t="str">
        <f>IF(record[[#This Row],[Memo]]="Browser:chrome os:android","平板報工",IF(record[[#This Row],[Memo]]=0,"委外",record[[#This Row],[Memo]]))</f>
        <v>平板報工</v>
      </c>
      <c r="O8016" t="s">
        <v>643</v>
      </c>
      <c r="P8016" t="s">
        <v>99</v>
      </c>
      <c r="Q8016" t="s">
        <v>644</v>
      </c>
      <c r="R8016" t="str">
        <f>IFERROR(VLOOKUP(record[[#This Row],[PCUSTID]],廠商[],2,FALSE),"")</f>
        <v/>
      </c>
      <c r="S8016" t="str">
        <f>VLOOKUP(record[[#This Row],[employeeID]],員工[],2,FALSE)</f>
        <v>阮氏河</v>
      </c>
    </row>
    <row r="8017" spans="6:19" hidden="1" x14ac:dyDescent="0.25">
      <c r="F8017" t="s">
        <v>960</v>
      </c>
      <c r="G8017" t="s">
        <v>425</v>
      </c>
      <c r="H8017" t="str">
        <f>VLOOKUP(record[[#This Row],[ProcessSN]],表格2_7[],2,FALSE)</f>
        <v>30-4118-018-600</v>
      </c>
      <c r="I8017" t="str">
        <f>VLOOKUP(record[[#This Row],[ProcessSN]],表格2_7[],3,FALSE)</f>
        <v>#100</v>
      </c>
      <c r="J8017" t="s">
        <v>598</v>
      </c>
      <c r="K8017" s="195">
        <v>45888.563634259262</v>
      </c>
      <c r="L8017">
        <v>134</v>
      </c>
      <c r="M8017">
        <v>0</v>
      </c>
      <c r="N8017" s="98" t="str">
        <f>IF(record[[#This Row],[Memo]]="Browser:chrome os:android","平板報工",IF(record[[#This Row],[Memo]]=0,"委外",record[[#This Row],[Memo]]))</f>
        <v>平板報工</v>
      </c>
      <c r="O8017" t="s">
        <v>643</v>
      </c>
      <c r="P8017" t="s">
        <v>99</v>
      </c>
      <c r="Q8017" t="s">
        <v>644</v>
      </c>
      <c r="R8017" t="str">
        <f>IFERROR(VLOOKUP(record[[#This Row],[PCUSTID]],廠商[],2,FALSE),"")</f>
        <v/>
      </c>
      <c r="S8017" t="str">
        <f>VLOOKUP(record[[#This Row],[employeeID]],員工[],2,FALSE)</f>
        <v>阮氏河</v>
      </c>
    </row>
    <row r="8018" spans="6:19" hidden="1" x14ac:dyDescent="0.25">
      <c r="F8018" t="s">
        <v>904</v>
      </c>
      <c r="G8018" t="s">
        <v>420</v>
      </c>
      <c r="H8018" t="str">
        <f>VLOOKUP(record[[#This Row],[ProcessSN]],表格2_7[],2,FALSE)</f>
        <v>30-4118-018-5XX</v>
      </c>
      <c r="I8018" t="str">
        <f>VLOOKUP(record[[#This Row],[ProcessSN]],表格2_7[],3,FALSE)</f>
        <v>#07STOCK</v>
      </c>
      <c r="J8018" t="s">
        <v>592</v>
      </c>
      <c r="K8018" s="195">
        <v>45888.544606481482</v>
      </c>
      <c r="L8018">
        <v>260</v>
      </c>
      <c r="M8018">
        <v>0</v>
      </c>
      <c r="N8018" s="98" t="str">
        <f>IF(record[[#This Row],[Memo]]="Browser:chrome os:android","平板報工",IF(record[[#This Row],[Memo]]=0,"委外",record[[#This Row],[Memo]]))</f>
        <v/>
      </c>
      <c r="O8018" t="s">
        <v>58</v>
      </c>
      <c r="P8018" t="s">
        <v>196</v>
      </c>
      <c r="Q8018" t="s">
        <v>58</v>
      </c>
      <c r="R8018" t="str">
        <f>IFERROR(VLOOKUP(record[[#This Row],[PCUSTID]],廠商[],2,FALSE),"")</f>
        <v/>
      </c>
      <c r="S8018" t="str">
        <f>VLOOKUP(record[[#This Row],[employeeID]],員工[],2,FALSE)</f>
        <v>張淑惠</v>
      </c>
    </row>
    <row r="8019" spans="6:19" hidden="1" x14ac:dyDescent="0.25">
      <c r="F8019" t="s">
        <v>897</v>
      </c>
      <c r="G8019" t="s">
        <v>420</v>
      </c>
      <c r="H8019" t="str">
        <f>VLOOKUP(record[[#This Row],[ProcessSN]],表格2_7[],2,FALSE)</f>
        <v>30-4118-018-5XX</v>
      </c>
      <c r="I8019" t="str">
        <f>VLOOKUP(record[[#This Row],[ProcessSN]],表格2_7[],3,FALSE)</f>
        <v>#07STOCK</v>
      </c>
      <c r="J8019" t="s">
        <v>592</v>
      </c>
      <c r="K8019" s="195">
        <v>45888.544490740744</v>
      </c>
      <c r="L8019">
        <v>4</v>
      </c>
      <c r="M8019">
        <v>0</v>
      </c>
      <c r="N8019" s="98" t="str">
        <f>IF(record[[#This Row],[Memo]]="Browser:chrome os:android","平板報工",IF(record[[#This Row],[Memo]]=0,"委外",record[[#This Row],[Memo]]))</f>
        <v/>
      </c>
      <c r="O8019" t="s">
        <v>58</v>
      </c>
      <c r="P8019" t="s">
        <v>196</v>
      </c>
      <c r="Q8019" t="s">
        <v>58</v>
      </c>
      <c r="R8019" t="str">
        <f>IFERROR(VLOOKUP(record[[#This Row],[PCUSTID]],廠商[],2,FALSE),"")</f>
        <v/>
      </c>
      <c r="S8019" t="str">
        <f>VLOOKUP(record[[#This Row],[employeeID]],員工[],2,FALSE)</f>
        <v>張淑惠</v>
      </c>
    </row>
    <row r="8020" spans="6:19" hidden="1" x14ac:dyDescent="0.25">
      <c r="F8020" t="s">
        <v>877</v>
      </c>
      <c r="G8020" t="s">
        <v>420</v>
      </c>
      <c r="H8020" t="str">
        <f>VLOOKUP(record[[#This Row],[ProcessSN]],表格2_7[],2,FALSE)</f>
        <v>30-4118-018-5XX</v>
      </c>
      <c r="I8020" t="str">
        <f>VLOOKUP(record[[#This Row],[ProcessSN]],表格2_7[],3,FALSE)</f>
        <v>#07STOCK</v>
      </c>
      <c r="J8020" t="s">
        <v>592</v>
      </c>
      <c r="K8020" s="195">
        <v>45888.544374999998</v>
      </c>
      <c r="L8020">
        <v>71</v>
      </c>
      <c r="M8020">
        <v>0</v>
      </c>
      <c r="N8020" s="98" t="str">
        <f>IF(record[[#This Row],[Memo]]="Browser:chrome os:android","平板報工",IF(record[[#This Row],[Memo]]=0,"委外",record[[#This Row],[Memo]]))</f>
        <v/>
      </c>
      <c r="O8020" t="s">
        <v>58</v>
      </c>
      <c r="P8020" t="s">
        <v>196</v>
      </c>
      <c r="Q8020" t="s">
        <v>58</v>
      </c>
      <c r="R8020" t="str">
        <f>IFERROR(VLOOKUP(record[[#This Row],[PCUSTID]],廠商[],2,FALSE),"")</f>
        <v/>
      </c>
      <c r="S8020" t="str">
        <f>VLOOKUP(record[[#This Row],[employeeID]],員工[],2,FALSE)</f>
        <v>張淑惠</v>
      </c>
    </row>
    <row r="8021" spans="6:19" hidden="1" x14ac:dyDescent="0.25">
      <c r="F8021" t="s">
        <v>854</v>
      </c>
      <c r="G8021" t="s">
        <v>420</v>
      </c>
      <c r="H8021" t="str">
        <f>VLOOKUP(record[[#This Row],[ProcessSN]],表格2_7[],2,FALSE)</f>
        <v>30-4118-018-5XX</v>
      </c>
      <c r="I8021" t="str">
        <f>VLOOKUP(record[[#This Row],[ProcessSN]],表格2_7[],3,FALSE)</f>
        <v>#07STOCK</v>
      </c>
      <c r="J8021" t="s">
        <v>592</v>
      </c>
      <c r="K8021" s="195">
        <v>45888.544236111113</v>
      </c>
      <c r="L8021">
        <v>1</v>
      </c>
      <c r="M8021">
        <v>0</v>
      </c>
      <c r="N8021" s="98" t="str">
        <f>IF(record[[#This Row],[Memo]]="Browser:chrome os:android","平板報工",IF(record[[#This Row],[Memo]]=0,"委外",record[[#This Row],[Memo]]))</f>
        <v/>
      </c>
      <c r="O8021" t="s">
        <v>58</v>
      </c>
      <c r="P8021" t="s">
        <v>196</v>
      </c>
      <c r="Q8021" t="s">
        <v>58</v>
      </c>
      <c r="R8021" t="str">
        <f>IFERROR(VLOOKUP(record[[#This Row],[PCUSTID]],廠商[],2,FALSE),"")</f>
        <v/>
      </c>
      <c r="S8021" t="str">
        <f>VLOOKUP(record[[#This Row],[employeeID]],員工[],2,FALSE)</f>
        <v>張淑惠</v>
      </c>
    </row>
    <row r="8022" spans="6:19" hidden="1" x14ac:dyDescent="0.25">
      <c r="F8022" t="s">
        <v>993</v>
      </c>
      <c r="G8022" t="s">
        <v>396</v>
      </c>
      <c r="H8022" t="str">
        <f>VLOOKUP(record[[#This Row],[ProcessSN]],表格2_7[],2,FALSE)</f>
        <v>30-4118-018-550</v>
      </c>
      <c r="I8022" t="str">
        <f>VLOOKUP(record[[#This Row],[ProcessSN]],表格2_7[],3,FALSE)</f>
        <v>#08PICK</v>
      </c>
      <c r="J8022" t="s">
        <v>582</v>
      </c>
      <c r="K8022" s="195">
        <v>45888.500648148147</v>
      </c>
      <c r="L8022">
        <v>336</v>
      </c>
      <c r="M8022">
        <v>0</v>
      </c>
      <c r="N8022" s="98" t="str">
        <f>IF(record[[#This Row],[Memo]]="Browser:chrome os:android","平板報工",IF(record[[#This Row],[Memo]]=0,"委外",record[[#This Row],[Memo]]))</f>
        <v/>
      </c>
      <c r="O8022" t="s">
        <v>58</v>
      </c>
      <c r="P8022" t="s">
        <v>196</v>
      </c>
      <c r="Q8022" t="s">
        <v>58</v>
      </c>
      <c r="R8022" t="str">
        <f>IFERROR(VLOOKUP(record[[#This Row],[PCUSTID]],廠商[],2,FALSE),"")</f>
        <v/>
      </c>
      <c r="S8022" t="str">
        <f>VLOOKUP(record[[#This Row],[employeeID]],員工[],2,FALSE)</f>
        <v>張淑惠</v>
      </c>
    </row>
    <row r="8023" spans="6:19" hidden="1" x14ac:dyDescent="0.25">
      <c r="F8023" t="s">
        <v>904</v>
      </c>
      <c r="G8023" t="s">
        <v>419</v>
      </c>
      <c r="H8023" t="str">
        <f>VLOOKUP(record[[#This Row],[ProcessSN]],表格2_7[],2,FALSE)</f>
        <v>30-4118-018-5XX</v>
      </c>
      <c r="I8023" t="str">
        <f>VLOOKUP(record[[#This Row],[ProcessSN]],表格2_7[],3,FALSE)</f>
        <v>#07QC</v>
      </c>
      <c r="J8023" t="s">
        <v>589</v>
      </c>
      <c r="K8023" s="195">
        <v>45888.500636574077</v>
      </c>
      <c r="L8023">
        <v>260</v>
      </c>
      <c r="M8023">
        <v>0</v>
      </c>
      <c r="N8023" s="98" t="str">
        <f>IF(record[[#This Row],[Memo]]="Browser:chrome os:android","平板報工",IF(record[[#This Row],[Memo]]=0,"委外",record[[#This Row],[Memo]]))</f>
        <v>平板報工</v>
      </c>
      <c r="O8023" t="s">
        <v>643</v>
      </c>
      <c r="P8023" t="s">
        <v>141</v>
      </c>
      <c r="Q8023" t="s">
        <v>644</v>
      </c>
      <c r="R8023" t="str">
        <f>IFERROR(VLOOKUP(record[[#This Row],[PCUSTID]],廠商[],2,FALSE),"")</f>
        <v/>
      </c>
      <c r="S8023" t="str">
        <f>VLOOKUP(record[[#This Row],[employeeID]],員工[],2,FALSE)</f>
        <v>蔣梅</v>
      </c>
    </row>
    <row r="8024" spans="6:19" hidden="1" x14ac:dyDescent="0.25">
      <c r="F8024" t="s">
        <v>960</v>
      </c>
      <c r="G8024" t="s">
        <v>425</v>
      </c>
      <c r="H8024" t="str">
        <f>VLOOKUP(record[[#This Row],[ProcessSN]],表格2_7[],2,FALSE)</f>
        <v>30-4118-018-600</v>
      </c>
      <c r="I8024" t="str">
        <f>VLOOKUP(record[[#This Row],[ProcessSN]],表格2_7[],3,FALSE)</f>
        <v>#100</v>
      </c>
      <c r="J8024" t="s">
        <v>598</v>
      </c>
      <c r="K8024" s="195">
        <v>45888.492106481484</v>
      </c>
      <c r="L8024">
        <v>57</v>
      </c>
      <c r="M8024">
        <v>0</v>
      </c>
      <c r="N8024" s="98" t="str">
        <f>IF(record[[#This Row],[Memo]]="Browser:chrome os:android","平板報工",IF(record[[#This Row],[Memo]]=0,"委外",record[[#This Row],[Memo]]))</f>
        <v>平板報工</v>
      </c>
      <c r="O8024" t="s">
        <v>643</v>
      </c>
      <c r="P8024" t="s">
        <v>99</v>
      </c>
      <c r="Q8024" t="s">
        <v>644</v>
      </c>
      <c r="R8024" t="str">
        <f>IFERROR(VLOOKUP(record[[#This Row],[PCUSTID]],廠商[],2,FALSE),"")</f>
        <v/>
      </c>
      <c r="S8024" t="str">
        <f>VLOOKUP(record[[#This Row],[employeeID]],員工[],2,FALSE)</f>
        <v>阮氏河</v>
      </c>
    </row>
    <row r="8025" spans="6:19" hidden="1" x14ac:dyDescent="0.25">
      <c r="F8025" t="s">
        <v>951</v>
      </c>
      <c r="G8025" t="s">
        <v>425</v>
      </c>
      <c r="H8025" t="str">
        <f>VLOOKUP(record[[#This Row],[ProcessSN]],表格2_7[],2,FALSE)</f>
        <v>30-4118-018-600</v>
      </c>
      <c r="I8025" t="str">
        <f>VLOOKUP(record[[#This Row],[ProcessSN]],表格2_7[],3,FALSE)</f>
        <v>#100</v>
      </c>
      <c r="J8025" t="s">
        <v>598</v>
      </c>
      <c r="K8025" s="195">
        <v>45888.49113425926</v>
      </c>
      <c r="L8025">
        <v>447</v>
      </c>
      <c r="M8025">
        <v>0</v>
      </c>
      <c r="N8025" s="98" t="str">
        <f>IF(record[[#This Row],[Memo]]="Browser:chrome os:android","平板報工",IF(record[[#This Row],[Memo]]=0,"委外",record[[#This Row],[Memo]]))</f>
        <v>平板報工</v>
      </c>
      <c r="O8025" t="s">
        <v>643</v>
      </c>
      <c r="P8025" t="s">
        <v>99</v>
      </c>
      <c r="Q8025" t="s">
        <v>644</v>
      </c>
      <c r="R8025" t="str">
        <f>IFERROR(VLOOKUP(record[[#This Row],[PCUSTID]],廠商[],2,FALSE),"")</f>
        <v/>
      </c>
      <c r="S8025" t="str">
        <f>VLOOKUP(record[[#This Row],[employeeID]],員工[],2,FALSE)</f>
        <v>阮氏河</v>
      </c>
    </row>
    <row r="8026" spans="6:19" hidden="1" x14ac:dyDescent="0.25">
      <c r="F8026" t="s">
        <v>854</v>
      </c>
      <c r="G8026" t="s">
        <v>419</v>
      </c>
      <c r="H8026" t="str">
        <f>VLOOKUP(record[[#This Row],[ProcessSN]],表格2_7[],2,FALSE)</f>
        <v>30-4118-018-5XX</v>
      </c>
      <c r="I8026" t="str">
        <f>VLOOKUP(record[[#This Row],[ProcessSN]],表格2_7[],3,FALSE)</f>
        <v>#07QC</v>
      </c>
      <c r="J8026" t="s">
        <v>589</v>
      </c>
      <c r="K8026" s="195">
        <v>45888.457743055558</v>
      </c>
      <c r="L8026">
        <v>1</v>
      </c>
      <c r="M8026">
        <v>0</v>
      </c>
      <c r="N8026" s="98" t="str">
        <f>IF(record[[#This Row],[Memo]]="Browser:chrome os:android","平板報工",IF(record[[#This Row],[Memo]]=0,"委外",record[[#This Row],[Memo]]))</f>
        <v>平板報工</v>
      </c>
      <c r="O8026" t="s">
        <v>643</v>
      </c>
      <c r="P8026" t="s">
        <v>141</v>
      </c>
      <c r="Q8026" t="s">
        <v>644</v>
      </c>
      <c r="R8026" t="str">
        <f>IFERROR(VLOOKUP(record[[#This Row],[PCUSTID]],廠商[],2,FALSE),"")</f>
        <v/>
      </c>
      <c r="S8026" t="str">
        <f>VLOOKUP(record[[#This Row],[employeeID]],員工[],2,FALSE)</f>
        <v>蔣梅</v>
      </c>
    </row>
    <row r="8027" spans="6:19" hidden="1" x14ac:dyDescent="0.25">
      <c r="F8027" t="s">
        <v>897</v>
      </c>
      <c r="G8027" t="s">
        <v>419</v>
      </c>
      <c r="H8027" t="str">
        <f>VLOOKUP(record[[#This Row],[ProcessSN]],表格2_7[],2,FALSE)</f>
        <v>30-4118-018-5XX</v>
      </c>
      <c r="I8027" t="str">
        <f>VLOOKUP(record[[#This Row],[ProcessSN]],表格2_7[],3,FALSE)</f>
        <v>#07QC</v>
      </c>
      <c r="J8027" t="s">
        <v>589</v>
      </c>
      <c r="K8027" s="195">
        <v>45888.457488425927</v>
      </c>
      <c r="L8027">
        <v>4</v>
      </c>
      <c r="M8027">
        <v>0</v>
      </c>
      <c r="N8027" s="98" t="str">
        <f>IF(record[[#This Row],[Memo]]="Browser:chrome os:android","平板報工",IF(record[[#This Row],[Memo]]=0,"委外",record[[#This Row],[Memo]]))</f>
        <v>平板報工</v>
      </c>
      <c r="O8027" t="s">
        <v>643</v>
      </c>
      <c r="P8027" t="s">
        <v>141</v>
      </c>
      <c r="Q8027" t="s">
        <v>644</v>
      </c>
      <c r="R8027" t="str">
        <f>IFERROR(VLOOKUP(record[[#This Row],[PCUSTID]],廠商[],2,FALSE),"")</f>
        <v/>
      </c>
      <c r="S8027" t="str">
        <f>VLOOKUP(record[[#This Row],[employeeID]],員工[],2,FALSE)</f>
        <v>蔣梅</v>
      </c>
    </row>
    <row r="8028" spans="6:19" hidden="1" x14ac:dyDescent="0.25">
      <c r="F8028" t="s">
        <v>854</v>
      </c>
      <c r="G8028" t="s">
        <v>419</v>
      </c>
      <c r="H8028" t="str">
        <f>VLOOKUP(record[[#This Row],[ProcessSN]],表格2_7[],2,FALSE)</f>
        <v>30-4118-018-5XX</v>
      </c>
      <c r="I8028" t="str">
        <f>VLOOKUP(record[[#This Row],[ProcessSN]],表格2_7[],3,FALSE)</f>
        <v>#07QC</v>
      </c>
      <c r="J8028" t="s">
        <v>589</v>
      </c>
      <c r="K8028" s="195">
        <v>45888.426724537036</v>
      </c>
      <c r="L8028">
        <v>0</v>
      </c>
      <c r="M8028">
        <v>-1</v>
      </c>
      <c r="N8028" s="98" t="str">
        <f>IF(record[[#This Row],[Memo]]="Browser:chrome os:android","平板報工",IF(record[[#This Row],[Memo]]=0,"委外",record[[#This Row],[Memo]]))</f>
        <v>覆回品</v>
      </c>
      <c r="O8028" t="s">
        <v>664</v>
      </c>
      <c r="P8028" t="s">
        <v>113</v>
      </c>
      <c r="Q8028" t="s">
        <v>644</v>
      </c>
      <c r="R8028" t="str">
        <f>IFERROR(VLOOKUP(record[[#This Row],[PCUSTID]],廠商[],2,FALSE),"")</f>
        <v/>
      </c>
      <c r="S8028" t="str">
        <f>VLOOKUP(record[[#This Row],[employeeID]],員工[],2,FALSE)</f>
        <v>王奕蓁</v>
      </c>
    </row>
    <row r="8029" spans="6:19" hidden="1" x14ac:dyDescent="0.25">
      <c r="F8029" t="s">
        <v>897</v>
      </c>
      <c r="G8029" t="s">
        <v>419</v>
      </c>
      <c r="H8029" t="str">
        <f>VLOOKUP(record[[#This Row],[ProcessSN]],表格2_7[],2,FALSE)</f>
        <v>30-4118-018-5XX</v>
      </c>
      <c r="I8029" t="str">
        <f>VLOOKUP(record[[#This Row],[ProcessSN]],表格2_7[],3,FALSE)</f>
        <v>#07QC</v>
      </c>
      <c r="J8029" t="s">
        <v>589</v>
      </c>
      <c r="K8029" s="195">
        <v>45888.420451388891</v>
      </c>
      <c r="L8029">
        <v>0</v>
      </c>
      <c r="M8029">
        <v>-4</v>
      </c>
      <c r="N8029" s="98" t="str">
        <f>IF(record[[#This Row],[Memo]]="Browser:chrome os:android","平板報工",IF(record[[#This Row],[Memo]]=0,"委外",record[[#This Row],[Memo]]))</f>
        <v>覆回品</v>
      </c>
      <c r="O8029" t="s">
        <v>664</v>
      </c>
      <c r="P8029" t="s">
        <v>113</v>
      </c>
      <c r="Q8029" t="s">
        <v>644</v>
      </c>
      <c r="R8029" t="str">
        <f>IFERROR(VLOOKUP(record[[#This Row],[PCUSTID]],廠商[],2,FALSE),"")</f>
        <v/>
      </c>
      <c r="S8029" t="str">
        <f>VLOOKUP(record[[#This Row],[employeeID]],員工[],2,FALSE)</f>
        <v>王奕蓁</v>
      </c>
    </row>
    <row r="8030" spans="6:19" hidden="1" x14ac:dyDescent="0.25">
      <c r="F8030" t="s">
        <v>849</v>
      </c>
      <c r="G8030" t="s">
        <v>468</v>
      </c>
      <c r="H8030" t="str">
        <f>VLOOKUP(record[[#This Row],[ProcessSN]],表格2_7[],2,FALSE)</f>
        <v>30-4118-018-XXX</v>
      </c>
      <c r="I8030" t="str">
        <f>VLOOKUP(record[[#This Row],[ProcessSN]],表格2_7[],3,FALSE)</f>
        <v>#02</v>
      </c>
      <c r="J8030" t="s">
        <v>590</v>
      </c>
      <c r="K8030" s="195">
        <v>45888.411979166667</v>
      </c>
      <c r="L8030">
        <v>41</v>
      </c>
      <c r="M8030">
        <v>0</v>
      </c>
      <c r="N8030" s="98" t="str">
        <f>IF(record[[#This Row],[Memo]]="Browser:chrome os:android","平板報工",IF(record[[#This Row],[Memo]]=0,"委外",record[[#This Row],[Memo]]))</f>
        <v/>
      </c>
      <c r="O8030" t="s">
        <v>58</v>
      </c>
      <c r="P8030" t="s">
        <v>886</v>
      </c>
      <c r="Q8030" t="s">
        <v>216</v>
      </c>
      <c r="R8030" t="str">
        <f>IFERROR(VLOOKUP(record[[#This Row],[PCUSTID]],廠商[],2,FALSE),"")</f>
        <v>俊杰</v>
      </c>
      <c r="S8030" t="str">
        <f>VLOOKUP(record[[#This Row],[employeeID]],員工[],2,FALSE)</f>
        <v>謝蓁薰</v>
      </c>
    </row>
    <row r="8031" spans="6:19" hidden="1" x14ac:dyDescent="0.25">
      <c r="F8031" t="s">
        <v>922</v>
      </c>
      <c r="G8031" t="s">
        <v>468</v>
      </c>
      <c r="H8031" t="str">
        <f>VLOOKUP(record[[#This Row],[ProcessSN]],表格2_7[],2,FALSE)</f>
        <v>30-4118-018-XXX</v>
      </c>
      <c r="I8031" t="str">
        <f>VLOOKUP(record[[#This Row],[ProcessSN]],表格2_7[],3,FALSE)</f>
        <v>#02</v>
      </c>
      <c r="J8031" t="s">
        <v>590</v>
      </c>
      <c r="K8031" s="195">
        <v>45888.40965277778</v>
      </c>
      <c r="L8031">
        <v>840</v>
      </c>
      <c r="M8031">
        <v>0</v>
      </c>
      <c r="N8031" s="98" t="str">
        <f>IF(record[[#This Row],[Memo]]="Browser:chrome os:android","平板報工",IF(record[[#This Row],[Memo]]=0,"委外",record[[#This Row],[Memo]]))</f>
        <v/>
      </c>
      <c r="O8031" t="s">
        <v>58</v>
      </c>
      <c r="P8031" t="s">
        <v>886</v>
      </c>
      <c r="Q8031" t="s">
        <v>216</v>
      </c>
      <c r="R8031" t="str">
        <f>IFERROR(VLOOKUP(record[[#This Row],[PCUSTID]],廠商[],2,FALSE),"")</f>
        <v>俊杰</v>
      </c>
      <c r="S8031" t="str">
        <f>VLOOKUP(record[[#This Row],[employeeID]],員工[],2,FALSE)</f>
        <v>謝蓁薰</v>
      </c>
    </row>
    <row r="8032" spans="6:19" hidden="1" x14ac:dyDescent="0.25">
      <c r="F8032" t="s">
        <v>877</v>
      </c>
      <c r="G8032" t="s">
        <v>419</v>
      </c>
      <c r="H8032" t="str">
        <f>VLOOKUP(record[[#This Row],[ProcessSN]],表格2_7[],2,FALSE)</f>
        <v>30-4118-018-5XX</v>
      </c>
      <c r="I8032" t="str">
        <f>VLOOKUP(record[[#This Row],[ProcessSN]],表格2_7[],3,FALSE)</f>
        <v>#07QC</v>
      </c>
      <c r="J8032" t="s">
        <v>589</v>
      </c>
      <c r="K8032" s="195">
        <v>45888.404976851853</v>
      </c>
      <c r="L8032">
        <v>71</v>
      </c>
      <c r="M8032">
        <v>0</v>
      </c>
      <c r="N8032" s="98" t="str">
        <f>IF(record[[#This Row],[Memo]]="Browser:chrome os:android","平板報工",IF(record[[#This Row],[Memo]]=0,"委外",record[[#This Row],[Memo]]))</f>
        <v/>
      </c>
      <c r="O8032" t="s">
        <v>58</v>
      </c>
      <c r="P8032" t="s">
        <v>141</v>
      </c>
      <c r="Q8032" t="s">
        <v>58</v>
      </c>
      <c r="R8032" t="str">
        <f>IFERROR(VLOOKUP(record[[#This Row],[PCUSTID]],廠商[],2,FALSE),"")</f>
        <v/>
      </c>
      <c r="S8032" t="str">
        <f>VLOOKUP(record[[#This Row],[employeeID]],員工[],2,FALSE)</f>
        <v>蔣梅</v>
      </c>
    </row>
    <row r="8033" spans="6:19" hidden="1" x14ac:dyDescent="0.25">
      <c r="F8033" t="s">
        <v>922</v>
      </c>
      <c r="G8033" t="s">
        <v>467</v>
      </c>
      <c r="H8033" t="str">
        <f>VLOOKUP(record[[#This Row],[ProcessSN]],表格2_7[],2,FALSE)</f>
        <v>30-4118-018-XXX</v>
      </c>
      <c r="I8033" t="str">
        <f>VLOOKUP(record[[#This Row],[ProcessSN]],表格2_7[],3,FALSE)</f>
        <v>#01QC</v>
      </c>
      <c r="J8033" t="s">
        <v>589</v>
      </c>
      <c r="K8033" s="195">
        <v>45888.362430555557</v>
      </c>
      <c r="L8033">
        <v>840</v>
      </c>
      <c r="M8033">
        <v>0</v>
      </c>
      <c r="N8033" s="98" t="str">
        <f>IF(record[[#This Row],[Memo]]="Browser:chrome os:android","平板報工",IF(record[[#This Row],[Memo]]=0,"委外",record[[#This Row],[Memo]]))</f>
        <v>平板報工</v>
      </c>
      <c r="O8033" t="s">
        <v>643</v>
      </c>
      <c r="P8033" t="s">
        <v>182</v>
      </c>
      <c r="Q8033" t="s">
        <v>644</v>
      </c>
      <c r="R8033" t="str">
        <f>IFERROR(VLOOKUP(record[[#This Row],[PCUSTID]],廠商[],2,FALSE),"")</f>
        <v/>
      </c>
      <c r="S8033" t="str">
        <f>VLOOKUP(record[[#This Row],[employeeID]],員工[],2,FALSE)</f>
        <v>梅氏和</v>
      </c>
    </row>
    <row r="8034" spans="6:19" hidden="1" x14ac:dyDescent="0.25">
      <c r="F8034" t="s">
        <v>922</v>
      </c>
      <c r="G8034" t="s">
        <v>466</v>
      </c>
      <c r="H8034" t="str">
        <f>VLOOKUP(record[[#This Row],[ProcessSN]],表格2_7[],2,FALSE)</f>
        <v>30-4118-018-XXX</v>
      </c>
      <c r="I8034" t="str">
        <f>VLOOKUP(record[[#This Row],[ProcessSN]],表格2_7[],3,FALSE)</f>
        <v>#01-2</v>
      </c>
      <c r="J8034" t="s">
        <v>588</v>
      </c>
      <c r="K8034" s="195">
        <v>45888.302951388891</v>
      </c>
      <c r="L8034">
        <v>639</v>
      </c>
      <c r="M8034">
        <v>0</v>
      </c>
      <c r="N8034" s="98" t="str">
        <f>IF(record[[#This Row],[Memo]]="Browser:chrome os:android","平板報工",IF(record[[#This Row],[Memo]]=0,"委外",record[[#This Row],[Memo]]))</f>
        <v/>
      </c>
      <c r="O8034" t="s">
        <v>58</v>
      </c>
      <c r="P8034" t="s">
        <v>135</v>
      </c>
      <c r="Q8034" t="s">
        <v>58</v>
      </c>
      <c r="R8034" t="str">
        <f>IFERROR(VLOOKUP(record[[#This Row],[PCUSTID]],廠商[],2,FALSE),"")</f>
        <v/>
      </c>
      <c r="S8034" t="str">
        <f>VLOOKUP(record[[#This Row],[employeeID]],員工[],2,FALSE)</f>
        <v>阮士文</v>
      </c>
    </row>
    <row r="8035" spans="6:19" hidden="1" x14ac:dyDescent="0.25">
      <c r="F8035" t="s">
        <v>922</v>
      </c>
      <c r="G8035" t="s">
        <v>466</v>
      </c>
      <c r="H8035" t="str">
        <f>VLOOKUP(record[[#This Row],[ProcessSN]],表格2_7[],2,FALSE)</f>
        <v>30-4118-018-XXX</v>
      </c>
      <c r="I8035" t="str">
        <f>VLOOKUP(record[[#This Row],[ProcessSN]],表格2_7[],3,FALSE)</f>
        <v>#01-2</v>
      </c>
      <c r="J8035" t="s">
        <v>588</v>
      </c>
      <c r="K8035" s="195">
        <v>45887.963043981479</v>
      </c>
      <c r="L8035">
        <v>256</v>
      </c>
      <c r="M8035">
        <v>0</v>
      </c>
      <c r="N8035" s="98" t="str">
        <f>IF(record[[#This Row],[Memo]]="Browser:chrome os:android","平板報工",IF(record[[#This Row],[Memo]]=0,"委外",record[[#This Row],[Memo]]))</f>
        <v/>
      </c>
      <c r="O8035" t="s">
        <v>58</v>
      </c>
      <c r="P8035" t="s">
        <v>691</v>
      </c>
      <c r="Q8035" t="s">
        <v>58</v>
      </c>
      <c r="R8035" t="str">
        <f>IFERROR(VLOOKUP(record[[#This Row],[PCUSTID]],廠商[],2,FALSE),"")</f>
        <v/>
      </c>
      <c r="S8035" t="str">
        <f>VLOOKUP(record[[#This Row],[employeeID]],員工[],2,FALSE)</f>
        <v>武氏賢</v>
      </c>
    </row>
    <row r="8036" spans="6:19" hidden="1" x14ac:dyDescent="0.25">
      <c r="F8036" t="s">
        <v>922</v>
      </c>
      <c r="G8036" t="s">
        <v>466</v>
      </c>
      <c r="H8036" t="str">
        <f>VLOOKUP(record[[#This Row],[ProcessSN]],表格2_7[],2,FALSE)</f>
        <v>30-4118-018-XXX</v>
      </c>
      <c r="I8036" t="str">
        <f>VLOOKUP(record[[#This Row],[ProcessSN]],表格2_7[],3,FALSE)</f>
        <v>#01-2</v>
      </c>
      <c r="J8036" t="s">
        <v>588</v>
      </c>
      <c r="K8036" s="195">
        <v>45887.821562500001</v>
      </c>
      <c r="L8036">
        <v>80</v>
      </c>
      <c r="M8036">
        <v>0</v>
      </c>
      <c r="N8036" s="98" t="str">
        <f>IF(record[[#This Row],[Memo]]="Browser:chrome os:android","平板報工",IF(record[[#This Row],[Memo]]=0,"委外",record[[#This Row],[Memo]]))</f>
        <v/>
      </c>
      <c r="O8036" t="s">
        <v>58</v>
      </c>
      <c r="P8036" t="s">
        <v>785</v>
      </c>
      <c r="Q8036" t="s">
        <v>58</v>
      </c>
      <c r="R8036" t="str">
        <f>IFERROR(VLOOKUP(record[[#This Row],[PCUSTID]],廠商[],2,FALSE),"")</f>
        <v/>
      </c>
      <c r="S8036" t="str">
        <f>VLOOKUP(record[[#This Row],[employeeID]],員工[],2,FALSE)</f>
        <v>謝刻光</v>
      </c>
    </row>
    <row r="8037" spans="6:19" hidden="1" x14ac:dyDescent="0.25">
      <c r="F8037" t="s">
        <v>877</v>
      </c>
      <c r="G8037" t="s">
        <v>419</v>
      </c>
      <c r="H8037" t="str">
        <f>VLOOKUP(record[[#This Row],[ProcessSN]],表格2_7[],2,FALSE)</f>
        <v>30-4118-018-5XX</v>
      </c>
      <c r="I8037" t="str">
        <f>VLOOKUP(record[[#This Row],[ProcessSN]],表格2_7[],3,FALSE)</f>
        <v>#07QC</v>
      </c>
      <c r="J8037" t="s">
        <v>589</v>
      </c>
      <c r="K8037" s="195">
        <v>45887.800324074073</v>
      </c>
      <c r="L8037">
        <v>0</v>
      </c>
      <c r="M8037">
        <v>-71</v>
      </c>
      <c r="N8037" s="98" t="str">
        <f>IF(record[[#This Row],[Memo]]="Browser:chrome os:android","平板報工",IF(record[[#This Row],[Memo]]=0,"委外",record[[#This Row],[Memo]]))</f>
        <v>覆回品</v>
      </c>
      <c r="O8037" t="s">
        <v>664</v>
      </c>
      <c r="P8037" t="s">
        <v>113</v>
      </c>
      <c r="Q8037" t="s">
        <v>644</v>
      </c>
      <c r="R8037" t="str">
        <f>IFERROR(VLOOKUP(record[[#This Row],[PCUSTID]],廠商[],2,FALSE),"")</f>
        <v/>
      </c>
      <c r="S8037" t="str">
        <f>VLOOKUP(record[[#This Row],[employeeID]],員工[],2,FALSE)</f>
        <v>王奕蓁</v>
      </c>
    </row>
    <row r="8038" spans="6:19" hidden="1" x14ac:dyDescent="0.25">
      <c r="F8038" t="s">
        <v>922</v>
      </c>
      <c r="G8038" t="s">
        <v>465</v>
      </c>
      <c r="H8038" t="str">
        <f>VLOOKUP(record[[#This Row],[ProcessSN]],表格2_7[],2,FALSE)</f>
        <v>30-4118-018-XXX</v>
      </c>
      <c r="I8038" t="str">
        <f>VLOOKUP(record[[#This Row],[ProcessSN]],表格2_7[],3,FALSE)</f>
        <v>#01-1</v>
      </c>
      <c r="J8038" t="s">
        <v>588</v>
      </c>
      <c r="K8038" s="195">
        <v>45887.58971064815</v>
      </c>
      <c r="L8038">
        <v>140</v>
      </c>
      <c r="M8038">
        <v>0</v>
      </c>
      <c r="N8038" s="98" t="str">
        <f>IF(record[[#This Row],[Memo]]="Browser:chrome os:android","平板報工",IF(record[[#This Row],[Memo]]=0,"委外",record[[#This Row],[Memo]]))</f>
        <v/>
      </c>
      <c r="O8038" t="s">
        <v>58</v>
      </c>
      <c r="P8038" t="s">
        <v>119</v>
      </c>
      <c r="Q8038" t="s">
        <v>58</v>
      </c>
      <c r="R8038" t="str">
        <f>IFERROR(VLOOKUP(record[[#This Row],[PCUSTID]],廠商[],2,FALSE),"")</f>
        <v/>
      </c>
      <c r="S8038" t="str">
        <f>VLOOKUP(record[[#This Row],[employeeID]],員工[],2,FALSE)</f>
        <v>廖俊彥</v>
      </c>
    </row>
    <row r="8039" spans="6:19" hidden="1" x14ac:dyDescent="0.25">
      <c r="F8039" t="s">
        <v>937</v>
      </c>
      <c r="G8039" t="s">
        <v>428</v>
      </c>
      <c r="H8039" t="str">
        <f>VLOOKUP(record[[#This Row],[ProcessSN]],表格2_7[],2,FALSE)</f>
        <v>30-4118-018-600</v>
      </c>
      <c r="I8039" t="str">
        <f>VLOOKUP(record[[#This Row],[ProcessSN]],表格2_7[],3,FALSE)</f>
        <v>#100SHIP</v>
      </c>
      <c r="J8039" t="s">
        <v>600</v>
      </c>
      <c r="K8039" s="195">
        <v>45887.489745370367</v>
      </c>
      <c r="L8039">
        <v>81</v>
      </c>
      <c r="M8039">
        <v>0</v>
      </c>
      <c r="N8039" s="98" t="str">
        <f>IF(record[[#This Row],[Memo]]="Browser:chrome os:android","平板報工",IF(record[[#This Row],[Memo]]=0,"委外",record[[#This Row],[Memo]]))</f>
        <v/>
      </c>
      <c r="O8039" t="s">
        <v>58</v>
      </c>
      <c r="P8039" t="s">
        <v>886</v>
      </c>
      <c r="Q8039" t="s">
        <v>58</v>
      </c>
      <c r="R8039" t="str">
        <f>IFERROR(VLOOKUP(record[[#This Row],[PCUSTID]],廠商[],2,FALSE),"")</f>
        <v/>
      </c>
      <c r="S8039" t="str">
        <f>VLOOKUP(record[[#This Row],[employeeID]],員工[],2,FALSE)</f>
        <v>謝蓁薰</v>
      </c>
    </row>
    <row r="8040" spans="6:19" hidden="1" x14ac:dyDescent="0.25">
      <c r="F8040" t="s">
        <v>979</v>
      </c>
      <c r="G8040" t="s">
        <v>403</v>
      </c>
      <c r="H8040" t="str">
        <f>VLOOKUP(record[[#This Row],[ProcessSN]],表格2_7[],2,FALSE)</f>
        <v>30-4118-018-550</v>
      </c>
      <c r="I8040" t="str">
        <f>VLOOKUP(record[[#This Row],[ProcessSN]],表格2_7[],3,FALSE)</f>
        <v>#100SHIP</v>
      </c>
      <c r="J8040" t="s">
        <v>600</v>
      </c>
      <c r="K8040" s="195">
        <v>45887.489351851851</v>
      </c>
      <c r="L8040">
        <v>73</v>
      </c>
      <c r="M8040">
        <v>0</v>
      </c>
      <c r="N8040" s="98" t="str">
        <f>IF(record[[#This Row],[Memo]]="Browser:chrome os:android","平板報工",IF(record[[#This Row],[Memo]]=0,"委外",record[[#This Row],[Memo]]))</f>
        <v/>
      </c>
      <c r="O8040" t="s">
        <v>58</v>
      </c>
      <c r="P8040" t="s">
        <v>886</v>
      </c>
      <c r="Q8040" t="s">
        <v>58</v>
      </c>
      <c r="R8040" t="str">
        <f>IFERROR(VLOOKUP(record[[#This Row],[PCUSTID]],廠商[],2,FALSE),"")</f>
        <v/>
      </c>
      <c r="S8040" t="str">
        <f>VLOOKUP(record[[#This Row],[employeeID]],員工[],2,FALSE)</f>
        <v>謝蓁薰</v>
      </c>
    </row>
    <row r="8041" spans="6:19" hidden="1" x14ac:dyDescent="0.25">
      <c r="F8041" t="s">
        <v>978</v>
      </c>
      <c r="G8041" t="s">
        <v>403</v>
      </c>
      <c r="H8041" t="str">
        <f>VLOOKUP(record[[#This Row],[ProcessSN]],表格2_7[],2,FALSE)</f>
        <v>30-4118-018-550</v>
      </c>
      <c r="I8041" t="str">
        <f>VLOOKUP(record[[#This Row],[ProcessSN]],表格2_7[],3,FALSE)</f>
        <v>#100SHIP</v>
      </c>
      <c r="J8041" t="s">
        <v>600</v>
      </c>
      <c r="K8041" s="195">
        <v>45887.488946759258</v>
      </c>
      <c r="L8041">
        <v>139</v>
      </c>
      <c r="M8041">
        <v>0</v>
      </c>
      <c r="N8041" s="98" t="str">
        <f>IF(record[[#This Row],[Memo]]="Browser:chrome os:android","平板報工",IF(record[[#This Row],[Memo]]=0,"委外",record[[#This Row],[Memo]]))</f>
        <v/>
      </c>
      <c r="O8041" t="s">
        <v>58</v>
      </c>
      <c r="P8041" t="s">
        <v>886</v>
      </c>
      <c r="Q8041" t="s">
        <v>58</v>
      </c>
      <c r="R8041" t="str">
        <f>IFERROR(VLOOKUP(record[[#This Row],[PCUSTID]],廠商[],2,FALSE),"")</f>
        <v/>
      </c>
      <c r="S8041" t="str">
        <f>VLOOKUP(record[[#This Row],[employeeID]],員工[],2,FALSE)</f>
        <v>謝蓁薰</v>
      </c>
    </row>
    <row r="8042" spans="6:19" hidden="1" x14ac:dyDescent="0.25">
      <c r="F8042" t="s">
        <v>945</v>
      </c>
      <c r="G8042" t="s">
        <v>362</v>
      </c>
      <c r="H8042" t="str">
        <f>VLOOKUP(record[[#This Row],[ProcessSN]],表格2_7[],2,FALSE)</f>
        <v>30-4118-018-450</v>
      </c>
      <c r="I8042" t="str">
        <f>VLOOKUP(record[[#This Row],[ProcessSN]],表格2_7[],3,FALSE)</f>
        <v>#100SHIP</v>
      </c>
      <c r="J8042" t="s">
        <v>600</v>
      </c>
      <c r="K8042" s="195">
        <v>45887.48641203704</v>
      </c>
      <c r="L8042">
        <v>39</v>
      </c>
      <c r="M8042">
        <v>0</v>
      </c>
      <c r="N8042" s="98" t="str">
        <f>IF(record[[#This Row],[Memo]]="Browser:chrome os:android","平板報工",IF(record[[#This Row],[Memo]]=0,"委外",record[[#This Row],[Memo]]))</f>
        <v/>
      </c>
      <c r="O8042" t="s">
        <v>58</v>
      </c>
      <c r="P8042" t="s">
        <v>886</v>
      </c>
      <c r="Q8042" t="s">
        <v>58</v>
      </c>
      <c r="R8042" t="str">
        <f>IFERROR(VLOOKUP(record[[#This Row],[PCUSTID]],廠商[],2,FALSE),"")</f>
        <v/>
      </c>
      <c r="S8042" t="str">
        <f>VLOOKUP(record[[#This Row],[employeeID]],員工[],2,FALSE)</f>
        <v>謝蓁薰</v>
      </c>
    </row>
    <row r="8043" spans="6:19" hidden="1" x14ac:dyDescent="0.25">
      <c r="F8043" t="s">
        <v>989</v>
      </c>
      <c r="G8043" t="s">
        <v>464</v>
      </c>
      <c r="H8043" t="str">
        <f>VLOOKUP(record[[#This Row],[ProcessSN]],表格2_7[],2,FALSE)</f>
        <v>30-4118-018-XXX</v>
      </c>
      <c r="I8043" t="str">
        <f>VLOOKUP(record[[#This Row],[ProcessSN]],表格2_7[],3,FALSE)</f>
        <v>#01GIVE</v>
      </c>
      <c r="J8043" t="s">
        <v>587</v>
      </c>
      <c r="K8043" s="195">
        <v>45887.346770833334</v>
      </c>
      <c r="L8043">
        <v>4960</v>
      </c>
      <c r="M8043">
        <v>0</v>
      </c>
      <c r="N8043" s="98" t="str">
        <f>IF(record[[#This Row],[Memo]]="Browser:chrome os:android","平板報工",IF(record[[#This Row],[Memo]]=0,"委外",record[[#This Row],[Memo]]))</f>
        <v/>
      </c>
      <c r="O8043" t="s">
        <v>58</v>
      </c>
      <c r="P8043" t="s">
        <v>208</v>
      </c>
      <c r="Q8043" t="s">
        <v>58</v>
      </c>
      <c r="R8043" t="str">
        <f>IFERROR(VLOOKUP(record[[#This Row],[PCUSTID]],廠商[],2,FALSE),"")</f>
        <v/>
      </c>
      <c r="S8043" t="str">
        <f>VLOOKUP(record[[#This Row],[employeeID]],員工[],2,FALSE)</f>
        <v>陳治宏</v>
      </c>
    </row>
    <row r="8044" spans="6:19" hidden="1" x14ac:dyDescent="0.25">
      <c r="F8044" t="s">
        <v>922</v>
      </c>
      <c r="G8044" t="s">
        <v>465</v>
      </c>
      <c r="H8044" t="str">
        <f>VLOOKUP(record[[#This Row],[ProcessSN]],表格2_7[],2,FALSE)</f>
        <v>30-4118-018-XXX</v>
      </c>
      <c r="I8044" t="str">
        <f>VLOOKUP(record[[#This Row],[ProcessSN]],表格2_7[],3,FALSE)</f>
        <v>#01-1</v>
      </c>
      <c r="J8044" t="s">
        <v>588</v>
      </c>
      <c r="K8044" s="195">
        <v>45885.318738425929</v>
      </c>
      <c r="L8044">
        <v>1001</v>
      </c>
      <c r="M8044">
        <v>4</v>
      </c>
      <c r="N8044" s="98" t="str">
        <f>IF(record[[#This Row],[Memo]]="Browser:chrome os:android","平板報工",IF(record[[#This Row],[Memo]]=0,"委外",record[[#This Row],[Memo]]))</f>
        <v/>
      </c>
      <c r="O8044" t="s">
        <v>58</v>
      </c>
      <c r="P8044" t="s">
        <v>135</v>
      </c>
      <c r="Q8044" t="s">
        <v>58</v>
      </c>
      <c r="R8044" t="str">
        <f>IFERROR(VLOOKUP(record[[#This Row],[PCUSTID]],廠商[],2,FALSE),"")</f>
        <v/>
      </c>
      <c r="S8044" t="str">
        <f>VLOOKUP(record[[#This Row],[employeeID]],員工[],2,FALSE)</f>
        <v>阮士文</v>
      </c>
    </row>
    <row r="8045" spans="6:19" hidden="1" x14ac:dyDescent="0.25">
      <c r="F8045" t="s">
        <v>922</v>
      </c>
      <c r="G8045" t="s">
        <v>465</v>
      </c>
      <c r="H8045" t="str">
        <f>VLOOKUP(record[[#This Row],[ProcessSN]],表格2_7[],2,FALSE)</f>
        <v>30-4118-018-XXX</v>
      </c>
      <c r="I8045" t="str">
        <f>VLOOKUP(record[[#This Row],[ProcessSN]],表格2_7[],3,FALSE)</f>
        <v>#01-1</v>
      </c>
      <c r="J8045" t="s">
        <v>588</v>
      </c>
      <c r="K8045" s="195">
        <v>45884.954872685186</v>
      </c>
      <c r="L8045">
        <v>400</v>
      </c>
      <c r="M8045">
        <v>0</v>
      </c>
      <c r="N8045" s="98" t="str">
        <f>IF(record[[#This Row],[Memo]]="Browser:chrome os:android","平板報工",IF(record[[#This Row],[Memo]]=0,"委外",record[[#This Row],[Memo]]))</f>
        <v/>
      </c>
      <c r="O8045" t="s">
        <v>58</v>
      </c>
      <c r="P8045" t="s">
        <v>691</v>
      </c>
      <c r="Q8045" t="s">
        <v>58</v>
      </c>
      <c r="R8045" t="str">
        <f>IFERROR(VLOOKUP(record[[#This Row],[PCUSTID]],廠商[],2,FALSE),"")</f>
        <v/>
      </c>
      <c r="S8045" t="str">
        <f>VLOOKUP(record[[#This Row],[employeeID]],員工[],2,FALSE)</f>
        <v>武氏賢</v>
      </c>
    </row>
    <row r="8046" spans="6:19" hidden="1" x14ac:dyDescent="0.25">
      <c r="F8046" t="s">
        <v>922</v>
      </c>
      <c r="G8046" t="s">
        <v>465</v>
      </c>
      <c r="H8046" t="str">
        <f>VLOOKUP(record[[#This Row],[ProcessSN]],表格2_7[],2,FALSE)</f>
        <v>30-4118-018-XXX</v>
      </c>
      <c r="I8046" t="str">
        <f>VLOOKUP(record[[#This Row],[ProcessSN]],表格2_7[],3,FALSE)</f>
        <v>#01-1</v>
      </c>
      <c r="J8046" t="s">
        <v>588</v>
      </c>
      <c r="K8046" s="195">
        <v>45884.844675925924</v>
      </c>
      <c r="L8046">
        <v>519</v>
      </c>
      <c r="M8046">
        <v>0</v>
      </c>
      <c r="N8046" s="98" t="str">
        <f>IF(record[[#This Row],[Memo]]="Browser:chrome os:android","平板報工",IF(record[[#This Row],[Memo]]=0,"委外",record[[#This Row],[Memo]]))</f>
        <v/>
      </c>
      <c r="O8046" t="s">
        <v>58</v>
      </c>
      <c r="P8046" t="s">
        <v>785</v>
      </c>
      <c r="Q8046" t="s">
        <v>58</v>
      </c>
      <c r="R8046" t="str">
        <f>IFERROR(VLOOKUP(record[[#This Row],[PCUSTID]],廠商[],2,FALSE),"")</f>
        <v/>
      </c>
      <c r="S8046" t="str">
        <f>VLOOKUP(record[[#This Row],[employeeID]],員工[],2,FALSE)</f>
        <v>謝刻光</v>
      </c>
    </row>
    <row r="8047" spans="6:19" hidden="1" x14ac:dyDescent="0.25">
      <c r="F8047" t="s">
        <v>904</v>
      </c>
      <c r="G8047" t="s">
        <v>418</v>
      </c>
      <c r="H8047" t="str">
        <f>VLOOKUP(record[[#This Row],[ProcessSN]],表格2_7[],2,FALSE)</f>
        <v>30-4118-018-5XX</v>
      </c>
      <c r="I8047" t="str">
        <f>VLOOKUP(record[[#This Row],[ProcessSN]],表格2_7[],3,FALSE)</f>
        <v>#07</v>
      </c>
      <c r="J8047" t="s">
        <v>588</v>
      </c>
      <c r="K8047" s="195">
        <v>45884.843680555554</v>
      </c>
      <c r="L8047">
        <v>144</v>
      </c>
      <c r="M8047">
        <v>0</v>
      </c>
      <c r="N8047" s="98" t="str">
        <f>IF(record[[#This Row],[Memo]]="Browser:chrome os:android","平板報工",IF(record[[#This Row],[Memo]]=0,"委外",record[[#This Row],[Memo]]))</f>
        <v>收尾料少4pcs</v>
      </c>
      <c r="O8047" t="s">
        <v>992</v>
      </c>
      <c r="P8047" t="s">
        <v>133</v>
      </c>
      <c r="Q8047" t="s">
        <v>58</v>
      </c>
      <c r="R8047" t="str">
        <f>IFERROR(VLOOKUP(record[[#This Row],[PCUSTID]],廠商[],2,FALSE),"")</f>
        <v/>
      </c>
      <c r="S8047" t="str">
        <f>VLOOKUP(record[[#This Row],[employeeID]],員工[],2,FALSE)</f>
        <v>黎長維</v>
      </c>
    </row>
    <row r="8048" spans="6:19" hidden="1" x14ac:dyDescent="0.25">
      <c r="F8048" t="s">
        <v>989</v>
      </c>
      <c r="G8048" t="s">
        <v>463</v>
      </c>
      <c r="H8048" t="str">
        <f>VLOOKUP(record[[#This Row],[ProcessSN]],表格2_7[],2,FALSE)</f>
        <v>30-4118-018-XXX</v>
      </c>
      <c r="I8048" t="str">
        <f>VLOOKUP(record[[#This Row],[ProcessSN]],表格2_7[],3,FALSE)</f>
        <v>#00IQC</v>
      </c>
      <c r="J8048" t="s">
        <v>583</v>
      </c>
      <c r="K8048" s="195">
        <v>45884.699513888889</v>
      </c>
      <c r="L8048">
        <v>4960</v>
      </c>
      <c r="M8048">
        <v>0</v>
      </c>
      <c r="N8048" s="98" t="str">
        <f>IF(record[[#This Row],[Memo]]="Browser:chrome os:android","平板報工",IF(record[[#This Row],[Memo]]=0,"委外",record[[#This Row],[Memo]]))</f>
        <v/>
      </c>
      <c r="O8048" t="s">
        <v>58</v>
      </c>
      <c r="P8048" t="s">
        <v>109</v>
      </c>
      <c r="Q8048" t="s">
        <v>58</v>
      </c>
      <c r="R8048" t="str">
        <f>IFERROR(VLOOKUP(record[[#This Row],[PCUSTID]],廠商[],2,FALSE),"")</f>
        <v/>
      </c>
      <c r="S8048" t="str">
        <f>VLOOKUP(record[[#This Row],[employeeID]],員工[],2,FALSE)</f>
        <v>裴氏璧鳳</v>
      </c>
    </row>
    <row r="8049" spans="6:19" hidden="1" x14ac:dyDescent="0.25">
      <c r="F8049" t="s">
        <v>897</v>
      </c>
      <c r="G8049" t="s">
        <v>418</v>
      </c>
      <c r="H8049" t="str">
        <f>VLOOKUP(record[[#This Row],[ProcessSN]],表格2_7[],2,FALSE)</f>
        <v>30-4118-018-5XX</v>
      </c>
      <c r="I8049" t="str">
        <f>VLOOKUP(record[[#This Row],[ProcessSN]],表格2_7[],3,FALSE)</f>
        <v>#07</v>
      </c>
      <c r="J8049" t="s">
        <v>588</v>
      </c>
      <c r="K8049" s="195">
        <v>45884.663252314815</v>
      </c>
      <c r="L8049">
        <v>120</v>
      </c>
      <c r="M8049">
        <v>0</v>
      </c>
      <c r="N8049" s="98" t="str">
        <f>IF(record[[#This Row],[Memo]]="Browser:chrome os:android","平板報工",IF(record[[#This Row],[Memo]]=0,"委外",record[[#This Row],[Memo]]))</f>
        <v/>
      </c>
      <c r="O8049" t="s">
        <v>58</v>
      </c>
      <c r="P8049" t="s">
        <v>119</v>
      </c>
      <c r="Q8049" t="s">
        <v>58</v>
      </c>
      <c r="R8049" t="str">
        <f>IFERROR(VLOOKUP(record[[#This Row],[PCUSTID]],廠商[],2,FALSE),"")</f>
        <v/>
      </c>
      <c r="S8049" t="str">
        <f>VLOOKUP(record[[#This Row],[employeeID]],員工[],2,FALSE)</f>
        <v>廖俊彥</v>
      </c>
    </row>
    <row r="8050" spans="6:19" hidden="1" x14ac:dyDescent="0.25">
      <c r="F8050" t="s">
        <v>904</v>
      </c>
      <c r="G8050" t="s">
        <v>418</v>
      </c>
      <c r="H8050" t="str">
        <f>VLOOKUP(record[[#This Row],[ProcessSN]],表格2_7[],2,FALSE)</f>
        <v>30-4118-018-5XX</v>
      </c>
      <c r="I8050" t="str">
        <f>VLOOKUP(record[[#This Row],[ProcessSN]],表格2_7[],3,FALSE)</f>
        <v>#07</v>
      </c>
      <c r="J8050" t="s">
        <v>588</v>
      </c>
      <c r="K8050" s="195">
        <v>45884.663090277776</v>
      </c>
      <c r="L8050">
        <v>102</v>
      </c>
      <c r="M8050">
        <v>1</v>
      </c>
      <c r="N8050" s="98" t="str">
        <f>IF(record[[#This Row],[Memo]]="Browser:chrome os:android","平板報工",IF(record[[#This Row],[Memo]]=0,"委外",record[[#This Row],[Memo]]))</f>
        <v/>
      </c>
      <c r="O8050" t="s">
        <v>58</v>
      </c>
      <c r="P8050" t="s">
        <v>119</v>
      </c>
      <c r="Q8050" t="s">
        <v>58</v>
      </c>
      <c r="R8050" t="str">
        <f>IFERROR(VLOOKUP(record[[#This Row],[PCUSTID]],廠商[],2,FALSE),"")</f>
        <v/>
      </c>
      <c r="S8050" t="str">
        <f>VLOOKUP(record[[#This Row],[employeeID]],員工[],2,FALSE)</f>
        <v>廖俊彥</v>
      </c>
    </row>
    <row r="8051" spans="6:19" hidden="1" x14ac:dyDescent="0.25">
      <c r="F8051" t="s">
        <v>922</v>
      </c>
      <c r="G8051" t="s">
        <v>465</v>
      </c>
      <c r="H8051" t="str">
        <f>VLOOKUP(record[[#This Row],[ProcessSN]],表格2_7[],2,FALSE)</f>
        <v>30-4118-018-XXX</v>
      </c>
      <c r="I8051" t="str">
        <f>VLOOKUP(record[[#This Row],[ProcessSN]],表格2_7[],3,FALSE)</f>
        <v>#01-1</v>
      </c>
      <c r="J8051" t="s">
        <v>588</v>
      </c>
      <c r="K8051" s="195">
        <v>45884.662662037037</v>
      </c>
      <c r="L8051">
        <v>192</v>
      </c>
      <c r="M8051">
        <v>0</v>
      </c>
      <c r="N8051" s="98" t="str">
        <f>IF(record[[#This Row],[Memo]]="Browser:chrome os:android","平板報工",IF(record[[#This Row],[Memo]]=0,"委外",record[[#This Row],[Memo]]))</f>
        <v/>
      </c>
      <c r="O8051" t="s">
        <v>58</v>
      </c>
      <c r="P8051" t="s">
        <v>119</v>
      </c>
      <c r="Q8051" t="s">
        <v>58</v>
      </c>
      <c r="R8051" t="str">
        <f>IFERROR(VLOOKUP(record[[#This Row],[PCUSTID]],廠商[],2,FALSE),"")</f>
        <v/>
      </c>
      <c r="S8051" t="str">
        <f>VLOOKUP(record[[#This Row],[employeeID]],員工[],2,FALSE)</f>
        <v>廖俊彥</v>
      </c>
    </row>
    <row r="8052" spans="6:19" hidden="1" x14ac:dyDescent="0.25">
      <c r="F8052" t="s">
        <v>979</v>
      </c>
      <c r="G8052" t="s">
        <v>402</v>
      </c>
      <c r="H8052" t="str">
        <f>VLOOKUP(record[[#This Row],[ProcessSN]],表格2_7[],2,FALSE)</f>
        <v>30-4118-018-550</v>
      </c>
      <c r="I8052" t="str">
        <f>VLOOKUP(record[[#This Row],[ProcessSN]],表格2_7[],3,FALSE)</f>
        <v>#100STOCK</v>
      </c>
      <c r="J8052" t="s">
        <v>592</v>
      </c>
      <c r="K8052" s="195">
        <v>45884.599004629628</v>
      </c>
      <c r="L8052">
        <v>167</v>
      </c>
      <c r="M8052">
        <v>0</v>
      </c>
      <c r="N8052" s="98" t="str">
        <f>IF(record[[#This Row],[Memo]]="Browser:chrome os:android","平板報工",IF(record[[#This Row],[Memo]]=0,"委外",record[[#This Row],[Memo]]))</f>
        <v/>
      </c>
      <c r="O8052" t="s">
        <v>58</v>
      </c>
      <c r="P8052" t="s">
        <v>886</v>
      </c>
      <c r="Q8052" t="s">
        <v>58</v>
      </c>
      <c r="R8052" t="str">
        <f>IFERROR(VLOOKUP(record[[#This Row],[PCUSTID]],廠商[],2,FALSE),"")</f>
        <v/>
      </c>
      <c r="S8052" t="str">
        <f>VLOOKUP(record[[#This Row],[employeeID]],員工[],2,FALSE)</f>
        <v>謝蓁薰</v>
      </c>
    </row>
    <row r="8053" spans="6:19" hidden="1" x14ac:dyDescent="0.25">
      <c r="F8053" t="s">
        <v>978</v>
      </c>
      <c r="G8053" t="s">
        <v>402</v>
      </c>
      <c r="H8053" t="str">
        <f>VLOOKUP(record[[#This Row],[ProcessSN]],表格2_7[],2,FALSE)</f>
        <v>30-4118-018-550</v>
      </c>
      <c r="I8053" t="str">
        <f>VLOOKUP(record[[#This Row],[ProcessSN]],表格2_7[],3,FALSE)</f>
        <v>#100STOCK</v>
      </c>
      <c r="J8053" t="s">
        <v>592</v>
      </c>
      <c r="K8053" s="195">
        <v>45884.598807870374</v>
      </c>
      <c r="L8053">
        <v>139</v>
      </c>
      <c r="M8053">
        <v>0</v>
      </c>
      <c r="N8053" s="98" t="str">
        <f>IF(record[[#This Row],[Memo]]="Browser:chrome os:android","平板報工",IF(record[[#This Row],[Memo]]=0,"委外",record[[#This Row],[Memo]]))</f>
        <v/>
      </c>
      <c r="O8053" t="s">
        <v>58</v>
      </c>
      <c r="P8053" t="s">
        <v>886</v>
      </c>
      <c r="Q8053" t="s">
        <v>58</v>
      </c>
      <c r="R8053" t="str">
        <f>IFERROR(VLOOKUP(record[[#This Row],[PCUSTID]],廠商[],2,FALSE),"")</f>
        <v/>
      </c>
      <c r="S8053" t="str">
        <f>VLOOKUP(record[[#This Row],[employeeID]],員工[],2,FALSE)</f>
        <v>謝蓁薰</v>
      </c>
    </row>
    <row r="8054" spans="6:19" hidden="1" x14ac:dyDescent="0.25">
      <c r="F8054" t="s">
        <v>978</v>
      </c>
      <c r="G8054" t="s">
        <v>403</v>
      </c>
      <c r="H8054" t="str">
        <f>VLOOKUP(record[[#This Row],[ProcessSN]],表格2_7[],2,FALSE)</f>
        <v>30-4118-018-550</v>
      </c>
      <c r="I8054" t="str">
        <f>VLOOKUP(record[[#This Row],[ProcessSN]],表格2_7[],3,FALSE)</f>
        <v>#100SHIP</v>
      </c>
      <c r="J8054" t="s">
        <v>600</v>
      </c>
      <c r="K8054" s="195">
        <v>45884.592453703706</v>
      </c>
      <c r="L8054">
        <v>19</v>
      </c>
      <c r="M8054">
        <v>0</v>
      </c>
      <c r="N8054" s="98" t="str">
        <f>IF(record[[#This Row],[Memo]]="Browser:chrome os:android","平板報工",IF(record[[#This Row],[Memo]]=0,"委外",record[[#This Row],[Memo]]))</f>
        <v/>
      </c>
      <c r="O8054" t="s">
        <v>58</v>
      </c>
      <c r="P8054" t="s">
        <v>886</v>
      </c>
      <c r="Q8054" t="s">
        <v>58</v>
      </c>
      <c r="R8054" t="str">
        <f>IFERROR(VLOOKUP(record[[#This Row],[PCUSTID]],廠商[],2,FALSE),"")</f>
        <v/>
      </c>
      <c r="S8054" t="str">
        <f>VLOOKUP(record[[#This Row],[employeeID]],員工[],2,FALSE)</f>
        <v>謝蓁薰</v>
      </c>
    </row>
    <row r="8055" spans="6:19" hidden="1" x14ac:dyDescent="0.25">
      <c r="F8055" t="s">
        <v>978</v>
      </c>
      <c r="G8055" t="s">
        <v>402</v>
      </c>
      <c r="H8055" t="str">
        <f>VLOOKUP(record[[#This Row],[ProcessSN]],表格2_7[],2,FALSE)</f>
        <v>30-4118-018-550</v>
      </c>
      <c r="I8055" t="str">
        <f>VLOOKUP(record[[#This Row],[ProcessSN]],表格2_7[],3,FALSE)</f>
        <v>#100STOCK</v>
      </c>
      <c r="J8055" t="s">
        <v>592</v>
      </c>
      <c r="K8055" s="195">
        <v>45884.592349537037</v>
      </c>
      <c r="L8055">
        <v>19</v>
      </c>
      <c r="M8055">
        <v>0</v>
      </c>
      <c r="N8055" s="98" t="str">
        <f>IF(record[[#This Row],[Memo]]="Browser:chrome os:android","平板報工",IF(record[[#This Row],[Memo]]=0,"委外",record[[#This Row],[Memo]]))</f>
        <v/>
      </c>
      <c r="O8055" t="s">
        <v>58</v>
      </c>
      <c r="P8055" t="s">
        <v>886</v>
      </c>
      <c r="Q8055" t="s">
        <v>58</v>
      </c>
      <c r="R8055" t="str">
        <f>IFERROR(VLOOKUP(record[[#This Row],[PCUSTID]],廠商[],2,FALSE),"")</f>
        <v/>
      </c>
      <c r="S8055" t="str">
        <f>VLOOKUP(record[[#This Row],[employeeID]],員工[],2,FALSE)</f>
        <v>謝蓁薰</v>
      </c>
    </row>
    <row r="8056" spans="6:19" hidden="1" x14ac:dyDescent="0.25">
      <c r="F8056" t="s">
        <v>948</v>
      </c>
      <c r="G8056" t="s">
        <v>362</v>
      </c>
      <c r="H8056" t="str">
        <f>VLOOKUP(record[[#This Row],[ProcessSN]],表格2_7[],2,FALSE)</f>
        <v>30-4118-018-450</v>
      </c>
      <c r="I8056" t="str">
        <f>VLOOKUP(record[[#This Row],[ProcessSN]],表格2_7[],3,FALSE)</f>
        <v>#100SHIP</v>
      </c>
      <c r="J8056" t="s">
        <v>600</v>
      </c>
      <c r="K8056" s="195">
        <v>45884.592141203706</v>
      </c>
      <c r="L8056">
        <v>4</v>
      </c>
      <c r="M8056">
        <v>0</v>
      </c>
      <c r="N8056" s="98" t="str">
        <f>IF(record[[#This Row],[Memo]]="Browser:chrome os:android","平板報工",IF(record[[#This Row],[Memo]]=0,"委外",record[[#This Row],[Memo]]))</f>
        <v/>
      </c>
      <c r="O8056" t="s">
        <v>58</v>
      </c>
      <c r="P8056" t="s">
        <v>886</v>
      </c>
      <c r="Q8056" t="s">
        <v>58</v>
      </c>
      <c r="R8056" t="str">
        <f>IFERROR(VLOOKUP(record[[#This Row],[PCUSTID]],廠商[],2,FALSE),"")</f>
        <v/>
      </c>
      <c r="S8056" t="str">
        <f>VLOOKUP(record[[#This Row],[employeeID]],員工[],2,FALSE)</f>
        <v>謝蓁薰</v>
      </c>
    </row>
    <row r="8057" spans="6:19" hidden="1" x14ac:dyDescent="0.25">
      <c r="F8057" t="s">
        <v>945</v>
      </c>
      <c r="G8057" t="s">
        <v>361</v>
      </c>
      <c r="H8057" t="str">
        <f>VLOOKUP(record[[#This Row],[ProcessSN]],表格2_7[],2,FALSE)</f>
        <v>30-4118-018-450</v>
      </c>
      <c r="I8057" t="str">
        <f>VLOOKUP(record[[#This Row],[ProcessSN]],表格2_7[],3,FALSE)</f>
        <v>#100STOCK</v>
      </c>
      <c r="J8057" t="s">
        <v>592</v>
      </c>
      <c r="K8057" s="195">
        <v>45884.584305555552</v>
      </c>
      <c r="L8057">
        <v>302</v>
      </c>
      <c r="M8057">
        <v>0</v>
      </c>
      <c r="N8057" s="98" t="str">
        <f>IF(record[[#This Row],[Memo]]="Browser:chrome os:android","平板報工",IF(record[[#This Row],[Memo]]=0,"委外",record[[#This Row],[Memo]]))</f>
        <v/>
      </c>
      <c r="O8057" t="s">
        <v>58</v>
      </c>
      <c r="P8057" t="s">
        <v>886</v>
      </c>
      <c r="Q8057" t="s">
        <v>58</v>
      </c>
      <c r="R8057" t="str">
        <f>IFERROR(VLOOKUP(record[[#This Row],[PCUSTID]],廠商[],2,FALSE),"")</f>
        <v/>
      </c>
      <c r="S8057" t="str">
        <f>VLOOKUP(record[[#This Row],[employeeID]],員工[],2,FALSE)</f>
        <v>謝蓁薰</v>
      </c>
    </row>
    <row r="8058" spans="6:19" hidden="1" x14ac:dyDescent="0.25">
      <c r="F8058" t="s">
        <v>948</v>
      </c>
      <c r="G8058" t="s">
        <v>361</v>
      </c>
      <c r="H8058" t="str">
        <f>VLOOKUP(record[[#This Row],[ProcessSN]],表格2_7[],2,FALSE)</f>
        <v>30-4118-018-450</v>
      </c>
      <c r="I8058" t="str">
        <f>VLOOKUP(record[[#This Row],[ProcessSN]],表格2_7[],3,FALSE)</f>
        <v>#100STOCK</v>
      </c>
      <c r="J8058" t="s">
        <v>592</v>
      </c>
      <c r="K8058" s="195">
        <v>45884.583680555559</v>
      </c>
      <c r="L8058">
        <v>284</v>
      </c>
      <c r="M8058">
        <v>0</v>
      </c>
      <c r="N8058" s="98" t="str">
        <f>IF(record[[#This Row],[Memo]]="Browser:chrome os:android","平板報工",IF(record[[#This Row],[Memo]]=0,"委外",record[[#This Row],[Memo]]))</f>
        <v/>
      </c>
      <c r="O8058" t="s">
        <v>58</v>
      </c>
      <c r="P8058" t="s">
        <v>886</v>
      </c>
      <c r="Q8058" t="s">
        <v>58</v>
      </c>
      <c r="R8058" t="str">
        <f>IFERROR(VLOOKUP(record[[#This Row],[PCUSTID]],廠商[],2,FALSE),"")</f>
        <v/>
      </c>
      <c r="S8058" t="str">
        <f>VLOOKUP(record[[#This Row],[employeeID]],員工[],2,FALSE)</f>
        <v>謝蓁薰</v>
      </c>
    </row>
    <row r="8059" spans="6:19" hidden="1" x14ac:dyDescent="0.25">
      <c r="F8059" t="s">
        <v>989</v>
      </c>
      <c r="G8059" t="s">
        <v>462</v>
      </c>
      <c r="H8059" t="str">
        <f>VLOOKUP(record[[#This Row],[ProcessSN]],表格2_7[],2,FALSE)</f>
        <v>30-4118-018-XXX</v>
      </c>
      <c r="I8059" t="str">
        <f>VLOOKUP(record[[#This Row],[ProcessSN]],表格2_7[],3,FALSE)</f>
        <v>#00PICK</v>
      </c>
      <c r="J8059" t="s">
        <v>582</v>
      </c>
      <c r="K8059" s="195">
        <v>45884.48578703704</v>
      </c>
      <c r="L8059">
        <v>4960</v>
      </c>
      <c r="M8059">
        <v>0</v>
      </c>
      <c r="N8059" s="98" t="str">
        <f>IF(record[[#This Row],[Memo]]="Browser:chrome os:android","平板報工",IF(record[[#This Row],[Memo]]=0,"委外",record[[#This Row],[Memo]]))</f>
        <v/>
      </c>
      <c r="O8059" t="s">
        <v>58</v>
      </c>
      <c r="P8059" t="s">
        <v>196</v>
      </c>
      <c r="Q8059" t="s">
        <v>58</v>
      </c>
      <c r="R8059" t="str">
        <f>IFERROR(VLOOKUP(record[[#This Row],[PCUSTID]],廠商[],2,FALSE),"")</f>
        <v/>
      </c>
      <c r="S8059" t="str">
        <f>VLOOKUP(record[[#This Row],[employeeID]],員工[],2,FALSE)</f>
        <v>張淑惠</v>
      </c>
    </row>
    <row r="8060" spans="6:19" hidden="1" x14ac:dyDescent="0.25">
      <c r="F8060" t="s">
        <v>904</v>
      </c>
      <c r="G8060" t="s">
        <v>417</v>
      </c>
      <c r="H8060" t="str">
        <f>VLOOKUP(record[[#This Row],[ProcessSN]],表格2_7[],2,FALSE)</f>
        <v>30-4118-018-5XX</v>
      </c>
      <c r="I8060" t="str">
        <f>VLOOKUP(record[[#This Row],[ProcessSN]],表格2_7[],3,FALSE)</f>
        <v>#06</v>
      </c>
      <c r="J8060" t="s">
        <v>593</v>
      </c>
      <c r="K8060" s="195">
        <v>45884.460381944446</v>
      </c>
      <c r="L8060">
        <v>35</v>
      </c>
      <c r="M8060">
        <v>0</v>
      </c>
      <c r="N8060" s="98" t="str">
        <f>IF(record[[#This Row],[Memo]]="Browser:chrome os:android","平板報工",IF(record[[#This Row],[Memo]]=0,"委外",record[[#This Row],[Memo]]))</f>
        <v>料少16PCS</v>
      </c>
      <c r="O8060" t="s">
        <v>990</v>
      </c>
      <c r="P8060" t="s">
        <v>119</v>
      </c>
      <c r="Q8060" t="s">
        <v>58</v>
      </c>
      <c r="R8060" t="str">
        <f>IFERROR(VLOOKUP(record[[#This Row],[PCUSTID]],廠商[],2,FALSE),"")</f>
        <v/>
      </c>
      <c r="S8060" t="str">
        <f>VLOOKUP(record[[#This Row],[employeeID]],員工[],2,FALSE)</f>
        <v>廖俊彥</v>
      </c>
    </row>
    <row r="8061" spans="6:19" hidden="1" x14ac:dyDescent="0.25">
      <c r="F8061" t="s">
        <v>904</v>
      </c>
      <c r="G8061" t="s">
        <v>416</v>
      </c>
      <c r="H8061" t="str">
        <f>VLOOKUP(record[[#This Row],[ProcessSN]],表格2_7[],2,FALSE)</f>
        <v>30-4118-018-5XX</v>
      </c>
      <c r="I8061" t="str">
        <f>VLOOKUP(record[[#This Row],[ProcessSN]],表格2_7[],3,FALSE)</f>
        <v>#05</v>
      </c>
      <c r="J8061" t="s">
        <v>588</v>
      </c>
      <c r="K8061" s="195">
        <v>45884.458692129629</v>
      </c>
      <c r="L8061">
        <v>45</v>
      </c>
      <c r="M8061">
        <v>0</v>
      </c>
      <c r="N8061" s="98" t="str">
        <f>IF(record[[#This Row],[Memo]]="Browser:chrome os:android","平板報工",IF(record[[#This Row],[Memo]]=0,"委外",record[[#This Row],[Memo]]))</f>
        <v>補</v>
      </c>
      <c r="O8061" t="s">
        <v>690</v>
      </c>
      <c r="P8061" t="s">
        <v>119</v>
      </c>
      <c r="Q8061" t="s">
        <v>58</v>
      </c>
      <c r="R8061" t="str">
        <f>IFERROR(VLOOKUP(record[[#This Row],[PCUSTID]],廠商[],2,FALSE),"")</f>
        <v/>
      </c>
      <c r="S8061" t="str">
        <f>VLOOKUP(record[[#This Row],[employeeID]],員工[],2,FALSE)</f>
        <v>廖俊彥</v>
      </c>
    </row>
    <row r="8062" spans="6:19" hidden="1" x14ac:dyDescent="0.25">
      <c r="F8062" t="s">
        <v>904</v>
      </c>
      <c r="G8062" t="s">
        <v>415</v>
      </c>
      <c r="H8062" t="str">
        <f>VLOOKUP(record[[#This Row],[ProcessSN]],表格2_7[],2,FALSE)</f>
        <v>30-4118-018-5XX</v>
      </c>
      <c r="I8062" t="str">
        <f>VLOOKUP(record[[#This Row],[ProcessSN]],表格2_7[],3,FALSE)</f>
        <v>#04</v>
      </c>
      <c r="J8062" t="s">
        <v>588</v>
      </c>
      <c r="K8062" s="195">
        <v>45884.458425925928</v>
      </c>
      <c r="L8062">
        <v>12</v>
      </c>
      <c r="M8062">
        <v>0</v>
      </c>
      <c r="N8062" s="98" t="str">
        <f>IF(record[[#This Row],[Memo]]="Browser:chrome os:android","平板報工",IF(record[[#This Row],[Memo]]=0,"委外",record[[#This Row],[Memo]]))</f>
        <v>補</v>
      </c>
      <c r="O8062" t="s">
        <v>690</v>
      </c>
      <c r="P8062" t="s">
        <v>119</v>
      </c>
      <c r="Q8062" t="s">
        <v>58</v>
      </c>
      <c r="R8062" t="str">
        <f>IFERROR(VLOOKUP(record[[#This Row],[PCUSTID]],廠商[],2,FALSE),"")</f>
        <v/>
      </c>
      <c r="S8062" t="str">
        <f>VLOOKUP(record[[#This Row],[employeeID]],員工[],2,FALSE)</f>
        <v>廖俊彥</v>
      </c>
    </row>
    <row r="8063" spans="6:19" hidden="1" x14ac:dyDescent="0.25">
      <c r="F8063" t="s">
        <v>904</v>
      </c>
      <c r="G8063" t="s">
        <v>418</v>
      </c>
      <c r="H8063" t="str">
        <f>VLOOKUP(record[[#This Row],[ProcessSN]],表格2_7[],2,FALSE)</f>
        <v>30-4118-018-5XX</v>
      </c>
      <c r="I8063" t="str">
        <f>VLOOKUP(record[[#This Row],[ProcessSN]],表格2_7[],3,FALSE)</f>
        <v>#07</v>
      </c>
      <c r="J8063" t="s">
        <v>588</v>
      </c>
      <c r="K8063" s="195">
        <v>45884.314409722225</v>
      </c>
      <c r="L8063">
        <v>100</v>
      </c>
      <c r="M8063">
        <v>0</v>
      </c>
      <c r="N8063" s="98" t="str">
        <f>IF(record[[#This Row],[Memo]]="Browser:chrome os:android","平板報工",IF(record[[#This Row],[Memo]]=0,"委外",record[[#This Row],[Memo]]))</f>
        <v/>
      </c>
      <c r="O8063" t="s">
        <v>58</v>
      </c>
      <c r="P8063" t="s">
        <v>135</v>
      </c>
      <c r="Q8063" t="s">
        <v>58</v>
      </c>
      <c r="R8063" t="str">
        <f>IFERROR(VLOOKUP(record[[#This Row],[PCUSTID]],廠商[],2,FALSE),"")</f>
        <v/>
      </c>
      <c r="S8063" t="str">
        <f>VLOOKUP(record[[#This Row],[employeeID]],員工[],2,FALSE)</f>
        <v>阮士文</v>
      </c>
    </row>
    <row r="8064" spans="6:19" hidden="1" x14ac:dyDescent="0.25">
      <c r="F8064" t="s">
        <v>904</v>
      </c>
      <c r="G8064" t="s">
        <v>417</v>
      </c>
      <c r="H8064" t="str">
        <f>VLOOKUP(record[[#This Row],[ProcessSN]],表格2_7[],2,FALSE)</f>
        <v>30-4118-018-5XX</v>
      </c>
      <c r="I8064" t="str">
        <f>VLOOKUP(record[[#This Row],[ProcessSN]],表格2_7[],3,FALSE)</f>
        <v>#06</v>
      </c>
      <c r="J8064" t="s">
        <v>593</v>
      </c>
      <c r="K8064" s="195">
        <v>45884.31144675926</v>
      </c>
      <c r="L8064">
        <v>121</v>
      </c>
      <c r="M8064">
        <v>0</v>
      </c>
      <c r="N8064" s="98" t="str">
        <f>IF(record[[#This Row],[Memo]]="Browser:chrome os:android","平板報工",IF(record[[#This Row],[Memo]]=0,"委外",record[[#This Row],[Memo]]))</f>
        <v/>
      </c>
      <c r="O8064" t="s">
        <v>58</v>
      </c>
      <c r="P8064" t="s">
        <v>135</v>
      </c>
      <c r="Q8064" t="s">
        <v>58</v>
      </c>
      <c r="R8064" t="str">
        <f>IFERROR(VLOOKUP(record[[#This Row],[PCUSTID]],廠商[],2,FALSE),"")</f>
        <v/>
      </c>
      <c r="S8064" t="str">
        <f>VLOOKUP(record[[#This Row],[employeeID]],員工[],2,FALSE)</f>
        <v>阮士文</v>
      </c>
    </row>
    <row r="8065" spans="6:19" hidden="1" x14ac:dyDescent="0.25">
      <c r="F8065" t="s">
        <v>904</v>
      </c>
      <c r="G8065" t="s">
        <v>418</v>
      </c>
      <c r="H8065" t="str">
        <f>VLOOKUP(record[[#This Row],[ProcessSN]],表格2_7[],2,FALSE)</f>
        <v>30-4118-018-5XX</v>
      </c>
      <c r="I8065" t="str">
        <f>VLOOKUP(record[[#This Row],[ProcessSN]],表格2_7[],3,FALSE)</f>
        <v>#07</v>
      </c>
      <c r="J8065" t="s">
        <v>588</v>
      </c>
      <c r="K8065" s="195">
        <v>45884.146307870367</v>
      </c>
      <c r="L8065">
        <v>115</v>
      </c>
      <c r="M8065">
        <v>0</v>
      </c>
      <c r="N8065" s="98" t="str">
        <f>IF(record[[#This Row],[Memo]]="Browser:chrome os:android","平板報工",IF(record[[#This Row],[Memo]]=0,"委外",record[[#This Row],[Memo]]))</f>
        <v/>
      </c>
      <c r="O8065" t="s">
        <v>58</v>
      </c>
      <c r="P8065" t="s">
        <v>133</v>
      </c>
      <c r="Q8065" t="s">
        <v>58</v>
      </c>
      <c r="R8065" t="str">
        <f>IFERROR(VLOOKUP(record[[#This Row],[PCUSTID]],廠商[],2,FALSE),"")</f>
        <v/>
      </c>
      <c r="S8065" t="str">
        <f>VLOOKUP(record[[#This Row],[employeeID]],員工[],2,FALSE)</f>
        <v>黎長維</v>
      </c>
    </row>
    <row r="8066" spans="6:19" hidden="1" x14ac:dyDescent="0.25">
      <c r="F8066" t="s">
        <v>904</v>
      </c>
      <c r="G8066" t="s">
        <v>417</v>
      </c>
      <c r="H8066" t="str">
        <f>VLOOKUP(record[[#This Row],[ProcessSN]],表格2_7[],2,FALSE)</f>
        <v>30-4118-018-5XX</v>
      </c>
      <c r="I8066" t="str">
        <f>VLOOKUP(record[[#This Row],[ProcessSN]],表格2_7[],3,FALSE)</f>
        <v>#06</v>
      </c>
      <c r="J8066" t="s">
        <v>593</v>
      </c>
      <c r="K8066" s="195">
        <v>45883.959386574075</v>
      </c>
      <c r="L8066">
        <v>121</v>
      </c>
      <c r="M8066">
        <v>0</v>
      </c>
      <c r="N8066" s="98" t="str">
        <f>IF(record[[#This Row],[Memo]]="Browser:chrome os:android","平板報工",IF(record[[#This Row],[Memo]]=0,"委外",record[[#This Row],[Memo]]))</f>
        <v/>
      </c>
      <c r="O8066" t="s">
        <v>58</v>
      </c>
      <c r="P8066" t="s">
        <v>841</v>
      </c>
      <c r="Q8066" t="s">
        <v>58</v>
      </c>
      <c r="R8066" t="str">
        <f>IFERROR(VLOOKUP(record[[#This Row],[PCUSTID]],廠商[],2,FALSE),"")</f>
        <v/>
      </c>
      <c r="S8066" t="str">
        <f>VLOOKUP(record[[#This Row],[employeeID]],員工[],2,FALSE)</f>
        <v>范氏香</v>
      </c>
    </row>
    <row r="8067" spans="6:19" hidden="1" x14ac:dyDescent="0.25">
      <c r="F8067" t="s">
        <v>922</v>
      </c>
      <c r="G8067" t="s">
        <v>465</v>
      </c>
      <c r="H8067" t="str">
        <f>VLOOKUP(record[[#This Row],[ProcessSN]],表格2_7[],2,FALSE)</f>
        <v>30-4118-018-XXX</v>
      </c>
      <c r="I8067" t="str">
        <f>VLOOKUP(record[[#This Row],[ProcessSN]],表格2_7[],3,FALSE)</f>
        <v>#01-1</v>
      </c>
      <c r="J8067" t="s">
        <v>588</v>
      </c>
      <c r="K8067" s="195">
        <v>45883.954675925925</v>
      </c>
      <c r="L8067">
        <v>432</v>
      </c>
      <c r="M8067">
        <v>0</v>
      </c>
      <c r="N8067" s="98" t="str">
        <f>IF(record[[#This Row],[Memo]]="Browser:chrome os:android","平板報工",IF(record[[#This Row],[Memo]]=0,"委外",record[[#This Row],[Memo]]))</f>
        <v/>
      </c>
      <c r="O8067" t="s">
        <v>58</v>
      </c>
      <c r="P8067" t="s">
        <v>127</v>
      </c>
      <c r="Q8067" t="s">
        <v>58</v>
      </c>
      <c r="R8067" t="str">
        <f>IFERROR(VLOOKUP(record[[#This Row],[PCUSTID]],廠商[],2,FALSE),"")</f>
        <v/>
      </c>
      <c r="S8067" t="str">
        <f>VLOOKUP(record[[#This Row],[employeeID]],員工[],2,FALSE)</f>
        <v>潘雪梅</v>
      </c>
    </row>
    <row r="8068" spans="6:19" hidden="1" x14ac:dyDescent="0.25">
      <c r="F8068" t="s">
        <v>904</v>
      </c>
      <c r="G8068" t="s">
        <v>418</v>
      </c>
      <c r="H8068" t="str">
        <f>VLOOKUP(record[[#This Row],[ProcessSN]],表格2_7[],2,FALSE)</f>
        <v>30-4118-018-5XX</v>
      </c>
      <c r="I8068" t="str">
        <f>VLOOKUP(record[[#This Row],[ProcessSN]],表格2_7[],3,FALSE)</f>
        <v>#07</v>
      </c>
      <c r="J8068" t="s">
        <v>588</v>
      </c>
      <c r="K8068" s="195">
        <v>45883.918738425928</v>
      </c>
      <c r="L8068">
        <v>223</v>
      </c>
      <c r="M8068">
        <v>2</v>
      </c>
      <c r="N8068" s="98" t="str">
        <f>IF(record[[#This Row],[Memo]]="Browser:chrome os:android","平板報工",IF(record[[#This Row],[Memo]]=0,"委外",record[[#This Row],[Memo]]))</f>
        <v/>
      </c>
      <c r="O8068" t="s">
        <v>58</v>
      </c>
      <c r="P8068" t="s">
        <v>133</v>
      </c>
      <c r="Q8068" t="s">
        <v>58</v>
      </c>
      <c r="R8068" t="str">
        <f>IFERROR(VLOOKUP(record[[#This Row],[PCUSTID]],廠商[],2,FALSE),"")</f>
        <v/>
      </c>
      <c r="S8068" t="str">
        <f>VLOOKUP(record[[#This Row],[employeeID]],員工[],2,FALSE)</f>
        <v>黎長維</v>
      </c>
    </row>
    <row r="8069" spans="6:19" hidden="1" x14ac:dyDescent="0.25">
      <c r="F8069" t="s">
        <v>942</v>
      </c>
      <c r="G8069" t="s">
        <v>360</v>
      </c>
      <c r="H8069" t="str">
        <f>VLOOKUP(record[[#This Row],[ProcessSN]],表格2_7[],2,FALSE)</f>
        <v>30-4118-018-450</v>
      </c>
      <c r="I8069" t="str">
        <f>VLOOKUP(record[[#This Row],[ProcessSN]],表格2_7[],3,FALSE)</f>
        <v>#100OQC</v>
      </c>
      <c r="J8069" t="s">
        <v>599</v>
      </c>
      <c r="K8069" s="195">
        <v>45883.726354166669</v>
      </c>
      <c r="L8069">
        <v>161</v>
      </c>
      <c r="M8069">
        <v>0</v>
      </c>
      <c r="N8069" s="98" t="str">
        <f>IF(record[[#This Row],[Memo]]="Browser:chrome os:android","平板報工",IF(record[[#This Row],[Memo]]=0,"委外",record[[#This Row],[Memo]]))</f>
        <v/>
      </c>
      <c r="O8069" t="s">
        <v>58</v>
      </c>
      <c r="P8069" t="s">
        <v>121</v>
      </c>
      <c r="Q8069" t="s">
        <v>58</v>
      </c>
      <c r="R8069" t="str">
        <f>IFERROR(VLOOKUP(record[[#This Row],[PCUSTID]],廠商[],2,FALSE),"")</f>
        <v/>
      </c>
      <c r="S8069" t="str">
        <f>VLOOKUP(record[[#This Row],[employeeID]],員工[],2,FALSE)</f>
        <v>謝素卿</v>
      </c>
    </row>
    <row r="8070" spans="6:19" hidden="1" x14ac:dyDescent="0.25">
      <c r="F8070" t="s">
        <v>948</v>
      </c>
      <c r="G8070" t="s">
        <v>360</v>
      </c>
      <c r="H8070" t="str">
        <f>VLOOKUP(record[[#This Row],[ProcessSN]],表格2_7[],2,FALSE)</f>
        <v>30-4118-018-450</v>
      </c>
      <c r="I8070" t="str">
        <f>VLOOKUP(record[[#This Row],[ProcessSN]],表格2_7[],3,FALSE)</f>
        <v>#100OQC</v>
      </c>
      <c r="J8070" t="s">
        <v>599</v>
      </c>
      <c r="K8070" s="195">
        <v>45883.72619212963</v>
      </c>
      <c r="L8070">
        <v>11</v>
      </c>
      <c r="M8070">
        <v>0</v>
      </c>
      <c r="N8070" s="98" t="str">
        <f>IF(record[[#This Row],[Memo]]="Browser:chrome os:android","平板報工",IF(record[[#This Row],[Memo]]=0,"委外",record[[#This Row],[Memo]]))</f>
        <v/>
      </c>
      <c r="O8070" t="s">
        <v>58</v>
      </c>
      <c r="P8070" t="s">
        <v>121</v>
      </c>
      <c r="Q8070" t="s">
        <v>58</v>
      </c>
      <c r="R8070" t="str">
        <f>IFERROR(VLOOKUP(record[[#This Row],[PCUSTID]],廠商[],2,FALSE),"")</f>
        <v/>
      </c>
      <c r="S8070" t="str">
        <f>VLOOKUP(record[[#This Row],[employeeID]],員工[],2,FALSE)</f>
        <v>謝素卿</v>
      </c>
    </row>
    <row r="8071" spans="6:19" hidden="1" x14ac:dyDescent="0.25">
      <c r="F8071" t="s">
        <v>977</v>
      </c>
      <c r="G8071" t="s">
        <v>401</v>
      </c>
      <c r="H8071" t="str">
        <f>VLOOKUP(record[[#This Row],[ProcessSN]],表格2_7[],2,FALSE)</f>
        <v>30-4118-018-550</v>
      </c>
      <c r="I8071" t="str">
        <f>VLOOKUP(record[[#This Row],[ProcessSN]],表格2_7[],3,FALSE)</f>
        <v>#100OQC</v>
      </c>
      <c r="J8071" t="s">
        <v>599</v>
      </c>
      <c r="K8071" s="195">
        <v>45883.72556712963</v>
      </c>
      <c r="L8071">
        <v>4</v>
      </c>
      <c r="M8071">
        <v>0</v>
      </c>
      <c r="N8071" s="98" t="str">
        <f>IF(record[[#This Row],[Memo]]="Browser:chrome os:android","平板報工",IF(record[[#This Row],[Memo]]=0,"委外",record[[#This Row],[Memo]]))</f>
        <v/>
      </c>
      <c r="O8071" t="s">
        <v>58</v>
      </c>
      <c r="P8071" t="s">
        <v>121</v>
      </c>
      <c r="Q8071" t="s">
        <v>58</v>
      </c>
      <c r="R8071" t="str">
        <f>IFERROR(VLOOKUP(record[[#This Row],[PCUSTID]],廠商[],2,FALSE),"")</f>
        <v/>
      </c>
      <c r="S8071" t="str">
        <f>VLOOKUP(record[[#This Row],[employeeID]],員工[],2,FALSE)</f>
        <v>謝素卿</v>
      </c>
    </row>
    <row r="8072" spans="6:19" hidden="1" x14ac:dyDescent="0.25">
      <c r="F8072" t="s">
        <v>942</v>
      </c>
      <c r="G8072" t="s">
        <v>359</v>
      </c>
      <c r="H8072" t="str">
        <f>VLOOKUP(record[[#This Row],[ProcessSN]],表格2_7[],2,FALSE)</f>
        <v>30-4118-018-450</v>
      </c>
      <c r="I8072" t="str">
        <f>VLOOKUP(record[[#This Row],[ProcessSN]],表格2_7[],3,FALSE)</f>
        <v>#100</v>
      </c>
      <c r="J8072" t="s">
        <v>598</v>
      </c>
      <c r="K8072" s="195">
        <v>45883.68540509259</v>
      </c>
      <c r="L8072">
        <v>161</v>
      </c>
      <c r="M8072">
        <v>0</v>
      </c>
      <c r="N8072" s="98" t="str">
        <f>IF(record[[#This Row],[Memo]]="Browser:chrome os:android","平板報工",IF(record[[#This Row],[Memo]]=0,"委外",record[[#This Row],[Memo]]))</f>
        <v/>
      </c>
      <c r="O8072" t="s">
        <v>58</v>
      </c>
      <c r="P8072" t="s">
        <v>141</v>
      </c>
      <c r="Q8072" t="s">
        <v>58</v>
      </c>
      <c r="R8072" t="str">
        <f>IFERROR(VLOOKUP(record[[#This Row],[PCUSTID]],廠商[],2,FALSE),"")</f>
        <v/>
      </c>
      <c r="S8072" t="str">
        <f>VLOOKUP(record[[#This Row],[employeeID]],員工[],2,FALSE)</f>
        <v>蔣梅</v>
      </c>
    </row>
    <row r="8073" spans="6:19" hidden="1" x14ac:dyDescent="0.25">
      <c r="F8073" t="s">
        <v>948</v>
      </c>
      <c r="G8073" t="s">
        <v>359</v>
      </c>
      <c r="H8073" t="str">
        <f>VLOOKUP(record[[#This Row],[ProcessSN]],表格2_7[],2,FALSE)</f>
        <v>30-4118-018-450</v>
      </c>
      <c r="I8073" t="str">
        <f>VLOOKUP(record[[#This Row],[ProcessSN]],表格2_7[],3,FALSE)</f>
        <v>#100</v>
      </c>
      <c r="J8073" t="s">
        <v>598</v>
      </c>
      <c r="K8073" s="195">
        <v>45883.682708333334</v>
      </c>
      <c r="L8073">
        <v>11</v>
      </c>
      <c r="M8073">
        <v>0</v>
      </c>
      <c r="N8073" s="98" t="str">
        <f>IF(record[[#This Row],[Memo]]="Browser:chrome os:android","平板報工",IF(record[[#This Row],[Memo]]=0,"委外",record[[#This Row],[Memo]]))</f>
        <v/>
      </c>
      <c r="O8073" t="s">
        <v>58</v>
      </c>
      <c r="P8073" t="s">
        <v>141</v>
      </c>
      <c r="Q8073" t="s">
        <v>58</v>
      </c>
      <c r="R8073" t="str">
        <f>IFERROR(VLOOKUP(record[[#This Row],[PCUSTID]],廠商[],2,FALSE),"")</f>
        <v/>
      </c>
      <c r="S8073" t="str">
        <f>VLOOKUP(record[[#This Row],[employeeID]],員工[],2,FALSE)</f>
        <v>蔣梅</v>
      </c>
    </row>
    <row r="8074" spans="6:19" hidden="1" x14ac:dyDescent="0.25">
      <c r="F8074" t="s">
        <v>977</v>
      </c>
      <c r="G8074" t="s">
        <v>400</v>
      </c>
      <c r="H8074" t="str">
        <f>VLOOKUP(record[[#This Row],[ProcessSN]],表格2_7[],2,FALSE)</f>
        <v>30-4118-018-550</v>
      </c>
      <c r="I8074" t="str">
        <f>VLOOKUP(record[[#This Row],[ProcessSN]],表格2_7[],3,FALSE)</f>
        <v>#100</v>
      </c>
      <c r="J8074" t="s">
        <v>598</v>
      </c>
      <c r="K8074" s="195">
        <v>45883.681215277778</v>
      </c>
      <c r="L8074">
        <v>4</v>
      </c>
      <c r="M8074">
        <v>0</v>
      </c>
      <c r="N8074" s="98" t="str">
        <f>IF(record[[#This Row],[Memo]]="Browser:chrome os:android","平板報工",IF(record[[#This Row],[Memo]]=0,"委外",record[[#This Row],[Memo]]))</f>
        <v/>
      </c>
      <c r="O8074" t="s">
        <v>58</v>
      </c>
      <c r="P8074" t="s">
        <v>141</v>
      </c>
      <c r="Q8074" t="s">
        <v>58</v>
      </c>
      <c r="R8074" t="str">
        <f>IFERROR(VLOOKUP(record[[#This Row],[PCUSTID]],廠商[],2,FALSE),"")</f>
        <v/>
      </c>
      <c r="S8074" t="str">
        <f>VLOOKUP(record[[#This Row],[employeeID]],員工[],2,FALSE)</f>
        <v>蔣梅</v>
      </c>
    </row>
    <row r="8075" spans="6:19" hidden="1" x14ac:dyDescent="0.25">
      <c r="F8075" t="s">
        <v>904</v>
      </c>
      <c r="G8075" t="s">
        <v>417</v>
      </c>
      <c r="H8075" t="str">
        <f>VLOOKUP(record[[#This Row],[ProcessSN]],表格2_7[],2,FALSE)</f>
        <v>30-4118-018-5XX</v>
      </c>
      <c r="I8075" t="str">
        <f>VLOOKUP(record[[#This Row],[ProcessSN]],表格2_7[],3,FALSE)</f>
        <v>#06</v>
      </c>
      <c r="J8075" t="s">
        <v>593</v>
      </c>
      <c r="K8075" s="195">
        <v>45883.680358796293</v>
      </c>
      <c r="L8075">
        <v>121</v>
      </c>
      <c r="M8075">
        <v>1</v>
      </c>
      <c r="N8075" s="98" t="str">
        <f>IF(record[[#This Row],[Memo]]="Browser:chrome os:android","平板報工",IF(record[[#This Row],[Memo]]=0,"委外",record[[#This Row],[Memo]]))</f>
        <v/>
      </c>
      <c r="O8075" t="s">
        <v>58</v>
      </c>
      <c r="P8075" t="s">
        <v>119</v>
      </c>
      <c r="Q8075" t="s">
        <v>58</v>
      </c>
      <c r="R8075" t="str">
        <f>IFERROR(VLOOKUP(record[[#This Row],[PCUSTID]],廠商[],2,FALSE),"")</f>
        <v/>
      </c>
      <c r="S8075" t="str">
        <f>VLOOKUP(record[[#This Row],[employeeID]],員工[],2,FALSE)</f>
        <v>廖俊彥</v>
      </c>
    </row>
    <row r="8076" spans="6:19" hidden="1" x14ac:dyDescent="0.25">
      <c r="F8076" t="s">
        <v>904</v>
      </c>
      <c r="G8076" t="s">
        <v>418</v>
      </c>
      <c r="H8076" t="str">
        <f>VLOOKUP(record[[#This Row],[ProcessSN]],表格2_7[],2,FALSE)</f>
        <v>30-4118-018-5XX</v>
      </c>
      <c r="I8076" t="str">
        <f>VLOOKUP(record[[#This Row],[ProcessSN]],表格2_7[],3,FALSE)</f>
        <v>#07</v>
      </c>
      <c r="J8076" t="s">
        <v>588</v>
      </c>
      <c r="K8076" s="195">
        <v>45883.680162037039</v>
      </c>
      <c r="L8076">
        <v>189</v>
      </c>
      <c r="M8076">
        <v>2</v>
      </c>
      <c r="N8076" s="98" t="str">
        <f>IF(record[[#This Row],[Memo]]="Browser:chrome os:android","平板報工",IF(record[[#This Row],[Memo]]=0,"委外",record[[#This Row],[Memo]]))</f>
        <v/>
      </c>
      <c r="O8076" t="s">
        <v>58</v>
      </c>
      <c r="P8076" t="s">
        <v>119</v>
      </c>
      <c r="Q8076" t="s">
        <v>58</v>
      </c>
      <c r="R8076" t="str">
        <f>IFERROR(VLOOKUP(record[[#This Row],[PCUSTID]],廠商[],2,FALSE),"")</f>
        <v/>
      </c>
      <c r="S8076" t="str">
        <f>VLOOKUP(record[[#This Row],[employeeID]],員工[],2,FALSE)</f>
        <v>廖俊彥</v>
      </c>
    </row>
    <row r="8077" spans="6:19" hidden="1" x14ac:dyDescent="0.25">
      <c r="F8077" t="s">
        <v>948</v>
      </c>
      <c r="G8077" t="s">
        <v>358</v>
      </c>
      <c r="H8077" t="str">
        <f>VLOOKUP(record[[#This Row],[ProcessSN]],表格2_7[],2,FALSE)</f>
        <v>30-4118-018-450</v>
      </c>
      <c r="I8077" t="str">
        <f>VLOOKUP(record[[#This Row],[ProcessSN]],表格2_7[],3,FALSE)</f>
        <v>#08IQC</v>
      </c>
      <c r="J8077" t="s">
        <v>583</v>
      </c>
      <c r="K8077" s="195">
        <v>45883.678668981483</v>
      </c>
      <c r="L8077">
        <v>11</v>
      </c>
      <c r="M8077">
        <v>0</v>
      </c>
      <c r="N8077" s="98" t="str">
        <f>IF(record[[#This Row],[Memo]]="Browser:chrome os:android","平板報工",IF(record[[#This Row],[Memo]]=0,"委外",record[[#This Row],[Memo]]))</f>
        <v>覆回品</v>
      </c>
      <c r="O8077" t="s">
        <v>664</v>
      </c>
      <c r="P8077" t="s">
        <v>113</v>
      </c>
      <c r="Q8077" t="s">
        <v>58</v>
      </c>
      <c r="R8077" t="str">
        <f>IFERROR(VLOOKUP(record[[#This Row],[PCUSTID]],廠商[],2,FALSE),"")</f>
        <v/>
      </c>
      <c r="S8077" t="str">
        <f>VLOOKUP(record[[#This Row],[employeeID]],員工[],2,FALSE)</f>
        <v>王奕蓁</v>
      </c>
    </row>
    <row r="8078" spans="6:19" hidden="1" x14ac:dyDescent="0.25">
      <c r="F8078" t="s">
        <v>977</v>
      </c>
      <c r="G8078" t="s">
        <v>399</v>
      </c>
      <c r="H8078" t="str">
        <f>VLOOKUP(record[[#This Row],[ProcessSN]],表格2_7[],2,FALSE)</f>
        <v>30-4118-018-550</v>
      </c>
      <c r="I8078" t="str">
        <f>VLOOKUP(record[[#This Row],[ProcessSN]],表格2_7[],3,FALSE)</f>
        <v>#08IQC</v>
      </c>
      <c r="J8078" t="s">
        <v>583</v>
      </c>
      <c r="K8078" s="195">
        <v>45883.677418981482</v>
      </c>
      <c r="L8078">
        <v>4</v>
      </c>
      <c r="M8078">
        <v>0</v>
      </c>
      <c r="N8078" s="98" t="str">
        <f>IF(record[[#This Row],[Memo]]="Browser:chrome os:android","平板報工",IF(record[[#This Row],[Memo]]=0,"委外",record[[#This Row],[Memo]]))</f>
        <v>覆回品</v>
      </c>
      <c r="O8078" t="s">
        <v>664</v>
      </c>
      <c r="P8078" t="s">
        <v>113</v>
      </c>
      <c r="Q8078" t="s">
        <v>58</v>
      </c>
      <c r="R8078" t="str">
        <f>IFERROR(VLOOKUP(record[[#This Row],[PCUSTID]],廠商[],2,FALSE),"")</f>
        <v/>
      </c>
      <c r="S8078" t="str">
        <f>VLOOKUP(record[[#This Row],[employeeID]],員工[],2,FALSE)</f>
        <v>王奕蓁</v>
      </c>
    </row>
    <row r="8079" spans="6:19" hidden="1" x14ac:dyDescent="0.25">
      <c r="F8079" t="s">
        <v>942</v>
      </c>
      <c r="G8079" t="s">
        <v>358</v>
      </c>
      <c r="H8079" t="str">
        <f>VLOOKUP(record[[#This Row],[ProcessSN]],表格2_7[],2,FALSE)</f>
        <v>30-4118-018-450</v>
      </c>
      <c r="I8079" t="str">
        <f>VLOOKUP(record[[#This Row],[ProcessSN]],表格2_7[],3,FALSE)</f>
        <v>#08IQC</v>
      </c>
      <c r="J8079" t="s">
        <v>583</v>
      </c>
      <c r="K8079" s="195">
        <v>45883.677129629628</v>
      </c>
      <c r="L8079">
        <v>20</v>
      </c>
      <c r="M8079">
        <v>0</v>
      </c>
      <c r="N8079" s="98" t="str">
        <f>IF(record[[#This Row],[Memo]]="Browser:chrome os:android","平板報工",IF(record[[#This Row],[Memo]]=0,"委外",record[[#This Row],[Memo]]))</f>
        <v>覆回品</v>
      </c>
      <c r="O8079" t="s">
        <v>664</v>
      </c>
      <c r="P8079" t="s">
        <v>113</v>
      </c>
      <c r="Q8079" t="s">
        <v>58</v>
      </c>
      <c r="R8079" t="str">
        <f>IFERROR(VLOOKUP(record[[#This Row],[PCUSTID]],廠商[],2,FALSE),"")</f>
        <v/>
      </c>
      <c r="S8079" t="str">
        <f>VLOOKUP(record[[#This Row],[employeeID]],員工[],2,FALSE)</f>
        <v>王奕蓁</v>
      </c>
    </row>
    <row r="8080" spans="6:19" hidden="1" x14ac:dyDescent="0.25">
      <c r="F8080" t="s">
        <v>977</v>
      </c>
      <c r="G8080" t="s">
        <v>398</v>
      </c>
      <c r="H8080" t="str">
        <f>VLOOKUP(record[[#This Row],[ProcessSN]],表格2_7[],2,FALSE)</f>
        <v>30-4118-018-550</v>
      </c>
      <c r="I8080" t="str">
        <f>VLOOKUP(record[[#This Row],[ProcessSN]],表格2_7[],3,FALSE)</f>
        <v>#08RCV</v>
      </c>
      <c r="J8080" t="s">
        <v>591</v>
      </c>
      <c r="K8080" s="195">
        <v>45883.626481481479</v>
      </c>
      <c r="L8080">
        <v>4</v>
      </c>
      <c r="M8080">
        <v>-4</v>
      </c>
      <c r="N8080" s="98" t="str">
        <f>IF(record[[#This Row],[Memo]]="Browser:chrome os:android","平板報工",IF(record[[#This Row],[Memo]]=0,"委外",record[[#This Row],[Memo]]))</f>
        <v>覆回品</v>
      </c>
      <c r="O8080" t="s">
        <v>664</v>
      </c>
      <c r="P8080" t="s">
        <v>113</v>
      </c>
      <c r="R8080" t="str">
        <f>IFERROR(VLOOKUP(record[[#This Row],[PCUSTID]],廠商[],2,FALSE),"")</f>
        <v/>
      </c>
      <c r="S8080" t="str">
        <f>VLOOKUP(record[[#This Row],[employeeID]],員工[],2,FALSE)</f>
        <v>王奕蓁</v>
      </c>
    </row>
    <row r="8081" spans="6:19" hidden="1" x14ac:dyDescent="0.25">
      <c r="F8081" t="s">
        <v>942</v>
      </c>
      <c r="G8081" t="s">
        <v>357</v>
      </c>
      <c r="H8081" t="str">
        <f>VLOOKUP(record[[#This Row],[ProcessSN]],表格2_7[],2,FALSE)</f>
        <v>30-4118-018-450</v>
      </c>
      <c r="I8081" t="str">
        <f>VLOOKUP(record[[#This Row],[ProcessSN]],表格2_7[],3,FALSE)</f>
        <v>#08RCV</v>
      </c>
      <c r="J8081" t="s">
        <v>591</v>
      </c>
      <c r="K8081" s="195">
        <v>45883.543622685182</v>
      </c>
      <c r="L8081">
        <v>20</v>
      </c>
      <c r="M8081">
        <v>-20</v>
      </c>
      <c r="N8081" s="98" t="str">
        <f>IF(record[[#This Row],[Memo]]="Browser:chrome os:android","平板報工",IF(record[[#This Row],[Memo]]=0,"委外",record[[#This Row],[Memo]]))</f>
        <v>覆回品</v>
      </c>
      <c r="O8081" t="s">
        <v>664</v>
      </c>
      <c r="P8081" t="s">
        <v>113</v>
      </c>
      <c r="Q8081" t="s">
        <v>58</v>
      </c>
      <c r="R8081" t="str">
        <f>IFERROR(VLOOKUP(record[[#This Row],[PCUSTID]],廠商[],2,FALSE),"")</f>
        <v/>
      </c>
      <c r="S8081" t="str">
        <f>VLOOKUP(record[[#This Row],[employeeID]],員工[],2,FALSE)</f>
        <v>王奕蓁</v>
      </c>
    </row>
    <row r="8082" spans="6:19" hidden="1" x14ac:dyDescent="0.25">
      <c r="F8082" t="s">
        <v>948</v>
      </c>
      <c r="G8082" t="s">
        <v>357</v>
      </c>
      <c r="H8082" t="str">
        <f>VLOOKUP(record[[#This Row],[ProcessSN]],表格2_7[],2,FALSE)</f>
        <v>30-4118-018-450</v>
      </c>
      <c r="I8082" t="str">
        <f>VLOOKUP(record[[#This Row],[ProcessSN]],表格2_7[],3,FALSE)</f>
        <v>#08RCV</v>
      </c>
      <c r="J8082" t="s">
        <v>591</v>
      </c>
      <c r="K8082" s="195">
        <v>45883.478356481479</v>
      </c>
      <c r="L8082">
        <v>11</v>
      </c>
      <c r="M8082">
        <v>-11</v>
      </c>
      <c r="N8082" s="98" t="str">
        <f>IF(record[[#This Row],[Memo]]="Browser:chrome os:android","平板報工",IF(record[[#This Row],[Memo]]=0,"委外",record[[#This Row],[Memo]]))</f>
        <v>覆回品</v>
      </c>
      <c r="O8082" t="s">
        <v>664</v>
      </c>
      <c r="P8082" t="s">
        <v>113</v>
      </c>
      <c r="Q8082" t="s">
        <v>58</v>
      </c>
      <c r="R8082" t="str">
        <f>IFERROR(VLOOKUP(record[[#This Row],[PCUSTID]],廠商[],2,FALSE),"")</f>
        <v/>
      </c>
      <c r="S8082" t="str">
        <f>VLOOKUP(record[[#This Row],[employeeID]],員工[],2,FALSE)</f>
        <v>王奕蓁</v>
      </c>
    </row>
    <row r="8083" spans="6:19" hidden="1" x14ac:dyDescent="0.25">
      <c r="F8083" t="s">
        <v>864</v>
      </c>
      <c r="G8083" t="s">
        <v>452</v>
      </c>
      <c r="H8083" t="str">
        <f>VLOOKUP(record[[#This Row],[ProcessSN]],表格2_7[],2,FALSE)</f>
        <v>30-4118-018-6XX</v>
      </c>
      <c r="I8083" t="str">
        <f>VLOOKUP(record[[#This Row],[ProcessSN]],表格2_7[],3,FALSE)</f>
        <v>#07QC</v>
      </c>
      <c r="J8083" t="s">
        <v>589</v>
      </c>
      <c r="K8083" s="195">
        <v>45883.477106481485</v>
      </c>
      <c r="L8083">
        <v>0</v>
      </c>
      <c r="M8083">
        <v>11</v>
      </c>
      <c r="N8083" s="98" t="str">
        <f>IF(record[[#This Row],[Memo]]="Browser:chrome os:android","平板報工",IF(record[[#This Row],[Memo]]=0,"委外",record[[#This Row],[Memo]]))</f>
        <v/>
      </c>
      <c r="O8083" t="s">
        <v>58</v>
      </c>
      <c r="P8083" t="s">
        <v>141</v>
      </c>
      <c r="Q8083" t="s">
        <v>58</v>
      </c>
      <c r="R8083" t="str">
        <f>IFERROR(VLOOKUP(record[[#This Row],[PCUSTID]],廠商[],2,FALSE),"")</f>
        <v/>
      </c>
      <c r="S8083" t="str">
        <f>VLOOKUP(record[[#This Row],[employeeID]],員工[],2,FALSE)</f>
        <v>蔣梅</v>
      </c>
    </row>
    <row r="8084" spans="6:19" hidden="1" x14ac:dyDescent="0.25">
      <c r="F8084" t="s">
        <v>864</v>
      </c>
      <c r="G8084" t="s">
        <v>452</v>
      </c>
      <c r="H8084" t="str">
        <f>VLOOKUP(record[[#This Row],[ProcessSN]],表格2_7[],2,FALSE)</f>
        <v>30-4118-018-6XX</v>
      </c>
      <c r="I8084" t="str">
        <f>VLOOKUP(record[[#This Row],[ProcessSN]],表格2_7[],3,FALSE)</f>
        <v>#07QC</v>
      </c>
      <c r="J8084" t="s">
        <v>589</v>
      </c>
      <c r="K8084" s="195">
        <v>45883.476956018516</v>
      </c>
      <c r="L8084">
        <v>20</v>
      </c>
      <c r="M8084">
        <v>0</v>
      </c>
      <c r="N8084" s="98" t="str">
        <f>IF(record[[#This Row],[Memo]]="Browser:chrome os:android","平板報工",IF(record[[#This Row],[Memo]]=0,"委外",record[[#This Row],[Memo]]))</f>
        <v/>
      </c>
      <c r="O8084" t="s">
        <v>58</v>
      </c>
      <c r="P8084" t="s">
        <v>141</v>
      </c>
      <c r="Q8084" t="s">
        <v>58</v>
      </c>
      <c r="R8084" t="str">
        <f>IFERROR(VLOOKUP(record[[#This Row],[PCUSTID]],廠商[],2,FALSE),"")</f>
        <v/>
      </c>
      <c r="S8084" t="str">
        <f>VLOOKUP(record[[#This Row],[employeeID]],員工[],2,FALSE)</f>
        <v>蔣梅</v>
      </c>
    </row>
    <row r="8085" spans="6:19" hidden="1" x14ac:dyDescent="0.25">
      <c r="F8085" t="s">
        <v>900</v>
      </c>
      <c r="G8085" t="s">
        <v>453</v>
      </c>
      <c r="H8085" t="str">
        <f>VLOOKUP(record[[#This Row],[ProcessSN]],表格2_7[],2,FALSE)</f>
        <v>30-4118-018-6XX</v>
      </c>
      <c r="I8085" t="str">
        <f>VLOOKUP(record[[#This Row],[ProcessSN]],表格2_7[],3,FALSE)</f>
        <v>#07STOCK</v>
      </c>
      <c r="J8085" t="s">
        <v>592</v>
      </c>
      <c r="K8085" s="195">
        <v>45883.468807870369</v>
      </c>
      <c r="L8085">
        <v>331</v>
      </c>
      <c r="M8085">
        <v>0</v>
      </c>
      <c r="N8085" s="98" t="str">
        <f>IF(record[[#This Row],[Memo]]="Browser:chrome os:android","平板報工",IF(record[[#This Row],[Memo]]=0,"委外",record[[#This Row],[Memo]]))</f>
        <v/>
      </c>
      <c r="O8085" t="s">
        <v>58</v>
      </c>
      <c r="P8085" t="s">
        <v>196</v>
      </c>
      <c r="Q8085" t="s">
        <v>58</v>
      </c>
      <c r="R8085" t="str">
        <f>IFERROR(VLOOKUP(record[[#This Row],[PCUSTID]],廠商[],2,FALSE),"")</f>
        <v/>
      </c>
      <c r="S8085" t="str">
        <f>VLOOKUP(record[[#This Row],[employeeID]],員工[],2,FALSE)</f>
        <v>張淑惠</v>
      </c>
    </row>
    <row r="8086" spans="6:19" hidden="1" x14ac:dyDescent="0.25">
      <c r="F8086" t="s">
        <v>875</v>
      </c>
      <c r="G8086" t="s">
        <v>453</v>
      </c>
      <c r="H8086" t="str">
        <f>VLOOKUP(record[[#This Row],[ProcessSN]],表格2_7[],2,FALSE)</f>
        <v>30-4118-018-6XX</v>
      </c>
      <c r="I8086" t="str">
        <f>VLOOKUP(record[[#This Row],[ProcessSN]],表格2_7[],3,FALSE)</f>
        <v>#07STOCK</v>
      </c>
      <c r="J8086" t="s">
        <v>592</v>
      </c>
      <c r="K8086" s="195">
        <v>45883.468657407408</v>
      </c>
      <c r="L8086">
        <v>118</v>
      </c>
      <c r="M8086">
        <v>0</v>
      </c>
      <c r="N8086" s="98" t="str">
        <f>IF(record[[#This Row],[Memo]]="Browser:chrome os:android","平板報工",IF(record[[#This Row],[Memo]]=0,"委外",record[[#This Row],[Memo]]))</f>
        <v/>
      </c>
      <c r="O8086" t="s">
        <v>58</v>
      </c>
      <c r="P8086" t="s">
        <v>196</v>
      </c>
      <c r="Q8086" t="s">
        <v>58</v>
      </c>
      <c r="R8086" t="str">
        <f>IFERROR(VLOOKUP(record[[#This Row],[PCUSTID]],廠商[],2,FALSE),"")</f>
        <v/>
      </c>
      <c r="S8086" t="str">
        <f>VLOOKUP(record[[#This Row],[employeeID]],員工[],2,FALSE)</f>
        <v>張淑惠</v>
      </c>
    </row>
    <row r="8087" spans="6:19" hidden="1" x14ac:dyDescent="0.25">
      <c r="F8087" t="s">
        <v>864</v>
      </c>
      <c r="G8087" t="s">
        <v>453</v>
      </c>
      <c r="H8087" t="str">
        <f>VLOOKUP(record[[#This Row],[ProcessSN]],表格2_7[],2,FALSE)</f>
        <v>30-4118-018-6XX</v>
      </c>
      <c r="I8087" t="str">
        <f>VLOOKUP(record[[#This Row],[ProcessSN]],表格2_7[],3,FALSE)</f>
        <v>#07STOCK</v>
      </c>
      <c r="J8087" t="s">
        <v>592</v>
      </c>
      <c r="K8087" s="195">
        <v>45883.468460648146</v>
      </c>
      <c r="L8087">
        <v>20</v>
      </c>
      <c r="M8087">
        <v>0</v>
      </c>
      <c r="N8087" s="98" t="str">
        <f>IF(record[[#This Row],[Memo]]="Browser:chrome os:android","平板報工",IF(record[[#This Row],[Memo]]=0,"委外",record[[#This Row],[Memo]]))</f>
        <v/>
      </c>
      <c r="O8087" t="s">
        <v>58</v>
      </c>
      <c r="P8087" t="s">
        <v>196</v>
      </c>
      <c r="Q8087" t="s">
        <v>58</v>
      </c>
      <c r="R8087" t="str">
        <f>IFERROR(VLOOKUP(record[[#This Row],[PCUSTID]],廠商[],2,FALSE),"")</f>
        <v/>
      </c>
      <c r="S8087" t="str">
        <f>VLOOKUP(record[[#This Row],[employeeID]],員工[],2,FALSE)</f>
        <v>張淑惠</v>
      </c>
    </row>
    <row r="8088" spans="6:19" hidden="1" x14ac:dyDescent="0.25">
      <c r="F8088" t="s">
        <v>984</v>
      </c>
      <c r="G8088" t="s">
        <v>421</v>
      </c>
      <c r="H8088" t="str">
        <f>VLOOKUP(record[[#This Row],[ProcessSN]],表格2_7[],2,FALSE)</f>
        <v>30-4118-018-600</v>
      </c>
      <c r="I8088" t="str">
        <f>VLOOKUP(record[[#This Row],[ProcessSN]],表格2_7[],3,FALSE)</f>
        <v>#08PICK</v>
      </c>
      <c r="J8088" t="s">
        <v>582</v>
      </c>
      <c r="K8088" s="195">
        <v>45883.466053240743</v>
      </c>
      <c r="L8088">
        <v>413</v>
      </c>
      <c r="M8088">
        <v>0</v>
      </c>
      <c r="N8088" s="98" t="str">
        <f>IF(record[[#This Row],[Memo]]="Browser:chrome os:android","平板報工",IF(record[[#This Row],[Memo]]=0,"委外",record[[#This Row],[Memo]]))</f>
        <v/>
      </c>
      <c r="O8088" t="s">
        <v>58</v>
      </c>
      <c r="P8088" t="s">
        <v>196</v>
      </c>
      <c r="Q8088" t="s">
        <v>58</v>
      </c>
      <c r="R8088" t="str">
        <f>IFERROR(VLOOKUP(record[[#This Row],[PCUSTID]],廠商[],2,FALSE),"")</f>
        <v/>
      </c>
      <c r="S8088" t="str">
        <f>VLOOKUP(record[[#This Row],[employeeID]],員工[],2,FALSE)</f>
        <v>張淑惠</v>
      </c>
    </row>
    <row r="8089" spans="6:19" hidden="1" x14ac:dyDescent="0.25">
      <c r="F8089" t="s">
        <v>864</v>
      </c>
      <c r="G8089" t="s">
        <v>451</v>
      </c>
      <c r="H8089" t="str">
        <f>VLOOKUP(record[[#This Row],[ProcessSN]],表格2_7[],2,FALSE)</f>
        <v>30-4118-018-6XX</v>
      </c>
      <c r="I8089" t="str">
        <f>VLOOKUP(record[[#This Row],[ProcessSN]],表格2_7[],3,FALSE)</f>
        <v>#07</v>
      </c>
      <c r="J8089" t="s">
        <v>588</v>
      </c>
      <c r="K8089" s="195">
        <v>45883.458796296298</v>
      </c>
      <c r="L8089">
        <v>31</v>
      </c>
      <c r="M8089">
        <v>0</v>
      </c>
      <c r="N8089" s="98" t="str">
        <f>IF(record[[#This Row],[Memo]]="Browser:chrome os:android","平板報工",IF(record[[#This Row],[Memo]]=0,"委外",record[[#This Row],[Memo]]))</f>
        <v/>
      </c>
      <c r="O8089" t="s">
        <v>58</v>
      </c>
      <c r="P8089" t="s">
        <v>119</v>
      </c>
      <c r="Q8089" t="s">
        <v>58</v>
      </c>
      <c r="R8089" t="str">
        <f>IFERROR(VLOOKUP(record[[#This Row],[PCUSTID]],廠商[],2,FALSE),"")</f>
        <v/>
      </c>
      <c r="S8089" t="str">
        <f>VLOOKUP(record[[#This Row],[employeeID]],員工[],2,FALSE)</f>
        <v>廖俊彥</v>
      </c>
    </row>
    <row r="8090" spans="6:19" hidden="1" x14ac:dyDescent="0.25">
      <c r="F8090" t="s">
        <v>864</v>
      </c>
      <c r="G8090" t="s">
        <v>450</v>
      </c>
      <c r="H8090" t="str">
        <f>VLOOKUP(record[[#This Row],[ProcessSN]],表格2_7[],2,FALSE)</f>
        <v>30-4118-018-6XX</v>
      </c>
      <c r="I8090" t="str">
        <f>VLOOKUP(record[[#This Row],[ProcessSN]],表格2_7[],3,FALSE)</f>
        <v>#06</v>
      </c>
      <c r="J8090" t="s">
        <v>593</v>
      </c>
      <c r="K8090" s="195">
        <v>45883.458680555559</v>
      </c>
      <c r="L8090">
        <v>31</v>
      </c>
      <c r="M8090">
        <v>4</v>
      </c>
      <c r="N8090" s="98" t="str">
        <f>IF(record[[#This Row],[Memo]]="Browser:chrome os:android","平板報工",IF(record[[#This Row],[Memo]]=0,"委外",record[[#This Row],[Memo]]))</f>
        <v/>
      </c>
      <c r="O8090" t="s">
        <v>58</v>
      </c>
      <c r="P8090" t="s">
        <v>119</v>
      </c>
      <c r="Q8090" t="s">
        <v>58</v>
      </c>
      <c r="R8090" t="str">
        <f>IFERROR(VLOOKUP(record[[#This Row],[PCUSTID]],廠商[],2,FALSE),"")</f>
        <v/>
      </c>
      <c r="S8090" t="str">
        <f>VLOOKUP(record[[#This Row],[employeeID]],員工[],2,FALSE)</f>
        <v>廖俊彥</v>
      </c>
    </row>
    <row r="8091" spans="6:19" hidden="1" x14ac:dyDescent="0.25">
      <c r="F8091" t="s">
        <v>864</v>
      </c>
      <c r="G8091" t="s">
        <v>449</v>
      </c>
      <c r="H8091" t="str">
        <f>VLOOKUP(record[[#This Row],[ProcessSN]],表格2_7[],2,FALSE)</f>
        <v>30-4118-018-6XX</v>
      </c>
      <c r="I8091" t="str">
        <f>VLOOKUP(record[[#This Row],[ProcessSN]],表格2_7[],3,FALSE)</f>
        <v>#05</v>
      </c>
      <c r="J8091" t="s">
        <v>588</v>
      </c>
      <c r="K8091" s="195">
        <v>45883.45853009259</v>
      </c>
      <c r="L8091">
        <v>32</v>
      </c>
      <c r="M8091">
        <v>0</v>
      </c>
      <c r="N8091" s="98" t="str">
        <f>IF(record[[#This Row],[Memo]]="Browser:chrome os:android","平板報工",IF(record[[#This Row],[Memo]]=0,"委外",record[[#This Row],[Memo]]))</f>
        <v/>
      </c>
      <c r="O8091" t="s">
        <v>58</v>
      </c>
      <c r="P8091" t="s">
        <v>119</v>
      </c>
      <c r="Q8091" t="s">
        <v>58</v>
      </c>
      <c r="R8091" t="str">
        <f>IFERROR(VLOOKUP(record[[#This Row],[PCUSTID]],廠商[],2,FALSE),"")</f>
        <v/>
      </c>
      <c r="S8091" t="str">
        <f>VLOOKUP(record[[#This Row],[employeeID]],員工[],2,FALSE)</f>
        <v>廖俊彥</v>
      </c>
    </row>
    <row r="8092" spans="6:19" hidden="1" x14ac:dyDescent="0.25">
      <c r="F8092" t="s">
        <v>900</v>
      </c>
      <c r="G8092" t="s">
        <v>452</v>
      </c>
      <c r="H8092" t="str">
        <f>VLOOKUP(record[[#This Row],[ProcessSN]],表格2_7[],2,FALSE)</f>
        <v>30-4118-018-6XX</v>
      </c>
      <c r="I8092" t="str">
        <f>VLOOKUP(record[[#This Row],[ProcessSN]],表格2_7[],3,FALSE)</f>
        <v>#07QC</v>
      </c>
      <c r="J8092" t="s">
        <v>589</v>
      </c>
      <c r="K8092" s="195">
        <v>45883.448761574073</v>
      </c>
      <c r="L8092">
        <v>331</v>
      </c>
      <c r="M8092">
        <v>0</v>
      </c>
      <c r="N8092" s="98" t="str">
        <f>IF(record[[#This Row],[Memo]]="Browser:chrome os:android","平板報工",IF(record[[#This Row],[Memo]]=0,"委外",record[[#This Row],[Memo]]))</f>
        <v/>
      </c>
      <c r="O8092" t="s">
        <v>58</v>
      </c>
      <c r="P8092" t="s">
        <v>141</v>
      </c>
      <c r="Q8092" t="s">
        <v>58</v>
      </c>
      <c r="R8092" t="str">
        <f>IFERROR(VLOOKUP(record[[#This Row],[PCUSTID]],廠商[],2,FALSE),"")</f>
        <v/>
      </c>
      <c r="S8092" t="str">
        <f>VLOOKUP(record[[#This Row],[employeeID]],員工[],2,FALSE)</f>
        <v>蔣梅</v>
      </c>
    </row>
    <row r="8093" spans="6:19" hidden="1" x14ac:dyDescent="0.25">
      <c r="F8093" t="s">
        <v>875</v>
      </c>
      <c r="G8093" t="s">
        <v>452</v>
      </c>
      <c r="H8093" t="str">
        <f>VLOOKUP(record[[#This Row],[ProcessSN]],表格2_7[],2,FALSE)</f>
        <v>30-4118-018-6XX</v>
      </c>
      <c r="I8093" t="str">
        <f>VLOOKUP(record[[#This Row],[ProcessSN]],表格2_7[],3,FALSE)</f>
        <v>#07QC</v>
      </c>
      <c r="J8093" t="s">
        <v>589</v>
      </c>
      <c r="K8093" s="195">
        <v>45883.448495370372</v>
      </c>
      <c r="L8093">
        <v>118</v>
      </c>
      <c r="M8093">
        <v>0</v>
      </c>
      <c r="N8093" s="98" t="str">
        <f>IF(record[[#This Row],[Memo]]="Browser:chrome os:android","平板報工",IF(record[[#This Row],[Memo]]=0,"委外",record[[#This Row],[Memo]]))</f>
        <v/>
      </c>
      <c r="O8093" t="s">
        <v>58</v>
      </c>
      <c r="P8093" t="s">
        <v>141</v>
      </c>
      <c r="Q8093" t="s">
        <v>58</v>
      </c>
      <c r="R8093" t="str">
        <f>IFERROR(VLOOKUP(record[[#This Row],[PCUSTID]],廠商[],2,FALSE),"")</f>
        <v/>
      </c>
      <c r="S8093" t="str">
        <f>VLOOKUP(record[[#This Row],[employeeID]],員工[],2,FALSE)</f>
        <v>蔣梅</v>
      </c>
    </row>
    <row r="8094" spans="6:19" hidden="1" x14ac:dyDescent="0.25">
      <c r="F8094" t="s">
        <v>900</v>
      </c>
      <c r="G8094" t="s">
        <v>451</v>
      </c>
      <c r="H8094" t="str">
        <f>VLOOKUP(record[[#This Row],[ProcessSN]],表格2_7[],2,FALSE)</f>
        <v>30-4118-018-6XX</v>
      </c>
      <c r="I8094" t="str">
        <f>VLOOKUP(record[[#This Row],[ProcessSN]],表格2_7[],3,FALSE)</f>
        <v>#07</v>
      </c>
      <c r="J8094" t="s">
        <v>588</v>
      </c>
      <c r="K8094" s="195">
        <v>45883.328263888892</v>
      </c>
      <c r="L8094">
        <v>6</v>
      </c>
      <c r="M8094">
        <v>0</v>
      </c>
      <c r="N8094" s="98" t="str">
        <f>IF(record[[#This Row],[Memo]]="Browser:chrome os:android","平板報工",IF(record[[#This Row],[Memo]]=0,"委外",record[[#This Row],[Memo]]))</f>
        <v/>
      </c>
      <c r="O8094" t="s">
        <v>58</v>
      </c>
      <c r="P8094" t="s">
        <v>119</v>
      </c>
      <c r="Q8094" t="s">
        <v>58</v>
      </c>
      <c r="R8094" t="str">
        <f>IFERROR(VLOOKUP(record[[#This Row],[PCUSTID]],廠商[],2,FALSE),"")</f>
        <v/>
      </c>
      <c r="S8094" t="str">
        <f>VLOOKUP(record[[#This Row],[employeeID]],員工[],2,FALSE)</f>
        <v>廖俊彥</v>
      </c>
    </row>
    <row r="8095" spans="6:19" hidden="1" x14ac:dyDescent="0.25">
      <c r="F8095" t="s">
        <v>900</v>
      </c>
      <c r="G8095" t="s">
        <v>450</v>
      </c>
      <c r="H8095" t="str">
        <f>VLOOKUP(record[[#This Row],[ProcessSN]],表格2_7[],2,FALSE)</f>
        <v>30-4118-018-6XX</v>
      </c>
      <c r="I8095" t="str">
        <f>VLOOKUP(record[[#This Row],[ProcessSN]],表格2_7[],3,FALSE)</f>
        <v>#06</v>
      </c>
      <c r="J8095" t="s">
        <v>593</v>
      </c>
      <c r="K8095" s="195">
        <v>45883.327719907407</v>
      </c>
      <c r="L8095">
        <v>6</v>
      </c>
      <c r="M8095">
        <v>0</v>
      </c>
      <c r="N8095" s="98" t="str">
        <f>IF(record[[#This Row],[Memo]]="Browser:chrome os:android","平板報工",IF(record[[#This Row],[Memo]]=0,"委外",record[[#This Row],[Memo]]))</f>
        <v/>
      </c>
      <c r="O8095" t="s">
        <v>58</v>
      </c>
      <c r="P8095" t="s">
        <v>119</v>
      </c>
      <c r="Q8095" t="s">
        <v>58</v>
      </c>
      <c r="R8095" t="str">
        <f>IFERROR(VLOOKUP(record[[#This Row],[PCUSTID]],廠商[],2,FALSE),"")</f>
        <v/>
      </c>
      <c r="S8095" t="str">
        <f>VLOOKUP(record[[#This Row],[employeeID]],員工[],2,FALSE)</f>
        <v>廖俊彥</v>
      </c>
    </row>
    <row r="8096" spans="6:19" hidden="1" x14ac:dyDescent="0.25">
      <c r="F8096" t="s">
        <v>904</v>
      </c>
      <c r="G8096" t="s">
        <v>417</v>
      </c>
      <c r="H8096" t="str">
        <f>VLOOKUP(record[[#This Row],[ProcessSN]],表格2_7[],2,FALSE)</f>
        <v>30-4118-018-5XX</v>
      </c>
      <c r="I8096" t="str">
        <f>VLOOKUP(record[[#This Row],[ProcessSN]],表格2_7[],3,FALSE)</f>
        <v>#06</v>
      </c>
      <c r="J8096" t="s">
        <v>593</v>
      </c>
      <c r="K8096" s="195">
        <v>45883.323194444441</v>
      </c>
      <c r="L8096">
        <v>60</v>
      </c>
      <c r="M8096">
        <v>0</v>
      </c>
      <c r="N8096" s="98" t="str">
        <f>IF(record[[#This Row],[Memo]]="Browser:chrome os:android","平板報工",IF(record[[#This Row],[Memo]]=0,"委外",record[[#This Row],[Memo]]))</f>
        <v/>
      </c>
      <c r="O8096" t="s">
        <v>58</v>
      </c>
      <c r="P8096" t="s">
        <v>135</v>
      </c>
      <c r="Q8096" t="s">
        <v>58</v>
      </c>
      <c r="R8096" t="str">
        <f>IFERROR(VLOOKUP(record[[#This Row],[PCUSTID]],廠商[],2,FALSE),"")</f>
        <v/>
      </c>
      <c r="S8096" t="str">
        <f>VLOOKUP(record[[#This Row],[employeeID]],員工[],2,FALSE)</f>
        <v>阮士文</v>
      </c>
    </row>
    <row r="8097" spans="6:19" hidden="1" x14ac:dyDescent="0.25">
      <c r="F8097" t="s">
        <v>904</v>
      </c>
      <c r="G8097" t="s">
        <v>416</v>
      </c>
      <c r="H8097" t="str">
        <f>VLOOKUP(record[[#This Row],[ProcessSN]],表格2_7[],2,FALSE)</f>
        <v>30-4118-018-5XX</v>
      </c>
      <c r="I8097" t="str">
        <f>VLOOKUP(record[[#This Row],[ProcessSN]],表格2_7[],3,FALSE)</f>
        <v>#05</v>
      </c>
      <c r="J8097" t="s">
        <v>588</v>
      </c>
      <c r="K8097" s="195">
        <v>45883.31790509259</v>
      </c>
      <c r="L8097">
        <v>85</v>
      </c>
      <c r="M8097">
        <v>0</v>
      </c>
      <c r="N8097" s="98" t="str">
        <f>IF(record[[#This Row],[Memo]]="Browser:chrome os:android","平板報工",IF(record[[#This Row],[Memo]]=0,"委外",record[[#This Row],[Memo]]))</f>
        <v/>
      </c>
      <c r="O8097" t="s">
        <v>58</v>
      </c>
      <c r="P8097" t="s">
        <v>135</v>
      </c>
      <c r="Q8097" t="s">
        <v>58</v>
      </c>
      <c r="R8097" t="str">
        <f>IFERROR(VLOOKUP(record[[#This Row],[PCUSTID]],廠商[],2,FALSE),"")</f>
        <v/>
      </c>
      <c r="S8097" t="str">
        <f>VLOOKUP(record[[#This Row],[employeeID]],員工[],2,FALSE)</f>
        <v>阮士文</v>
      </c>
    </row>
    <row r="8098" spans="6:19" hidden="1" x14ac:dyDescent="0.25">
      <c r="F8098" t="s">
        <v>945</v>
      </c>
      <c r="G8098" t="s">
        <v>360</v>
      </c>
      <c r="H8098" t="str">
        <f>VLOOKUP(record[[#This Row],[ProcessSN]],表格2_7[],2,FALSE)</f>
        <v>30-4118-018-450</v>
      </c>
      <c r="I8098" t="str">
        <f>VLOOKUP(record[[#This Row],[ProcessSN]],表格2_7[],3,FALSE)</f>
        <v>#100OQC</v>
      </c>
      <c r="J8098" t="s">
        <v>599</v>
      </c>
      <c r="K8098" s="195">
        <v>45883.315034722225</v>
      </c>
      <c r="L8098">
        <v>302</v>
      </c>
      <c r="M8098">
        <v>0</v>
      </c>
      <c r="N8098" s="98" t="str">
        <f>IF(record[[#This Row],[Memo]]="Browser:chrome os:android","平板報工",IF(record[[#This Row],[Memo]]=0,"委外",record[[#This Row],[Memo]]))</f>
        <v/>
      </c>
      <c r="O8098" t="s">
        <v>58</v>
      </c>
      <c r="P8098" t="s">
        <v>121</v>
      </c>
      <c r="Q8098" t="s">
        <v>58</v>
      </c>
      <c r="R8098" t="str">
        <f>IFERROR(VLOOKUP(record[[#This Row],[PCUSTID]],廠商[],2,FALSE),"")</f>
        <v/>
      </c>
      <c r="S8098" t="str">
        <f>VLOOKUP(record[[#This Row],[employeeID]],員工[],2,FALSE)</f>
        <v>謝素卿</v>
      </c>
    </row>
    <row r="8099" spans="6:19" hidden="1" x14ac:dyDescent="0.25">
      <c r="F8099" t="s">
        <v>904</v>
      </c>
      <c r="G8099" t="s">
        <v>417</v>
      </c>
      <c r="H8099" t="str">
        <f>VLOOKUP(record[[#This Row],[ProcessSN]],表格2_7[],2,FALSE)</f>
        <v>30-4118-018-5XX</v>
      </c>
      <c r="I8099" t="str">
        <f>VLOOKUP(record[[#This Row],[ProcessSN]],表格2_7[],3,FALSE)</f>
        <v>#06</v>
      </c>
      <c r="J8099" t="s">
        <v>593</v>
      </c>
      <c r="K8099" s="195">
        <v>45883.146192129629</v>
      </c>
      <c r="L8099">
        <v>61</v>
      </c>
      <c r="M8099">
        <v>0</v>
      </c>
      <c r="N8099" s="98" t="str">
        <f>IF(record[[#This Row],[Memo]]="Browser:chrome os:android","平板報工",IF(record[[#This Row],[Memo]]=0,"委外",record[[#This Row],[Memo]]))</f>
        <v/>
      </c>
      <c r="O8099" t="s">
        <v>58</v>
      </c>
      <c r="P8099" t="s">
        <v>841</v>
      </c>
      <c r="Q8099" t="s">
        <v>58</v>
      </c>
      <c r="R8099" t="str">
        <f>IFERROR(VLOOKUP(record[[#This Row],[PCUSTID]],廠商[],2,FALSE),"")</f>
        <v/>
      </c>
      <c r="S8099" t="str">
        <f>VLOOKUP(record[[#This Row],[employeeID]],員工[],2,FALSE)</f>
        <v>范氏香</v>
      </c>
    </row>
    <row r="8100" spans="6:19" hidden="1" x14ac:dyDescent="0.25">
      <c r="F8100" t="s">
        <v>904</v>
      </c>
      <c r="G8100" t="s">
        <v>416</v>
      </c>
      <c r="H8100" t="str">
        <f>VLOOKUP(record[[#This Row],[ProcessSN]],表格2_7[],2,FALSE)</f>
        <v>30-4118-018-5XX</v>
      </c>
      <c r="I8100" t="str">
        <f>VLOOKUP(record[[#This Row],[ProcessSN]],表格2_7[],3,FALSE)</f>
        <v>#05</v>
      </c>
      <c r="J8100" t="s">
        <v>588</v>
      </c>
      <c r="K8100" s="195">
        <v>45883.14502314815</v>
      </c>
      <c r="L8100">
        <v>130</v>
      </c>
      <c r="M8100">
        <v>0</v>
      </c>
      <c r="N8100" s="98" t="str">
        <f>IF(record[[#This Row],[Memo]]="Browser:chrome os:android","平板報工",IF(record[[#This Row],[Memo]]=0,"委外",record[[#This Row],[Memo]]))</f>
        <v/>
      </c>
      <c r="O8100" t="s">
        <v>58</v>
      </c>
      <c r="P8100" t="s">
        <v>133</v>
      </c>
      <c r="Q8100" t="s">
        <v>58</v>
      </c>
      <c r="R8100" t="str">
        <f>IFERROR(VLOOKUP(record[[#This Row],[PCUSTID]],廠商[],2,FALSE),"")</f>
        <v/>
      </c>
      <c r="S8100" t="str">
        <f>VLOOKUP(record[[#This Row],[employeeID]],員工[],2,FALSE)</f>
        <v>黎長維</v>
      </c>
    </row>
    <row r="8101" spans="6:19" hidden="1" x14ac:dyDescent="0.25">
      <c r="F8101" t="s">
        <v>900</v>
      </c>
      <c r="G8101" t="s">
        <v>451</v>
      </c>
      <c r="H8101" t="str">
        <f>VLOOKUP(record[[#This Row],[ProcessSN]],表格2_7[],2,FALSE)</f>
        <v>30-4118-018-6XX</v>
      </c>
      <c r="I8101" t="str">
        <f>VLOOKUP(record[[#This Row],[ProcessSN]],表格2_7[],3,FALSE)</f>
        <v>#07</v>
      </c>
      <c r="J8101" t="s">
        <v>588</v>
      </c>
      <c r="K8101" s="195">
        <v>45882.951041666667</v>
      </c>
      <c r="L8101">
        <v>217</v>
      </c>
      <c r="M8101">
        <v>1</v>
      </c>
      <c r="N8101" s="98" t="str">
        <f>IF(record[[#This Row],[Memo]]="Browser:chrome os:android","平板報工",IF(record[[#This Row],[Memo]]=0,"委外",record[[#This Row],[Memo]]))</f>
        <v/>
      </c>
      <c r="O8101" t="s">
        <v>58</v>
      </c>
      <c r="P8101" t="s">
        <v>133</v>
      </c>
      <c r="Q8101" t="s">
        <v>58</v>
      </c>
      <c r="R8101" t="str">
        <f>IFERROR(VLOOKUP(record[[#This Row],[PCUSTID]],廠商[],2,FALSE),"")</f>
        <v/>
      </c>
      <c r="S8101" t="str">
        <f>VLOOKUP(record[[#This Row],[employeeID]],員工[],2,FALSE)</f>
        <v>黎長維</v>
      </c>
    </row>
    <row r="8102" spans="6:19" hidden="1" x14ac:dyDescent="0.25">
      <c r="F8102" t="s">
        <v>904</v>
      </c>
      <c r="G8102" t="s">
        <v>416</v>
      </c>
      <c r="H8102" t="str">
        <f>VLOOKUP(record[[#This Row],[ProcessSN]],表格2_7[],2,FALSE)</f>
        <v>30-4118-018-5XX</v>
      </c>
      <c r="I8102" t="str">
        <f>VLOOKUP(record[[#This Row],[ProcessSN]],表格2_7[],3,FALSE)</f>
        <v>#05</v>
      </c>
      <c r="J8102" t="s">
        <v>588</v>
      </c>
      <c r="K8102" s="195">
        <v>45882.949004629627</v>
      </c>
      <c r="L8102">
        <v>250</v>
      </c>
      <c r="M8102">
        <v>0</v>
      </c>
      <c r="N8102" s="98" t="str">
        <f>IF(record[[#This Row],[Memo]]="Browser:chrome os:android","平板報工",IF(record[[#This Row],[Memo]]=0,"委外",record[[#This Row],[Memo]]))</f>
        <v/>
      </c>
      <c r="O8102" t="s">
        <v>58</v>
      </c>
      <c r="P8102" t="s">
        <v>806</v>
      </c>
      <c r="Q8102" t="s">
        <v>58</v>
      </c>
      <c r="R8102" t="str">
        <f>IFERROR(VLOOKUP(record[[#This Row],[PCUSTID]],廠商[],2,FALSE),"")</f>
        <v/>
      </c>
      <c r="S8102" t="str">
        <f>VLOOKUP(record[[#This Row],[employeeID]],員工[],2,FALSE)</f>
        <v>方思緯</v>
      </c>
    </row>
    <row r="8103" spans="6:19" hidden="1" x14ac:dyDescent="0.25">
      <c r="F8103" t="s">
        <v>945</v>
      </c>
      <c r="G8103" t="s">
        <v>359</v>
      </c>
      <c r="H8103" t="str">
        <f>VLOOKUP(record[[#This Row],[ProcessSN]],表格2_7[],2,FALSE)</f>
        <v>30-4118-018-450</v>
      </c>
      <c r="I8103" t="str">
        <f>VLOOKUP(record[[#This Row],[ProcessSN]],表格2_7[],3,FALSE)</f>
        <v>#100</v>
      </c>
      <c r="J8103" t="s">
        <v>598</v>
      </c>
      <c r="K8103" s="195">
        <v>45882.763773148145</v>
      </c>
      <c r="L8103">
        <v>302</v>
      </c>
      <c r="M8103">
        <v>0</v>
      </c>
      <c r="N8103" s="98" t="str">
        <f>IF(record[[#This Row],[Memo]]="Browser:chrome os:android","平板報工",IF(record[[#This Row],[Memo]]=0,"委外",record[[#This Row],[Memo]]))</f>
        <v>平板報工</v>
      </c>
      <c r="O8103" t="s">
        <v>643</v>
      </c>
      <c r="P8103" t="s">
        <v>141</v>
      </c>
      <c r="Q8103" t="s">
        <v>644</v>
      </c>
      <c r="R8103" t="str">
        <f>IFERROR(VLOOKUP(record[[#This Row],[PCUSTID]],廠商[],2,FALSE),"")</f>
        <v/>
      </c>
      <c r="S8103" t="str">
        <f>VLOOKUP(record[[#This Row],[employeeID]],員工[],2,FALSE)</f>
        <v>蔣梅</v>
      </c>
    </row>
    <row r="8104" spans="6:19" hidden="1" x14ac:dyDescent="0.25">
      <c r="F8104" t="s">
        <v>979</v>
      </c>
      <c r="G8104" t="s">
        <v>401</v>
      </c>
      <c r="H8104" t="str">
        <f>VLOOKUP(record[[#This Row],[ProcessSN]],表格2_7[],2,FALSE)</f>
        <v>30-4118-018-550</v>
      </c>
      <c r="I8104" t="str">
        <f>VLOOKUP(record[[#This Row],[ProcessSN]],表格2_7[],3,FALSE)</f>
        <v>#100OQC</v>
      </c>
      <c r="J8104" t="s">
        <v>599</v>
      </c>
      <c r="K8104" s="195">
        <v>45882.72755787037</v>
      </c>
      <c r="L8104">
        <v>167</v>
      </c>
      <c r="M8104">
        <v>0</v>
      </c>
      <c r="N8104" s="98" t="str">
        <f>IF(record[[#This Row],[Memo]]="Browser:chrome os:android","平板報工",IF(record[[#This Row],[Memo]]=0,"委外",record[[#This Row],[Memo]]))</f>
        <v/>
      </c>
      <c r="O8104" t="s">
        <v>58</v>
      </c>
      <c r="P8104" t="s">
        <v>121</v>
      </c>
      <c r="Q8104" t="s">
        <v>58</v>
      </c>
      <c r="R8104" t="str">
        <f>IFERROR(VLOOKUP(record[[#This Row],[PCUSTID]],廠商[],2,FALSE),"")</f>
        <v/>
      </c>
      <c r="S8104" t="str">
        <f>VLOOKUP(record[[#This Row],[employeeID]],員工[],2,FALSE)</f>
        <v>謝素卿</v>
      </c>
    </row>
    <row r="8105" spans="6:19" hidden="1" x14ac:dyDescent="0.25">
      <c r="F8105" t="s">
        <v>979</v>
      </c>
      <c r="G8105" t="s">
        <v>400</v>
      </c>
      <c r="H8105" t="str">
        <f>VLOOKUP(record[[#This Row],[ProcessSN]],表格2_7[],2,FALSE)</f>
        <v>30-4118-018-550</v>
      </c>
      <c r="I8105" t="str">
        <f>VLOOKUP(record[[#This Row],[ProcessSN]],表格2_7[],3,FALSE)</f>
        <v>#100</v>
      </c>
      <c r="J8105" t="s">
        <v>598</v>
      </c>
      <c r="K8105" s="195">
        <v>45882.722500000003</v>
      </c>
      <c r="L8105">
        <v>167</v>
      </c>
      <c r="M8105">
        <v>0</v>
      </c>
      <c r="N8105" s="98" t="str">
        <f>IF(record[[#This Row],[Memo]]="Browser:chrome os:android","平板報工",IF(record[[#This Row],[Memo]]=0,"委外",record[[#This Row],[Memo]]))</f>
        <v/>
      </c>
      <c r="O8105" t="s">
        <v>58</v>
      </c>
      <c r="P8105" t="s">
        <v>141</v>
      </c>
      <c r="Q8105" t="s">
        <v>58</v>
      </c>
      <c r="R8105" t="str">
        <f>IFERROR(VLOOKUP(record[[#This Row],[PCUSTID]],廠商[],2,FALSE),"")</f>
        <v/>
      </c>
      <c r="S8105" t="str">
        <f>VLOOKUP(record[[#This Row],[employeeID]],員工[],2,FALSE)</f>
        <v>蔣梅</v>
      </c>
    </row>
    <row r="8106" spans="6:19" hidden="1" x14ac:dyDescent="0.25">
      <c r="F8106" t="s">
        <v>978</v>
      </c>
      <c r="G8106" t="s">
        <v>403</v>
      </c>
      <c r="H8106" t="str">
        <f>VLOOKUP(record[[#This Row],[ProcessSN]],表格2_7[],2,FALSE)</f>
        <v>30-4118-018-550</v>
      </c>
      <c r="I8106" t="str">
        <f>VLOOKUP(record[[#This Row],[ProcessSN]],表格2_7[],3,FALSE)</f>
        <v>#100SHIP</v>
      </c>
      <c r="J8106" t="s">
        <v>600</v>
      </c>
      <c r="K8106" s="195">
        <v>45882.704328703701</v>
      </c>
      <c r="L8106">
        <v>4</v>
      </c>
      <c r="M8106">
        <v>0</v>
      </c>
      <c r="N8106" s="98" t="str">
        <f>IF(record[[#This Row],[Memo]]="Browser:chrome os:android","平板報工",IF(record[[#This Row],[Memo]]=0,"委外",record[[#This Row],[Memo]]))</f>
        <v/>
      </c>
      <c r="O8106" t="s">
        <v>58</v>
      </c>
      <c r="P8106" t="s">
        <v>886</v>
      </c>
      <c r="Q8106" t="s">
        <v>58</v>
      </c>
      <c r="R8106" t="str">
        <f>IFERROR(VLOOKUP(record[[#This Row],[PCUSTID]],廠商[],2,FALSE),"")</f>
        <v/>
      </c>
      <c r="S8106" t="str">
        <f>VLOOKUP(record[[#This Row],[employeeID]],員工[],2,FALSE)</f>
        <v>謝蓁薰</v>
      </c>
    </row>
    <row r="8107" spans="6:19" hidden="1" x14ac:dyDescent="0.25">
      <c r="F8107" t="s">
        <v>978</v>
      </c>
      <c r="G8107" t="s">
        <v>402</v>
      </c>
      <c r="H8107" t="str">
        <f>VLOOKUP(record[[#This Row],[ProcessSN]],表格2_7[],2,FALSE)</f>
        <v>30-4118-018-550</v>
      </c>
      <c r="I8107" t="str">
        <f>VLOOKUP(record[[#This Row],[ProcessSN]],表格2_7[],3,FALSE)</f>
        <v>#100STOCK</v>
      </c>
      <c r="J8107" t="s">
        <v>592</v>
      </c>
      <c r="K8107" s="195">
        <v>45882.704224537039</v>
      </c>
      <c r="L8107">
        <v>4</v>
      </c>
      <c r="M8107">
        <v>0</v>
      </c>
      <c r="N8107" s="98" t="str">
        <f>IF(record[[#This Row],[Memo]]="Browser:chrome os:android","平板報工",IF(record[[#This Row],[Memo]]=0,"委外",record[[#This Row],[Memo]]))</f>
        <v/>
      </c>
      <c r="O8107" t="s">
        <v>58</v>
      </c>
      <c r="P8107" t="s">
        <v>886</v>
      </c>
      <c r="Q8107" t="s">
        <v>58</v>
      </c>
      <c r="R8107" t="str">
        <f>IFERROR(VLOOKUP(record[[#This Row],[PCUSTID]],廠商[],2,FALSE),"")</f>
        <v/>
      </c>
      <c r="S8107" t="str">
        <f>VLOOKUP(record[[#This Row],[employeeID]],員工[],2,FALSE)</f>
        <v>謝蓁薰</v>
      </c>
    </row>
    <row r="8108" spans="6:19" hidden="1" x14ac:dyDescent="0.25">
      <c r="F8108" t="s">
        <v>977</v>
      </c>
      <c r="G8108" t="s">
        <v>403</v>
      </c>
      <c r="H8108" t="str">
        <f>VLOOKUP(record[[#This Row],[ProcessSN]],表格2_7[],2,FALSE)</f>
        <v>30-4118-018-550</v>
      </c>
      <c r="I8108" t="str">
        <f>VLOOKUP(record[[#This Row],[ProcessSN]],表格2_7[],3,FALSE)</f>
        <v>#100SHIP</v>
      </c>
      <c r="J8108" t="s">
        <v>600</v>
      </c>
      <c r="K8108" s="195">
        <v>45882.704085648147</v>
      </c>
      <c r="L8108">
        <v>278</v>
      </c>
      <c r="M8108">
        <v>0</v>
      </c>
      <c r="N8108" s="98" t="str">
        <f>IF(record[[#This Row],[Memo]]="Browser:chrome os:android","平板報工",IF(record[[#This Row],[Memo]]=0,"委外",record[[#This Row],[Memo]]))</f>
        <v/>
      </c>
      <c r="O8108" t="s">
        <v>58</v>
      </c>
      <c r="P8108" t="s">
        <v>886</v>
      </c>
      <c r="Q8108" t="s">
        <v>58</v>
      </c>
      <c r="R8108" t="str">
        <f>IFERROR(VLOOKUP(record[[#This Row],[PCUSTID]],廠商[],2,FALSE),"")</f>
        <v/>
      </c>
      <c r="S8108" t="str">
        <f>VLOOKUP(record[[#This Row],[employeeID]],員工[],2,FALSE)</f>
        <v>謝蓁薰</v>
      </c>
    </row>
    <row r="8109" spans="6:19" hidden="1" x14ac:dyDescent="0.25">
      <c r="F8109" t="s">
        <v>977</v>
      </c>
      <c r="G8109" t="s">
        <v>402</v>
      </c>
      <c r="H8109" t="str">
        <f>VLOOKUP(record[[#This Row],[ProcessSN]],表格2_7[],2,FALSE)</f>
        <v>30-4118-018-550</v>
      </c>
      <c r="I8109" t="str">
        <f>VLOOKUP(record[[#This Row],[ProcessSN]],表格2_7[],3,FALSE)</f>
        <v>#100STOCK</v>
      </c>
      <c r="J8109" t="s">
        <v>592</v>
      </c>
      <c r="K8109" s="195">
        <v>45882.703946759262</v>
      </c>
      <c r="L8109">
        <v>278</v>
      </c>
      <c r="M8109">
        <v>0</v>
      </c>
      <c r="N8109" s="98" t="str">
        <f>IF(record[[#This Row],[Memo]]="Browser:chrome os:android","平板報工",IF(record[[#This Row],[Memo]]=0,"委外",record[[#This Row],[Memo]]))</f>
        <v/>
      </c>
      <c r="O8109" t="s">
        <v>58</v>
      </c>
      <c r="P8109" t="s">
        <v>886</v>
      </c>
      <c r="Q8109" t="s">
        <v>58</v>
      </c>
      <c r="R8109" t="str">
        <f>IFERROR(VLOOKUP(record[[#This Row],[PCUSTID]],廠商[],2,FALSE),"")</f>
        <v/>
      </c>
      <c r="S8109" t="str">
        <f>VLOOKUP(record[[#This Row],[employeeID]],員工[],2,FALSE)</f>
        <v>謝蓁薰</v>
      </c>
    </row>
    <row r="8110" spans="6:19" hidden="1" x14ac:dyDescent="0.25">
      <c r="F8110" t="s">
        <v>978</v>
      </c>
      <c r="G8110" t="s">
        <v>401</v>
      </c>
      <c r="H8110" t="str">
        <f>VLOOKUP(record[[#This Row],[ProcessSN]],表格2_7[],2,FALSE)</f>
        <v>30-4118-018-550</v>
      </c>
      <c r="I8110" t="str">
        <f>VLOOKUP(record[[#This Row],[ProcessSN]],表格2_7[],3,FALSE)</f>
        <v>#100OQC</v>
      </c>
      <c r="J8110" t="s">
        <v>599</v>
      </c>
      <c r="K8110" s="195">
        <v>45882.703402777777</v>
      </c>
      <c r="L8110">
        <v>162</v>
      </c>
      <c r="M8110">
        <v>0</v>
      </c>
      <c r="N8110" s="98" t="str">
        <f>IF(record[[#This Row],[Memo]]="Browser:chrome os:android","平板報工",IF(record[[#This Row],[Memo]]=0,"委外",record[[#This Row],[Memo]]))</f>
        <v/>
      </c>
      <c r="O8110" t="s">
        <v>58</v>
      </c>
      <c r="P8110" t="s">
        <v>121</v>
      </c>
      <c r="Q8110" t="s">
        <v>58</v>
      </c>
      <c r="R8110" t="str">
        <f>IFERROR(VLOOKUP(record[[#This Row],[PCUSTID]],廠商[],2,FALSE),"")</f>
        <v/>
      </c>
      <c r="S8110" t="str">
        <f>VLOOKUP(record[[#This Row],[employeeID]],員工[],2,FALSE)</f>
        <v>謝素卿</v>
      </c>
    </row>
    <row r="8111" spans="6:19" hidden="1" x14ac:dyDescent="0.25">
      <c r="F8111" t="s">
        <v>977</v>
      </c>
      <c r="G8111" t="s">
        <v>401</v>
      </c>
      <c r="H8111" t="str">
        <f>VLOOKUP(record[[#This Row],[ProcessSN]],表格2_7[],2,FALSE)</f>
        <v>30-4118-018-550</v>
      </c>
      <c r="I8111" t="str">
        <f>VLOOKUP(record[[#This Row],[ProcessSN]],表格2_7[],3,FALSE)</f>
        <v>#100OQC</v>
      </c>
      <c r="J8111" t="s">
        <v>599</v>
      </c>
      <c r="K8111" s="195">
        <v>45882.703263888892</v>
      </c>
      <c r="L8111">
        <v>278</v>
      </c>
      <c r="M8111">
        <v>0</v>
      </c>
      <c r="N8111" s="98" t="str">
        <f>IF(record[[#This Row],[Memo]]="Browser:chrome os:android","平板報工",IF(record[[#This Row],[Memo]]=0,"委外",record[[#This Row],[Memo]]))</f>
        <v/>
      </c>
      <c r="O8111" t="s">
        <v>58</v>
      </c>
      <c r="P8111" t="s">
        <v>121</v>
      </c>
      <c r="Q8111" t="s">
        <v>58</v>
      </c>
      <c r="R8111" t="str">
        <f>IFERROR(VLOOKUP(record[[#This Row],[PCUSTID]],廠商[],2,FALSE),"")</f>
        <v/>
      </c>
      <c r="S8111" t="str">
        <f>VLOOKUP(record[[#This Row],[employeeID]],員工[],2,FALSE)</f>
        <v>謝素卿</v>
      </c>
    </row>
    <row r="8112" spans="6:19" hidden="1" x14ac:dyDescent="0.25">
      <c r="F8112" t="s">
        <v>978</v>
      </c>
      <c r="G8112" t="s">
        <v>400</v>
      </c>
      <c r="H8112" t="str">
        <f>VLOOKUP(record[[#This Row],[ProcessSN]],表格2_7[],2,FALSE)</f>
        <v>30-4118-018-550</v>
      </c>
      <c r="I8112" t="str">
        <f>VLOOKUP(record[[#This Row],[ProcessSN]],表格2_7[],3,FALSE)</f>
        <v>#100</v>
      </c>
      <c r="J8112" t="s">
        <v>598</v>
      </c>
      <c r="K8112" s="195">
        <v>45882.699537037035</v>
      </c>
      <c r="L8112">
        <v>162</v>
      </c>
      <c r="M8112">
        <v>0</v>
      </c>
      <c r="N8112" s="98" t="str">
        <f>IF(record[[#This Row],[Memo]]="Browser:chrome os:android","平板報工",IF(record[[#This Row],[Memo]]=0,"委外",record[[#This Row],[Memo]]))</f>
        <v>平板報工</v>
      </c>
      <c r="O8112" t="s">
        <v>643</v>
      </c>
      <c r="P8112" t="s">
        <v>141</v>
      </c>
      <c r="Q8112" t="s">
        <v>644</v>
      </c>
      <c r="R8112" t="str">
        <f>IFERROR(VLOOKUP(record[[#This Row],[PCUSTID]],廠商[],2,FALSE),"")</f>
        <v/>
      </c>
      <c r="S8112" t="str">
        <f>VLOOKUP(record[[#This Row],[employeeID]],員工[],2,FALSE)</f>
        <v>蔣梅</v>
      </c>
    </row>
    <row r="8113" spans="6:19" hidden="1" x14ac:dyDescent="0.25">
      <c r="F8113" t="s">
        <v>977</v>
      </c>
      <c r="G8113" t="s">
        <v>400</v>
      </c>
      <c r="H8113" t="str">
        <f>VLOOKUP(record[[#This Row],[ProcessSN]],表格2_7[],2,FALSE)</f>
        <v>30-4118-018-550</v>
      </c>
      <c r="I8113" t="str">
        <f>VLOOKUP(record[[#This Row],[ProcessSN]],表格2_7[],3,FALSE)</f>
        <v>#100</v>
      </c>
      <c r="J8113" t="s">
        <v>598</v>
      </c>
      <c r="K8113" s="195">
        <v>45882.699259259258</v>
      </c>
      <c r="L8113">
        <v>278</v>
      </c>
      <c r="M8113">
        <v>0</v>
      </c>
      <c r="N8113" s="98" t="str">
        <f>IF(record[[#This Row],[Memo]]="Browser:chrome os:android","平板報工",IF(record[[#This Row],[Memo]]=0,"委外",record[[#This Row],[Memo]]))</f>
        <v>平板報工</v>
      </c>
      <c r="O8113" t="s">
        <v>643</v>
      </c>
      <c r="P8113" t="s">
        <v>141</v>
      </c>
      <c r="Q8113" t="s">
        <v>644</v>
      </c>
      <c r="R8113" t="str">
        <f>IFERROR(VLOOKUP(record[[#This Row],[PCUSTID]],廠商[],2,FALSE),"")</f>
        <v/>
      </c>
      <c r="S8113" t="str">
        <f>VLOOKUP(record[[#This Row],[employeeID]],員工[],2,FALSE)</f>
        <v>蔣梅</v>
      </c>
    </row>
    <row r="8114" spans="6:19" hidden="1" x14ac:dyDescent="0.25">
      <c r="F8114" t="s">
        <v>973</v>
      </c>
      <c r="G8114" t="s">
        <v>403</v>
      </c>
      <c r="H8114" t="str">
        <f>VLOOKUP(record[[#This Row],[ProcessSN]],表格2_7[],2,FALSE)</f>
        <v>30-4118-018-550</v>
      </c>
      <c r="I8114" t="str">
        <f>VLOOKUP(record[[#This Row],[ProcessSN]],表格2_7[],3,FALSE)</f>
        <v>#100SHIP</v>
      </c>
      <c r="J8114" t="s">
        <v>600</v>
      </c>
      <c r="K8114" s="195">
        <v>45882.698912037034</v>
      </c>
      <c r="L8114">
        <v>166</v>
      </c>
      <c r="M8114">
        <v>0</v>
      </c>
      <c r="N8114" s="98" t="str">
        <f>IF(record[[#This Row],[Memo]]="Browser:chrome os:android","平板報工",IF(record[[#This Row],[Memo]]=0,"委外",record[[#This Row],[Memo]]))</f>
        <v/>
      </c>
      <c r="O8114" t="s">
        <v>58</v>
      </c>
      <c r="P8114" t="s">
        <v>886</v>
      </c>
      <c r="Q8114" t="s">
        <v>58</v>
      </c>
      <c r="R8114" t="str">
        <f>IFERROR(VLOOKUP(record[[#This Row],[PCUSTID]],廠商[],2,FALSE),"")</f>
        <v/>
      </c>
      <c r="S8114" t="str">
        <f>VLOOKUP(record[[#This Row],[employeeID]],員工[],2,FALSE)</f>
        <v>謝蓁薰</v>
      </c>
    </row>
    <row r="8115" spans="6:19" hidden="1" x14ac:dyDescent="0.25">
      <c r="F8115" t="s">
        <v>970</v>
      </c>
      <c r="G8115" t="s">
        <v>403</v>
      </c>
      <c r="H8115" t="str">
        <f>VLOOKUP(record[[#This Row],[ProcessSN]],表格2_7[],2,FALSE)</f>
        <v>30-4118-018-550</v>
      </c>
      <c r="I8115" t="str">
        <f>VLOOKUP(record[[#This Row],[ProcessSN]],表格2_7[],3,FALSE)</f>
        <v>#100SHIP</v>
      </c>
      <c r="J8115" t="s">
        <v>600</v>
      </c>
      <c r="K8115" s="195">
        <v>45882.698680555557</v>
      </c>
      <c r="L8115">
        <v>12</v>
      </c>
      <c r="M8115">
        <v>0</v>
      </c>
      <c r="N8115" s="98" t="str">
        <f>IF(record[[#This Row],[Memo]]="Browser:chrome os:android","平板報工",IF(record[[#This Row],[Memo]]=0,"委外",record[[#This Row],[Memo]]))</f>
        <v/>
      </c>
      <c r="O8115" t="s">
        <v>58</v>
      </c>
      <c r="P8115" t="s">
        <v>886</v>
      </c>
      <c r="Q8115" t="s">
        <v>58</v>
      </c>
      <c r="R8115" t="str">
        <f>IFERROR(VLOOKUP(record[[#This Row],[PCUSTID]],廠商[],2,FALSE),"")</f>
        <v/>
      </c>
      <c r="S8115" t="str">
        <f>VLOOKUP(record[[#This Row],[employeeID]],員工[],2,FALSE)</f>
        <v>謝蓁薰</v>
      </c>
    </row>
    <row r="8116" spans="6:19" hidden="1" x14ac:dyDescent="0.25">
      <c r="F8116" t="s">
        <v>973</v>
      </c>
      <c r="G8116" t="s">
        <v>402</v>
      </c>
      <c r="H8116" t="str">
        <f>VLOOKUP(record[[#This Row],[ProcessSN]],表格2_7[],2,FALSE)</f>
        <v>30-4118-018-550</v>
      </c>
      <c r="I8116" t="str">
        <f>VLOOKUP(record[[#This Row],[ProcessSN]],表格2_7[],3,FALSE)</f>
        <v>#100STOCK</v>
      </c>
      <c r="J8116" t="s">
        <v>592</v>
      </c>
      <c r="K8116" s="195">
        <v>45882.698530092595</v>
      </c>
      <c r="L8116">
        <v>166</v>
      </c>
      <c r="M8116">
        <v>0</v>
      </c>
      <c r="N8116" s="98" t="str">
        <f>IF(record[[#This Row],[Memo]]="Browser:chrome os:android","平板報工",IF(record[[#This Row],[Memo]]=0,"委外",record[[#This Row],[Memo]]))</f>
        <v/>
      </c>
      <c r="O8116" t="s">
        <v>58</v>
      </c>
      <c r="P8116" t="s">
        <v>886</v>
      </c>
      <c r="Q8116" t="s">
        <v>58</v>
      </c>
      <c r="R8116" t="str">
        <f>IFERROR(VLOOKUP(record[[#This Row],[PCUSTID]],廠商[],2,FALSE),"")</f>
        <v/>
      </c>
      <c r="S8116" t="str">
        <f>VLOOKUP(record[[#This Row],[employeeID]],員工[],2,FALSE)</f>
        <v>謝蓁薰</v>
      </c>
    </row>
    <row r="8117" spans="6:19" hidden="1" x14ac:dyDescent="0.25">
      <c r="F8117" t="s">
        <v>970</v>
      </c>
      <c r="G8117" t="s">
        <v>402</v>
      </c>
      <c r="H8117" t="str">
        <f>VLOOKUP(record[[#This Row],[ProcessSN]],表格2_7[],2,FALSE)</f>
        <v>30-4118-018-550</v>
      </c>
      <c r="I8117" t="str">
        <f>VLOOKUP(record[[#This Row],[ProcessSN]],表格2_7[],3,FALSE)</f>
        <v>#100STOCK</v>
      </c>
      <c r="J8117" t="s">
        <v>592</v>
      </c>
      <c r="K8117" s="195">
        <v>45882.69840277778</v>
      </c>
      <c r="L8117">
        <v>12</v>
      </c>
      <c r="M8117">
        <v>0</v>
      </c>
      <c r="N8117" s="98" t="str">
        <f>IF(record[[#This Row],[Memo]]="Browser:chrome os:android","平板報工",IF(record[[#This Row],[Memo]]=0,"委外",record[[#This Row],[Memo]]))</f>
        <v/>
      </c>
      <c r="O8117" t="s">
        <v>58</v>
      </c>
      <c r="P8117" t="s">
        <v>886</v>
      </c>
      <c r="Q8117" t="s">
        <v>58</v>
      </c>
      <c r="R8117" t="str">
        <f>IFERROR(VLOOKUP(record[[#This Row],[PCUSTID]],廠商[],2,FALSE),"")</f>
        <v/>
      </c>
      <c r="S8117" t="str">
        <f>VLOOKUP(record[[#This Row],[employeeID]],員工[],2,FALSE)</f>
        <v>謝蓁薰</v>
      </c>
    </row>
    <row r="8118" spans="6:19" hidden="1" x14ac:dyDescent="0.25">
      <c r="F8118" t="s">
        <v>977</v>
      </c>
      <c r="G8118" t="s">
        <v>399</v>
      </c>
      <c r="H8118" t="str">
        <f>VLOOKUP(record[[#This Row],[ProcessSN]],表格2_7[],2,FALSE)</f>
        <v>30-4118-018-550</v>
      </c>
      <c r="I8118" t="str">
        <f>VLOOKUP(record[[#This Row],[ProcessSN]],表格2_7[],3,FALSE)</f>
        <v>#08IQC</v>
      </c>
      <c r="J8118" t="s">
        <v>583</v>
      </c>
      <c r="K8118" s="195">
        <v>45882.698344907411</v>
      </c>
      <c r="L8118">
        <v>278</v>
      </c>
      <c r="M8118">
        <v>0</v>
      </c>
      <c r="N8118" s="98" t="str">
        <f>IF(record[[#This Row],[Memo]]="Browser:chrome os:android","平板報工",IF(record[[#This Row],[Memo]]=0,"委外",record[[#This Row],[Memo]]))</f>
        <v/>
      </c>
      <c r="O8118" t="s">
        <v>58</v>
      </c>
      <c r="P8118" t="s">
        <v>109</v>
      </c>
      <c r="Q8118" t="s">
        <v>58</v>
      </c>
      <c r="R8118" t="str">
        <f>IFERROR(VLOOKUP(record[[#This Row],[PCUSTID]],廠商[],2,FALSE),"")</f>
        <v/>
      </c>
      <c r="S8118" t="str">
        <f>VLOOKUP(record[[#This Row],[employeeID]],員工[],2,FALSE)</f>
        <v>裴氏璧鳳</v>
      </c>
    </row>
    <row r="8119" spans="6:19" hidden="1" x14ac:dyDescent="0.25">
      <c r="F8119" t="s">
        <v>978</v>
      </c>
      <c r="G8119" t="s">
        <v>399</v>
      </c>
      <c r="H8119" t="str">
        <f>VLOOKUP(record[[#This Row],[ProcessSN]],表格2_7[],2,FALSE)</f>
        <v>30-4118-018-550</v>
      </c>
      <c r="I8119" t="str">
        <f>VLOOKUP(record[[#This Row],[ProcessSN]],表格2_7[],3,FALSE)</f>
        <v>#08IQC</v>
      </c>
      <c r="J8119" t="s">
        <v>583</v>
      </c>
      <c r="K8119" s="195">
        <v>45882.698217592595</v>
      </c>
      <c r="L8119">
        <v>162</v>
      </c>
      <c r="M8119">
        <v>0</v>
      </c>
      <c r="N8119" s="98" t="str">
        <f>IF(record[[#This Row],[Memo]]="Browser:chrome os:android","平板報工",IF(record[[#This Row],[Memo]]=0,"委外",record[[#This Row],[Memo]]))</f>
        <v/>
      </c>
      <c r="O8119" t="s">
        <v>58</v>
      </c>
      <c r="P8119" t="s">
        <v>109</v>
      </c>
      <c r="Q8119" t="s">
        <v>58</v>
      </c>
      <c r="R8119" t="str">
        <f>IFERROR(VLOOKUP(record[[#This Row],[PCUSTID]],廠商[],2,FALSE),"")</f>
        <v/>
      </c>
      <c r="S8119" t="str">
        <f>VLOOKUP(record[[#This Row],[employeeID]],員工[],2,FALSE)</f>
        <v>裴氏璧鳳</v>
      </c>
    </row>
    <row r="8120" spans="6:19" hidden="1" x14ac:dyDescent="0.25">
      <c r="F8120" t="s">
        <v>979</v>
      </c>
      <c r="G8120" t="s">
        <v>399</v>
      </c>
      <c r="H8120" t="str">
        <f>VLOOKUP(record[[#This Row],[ProcessSN]],表格2_7[],2,FALSE)</f>
        <v>30-4118-018-550</v>
      </c>
      <c r="I8120" t="str">
        <f>VLOOKUP(record[[#This Row],[ProcessSN]],表格2_7[],3,FALSE)</f>
        <v>#08IQC</v>
      </c>
      <c r="J8120" t="s">
        <v>583</v>
      </c>
      <c r="K8120" s="195">
        <v>45882.69809027778</v>
      </c>
      <c r="L8120">
        <v>167</v>
      </c>
      <c r="M8120">
        <v>0</v>
      </c>
      <c r="N8120" s="98" t="str">
        <f>IF(record[[#This Row],[Memo]]="Browser:chrome os:android","平板報工",IF(record[[#This Row],[Memo]]=0,"委外",record[[#This Row],[Memo]]))</f>
        <v/>
      </c>
      <c r="O8120" t="s">
        <v>58</v>
      </c>
      <c r="P8120" t="s">
        <v>109</v>
      </c>
      <c r="Q8120" t="s">
        <v>58</v>
      </c>
      <c r="R8120" t="str">
        <f>IFERROR(VLOOKUP(record[[#This Row],[PCUSTID]],廠商[],2,FALSE),"")</f>
        <v/>
      </c>
      <c r="S8120" t="str">
        <f>VLOOKUP(record[[#This Row],[employeeID]],員工[],2,FALSE)</f>
        <v>裴氏璧鳳</v>
      </c>
    </row>
    <row r="8121" spans="6:19" hidden="1" x14ac:dyDescent="0.25">
      <c r="F8121" t="s">
        <v>904</v>
      </c>
      <c r="G8121" t="s">
        <v>417</v>
      </c>
      <c r="H8121" t="str">
        <f>VLOOKUP(record[[#This Row],[ProcessSN]],表格2_7[],2,FALSE)</f>
        <v>30-4118-018-5XX</v>
      </c>
      <c r="I8121" t="str">
        <f>VLOOKUP(record[[#This Row],[ProcessSN]],表格2_7[],3,FALSE)</f>
        <v>#06</v>
      </c>
      <c r="J8121" t="s">
        <v>593</v>
      </c>
      <c r="K8121" s="195">
        <v>45882.684166666666</v>
      </c>
      <c r="L8121">
        <v>121</v>
      </c>
      <c r="M8121">
        <v>0</v>
      </c>
      <c r="N8121" s="98" t="str">
        <f>IF(record[[#This Row],[Memo]]="Browser:chrome os:android","平板報工",IF(record[[#This Row],[Memo]]=0,"委外",record[[#This Row],[Memo]]))</f>
        <v/>
      </c>
      <c r="O8121" t="s">
        <v>58</v>
      </c>
      <c r="P8121" t="s">
        <v>119</v>
      </c>
      <c r="Q8121" t="s">
        <v>58</v>
      </c>
      <c r="R8121" t="str">
        <f>IFERROR(VLOOKUP(record[[#This Row],[PCUSTID]],廠商[],2,FALSE),"")</f>
        <v/>
      </c>
      <c r="S8121" t="str">
        <f>VLOOKUP(record[[#This Row],[employeeID]],員工[],2,FALSE)</f>
        <v>廖俊彥</v>
      </c>
    </row>
    <row r="8122" spans="6:19" hidden="1" x14ac:dyDescent="0.25">
      <c r="F8122" t="s">
        <v>875</v>
      </c>
      <c r="G8122" t="s">
        <v>451</v>
      </c>
      <c r="H8122" t="str">
        <f>VLOOKUP(record[[#This Row],[ProcessSN]],表格2_7[],2,FALSE)</f>
        <v>30-4118-018-6XX</v>
      </c>
      <c r="I8122" t="str">
        <f>VLOOKUP(record[[#This Row],[ProcessSN]],表格2_7[],3,FALSE)</f>
        <v>#07</v>
      </c>
      <c r="J8122" t="s">
        <v>588</v>
      </c>
      <c r="K8122" s="195">
        <v>45882.666168981479</v>
      </c>
      <c r="L8122">
        <v>37</v>
      </c>
      <c r="M8122">
        <v>0</v>
      </c>
      <c r="N8122" s="98" t="str">
        <f>IF(record[[#This Row],[Memo]]="Browser:chrome os:android","平板報工",IF(record[[#This Row],[Memo]]=0,"委外",record[[#This Row],[Memo]]))</f>
        <v/>
      </c>
      <c r="O8122" t="s">
        <v>58</v>
      </c>
      <c r="P8122" t="s">
        <v>119</v>
      </c>
      <c r="Q8122" t="s">
        <v>58</v>
      </c>
      <c r="R8122" t="str">
        <f>IFERROR(VLOOKUP(record[[#This Row],[PCUSTID]],廠商[],2,FALSE),"")</f>
        <v/>
      </c>
      <c r="S8122" t="str">
        <f>VLOOKUP(record[[#This Row],[employeeID]],員工[],2,FALSE)</f>
        <v>廖俊彥</v>
      </c>
    </row>
    <row r="8123" spans="6:19" hidden="1" x14ac:dyDescent="0.25">
      <c r="F8123" t="s">
        <v>900</v>
      </c>
      <c r="G8123" t="s">
        <v>451</v>
      </c>
      <c r="H8123" t="str">
        <f>VLOOKUP(record[[#This Row],[ProcessSN]],表格2_7[],2,FALSE)</f>
        <v>30-4118-018-6XX</v>
      </c>
      <c r="I8123" t="str">
        <f>VLOOKUP(record[[#This Row],[ProcessSN]],表格2_7[],3,FALSE)</f>
        <v>#07</v>
      </c>
      <c r="J8123" t="s">
        <v>588</v>
      </c>
      <c r="K8123" s="195">
        <v>45882.664212962962</v>
      </c>
      <c r="L8123">
        <v>30</v>
      </c>
      <c r="M8123">
        <v>0</v>
      </c>
      <c r="N8123" s="98" t="str">
        <f>IF(record[[#This Row],[Memo]]="Browser:chrome os:android","平板報工",IF(record[[#This Row],[Memo]]=0,"委外",record[[#This Row],[Memo]]))</f>
        <v/>
      </c>
      <c r="O8123" t="s">
        <v>58</v>
      </c>
      <c r="P8123" t="s">
        <v>119</v>
      </c>
      <c r="Q8123" t="s">
        <v>58</v>
      </c>
      <c r="R8123" t="str">
        <f>IFERROR(VLOOKUP(record[[#This Row],[PCUSTID]],廠商[],2,FALSE),"")</f>
        <v/>
      </c>
      <c r="S8123" t="str">
        <f>VLOOKUP(record[[#This Row],[employeeID]],員工[],2,FALSE)</f>
        <v>廖俊彥</v>
      </c>
    </row>
    <row r="8124" spans="6:19" hidden="1" x14ac:dyDescent="0.25">
      <c r="F8124" t="s">
        <v>875</v>
      </c>
      <c r="G8124" t="s">
        <v>451</v>
      </c>
      <c r="H8124" t="str">
        <f>VLOOKUP(record[[#This Row],[ProcessSN]],表格2_7[],2,FALSE)</f>
        <v>30-4118-018-6XX</v>
      </c>
      <c r="I8124" t="str">
        <f>VLOOKUP(record[[#This Row],[ProcessSN]],表格2_7[],3,FALSE)</f>
        <v>#07</v>
      </c>
      <c r="J8124" t="s">
        <v>588</v>
      </c>
      <c r="K8124" s="195">
        <v>45882.663807870369</v>
      </c>
      <c r="L8124">
        <v>81</v>
      </c>
      <c r="M8124">
        <v>2</v>
      </c>
      <c r="N8124" s="98" t="str">
        <f>IF(record[[#This Row],[Memo]]="Browser:chrome os:android","平板報工",IF(record[[#This Row],[Memo]]=0,"委外",record[[#This Row],[Memo]]))</f>
        <v/>
      </c>
      <c r="O8124" t="s">
        <v>58</v>
      </c>
      <c r="P8124" t="s">
        <v>119</v>
      </c>
      <c r="Q8124" t="s">
        <v>58</v>
      </c>
      <c r="R8124" t="str">
        <f>IFERROR(VLOOKUP(record[[#This Row],[PCUSTID]],廠商[],2,FALSE),"")</f>
        <v/>
      </c>
      <c r="S8124" t="str">
        <f>VLOOKUP(record[[#This Row],[employeeID]],員工[],2,FALSE)</f>
        <v>廖俊彥</v>
      </c>
    </row>
    <row r="8125" spans="6:19" hidden="1" x14ac:dyDescent="0.25">
      <c r="F8125" t="s">
        <v>977</v>
      </c>
      <c r="G8125" t="s">
        <v>398</v>
      </c>
      <c r="H8125" t="str">
        <f>VLOOKUP(record[[#This Row],[ProcessSN]],表格2_7[],2,FALSE)</f>
        <v>30-4118-018-550</v>
      </c>
      <c r="I8125" t="str">
        <f>VLOOKUP(record[[#This Row],[ProcessSN]],表格2_7[],3,FALSE)</f>
        <v>#08RCV</v>
      </c>
      <c r="J8125" t="s">
        <v>591</v>
      </c>
      <c r="K8125" s="195">
        <v>45882.626481481479</v>
      </c>
      <c r="L8125">
        <v>0</v>
      </c>
      <c r="M8125">
        <v>12</v>
      </c>
      <c r="N8125" s="98" t="str">
        <f>IF(record[[#This Row],[Memo]]="Browser:chrome os:android","平板報工",IF(record[[#This Row],[Memo]]=0,"委外",record[[#This Row],[Memo]]))</f>
        <v/>
      </c>
      <c r="O8125" t="s">
        <v>58</v>
      </c>
      <c r="P8125" t="s">
        <v>186</v>
      </c>
      <c r="Q8125" t="s">
        <v>58</v>
      </c>
      <c r="R8125" t="str">
        <f>IFERROR(VLOOKUP(record[[#This Row],[PCUSTID]],廠商[],2,FALSE),"")</f>
        <v/>
      </c>
      <c r="S8125" t="str">
        <f>VLOOKUP(record[[#This Row],[employeeID]],員工[],2,FALSE)</f>
        <v>許文姍</v>
      </c>
    </row>
    <row r="8126" spans="6:19" hidden="1" x14ac:dyDescent="0.25">
      <c r="F8126" t="s">
        <v>977</v>
      </c>
      <c r="G8126" t="s">
        <v>398</v>
      </c>
      <c r="H8126" t="str">
        <f>VLOOKUP(record[[#This Row],[ProcessSN]],表格2_7[],2,FALSE)</f>
        <v>30-4118-018-550</v>
      </c>
      <c r="I8126" t="str">
        <f>VLOOKUP(record[[#This Row],[ProcessSN]],表格2_7[],3,FALSE)</f>
        <v>#08RCV</v>
      </c>
      <c r="J8126" t="s">
        <v>591</v>
      </c>
      <c r="K8126" s="195">
        <v>45882.626284722224</v>
      </c>
      <c r="L8126">
        <v>0</v>
      </c>
      <c r="M8126">
        <v>2</v>
      </c>
      <c r="N8126" s="98" t="str">
        <f>IF(record[[#This Row],[Memo]]="Browser:chrome os:android","平板報工",IF(record[[#This Row],[Memo]]=0,"委外",record[[#This Row],[Memo]]))</f>
        <v/>
      </c>
      <c r="O8126" t="s">
        <v>58</v>
      </c>
      <c r="P8126" t="s">
        <v>186</v>
      </c>
      <c r="Q8126" t="s">
        <v>58</v>
      </c>
      <c r="R8126" t="str">
        <f>IFERROR(VLOOKUP(record[[#This Row],[PCUSTID]],廠商[],2,FALSE),"")</f>
        <v/>
      </c>
      <c r="S8126" t="str">
        <f>VLOOKUP(record[[#This Row],[employeeID]],員工[],2,FALSE)</f>
        <v>許文姍</v>
      </c>
    </row>
    <row r="8127" spans="6:19" hidden="1" x14ac:dyDescent="0.25">
      <c r="F8127" t="s">
        <v>977</v>
      </c>
      <c r="G8127" t="s">
        <v>398</v>
      </c>
      <c r="H8127" t="str">
        <f>VLOOKUP(record[[#This Row],[ProcessSN]],表格2_7[],2,FALSE)</f>
        <v>30-4118-018-550</v>
      </c>
      <c r="I8127" t="str">
        <f>VLOOKUP(record[[#This Row],[ProcessSN]],表格2_7[],3,FALSE)</f>
        <v>#08RCV</v>
      </c>
      <c r="J8127" t="s">
        <v>591</v>
      </c>
      <c r="K8127" s="195">
        <v>45882.626099537039</v>
      </c>
      <c r="L8127">
        <v>278</v>
      </c>
      <c r="M8127">
        <v>0</v>
      </c>
      <c r="N8127" s="98" t="str">
        <f>IF(record[[#This Row],[Memo]]="Browser:chrome os:android","平板報工",IF(record[[#This Row],[Memo]]=0,"委外",record[[#This Row],[Memo]]))</f>
        <v/>
      </c>
      <c r="O8127" t="s">
        <v>58</v>
      </c>
      <c r="P8127" t="s">
        <v>186</v>
      </c>
      <c r="Q8127" t="s">
        <v>58</v>
      </c>
      <c r="R8127" t="str">
        <f>IFERROR(VLOOKUP(record[[#This Row],[PCUSTID]],廠商[],2,FALSE),"")</f>
        <v/>
      </c>
      <c r="S8127" t="str">
        <f>VLOOKUP(record[[#This Row],[employeeID]],員工[],2,FALSE)</f>
        <v>許文姍</v>
      </c>
    </row>
    <row r="8128" spans="6:19" hidden="1" x14ac:dyDescent="0.25">
      <c r="F8128" t="s">
        <v>978</v>
      </c>
      <c r="G8128" t="s">
        <v>398</v>
      </c>
      <c r="H8128" t="str">
        <f>VLOOKUP(record[[#This Row],[ProcessSN]],表格2_7[],2,FALSE)</f>
        <v>30-4118-018-550</v>
      </c>
      <c r="I8128" t="str">
        <f>VLOOKUP(record[[#This Row],[ProcessSN]],表格2_7[],3,FALSE)</f>
        <v>#08RCV</v>
      </c>
      <c r="J8128" t="s">
        <v>591</v>
      </c>
      <c r="K8128" s="195">
        <v>45882.625925925924</v>
      </c>
      <c r="L8128">
        <v>162</v>
      </c>
      <c r="M8128">
        <v>0</v>
      </c>
      <c r="N8128" s="98" t="str">
        <f>IF(record[[#This Row],[Memo]]="Browser:chrome os:android","平板報工",IF(record[[#This Row],[Memo]]=0,"委外",record[[#This Row],[Memo]]))</f>
        <v/>
      </c>
      <c r="O8128" t="s">
        <v>58</v>
      </c>
      <c r="P8128" t="s">
        <v>186</v>
      </c>
      <c r="Q8128" t="s">
        <v>58</v>
      </c>
      <c r="R8128" t="str">
        <f>IFERROR(VLOOKUP(record[[#This Row],[PCUSTID]],廠商[],2,FALSE),"")</f>
        <v/>
      </c>
      <c r="S8128" t="str">
        <f>VLOOKUP(record[[#This Row],[employeeID]],員工[],2,FALSE)</f>
        <v>許文姍</v>
      </c>
    </row>
    <row r="8129" spans="6:19" hidden="1" x14ac:dyDescent="0.25">
      <c r="F8129" t="s">
        <v>979</v>
      </c>
      <c r="G8129" t="s">
        <v>398</v>
      </c>
      <c r="H8129" t="str">
        <f>VLOOKUP(record[[#This Row],[ProcessSN]],表格2_7[],2,FALSE)</f>
        <v>30-4118-018-550</v>
      </c>
      <c r="I8129" t="str">
        <f>VLOOKUP(record[[#This Row],[ProcessSN]],表格2_7[],3,FALSE)</f>
        <v>#08RCV</v>
      </c>
      <c r="J8129" t="s">
        <v>591</v>
      </c>
      <c r="K8129" s="195">
        <v>45882.625752314816</v>
      </c>
      <c r="L8129">
        <v>167</v>
      </c>
      <c r="M8129">
        <v>0</v>
      </c>
      <c r="N8129" s="98" t="str">
        <f>IF(record[[#This Row],[Memo]]="Browser:chrome os:android","平板報工",IF(record[[#This Row],[Memo]]=0,"委外",record[[#This Row],[Memo]]))</f>
        <v/>
      </c>
      <c r="O8129" t="s">
        <v>58</v>
      </c>
      <c r="P8129" t="s">
        <v>186</v>
      </c>
      <c r="Q8129" t="s">
        <v>58</v>
      </c>
      <c r="R8129" t="str">
        <f>IFERROR(VLOOKUP(record[[#This Row],[PCUSTID]],廠商[],2,FALSE),"")</f>
        <v/>
      </c>
      <c r="S8129" t="str">
        <f>VLOOKUP(record[[#This Row],[employeeID]],員工[],2,FALSE)</f>
        <v>許文姍</v>
      </c>
    </row>
    <row r="8130" spans="6:19" hidden="1" x14ac:dyDescent="0.25">
      <c r="F8130" t="s">
        <v>948</v>
      </c>
      <c r="G8130" t="s">
        <v>362</v>
      </c>
      <c r="H8130" t="str">
        <f>VLOOKUP(record[[#This Row],[ProcessSN]],表格2_7[],2,FALSE)</f>
        <v>30-4118-018-450</v>
      </c>
      <c r="I8130" t="str">
        <f>VLOOKUP(record[[#This Row],[ProcessSN]],表格2_7[],3,FALSE)</f>
        <v>#100SHIP</v>
      </c>
      <c r="J8130" t="s">
        <v>600</v>
      </c>
      <c r="K8130" s="195">
        <v>45882.463518518518</v>
      </c>
      <c r="L8130">
        <v>10</v>
      </c>
      <c r="M8130">
        <v>0</v>
      </c>
      <c r="N8130" s="98" t="str">
        <f>IF(record[[#This Row],[Memo]]="Browser:chrome os:android","平板報工",IF(record[[#This Row],[Memo]]=0,"委外",record[[#This Row],[Memo]]))</f>
        <v/>
      </c>
      <c r="O8130" t="s">
        <v>58</v>
      </c>
      <c r="P8130" t="s">
        <v>886</v>
      </c>
      <c r="Q8130" t="s">
        <v>58</v>
      </c>
      <c r="R8130" t="str">
        <f>IFERROR(VLOOKUP(record[[#This Row],[PCUSTID]],廠商[],2,FALSE),"")</f>
        <v/>
      </c>
      <c r="S8130" t="str">
        <f>VLOOKUP(record[[#This Row],[employeeID]],員工[],2,FALSE)</f>
        <v>謝蓁薰</v>
      </c>
    </row>
    <row r="8131" spans="6:19" hidden="1" x14ac:dyDescent="0.25">
      <c r="F8131" t="s">
        <v>948</v>
      </c>
      <c r="G8131" t="s">
        <v>362</v>
      </c>
      <c r="H8131" t="str">
        <f>VLOOKUP(record[[#This Row],[ProcessSN]],表格2_7[],2,FALSE)</f>
        <v>30-4118-018-450</v>
      </c>
      <c r="I8131" t="str">
        <f>VLOOKUP(record[[#This Row],[ProcessSN]],表格2_7[],3,FALSE)</f>
        <v>#100SHIP</v>
      </c>
      <c r="J8131" t="s">
        <v>600</v>
      </c>
      <c r="K8131" s="195">
        <v>45882.463368055556</v>
      </c>
      <c r="L8131">
        <v>10</v>
      </c>
      <c r="M8131">
        <v>0</v>
      </c>
      <c r="N8131" s="98" t="str">
        <f>IF(record[[#This Row],[Memo]]="Browser:chrome os:android","平板報工",IF(record[[#This Row],[Memo]]=0,"委外",record[[#This Row],[Memo]]))</f>
        <v/>
      </c>
      <c r="O8131" t="s">
        <v>58</v>
      </c>
      <c r="P8131" t="s">
        <v>886</v>
      </c>
      <c r="Q8131" t="s">
        <v>58</v>
      </c>
      <c r="R8131" t="str">
        <f>IFERROR(VLOOKUP(record[[#This Row],[PCUSTID]],廠商[],2,FALSE),"")</f>
        <v/>
      </c>
      <c r="S8131" t="str">
        <f>VLOOKUP(record[[#This Row],[employeeID]],員工[],2,FALSE)</f>
        <v>謝蓁薰</v>
      </c>
    </row>
    <row r="8132" spans="6:19" hidden="1" x14ac:dyDescent="0.25">
      <c r="F8132" t="s">
        <v>948</v>
      </c>
      <c r="G8132" t="s">
        <v>361</v>
      </c>
      <c r="H8132" t="str">
        <f>VLOOKUP(record[[#This Row],[ProcessSN]],表格2_7[],2,FALSE)</f>
        <v>30-4118-018-450</v>
      </c>
      <c r="I8132" t="str">
        <f>VLOOKUP(record[[#This Row],[ProcessSN]],表格2_7[],3,FALSE)</f>
        <v>#100STOCK</v>
      </c>
      <c r="J8132" t="s">
        <v>592</v>
      </c>
      <c r="K8132" s="195">
        <v>45882.463240740741</v>
      </c>
      <c r="L8132">
        <v>20</v>
      </c>
      <c r="M8132">
        <v>0</v>
      </c>
      <c r="N8132" s="98" t="str">
        <f>IF(record[[#This Row],[Memo]]="Browser:chrome os:android","平板報工",IF(record[[#This Row],[Memo]]=0,"委外",record[[#This Row],[Memo]]))</f>
        <v/>
      </c>
      <c r="O8132" t="s">
        <v>58</v>
      </c>
      <c r="P8132" t="s">
        <v>886</v>
      </c>
      <c r="Q8132" t="s">
        <v>58</v>
      </c>
      <c r="R8132" t="str">
        <f>IFERROR(VLOOKUP(record[[#This Row],[PCUSTID]],廠商[],2,FALSE),"")</f>
        <v/>
      </c>
      <c r="S8132" t="str">
        <f>VLOOKUP(record[[#This Row],[employeeID]],員工[],2,FALSE)</f>
        <v>謝蓁薰</v>
      </c>
    </row>
    <row r="8133" spans="6:19" hidden="1" x14ac:dyDescent="0.25">
      <c r="F8133" t="s">
        <v>938</v>
      </c>
      <c r="G8133" t="s">
        <v>362</v>
      </c>
      <c r="H8133" t="str">
        <f>VLOOKUP(record[[#This Row],[ProcessSN]],表格2_7[],2,FALSE)</f>
        <v>30-4118-018-450</v>
      </c>
      <c r="I8133" t="str">
        <f>VLOOKUP(record[[#This Row],[ProcessSN]],表格2_7[],3,FALSE)</f>
        <v>#100SHIP</v>
      </c>
      <c r="J8133" t="s">
        <v>600</v>
      </c>
      <c r="K8133" s="195">
        <v>45882.462951388887</v>
      </c>
      <c r="L8133">
        <v>2</v>
      </c>
      <c r="M8133">
        <v>0</v>
      </c>
      <c r="N8133" s="98" t="str">
        <f>IF(record[[#This Row],[Memo]]="Browser:chrome os:android","平板報工",IF(record[[#This Row],[Memo]]=0,"委外",record[[#This Row],[Memo]]))</f>
        <v/>
      </c>
      <c r="O8133" t="s">
        <v>58</v>
      </c>
      <c r="P8133" t="s">
        <v>886</v>
      </c>
      <c r="Q8133" t="s">
        <v>58</v>
      </c>
      <c r="R8133" t="str">
        <f>IFERROR(VLOOKUP(record[[#This Row],[PCUSTID]],廠商[],2,FALSE),"")</f>
        <v/>
      </c>
      <c r="S8133" t="str">
        <f>VLOOKUP(record[[#This Row],[employeeID]],員工[],2,FALSE)</f>
        <v>謝蓁薰</v>
      </c>
    </row>
    <row r="8134" spans="6:19" hidden="1" x14ac:dyDescent="0.25">
      <c r="F8134" t="s">
        <v>948</v>
      </c>
      <c r="G8134" t="s">
        <v>360</v>
      </c>
      <c r="H8134" t="str">
        <f>VLOOKUP(record[[#This Row],[ProcessSN]],表格2_7[],2,FALSE)</f>
        <v>30-4118-018-450</v>
      </c>
      <c r="I8134" t="str">
        <f>VLOOKUP(record[[#This Row],[ProcessSN]],表格2_7[],3,FALSE)</f>
        <v>#100OQC</v>
      </c>
      <c r="J8134" t="s">
        <v>599</v>
      </c>
      <c r="K8134" s="195">
        <v>45882.343622685185</v>
      </c>
      <c r="L8134">
        <v>293</v>
      </c>
      <c r="M8134">
        <v>0</v>
      </c>
      <c r="N8134" s="98" t="str">
        <f>IF(record[[#This Row],[Memo]]="Browser:chrome os:android","平板報工",IF(record[[#This Row],[Memo]]=0,"委外",record[[#This Row],[Memo]]))</f>
        <v/>
      </c>
      <c r="O8134" t="s">
        <v>58</v>
      </c>
      <c r="P8134" t="s">
        <v>121</v>
      </c>
      <c r="Q8134" t="s">
        <v>58</v>
      </c>
      <c r="R8134" t="str">
        <f>IFERROR(VLOOKUP(record[[#This Row],[PCUSTID]],廠商[],2,FALSE),"")</f>
        <v/>
      </c>
      <c r="S8134" t="str">
        <f>VLOOKUP(record[[#This Row],[employeeID]],員工[],2,FALSE)</f>
        <v>謝素卿</v>
      </c>
    </row>
    <row r="8135" spans="6:19" hidden="1" x14ac:dyDescent="0.25">
      <c r="F8135" t="s">
        <v>904</v>
      </c>
      <c r="G8135" t="s">
        <v>417</v>
      </c>
      <c r="H8135" t="str">
        <f>VLOOKUP(record[[#This Row],[ProcessSN]],表格2_7[],2,FALSE)</f>
        <v>30-4118-018-5XX</v>
      </c>
      <c r="I8135" t="str">
        <f>VLOOKUP(record[[#This Row],[ProcessSN]],表格2_7[],3,FALSE)</f>
        <v>#06</v>
      </c>
      <c r="J8135" t="s">
        <v>593</v>
      </c>
      <c r="K8135" s="195">
        <v>45882.314791666664</v>
      </c>
      <c r="L8135">
        <v>121</v>
      </c>
      <c r="M8135">
        <v>1</v>
      </c>
      <c r="N8135" s="98" t="str">
        <f>IF(record[[#This Row],[Memo]]="Browser:chrome os:android","平板報工",IF(record[[#This Row],[Memo]]=0,"委外",record[[#This Row],[Memo]]))</f>
        <v/>
      </c>
      <c r="O8135" t="s">
        <v>58</v>
      </c>
      <c r="P8135" t="s">
        <v>135</v>
      </c>
      <c r="Q8135" t="s">
        <v>58</v>
      </c>
      <c r="R8135" t="str">
        <f>IFERROR(VLOOKUP(record[[#This Row],[PCUSTID]],廠商[],2,FALSE),"")</f>
        <v/>
      </c>
      <c r="S8135" t="str">
        <f>VLOOKUP(record[[#This Row],[employeeID]],員工[],2,FALSE)</f>
        <v>阮士文</v>
      </c>
    </row>
    <row r="8136" spans="6:19" hidden="1" x14ac:dyDescent="0.25">
      <c r="F8136" t="s">
        <v>904</v>
      </c>
      <c r="G8136" t="s">
        <v>417</v>
      </c>
      <c r="H8136" t="str">
        <f>VLOOKUP(record[[#This Row],[ProcessSN]],表格2_7[],2,FALSE)</f>
        <v>30-4118-018-5XX</v>
      </c>
      <c r="I8136" t="str">
        <f>VLOOKUP(record[[#This Row],[ProcessSN]],表格2_7[],3,FALSE)</f>
        <v>#06</v>
      </c>
      <c r="J8136" t="s">
        <v>593</v>
      </c>
      <c r="K8136" s="195">
        <v>45881.971053240741</v>
      </c>
      <c r="L8136">
        <v>121</v>
      </c>
      <c r="M8136">
        <v>0</v>
      </c>
      <c r="N8136" s="98" t="str">
        <f>IF(record[[#This Row],[Memo]]="Browser:chrome os:android","平板報工",IF(record[[#This Row],[Memo]]=0,"委外",record[[#This Row],[Memo]]))</f>
        <v/>
      </c>
      <c r="O8136" t="s">
        <v>58</v>
      </c>
      <c r="P8136" t="s">
        <v>841</v>
      </c>
      <c r="Q8136" t="s">
        <v>58</v>
      </c>
      <c r="R8136" t="str">
        <f>IFERROR(VLOOKUP(record[[#This Row],[PCUSTID]],廠商[],2,FALSE),"")</f>
        <v/>
      </c>
      <c r="S8136" t="str">
        <f>VLOOKUP(record[[#This Row],[employeeID]],員工[],2,FALSE)</f>
        <v>范氏香</v>
      </c>
    </row>
    <row r="8137" spans="6:19" hidden="1" x14ac:dyDescent="0.25">
      <c r="F8137" t="s">
        <v>948</v>
      </c>
      <c r="G8137" t="s">
        <v>359</v>
      </c>
      <c r="H8137" t="str">
        <f>VLOOKUP(record[[#This Row],[ProcessSN]],表格2_7[],2,FALSE)</f>
        <v>30-4118-018-450</v>
      </c>
      <c r="I8137" t="str">
        <f>VLOOKUP(record[[#This Row],[ProcessSN]],表格2_7[],3,FALSE)</f>
        <v>#100</v>
      </c>
      <c r="J8137" t="s">
        <v>598</v>
      </c>
      <c r="K8137" s="195">
        <v>45881.822141203702</v>
      </c>
      <c r="L8137">
        <v>293</v>
      </c>
      <c r="M8137">
        <v>0</v>
      </c>
      <c r="N8137" s="98" t="str">
        <f>IF(record[[#This Row],[Memo]]="Browser:chrome os:android","平板報工",IF(record[[#This Row],[Memo]]=0,"委外",record[[#This Row],[Memo]]))</f>
        <v>平板報工</v>
      </c>
      <c r="O8137" t="s">
        <v>643</v>
      </c>
      <c r="P8137" t="s">
        <v>141</v>
      </c>
      <c r="Q8137" t="s">
        <v>644</v>
      </c>
      <c r="R8137" t="str">
        <f>IFERROR(VLOOKUP(record[[#This Row],[PCUSTID]],廠商[],2,FALSE),"")</f>
        <v/>
      </c>
      <c r="S8137" t="str">
        <f>VLOOKUP(record[[#This Row],[employeeID]],員工[],2,FALSE)</f>
        <v>蔣梅</v>
      </c>
    </row>
    <row r="8138" spans="6:19" hidden="1" x14ac:dyDescent="0.25">
      <c r="F8138" t="s">
        <v>959</v>
      </c>
      <c r="G8138" t="s">
        <v>358</v>
      </c>
      <c r="H8138" t="str">
        <f>VLOOKUP(record[[#This Row],[ProcessSN]],表格2_7[],2,FALSE)</f>
        <v>30-4118-018-450</v>
      </c>
      <c r="I8138" t="str">
        <f>VLOOKUP(record[[#This Row],[ProcessSN]],表格2_7[],3,FALSE)</f>
        <v>#08IQC</v>
      </c>
      <c r="J8138" t="s">
        <v>583</v>
      </c>
      <c r="K8138" s="195">
        <v>45881.813437500001</v>
      </c>
      <c r="L8138">
        <v>30</v>
      </c>
      <c r="M8138">
        <v>0</v>
      </c>
      <c r="N8138" s="98" t="str">
        <f>IF(record[[#This Row],[Memo]]="Browser:chrome os:android","平板報工",IF(record[[#This Row],[Memo]]=0,"委外",record[[#This Row],[Memo]]))</f>
        <v/>
      </c>
      <c r="O8138" t="s">
        <v>58</v>
      </c>
      <c r="P8138" t="s">
        <v>109</v>
      </c>
      <c r="Q8138" t="s">
        <v>58</v>
      </c>
      <c r="R8138" t="str">
        <f>IFERROR(VLOOKUP(record[[#This Row],[PCUSTID]],廠商[],2,FALSE),"")</f>
        <v/>
      </c>
      <c r="S8138" t="str">
        <f>VLOOKUP(record[[#This Row],[employeeID]],員工[],2,FALSE)</f>
        <v>裴氏璧鳳</v>
      </c>
    </row>
    <row r="8139" spans="6:19" hidden="1" x14ac:dyDescent="0.25">
      <c r="F8139" t="s">
        <v>956</v>
      </c>
      <c r="G8139" t="s">
        <v>358</v>
      </c>
      <c r="H8139" t="str">
        <f>VLOOKUP(record[[#This Row],[ProcessSN]],表格2_7[],2,FALSE)</f>
        <v>30-4118-018-450</v>
      </c>
      <c r="I8139" t="str">
        <f>VLOOKUP(record[[#This Row],[ProcessSN]],表格2_7[],3,FALSE)</f>
        <v>#08IQC</v>
      </c>
      <c r="J8139" t="s">
        <v>583</v>
      </c>
      <c r="K8139" s="195">
        <v>45881.813298611109</v>
      </c>
      <c r="L8139">
        <v>151</v>
      </c>
      <c r="M8139">
        <v>0</v>
      </c>
      <c r="N8139" s="98" t="str">
        <f>IF(record[[#This Row],[Memo]]="Browser:chrome os:android","平板報工",IF(record[[#This Row],[Memo]]=0,"委外",record[[#This Row],[Memo]]))</f>
        <v/>
      </c>
      <c r="O8139" t="s">
        <v>58</v>
      </c>
      <c r="P8139" t="s">
        <v>109</v>
      </c>
      <c r="Q8139" t="s">
        <v>58</v>
      </c>
      <c r="R8139" t="str">
        <f>IFERROR(VLOOKUP(record[[#This Row],[PCUSTID]],廠商[],2,FALSE),"")</f>
        <v/>
      </c>
      <c r="S8139" t="str">
        <f>VLOOKUP(record[[#This Row],[employeeID]],員工[],2,FALSE)</f>
        <v>裴氏璧鳳</v>
      </c>
    </row>
    <row r="8140" spans="6:19" hidden="1" x14ac:dyDescent="0.25">
      <c r="F8140" t="s">
        <v>960</v>
      </c>
      <c r="G8140" t="s">
        <v>424</v>
      </c>
      <c r="H8140" t="str">
        <f>VLOOKUP(record[[#This Row],[ProcessSN]],表格2_7[],2,FALSE)</f>
        <v>30-4118-018-600</v>
      </c>
      <c r="I8140" t="str">
        <f>VLOOKUP(record[[#This Row],[ProcessSN]],表格2_7[],3,FALSE)</f>
        <v>#08IQC</v>
      </c>
      <c r="J8140" t="s">
        <v>583</v>
      </c>
      <c r="K8140" s="195">
        <v>45881.812905092593</v>
      </c>
      <c r="L8140">
        <v>214</v>
      </c>
      <c r="M8140">
        <v>0</v>
      </c>
      <c r="N8140" s="98" t="str">
        <f>IF(record[[#This Row],[Memo]]="Browser:chrome os:android","平板報工",IF(record[[#This Row],[Memo]]=0,"委外",record[[#This Row],[Memo]]))</f>
        <v/>
      </c>
      <c r="O8140" t="s">
        <v>58</v>
      </c>
      <c r="P8140" t="s">
        <v>109</v>
      </c>
      <c r="Q8140" t="s">
        <v>58</v>
      </c>
      <c r="R8140" t="str">
        <f>IFERROR(VLOOKUP(record[[#This Row],[PCUSTID]],廠商[],2,FALSE),"")</f>
        <v/>
      </c>
      <c r="S8140" t="str">
        <f>VLOOKUP(record[[#This Row],[employeeID]],員工[],2,FALSE)</f>
        <v>裴氏璧鳳</v>
      </c>
    </row>
    <row r="8141" spans="6:19" hidden="1" x14ac:dyDescent="0.25">
      <c r="F8141" t="s">
        <v>951</v>
      </c>
      <c r="G8141" t="s">
        <v>424</v>
      </c>
      <c r="H8141" t="str">
        <f>VLOOKUP(record[[#This Row],[ProcessSN]],表格2_7[],2,FALSE)</f>
        <v>30-4118-018-600</v>
      </c>
      <c r="I8141" t="str">
        <f>VLOOKUP(record[[#This Row],[ProcessSN]],表格2_7[],3,FALSE)</f>
        <v>#08IQC</v>
      </c>
      <c r="J8141" t="s">
        <v>583</v>
      </c>
      <c r="K8141" s="195">
        <v>45881.812777777777</v>
      </c>
      <c r="L8141">
        <v>447</v>
      </c>
      <c r="M8141">
        <v>0</v>
      </c>
      <c r="N8141" s="98" t="str">
        <f>IF(record[[#This Row],[Memo]]="Browser:chrome os:android","平板報工",IF(record[[#This Row],[Memo]]=0,"委外",record[[#This Row],[Memo]]))</f>
        <v/>
      </c>
      <c r="O8141" t="s">
        <v>58</v>
      </c>
      <c r="P8141" t="s">
        <v>109</v>
      </c>
      <c r="Q8141" t="s">
        <v>58</v>
      </c>
      <c r="R8141" t="str">
        <f>IFERROR(VLOOKUP(record[[#This Row],[PCUSTID]],廠商[],2,FALSE),"")</f>
        <v/>
      </c>
      <c r="S8141" t="str">
        <f>VLOOKUP(record[[#This Row],[employeeID]],員工[],2,FALSE)</f>
        <v>裴氏璧鳳</v>
      </c>
    </row>
    <row r="8142" spans="6:19" hidden="1" x14ac:dyDescent="0.25">
      <c r="F8142" t="s">
        <v>970</v>
      </c>
      <c r="G8142" t="s">
        <v>403</v>
      </c>
      <c r="H8142" t="str">
        <f>VLOOKUP(record[[#This Row],[ProcessSN]],表格2_7[],2,FALSE)</f>
        <v>30-4118-018-550</v>
      </c>
      <c r="I8142" t="str">
        <f>VLOOKUP(record[[#This Row],[ProcessSN]],表格2_7[],3,FALSE)</f>
        <v>#100SHIP</v>
      </c>
      <c r="J8142" t="s">
        <v>600</v>
      </c>
      <c r="K8142" s="195">
        <v>45881.695925925924</v>
      </c>
      <c r="L8142">
        <v>298</v>
      </c>
      <c r="M8142">
        <v>0</v>
      </c>
      <c r="N8142" s="98" t="str">
        <f>IF(record[[#This Row],[Memo]]="Browser:chrome os:android","平板報工",IF(record[[#This Row],[Memo]]=0,"委外",record[[#This Row],[Memo]]))</f>
        <v/>
      </c>
      <c r="O8142" t="s">
        <v>58</v>
      </c>
      <c r="P8142" t="s">
        <v>886</v>
      </c>
      <c r="Q8142" t="s">
        <v>58</v>
      </c>
      <c r="R8142" t="str">
        <f>IFERROR(VLOOKUP(record[[#This Row],[PCUSTID]],廠商[],2,FALSE),"")</f>
        <v/>
      </c>
      <c r="S8142" t="str">
        <f>VLOOKUP(record[[#This Row],[employeeID]],員工[],2,FALSE)</f>
        <v>謝蓁薰</v>
      </c>
    </row>
    <row r="8143" spans="6:19" hidden="1" x14ac:dyDescent="0.25">
      <c r="F8143" t="s">
        <v>970</v>
      </c>
      <c r="G8143" t="s">
        <v>402</v>
      </c>
      <c r="H8143" t="str">
        <f>VLOOKUP(record[[#This Row],[ProcessSN]],表格2_7[],2,FALSE)</f>
        <v>30-4118-018-550</v>
      </c>
      <c r="I8143" t="str">
        <f>VLOOKUP(record[[#This Row],[ProcessSN]],表格2_7[],3,FALSE)</f>
        <v>#100STOCK</v>
      </c>
      <c r="J8143" t="s">
        <v>592</v>
      </c>
      <c r="K8143" s="195">
        <v>45881.695810185185</v>
      </c>
      <c r="L8143">
        <v>298</v>
      </c>
      <c r="M8143">
        <v>0</v>
      </c>
      <c r="N8143" s="98" t="str">
        <f>IF(record[[#This Row],[Memo]]="Browser:chrome os:android","平板報工",IF(record[[#This Row],[Memo]]=0,"委外",record[[#This Row],[Memo]]))</f>
        <v/>
      </c>
      <c r="O8143" t="s">
        <v>58</v>
      </c>
      <c r="P8143" t="s">
        <v>886</v>
      </c>
      <c r="Q8143" t="s">
        <v>58</v>
      </c>
      <c r="R8143" t="str">
        <f>IFERROR(VLOOKUP(record[[#This Row],[PCUSTID]],廠商[],2,FALSE),"")</f>
        <v/>
      </c>
      <c r="S8143" t="str">
        <f>VLOOKUP(record[[#This Row],[employeeID]],員工[],2,FALSE)</f>
        <v>謝蓁薰</v>
      </c>
    </row>
    <row r="8144" spans="6:19" hidden="1" x14ac:dyDescent="0.25">
      <c r="F8144" t="s">
        <v>966</v>
      </c>
      <c r="G8144" t="s">
        <v>403</v>
      </c>
      <c r="H8144" t="str">
        <f>VLOOKUP(record[[#This Row],[ProcessSN]],表格2_7[],2,FALSE)</f>
        <v>30-4118-018-550</v>
      </c>
      <c r="I8144" t="str">
        <f>VLOOKUP(record[[#This Row],[ProcessSN]],表格2_7[],3,FALSE)</f>
        <v>#100SHIP</v>
      </c>
      <c r="J8144" t="s">
        <v>600</v>
      </c>
      <c r="K8144" s="195">
        <v>45881.693379629629</v>
      </c>
      <c r="L8144">
        <v>6</v>
      </c>
      <c r="M8144">
        <v>0</v>
      </c>
      <c r="N8144" s="98" t="str">
        <f>IF(record[[#This Row],[Memo]]="Browser:chrome os:android","平板報工",IF(record[[#This Row],[Memo]]=0,"委外",record[[#This Row],[Memo]]))</f>
        <v/>
      </c>
      <c r="O8144" t="s">
        <v>58</v>
      </c>
      <c r="P8144" t="s">
        <v>886</v>
      </c>
      <c r="Q8144" t="s">
        <v>58</v>
      </c>
      <c r="R8144" t="str">
        <f>IFERROR(VLOOKUP(record[[#This Row],[PCUSTID]],廠商[],2,FALSE),"")</f>
        <v/>
      </c>
      <c r="S8144" t="str">
        <f>VLOOKUP(record[[#This Row],[employeeID]],員工[],2,FALSE)</f>
        <v>謝蓁薰</v>
      </c>
    </row>
    <row r="8145" spans="6:19" hidden="1" x14ac:dyDescent="0.25">
      <c r="F8145" t="s">
        <v>966</v>
      </c>
      <c r="G8145" t="s">
        <v>402</v>
      </c>
      <c r="H8145" t="str">
        <f>VLOOKUP(record[[#This Row],[ProcessSN]],表格2_7[],2,FALSE)</f>
        <v>30-4118-018-550</v>
      </c>
      <c r="I8145" t="str">
        <f>VLOOKUP(record[[#This Row],[ProcessSN]],表格2_7[],3,FALSE)</f>
        <v>#100STOCK</v>
      </c>
      <c r="J8145" t="s">
        <v>592</v>
      </c>
      <c r="K8145" s="195">
        <v>45881.693252314813</v>
      </c>
      <c r="L8145">
        <v>6</v>
      </c>
      <c r="M8145">
        <v>0</v>
      </c>
      <c r="N8145" s="98" t="str">
        <f>IF(record[[#This Row],[Memo]]="Browser:chrome os:android","平板報工",IF(record[[#This Row],[Memo]]=0,"委外",record[[#This Row],[Memo]]))</f>
        <v/>
      </c>
      <c r="O8145" t="s">
        <v>58</v>
      </c>
      <c r="P8145" t="s">
        <v>886</v>
      </c>
      <c r="Q8145" t="s">
        <v>58</v>
      </c>
      <c r="R8145" t="str">
        <f>IFERROR(VLOOKUP(record[[#This Row],[PCUSTID]],廠商[],2,FALSE),"")</f>
        <v/>
      </c>
      <c r="S8145" t="str">
        <f>VLOOKUP(record[[#This Row],[employeeID]],員工[],2,FALSE)</f>
        <v>謝蓁薰</v>
      </c>
    </row>
    <row r="8146" spans="6:19" hidden="1" x14ac:dyDescent="0.25">
      <c r="F8146" t="s">
        <v>973</v>
      </c>
      <c r="G8146" t="s">
        <v>401</v>
      </c>
      <c r="H8146" t="str">
        <f>VLOOKUP(record[[#This Row],[ProcessSN]],表格2_7[],2,FALSE)</f>
        <v>30-4118-018-550</v>
      </c>
      <c r="I8146" t="str">
        <f>VLOOKUP(record[[#This Row],[ProcessSN]],表格2_7[],3,FALSE)</f>
        <v>#100OQC</v>
      </c>
      <c r="J8146" t="s">
        <v>599</v>
      </c>
      <c r="K8146" s="195">
        <v>45881.690243055556</v>
      </c>
      <c r="L8146">
        <v>166</v>
      </c>
      <c r="M8146">
        <v>0</v>
      </c>
      <c r="N8146" s="98" t="str">
        <f>IF(record[[#This Row],[Memo]]="Browser:chrome os:android","平板報工",IF(record[[#This Row],[Memo]]=0,"委外",record[[#This Row],[Memo]]))</f>
        <v/>
      </c>
      <c r="O8146" t="s">
        <v>58</v>
      </c>
      <c r="P8146" t="s">
        <v>121</v>
      </c>
      <c r="Q8146" t="s">
        <v>58</v>
      </c>
      <c r="R8146" t="str">
        <f>IFERROR(VLOOKUP(record[[#This Row],[PCUSTID]],廠商[],2,FALSE),"")</f>
        <v/>
      </c>
      <c r="S8146" t="str">
        <f>VLOOKUP(record[[#This Row],[employeeID]],員工[],2,FALSE)</f>
        <v>謝素卿</v>
      </c>
    </row>
    <row r="8147" spans="6:19" hidden="1" x14ac:dyDescent="0.25">
      <c r="F8147" t="s">
        <v>966</v>
      </c>
      <c r="G8147" t="s">
        <v>401</v>
      </c>
      <c r="H8147" t="str">
        <f>VLOOKUP(record[[#This Row],[ProcessSN]],表格2_7[],2,FALSE)</f>
        <v>30-4118-018-550</v>
      </c>
      <c r="I8147" t="str">
        <f>VLOOKUP(record[[#This Row],[ProcessSN]],表格2_7[],3,FALSE)</f>
        <v>#100OQC</v>
      </c>
      <c r="J8147" t="s">
        <v>599</v>
      </c>
      <c r="K8147" s="195">
        <v>45881.690069444441</v>
      </c>
      <c r="L8147">
        <v>6</v>
      </c>
      <c r="M8147">
        <v>0</v>
      </c>
      <c r="N8147" s="98" t="str">
        <f>IF(record[[#This Row],[Memo]]="Browser:chrome os:android","平板報工",IF(record[[#This Row],[Memo]]=0,"委外",record[[#This Row],[Memo]]))</f>
        <v/>
      </c>
      <c r="O8147" t="s">
        <v>58</v>
      </c>
      <c r="P8147" t="s">
        <v>121</v>
      </c>
      <c r="Q8147" t="s">
        <v>58</v>
      </c>
      <c r="R8147" t="str">
        <f>IFERROR(VLOOKUP(record[[#This Row],[PCUSTID]],廠商[],2,FALSE),"")</f>
        <v/>
      </c>
      <c r="S8147" t="str">
        <f>VLOOKUP(record[[#This Row],[employeeID]],員工[],2,FALSE)</f>
        <v>謝素卿</v>
      </c>
    </row>
    <row r="8148" spans="6:19" hidden="1" x14ac:dyDescent="0.25">
      <c r="F8148" t="s">
        <v>970</v>
      </c>
      <c r="G8148" t="s">
        <v>401</v>
      </c>
      <c r="H8148" t="str">
        <f>VLOOKUP(record[[#This Row],[ProcessSN]],表格2_7[],2,FALSE)</f>
        <v>30-4118-018-550</v>
      </c>
      <c r="I8148" t="str">
        <f>VLOOKUP(record[[#This Row],[ProcessSN]],表格2_7[],3,FALSE)</f>
        <v>#100OQC</v>
      </c>
      <c r="J8148" t="s">
        <v>599</v>
      </c>
      <c r="K8148" s="195">
        <v>45881.689930555556</v>
      </c>
      <c r="L8148">
        <v>310</v>
      </c>
      <c r="M8148">
        <v>0</v>
      </c>
      <c r="N8148" s="98" t="str">
        <f>IF(record[[#This Row],[Memo]]="Browser:chrome os:android","平板報工",IF(record[[#This Row],[Memo]]=0,"委外",record[[#This Row],[Memo]]))</f>
        <v/>
      </c>
      <c r="O8148" t="s">
        <v>58</v>
      </c>
      <c r="P8148" t="s">
        <v>121</v>
      </c>
      <c r="Q8148" t="s">
        <v>58</v>
      </c>
      <c r="R8148" t="str">
        <f>IFERROR(VLOOKUP(record[[#This Row],[PCUSTID]],廠商[],2,FALSE),"")</f>
        <v/>
      </c>
      <c r="S8148" t="str">
        <f>VLOOKUP(record[[#This Row],[employeeID]],員工[],2,FALSE)</f>
        <v>謝素卿</v>
      </c>
    </row>
    <row r="8149" spans="6:19" hidden="1" x14ac:dyDescent="0.25">
      <c r="F8149" t="s">
        <v>930</v>
      </c>
      <c r="G8149" t="s">
        <v>403</v>
      </c>
      <c r="H8149" t="str">
        <f>VLOOKUP(record[[#This Row],[ProcessSN]],表格2_7[],2,FALSE)</f>
        <v>30-4118-018-550</v>
      </c>
      <c r="I8149" t="str">
        <f>VLOOKUP(record[[#This Row],[ProcessSN]],表格2_7[],3,FALSE)</f>
        <v>#100SHIP</v>
      </c>
      <c r="J8149" t="s">
        <v>600</v>
      </c>
      <c r="K8149" s="195">
        <v>45881.682141203702</v>
      </c>
      <c r="L8149">
        <v>148</v>
      </c>
      <c r="M8149">
        <v>0</v>
      </c>
      <c r="N8149" s="98" t="str">
        <f>IF(record[[#This Row],[Memo]]="Browser:chrome os:android","平板報工",IF(record[[#This Row],[Memo]]=0,"委外",record[[#This Row],[Memo]]))</f>
        <v/>
      </c>
      <c r="O8149" t="s">
        <v>58</v>
      </c>
      <c r="P8149" t="s">
        <v>886</v>
      </c>
      <c r="Q8149" t="s">
        <v>58</v>
      </c>
      <c r="R8149" t="str">
        <f>IFERROR(VLOOKUP(record[[#This Row],[PCUSTID]],廠商[],2,FALSE),"")</f>
        <v/>
      </c>
      <c r="S8149" t="str">
        <f>VLOOKUP(record[[#This Row],[employeeID]],員工[],2,FALSE)</f>
        <v>謝蓁薰</v>
      </c>
    </row>
    <row r="8150" spans="6:19" hidden="1" x14ac:dyDescent="0.25">
      <c r="F8150" t="s">
        <v>924</v>
      </c>
      <c r="G8150" t="s">
        <v>403</v>
      </c>
      <c r="H8150" t="str">
        <f>VLOOKUP(record[[#This Row],[ProcessSN]],表格2_7[],2,FALSE)</f>
        <v>30-4118-018-550</v>
      </c>
      <c r="I8150" t="str">
        <f>VLOOKUP(record[[#This Row],[ProcessSN]],表格2_7[],3,FALSE)</f>
        <v>#100SHIP</v>
      </c>
      <c r="J8150" t="s">
        <v>600</v>
      </c>
      <c r="K8150" s="195">
        <v>45881.681979166664</v>
      </c>
      <c r="L8150">
        <v>58</v>
      </c>
      <c r="M8150">
        <v>0</v>
      </c>
      <c r="N8150" s="98" t="str">
        <f>IF(record[[#This Row],[Memo]]="Browser:chrome os:android","平板報工",IF(record[[#This Row],[Memo]]=0,"委外",record[[#This Row],[Memo]]))</f>
        <v/>
      </c>
      <c r="O8150" t="s">
        <v>58</v>
      </c>
      <c r="P8150" t="s">
        <v>886</v>
      </c>
      <c r="Q8150" t="s">
        <v>58</v>
      </c>
      <c r="R8150" t="str">
        <f>IFERROR(VLOOKUP(record[[#This Row],[PCUSTID]],廠商[],2,FALSE),"")</f>
        <v/>
      </c>
      <c r="S8150" t="str">
        <f>VLOOKUP(record[[#This Row],[employeeID]],員工[],2,FALSE)</f>
        <v>謝蓁薰</v>
      </c>
    </row>
    <row r="8151" spans="6:19" hidden="1" x14ac:dyDescent="0.25">
      <c r="F8151" t="s">
        <v>973</v>
      </c>
      <c r="G8151" t="s">
        <v>400</v>
      </c>
      <c r="H8151" t="str">
        <f>VLOOKUP(record[[#This Row],[ProcessSN]],表格2_7[],2,FALSE)</f>
        <v>30-4118-018-550</v>
      </c>
      <c r="I8151" t="str">
        <f>VLOOKUP(record[[#This Row],[ProcessSN]],表格2_7[],3,FALSE)</f>
        <v>#100</v>
      </c>
      <c r="J8151" t="s">
        <v>598</v>
      </c>
      <c r="K8151" s="195">
        <v>45881.679895833331</v>
      </c>
      <c r="L8151">
        <v>166</v>
      </c>
      <c r="M8151">
        <v>0</v>
      </c>
      <c r="N8151" s="98" t="str">
        <f>IF(record[[#This Row],[Memo]]="Browser:chrome os:android","平板報工",IF(record[[#This Row],[Memo]]=0,"委外",record[[#This Row],[Memo]]))</f>
        <v/>
      </c>
      <c r="O8151" t="s">
        <v>58</v>
      </c>
      <c r="P8151" t="s">
        <v>141</v>
      </c>
      <c r="Q8151" t="s">
        <v>58</v>
      </c>
      <c r="R8151" t="str">
        <f>IFERROR(VLOOKUP(record[[#This Row],[PCUSTID]],廠商[],2,FALSE),"")</f>
        <v/>
      </c>
      <c r="S8151" t="str">
        <f>VLOOKUP(record[[#This Row],[employeeID]],員工[],2,FALSE)</f>
        <v>蔣梅</v>
      </c>
    </row>
    <row r="8152" spans="6:19" hidden="1" x14ac:dyDescent="0.25">
      <c r="F8152" t="s">
        <v>966</v>
      </c>
      <c r="G8152" t="s">
        <v>400</v>
      </c>
      <c r="H8152" t="str">
        <f>VLOOKUP(record[[#This Row],[ProcessSN]],表格2_7[],2,FALSE)</f>
        <v>30-4118-018-550</v>
      </c>
      <c r="I8152" t="str">
        <f>VLOOKUP(record[[#This Row],[ProcessSN]],表格2_7[],3,FALSE)</f>
        <v>#100</v>
      </c>
      <c r="J8152" t="s">
        <v>598</v>
      </c>
      <c r="K8152" s="195">
        <v>45881.679398148146</v>
      </c>
      <c r="L8152">
        <v>6</v>
      </c>
      <c r="M8152">
        <v>0</v>
      </c>
      <c r="N8152" s="98" t="str">
        <f>IF(record[[#This Row],[Memo]]="Browser:chrome os:android","平板報工",IF(record[[#This Row],[Memo]]=0,"委外",record[[#This Row],[Memo]]))</f>
        <v/>
      </c>
      <c r="O8152" t="s">
        <v>58</v>
      </c>
      <c r="P8152" t="s">
        <v>141</v>
      </c>
      <c r="Q8152" t="s">
        <v>58</v>
      </c>
      <c r="R8152" t="str">
        <f>IFERROR(VLOOKUP(record[[#This Row],[PCUSTID]],廠商[],2,FALSE),"")</f>
        <v/>
      </c>
      <c r="S8152" t="str">
        <f>VLOOKUP(record[[#This Row],[employeeID]],員工[],2,FALSE)</f>
        <v>蔣梅</v>
      </c>
    </row>
    <row r="8153" spans="6:19" hidden="1" x14ac:dyDescent="0.25">
      <c r="F8153" t="s">
        <v>970</v>
      </c>
      <c r="G8153" t="s">
        <v>400</v>
      </c>
      <c r="H8153" t="str">
        <f>VLOOKUP(record[[#This Row],[ProcessSN]],表格2_7[],2,FALSE)</f>
        <v>30-4118-018-550</v>
      </c>
      <c r="I8153" t="str">
        <f>VLOOKUP(record[[#This Row],[ProcessSN]],表格2_7[],3,FALSE)</f>
        <v>#100</v>
      </c>
      <c r="J8153" t="s">
        <v>598</v>
      </c>
      <c r="K8153" s="195">
        <v>45881.679247685184</v>
      </c>
      <c r="L8153">
        <v>310</v>
      </c>
      <c r="M8153">
        <v>0</v>
      </c>
      <c r="N8153" s="98" t="str">
        <f>IF(record[[#This Row],[Memo]]="Browser:chrome os:android","平板報工",IF(record[[#This Row],[Memo]]=0,"委外",record[[#This Row],[Memo]]))</f>
        <v/>
      </c>
      <c r="O8153" t="s">
        <v>58</v>
      </c>
      <c r="P8153" t="s">
        <v>141</v>
      </c>
      <c r="Q8153" t="s">
        <v>58</v>
      </c>
      <c r="R8153" t="str">
        <f>IFERROR(VLOOKUP(record[[#This Row],[PCUSTID]],廠商[],2,FALSE),"")</f>
        <v/>
      </c>
      <c r="S8153" t="str">
        <f>VLOOKUP(record[[#This Row],[employeeID]],員工[],2,FALSE)</f>
        <v>蔣梅</v>
      </c>
    </row>
    <row r="8154" spans="6:19" hidden="1" x14ac:dyDescent="0.25">
      <c r="F8154" t="s">
        <v>930</v>
      </c>
      <c r="G8154" t="s">
        <v>402</v>
      </c>
      <c r="H8154" t="str">
        <f>VLOOKUP(record[[#This Row],[ProcessSN]],表格2_7[],2,FALSE)</f>
        <v>30-4118-018-550</v>
      </c>
      <c r="I8154" t="str">
        <f>VLOOKUP(record[[#This Row],[ProcessSN]],表格2_7[],3,FALSE)</f>
        <v>#100STOCK</v>
      </c>
      <c r="J8154" t="s">
        <v>592</v>
      </c>
      <c r="K8154" s="195">
        <v>45881.642974537041</v>
      </c>
      <c r="L8154">
        <v>3</v>
      </c>
      <c r="M8154">
        <v>0</v>
      </c>
      <c r="N8154" s="98" t="str">
        <f>IF(record[[#This Row],[Memo]]="Browser:chrome os:android","平板報工",IF(record[[#This Row],[Memo]]=0,"委外",record[[#This Row],[Memo]]))</f>
        <v/>
      </c>
      <c r="O8154" t="s">
        <v>58</v>
      </c>
      <c r="P8154" t="s">
        <v>886</v>
      </c>
      <c r="Q8154" t="s">
        <v>58</v>
      </c>
      <c r="R8154" t="str">
        <f>IFERROR(VLOOKUP(record[[#This Row],[PCUSTID]],廠商[],2,FALSE),"")</f>
        <v/>
      </c>
      <c r="S8154" t="str">
        <f>VLOOKUP(record[[#This Row],[employeeID]],員工[],2,FALSE)</f>
        <v>謝蓁薰</v>
      </c>
    </row>
    <row r="8155" spans="6:19" hidden="1" x14ac:dyDescent="0.25">
      <c r="F8155" t="s">
        <v>897</v>
      </c>
      <c r="G8155" t="s">
        <v>417</v>
      </c>
      <c r="H8155" t="str">
        <f>VLOOKUP(record[[#This Row],[ProcessSN]],表格2_7[],2,FALSE)</f>
        <v>30-4118-018-5XX</v>
      </c>
      <c r="I8155" t="str">
        <f>VLOOKUP(record[[#This Row],[ProcessSN]],表格2_7[],3,FALSE)</f>
        <v>#06</v>
      </c>
      <c r="J8155" t="s">
        <v>593</v>
      </c>
      <c r="K8155" s="195">
        <v>45881.640416666669</v>
      </c>
      <c r="L8155">
        <v>120</v>
      </c>
      <c r="M8155">
        <v>0</v>
      </c>
      <c r="N8155" s="98" t="str">
        <f>IF(record[[#This Row],[Memo]]="Browser:chrome os:android","平板報工",IF(record[[#This Row],[Memo]]=0,"委外",record[[#This Row],[Memo]]))</f>
        <v/>
      </c>
      <c r="O8155" t="s">
        <v>58</v>
      </c>
      <c r="P8155" t="s">
        <v>119</v>
      </c>
      <c r="Q8155" t="s">
        <v>58</v>
      </c>
      <c r="R8155" t="str">
        <f>IFERROR(VLOOKUP(record[[#This Row],[PCUSTID]],廠商[],2,FALSE),"")</f>
        <v/>
      </c>
      <c r="S8155" t="str">
        <f>VLOOKUP(record[[#This Row],[employeeID]],員工[],2,FALSE)</f>
        <v>廖俊彥</v>
      </c>
    </row>
    <row r="8156" spans="6:19" hidden="1" x14ac:dyDescent="0.25">
      <c r="F8156" t="s">
        <v>966</v>
      </c>
      <c r="G8156" t="s">
        <v>399</v>
      </c>
      <c r="H8156" t="str">
        <f>VLOOKUP(record[[#This Row],[ProcessSN]],表格2_7[],2,FALSE)</f>
        <v>30-4118-018-550</v>
      </c>
      <c r="I8156" t="str">
        <f>VLOOKUP(record[[#This Row],[ProcessSN]],表格2_7[],3,FALSE)</f>
        <v>#08IQC</v>
      </c>
      <c r="J8156" t="s">
        <v>583</v>
      </c>
      <c r="K8156" s="195">
        <v>45881.607430555552</v>
      </c>
      <c r="L8156">
        <v>6</v>
      </c>
      <c r="M8156">
        <v>0</v>
      </c>
      <c r="N8156" s="98" t="str">
        <f>IF(record[[#This Row],[Memo]]="Browser:chrome os:android","平板報工",IF(record[[#This Row],[Memo]]=0,"委外",record[[#This Row],[Memo]]))</f>
        <v/>
      </c>
      <c r="O8156" t="s">
        <v>58</v>
      </c>
      <c r="P8156" t="s">
        <v>109</v>
      </c>
      <c r="Q8156" t="s">
        <v>58</v>
      </c>
      <c r="R8156" t="str">
        <f>IFERROR(VLOOKUP(record[[#This Row],[PCUSTID]],廠商[],2,FALSE),"")</f>
        <v/>
      </c>
      <c r="S8156" t="str">
        <f>VLOOKUP(record[[#This Row],[employeeID]],員工[],2,FALSE)</f>
        <v>裴氏璧鳳</v>
      </c>
    </row>
    <row r="8157" spans="6:19" hidden="1" x14ac:dyDescent="0.25">
      <c r="F8157" t="s">
        <v>973</v>
      </c>
      <c r="G8157" t="s">
        <v>399</v>
      </c>
      <c r="H8157" t="str">
        <f>VLOOKUP(record[[#This Row],[ProcessSN]],表格2_7[],2,FALSE)</f>
        <v>30-4118-018-550</v>
      </c>
      <c r="I8157" t="str">
        <f>VLOOKUP(record[[#This Row],[ProcessSN]],表格2_7[],3,FALSE)</f>
        <v>#08IQC</v>
      </c>
      <c r="J8157" t="s">
        <v>583</v>
      </c>
      <c r="K8157" s="195">
        <v>45881.607268518521</v>
      </c>
      <c r="L8157">
        <v>192</v>
      </c>
      <c r="M8157">
        <v>0</v>
      </c>
      <c r="N8157" s="98" t="str">
        <f>IF(record[[#This Row],[Memo]]="Browser:chrome os:android","平板報工",IF(record[[#This Row],[Memo]]=0,"委外",record[[#This Row],[Memo]]))</f>
        <v/>
      </c>
      <c r="O8157" t="s">
        <v>58</v>
      </c>
      <c r="P8157" t="s">
        <v>109</v>
      </c>
      <c r="Q8157" t="s">
        <v>58</v>
      </c>
      <c r="R8157" t="str">
        <f>IFERROR(VLOOKUP(record[[#This Row],[PCUSTID]],廠商[],2,FALSE),"")</f>
        <v/>
      </c>
      <c r="S8157" t="str">
        <f>VLOOKUP(record[[#This Row],[employeeID]],員工[],2,FALSE)</f>
        <v>裴氏璧鳳</v>
      </c>
    </row>
    <row r="8158" spans="6:19" hidden="1" x14ac:dyDescent="0.25">
      <c r="F8158" t="s">
        <v>970</v>
      </c>
      <c r="G8158" t="s">
        <v>399</v>
      </c>
      <c r="H8158" t="str">
        <f>VLOOKUP(record[[#This Row],[ProcessSN]],表格2_7[],2,FALSE)</f>
        <v>30-4118-018-550</v>
      </c>
      <c r="I8158" t="str">
        <f>VLOOKUP(record[[#This Row],[ProcessSN]],表格2_7[],3,FALSE)</f>
        <v>#08IQC</v>
      </c>
      <c r="J8158" t="s">
        <v>583</v>
      </c>
      <c r="K8158" s="195">
        <v>45881.607129629629</v>
      </c>
      <c r="L8158">
        <v>310</v>
      </c>
      <c r="M8158">
        <v>0</v>
      </c>
      <c r="N8158" s="98" t="str">
        <f>IF(record[[#This Row],[Memo]]="Browser:chrome os:android","平板報工",IF(record[[#This Row],[Memo]]=0,"委外",record[[#This Row],[Memo]]))</f>
        <v/>
      </c>
      <c r="O8158" t="s">
        <v>58</v>
      </c>
      <c r="P8158" t="s">
        <v>109</v>
      </c>
      <c r="Q8158" t="s">
        <v>58</v>
      </c>
      <c r="R8158" t="str">
        <f>IFERROR(VLOOKUP(record[[#This Row],[PCUSTID]],廠商[],2,FALSE),"")</f>
        <v/>
      </c>
      <c r="S8158" t="str">
        <f>VLOOKUP(record[[#This Row],[employeeID]],員工[],2,FALSE)</f>
        <v>裴氏璧鳳</v>
      </c>
    </row>
    <row r="8159" spans="6:19" hidden="1" x14ac:dyDescent="0.25">
      <c r="F8159" t="s">
        <v>959</v>
      </c>
      <c r="G8159" t="s">
        <v>357</v>
      </c>
      <c r="H8159" t="str">
        <f>VLOOKUP(record[[#This Row],[ProcessSN]],表格2_7[],2,FALSE)</f>
        <v>30-4118-018-450</v>
      </c>
      <c r="I8159" t="str">
        <f>VLOOKUP(record[[#This Row],[ProcessSN]],表格2_7[],3,FALSE)</f>
        <v>#08RCV</v>
      </c>
      <c r="J8159" t="s">
        <v>591</v>
      </c>
      <c r="K8159" s="195">
        <v>45881.58289351852</v>
      </c>
      <c r="L8159">
        <v>0</v>
      </c>
      <c r="M8159">
        <v>2</v>
      </c>
      <c r="N8159" s="98" t="str">
        <f>IF(record[[#This Row],[Memo]]="Browser:chrome os:android","平板報工",IF(record[[#This Row],[Memo]]=0,"委外",record[[#This Row],[Memo]]))</f>
        <v/>
      </c>
      <c r="O8159" t="s">
        <v>58</v>
      </c>
      <c r="P8159" t="s">
        <v>186</v>
      </c>
      <c r="Q8159" t="s">
        <v>58</v>
      </c>
      <c r="R8159" t="str">
        <f>IFERROR(VLOOKUP(record[[#This Row],[PCUSTID]],廠商[],2,FALSE),"")</f>
        <v/>
      </c>
      <c r="S8159" t="str">
        <f>VLOOKUP(record[[#This Row],[employeeID]],員工[],2,FALSE)</f>
        <v>許文姍</v>
      </c>
    </row>
    <row r="8160" spans="6:19" hidden="1" x14ac:dyDescent="0.25">
      <c r="F8160" t="s">
        <v>959</v>
      </c>
      <c r="G8160" t="s">
        <v>357</v>
      </c>
      <c r="H8160" t="str">
        <f>VLOOKUP(record[[#This Row],[ProcessSN]],表格2_7[],2,FALSE)</f>
        <v>30-4118-018-450</v>
      </c>
      <c r="I8160" t="str">
        <f>VLOOKUP(record[[#This Row],[ProcessSN]],表格2_7[],3,FALSE)</f>
        <v>#08RCV</v>
      </c>
      <c r="J8160" t="s">
        <v>591</v>
      </c>
      <c r="K8160" s="195">
        <v>45881.582731481481</v>
      </c>
      <c r="L8160">
        <v>30</v>
      </c>
      <c r="M8160">
        <v>0</v>
      </c>
      <c r="N8160" s="98" t="str">
        <f>IF(record[[#This Row],[Memo]]="Browser:chrome os:android","平板報工",IF(record[[#This Row],[Memo]]=0,"委外",record[[#This Row],[Memo]]))</f>
        <v/>
      </c>
      <c r="O8160" t="s">
        <v>58</v>
      </c>
      <c r="P8160" t="s">
        <v>186</v>
      </c>
      <c r="Q8160" t="s">
        <v>58</v>
      </c>
      <c r="R8160" t="str">
        <f>IFERROR(VLOOKUP(record[[#This Row],[PCUSTID]],廠商[],2,FALSE),"")</f>
        <v/>
      </c>
      <c r="S8160" t="str">
        <f>VLOOKUP(record[[#This Row],[employeeID]],員工[],2,FALSE)</f>
        <v>許文姍</v>
      </c>
    </row>
    <row r="8161" spans="6:19" hidden="1" x14ac:dyDescent="0.25">
      <c r="F8161" t="s">
        <v>956</v>
      </c>
      <c r="G8161" t="s">
        <v>357</v>
      </c>
      <c r="H8161" t="str">
        <f>VLOOKUP(record[[#This Row],[ProcessSN]],表格2_7[],2,FALSE)</f>
        <v>30-4118-018-450</v>
      </c>
      <c r="I8161" t="str">
        <f>VLOOKUP(record[[#This Row],[ProcessSN]],表格2_7[],3,FALSE)</f>
        <v>#08RCV</v>
      </c>
      <c r="J8161" t="s">
        <v>591</v>
      </c>
      <c r="K8161" s="195">
        <v>45881.58253472222</v>
      </c>
      <c r="L8161">
        <v>151</v>
      </c>
      <c r="M8161">
        <v>0</v>
      </c>
      <c r="N8161" s="98" t="str">
        <f>IF(record[[#This Row],[Memo]]="Browser:chrome os:android","平板報工",IF(record[[#This Row],[Memo]]=0,"委外",record[[#This Row],[Memo]]))</f>
        <v/>
      </c>
      <c r="O8161" t="s">
        <v>58</v>
      </c>
      <c r="P8161" t="s">
        <v>186</v>
      </c>
      <c r="Q8161" t="s">
        <v>58</v>
      </c>
      <c r="R8161" t="str">
        <f>IFERROR(VLOOKUP(record[[#This Row],[PCUSTID]],廠商[],2,FALSE),"")</f>
        <v/>
      </c>
      <c r="S8161" t="str">
        <f>VLOOKUP(record[[#This Row],[employeeID]],員工[],2,FALSE)</f>
        <v>許文姍</v>
      </c>
    </row>
    <row r="8162" spans="6:19" hidden="1" x14ac:dyDescent="0.25">
      <c r="F8162" t="s">
        <v>960</v>
      </c>
      <c r="G8162" t="s">
        <v>423</v>
      </c>
      <c r="H8162" t="str">
        <f>VLOOKUP(record[[#This Row],[ProcessSN]],表格2_7[],2,FALSE)</f>
        <v>30-4118-018-600</v>
      </c>
      <c r="I8162" t="str">
        <f>VLOOKUP(record[[#This Row],[ProcessSN]],表格2_7[],3,FALSE)</f>
        <v>#08RCV</v>
      </c>
      <c r="J8162" t="s">
        <v>591</v>
      </c>
      <c r="K8162" s="195">
        <v>45881.58016203704</v>
      </c>
      <c r="L8162">
        <v>7</v>
      </c>
      <c r="M8162">
        <v>0</v>
      </c>
      <c r="N8162" s="98" t="str">
        <f>IF(record[[#This Row],[Memo]]="Browser:chrome os:android","平板報工",IF(record[[#This Row],[Memo]]=0,"委外",record[[#This Row],[Memo]]))</f>
        <v/>
      </c>
      <c r="O8162" t="s">
        <v>58</v>
      </c>
      <c r="P8162" t="s">
        <v>186</v>
      </c>
      <c r="Q8162" t="s">
        <v>58</v>
      </c>
      <c r="R8162" t="str">
        <f>IFERROR(VLOOKUP(record[[#This Row],[PCUSTID]],廠商[],2,FALSE),"")</f>
        <v/>
      </c>
      <c r="S8162" t="str">
        <f>VLOOKUP(record[[#This Row],[employeeID]],員工[],2,FALSE)</f>
        <v>許文姍</v>
      </c>
    </row>
    <row r="8163" spans="6:19" hidden="1" x14ac:dyDescent="0.25">
      <c r="F8163" t="s">
        <v>951</v>
      </c>
      <c r="G8163" t="s">
        <v>423</v>
      </c>
      <c r="H8163" t="str">
        <f>VLOOKUP(record[[#This Row],[ProcessSN]],表格2_7[],2,FALSE)</f>
        <v>30-4118-018-600</v>
      </c>
      <c r="I8163" t="str">
        <f>VLOOKUP(record[[#This Row],[ProcessSN]],表格2_7[],3,FALSE)</f>
        <v>#08RCV</v>
      </c>
      <c r="J8163" t="s">
        <v>591</v>
      </c>
      <c r="K8163" s="195">
        <v>45881.579965277779</v>
      </c>
      <c r="L8163">
        <v>0</v>
      </c>
      <c r="M8163">
        <v>18</v>
      </c>
      <c r="N8163" s="98" t="str">
        <f>IF(record[[#This Row],[Memo]]="Browser:chrome os:android","平板報工",IF(record[[#This Row],[Memo]]=0,"委外",record[[#This Row],[Memo]]))</f>
        <v/>
      </c>
      <c r="O8163" t="s">
        <v>58</v>
      </c>
      <c r="P8163" t="s">
        <v>186</v>
      </c>
      <c r="Q8163" t="s">
        <v>58</v>
      </c>
      <c r="R8163" t="str">
        <f>IFERROR(VLOOKUP(record[[#This Row],[PCUSTID]],廠商[],2,FALSE),"")</f>
        <v/>
      </c>
      <c r="S8163" t="str">
        <f>VLOOKUP(record[[#This Row],[employeeID]],員工[],2,FALSE)</f>
        <v>許文姍</v>
      </c>
    </row>
    <row r="8164" spans="6:19" hidden="1" x14ac:dyDescent="0.25">
      <c r="F8164" t="s">
        <v>960</v>
      </c>
      <c r="G8164" t="s">
        <v>423</v>
      </c>
      <c r="H8164" t="str">
        <f>VLOOKUP(record[[#This Row],[ProcessSN]],表格2_7[],2,FALSE)</f>
        <v>30-4118-018-600</v>
      </c>
      <c r="I8164" t="str">
        <f>VLOOKUP(record[[#This Row],[ProcessSN]],表格2_7[],3,FALSE)</f>
        <v>#08RCV</v>
      </c>
      <c r="J8164" t="s">
        <v>591</v>
      </c>
      <c r="K8164" s="195">
        <v>45881.579594907409</v>
      </c>
      <c r="L8164">
        <v>207</v>
      </c>
      <c r="M8164">
        <v>0</v>
      </c>
      <c r="N8164" s="98" t="str">
        <f>IF(record[[#This Row],[Memo]]="Browser:chrome os:android","平板報工",IF(record[[#This Row],[Memo]]=0,"委外",record[[#This Row],[Memo]]))</f>
        <v/>
      </c>
      <c r="O8164" t="s">
        <v>58</v>
      </c>
      <c r="P8164" t="s">
        <v>186</v>
      </c>
      <c r="Q8164" t="s">
        <v>58</v>
      </c>
      <c r="R8164" t="str">
        <f>IFERROR(VLOOKUP(record[[#This Row],[PCUSTID]],廠商[],2,FALSE),"")</f>
        <v/>
      </c>
      <c r="S8164" t="str">
        <f>VLOOKUP(record[[#This Row],[employeeID]],員工[],2,FALSE)</f>
        <v>許文姍</v>
      </c>
    </row>
    <row r="8165" spans="6:19" hidden="1" x14ac:dyDescent="0.25">
      <c r="F8165" t="s">
        <v>951</v>
      </c>
      <c r="G8165" t="s">
        <v>423</v>
      </c>
      <c r="H8165" t="str">
        <f>VLOOKUP(record[[#This Row],[ProcessSN]],表格2_7[],2,FALSE)</f>
        <v>30-4118-018-600</v>
      </c>
      <c r="I8165" t="str">
        <f>VLOOKUP(record[[#This Row],[ProcessSN]],表格2_7[],3,FALSE)</f>
        <v>#08RCV</v>
      </c>
      <c r="J8165" t="s">
        <v>591</v>
      </c>
      <c r="K8165" s="195">
        <v>45881.579328703701</v>
      </c>
      <c r="L8165">
        <v>0</v>
      </c>
      <c r="M8165">
        <v>12</v>
      </c>
      <c r="N8165" s="98" t="str">
        <f>IF(record[[#This Row],[Memo]]="Browser:chrome os:android","平板報工",IF(record[[#This Row],[Memo]]=0,"委外",record[[#This Row],[Memo]]))</f>
        <v/>
      </c>
      <c r="O8165" t="s">
        <v>58</v>
      </c>
      <c r="P8165" t="s">
        <v>186</v>
      </c>
      <c r="Q8165" t="s">
        <v>58</v>
      </c>
      <c r="R8165" t="str">
        <f>IFERROR(VLOOKUP(record[[#This Row],[PCUSTID]],廠商[],2,FALSE),"")</f>
        <v/>
      </c>
      <c r="S8165" t="str">
        <f>VLOOKUP(record[[#This Row],[employeeID]],員工[],2,FALSE)</f>
        <v>許文姍</v>
      </c>
    </row>
    <row r="8166" spans="6:19" hidden="1" x14ac:dyDescent="0.25">
      <c r="F8166" t="s">
        <v>951</v>
      </c>
      <c r="G8166" t="s">
        <v>423</v>
      </c>
      <c r="H8166" t="str">
        <f>VLOOKUP(record[[#This Row],[ProcessSN]],表格2_7[],2,FALSE)</f>
        <v>30-4118-018-600</v>
      </c>
      <c r="I8166" t="str">
        <f>VLOOKUP(record[[#This Row],[ProcessSN]],表格2_7[],3,FALSE)</f>
        <v>#08RCV</v>
      </c>
      <c r="J8166" t="s">
        <v>591</v>
      </c>
      <c r="K8166" s="195">
        <v>45881.579131944447</v>
      </c>
      <c r="L8166">
        <v>447</v>
      </c>
      <c r="M8166">
        <v>0</v>
      </c>
      <c r="N8166" s="98" t="str">
        <f>IF(record[[#This Row],[Memo]]="Browser:chrome os:android","平板報工",IF(record[[#This Row],[Memo]]=0,"委外",record[[#This Row],[Memo]]))</f>
        <v/>
      </c>
      <c r="O8166" t="s">
        <v>58</v>
      </c>
      <c r="P8166" t="s">
        <v>186</v>
      </c>
      <c r="Q8166" t="s">
        <v>58</v>
      </c>
      <c r="R8166" t="str">
        <f>IFERROR(VLOOKUP(record[[#This Row],[PCUSTID]],廠商[],2,FALSE),"")</f>
        <v/>
      </c>
      <c r="S8166" t="str">
        <f>VLOOKUP(record[[#This Row],[employeeID]],員工[],2,FALSE)</f>
        <v>許文姍</v>
      </c>
    </row>
    <row r="8167" spans="6:19" hidden="1" x14ac:dyDescent="0.25">
      <c r="F8167" t="s">
        <v>966</v>
      </c>
      <c r="G8167" t="s">
        <v>398</v>
      </c>
      <c r="H8167" t="str">
        <f>VLOOKUP(record[[#This Row],[ProcessSN]],表格2_7[],2,FALSE)</f>
        <v>30-4118-018-550</v>
      </c>
      <c r="I8167" t="str">
        <f>VLOOKUP(record[[#This Row],[ProcessSN]],表格2_7[],3,FALSE)</f>
        <v>#08RCV</v>
      </c>
      <c r="J8167" t="s">
        <v>591</v>
      </c>
      <c r="K8167" s="195">
        <v>45881.57739583333</v>
      </c>
      <c r="L8167">
        <v>0</v>
      </c>
      <c r="M8167">
        <v>5</v>
      </c>
      <c r="N8167" s="98" t="str">
        <f>IF(record[[#This Row],[Memo]]="Browser:chrome os:android","平板報工",IF(record[[#This Row],[Memo]]=0,"委外",record[[#This Row],[Memo]]))</f>
        <v/>
      </c>
      <c r="O8167" t="s">
        <v>58</v>
      </c>
      <c r="P8167" t="s">
        <v>186</v>
      </c>
      <c r="Q8167" t="s">
        <v>58</v>
      </c>
      <c r="R8167" t="str">
        <f>IFERROR(VLOOKUP(record[[#This Row],[PCUSTID]],廠商[],2,FALSE),"")</f>
        <v/>
      </c>
      <c r="S8167" t="str">
        <f>VLOOKUP(record[[#This Row],[employeeID]],員工[],2,FALSE)</f>
        <v>許文姍</v>
      </c>
    </row>
    <row r="8168" spans="6:19" hidden="1" x14ac:dyDescent="0.25">
      <c r="F8168" t="s">
        <v>966</v>
      </c>
      <c r="G8168" t="s">
        <v>398</v>
      </c>
      <c r="H8168" t="str">
        <f>VLOOKUP(record[[#This Row],[ProcessSN]],表格2_7[],2,FALSE)</f>
        <v>30-4118-018-550</v>
      </c>
      <c r="I8168" t="str">
        <f>VLOOKUP(record[[#This Row],[ProcessSN]],表格2_7[],3,FALSE)</f>
        <v>#08RCV</v>
      </c>
      <c r="J8168" t="s">
        <v>591</v>
      </c>
      <c r="K8168" s="195">
        <v>45881.577025462961</v>
      </c>
      <c r="L8168">
        <v>6</v>
      </c>
      <c r="M8168">
        <v>0</v>
      </c>
      <c r="N8168" s="98" t="str">
        <f>IF(record[[#This Row],[Memo]]="Browser:chrome os:android","平板報工",IF(record[[#This Row],[Memo]]=0,"委外",record[[#This Row],[Memo]]))</f>
        <v/>
      </c>
      <c r="O8168" t="s">
        <v>58</v>
      </c>
      <c r="P8168" t="s">
        <v>186</v>
      </c>
      <c r="Q8168" t="s">
        <v>58</v>
      </c>
      <c r="R8168" t="str">
        <f>IFERROR(VLOOKUP(record[[#This Row],[PCUSTID]],廠商[],2,FALSE),"")</f>
        <v/>
      </c>
      <c r="S8168" t="str">
        <f>VLOOKUP(record[[#This Row],[employeeID]],員工[],2,FALSE)</f>
        <v>許文姍</v>
      </c>
    </row>
    <row r="8169" spans="6:19" hidden="1" x14ac:dyDescent="0.25">
      <c r="F8169" t="s">
        <v>973</v>
      </c>
      <c r="G8169" t="s">
        <v>398</v>
      </c>
      <c r="H8169" t="str">
        <f>VLOOKUP(record[[#This Row],[ProcessSN]],表格2_7[],2,FALSE)</f>
        <v>30-4118-018-550</v>
      </c>
      <c r="I8169" t="str">
        <f>VLOOKUP(record[[#This Row],[ProcessSN]],表格2_7[],3,FALSE)</f>
        <v>#08RCV</v>
      </c>
      <c r="J8169" t="s">
        <v>591</v>
      </c>
      <c r="K8169" s="195">
        <v>45881.576782407406</v>
      </c>
      <c r="L8169">
        <v>192</v>
      </c>
      <c r="M8169">
        <v>0</v>
      </c>
      <c r="N8169" s="98" t="str">
        <f>IF(record[[#This Row],[Memo]]="Browser:chrome os:android","平板報工",IF(record[[#This Row],[Memo]]=0,"委外",record[[#This Row],[Memo]]))</f>
        <v/>
      </c>
      <c r="O8169" t="s">
        <v>58</v>
      </c>
      <c r="P8169" t="s">
        <v>186</v>
      </c>
      <c r="Q8169" t="s">
        <v>58</v>
      </c>
      <c r="R8169" t="str">
        <f>IFERROR(VLOOKUP(record[[#This Row],[PCUSTID]],廠商[],2,FALSE),"")</f>
        <v/>
      </c>
      <c r="S8169" t="str">
        <f>VLOOKUP(record[[#This Row],[employeeID]],員工[],2,FALSE)</f>
        <v>許文姍</v>
      </c>
    </row>
    <row r="8170" spans="6:19" hidden="1" x14ac:dyDescent="0.25">
      <c r="F8170" t="s">
        <v>970</v>
      </c>
      <c r="G8170" t="s">
        <v>398</v>
      </c>
      <c r="H8170" t="str">
        <f>VLOOKUP(record[[#This Row],[ProcessSN]],表格2_7[],2,FALSE)</f>
        <v>30-4118-018-550</v>
      </c>
      <c r="I8170" t="str">
        <f>VLOOKUP(record[[#This Row],[ProcessSN]],表格2_7[],3,FALSE)</f>
        <v>#08RCV</v>
      </c>
      <c r="J8170" t="s">
        <v>591</v>
      </c>
      <c r="K8170" s="195">
        <v>45881.576597222222</v>
      </c>
      <c r="L8170">
        <v>310</v>
      </c>
      <c r="M8170">
        <v>0</v>
      </c>
      <c r="N8170" s="98" t="str">
        <f>IF(record[[#This Row],[Memo]]="Browser:chrome os:android","平板報工",IF(record[[#This Row],[Memo]]=0,"委外",record[[#This Row],[Memo]]))</f>
        <v/>
      </c>
      <c r="O8170" t="s">
        <v>58</v>
      </c>
      <c r="P8170" t="s">
        <v>186</v>
      </c>
      <c r="Q8170" t="s">
        <v>58</v>
      </c>
      <c r="R8170" t="str">
        <f>IFERROR(VLOOKUP(record[[#This Row],[PCUSTID]],廠商[],2,FALSE),"")</f>
        <v/>
      </c>
      <c r="S8170" t="str">
        <f>VLOOKUP(record[[#This Row],[employeeID]],員工[],2,FALSE)</f>
        <v>許文姍</v>
      </c>
    </row>
    <row r="8171" spans="6:19" hidden="1" x14ac:dyDescent="0.25">
      <c r="F8171" t="s">
        <v>897</v>
      </c>
      <c r="G8171" t="s">
        <v>420</v>
      </c>
      <c r="H8171" t="str">
        <f>VLOOKUP(record[[#This Row],[ProcessSN]],表格2_7[],2,FALSE)</f>
        <v>30-4118-018-5XX</v>
      </c>
      <c r="I8171" t="str">
        <f>VLOOKUP(record[[#This Row],[ProcessSN]],表格2_7[],3,FALSE)</f>
        <v>#07STOCK</v>
      </c>
      <c r="J8171" t="s">
        <v>592</v>
      </c>
      <c r="K8171" s="195">
        <v>45881.569351851853</v>
      </c>
      <c r="L8171">
        <v>153</v>
      </c>
      <c r="M8171">
        <v>0</v>
      </c>
      <c r="N8171" s="98" t="str">
        <f>IF(record[[#This Row],[Memo]]="Browser:chrome os:android","平板報工",IF(record[[#This Row],[Memo]]=0,"委外",record[[#This Row],[Memo]]))</f>
        <v/>
      </c>
      <c r="O8171" t="s">
        <v>58</v>
      </c>
      <c r="P8171" t="s">
        <v>65</v>
      </c>
      <c r="Q8171" t="s">
        <v>58</v>
      </c>
      <c r="R8171" t="str">
        <f>IFERROR(VLOOKUP(record[[#This Row],[PCUSTID]],廠商[],2,FALSE),"")</f>
        <v/>
      </c>
      <c r="S8171" t="str">
        <f>VLOOKUP(record[[#This Row],[employeeID]],員工[],2,FALSE)</f>
        <v>蘇進昌</v>
      </c>
    </row>
    <row r="8172" spans="6:19" hidden="1" x14ac:dyDescent="0.25">
      <c r="F8172" t="s">
        <v>904</v>
      </c>
      <c r="G8172" t="s">
        <v>420</v>
      </c>
      <c r="H8172" t="str">
        <f>VLOOKUP(record[[#This Row],[ProcessSN]],表格2_7[],2,FALSE)</f>
        <v>30-4118-018-5XX</v>
      </c>
      <c r="I8172" t="str">
        <f>VLOOKUP(record[[#This Row],[ProcessSN]],表格2_7[],3,FALSE)</f>
        <v>#07STOCK</v>
      </c>
      <c r="J8172" t="s">
        <v>592</v>
      </c>
      <c r="K8172" s="195">
        <v>45881.56890046296</v>
      </c>
      <c r="L8172">
        <v>3</v>
      </c>
      <c r="M8172">
        <v>0</v>
      </c>
      <c r="N8172" s="98" t="str">
        <f>IF(record[[#This Row],[Memo]]="Browser:chrome os:android","平板報工",IF(record[[#This Row],[Memo]]=0,"委外",record[[#This Row],[Memo]]))</f>
        <v/>
      </c>
      <c r="O8172" t="s">
        <v>58</v>
      </c>
      <c r="P8172" t="s">
        <v>65</v>
      </c>
      <c r="Q8172" t="s">
        <v>58</v>
      </c>
      <c r="R8172" t="str">
        <f>IFERROR(VLOOKUP(record[[#This Row],[PCUSTID]],廠商[],2,FALSE),"")</f>
        <v/>
      </c>
      <c r="S8172" t="str">
        <f>VLOOKUP(record[[#This Row],[employeeID]],員工[],2,FALSE)</f>
        <v>蘇進昌</v>
      </c>
    </row>
    <row r="8173" spans="6:19" hidden="1" x14ac:dyDescent="0.25">
      <c r="F8173" t="s">
        <v>897</v>
      </c>
      <c r="G8173" t="s">
        <v>420</v>
      </c>
      <c r="H8173" t="str">
        <f>VLOOKUP(record[[#This Row],[ProcessSN]],表格2_7[],2,FALSE)</f>
        <v>30-4118-018-5XX</v>
      </c>
      <c r="I8173" t="str">
        <f>VLOOKUP(record[[#This Row],[ProcessSN]],表格2_7[],3,FALSE)</f>
        <v>#07STOCK</v>
      </c>
      <c r="J8173" t="s">
        <v>592</v>
      </c>
      <c r="K8173" s="195">
        <v>45881.568877314814</v>
      </c>
      <c r="L8173">
        <v>167</v>
      </c>
      <c r="M8173">
        <v>0</v>
      </c>
      <c r="N8173" s="98" t="str">
        <f>IF(record[[#This Row],[Memo]]="Browser:chrome os:android","平板報工",IF(record[[#This Row],[Memo]]=0,"委外",record[[#This Row],[Memo]]))</f>
        <v/>
      </c>
      <c r="O8173" t="s">
        <v>58</v>
      </c>
      <c r="P8173" t="s">
        <v>113</v>
      </c>
      <c r="Q8173" t="s">
        <v>58</v>
      </c>
      <c r="R8173" t="str">
        <f>IFERROR(VLOOKUP(record[[#This Row],[PCUSTID]],廠商[],2,FALSE),"")</f>
        <v/>
      </c>
      <c r="S8173" t="str">
        <f>VLOOKUP(record[[#This Row],[employeeID]],員工[],2,FALSE)</f>
        <v>王奕蓁</v>
      </c>
    </row>
    <row r="8174" spans="6:19" hidden="1" x14ac:dyDescent="0.25">
      <c r="F8174" t="s">
        <v>897</v>
      </c>
      <c r="G8174" t="s">
        <v>420</v>
      </c>
      <c r="H8174" t="str">
        <f>VLOOKUP(record[[#This Row],[ProcessSN]],表格2_7[],2,FALSE)</f>
        <v>30-4118-018-5XX</v>
      </c>
      <c r="I8174" t="str">
        <f>VLOOKUP(record[[#This Row],[ProcessSN]],表格2_7[],3,FALSE)</f>
        <v>#07STOCK</v>
      </c>
      <c r="J8174" t="s">
        <v>592</v>
      </c>
      <c r="K8174" s="195">
        <v>45881.568807870368</v>
      </c>
      <c r="L8174">
        <v>171</v>
      </c>
      <c r="M8174">
        <v>0</v>
      </c>
      <c r="N8174" s="98" t="str">
        <f>IF(record[[#This Row],[Memo]]="Browser:chrome os:android","平板報工",IF(record[[#This Row],[Memo]]=0,"委外",record[[#This Row],[Memo]]))</f>
        <v/>
      </c>
      <c r="O8174" t="s">
        <v>58</v>
      </c>
      <c r="P8174" t="s">
        <v>65</v>
      </c>
      <c r="Q8174" t="s">
        <v>58</v>
      </c>
      <c r="R8174" t="str">
        <f>IFERROR(VLOOKUP(record[[#This Row],[PCUSTID]],廠商[],2,FALSE),"")</f>
        <v/>
      </c>
      <c r="S8174" t="str">
        <f>VLOOKUP(record[[#This Row],[employeeID]],員工[],2,FALSE)</f>
        <v>蘇進昌</v>
      </c>
    </row>
    <row r="8175" spans="6:19" hidden="1" x14ac:dyDescent="0.25">
      <c r="F8175" t="s">
        <v>877</v>
      </c>
      <c r="G8175" t="s">
        <v>420</v>
      </c>
      <c r="H8175" t="str">
        <f>VLOOKUP(record[[#This Row],[ProcessSN]],表格2_7[],2,FALSE)</f>
        <v>30-4118-018-5XX</v>
      </c>
      <c r="I8175" t="str">
        <f>VLOOKUP(record[[#This Row],[ProcessSN]],表格2_7[],3,FALSE)</f>
        <v>#07STOCK</v>
      </c>
      <c r="J8175" t="s">
        <v>592</v>
      </c>
      <c r="K8175" s="195">
        <v>45881.568622685183</v>
      </c>
      <c r="L8175">
        <v>1</v>
      </c>
      <c r="M8175">
        <v>0</v>
      </c>
      <c r="N8175" s="98" t="str">
        <f>IF(record[[#This Row],[Memo]]="Browser:chrome os:android","平板報工",IF(record[[#This Row],[Memo]]=0,"委外",record[[#This Row],[Memo]]))</f>
        <v/>
      </c>
      <c r="O8175" t="s">
        <v>58</v>
      </c>
      <c r="P8175" t="s">
        <v>65</v>
      </c>
      <c r="Q8175" t="s">
        <v>58</v>
      </c>
      <c r="R8175" t="str">
        <f>IFERROR(VLOOKUP(record[[#This Row],[PCUSTID]],廠商[],2,FALSE),"")</f>
        <v/>
      </c>
      <c r="S8175" t="str">
        <f>VLOOKUP(record[[#This Row],[employeeID]],員工[],2,FALSE)</f>
        <v>蘇進昌</v>
      </c>
    </row>
    <row r="8176" spans="6:19" hidden="1" x14ac:dyDescent="0.25">
      <c r="F8176" t="s">
        <v>897</v>
      </c>
      <c r="G8176" t="s">
        <v>419</v>
      </c>
      <c r="H8176" t="str">
        <f>VLOOKUP(record[[#This Row],[ProcessSN]],表格2_7[],2,FALSE)</f>
        <v>30-4118-018-5XX</v>
      </c>
      <c r="I8176" t="str">
        <f>VLOOKUP(record[[#This Row],[ProcessSN]],表格2_7[],3,FALSE)</f>
        <v>#07QC</v>
      </c>
      <c r="J8176" t="s">
        <v>589</v>
      </c>
      <c r="K8176" s="195">
        <v>45881.568576388891</v>
      </c>
      <c r="L8176">
        <v>113</v>
      </c>
      <c r="M8176">
        <v>0</v>
      </c>
      <c r="N8176" s="98" t="str">
        <f>IF(record[[#This Row],[Memo]]="Browser:chrome os:android","平板報工",IF(record[[#This Row],[Memo]]=0,"委外",record[[#This Row],[Memo]]))</f>
        <v/>
      </c>
      <c r="O8176" t="s">
        <v>58</v>
      </c>
      <c r="P8176" t="s">
        <v>113</v>
      </c>
      <c r="Q8176" t="s">
        <v>58</v>
      </c>
      <c r="R8176" t="str">
        <f>IFERROR(VLOOKUP(record[[#This Row],[PCUSTID]],廠商[],2,FALSE),"")</f>
        <v/>
      </c>
      <c r="S8176" t="str">
        <f>VLOOKUP(record[[#This Row],[employeeID]],員工[],2,FALSE)</f>
        <v>王奕蓁</v>
      </c>
    </row>
    <row r="8177" spans="6:19" hidden="1" x14ac:dyDescent="0.25">
      <c r="F8177" t="s">
        <v>904</v>
      </c>
      <c r="G8177" t="s">
        <v>420</v>
      </c>
      <c r="H8177" t="str">
        <f>VLOOKUP(record[[#This Row],[ProcessSN]],表格2_7[],2,FALSE)</f>
        <v>30-4118-018-5XX</v>
      </c>
      <c r="I8177" t="str">
        <f>VLOOKUP(record[[#This Row],[ProcessSN]],表格2_7[],3,FALSE)</f>
        <v>#07STOCK</v>
      </c>
      <c r="J8177" t="s">
        <v>592</v>
      </c>
      <c r="K8177" s="195">
        <v>45881.563946759263</v>
      </c>
      <c r="L8177">
        <v>113</v>
      </c>
      <c r="M8177">
        <v>0</v>
      </c>
      <c r="N8177" s="98" t="str">
        <f>IF(record[[#This Row],[Memo]]="Browser:chrome os:android","平板報工",IF(record[[#This Row],[Memo]]=0,"委外",record[[#This Row],[Memo]]))</f>
        <v/>
      </c>
      <c r="O8177" t="s">
        <v>58</v>
      </c>
      <c r="P8177" t="s">
        <v>65</v>
      </c>
      <c r="Q8177" t="s">
        <v>58</v>
      </c>
      <c r="R8177" t="str">
        <f>IFERROR(VLOOKUP(record[[#This Row],[PCUSTID]],廠商[],2,FALSE),"")</f>
        <v/>
      </c>
      <c r="S8177" t="str">
        <f>VLOOKUP(record[[#This Row],[employeeID]],員工[],2,FALSE)</f>
        <v>蘇進昌</v>
      </c>
    </row>
    <row r="8178" spans="6:19" hidden="1" x14ac:dyDescent="0.25">
      <c r="F8178" t="s">
        <v>897</v>
      </c>
      <c r="G8178" t="s">
        <v>420</v>
      </c>
      <c r="H8178" t="str">
        <f>VLOOKUP(record[[#This Row],[ProcessSN]],表格2_7[],2,FALSE)</f>
        <v>30-4118-018-5XX</v>
      </c>
      <c r="I8178" t="str">
        <f>VLOOKUP(record[[#This Row],[ProcessSN]],表格2_7[],3,FALSE)</f>
        <v>#07STOCK</v>
      </c>
      <c r="J8178" t="s">
        <v>592</v>
      </c>
      <c r="K8178" s="195">
        <v>45881.562986111108</v>
      </c>
      <c r="L8178">
        <v>162</v>
      </c>
      <c r="M8178">
        <v>0</v>
      </c>
      <c r="N8178" s="98" t="str">
        <f>IF(record[[#This Row],[Memo]]="Browser:chrome os:android","平板報工",IF(record[[#This Row],[Memo]]=0,"委外",record[[#This Row],[Memo]]))</f>
        <v/>
      </c>
      <c r="O8178" t="s">
        <v>58</v>
      </c>
      <c r="P8178" t="s">
        <v>113</v>
      </c>
      <c r="Q8178" t="s">
        <v>58</v>
      </c>
      <c r="R8178" t="str">
        <f>IFERROR(VLOOKUP(record[[#This Row],[PCUSTID]],廠商[],2,FALSE),"")</f>
        <v/>
      </c>
      <c r="S8178" t="str">
        <f>VLOOKUP(record[[#This Row],[employeeID]],員工[],2,FALSE)</f>
        <v>王奕蓁</v>
      </c>
    </row>
    <row r="8179" spans="6:19" hidden="1" x14ac:dyDescent="0.25">
      <c r="F8179" t="s">
        <v>897</v>
      </c>
      <c r="G8179" t="s">
        <v>420</v>
      </c>
      <c r="H8179" t="str">
        <f>VLOOKUP(record[[#This Row],[ProcessSN]],表格2_7[],2,FALSE)</f>
        <v>30-4118-018-5XX</v>
      </c>
      <c r="I8179" t="str">
        <f>VLOOKUP(record[[#This Row],[ProcessSN]],表格2_7[],3,FALSE)</f>
        <v>#07STOCK</v>
      </c>
      <c r="J8179" t="s">
        <v>592</v>
      </c>
      <c r="K8179" s="195">
        <v>45881.562222222223</v>
      </c>
      <c r="L8179">
        <v>179</v>
      </c>
      <c r="M8179">
        <v>0</v>
      </c>
      <c r="N8179" s="98" t="str">
        <f>IF(record[[#This Row],[Memo]]="Browser:chrome os:android","平板報工",IF(record[[#This Row],[Memo]]=0,"委外",record[[#This Row],[Memo]]))</f>
        <v/>
      </c>
      <c r="O8179" t="s">
        <v>58</v>
      </c>
      <c r="P8179" t="s">
        <v>113</v>
      </c>
      <c r="Q8179" t="s">
        <v>58</v>
      </c>
      <c r="R8179" t="str">
        <f>IFERROR(VLOOKUP(record[[#This Row],[PCUSTID]],廠商[],2,FALSE),"")</f>
        <v/>
      </c>
      <c r="S8179" t="str">
        <f>VLOOKUP(record[[#This Row],[employeeID]],員工[],2,FALSE)</f>
        <v>王奕蓁</v>
      </c>
    </row>
    <row r="8180" spans="6:19" hidden="1" x14ac:dyDescent="0.25">
      <c r="F8180" t="s">
        <v>904</v>
      </c>
      <c r="G8180" t="s">
        <v>419</v>
      </c>
      <c r="H8180" t="str">
        <f>VLOOKUP(record[[#This Row],[ProcessSN]],表格2_7[],2,FALSE)</f>
        <v>30-4118-018-5XX</v>
      </c>
      <c r="I8180" t="str">
        <f>VLOOKUP(record[[#This Row],[ProcessSN]],表格2_7[],3,FALSE)</f>
        <v>#07QC</v>
      </c>
      <c r="J8180" t="s">
        <v>589</v>
      </c>
      <c r="K8180" s="195">
        <v>45881.559467592589</v>
      </c>
      <c r="L8180">
        <v>113</v>
      </c>
      <c r="M8180">
        <v>0</v>
      </c>
      <c r="N8180" s="98" t="str">
        <f>IF(record[[#This Row],[Memo]]="Browser:chrome os:android","平板報工",IF(record[[#This Row],[Memo]]=0,"委外",record[[#This Row],[Memo]]))</f>
        <v/>
      </c>
      <c r="O8180" t="s">
        <v>58</v>
      </c>
      <c r="P8180" t="s">
        <v>141</v>
      </c>
      <c r="Q8180" t="s">
        <v>58</v>
      </c>
      <c r="R8180" t="str">
        <f>IFERROR(VLOOKUP(record[[#This Row],[PCUSTID]],廠商[],2,FALSE),"")</f>
        <v/>
      </c>
      <c r="S8180" t="str">
        <f>VLOOKUP(record[[#This Row],[employeeID]],員工[],2,FALSE)</f>
        <v>蔣梅</v>
      </c>
    </row>
    <row r="8181" spans="6:19" hidden="1" x14ac:dyDescent="0.25">
      <c r="F8181" t="s">
        <v>897</v>
      </c>
      <c r="G8181" t="s">
        <v>419</v>
      </c>
      <c r="H8181" t="str">
        <f>VLOOKUP(record[[#This Row],[ProcessSN]],表格2_7[],2,FALSE)</f>
        <v>30-4118-018-5XX</v>
      </c>
      <c r="I8181" t="str">
        <f>VLOOKUP(record[[#This Row],[ProcessSN]],表格2_7[],3,FALSE)</f>
        <v>#07QC</v>
      </c>
      <c r="J8181" t="s">
        <v>589</v>
      </c>
      <c r="K8181" s="195">
        <v>45881.55909722222</v>
      </c>
      <c r="L8181">
        <v>216</v>
      </c>
      <c r="M8181">
        <v>0</v>
      </c>
      <c r="N8181" s="98" t="str">
        <f>IF(record[[#This Row],[Memo]]="Browser:chrome os:android","平板報工",IF(record[[#This Row],[Memo]]=0,"委外",record[[#This Row],[Memo]]))</f>
        <v/>
      </c>
      <c r="O8181" t="s">
        <v>58</v>
      </c>
      <c r="P8181" t="s">
        <v>141</v>
      </c>
      <c r="Q8181" t="s">
        <v>58</v>
      </c>
      <c r="R8181" t="str">
        <f>IFERROR(VLOOKUP(record[[#This Row],[PCUSTID]],廠商[],2,FALSE),"")</f>
        <v/>
      </c>
      <c r="S8181" t="str">
        <f>VLOOKUP(record[[#This Row],[employeeID]],員工[],2,FALSE)</f>
        <v>蔣梅</v>
      </c>
    </row>
    <row r="8182" spans="6:19" hidden="1" x14ac:dyDescent="0.25">
      <c r="F8182" t="s">
        <v>897</v>
      </c>
      <c r="G8182" t="s">
        <v>418</v>
      </c>
      <c r="H8182" t="str">
        <f>VLOOKUP(record[[#This Row],[ProcessSN]],表格2_7[],2,FALSE)</f>
        <v>30-4118-018-5XX</v>
      </c>
      <c r="I8182" t="str">
        <f>VLOOKUP(record[[#This Row],[ProcessSN]],表格2_7[],3,FALSE)</f>
        <v>#07</v>
      </c>
      <c r="J8182" t="s">
        <v>588</v>
      </c>
      <c r="K8182" s="195">
        <v>45881.558067129627</v>
      </c>
      <c r="L8182">
        <v>120</v>
      </c>
      <c r="M8182">
        <v>0</v>
      </c>
      <c r="N8182" s="98" t="str">
        <f>IF(record[[#This Row],[Memo]]="Browser:chrome os:android","平板報工",IF(record[[#This Row],[Memo]]=0,"委外",record[[#This Row],[Memo]]))</f>
        <v/>
      </c>
      <c r="O8182" t="s">
        <v>58</v>
      </c>
      <c r="P8182" t="s">
        <v>141</v>
      </c>
      <c r="Q8182" t="s">
        <v>58</v>
      </c>
      <c r="R8182" t="str">
        <f>IFERROR(VLOOKUP(record[[#This Row],[PCUSTID]],廠商[],2,FALSE),"")</f>
        <v/>
      </c>
      <c r="S8182" t="str">
        <f>VLOOKUP(record[[#This Row],[employeeID]],員工[],2,FALSE)</f>
        <v>蔣梅</v>
      </c>
    </row>
    <row r="8183" spans="6:19" hidden="1" x14ac:dyDescent="0.25">
      <c r="F8183" t="s">
        <v>937</v>
      </c>
      <c r="G8183" t="s">
        <v>427</v>
      </c>
      <c r="H8183" t="str">
        <f>VLOOKUP(record[[#This Row],[ProcessSN]],表格2_7[],2,FALSE)</f>
        <v>30-4118-018-600</v>
      </c>
      <c r="I8183" t="str">
        <f>VLOOKUP(record[[#This Row],[ProcessSN]],表格2_7[],3,FALSE)</f>
        <v>#100STOCK</v>
      </c>
      <c r="J8183" t="s">
        <v>592</v>
      </c>
      <c r="K8183" s="195">
        <v>45881.466608796298</v>
      </c>
      <c r="L8183">
        <v>256</v>
      </c>
      <c r="M8183">
        <v>0</v>
      </c>
      <c r="N8183" s="98" t="str">
        <f>IF(record[[#This Row],[Memo]]="Browser:chrome os:android","平板報工",IF(record[[#This Row],[Memo]]=0,"委外",record[[#This Row],[Memo]]))</f>
        <v/>
      </c>
      <c r="O8183" t="s">
        <v>58</v>
      </c>
      <c r="P8183" t="s">
        <v>886</v>
      </c>
      <c r="Q8183" t="s">
        <v>58</v>
      </c>
      <c r="R8183" t="str">
        <f>IFERROR(VLOOKUP(record[[#This Row],[PCUSTID]],廠商[],2,FALSE),"")</f>
        <v/>
      </c>
      <c r="S8183" t="str">
        <f>VLOOKUP(record[[#This Row],[employeeID]],員工[],2,FALSE)</f>
        <v>謝蓁薰</v>
      </c>
    </row>
    <row r="8184" spans="6:19" hidden="1" x14ac:dyDescent="0.25">
      <c r="F8184" t="s">
        <v>938</v>
      </c>
      <c r="G8184" t="s">
        <v>362</v>
      </c>
      <c r="H8184" t="str">
        <f>VLOOKUP(record[[#This Row],[ProcessSN]],表格2_7[],2,FALSE)</f>
        <v>30-4118-018-450</v>
      </c>
      <c r="I8184" t="str">
        <f>VLOOKUP(record[[#This Row],[ProcessSN]],表格2_7[],3,FALSE)</f>
        <v>#100SHIP</v>
      </c>
      <c r="J8184" t="s">
        <v>600</v>
      </c>
      <c r="K8184" s="195">
        <v>45881.430196759262</v>
      </c>
      <c r="L8184">
        <v>96</v>
      </c>
      <c r="M8184">
        <v>0</v>
      </c>
      <c r="N8184" s="98" t="str">
        <f>IF(record[[#This Row],[Memo]]="Browser:chrome os:android","平板報工",IF(record[[#This Row],[Memo]]=0,"委外",record[[#This Row],[Memo]]))</f>
        <v/>
      </c>
      <c r="O8184" t="s">
        <v>58</v>
      </c>
      <c r="P8184" t="s">
        <v>886</v>
      </c>
      <c r="Q8184" t="s">
        <v>58</v>
      </c>
      <c r="R8184" t="str">
        <f>IFERROR(VLOOKUP(record[[#This Row],[PCUSTID]],廠商[],2,FALSE),"")</f>
        <v/>
      </c>
      <c r="S8184" t="str">
        <f>VLOOKUP(record[[#This Row],[employeeID]],員工[],2,FALSE)</f>
        <v>謝蓁薰</v>
      </c>
    </row>
    <row r="8185" spans="6:19" hidden="1" x14ac:dyDescent="0.25">
      <c r="F8185" t="s">
        <v>938</v>
      </c>
      <c r="G8185" t="s">
        <v>361</v>
      </c>
      <c r="H8185" t="str">
        <f>VLOOKUP(record[[#This Row],[ProcessSN]],表格2_7[],2,FALSE)</f>
        <v>30-4118-018-450</v>
      </c>
      <c r="I8185" t="str">
        <f>VLOOKUP(record[[#This Row],[ProcessSN]],表格2_7[],3,FALSE)</f>
        <v>#100STOCK</v>
      </c>
      <c r="J8185" t="s">
        <v>592</v>
      </c>
      <c r="K8185" s="195">
        <v>45881.430046296293</v>
      </c>
      <c r="L8185">
        <v>98</v>
      </c>
      <c r="M8185">
        <v>0</v>
      </c>
      <c r="N8185" s="98" t="str">
        <f>IF(record[[#This Row],[Memo]]="Browser:chrome os:android","平板報工",IF(record[[#This Row],[Memo]]=0,"委外",record[[#This Row],[Memo]]))</f>
        <v/>
      </c>
      <c r="O8185" t="s">
        <v>58</v>
      </c>
      <c r="P8185" t="s">
        <v>886</v>
      </c>
      <c r="Q8185" t="s">
        <v>58</v>
      </c>
      <c r="R8185" t="str">
        <f>IFERROR(VLOOKUP(record[[#This Row],[PCUSTID]],廠商[],2,FALSE),"")</f>
        <v/>
      </c>
      <c r="S8185" t="str">
        <f>VLOOKUP(record[[#This Row],[employeeID]],員工[],2,FALSE)</f>
        <v>謝蓁薰</v>
      </c>
    </row>
    <row r="8186" spans="6:19" hidden="1" x14ac:dyDescent="0.25">
      <c r="F8186" t="s">
        <v>979</v>
      </c>
      <c r="G8186" t="s">
        <v>397</v>
      </c>
      <c r="H8186" t="str">
        <f>VLOOKUP(record[[#This Row],[ProcessSN]],表格2_7[],2,FALSE)</f>
        <v>30-4118-018-550</v>
      </c>
      <c r="I8186" t="str">
        <f>VLOOKUP(record[[#This Row],[ProcessSN]],表格2_7[],3,FALSE)</f>
        <v>#08</v>
      </c>
      <c r="J8186" t="s">
        <v>597</v>
      </c>
      <c r="K8186" s="195">
        <v>45881.397928240738</v>
      </c>
      <c r="L8186">
        <v>167</v>
      </c>
      <c r="M8186">
        <v>0</v>
      </c>
      <c r="N8186" s="98" t="str">
        <f>IF(record[[#This Row],[Memo]]="Browser:chrome os:android","平板報工",IF(record[[#This Row],[Memo]]=0,"委外",record[[#This Row],[Memo]]))</f>
        <v/>
      </c>
      <c r="O8186" t="s">
        <v>58</v>
      </c>
      <c r="P8186" t="s">
        <v>186</v>
      </c>
      <c r="Q8186" t="s">
        <v>287</v>
      </c>
      <c r="R8186" t="str">
        <f>IFERROR(VLOOKUP(record[[#This Row],[PCUSTID]],廠商[],2,FALSE),"")</f>
        <v>泉盛</v>
      </c>
      <c r="S8186" t="str">
        <f>VLOOKUP(record[[#This Row],[employeeID]],員工[],2,FALSE)</f>
        <v>許文姍</v>
      </c>
    </row>
    <row r="8187" spans="6:19" hidden="1" x14ac:dyDescent="0.25">
      <c r="F8187" t="s">
        <v>897</v>
      </c>
      <c r="G8187" t="s">
        <v>418</v>
      </c>
      <c r="H8187" t="str">
        <f>VLOOKUP(record[[#This Row],[ProcessSN]],表格2_7[],2,FALSE)</f>
        <v>30-4118-018-5XX</v>
      </c>
      <c r="I8187" t="str">
        <f>VLOOKUP(record[[#This Row],[ProcessSN]],表格2_7[],3,FALSE)</f>
        <v>#07</v>
      </c>
      <c r="J8187" t="s">
        <v>588</v>
      </c>
      <c r="K8187" s="195">
        <v>45881.39744212963</v>
      </c>
      <c r="L8187">
        <v>64</v>
      </c>
      <c r="M8187">
        <v>0</v>
      </c>
      <c r="N8187" s="98" t="str">
        <f>IF(record[[#This Row],[Memo]]="Browser:chrome os:android","平板報工",IF(record[[#This Row],[Memo]]=0,"委外",record[[#This Row],[Memo]]))</f>
        <v>補</v>
      </c>
      <c r="O8187" t="s">
        <v>690</v>
      </c>
      <c r="P8187" t="s">
        <v>119</v>
      </c>
      <c r="Q8187" t="s">
        <v>58</v>
      </c>
      <c r="R8187" t="str">
        <f>IFERROR(VLOOKUP(record[[#This Row],[PCUSTID]],廠商[],2,FALSE),"")</f>
        <v/>
      </c>
      <c r="S8187" t="str">
        <f>VLOOKUP(record[[#This Row],[employeeID]],員工[],2,FALSE)</f>
        <v>廖俊彥</v>
      </c>
    </row>
    <row r="8188" spans="6:19" hidden="1" x14ac:dyDescent="0.25">
      <c r="F8188" t="s">
        <v>979</v>
      </c>
      <c r="G8188" t="s">
        <v>396</v>
      </c>
      <c r="H8188" t="str">
        <f>VLOOKUP(record[[#This Row],[ProcessSN]],表格2_7[],2,FALSE)</f>
        <v>30-4118-018-550</v>
      </c>
      <c r="I8188" t="str">
        <f>VLOOKUP(record[[#This Row],[ProcessSN]],表格2_7[],3,FALSE)</f>
        <v>#08PICK</v>
      </c>
      <c r="J8188" t="s">
        <v>582</v>
      </c>
      <c r="K8188" s="195">
        <v>45881.396770833337</v>
      </c>
      <c r="L8188">
        <v>167</v>
      </c>
      <c r="M8188">
        <v>0</v>
      </c>
      <c r="N8188" s="98" t="str">
        <f>IF(record[[#This Row],[Memo]]="Browser:chrome os:android","平板報工",IF(record[[#This Row],[Memo]]=0,"委外",record[[#This Row],[Memo]]))</f>
        <v/>
      </c>
      <c r="O8188" t="s">
        <v>58</v>
      </c>
      <c r="P8188" t="s">
        <v>196</v>
      </c>
      <c r="Q8188" t="s">
        <v>58</v>
      </c>
      <c r="R8188" t="str">
        <f>IFERROR(VLOOKUP(record[[#This Row],[PCUSTID]],廠商[],2,FALSE),"")</f>
        <v/>
      </c>
      <c r="S8188" t="str">
        <f>VLOOKUP(record[[#This Row],[employeeID]],員工[],2,FALSE)</f>
        <v>張淑惠</v>
      </c>
    </row>
    <row r="8189" spans="6:19" hidden="1" x14ac:dyDescent="0.25">
      <c r="F8189" t="s">
        <v>897</v>
      </c>
      <c r="G8189" t="s">
        <v>418</v>
      </c>
      <c r="H8189" t="str">
        <f>VLOOKUP(record[[#This Row],[ProcessSN]],表格2_7[],2,FALSE)</f>
        <v>30-4118-018-5XX</v>
      </c>
      <c r="I8189" t="str">
        <f>VLOOKUP(record[[#This Row],[ProcessSN]],表格2_7[],3,FALSE)</f>
        <v>#07</v>
      </c>
      <c r="J8189" t="s">
        <v>588</v>
      </c>
      <c r="K8189" s="195">
        <v>45881.396041666667</v>
      </c>
      <c r="L8189">
        <v>19</v>
      </c>
      <c r="M8189">
        <v>0</v>
      </c>
      <c r="N8189" s="98" t="str">
        <f>IF(record[[#This Row],[Memo]]="Browser:chrome os:android","平板報工",IF(record[[#This Row],[Memo]]=0,"委外",record[[#This Row],[Memo]]))</f>
        <v/>
      </c>
      <c r="O8189" t="s">
        <v>58</v>
      </c>
      <c r="P8189" t="s">
        <v>119</v>
      </c>
      <c r="Q8189" t="s">
        <v>58</v>
      </c>
      <c r="R8189" t="str">
        <f>IFERROR(VLOOKUP(record[[#This Row],[PCUSTID]],廠商[],2,FALSE),"")</f>
        <v/>
      </c>
      <c r="S8189" t="str">
        <f>VLOOKUP(record[[#This Row],[employeeID]],員工[],2,FALSE)</f>
        <v>廖俊彥</v>
      </c>
    </row>
    <row r="8190" spans="6:19" hidden="1" x14ac:dyDescent="0.25">
      <c r="F8190" t="s">
        <v>897</v>
      </c>
      <c r="G8190" t="s">
        <v>417</v>
      </c>
      <c r="H8190" t="str">
        <f>VLOOKUP(record[[#This Row],[ProcessSN]],表格2_7[],2,FALSE)</f>
        <v>30-4118-018-5XX</v>
      </c>
      <c r="I8190" t="str">
        <f>VLOOKUP(record[[#This Row],[ProcessSN]],表格2_7[],3,FALSE)</f>
        <v>#06</v>
      </c>
      <c r="J8190" t="s">
        <v>593</v>
      </c>
      <c r="K8190" s="195">
        <v>45881.395104166666</v>
      </c>
      <c r="L8190">
        <v>5</v>
      </c>
      <c r="M8190">
        <v>0</v>
      </c>
      <c r="N8190" s="98" t="str">
        <f>IF(record[[#This Row],[Memo]]="Browser:chrome os:android","平板報工",IF(record[[#This Row],[Memo]]=0,"委外",record[[#This Row],[Memo]]))</f>
        <v/>
      </c>
      <c r="O8190" t="s">
        <v>58</v>
      </c>
      <c r="P8190" t="s">
        <v>119</v>
      </c>
      <c r="Q8190" t="s">
        <v>58</v>
      </c>
      <c r="R8190" t="str">
        <f>IFERROR(VLOOKUP(record[[#This Row],[PCUSTID]],廠商[],2,FALSE),"")</f>
        <v/>
      </c>
      <c r="S8190" t="str">
        <f>VLOOKUP(record[[#This Row],[employeeID]],員工[],2,FALSE)</f>
        <v>廖俊彥</v>
      </c>
    </row>
    <row r="8191" spans="6:19" hidden="1" x14ac:dyDescent="0.25">
      <c r="F8191" t="s">
        <v>978</v>
      </c>
      <c r="G8191" t="s">
        <v>397</v>
      </c>
      <c r="H8191" t="str">
        <f>VLOOKUP(record[[#This Row],[ProcessSN]],表格2_7[],2,FALSE)</f>
        <v>30-4118-018-550</v>
      </c>
      <c r="I8191" t="str">
        <f>VLOOKUP(record[[#This Row],[ProcessSN]],表格2_7[],3,FALSE)</f>
        <v>#08</v>
      </c>
      <c r="J8191" t="s">
        <v>597</v>
      </c>
      <c r="K8191" s="195">
        <v>45881.370185185187</v>
      </c>
      <c r="L8191">
        <v>162</v>
      </c>
      <c r="M8191">
        <v>0</v>
      </c>
      <c r="N8191" s="98" t="str">
        <f>IF(record[[#This Row],[Memo]]="Browser:chrome os:android","平板報工",IF(record[[#This Row],[Memo]]=0,"委外",record[[#This Row],[Memo]]))</f>
        <v/>
      </c>
      <c r="O8191" t="s">
        <v>58</v>
      </c>
      <c r="P8191" t="s">
        <v>186</v>
      </c>
      <c r="Q8191" t="s">
        <v>287</v>
      </c>
      <c r="R8191" t="str">
        <f>IFERROR(VLOOKUP(record[[#This Row],[PCUSTID]],廠商[],2,FALSE),"")</f>
        <v>泉盛</v>
      </c>
      <c r="S8191" t="str">
        <f>VLOOKUP(record[[#This Row],[employeeID]],員工[],2,FALSE)</f>
        <v>許文姍</v>
      </c>
    </row>
    <row r="8192" spans="6:19" hidden="1" x14ac:dyDescent="0.25">
      <c r="F8192" t="s">
        <v>977</v>
      </c>
      <c r="G8192" t="s">
        <v>397</v>
      </c>
      <c r="H8192" t="str">
        <f>VLOOKUP(record[[#This Row],[ProcessSN]],表格2_7[],2,FALSE)</f>
        <v>30-4118-018-550</v>
      </c>
      <c r="I8192" t="str">
        <f>VLOOKUP(record[[#This Row],[ProcessSN]],表格2_7[],3,FALSE)</f>
        <v>#08</v>
      </c>
      <c r="J8192" t="s">
        <v>597</v>
      </c>
      <c r="K8192" s="195">
        <v>45881.370011574072</v>
      </c>
      <c r="L8192">
        <v>292</v>
      </c>
      <c r="M8192">
        <v>0</v>
      </c>
      <c r="N8192" s="98" t="str">
        <f>IF(record[[#This Row],[Memo]]="Browser:chrome os:android","平板報工",IF(record[[#This Row],[Memo]]=0,"委外",record[[#This Row],[Memo]]))</f>
        <v/>
      </c>
      <c r="O8192" t="s">
        <v>58</v>
      </c>
      <c r="P8192" t="s">
        <v>186</v>
      </c>
      <c r="Q8192" t="s">
        <v>287</v>
      </c>
      <c r="R8192" t="str">
        <f>IFERROR(VLOOKUP(record[[#This Row],[PCUSTID]],廠商[],2,FALSE),"")</f>
        <v>泉盛</v>
      </c>
      <c r="S8192" t="str">
        <f>VLOOKUP(record[[#This Row],[employeeID]],員工[],2,FALSE)</f>
        <v>許文姍</v>
      </c>
    </row>
    <row r="8193" spans="6:19" hidden="1" x14ac:dyDescent="0.25">
      <c r="F8193" t="s">
        <v>978</v>
      </c>
      <c r="G8193" t="s">
        <v>396</v>
      </c>
      <c r="H8193" t="str">
        <f>VLOOKUP(record[[#This Row],[ProcessSN]],表格2_7[],2,FALSE)</f>
        <v>30-4118-018-550</v>
      </c>
      <c r="I8193" t="str">
        <f>VLOOKUP(record[[#This Row],[ProcessSN]],表格2_7[],3,FALSE)</f>
        <v>#08PICK</v>
      </c>
      <c r="J8193" t="s">
        <v>582</v>
      </c>
      <c r="K8193" s="195">
        <v>45881.365798611114</v>
      </c>
      <c r="L8193">
        <v>162</v>
      </c>
      <c r="M8193">
        <v>0</v>
      </c>
      <c r="N8193" s="98" t="str">
        <f>IF(record[[#This Row],[Memo]]="Browser:chrome os:android","平板報工",IF(record[[#This Row],[Memo]]=0,"委外",record[[#This Row],[Memo]]))</f>
        <v/>
      </c>
      <c r="O8193" t="s">
        <v>58</v>
      </c>
      <c r="P8193" t="s">
        <v>196</v>
      </c>
      <c r="Q8193" t="s">
        <v>58</v>
      </c>
      <c r="R8193" t="str">
        <f>IFERROR(VLOOKUP(record[[#This Row],[PCUSTID]],廠商[],2,FALSE),"")</f>
        <v/>
      </c>
      <c r="S8193" t="str">
        <f>VLOOKUP(record[[#This Row],[employeeID]],員工[],2,FALSE)</f>
        <v>張淑惠</v>
      </c>
    </row>
    <row r="8194" spans="6:19" hidden="1" x14ac:dyDescent="0.25">
      <c r="F8194" t="s">
        <v>977</v>
      </c>
      <c r="G8194" t="s">
        <v>396</v>
      </c>
      <c r="H8194" t="str">
        <f>VLOOKUP(record[[#This Row],[ProcessSN]],表格2_7[],2,FALSE)</f>
        <v>30-4118-018-550</v>
      </c>
      <c r="I8194" t="str">
        <f>VLOOKUP(record[[#This Row],[ProcessSN]],表格2_7[],3,FALSE)</f>
        <v>#08PICK</v>
      </c>
      <c r="J8194" t="s">
        <v>582</v>
      </c>
      <c r="K8194" s="195">
        <v>45881.34101851852</v>
      </c>
      <c r="L8194">
        <v>292</v>
      </c>
      <c r="M8194">
        <v>0</v>
      </c>
      <c r="N8194" s="98" t="str">
        <f>IF(record[[#This Row],[Memo]]="Browser:chrome os:android","平板報工",IF(record[[#This Row],[Memo]]=0,"委外",record[[#This Row],[Memo]]))</f>
        <v/>
      </c>
      <c r="O8194" t="s">
        <v>58</v>
      </c>
      <c r="P8194" t="s">
        <v>196</v>
      </c>
      <c r="Q8194" t="s">
        <v>58</v>
      </c>
      <c r="R8194" t="str">
        <f>IFERROR(VLOOKUP(record[[#This Row],[PCUSTID]],廠商[],2,FALSE),"")</f>
        <v/>
      </c>
      <c r="S8194" t="str">
        <f>VLOOKUP(record[[#This Row],[employeeID]],員工[],2,FALSE)</f>
        <v>張淑惠</v>
      </c>
    </row>
    <row r="8195" spans="6:19" hidden="1" x14ac:dyDescent="0.25">
      <c r="F8195" t="s">
        <v>897</v>
      </c>
      <c r="G8195" t="s">
        <v>419</v>
      </c>
      <c r="H8195" t="str">
        <f>VLOOKUP(record[[#This Row],[ProcessSN]],表格2_7[],2,FALSE)</f>
        <v>30-4118-018-5XX</v>
      </c>
      <c r="I8195" t="str">
        <f>VLOOKUP(record[[#This Row],[ProcessSN]],表格2_7[],3,FALSE)</f>
        <v>#07QC</v>
      </c>
      <c r="J8195" t="s">
        <v>589</v>
      </c>
      <c r="K8195" s="195">
        <v>45881.340590277781</v>
      </c>
      <c r="L8195">
        <v>0</v>
      </c>
      <c r="M8195">
        <v>6</v>
      </c>
      <c r="N8195" s="98" t="str">
        <f>IF(record[[#This Row],[Memo]]="Browser:chrome os:android","平板報工",IF(record[[#This Row],[Memo]]=0,"委外",record[[#This Row],[Memo]]))</f>
        <v>平板報工</v>
      </c>
      <c r="O8195" t="s">
        <v>643</v>
      </c>
      <c r="P8195" t="s">
        <v>99</v>
      </c>
      <c r="Q8195" t="s">
        <v>644</v>
      </c>
      <c r="R8195" t="str">
        <f>IFERROR(VLOOKUP(record[[#This Row],[PCUSTID]],廠商[],2,FALSE),"")</f>
        <v/>
      </c>
      <c r="S8195" t="str">
        <f>VLOOKUP(record[[#This Row],[employeeID]],員工[],2,FALSE)</f>
        <v>阮氏河</v>
      </c>
    </row>
    <row r="8196" spans="6:19" hidden="1" x14ac:dyDescent="0.25">
      <c r="F8196" t="s">
        <v>897</v>
      </c>
      <c r="G8196" t="s">
        <v>419</v>
      </c>
      <c r="H8196" t="str">
        <f>VLOOKUP(record[[#This Row],[ProcessSN]],表格2_7[],2,FALSE)</f>
        <v>30-4118-018-5XX</v>
      </c>
      <c r="I8196" t="str">
        <f>VLOOKUP(record[[#This Row],[ProcessSN]],表格2_7[],3,FALSE)</f>
        <v>#07QC</v>
      </c>
      <c r="J8196" t="s">
        <v>589</v>
      </c>
      <c r="K8196" s="195">
        <v>45881.339432870373</v>
      </c>
      <c r="L8196">
        <v>179</v>
      </c>
      <c r="M8196">
        <v>0</v>
      </c>
      <c r="N8196" s="98" t="str">
        <f>IF(record[[#This Row],[Memo]]="Browser:chrome os:android","平板報工",IF(record[[#This Row],[Memo]]=0,"委外",record[[#This Row],[Memo]]))</f>
        <v>平板報工</v>
      </c>
      <c r="O8196" t="s">
        <v>643</v>
      </c>
      <c r="P8196" t="s">
        <v>99</v>
      </c>
      <c r="Q8196" t="s">
        <v>644</v>
      </c>
      <c r="R8196" t="str">
        <f>IFERROR(VLOOKUP(record[[#This Row],[PCUSTID]],廠商[],2,FALSE),"")</f>
        <v/>
      </c>
      <c r="S8196" t="str">
        <f>VLOOKUP(record[[#This Row],[employeeID]],員工[],2,FALSE)</f>
        <v>阮氏河</v>
      </c>
    </row>
    <row r="8197" spans="6:19" hidden="1" x14ac:dyDescent="0.25">
      <c r="F8197" t="s">
        <v>897</v>
      </c>
      <c r="G8197" t="s">
        <v>418</v>
      </c>
      <c r="H8197" t="str">
        <f>VLOOKUP(record[[#This Row],[ProcessSN]],表格2_7[],2,FALSE)</f>
        <v>30-4118-018-5XX</v>
      </c>
      <c r="I8197" t="str">
        <f>VLOOKUP(record[[#This Row],[ProcessSN]],表格2_7[],3,FALSE)</f>
        <v>#07</v>
      </c>
      <c r="J8197" t="s">
        <v>588</v>
      </c>
      <c r="K8197" s="195">
        <v>45881.320856481485</v>
      </c>
      <c r="L8197">
        <v>61</v>
      </c>
      <c r="M8197">
        <v>0</v>
      </c>
      <c r="N8197" s="98" t="str">
        <f>IF(record[[#This Row],[Memo]]="Browser:chrome os:android","平板報工",IF(record[[#This Row],[Memo]]=0,"委外",record[[#This Row],[Memo]]))</f>
        <v/>
      </c>
      <c r="O8197" t="s">
        <v>58</v>
      </c>
      <c r="P8197" t="s">
        <v>135</v>
      </c>
      <c r="Q8197" t="s">
        <v>58</v>
      </c>
      <c r="R8197" t="str">
        <f>IFERROR(VLOOKUP(record[[#This Row],[PCUSTID]],廠商[],2,FALSE),"")</f>
        <v/>
      </c>
      <c r="S8197" t="str">
        <f>VLOOKUP(record[[#This Row],[employeeID]],員工[],2,FALSE)</f>
        <v>阮士文</v>
      </c>
    </row>
    <row r="8198" spans="6:19" hidden="1" x14ac:dyDescent="0.25">
      <c r="F8198" t="s">
        <v>897</v>
      </c>
      <c r="G8198" t="s">
        <v>417</v>
      </c>
      <c r="H8198" t="str">
        <f>VLOOKUP(record[[#This Row],[ProcessSN]],表格2_7[],2,FALSE)</f>
        <v>30-4118-018-5XX</v>
      </c>
      <c r="I8198" t="str">
        <f>VLOOKUP(record[[#This Row],[ProcessSN]],表格2_7[],3,FALSE)</f>
        <v>#06</v>
      </c>
      <c r="J8198" t="s">
        <v>593</v>
      </c>
      <c r="K8198" s="195">
        <v>45881.320451388892</v>
      </c>
      <c r="L8198">
        <v>121</v>
      </c>
      <c r="M8198">
        <v>0</v>
      </c>
      <c r="N8198" s="98" t="str">
        <f>IF(record[[#This Row],[Memo]]="Browser:chrome os:android","平板報工",IF(record[[#This Row],[Memo]]=0,"委外",record[[#This Row],[Memo]]))</f>
        <v/>
      </c>
      <c r="O8198" t="s">
        <v>58</v>
      </c>
      <c r="P8198" t="s">
        <v>135</v>
      </c>
      <c r="Q8198" t="s">
        <v>58</v>
      </c>
      <c r="R8198" t="str">
        <f>IFERROR(VLOOKUP(record[[#This Row],[PCUSTID]],廠商[],2,FALSE),"")</f>
        <v/>
      </c>
      <c r="S8198" t="str">
        <f>VLOOKUP(record[[#This Row],[employeeID]],員工[],2,FALSE)</f>
        <v>阮士文</v>
      </c>
    </row>
    <row r="8199" spans="6:19" hidden="1" x14ac:dyDescent="0.25">
      <c r="F8199" t="s">
        <v>904</v>
      </c>
      <c r="G8199" t="s">
        <v>419</v>
      </c>
      <c r="H8199" t="str">
        <f>VLOOKUP(record[[#This Row],[ProcessSN]],表格2_7[],2,FALSE)</f>
        <v>30-4118-018-5XX</v>
      </c>
      <c r="I8199" t="str">
        <f>VLOOKUP(record[[#This Row],[ProcessSN]],表格2_7[],3,FALSE)</f>
        <v>#07QC</v>
      </c>
      <c r="J8199" t="s">
        <v>589</v>
      </c>
      <c r="K8199" s="195">
        <v>45881.299074074072</v>
      </c>
      <c r="L8199">
        <v>0</v>
      </c>
      <c r="M8199">
        <v>-113</v>
      </c>
      <c r="N8199" s="98" t="str">
        <f>IF(record[[#This Row],[Memo]]="Browser:chrome os:android","平板報工",IF(record[[#This Row],[Memo]]=0,"委外",record[[#This Row],[Memo]]))</f>
        <v>覆回品</v>
      </c>
      <c r="O8199" t="s">
        <v>664</v>
      </c>
      <c r="P8199" t="s">
        <v>65</v>
      </c>
      <c r="Q8199" t="s">
        <v>644</v>
      </c>
      <c r="R8199" t="str">
        <f>IFERROR(VLOOKUP(record[[#This Row],[PCUSTID]],廠商[],2,FALSE),"")</f>
        <v/>
      </c>
      <c r="S8199" t="str">
        <f>VLOOKUP(record[[#This Row],[employeeID]],員工[],2,FALSE)</f>
        <v>蘇進昌</v>
      </c>
    </row>
    <row r="8200" spans="6:19" hidden="1" x14ac:dyDescent="0.25">
      <c r="F8200" t="s">
        <v>897</v>
      </c>
      <c r="G8200" t="s">
        <v>418</v>
      </c>
      <c r="H8200" t="str">
        <f>VLOOKUP(record[[#This Row],[ProcessSN]],表格2_7[],2,FALSE)</f>
        <v>30-4118-018-5XX</v>
      </c>
      <c r="I8200" t="str">
        <f>VLOOKUP(record[[#This Row],[ProcessSN]],表格2_7[],3,FALSE)</f>
        <v>#07</v>
      </c>
      <c r="J8200" t="s">
        <v>588</v>
      </c>
      <c r="K8200" s="195">
        <v>45881.125543981485</v>
      </c>
      <c r="L8200">
        <v>100</v>
      </c>
      <c r="M8200">
        <v>0</v>
      </c>
      <c r="N8200" s="98" t="str">
        <f>IF(record[[#This Row],[Memo]]="Browser:chrome os:android","平板報工",IF(record[[#This Row],[Memo]]=0,"委外",record[[#This Row],[Memo]]))</f>
        <v/>
      </c>
      <c r="O8200" t="s">
        <v>58</v>
      </c>
      <c r="P8200" t="s">
        <v>133</v>
      </c>
      <c r="Q8200" t="s">
        <v>58</v>
      </c>
      <c r="R8200" t="str">
        <f>IFERROR(VLOOKUP(record[[#This Row],[PCUSTID]],廠商[],2,FALSE),"")</f>
        <v/>
      </c>
      <c r="S8200" t="str">
        <f>VLOOKUP(record[[#This Row],[employeeID]],員工[],2,FALSE)</f>
        <v>黎長維</v>
      </c>
    </row>
    <row r="8201" spans="6:19" hidden="1" x14ac:dyDescent="0.25">
      <c r="F8201" t="s">
        <v>897</v>
      </c>
      <c r="G8201" t="s">
        <v>417</v>
      </c>
      <c r="H8201" t="str">
        <f>VLOOKUP(record[[#This Row],[ProcessSN]],表格2_7[],2,FALSE)</f>
        <v>30-4118-018-5XX</v>
      </c>
      <c r="I8201" t="str">
        <f>VLOOKUP(record[[#This Row],[ProcessSN]],表格2_7[],3,FALSE)</f>
        <v>#06</v>
      </c>
      <c r="J8201" t="s">
        <v>593</v>
      </c>
      <c r="K8201" s="195">
        <v>45880.973912037036</v>
      </c>
      <c r="L8201">
        <v>111</v>
      </c>
      <c r="M8201">
        <v>2</v>
      </c>
      <c r="N8201" s="98" t="str">
        <f>IF(record[[#This Row],[Memo]]="Browser:chrome os:android","平板報工",IF(record[[#This Row],[Memo]]=0,"委外",record[[#This Row],[Memo]]))</f>
        <v/>
      </c>
      <c r="O8201" t="s">
        <v>58</v>
      </c>
      <c r="P8201" t="s">
        <v>841</v>
      </c>
      <c r="Q8201" t="s">
        <v>58</v>
      </c>
      <c r="R8201" t="str">
        <f>IFERROR(VLOOKUP(record[[#This Row],[PCUSTID]],廠商[],2,FALSE),"")</f>
        <v/>
      </c>
      <c r="S8201" t="str">
        <f>VLOOKUP(record[[#This Row],[employeeID]],員工[],2,FALSE)</f>
        <v>范氏香</v>
      </c>
    </row>
    <row r="8202" spans="6:19" hidden="1" x14ac:dyDescent="0.25">
      <c r="F8202" t="s">
        <v>930</v>
      </c>
      <c r="G8202" t="s">
        <v>401</v>
      </c>
      <c r="H8202" t="str">
        <f>VLOOKUP(record[[#This Row],[ProcessSN]],表格2_7[],2,FALSE)</f>
        <v>30-4118-018-550</v>
      </c>
      <c r="I8202" t="str">
        <f>VLOOKUP(record[[#This Row],[ProcessSN]],表格2_7[],3,FALSE)</f>
        <v>#100OQC</v>
      </c>
      <c r="J8202" t="s">
        <v>599</v>
      </c>
      <c r="K8202" s="195">
        <v>45880.708703703705</v>
      </c>
      <c r="L8202">
        <v>3</v>
      </c>
      <c r="M8202">
        <v>0</v>
      </c>
      <c r="N8202" s="98" t="str">
        <f>IF(record[[#This Row],[Memo]]="Browser:chrome os:android","平板報工",IF(record[[#This Row],[Memo]]=0,"委外",record[[#This Row],[Memo]]))</f>
        <v/>
      </c>
      <c r="O8202" t="s">
        <v>58</v>
      </c>
      <c r="P8202" t="s">
        <v>121</v>
      </c>
      <c r="Q8202" t="s">
        <v>58</v>
      </c>
      <c r="R8202" t="str">
        <f>IFERROR(VLOOKUP(record[[#This Row],[PCUSTID]],廠商[],2,FALSE),"")</f>
        <v/>
      </c>
      <c r="S8202" t="str">
        <f>VLOOKUP(record[[#This Row],[employeeID]],員工[],2,FALSE)</f>
        <v>謝素卿</v>
      </c>
    </row>
    <row r="8203" spans="6:19" hidden="1" x14ac:dyDescent="0.25">
      <c r="F8203" t="s">
        <v>938</v>
      </c>
      <c r="G8203" t="s">
        <v>360</v>
      </c>
      <c r="H8203" t="str">
        <f>VLOOKUP(record[[#This Row],[ProcessSN]],表格2_7[],2,FALSE)</f>
        <v>30-4118-018-450</v>
      </c>
      <c r="I8203" t="str">
        <f>VLOOKUP(record[[#This Row],[ProcessSN]],表格2_7[],3,FALSE)</f>
        <v>#100OQC</v>
      </c>
      <c r="J8203" t="s">
        <v>599</v>
      </c>
      <c r="K8203" s="195">
        <v>45880.708541666667</v>
      </c>
      <c r="L8203">
        <v>5</v>
      </c>
      <c r="M8203">
        <v>0</v>
      </c>
      <c r="N8203" s="98" t="str">
        <f>IF(record[[#This Row],[Memo]]="Browser:chrome os:android","平板報工",IF(record[[#This Row],[Memo]]=0,"委外",record[[#This Row],[Memo]]))</f>
        <v/>
      </c>
      <c r="O8203" t="s">
        <v>58</v>
      </c>
      <c r="P8203" t="s">
        <v>121</v>
      </c>
      <c r="Q8203" t="s">
        <v>58</v>
      </c>
      <c r="R8203" t="str">
        <f>IFERROR(VLOOKUP(record[[#This Row],[PCUSTID]],廠商[],2,FALSE),"")</f>
        <v/>
      </c>
      <c r="S8203" t="str">
        <f>VLOOKUP(record[[#This Row],[employeeID]],員工[],2,FALSE)</f>
        <v>謝素卿</v>
      </c>
    </row>
    <row r="8204" spans="6:19" hidden="1" x14ac:dyDescent="0.25">
      <c r="F8204" t="s">
        <v>937</v>
      </c>
      <c r="G8204" t="s">
        <v>426</v>
      </c>
      <c r="H8204" t="str">
        <f>VLOOKUP(record[[#This Row],[ProcessSN]],表格2_7[],2,FALSE)</f>
        <v>30-4118-018-600</v>
      </c>
      <c r="I8204" t="str">
        <f>VLOOKUP(record[[#This Row],[ProcessSN]],表格2_7[],3,FALSE)</f>
        <v>#100OQC</v>
      </c>
      <c r="J8204" t="s">
        <v>599</v>
      </c>
      <c r="K8204" s="195">
        <v>45880.708368055559</v>
      </c>
      <c r="L8204">
        <v>256</v>
      </c>
      <c r="M8204">
        <v>0</v>
      </c>
      <c r="N8204" s="98" t="str">
        <f>IF(record[[#This Row],[Memo]]="Browser:chrome os:android","平板報工",IF(record[[#This Row],[Memo]]=0,"委外",record[[#This Row],[Memo]]))</f>
        <v/>
      </c>
      <c r="O8204" t="s">
        <v>58</v>
      </c>
      <c r="P8204" t="s">
        <v>121</v>
      </c>
      <c r="Q8204" t="s">
        <v>58</v>
      </c>
      <c r="R8204" t="str">
        <f>IFERROR(VLOOKUP(record[[#This Row],[PCUSTID]],廠商[],2,FALSE),"")</f>
        <v/>
      </c>
      <c r="S8204" t="str">
        <f>VLOOKUP(record[[#This Row],[employeeID]],員工[],2,FALSE)</f>
        <v>謝素卿</v>
      </c>
    </row>
    <row r="8205" spans="6:19" hidden="1" x14ac:dyDescent="0.25">
      <c r="F8205" t="s">
        <v>897</v>
      </c>
      <c r="G8205" t="s">
        <v>418</v>
      </c>
      <c r="H8205" t="str">
        <f>VLOOKUP(record[[#This Row],[ProcessSN]],表格2_7[],2,FALSE)</f>
        <v>30-4118-018-5XX</v>
      </c>
      <c r="I8205" t="str">
        <f>VLOOKUP(record[[#This Row],[ProcessSN]],表格2_7[],3,FALSE)</f>
        <v>#07</v>
      </c>
      <c r="J8205" t="s">
        <v>588</v>
      </c>
      <c r="K8205" s="195">
        <v>45880.658495370371</v>
      </c>
      <c r="L8205">
        <v>153</v>
      </c>
      <c r="M8205">
        <v>4</v>
      </c>
      <c r="N8205" s="98" t="str">
        <f>IF(record[[#This Row],[Memo]]="Browser:chrome os:android","平板報工",IF(record[[#This Row],[Memo]]=0,"委外",record[[#This Row],[Memo]]))</f>
        <v/>
      </c>
      <c r="O8205" t="s">
        <v>58</v>
      </c>
      <c r="P8205" t="s">
        <v>119</v>
      </c>
      <c r="Q8205" t="s">
        <v>58</v>
      </c>
      <c r="R8205" t="str">
        <f>IFERROR(VLOOKUP(record[[#This Row],[PCUSTID]],廠商[],2,FALSE),"")</f>
        <v/>
      </c>
      <c r="S8205" t="str">
        <f>VLOOKUP(record[[#This Row],[employeeID]],員工[],2,FALSE)</f>
        <v>廖俊彥</v>
      </c>
    </row>
    <row r="8206" spans="6:19" hidden="1" x14ac:dyDescent="0.25">
      <c r="F8206" t="s">
        <v>897</v>
      </c>
      <c r="G8206" t="s">
        <v>417</v>
      </c>
      <c r="H8206" t="str">
        <f>VLOOKUP(record[[#This Row],[ProcessSN]],表格2_7[],2,FALSE)</f>
        <v>30-4118-018-5XX</v>
      </c>
      <c r="I8206" t="str">
        <f>VLOOKUP(record[[#This Row],[ProcessSN]],表格2_7[],3,FALSE)</f>
        <v>#06</v>
      </c>
      <c r="J8206" t="s">
        <v>593</v>
      </c>
      <c r="K8206" s="195">
        <v>45880.658333333333</v>
      </c>
      <c r="L8206">
        <v>112</v>
      </c>
      <c r="M8206">
        <v>2</v>
      </c>
      <c r="N8206" s="98" t="str">
        <f>IF(record[[#This Row],[Memo]]="Browser:chrome os:android","平板報工",IF(record[[#This Row],[Memo]]=0,"委外",record[[#This Row],[Memo]]))</f>
        <v/>
      </c>
      <c r="O8206" t="s">
        <v>58</v>
      </c>
      <c r="P8206" t="s">
        <v>119</v>
      </c>
      <c r="Q8206" t="s">
        <v>58</v>
      </c>
      <c r="R8206" t="str">
        <f>IFERROR(VLOOKUP(record[[#This Row],[PCUSTID]],廠商[],2,FALSE),"")</f>
        <v/>
      </c>
      <c r="S8206" t="str">
        <f>VLOOKUP(record[[#This Row],[employeeID]],員工[],2,FALSE)</f>
        <v>廖俊彥</v>
      </c>
    </row>
    <row r="8207" spans="6:19" hidden="1" x14ac:dyDescent="0.25">
      <c r="F8207" t="s">
        <v>904</v>
      </c>
      <c r="G8207" t="s">
        <v>416</v>
      </c>
      <c r="H8207" t="str">
        <f>VLOOKUP(record[[#This Row],[ProcessSN]],表格2_7[],2,FALSE)</f>
        <v>30-4118-018-5XX</v>
      </c>
      <c r="I8207" t="str">
        <f>VLOOKUP(record[[#This Row],[ProcessSN]],表格2_7[],3,FALSE)</f>
        <v>#05</v>
      </c>
      <c r="J8207" t="s">
        <v>588</v>
      </c>
      <c r="K8207" s="195">
        <v>45880.658148148148</v>
      </c>
      <c r="L8207">
        <v>220</v>
      </c>
      <c r="M8207">
        <v>0</v>
      </c>
      <c r="N8207" s="98" t="str">
        <f>IF(record[[#This Row],[Memo]]="Browser:chrome os:android","平板報工",IF(record[[#This Row],[Memo]]=0,"委外",record[[#This Row],[Memo]]))</f>
        <v/>
      </c>
      <c r="O8207" t="s">
        <v>58</v>
      </c>
      <c r="P8207" t="s">
        <v>119</v>
      </c>
      <c r="Q8207" t="s">
        <v>58</v>
      </c>
      <c r="R8207" t="str">
        <f>IFERROR(VLOOKUP(record[[#This Row],[PCUSTID]],廠商[],2,FALSE),"")</f>
        <v/>
      </c>
      <c r="S8207" t="str">
        <f>VLOOKUP(record[[#This Row],[employeeID]],員工[],2,FALSE)</f>
        <v>廖俊彥</v>
      </c>
    </row>
    <row r="8208" spans="6:19" hidden="1" x14ac:dyDescent="0.25">
      <c r="F8208" t="s">
        <v>937</v>
      </c>
      <c r="G8208" t="s">
        <v>425</v>
      </c>
      <c r="H8208" t="str">
        <f>VLOOKUP(record[[#This Row],[ProcessSN]],表格2_7[],2,FALSE)</f>
        <v>30-4118-018-600</v>
      </c>
      <c r="I8208" t="str">
        <f>VLOOKUP(record[[#This Row],[ProcessSN]],表格2_7[],3,FALSE)</f>
        <v>#100</v>
      </c>
      <c r="J8208" t="s">
        <v>598</v>
      </c>
      <c r="K8208" s="195">
        <v>45880.584733796299</v>
      </c>
      <c r="L8208">
        <v>10</v>
      </c>
      <c r="M8208">
        <v>0</v>
      </c>
      <c r="N8208" s="98" t="str">
        <f>IF(record[[#This Row],[Memo]]="Browser:chrome os:android","平板報工",IF(record[[#This Row],[Memo]]=0,"委外",record[[#This Row],[Memo]]))</f>
        <v>平板報工</v>
      </c>
      <c r="O8208" t="s">
        <v>643</v>
      </c>
      <c r="P8208" t="s">
        <v>141</v>
      </c>
      <c r="Q8208" t="s">
        <v>644</v>
      </c>
      <c r="R8208" t="str">
        <f>IFERROR(VLOOKUP(record[[#This Row],[PCUSTID]],廠商[],2,FALSE),"")</f>
        <v/>
      </c>
      <c r="S8208" t="str">
        <f>VLOOKUP(record[[#This Row],[employeeID]],員工[],2,FALSE)</f>
        <v>蔣梅</v>
      </c>
    </row>
    <row r="8209" spans="6:19" hidden="1" x14ac:dyDescent="0.25">
      <c r="F8209" t="s">
        <v>938</v>
      </c>
      <c r="G8209" t="s">
        <v>359</v>
      </c>
      <c r="H8209" t="str">
        <f>VLOOKUP(record[[#This Row],[ProcessSN]],表格2_7[],2,FALSE)</f>
        <v>30-4118-018-450</v>
      </c>
      <c r="I8209" t="str">
        <f>VLOOKUP(record[[#This Row],[ProcessSN]],表格2_7[],3,FALSE)</f>
        <v>#100</v>
      </c>
      <c r="J8209" t="s">
        <v>598</v>
      </c>
      <c r="K8209" s="195">
        <v>45880.584467592591</v>
      </c>
      <c r="L8209">
        <v>5</v>
      </c>
      <c r="M8209">
        <v>0</v>
      </c>
      <c r="N8209" s="98" t="str">
        <f>IF(record[[#This Row],[Memo]]="Browser:chrome os:android","平板報工",IF(record[[#This Row],[Memo]]=0,"委外",record[[#This Row],[Memo]]))</f>
        <v>平板報工</v>
      </c>
      <c r="O8209" t="s">
        <v>643</v>
      </c>
      <c r="P8209" t="s">
        <v>141</v>
      </c>
      <c r="Q8209" t="s">
        <v>644</v>
      </c>
      <c r="R8209" t="str">
        <f>IFERROR(VLOOKUP(record[[#This Row],[PCUSTID]],廠商[],2,FALSE),"")</f>
        <v/>
      </c>
      <c r="S8209" t="str">
        <f>VLOOKUP(record[[#This Row],[employeeID]],員工[],2,FALSE)</f>
        <v>蔣梅</v>
      </c>
    </row>
    <row r="8210" spans="6:19" hidden="1" x14ac:dyDescent="0.25">
      <c r="F8210" t="s">
        <v>930</v>
      </c>
      <c r="G8210" t="s">
        <v>400</v>
      </c>
      <c r="H8210" t="str">
        <f>VLOOKUP(record[[#This Row],[ProcessSN]],表格2_7[],2,FALSE)</f>
        <v>30-4118-018-550</v>
      </c>
      <c r="I8210" t="str">
        <f>VLOOKUP(record[[#This Row],[ProcessSN]],表格2_7[],3,FALSE)</f>
        <v>#100</v>
      </c>
      <c r="J8210" t="s">
        <v>598</v>
      </c>
      <c r="K8210" s="195">
        <v>45880.584143518521</v>
      </c>
      <c r="L8210">
        <v>3</v>
      </c>
      <c r="M8210">
        <v>0</v>
      </c>
      <c r="N8210" s="98" t="str">
        <f>IF(record[[#This Row],[Memo]]="Browser:chrome os:android","平板報工",IF(record[[#This Row],[Memo]]=0,"委外",record[[#This Row],[Memo]]))</f>
        <v>平板報工</v>
      </c>
      <c r="O8210" t="s">
        <v>643</v>
      </c>
      <c r="P8210" t="s">
        <v>141</v>
      </c>
      <c r="Q8210" t="s">
        <v>644</v>
      </c>
      <c r="R8210" t="str">
        <f>IFERROR(VLOOKUP(record[[#This Row],[PCUSTID]],廠商[],2,FALSE),"")</f>
        <v/>
      </c>
      <c r="S8210" t="str">
        <f>VLOOKUP(record[[#This Row],[employeeID]],員工[],2,FALSE)</f>
        <v>蔣梅</v>
      </c>
    </row>
    <row r="8211" spans="6:19" hidden="1" x14ac:dyDescent="0.25">
      <c r="F8211" t="s">
        <v>937</v>
      </c>
      <c r="G8211" t="s">
        <v>425</v>
      </c>
      <c r="H8211" t="str">
        <f>VLOOKUP(record[[#This Row],[ProcessSN]],表格2_7[],2,FALSE)</f>
        <v>30-4118-018-600</v>
      </c>
      <c r="I8211" t="str">
        <f>VLOOKUP(record[[#This Row],[ProcessSN]],表格2_7[],3,FALSE)</f>
        <v>#100</v>
      </c>
      <c r="J8211" t="s">
        <v>598</v>
      </c>
      <c r="K8211" s="195">
        <v>45880.499756944446</v>
      </c>
      <c r="L8211">
        <v>246</v>
      </c>
      <c r="M8211">
        <v>0</v>
      </c>
      <c r="N8211" s="98" t="str">
        <f>IF(record[[#This Row],[Memo]]="Browser:chrome os:android","平板報工",IF(record[[#This Row],[Memo]]=0,"委外",record[[#This Row],[Memo]]))</f>
        <v>平板報工</v>
      </c>
      <c r="O8211" t="s">
        <v>643</v>
      </c>
      <c r="P8211" t="s">
        <v>141</v>
      </c>
      <c r="Q8211" t="s">
        <v>644</v>
      </c>
      <c r="R8211" t="str">
        <f>IFERROR(VLOOKUP(record[[#This Row],[PCUSTID]],廠商[],2,FALSE),"")</f>
        <v/>
      </c>
      <c r="S8211" t="str">
        <f>VLOOKUP(record[[#This Row],[employeeID]],員工[],2,FALSE)</f>
        <v>蔣梅</v>
      </c>
    </row>
    <row r="8212" spans="6:19" hidden="1" x14ac:dyDescent="0.25">
      <c r="F8212" t="s">
        <v>937</v>
      </c>
      <c r="G8212" t="s">
        <v>423</v>
      </c>
      <c r="H8212" t="str">
        <f>VLOOKUP(record[[#This Row],[ProcessSN]],表格2_7[],2,FALSE)</f>
        <v>30-4118-018-600</v>
      </c>
      <c r="I8212" t="str">
        <f>VLOOKUP(record[[#This Row],[ProcessSN]],表格2_7[],3,FALSE)</f>
        <v>#08RCV</v>
      </c>
      <c r="J8212" t="s">
        <v>591</v>
      </c>
      <c r="K8212" s="195">
        <v>45880.488865740743</v>
      </c>
      <c r="L8212">
        <v>10</v>
      </c>
      <c r="M8212">
        <v>-10</v>
      </c>
      <c r="N8212" s="98" t="str">
        <f>IF(record[[#This Row],[Memo]]="Browser:chrome os:android","平板報工",IF(record[[#This Row],[Memo]]=0,"委外",record[[#This Row],[Memo]]))</f>
        <v>覆回品</v>
      </c>
      <c r="O8212" t="s">
        <v>664</v>
      </c>
      <c r="P8212" t="s">
        <v>65</v>
      </c>
      <c r="Q8212" t="s">
        <v>58</v>
      </c>
      <c r="R8212" t="str">
        <f>IFERROR(VLOOKUP(record[[#This Row],[PCUSTID]],廠商[],2,FALSE),"")</f>
        <v/>
      </c>
      <c r="S8212" t="str">
        <f>VLOOKUP(record[[#This Row],[employeeID]],員工[],2,FALSE)</f>
        <v>蘇進昌</v>
      </c>
    </row>
    <row r="8213" spans="6:19" hidden="1" x14ac:dyDescent="0.25">
      <c r="F8213" t="s">
        <v>937</v>
      </c>
      <c r="G8213" t="s">
        <v>424</v>
      </c>
      <c r="H8213" t="str">
        <f>VLOOKUP(record[[#This Row],[ProcessSN]],表格2_7[],2,FALSE)</f>
        <v>30-4118-018-600</v>
      </c>
      <c r="I8213" t="str">
        <f>VLOOKUP(record[[#This Row],[ProcessSN]],表格2_7[],3,FALSE)</f>
        <v>#08IQC</v>
      </c>
      <c r="J8213" t="s">
        <v>583</v>
      </c>
      <c r="K8213" s="195">
        <v>45880.488865740743</v>
      </c>
      <c r="L8213">
        <v>10</v>
      </c>
      <c r="M8213">
        <v>0</v>
      </c>
      <c r="N8213" s="98" t="str">
        <f>IF(record[[#This Row],[Memo]]="Browser:chrome os:android","平板報工",IF(record[[#This Row],[Memo]]=0,"委外",record[[#This Row],[Memo]]))</f>
        <v>覆回品</v>
      </c>
      <c r="O8213" t="s">
        <v>664</v>
      </c>
      <c r="P8213" t="s">
        <v>65</v>
      </c>
      <c r="Q8213" t="s">
        <v>58</v>
      </c>
      <c r="R8213" t="str">
        <f>IFERROR(VLOOKUP(record[[#This Row],[PCUSTID]],廠商[],2,FALSE),"")</f>
        <v/>
      </c>
      <c r="S8213" t="str">
        <f>VLOOKUP(record[[#This Row],[employeeID]],員工[],2,FALSE)</f>
        <v>蘇進昌</v>
      </c>
    </row>
    <row r="8214" spans="6:19" hidden="1" x14ac:dyDescent="0.25">
      <c r="F8214" t="s">
        <v>930</v>
      </c>
      <c r="G8214" t="s">
        <v>399</v>
      </c>
      <c r="H8214" t="str">
        <f>VLOOKUP(record[[#This Row],[ProcessSN]],表格2_7[],2,FALSE)</f>
        <v>30-4118-018-550</v>
      </c>
      <c r="I8214" t="str">
        <f>VLOOKUP(record[[#This Row],[ProcessSN]],表格2_7[],3,FALSE)</f>
        <v>#08IQC</v>
      </c>
      <c r="J8214" t="s">
        <v>583</v>
      </c>
      <c r="K8214" s="195">
        <v>45880.488240740742</v>
      </c>
      <c r="L8214">
        <v>3</v>
      </c>
      <c r="M8214">
        <v>0</v>
      </c>
      <c r="N8214" s="98" t="str">
        <f>IF(record[[#This Row],[Memo]]="Browser:chrome os:android","平板報工",IF(record[[#This Row],[Memo]]=0,"委外",record[[#This Row],[Memo]]))</f>
        <v>覆回品</v>
      </c>
      <c r="O8214" t="s">
        <v>664</v>
      </c>
      <c r="P8214" t="s">
        <v>65</v>
      </c>
      <c r="Q8214" t="s">
        <v>58</v>
      </c>
      <c r="R8214" t="str">
        <f>IFERROR(VLOOKUP(record[[#This Row],[PCUSTID]],廠商[],2,FALSE),"")</f>
        <v/>
      </c>
      <c r="S8214" t="str">
        <f>VLOOKUP(record[[#This Row],[employeeID]],員工[],2,FALSE)</f>
        <v>蘇進昌</v>
      </c>
    </row>
    <row r="8215" spans="6:19" hidden="1" x14ac:dyDescent="0.25">
      <c r="F8215" t="s">
        <v>930</v>
      </c>
      <c r="G8215" t="s">
        <v>398</v>
      </c>
      <c r="H8215" t="str">
        <f>VLOOKUP(record[[#This Row],[ProcessSN]],表格2_7[],2,FALSE)</f>
        <v>30-4118-018-550</v>
      </c>
      <c r="I8215" t="str">
        <f>VLOOKUP(record[[#This Row],[ProcessSN]],表格2_7[],3,FALSE)</f>
        <v>#08RCV</v>
      </c>
      <c r="J8215" t="s">
        <v>591</v>
      </c>
      <c r="K8215" s="195">
        <v>45880.488240740742</v>
      </c>
      <c r="L8215">
        <v>3</v>
      </c>
      <c r="M8215">
        <v>-3</v>
      </c>
      <c r="N8215" s="98" t="str">
        <f>IF(record[[#This Row],[Memo]]="Browser:chrome os:android","平板報工",IF(record[[#This Row],[Memo]]=0,"委外",record[[#This Row],[Memo]]))</f>
        <v>覆回品</v>
      </c>
      <c r="O8215" t="s">
        <v>664</v>
      </c>
      <c r="P8215" t="s">
        <v>65</v>
      </c>
      <c r="Q8215" t="s">
        <v>58</v>
      </c>
      <c r="R8215" t="str">
        <f>IFERROR(VLOOKUP(record[[#This Row],[PCUSTID]],廠商[],2,FALSE),"")</f>
        <v/>
      </c>
      <c r="S8215" t="str">
        <f>VLOOKUP(record[[#This Row],[employeeID]],員工[],2,FALSE)</f>
        <v>蘇進昌</v>
      </c>
    </row>
    <row r="8216" spans="6:19" hidden="1" x14ac:dyDescent="0.25">
      <c r="F8216" t="s">
        <v>938</v>
      </c>
      <c r="G8216" t="s">
        <v>357</v>
      </c>
      <c r="H8216" t="str">
        <f>VLOOKUP(record[[#This Row],[ProcessSN]],表格2_7[],2,FALSE)</f>
        <v>30-4118-018-450</v>
      </c>
      <c r="I8216" t="str">
        <f>VLOOKUP(record[[#This Row],[ProcessSN]],表格2_7[],3,FALSE)</f>
        <v>#08RCV</v>
      </c>
      <c r="J8216" t="s">
        <v>591</v>
      </c>
      <c r="K8216" s="195">
        <v>45880.479953703703</v>
      </c>
      <c r="L8216">
        <v>8</v>
      </c>
      <c r="M8216">
        <v>-8</v>
      </c>
      <c r="N8216" s="98" t="str">
        <f>IF(record[[#This Row],[Memo]]="Browser:chrome os:android","平板報工",IF(record[[#This Row],[Memo]]=0,"委外",record[[#This Row],[Memo]]))</f>
        <v>覆回品</v>
      </c>
      <c r="O8216" t="s">
        <v>664</v>
      </c>
      <c r="P8216" t="s">
        <v>65</v>
      </c>
      <c r="Q8216" t="s">
        <v>58</v>
      </c>
      <c r="R8216" t="str">
        <f>IFERROR(VLOOKUP(record[[#This Row],[PCUSTID]],廠商[],2,FALSE),"")</f>
        <v/>
      </c>
      <c r="S8216" t="str">
        <f>VLOOKUP(record[[#This Row],[employeeID]],員工[],2,FALSE)</f>
        <v>蘇進昌</v>
      </c>
    </row>
    <row r="8217" spans="6:19" hidden="1" x14ac:dyDescent="0.25">
      <c r="F8217" t="s">
        <v>938</v>
      </c>
      <c r="G8217" t="s">
        <v>358</v>
      </c>
      <c r="H8217" t="str">
        <f>VLOOKUP(record[[#This Row],[ProcessSN]],表格2_7[],2,FALSE)</f>
        <v>30-4118-018-450</v>
      </c>
      <c r="I8217" t="str">
        <f>VLOOKUP(record[[#This Row],[ProcessSN]],表格2_7[],3,FALSE)</f>
        <v>#08IQC</v>
      </c>
      <c r="J8217" t="s">
        <v>583</v>
      </c>
      <c r="K8217" s="195">
        <v>45880.479953703703</v>
      </c>
      <c r="L8217">
        <v>8</v>
      </c>
      <c r="M8217">
        <v>0</v>
      </c>
      <c r="N8217" s="98" t="str">
        <f>IF(record[[#This Row],[Memo]]="Browser:chrome os:android","平板報工",IF(record[[#This Row],[Memo]]=0,"委外",record[[#This Row],[Memo]]))</f>
        <v>覆回品</v>
      </c>
      <c r="O8217" t="s">
        <v>664</v>
      </c>
      <c r="P8217" t="s">
        <v>65</v>
      </c>
      <c r="Q8217" t="s">
        <v>58</v>
      </c>
      <c r="R8217" t="str">
        <f>IFERROR(VLOOKUP(record[[#This Row],[PCUSTID]],廠商[],2,FALSE),"")</f>
        <v/>
      </c>
      <c r="S8217" t="str">
        <f>VLOOKUP(record[[#This Row],[employeeID]],員工[],2,FALSE)</f>
        <v>蘇進昌</v>
      </c>
    </row>
    <row r="8218" spans="6:19" hidden="1" x14ac:dyDescent="0.25">
      <c r="F8218" t="s">
        <v>970</v>
      </c>
      <c r="G8218" t="s">
        <v>397</v>
      </c>
      <c r="H8218" t="str">
        <f>VLOOKUP(record[[#This Row],[ProcessSN]],表格2_7[],2,FALSE)</f>
        <v>30-4118-018-550</v>
      </c>
      <c r="I8218" t="str">
        <f>VLOOKUP(record[[#This Row],[ProcessSN]],表格2_7[],3,FALSE)</f>
        <v>#08</v>
      </c>
      <c r="J8218" t="s">
        <v>597</v>
      </c>
      <c r="K8218" s="195">
        <v>45880.440613425926</v>
      </c>
      <c r="L8218">
        <v>310</v>
      </c>
      <c r="M8218">
        <v>0</v>
      </c>
      <c r="N8218" s="98" t="str">
        <f>IF(record[[#This Row],[Memo]]="Browser:chrome os:android","平板報工",IF(record[[#This Row],[Memo]]=0,"委外",record[[#This Row],[Memo]]))</f>
        <v/>
      </c>
      <c r="O8218" t="s">
        <v>58</v>
      </c>
      <c r="P8218" t="s">
        <v>186</v>
      </c>
      <c r="Q8218" t="s">
        <v>287</v>
      </c>
      <c r="R8218" t="str">
        <f>IFERROR(VLOOKUP(record[[#This Row],[PCUSTID]],廠商[],2,FALSE),"")</f>
        <v>泉盛</v>
      </c>
      <c r="S8218" t="str">
        <f>VLOOKUP(record[[#This Row],[employeeID]],員工[],2,FALSE)</f>
        <v>許文姍</v>
      </c>
    </row>
    <row r="8219" spans="6:19" hidden="1" x14ac:dyDescent="0.25">
      <c r="F8219" t="s">
        <v>973</v>
      </c>
      <c r="G8219" t="s">
        <v>397</v>
      </c>
      <c r="H8219" t="str">
        <f>VLOOKUP(record[[#This Row],[ProcessSN]],表格2_7[],2,FALSE)</f>
        <v>30-4118-018-550</v>
      </c>
      <c r="I8219" t="str">
        <f>VLOOKUP(record[[#This Row],[ProcessSN]],表格2_7[],3,FALSE)</f>
        <v>#08</v>
      </c>
      <c r="J8219" t="s">
        <v>597</v>
      </c>
      <c r="K8219" s="195">
        <v>45880.440451388888</v>
      </c>
      <c r="L8219">
        <v>192</v>
      </c>
      <c r="M8219">
        <v>0</v>
      </c>
      <c r="N8219" s="98" t="str">
        <f>IF(record[[#This Row],[Memo]]="Browser:chrome os:android","平板報工",IF(record[[#This Row],[Memo]]=0,"委外",record[[#This Row],[Memo]]))</f>
        <v/>
      </c>
      <c r="O8219" t="s">
        <v>58</v>
      </c>
      <c r="P8219" t="s">
        <v>186</v>
      </c>
      <c r="Q8219" t="s">
        <v>287</v>
      </c>
      <c r="R8219" t="str">
        <f>IFERROR(VLOOKUP(record[[#This Row],[PCUSTID]],廠商[],2,FALSE),"")</f>
        <v>泉盛</v>
      </c>
      <c r="S8219" t="str">
        <f>VLOOKUP(record[[#This Row],[employeeID]],員工[],2,FALSE)</f>
        <v>許文姍</v>
      </c>
    </row>
    <row r="8220" spans="6:19" hidden="1" x14ac:dyDescent="0.25">
      <c r="F8220" t="s">
        <v>904</v>
      </c>
      <c r="G8220" t="s">
        <v>420</v>
      </c>
      <c r="H8220" t="str">
        <f>VLOOKUP(record[[#This Row],[ProcessSN]],表格2_7[],2,FALSE)</f>
        <v>30-4118-018-5XX</v>
      </c>
      <c r="I8220" t="str">
        <f>VLOOKUP(record[[#This Row],[ProcessSN]],表格2_7[],3,FALSE)</f>
        <v>#07STOCK</v>
      </c>
      <c r="J8220" t="s">
        <v>592</v>
      </c>
      <c r="K8220" s="195">
        <v>45880.426168981481</v>
      </c>
      <c r="L8220">
        <v>47</v>
      </c>
      <c r="M8220">
        <v>0</v>
      </c>
      <c r="N8220" s="98" t="str">
        <f>IF(record[[#This Row],[Memo]]="Browser:chrome os:android","平板報工",IF(record[[#This Row],[Memo]]=0,"委外",record[[#This Row],[Memo]]))</f>
        <v/>
      </c>
      <c r="O8220" t="s">
        <v>58</v>
      </c>
      <c r="P8220" t="s">
        <v>196</v>
      </c>
      <c r="Q8220" t="s">
        <v>58</v>
      </c>
      <c r="R8220" t="str">
        <f>IFERROR(VLOOKUP(record[[#This Row],[PCUSTID]],廠商[],2,FALSE),"")</f>
        <v/>
      </c>
      <c r="S8220" t="str">
        <f>VLOOKUP(record[[#This Row],[employeeID]],員工[],2,FALSE)</f>
        <v>張淑惠</v>
      </c>
    </row>
    <row r="8221" spans="6:19" hidden="1" x14ac:dyDescent="0.25">
      <c r="F8221" t="s">
        <v>897</v>
      </c>
      <c r="G8221" t="s">
        <v>420</v>
      </c>
      <c r="H8221" t="str">
        <f>VLOOKUP(record[[#This Row],[ProcessSN]],表格2_7[],2,FALSE)</f>
        <v>30-4118-018-5XX</v>
      </c>
      <c r="I8221" t="str">
        <f>VLOOKUP(record[[#This Row],[ProcessSN]],表格2_7[],3,FALSE)</f>
        <v>#07STOCK</v>
      </c>
      <c r="J8221" t="s">
        <v>592</v>
      </c>
      <c r="K8221" s="195">
        <v>45880.42596064815</v>
      </c>
      <c r="L8221">
        <v>145</v>
      </c>
      <c r="M8221">
        <v>0</v>
      </c>
      <c r="N8221" s="98" t="str">
        <f>IF(record[[#This Row],[Memo]]="Browser:chrome os:android","平板報工",IF(record[[#This Row],[Memo]]=0,"委外",record[[#This Row],[Memo]]))</f>
        <v/>
      </c>
      <c r="O8221" t="s">
        <v>58</v>
      </c>
      <c r="P8221" t="s">
        <v>196</v>
      </c>
      <c r="Q8221" t="s">
        <v>58</v>
      </c>
      <c r="R8221" t="str">
        <f>IFERROR(VLOOKUP(record[[#This Row],[PCUSTID]],廠商[],2,FALSE),"")</f>
        <v/>
      </c>
      <c r="S8221" t="str">
        <f>VLOOKUP(record[[#This Row],[employeeID]],員工[],2,FALSE)</f>
        <v>張淑惠</v>
      </c>
    </row>
    <row r="8222" spans="6:19" hidden="1" x14ac:dyDescent="0.25">
      <c r="F8222" t="s">
        <v>973</v>
      </c>
      <c r="G8222" t="s">
        <v>396</v>
      </c>
      <c r="H8222" t="str">
        <f>VLOOKUP(record[[#This Row],[ProcessSN]],表格2_7[],2,FALSE)</f>
        <v>30-4118-018-550</v>
      </c>
      <c r="I8222" t="str">
        <f>VLOOKUP(record[[#This Row],[ProcessSN]],表格2_7[],3,FALSE)</f>
        <v>#08PICK</v>
      </c>
      <c r="J8222" t="s">
        <v>582</v>
      </c>
      <c r="K8222" s="195">
        <v>45880.424826388888</v>
      </c>
      <c r="L8222">
        <v>192</v>
      </c>
      <c r="M8222">
        <v>0</v>
      </c>
      <c r="N8222" s="98" t="str">
        <f>IF(record[[#This Row],[Memo]]="Browser:chrome os:android","平板報工",IF(record[[#This Row],[Memo]]=0,"委外",record[[#This Row],[Memo]]))</f>
        <v/>
      </c>
      <c r="O8222" t="s">
        <v>58</v>
      </c>
      <c r="P8222" t="s">
        <v>196</v>
      </c>
      <c r="Q8222" t="s">
        <v>58</v>
      </c>
      <c r="R8222" t="str">
        <f>IFERROR(VLOOKUP(record[[#This Row],[PCUSTID]],廠商[],2,FALSE),"")</f>
        <v/>
      </c>
      <c r="S8222" t="str">
        <f>VLOOKUP(record[[#This Row],[employeeID]],員工[],2,FALSE)</f>
        <v>張淑惠</v>
      </c>
    </row>
    <row r="8223" spans="6:19" hidden="1" x14ac:dyDescent="0.25">
      <c r="F8223" t="s">
        <v>904</v>
      </c>
      <c r="G8223" t="s">
        <v>419</v>
      </c>
      <c r="H8223" t="str">
        <f>VLOOKUP(record[[#This Row],[ProcessSN]],表格2_7[],2,FALSE)</f>
        <v>30-4118-018-5XX</v>
      </c>
      <c r="I8223" t="str">
        <f>VLOOKUP(record[[#This Row],[ProcessSN]],表格2_7[],3,FALSE)</f>
        <v>#07QC</v>
      </c>
      <c r="J8223" t="s">
        <v>589</v>
      </c>
      <c r="K8223" s="195">
        <v>45880.424340277779</v>
      </c>
      <c r="L8223">
        <v>47</v>
      </c>
      <c r="M8223">
        <v>0</v>
      </c>
      <c r="N8223" s="98" t="str">
        <f>IF(record[[#This Row],[Memo]]="Browser:chrome os:android","平板報工",IF(record[[#This Row],[Memo]]=0,"委外",record[[#This Row],[Memo]]))</f>
        <v>平板報工</v>
      </c>
      <c r="O8223" t="s">
        <v>643</v>
      </c>
      <c r="P8223" t="s">
        <v>99</v>
      </c>
      <c r="Q8223" t="s">
        <v>644</v>
      </c>
      <c r="R8223" t="str">
        <f>IFERROR(VLOOKUP(record[[#This Row],[PCUSTID]],廠商[],2,FALSE),"")</f>
        <v/>
      </c>
      <c r="S8223" t="str">
        <f>VLOOKUP(record[[#This Row],[employeeID]],員工[],2,FALSE)</f>
        <v>阮氏河</v>
      </c>
    </row>
    <row r="8224" spans="6:19" hidden="1" x14ac:dyDescent="0.25">
      <c r="F8224" t="s">
        <v>904</v>
      </c>
      <c r="G8224" t="s">
        <v>419</v>
      </c>
      <c r="H8224" t="str">
        <f>VLOOKUP(record[[#This Row],[ProcessSN]],表格2_7[],2,FALSE)</f>
        <v>30-4118-018-5XX</v>
      </c>
      <c r="I8224" t="str">
        <f>VLOOKUP(record[[#This Row],[ProcessSN]],表格2_7[],3,FALSE)</f>
        <v>#07QC</v>
      </c>
      <c r="J8224" t="s">
        <v>589</v>
      </c>
      <c r="K8224" s="195">
        <v>45880.424074074072</v>
      </c>
      <c r="L8224">
        <v>0</v>
      </c>
      <c r="M8224">
        <v>115</v>
      </c>
      <c r="N8224" s="98" t="str">
        <f>IF(record[[#This Row],[Memo]]="Browser:chrome os:android","平板報工",IF(record[[#This Row],[Memo]]=0,"委外",record[[#This Row],[Memo]]))</f>
        <v>平板報工</v>
      </c>
      <c r="O8224" t="s">
        <v>643</v>
      </c>
      <c r="P8224" t="s">
        <v>99</v>
      </c>
      <c r="Q8224" t="s">
        <v>644</v>
      </c>
      <c r="R8224" t="str">
        <f>IFERROR(VLOOKUP(record[[#This Row],[PCUSTID]],廠商[],2,FALSE),"")</f>
        <v/>
      </c>
      <c r="S8224" t="str">
        <f>VLOOKUP(record[[#This Row],[employeeID]],員工[],2,FALSE)</f>
        <v>阮氏河</v>
      </c>
    </row>
    <row r="8225" spans="6:19" hidden="1" x14ac:dyDescent="0.25">
      <c r="F8225" t="s">
        <v>897</v>
      </c>
      <c r="G8225" t="s">
        <v>419</v>
      </c>
      <c r="H8225" t="str">
        <f>VLOOKUP(record[[#This Row],[ProcessSN]],表格2_7[],2,FALSE)</f>
        <v>30-4118-018-5XX</v>
      </c>
      <c r="I8225" t="str">
        <f>VLOOKUP(record[[#This Row],[ProcessSN]],表格2_7[],3,FALSE)</f>
        <v>#07QC</v>
      </c>
      <c r="J8225" t="s">
        <v>589</v>
      </c>
      <c r="K8225" s="195">
        <v>45880.423807870371</v>
      </c>
      <c r="L8225">
        <v>145</v>
      </c>
      <c r="M8225">
        <v>0</v>
      </c>
      <c r="N8225" s="98" t="str">
        <f>IF(record[[#This Row],[Memo]]="Browser:chrome os:android","平板報工",IF(record[[#This Row],[Memo]]=0,"委外",record[[#This Row],[Memo]]))</f>
        <v>平板報工</v>
      </c>
      <c r="O8225" t="s">
        <v>643</v>
      </c>
      <c r="P8225" t="s">
        <v>99</v>
      </c>
      <c r="Q8225" t="s">
        <v>644</v>
      </c>
      <c r="R8225" t="str">
        <f>IFERROR(VLOOKUP(record[[#This Row],[PCUSTID]],廠商[],2,FALSE),"")</f>
        <v/>
      </c>
      <c r="S8225" t="str">
        <f>VLOOKUP(record[[#This Row],[employeeID]],員工[],2,FALSE)</f>
        <v>阮氏河</v>
      </c>
    </row>
    <row r="8226" spans="6:19" hidden="1" x14ac:dyDescent="0.25">
      <c r="F8226" t="s">
        <v>904</v>
      </c>
      <c r="G8226" t="s">
        <v>420</v>
      </c>
      <c r="H8226" t="str">
        <f>VLOOKUP(record[[#This Row],[ProcessSN]],表格2_7[],2,FALSE)</f>
        <v>30-4118-018-5XX</v>
      </c>
      <c r="I8226" t="str">
        <f>VLOOKUP(record[[#This Row],[ProcessSN]],表格2_7[],3,FALSE)</f>
        <v>#07STOCK</v>
      </c>
      <c r="J8226" t="s">
        <v>592</v>
      </c>
      <c r="K8226" s="195">
        <v>45880.417407407411</v>
      </c>
      <c r="L8226">
        <v>310</v>
      </c>
      <c r="M8226">
        <v>0</v>
      </c>
      <c r="N8226" s="98" t="str">
        <f>IF(record[[#This Row],[Memo]]="Browser:chrome os:android","平板報工",IF(record[[#This Row],[Memo]]=0,"委外",record[[#This Row],[Memo]]))</f>
        <v/>
      </c>
      <c r="O8226" t="s">
        <v>58</v>
      </c>
      <c r="P8226" t="s">
        <v>196</v>
      </c>
      <c r="Q8226" t="s">
        <v>58</v>
      </c>
      <c r="R8226" t="str">
        <f>IFERROR(VLOOKUP(record[[#This Row],[PCUSTID]],廠商[],2,FALSE),"")</f>
        <v/>
      </c>
      <c r="S8226" t="str">
        <f>VLOOKUP(record[[#This Row],[employeeID]],員工[],2,FALSE)</f>
        <v>張淑惠</v>
      </c>
    </row>
    <row r="8227" spans="6:19" hidden="1" x14ac:dyDescent="0.25">
      <c r="F8227" t="s">
        <v>970</v>
      </c>
      <c r="G8227" t="s">
        <v>396</v>
      </c>
      <c r="H8227" t="str">
        <f>VLOOKUP(record[[#This Row],[ProcessSN]],表格2_7[],2,FALSE)</f>
        <v>30-4118-018-550</v>
      </c>
      <c r="I8227" t="str">
        <f>VLOOKUP(record[[#This Row],[ProcessSN]],表格2_7[],3,FALSE)</f>
        <v>#08PICK</v>
      </c>
      <c r="J8227" t="s">
        <v>582</v>
      </c>
      <c r="K8227" s="195">
        <v>45880.416655092595</v>
      </c>
      <c r="L8227">
        <v>310</v>
      </c>
      <c r="M8227">
        <v>0</v>
      </c>
      <c r="N8227" s="98" t="str">
        <f>IF(record[[#This Row],[Memo]]="Browser:chrome os:android","平板報工",IF(record[[#This Row],[Memo]]=0,"委外",record[[#This Row],[Memo]]))</f>
        <v/>
      </c>
      <c r="O8227" t="s">
        <v>58</v>
      </c>
      <c r="P8227" t="s">
        <v>196</v>
      </c>
      <c r="Q8227" t="s">
        <v>58</v>
      </c>
      <c r="R8227" t="str">
        <f>IFERROR(VLOOKUP(record[[#This Row],[PCUSTID]],廠商[],2,FALSE),"")</f>
        <v/>
      </c>
      <c r="S8227" t="str">
        <f>VLOOKUP(record[[#This Row],[employeeID]],員工[],2,FALSE)</f>
        <v>張淑惠</v>
      </c>
    </row>
    <row r="8228" spans="6:19" hidden="1" x14ac:dyDescent="0.25">
      <c r="F8228" t="s">
        <v>966</v>
      </c>
      <c r="G8228" t="s">
        <v>397</v>
      </c>
      <c r="H8228" t="str">
        <f>VLOOKUP(record[[#This Row],[ProcessSN]],表格2_7[],2,FALSE)</f>
        <v>30-4118-018-550</v>
      </c>
      <c r="I8228" t="str">
        <f>VLOOKUP(record[[#This Row],[ProcessSN]],表格2_7[],3,FALSE)</f>
        <v>#08</v>
      </c>
      <c r="J8228" t="s">
        <v>597</v>
      </c>
      <c r="K8228" s="195">
        <v>45880.416481481479</v>
      </c>
      <c r="L8228">
        <v>37</v>
      </c>
      <c r="M8228">
        <v>0</v>
      </c>
      <c r="N8228" s="98" t="str">
        <f>IF(record[[#This Row],[Memo]]="Browser:chrome os:android","平板報工",IF(record[[#This Row],[Memo]]=0,"委外",record[[#This Row],[Memo]]))</f>
        <v/>
      </c>
      <c r="O8228" t="s">
        <v>58</v>
      </c>
      <c r="P8228" t="s">
        <v>186</v>
      </c>
      <c r="Q8228" t="s">
        <v>287</v>
      </c>
      <c r="R8228" t="str">
        <f>IFERROR(VLOOKUP(record[[#This Row],[PCUSTID]],廠商[],2,FALSE),"")</f>
        <v>泉盛</v>
      </c>
      <c r="S8228" t="str">
        <f>VLOOKUP(record[[#This Row],[employeeID]],員工[],2,FALSE)</f>
        <v>許文姍</v>
      </c>
    </row>
    <row r="8229" spans="6:19" hidden="1" x14ac:dyDescent="0.25">
      <c r="F8229" t="s">
        <v>904</v>
      </c>
      <c r="G8229" t="s">
        <v>419</v>
      </c>
      <c r="H8229" t="str">
        <f>VLOOKUP(record[[#This Row],[ProcessSN]],表格2_7[],2,FALSE)</f>
        <v>30-4118-018-5XX</v>
      </c>
      <c r="I8229" t="str">
        <f>VLOOKUP(record[[#This Row],[ProcessSN]],表格2_7[],3,FALSE)</f>
        <v>#07QC</v>
      </c>
      <c r="J8229" t="s">
        <v>589</v>
      </c>
      <c r="K8229" s="195">
        <v>45880.41542824074</v>
      </c>
      <c r="L8229">
        <v>0</v>
      </c>
      <c r="M8229">
        <v>23</v>
      </c>
      <c r="N8229" s="98" t="str">
        <f>IF(record[[#This Row],[Memo]]="Browser:chrome os:android","平板報工",IF(record[[#This Row],[Memo]]=0,"委外",record[[#This Row],[Memo]]))</f>
        <v/>
      </c>
      <c r="O8229" t="s">
        <v>58</v>
      </c>
      <c r="P8229" t="s">
        <v>141</v>
      </c>
      <c r="Q8229" t="s">
        <v>58</v>
      </c>
      <c r="R8229" t="str">
        <f>IFERROR(VLOOKUP(record[[#This Row],[PCUSTID]],廠商[],2,FALSE),"")</f>
        <v/>
      </c>
      <c r="S8229" t="str">
        <f>VLOOKUP(record[[#This Row],[employeeID]],員工[],2,FALSE)</f>
        <v>蔣梅</v>
      </c>
    </row>
    <row r="8230" spans="6:19" hidden="1" x14ac:dyDescent="0.25">
      <c r="F8230" t="s">
        <v>904</v>
      </c>
      <c r="G8230" t="s">
        <v>419</v>
      </c>
      <c r="H8230" t="str">
        <f>VLOOKUP(record[[#This Row],[ProcessSN]],表格2_7[],2,FALSE)</f>
        <v>30-4118-018-5XX</v>
      </c>
      <c r="I8230" t="str">
        <f>VLOOKUP(record[[#This Row],[ProcessSN]],表格2_7[],3,FALSE)</f>
        <v>#07QC</v>
      </c>
      <c r="J8230" t="s">
        <v>589</v>
      </c>
      <c r="K8230" s="195">
        <v>45880.415266203701</v>
      </c>
      <c r="L8230">
        <v>310</v>
      </c>
      <c r="M8230">
        <v>0</v>
      </c>
      <c r="N8230" s="98" t="str">
        <f>IF(record[[#This Row],[Memo]]="Browser:chrome os:android","平板報工",IF(record[[#This Row],[Memo]]=0,"委外",record[[#This Row],[Memo]]))</f>
        <v/>
      </c>
      <c r="O8230" t="s">
        <v>58</v>
      </c>
      <c r="P8230" t="s">
        <v>141</v>
      </c>
      <c r="Q8230" t="s">
        <v>58</v>
      </c>
      <c r="R8230" t="str">
        <f>IFERROR(VLOOKUP(record[[#This Row],[PCUSTID]],廠商[],2,FALSE),"")</f>
        <v/>
      </c>
      <c r="S8230" t="str">
        <f>VLOOKUP(record[[#This Row],[employeeID]],員工[],2,FALSE)</f>
        <v>蔣梅</v>
      </c>
    </row>
    <row r="8231" spans="6:19" hidden="1" x14ac:dyDescent="0.25">
      <c r="F8231" t="s">
        <v>924</v>
      </c>
      <c r="G8231" t="s">
        <v>403</v>
      </c>
      <c r="H8231" t="str">
        <f>VLOOKUP(record[[#This Row],[ProcessSN]],表格2_7[],2,FALSE)</f>
        <v>30-4118-018-550</v>
      </c>
      <c r="I8231" t="str">
        <f>VLOOKUP(record[[#This Row],[ProcessSN]],表格2_7[],3,FALSE)</f>
        <v>#100SHIP</v>
      </c>
      <c r="J8231" t="s">
        <v>600</v>
      </c>
      <c r="K8231" s="195">
        <v>45880.379583333335</v>
      </c>
      <c r="L8231">
        <v>20</v>
      </c>
      <c r="M8231">
        <v>0</v>
      </c>
      <c r="N8231" s="98" t="str">
        <f>IF(record[[#This Row],[Memo]]="Browser:chrome os:android","平板報工",IF(record[[#This Row],[Memo]]=0,"委外",record[[#This Row],[Memo]]))</f>
        <v/>
      </c>
      <c r="O8231" t="s">
        <v>58</v>
      </c>
      <c r="P8231" t="s">
        <v>886</v>
      </c>
      <c r="Q8231" t="s">
        <v>58</v>
      </c>
      <c r="R8231" t="str">
        <f>IFERROR(VLOOKUP(record[[#This Row],[PCUSTID]],廠商[],2,FALSE),"")</f>
        <v/>
      </c>
      <c r="S8231" t="str">
        <f>VLOOKUP(record[[#This Row],[employeeID]],員工[],2,FALSE)</f>
        <v>謝蓁薰</v>
      </c>
    </row>
    <row r="8232" spans="6:19" hidden="1" x14ac:dyDescent="0.25">
      <c r="F8232" t="s">
        <v>897</v>
      </c>
      <c r="G8232" t="s">
        <v>417</v>
      </c>
      <c r="H8232" t="str">
        <f>VLOOKUP(record[[#This Row],[ProcessSN]],表格2_7[],2,FALSE)</f>
        <v>30-4118-018-5XX</v>
      </c>
      <c r="I8232" t="str">
        <f>VLOOKUP(record[[#This Row],[ProcessSN]],表格2_7[],3,FALSE)</f>
        <v>#06</v>
      </c>
      <c r="J8232" t="s">
        <v>593</v>
      </c>
      <c r="K8232" s="195">
        <v>45878.310393518521</v>
      </c>
      <c r="L8232">
        <v>100</v>
      </c>
      <c r="M8232">
        <v>0</v>
      </c>
      <c r="N8232" s="98" t="str">
        <f>IF(record[[#This Row],[Memo]]="Browser:chrome os:android","平板報工",IF(record[[#This Row],[Memo]]=0,"委外",record[[#This Row],[Memo]]))</f>
        <v/>
      </c>
      <c r="O8232" t="s">
        <v>58</v>
      </c>
      <c r="P8232" t="s">
        <v>135</v>
      </c>
      <c r="Q8232" t="s">
        <v>58</v>
      </c>
      <c r="R8232" t="str">
        <f>IFERROR(VLOOKUP(record[[#This Row],[PCUSTID]],廠商[],2,FALSE),"")</f>
        <v/>
      </c>
      <c r="S8232" t="str">
        <f>VLOOKUP(record[[#This Row],[employeeID]],員工[],2,FALSE)</f>
        <v>阮士文</v>
      </c>
    </row>
    <row r="8233" spans="6:19" hidden="1" x14ac:dyDescent="0.25">
      <c r="F8233" t="s">
        <v>897</v>
      </c>
      <c r="G8233" t="s">
        <v>418</v>
      </c>
      <c r="H8233" t="str">
        <f>VLOOKUP(record[[#This Row],[ProcessSN]],表格2_7[],2,FALSE)</f>
        <v>30-4118-018-5XX</v>
      </c>
      <c r="I8233" t="str">
        <f>VLOOKUP(record[[#This Row],[ProcessSN]],表格2_7[],3,FALSE)</f>
        <v>#07</v>
      </c>
      <c r="J8233" t="s">
        <v>588</v>
      </c>
      <c r="K8233" s="195">
        <v>45878.30841435185</v>
      </c>
      <c r="L8233">
        <v>130</v>
      </c>
      <c r="M8233">
        <v>0</v>
      </c>
      <c r="N8233" s="98" t="str">
        <f>IF(record[[#This Row],[Memo]]="Browser:chrome os:android","平板報工",IF(record[[#This Row],[Memo]]=0,"委外",record[[#This Row],[Memo]]))</f>
        <v/>
      </c>
      <c r="O8233" t="s">
        <v>58</v>
      </c>
      <c r="P8233" t="s">
        <v>135</v>
      </c>
      <c r="Q8233" t="s">
        <v>58</v>
      </c>
      <c r="R8233" t="str">
        <f>IFERROR(VLOOKUP(record[[#This Row],[PCUSTID]],廠商[],2,FALSE),"")</f>
        <v/>
      </c>
      <c r="S8233" t="str">
        <f>VLOOKUP(record[[#This Row],[employeeID]],員工[],2,FALSE)</f>
        <v>阮士文</v>
      </c>
    </row>
    <row r="8234" spans="6:19" hidden="1" x14ac:dyDescent="0.25">
      <c r="F8234" t="s">
        <v>897</v>
      </c>
      <c r="G8234" t="s">
        <v>418</v>
      </c>
      <c r="H8234" t="str">
        <f>VLOOKUP(record[[#This Row],[ProcessSN]],表格2_7[],2,FALSE)</f>
        <v>30-4118-018-5XX</v>
      </c>
      <c r="I8234" t="str">
        <f>VLOOKUP(record[[#This Row],[ProcessSN]],表格2_7[],3,FALSE)</f>
        <v>#07</v>
      </c>
      <c r="J8234" t="s">
        <v>588</v>
      </c>
      <c r="K8234" s="195">
        <v>45878.131122685183</v>
      </c>
      <c r="L8234">
        <v>15</v>
      </c>
      <c r="M8234">
        <v>0</v>
      </c>
      <c r="N8234" s="98" t="str">
        <f>IF(record[[#This Row],[Memo]]="Browser:chrome os:android","平板報工",IF(record[[#This Row],[Memo]]=0,"委外",record[[#This Row],[Memo]]))</f>
        <v/>
      </c>
      <c r="O8234" t="s">
        <v>58</v>
      </c>
      <c r="P8234" t="s">
        <v>133</v>
      </c>
      <c r="Q8234" t="s">
        <v>58</v>
      </c>
      <c r="R8234" t="str">
        <f>IFERROR(VLOOKUP(record[[#This Row],[PCUSTID]],廠商[],2,FALSE),"")</f>
        <v/>
      </c>
      <c r="S8234" t="str">
        <f>VLOOKUP(record[[#This Row],[employeeID]],員工[],2,FALSE)</f>
        <v>黎長維</v>
      </c>
    </row>
    <row r="8235" spans="6:19" hidden="1" x14ac:dyDescent="0.25">
      <c r="F8235" t="s">
        <v>904</v>
      </c>
      <c r="G8235" t="s">
        <v>418</v>
      </c>
      <c r="H8235" t="str">
        <f>VLOOKUP(record[[#This Row],[ProcessSN]],表格2_7[],2,FALSE)</f>
        <v>30-4118-018-5XX</v>
      </c>
      <c r="I8235" t="str">
        <f>VLOOKUP(record[[#This Row],[ProcessSN]],表格2_7[],3,FALSE)</f>
        <v>#07</v>
      </c>
      <c r="J8235" t="s">
        <v>588</v>
      </c>
      <c r="K8235" s="195">
        <v>45878.130960648145</v>
      </c>
      <c r="L8235">
        <v>85</v>
      </c>
      <c r="M8235">
        <v>0</v>
      </c>
      <c r="N8235" s="98" t="str">
        <f>IF(record[[#This Row],[Memo]]="Browser:chrome os:android","平板報工",IF(record[[#This Row],[Memo]]=0,"委外",record[[#This Row],[Memo]]))</f>
        <v/>
      </c>
      <c r="O8235" t="s">
        <v>58</v>
      </c>
      <c r="P8235" t="s">
        <v>133</v>
      </c>
      <c r="Q8235" t="s">
        <v>58</v>
      </c>
      <c r="R8235" t="str">
        <f>IFERROR(VLOOKUP(record[[#This Row],[PCUSTID]],廠商[],2,FALSE),"")</f>
        <v/>
      </c>
      <c r="S8235" t="str">
        <f>VLOOKUP(record[[#This Row],[employeeID]],員工[],2,FALSE)</f>
        <v>黎長維</v>
      </c>
    </row>
    <row r="8236" spans="6:19" hidden="1" x14ac:dyDescent="0.25">
      <c r="F8236" t="s">
        <v>897</v>
      </c>
      <c r="G8236" t="s">
        <v>417</v>
      </c>
      <c r="H8236" t="str">
        <f>VLOOKUP(record[[#This Row],[ProcessSN]],表格2_7[],2,FALSE)</f>
        <v>30-4118-018-5XX</v>
      </c>
      <c r="I8236" t="str">
        <f>VLOOKUP(record[[#This Row],[ProcessSN]],表格2_7[],3,FALSE)</f>
        <v>#06</v>
      </c>
      <c r="J8236" t="s">
        <v>593</v>
      </c>
      <c r="K8236" s="195">
        <v>45877.989664351851</v>
      </c>
      <c r="L8236">
        <v>121</v>
      </c>
      <c r="M8236">
        <v>0</v>
      </c>
      <c r="N8236" s="98" t="str">
        <f>IF(record[[#This Row],[Memo]]="Browser:chrome os:android","平板報工",IF(record[[#This Row],[Memo]]=0,"委外",record[[#This Row],[Memo]]))</f>
        <v/>
      </c>
      <c r="O8236" t="s">
        <v>58</v>
      </c>
      <c r="P8236" t="s">
        <v>841</v>
      </c>
      <c r="Q8236" t="s">
        <v>58</v>
      </c>
      <c r="R8236" t="str">
        <f>IFERROR(VLOOKUP(record[[#This Row],[PCUSTID]],廠商[],2,FALSE),"")</f>
        <v/>
      </c>
      <c r="S8236" t="str">
        <f>VLOOKUP(record[[#This Row],[employeeID]],員工[],2,FALSE)</f>
        <v>范氏香</v>
      </c>
    </row>
    <row r="8237" spans="6:19" hidden="1" x14ac:dyDescent="0.25">
      <c r="F8237" t="s">
        <v>904</v>
      </c>
      <c r="G8237" t="s">
        <v>418</v>
      </c>
      <c r="H8237" t="str">
        <f>VLOOKUP(record[[#This Row],[ProcessSN]],表格2_7[],2,FALSE)</f>
        <v>30-4118-018-5XX</v>
      </c>
      <c r="I8237" t="str">
        <f>VLOOKUP(record[[#This Row],[ProcessSN]],表格2_7[],3,FALSE)</f>
        <v>#07</v>
      </c>
      <c r="J8237" t="s">
        <v>588</v>
      </c>
      <c r="K8237" s="195">
        <v>45877.980381944442</v>
      </c>
      <c r="L8237">
        <v>222</v>
      </c>
      <c r="M8237">
        <v>0</v>
      </c>
      <c r="N8237" s="98" t="str">
        <f>IF(record[[#This Row],[Memo]]="Browser:chrome os:android","平板報工",IF(record[[#This Row],[Memo]]=0,"委外",record[[#This Row],[Memo]]))</f>
        <v/>
      </c>
      <c r="O8237" t="s">
        <v>58</v>
      </c>
      <c r="P8237" t="s">
        <v>133</v>
      </c>
      <c r="Q8237" t="s">
        <v>58</v>
      </c>
      <c r="R8237" t="str">
        <f>IFERROR(VLOOKUP(record[[#This Row],[PCUSTID]],廠商[],2,FALSE),"")</f>
        <v/>
      </c>
      <c r="S8237" t="str">
        <f>VLOOKUP(record[[#This Row],[employeeID]],員工[],2,FALSE)</f>
        <v>黎長維</v>
      </c>
    </row>
    <row r="8238" spans="6:19" hidden="1" x14ac:dyDescent="0.25">
      <c r="F8238" t="s">
        <v>904</v>
      </c>
      <c r="G8238" t="s">
        <v>416</v>
      </c>
      <c r="H8238" t="str">
        <f>VLOOKUP(record[[#This Row],[ProcessSN]],表格2_7[],2,FALSE)</f>
        <v>30-4118-018-5XX</v>
      </c>
      <c r="I8238" t="str">
        <f>VLOOKUP(record[[#This Row],[ProcessSN]],表格2_7[],3,FALSE)</f>
        <v>#05</v>
      </c>
      <c r="J8238" t="s">
        <v>588</v>
      </c>
      <c r="K8238" s="195">
        <v>45877.977453703701</v>
      </c>
      <c r="L8238">
        <v>170</v>
      </c>
      <c r="M8238">
        <v>0</v>
      </c>
      <c r="N8238" s="98" t="str">
        <f>IF(record[[#This Row],[Memo]]="Browser:chrome os:android","平板報工",IF(record[[#This Row],[Memo]]=0,"委外",record[[#This Row],[Memo]]))</f>
        <v/>
      </c>
      <c r="O8238" t="s">
        <v>58</v>
      </c>
      <c r="P8238" t="s">
        <v>806</v>
      </c>
      <c r="Q8238" t="s">
        <v>58</v>
      </c>
      <c r="R8238" t="str">
        <f>IFERROR(VLOOKUP(record[[#This Row],[PCUSTID]],廠商[],2,FALSE),"")</f>
        <v/>
      </c>
      <c r="S8238" t="str">
        <f>VLOOKUP(record[[#This Row],[employeeID]],員工[],2,FALSE)</f>
        <v>方思緯</v>
      </c>
    </row>
    <row r="8239" spans="6:19" hidden="1" x14ac:dyDescent="0.25">
      <c r="F8239" t="s">
        <v>897</v>
      </c>
      <c r="G8239" t="s">
        <v>416</v>
      </c>
      <c r="H8239" t="str">
        <f>VLOOKUP(record[[#This Row],[ProcessSN]],表格2_7[],2,FALSE)</f>
        <v>30-4118-018-5XX</v>
      </c>
      <c r="I8239" t="str">
        <f>VLOOKUP(record[[#This Row],[ProcessSN]],表格2_7[],3,FALSE)</f>
        <v>#05</v>
      </c>
      <c r="J8239" t="s">
        <v>588</v>
      </c>
      <c r="K8239" s="195">
        <v>45877.873460648145</v>
      </c>
      <c r="L8239">
        <v>90</v>
      </c>
      <c r="M8239">
        <v>0</v>
      </c>
      <c r="N8239" s="98" t="str">
        <f>IF(record[[#This Row],[Memo]]="Browser:chrome os:android","平板報工",IF(record[[#This Row],[Memo]]=0,"委外",record[[#This Row],[Memo]]))</f>
        <v/>
      </c>
      <c r="O8239" t="s">
        <v>58</v>
      </c>
      <c r="P8239" t="s">
        <v>806</v>
      </c>
      <c r="Q8239" t="s">
        <v>58</v>
      </c>
      <c r="R8239" t="str">
        <f>IFERROR(VLOOKUP(record[[#This Row],[PCUSTID]],廠商[],2,FALSE),"")</f>
        <v/>
      </c>
      <c r="S8239" t="str">
        <f>VLOOKUP(record[[#This Row],[employeeID]],員工[],2,FALSE)</f>
        <v>方思緯</v>
      </c>
    </row>
    <row r="8240" spans="6:19" hidden="1" x14ac:dyDescent="0.25">
      <c r="F8240" t="s">
        <v>897</v>
      </c>
      <c r="G8240" t="s">
        <v>417</v>
      </c>
      <c r="H8240" t="str">
        <f>VLOOKUP(record[[#This Row],[ProcessSN]],表格2_7[],2,FALSE)</f>
        <v>30-4118-018-5XX</v>
      </c>
      <c r="I8240" t="str">
        <f>VLOOKUP(record[[#This Row],[ProcessSN]],表格2_7[],3,FALSE)</f>
        <v>#06</v>
      </c>
      <c r="J8240" t="s">
        <v>593</v>
      </c>
      <c r="K8240" s="195">
        <v>45877.699699074074</v>
      </c>
      <c r="L8240">
        <v>0</v>
      </c>
      <c r="M8240">
        <v>1</v>
      </c>
      <c r="N8240" s="98" t="str">
        <f>IF(record[[#This Row],[Memo]]="Browser:chrome os:android","平板報工",IF(record[[#This Row],[Memo]]=0,"委外",record[[#This Row],[Memo]]))</f>
        <v/>
      </c>
      <c r="O8240" t="s">
        <v>58</v>
      </c>
      <c r="P8240" t="s">
        <v>101</v>
      </c>
      <c r="Q8240" t="s">
        <v>58</v>
      </c>
      <c r="R8240" t="str">
        <f>IFERROR(VLOOKUP(record[[#This Row],[PCUSTID]],廠商[],2,FALSE),"")</f>
        <v/>
      </c>
      <c r="S8240" t="str">
        <f>VLOOKUP(record[[#This Row],[employeeID]],員工[],2,FALSE)</f>
        <v>陳氏絨</v>
      </c>
    </row>
    <row r="8241" spans="6:19" hidden="1" x14ac:dyDescent="0.25">
      <c r="F8241" t="s">
        <v>897</v>
      </c>
      <c r="G8241" t="s">
        <v>417</v>
      </c>
      <c r="H8241" t="str">
        <f>VLOOKUP(record[[#This Row],[ProcessSN]],表格2_7[],2,FALSE)</f>
        <v>30-4118-018-5XX</v>
      </c>
      <c r="I8241" t="str">
        <f>VLOOKUP(record[[#This Row],[ProcessSN]],表格2_7[],3,FALSE)</f>
        <v>#06</v>
      </c>
      <c r="J8241" t="s">
        <v>593</v>
      </c>
      <c r="K8241" s="195">
        <v>45877.658182870371</v>
      </c>
      <c r="L8241">
        <v>96</v>
      </c>
      <c r="M8241">
        <v>0</v>
      </c>
      <c r="N8241" s="98" t="str">
        <f>IF(record[[#This Row],[Memo]]="Browser:chrome os:android","平板報工",IF(record[[#This Row],[Memo]]=0,"委外",record[[#This Row],[Memo]]))</f>
        <v/>
      </c>
      <c r="O8241" t="s">
        <v>58</v>
      </c>
      <c r="P8241" t="s">
        <v>101</v>
      </c>
      <c r="Q8241" t="s">
        <v>58</v>
      </c>
      <c r="R8241" t="str">
        <f>IFERROR(VLOOKUP(record[[#This Row],[PCUSTID]],廠商[],2,FALSE),"")</f>
        <v/>
      </c>
      <c r="S8241" t="str">
        <f>VLOOKUP(record[[#This Row],[employeeID]],員工[],2,FALSE)</f>
        <v>陳氏絨</v>
      </c>
    </row>
    <row r="8242" spans="6:19" hidden="1" x14ac:dyDescent="0.25">
      <c r="F8242" t="s">
        <v>904</v>
      </c>
      <c r="G8242" t="s">
        <v>417</v>
      </c>
      <c r="H8242" t="str">
        <f>VLOOKUP(record[[#This Row],[ProcessSN]],表格2_7[],2,FALSE)</f>
        <v>30-4118-018-5XX</v>
      </c>
      <c r="I8242" t="str">
        <f>VLOOKUP(record[[#This Row],[ProcessSN]],表格2_7[],3,FALSE)</f>
        <v>#06</v>
      </c>
      <c r="J8242" t="s">
        <v>593</v>
      </c>
      <c r="K8242" s="195">
        <v>45877.657939814817</v>
      </c>
      <c r="L8242">
        <v>24</v>
      </c>
      <c r="M8242">
        <v>0</v>
      </c>
      <c r="N8242" s="98" t="str">
        <f>IF(record[[#This Row],[Memo]]="Browser:chrome os:android","平板報工",IF(record[[#This Row],[Memo]]=0,"委外",record[[#This Row],[Memo]]))</f>
        <v/>
      </c>
      <c r="O8242" t="s">
        <v>58</v>
      </c>
      <c r="P8242" t="s">
        <v>101</v>
      </c>
      <c r="Q8242" t="s">
        <v>58</v>
      </c>
      <c r="R8242" t="str">
        <f>IFERROR(VLOOKUP(record[[#This Row],[PCUSTID]],廠商[],2,FALSE),"")</f>
        <v/>
      </c>
      <c r="S8242" t="str">
        <f>VLOOKUP(record[[#This Row],[employeeID]],員工[],2,FALSE)</f>
        <v>陳氏絨</v>
      </c>
    </row>
    <row r="8243" spans="6:19" hidden="1" x14ac:dyDescent="0.25">
      <c r="F8243" t="s">
        <v>904</v>
      </c>
      <c r="G8243" t="s">
        <v>418</v>
      </c>
      <c r="H8243" t="str">
        <f>VLOOKUP(record[[#This Row],[ProcessSN]],表格2_7[],2,FALSE)</f>
        <v>30-4118-018-5XX</v>
      </c>
      <c r="I8243" t="str">
        <f>VLOOKUP(record[[#This Row],[ProcessSN]],表格2_7[],3,FALSE)</f>
        <v>#07</v>
      </c>
      <c r="J8243" t="s">
        <v>588</v>
      </c>
      <c r="K8243" s="195">
        <v>45877.647245370368</v>
      </c>
      <c r="L8243">
        <v>188</v>
      </c>
      <c r="M8243">
        <v>1</v>
      </c>
      <c r="N8243" s="98" t="str">
        <f>IF(record[[#This Row],[Memo]]="Browser:chrome os:android","平板報工",IF(record[[#This Row],[Memo]]=0,"委外",record[[#This Row],[Memo]]))</f>
        <v/>
      </c>
      <c r="O8243" t="s">
        <v>58</v>
      </c>
      <c r="P8243" t="s">
        <v>101</v>
      </c>
      <c r="Q8243" t="s">
        <v>58</v>
      </c>
      <c r="R8243" t="str">
        <f>IFERROR(VLOOKUP(record[[#This Row],[PCUSTID]],廠商[],2,FALSE),"")</f>
        <v/>
      </c>
      <c r="S8243" t="str">
        <f>VLOOKUP(record[[#This Row],[employeeID]],員工[],2,FALSE)</f>
        <v>陳氏絨</v>
      </c>
    </row>
    <row r="8244" spans="6:19" hidden="1" x14ac:dyDescent="0.25">
      <c r="F8244" t="s">
        <v>897</v>
      </c>
      <c r="G8244" t="s">
        <v>416</v>
      </c>
      <c r="H8244" t="str">
        <f>VLOOKUP(record[[#This Row],[ProcessSN]],表格2_7[],2,FALSE)</f>
        <v>30-4118-018-5XX</v>
      </c>
      <c r="I8244" t="str">
        <f>VLOOKUP(record[[#This Row],[ProcessSN]],表格2_7[],3,FALSE)</f>
        <v>#05</v>
      </c>
      <c r="J8244" t="s">
        <v>588</v>
      </c>
      <c r="K8244" s="195">
        <v>45877.645925925928</v>
      </c>
      <c r="L8244">
        <v>260</v>
      </c>
      <c r="M8244">
        <v>0</v>
      </c>
      <c r="N8244" s="98" t="str">
        <f>IF(record[[#This Row],[Memo]]="Browser:chrome os:android","平板報工",IF(record[[#This Row],[Memo]]=0,"委外",record[[#This Row],[Memo]]))</f>
        <v/>
      </c>
      <c r="O8244" t="s">
        <v>58</v>
      </c>
      <c r="P8244" t="s">
        <v>101</v>
      </c>
      <c r="Q8244" t="s">
        <v>58</v>
      </c>
      <c r="R8244" t="str">
        <f>IFERROR(VLOOKUP(record[[#This Row],[PCUSTID]],廠商[],2,FALSE),"")</f>
        <v/>
      </c>
      <c r="S8244" t="str">
        <f>VLOOKUP(record[[#This Row],[employeeID]],員工[],2,FALSE)</f>
        <v>陳氏絨</v>
      </c>
    </row>
    <row r="8245" spans="6:19" hidden="1" x14ac:dyDescent="0.25">
      <c r="F8245" t="s">
        <v>924</v>
      </c>
      <c r="G8245" t="s">
        <v>403</v>
      </c>
      <c r="H8245" t="str">
        <f>VLOOKUP(record[[#This Row],[ProcessSN]],表格2_7[],2,FALSE)</f>
        <v>30-4118-018-550</v>
      </c>
      <c r="I8245" t="str">
        <f>VLOOKUP(record[[#This Row],[ProcessSN]],表格2_7[],3,FALSE)</f>
        <v>#100SHIP</v>
      </c>
      <c r="J8245" t="s">
        <v>600</v>
      </c>
      <c r="K8245" s="195">
        <v>45877.457442129627</v>
      </c>
      <c r="L8245">
        <v>77</v>
      </c>
      <c r="M8245">
        <v>0</v>
      </c>
      <c r="N8245" s="98" t="str">
        <f>IF(record[[#This Row],[Memo]]="Browser:chrome os:android","平板報工",IF(record[[#This Row],[Memo]]=0,"委外",record[[#This Row],[Memo]]))</f>
        <v/>
      </c>
      <c r="O8245" t="s">
        <v>58</v>
      </c>
      <c r="P8245" t="s">
        <v>886</v>
      </c>
      <c r="Q8245" t="s">
        <v>58</v>
      </c>
      <c r="R8245" t="str">
        <f>IFERROR(VLOOKUP(record[[#This Row],[PCUSTID]],廠商[],2,FALSE),"")</f>
        <v/>
      </c>
      <c r="S8245" t="str">
        <f>VLOOKUP(record[[#This Row],[employeeID]],員工[],2,FALSE)</f>
        <v>謝蓁薰</v>
      </c>
    </row>
    <row r="8246" spans="6:19" hidden="1" x14ac:dyDescent="0.25">
      <c r="F8246" t="s">
        <v>927</v>
      </c>
      <c r="G8246" t="s">
        <v>403</v>
      </c>
      <c r="H8246" t="str">
        <f>VLOOKUP(record[[#This Row],[ProcessSN]],表格2_7[],2,FALSE)</f>
        <v>30-4118-018-550</v>
      </c>
      <c r="I8246" t="str">
        <f>VLOOKUP(record[[#This Row],[ProcessSN]],表格2_7[],3,FALSE)</f>
        <v>#100SHIP</v>
      </c>
      <c r="J8246" t="s">
        <v>600</v>
      </c>
      <c r="K8246" s="195">
        <v>45877.457280092596</v>
      </c>
      <c r="L8246">
        <v>149</v>
      </c>
      <c r="M8246">
        <v>0</v>
      </c>
      <c r="N8246" s="98" t="str">
        <f>IF(record[[#This Row],[Memo]]="Browser:chrome os:android","平板報工",IF(record[[#This Row],[Memo]]=0,"委外",record[[#This Row],[Memo]]))</f>
        <v/>
      </c>
      <c r="O8246" t="s">
        <v>58</v>
      </c>
      <c r="P8246" t="s">
        <v>886</v>
      </c>
      <c r="Q8246" t="s">
        <v>58</v>
      </c>
      <c r="R8246" t="str">
        <f>IFERROR(VLOOKUP(record[[#This Row],[PCUSTID]],廠商[],2,FALSE),"")</f>
        <v/>
      </c>
      <c r="S8246" t="str">
        <f>VLOOKUP(record[[#This Row],[employeeID]],員工[],2,FALSE)</f>
        <v>謝蓁薰</v>
      </c>
    </row>
    <row r="8247" spans="6:19" hidden="1" x14ac:dyDescent="0.25">
      <c r="F8247" t="s">
        <v>904</v>
      </c>
      <c r="G8247" t="s">
        <v>417</v>
      </c>
      <c r="H8247" t="str">
        <f>VLOOKUP(record[[#This Row],[ProcessSN]],表格2_7[],2,FALSE)</f>
        <v>30-4118-018-5XX</v>
      </c>
      <c r="I8247" t="str">
        <f>VLOOKUP(record[[#This Row],[ProcessSN]],表格2_7[],3,FALSE)</f>
        <v>#06</v>
      </c>
      <c r="J8247" t="s">
        <v>593</v>
      </c>
      <c r="K8247" s="195">
        <v>45877.307581018518</v>
      </c>
      <c r="L8247">
        <v>100</v>
      </c>
      <c r="M8247">
        <v>0</v>
      </c>
      <c r="N8247" s="98" t="str">
        <f>IF(record[[#This Row],[Memo]]="Browser:chrome os:android","平板報工",IF(record[[#This Row],[Memo]]=0,"委外",record[[#This Row],[Memo]]))</f>
        <v/>
      </c>
      <c r="O8247" t="s">
        <v>58</v>
      </c>
      <c r="P8247" t="s">
        <v>135</v>
      </c>
      <c r="Q8247" t="s">
        <v>58</v>
      </c>
      <c r="R8247" t="str">
        <f>IFERROR(VLOOKUP(record[[#This Row],[PCUSTID]],廠商[],2,FALSE),"")</f>
        <v/>
      </c>
      <c r="S8247" t="str">
        <f>VLOOKUP(record[[#This Row],[employeeID]],員工[],2,FALSE)</f>
        <v>阮士文</v>
      </c>
    </row>
    <row r="8248" spans="6:19" hidden="1" x14ac:dyDescent="0.25">
      <c r="F8248" t="s">
        <v>897</v>
      </c>
      <c r="G8248" t="s">
        <v>416</v>
      </c>
      <c r="H8248" t="str">
        <f>VLOOKUP(record[[#This Row],[ProcessSN]],表格2_7[],2,FALSE)</f>
        <v>30-4118-018-5XX</v>
      </c>
      <c r="I8248" t="str">
        <f>VLOOKUP(record[[#This Row],[ProcessSN]],表格2_7[],3,FALSE)</f>
        <v>#05</v>
      </c>
      <c r="J8248" t="s">
        <v>588</v>
      </c>
      <c r="K8248" s="195">
        <v>45876.959849537037</v>
      </c>
      <c r="L8248">
        <v>235</v>
      </c>
      <c r="M8248">
        <v>0</v>
      </c>
      <c r="N8248" s="98" t="str">
        <f>IF(record[[#This Row],[Memo]]="Browser:chrome os:android","平板報工",IF(record[[#This Row],[Memo]]=0,"委外",record[[#This Row],[Memo]]))</f>
        <v/>
      </c>
      <c r="O8248" t="s">
        <v>58</v>
      </c>
      <c r="P8248" t="s">
        <v>806</v>
      </c>
      <c r="Q8248" t="s">
        <v>58</v>
      </c>
      <c r="R8248" t="str">
        <f>IFERROR(VLOOKUP(record[[#This Row],[PCUSTID]],廠商[],2,FALSE),"")</f>
        <v/>
      </c>
      <c r="S8248" t="str">
        <f>VLOOKUP(record[[#This Row],[employeeID]],員工[],2,FALSE)</f>
        <v>方思緯</v>
      </c>
    </row>
    <row r="8249" spans="6:19" hidden="1" x14ac:dyDescent="0.25">
      <c r="F8249" t="s">
        <v>904</v>
      </c>
      <c r="G8249" t="s">
        <v>417</v>
      </c>
      <c r="H8249" t="str">
        <f>VLOOKUP(record[[#This Row],[ProcessSN]],表格2_7[],2,FALSE)</f>
        <v>30-4118-018-5XX</v>
      </c>
      <c r="I8249" t="str">
        <f>VLOOKUP(record[[#This Row],[ProcessSN]],表格2_7[],3,FALSE)</f>
        <v>#06</v>
      </c>
      <c r="J8249" t="s">
        <v>593</v>
      </c>
      <c r="K8249" s="195">
        <v>45876.933078703703</v>
      </c>
      <c r="L8249">
        <v>121</v>
      </c>
      <c r="M8249">
        <v>0</v>
      </c>
      <c r="N8249" s="98" t="str">
        <f>IF(record[[#This Row],[Memo]]="Browser:chrome os:android","平板報工",IF(record[[#This Row],[Memo]]=0,"委外",record[[#This Row],[Memo]]))</f>
        <v/>
      </c>
      <c r="O8249" t="s">
        <v>58</v>
      </c>
      <c r="P8249" t="s">
        <v>841</v>
      </c>
      <c r="Q8249" t="s">
        <v>58</v>
      </c>
      <c r="R8249" t="str">
        <f>IFERROR(VLOOKUP(record[[#This Row],[PCUSTID]],廠商[],2,FALSE),"")</f>
        <v/>
      </c>
      <c r="S8249" t="str">
        <f>VLOOKUP(record[[#This Row],[employeeID]],員工[],2,FALSE)</f>
        <v>范氏香</v>
      </c>
    </row>
    <row r="8250" spans="6:19" hidden="1" x14ac:dyDescent="0.25">
      <c r="F8250" t="s">
        <v>932</v>
      </c>
      <c r="G8250" t="s">
        <v>427</v>
      </c>
      <c r="H8250" t="str">
        <f>VLOOKUP(record[[#This Row],[ProcessSN]],表格2_7[],2,FALSE)</f>
        <v>30-4118-018-600</v>
      </c>
      <c r="I8250" t="str">
        <f>VLOOKUP(record[[#This Row],[ProcessSN]],表格2_7[],3,FALSE)</f>
        <v>#100STOCK</v>
      </c>
      <c r="J8250" t="s">
        <v>592</v>
      </c>
      <c r="K8250" s="195">
        <v>45876.690706018519</v>
      </c>
      <c r="L8250">
        <v>239</v>
      </c>
      <c r="M8250">
        <v>0</v>
      </c>
      <c r="N8250" s="98" t="str">
        <f>IF(record[[#This Row],[Memo]]="Browser:chrome os:android","平板報工",IF(record[[#This Row],[Memo]]=0,"委外",record[[#This Row],[Memo]]))</f>
        <v/>
      </c>
      <c r="O8250" t="s">
        <v>58</v>
      </c>
      <c r="P8250" t="s">
        <v>886</v>
      </c>
      <c r="Q8250" t="s">
        <v>58</v>
      </c>
      <c r="R8250" t="str">
        <f>IFERROR(VLOOKUP(record[[#This Row],[PCUSTID]],廠商[],2,FALSE),"")</f>
        <v/>
      </c>
      <c r="S8250" t="str">
        <f>VLOOKUP(record[[#This Row],[employeeID]],員工[],2,FALSE)</f>
        <v>謝蓁薰</v>
      </c>
    </row>
    <row r="8251" spans="6:19" hidden="1" x14ac:dyDescent="0.25">
      <c r="F8251" t="s">
        <v>948</v>
      </c>
      <c r="G8251" t="s">
        <v>358</v>
      </c>
      <c r="H8251" t="str">
        <f>VLOOKUP(record[[#This Row],[ProcessSN]],表格2_7[],2,FALSE)</f>
        <v>30-4118-018-450</v>
      </c>
      <c r="I8251" t="str">
        <f>VLOOKUP(record[[#This Row],[ProcessSN]],表格2_7[],3,FALSE)</f>
        <v>#08IQC</v>
      </c>
      <c r="J8251" t="s">
        <v>583</v>
      </c>
      <c r="K8251" s="195">
        <v>45876.690497685187</v>
      </c>
      <c r="L8251">
        <v>293</v>
      </c>
      <c r="M8251">
        <v>0</v>
      </c>
      <c r="N8251" s="98" t="str">
        <f>IF(record[[#This Row],[Memo]]="Browser:chrome os:android","平板報工",IF(record[[#This Row],[Memo]]=0,"委外",record[[#This Row],[Memo]]))</f>
        <v/>
      </c>
      <c r="O8251" t="s">
        <v>58</v>
      </c>
      <c r="P8251" t="s">
        <v>109</v>
      </c>
      <c r="Q8251" t="s">
        <v>58</v>
      </c>
      <c r="R8251" t="str">
        <f>IFERROR(VLOOKUP(record[[#This Row],[PCUSTID]],廠商[],2,FALSE),"")</f>
        <v/>
      </c>
      <c r="S8251" t="str">
        <f>VLOOKUP(record[[#This Row],[employeeID]],員工[],2,FALSE)</f>
        <v>裴氏璧鳳</v>
      </c>
    </row>
    <row r="8252" spans="6:19" hidden="1" x14ac:dyDescent="0.25">
      <c r="F8252" t="s">
        <v>930</v>
      </c>
      <c r="G8252" t="s">
        <v>402</v>
      </c>
      <c r="H8252" t="str">
        <f>VLOOKUP(record[[#This Row],[ProcessSN]],表格2_7[],2,FALSE)</f>
        <v>30-4118-018-550</v>
      </c>
      <c r="I8252" t="str">
        <f>VLOOKUP(record[[#This Row],[ProcessSN]],表格2_7[],3,FALSE)</f>
        <v>#100STOCK</v>
      </c>
      <c r="J8252" t="s">
        <v>592</v>
      </c>
      <c r="K8252" s="195">
        <v>45876.690081018518</v>
      </c>
      <c r="L8252">
        <v>145</v>
      </c>
      <c r="M8252">
        <v>0</v>
      </c>
      <c r="N8252" s="98" t="str">
        <f>IF(record[[#This Row],[Memo]]="Browser:chrome os:android","平板報工",IF(record[[#This Row],[Memo]]=0,"委外",record[[#This Row],[Memo]]))</f>
        <v/>
      </c>
      <c r="O8252" t="s">
        <v>58</v>
      </c>
      <c r="P8252" t="s">
        <v>886</v>
      </c>
      <c r="Q8252" t="s">
        <v>58</v>
      </c>
      <c r="R8252" t="str">
        <f>IFERROR(VLOOKUP(record[[#This Row],[PCUSTID]],廠商[],2,FALSE),"")</f>
        <v/>
      </c>
      <c r="S8252" t="str">
        <f>VLOOKUP(record[[#This Row],[employeeID]],員工[],2,FALSE)</f>
        <v>謝蓁薰</v>
      </c>
    </row>
    <row r="8253" spans="6:19" hidden="1" x14ac:dyDescent="0.25">
      <c r="F8253" t="s">
        <v>924</v>
      </c>
      <c r="G8253" t="s">
        <v>402</v>
      </c>
      <c r="H8253" t="str">
        <f>VLOOKUP(record[[#This Row],[ProcessSN]],表格2_7[],2,FALSE)</f>
        <v>30-4118-018-550</v>
      </c>
      <c r="I8253" t="str">
        <f>VLOOKUP(record[[#This Row],[ProcessSN]],表格2_7[],3,FALSE)</f>
        <v>#100STOCK</v>
      </c>
      <c r="J8253" t="s">
        <v>592</v>
      </c>
      <c r="K8253" s="195">
        <v>45876.689965277779</v>
      </c>
      <c r="L8253">
        <v>155</v>
      </c>
      <c r="M8253">
        <v>0</v>
      </c>
      <c r="N8253" s="98" t="str">
        <f>IF(record[[#This Row],[Memo]]="Browser:chrome os:android","平板報工",IF(record[[#This Row],[Memo]]=0,"委外",record[[#This Row],[Memo]]))</f>
        <v/>
      </c>
      <c r="O8253" t="s">
        <v>58</v>
      </c>
      <c r="P8253" t="s">
        <v>886</v>
      </c>
      <c r="Q8253" t="s">
        <v>58</v>
      </c>
      <c r="R8253" t="str">
        <f>IFERROR(VLOOKUP(record[[#This Row],[PCUSTID]],廠商[],2,FALSE),"")</f>
        <v/>
      </c>
      <c r="S8253" t="str">
        <f>VLOOKUP(record[[#This Row],[employeeID]],員工[],2,FALSE)</f>
        <v>謝蓁薰</v>
      </c>
    </row>
    <row r="8254" spans="6:19" hidden="1" x14ac:dyDescent="0.25">
      <c r="F8254" t="s">
        <v>904</v>
      </c>
      <c r="G8254" t="s">
        <v>417</v>
      </c>
      <c r="H8254" t="str">
        <f>VLOOKUP(record[[#This Row],[ProcessSN]],表格2_7[],2,FALSE)</f>
        <v>30-4118-018-5XX</v>
      </c>
      <c r="I8254" t="str">
        <f>VLOOKUP(record[[#This Row],[ProcessSN]],表格2_7[],3,FALSE)</f>
        <v>#06</v>
      </c>
      <c r="J8254" t="s">
        <v>593</v>
      </c>
      <c r="K8254" s="195">
        <v>45876.687361111108</v>
      </c>
      <c r="L8254">
        <v>117</v>
      </c>
      <c r="M8254">
        <v>0</v>
      </c>
      <c r="N8254" s="98" t="str">
        <f>IF(record[[#This Row],[Memo]]="Browser:chrome os:android","平板報工",IF(record[[#This Row],[Memo]]=0,"委外",record[[#This Row],[Memo]]))</f>
        <v/>
      </c>
      <c r="O8254" t="s">
        <v>58</v>
      </c>
      <c r="P8254" t="s">
        <v>119</v>
      </c>
      <c r="Q8254" t="s">
        <v>58</v>
      </c>
      <c r="R8254" t="str">
        <f>IFERROR(VLOOKUP(record[[#This Row],[PCUSTID]],廠商[],2,FALSE),"")</f>
        <v/>
      </c>
      <c r="S8254" t="str">
        <f>VLOOKUP(record[[#This Row],[employeeID]],員工[],2,FALSE)</f>
        <v>廖俊彥</v>
      </c>
    </row>
    <row r="8255" spans="6:19" hidden="1" x14ac:dyDescent="0.25">
      <c r="F8255" t="s">
        <v>897</v>
      </c>
      <c r="G8255" t="s">
        <v>416</v>
      </c>
      <c r="H8255" t="str">
        <f>VLOOKUP(record[[#This Row],[ProcessSN]],表格2_7[],2,FALSE)</f>
        <v>30-4118-018-5XX</v>
      </c>
      <c r="I8255" t="str">
        <f>VLOOKUP(record[[#This Row],[ProcessSN]],表格2_7[],3,FALSE)</f>
        <v>#05</v>
      </c>
      <c r="J8255" t="s">
        <v>588</v>
      </c>
      <c r="K8255" s="195">
        <v>45876.677777777775</v>
      </c>
      <c r="L8255">
        <v>206</v>
      </c>
      <c r="M8255">
        <v>0</v>
      </c>
      <c r="N8255" s="98" t="str">
        <f>IF(record[[#This Row],[Memo]]="Browser:chrome os:android","平板報工",IF(record[[#This Row],[Memo]]=0,"委外",record[[#This Row],[Memo]]))</f>
        <v/>
      </c>
      <c r="O8255" t="s">
        <v>58</v>
      </c>
      <c r="P8255" t="s">
        <v>119</v>
      </c>
      <c r="Q8255" t="s">
        <v>58</v>
      </c>
      <c r="R8255" t="str">
        <f>IFERROR(VLOOKUP(record[[#This Row],[PCUSTID]],廠商[],2,FALSE),"")</f>
        <v/>
      </c>
      <c r="S8255" t="str">
        <f>VLOOKUP(record[[#This Row],[employeeID]],員工[],2,FALSE)</f>
        <v>廖俊彥</v>
      </c>
    </row>
    <row r="8256" spans="6:19" hidden="1" x14ac:dyDescent="0.25">
      <c r="F8256" t="s">
        <v>924</v>
      </c>
      <c r="G8256" t="s">
        <v>401</v>
      </c>
      <c r="H8256" t="str">
        <f>VLOOKUP(record[[#This Row],[ProcessSN]],表格2_7[],2,FALSE)</f>
        <v>30-4118-018-550</v>
      </c>
      <c r="I8256" t="str">
        <f>VLOOKUP(record[[#This Row],[ProcessSN]],表格2_7[],3,FALSE)</f>
        <v>#100OQC</v>
      </c>
      <c r="J8256" t="s">
        <v>599</v>
      </c>
      <c r="K8256" s="195">
        <v>45876.5937037037</v>
      </c>
      <c r="L8256">
        <v>155</v>
      </c>
      <c r="M8256">
        <v>0</v>
      </c>
      <c r="N8256" s="98" t="str">
        <f>IF(record[[#This Row],[Memo]]="Browser:chrome os:android","平板報工",IF(record[[#This Row],[Memo]]=0,"委外",record[[#This Row],[Memo]]))</f>
        <v/>
      </c>
      <c r="O8256" t="s">
        <v>58</v>
      </c>
      <c r="P8256" t="s">
        <v>121</v>
      </c>
      <c r="Q8256" t="s">
        <v>58</v>
      </c>
      <c r="R8256" t="str">
        <f>IFERROR(VLOOKUP(record[[#This Row],[PCUSTID]],廠商[],2,FALSE),"")</f>
        <v/>
      </c>
      <c r="S8256" t="str">
        <f>VLOOKUP(record[[#This Row],[employeeID]],員工[],2,FALSE)</f>
        <v>謝素卿</v>
      </c>
    </row>
    <row r="8257" spans="6:19" hidden="1" x14ac:dyDescent="0.25">
      <c r="F8257" t="s">
        <v>930</v>
      </c>
      <c r="G8257" t="s">
        <v>401</v>
      </c>
      <c r="H8257" t="str">
        <f>VLOOKUP(record[[#This Row],[ProcessSN]],表格2_7[],2,FALSE)</f>
        <v>30-4118-018-550</v>
      </c>
      <c r="I8257" t="str">
        <f>VLOOKUP(record[[#This Row],[ProcessSN]],表格2_7[],3,FALSE)</f>
        <v>#100OQC</v>
      </c>
      <c r="J8257" t="s">
        <v>599</v>
      </c>
      <c r="K8257" s="195">
        <v>45876.593541666669</v>
      </c>
      <c r="L8257">
        <v>145</v>
      </c>
      <c r="M8257">
        <v>0</v>
      </c>
      <c r="N8257" s="98" t="str">
        <f>IF(record[[#This Row],[Memo]]="Browser:chrome os:android","平板報工",IF(record[[#This Row],[Memo]]=0,"委外",record[[#This Row],[Memo]]))</f>
        <v/>
      </c>
      <c r="O8257" t="s">
        <v>58</v>
      </c>
      <c r="P8257" t="s">
        <v>121</v>
      </c>
      <c r="Q8257" t="s">
        <v>58</v>
      </c>
      <c r="R8257" t="str">
        <f>IFERROR(VLOOKUP(record[[#This Row],[PCUSTID]],廠商[],2,FALSE),"")</f>
        <v/>
      </c>
      <c r="S8257" t="str">
        <f>VLOOKUP(record[[#This Row],[employeeID]],員工[],2,FALSE)</f>
        <v>謝素卿</v>
      </c>
    </row>
    <row r="8258" spans="6:19" hidden="1" x14ac:dyDescent="0.25">
      <c r="F8258" t="s">
        <v>948</v>
      </c>
      <c r="G8258" t="s">
        <v>357</v>
      </c>
      <c r="H8258" t="str">
        <f>VLOOKUP(record[[#This Row],[ProcessSN]],表格2_7[],2,FALSE)</f>
        <v>30-4118-018-450</v>
      </c>
      <c r="I8258" t="str">
        <f>VLOOKUP(record[[#This Row],[ProcessSN]],表格2_7[],3,FALSE)</f>
        <v>#08RCV</v>
      </c>
      <c r="J8258" t="s">
        <v>591</v>
      </c>
      <c r="K8258" s="195">
        <v>45876.478356481479</v>
      </c>
      <c r="L8258">
        <v>0</v>
      </c>
      <c r="M8258">
        <v>17</v>
      </c>
      <c r="N8258" s="98" t="str">
        <f>IF(record[[#This Row],[Memo]]="Browser:chrome os:android","平板報工",IF(record[[#This Row],[Memo]]=0,"委外",record[[#This Row],[Memo]]))</f>
        <v/>
      </c>
      <c r="O8258" t="s">
        <v>58</v>
      </c>
      <c r="P8258" t="s">
        <v>186</v>
      </c>
      <c r="Q8258" t="s">
        <v>58</v>
      </c>
      <c r="R8258" t="str">
        <f>IFERROR(VLOOKUP(record[[#This Row],[PCUSTID]],廠商[],2,FALSE),"")</f>
        <v/>
      </c>
      <c r="S8258" t="str">
        <f>VLOOKUP(record[[#This Row],[employeeID]],員工[],2,FALSE)</f>
        <v>許文姍</v>
      </c>
    </row>
    <row r="8259" spans="6:19" hidden="1" x14ac:dyDescent="0.25">
      <c r="F8259" t="s">
        <v>948</v>
      </c>
      <c r="G8259" t="s">
        <v>357</v>
      </c>
      <c r="H8259" t="str">
        <f>VLOOKUP(record[[#This Row],[ProcessSN]],表格2_7[],2,FALSE)</f>
        <v>30-4118-018-450</v>
      </c>
      <c r="I8259" t="str">
        <f>VLOOKUP(record[[#This Row],[ProcessSN]],表格2_7[],3,FALSE)</f>
        <v>#08RCV</v>
      </c>
      <c r="J8259" t="s">
        <v>591</v>
      </c>
      <c r="K8259" s="195">
        <v>45876.478113425925</v>
      </c>
      <c r="L8259">
        <v>293</v>
      </c>
      <c r="M8259">
        <v>0</v>
      </c>
      <c r="N8259" s="98" t="str">
        <f>IF(record[[#This Row],[Memo]]="Browser:chrome os:android","平板報工",IF(record[[#This Row],[Memo]]=0,"委外",record[[#This Row],[Memo]]))</f>
        <v/>
      </c>
      <c r="O8259" t="s">
        <v>58</v>
      </c>
      <c r="P8259" t="s">
        <v>186</v>
      </c>
      <c r="Q8259" t="s">
        <v>58</v>
      </c>
      <c r="R8259" t="str">
        <f>IFERROR(VLOOKUP(record[[#This Row],[PCUSTID]],廠商[],2,FALSE),"")</f>
        <v/>
      </c>
      <c r="S8259" t="str">
        <f>VLOOKUP(record[[#This Row],[employeeID]],員工[],2,FALSE)</f>
        <v>許文姍</v>
      </c>
    </row>
    <row r="8260" spans="6:19" hidden="1" x14ac:dyDescent="0.25">
      <c r="F8260" t="s">
        <v>877</v>
      </c>
      <c r="G8260" t="s">
        <v>419</v>
      </c>
      <c r="H8260" t="str">
        <f>VLOOKUP(record[[#This Row],[ProcessSN]],表格2_7[],2,FALSE)</f>
        <v>30-4118-018-5XX</v>
      </c>
      <c r="I8260" t="str">
        <f>VLOOKUP(record[[#This Row],[ProcessSN]],表格2_7[],3,FALSE)</f>
        <v>#07QC</v>
      </c>
      <c r="J8260" t="s">
        <v>589</v>
      </c>
      <c r="K8260" s="195">
        <v>45876.454942129632</v>
      </c>
      <c r="L8260">
        <v>1</v>
      </c>
      <c r="M8260">
        <v>0</v>
      </c>
      <c r="N8260" s="98" t="str">
        <f>IF(record[[#This Row],[Memo]]="Browser:chrome os:android","平板報工",IF(record[[#This Row],[Memo]]=0,"委外",record[[#This Row],[Memo]]))</f>
        <v>平板報工</v>
      </c>
      <c r="O8260" t="s">
        <v>643</v>
      </c>
      <c r="P8260" t="s">
        <v>141</v>
      </c>
      <c r="Q8260" t="s">
        <v>644</v>
      </c>
      <c r="R8260" t="str">
        <f>IFERROR(VLOOKUP(record[[#This Row],[PCUSTID]],廠商[],2,FALSE),"")</f>
        <v/>
      </c>
      <c r="S8260" t="str">
        <f>VLOOKUP(record[[#This Row],[employeeID]],員工[],2,FALSE)</f>
        <v>蔣梅</v>
      </c>
    </row>
    <row r="8261" spans="6:19" hidden="1" x14ac:dyDescent="0.25">
      <c r="F8261" t="s">
        <v>877</v>
      </c>
      <c r="G8261" t="s">
        <v>419</v>
      </c>
      <c r="H8261" t="str">
        <f>VLOOKUP(record[[#This Row],[ProcessSN]],表格2_7[],2,FALSE)</f>
        <v>30-4118-018-5XX</v>
      </c>
      <c r="I8261" t="str">
        <f>VLOOKUP(record[[#This Row],[ProcessSN]],表格2_7[],3,FALSE)</f>
        <v>#07QC</v>
      </c>
      <c r="J8261" t="s">
        <v>589</v>
      </c>
      <c r="K8261" s="195">
        <v>45876.449953703705</v>
      </c>
      <c r="L8261">
        <v>0</v>
      </c>
      <c r="M8261">
        <v>-1</v>
      </c>
      <c r="N8261" s="98" t="str">
        <f>IF(record[[#This Row],[Memo]]="Browser:chrome os:android","平板報工",IF(record[[#This Row],[Memo]]=0,"委外",record[[#This Row],[Memo]]))</f>
        <v>覆回品</v>
      </c>
      <c r="O8261" t="s">
        <v>664</v>
      </c>
      <c r="P8261" t="s">
        <v>65</v>
      </c>
      <c r="Q8261" t="s">
        <v>644</v>
      </c>
      <c r="R8261" t="str">
        <f>IFERROR(VLOOKUP(record[[#This Row],[PCUSTID]],廠商[],2,FALSE),"")</f>
        <v/>
      </c>
      <c r="S8261" t="str">
        <f>VLOOKUP(record[[#This Row],[employeeID]],員工[],2,FALSE)</f>
        <v>蘇進昌</v>
      </c>
    </row>
    <row r="8262" spans="6:19" hidden="1" x14ac:dyDescent="0.25">
      <c r="F8262" t="s">
        <v>897</v>
      </c>
      <c r="G8262" t="s">
        <v>419</v>
      </c>
      <c r="H8262" t="str">
        <f>VLOOKUP(record[[#This Row],[ProcessSN]],表格2_7[],2,FALSE)</f>
        <v>30-4118-018-5XX</v>
      </c>
      <c r="I8262" t="str">
        <f>VLOOKUP(record[[#This Row],[ProcessSN]],表格2_7[],3,FALSE)</f>
        <v>#07QC</v>
      </c>
      <c r="J8262" t="s">
        <v>589</v>
      </c>
      <c r="K8262" s="195">
        <v>45876.443055555559</v>
      </c>
      <c r="L8262">
        <v>4</v>
      </c>
      <c r="M8262">
        <v>0</v>
      </c>
      <c r="N8262" s="98" t="str">
        <f>IF(record[[#This Row],[Memo]]="Browser:chrome os:android","平板報工",IF(record[[#This Row],[Memo]]=0,"委外",record[[#This Row],[Memo]]))</f>
        <v>平板報工</v>
      </c>
      <c r="O8262" t="s">
        <v>643</v>
      </c>
      <c r="P8262" t="s">
        <v>141</v>
      </c>
      <c r="Q8262" t="s">
        <v>644</v>
      </c>
      <c r="R8262" t="str">
        <f>IFERROR(VLOOKUP(record[[#This Row],[PCUSTID]],廠商[],2,FALSE),"")</f>
        <v/>
      </c>
      <c r="S8262" t="str">
        <f>VLOOKUP(record[[#This Row],[employeeID]],員工[],2,FALSE)</f>
        <v>蔣梅</v>
      </c>
    </row>
    <row r="8263" spans="6:19" hidden="1" x14ac:dyDescent="0.25">
      <c r="F8263" t="s">
        <v>904</v>
      </c>
      <c r="G8263" t="s">
        <v>419</v>
      </c>
      <c r="H8263" t="str">
        <f>VLOOKUP(record[[#This Row],[ProcessSN]],表格2_7[],2,FALSE)</f>
        <v>30-4118-018-5XX</v>
      </c>
      <c r="I8263" t="str">
        <f>VLOOKUP(record[[#This Row],[ProcessSN]],表格2_7[],3,FALSE)</f>
        <v>#07QC</v>
      </c>
      <c r="J8263" t="s">
        <v>589</v>
      </c>
      <c r="K8263" s="195">
        <v>45876.442824074074</v>
      </c>
      <c r="L8263">
        <v>3</v>
      </c>
      <c r="M8263">
        <v>0</v>
      </c>
      <c r="N8263" s="98" t="str">
        <f>IF(record[[#This Row],[Memo]]="Browser:chrome os:android","平板報工",IF(record[[#This Row],[Memo]]=0,"委外",record[[#This Row],[Memo]]))</f>
        <v>平板報工</v>
      </c>
      <c r="O8263" t="s">
        <v>643</v>
      </c>
      <c r="P8263" t="s">
        <v>141</v>
      </c>
      <c r="Q8263" t="s">
        <v>644</v>
      </c>
      <c r="R8263" t="str">
        <f>IFERROR(VLOOKUP(record[[#This Row],[PCUSTID]],廠商[],2,FALSE),"")</f>
        <v/>
      </c>
      <c r="S8263" t="str">
        <f>VLOOKUP(record[[#This Row],[employeeID]],員工[],2,FALSE)</f>
        <v>蔣梅</v>
      </c>
    </row>
    <row r="8264" spans="6:19" hidden="1" x14ac:dyDescent="0.25">
      <c r="F8264" t="s">
        <v>897</v>
      </c>
      <c r="G8264" t="s">
        <v>418</v>
      </c>
      <c r="H8264" t="str">
        <f>VLOOKUP(record[[#This Row],[ProcessSN]],表格2_7[],2,FALSE)</f>
        <v>30-4118-018-5XX</v>
      </c>
      <c r="I8264" t="str">
        <f>VLOOKUP(record[[#This Row],[ProcessSN]],表格2_7[],3,FALSE)</f>
        <v>#07</v>
      </c>
      <c r="J8264" t="s">
        <v>588</v>
      </c>
      <c r="K8264" s="195">
        <v>45876.43277777778</v>
      </c>
      <c r="L8264">
        <v>4</v>
      </c>
      <c r="M8264">
        <v>0</v>
      </c>
      <c r="N8264" s="98" t="str">
        <f>IF(record[[#This Row],[Memo]]="Browser:chrome os:android","平板報工",IF(record[[#This Row],[Memo]]=0,"委外",record[[#This Row],[Memo]]))</f>
        <v>7//17 覆回</v>
      </c>
      <c r="O8264" t="s">
        <v>969</v>
      </c>
      <c r="P8264" t="s">
        <v>119</v>
      </c>
      <c r="Q8264" t="s">
        <v>58</v>
      </c>
      <c r="R8264" t="str">
        <f>IFERROR(VLOOKUP(record[[#This Row],[PCUSTID]],廠商[],2,FALSE),"")</f>
        <v/>
      </c>
      <c r="S8264" t="str">
        <f>VLOOKUP(record[[#This Row],[employeeID]],員工[],2,FALSE)</f>
        <v>廖俊彥</v>
      </c>
    </row>
    <row r="8265" spans="6:19" hidden="1" x14ac:dyDescent="0.25">
      <c r="F8265" t="s">
        <v>897</v>
      </c>
      <c r="G8265" t="s">
        <v>417</v>
      </c>
      <c r="H8265" t="str">
        <f>VLOOKUP(record[[#This Row],[ProcessSN]],表格2_7[],2,FALSE)</f>
        <v>30-4118-018-5XX</v>
      </c>
      <c r="I8265" t="str">
        <f>VLOOKUP(record[[#This Row],[ProcessSN]],表格2_7[],3,FALSE)</f>
        <v>#06</v>
      </c>
      <c r="J8265" t="s">
        <v>593</v>
      </c>
      <c r="K8265" s="195">
        <v>45876.432546296295</v>
      </c>
      <c r="L8265">
        <v>4</v>
      </c>
      <c r="M8265">
        <v>0</v>
      </c>
      <c r="N8265" s="98" t="str">
        <f>IF(record[[#This Row],[Memo]]="Browser:chrome os:android","平板報工",IF(record[[#This Row],[Memo]]=0,"委外",record[[#This Row],[Memo]]))</f>
        <v/>
      </c>
      <c r="O8265" t="s">
        <v>58</v>
      </c>
      <c r="P8265" t="s">
        <v>119</v>
      </c>
      <c r="Q8265" t="s">
        <v>58</v>
      </c>
      <c r="R8265" t="str">
        <f>IFERROR(VLOOKUP(record[[#This Row],[PCUSTID]],廠商[],2,FALSE),"")</f>
        <v/>
      </c>
      <c r="S8265" t="str">
        <f>VLOOKUP(record[[#This Row],[employeeID]],員工[],2,FALSE)</f>
        <v>廖俊彥</v>
      </c>
    </row>
    <row r="8266" spans="6:19" hidden="1" x14ac:dyDescent="0.25">
      <c r="F8266" t="s">
        <v>897</v>
      </c>
      <c r="G8266" t="s">
        <v>416</v>
      </c>
      <c r="H8266" t="str">
        <f>VLOOKUP(record[[#This Row],[ProcessSN]],表格2_7[],2,FALSE)</f>
        <v>30-4118-018-5XX</v>
      </c>
      <c r="I8266" t="str">
        <f>VLOOKUP(record[[#This Row],[ProcessSN]],表格2_7[],3,FALSE)</f>
        <v>#05</v>
      </c>
      <c r="J8266" t="s">
        <v>588</v>
      </c>
      <c r="K8266" s="195">
        <v>45876.432384259257</v>
      </c>
      <c r="L8266">
        <v>4</v>
      </c>
      <c r="M8266">
        <v>0</v>
      </c>
      <c r="N8266" s="98" t="str">
        <f>IF(record[[#This Row],[Memo]]="Browser:chrome os:android","平板報工",IF(record[[#This Row],[Memo]]=0,"委外",record[[#This Row],[Memo]]))</f>
        <v/>
      </c>
      <c r="O8266" t="s">
        <v>58</v>
      </c>
      <c r="P8266" t="s">
        <v>119</v>
      </c>
      <c r="Q8266" t="s">
        <v>58</v>
      </c>
      <c r="R8266" t="str">
        <f>IFERROR(VLOOKUP(record[[#This Row],[PCUSTID]],廠商[],2,FALSE),"")</f>
        <v/>
      </c>
      <c r="S8266" t="str">
        <f>VLOOKUP(record[[#This Row],[employeeID]],員工[],2,FALSE)</f>
        <v>廖俊彥</v>
      </c>
    </row>
    <row r="8267" spans="6:19" hidden="1" x14ac:dyDescent="0.25">
      <c r="F8267" t="s">
        <v>897</v>
      </c>
      <c r="G8267" t="s">
        <v>415</v>
      </c>
      <c r="H8267" t="str">
        <f>VLOOKUP(record[[#This Row],[ProcessSN]],表格2_7[],2,FALSE)</f>
        <v>30-4118-018-5XX</v>
      </c>
      <c r="I8267" t="str">
        <f>VLOOKUP(record[[#This Row],[ProcessSN]],表格2_7[],3,FALSE)</f>
        <v>#04</v>
      </c>
      <c r="J8267" t="s">
        <v>588</v>
      </c>
      <c r="K8267" s="195">
        <v>45876.432256944441</v>
      </c>
      <c r="L8267">
        <v>4</v>
      </c>
      <c r="M8267">
        <v>0</v>
      </c>
      <c r="N8267" s="98" t="str">
        <f>IF(record[[#This Row],[Memo]]="Browser:chrome os:android","平板報工",IF(record[[#This Row],[Memo]]=0,"委外",record[[#This Row],[Memo]]))</f>
        <v/>
      </c>
      <c r="O8267" t="s">
        <v>58</v>
      </c>
      <c r="P8267" t="s">
        <v>119</v>
      </c>
      <c r="Q8267" t="s">
        <v>58</v>
      </c>
      <c r="R8267" t="str">
        <f>IFERROR(VLOOKUP(record[[#This Row],[PCUSTID]],廠商[],2,FALSE),"")</f>
        <v/>
      </c>
      <c r="S8267" t="str">
        <f>VLOOKUP(record[[#This Row],[employeeID]],員工[],2,FALSE)</f>
        <v>廖俊彥</v>
      </c>
    </row>
    <row r="8268" spans="6:19" hidden="1" x14ac:dyDescent="0.25">
      <c r="F8268" t="s">
        <v>904</v>
      </c>
      <c r="G8268" t="s">
        <v>418</v>
      </c>
      <c r="H8268" t="str">
        <f>VLOOKUP(record[[#This Row],[ProcessSN]],表格2_7[],2,FALSE)</f>
        <v>30-4118-018-5XX</v>
      </c>
      <c r="I8268" t="str">
        <f>VLOOKUP(record[[#This Row],[ProcessSN]],表格2_7[],3,FALSE)</f>
        <v>#07</v>
      </c>
      <c r="J8268" t="s">
        <v>588</v>
      </c>
      <c r="K8268" s="195">
        <v>45876.432037037041</v>
      </c>
      <c r="L8268">
        <v>3</v>
      </c>
      <c r="M8268">
        <v>0</v>
      </c>
      <c r="N8268" s="98" t="str">
        <f>IF(record[[#This Row],[Memo]]="Browser:chrome os:android","平板報工",IF(record[[#This Row],[Memo]]=0,"委外",record[[#This Row],[Memo]]))</f>
        <v>覆回 7/21</v>
      </c>
      <c r="O8268" t="s">
        <v>968</v>
      </c>
      <c r="P8268" t="s">
        <v>119</v>
      </c>
      <c r="Q8268" t="s">
        <v>58</v>
      </c>
      <c r="R8268" t="str">
        <f>IFERROR(VLOOKUP(record[[#This Row],[PCUSTID]],廠商[],2,FALSE),"")</f>
        <v/>
      </c>
      <c r="S8268" t="str">
        <f>VLOOKUP(record[[#This Row],[employeeID]],員工[],2,FALSE)</f>
        <v>廖俊彥</v>
      </c>
    </row>
    <row r="8269" spans="6:19" hidden="1" x14ac:dyDescent="0.25">
      <c r="F8269" t="s">
        <v>904</v>
      </c>
      <c r="G8269" t="s">
        <v>417</v>
      </c>
      <c r="H8269" t="str">
        <f>VLOOKUP(record[[#This Row],[ProcessSN]],表格2_7[],2,FALSE)</f>
        <v>30-4118-018-5XX</v>
      </c>
      <c r="I8269" t="str">
        <f>VLOOKUP(record[[#This Row],[ProcessSN]],表格2_7[],3,FALSE)</f>
        <v>#06</v>
      </c>
      <c r="J8269" t="s">
        <v>593</v>
      </c>
      <c r="K8269" s="195">
        <v>45876.431805555556</v>
      </c>
      <c r="L8269">
        <v>3</v>
      </c>
      <c r="M8269">
        <v>0</v>
      </c>
      <c r="N8269" s="98" t="str">
        <f>IF(record[[#This Row],[Memo]]="Browser:chrome os:android","平板報工",IF(record[[#This Row],[Memo]]=0,"委外",record[[#This Row],[Memo]]))</f>
        <v/>
      </c>
      <c r="O8269" t="s">
        <v>58</v>
      </c>
      <c r="P8269" t="s">
        <v>119</v>
      </c>
      <c r="Q8269" t="s">
        <v>58</v>
      </c>
      <c r="R8269" t="str">
        <f>IFERROR(VLOOKUP(record[[#This Row],[PCUSTID]],廠商[],2,FALSE),"")</f>
        <v/>
      </c>
      <c r="S8269" t="str">
        <f>VLOOKUP(record[[#This Row],[employeeID]],員工[],2,FALSE)</f>
        <v>廖俊彥</v>
      </c>
    </row>
    <row r="8270" spans="6:19" hidden="1" x14ac:dyDescent="0.25">
      <c r="F8270" t="s">
        <v>904</v>
      </c>
      <c r="G8270" t="s">
        <v>416</v>
      </c>
      <c r="H8270" t="str">
        <f>VLOOKUP(record[[#This Row],[ProcessSN]],表格2_7[],2,FALSE)</f>
        <v>30-4118-018-5XX</v>
      </c>
      <c r="I8270" t="str">
        <f>VLOOKUP(record[[#This Row],[ProcessSN]],表格2_7[],3,FALSE)</f>
        <v>#05</v>
      </c>
      <c r="J8270" t="s">
        <v>588</v>
      </c>
      <c r="K8270" s="195">
        <v>45876.431666666664</v>
      </c>
      <c r="L8270">
        <v>3</v>
      </c>
      <c r="M8270">
        <v>0</v>
      </c>
      <c r="N8270" s="98" t="str">
        <f>IF(record[[#This Row],[Memo]]="Browser:chrome os:android","平板報工",IF(record[[#This Row],[Memo]]=0,"委外",record[[#This Row],[Memo]]))</f>
        <v/>
      </c>
      <c r="O8270" t="s">
        <v>58</v>
      </c>
      <c r="P8270" t="s">
        <v>119</v>
      </c>
      <c r="Q8270" t="s">
        <v>58</v>
      </c>
      <c r="R8270" t="str">
        <f>IFERROR(VLOOKUP(record[[#This Row],[PCUSTID]],廠商[],2,FALSE),"")</f>
        <v/>
      </c>
      <c r="S8270" t="str">
        <f>VLOOKUP(record[[#This Row],[employeeID]],員工[],2,FALSE)</f>
        <v>廖俊彥</v>
      </c>
    </row>
    <row r="8271" spans="6:19" hidden="1" x14ac:dyDescent="0.25">
      <c r="F8271" t="s">
        <v>904</v>
      </c>
      <c r="G8271" t="s">
        <v>415</v>
      </c>
      <c r="H8271" t="str">
        <f>VLOOKUP(record[[#This Row],[ProcessSN]],表格2_7[],2,FALSE)</f>
        <v>30-4118-018-5XX</v>
      </c>
      <c r="I8271" t="str">
        <f>VLOOKUP(record[[#This Row],[ProcessSN]],表格2_7[],3,FALSE)</f>
        <v>#04</v>
      </c>
      <c r="J8271" t="s">
        <v>588</v>
      </c>
      <c r="K8271" s="195">
        <v>45876.431504629632</v>
      </c>
      <c r="L8271">
        <v>3</v>
      </c>
      <c r="M8271">
        <v>0</v>
      </c>
      <c r="N8271" s="98" t="str">
        <f>IF(record[[#This Row],[Memo]]="Browser:chrome os:android","平板報工",IF(record[[#This Row],[Memo]]=0,"委外",record[[#This Row],[Memo]]))</f>
        <v/>
      </c>
      <c r="O8271" t="s">
        <v>58</v>
      </c>
      <c r="P8271" t="s">
        <v>119</v>
      </c>
      <c r="Q8271" t="s">
        <v>58</v>
      </c>
      <c r="R8271" t="str">
        <f>IFERROR(VLOOKUP(record[[#This Row],[PCUSTID]],廠商[],2,FALSE),"")</f>
        <v/>
      </c>
      <c r="S8271" t="str">
        <f>VLOOKUP(record[[#This Row],[employeeID]],員工[],2,FALSE)</f>
        <v>廖俊彥</v>
      </c>
    </row>
    <row r="8272" spans="6:19" hidden="1" x14ac:dyDescent="0.25">
      <c r="F8272" t="s">
        <v>959</v>
      </c>
      <c r="G8272" t="s">
        <v>356</v>
      </c>
      <c r="H8272" t="str">
        <f>VLOOKUP(record[[#This Row],[ProcessSN]],表格2_7[],2,FALSE)</f>
        <v>30-4118-018-450</v>
      </c>
      <c r="I8272" t="str">
        <f>VLOOKUP(record[[#This Row],[ProcessSN]],表格2_7[],3,FALSE)</f>
        <v>#08</v>
      </c>
      <c r="J8272" t="s">
        <v>597</v>
      </c>
      <c r="K8272" s="195">
        <v>45876.414479166669</v>
      </c>
      <c r="L8272">
        <v>32</v>
      </c>
      <c r="M8272">
        <v>0</v>
      </c>
      <c r="N8272" s="98" t="str">
        <f>IF(record[[#This Row],[Memo]]="Browser:chrome os:android","平板報工",IF(record[[#This Row],[Memo]]=0,"委外",record[[#This Row],[Memo]]))</f>
        <v/>
      </c>
      <c r="O8272" t="s">
        <v>58</v>
      </c>
      <c r="P8272" t="s">
        <v>186</v>
      </c>
      <c r="Q8272" t="s">
        <v>287</v>
      </c>
      <c r="R8272" t="str">
        <f>IFERROR(VLOOKUP(record[[#This Row],[PCUSTID]],廠商[],2,FALSE),"")</f>
        <v>泉盛</v>
      </c>
      <c r="S8272" t="str">
        <f>VLOOKUP(record[[#This Row],[employeeID]],員工[],2,FALSE)</f>
        <v>許文姍</v>
      </c>
    </row>
    <row r="8273" spans="6:19" hidden="1" x14ac:dyDescent="0.25">
      <c r="F8273" t="s">
        <v>960</v>
      </c>
      <c r="G8273" t="s">
        <v>422</v>
      </c>
      <c r="H8273" t="str">
        <f>VLOOKUP(record[[#This Row],[ProcessSN]],表格2_7[],2,FALSE)</f>
        <v>30-4118-018-600</v>
      </c>
      <c r="I8273" t="str">
        <f>VLOOKUP(record[[#This Row],[ProcessSN]],表格2_7[],3,FALSE)</f>
        <v>#08</v>
      </c>
      <c r="J8273" t="s">
        <v>597</v>
      </c>
      <c r="K8273" s="195">
        <v>45876.414340277777</v>
      </c>
      <c r="L8273">
        <v>214</v>
      </c>
      <c r="M8273">
        <v>0</v>
      </c>
      <c r="N8273" s="98" t="str">
        <f>IF(record[[#This Row],[Memo]]="Browser:chrome os:android","平板報工",IF(record[[#This Row],[Memo]]=0,"委外",record[[#This Row],[Memo]]))</f>
        <v/>
      </c>
      <c r="O8273" t="s">
        <v>58</v>
      </c>
      <c r="P8273" t="s">
        <v>186</v>
      </c>
      <c r="Q8273" t="s">
        <v>287</v>
      </c>
      <c r="R8273" t="str">
        <f>IFERROR(VLOOKUP(record[[#This Row],[PCUSTID]],廠商[],2,FALSE),"")</f>
        <v>泉盛</v>
      </c>
      <c r="S8273" t="str">
        <f>VLOOKUP(record[[#This Row],[employeeID]],員工[],2,FALSE)</f>
        <v>許文姍</v>
      </c>
    </row>
    <row r="8274" spans="6:19" hidden="1" x14ac:dyDescent="0.25">
      <c r="F8274" t="s">
        <v>924</v>
      </c>
      <c r="G8274" t="s">
        <v>400</v>
      </c>
      <c r="H8274" t="str">
        <f>VLOOKUP(record[[#This Row],[ProcessSN]],表格2_7[],2,FALSE)</f>
        <v>30-4118-018-550</v>
      </c>
      <c r="I8274" t="str">
        <f>VLOOKUP(record[[#This Row],[ProcessSN]],表格2_7[],3,FALSE)</f>
        <v>#100</v>
      </c>
      <c r="J8274" t="s">
        <v>598</v>
      </c>
      <c r="K8274" s="195">
        <v>45876.413854166669</v>
      </c>
      <c r="L8274">
        <v>155</v>
      </c>
      <c r="M8274">
        <v>0</v>
      </c>
      <c r="N8274" s="98" t="str">
        <f>IF(record[[#This Row],[Memo]]="Browser:chrome os:android","平板報工",IF(record[[#This Row],[Memo]]=0,"委外",record[[#This Row],[Memo]]))</f>
        <v/>
      </c>
      <c r="O8274" t="s">
        <v>58</v>
      </c>
      <c r="P8274" t="s">
        <v>141</v>
      </c>
      <c r="Q8274" t="s">
        <v>58</v>
      </c>
      <c r="R8274" t="str">
        <f>IFERROR(VLOOKUP(record[[#This Row],[PCUSTID]],廠商[],2,FALSE),"")</f>
        <v/>
      </c>
      <c r="S8274" t="str">
        <f>VLOOKUP(record[[#This Row],[employeeID]],員工[],2,FALSE)</f>
        <v>蔣梅</v>
      </c>
    </row>
    <row r="8275" spans="6:19" hidden="1" x14ac:dyDescent="0.25">
      <c r="F8275" t="s">
        <v>956</v>
      </c>
      <c r="G8275" t="s">
        <v>356</v>
      </c>
      <c r="H8275" t="str">
        <f>VLOOKUP(record[[#This Row],[ProcessSN]],表格2_7[],2,FALSE)</f>
        <v>30-4118-018-450</v>
      </c>
      <c r="I8275" t="str">
        <f>VLOOKUP(record[[#This Row],[ProcessSN]],表格2_7[],3,FALSE)</f>
        <v>#08</v>
      </c>
      <c r="J8275" t="s">
        <v>597</v>
      </c>
      <c r="K8275" s="195">
        <v>45876.413784722223</v>
      </c>
      <c r="L8275">
        <v>151</v>
      </c>
      <c r="M8275">
        <v>0</v>
      </c>
      <c r="N8275" s="98" t="str">
        <f>IF(record[[#This Row],[Memo]]="Browser:chrome os:android","平板報工",IF(record[[#This Row],[Memo]]=0,"委外",record[[#This Row],[Memo]]))</f>
        <v/>
      </c>
      <c r="O8275" t="s">
        <v>58</v>
      </c>
      <c r="P8275" t="s">
        <v>186</v>
      </c>
      <c r="Q8275" t="s">
        <v>287</v>
      </c>
      <c r="R8275" t="str">
        <f>IFERROR(VLOOKUP(record[[#This Row],[PCUSTID]],廠商[],2,FALSE),"")</f>
        <v>泉盛</v>
      </c>
      <c r="S8275" t="str">
        <f>VLOOKUP(record[[#This Row],[employeeID]],員工[],2,FALSE)</f>
        <v>許文姍</v>
      </c>
    </row>
    <row r="8276" spans="6:19" hidden="1" x14ac:dyDescent="0.25">
      <c r="F8276" t="s">
        <v>924</v>
      </c>
      <c r="G8276" t="s">
        <v>400</v>
      </c>
      <c r="H8276" t="str">
        <f>VLOOKUP(record[[#This Row],[ProcessSN]],表格2_7[],2,FALSE)</f>
        <v>30-4118-018-550</v>
      </c>
      <c r="I8276" t="str">
        <f>VLOOKUP(record[[#This Row],[ProcessSN]],表格2_7[],3,FALSE)</f>
        <v>#100</v>
      </c>
      <c r="J8276" t="s">
        <v>598</v>
      </c>
      <c r="K8276" s="195">
        <v>45876.413518518515</v>
      </c>
      <c r="L8276">
        <v>0</v>
      </c>
      <c r="M8276">
        <v>11</v>
      </c>
      <c r="N8276" s="98" t="str">
        <f>IF(record[[#This Row],[Memo]]="Browser:chrome os:android","平板報工",IF(record[[#This Row],[Memo]]=0,"委外",record[[#This Row],[Memo]]))</f>
        <v/>
      </c>
      <c r="O8276" t="s">
        <v>58</v>
      </c>
      <c r="P8276" t="s">
        <v>141</v>
      </c>
      <c r="Q8276" t="s">
        <v>58</v>
      </c>
      <c r="R8276" t="str">
        <f>IFERROR(VLOOKUP(record[[#This Row],[PCUSTID]],廠商[],2,FALSE),"")</f>
        <v/>
      </c>
      <c r="S8276" t="str">
        <f>VLOOKUP(record[[#This Row],[employeeID]],員工[],2,FALSE)</f>
        <v>蔣梅</v>
      </c>
    </row>
    <row r="8277" spans="6:19" hidden="1" x14ac:dyDescent="0.25">
      <c r="F8277" t="s">
        <v>902</v>
      </c>
      <c r="G8277" t="s">
        <v>379</v>
      </c>
      <c r="H8277" t="str">
        <f>VLOOKUP(record[[#This Row],[ProcessSN]],表格2_7[],2,FALSE)</f>
        <v>30-4118-018-4XX</v>
      </c>
      <c r="I8277" t="str">
        <f>VLOOKUP(record[[#This Row],[ProcessSN]],表格2_7[],3,FALSE)</f>
        <v>#07STOCK</v>
      </c>
      <c r="J8277" t="s">
        <v>592</v>
      </c>
      <c r="K8277" s="195">
        <v>45876.412222222221</v>
      </c>
      <c r="L8277">
        <v>32</v>
      </c>
      <c r="M8277">
        <v>0</v>
      </c>
      <c r="N8277" s="98" t="str">
        <f>IF(record[[#This Row],[Memo]]="Browser:chrome os:android","平板報工",IF(record[[#This Row],[Memo]]=0,"委外",record[[#This Row],[Memo]]))</f>
        <v/>
      </c>
      <c r="O8277" t="s">
        <v>58</v>
      </c>
      <c r="P8277" t="s">
        <v>196</v>
      </c>
      <c r="Q8277" t="s">
        <v>58</v>
      </c>
      <c r="R8277" t="str">
        <f>IFERROR(VLOOKUP(record[[#This Row],[PCUSTID]],廠商[],2,FALSE),"")</f>
        <v/>
      </c>
      <c r="S8277" t="str">
        <f>VLOOKUP(record[[#This Row],[employeeID]],員工[],2,FALSE)</f>
        <v>張淑惠</v>
      </c>
    </row>
    <row r="8278" spans="6:19" hidden="1" x14ac:dyDescent="0.25">
      <c r="F8278" t="s">
        <v>900</v>
      </c>
      <c r="G8278" t="s">
        <v>453</v>
      </c>
      <c r="H8278" t="str">
        <f>VLOOKUP(record[[#This Row],[ProcessSN]],表格2_7[],2,FALSE)</f>
        <v>30-4118-018-6XX</v>
      </c>
      <c r="I8278" t="str">
        <f>VLOOKUP(record[[#This Row],[ProcessSN]],表格2_7[],3,FALSE)</f>
        <v>#07STOCK</v>
      </c>
      <c r="J8278" t="s">
        <v>592</v>
      </c>
      <c r="K8278" s="195">
        <v>45876.411840277775</v>
      </c>
      <c r="L8278">
        <v>160</v>
      </c>
      <c r="M8278">
        <v>0</v>
      </c>
      <c r="N8278" s="98" t="str">
        <f>IF(record[[#This Row],[Memo]]="Browser:chrome os:android","平板報工",IF(record[[#This Row],[Memo]]=0,"委外",record[[#This Row],[Memo]]))</f>
        <v/>
      </c>
      <c r="O8278" t="s">
        <v>58</v>
      </c>
      <c r="P8278" t="s">
        <v>196</v>
      </c>
      <c r="Q8278" t="s">
        <v>58</v>
      </c>
      <c r="R8278" t="str">
        <f>IFERROR(VLOOKUP(record[[#This Row],[PCUSTID]],廠商[],2,FALSE),"")</f>
        <v/>
      </c>
      <c r="S8278" t="str">
        <f>VLOOKUP(record[[#This Row],[employeeID]],員工[],2,FALSE)</f>
        <v>張淑惠</v>
      </c>
    </row>
    <row r="8279" spans="6:19" hidden="1" x14ac:dyDescent="0.25">
      <c r="F8279" t="s">
        <v>777</v>
      </c>
      <c r="G8279" t="s">
        <v>453</v>
      </c>
      <c r="H8279" t="str">
        <f>VLOOKUP(record[[#This Row],[ProcessSN]],表格2_7[],2,FALSE)</f>
        <v>30-4118-018-6XX</v>
      </c>
      <c r="I8279" t="str">
        <f>VLOOKUP(record[[#This Row],[ProcessSN]],表格2_7[],3,FALSE)</f>
        <v>#07STOCK</v>
      </c>
      <c r="J8279" t="s">
        <v>592</v>
      </c>
      <c r="K8279" s="195">
        <v>45876.411643518521</v>
      </c>
      <c r="L8279">
        <v>54</v>
      </c>
      <c r="M8279">
        <v>0</v>
      </c>
      <c r="N8279" s="98" t="str">
        <f>IF(record[[#This Row],[Memo]]="Browser:chrome os:android","平板報工",IF(record[[#This Row],[Memo]]=0,"委外",record[[#This Row],[Memo]]))</f>
        <v/>
      </c>
      <c r="O8279" t="s">
        <v>58</v>
      </c>
      <c r="P8279" t="s">
        <v>196</v>
      </c>
      <c r="Q8279" t="s">
        <v>58</v>
      </c>
      <c r="R8279" t="str">
        <f>IFERROR(VLOOKUP(record[[#This Row],[PCUSTID]],廠商[],2,FALSE),"")</f>
        <v/>
      </c>
      <c r="S8279" t="str">
        <f>VLOOKUP(record[[#This Row],[employeeID]],員工[],2,FALSE)</f>
        <v>張淑惠</v>
      </c>
    </row>
    <row r="8280" spans="6:19" hidden="1" x14ac:dyDescent="0.25">
      <c r="F8280" t="s">
        <v>778</v>
      </c>
      <c r="G8280" t="s">
        <v>420</v>
      </c>
      <c r="H8280" t="str">
        <f>VLOOKUP(record[[#This Row],[ProcessSN]],表格2_7[],2,FALSE)</f>
        <v>30-4118-018-5XX</v>
      </c>
      <c r="I8280" t="str">
        <f>VLOOKUP(record[[#This Row],[ProcessSN]],表格2_7[],3,FALSE)</f>
        <v>#07STOCK</v>
      </c>
      <c r="J8280" t="s">
        <v>592</v>
      </c>
      <c r="K8280" s="195">
        <v>45876.410671296297</v>
      </c>
      <c r="L8280">
        <v>29</v>
      </c>
      <c r="M8280">
        <v>0</v>
      </c>
      <c r="N8280" s="98" t="str">
        <f>IF(record[[#This Row],[Memo]]="Browser:chrome os:android","平板報工",IF(record[[#This Row],[Memo]]=0,"委外",record[[#This Row],[Memo]]))</f>
        <v/>
      </c>
      <c r="O8280" t="s">
        <v>58</v>
      </c>
      <c r="P8280" t="s">
        <v>196</v>
      </c>
      <c r="Q8280" t="s">
        <v>58</v>
      </c>
      <c r="R8280" t="str">
        <f>IFERROR(VLOOKUP(record[[#This Row],[PCUSTID]],廠商[],2,FALSE),"")</f>
        <v/>
      </c>
      <c r="S8280" t="str">
        <f>VLOOKUP(record[[#This Row],[employeeID]],員工[],2,FALSE)</f>
        <v>張淑惠</v>
      </c>
    </row>
    <row r="8281" spans="6:19" hidden="1" x14ac:dyDescent="0.25">
      <c r="F8281" t="s">
        <v>966</v>
      </c>
      <c r="G8281" t="s">
        <v>396</v>
      </c>
      <c r="H8281" t="str">
        <f>VLOOKUP(record[[#This Row],[ProcessSN]],表格2_7[],2,FALSE)</f>
        <v>30-4118-018-550</v>
      </c>
      <c r="I8281" t="str">
        <f>VLOOKUP(record[[#This Row],[ProcessSN]],表格2_7[],3,FALSE)</f>
        <v>#08PICK</v>
      </c>
      <c r="J8281" t="s">
        <v>582</v>
      </c>
      <c r="K8281" s="195">
        <v>45876.409918981481</v>
      </c>
      <c r="L8281">
        <v>37</v>
      </c>
      <c r="M8281">
        <v>0</v>
      </c>
      <c r="N8281" s="98" t="str">
        <f>IF(record[[#This Row],[Memo]]="Browser:chrome os:android","平板報工",IF(record[[#This Row],[Memo]]=0,"委外",record[[#This Row],[Memo]]))</f>
        <v/>
      </c>
      <c r="O8281" t="s">
        <v>58</v>
      </c>
      <c r="P8281" t="s">
        <v>196</v>
      </c>
      <c r="Q8281" t="s">
        <v>58</v>
      </c>
      <c r="R8281" t="str">
        <f>IFERROR(VLOOKUP(record[[#This Row],[PCUSTID]],廠商[],2,FALSE),"")</f>
        <v/>
      </c>
      <c r="S8281" t="str">
        <f>VLOOKUP(record[[#This Row],[employeeID]],員工[],2,FALSE)</f>
        <v>張淑惠</v>
      </c>
    </row>
    <row r="8282" spans="6:19" hidden="1" x14ac:dyDescent="0.25">
      <c r="F8282" t="s">
        <v>960</v>
      </c>
      <c r="G8282" t="s">
        <v>421</v>
      </c>
      <c r="H8282" t="str">
        <f>VLOOKUP(record[[#This Row],[ProcessSN]],表格2_7[],2,FALSE)</f>
        <v>30-4118-018-600</v>
      </c>
      <c r="I8282" t="str">
        <f>VLOOKUP(record[[#This Row],[ProcessSN]],表格2_7[],3,FALSE)</f>
        <v>#08PICK</v>
      </c>
      <c r="J8282" t="s">
        <v>582</v>
      </c>
      <c r="K8282" s="195">
        <v>45876.402777777781</v>
      </c>
      <c r="L8282">
        <v>214</v>
      </c>
      <c r="M8282">
        <v>0</v>
      </c>
      <c r="N8282" s="98" t="str">
        <f>IF(record[[#This Row],[Memo]]="Browser:chrome os:android","平板報工",IF(record[[#This Row],[Memo]]=0,"委外",record[[#This Row],[Memo]]))</f>
        <v/>
      </c>
      <c r="O8282" t="s">
        <v>58</v>
      </c>
      <c r="P8282" t="s">
        <v>196</v>
      </c>
      <c r="Q8282" t="s">
        <v>58</v>
      </c>
      <c r="R8282" t="str">
        <f>IFERROR(VLOOKUP(record[[#This Row],[PCUSTID]],廠商[],2,FALSE),"")</f>
        <v/>
      </c>
      <c r="S8282" t="str">
        <f>VLOOKUP(record[[#This Row],[employeeID]],員工[],2,FALSE)</f>
        <v>張淑惠</v>
      </c>
    </row>
    <row r="8283" spans="6:19" hidden="1" x14ac:dyDescent="0.25">
      <c r="F8283" t="s">
        <v>959</v>
      </c>
      <c r="G8283" t="s">
        <v>355</v>
      </c>
      <c r="H8283" t="str">
        <f>VLOOKUP(record[[#This Row],[ProcessSN]],表格2_7[],2,FALSE)</f>
        <v>30-4118-018-450</v>
      </c>
      <c r="I8283" t="str">
        <f>VLOOKUP(record[[#This Row],[ProcessSN]],表格2_7[],3,FALSE)</f>
        <v>#08PICK</v>
      </c>
      <c r="J8283" t="s">
        <v>582</v>
      </c>
      <c r="K8283" s="195">
        <v>45876.402650462966</v>
      </c>
      <c r="L8283">
        <v>32</v>
      </c>
      <c r="M8283">
        <v>0</v>
      </c>
      <c r="N8283" s="98" t="str">
        <f>IF(record[[#This Row],[Memo]]="Browser:chrome os:android","平板報工",IF(record[[#This Row],[Memo]]=0,"委外",record[[#This Row],[Memo]]))</f>
        <v/>
      </c>
      <c r="O8283" t="s">
        <v>58</v>
      </c>
      <c r="P8283" t="s">
        <v>196</v>
      </c>
      <c r="Q8283" t="s">
        <v>58</v>
      </c>
      <c r="R8283" t="str">
        <f>IFERROR(VLOOKUP(record[[#This Row],[PCUSTID]],廠商[],2,FALSE),"")</f>
        <v/>
      </c>
      <c r="S8283" t="str">
        <f>VLOOKUP(record[[#This Row],[employeeID]],員工[],2,FALSE)</f>
        <v>張淑惠</v>
      </c>
    </row>
    <row r="8284" spans="6:19" hidden="1" x14ac:dyDescent="0.25">
      <c r="F8284" t="s">
        <v>778</v>
      </c>
      <c r="G8284" t="s">
        <v>419</v>
      </c>
      <c r="H8284" t="str">
        <f>VLOOKUP(record[[#This Row],[ProcessSN]],表格2_7[],2,FALSE)</f>
        <v>30-4118-018-5XX</v>
      </c>
      <c r="I8284" t="str">
        <f>VLOOKUP(record[[#This Row],[ProcessSN]],表格2_7[],3,FALSE)</f>
        <v>#07QC</v>
      </c>
      <c r="J8284" t="s">
        <v>589</v>
      </c>
      <c r="K8284" s="195">
        <v>45876.396331018521</v>
      </c>
      <c r="L8284">
        <v>29</v>
      </c>
      <c r="M8284">
        <v>0</v>
      </c>
      <c r="N8284" s="98" t="str">
        <f>IF(record[[#This Row],[Memo]]="Browser:chrome os:android","平板報工",IF(record[[#This Row],[Memo]]=0,"委外",record[[#This Row],[Memo]]))</f>
        <v>平板報工</v>
      </c>
      <c r="O8284" t="s">
        <v>643</v>
      </c>
      <c r="P8284" t="s">
        <v>141</v>
      </c>
      <c r="Q8284" t="s">
        <v>644</v>
      </c>
      <c r="R8284" t="str">
        <f>IFERROR(VLOOKUP(record[[#This Row],[PCUSTID]],廠商[],2,FALSE),"")</f>
        <v/>
      </c>
      <c r="S8284" t="str">
        <f>VLOOKUP(record[[#This Row],[employeeID]],員工[],2,FALSE)</f>
        <v>蔣梅</v>
      </c>
    </row>
    <row r="8285" spans="6:19" hidden="1" x14ac:dyDescent="0.25">
      <c r="F8285" t="s">
        <v>777</v>
      </c>
      <c r="G8285" t="s">
        <v>452</v>
      </c>
      <c r="H8285" t="str">
        <f>VLOOKUP(record[[#This Row],[ProcessSN]],表格2_7[],2,FALSE)</f>
        <v>30-4118-018-6XX</v>
      </c>
      <c r="I8285" t="str">
        <f>VLOOKUP(record[[#This Row],[ProcessSN]],表格2_7[],3,FALSE)</f>
        <v>#07QC</v>
      </c>
      <c r="J8285" t="s">
        <v>589</v>
      </c>
      <c r="K8285" s="195">
        <v>45876.392951388887</v>
      </c>
      <c r="L8285">
        <v>54</v>
      </c>
      <c r="M8285">
        <v>0</v>
      </c>
      <c r="N8285" s="98" t="str">
        <f>IF(record[[#This Row],[Memo]]="Browser:chrome os:android","平板報工",IF(record[[#This Row],[Memo]]=0,"委外",record[[#This Row],[Memo]]))</f>
        <v>平板報工</v>
      </c>
      <c r="O8285" t="s">
        <v>643</v>
      </c>
      <c r="P8285" t="s">
        <v>141</v>
      </c>
      <c r="Q8285" t="s">
        <v>644</v>
      </c>
      <c r="R8285" t="str">
        <f>IFERROR(VLOOKUP(record[[#This Row],[PCUSTID]],廠商[],2,FALSE),"")</f>
        <v/>
      </c>
      <c r="S8285" t="str">
        <f>VLOOKUP(record[[#This Row],[employeeID]],員工[],2,FALSE)</f>
        <v>蔣梅</v>
      </c>
    </row>
    <row r="8286" spans="6:19" hidden="1" x14ac:dyDescent="0.25">
      <c r="F8286" t="s">
        <v>902</v>
      </c>
      <c r="G8286" t="s">
        <v>378</v>
      </c>
      <c r="H8286" t="str">
        <f>VLOOKUP(record[[#This Row],[ProcessSN]],表格2_7[],2,FALSE)</f>
        <v>30-4118-018-4XX</v>
      </c>
      <c r="I8286" t="str">
        <f>VLOOKUP(record[[#This Row],[ProcessSN]],表格2_7[],3,FALSE)</f>
        <v>#07QC</v>
      </c>
      <c r="J8286" t="s">
        <v>589</v>
      </c>
      <c r="K8286" s="195">
        <v>45876.391331018516</v>
      </c>
      <c r="L8286">
        <v>32</v>
      </c>
      <c r="M8286">
        <v>0</v>
      </c>
      <c r="N8286" s="98" t="str">
        <f>IF(record[[#This Row],[Memo]]="Browser:chrome os:android","平板報工",IF(record[[#This Row],[Memo]]=0,"委外",record[[#This Row],[Memo]]))</f>
        <v>平板報工</v>
      </c>
      <c r="O8286" t="s">
        <v>643</v>
      </c>
      <c r="P8286" t="s">
        <v>141</v>
      </c>
      <c r="Q8286" t="s">
        <v>644</v>
      </c>
      <c r="R8286" t="str">
        <f>IFERROR(VLOOKUP(record[[#This Row],[PCUSTID]],廠商[],2,FALSE),"")</f>
        <v/>
      </c>
      <c r="S8286" t="str">
        <f>VLOOKUP(record[[#This Row],[employeeID]],員工[],2,FALSE)</f>
        <v>蔣梅</v>
      </c>
    </row>
    <row r="8287" spans="6:19" hidden="1" x14ac:dyDescent="0.25">
      <c r="F8287" t="s">
        <v>900</v>
      </c>
      <c r="G8287" t="s">
        <v>452</v>
      </c>
      <c r="H8287" t="str">
        <f>VLOOKUP(record[[#This Row],[ProcessSN]],表格2_7[],2,FALSE)</f>
        <v>30-4118-018-6XX</v>
      </c>
      <c r="I8287" t="str">
        <f>VLOOKUP(record[[#This Row],[ProcessSN]],表格2_7[],3,FALSE)</f>
        <v>#07QC</v>
      </c>
      <c r="J8287" t="s">
        <v>589</v>
      </c>
      <c r="K8287" s="195">
        <v>45876.387303240743</v>
      </c>
      <c r="L8287">
        <v>160</v>
      </c>
      <c r="M8287">
        <v>0</v>
      </c>
      <c r="N8287" s="98" t="str">
        <f>IF(record[[#This Row],[Memo]]="Browser:chrome os:android","平板報工",IF(record[[#This Row],[Memo]]=0,"委外",record[[#This Row],[Memo]]))</f>
        <v>平板報工</v>
      </c>
      <c r="O8287" t="s">
        <v>643</v>
      </c>
      <c r="P8287" t="s">
        <v>141</v>
      </c>
      <c r="Q8287" t="s">
        <v>644</v>
      </c>
      <c r="R8287" t="str">
        <f>IFERROR(VLOOKUP(record[[#This Row],[PCUSTID]],廠商[],2,FALSE),"")</f>
        <v/>
      </c>
      <c r="S8287" t="str">
        <f>VLOOKUP(record[[#This Row],[employeeID]],員工[],2,FALSE)</f>
        <v>蔣梅</v>
      </c>
    </row>
    <row r="8288" spans="6:19" hidden="1" x14ac:dyDescent="0.25">
      <c r="F8288" t="s">
        <v>955</v>
      </c>
      <c r="G8288" t="s">
        <v>379</v>
      </c>
      <c r="H8288" t="str">
        <f>VLOOKUP(record[[#This Row],[ProcessSN]],表格2_7[],2,FALSE)</f>
        <v>30-4118-018-4XX</v>
      </c>
      <c r="I8288" t="str">
        <f>VLOOKUP(record[[#This Row],[ProcessSN]],表格2_7[],3,FALSE)</f>
        <v>#07STOCK</v>
      </c>
      <c r="J8288" t="s">
        <v>592</v>
      </c>
      <c r="K8288" s="195">
        <v>45876.382928240739</v>
      </c>
      <c r="L8288">
        <v>151</v>
      </c>
      <c r="M8288">
        <v>0</v>
      </c>
      <c r="N8288" s="98" t="str">
        <f>IF(record[[#This Row],[Memo]]="Browser:chrome os:android","平板報工",IF(record[[#This Row],[Memo]]=0,"委外",record[[#This Row],[Memo]]))</f>
        <v/>
      </c>
      <c r="O8288" t="s">
        <v>58</v>
      </c>
      <c r="P8288" t="s">
        <v>196</v>
      </c>
      <c r="Q8288" t="s">
        <v>58</v>
      </c>
      <c r="R8288" t="str">
        <f>IFERROR(VLOOKUP(record[[#This Row],[PCUSTID]],廠商[],2,FALSE),"")</f>
        <v/>
      </c>
      <c r="S8288" t="str">
        <f>VLOOKUP(record[[#This Row],[employeeID]],員工[],2,FALSE)</f>
        <v>張淑惠</v>
      </c>
    </row>
    <row r="8289" spans="6:19" hidden="1" x14ac:dyDescent="0.25">
      <c r="F8289" t="s">
        <v>956</v>
      </c>
      <c r="G8289" t="s">
        <v>355</v>
      </c>
      <c r="H8289" t="str">
        <f>VLOOKUP(record[[#This Row],[ProcessSN]],表格2_7[],2,FALSE)</f>
        <v>30-4118-018-450</v>
      </c>
      <c r="I8289" t="str">
        <f>VLOOKUP(record[[#This Row],[ProcessSN]],表格2_7[],3,FALSE)</f>
        <v>#08PICK</v>
      </c>
      <c r="J8289" t="s">
        <v>582</v>
      </c>
      <c r="K8289" s="195">
        <v>45876.380358796298</v>
      </c>
      <c r="L8289">
        <v>151</v>
      </c>
      <c r="M8289">
        <v>0</v>
      </c>
      <c r="N8289" s="98" t="str">
        <f>IF(record[[#This Row],[Memo]]="Browser:chrome os:android","平板報工",IF(record[[#This Row],[Memo]]=0,"委外",record[[#This Row],[Memo]]))</f>
        <v/>
      </c>
      <c r="O8289" t="s">
        <v>58</v>
      </c>
      <c r="P8289" t="s">
        <v>196</v>
      </c>
      <c r="Q8289" t="s">
        <v>58</v>
      </c>
      <c r="R8289" t="str">
        <f>IFERROR(VLOOKUP(record[[#This Row],[PCUSTID]],廠商[],2,FALSE),"")</f>
        <v/>
      </c>
      <c r="S8289" t="str">
        <f>VLOOKUP(record[[#This Row],[employeeID]],員工[],2,FALSE)</f>
        <v>張淑惠</v>
      </c>
    </row>
    <row r="8290" spans="6:19" hidden="1" x14ac:dyDescent="0.25">
      <c r="F8290" t="s">
        <v>930</v>
      </c>
      <c r="G8290" t="s">
        <v>400</v>
      </c>
      <c r="H8290" t="str">
        <f>VLOOKUP(record[[#This Row],[ProcessSN]],表格2_7[],2,FALSE)</f>
        <v>30-4118-018-550</v>
      </c>
      <c r="I8290" t="str">
        <f>VLOOKUP(record[[#This Row],[ProcessSN]],表格2_7[],3,FALSE)</f>
        <v>#100</v>
      </c>
      <c r="J8290" t="s">
        <v>598</v>
      </c>
      <c r="K8290" s="195">
        <v>45876.339375000003</v>
      </c>
      <c r="L8290">
        <v>145</v>
      </c>
      <c r="M8290">
        <v>0</v>
      </c>
      <c r="N8290" s="98" t="str">
        <f>IF(record[[#This Row],[Memo]]="Browser:chrome os:android","平板報工",IF(record[[#This Row],[Memo]]=0,"委外",record[[#This Row],[Memo]]))</f>
        <v>平板報工</v>
      </c>
      <c r="O8290" t="s">
        <v>643</v>
      </c>
      <c r="P8290" t="s">
        <v>141</v>
      </c>
      <c r="Q8290" t="s">
        <v>644</v>
      </c>
      <c r="R8290" t="str">
        <f>IFERROR(VLOOKUP(record[[#This Row],[PCUSTID]],廠商[],2,FALSE),"")</f>
        <v/>
      </c>
      <c r="S8290" t="str">
        <f>VLOOKUP(record[[#This Row],[employeeID]],員工[],2,FALSE)</f>
        <v>蔣梅</v>
      </c>
    </row>
    <row r="8291" spans="6:19" hidden="1" x14ac:dyDescent="0.25">
      <c r="F8291" t="s">
        <v>930</v>
      </c>
      <c r="G8291" t="s">
        <v>400</v>
      </c>
      <c r="H8291" t="str">
        <f>VLOOKUP(record[[#This Row],[ProcessSN]],表格2_7[],2,FALSE)</f>
        <v>30-4118-018-550</v>
      </c>
      <c r="I8291" t="str">
        <f>VLOOKUP(record[[#This Row],[ProcessSN]],表格2_7[],3,FALSE)</f>
        <v>#100</v>
      </c>
      <c r="J8291" t="s">
        <v>598</v>
      </c>
      <c r="K8291" s="195">
        <v>45876.339039351849</v>
      </c>
      <c r="L8291">
        <v>0</v>
      </c>
      <c r="M8291">
        <v>6</v>
      </c>
      <c r="N8291" s="98" t="str">
        <f>IF(record[[#This Row],[Memo]]="Browser:chrome os:android","平板報工",IF(record[[#This Row],[Memo]]=0,"委外",record[[#This Row],[Memo]]))</f>
        <v>平板報工</v>
      </c>
      <c r="O8291" t="s">
        <v>643</v>
      </c>
      <c r="P8291" t="s">
        <v>141</v>
      </c>
      <c r="Q8291" t="s">
        <v>644</v>
      </c>
      <c r="R8291" t="str">
        <f>IFERROR(VLOOKUP(record[[#This Row],[PCUSTID]],廠商[],2,FALSE),"")</f>
        <v/>
      </c>
      <c r="S8291" t="str">
        <f>VLOOKUP(record[[#This Row],[employeeID]],員工[],2,FALSE)</f>
        <v>蔣梅</v>
      </c>
    </row>
    <row r="8292" spans="6:19" hidden="1" x14ac:dyDescent="0.25">
      <c r="F8292" t="s">
        <v>904</v>
      </c>
      <c r="G8292" t="s">
        <v>417</v>
      </c>
      <c r="H8292" t="str">
        <f>VLOOKUP(record[[#This Row],[ProcessSN]],表格2_7[],2,FALSE)</f>
        <v>30-4118-018-5XX</v>
      </c>
      <c r="I8292" t="str">
        <f>VLOOKUP(record[[#This Row],[ProcessSN]],表格2_7[],3,FALSE)</f>
        <v>#06</v>
      </c>
      <c r="J8292" t="s">
        <v>593</v>
      </c>
      <c r="K8292" s="195">
        <v>45876.313275462962</v>
      </c>
      <c r="L8292">
        <v>100</v>
      </c>
      <c r="M8292">
        <v>0</v>
      </c>
      <c r="N8292" s="98" t="str">
        <f>IF(record[[#This Row],[Memo]]="Browser:chrome os:android","平板報工",IF(record[[#This Row],[Memo]]=0,"委外",record[[#This Row],[Memo]]))</f>
        <v/>
      </c>
      <c r="O8292" t="s">
        <v>58</v>
      </c>
      <c r="P8292" t="s">
        <v>135</v>
      </c>
      <c r="Q8292" t="s">
        <v>58</v>
      </c>
      <c r="R8292" t="str">
        <f>IFERROR(VLOOKUP(record[[#This Row],[PCUSTID]],廠商[],2,FALSE),"")</f>
        <v/>
      </c>
      <c r="S8292" t="str">
        <f>VLOOKUP(record[[#This Row],[employeeID]],員工[],2,FALSE)</f>
        <v>阮士文</v>
      </c>
    </row>
    <row r="8293" spans="6:19" hidden="1" x14ac:dyDescent="0.25">
      <c r="F8293" t="s">
        <v>849</v>
      </c>
      <c r="G8293" t="s">
        <v>466</v>
      </c>
      <c r="H8293" t="str">
        <f>VLOOKUP(record[[#This Row],[ProcessSN]],表格2_7[],2,FALSE)</f>
        <v>30-4118-018-XXX</v>
      </c>
      <c r="I8293" t="str">
        <f>VLOOKUP(record[[#This Row],[ProcessSN]],表格2_7[],3,FALSE)</f>
        <v>#01-2</v>
      </c>
      <c r="J8293" t="s">
        <v>588</v>
      </c>
      <c r="K8293" s="195">
        <v>45875.967106481483</v>
      </c>
      <c r="L8293">
        <v>41</v>
      </c>
      <c r="M8293">
        <v>-41</v>
      </c>
      <c r="N8293" s="98" t="str">
        <f>IF(record[[#This Row],[Memo]]="Browser:chrome os:android","平板報工",IF(record[[#This Row],[Memo]]=0,"委外",record[[#This Row],[Memo]]))</f>
        <v>覆回品</v>
      </c>
      <c r="O8293" t="s">
        <v>664</v>
      </c>
      <c r="P8293" t="s">
        <v>65</v>
      </c>
      <c r="Q8293" t="s">
        <v>58</v>
      </c>
      <c r="R8293" t="str">
        <f>IFERROR(VLOOKUP(record[[#This Row],[PCUSTID]],廠商[],2,FALSE),"")</f>
        <v/>
      </c>
      <c r="S8293" t="str">
        <f>VLOOKUP(record[[#This Row],[employeeID]],員工[],2,FALSE)</f>
        <v>蘇進昌</v>
      </c>
    </row>
    <row r="8294" spans="6:19" hidden="1" x14ac:dyDescent="0.25">
      <c r="F8294" t="s">
        <v>904</v>
      </c>
      <c r="G8294" t="s">
        <v>415</v>
      </c>
      <c r="H8294" t="str">
        <f>VLOOKUP(record[[#This Row],[ProcessSN]],表格2_7[],2,FALSE)</f>
        <v>30-4118-018-5XX</v>
      </c>
      <c r="I8294" t="str">
        <f>VLOOKUP(record[[#This Row],[ProcessSN]],表格2_7[],3,FALSE)</f>
        <v>#04</v>
      </c>
      <c r="J8294" t="s">
        <v>588</v>
      </c>
      <c r="K8294" s="195">
        <v>45875.945740740739</v>
      </c>
      <c r="L8294">
        <v>142</v>
      </c>
      <c r="M8294">
        <v>0</v>
      </c>
      <c r="N8294" s="98" t="str">
        <f>IF(record[[#This Row],[Memo]]="Browser:chrome os:android","平板報工",IF(record[[#This Row],[Memo]]=0,"委外",record[[#This Row],[Memo]]))</f>
        <v/>
      </c>
      <c r="O8294" t="s">
        <v>58</v>
      </c>
      <c r="P8294" t="s">
        <v>133</v>
      </c>
      <c r="Q8294" t="s">
        <v>58</v>
      </c>
      <c r="R8294" t="str">
        <f>IFERROR(VLOOKUP(record[[#This Row],[PCUSTID]],廠商[],2,FALSE),"")</f>
        <v/>
      </c>
      <c r="S8294" t="str">
        <f>VLOOKUP(record[[#This Row],[employeeID]],員工[],2,FALSE)</f>
        <v>黎長維</v>
      </c>
    </row>
    <row r="8295" spans="6:19" hidden="1" x14ac:dyDescent="0.25">
      <c r="F8295" t="s">
        <v>904</v>
      </c>
      <c r="G8295" t="s">
        <v>417</v>
      </c>
      <c r="H8295" t="str">
        <f>VLOOKUP(record[[#This Row],[ProcessSN]],表格2_7[],2,FALSE)</f>
        <v>30-4118-018-5XX</v>
      </c>
      <c r="I8295" t="str">
        <f>VLOOKUP(record[[#This Row],[ProcessSN]],表格2_7[],3,FALSE)</f>
        <v>#06</v>
      </c>
      <c r="J8295" t="s">
        <v>593</v>
      </c>
      <c r="K8295" s="195">
        <v>45875.925798611112</v>
      </c>
      <c r="L8295">
        <v>34</v>
      </c>
      <c r="M8295">
        <v>1</v>
      </c>
      <c r="N8295" s="98" t="str">
        <f>IF(record[[#This Row],[Memo]]="Browser:chrome os:android","平板報工",IF(record[[#This Row],[Memo]]=0,"委外",record[[#This Row],[Memo]]))</f>
        <v/>
      </c>
      <c r="O8295" t="s">
        <v>58</v>
      </c>
      <c r="P8295" t="s">
        <v>841</v>
      </c>
      <c r="Q8295" t="s">
        <v>58</v>
      </c>
      <c r="R8295" t="str">
        <f>IFERROR(VLOOKUP(record[[#This Row],[PCUSTID]],廠商[],2,FALSE),"")</f>
        <v/>
      </c>
      <c r="S8295" t="str">
        <f>VLOOKUP(record[[#This Row],[employeeID]],員工[],2,FALSE)</f>
        <v>范氏香</v>
      </c>
    </row>
    <row r="8296" spans="6:19" hidden="1" x14ac:dyDescent="0.25">
      <c r="F8296" t="s">
        <v>900</v>
      </c>
      <c r="G8296" t="s">
        <v>450</v>
      </c>
      <c r="H8296" t="str">
        <f>VLOOKUP(record[[#This Row],[ProcessSN]],表格2_7[],2,FALSE)</f>
        <v>30-4118-018-6XX</v>
      </c>
      <c r="I8296" t="str">
        <f>VLOOKUP(record[[#This Row],[ProcessSN]],表格2_7[],3,FALSE)</f>
        <v>#06</v>
      </c>
      <c r="J8296" t="s">
        <v>593</v>
      </c>
      <c r="K8296" s="195">
        <v>45875.925497685188</v>
      </c>
      <c r="L8296">
        <v>81</v>
      </c>
      <c r="M8296">
        <v>0</v>
      </c>
      <c r="N8296" s="98" t="str">
        <f>IF(record[[#This Row],[Memo]]="Browser:chrome os:android","平板報工",IF(record[[#This Row],[Memo]]=0,"委外",record[[#This Row],[Memo]]))</f>
        <v/>
      </c>
      <c r="O8296" t="s">
        <v>58</v>
      </c>
      <c r="P8296" t="s">
        <v>841</v>
      </c>
      <c r="Q8296" t="s">
        <v>58</v>
      </c>
      <c r="R8296" t="str">
        <f>IFERROR(VLOOKUP(record[[#This Row],[PCUSTID]],廠商[],2,FALSE),"")</f>
        <v/>
      </c>
      <c r="S8296" t="str">
        <f>VLOOKUP(record[[#This Row],[employeeID]],員工[],2,FALSE)</f>
        <v>范氏香</v>
      </c>
    </row>
    <row r="8297" spans="6:19" hidden="1" x14ac:dyDescent="0.25">
      <c r="F8297" t="s">
        <v>955</v>
      </c>
      <c r="G8297" t="s">
        <v>378</v>
      </c>
      <c r="H8297" t="str">
        <f>VLOOKUP(record[[#This Row],[ProcessSN]],表格2_7[],2,FALSE)</f>
        <v>30-4118-018-4XX</v>
      </c>
      <c r="I8297" t="str">
        <f>VLOOKUP(record[[#This Row],[ProcessSN]],表格2_7[],3,FALSE)</f>
        <v>#07QC</v>
      </c>
      <c r="J8297" t="s">
        <v>589</v>
      </c>
      <c r="K8297" s="195">
        <v>45875.757337962961</v>
      </c>
      <c r="L8297">
        <v>151</v>
      </c>
      <c r="M8297">
        <v>0</v>
      </c>
      <c r="N8297" s="98" t="str">
        <f>IF(record[[#This Row],[Memo]]="Browser:chrome os:android","平板報工",IF(record[[#This Row],[Memo]]=0,"委外",record[[#This Row],[Memo]]))</f>
        <v>平板報工</v>
      </c>
      <c r="O8297" t="s">
        <v>643</v>
      </c>
      <c r="P8297" t="s">
        <v>141</v>
      </c>
      <c r="Q8297" t="s">
        <v>644</v>
      </c>
      <c r="R8297" t="str">
        <f>IFERROR(VLOOKUP(record[[#This Row],[PCUSTID]],廠商[],2,FALSE),"")</f>
        <v/>
      </c>
      <c r="S8297" t="str">
        <f>VLOOKUP(record[[#This Row],[employeeID]],員工[],2,FALSE)</f>
        <v>蔣梅</v>
      </c>
    </row>
    <row r="8298" spans="6:19" hidden="1" x14ac:dyDescent="0.25">
      <c r="F8298" t="s">
        <v>942</v>
      </c>
      <c r="G8298" t="s">
        <v>358</v>
      </c>
      <c r="H8298" t="str">
        <f>VLOOKUP(record[[#This Row],[ProcessSN]],表格2_7[],2,FALSE)</f>
        <v>30-4118-018-450</v>
      </c>
      <c r="I8298" t="str">
        <f>VLOOKUP(record[[#This Row],[ProcessSN]],表格2_7[],3,FALSE)</f>
        <v>#08IQC</v>
      </c>
      <c r="J8298" t="s">
        <v>583</v>
      </c>
      <c r="K8298" s="195">
        <v>45875.745844907404</v>
      </c>
      <c r="L8298">
        <v>144</v>
      </c>
      <c r="M8298">
        <v>0</v>
      </c>
      <c r="N8298" s="98" t="str">
        <f>IF(record[[#This Row],[Memo]]="Browser:chrome os:android","平板報工",IF(record[[#This Row],[Memo]]=0,"委外",record[[#This Row],[Memo]]))</f>
        <v/>
      </c>
      <c r="O8298" t="s">
        <v>58</v>
      </c>
      <c r="P8298" t="s">
        <v>109</v>
      </c>
      <c r="Q8298" t="s">
        <v>58</v>
      </c>
      <c r="R8298" t="str">
        <f>IFERROR(VLOOKUP(record[[#This Row],[PCUSTID]],廠商[],2,FALSE),"")</f>
        <v/>
      </c>
      <c r="S8298" t="str">
        <f>VLOOKUP(record[[#This Row],[employeeID]],員工[],2,FALSE)</f>
        <v>裴氏璧鳳</v>
      </c>
    </row>
    <row r="8299" spans="6:19" hidden="1" x14ac:dyDescent="0.25">
      <c r="F8299" t="s">
        <v>945</v>
      </c>
      <c r="G8299" t="s">
        <v>358</v>
      </c>
      <c r="H8299" t="str">
        <f>VLOOKUP(record[[#This Row],[ProcessSN]],表格2_7[],2,FALSE)</f>
        <v>30-4118-018-450</v>
      </c>
      <c r="I8299" t="str">
        <f>VLOOKUP(record[[#This Row],[ProcessSN]],表格2_7[],3,FALSE)</f>
        <v>#08IQC</v>
      </c>
      <c r="J8299" t="s">
        <v>583</v>
      </c>
      <c r="K8299" s="195">
        <v>45875.745706018519</v>
      </c>
      <c r="L8299">
        <v>302</v>
      </c>
      <c r="M8299">
        <v>0</v>
      </c>
      <c r="N8299" s="98" t="str">
        <f>IF(record[[#This Row],[Memo]]="Browser:chrome os:android","平板報工",IF(record[[#This Row],[Memo]]=0,"委外",record[[#This Row],[Memo]]))</f>
        <v/>
      </c>
      <c r="O8299" t="s">
        <v>58</v>
      </c>
      <c r="P8299" t="s">
        <v>109</v>
      </c>
      <c r="Q8299" t="s">
        <v>58</v>
      </c>
      <c r="R8299" t="str">
        <f>IFERROR(VLOOKUP(record[[#This Row],[PCUSTID]],廠商[],2,FALSE),"")</f>
        <v/>
      </c>
      <c r="S8299" t="str">
        <f>VLOOKUP(record[[#This Row],[employeeID]],員工[],2,FALSE)</f>
        <v>裴氏璧鳳</v>
      </c>
    </row>
    <row r="8300" spans="6:19" hidden="1" x14ac:dyDescent="0.25">
      <c r="F8300" t="s">
        <v>900</v>
      </c>
      <c r="G8300" t="s">
        <v>450</v>
      </c>
      <c r="H8300" t="str">
        <f>VLOOKUP(record[[#This Row],[ProcessSN]],表格2_7[],2,FALSE)</f>
        <v>30-4118-018-6XX</v>
      </c>
      <c r="I8300" t="str">
        <f>VLOOKUP(record[[#This Row],[ProcessSN]],表格2_7[],3,FALSE)</f>
        <v>#06</v>
      </c>
      <c r="J8300" t="s">
        <v>593</v>
      </c>
      <c r="K8300" s="195">
        <v>45875.702870370369</v>
      </c>
      <c r="L8300">
        <v>100</v>
      </c>
      <c r="M8300">
        <v>3</v>
      </c>
      <c r="N8300" s="98" t="str">
        <f>IF(record[[#This Row],[Memo]]="Browser:chrome os:android","平板報工",IF(record[[#This Row],[Memo]]=0,"委外",record[[#This Row],[Memo]]))</f>
        <v/>
      </c>
      <c r="O8300" t="s">
        <v>58</v>
      </c>
      <c r="P8300" t="s">
        <v>119</v>
      </c>
      <c r="Q8300" t="s">
        <v>58</v>
      </c>
      <c r="R8300" t="str">
        <f>IFERROR(VLOOKUP(record[[#This Row],[PCUSTID]],廠商[],2,FALSE),"")</f>
        <v/>
      </c>
      <c r="S8300" t="str">
        <f>VLOOKUP(record[[#This Row],[employeeID]],員工[],2,FALSE)</f>
        <v>廖俊彥</v>
      </c>
    </row>
    <row r="8301" spans="6:19" hidden="1" x14ac:dyDescent="0.25">
      <c r="F8301" t="s">
        <v>904</v>
      </c>
      <c r="G8301" t="s">
        <v>415</v>
      </c>
      <c r="H8301" t="str">
        <f>VLOOKUP(record[[#This Row],[ProcessSN]],表格2_7[],2,FALSE)</f>
        <v>30-4118-018-5XX</v>
      </c>
      <c r="I8301" t="str">
        <f>VLOOKUP(record[[#This Row],[ProcessSN]],表格2_7[],3,FALSE)</f>
        <v>#04</v>
      </c>
      <c r="J8301" t="s">
        <v>588</v>
      </c>
      <c r="K8301" s="195">
        <v>45875.698865740742</v>
      </c>
      <c r="L8301">
        <v>147</v>
      </c>
      <c r="M8301">
        <v>1</v>
      </c>
      <c r="N8301" s="98" t="str">
        <f>IF(record[[#This Row],[Memo]]="Browser:chrome os:android","平板報工",IF(record[[#This Row],[Memo]]=0,"委外",record[[#This Row],[Memo]]))</f>
        <v/>
      </c>
      <c r="O8301" t="s">
        <v>58</v>
      </c>
      <c r="P8301" t="s">
        <v>119</v>
      </c>
      <c r="Q8301" t="s">
        <v>58</v>
      </c>
      <c r="R8301" t="str">
        <f>IFERROR(VLOOKUP(record[[#This Row],[PCUSTID]],廠商[],2,FALSE),"")</f>
        <v/>
      </c>
      <c r="S8301" t="str">
        <f>VLOOKUP(record[[#This Row],[employeeID]],員工[],2,FALSE)</f>
        <v>廖俊彥</v>
      </c>
    </row>
    <row r="8302" spans="6:19" hidden="1" x14ac:dyDescent="0.25">
      <c r="F8302" t="s">
        <v>900</v>
      </c>
      <c r="G8302" t="s">
        <v>451</v>
      </c>
      <c r="H8302" t="str">
        <f>VLOOKUP(record[[#This Row],[ProcessSN]],表格2_7[],2,FALSE)</f>
        <v>30-4118-018-6XX</v>
      </c>
      <c r="I8302" t="str">
        <f>VLOOKUP(record[[#This Row],[ProcessSN]],表格2_7[],3,FALSE)</f>
        <v>#07</v>
      </c>
      <c r="J8302" t="s">
        <v>588</v>
      </c>
      <c r="K8302" s="195">
        <v>45875.698622685188</v>
      </c>
      <c r="L8302">
        <v>176</v>
      </c>
      <c r="M8302">
        <v>1</v>
      </c>
      <c r="N8302" s="98" t="str">
        <f>IF(record[[#This Row],[Memo]]="Browser:chrome os:android","平板報工",IF(record[[#This Row],[Memo]]=0,"委外",record[[#This Row],[Memo]]))</f>
        <v/>
      </c>
      <c r="O8302" t="s">
        <v>58</v>
      </c>
      <c r="P8302" t="s">
        <v>119</v>
      </c>
      <c r="Q8302" t="s">
        <v>58</v>
      </c>
      <c r="R8302" t="str">
        <f>IFERROR(VLOOKUP(record[[#This Row],[PCUSTID]],廠商[],2,FALSE),"")</f>
        <v/>
      </c>
      <c r="S8302" t="str">
        <f>VLOOKUP(record[[#This Row],[employeeID]],員工[],2,FALSE)</f>
        <v>廖俊彥</v>
      </c>
    </row>
    <row r="8303" spans="6:19" hidden="1" x14ac:dyDescent="0.25">
      <c r="F8303" t="s">
        <v>955</v>
      </c>
      <c r="G8303" t="s">
        <v>377</v>
      </c>
      <c r="H8303" t="str">
        <f>VLOOKUP(record[[#This Row],[ProcessSN]],表格2_7[],2,FALSE)</f>
        <v>30-4118-018-4XX</v>
      </c>
      <c r="I8303" t="str">
        <f>VLOOKUP(record[[#This Row],[ProcessSN]],表格2_7[],3,FALSE)</f>
        <v>#07</v>
      </c>
      <c r="J8303" t="s">
        <v>588</v>
      </c>
      <c r="K8303" s="195">
        <v>45875.641099537039</v>
      </c>
      <c r="L8303">
        <v>151</v>
      </c>
      <c r="M8303">
        <v>0</v>
      </c>
      <c r="N8303" s="98" t="str">
        <f>IF(record[[#This Row],[Memo]]="Browser:chrome os:android","平板報工",IF(record[[#This Row],[Memo]]=0,"委外",record[[#This Row],[Memo]]))</f>
        <v/>
      </c>
      <c r="O8303" t="s">
        <v>58</v>
      </c>
      <c r="P8303" t="s">
        <v>65</v>
      </c>
      <c r="Q8303" t="s">
        <v>58</v>
      </c>
      <c r="R8303" t="str">
        <f>IFERROR(VLOOKUP(record[[#This Row],[PCUSTID]],廠商[],2,FALSE),"")</f>
        <v/>
      </c>
      <c r="S8303" t="str">
        <f>VLOOKUP(record[[#This Row],[employeeID]],員工[],2,FALSE)</f>
        <v>蘇進昌</v>
      </c>
    </row>
    <row r="8304" spans="6:19" hidden="1" x14ac:dyDescent="0.25">
      <c r="F8304" t="s">
        <v>955</v>
      </c>
      <c r="G8304" t="s">
        <v>376</v>
      </c>
      <c r="H8304" t="str">
        <f>VLOOKUP(record[[#This Row],[ProcessSN]],表格2_7[],2,FALSE)</f>
        <v>30-4118-018-4XX</v>
      </c>
      <c r="I8304" t="str">
        <f>VLOOKUP(record[[#This Row],[ProcessSN]],表格2_7[],3,FALSE)</f>
        <v>#06</v>
      </c>
      <c r="J8304" t="s">
        <v>593</v>
      </c>
      <c r="K8304" s="195">
        <v>45875.641041666669</v>
      </c>
      <c r="L8304">
        <v>151</v>
      </c>
      <c r="M8304">
        <v>0</v>
      </c>
      <c r="N8304" s="98" t="str">
        <f>IF(record[[#This Row],[Memo]]="Browser:chrome os:android","平板報工",IF(record[[#This Row],[Memo]]=0,"委外",record[[#This Row],[Memo]]))</f>
        <v/>
      </c>
      <c r="O8304" t="s">
        <v>58</v>
      </c>
      <c r="P8304" t="s">
        <v>65</v>
      </c>
      <c r="Q8304" t="s">
        <v>58</v>
      </c>
      <c r="R8304" t="str">
        <f>IFERROR(VLOOKUP(record[[#This Row],[PCUSTID]],廠商[],2,FALSE),"")</f>
        <v/>
      </c>
      <c r="S8304" t="str">
        <f>VLOOKUP(record[[#This Row],[employeeID]],員工[],2,FALSE)</f>
        <v>蘇進昌</v>
      </c>
    </row>
    <row r="8305" spans="6:19" hidden="1" x14ac:dyDescent="0.25">
      <c r="F8305" t="s">
        <v>955</v>
      </c>
      <c r="G8305" t="s">
        <v>375</v>
      </c>
      <c r="H8305" t="str">
        <f>VLOOKUP(record[[#This Row],[ProcessSN]],表格2_7[],2,FALSE)</f>
        <v>30-4118-018-4XX</v>
      </c>
      <c r="I8305" t="str">
        <f>VLOOKUP(record[[#This Row],[ProcessSN]],表格2_7[],3,FALSE)</f>
        <v>#05</v>
      </c>
      <c r="J8305" t="s">
        <v>588</v>
      </c>
      <c r="K8305" s="195">
        <v>45875.6409375</v>
      </c>
      <c r="L8305">
        <v>151</v>
      </c>
      <c r="M8305">
        <v>0</v>
      </c>
      <c r="N8305" s="98" t="str">
        <f>IF(record[[#This Row],[Memo]]="Browser:chrome os:android","平板報工",IF(record[[#This Row],[Memo]]=0,"委外",record[[#This Row],[Memo]]))</f>
        <v/>
      </c>
      <c r="O8305" t="s">
        <v>58</v>
      </c>
      <c r="P8305" t="s">
        <v>65</v>
      </c>
      <c r="Q8305" t="s">
        <v>58</v>
      </c>
      <c r="R8305" t="str">
        <f>IFERROR(VLOOKUP(record[[#This Row],[PCUSTID]],廠商[],2,FALSE),"")</f>
        <v/>
      </c>
      <c r="S8305" t="str">
        <f>VLOOKUP(record[[#This Row],[employeeID]],員工[],2,FALSE)</f>
        <v>蘇進昌</v>
      </c>
    </row>
    <row r="8306" spans="6:19" hidden="1" x14ac:dyDescent="0.25">
      <c r="F8306" t="s">
        <v>955</v>
      </c>
      <c r="G8306" t="s">
        <v>374</v>
      </c>
      <c r="H8306" t="str">
        <f>VLOOKUP(record[[#This Row],[ProcessSN]],表格2_7[],2,FALSE)</f>
        <v>30-4118-018-4XX</v>
      </c>
      <c r="I8306" t="str">
        <f>VLOOKUP(record[[#This Row],[ProcessSN]],表格2_7[],3,FALSE)</f>
        <v>#04</v>
      </c>
      <c r="J8306" t="s">
        <v>588</v>
      </c>
      <c r="K8306" s="195">
        <v>45875.640879629631</v>
      </c>
      <c r="L8306">
        <v>151</v>
      </c>
      <c r="M8306">
        <v>0</v>
      </c>
      <c r="N8306" s="98" t="str">
        <f>IF(record[[#This Row],[Memo]]="Browser:chrome os:android","平板報工",IF(record[[#This Row],[Memo]]=0,"委外",record[[#This Row],[Memo]]))</f>
        <v/>
      </c>
      <c r="O8306" t="s">
        <v>58</v>
      </c>
      <c r="P8306" t="s">
        <v>65</v>
      </c>
      <c r="Q8306" t="s">
        <v>58</v>
      </c>
      <c r="R8306" t="str">
        <f>IFERROR(VLOOKUP(record[[#This Row],[PCUSTID]],廠商[],2,FALSE),"")</f>
        <v/>
      </c>
      <c r="S8306" t="str">
        <f>VLOOKUP(record[[#This Row],[employeeID]],員工[],2,FALSE)</f>
        <v>蘇進昌</v>
      </c>
    </row>
    <row r="8307" spans="6:19" hidden="1" x14ac:dyDescent="0.25">
      <c r="F8307" t="s">
        <v>955</v>
      </c>
      <c r="G8307" t="s">
        <v>373</v>
      </c>
      <c r="H8307" t="str">
        <f>VLOOKUP(record[[#This Row],[ProcessSN]],表格2_7[],2,FALSE)</f>
        <v>30-4118-018-4XX</v>
      </c>
      <c r="I8307" t="str">
        <f>VLOOKUP(record[[#This Row],[ProcessSN]],表格2_7[],3,FALSE)</f>
        <v>#03</v>
      </c>
      <c r="J8307" t="s">
        <v>588</v>
      </c>
      <c r="K8307" s="195">
        <v>45875.640810185185</v>
      </c>
      <c r="L8307">
        <v>151</v>
      </c>
      <c r="M8307">
        <v>0</v>
      </c>
      <c r="N8307" s="98" t="str">
        <f>IF(record[[#This Row],[Memo]]="Browser:chrome os:android","平板報工",IF(record[[#This Row],[Memo]]=0,"委外",record[[#This Row],[Memo]]))</f>
        <v/>
      </c>
      <c r="O8307" t="s">
        <v>58</v>
      </c>
      <c r="P8307" t="s">
        <v>65</v>
      </c>
      <c r="Q8307" t="s">
        <v>58</v>
      </c>
      <c r="R8307" t="str">
        <f>IFERROR(VLOOKUP(record[[#This Row],[PCUSTID]],廠商[],2,FALSE),"")</f>
        <v/>
      </c>
      <c r="S8307" t="str">
        <f>VLOOKUP(record[[#This Row],[employeeID]],員工[],2,FALSE)</f>
        <v>蘇進昌</v>
      </c>
    </row>
    <row r="8308" spans="6:19" hidden="1" x14ac:dyDescent="0.25">
      <c r="F8308" t="s">
        <v>955</v>
      </c>
      <c r="G8308" t="s">
        <v>372</v>
      </c>
      <c r="H8308" t="str">
        <f>VLOOKUP(record[[#This Row],[ProcessSN]],表格2_7[],2,FALSE)</f>
        <v>30-4118-018-4XX</v>
      </c>
      <c r="I8308" t="str">
        <f>VLOOKUP(record[[#This Row],[ProcessSN]],表格2_7[],3,FALSE)</f>
        <v>#03GIVE</v>
      </c>
      <c r="J8308" t="s">
        <v>587</v>
      </c>
      <c r="K8308" s="195">
        <v>45875.640763888892</v>
      </c>
      <c r="L8308">
        <v>151</v>
      </c>
      <c r="M8308">
        <v>0</v>
      </c>
      <c r="N8308" s="98" t="str">
        <f>IF(record[[#This Row],[Memo]]="Browser:chrome os:android","平板報工",IF(record[[#This Row],[Memo]]=0,"委外",record[[#This Row],[Memo]]))</f>
        <v/>
      </c>
      <c r="O8308" t="s">
        <v>58</v>
      </c>
      <c r="P8308" t="s">
        <v>65</v>
      </c>
      <c r="Q8308" t="s">
        <v>58</v>
      </c>
      <c r="R8308" t="str">
        <f>IFERROR(VLOOKUP(record[[#This Row],[PCUSTID]],廠商[],2,FALSE),"")</f>
        <v/>
      </c>
      <c r="S8308" t="str">
        <f>VLOOKUP(record[[#This Row],[employeeID]],員工[],2,FALSE)</f>
        <v>蘇進昌</v>
      </c>
    </row>
    <row r="8309" spans="6:19" hidden="1" x14ac:dyDescent="0.25">
      <c r="F8309" t="s">
        <v>955</v>
      </c>
      <c r="G8309" t="s">
        <v>371</v>
      </c>
      <c r="H8309" t="str">
        <f>VLOOKUP(record[[#This Row],[ProcessSN]],表格2_7[],2,FALSE)</f>
        <v>30-4118-018-4XX</v>
      </c>
      <c r="I8309" t="str">
        <f>VLOOKUP(record[[#This Row],[ProcessSN]],表格2_7[],3,FALSE)</f>
        <v>#03PICK</v>
      </c>
      <c r="J8309" t="s">
        <v>582</v>
      </c>
      <c r="K8309" s="195">
        <v>45875.640717592592</v>
      </c>
      <c r="L8309">
        <v>151</v>
      </c>
      <c r="M8309">
        <v>0</v>
      </c>
      <c r="N8309" s="98" t="str">
        <f>IF(record[[#This Row],[Memo]]="Browser:chrome os:android","平板報工",IF(record[[#This Row],[Memo]]=0,"委外",record[[#This Row],[Memo]]))</f>
        <v/>
      </c>
      <c r="O8309" t="s">
        <v>58</v>
      </c>
      <c r="P8309" t="s">
        <v>65</v>
      </c>
      <c r="Q8309" t="s">
        <v>58</v>
      </c>
      <c r="R8309" t="str">
        <f>IFERROR(VLOOKUP(record[[#This Row],[PCUSTID]],廠商[],2,FALSE),"")</f>
        <v/>
      </c>
      <c r="S8309" t="str">
        <f>VLOOKUP(record[[#This Row],[employeeID]],員工[],2,FALSE)</f>
        <v>蘇進昌</v>
      </c>
    </row>
    <row r="8310" spans="6:19" hidden="1" x14ac:dyDescent="0.25">
      <c r="F8310" t="s">
        <v>777</v>
      </c>
      <c r="G8310" t="s">
        <v>452</v>
      </c>
      <c r="H8310" t="str">
        <f>VLOOKUP(record[[#This Row],[ProcessSN]],表格2_7[],2,FALSE)</f>
        <v>30-4118-018-6XX</v>
      </c>
      <c r="I8310" t="str">
        <f>VLOOKUP(record[[#This Row],[ProcessSN]],表格2_7[],3,FALSE)</f>
        <v>#07QC</v>
      </c>
      <c r="J8310" t="s">
        <v>589</v>
      </c>
      <c r="K8310" s="195">
        <v>45875.561689814815</v>
      </c>
      <c r="L8310">
        <v>0</v>
      </c>
      <c r="M8310">
        <v>-54</v>
      </c>
      <c r="N8310" s="98" t="str">
        <f>IF(record[[#This Row],[Memo]]="Browser:chrome os:android","平板報工",IF(record[[#This Row],[Memo]]=0,"委外",record[[#This Row],[Memo]]))</f>
        <v>覆回品</v>
      </c>
      <c r="O8310" t="s">
        <v>664</v>
      </c>
      <c r="P8310" t="s">
        <v>65</v>
      </c>
      <c r="Q8310" t="s">
        <v>58</v>
      </c>
      <c r="R8310" t="str">
        <f>IFERROR(VLOOKUP(record[[#This Row],[PCUSTID]],廠商[],2,FALSE),"")</f>
        <v/>
      </c>
      <c r="S8310" t="str">
        <f>VLOOKUP(record[[#This Row],[employeeID]],員工[],2,FALSE)</f>
        <v>蘇進昌</v>
      </c>
    </row>
    <row r="8311" spans="6:19" hidden="1" x14ac:dyDescent="0.25">
      <c r="F8311" t="s">
        <v>900</v>
      </c>
      <c r="G8311" t="s">
        <v>453</v>
      </c>
      <c r="H8311" t="str">
        <f>VLOOKUP(record[[#This Row],[ProcessSN]],表格2_7[],2,FALSE)</f>
        <v>30-4118-018-6XX</v>
      </c>
      <c r="I8311" t="str">
        <f>VLOOKUP(record[[#This Row],[ProcessSN]],表格2_7[],3,FALSE)</f>
        <v>#07STOCK</v>
      </c>
      <c r="J8311" t="s">
        <v>592</v>
      </c>
      <c r="K8311" s="195">
        <v>45875.561678240738</v>
      </c>
      <c r="L8311">
        <v>477</v>
      </c>
      <c r="M8311">
        <v>0</v>
      </c>
      <c r="N8311" s="98" t="str">
        <f>IF(record[[#This Row],[Memo]]="Browser:chrome os:android","平板報工",IF(record[[#This Row],[Memo]]=0,"委外",record[[#This Row],[Memo]]))</f>
        <v/>
      </c>
      <c r="O8311" t="s">
        <v>58</v>
      </c>
      <c r="P8311" t="s">
        <v>65</v>
      </c>
      <c r="Q8311" t="s">
        <v>58</v>
      </c>
      <c r="R8311" t="str">
        <f>IFERROR(VLOOKUP(record[[#This Row],[PCUSTID]],廠商[],2,FALSE),"")</f>
        <v/>
      </c>
      <c r="S8311" t="str">
        <f>VLOOKUP(record[[#This Row],[employeeID]],員工[],2,FALSE)</f>
        <v>蘇進昌</v>
      </c>
    </row>
    <row r="8312" spans="6:19" hidden="1" x14ac:dyDescent="0.25">
      <c r="F8312" t="s">
        <v>942</v>
      </c>
      <c r="G8312" t="s">
        <v>357</v>
      </c>
      <c r="H8312" t="str">
        <f>VLOOKUP(record[[#This Row],[ProcessSN]],表格2_7[],2,FALSE)</f>
        <v>30-4118-018-450</v>
      </c>
      <c r="I8312" t="str">
        <f>VLOOKUP(record[[#This Row],[ProcessSN]],表格2_7[],3,FALSE)</f>
        <v>#08RCV</v>
      </c>
      <c r="J8312" t="s">
        <v>591</v>
      </c>
      <c r="K8312" s="195">
        <v>45875.543622685182</v>
      </c>
      <c r="L8312">
        <v>0</v>
      </c>
      <c r="M8312">
        <v>23</v>
      </c>
      <c r="N8312" s="98" t="str">
        <f>IF(record[[#This Row],[Memo]]="Browser:chrome os:android","平板報工",IF(record[[#This Row],[Memo]]=0,"委外",record[[#This Row],[Memo]]))</f>
        <v/>
      </c>
      <c r="O8312" t="s">
        <v>58</v>
      </c>
      <c r="P8312" t="s">
        <v>186</v>
      </c>
      <c r="Q8312" t="s">
        <v>58</v>
      </c>
      <c r="R8312" t="str">
        <f>IFERROR(VLOOKUP(record[[#This Row],[PCUSTID]],廠商[],2,FALSE),"")</f>
        <v/>
      </c>
      <c r="S8312" t="str">
        <f>VLOOKUP(record[[#This Row],[employeeID]],員工[],2,FALSE)</f>
        <v>許文姍</v>
      </c>
    </row>
    <row r="8313" spans="6:19" hidden="1" x14ac:dyDescent="0.25">
      <c r="F8313" t="s">
        <v>942</v>
      </c>
      <c r="G8313" t="s">
        <v>357</v>
      </c>
      <c r="H8313" t="str">
        <f>VLOOKUP(record[[#This Row],[ProcessSN]],表格2_7[],2,FALSE)</f>
        <v>30-4118-018-450</v>
      </c>
      <c r="I8313" t="str">
        <f>VLOOKUP(record[[#This Row],[ProcessSN]],表格2_7[],3,FALSE)</f>
        <v>#08RCV</v>
      </c>
      <c r="J8313" t="s">
        <v>591</v>
      </c>
      <c r="K8313" s="195">
        <v>45875.543402777781</v>
      </c>
      <c r="L8313">
        <v>144</v>
      </c>
      <c r="M8313">
        <v>0</v>
      </c>
      <c r="N8313" s="98" t="str">
        <f>IF(record[[#This Row],[Memo]]="Browser:chrome os:android","平板報工",IF(record[[#This Row],[Memo]]=0,"委外",record[[#This Row],[Memo]]))</f>
        <v/>
      </c>
      <c r="O8313" t="s">
        <v>58</v>
      </c>
      <c r="P8313" t="s">
        <v>186</v>
      </c>
      <c r="Q8313" t="s">
        <v>58</v>
      </c>
      <c r="R8313" t="str">
        <f>IFERROR(VLOOKUP(record[[#This Row],[PCUSTID]],廠商[],2,FALSE),"")</f>
        <v/>
      </c>
      <c r="S8313" t="str">
        <f>VLOOKUP(record[[#This Row],[employeeID]],員工[],2,FALSE)</f>
        <v>許文姍</v>
      </c>
    </row>
    <row r="8314" spans="6:19" hidden="1" x14ac:dyDescent="0.25">
      <c r="F8314" t="s">
        <v>945</v>
      </c>
      <c r="G8314" t="s">
        <v>357</v>
      </c>
      <c r="H8314" t="str">
        <f>VLOOKUP(record[[#This Row],[ProcessSN]],表格2_7[],2,FALSE)</f>
        <v>30-4118-018-450</v>
      </c>
      <c r="I8314" t="str">
        <f>VLOOKUP(record[[#This Row],[ProcessSN]],表格2_7[],3,FALSE)</f>
        <v>#08RCV</v>
      </c>
      <c r="J8314" t="s">
        <v>591</v>
      </c>
      <c r="K8314" s="195">
        <v>45875.54315972222</v>
      </c>
      <c r="L8314">
        <v>302</v>
      </c>
      <c r="M8314">
        <v>0</v>
      </c>
      <c r="N8314" s="98" t="str">
        <f>IF(record[[#This Row],[Memo]]="Browser:chrome os:android","平板報工",IF(record[[#This Row],[Memo]]=0,"委外",record[[#This Row],[Memo]]))</f>
        <v/>
      </c>
      <c r="O8314" t="s">
        <v>58</v>
      </c>
      <c r="P8314" t="s">
        <v>186</v>
      </c>
      <c r="Q8314" t="s">
        <v>58</v>
      </c>
      <c r="R8314" t="str">
        <f>IFERROR(VLOOKUP(record[[#This Row],[PCUSTID]],廠商[],2,FALSE),"")</f>
        <v/>
      </c>
      <c r="S8314" t="str">
        <f>VLOOKUP(record[[#This Row],[employeeID]],員工[],2,FALSE)</f>
        <v>許文姍</v>
      </c>
    </row>
    <row r="8315" spans="6:19" hidden="1" x14ac:dyDescent="0.25">
      <c r="F8315" t="s">
        <v>951</v>
      </c>
      <c r="G8315" t="s">
        <v>422</v>
      </c>
      <c r="H8315" t="str">
        <f>VLOOKUP(record[[#This Row],[ProcessSN]],表格2_7[],2,FALSE)</f>
        <v>30-4118-018-600</v>
      </c>
      <c r="I8315" t="str">
        <f>VLOOKUP(record[[#This Row],[ProcessSN]],表格2_7[],3,FALSE)</f>
        <v>#08</v>
      </c>
      <c r="J8315" t="s">
        <v>597</v>
      </c>
      <c r="K8315" s="195">
        <v>45875.430671296293</v>
      </c>
      <c r="L8315">
        <v>477</v>
      </c>
      <c r="M8315">
        <v>0</v>
      </c>
      <c r="N8315" s="98" t="str">
        <f>IF(record[[#This Row],[Memo]]="Browser:chrome os:android","平板報工",IF(record[[#This Row],[Memo]]=0,"委外",record[[#This Row],[Memo]]))</f>
        <v/>
      </c>
      <c r="O8315" t="s">
        <v>58</v>
      </c>
      <c r="P8315" t="s">
        <v>186</v>
      </c>
      <c r="Q8315" t="s">
        <v>287</v>
      </c>
      <c r="R8315" t="str">
        <f>IFERROR(VLOOKUP(record[[#This Row],[PCUSTID]],廠商[],2,FALSE),"")</f>
        <v>泉盛</v>
      </c>
      <c r="S8315" t="str">
        <f>VLOOKUP(record[[#This Row],[employeeID]],員工[],2,FALSE)</f>
        <v>許文姍</v>
      </c>
    </row>
    <row r="8316" spans="6:19" hidden="1" x14ac:dyDescent="0.25">
      <c r="F8316" t="s">
        <v>952</v>
      </c>
      <c r="G8316" t="s">
        <v>421</v>
      </c>
      <c r="H8316" t="str">
        <f>VLOOKUP(record[[#This Row],[ProcessSN]],表格2_7[],2,FALSE)</f>
        <v>30-4118-018-600</v>
      </c>
      <c r="I8316" t="str">
        <f>VLOOKUP(record[[#This Row],[ProcessSN]],表格2_7[],3,FALSE)</f>
        <v>#08PICK</v>
      </c>
      <c r="J8316" t="s">
        <v>582</v>
      </c>
      <c r="K8316" s="195">
        <v>45875.430405092593</v>
      </c>
      <c r="L8316">
        <v>477</v>
      </c>
      <c r="M8316">
        <v>0</v>
      </c>
      <c r="N8316" s="98" t="str">
        <f>IF(record[[#This Row],[Memo]]="Browser:chrome os:android","平板報工",IF(record[[#This Row],[Memo]]=0,"委外",record[[#This Row],[Memo]]))</f>
        <v/>
      </c>
      <c r="O8316" t="s">
        <v>58</v>
      </c>
      <c r="P8316" t="s">
        <v>113</v>
      </c>
      <c r="Q8316" t="s">
        <v>58</v>
      </c>
      <c r="R8316" t="str">
        <f>IFERROR(VLOOKUP(record[[#This Row],[PCUSTID]],廠商[],2,FALSE),"")</f>
        <v/>
      </c>
      <c r="S8316" t="str">
        <f>VLOOKUP(record[[#This Row],[employeeID]],員工[],2,FALSE)</f>
        <v>王奕蓁</v>
      </c>
    </row>
    <row r="8317" spans="6:19" hidden="1" x14ac:dyDescent="0.25">
      <c r="F8317" t="s">
        <v>900</v>
      </c>
      <c r="G8317" t="s">
        <v>452</v>
      </c>
      <c r="H8317" t="str">
        <f>VLOOKUP(record[[#This Row],[ProcessSN]],表格2_7[],2,FALSE)</f>
        <v>30-4118-018-6XX</v>
      </c>
      <c r="I8317" t="str">
        <f>VLOOKUP(record[[#This Row],[ProcessSN]],表格2_7[],3,FALSE)</f>
        <v>#07QC</v>
      </c>
      <c r="J8317" t="s">
        <v>589</v>
      </c>
      <c r="K8317" s="195">
        <v>45875.415266203701</v>
      </c>
      <c r="L8317">
        <v>0</v>
      </c>
      <c r="M8317">
        <v>7</v>
      </c>
      <c r="N8317" s="98" t="str">
        <f>IF(record[[#This Row],[Memo]]="Browser:chrome os:android","平板報工",IF(record[[#This Row],[Memo]]=0,"委外",record[[#This Row],[Memo]]))</f>
        <v>平板報工</v>
      </c>
      <c r="O8317" t="s">
        <v>643</v>
      </c>
      <c r="P8317" t="s">
        <v>141</v>
      </c>
      <c r="Q8317" t="s">
        <v>644</v>
      </c>
      <c r="R8317" t="str">
        <f>IFERROR(VLOOKUP(record[[#This Row],[PCUSTID]],廠商[],2,FALSE),"")</f>
        <v/>
      </c>
      <c r="S8317" t="str">
        <f>VLOOKUP(record[[#This Row],[employeeID]],員工[],2,FALSE)</f>
        <v>蔣梅</v>
      </c>
    </row>
    <row r="8318" spans="6:19" hidden="1" x14ac:dyDescent="0.25">
      <c r="F8318" t="s">
        <v>900</v>
      </c>
      <c r="G8318" t="s">
        <v>452</v>
      </c>
      <c r="H8318" t="str">
        <f>VLOOKUP(record[[#This Row],[ProcessSN]],表格2_7[],2,FALSE)</f>
        <v>30-4118-018-6XX</v>
      </c>
      <c r="I8318" t="str">
        <f>VLOOKUP(record[[#This Row],[ProcessSN]],表格2_7[],3,FALSE)</f>
        <v>#07QC</v>
      </c>
      <c r="J8318" t="s">
        <v>589</v>
      </c>
      <c r="K8318" s="195">
        <v>45875.415011574078</v>
      </c>
      <c r="L8318">
        <v>477</v>
      </c>
      <c r="M8318">
        <v>0</v>
      </c>
      <c r="N8318" s="98" t="str">
        <f>IF(record[[#This Row],[Memo]]="Browser:chrome os:android","平板報工",IF(record[[#This Row],[Memo]]=0,"委外",record[[#This Row],[Memo]]))</f>
        <v>平板報工</v>
      </c>
      <c r="O8318" t="s">
        <v>643</v>
      </c>
      <c r="P8318" t="s">
        <v>141</v>
      </c>
      <c r="Q8318" t="s">
        <v>644</v>
      </c>
      <c r="R8318" t="str">
        <f>IFERROR(VLOOKUP(record[[#This Row],[PCUSTID]],廠商[],2,FALSE),"")</f>
        <v/>
      </c>
      <c r="S8318" t="str">
        <f>VLOOKUP(record[[#This Row],[employeeID]],員工[],2,FALSE)</f>
        <v>蔣梅</v>
      </c>
    </row>
    <row r="8319" spans="6:19" hidden="1" x14ac:dyDescent="0.25">
      <c r="F8319" t="s">
        <v>778</v>
      </c>
      <c r="G8319" t="s">
        <v>419</v>
      </c>
      <c r="H8319" t="str">
        <f>VLOOKUP(record[[#This Row],[ProcessSN]],表格2_7[],2,FALSE)</f>
        <v>30-4118-018-5XX</v>
      </c>
      <c r="I8319" t="str">
        <f>VLOOKUP(record[[#This Row],[ProcessSN]],表格2_7[],3,FALSE)</f>
        <v>#07QC</v>
      </c>
      <c r="J8319" t="s">
        <v>589</v>
      </c>
      <c r="K8319" s="195">
        <v>45875.413923611108</v>
      </c>
      <c r="L8319">
        <v>0</v>
      </c>
      <c r="M8319">
        <v>-29</v>
      </c>
      <c r="N8319" s="98" t="str">
        <f>IF(record[[#This Row],[Memo]]="Browser:chrome os:android","平板報工",IF(record[[#This Row],[Memo]]=0,"委外",record[[#This Row],[Memo]]))</f>
        <v>覆回品</v>
      </c>
      <c r="O8319" t="s">
        <v>664</v>
      </c>
      <c r="P8319" t="s">
        <v>65</v>
      </c>
      <c r="Q8319" t="s">
        <v>644</v>
      </c>
      <c r="R8319" t="str">
        <f>IFERROR(VLOOKUP(record[[#This Row],[PCUSTID]],廠商[],2,FALSE),"")</f>
        <v/>
      </c>
      <c r="S8319" t="str">
        <f>VLOOKUP(record[[#This Row],[employeeID]],員工[],2,FALSE)</f>
        <v>蘇進昌</v>
      </c>
    </row>
    <row r="8320" spans="6:19" hidden="1" x14ac:dyDescent="0.25">
      <c r="F8320" t="s">
        <v>902</v>
      </c>
      <c r="G8320" t="s">
        <v>378</v>
      </c>
      <c r="H8320" t="str">
        <f>VLOOKUP(record[[#This Row],[ProcessSN]],表格2_7[],2,FALSE)</f>
        <v>30-4118-018-4XX</v>
      </c>
      <c r="I8320" t="str">
        <f>VLOOKUP(record[[#This Row],[ProcessSN]],表格2_7[],3,FALSE)</f>
        <v>#07QC</v>
      </c>
      <c r="J8320" t="s">
        <v>589</v>
      </c>
      <c r="K8320" s="195">
        <v>45875.40997685185</v>
      </c>
      <c r="L8320">
        <v>0</v>
      </c>
      <c r="M8320">
        <v>-32</v>
      </c>
      <c r="N8320" s="98" t="str">
        <f>IF(record[[#This Row],[Memo]]="Browser:chrome os:android","平板報工",IF(record[[#This Row],[Memo]]=0,"委外",record[[#This Row],[Memo]]))</f>
        <v>覆回品</v>
      </c>
      <c r="O8320" t="s">
        <v>664</v>
      </c>
      <c r="P8320" t="s">
        <v>65</v>
      </c>
      <c r="Q8320" t="s">
        <v>644</v>
      </c>
      <c r="R8320" t="str">
        <f>IFERROR(VLOOKUP(record[[#This Row],[PCUSTID]],廠商[],2,FALSE),"")</f>
        <v/>
      </c>
      <c r="S8320" t="str">
        <f>VLOOKUP(record[[#This Row],[employeeID]],員工[],2,FALSE)</f>
        <v>蘇進昌</v>
      </c>
    </row>
    <row r="8321" spans="6:19" hidden="1" x14ac:dyDescent="0.25">
      <c r="F8321" t="s">
        <v>927</v>
      </c>
      <c r="G8321" t="s">
        <v>403</v>
      </c>
      <c r="H8321" t="str">
        <f>VLOOKUP(record[[#This Row],[ProcessSN]],表格2_7[],2,FALSE)</f>
        <v>30-4118-018-550</v>
      </c>
      <c r="I8321" t="str">
        <f>VLOOKUP(record[[#This Row],[ProcessSN]],表格2_7[],3,FALSE)</f>
        <v>#100SHIP</v>
      </c>
      <c r="J8321" t="s">
        <v>600</v>
      </c>
      <c r="K8321" s="195">
        <v>45875.36037037037</v>
      </c>
      <c r="L8321">
        <v>161</v>
      </c>
      <c r="M8321">
        <v>0</v>
      </c>
      <c r="N8321" s="98" t="str">
        <f>IF(record[[#This Row],[Memo]]="Browser:chrome os:android","平板報工",IF(record[[#This Row],[Memo]]=0,"委外",record[[#This Row],[Memo]]))</f>
        <v/>
      </c>
      <c r="O8321" t="s">
        <v>58</v>
      </c>
      <c r="P8321" t="s">
        <v>886</v>
      </c>
      <c r="Q8321" t="s">
        <v>58</v>
      </c>
      <c r="R8321" t="str">
        <f>IFERROR(VLOOKUP(record[[#This Row],[PCUSTID]],廠商[],2,FALSE),"")</f>
        <v/>
      </c>
      <c r="S8321" t="str">
        <f>VLOOKUP(record[[#This Row],[employeeID]],員工[],2,FALSE)</f>
        <v>謝蓁薰</v>
      </c>
    </row>
    <row r="8322" spans="6:19" hidden="1" x14ac:dyDescent="0.25">
      <c r="F8322" t="s">
        <v>914</v>
      </c>
      <c r="G8322" t="s">
        <v>403</v>
      </c>
      <c r="H8322" t="str">
        <f>VLOOKUP(record[[#This Row],[ProcessSN]],表格2_7[],2,FALSE)</f>
        <v>30-4118-018-550</v>
      </c>
      <c r="I8322" t="str">
        <f>VLOOKUP(record[[#This Row],[ProcessSN]],表格2_7[],3,FALSE)</f>
        <v>#100SHIP</v>
      </c>
      <c r="J8322" t="s">
        <v>600</v>
      </c>
      <c r="K8322" s="195">
        <v>45875.360196759262</v>
      </c>
      <c r="L8322">
        <v>2</v>
      </c>
      <c r="M8322">
        <v>0</v>
      </c>
      <c r="N8322" s="98" t="str">
        <f>IF(record[[#This Row],[Memo]]="Browser:chrome os:android","平板報工",IF(record[[#This Row],[Memo]]=0,"委外",record[[#This Row],[Memo]]))</f>
        <v/>
      </c>
      <c r="O8322" t="s">
        <v>58</v>
      </c>
      <c r="P8322" t="s">
        <v>886</v>
      </c>
      <c r="Q8322" t="s">
        <v>58</v>
      </c>
      <c r="R8322" t="str">
        <f>IFERROR(VLOOKUP(record[[#This Row],[PCUSTID]],廠商[],2,FALSE),"")</f>
        <v/>
      </c>
      <c r="S8322" t="str">
        <f>VLOOKUP(record[[#This Row],[employeeID]],員工[],2,FALSE)</f>
        <v>謝蓁薰</v>
      </c>
    </row>
    <row r="8323" spans="6:19" hidden="1" x14ac:dyDescent="0.25">
      <c r="F8323" t="s">
        <v>920</v>
      </c>
      <c r="G8323" t="s">
        <v>403</v>
      </c>
      <c r="H8323" t="str">
        <f>VLOOKUP(record[[#This Row],[ProcessSN]],表格2_7[],2,FALSE)</f>
        <v>30-4118-018-550</v>
      </c>
      <c r="I8323" t="str">
        <f>VLOOKUP(record[[#This Row],[ProcessSN]],表格2_7[],3,FALSE)</f>
        <v>#100SHIP</v>
      </c>
      <c r="J8323" t="s">
        <v>600</v>
      </c>
      <c r="K8323" s="195">
        <v>45875.360023148147</v>
      </c>
      <c r="L8323">
        <v>125</v>
      </c>
      <c r="M8323">
        <v>0</v>
      </c>
      <c r="N8323" s="98" t="str">
        <f>IF(record[[#This Row],[Memo]]="Browser:chrome os:android","平板報工",IF(record[[#This Row],[Memo]]=0,"委外",record[[#This Row],[Memo]]))</f>
        <v/>
      </c>
      <c r="O8323" t="s">
        <v>58</v>
      </c>
      <c r="P8323" t="s">
        <v>886</v>
      </c>
      <c r="Q8323" t="s">
        <v>58</v>
      </c>
      <c r="R8323" t="str">
        <f>IFERROR(VLOOKUP(record[[#This Row],[PCUSTID]],廠商[],2,FALSE),"")</f>
        <v/>
      </c>
      <c r="S8323" t="str">
        <f>VLOOKUP(record[[#This Row],[employeeID]],員工[],2,FALSE)</f>
        <v>謝蓁薰</v>
      </c>
    </row>
    <row r="8324" spans="6:19" hidden="1" x14ac:dyDescent="0.25">
      <c r="F8324" t="s">
        <v>900</v>
      </c>
      <c r="G8324" t="s">
        <v>450</v>
      </c>
      <c r="H8324" t="str">
        <f>VLOOKUP(record[[#This Row],[ProcessSN]],表格2_7[],2,FALSE)</f>
        <v>30-4118-018-6XX</v>
      </c>
      <c r="I8324" t="str">
        <f>VLOOKUP(record[[#This Row],[ProcessSN]],表格2_7[],3,FALSE)</f>
        <v>#06</v>
      </c>
      <c r="J8324" t="s">
        <v>593</v>
      </c>
      <c r="K8324" s="195">
        <v>45875.304189814815</v>
      </c>
      <c r="L8324">
        <v>100</v>
      </c>
      <c r="M8324">
        <v>0</v>
      </c>
      <c r="N8324" s="98" t="str">
        <f>IF(record[[#This Row],[Memo]]="Browser:chrome os:android","平板報工",IF(record[[#This Row],[Memo]]=0,"委外",record[[#This Row],[Memo]]))</f>
        <v/>
      </c>
      <c r="O8324" t="s">
        <v>58</v>
      </c>
      <c r="P8324" t="s">
        <v>135</v>
      </c>
      <c r="Q8324" t="s">
        <v>58</v>
      </c>
      <c r="R8324" t="str">
        <f>IFERROR(VLOOKUP(record[[#This Row],[PCUSTID]],廠商[],2,FALSE),"")</f>
        <v/>
      </c>
      <c r="S8324" t="str">
        <f>VLOOKUP(record[[#This Row],[employeeID]],員工[],2,FALSE)</f>
        <v>阮士文</v>
      </c>
    </row>
    <row r="8325" spans="6:19" hidden="1" x14ac:dyDescent="0.25">
      <c r="F8325" t="s">
        <v>904</v>
      </c>
      <c r="G8325" t="s">
        <v>415</v>
      </c>
      <c r="H8325" t="str">
        <f>VLOOKUP(record[[#This Row],[ProcessSN]],表格2_7[],2,FALSE)</f>
        <v>30-4118-018-5XX</v>
      </c>
      <c r="I8325" t="str">
        <f>VLOOKUP(record[[#This Row],[ProcessSN]],表格2_7[],3,FALSE)</f>
        <v>#04</v>
      </c>
      <c r="J8325" t="s">
        <v>588</v>
      </c>
      <c r="K8325" s="195">
        <v>45875.302083333336</v>
      </c>
      <c r="L8325">
        <v>143</v>
      </c>
      <c r="M8325">
        <v>0</v>
      </c>
      <c r="N8325" s="98" t="str">
        <f>IF(record[[#This Row],[Memo]]="Browser:chrome os:android","平板報工",IF(record[[#This Row],[Memo]]=0,"委外",record[[#This Row],[Memo]]))</f>
        <v/>
      </c>
      <c r="O8325" t="s">
        <v>58</v>
      </c>
      <c r="P8325" t="s">
        <v>135</v>
      </c>
      <c r="Q8325" t="s">
        <v>58</v>
      </c>
      <c r="R8325" t="str">
        <f>IFERROR(VLOOKUP(record[[#This Row],[PCUSTID]],廠商[],2,FALSE),"")</f>
        <v/>
      </c>
      <c r="S8325" t="str">
        <f>VLOOKUP(record[[#This Row],[employeeID]],員工[],2,FALSE)</f>
        <v>阮士文</v>
      </c>
    </row>
    <row r="8326" spans="6:19" hidden="1" x14ac:dyDescent="0.25">
      <c r="F8326" t="s">
        <v>900</v>
      </c>
      <c r="G8326" t="s">
        <v>451</v>
      </c>
      <c r="H8326" t="str">
        <f>VLOOKUP(record[[#This Row],[ProcessSN]],表格2_7[],2,FALSE)</f>
        <v>30-4118-018-6XX</v>
      </c>
      <c r="I8326" t="str">
        <f>VLOOKUP(record[[#This Row],[ProcessSN]],表格2_7[],3,FALSE)</f>
        <v>#07</v>
      </c>
      <c r="J8326" t="s">
        <v>588</v>
      </c>
      <c r="K8326" s="195">
        <v>45875.301608796297</v>
      </c>
      <c r="L8326">
        <v>140</v>
      </c>
      <c r="M8326">
        <v>0</v>
      </c>
      <c r="N8326" s="98" t="str">
        <f>IF(record[[#This Row],[Memo]]="Browser:chrome os:android","平板報工",IF(record[[#This Row],[Memo]]=0,"委外",record[[#This Row],[Memo]]))</f>
        <v/>
      </c>
      <c r="O8326" t="s">
        <v>58</v>
      </c>
      <c r="P8326" t="s">
        <v>135</v>
      </c>
      <c r="Q8326" t="s">
        <v>58</v>
      </c>
      <c r="R8326" t="str">
        <f>IFERROR(VLOOKUP(record[[#This Row],[PCUSTID]],廠商[],2,FALSE),"")</f>
        <v/>
      </c>
      <c r="S8326" t="str">
        <f>VLOOKUP(record[[#This Row],[employeeID]],員工[],2,FALSE)</f>
        <v>阮士文</v>
      </c>
    </row>
    <row r="8327" spans="6:19" hidden="1" x14ac:dyDescent="0.25">
      <c r="F8327" t="s">
        <v>904</v>
      </c>
      <c r="G8327" t="s">
        <v>415</v>
      </c>
      <c r="H8327" t="str">
        <f>VLOOKUP(record[[#This Row],[ProcessSN]],表格2_7[],2,FALSE)</f>
        <v>30-4118-018-5XX</v>
      </c>
      <c r="I8327" t="str">
        <f>VLOOKUP(record[[#This Row],[ProcessSN]],表格2_7[],3,FALSE)</f>
        <v>#04</v>
      </c>
      <c r="J8327" t="s">
        <v>588</v>
      </c>
      <c r="K8327" s="195">
        <v>45874.960046296299</v>
      </c>
      <c r="L8327">
        <v>140</v>
      </c>
      <c r="M8327">
        <v>0</v>
      </c>
      <c r="N8327" s="98" t="str">
        <f>IF(record[[#This Row],[Memo]]="Browser:chrome os:android","平板報工",IF(record[[#This Row],[Memo]]=0,"委外",record[[#This Row],[Memo]]))</f>
        <v/>
      </c>
      <c r="O8327" t="s">
        <v>58</v>
      </c>
      <c r="P8327" t="s">
        <v>133</v>
      </c>
      <c r="Q8327" t="s">
        <v>58</v>
      </c>
      <c r="R8327" t="str">
        <f>IFERROR(VLOOKUP(record[[#This Row],[PCUSTID]],廠商[],2,FALSE),"")</f>
        <v/>
      </c>
      <c r="S8327" t="str">
        <f>VLOOKUP(record[[#This Row],[employeeID]],員工[],2,FALSE)</f>
        <v>黎長維</v>
      </c>
    </row>
    <row r="8328" spans="6:19" hidden="1" x14ac:dyDescent="0.25">
      <c r="F8328" t="s">
        <v>900</v>
      </c>
      <c r="G8328" t="s">
        <v>451</v>
      </c>
      <c r="H8328" t="str">
        <f>VLOOKUP(record[[#This Row],[ProcessSN]],表格2_7[],2,FALSE)</f>
        <v>30-4118-018-6XX</v>
      </c>
      <c r="I8328" t="str">
        <f>VLOOKUP(record[[#This Row],[ProcessSN]],表格2_7[],3,FALSE)</f>
        <v>#07</v>
      </c>
      <c r="J8328" t="s">
        <v>588</v>
      </c>
      <c r="K8328" s="195">
        <v>45874.959317129629</v>
      </c>
      <c r="L8328">
        <v>224</v>
      </c>
      <c r="M8328">
        <v>0</v>
      </c>
      <c r="N8328" s="98" t="str">
        <f>IF(record[[#This Row],[Memo]]="Browser:chrome os:android","平板報工",IF(record[[#This Row],[Memo]]=0,"委外",record[[#This Row],[Memo]]))</f>
        <v/>
      </c>
      <c r="O8328" t="s">
        <v>58</v>
      </c>
      <c r="P8328" t="s">
        <v>133</v>
      </c>
      <c r="Q8328" t="s">
        <v>58</v>
      </c>
      <c r="R8328" t="str">
        <f>IFERROR(VLOOKUP(record[[#This Row],[PCUSTID]],廠商[],2,FALSE),"")</f>
        <v/>
      </c>
      <c r="S8328" t="str">
        <f>VLOOKUP(record[[#This Row],[employeeID]],員工[],2,FALSE)</f>
        <v>黎長維</v>
      </c>
    </row>
    <row r="8329" spans="6:19" hidden="1" x14ac:dyDescent="0.25">
      <c r="F8329" t="s">
        <v>875</v>
      </c>
      <c r="G8329" t="s">
        <v>450</v>
      </c>
      <c r="H8329" t="str">
        <f>VLOOKUP(record[[#This Row],[ProcessSN]],表格2_7[],2,FALSE)</f>
        <v>30-4118-018-6XX</v>
      </c>
      <c r="I8329" t="str">
        <f>VLOOKUP(record[[#This Row],[ProcessSN]],表格2_7[],3,FALSE)</f>
        <v>#06</v>
      </c>
      <c r="J8329" t="s">
        <v>593</v>
      </c>
      <c r="K8329" s="195">
        <v>45874.942094907405</v>
      </c>
      <c r="L8329">
        <v>33</v>
      </c>
      <c r="M8329">
        <v>0</v>
      </c>
      <c r="N8329" s="98" t="str">
        <f>IF(record[[#This Row],[Memo]]="Browser:chrome os:android","平板報工",IF(record[[#This Row],[Memo]]=0,"委外",record[[#This Row],[Memo]]))</f>
        <v/>
      </c>
      <c r="O8329" t="s">
        <v>58</v>
      </c>
      <c r="P8329" t="s">
        <v>841</v>
      </c>
      <c r="Q8329" t="s">
        <v>58</v>
      </c>
      <c r="R8329" t="str">
        <f>IFERROR(VLOOKUP(record[[#This Row],[PCUSTID]],廠商[],2,FALSE),"")</f>
        <v/>
      </c>
      <c r="S8329" t="str">
        <f>VLOOKUP(record[[#This Row],[employeeID]],員工[],2,FALSE)</f>
        <v>范氏香</v>
      </c>
    </row>
    <row r="8330" spans="6:19" hidden="1" x14ac:dyDescent="0.25">
      <c r="F8330" t="s">
        <v>900</v>
      </c>
      <c r="G8330" t="s">
        <v>450</v>
      </c>
      <c r="H8330" t="str">
        <f>VLOOKUP(record[[#This Row],[ProcessSN]],表格2_7[],2,FALSE)</f>
        <v>30-4118-018-6XX</v>
      </c>
      <c r="I8330" t="str">
        <f>VLOOKUP(record[[#This Row],[ProcessSN]],表格2_7[],3,FALSE)</f>
        <v>#06</v>
      </c>
      <c r="J8330" t="s">
        <v>593</v>
      </c>
      <c r="K8330" s="195">
        <v>45874.941423611112</v>
      </c>
      <c r="L8330">
        <v>46</v>
      </c>
      <c r="M8330">
        <v>0</v>
      </c>
      <c r="N8330" s="98" t="str">
        <f>IF(record[[#This Row],[Memo]]="Browser:chrome os:android","平板報工",IF(record[[#This Row],[Memo]]=0,"委外",record[[#This Row],[Memo]]))</f>
        <v/>
      </c>
      <c r="O8330" t="s">
        <v>58</v>
      </c>
      <c r="P8330" t="s">
        <v>841</v>
      </c>
      <c r="Q8330" t="s">
        <v>58</v>
      </c>
      <c r="R8330" t="str">
        <f>IFERROR(VLOOKUP(record[[#This Row],[PCUSTID]],廠商[],2,FALSE),"")</f>
        <v/>
      </c>
      <c r="S8330" t="str">
        <f>VLOOKUP(record[[#This Row],[employeeID]],員工[],2,FALSE)</f>
        <v>范氏香</v>
      </c>
    </row>
    <row r="8331" spans="6:19" hidden="1" x14ac:dyDescent="0.25">
      <c r="F8331" t="s">
        <v>875</v>
      </c>
      <c r="G8331" t="s">
        <v>450</v>
      </c>
      <c r="H8331" t="str">
        <f>VLOOKUP(record[[#This Row],[ProcessSN]],表格2_7[],2,FALSE)</f>
        <v>30-4118-018-6XX</v>
      </c>
      <c r="I8331" t="str">
        <f>VLOOKUP(record[[#This Row],[ProcessSN]],表格2_7[],3,FALSE)</f>
        <v>#06</v>
      </c>
      <c r="J8331" t="s">
        <v>593</v>
      </c>
      <c r="K8331" s="195">
        <v>45874.684502314813</v>
      </c>
      <c r="L8331">
        <v>87</v>
      </c>
      <c r="M8331">
        <v>0</v>
      </c>
      <c r="N8331" s="98" t="str">
        <f>IF(record[[#This Row],[Memo]]="Browser:chrome os:android","平板報工",IF(record[[#This Row],[Memo]]=0,"委外",record[[#This Row],[Memo]]))</f>
        <v/>
      </c>
      <c r="O8331" t="s">
        <v>58</v>
      </c>
      <c r="P8331" t="s">
        <v>101</v>
      </c>
      <c r="Q8331" t="s">
        <v>58</v>
      </c>
      <c r="R8331" t="str">
        <f>IFERROR(VLOOKUP(record[[#This Row],[PCUSTID]],廠商[],2,FALSE),"")</f>
        <v/>
      </c>
      <c r="S8331" t="str">
        <f>VLOOKUP(record[[#This Row],[employeeID]],員工[],2,FALSE)</f>
        <v>陳氏絨</v>
      </c>
    </row>
    <row r="8332" spans="6:19" hidden="1" x14ac:dyDescent="0.25">
      <c r="F8332" t="s">
        <v>900</v>
      </c>
      <c r="G8332" t="s">
        <v>450</v>
      </c>
      <c r="H8332" t="str">
        <f>VLOOKUP(record[[#This Row],[ProcessSN]],表格2_7[],2,FALSE)</f>
        <v>30-4118-018-6XX</v>
      </c>
      <c r="I8332" t="str">
        <f>VLOOKUP(record[[#This Row],[ProcessSN]],表格2_7[],3,FALSE)</f>
        <v>#06</v>
      </c>
      <c r="J8332" t="s">
        <v>593</v>
      </c>
      <c r="K8332" s="195">
        <v>45874.684305555558</v>
      </c>
      <c r="L8332">
        <v>34</v>
      </c>
      <c r="M8332">
        <v>0</v>
      </c>
      <c r="N8332" s="98" t="str">
        <f>IF(record[[#This Row],[Memo]]="Browser:chrome os:android","平板報工",IF(record[[#This Row],[Memo]]=0,"委外",record[[#This Row],[Memo]]))</f>
        <v/>
      </c>
      <c r="O8332" t="s">
        <v>58</v>
      </c>
      <c r="P8332" t="s">
        <v>101</v>
      </c>
      <c r="Q8332" t="s">
        <v>58</v>
      </c>
      <c r="R8332" t="str">
        <f>IFERROR(VLOOKUP(record[[#This Row],[PCUSTID]],廠商[],2,FALSE),"")</f>
        <v/>
      </c>
      <c r="S8332" t="str">
        <f>VLOOKUP(record[[#This Row],[employeeID]],員工[],2,FALSE)</f>
        <v>陳氏絨</v>
      </c>
    </row>
    <row r="8333" spans="6:19" hidden="1" x14ac:dyDescent="0.25">
      <c r="F8333" t="s">
        <v>904</v>
      </c>
      <c r="G8333" t="s">
        <v>415</v>
      </c>
      <c r="H8333" t="str">
        <f>VLOOKUP(record[[#This Row],[ProcessSN]],表格2_7[],2,FALSE)</f>
        <v>30-4118-018-5XX</v>
      </c>
      <c r="I8333" t="str">
        <f>VLOOKUP(record[[#This Row],[ProcessSN]],表格2_7[],3,FALSE)</f>
        <v>#04</v>
      </c>
      <c r="J8333" t="s">
        <v>588</v>
      </c>
      <c r="K8333" s="195">
        <v>45874.679837962962</v>
      </c>
      <c r="L8333">
        <v>139</v>
      </c>
      <c r="M8333">
        <v>0</v>
      </c>
      <c r="N8333" s="98" t="str">
        <f>IF(record[[#This Row],[Memo]]="Browser:chrome os:android","平板報工",IF(record[[#This Row],[Memo]]=0,"委外",record[[#This Row],[Memo]]))</f>
        <v/>
      </c>
      <c r="O8333" t="s">
        <v>58</v>
      </c>
      <c r="P8333" t="s">
        <v>101</v>
      </c>
      <c r="Q8333" t="s">
        <v>58</v>
      </c>
      <c r="R8333" t="str">
        <f>IFERROR(VLOOKUP(record[[#This Row],[PCUSTID]],廠商[],2,FALSE),"")</f>
        <v/>
      </c>
      <c r="S8333" t="str">
        <f>VLOOKUP(record[[#This Row],[employeeID]],員工[],2,FALSE)</f>
        <v>陳氏絨</v>
      </c>
    </row>
    <row r="8334" spans="6:19" hidden="1" x14ac:dyDescent="0.25">
      <c r="F8334" t="s">
        <v>900</v>
      </c>
      <c r="G8334" t="s">
        <v>451</v>
      </c>
      <c r="H8334" t="str">
        <f>VLOOKUP(record[[#This Row],[ProcessSN]],表格2_7[],2,FALSE)</f>
        <v>30-4118-018-6XX</v>
      </c>
      <c r="I8334" t="str">
        <f>VLOOKUP(record[[#This Row],[ProcessSN]],表格2_7[],3,FALSE)</f>
        <v>#07</v>
      </c>
      <c r="J8334" t="s">
        <v>588</v>
      </c>
      <c r="K8334" s="195">
        <v>45874.679120370369</v>
      </c>
      <c r="L8334">
        <v>182</v>
      </c>
      <c r="M8334">
        <v>3</v>
      </c>
      <c r="N8334" s="98" t="str">
        <f>IF(record[[#This Row],[Memo]]="Browser:chrome os:android","平板報工",IF(record[[#This Row],[Memo]]=0,"委外",record[[#This Row],[Memo]]))</f>
        <v/>
      </c>
      <c r="O8334" t="s">
        <v>58</v>
      </c>
      <c r="P8334" t="s">
        <v>101</v>
      </c>
      <c r="Q8334" t="s">
        <v>58</v>
      </c>
      <c r="R8334" t="str">
        <f>IFERROR(VLOOKUP(record[[#This Row],[PCUSTID]],廠商[],2,FALSE),"")</f>
        <v/>
      </c>
      <c r="S8334" t="str">
        <f>VLOOKUP(record[[#This Row],[employeeID]],員工[],2,FALSE)</f>
        <v>陳氏絨</v>
      </c>
    </row>
    <row r="8335" spans="6:19" hidden="1" x14ac:dyDescent="0.25">
      <c r="F8335" t="s">
        <v>904</v>
      </c>
      <c r="G8335" t="s">
        <v>416</v>
      </c>
      <c r="H8335" t="str">
        <f>VLOOKUP(record[[#This Row],[ProcessSN]],表格2_7[],2,FALSE)</f>
        <v>30-4118-018-5XX</v>
      </c>
      <c r="I8335" t="str">
        <f>VLOOKUP(record[[#This Row],[ProcessSN]],表格2_7[],3,FALSE)</f>
        <v>#05</v>
      </c>
      <c r="J8335" t="s">
        <v>588</v>
      </c>
      <c r="K8335" s="195">
        <v>45874.677974537037</v>
      </c>
      <c r="L8335">
        <v>125</v>
      </c>
      <c r="M8335">
        <v>0</v>
      </c>
      <c r="N8335" s="98" t="str">
        <f>IF(record[[#This Row],[Memo]]="Browser:chrome os:android","平板報工",IF(record[[#This Row],[Memo]]=0,"委外",record[[#This Row],[Memo]]))</f>
        <v/>
      </c>
      <c r="O8335" t="s">
        <v>58</v>
      </c>
      <c r="P8335" t="s">
        <v>101</v>
      </c>
      <c r="Q8335" t="s">
        <v>58</v>
      </c>
      <c r="R8335" t="str">
        <f>IFERROR(VLOOKUP(record[[#This Row],[PCUSTID]],廠商[],2,FALSE),"")</f>
        <v/>
      </c>
      <c r="S8335" t="str">
        <f>VLOOKUP(record[[#This Row],[employeeID]],員工[],2,FALSE)</f>
        <v>陳氏絨</v>
      </c>
    </row>
    <row r="8336" spans="6:19" hidden="1" x14ac:dyDescent="0.25">
      <c r="F8336" t="s">
        <v>849</v>
      </c>
      <c r="G8336" t="s">
        <v>469</v>
      </c>
      <c r="H8336" t="str">
        <f>VLOOKUP(record[[#This Row],[ProcessSN]],表格2_7[],2,FALSE)</f>
        <v>30-4118-018-XXX</v>
      </c>
      <c r="I8336" t="str">
        <f>VLOOKUP(record[[#This Row],[ProcessSN]],表格2_7[],3,FALSE)</f>
        <v>#02RCV</v>
      </c>
      <c r="J8336" t="s">
        <v>591</v>
      </c>
      <c r="K8336" s="195">
        <v>45874.674710648149</v>
      </c>
      <c r="L8336">
        <v>0</v>
      </c>
      <c r="M8336">
        <v>1</v>
      </c>
      <c r="N8336" s="98" t="str">
        <f>IF(record[[#This Row],[Memo]]="Browser:chrome os:android","平板報工",IF(record[[#This Row],[Memo]]=0,"委外",record[[#This Row],[Memo]]))</f>
        <v>領1140160</v>
      </c>
      <c r="O8336" t="s">
        <v>950</v>
      </c>
      <c r="P8336" t="s">
        <v>113</v>
      </c>
      <c r="Q8336" t="s">
        <v>58</v>
      </c>
      <c r="R8336" t="str">
        <f>IFERROR(VLOOKUP(record[[#This Row],[PCUSTID]],廠商[],2,FALSE),"")</f>
        <v/>
      </c>
      <c r="S8336" t="str">
        <f>VLOOKUP(record[[#This Row],[employeeID]],員工[],2,FALSE)</f>
        <v>王奕蓁</v>
      </c>
    </row>
    <row r="8337" spans="6:19" hidden="1" x14ac:dyDescent="0.25">
      <c r="F8337" t="s">
        <v>948</v>
      </c>
      <c r="G8337" t="s">
        <v>356</v>
      </c>
      <c r="H8337" t="str">
        <f>VLOOKUP(record[[#This Row],[ProcessSN]],表格2_7[],2,FALSE)</f>
        <v>30-4118-018-450</v>
      </c>
      <c r="I8337" t="str">
        <f>VLOOKUP(record[[#This Row],[ProcessSN]],表格2_7[],3,FALSE)</f>
        <v>#08</v>
      </c>
      <c r="J8337" t="s">
        <v>597</v>
      </c>
      <c r="K8337" s="195">
        <v>45874.621134259258</v>
      </c>
      <c r="L8337">
        <v>310</v>
      </c>
      <c r="M8337">
        <v>0</v>
      </c>
      <c r="N8337" s="98" t="str">
        <f>IF(record[[#This Row],[Memo]]="Browser:chrome os:android","平板報工",IF(record[[#This Row],[Memo]]=0,"委外",record[[#This Row],[Memo]]))</f>
        <v/>
      </c>
      <c r="O8337" t="s">
        <v>58</v>
      </c>
      <c r="P8337" t="s">
        <v>186</v>
      </c>
      <c r="Q8337" t="s">
        <v>287</v>
      </c>
      <c r="R8337" t="str">
        <f>IFERROR(VLOOKUP(record[[#This Row],[PCUSTID]],廠商[],2,FALSE),"")</f>
        <v>泉盛</v>
      </c>
      <c r="S8337" t="str">
        <f>VLOOKUP(record[[#This Row],[employeeID]],員工[],2,FALSE)</f>
        <v>許文姍</v>
      </c>
    </row>
    <row r="8338" spans="6:19" hidden="1" x14ac:dyDescent="0.25">
      <c r="F8338" t="s">
        <v>920</v>
      </c>
      <c r="G8338" t="s">
        <v>403</v>
      </c>
      <c r="H8338" t="str">
        <f>VLOOKUP(record[[#This Row],[ProcessSN]],表格2_7[],2,FALSE)</f>
        <v>30-4118-018-550</v>
      </c>
      <c r="I8338" t="str">
        <f>VLOOKUP(record[[#This Row],[ProcessSN]],表格2_7[],3,FALSE)</f>
        <v>#100SHIP</v>
      </c>
      <c r="J8338" t="s">
        <v>600</v>
      </c>
      <c r="K8338" s="195">
        <v>45874.595590277779</v>
      </c>
      <c r="L8338">
        <v>24</v>
      </c>
      <c r="M8338">
        <v>0</v>
      </c>
      <c r="N8338" s="98" t="str">
        <f>IF(record[[#This Row],[Memo]]="Browser:chrome os:android","平板報工",IF(record[[#This Row],[Memo]]=0,"委外",record[[#This Row],[Memo]]))</f>
        <v/>
      </c>
      <c r="O8338" t="s">
        <v>58</v>
      </c>
      <c r="P8338" t="s">
        <v>886</v>
      </c>
      <c r="Q8338" t="s">
        <v>58</v>
      </c>
      <c r="R8338" t="str">
        <f>IFERROR(VLOOKUP(record[[#This Row],[PCUSTID]],廠商[],2,FALSE),"")</f>
        <v/>
      </c>
      <c r="S8338" t="str">
        <f>VLOOKUP(record[[#This Row],[employeeID]],員工[],2,FALSE)</f>
        <v>謝蓁薰</v>
      </c>
    </row>
    <row r="8339" spans="6:19" hidden="1" x14ac:dyDescent="0.25">
      <c r="F8339" t="s">
        <v>927</v>
      </c>
      <c r="G8339" t="s">
        <v>402</v>
      </c>
      <c r="H8339" t="str">
        <f>VLOOKUP(record[[#This Row],[ProcessSN]],表格2_7[],2,FALSE)</f>
        <v>30-4118-018-550</v>
      </c>
      <c r="I8339" t="str">
        <f>VLOOKUP(record[[#This Row],[ProcessSN]],表格2_7[],3,FALSE)</f>
        <v>#100STOCK</v>
      </c>
      <c r="J8339" t="s">
        <v>592</v>
      </c>
      <c r="K8339" s="195">
        <v>45874.595289351855</v>
      </c>
      <c r="L8339">
        <v>310</v>
      </c>
      <c r="M8339">
        <v>0</v>
      </c>
      <c r="N8339" s="98" t="str">
        <f>IF(record[[#This Row],[Memo]]="Browser:chrome os:android","平板報工",IF(record[[#This Row],[Memo]]=0,"委外",record[[#This Row],[Memo]]))</f>
        <v/>
      </c>
      <c r="O8339" t="s">
        <v>58</v>
      </c>
      <c r="P8339" t="s">
        <v>886</v>
      </c>
      <c r="Q8339" t="s">
        <v>58</v>
      </c>
      <c r="R8339" t="str">
        <f>IFERROR(VLOOKUP(record[[#This Row],[PCUSTID]],廠商[],2,FALSE),"")</f>
        <v/>
      </c>
      <c r="S8339" t="str">
        <f>VLOOKUP(record[[#This Row],[employeeID]],員工[],2,FALSE)</f>
        <v>謝蓁薰</v>
      </c>
    </row>
    <row r="8340" spans="6:19" hidden="1" x14ac:dyDescent="0.25">
      <c r="F8340" t="s">
        <v>920</v>
      </c>
      <c r="G8340" t="s">
        <v>402</v>
      </c>
      <c r="H8340" t="str">
        <f>VLOOKUP(record[[#This Row],[ProcessSN]],表格2_7[],2,FALSE)</f>
        <v>30-4118-018-550</v>
      </c>
      <c r="I8340" t="str">
        <f>VLOOKUP(record[[#This Row],[ProcessSN]],表格2_7[],3,FALSE)</f>
        <v>#100STOCK</v>
      </c>
      <c r="J8340" t="s">
        <v>592</v>
      </c>
      <c r="K8340" s="195">
        <v>45874.595081018517</v>
      </c>
      <c r="L8340">
        <v>149</v>
      </c>
      <c r="M8340">
        <v>0</v>
      </c>
      <c r="N8340" s="98" t="str">
        <f>IF(record[[#This Row],[Memo]]="Browser:chrome os:android","平板報工",IF(record[[#This Row],[Memo]]=0,"委外",record[[#This Row],[Memo]]))</f>
        <v/>
      </c>
      <c r="O8340" t="s">
        <v>58</v>
      </c>
      <c r="P8340" t="s">
        <v>886</v>
      </c>
      <c r="Q8340" t="s">
        <v>58</v>
      </c>
      <c r="R8340" t="str">
        <f>IFERROR(VLOOKUP(record[[#This Row],[PCUSTID]],廠商[],2,FALSE),"")</f>
        <v/>
      </c>
      <c r="S8340" t="str">
        <f>VLOOKUP(record[[#This Row],[employeeID]],員工[],2,FALSE)</f>
        <v>謝蓁薰</v>
      </c>
    </row>
    <row r="8341" spans="6:19" hidden="1" x14ac:dyDescent="0.25">
      <c r="F8341" t="s">
        <v>902</v>
      </c>
      <c r="G8341" t="s">
        <v>379</v>
      </c>
      <c r="H8341" t="str">
        <f>VLOOKUP(record[[#This Row],[ProcessSN]],表格2_7[],2,FALSE)</f>
        <v>30-4118-018-4XX</v>
      </c>
      <c r="I8341" t="str">
        <f>VLOOKUP(record[[#This Row],[ProcessSN]],表格2_7[],3,FALSE)</f>
        <v>#07STOCK</v>
      </c>
      <c r="J8341" t="s">
        <v>592</v>
      </c>
      <c r="K8341" s="195">
        <v>45874.442164351851</v>
      </c>
      <c r="L8341">
        <v>310</v>
      </c>
      <c r="M8341">
        <v>0</v>
      </c>
      <c r="N8341" s="98" t="str">
        <f>IF(record[[#This Row],[Memo]]="Browser:chrome os:android","平板報工",IF(record[[#This Row],[Memo]]=0,"委外",record[[#This Row],[Memo]]))</f>
        <v/>
      </c>
      <c r="O8341" t="s">
        <v>58</v>
      </c>
      <c r="P8341" t="s">
        <v>196</v>
      </c>
      <c r="Q8341" t="s">
        <v>58</v>
      </c>
      <c r="R8341" t="str">
        <f>IFERROR(VLOOKUP(record[[#This Row],[PCUSTID]],廠商[],2,FALSE),"")</f>
        <v/>
      </c>
      <c r="S8341" t="str">
        <f>VLOOKUP(record[[#This Row],[employeeID]],員工[],2,FALSE)</f>
        <v>張淑惠</v>
      </c>
    </row>
    <row r="8342" spans="6:19" hidden="1" x14ac:dyDescent="0.25">
      <c r="F8342" t="s">
        <v>948</v>
      </c>
      <c r="G8342" t="s">
        <v>355</v>
      </c>
      <c r="H8342" t="str">
        <f>VLOOKUP(record[[#This Row],[ProcessSN]],表格2_7[],2,FALSE)</f>
        <v>30-4118-018-450</v>
      </c>
      <c r="I8342" t="str">
        <f>VLOOKUP(record[[#This Row],[ProcessSN]],表格2_7[],3,FALSE)</f>
        <v>#08PICK</v>
      </c>
      <c r="J8342" t="s">
        <v>582</v>
      </c>
      <c r="K8342" s="195">
        <v>45874.441574074073</v>
      </c>
      <c r="L8342">
        <v>310</v>
      </c>
      <c r="M8342">
        <v>0</v>
      </c>
      <c r="N8342" s="98" t="str">
        <f>IF(record[[#This Row],[Memo]]="Browser:chrome os:android","平板報工",IF(record[[#This Row],[Memo]]=0,"委外",record[[#This Row],[Memo]]))</f>
        <v/>
      </c>
      <c r="O8342" t="s">
        <v>58</v>
      </c>
      <c r="P8342" t="s">
        <v>196</v>
      </c>
      <c r="Q8342" t="s">
        <v>58</v>
      </c>
      <c r="R8342" t="str">
        <f>IFERROR(VLOOKUP(record[[#This Row],[PCUSTID]],廠商[],2,FALSE),"")</f>
        <v/>
      </c>
      <c r="S8342" t="str">
        <f>VLOOKUP(record[[#This Row],[employeeID]],員工[],2,FALSE)</f>
        <v>張淑惠</v>
      </c>
    </row>
    <row r="8343" spans="6:19" hidden="1" x14ac:dyDescent="0.25">
      <c r="F8343" t="s">
        <v>902</v>
      </c>
      <c r="G8343" t="s">
        <v>378</v>
      </c>
      <c r="H8343" t="str">
        <f>VLOOKUP(record[[#This Row],[ProcessSN]],表格2_7[],2,FALSE)</f>
        <v>30-4118-018-4XX</v>
      </c>
      <c r="I8343" t="str">
        <f>VLOOKUP(record[[#This Row],[ProcessSN]],表格2_7[],3,FALSE)</f>
        <v>#07QC</v>
      </c>
      <c r="J8343" t="s">
        <v>589</v>
      </c>
      <c r="K8343" s="195">
        <v>45874.393935185188</v>
      </c>
      <c r="L8343">
        <v>0</v>
      </c>
      <c r="M8343">
        <v>11</v>
      </c>
      <c r="N8343" s="98" t="str">
        <f>IF(record[[#This Row],[Memo]]="Browser:chrome os:android","平板報工",IF(record[[#This Row],[Memo]]=0,"委外",record[[#This Row],[Memo]]))</f>
        <v>平板報工</v>
      </c>
      <c r="O8343" t="s">
        <v>643</v>
      </c>
      <c r="P8343" t="s">
        <v>141</v>
      </c>
      <c r="Q8343" t="s">
        <v>644</v>
      </c>
      <c r="R8343" t="str">
        <f>IFERROR(VLOOKUP(record[[#This Row],[PCUSTID]],廠商[],2,FALSE),"")</f>
        <v/>
      </c>
      <c r="S8343" t="str">
        <f>VLOOKUP(record[[#This Row],[employeeID]],員工[],2,FALSE)</f>
        <v>蔣梅</v>
      </c>
    </row>
    <row r="8344" spans="6:19" hidden="1" x14ac:dyDescent="0.25">
      <c r="F8344" t="s">
        <v>902</v>
      </c>
      <c r="G8344" t="s">
        <v>378</v>
      </c>
      <c r="H8344" t="str">
        <f>VLOOKUP(record[[#This Row],[ProcessSN]],表格2_7[],2,FALSE)</f>
        <v>30-4118-018-4XX</v>
      </c>
      <c r="I8344" t="str">
        <f>VLOOKUP(record[[#This Row],[ProcessSN]],表格2_7[],3,FALSE)</f>
        <v>#07QC</v>
      </c>
      <c r="J8344" t="s">
        <v>589</v>
      </c>
      <c r="K8344" s="195">
        <v>45874.39371527778</v>
      </c>
      <c r="L8344">
        <v>310</v>
      </c>
      <c r="M8344">
        <v>0</v>
      </c>
      <c r="N8344" s="98" t="str">
        <f>IF(record[[#This Row],[Memo]]="Browser:chrome os:android","平板報工",IF(record[[#This Row],[Memo]]=0,"委外",record[[#This Row],[Memo]]))</f>
        <v>平板報工</v>
      </c>
      <c r="O8344" t="s">
        <v>643</v>
      </c>
      <c r="P8344" t="s">
        <v>141</v>
      </c>
      <c r="Q8344" t="s">
        <v>644</v>
      </c>
      <c r="R8344" t="str">
        <f>IFERROR(VLOOKUP(record[[#This Row],[PCUSTID]],廠商[],2,FALSE),"")</f>
        <v/>
      </c>
      <c r="S8344" t="str">
        <f>VLOOKUP(record[[#This Row],[employeeID]],員工[],2,FALSE)</f>
        <v>蔣梅</v>
      </c>
    </row>
    <row r="8345" spans="6:19" hidden="1" x14ac:dyDescent="0.25">
      <c r="F8345" t="s">
        <v>904</v>
      </c>
      <c r="G8345" t="s">
        <v>415</v>
      </c>
      <c r="H8345" t="str">
        <f>VLOOKUP(record[[#This Row],[ProcessSN]],表格2_7[],2,FALSE)</f>
        <v>30-4118-018-5XX</v>
      </c>
      <c r="I8345" t="str">
        <f>VLOOKUP(record[[#This Row],[ProcessSN]],表格2_7[],3,FALSE)</f>
        <v>#04</v>
      </c>
      <c r="J8345" t="s">
        <v>588</v>
      </c>
      <c r="K8345" s="195">
        <v>45874.296168981484</v>
      </c>
      <c r="L8345">
        <v>137</v>
      </c>
      <c r="M8345">
        <v>0</v>
      </c>
      <c r="N8345" s="98" t="str">
        <f>IF(record[[#This Row],[Memo]]="Browser:chrome os:android","平板報工",IF(record[[#This Row],[Memo]]=0,"委外",record[[#This Row],[Memo]]))</f>
        <v/>
      </c>
      <c r="O8345" t="s">
        <v>58</v>
      </c>
      <c r="P8345" t="s">
        <v>135</v>
      </c>
      <c r="Q8345" t="s">
        <v>58</v>
      </c>
      <c r="R8345" t="str">
        <f>IFERROR(VLOOKUP(record[[#This Row],[PCUSTID]],廠商[],2,FALSE),"")</f>
        <v/>
      </c>
      <c r="S8345" t="str">
        <f>VLOOKUP(record[[#This Row],[employeeID]],員工[],2,FALSE)</f>
        <v>阮士文</v>
      </c>
    </row>
    <row r="8346" spans="6:19" hidden="1" x14ac:dyDescent="0.25">
      <c r="F8346" t="s">
        <v>900</v>
      </c>
      <c r="G8346" t="s">
        <v>450</v>
      </c>
      <c r="H8346" t="str">
        <f>VLOOKUP(record[[#This Row],[ProcessSN]],表格2_7[],2,FALSE)</f>
        <v>30-4118-018-6XX</v>
      </c>
      <c r="I8346" t="str">
        <f>VLOOKUP(record[[#This Row],[ProcessSN]],表格2_7[],3,FALSE)</f>
        <v>#06</v>
      </c>
      <c r="J8346" t="s">
        <v>593</v>
      </c>
      <c r="K8346" s="195">
        <v>45873.971863425926</v>
      </c>
      <c r="L8346">
        <v>121</v>
      </c>
      <c r="M8346">
        <v>0</v>
      </c>
      <c r="N8346" s="98" t="str">
        <f>IF(record[[#This Row],[Memo]]="Browser:chrome os:android","平板報工",IF(record[[#This Row],[Memo]]=0,"委外",record[[#This Row],[Memo]]))</f>
        <v/>
      </c>
      <c r="O8346" t="s">
        <v>58</v>
      </c>
      <c r="P8346" t="s">
        <v>841</v>
      </c>
      <c r="Q8346" t="s">
        <v>58</v>
      </c>
      <c r="R8346" t="str">
        <f>IFERROR(VLOOKUP(record[[#This Row],[PCUSTID]],廠商[],2,FALSE),"")</f>
        <v/>
      </c>
      <c r="S8346" t="str">
        <f>VLOOKUP(record[[#This Row],[employeeID]],員工[],2,FALSE)</f>
        <v>范氏香</v>
      </c>
    </row>
    <row r="8347" spans="6:19" hidden="1" x14ac:dyDescent="0.25">
      <c r="F8347" t="s">
        <v>904</v>
      </c>
      <c r="G8347" t="s">
        <v>415</v>
      </c>
      <c r="H8347" t="str">
        <f>VLOOKUP(record[[#This Row],[ProcessSN]],表格2_7[],2,FALSE)</f>
        <v>30-4118-018-5XX</v>
      </c>
      <c r="I8347" t="str">
        <f>VLOOKUP(record[[#This Row],[ProcessSN]],表格2_7[],3,FALSE)</f>
        <v>#04</v>
      </c>
      <c r="J8347" t="s">
        <v>588</v>
      </c>
      <c r="K8347" s="195">
        <v>45873.965439814812</v>
      </c>
      <c r="L8347">
        <v>145</v>
      </c>
      <c r="M8347">
        <v>0</v>
      </c>
      <c r="N8347" s="98" t="str">
        <f>IF(record[[#This Row],[Memo]]="Browser:chrome os:android","平板報工",IF(record[[#This Row],[Memo]]=0,"委外",record[[#This Row],[Memo]]))</f>
        <v/>
      </c>
      <c r="O8347" t="s">
        <v>58</v>
      </c>
      <c r="P8347" t="s">
        <v>133</v>
      </c>
      <c r="Q8347" t="s">
        <v>58</v>
      </c>
      <c r="R8347" t="str">
        <f>IFERROR(VLOOKUP(record[[#This Row],[PCUSTID]],廠商[],2,FALSE),"")</f>
        <v/>
      </c>
      <c r="S8347" t="str">
        <f>VLOOKUP(record[[#This Row],[employeeID]],員工[],2,FALSE)</f>
        <v>黎長維</v>
      </c>
    </row>
    <row r="8348" spans="6:19" hidden="1" x14ac:dyDescent="0.25">
      <c r="F8348" t="s">
        <v>904</v>
      </c>
      <c r="G8348" t="s">
        <v>416</v>
      </c>
      <c r="H8348" t="str">
        <f>VLOOKUP(record[[#This Row],[ProcessSN]],表格2_7[],2,FALSE)</f>
        <v>30-4118-018-5XX</v>
      </c>
      <c r="I8348" t="str">
        <f>VLOOKUP(record[[#This Row],[ProcessSN]],表格2_7[],3,FALSE)</f>
        <v>#05</v>
      </c>
      <c r="J8348" t="s">
        <v>588</v>
      </c>
      <c r="K8348" s="195">
        <v>45873.963622685187</v>
      </c>
      <c r="L8348">
        <v>260</v>
      </c>
      <c r="M8348">
        <v>0</v>
      </c>
      <c r="N8348" s="98" t="str">
        <f>IF(record[[#This Row],[Memo]]="Browser:chrome os:android","平板報工",IF(record[[#This Row],[Memo]]=0,"委外",record[[#This Row],[Memo]]))</f>
        <v/>
      </c>
      <c r="O8348" t="s">
        <v>58</v>
      </c>
      <c r="P8348" t="s">
        <v>89</v>
      </c>
      <c r="Q8348" t="s">
        <v>58</v>
      </c>
      <c r="R8348" t="str">
        <f>IFERROR(VLOOKUP(record[[#This Row],[PCUSTID]],廠商[],2,FALSE),"")</f>
        <v/>
      </c>
      <c r="S8348" t="str">
        <f>VLOOKUP(record[[#This Row],[employeeID]],員工[],2,FALSE)</f>
        <v>李美蓮</v>
      </c>
    </row>
    <row r="8349" spans="6:19" hidden="1" x14ac:dyDescent="0.25">
      <c r="F8349" t="s">
        <v>902</v>
      </c>
      <c r="G8349" t="s">
        <v>377</v>
      </c>
      <c r="H8349" t="str">
        <f>VLOOKUP(record[[#This Row],[ProcessSN]],表格2_7[],2,FALSE)</f>
        <v>30-4118-018-4XX</v>
      </c>
      <c r="I8349" t="str">
        <f>VLOOKUP(record[[#This Row],[ProcessSN]],表格2_7[],3,FALSE)</f>
        <v>#07</v>
      </c>
      <c r="J8349" t="s">
        <v>588</v>
      </c>
      <c r="K8349" s="195">
        <v>45873.915381944447</v>
      </c>
      <c r="L8349">
        <v>64</v>
      </c>
      <c r="M8349">
        <v>0</v>
      </c>
      <c r="N8349" s="98" t="str">
        <f>IF(record[[#This Row],[Memo]]="Browser:chrome os:android","平板報工",IF(record[[#This Row],[Memo]]=0,"委外",record[[#This Row],[Memo]]))</f>
        <v/>
      </c>
      <c r="O8349" t="s">
        <v>58</v>
      </c>
      <c r="P8349" t="s">
        <v>133</v>
      </c>
      <c r="Q8349" t="s">
        <v>58</v>
      </c>
      <c r="R8349" t="str">
        <f>IFERROR(VLOOKUP(record[[#This Row],[PCUSTID]],廠商[],2,FALSE),"")</f>
        <v/>
      </c>
      <c r="S8349" t="str">
        <f>VLOOKUP(record[[#This Row],[employeeID]],員工[],2,FALSE)</f>
        <v>黎長維</v>
      </c>
    </row>
    <row r="8350" spans="6:19" hidden="1" x14ac:dyDescent="0.25">
      <c r="F8350" t="s">
        <v>938</v>
      </c>
      <c r="G8350" t="s">
        <v>362</v>
      </c>
      <c r="H8350" t="str">
        <f>VLOOKUP(record[[#This Row],[ProcessSN]],表格2_7[],2,FALSE)</f>
        <v>30-4118-018-450</v>
      </c>
      <c r="I8350" t="str">
        <f>VLOOKUP(record[[#This Row],[ProcessSN]],表格2_7[],3,FALSE)</f>
        <v>#100SHIP</v>
      </c>
      <c r="J8350" t="s">
        <v>600</v>
      </c>
      <c r="K8350" s="195">
        <v>45873.679212962961</v>
      </c>
      <c r="L8350">
        <v>63</v>
      </c>
      <c r="M8350">
        <v>0</v>
      </c>
      <c r="N8350" s="98" t="str">
        <f>IF(record[[#This Row],[Memo]]="Browser:chrome os:android","平板報工",IF(record[[#This Row],[Memo]]=0,"委外",record[[#This Row],[Memo]]))</f>
        <v/>
      </c>
      <c r="O8350" t="s">
        <v>58</v>
      </c>
      <c r="P8350" t="s">
        <v>886</v>
      </c>
      <c r="Q8350" t="s">
        <v>58</v>
      </c>
      <c r="R8350" t="str">
        <f>IFERROR(VLOOKUP(record[[#This Row],[PCUSTID]],廠商[],2,FALSE),"")</f>
        <v/>
      </c>
      <c r="S8350" t="str">
        <f>VLOOKUP(record[[#This Row],[employeeID]],員工[],2,FALSE)</f>
        <v>謝蓁薰</v>
      </c>
    </row>
    <row r="8351" spans="6:19" hidden="1" x14ac:dyDescent="0.25">
      <c r="F8351" t="s">
        <v>938</v>
      </c>
      <c r="G8351" t="s">
        <v>361</v>
      </c>
      <c r="H8351" t="str">
        <f>VLOOKUP(record[[#This Row],[ProcessSN]],表格2_7[],2,FALSE)</f>
        <v>30-4118-018-450</v>
      </c>
      <c r="I8351" t="str">
        <f>VLOOKUP(record[[#This Row],[ProcessSN]],表格2_7[],3,FALSE)</f>
        <v>#100STOCK</v>
      </c>
      <c r="J8351" t="s">
        <v>592</v>
      </c>
      <c r="K8351" s="195">
        <v>45873.679085648146</v>
      </c>
      <c r="L8351">
        <v>63</v>
      </c>
      <c r="M8351">
        <v>0</v>
      </c>
      <c r="N8351" s="98" t="str">
        <f>IF(record[[#This Row],[Memo]]="Browser:chrome os:android","平板報工",IF(record[[#This Row],[Memo]]=0,"委外",record[[#This Row],[Memo]]))</f>
        <v/>
      </c>
      <c r="O8351" t="s">
        <v>58</v>
      </c>
      <c r="P8351" t="s">
        <v>886</v>
      </c>
      <c r="Q8351" t="s">
        <v>58</v>
      </c>
      <c r="R8351" t="str">
        <f>IFERROR(VLOOKUP(record[[#This Row],[PCUSTID]],廠商[],2,FALSE),"")</f>
        <v/>
      </c>
      <c r="S8351" t="str">
        <f>VLOOKUP(record[[#This Row],[employeeID]],員工[],2,FALSE)</f>
        <v>謝蓁薰</v>
      </c>
    </row>
    <row r="8352" spans="6:19" hidden="1" x14ac:dyDescent="0.25">
      <c r="F8352" t="s">
        <v>938</v>
      </c>
      <c r="G8352" t="s">
        <v>360</v>
      </c>
      <c r="H8352" t="str">
        <f>VLOOKUP(record[[#This Row],[ProcessSN]],表格2_7[],2,FALSE)</f>
        <v>30-4118-018-450</v>
      </c>
      <c r="I8352" t="str">
        <f>VLOOKUP(record[[#This Row],[ProcessSN]],表格2_7[],3,FALSE)</f>
        <v>#100OQC</v>
      </c>
      <c r="J8352" t="s">
        <v>599</v>
      </c>
      <c r="K8352" s="195">
        <v>45873.665648148148</v>
      </c>
      <c r="L8352">
        <v>156</v>
      </c>
      <c r="M8352">
        <v>0</v>
      </c>
      <c r="N8352" s="98" t="str">
        <f>IF(record[[#This Row],[Memo]]="Browser:chrome os:android","平板報工",IF(record[[#This Row],[Memo]]=0,"委外",record[[#This Row],[Memo]]))</f>
        <v/>
      </c>
      <c r="O8352" t="s">
        <v>58</v>
      </c>
      <c r="P8352" t="s">
        <v>121</v>
      </c>
      <c r="Q8352" t="s">
        <v>58</v>
      </c>
      <c r="R8352" t="str">
        <f>IFERROR(VLOOKUP(record[[#This Row],[PCUSTID]],廠商[],2,FALSE),"")</f>
        <v/>
      </c>
      <c r="S8352" t="str">
        <f>VLOOKUP(record[[#This Row],[employeeID]],員工[],2,FALSE)</f>
        <v>謝素卿</v>
      </c>
    </row>
    <row r="8353" spans="6:19" hidden="1" x14ac:dyDescent="0.25">
      <c r="F8353" t="s">
        <v>900</v>
      </c>
      <c r="G8353" t="s">
        <v>450</v>
      </c>
      <c r="H8353" t="str">
        <f>VLOOKUP(record[[#This Row],[ProcessSN]],表格2_7[],2,FALSE)</f>
        <v>30-4118-018-6XX</v>
      </c>
      <c r="I8353" t="str">
        <f>VLOOKUP(record[[#This Row],[ProcessSN]],表格2_7[],3,FALSE)</f>
        <v>#06</v>
      </c>
      <c r="J8353" t="s">
        <v>593</v>
      </c>
      <c r="K8353" s="195">
        <v>45873.658402777779</v>
      </c>
      <c r="L8353">
        <v>50</v>
      </c>
      <c r="M8353">
        <v>13</v>
      </c>
      <c r="N8353" s="98" t="str">
        <f>IF(record[[#This Row],[Memo]]="Browser:chrome os:android","平板報工",IF(record[[#This Row],[Memo]]=0,"委外",record[[#This Row],[Memo]]))</f>
        <v/>
      </c>
      <c r="O8353" t="s">
        <v>58</v>
      </c>
      <c r="P8353" t="s">
        <v>101</v>
      </c>
      <c r="Q8353" t="s">
        <v>58</v>
      </c>
      <c r="R8353" t="str">
        <f>IFERROR(VLOOKUP(record[[#This Row],[PCUSTID]],廠商[],2,FALSE),"")</f>
        <v/>
      </c>
      <c r="S8353" t="str">
        <f>VLOOKUP(record[[#This Row],[employeeID]],員工[],2,FALSE)</f>
        <v>陳氏絨</v>
      </c>
    </row>
    <row r="8354" spans="6:19" hidden="1" x14ac:dyDescent="0.25">
      <c r="F8354" t="s">
        <v>932</v>
      </c>
      <c r="G8354" t="s">
        <v>428</v>
      </c>
      <c r="H8354" t="str">
        <f>VLOOKUP(record[[#This Row],[ProcessSN]],表格2_7[],2,FALSE)</f>
        <v>30-4118-018-600</v>
      </c>
      <c r="I8354" t="str">
        <f>VLOOKUP(record[[#This Row],[ProcessSN]],表格2_7[],3,FALSE)</f>
        <v>#100SHIP</v>
      </c>
      <c r="J8354" t="s">
        <v>600</v>
      </c>
      <c r="K8354" s="195">
        <v>45873.653564814813</v>
      </c>
      <c r="L8354">
        <v>7</v>
      </c>
      <c r="M8354">
        <v>0</v>
      </c>
      <c r="N8354" s="98" t="str">
        <f>IF(record[[#This Row],[Memo]]="Browser:chrome os:android","平板報工",IF(record[[#This Row],[Memo]]=0,"委外",record[[#This Row],[Memo]]))</f>
        <v/>
      </c>
      <c r="O8354" t="s">
        <v>58</v>
      </c>
      <c r="P8354" t="s">
        <v>886</v>
      </c>
      <c r="Q8354" t="s">
        <v>58</v>
      </c>
      <c r="R8354" t="str">
        <f>IFERROR(VLOOKUP(record[[#This Row],[PCUSTID]],廠商[],2,FALSE),"")</f>
        <v/>
      </c>
      <c r="S8354" t="str">
        <f>VLOOKUP(record[[#This Row],[employeeID]],員工[],2,FALSE)</f>
        <v>謝蓁薰</v>
      </c>
    </row>
    <row r="8355" spans="6:19" hidden="1" x14ac:dyDescent="0.25">
      <c r="F8355" t="s">
        <v>932</v>
      </c>
      <c r="G8355" t="s">
        <v>427</v>
      </c>
      <c r="H8355" t="str">
        <f>VLOOKUP(record[[#This Row],[ProcessSN]],表格2_7[],2,FALSE)</f>
        <v>30-4118-018-600</v>
      </c>
      <c r="I8355" t="str">
        <f>VLOOKUP(record[[#This Row],[ProcessSN]],表格2_7[],3,FALSE)</f>
        <v>#100STOCK</v>
      </c>
      <c r="J8355" t="s">
        <v>592</v>
      </c>
      <c r="K8355" s="195">
        <v>45873.653460648151</v>
      </c>
      <c r="L8355">
        <v>7</v>
      </c>
      <c r="M8355">
        <v>0</v>
      </c>
      <c r="N8355" s="98" t="str">
        <f>IF(record[[#This Row],[Memo]]="Browser:chrome os:android","平板報工",IF(record[[#This Row],[Memo]]=0,"委外",record[[#This Row],[Memo]]))</f>
        <v/>
      </c>
      <c r="O8355" t="s">
        <v>58</v>
      </c>
      <c r="P8355" t="s">
        <v>886</v>
      </c>
      <c r="Q8355" t="s">
        <v>58</v>
      </c>
      <c r="R8355" t="str">
        <f>IFERROR(VLOOKUP(record[[#This Row],[PCUSTID]],廠商[],2,FALSE),"")</f>
        <v/>
      </c>
      <c r="S8355" t="str">
        <f>VLOOKUP(record[[#This Row],[employeeID]],員工[],2,FALSE)</f>
        <v>謝蓁薰</v>
      </c>
    </row>
    <row r="8356" spans="6:19" hidden="1" x14ac:dyDescent="0.25">
      <c r="F8356" t="s">
        <v>920</v>
      </c>
      <c r="G8356" t="s">
        <v>403</v>
      </c>
      <c r="H8356" t="str">
        <f>VLOOKUP(record[[#This Row],[ProcessSN]],表格2_7[],2,FALSE)</f>
        <v>30-4118-018-550</v>
      </c>
      <c r="I8356" t="str">
        <f>VLOOKUP(record[[#This Row],[ProcessSN]],表格2_7[],3,FALSE)</f>
        <v>#100SHIP</v>
      </c>
      <c r="J8356" t="s">
        <v>600</v>
      </c>
      <c r="K8356" s="195">
        <v>45873.652928240743</v>
      </c>
      <c r="L8356">
        <v>152</v>
      </c>
      <c r="M8356">
        <v>0</v>
      </c>
      <c r="N8356" s="98" t="str">
        <f>IF(record[[#This Row],[Memo]]="Browser:chrome os:android","平板報工",IF(record[[#This Row],[Memo]]=0,"委外",record[[#This Row],[Memo]]))</f>
        <v/>
      </c>
      <c r="O8356" t="s">
        <v>58</v>
      </c>
      <c r="P8356" t="s">
        <v>886</v>
      </c>
      <c r="Q8356" t="s">
        <v>58</v>
      </c>
      <c r="R8356" t="str">
        <f>IFERROR(VLOOKUP(record[[#This Row],[PCUSTID]],廠商[],2,FALSE),"")</f>
        <v/>
      </c>
      <c r="S8356" t="str">
        <f>VLOOKUP(record[[#This Row],[employeeID]],員工[],2,FALSE)</f>
        <v>謝蓁薰</v>
      </c>
    </row>
    <row r="8357" spans="6:19" hidden="1" x14ac:dyDescent="0.25">
      <c r="F8357" t="s">
        <v>920</v>
      </c>
      <c r="G8357" t="s">
        <v>402</v>
      </c>
      <c r="H8357" t="str">
        <f>VLOOKUP(record[[#This Row],[ProcessSN]],表格2_7[],2,FALSE)</f>
        <v>30-4118-018-550</v>
      </c>
      <c r="I8357" t="str">
        <f>VLOOKUP(record[[#This Row],[ProcessSN]],表格2_7[],3,FALSE)</f>
        <v>#100STOCK</v>
      </c>
      <c r="J8357" t="s">
        <v>592</v>
      </c>
      <c r="K8357" s="195">
        <v>45873.652777777781</v>
      </c>
      <c r="L8357">
        <v>152</v>
      </c>
      <c r="M8357">
        <v>0</v>
      </c>
      <c r="N8357" s="98" t="str">
        <f>IF(record[[#This Row],[Memo]]="Browser:chrome os:android","平板報工",IF(record[[#This Row],[Memo]]=0,"委外",record[[#This Row],[Memo]]))</f>
        <v/>
      </c>
      <c r="O8357" t="s">
        <v>58</v>
      </c>
      <c r="P8357" t="s">
        <v>886</v>
      </c>
      <c r="Q8357" t="s">
        <v>58</v>
      </c>
      <c r="R8357" t="str">
        <f>IFERROR(VLOOKUP(record[[#This Row],[PCUSTID]],廠商[],2,FALSE),"")</f>
        <v/>
      </c>
      <c r="S8357" t="str">
        <f>VLOOKUP(record[[#This Row],[employeeID]],員工[],2,FALSE)</f>
        <v>謝蓁薰</v>
      </c>
    </row>
    <row r="8358" spans="6:19" hidden="1" x14ac:dyDescent="0.25">
      <c r="F8358" t="s">
        <v>917</v>
      </c>
      <c r="G8358" t="s">
        <v>403</v>
      </c>
      <c r="H8358" t="str">
        <f>VLOOKUP(record[[#This Row],[ProcessSN]],表格2_7[],2,FALSE)</f>
        <v>30-4118-018-550</v>
      </c>
      <c r="I8358" t="str">
        <f>VLOOKUP(record[[#This Row],[ProcessSN]],表格2_7[],3,FALSE)</f>
        <v>#100SHIP</v>
      </c>
      <c r="J8358" t="s">
        <v>600</v>
      </c>
      <c r="K8358" s="195">
        <v>45873.652581018519</v>
      </c>
      <c r="L8358">
        <v>150</v>
      </c>
      <c r="M8358">
        <v>0</v>
      </c>
      <c r="N8358" s="98" t="str">
        <f>IF(record[[#This Row],[Memo]]="Browser:chrome os:android","平板報工",IF(record[[#This Row],[Memo]]=0,"委外",record[[#This Row],[Memo]]))</f>
        <v/>
      </c>
      <c r="O8358" t="s">
        <v>58</v>
      </c>
      <c r="P8358" t="s">
        <v>886</v>
      </c>
      <c r="Q8358" t="s">
        <v>58</v>
      </c>
      <c r="R8358" t="str">
        <f>IFERROR(VLOOKUP(record[[#This Row],[PCUSTID]],廠商[],2,FALSE),"")</f>
        <v/>
      </c>
      <c r="S8358" t="str">
        <f>VLOOKUP(record[[#This Row],[employeeID]],員工[],2,FALSE)</f>
        <v>謝蓁薰</v>
      </c>
    </row>
    <row r="8359" spans="6:19" hidden="1" x14ac:dyDescent="0.25">
      <c r="F8359" t="s">
        <v>917</v>
      </c>
      <c r="G8359" t="s">
        <v>402</v>
      </c>
      <c r="H8359" t="str">
        <f>VLOOKUP(record[[#This Row],[ProcessSN]],表格2_7[],2,FALSE)</f>
        <v>30-4118-018-550</v>
      </c>
      <c r="I8359" t="str">
        <f>VLOOKUP(record[[#This Row],[ProcessSN]],表格2_7[],3,FALSE)</f>
        <v>#100STOCK</v>
      </c>
      <c r="J8359" t="s">
        <v>592</v>
      </c>
      <c r="K8359" s="195">
        <v>45873.652465277781</v>
      </c>
      <c r="L8359">
        <v>150</v>
      </c>
      <c r="M8359">
        <v>0</v>
      </c>
      <c r="N8359" s="98" t="str">
        <f>IF(record[[#This Row],[Memo]]="Browser:chrome os:android","平板報工",IF(record[[#This Row],[Memo]]=0,"委外",record[[#This Row],[Memo]]))</f>
        <v/>
      </c>
      <c r="O8359" t="s">
        <v>58</v>
      </c>
      <c r="P8359" t="s">
        <v>886</v>
      </c>
      <c r="Q8359" t="s">
        <v>58</v>
      </c>
      <c r="R8359" t="str">
        <f>IFERROR(VLOOKUP(record[[#This Row],[PCUSTID]],廠商[],2,FALSE),"")</f>
        <v/>
      </c>
      <c r="S8359" t="str">
        <f>VLOOKUP(record[[#This Row],[employeeID]],員工[],2,FALSE)</f>
        <v>謝蓁薰</v>
      </c>
    </row>
    <row r="8360" spans="6:19" hidden="1" x14ac:dyDescent="0.25">
      <c r="F8360" t="s">
        <v>683</v>
      </c>
      <c r="G8360" t="s">
        <v>362</v>
      </c>
      <c r="H8360" t="str">
        <f>VLOOKUP(record[[#This Row],[ProcessSN]],表格2_7[],2,FALSE)</f>
        <v>30-4118-018-450</v>
      </c>
      <c r="I8360" t="str">
        <f>VLOOKUP(record[[#This Row],[ProcessSN]],表格2_7[],3,FALSE)</f>
        <v>#100SHIP</v>
      </c>
      <c r="J8360" t="s">
        <v>600</v>
      </c>
      <c r="K8360" s="195">
        <v>45873.651944444442</v>
      </c>
      <c r="L8360">
        <v>4</v>
      </c>
      <c r="M8360">
        <v>0</v>
      </c>
      <c r="N8360" s="98" t="str">
        <f>IF(record[[#This Row],[Memo]]="Browser:chrome os:android","平板報工",IF(record[[#This Row],[Memo]]=0,"委外",record[[#This Row],[Memo]]))</f>
        <v/>
      </c>
      <c r="O8360" t="s">
        <v>58</v>
      </c>
      <c r="P8360" t="s">
        <v>886</v>
      </c>
      <c r="Q8360" t="s">
        <v>58</v>
      </c>
      <c r="R8360" t="str">
        <f>IFERROR(VLOOKUP(record[[#This Row],[PCUSTID]],廠商[],2,FALSE),"")</f>
        <v/>
      </c>
      <c r="S8360" t="str">
        <f>VLOOKUP(record[[#This Row],[employeeID]],員工[],2,FALSE)</f>
        <v>謝蓁薰</v>
      </c>
    </row>
    <row r="8361" spans="6:19" hidden="1" x14ac:dyDescent="0.25">
      <c r="F8361" t="s">
        <v>683</v>
      </c>
      <c r="G8361" t="s">
        <v>361</v>
      </c>
      <c r="H8361" t="str">
        <f>VLOOKUP(record[[#This Row],[ProcessSN]],表格2_7[],2,FALSE)</f>
        <v>30-4118-018-450</v>
      </c>
      <c r="I8361" t="str">
        <f>VLOOKUP(record[[#This Row],[ProcessSN]],表格2_7[],3,FALSE)</f>
        <v>#100STOCK</v>
      </c>
      <c r="J8361" t="s">
        <v>592</v>
      </c>
      <c r="K8361" s="195">
        <v>45873.651782407411</v>
      </c>
      <c r="L8361">
        <v>1</v>
      </c>
      <c r="M8361">
        <v>0</v>
      </c>
      <c r="N8361" s="98" t="str">
        <f>IF(record[[#This Row],[Memo]]="Browser:chrome os:android","平板報工",IF(record[[#This Row],[Memo]]=0,"委外",record[[#This Row],[Memo]]))</f>
        <v/>
      </c>
      <c r="O8361" t="s">
        <v>58</v>
      </c>
      <c r="P8361" t="s">
        <v>886</v>
      </c>
      <c r="Q8361" t="s">
        <v>58</v>
      </c>
      <c r="R8361" t="str">
        <f>IFERROR(VLOOKUP(record[[#This Row],[PCUSTID]],廠商[],2,FALSE),"")</f>
        <v/>
      </c>
      <c r="S8361" t="str">
        <f>VLOOKUP(record[[#This Row],[employeeID]],員工[],2,FALSE)</f>
        <v>謝蓁薰</v>
      </c>
    </row>
    <row r="8362" spans="6:19" hidden="1" x14ac:dyDescent="0.25">
      <c r="F8362" t="s">
        <v>904</v>
      </c>
      <c r="G8362" t="s">
        <v>415</v>
      </c>
      <c r="H8362" t="str">
        <f>VLOOKUP(record[[#This Row],[ProcessSN]],表格2_7[],2,FALSE)</f>
        <v>30-4118-018-5XX</v>
      </c>
      <c r="I8362" t="str">
        <f>VLOOKUP(record[[#This Row],[ProcessSN]],表格2_7[],3,FALSE)</f>
        <v>#04</v>
      </c>
      <c r="J8362" t="s">
        <v>588</v>
      </c>
      <c r="K8362" s="195">
        <v>45873.647083333337</v>
      </c>
      <c r="L8362">
        <v>120</v>
      </c>
      <c r="M8362">
        <v>1</v>
      </c>
      <c r="N8362" s="98" t="str">
        <f>IF(record[[#This Row],[Memo]]="Browser:chrome os:android","平板報工",IF(record[[#This Row],[Memo]]=0,"委外",record[[#This Row],[Memo]]))</f>
        <v/>
      </c>
      <c r="O8362" t="s">
        <v>58</v>
      </c>
      <c r="P8362" t="s">
        <v>101</v>
      </c>
      <c r="Q8362" t="s">
        <v>58</v>
      </c>
      <c r="R8362" t="str">
        <f>IFERROR(VLOOKUP(record[[#This Row],[PCUSTID]],廠商[],2,FALSE),"")</f>
        <v/>
      </c>
      <c r="S8362" t="str">
        <f>VLOOKUP(record[[#This Row],[employeeID]],員工[],2,FALSE)</f>
        <v>陳氏絨</v>
      </c>
    </row>
    <row r="8363" spans="6:19" hidden="1" x14ac:dyDescent="0.25">
      <c r="F8363" t="s">
        <v>902</v>
      </c>
      <c r="G8363" t="s">
        <v>377</v>
      </c>
      <c r="H8363" t="str">
        <f>VLOOKUP(record[[#This Row],[ProcessSN]],表格2_7[],2,FALSE)</f>
        <v>30-4118-018-4XX</v>
      </c>
      <c r="I8363" t="str">
        <f>VLOOKUP(record[[#This Row],[ProcessSN]],表格2_7[],3,FALSE)</f>
        <v>#07</v>
      </c>
      <c r="J8363" t="s">
        <v>588</v>
      </c>
      <c r="K8363" s="195">
        <v>45873.646747685183</v>
      </c>
      <c r="L8363">
        <v>191</v>
      </c>
      <c r="M8363">
        <v>1</v>
      </c>
      <c r="N8363" s="98" t="str">
        <f>IF(record[[#This Row],[Memo]]="Browser:chrome os:android","平板報工",IF(record[[#This Row],[Memo]]=0,"委外",record[[#This Row],[Memo]]))</f>
        <v/>
      </c>
      <c r="O8363" t="s">
        <v>58</v>
      </c>
      <c r="P8363" t="s">
        <v>101</v>
      </c>
      <c r="Q8363" t="s">
        <v>58</v>
      </c>
      <c r="R8363" t="str">
        <f>IFERROR(VLOOKUP(record[[#This Row],[PCUSTID]],廠商[],2,FALSE),"")</f>
        <v/>
      </c>
      <c r="S8363" t="str">
        <f>VLOOKUP(record[[#This Row],[employeeID]],員工[],2,FALSE)</f>
        <v>陳氏絨</v>
      </c>
    </row>
    <row r="8364" spans="6:19" hidden="1" x14ac:dyDescent="0.25">
      <c r="F8364" t="s">
        <v>904</v>
      </c>
      <c r="G8364" t="s">
        <v>416</v>
      </c>
      <c r="H8364" t="str">
        <f>VLOOKUP(record[[#This Row],[ProcessSN]],表格2_7[],2,FALSE)</f>
        <v>30-4118-018-5XX</v>
      </c>
      <c r="I8364" t="str">
        <f>VLOOKUP(record[[#This Row],[ProcessSN]],表格2_7[],3,FALSE)</f>
        <v>#05</v>
      </c>
      <c r="J8364" t="s">
        <v>588</v>
      </c>
      <c r="K8364" s="195">
        <v>45873.644641203704</v>
      </c>
      <c r="L8364">
        <v>112</v>
      </c>
      <c r="M8364">
        <v>1</v>
      </c>
      <c r="N8364" s="98" t="str">
        <f>IF(record[[#This Row],[Memo]]="Browser:chrome os:android","平板報工",IF(record[[#This Row],[Memo]]=0,"委外",record[[#This Row],[Memo]]))</f>
        <v/>
      </c>
      <c r="O8364" t="s">
        <v>58</v>
      </c>
      <c r="P8364" t="s">
        <v>101</v>
      </c>
      <c r="Q8364" t="s">
        <v>58</v>
      </c>
      <c r="R8364" t="str">
        <f>IFERROR(VLOOKUP(record[[#This Row],[PCUSTID]],廠商[],2,FALSE),"")</f>
        <v/>
      </c>
      <c r="S8364" t="str">
        <f>VLOOKUP(record[[#This Row],[employeeID]],員工[],2,FALSE)</f>
        <v>陳氏絨</v>
      </c>
    </row>
    <row r="8365" spans="6:19" hidden="1" x14ac:dyDescent="0.25">
      <c r="F8365" t="s">
        <v>900</v>
      </c>
      <c r="G8365" t="s">
        <v>449</v>
      </c>
      <c r="H8365" t="str">
        <f>VLOOKUP(record[[#This Row],[ProcessSN]],表格2_7[],2,FALSE)</f>
        <v>30-4118-018-6XX</v>
      </c>
      <c r="I8365" t="str">
        <f>VLOOKUP(record[[#This Row],[ProcessSN]],表格2_7[],3,FALSE)</f>
        <v>#05</v>
      </c>
      <c r="J8365" t="s">
        <v>588</v>
      </c>
      <c r="K8365" s="195">
        <v>45873.644409722219</v>
      </c>
      <c r="L8365">
        <v>100</v>
      </c>
      <c r="M8365">
        <v>0</v>
      </c>
      <c r="N8365" s="98" t="str">
        <f>IF(record[[#This Row],[Memo]]="Browser:chrome os:android","平板報工",IF(record[[#This Row],[Memo]]=0,"委外",record[[#This Row],[Memo]]))</f>
        <v/>
      </c>
      <c r="O8365" t="s">
        <v>58</v>
      </c>
      <c r="P8365" t="s">
        <v>101</v>
      </c>
      <c r="Q8365" t="s">
        <v>58</v>
      </c>
      <c r="R8365" t="str">
        <f>IFERROR(VLOOKUP(record[[#This Row],[PCUSTID]],廠商[],2,FALSE),"")</f>
        <v/>
      </c>
      <c r="S8365" t="str">
        <f>VLOOKUP(record[[#This Row],[employeeID]],員工[],2,FALSE)</f>
        <v>陳氏絨</v>
      </c>
    </row>
    <row r="8366" spans="6:19" hidden="1" x14ac:dyDescent="0.25">
      <c r="F8366" t="s">
        <v>938</v>
      </c>
      <c r="G8366" t="s">
        <v>359</v>
      </c>
      <c r="H8366" t="str">
        <f>VLOOKUP(record[[#This Row],[ProcessSN]],表格2_7[],2,FALSE)</f>
        <v>30-4118-018-450</v>
      </c>
      <c r="I8366" t="str">
        <f>VLOOKUP(record[[#This Row],[ProcessSN]],表格2_7[],3,FALSE)</f>
        <v>#100</v>
      </c>
      <c r="J8366" t="s">
        <v>598</v>
      </c>
      <c r="K8366" s="195">
        <v>45873.588287037041</v>
      </c>
      <c r="L8366">
        <v>156</v>
      </c>
      <c r="M8366">
        <v>0</v>
      </c>
      <c r="N8366" s="98" t="str">
        <f>IF(record[[#This Row],[Memo]]="Browser:chrome os:android","平板報工",IF(record[[#This Row],[Memo]]=0,"委外",record[[#This Row],[Memo]]))</f>
        <v>平板報工</v>
      </c>
      <c r="O8366" t="s">
        <v>643</v>
      </c>
      <c r="P8366" t="s">
        <v>141</v>
      </c>
      <c r="Q8366" t="s">
        <v>644</v>
      </c>
      <c r="R8366" t="str">
        <f>IFERROR(VLOOKUP(record[[#This Row],[PCUSTID]],廠商[],2,FALSE),"")</f>
        <v/>
      </c>
      <c r="S8366" t="str">
        <f>VLOOKUP(record[[#This Row],[employeeID]],員工[],2,FALSE)</f>
        <v>蔣梅</v>
      </c>
    </row>
    <row r="8367" spans="6:19" hidden="1" x14ac:dyDescent="0.25">
      <c r="F8367" t="s">
        <v>937</v>
      </c>
      <c r="G8367" t="s">
        <v>424</v>
      </c>
      <c r="H8367" t="str">
        <f>VLOOKUP(record[[#This Row],[ProcessSN]],表格2_7[],2,FALSE)</f>
        <v>30-4118-018-600</v>
      </c>
      <c r="I8367" t="str">
        <f>VLOOKUP(record[[#This Row],[ProcessSN]],表格2_7[],3,FALSE)</f>
        <v>#08IQC</v>
      </c>
      <c r="J8367" t="s">
        <v>583</v>
      </c>
      <c r="K8367" s="195">
        <v>45873.583252314813</v>
      </c>
      <c r="L8367">
        <v>246</v>
      </c>
      <c r="M8367">
        <v>0</v>
      </c>
      <c r="N8367" s="98" t="str">
        <f>IF(record[[#This Row],[Memo]]="Browser:chrome os:android","平板報工",IF(record[[#This Row],[Memo]]=0,"委外",record[[#This Row],[Memo]]))</f>
        <v/>
      </c>
      <c r="O8367" t="s">
        <v>58</v>
      </c>
      <c r="P8367" t="s">
        <v>109</v>
      </c>
      <c r="Q8367" t="s">
        <v>58</v>
      </c>
      <c r="R8367" t="str">
        <f>IFERROR(VLOOKUP(record[[#This Row],[PCUSTID]],廠商[],2,FALSE),"")</f>
        <v/>
      </c>
      <c r="S8367" t="str">
        <f>VLOOKUP(record[[#This Row],[employeeID]],員工[],2,FALSE)</f>
        <v>裴氏璧鳳</v>
      </c>
    </row>
    <row r="8368" spans="6:19" hidden="1" x14ac:dyDescent="0.25">
      <c r="F8368" t="s">
        <v>938</v>
      </c>
      <c r="G8368" t="s">
        <v>358</v>
      </c>
      <c r="H8368" t="str">
        <f>VLOOKUP(record[[#This Row],[ProcessSN]],表格2_7[],2,FALSE)</f>
        <v>30-4118-018-450</v>
      </c>
      <c r="I8368" t="str">
        <f>VLOOKUP(record[[#This Row],[ProcessSN]],表格2_7[],3,FALSE)</f>
        <v>#08IQC</v>
      </c>
      <c r="J8368" t="s">
        <v>583</v>
      </c>
      <c r="K8368" s="195">
        <v>45873.582986111112</v>
      </c>
      <c r="L8368">
        <v>156</v>
      </c>
      <c r="M8368">
        <v>0</v>
      </c>
      <c r="N8368" s="98" t="str">
        <f>IF(record[[#This Row],[Memo]]="Browser:chrome os:android","平板報工",IF(record[[#This Row],[Memo]]=0,"委外",record[[#This Row],[Memo]]))</f>
        <v/>
      </c>
      <c r="O8368" t="s">
        <v>58</v>
      </c>
      <c r="P8368" t="s">
        <v>109</v>
      </c>
      <c r="Q8368" t="s">
        <v>58</v>
      </c>
      <c r="R8368" t="str">
        <f>IFERROR(VLOOKUP(record[[#This Row],[PCUSTID]],廠商[],2,FALSE),"")</f>
        <v/>
      </c>
      <c r="S8368" t="str">
        <f>VLOOKUP(record[[#This Row],[employeeID]],員工[],2,FALSE)</f>
        <v>裴氏璧鳳</v>
      </c>
    </row>
    <row r="8369" spans="6:19" hidden="1" x14ac:dyDescent="0.25">
      <c r="F8369" t="s">
        <v>937</v>
      </c>
      <c r="G8369" t="s">
        <v>423</v>
      </c>
      <c r="H8369" t="str">
        <f>VLOOKUP(record[[#This Row],[ProcessSN]],表格2_7[],2,FALSE)</f>
        <v>30-4118-018-600</v>
      </c>
      <c r="I8369" t="str">
        <f>VLOOKUP(record[[#This Row],[ProcessSN]],表格2_7[],3,FALSE)</f>
        <v>#08RCV</v>
      </c>
      <c r="J8369" t="s">
        <v>591</v>
      </c>
      <c r="K8369" s="195">
        <v>45873.488865740743</v>
      </c>
      <c r="L8369">
        <v>0</v>
      </c>
      <c r="M8369">
        <v>15</v>
      </c>
      <c r="N8369" s="98" t="str">
        <f>IF(record[[#This Row],[Memo]]="Browser:chrome os:android","平板報工",IF(record[[#This Row],[Memo]]=0,"委外",record[[#This Row],[Memo]]))</f>
        <v/>
      </c>
      <c r="O8369" t="s">
        <v>58</v>
      </c>
      <c r="P8369" t="s">
        <v>186</v>
      </c>
      <c r="Q8369" t="s">
        <v>58</v>
      </c>
      <c r="R8369" t="str">
        <f>IFERROR(VLOOKUP(record[[#This Row],[PCUSTID]],廠商[],2,FALSE),"")</f>
        <v/>
      </c>
      <c r="S8369" t="str">
        <f>VLOOKUP(record[[#This Row],[employeeID]],員工[],2,FALSE)</f>
        <v>許文姍</v>
      </c>
    </row>
    <row r="8370" spans="6:19" hidden="1" x14ac:dyDescent="0.25">
      <c r="F8370" t="s">
        <v>937</v>
      </c>
      <c r="G8370" t="s">
        <v>423</v>
      </c>
      <c r="H8370" t="str">
        <f>VLOOKUP(record[[#This Row],[ProcessSN]],表格2_7[],2,FALSE)</f>
        <v>30-4118-018-600</v>
      </c>
      <c r="I8370" t="str">
        <f>VLOOKUP(record[[#This Row],[ProcessSN]],表格2_7[],3,FALSE)</f>
        <v>#08RCV</v>
      </c>
      <c r="J8370" t="s">
        <v>591</v>
      </c>
      <c r="K8370" s="195">
        <v>45873.488692129627</v>
      </c>
      <c r="L8370">
        <v>246</v>
      </c>
      <c r="M8370">
        <v>0</v>
      </c>
      <c r="N8370" s="98" t="str">
        <f>IF(record[[#This Row],[Memo]]="Browser:chrome os:android","平板報工",IF(record[[#This Row],[Memo]]=0,"委外",record[[#This Row],[Memo]]))</f>
        <v/>
      </c>
      <c r="O8370" t="s">
        <v>58</v>
      </c>
      <c r="P8370" t="s">
        <v>186</v>
      </c>
      <c r="Q8370" t="s">
        <v>58</v>
      </c>
      <c r="R8370" t="str">
        <f>IFERROR(VLOOKUP(record[[#This Row],[PCUSTID]],廠商[],2,FALSE),"")</f>
        <v/>
      </c>
      <c r="S8370" t="str">
        <f>VLOOKUP(record[[#This Row],[employeeID]],員工[],2,FALSE)</f>
        <v>許文姍</v>
      </c>
    </row>
    <row r="8371" spans="6:19" hidden="1" x14ac:dyDescent="0.25">
      <c r="F8371" t="s">
        <v>930</v>
      </c>
      <c r="G8371" t="s">
        <v>398</v>
      </c>
      <c r="H8371" t="str">
        <f>VLOOKUP(record[[#This Row],[ProcessSN]],表格2_7[],2,FALSE)</f>
        <v>30-4118-018-550</v>
      </c>
      <c r="I8371" t="str">
        <f>VLOOKUP(record[[#This Row],[ProcessSN]],表格2_7[],3,FALSE)</f>
        <v>#08RCV</v>
      </c>
      <c r="J8371" t="s">
        <v>591</v>
      </c>
      <c r="K8371" s="195">
        <v>45873.488240740742</v>
      </c>
      <c r="L8371">
        <v>0</v>
      </c>
      <c r="M8371">
        <v>11</v>
      </c>
      <c r="N8371" s="98" t="str">
        <f>IF(record[[#This Row],[Memo]]="Browser:chrome os:android","平板報工",IF(record[[#This Row],[Memo]]=0,"委外",record[[#This Row],[Memo]]))</f>
        <v/>
      </c>
      <c r="O8371" t="s">
        <v>58</v>
      </c>
      <c r="P8371" t="s">
        <v>186</v>
      </c>
      <c r="Q8371" t="s">
        <v>58</v>
      </c>
      <c r="R8371" t="str">
        <f>IFERROR(VLOOKUP(record[[#This Row],[PCUSTID]],廠商[],2,FALSE),"")</f>
        <v/>
      </c>
      <c r="S8371" t="str">
        <f>VLOOKUP(record[[#This Row],[employeeID]],員工[],2,FALSE)</f>
        <v>許文姍</v>
      </c>
    </row>
    <row r="8372" spans="6:19" hidden="1" x14ac:dyDescent="0.25">
      <c r="F8372" t="s">
        <v>930</v>
      </c>
      <c r="G8372" t="s">
        <v>398</v>
      </c>
      <c r="H8372" t="str">
        <f>VLOOKUP(record[[#This Row],[ProcessSN]],表格2_7[],2,FALSE)</f>
        <v>30-4118-018-550</v>
      </c>
      <c r="I8372" t="str">
        <f>VLOOKUP(record[[#This Row],[ProcessSN]],表格2_7[],3,FALSE)</f>
        <v>#08RCV</v>
      </c>
      <c r="J8372" t="s">
        <v>591</v>
      </c>
      <c r="K8372" s="195">
        <v>45873.48809027778</v>
      </c>
      <c r="L8372">
        <v>151</v>
      </c>
      <c r="M8372">
        <v>0</v>
      </c>
      <c r="N8372" s="98" t="str">
        <f>IF(record[[#This Row],[Memo]]="Browser:chrome os:android","平板報工",IF(record[[#This Row],[Memo]]=0,"委外",record[[#This Row],[Memo]]))</f>
        <v/>
      </c>
      <c r="O8372" t="s">
        <v>58</v>
      </c>
      <c r="P8372" t="s">
        <v>186</v>
      </c>
      <c r="Q8372" t="s">
        <v>58</v>
      </c>
      <c r="R8372" t="str">
        <f>IFERROR(VLOOKUP(record[[#This Row],[PCUSTID]],廠商[],2,FALSE),"")</f>
        <v/>
      </c>
      <c r="S8372" t="str">
        <f>VLOOKUP(record[[#This Row],[employeeID]],員工[],2,FALSE)</f>
        <v>許文姍</v>
      </c>
    </row>
    <row r="8373" spans="6:19" hidden="1" x14ac:dyDescent="0.25">
      <c r="F8373" t="s">
        <v>930</v>
      </c>
      <c r="G8373" t="s">
        <v>399</v>
      </c>
      <c r="H8373" t="str">
        <f>VLOOKUP(record[[#This Row],[ProcessSN]],表格2_7[],2,FALSE)</f>
        <v>30-4118-018-550</v>
      </c>
      <c r="I8373" t="str">
        <f>VLOOKUP(record[[#This Row],[ProcessSN]],表格2_7[],3,FALSE)</f>
        <v>#08IQC</v>
      </c>
      <c r="J8373" t="s">
        <v>583</v>
      </c>
      <c r="K8373" s="195">
        <v>45873.48809027778</v>
      </c>
      <c r="L8373">
        <v>151</v>
      </c>
      <c r="M8373">
        <v>0</v>
      </c>
      <c r="N8373" s="98" t="str">
        <f>IF(record[[#This Row],[Memo]]="Browser:chrome os:android","平板報工",IF(record[[#This Row],[Memo]]=0,"委外",record[[#This Row],[Memo]]))</f>
        <v/>
      </c>
      <c r="O8373" t="s">
        <v>58</v>
      </c>
      <c r="P8373" t="s">
        <v>186</v>
      </c>
      <c r="Q8373" t="s">
        <v>58</v>
      </c>
      <c r="R8373" t="str">
        <f>IFERROR(VLOOKUP(record[[#This Row],[PCUSTID]],廠商[],2,FALSE),"")</f>
        <v/>
      </c>
      <c r="S8373" t="str">
        <f>VLOOKUP(record[[#This Row],[employeeID]],員工[],2,FALSE)</f>
        <v>許文姍</v>
      </c>
    </row>
    <row r="8374" spans="6:19" hidden="1" x14ac:dyDescent="0.25">
      <c r="F8374" t="s">
        <v>938</v>
      </c>
      <c r="G8374" t="s">
        <v>357</v>
      </c>
      <c r="H8374" t="str">
        <f>VLOOKUP(record[[#This Row],[ProcessSN]],表格2_7[],2,FALSE)</f>
        <v>30-4118-018-450</v>
      </c>
      <c r="I8374" t="str">
        <f>VLOOKUP(record[[#This Row],[ProcessSN]],表格2_7[],3,FALSE)</f>
        <v>#08RCV</v>
      </c>
      <c r="J8374" t="s">
        <v>591</v>
      </c>
      <c r="K8374" s="195">
        <v>45873.479953703703</v>
      </c>
      <c r="L8374">
        <v>0</v>
      </c>
      <c r="M8374">
        <v>9</v>
      </c>
      <c r="N8374" s="98" t="str">
        <f>IF(record[[#This Row],[Memo]]="Browser:chrome os:android","平板報工",IF(record[[#This Row],[Memo]]=0,"委外",record[[#This Row],[Memo]]))</f>
        <v/>
      </c>
      <c r="O8374" t="s">
        <v>58</v>
      </c>
      <c r="P8374" t="s">
        <v>186</v>
      </c>
      <c r="Q8374" t="s">
        <v>58</v>
      </c>
      <c r="R8374" t="str">
        <f>IFERROR(VLOOKUP(record[[#This Row],[PCUSTID]],廠商[],2,FALSE),"")</f>
        <v/>
      </c>
      <c r="S8374" t="str">
        <f>VLOOKUP(record[[#This Row],[employeeID]],員工[],2,FALSE)</f>
        <v>許文姍</v>
      </c>
    </row>
    <row r="8375" spans="6:19" hidden="1" x14ac:dyDescent="0.25">
      <c r="F8375" t="s">
        <v>938</v>
      </c>
      <c r="G8375" t="s">
        <v>357</v>
      </c>
      <c r="H8375" t="str">
        <f>VLOOKUP(record[[#This Row],[ProcessSN]],表格2_7[],2,FALSE)</f>
        <v>30-4118-018-450</v>
      </c>
      <c r="I8375" t="str">
        <f>VLOOKUP(record[[#This Row],[ProcessSN]],表格2_7[],3,FALSE)</f>
        <v>#08RCV</v>
      </c>
      <c r="J8375" t="s">
        <v>591</v>
      </c>
      <c r="K8375" s="195">
        <v>45873.479699074072</v>
      </c>
      <c r="L8375">
        <v>156</v>
      </c>
      <c r="M8375">
        <v>0</v>
      </c>
      <c r="N8375" s="98" t="str">
        <f>IF(record[[#This Row],[Memo]]="Browser:chrome os:android","平板報工",IF(record[[#This Row],[Memo]]=0,"委外",record[[#This Row],[Memo]]))</f>
        <v/>
      </c>
      <c r="O8375" t="s">
        <v>58</v>
      </c>
      <c r="P8375" t="s">
        <v>186</v>
      </c>
      <c r="Q8375" t="s">
        <v>58</v>
      </c>
      <c r="R8375" t="str">
        <f>IFERROR(VLOOKUP(record[[#This Row],[PCUSTID]],廠商[],2,FALSE),"")</f>
        <v/>
      </c>
      <c r="S8375" t="str">
        <f>VLOOKUP(record[[#This Row],[employeeID]],員工[],2,FALSE)</f>
        <v>許文姍</v>
      </c>
    </row>
    <row r="8376" spans="6:19" hidden="1" x14ac:dyDescent="0.25">
      <c r="F8376" t="s">
        <v>945</v>
      </c>
      <c r="G8376" t="s">
        <v>356</v>
      </c>
      <c r="H8376" t="str">
        <f>VLOOKUP(record[[#This Row],[ProcessSN]],表格2_7[],2,FALSE)</f>
        <v>30-4118-018-450</v>
      </c>
      <c r="I8376" t="str">
        <f>VLOOKUP(record[[#This Row],[ProcessSN]],表格2_7[],3,FALSE)</f>
        <v>#08</v>
      </c>
      <c r="J8376" t="s">
        <v>597</v>
      </c>
      <c r="K8376" s="195">
        <v>45873.417488425926</v>
      </c>
      <c r="L8376">
        <v>302</v>
      </c>
      <c r="M8376">
        <v>0</v>
      </c>
      <c r="N8376" s="98" t="str">
        <f>IF(record[[#This Row],[Memo]]="Browser:chrome os:android","平板報工",IF(record[[#This Row],[Memo]]=0,"委外",record[[#This Row],[Memo]]))</f>
        <v/>
      </c>
      <c r="O8376" t="s">
        <v>58</v>
      </c>
      <c r="P8376" t="s">
        <v>186</v>
      </c>
      <c r="Q8376" t="s">
        <v>287</v>
      </c>
      <c r="R8376" t="str">
        <f>IFERROR(VLOOKUP(record[[#This Row],[PCUSTID]],廠商[],2,FALSE),"")</f>
        <v>泉盛</v>
      </c>
      <c r="S8376" t="str">
        <f>VLOOKUP(record[[#This Row],[employeeID]],員工[],2,FALSE)</f>
        <v>許文姍</v>
      </c>
    </row>
    <row r="8377" spans="6:19" hidden="1" x14ac:dyDescent="0.25">
      <c r="F8377" t="s">
        <v>945</v>
      </c>
      <c r="G8377" t="s">
        <v>355</v>
      </c>
      <c r="H8377" t="str">
        <f>VLOOKUP(record[[#This Row],[ProcessSN]],表格2_7[],2,FALSE)</f>
        <v>30-4118-018-450</v>
      </c>
      <c r="I8377" t="str">
        <f>VLOOKUP(record[[#This Row],[ProcessSN]],表格2_7[],3,FALSE)</f>
        <v>#08PICK</v>
      </c>
      <c r="J8377" t="s">
        <v>582</v>
      </c>
      <c r="K8377" s="195">
        <v>45873.417361111111</v>
      </c>
      <c r="L8377">
        <v>302</v>
      </c>
      <c r="M8377">
        <v>0</v>
      </c>
      <c r="N8377" s="98" t="str">
        <f>IF(record[[#This Row],[Memo]]="Browser:chrome os:android","平板報工",IF(record[[#This Row],[Memo]]=0,"委外",record[[#This Row],[Memo]]))</f>
        <v/>
      </c>
      <c r="O8377" t="s">
        <v>58</v>
      </c>
      <c r="P8377" t="s">
        <v>186</v>
      </c>
      <c r="Q8377" t="s">
        <v>58</v>
      </c>
      <c r="R8377" t="str">
        <f>IFERROR(VLOOKUP(record[[#This Row],[PCUSTID]],廠商[],2,FALSE),"")</f>
        <v/>
      </c>
      <c r="S8377" t="str">
        <f>VLOOKUP(record[[#This Row],[employeeID]],員工[],2,FALSE)</f>
        <v>許文姍</v>
      </c>
    </row>
    <row r="8378" spans="6:19" hidden="1" x14ac:dyDescent="0.25">
      <c r="F8378" t="s">
        <v>902</v>
      </c>
      <c r="G8378" t="s">
        <v>379</v>
      </c>
      <c r="H8378" t="str">
        <f>VLOOKUP(record[[#This Row],[ProcessSN]],表格2_7[],2,FALSE)</f>
        <v>30-4118-018-4XX</v>
      </c>
      <c r="I8378" t="str">
        <f>VLOOKUP(record[[#This Row],[ProcessSN]],表格2_7[],3,FALSE)</f>
        <v>#07STOCK</v>
      </c>
      <c r="J8378" t="s">
        <v>592</v>
      </c>
      <c r="K8378" s="195">
        <v>45873.416712962964</v>
      </c>
      <c r="L8378">
        <v>302</v>
      </c>
      <c r="M8378">
        <v>0</v>
      </c>
      <c r="N8378" s="98" t="str">
        <f>IF(record[[#This Row],[Memo]]="Browser:chrome os:android","平板報工",IF(record[[#This Row],[Memo]]=0,"委外",record[[#This Row],[Memo]]))</f>
        <v/>
      </c>
      <c r="O8378" t="s">
        <v>58</v>
      </c>
      <c r="P8378" t="s">
        <v>196</v>
      </c>
      <c r="Q8378" t="s">
        <v>58</v>
      </c>
      <c r="R8378" t="str">
        <f>IFERROR(VLOOKUP(record[[#This Row],[PCUSTID]],廠商[],2,FALSE),"")</f>
        <v/>
      </c>
      <c r="S8378" t="str">
        <f>VLOOKUP(record[[#This Row],[employeeID]],員工[],2,FALSE)</f>
        <v>張淑惠</v>
      </c>
    </row>
    <row r="8379" spans="6:19" hidden="1" x14ac:dyDescent="0.25">
      <c r="F8379" t="s">
        <v>942</v>
      </c>
      <c r="G8379" t="s">
        <v>356</v>
      </c>
      <c r="H8379" t="str">
        <f>VLOOKUP(record[[#This Row],[ProcessSN]],表格2_7[],2,FALSE)</f>
        <v>30-4118-018-450</v>
      </c>
      <c r="I8379" t="str">
        <f>VLOOKUP(record[[#This Row],[ProcessSN]],表格2_7[],3,FALSE)</f>
        <v>#08</v>
      </c>
      <c r="J8379" t="s">
        <v>597</v>
      </c>
      <c r="K8379" s="195">
        <v>45873.416087962964</v>
      </c>
      <c r="L8379">
        <v>167</v>
      </c>
      <c r="M8379">
        <v>0</v>
      </c>
      <c r="N8379" s="98" t="str">
        <f>IF(record[[#This Row],[Memo]]="Browser:chrome os:android","平板報工",IF(record[[#This Row],[Memo]]=0,"委外",record[[#This Row],[Memo]]))</f>
        <v/>
      </c>
      <c r="O8379" t="s">
        <v>58</v>
      </c>
      <c r="P8379" t="s">
        <v>186</v>
      </c>
      <c r="Q8379" t="s">
        <v>287</v>
      </c>
      <c r="R8379" t="str">
        <f>IFERROR(VLOOKUP(record[[#This Row],[PCUSTID]],廠商[],2,FALSE),"")</f>
        <v>泉盛</v>
      </c>
      <c r="S8379" t="str">
        <f>VLOOKUP(record[[#This Row],[employeeID]],員工[],2,FALSE)</f>
        <v>許文姍</v>
      </c>
    </row>
    <row r="8380" spans="6:19" hidden="1" x14ac:dyDescent="0.25">
      <c r="F8380" t="s">
        <v>902</v>
      </c>
      <c r="G8380" t="s">
        <v>378</v>
      </c>
      <c r="H8380" t="str">
        <f>VLOOKUP(record[[#This Row],[ProcessSN]],表格2_7[],2,FALSE)</f>
        <v>30-4118-018-4XX</v>
      </c>
      <c r="I8380" t="str">
        <f>VLOOKUP(record[[#This Row],[ProcessSN]],表格2_7[],3,FALSE)</f>
        <v>#07QC</v>
      </c>
      <c r="J8380" t="s">
        <v>589</v>
      </c>
      <c r="K8380" s="195">
        <v>45873.40997685185</v>
      </c>
      <c r="L8380">
        <v>0</v>
      </c>
      <c r="M8380">
        <v>27</v>
      </c>
      <c r="N8380" s="98" t="str">
        <f>IF(record[[#This Row],[Memo]]="Browser:chrome os:android","平板報工",IF(record[[#This Row],[Memo]]=0,"委外",record[[#This Row],[Memo]]))</f>
        <v>平板報工</v>
      </c>
      <c r="O8380" t="s">
        <v>643</v>
      </c>
      <c r="P8380" t="s">
        <v>141</v>
      </c>
      <c r="Q8380" t="s">
        <v>644</v>
      </c>
      <c r="R8380" t="str">
        <f>IFERROR(VLOOKUP(record[[#This Row],[PCUSTID]],廠商[],2,FALSE),"")</f>
        <v/>
      </c>
      <c r="S8380" t="str">
        <f>VLOOKUP(record[[#This Row],[employeeID]],員工[],2,FALSE)</f>
        <v>蔣梅</v>
      </c>
    </row>
    <row r="8381" spans="6:19" hidden="1" x14ac:dyDescent="0.25">
      <c r="F8381" t="s">
        <v>902</v>
      </c>
      <c r="G8381" t="s">
        <v>378</v>
      </c>
      <c r="H8381" t="str">
        <f>VLOOKUP(record[[#This Row],[ProcessSN]],表格2_7[],2,FALSE)</f>
        <v>30-4118-018-4XX</v>
      </c>
      <c r="I8381" t="str">
        <f>VLOOKUP(record[[#This Row],[ProcessSN]],表格2_7[],3,FALSE)</f>
        <v>#07QC</v>
      </c>
      <c r="J8381" t="s">
        <v>589</v>
      </c>
      <c r="K8381" s="195">
        <v>45873.409710648149</v>
      </c>
      <c r="L8381">
        <v>141</v>
      </c>
      <c r="M8381">
        <v>0</v>
      </c>
      <c r="N8381" s="98" t="str">
        <f>IF(record[[#This Row],[Memo]]="Browser:chrome os:android","平板報工",IF(record[[#This Row],[Memo]]=0,"委外",record[[#This Row],[Memo]]))</f>
        <v>平板報工</v>
      </c>
      <c r="O8381" t="s">
        <v>643</v>
      </c>
      <c r="P8381" t="s">
        <v>141</v>
      </c>
      <c r="Q8381" t="s">
        <v>644</v>
      </c>
      <c r="R8381" t="str">
        <f>IFERROR(VLOOKUP(record[[#This Row],[PCUSTID]],廠商[],2,FALSE),"")</f>
        <v/>
      </c>
      <c r="S8381" t="str">
        <f>VLOOKUP(record[[#This Row],[employeeID]],員工[],2,FALSE)</f>
        <v>蔣梅</v>
      </c>
    </row>
    <row r="8382" spans="6:19" hidden="1" x14ac:dyDescent="0.25">
      <c r="F8382" t="s">
        <v>902</v>
      </c>
      <c r="G8382" t="s">
        <v>378</v>
      </c>
      <c r="H8382" t="str">
        <f>VLOOKUP(record[[#This Row],[ProcessSN]],表格2_7[],2,FALSE)</f>
        <v>30-4118-018-4XX</v>
      </c>
      <c r="I8382" t="str">
        <f>VLOOKUP(record[[#This Row],[ProcessSN]],表格2_7[],3,FALSE)</f>
        <v>#07QC</v>
      </c>
      <c r="J8382" t="s">
        <v>589</v>
      </c>
      <c r="K8382" s="195">
        <v>45873.367592592593</v>
      </c>
      <c r="L8382">
        <v>0</v>
      </c>
      <c r="M8382">
        <v>5</v>
      </c>
      <c r="N8382" s="98" t="str">
        <f>IF(record[[#This Row],[Memo]]="Browser:chrome os:android","平板報工",IF(record[[#This Row],[Memo]]=0,"委外",record[[#This Row],[Memo]]))</f>
        <v>平板報工</v>
      </c>
      <c r="O8382" t="s">
        <v>643</v>
      </c>
      <c r="P8382" t="s">
        <v>141</v>
      </c>
      <c r="Q8382" t="s">
        <v>644</v>
      </c>
      <c r="R8382" t="str">
        <f>IFERROR(VLOOKUP(record[[#This Row],[PCUSTID]],廠商[],2,FALSE),"")</f>
        <v/>
      </c>
      <c r="S8382" t="str">
        <f>VLOOKUP(record[[#This Row],[employeeID]],員工[],2,FALSE)</f>
        <v>蔣梅</v>
      </c>
    </row>
    <row r="8383" spans="6:19" hidden="1" x14ac:dyDescent="0.25">
      <c r="F8383" t="s">
        <v>902</v>
      </c>
      <c r="G8383" t="s">
        <v>378</v>
      </c>
      <c r="H8383" t="str">
        <f>VLOOKUP(record[[#This Row],[ProcessSN]],表格2_7[],2,FALSE)</f>
        <v>30-4118-018-4XX</v>
      </c>
      <c r="I8383" t="str">
        <f>VLOOKUP(record[[#This Row],[ProcessSN]],表格2_7[],3,FALSE)</f>
        <v>#07QC</v>
      </c>
      <c r="J8383" t="s">
        <v>589</v>
      </c>
      <c r="K8383" s="195">
        <v>45873.367349537039</v>
      </c>
      <c r="L8383">
        <v>161</v>
      </c>
      <c r="M8383">
        <v>0</v>
      </c>
      <c r="N8383" s="98" t="str">
        <f>IF(record[[#This Row],[Memo]]="Browser:chrome os:android","平板報工",IF(record[[#This Row],[Memo]]=0,"委外",record[[#This Row],[Memo]]))</f>
        <v>平板報工</v>
      </c>
      <c r="O8383" t="s">
        <v>643</v>
      </c>
      <c r="P8383" t="s">
        <v>141</v>
      </c>
      <c r="Q8383" t="s">
        <v>644</v>
      </c>
      <c r="R8383" t="str">
        <f>IFERROR(VLOOKUP(record[[#This Row],[PCUSTID]],廠商[],2,FALSE),"")</f>
        <v/>
      </c>
      <c r="S8383" t="str">
        <f>VLOOKUP(record[[#This Row],[employeeID]],員工[],2,FALSE)</f>
        <v>蔣梅</v>
      </c>
    </row>
    <row r="8384" spans="6:19" hidden="1" x14ac:dyDescent="0.25">
      <c r="F8384" t="s">
        <v>900</v>
      </c>
      <c r="G8384" t="s">
        <v>450</v>
      </c>
      <c r="H8384" t="str">
        <f>VLOOKUP(record[[#This Row],[ProcessSN]],表格2_7[],2,FALSE)</f>
        <v>30-4118-018-6XX</v>
      </c>
      <c r="I8384" t="str">
        <f>VLOOKUP(record[[#This Row],[ProcessSN]],表格2_7[],3,FALSE)</f>
        <v>#06</v>
      </c>
      <c r="J8384" t="s">
        <v>593</v>
      </c>
      <c r="K8384" s="195">
        <v>45871.31554398148</v>
      </c>
      <c r="L8384">
        <v>100</v>
      </c>
      <c r="M8384">
        <v>0</v>
      </c>
      <c r="N8384" s="98" t="str">
        <f>IF(record[[#This Row],[Memo]]="Browser:chrome os:android","平板報工",IF(record[[#This Row],[Memo]]=0,"委外",record[[#This Row],[Memo]]))</f>
        <v/>
      </c>
      <c r="O8384" t="s">
        <v>58</v>
      </c>
      <c r="P8384" t="s">
        <v>135</v>
      </c>
      <c r="Q8384" t="s">
        <v>58</v>
      </c>
      <c r="R8384" t="str">
        <f>IFERROR(VLOOKUP(record[[#This Row],[PCUSTID]],廠商[],2,FALSE),"")</f>
        <v/>
      </c>
      <c r="S8384" t="str">
        <f>VLOOKUP(record[[#This Row],[employeeID]],員工[],2,FALSE)</f>
        <v>阮士文</v>
      </c>
    </row>
    <row r="8385" spans="6:19" hidden="1" x14ac:dyDescent="0.25">
      <c r="F8385" t="s">
        <v>904</v>
      </c>
      <c r="G8385" t="s">
        <v>415</v>
      </c>
      <c r="H8385" t="str">
        <f>VLOOKUP(record[[#This Row],[ProcessSN]],表格2_7[],2,FALSE)</f>
        <v>30-4118-018-5XX</v>
      </c>
      <c r="I8385" t="str">
        <f>VLOOKUP(record[[#This Row],[ProcessSN]],表格2_7[],3,FALSE)</f>
        <v>#04</v>
      </c>
      <c r="J8385" t="s">
        <v>588</v>
      </c>
      <c r="K8385" s="195">
        <v>45871.311759259261</v>
      </c>
      <c r="L8385">
        <v>123</v>
      </c>
      <c r="M8385">
        <v>0</v>
      </c>
      <c r="N8385" s="98" t="str">
        <f>IF(record[[#This Row],[Memo]]="Browser:chrome os:android","平板報工",IF(record[[#This Row],[Memo]]=0,"委外",record[[#This Row],[Memo]]))</f>
        <v/>
      </c>
      <c r="O8385" t="s">
        <v>58</v>
      </c>
      <c r="P8385" t="s">
        <v>135</v>
      </c>
      <c r="Q8385" t="s">
        <v>58</v>
      </c>
      <c r="R8385" t="str">
        <f>IFERROR(VLOOKUP(record[[#This Row],[PCUSTID]],廠商[],2,FALSE),"")</f>
        <v/>
      </c>
      <c r="S8385" t="str">
        <f>VLOOKUP(record[[#This Row],[employeeID]],員工[],2,FALSE)</f>
        <v>阮士文</v>
      </c>
    </row>
    <row r="8386" spans="6:19" hidden="1" x14ac:dyDescent="0.25">
      <c r="F8386" t="s">
        <v>900</v>
      </c>
      <c r="G8386" t="s">
        <v>450</v>
      </c>
      <c r="H8386" t="str">
        <f>VLOOKUP(record[[#This Row],[ProcessSN]],表格2_7[],2,FALSE)</f>
        <v>30-4118-018-6XX</v>
      </c>
      <c r="I8386" t="str">
        <f>VLOOKUP(record[[#This Row],[ProcessSN]],表格2_7[],3,FALSE)</f>
        <v>#06</v>
      </c>
      <c r="J8386" t="s">
        <v>593</v>
      </c>
      <c r="K8386" s="195">
        <v>45871.001608796294</v>
      </c>
      <c r="L8386">
        <v>0</v>
      </c>
      <c r="M8386">
        <v>1</v>
      </c>
      <c r="N8386" s="98" t="str">
        <f>IF(record[[#This Row],[Memo]]="Browser:chrome os:android","平板報工",IF(record[[#This Row],[Memo]]=0,"委外",record[[#This Row],[Memo]]))</f>
        <v>晚7/31</v>
      </c>
      <c r="O8386" t="s">
        <v>944</v>
      </c>
      <c r="P8386" t="s">
        <v>135</v>
      </c>
      <c r="Q8386" t="s">
        <v>58</v>
      </c>
      <c r="R8386" t="str">
        <f>IFERROR(VLOOKUP(record[[#This Row],[PCUSTID]],廠商[],2,FALSE),"")</f>
        <v/>
      </c>
      <c r="S8386" t="str">
        <f>VLOOKUP(record[[#This Row],[employeeID]],員工[],2,FALSE)</f>
        <v>阮士文</v>
      </c>
    </row>
    <row r="8387" spans="6:19" hidden="1" x14ac:dyDescent="0.25">
      <c r="F8387" t="s">
        <v>900</v>
      </c>
      <c r="G8387" t="s">
        <v>450</v>
      </c>
      <c r="H8387" t="str">
        <f>VLOOKUP(record[[#This Row],[ProcessSN]],表格2_7[],2,FALSE)</f>
        <v>30-4118-018-6XX</v>
      </c>
      <c r="I8387" t="str">
        <f>VLOOKUP(record[[#This Row],[ProcessSN]],表格2_7[],3,FALSE)</f>
        <v>#06</v>
      </c>
      <c r="J8387" t="s">
        <v>593</v>
      </c>
      <c r="K8387" s="195">
        <v>45870.995844907404</v>
      </c>
      <c r="L8387">
        <v>28</v>
      </c>
      <c r="M8387">
        <v>0</v>
      </c>
      <c r="N8387" s="98" t="str">
        <f>IF(record[[#This Row],[Memo]]="Browser:chrome os:android","平板報工",IF(record[[#This Row],[Memo]]=0,"委外",record[[#This Row],[Memo]]))</f>
        <v/>
      </c>
      <c r="O8387" t="s">
        <v>58</v>
      </c>
      <c r="P8387" t="s">
        <v>841</v>
      </c>
      <c r="Q8387" t="s">
        <v>58</v>
      </c>
      <c r="R8387" t="str">
        <f>IFERROR(VLOOKUP(record[[#This Row],[PCUSTID]],廠商[],2,FALSE),"")</f>
        <v/>
      </c>
      <c r="S8387" t="str">
        <f>VLOOKUP(record[[#This Row],[employeeID]],員工[],2,FALSE)</f>
        <v>范氏香</v>
      </c>
    </row>
    <row r="8388" spans="6:19" hidden="1" x14ac:dyDescent="0.25">
      <c r="F8388" t="s">
        <v>904</v>
      </c>
      <c r="G8388" t="s">
        <v>415</v>
      </c>
      <c r="H8388" t="str">
        <f>VLOOKUP(record[[#This Row],[ProcessSN]],表格2_7[],2,FALSE)</f>
        <v>30-4118-018-5XX</v>
      </c>
      <c r="I8388" t="str">
        <f>VLOOKUP(record[[#This Row],[ProcessSN]],表格2_7[],3,FALSE)</f>
        <v>#04</v>
      </c>
      <c r="J8388" t="s">
        <v>588</v>
      </c>
      <c r="K8388" s="195">
        <v>45870.984652777777</v>
      </c>
      <c r="L8388">
        <v>95</v>
      </c>
      <c r="M8388">
        <v>0</v>
      </c>
      <c r="N8388" s="98" t="str">
        <f>IF(record[[#This Row],[Memo]]="Browser:chrome os:android","平板報工",IF(record[[#This Row],[Memo]]=0,"委外",record[[#This Row],[Memo]]))</f>
        <v/>
      </c>
      <c r="O8388" t="s">
        <v>58</v>
      </c>
      <c r="P8388" t="s">
        <v>133</v>
      </c>
      <c r="Q8388" t="s">
        <v>58</v>
      </c>
      <c r="R8388" t="str">
        <f>IFERROR(VLOOKUP(record[[#This Row],[PCUSTID]],廠商[],2,FALSE),"")</f>
        <v/>
      </c>
      <c r="S8388" t="str">
        <f>VLOOKUP(record[[#This Row],[employeeID]],員工[],2,FALSE)</f>
        <v>黎長維</v>
      </c>
    </row>
    <row r="8389" spans="6:19" hidden="1" x14ac:dyDescent="0.25">
      <c r="F8389" t="s">
        <v>902</v>
      </c>
      <c r="G8389" t="s">
        <v>377</v>
      </c>
      <c r="H8389" t="str">
        <f>VLOOKUP(record[[#This Row],[ProcessSN]],表格2_7[],2,FALSE)</f>
        <v>30-4118-018-4XX</v>
      </c>
      <c r="I8389" t="str">
        <f>VLOOKUP(record[[#This Row],[ProcessSN]],表格2_7[],3,FALSE)</f>
        <v>#07</v>
      </c>
      <c r="J8389" t="s">
        <v>588</v>
      </c>
      <c r="K8389" s="195">
        <v>45870.984282407408</v>
      </c>
      <c r="L8389">
        <v>214</v>
      </c>
      <c r="M8389">
        <v>2</v>
      </c>
      <c r="N8389" s="98" t="str">
        <f>IF(record[[#This Row],[Memo]]="Browser:chrome os:android","平板報工",IF(record[[#This Row],[Memo]]=0,"委外",record[[#This Row],[Memo]]))</f>
        <v/>
      </c>
      <c r="O8389" t="s">
        <v>58</v>
      </c>
      <c r="P8389" t="s">
        <v>133</v>
      </c>
      <c r="Q8389" t="s">
        <v>58</v>
      </c>
      <c r="R8389" t="str">
        <f>IFERROR(VLOOKUP(record[[#This Row],[PCUSTID]],廠商[],2,FALSE),"")</f>
        <v/>
      </c>
      <c r="S8389" t="str">
        <f>VLOOKUP(record[[#This Row],[employeeID]],員工[],2,FALSE)</f>
        <v>黎長維</v>
      </c>
    </row>
    <row r="8390" spans="6:19" hidden="1" x14ac:dyDescent="0.25">
      <c r="F8390" t="s">
        <v>900</v>
      </c>
      <c r="G8390" t="s">
        <v>449</v>
      </c>
      <c r="H8390" t="str">
        <f>VLOOKUP(record[[#This Row],[ProcessSN]],表格2_7[],2,FALSE)</f>
        <v>30-4118-018-6XX</v>
      </c>
      <c r="I8390" t="str">
        <f>VLOOKUP(record[[#This Row],[ProcessSN]],表格2_7[],3,FALSE)</f>
        <v>#05</v>
      </c>
      <c r="J8390" t="s">
        <v>588</v>
      </c>
      <c r="K8390" s="195">
        <v>45870.983807870369</v>
      </c>
      <c r="L8390">
        <v>216</v>
      </c>
      <c r="M8390">
        <v>0</v>
      </c>
      <c r="N8390" s="98" t="str">
        <f>IF(record[[#This Row],[Memo]]="Browser:chrome os:android","平板報工",IF(record[[#This Row],[Memo]]=0,"委外",record[[#This Row],[Memo]]))</f>
        <v/>
      </c>
      <c r="O8390" t="s">
        <v>58</v>
      </c>
      <c r="P8390" t="s">
        <v>133</v>
      </c>
      <c r="Q8390" t="s">
        <v>58</v>
      </c>
      <c r="R8390" t="str">
        <f>IFERROR(VLOOKUP(record[[#This Row],[PCUSTID]],廠商[],2,FALSE),"")</f>
        <v/>
      </c>
      <c r="S8390" t="str">
        <f>VLOOKUP(record[[#This Row],[employeeID]],員工[],2,FALSE)</f>
        <v>黎長維</v>
      </c>
    </row>
    <row r="8391" spans="6:19" hidden="1" x14ac:dyDescent="0.25">
      <c r="F8391" t="s">
        <v>900</v>
      </c>
      <c r="G8391" t="s">
        <v>448</v>
      </c>
      <c r="H8391" t="str">
        <f>VLOOKUP(record[[#This Row],[ProcessSN]],表格2_7[],2,FALSE)</f>
        <v>30-4118-018-6XX</v>
      </c>
      <c r="I8391" t="str">
        <f>VLOOKUP(record[[#This Row],[ProcessSN]],表格2_7[],3,FALSE)</f>
        <v>#04</v>
      </c>
      <c r="J8391" t="s">
        <v>588</v>
      </c>
      <c r="K8391" s="195">
        <v>45870.982916666668</v>
      </c>
      <c r="L8391">
        <v>130</v>
      </c>
      <c r="M8391">
        <v>0</v>
      </c>
      <c r="N8391" s="98" t="str">
        <f>IF(record[[#This Row],[Memo]]="Browser:chrome os:android","平板報工",IF(record[[#This Row],[Memo]]=0,"委外",record[[#This Row],[Memo]]))</f>
        <v/>
      </c>
      <c r="O8391" t="s">
        <v>58</v>
      </c>
      <c r="P8391" t="s">
        <v>135</v>
      </c>
      <c r="Q8391" t="s">
        <v>58</v>
      </c>
      <c r="R8391" t="str">
        <f>IFERROR(VLOOKUP(record[[#This Row],[PCUSTID]],廠商[],2,FALSE),"")</f>
        <v/>
      </c>
      <c r="S8391" t="str">
        <f>VLOOKUP(record[[#This Row],[employeeID]],員工[],2,FALSE)</f>
        <v>阮士文</v>
      </c>
    </row>
    <row r="8392" spans="6:19" hidden="1" x14ac:dyDescent="0.25">
      <c r="F8392" t="s">
        <v>902</v>
      </c>
      <c r="G8392" t="s">
        <v>376</v>
      </c>
      <c r="H8392" t="str">
        <f>VLOOKUP(record[[#This Row],[ProcessSN]],表格2_7[],2,FALSE)</f>
        <v>30-4118-018-4XX</v>
      </c>
      <c r="I8392" t="str">
        <f>VLOOKUP(record[[#This Row],[ProcessSN]],表格2_7[],3,FALSE)</f>
        <v>#06</v>
      </c>
      <c r="J8392" t="s">
        <v>593</v>
      </c>
      <c r="K8392" s="195">
        <v>45870.937893518516</v>
      </c>
      <c r="L8392">
        <v>75</v>
      </c>
      <c r="M8392">
        <v>0</v>
      </c>
      <c r="N8392" s="98" t="str">
        <f>IF(record[[#This Row],[Memo]]="Browser:chrome os:android","平板報工",IF(record[[#This Row],[Memo]]=0,"委外",record[[#This Row],[Memo]]))</f>
        <v/>
      </c>
      <c r="O8392" t="s">
        <v>58</v>
      </c>
      <c r="P8392" t="s">
        <v>841</v>
      </c>
      <c r="Q8392" t="s">
        <v>58</v>
      </c>
      <c r="R8392" t="str">
        <f>IFERROR(VLOOKUP(record[[#This Row],[PCUSTID]],廠商[],2,FALSE),"")</f>
        <v/>
      </c>
      <c r="S8392" t="str">
        <f>VLOOKUP(record[[#This Row],[employeeID]],員工[],2,FALSE)</f>
        <v>范氏香</v>
      </c>
    </row>
    <row r="8393" spans="6:19" hidden="1" x14ac:dyDescent="0.25">
      <c r="F8393" t="s">
        <v>900</v>
      </c>
      <c r="G8393" t="s">
        <v>448</v>
      </c>
      <c r="H8393" t="str">
        <f>VLOOKUP(record[[#This Row],[ProcessSN]],表格2_7[],2,FALSE)</f>
        <v>30-4118-018-6XX</v>
      </c>
      <c r="I8393" t="str">
        <f>VLOOKUP(record[[#This Row],[ProcessSN]],表格2_7[],3,FALSE)</f>
        <v>#04</v>
      </c>
      <c r="J8393" t="s">
        <v>588</v>
      </c>
      <c r="K8393" s="195">
        <v>45870.936539351853</v>
      </c>
      <c r="L8393">
        <v>24</v>
      </c>
      <c r="M8393">
        <v>0</v>
      </c>
      <c r="N8393" s="98" t="str">
        <f>IF(record[[#This Row],[Memo]]="Browser:chrome os:android","平板報工",IF(record[[#This Row],[Memo]]=0,"委外",record[[#This Row],[Memo]]))</f>
        <v/>
      </c>
      <c r="O8393" t="s">
        <v>58</v>
      </c>
      <c r="P8393" t="s">
        <v>133</v>
      </c>
      <c r="Q8393" t="s">
        <v>58</v>
      </c>
      <c r="R8393" t="str">
        <f>IFERROR(VLOOKUP(record[[#This Row],[PCUSTID]],廠商[],2,FALSE),"")</f>
        <v/>
      </c>
      <c r="S8393" t="str">
        <f>VLOOKUP(record[[#This Row],[employeeID]],員工[],2,FALSE)</f>
        <v>黎長維</v>
      </c>
    </row>
    <row r="8394" spans="6:19" hidden="1" x14ac:dyDescent="0.25">
      <c r="F8394" t="s">
        <v>932</v>
      </c>
      <c r="G8394" t="s">
        <v>428</v>
      </c>
      <c r="H8394" t="str">
        <f>VLOOKUP(record[[#This Row],[ProcessSN]],表格2_7[],2,FALSE)</f>
        <v>30-4118-018-600</v>
      </c>
      <c r="I8394" t="str">
        <f>VLOOKUP(record[[#This Row],[ProcessSN]],表格2_7[],3,FALSE)</f>
        <v>#100SHIP</v>
      </c>
      <c r="J8394" t="s">
        <v>600</v>
      </c>
      <c r="K8394" s="195">
        <v>45870.752951388888</v>
      </c>
      <c r="L8394">
        <v>57</v>
      </c>
      <c r="M8394">
        <v>0</v>
      </c>
      <c r="N8394" s="98" t="str">
        <f>IF(record[[#This Row],[Memo]]="Browser:chrome os:android","平板報工",IF(record[[#This Row],[Memo]]=0,"委外",record[[#This Row],[Memo]]))</f>
        <v/>
      </c>
      <c r="O8394" t="s">
        <v>58</v>
      </c>
      <c r="P8394" t="s">
        <v>886</v>
      </c>
      <c r="Q8394" t="s">
        <v>58</v>
      </c>
      <c r="R8394" t="str">
        <f>IFERROR(VLOOKUP(record[[#This Row],[PCUSTID]],廠商[],2,FALSE),"")</f>
        <v/>
      </c>
      <c r="S8394" t="str">
        <f>VLOOKUP(record[[#This Row],[employeeID]],員工[],2,FALSE)</f>
        <v>謝蓁薰</v>
      </c>
    </row>
    <row r="8395" spans="6:19" hidden="1" x14ac:dyDescent="0.25">
      <c r="F8395" t="s">
        <v>932</v>
      </c>
      <c r="G8395" t="s">
        <v>427</v>
      </c>
      <c r="H8395" t="str">
        <f>VLOOKUP(record[[#This Row],[ProcessSN]],表格2_7[],2,FALSE)</f>
        <v>30-4118-018-600</v>
      </c>
      <c r="I8395" t="str">
        <f>VLOOKUP(record[[#This Row],[ProcessSN]],表格2_7[],3,FALSE)</f>
        <v>#100STOCK</v>
      </c>
      <c r="J8395" t="s">
        <v>592</v>
      </c>
      <c r="K8395" s="195">
        <v>45870.752615740741</v>
      </c>
      <c r="L8395">
        <v>57</v>
      </c>
      <c r="M8395">
        <v>0</v>
      </c>
      <c r="N8395" s="98" t="str">
        <f>IF(record[[#This Row],[Memo]]="Browser:chrome os:android","平板報工",IF(record[[#This Row],[Memo]]=0,"委外",record[[#This Row],[Memo]]))</f>
        <v/>
      </c>
      <c r="O8395" t="s">
        <v>58</v>
      </c>
      <c r="P8395" t="s">
        <v>886</v>
      </c>
      <c r="Q8395" t="s">
        <v>58</v>
      </c>
      <c r="R8395" t="str">
        <f>IFERROR(VLOOKUP(record[[#This Row],[PCUSTID]],廠商[],2,FALSE),"")</f>
        <v/>
      </c>
      <c r="S8395" t="str">
        <f>VLOOKUP(record[[#This Row],[employeeID]],員工[],2,FALSE)</f>
        <v>謝蓁薰</v>
      </c>
    </row>
    <row r="8396" spans="6:19" hidden="1" x14ac:dyDescent="0.25">
      <c r="F8396" t="s">
        <v>932</v>
      </c>
      <c r="G8396" t="s">
        <v>426</v>
      </c>
      <c r="H8396" t="str">
        <f>VLOOKUP(record[[#This Row],[ProcessSN]],表格2_7[],2,FALSE)</f>
        <v>30-4118-018-600</v>
      </c>
      <c r="I8396" t="str">
        <f>VLOOKUP(record[[#This Row],[ProcessSN]],表格2_7[],3,FALSE)</f>
        <v>#100OQC</v>
      </c>
      <c r="J8396" t="s">
        <v>599</v>
      </c>
      <c r="K8396" s="195">
        <v>45870.727777777778</v>
      </c>
      <c r="L8396">
        <v>303</v>
      </c>
      <c r="M8396">
        <v>0</v>
      </c>
      <c r="N8396" s="98" t="str">
        <f>IF(record[[#This Row],[Memo]]="Browser:chrome os:android","平板報工",IF(record[[#This Row],[Memo]]=0,"委外",record[[#This Row],[Memo]]))</f>
        <v/>
      </c>
      <c r="O8396" t="s">
        <v>58</v>
      </c>
      <c r="P8396" t="s">
        <v>121</v>
      </c>
      <c r="Q8396" t="s">
        <v>58</v>
      </c>
      <c r="R8396" t="str">
        <f>IFERROR(VLOOKUP(record[[#This Row],[PCUSTID]],廠商[],2,FALSE),"")</f>
        <v/>
      </c>
      <c r="S8396" t="str">
        <f>VLOOKUP(record[[#This Row],[employeeID]],員工[],2,FALSE)</f>
        <v>謝素卿</v>
      </c>
    </row>
    <row r="8397" spans="6:19" hidden="1" x14ac:dyDescent="0.25">
      <c r="F8397" t="s">
        <v>927</v>
      </c>
      <c r="G8397" t="s">
        <v>401</v>
      </c>
      <c r="H8397" t="str">
        <f>VLOOKUP(record[[#This Row],[ProcessSN]],表格2_7[],2,FALSE)</f>
        <v>30-4118-018-550</v>
      </c>
      <c r="I8397" t="str">
        <f>VLOOKUP(record[[#This Row],[ProcessSN]],表格2_7[],3,FALSE)</f>
        <v>#100OQC</v>
      </c>
      <c r="J8397" t="s">
        <v>599</v>
      </c>
      <c r="K8397" s="195">
        <v>45870.72761574074</v>
      </c>
      <c r="L8397">
        <v>310</v>
      </c>
      <c r="M8397">
        <v>0</v>
      </c>
      <c r="N8397" s="98" t="str">
        <f>IF(record[[#This Row],[Memo]]="Browser:chrome os:android","平板報工",IF(record[[#This Row],[Memo]]=0,"委外",record[[#This Row],[Memo]]))</f>
        <v/>
      </c>
      <c r="O8397" t="s">
        <v>58</v>
      </c>
      <c r="P8397" t="s">
        <v>121</v>
      </c>
      <c r="Q8397" t="s">
        <v>58</v>
      </c>
      <c r="R8397" t="str">
        <f>IFERROR(VLOOKUP(record[[#This Row],[PCUSTID]],廠商[],2,FALSE),"")</f>
        <v/>
      </c>
      <c r="S8397" t="str">
        <f>VLOOKUP(record[[#This Row],[employeeID]],員工[],2,FALSE)</f>
        <v>謝素卿</v>
      </c>
    </row>
    <row r="8398" spans="6:19" hidden="1" x14ac:dyDescent="0.25">
      <c r="F8398" t="s">
        <v>902</v>
      </c>
      <c r="G8398" t="s">
        <v>376</v>
      </c>
      <c r="H8398" t="str">
        <f>VLOOKUP(record[[#This Row],[ProcessSN]],表格2_7[],2,FALSE)</f>
        <v>30-4118-018-4XX</v>
      </c>
      <c r="I8398" t="str">
        <f>VLOOKUP(record[[#This Row],[ProcessSN]],表格2_7[],3,FALSE)</f>
        <v>#06</v>
      </c>
      <c r="J8398" t="s">
        <v>593</v>
      </c>
      <c r="K8398" s="195">
        <v>45870.692650462966</v>
      </c>
      <c r="L8398">
        <v>83</v>
      </c>
      <c r="M8398">
        <v>2</v>
      </c>
      <c r="N8398" s="98" t="str">
        <f>IF(record[[#This Row],[Memo]]="Browser:chrome os:android","平板報工",IF(record[[#This Row],[Memo]]=0,"委外",record[[#This Row],[Memo]]))</f>
        <v/>
      </c>
      <c r="O8398" t="s">
        <v>58</v>
      </c>
      <c r="P8398" t="s">
        <v>101</v>
      </c>
      <c r="Q8398" t="s">
        <v>58</v>
      </c>
      <c r="R8398" t="str">
        <f>IFERROR(VLOOKUP(record[[#This Row],[PCUSTID]],廠商[],2,FALSE),"")</f>
        <v/>
      </c>
      <c r="S8398" t="str">
        <f>VLOOKUP(record[[#This Row],[employeeID]],員工[],2,FALSE)</f>
        <v>陳氏絨</v>
      </c>
    </row>
    <row r="8399" spans="6:19" hidden="1" x14ac:dyDescent="0.25">
      <c r="F8399" t="s">
        <v>900</v>
      </c>
      <c r="G8399" t="s">
        <v>450</v>
      </c>
      <c r="H8399" t="str">
        <f>VLOOKUP(record[[#This Row],[ProcessSN]],表格2_7[],2,FALSE)</f>
        <v>30-4118-018-6XX</v>
      </c>
      <c r="I8399" t="str">
        <f>VLOOKUP(record[[#This Row],[ProcessSN]],表格2_7[],3,FALSE)</f>
        <v>#06</v>
      </c>
      <c r="J8399" t="s">
        <v>593</v>
      </c>
      <c r="K8399" s="195">
        <v>45870.692152777781</v>
      </c>
      <c r="L8399">
        <v>27</v>
      </c>
      <c r="M8399">
        <v>0</v>
      </c>
      <c r="N8399" s="98" t="str">
        <f>IF(record[[#This Row],[Memo]]="Browser:chrome os:android","平板報工",IF(record[[#This Row],[Memo]]=0,"委外",record[[#This Row],[Memo]]))</f>
        <v/>
      </c>
      <c r="O8399" t="s">
        <v>58</v>
      </c>
      <c r="P8399" t="s">
        <v>101</v>
      </c>
      <c r="Q8399" t="s">
        <v>58</v>
      </c>
      <c r="R8399" t="str">
        <f>IFERROR(VLOOKUP(record[[#This Row],[PCUSTID]],廠商[],2,FALSE),"")</f>
        <v/>
      </c>
      <c r="S8399" t="str">
        <f>VLOOKUP(record[[#This Row],[employeeID]],員工[],2,FALSE)</f>
        <v>陳氏絨</v>
      </c>
    </row>
    <row r="8400" spans="6:19" hidden="1" x14ac:dyDescent="0.25">
      <c r="F8400" t="s">
        <v>893</v>
      </c>
      <c r="G8400" t="s">
        <v>428</v>
      </c>
      <c r="H8400" t="str">
        <f>VLOOKUP(record[[#This Row],[ProcessSN]],表格2_7[],2,FALSE)</f>
        <v>30-4118-018-600</v>
      </c>
      <c r="I8400" t="str">
        <f>VLOOKUP(record[[#This Row],[ProcessSN]],表格2_7[],3,FALSE)</f>
        <v>#100SHIP</v>
      </c>
      <c r="J8400" t="s">
        <v>600</v>
      </c>
      <c r="K8400" s="195">
        <v>45870.685763888891</v>
      </c>
      <c r="L8400">
        <v>7</v>
      </c>
      <c r="M8400">
        <v>0</v>
      </c>
      <c r="N8400" s="98" t="str">
        <f>IF(record[[#This Row],[Memo]]="Browser:chrome os:android","平板報工",IF(record[[#This Row],[Memo]]=0,"委外",record[[#This Row],[Memo]]))</f>
        <v/>
      </c>
      <c r="O8400" t="s">
        <v>58</v>
      </c>
      <c r="P8400" t="s">
        <v>886</v>
      </c>
      <c r="Q8400" t="s">
        <v>58</v>
      </c>
      <c r="R8400" t="str">
        <f>IFERROR(VLOOKUP(record[[#This Row],[PCUSTID]],廠商[],2,FALSE),"")</f>
        <v/>
      </c>
      <c r="S8400" t="str">
        <f>VLOOKUP(record[[#This Row],[employeeID]],員工[],2,FALSE)</f>
        <v>謝蓁薰</v>
      </c>
    </row>
    <row r="8401" spans="6:19" hidden="1" x14ac:dyDescent="0.25">
      <c r="F8401" t="s">
        <v>893</v>
      </c>
      <c r="G8401" t="s">
        <v>427</v>
      </c>
      <c r="H8401" t="str">
        <f>VLOOKUP(record[[#This Row],[ProcessSN]],表格2_7[],2,FALSE)</f>
        <v>30-4118-018-600</v>
      </c>
      <c r="I8401" t="str">
        <f>VLOOKUP(record[[#This Row],[ProcessSN]],表格2_7[],3,FALSE)</f>
        <v>#100STOCK</v>
      </c>
      <c r="J8401" t="s">
        <v>592</v>
      </c>
      <c r="K8401" s="195">
        <v>45870.685590277775</v>
      </c>
      <c r="L8401">
        <v>7</v>
      </c>
      <c r="M8401">
        <v>0</v>
      </c>
      <c r="N8401" s="98" t="str">
        <f>IF(record[[#This Row],[Memo]]="Browser:chrome os:android","平板報工",IF(record[[#This Row],[Memo]]=0,"委外",record[[#This Row],[Memo]]))</f>
        <v/>
      </c>
      <c r="O8401" t="s">
        <v>58</v>
      </c>
      <c r="P8401" t="s">
        <v>886</v>
      </c>
      <c r="Q8401" t="s">
        <v>58</v>
      </c>
      <c r="R8401" t="str">
        <f>IFERROR(VLOOKUP(record[[#This Row],[PCUSTID]],廠商[],2,FALSE),"")</f>
        <v/>
      </c>
      <c r="S8401" t="str">
        <f>VLOOKUP(record[[#This Row],[employeeID]],員工[],2,FALSE)</f>
        <v>謝蓁薰</v>
      </c>
    </row>
    <row r="8402" spans="6:19" hidden="1" x14ac:dyDescent="0.25">
      <c r="F8402" t="s">
        <v>683</v>
      </c>
      <c r="G8402" t="s">
        <v>362</v>
      </c>
      <c r="H8402" t="str">
        <f>VLOOKUP(record[[#This Row],[ProcessSN]],表格2_7[],2,FALSE)</f>
        <v>30-4118-018-450</v>
      </c>
      <c r="I8402" t="str">
        <f>VLOOKUP(record[[#This Row],[ProcessSN]],表格2_7[],3,FALSE)</f>
        <v>#100SHIP</v>
      </c>
      <c r="J8402" t="s">
        <v>600</v>
      </c>
      <c r="K8402" s="195">
        <v>45870.685324074075</v>
      </c>
      <c r="L8402">
        <v>75</v>
      </c>
      <c r="M8402">
        <v>0</v>
      </c>
      <c r="N8402" s="98" t="str">
        <f>IF(record[[#This Row],[Memo]]="Browser:chrome os:android","平板報工",IF(record[[#This Row],[Memo]]=0,"委外",record[[#This Row],[Memo]]))</f>
        <v/>
      </c>
      <c r="O8402" t="s">
        <v>58</v>
      </c>
      <c r="P8402" t="s">
        <v>886</v>
      </c>
      <c r="Q8402" t="s">
        <v>58</v>
      </c>
      <c r="R8402" t="str">
        <f>IFERROR(VLOOKUP(record[[#This Row],[PCUSTID]],廠商[],2,FALSE),"")</f>
        <v/>
      </c>
      <c r="S8402" t="str">
        <f>VLOOKUP(record[[#This Row],[employeeID]],員工[],2,FALSE)</f>
        <v>謝蓁薰</v>
      </c>
    </row>
    <row r="8403" spans="6:19" hidden="1" x14ac:dyDescent="0.25">
      <c r="F8403" t="s">
        <v>680</v>
      </c>
      <c r="G8403" t="s">
        <v>362</v>
      </c>
      <c r="H8403" t="str">
        <f>VLOOKUP(record[[#This Row],[ProcessSN]],表格2_7[],2,FALSE)</f>
        <v>30-4118-018-450</v>
      </c>
      <c r="I8403" t="str">
        <f>VLOOKUP(record[[#This Row],[ProcessSN]],表格2_7[],3,FALSE)</f>
        <v>#100SHIP</v>
      </c>
      <c r="J8403" t="s">
        <v>600</v>
      </c>
      <c r="K8403" s="195">
        <v>45870.685069444444</v>
      </c>
      <c r="L8403">
        <v>6</v>
      </c>
      <c r="M8403">
        <v>0</v>
      </c>
      <c r="N8403" s="98" t="str">
        <f>IF(record[[#This Row],[Memo]]="Browser:chrome os:android","平板報工",IF(record[[#This Row],[Memo]]=0,"委外",record[[#This Row],[Memo]]))</f>
        <v/>
      </c>
      <c r="O8403" t="s">
        <v>58</v>
      </c>
      <c r="P8403" t="s">
        <v>886</v>
      </c>
      <c r="Q8403" t="s">
        <v>58</v>
      </c>
      <c r="R8403" t="str">
        <f>IFERROR(VLOOKUP(record[[#This Row],[PCUSTID]],廠商[],2,FALSE),"")</f>
        <v/>
      </c>
      <c r="S8403" t="str">
        <f>VLOOKUP(record[[#This Row],[employeeID]],員工[],2,FALSE)</f>
        <v>謝蓁薰</v>
      </c>
    </row>
    <row r="8404" spans="6:19" hidden="1" x14ac:dyDescent="0.25">
      <c r="F8404" t="s">
        <v>917</v>
      </c>
      <c r="G8404" t="s">
        <v>403</v>
      </c>
      <c r="H8404" t="str">
        <f>VLOOKUP(record[[#This Row],[ProcessSN]],表格2_7[],2,FALSE)</f>
        <v>30-4118-018-550</v>
      </c>
      <c r="I8404" t="str">
        <f>VLOOKUP(record[[#This Row],[ProcessSN]],表格2_7[],3,FALSE)</f>
        <v>#100SHIP</v>
      </c>
      <c r="J8404" t="s">
        <v>600</v>
      </c>
      <c r="K8404" s="195">
        <v>45870.67050925926</v>
      </c>
      <c r="L8404">
        <v>139</v>
      </c>
      <c r="M8404">
        <v>0</v>
      </c>
      <c r="N8404" s="98" t="str">
        <f>IF(record[[#This Row],[Memo]]="Browser:chrome os:android","平板報工",IF(record[[#This Row],[Memo]]=0,"委外",record[[#This Row],[Memo]]))</f>
        <v/>
      </c>
      <c r="O8404" t="s">
        <v>58</v>
      </c>
      <c r="P8404" t="s">
        <v>886</v>
      </c>
      <c r="Q8404" t="s">
        <v>58</v>
      </c>
      <c r="R8404" t="str">
        <f>IFERROR(VLOOKUP(record[[#This Row],[PCUSTID]],廠商[],2,FALSE),"")</f>
        <v/>
      </c>
      <c r="S8404" t="str">
        <f>VLOOKUP(record[[#This Row],[employeeID]],員工[],2,FALSE)</f>
        <v>謝蓁薰</v>
      </c>
    </row>
    <row r="8405" spans="6:19" hidden="1" x14ac:dyDescent="0.25">
      <c r="F8405" t="s">
        <v>917</v>
      </c>
      <c r="G8405" t="s">
        <v>402</v>
      </c>
      <c r="H8405" t="str">
        <f>VLOOKUP(record[[#This Row],[ProcessSN]],表格2_7[],2,FALSE)</f>
        <v>30-4118-018-550</v>
      </c>
      <c r="I8405" t="str">
        <f>VLOOKUP(record[[#This Row],[ProcessSN]],表格2_7[],3,FALSE)</f>
        <v>#100STOCK</v>
      </c>
      <c r="J8405" t="s">
        <v>592</v>
      </c>
      <c r="K8405" s="195">
        <v>45870.670405092591</v>
      </c>
      <c r="L8405">
        <v>139</v>
      </c>
      <c r="M8405">
        <v>0</v>
      </c>
      <c r="N8405" s="98" t="str">
        <f>IF(record[[#This Row],[Memo]]="Browser:chrome os:android","平板報工",IF(record[[#This Row],[Memo]]=0,"委外",record[[#This Row],[Memo]]))</f>
        <v/>
      </c>
      <c r="O8405" t="s">
        <v>58</v>
      </c>
      <c r="P8405" t="s">
        <v>886</v>
      </c>
      <c r="Q8405" t="s">
        <v>58</v>
      </c>
      <c r="R8405" t="str">
        <f>IFERROR(VLOOKUP(record[[#This Row],[PCUSTID]],廠商[],2,FALSE),"")</f>
        <v/>
      </c>
      <c r="S8405" t="str">
        <f>VLOOKUP(record[[#This Row],[employeeID]],員工[],2,FALSE)</f>
        <v>謝蓁薰</v>
      </c>
    </row>
    <row r="8406" spans="6:19" hidden="1" x14ac:dyDescent="0.25">
      <c r="F8406" t="s">
        <v>932</v>
      </c>
      <c r="G8406" t="s">
        <v>425</v>
      </c>
      <c r="H8406" t="str">
        <f>VLOOKUP(record[[#This Row],[ProcessSN]],表格2_7[],2,FALSE)</f>
        <v>30-4118-018-600</v>
      </c>
      <c r="I8406" t="str">
        <f>VLOOKUP(record[[#This Row],[ProcessSN]],表格2_7[],3,FALSE)</f>
        <v>#100</v>
      </c>
      <c r="J8406" t="s">
        <v>598</v>
      </c>
      <c r="K8406" s="195">
        <v>45870.64980324074</v>
      </c>
      <c r="L8406">
        <v>0</v>
      </c>
      <c r="M8406">
        <v>7</v>
      </c>
      <c r="N8406" s="98" t="str">
        <f>IF(record[[#This Row],[Memo]]="Browser:chrome os:android","平板報工",IF(record[[#This Row],[Memo]]=0,"委外",record[[#This Row],[Memo]]))</f>
        <v>平板報工</v>
      </c>
      <c r="O8406" t="s">
        <v>643</v>
      </c>
      <c r="P8406" t="s">
        <v>141</v>
      </c>
      <c r="Q8406" t="s">
        <v>644</v>
      </c>
      <c r="R8406" t="str">
        <f>IFERROR(VLOOKUP(record[[#This Row],[PCUSTID]],廠商[],2,FALSE),"")</f>
        <v/>
      </c>
      <c r="S8406" t="str">
        <f>VLOOKUP(record[[#This Row],[employeeID]],員工[],2,FALSE)</f>
        <v>蔣梅</v>
      </c>
    </row>
    <row r="8407" spans="6:19" hidden="1" x14ac:dyDescent="0.25">
      <c r="F8407" t="s">
        <v>904</v>
      </c>
      <c r="G8407" t="s">
        <v>415</v>
      </c>
      <c r="H8407" t="str">
        <f>VLOOKUP(record[[#This Row],[ProcessSN]],表格2_7[],2,FALSE)</f>
        <v>30-4118-018-5XX</v>
      </c>
      <c r="I8407" t="str">
        <f>VLOOKUP(record[[#This Row],[ProcessSN]],表格2_7[],3,FALSE)</f>
        <v>#04</v>
      </c>
      <c r="J8407" t="s">
        <v>588</v>
      </c>
      <c r="K8407" s="195">
        <v>45870.649548611109</v>
      </c>
      <c r="L8407">
        <v>55</v>
      </c>
      <c r="M8407">
        <v>0</v>
      </c>
      <c r="N8407" s="98" t="str">
        <f>IF(record[[#This Row],[Memo]]="Browser:chrome os:android","平板報工",IF(record[[#This Row],[Memo]]=0,"委外",record[[#This Row],[Memo]]))</f>
        <v/>
      </c>
      <c r="O8407" t="s">
        <v>58</v>
      </c>
      <c r="P8407" t="s">
        <v>101</v>
      </c>
      <c r="Q8407" t="s">
        <v>58</v>
      </c>
      <c r="R8407" t="str">
        <f>IFERROR(VLOOKUP(record[[#This Row],[PCUSTID]],廠商[],2,FALSE),"")</f>
        <v/>
      </c>
      <c r="S8407" t="str">
        <f>VLOOKUP(record[[#This Row],[employeeID]],員工[],2,FALSE)</f>
        <v>陳氏絨</v>
      </c>
    </row>
    <row r="8408" spans="6:19" hidden="1" x14ac:dyDescent="0.25">
      <c r="F8408" t="s">
        <v>932</v>
      </c>
      <c r="G8408" t="s">
        <v>425</v>
      </c>
      <c r="H8408" t="str">
        <f>VLOOKUP(record[[#This Row],[ProcessSN]],表格2_7[],2,FALSE)</f>
        <v>30-4118-018-600</v>
      </c>
      <c r="I8408" t="str">
        <f>VLOOKUP(record[[#This Row],[ProcessSN]],表格2_7[],3,FALSE)</f>
        <v>#100</v>
      </c>
      <c r="J8408" t="s">
        <v>598</v>
      </c>
      <c r="K8408" s="195">
        <v>45870.64949074074</v>
      </c>
      <c r="L8408">
        <v>303</v>
      </c>
      <c r="M8408">
        <v>0</v>
      </c>
      <c r="N8408" s="98" t="str">
        <f>IF(record[[#This Row],[Memo]]="Browser:chrome os:android","平板報工",IF(record[[#This Row],[Memo]]=0,"委外",record[[#This Row],[Memo]]))</f>
        <v>平板報工</v>
      </c>
      <c r="O8408" t="s">
        <v>643</v>
      </c>
      <c r="P8408" t="s">
        <v>141</v>
      </c>
      <c r="Q8408" t="s">
        <v>644</v>
      </c>
      <c r="R8408" t="str">
        <f>IFERROR(VLOOKUP(record[[#This Row],[PCUSTID]],廠商[],2,FALSE),"")</f>
        <v/>
      </c>
      <c r="S8408" t="str">
        <f>VLOOKUP(record[[#This Row],[employeeID]],員工[],2,FALSE)</f>
        <v>蔣梅</v>
      </c>
    </row>
    <row r="8409" spans="6:19" hidden="1" x14ac:dyDescent="0.25">
      <c r="F8409" t="s">
        <v>900</v>
      </c>
      <c r="G8409" t="s">
        <v>448</v>
      </c>
      <c r="H8409" t="str">
        <f>VLOOKUP(record[[#This Row],[ProcessSN]],表格2_7[],2,FALSE)</f>
        <v>30-4118-018-6XX</v>
      </c>
      <c r="I8409" t="str">
        <f>VLOOKUP(record[[#This Row],[ProcessSN]],表格2_7[],3,FALSE)</f>
        <v>#04</v>
      </c>
      <c r="J8409" t="s">
        <v>588</v>
      </c>
      <c r="K8409" s="195">
        <v>45870.649085648147</v>
      </c>
      <c r="L8409">
        <v>72</v>
      </c>
      <c r="M8409">
        <v>0</v>
      </c>
      <c r="N8409" s="98" t="str">
        <f>IF(record[[#This Row],[Memo]]="Browser:chrome os:android","平板報工",IF(record[[#This Row],[Memo]]=0,"委外",record[[#This Row],[Memo]]))</f>
        <v/>
      </c>
      <c r="O8409" t="s">
        <v>58</v>
      </c>
      <c r="P8409" t="s">
        <v>101</v>
      </c>
      <c r="Q8409" t="s">
        <v>58</v>
      </c>
      <c r="R8409" t="str">
        <f>IFERROR(VLOOKUP(record[[#This Row],[PCUSTID]],廠商[],2,FALSE),"")</f>
        <v/>
      </c>
      <c r="S8409" t="str">
        <f>VLOOKUP(record[[#This Row],[employeeID]],員工[],2,FALSE)</f>
        <v>陳氏絨</v>
      </c>
    </row>
    <row r="8410" spans="6:19" hidden="1" x14ac:dyDescent="0.25">
      <c r="F8410" t="s">
        <v>927</v>
      </c>
      <c r="G8410" t="s">
        <v>400</v>
      </c>
      <c r="H8410" t="str">
        <f>VLOOKUP(record[[#This Row],[ProcessSN]],表格2_7[],2,FALSE)</f>
        <v>30-4118-018-550</v>
      </c>
      <c r="I8410" t="str">
        <f>VLOOKUP(record[[#This Row],[ProcessSN]],表格2_7[],3,FALSE)</f>
        <v>#100</v>
      </c>
      <c r="J8410" t="s">
        <v>598</v>
      </c>
      <c r="K8410" s="195">
        <v>45870.649085648147</v>
      </c>
      <c r="L8410">
        <v>0</v>
      </c>
      <c r="M8410">
        <v>11</v>
      </c>
      <c r="N8410" s="98" t="str">
        <f>IF(record[[#This Row],[Memo]]="Browser:chrome os:android","平板報工",IF(record[[#This Row],[Memo]]=0,"委外",record[[#This Row],[Memo]]))</f>
        <v>平板報工</v>
      </c>
      <c r="O8410" t="s">
        <v>643</v>
      </c>
      <c r="P8410" t="s">
        <v>141</v>
      </c>
      <c r="Q8410" t="s">
        <v>644</v>
      </c>
      <c r="R8410" t="str">
        <f>IFERROR(VLOOKUP(record[[#This Row],[PCUSTID]],廠商[],2,FALSE),"")</f>
        <v/>
      </c>
      <c r="S8410" t="str">
        <f>VLOOKUP(record[[#This Row],[employeeID]],員工[],2,FALSE)</f>
        <v>蔣梅</v>
      </c>
    </row>
    <row r="8411" spans="6:19" hidden="1" x14ac:dyDescent="0.25">
      <c r="F8411" t="s">
        <v>902</v>
      </c>
      <c r="G8411" t="s">
        <v>377</v>
      </c>
      <c r="H8411" t="str">
        <f>VLOOKUP(record[[#This Row],[ProcessSN]],表格2_7[],2,FALSE)</f>
        <v>30-4118-018-4XX</v>
      </c>
      <c r="I8411" t="str">
        <f>VLOOKUP(record[[#This Row],[ProcessSN]],表格2_7[],3,FALSE)</f>
        <v>#07</v>
      </c>
      <c r="J8411" t="s">
        <v>588</v>
      </c>
      <c r="K8411" s="195">
        <v>45870.648865740739</v>
      </c>
      <c r="L8411">
        <v>186</v>
      </c>
      <c r="M8411">
        <v>0</v>
      </c>
      <c r="N8411" s="98" t="str">
        <f>IF(record[[#This Row],[Memo]]="Browser:chrome os:android","平板報工",IF(record[[#This Row],[Memo]]=0,"委外",record[[#This Row],[Memo]]))</f>
        <v/>
      </c>
      <c r="O8411" t="s">
        <v>58</v>
      </c>
      <c r="P8411" t="s">
        <v>101</v>
      </c>
      <c r="Q8411" t="s">
        <v>58</v>
      </c>
      <c r="R8411" t="str">
        <f>IFERROR(VLOOKUP(record[[#This Row],[PCUSTID]],廠商[],2,FALSE),"")</f>
        <v/>
      </c>
      <c r="S8411" t="str">
        <f>VLOOKUP(record[[#This Row],[employeeID]],員工[],2,FALSE)</f>
        <v>陳氏絨</v>
      </c>
    </row>
    <row r="8412" spans="6:19" hidden="1" x14ac:dyDescent="0.25">
      <c r="F8412" t="s">
        <v>927</v>
      </c>
      <c r="G8412" t="s">
        <v>400</v>
      </c>
      <c r="H8412" t="str">
        <f>VLOOKUP(record[[#This Row],[ProcessSN]],表格2_7[],2,FALSE)</f>
        <v>30-4118-018-550</v>
      </c>
      <c r="I8412" t="str">
        <f>VLOOKUP(record[[#This Row],[ProcessSN]],表格2_7[],3,FALSE)</f>
        <v>#100</v>
      </c>
      <c r="J8412" t="s">
        <v>598</v>
      </c>
      <c r="K8412" s="195">
        <v>45870.648865740739</v>
      </c>
      <c r="L8412">
        <v>310</v>
      </c>
      <c r="M8412">
        <v>0</v>
      </c>
      <c r="N8412" s="98" t="str">
        <f>IF(record[[#This Row],[Memo]]="Browser:chrome os:android","平板報工",IF(record[[#This Row],[Memo]]=0,"委外",record[[#This Row],[Memo]]))</f>
        <v>平板報工</v>
      </c>
      <c r="O8412" t="s">
        <v>643</v>
      </c>
      <c r="P8412" t="s">
        <v>141</v>
      </c>
      <c r="Q8412" t="s">
        <v>644</v>
      </c>
      <c r="R8412" t="str">
        <f>IFERROR(VLOOKUP(record[[#This Row],[PCUSTID]],廠商[],2,FALSE),"")</f>
        <v/>
      </c>
      <c r="S8412" t="str">
        <f>VLOOKUP(record[[#This Row],[employeeID]],員工[],2,FALSE)</f>
        <v>蔣梅</v>
      </c>
    </row>
    <row r="8413" spans="6:19" hidden="1" x14ac:dyDescent="0.25">
      <c r="F8413" t="s">
        <v>902</v>
      </c>
      <c r="G8413" t="s">
        <v>375</v>
      </c>
      <c r="H8413" t="str">
        <f>VLOOKUP(record[[#This Row],[ProcessSN]],表格2_7[],2,FALSE)</f>
        <v>30-4118-018-4XX</v>
      </c>
      <c r="I8413" t="str">
        <f>VLOOKUP(record[[#This Row],[ProcessSN]],表格2_7[],3,FALSE)</f>
        <v>#05</v>
      </c>
      <c r="J8413" t="s">
        <v>588</v>
      </c>
      <c r="K8413" s="195">
        <v>45870.648078703707</v>
      </c>
      <c r="L8413">
        <v>85</v>
      </c>
      <c r="M8413">
        <v>0</v>
      </c>
      <c r="N8413" s="98" t="str">
        <f>IF(record[[#This Row],[Memo]]="Browser:chrome os:android","平板報工",IF(record[[#This Row],[Memo]]=0,"委外",record[[#This Row],[Memo]]))</f>
        <v/>
      </c>
      <c r="O8413" t="s">
        <v>58</v>
      </c>
      <c r="P8413" t="s">
        <v>101</v>
      </c>
      <c r="Q8413" t="s">
        <v>58</v>
      </c>
      <c r="R8413" t="str">
        <f>IFERROR(VLOOKUP(record[[#This Row],[PCUSTID]],廠商[],2,FALSE),"")</f>
        <v/>
      </c>
      <c r="S8413" t="str">
        <f>VLOOKUP(record[[#This Row],[employeeID]],員工[],2,FALSE)</f>
        <v>陳氏絨</v>
      </c>
    </row>
    <row r="8414" spans="6:19" hidden="1" x14ac:dyDescent="0.25">
      <c r="F8414" t="s">
        <v>900</v>
      </c>
      <c r="G8414" t="s">
        <v>449</v>
      </c>
      <c r="H8414" t="str">
        <f>VLOOKUP(record[[#This Row],[ProcessSN]],表格2_7[],2,FALSE)</f>
        <v>30-4118-018-6XX</v>
      </c>
      <c r="I8414" t="str">
        <f>VLOOKUP(record[[#This Row],[ProcessSN]],表格2_7[],3,FALSE)</f>
        <v>#05</v>
      </c>
      <c r="J8414" t="s">
        <v>588</v>
      </c>
      <c r="K8414" s="195">
        <v>45870.647777777776</v>
      </c>
      <c r="L8414">
        <v>165</v>
      </c>
      <c r="M8414">
        <v>0</v>
      </c>
      <c r="N8414" s="98" t="str">
        <f>IF(record[[#This Row],[Memo]]="Browser:chrome os:android","平板報工",IF(record[[#This Row],[Memo]]=0,"委外",record[[#This Row],[Memo]]))</f>
        <v/>
      </c>
      <c r="O8414" t="s">
        <v>58</v>
      </c>
      <c r="P8414" t="s">
        <v>101</v>
      </c>
      <c r="Q8414" t="s">
        <v>58</v>
      </c>
      <c r="R8414" t="str">
        <f>IFERROR(VLOOKUP(record[[#This Row],[PCUSTID]],廠商[],2,FALSE),"")</f>
        <v/>
      </c>
      <c r="S8414" t="str">
        <f>VLOOKUP(record[[#This Row],[employeeID]],員工[],2,FALSE)</f>
        <v>陳氏絨</v>
      </c>
    </row>
    <row r="8415" spans="6:19" hidden="1" x14ac:dyDescent="0.25">
      <c r="F8415" t="s">
        <v>932</v>
      </c>
      <c r="G8415" t="s">
        <v>424</v>
      </c>
      <c r="H8415" t="str">
        <f>VLOOKUP(record[[#This Row],[ProcessSN]],表格2_7[],2,FALSE)</f>
        <v>30-4118-018-600</v>
      </c>
      <c r="I8415" t="str">
        <f>VLOOKUP(record[[#This Row],[ProcessSN]],表格2_7[],3,FALSE)</f>
        <v>#08IQC</v>
      </c>
      <c r="J8415" t="s">
        <v>583</v>
      </c>
      <c r="K8415" s="195">
        <v>45870.590289351851</v>
      </c>
      <c r="L8415">
        <v>310</v>
      </c>
      <c r="M8415">
        <v>0</v>
      </c>
      <c r="N8415" s="98" t="str">
        <f>IF(record[[#This Row],[Memo]]="Browser:chrome os:android","平板報工",IF(record[[#This Row],[Memo]]=0,"委外",record[[#This Row],[Memo]]))</f>
        <v/>
      </c>
      <c r="O8415" t="s">
        <v>58</v>
      </c>
      <c r="P8415" t="s">
        <v>109</v>
      </c>
      <c r="Q8415" t="s">
        <v>58</v>
      </c>
      <c r="R8415" t="str">
        <f>IFERROR(VLOOKUP(record[[#This Row],[PCUSTID]],廠商[],2,FALSE),"")</f>
        <v/>
      </c>
      <c r="S8415" t="str">
        <f>VLOOKUP(record[[#This Row],[employeeID]],員工[],2,FALSE)</f>
        <v>裴氏璧鳳</v>
      </c>
    </row>
    <row r="8416" spans="6:19" hidden="1" x14ac:dyDescent="0.25">
      <c r="F8416" t="s">
        <v>932</v>
      </c>
      <c r="G8416" t="s">
        <v>423</v>
      </c>
      <c r="H8416" t="str">
        <f>VLOOKUP(record[[#This Row],[ProcessSN]],表格2_7[],2,FALSE)</f>
        <v>30-4118-018-600</v>
      </c>
      <c r="I8416" t="str">
        <f>VLOOKUP(record[[#This Row],[ProcessSN]],表格2_7[],3,FALSE)</f>
        <v>#08RCV</v>
      </c>
      <c r="J8416" t="s">
        <v>591</v>
      </c>
      <c r="K8416" s="195">
        <v>45870.478125000001</v>
      </c>
      <c r="L8416">
        <v>310</v>
      </c>
      <c r="M8416">
        <v>0</v>
      </c>
      <c r="N8416" s="98" t="str">
        <f>IF(record[[#This Row],[Memo]]="Browser:chrome os:android","平板報工",IF(record[[#This Row],[Memo]]=0,"委外",record[[#This Row],[Memo]]))</f>
        <v/>
      </c>
      <c r="O8416" t="s">
        <v>58</v>
      </c>
      <c r="P8416" t="s">
        <v>186</v>
      </c>
      <c r="Q8416" t="s">
        <v>58</v>
      </c>
      <c r="R8416" t="str">
        <f>IFERROR(VLOOKUP(record[[#This Row],[PCUSTID]],廠商[],2,FALSE),"")</f>
        <v/>
      </c>
      <c r="S8416" t="str">
        <f>VLOOKUP(record[[#This Row],[employeeID]],員工[],2,FALSE)</f>
        <v>許文姍</v>
      </c>
    </row>
    <row r="8417" spans="6:19" hidden="1" x14ac:dyDescent="0.25">
      <c r="F8417" t="s">
        <v>586</v>
      </c>
      <c r="G8417" t="s">
        <v>379</v>
      </c>
      <c r="H8417" t="str">
        <f>VLOOKUP(record[[#This Row],[ProcessSN]],表格2_7[],2,FALSE)</f>
        <v>30-4118-018-4XX</v>
      </c>
      <c r="I8417" t="str">
        <f>VLOOKUP(record[[#This Row],[ProcessSN]],表格2_7[],3,FALSE)</f>
        <v>#07STOCK</v>
      </c>
      <c r="J8417" t="s">
        <v>592</v>
      </c>
      <c r="K8417" s="195">
        <v>45870.457141203704</v>
      </c>
      <c r="L8417">
        <v>3</v>
      </c>
      <c r="M8417">
        <v>0</v>
      </c>
      <c r="N8417" s="98" t="str">
        <f>IF(record[[#This Row],[Memo]]="Browser:chrome os:android","平板報工",IF(record[[#This Row],[Memo]]=0,"委外",record[[#This Row],[Memo]]))</f>
        <v/>
      </c>
      <c r="O8417" t="s">
        <v>58</v>
      </c>
      <c r="P8417" t="s">
        <v>113</v>
      </c>
      <c r="Q8417" t="s">
        <v>58</v>
      </c>
      <c r="R8417" t="str">
        <f>IFERROR(VLOOKUP(record[[#This Row],[PCUSTID]],廠商[],2,FALSE),"")</f>
        <v/>
      </c>
      <c r="S8417" t="str">
        <f>VLOOKUP(record[[#This Row],[employeeID]],員工[],2,FALSE)</f>
        <v>王奕蓁</v>
      </c>
    </row>
    <row r="8418" spans="6:19" hidden="1" x14ac:dyDescent="0.25">
      <c r="F8418" t="s">
        <v>941</v>
      </c>
      <c r="G8418" t="s">
        <v>379</v>
      </c>
      <c r="H8418" t="str">
        <f>VLOOKUP(record[[#This Row],[ProcessSN]],表格2_7[],2,FALSE)</f>
        <v>30-4118-018-4XX</v>
      </c>
      <c r="I8418" t="str">
        <f>VLOOKUP(record[[#This Row],[ProcessSN]],表格2_7[],3,FALSE)</f>
        <v>#07STOCK</v>
      </c>
      <c r="J8418" t="s">
        <v>592</v>
      </c>
      <c r="K8418" s="195">
        <v>45870.457025462965</v>
      </c>
      <c r="L8418">
        <v>164</v>
      </c>
      <c r="M8418">
        <v>0</v>
      </c>
      <c r="N8418" s="98" t="str">
        <f>IF(record[[#This Row],[Memo]]="Browser:chrome os:android","平板報工",IF(record[[#This Row],[Memo]]=0,"委外",record[[#This Row],[Memo]]))</f>
        <v/>
      </c>
      <c r="O8418" t="s">
        <v>58</v>
      </c>
      <c r="P8418" t="s">
        <v>113</v>
      </c>
      <c r="Q8418" t="s">
        <v>58</v>
      </c>
      <c r="R8418" t="str">
        <f>IFERROR(VLOOKUP(record[[#This Row],[PCUSTID]],廠商[],2,FALSE),"")</f>
        <v/>
      </c>
      <c r="S8418" t="str">
        <f>VLOOKUP(record[[#This Row],[employeeID]],員工[],2,FALSE)</f>
        <v>王奕蓁</v>
      </c>
    </row>
    <row r="8419" spans="6:19" hidden="1" x14ac:dyDescent="0.25">
      <c r="F8419" t="s">
        <v>940</v>
      </c>
      <c r="G8419" t="s">
        <v>355</v>
      </c>
      <c r="H8419" t="str">
        <f>VLOOKUP(record[[#This Row],[ProcessSN]],表格2_7[],2,FALSE)</f>
        <v>30-4118-018-450</v>
      </c>
      <c r="I8419" t="str">
        <f>VLOOKUP(record[[#This Row],[ProcessSN]],表格2_7[],3,FALSE)</f>
        <v>#08PICK</v>
      </c>
      <c r="J8419" t="s">
        <v>582</v>
      </c>
      <c r="K8419" s="195">
        <v>45870.456875000003</v>
      </c>
      <c r="L8419">
        <v>167</v>
      </c>
      <c r="M8419">
        <v>0</v>
      </c>
      <c r="N8419" s="98" t="str">
        <f>IF(record[[#This Row],[Memo]]="Browser:chrome os:android","平板報工",IF(record[[#This Row],[Memo]]=0,"委外",record[[#This Row],[Memo]]))</f>
        <v/>
      </c>
      <c r="O8419" t="s">
        <v>58</v>
      </c>
      <c r="P8419" t="s">
        <v>113</v>
      </c>
      <c r="Q8419" t="s">
        <v>58</v>
      </c>
      <c r="R8419" t="str">
        <f>IFERROR(VLOOKUP(record[[#This Row],[PCUSTID]],廠商[],2,FALSE),"")</f>
        <v/>
      </c>
      <c r="S8419" t="str">
        <f>VLOOKUP(record[[#This Row],[employeeID]],員工[],2,FALSE)</f>
        <v>王奕蓁</v>
      </c>
    </row>
    <row r="8420" spans="6:19" hidden="1" x14ac:dyDescent="0.25">
      <c r="F8420" t="s">
        <v>902</v>
      </c>
      <c r="G8420" t="s">
        <v>378</v>
      </c>
      <c r="H8420" t="str">
        <f>VLOOKUP(record[[#This Row],[ProcessSN]],表格2_7[],2,FALSE)</f>
        <v>30-4118-018-4XX</v>
      </c>
      <c r="I8420" t="str">
        <f>VLOOKUP(record[[#This Row],[ProcessSN]],表格2_7[],3,FALSE)</f>
        <v>#07QC</v>
      </c>
      <c r="J8420" t="s">
        <v>589</v>
      </c>
      <c r="K8420" s="195">
        <v>45870.438784722224</v>
      </c>
      <c r="L8420">
        <v>0</v>
      </c>
      <c r="M8420">
        <v>1</v>
      </c>
      <c r="N8420" s="98" t="str">
        <f>IF(record[[#This Row],[Memo]]="Browser:chrome os:android","平板報工",IF(record[[#This Row],[Memo]]=0,"委外",record[[#This Row],[Memo]]))</f>
        <v>平板報工</v>
      </c>
      <c r="O8420" t="s">
        <v>643</v>
      </c>
      <c r="P8420" t="s">
        <v>141</v>
      </c>
      <c r="Q8420" t="s">
        <v>644</v>
      </c>
      <c r="R8420" t="str">
        <f>IFERROR(VLOOKUP(record[[#This Row],[PCUSTID]],廠商[],2,FALSE),"")</f>
        <v/>
      </c>
      <c r="S8420" t="str">
        <f>VLOOKUP(record[[#This Row],[employeeID]],員工[],2,FALSE)</f>
        <v>蔣梅</v>
      </c>
    </row>
    <row r="8421" spans="6:19" hidden="1" x14ac:dyDescent="0.25">
      <c r="F8421" t="s">
        <v>902</v>
      </c>
      <c r="G8421" t="s">
        <v>378</v>
      </c>
      <c r="H8421" t="str">
        <f>VLOOKUP(record[[#This Row],[ProcessSN]],表格2_7[],2,FALSE)</f>
        <v>30-4118-018-4XX</v>
      </c>
      <c r="I8421" t="str">
        <f>VLOOKUP(record[[#This Row],[ProcessSN]],表格2_7[],3,FALSE)</f>
        <v>#07QC</v>
      </c>
      <c r="J8421" t="s">
        <v>589</v>
      </c>
      <c r="K8421" s="195">
        <v>45870.438587962963</v>
      </c>
      <c r="L8421">
        <v>164</v>
      </c>
      <c r="M8421">
        <v>0</v>
      </c>
      <c r="N8421" s="98" t="str">
        <f>IF(record[[#This Row],[Memo]]="Browser:chrome os:android","平板報工",IF(record[[#This Row],[Memo]]=0,"委外",record[[#This Row],[Memo]]))</f>
        <v>平板報工</v>
      </c>
      <c r="O8421" t="s">
        <v>643</v>
      </c>
      <c r="P8421" t="s">
        <v>141</v>
      </c>
      <c r="Q8421" t="s">
        <v>644</v>
      </c>
      <c r="R8421" t="str">
        <f>IFERROR(VLOOKUP(record[[#This Row],[PCUSTID]],廠商[],2,FALSE),"")</f>
        <v/>
      </c>
      <c r="S8421" t="str">
        <f>VLOOKUP(record[[#This Row],[employeeID]],員工[],2,FALSE)</f>
        <v>蔣梅</v>
      </c>
    </row>
    <row r="8422" spans="6:19" hidden="1" x14ac:dyDescent="0.25">
      <c r="F8422" t="s">
        <v>900</v>
      </c>
      <c r="G8422" t="s">
        <v>450</v>
      </c>
      <c r="H8422" t="str">
        <f>VLOOKUP(record[[#This Row],[ProcessSN]],表格2_7[],2,FALSE)</f>
        <v>30-4118-018-6XX</v>
      </c>
      <c r="I8422" t="str">
        <f>VLOOKUP(record[[#This Row],[ProcessSN]],表格2_7[],3,FALSE)</f>
        <v>#06</v>
      </c>
      <c r="J8422" t="s">
        <v>593</v>
      </c>
      <c r="K8422" s="195">
        <v>45870.320138888892</v>
      </c>
      <c r="L8422">
        <v>101</v>
      </c>
      <c r="M8422">
        <v>0</v>
      </c>
      <c r="N8422" s="98" t="str">
        <f>IF(record[[#This Row],[Memo]]="Browser:chrome os:android","平板報工",IF(record[[#This Row],[Memo]]=0,"委外",record[[#This Row],[Memo]]))</f>
        <v/>
      </c>
      <c r="O8422" t="s">
        <v>58</v>
      </c>
      <c r="P8422" t="s">
        <v>135</v>
      </c>
      <c r="Q8422" t="s">
        <v>58</v>
      </c>
      <c r="R8422" t="str">
        <f>IFERROR(VLOOKUP(record[[#This Row],[PCUSTID]],廠商[],2,FALSE),"")</f>
        <v/>
      </c>
      <c r="S8422" t="str">
        <f>VLOOKUP(record[[#This Row],[employeeID]],員工[],2,FALSE)</f>
        <v>阮士文</v>
      </c>
    </row>
    <row r="8423" spans="6:19" hidden="1" x14ac:dyDescent="0.25">
      <c r="F8423" t="s">
        <v>900</v>
      </c>
      <c r="G8423" t="s">
        <v>448</v>
      </c>
      <c r="H8423" t="str">
        <f>VLOOKUP(record[[#This Row],[ProcessSN]],表格2_7[],2,FALSE)</f>
        <v>30-4118-018-6XX</v>
      </c>
      <c r="I8423" t="str">
        <f>VLOOKUP(record[[#This Row],[ProcessSN]],表格2_7[],3,FALSE)</f>
        <v>#04</v>
      </c>
      <c r="J8423" t="s">
        <v>588</v>
      </c>
      <c r="K8423" s="195">
        <v>45870.315648148149</v>
      </c>
      <c r="L8423">
        <v>120</v>
      </c>
      <c r="M8423">
        <v>0</v>
      </c>
      <c r="N8423" s="98" t="str">
        <f>IF(record[[#This Row],[Memo]]="Browser:chrome os:android","平板報工",IF(record[[#This Row],[Memo]]=0,"委外",record[[#This Row],[Memo]]))</f>
        <v/>
      </c>
      <c r="O8423" t="s">
        <v>58</v>
      </c>
      <c r="P8423" t="s">
        <v>135</v>
      </c>
      <c r="Q8423" t="s">
        <v>58</v>
      </c>
      <c r="R8423" t="str">
        <f>IFERROR(VLOOKUP(record[[#This Row],[PCUSTID]],廠商[],2,FALSE),"")</f>
        <v/>
      </c>
      <c r="S8423" t="str">
        <f>VLOOKUP(record[[#This Row],[employeeID]],員工[],2,FALSE)</f>
        <v>阮士文</v>
      </c>
    </row>
    <row r="8424" spans="6:19" hidden="1" x14ac:dyDescent="0.25">
      <c r="F8424" t="s">
        <v>900</v>
      </c>
      <c r="G8424" t="s">
        <v>450</v>
      </c>
      <c r="H8424" t="str">
        <f>VLOOKUP(record[[#This Row],[ProcessSN]],表格2_7[],2,FALSE)</f>
        <v>30-4118-018-6XX</v>
      </c>
      <c r="I8424" t="str">
        <f>VLOOKUP(record[[#This Row],[ProcessSN]],表格2_7[],3,FALSE)</f>
        <v>#06</v>
      </c>
      <c r="J8424" t="s">
        <v>593</v>
      </c>
      <c r="K8424" s="195">
        <v>45869.990497685183</v>
      </c>
      <c r="L8424">
        <v>121</v>
      </c>
      <c r="M8424">
        <v>2</v>
      </c>
      <c r="N8424" s="98" t="str">
        <f>IF(record[[#This Row],[Memo]]="Browser:chrome os:android","平板報工",IF(record[[#This Row],[Memo]]=0,"委外",record[[#This Row],[Memo]]))</f>
        <v/>
      </c>
      <c r="O8424" t="s">
        <v>58</v>
      </c>
      <c r="P8424" t="s">
        <v>841</v>
      </c>
      <c r="Q8424" t="s">
        <v>58</v>
      </c>
      <c r="R8424" t="str">
        <f>IFERROR(VLOOKUP(record[[#This Row],[PCUSTID]],廠商[],2,FALSE),"")</f>
        <v/>
      </c>
      <c r="S8424" t="str">
        <f>VLOOKUP(record[[#This Row],[employeeID]],員工[],2,FALSE)</f>
        <v>范氏香</v>
      </c>
    </row>
    <row r="8425" spans="6:19" hidden="1" x14ac:dyDescent="0.25">
      <c r="F8425" t="s">
        <v>900</v>
      </c>
      <c r="G8425" t="s">
        <v>448</v>
      </c>
      <c r="H8425" t="str">
        <f>VLOOKUP(record[[#This Row],[ProcessSN]],表格2_7[],2,FALSE)</f>
        <v>30-4118-018-6XX</v>
      </c>
      <c r="I8425" t="str">
        <f>VLOOKUP(record[[#This Row],[ProcessSN]],表格2_7[],3,FALSE)</f>
        <v>#04</v>
      </c>
      <c r="J8425" t="s">
        <v>588</v>
      </c>
      <c r="K8425" s="195">
        <v>45869.979178240741</v>
      </c>
      <c r="L8425">
        <v>130</v>
      </c>
      <c r="M8425">
        <v>0</v>
      </c>
      <c r="N8425" s="98" t="str">
        <f>IF(record[[#This Row],[Memo]]="Browser:chrome os:android","平板報工",IF(record[[#This Row],[Memo]]=0,"委外",record[[#This Row],[Memo]]))</f>
        <v/>
      </c>
      <c r="O8425" t="s">
        <v>58</v>
      </c>
      <c r="P8425" t="s">
        <v>133</v>
      </c>
      <c r="Q8425" t="s">
        <v>58</v>
      </c>
      <c r="R8425" t="str">
        <f>IFERROR(VLOOKUP(record[[#This Row],[PCUSTID]],廠商[],2,FALSE),"")</f>
        <v/>
      </c>
      <c r="S8425" t="str">
        <f>VLOOKUP(record[[#This Row],[employeeID]],員工[],2,FALSE)</f>
        <v>黎長維</v>
      </c>
    </row>
    <row r="8426" spans="6:19" hidden="1" x14ac:dyDescent="0.25">
      <c r="F8426" t="s">
        <v>900</v>
      </c>
      <c r="G8426" t="s">
        <v>449</v>
      </c>
      <c r="H8426" t="str">
        <f>VLOOKUP(record[[#This Row],[ProcessSN]],表格2_7[],2,FALSE)</f>
        <v>30-4118-018-6XX</v>
      </c>
      <c r="I8426" t="str">
        <f>VLOOKUP(record[[#This Row],[ProcessSN]],表格2_7[],3,FALSE)</f>
        <v>#05</v>
      </c>
      <c r="J8426" t="s">
        <v>588</v>
      </c>
      <c r="K8426" s="195">
        <v>45869.977870370371</v>
      </c>
      <c r="L8426">
        <v>183</v>
      </c>
      <c r="M8426">
        <v>0</v>
      </c>
      <c r="N8426" s="98" t="str">
        <f>IF(record[[#This Row],[Memo]]="Browser:chrome os:android","平板報工",IF(record[[#This Row],[Memo]]=0,"委外",record[[#This Row],[Memo]]))</f>
        <v/>
      </c>
      <c r="O8426" t="s">
        <v>58</v>
      </c>
      <c r="P8426" t="s">
        <v>133</v>
      </c>
      <c r="Q8426" t="s">
        <v>58</v>
      </c>
      <c r="R8426" t="str">
        <f>IFERROR(VLOOKUP(record[[#This Row],[PCUSTID]],廠商[],2,FALSE),"")</f>
        <v/>
      </c>
      <c r="S8426" t="str">
        <f>VLOOKUP(record[[#This Row],[employeeID]],員工[],2,FALSE)</f>
        <v>黎長維</v>
      </c>
    </row>
    <row r="8427" spans="6:19" hidden="1" x14ac:dyDescent="0.25">
      <c r="F8427" t="s">
        <v>875</v>
      </c>
      <c r="G8427" t="s">
        <v>449</v>
      </c>
      <c r="H8427" t="str">
        <f>VLOOKUP(record[[#This Row],[ProcessSN]],表格2_7[],2,FALSE)</f>
        <v>30-4118-018-6XX</v>
      </c>
      <c r="I8427" t="str">
        <f>VLOOKUP(record[[#This Row],[ProcessSN]],表格2_7[],3,FALSE)</f>
        <v>#05</v>
      </c>
      <c r="J8427" t="s">
        <v>588</v>
      </c>
      <c r="K8427" s="195">
        <v>45869.813819444447</v>
      </c>
      <c r="L8427">
        <v>10</v>
      </c>
      <c r="M8427">
        <v>0</v>
      </c>
      <c r="N8427" s="98" t="str">
        <f>IF(record[[#This Row],[Memo]]="Browser:chrome os:android","平板報工",IF(record[[#This Row],[Memo]]=0,"委外",record[[#This Row],[Memo]]))</f>
        <v/>
      </c>
      <c r="O8427" t="s">
        <v>58</v>
      </c>
      <c r="P8427" t="s">
        <v>133</v>
      </c>
      <c r="Q8427" t="s">
        <v>58</v>
      </c>
      <c r="R8427" t="str">
        <f>IFERROR(VLOOKUP(record[[#This Row],[PCUSTID]],廠商[],2,FALSE),"")</f>
        <v/>
      </c>
      <c r="S8427" t="str">
        <f>VLOOKUP(record[[#This Row],[employeeID]],員工[],2,FALSE)</f>
        <v>黎長維</v>
      </c>
    </row>
    <row r="8428" spans="6:19" hidden="1" x14ac:dyDescent="0.25">
      <c r="F8428" t="s">
        <v>927</v>
      </c>
      <c r="G8428" t="s">
        <v>399</v>
      </c>
      <c r="H8428" t="str">
        <f>VLOOKUP(record[[#This Row],[ProcessSN]],表格2_7[],2,FALSE)</f>
        <v>30-4118-018-550</v>
      </c>
      <c r="I8428" t="str">
        <f>VLOOKUP(record[[#This Row],[ProcessSN]],表格2_7[],3,FALSE)</f>
        <v>#08IQC</v>
      </c>
      <c r="J8428" t="s">
        <v>583</v>
      </c>
      <c r="K8428" s="195">
        <v>45869.735011574077</v>
      </c>
      <c r="L8428">
        <v>321</v>
      </c>
      <c r="M8428">
        <v>0</v>
      </c>
      <c r="N8428" s="98" t="str">
        <f>IF(record[[#This Row],[Memo]]="Browser:chrome os:android","平板報工",IF(record[[#This Row],[Memo]]=0,"委外",record[[#This Row],[Memo]]))</f>
        <v/>
      </c>
      <c r="O8428" t="s">
        <v>58</v>
      </c>
      <c r="P8428" t="s">
        <v>172</v>
      </c>
      <c r="Q8428" t="s">
        <v>58</v>
      </c>
      <c r="R8428" t="str">
        <f>IFERROR(VLOOKUP(record[[#This Row],[PCUSTID]],廠商[],2,FALSE),"")</f>
        <v/>
      </c>
      <c r="S8428" t="str">
        <f>VLOOKUP(record[[#This Row],[employeeID]],員工[],2,FALSE)</f>
        <v>李采玲</v>
      </c>
    </row>
    <row r="8429" spans="6:19" hidden="1" x14ac:dyDescent="0.25">
      <c r="F8429" t="s">
        <v>875</v>
      </c>
      <c r="G8429" t="s">
        <v>449</v>
      </c>
      <c r="H8429" t="str">
        <f>VLOOKUP(record[[#This Row],[ProcessSN]],表格2_7[],2,FALSE)</f>
        <v>30-4118-018-6XX</v>
      </c>
      <c r="I8429" t="str">
        <f>VLOOKUP(record[[#This Row],[ProcessSN]],表格2_7[],3,FALSE)</f>
        <v>#05</v>
      </c>
      <c r="J8429" t="s">
        <v>588</v>
      </c>
      <c r="K8429" s="195">
        <v>45869.700231481482</v>
      </c>
      <c r="L8429">
        <v>110</v>
      </c>
      <c r="M8429">
        <v>0</v>
      </c>
      <c r="N8429" s="98" t="str">
        <f>IF(record[[#This Row],[Memo]]="Browser:chrome os:android","平板報工",IF(record[[#This Row],[Memo]]=0,"委外",record[[#This Row],[Memo]]))</f>
        <v/>
      </c>
      <c r="O8429" t="s">
        <v>58</v>
      </c>
      <c r="P8429" t="s">
        <v>101</v>
      </c>
      <c r="Q8429" t="s">
        <v>58</v>
      </c>
      <c r="R8429" t="str">
        <f>IFERROR(VLOOKUP(record[[#This Row],[PCUSTID]],廠商[],2,FALSE),"")</f>
        <v/>
      </c>
      <c r="S8429" t="str">
        <f>VLOOKUP(record[[#This Row],[employeeID]],員工[],2,FALSE)</f>
        <v>陳氏絨</v>
      </c>
    </row>
    <row r="8430" spans="6:19" hidden="1" x14ac:dyDescent="0.25">
      <c r="F8430" t="s">
        <v>900</v>
      </c>
      <c r="G8430" t="s">
        <v>450</v>
      </c>
      <c r="H8430" t="str">
        <f>VLOOKUP(record[[#This Row],[ProcessSN]],表格2_7[],2,FALSE)</f>
        <v>30-4118-018-6XX</v>
      </c>
      <c r="I8430" t="str">
        <f>VLOOKUP(record[[#This Row],[ProcessSN]],表格2_7[],3,FALSE)</f>
        <v>#06</v>
      </c>
      <c r="J8430" t="s">
        <v>593</v>
      </c>
      <c r="K8430" s="195">
        <v>45869.696574074071</v>
      </c>
      <c r="L8430">
        <v>65</v>
      </c>
      <c r="M8430">
        <v>0</v>
      </c>
      <c r="N8430" s="98" t="str">
        <f>IF(record[[#This Row],[Memo]]="Browser:chrome os:android","平板報工",IF(record[[#This Row],[Memo]]=0,"委外",record[[#This Row],[Memo]]))</f>
        <v/>
      </c>
      <c r="O8430" t="s">
        <v>58</v>
      </c>
      <c r="P8430" t="s">
        <v>101</v>
      </c>
      <c r="Q8430" t="s">
        <v>58</v>
      </c>
      <c r="R8430" t="str">
        <f>IFERROR(VLOOKUP(record[[#This Row],[PCUSTID]],廠商[],2,FALSE),"")</f>
        <v/>
      </c>
      <c r="S8430" t="str">
        <f>VLOOKUP(record[[#This Row],[employeeID]],員工[],2,FALSE)</f>
        <v>陳氏絨</v>
      </c>
    </row>
    <row r="8431" spans="6:19" hidden="1" x14ac:dyDescent="0.25">
      <c r="F8431" t="s">
        <v>900</v>
      </c>
      <c r="G8431" t="s">
        <v>448</v>
      </c>
      <c r="H8431" t="str">
        <f>VLOOKUP(record[[#This Row],[ProcessSN]],表格2_7[],2,FALSE)</f>
        <v>30-4118-018-6XX</v>
      </c>
      <c r="I8431" t="str">
        <f>VLOOKUP(record[[#This Row],[ProcessSN]],表格2_7[],3,FALSE)</f>
        <v>#04</v>
      </c>
      <c r="J8431" t="s">
        <v>588</v>
      </c>
      <c r="K8431" s="195">
        <v>45869.684687499997</v>
      </c>
      <c r="L8431">
        <v>120</v>
      </c>
      <c r="M8431">
        <v>0</v>
      </c>
      <c r="N8431" s="98" t="str">
        <f>IF(record[[#This Row],[Memo]]="Browser:chrome os:android","平板報工",IF(record[[#This Row],[Memo]]=0,"委外",record[[#This Row],[Memo]]))</f>
        <v/>
      </c>
      <c r="O8431" t="s">
        <v>58</v>
      </c>
      <c r="P8431" t="s">
        <v>101</v>
      </c>
      <c r="Q8431" t="s">
        <v>58</v>
      </c>
      <c r="R8431" t="str">
        <f>IFERROR(VLOOKUP(record[[#This Row],[PCUSTID]],廠商[],2,FALSE),"")</f>
        <v/>
      </c>
      <c r="S8431" t="str">
        <f>VLOOKUP(record[[#This Row],[employeeID]],員工[],2,FALSE)</f>
        <v>陳氏絨</v>
      </c>
    </row>
    <row r="8432" spans="6:19" hidden="1" x14ac:dyDescent="0.25">
      <c r="F8432" t="s">
        <v>927</v>
      </c>
      <c r="G8432" t="s">
        <v>398</v>
      </c>
      <c r="H8432" t="str">
        <f>VLOOKUP(record[[#This Row],[ProcessSN]],表格2_7[],2,FALSE)</f>
        <v>30-4118-018-550</v>
      </c>
      <c r="I8432" t="str">
        <f>VLOOKUP(record[[#This Row],[ProcessSN]],表格2_7[],3,FALSE)</f>
        <v>#08RCV</v>
      </c>
      <c r="J8432" t="s">
        <v>591</v>
      </c>
      <c r="K8432" s="195">
        <v>45869.657986111109</v>
      </c>
      <c r="L8432">
        <v>321</v>
      </c>
      <c r="M8432">
        <v>0</v>
      </c>
      <c r="N8432" s="98" t="str">
        <f>IF(record[[#This Row],[Memo]]="Browser:chrome os:android","平板報工",IF(record[[#This Row],[Memo]]=0,"委外",record[[#This Row],[Memo]]))</f>
        <v/>
      </c>
      <c r="O8432" t="s">
        <v>58</v>
      </c>
      <c r="P8432" t="s">
        <v>186</v>
      </c>
      <c r="Q8432" t="s">
        <v>58</v>
      </c>
      <c r="R8432" t="str">
        <f>IFERROR(VLOOKUP(record[[#This Row],[PCUSTID]],廠商[],2,FALSE),"")</f>
        <v/>
      </c>
      <c r="S8432" t="str">
        <f>VLOOKUP(record[[#This Row],[employeeID]],員工[],2,FALSE)</f>
        <v>許文姍</v>
      </c>
    </row>
    <row r="8433" spans="6:19" hidden="1" x14ac:dyDescent="0.25">
      <c r="F8433" t="s">
        <v>938</v>
      </c>
      <c r="G8433" t="s">
        <v>356</v>
      </c>
      <c r="H8433" t="str">
        <f>VLOOKUP(record[[#This Row],[ProcessSN]],表格2_7[],2,FALSE)</f>
        <v>30-4118-018-450</v>
      </c>
      <c r="I8433" t="str">
        <f>VLOOKUP(record[[#This Row],[ProcessSN]],表格2_7[],3,FALSE)</f>
        <v>#08</v>
      </c>
      <c r="J8433" t="s">
        <v>597</v>
      </c>
      <c r="K8433" s="195">
        <v>45869.625208333331</v>
      </c>
      <c r="L8433">
        <v>165</v>
      </c>
      <c r="M8433">
        <v>0</v>
      </c>
      <c r="N8433" s="98" t="str">
        <f>IF(record[[#This Row],[Memo]]="Browser:chrome os:android","平板報工",IF(record[[#This Row],[Memo]]=0,"委外",record[[#This Row],[Memo]]))</f>
        <v/>
      </c>
      <c r="O8433" t="s">
        <v>58</v>
      </c>
      <c r="P8433" t="s">
        <v>186</v>
      </c>
      <c r="Q8433" t="s">
        <v>287</v>
      </c>
      <c r="R8433" t="str">
        <f>IFERROR(VLOOKUP(record[[#This Row],[PCUSTID]],廠商[],2,FALSE),"")</f>
        <v>泉盛</v>
      </c>
      <c r="S8433" t="str">
        <f>VLOOKUP(record[[#This Row],[employeeID]],員工[],2,FALSE)</f>
        <v>許文姍</v>
      </c>
    </row>
    <row r="8434" spans="6:19" hidden="1" x14ac:dyDescent="0.25">
      <c r="F8434" t="s">
        <v>937</v>
      </c>
      <c r="G8434" t="s">
        <v>422</v>
      </c>
      <c r="H8434" t="str">
        <f>VLOOKUP(record[[#This Row],[ProcessSN]],表格2_7[],2,FALSE)</f>
        <v>30-4118-018-600</v>
      </c>
      <c r="I8434" t="str">
        <f>VLOOKUP(record[[#This Row],[ProcessSN]],表格2_7[],3,FALSE)</f>
        <v>#08</v>
      </c>
      <c r="J8434" t="s">
        <v>597</v>
      </c>
      <c r="K8434" s="195">
        <v>45869.624988425923</v>
      </c>
      <c r="L8434">
        <v>261</v>
      </c>
      <c r="M8434">
        <v>0</v>
      </c>
      <c r="N8434" s="98" t="str">
        <f>IF(record[[#This Row],[Memo]]="Browser:chrome os:android","平板報工",IF(record[[#This Row],[Memo]]=0,"委外",record[[#This Row],[Memo]]))</f>
        <v/>
      </c>
      <c r="O8434" t="s">
        <v>58</v>
      </c>
      <c r="P8434" t="s">
        <v>186</v>
      </c>
      <c r="Q8434" t="s">
        <v>287</v>
      </c>
      <c r="R8434" t="str">
        <f>IFERROR(VLOOKUP(record[[#This Row],[PCUSTID]],廠商[],2,FALSE),"")</f>
        <v>泉盛</v>
      </c>
      <c r="S8434" t="str">
        <f>VLOOKUP(record[[#This Row],[employeeID]],員工[],2,FALSE)</f>
        <v>許文姍</v>
      </c>
    </row>
    <row r="8435" spans="6:19" hidden="1" x14ac:dyDescent="0.25">
      <c r="F8435" t="s">
        <v>902</v>
      </c>
      <c r="G8435" t="s">
        <v>377</v>
      </c>
      <c r="H8435" t="str">
        <f>VLOOKUP(record[[#This Row],[ProcessSN]],表格2_7[],2,FALSE)</f>
        <v>30-4118-018-4XX</v>
      </c>
      <c r="I8435" t="str">
        <f>VLOOKUP(record[[#This Row],[ProcessSN]],表格2_7[],3,FALSE)</f>
        <v>#07</v>
      </c>
      <c r="J8435" t="s">
        <v>588</v>
      </c>
      <c r="K8435" s="195">
        <v>45869.609155092592</v>
      </c>
      <c r="L8435">
        <v>117</v>
      </c>
      <c r="M8435">
        <v>0</v>
      </c>
      <c r="N8435" s="98" t="str">
        <f>IF(record[[#This Row],[Memo]]="Browser:chrome os:android","平板報工",IF(record[[#This Row],[Memo]]=0,"委外",record[[#This Row],[Memo]]))</f>
        <v/>
      </c>
      <c r="O8435" t="s">
        <v>58</v>
      </c>
      <c r="P8435" t="s">
        <v>101</v>
      </c>
      <c r="Q8435" t="s">
        <v>58</v>
      </c>
      <c r="R8435" t="str">
        <f>IFERROR(VLOOKUP(record[[#This Row],[PCUSTID]],廠商[],2,FALSE),"")</f>
        <v/>
      </c>
      <c r="S8435" t="str">
        <f>VLOOKUP(record[[#This Row],[employeeID]],員工[],2,FALSE)</f>
        <v>陳氏絨</v>
      </c>
    </row>
    <row r="8436" spans="6:19" hidden="1" x14ac:dyDescent="0.25">
      <c r="F8436" t="s">
        <v>875</v>
      </c>
      <c r="G8436" t="s">
        <v>453</v>
      </c>
      <c r="H8436" t="str">
        <f>VLOOKUP(record[[#This Row],[ProcessSN]],表格2_7[],2,FALSE)</f>
        <v>30-4118-018-6XX</v>
      </c>
      <c r="I8436" t="str">
        <f>VLOOKUP(record[[#This Row],[ProcessSN]],表格2_7[],3,FALSE)</f>
        <v>#07STOCK</v>
      </c>
      <c r="J8436" t="s">
        <v>592</v>
      </c>
      <c r="K8436" s="195">
        <v>45869.590162037035</v>
      </c>
      <c r="L8436">
        <v>261</v>
      </c>
      <c r="M8436">
        <v>0</v>
      </c>
      <c r="N8436" s="98" t="str">
        <f>IF(record[[#This Row],[Memo]]="Browser:chrome os:android","平板報工",IF(record[[#This Row],[Memo]]=0,"委外",record[[#This Row],[Memo]]))</f>
        <v/>
      </c>
      <c r="O8436" t="s">
        <v>58</v>
      </c>
      <c r="P8436" t="s">
        <v>65</v>
      </c>
      <c r="Q8436" t="s">
        <v>58</v>
      </c>
      <c r="R8436" t="str">
        <f>IFERROR(VLOOKUP(record[[#This Row],[PCUSTID]],廠商[],2,FALSE),"")</f>
        <v/>
      </c>
      <c r="S8436" t="str">
        <f>VLOOKUP(record[[#This Row],[employeeID]],員工[],2,FALSE)</f>
        <v>蘇進昌</v>
      </c>
    </row>
    <row r="8437" spans="6:19" hidden="1" x14ac:dyDescent="0.25">
      <c r="F8437" t="s">
        <v>875</v>
      </c>
      <c r="G8437" t="s">
        <v>452</v>
      </c>
      <c r="H8437" t="str">
        <f>VLOOKUP(record[[#This Row],[ProcessSN]],表格2_7[],2,FALSE)</f>
        <v>30-4118-018-6XX</v>
      </c>
      <c r="I8437" t="str">
        <f>VLOOKUP(record[[#This Row],[ProcessSN]],表格2_7[],3,FALSE)</f>
        <v>#07QC</v>
      </c>
      <c r="J8437" t="s">
        <v>589</v>
      </c>
      <c r="K8437" s="195">
        <v>45869.589398148149</v>
      </c>
      <c r="L8437">
        <v>261</v>
      </c>
      <c r="M8437">
        <v>0</v>
      </c>
      <c r="N8437" s="98" t="str">
        <f>IF(record[[#This Row],[Memo]]="Browser:chrome os:android","平板報工",IF(record[[#This Row],[Memo]]=0,"委外",record[[#This Row],[Memo]]))</f>
        <v>平板報工</v>
      </c>
      <c r="O8437" t="s">
        <v>643</v>
      </c>
      <c r="P8437" t="s">
        <v>99</v>
      </c>
      <c r="Q8437" t="s">
        <v>644</v>
      </c>
      <c r="R8437" t="str">
        <f>IFERROR(VLOOKUP(record[[#This Row],[PCUSTID]],廠商[],2,FALSE),"")</f>
        <v/>
      </c>
      <c r="S8437" t="str">
        <f>VLOOKUP(record[[#This Row],[employeeID]],員工[],2,FALSE)</f>
        <v>阮氏河</v>
      </c>
    </row>
    <row r="8438" spans="6:19" hidden="1" x14ac:dyDescent="0.25">
      <c r="F8438" t="s">
        <v>902</v>
      </c>
      <c r="G8438" t="s">
        <v>379</v>
      </c>
      <c r="H8438" t="str">
        <f>VLOOKUP(record[[#This Row],[ProcessSN]],表格2_7[],2,FALSE)</f>
        <v>30-4118-018-4XX</v>
      </c>
      <c r="I8438" t="str">
        <f>VLOOKUP(record[[#This Row],[ProcessSN]],表格2_7[],3,FALSE)</f>
        <v>#07STOCK</v>
      </c>
      <c r="J8438" t="s">
        <v>592</v>
      </c>
      <c r="K8438" s="195">
        <v>45869.588368055556</v>
      </c>
      <c r="L8438">
        <v>165</v>
      </c>
      <c r="M8438">
        <v>0</v>
      </c>
      <c r="N8438" s="98" t="str">
        <f>IF(record[[#This Row],[Memo]]="Browser:chrome os:android","平板報工",IF(record[[#This Row],[Memo]]=0,"委外",record[[#This Row],[Memo]]))</f>
        <v/>
      </c>
      <c r="O8438" t="s">
        <v>58</v>
      </c>
      <c r="P8438" t="s">
        <v>65</v>
      </c>
      <c r="Q8438" t="s">
        <v>58</v>
      </c>
      <c r="R8438" t="str">
        <f>IFERROR(VLOOKUP(record[[#This Row],[PCUSTID]],廠商[],2,FALSE),"")</f>
        <v/>
      </c>
      <c r="S8438" t="str">
        <f>VLOOKUP(record[[#This Row],[employeeID]],員工[],2,FALSE)</f>
        <v>蘇進昌</v>
      </c>
    </row>
    <row r="8439" spans="6:19" hidden="1" x14ac:dyDescent="0.25">
      <c r="F8439" t="s">
        <v>938</v>
      </c>
      <c r="G8439" t="s">
        <v>355</v>
      </c>
      <c r="H8439" t="str">
        <f>VLOOKUP(record[[#This Row],[ProcessSN]],表格2_7[],2,FALSE)</f>
        <v>30-4118-018-450</v>
      </c>
      <c r="I8439" t="str">
        <f>VLOOKUP(record[[#This Row],[ProcessSN]],表格2_7[],3,FALSE)</f>
        <v>#08PICK</v>
      </c>
      <c r="J8439" t="s">
        <v>582</v>
      </c>
      <c r="K8439" s="195">
        <v>45869.587870370371</v>
      </c>
      <c r="L8439">
        <v>165</v>
      </c>
      <c r="M8439">
        <v>0</v>
      </c>
      <c r="N8439" s="98" t="str">
        <f>IF(record[[#This Row],[Memo]]="Browser:chrome os:android","平板報工",IF(record[[#This Row],[Memo]]=0,"委外",record[[#This Row],[Memo]]))</f>
        <v/>
      </c>
      <c r="O8439" t="s">
        <v>58</v>
      </c>
      <c r="P8439" t="s">
        <v>65</v>
      </c>
      <c r="Q8439" t="s">
        <v>58</v>
      </c>
      <c r="R8439" t="str">
        <f>IFERROR(VLOOKUP(record[[#This Row],[PCUSTID]],廠商[],2,FALSE),"")</f>
        <v/>
      </c>
      <c r="S8439" t="str">
        <f>VLOOKUP(record[[#This Row],[employeeID]],員工[],2,FALSE)</f>
        <v>蘇進昌</v>
      </c>
    </row>
    <row r="8440" spans="6:19" hidden="1" x14ac:dyDescent="0.25">
      <c r="F8440" t="s">
        <v>937</v>
      </c>
      <c r="G8440" t="s">
        <v>421</v>
      </c>
      <c r="H8440" t="str">
        <f>VLOOKUP(record[[#This Row],[ProcessSN]],表格2_7[],2,FALSE)</f>
        <v>30-4118-018-600</v>
      </c>
      <c r="I8440" t="str">
        <f>VLOOKUP(record[[#This Row],[ProcessSN]],表格2_7[],3,FALSE)</f>
        <v>#08PICK</v>
      </c>
      <c r="J8440" t="s">
        <v>582</v>
      </c>
      <c r="K8440" s="195">
        <v>45869.587824074071</v>
      </c>
      <c r="L8440">
        <v>261</v>
      </c>
      <c r="M8440">
        <v>0</v>
      </c>
      <c r="N8440" s="98" t="str">
        <f>IF(record[[#This Row],[Memo]]="Browser:chrome os:android","平板報工",IF(record[[#This Row],[Memo]]=0,"委外",record[[#This Row],[Memo]]))</f>
        <v/>
      </c>
      <c r="O8440" t="s">
        <v>58</v>
      </c>
      <c r="P8440" t="s">
        <v>65</v>
      </c>
      <c r="Q8440" t="s">
        <v>58</v>
      </c>
      <c r="R8440" t="str">
        <f>IFERROR(VLOOKUP(record[[#This Row],[PCUSTID]],廠商[],2,FALSE),"")</f>
        <v/>
      </c>
      <c r="S8440" t="str">
        <f>VLOOKUP(record[[#This Row],[employeeID]],員工[],2,FALSE)</f>
        <v>蘇進昌</v>
      </c>
    </row>
    <row r="8441" spans="6:19" hidden="1" x14ac:dyDescent="0.25">
      <c r="F8441" t="s">
        <v>875</v>
      </c>
      <c r="G8441" t="s">
        <v>451</v>
      </c>
      <c r="H8441" t="str">
        <f>VLOOKUP(record[[#This Row],[ProcessSN]],表格2_7[],2,FALSE)</f>
        <v>30-4118-018-6XX</v>
      </c>
      <c r="I8441" t="str">
        <f>VLOOKUP(record[[#This Row],[ProcessSN]],表格2_7[],3,FALSE)</f>
        <v>#07</v>
      </c>
      <c r="J8441" t="s">
        <v>588</v>
      </c>
      <c r="K8441" s="195">
        <v>45869.585219907407</v>
      </c>
      <c r="L8441">
        <v>63</v>
      </c>
      <c r="M8441">
        <v>0</v>
      </c>
      <c r="N8441" s="98" t="str">
        <f>IF(record[[#This Row],[Memo]]="Browser:chrome os:android","平板報工",IF(record[[#This Row],[Memo]]=0,"委外",record[[#This Row],[Memo]]))</f>
        <v>產線漏報工</v>
      </c>
      <c r="O8441" t="s">
        <v>936</v>
      </c>
      <c r="P8441" t="s">
        <v>65</v>
      </c>
      <c r="Q8441" t="s">
        <v>58</v>
      </c>
      <c r="R8441" t="str">
        <f>IFERROR(VLOOKUP(record[[#This Row],[PCUSTID]],廠商[],2,FALSE),"")</f>
        <v/>
      </c>
      <c r="S8441" t="str">
        <f>VLOOKUP(record[[#This Row],[employeeID]],員工[],2,FALSE)</f>
        <v>蘇進昌</v>
      </c>
    </row>
    <row r="8442" spans="6:19" hidden="1" x14ac:dyDescent="0.25">
      <c r="F8442" t="s">
        <v>875</v>
      </c>
      <c r="G8442" t="s">
        <v>450</v>
      </c>
      <c r="H8442" t="str">
        <f>VLOOKUP(record[[#This Row],[ProcessSN]],表格2_7[],2,FALSE)</f>
        <v>30-4118-018-6XX</v>
      </c>
      <c r="I8442" t="str">
        <f>VLOOKUP(record[[#This Row],[ProcessSN]],表格2_7[],3,FALSE)</f>
        <v>#06</v>
      </c>
      <c r="J8442" t="s">
        <v>593</v>
      </c>
      <c r="K8442" s="195">
        <v>45869.585115740738</v>
      </c>
      <c r="L8442">
        <v>63</v>
      </c>
      <c r="M8442">
        <v>0</v>
      </c>
      <c r="N8442" s="98" t="str">
        <f>IF(record[[#This Row],[Memo]]="Browser:chrome os:android","平板報工",IF(record[[#This Row],[Memo]]=0,"委外",record[[#This Row],[Memo]]))</f>
        <v>產線漏報工</v>
      </c>
      <c r="O8442" t="s">
        <v>936</v>
      </c>
      <c r="P8442" t="s">
        <v>65</v>
      </c>
      <c r="Q8442" t="s">
        <v>58</v>
      </c>
      <c r="R8442" t="str">
        <f>IFERROR(VLOOKUP(record[[#This Row],[PCUSTID]],廠商[],2,FALSE),"")</f>
        <v/>
      </c>
      <c r="S8442" t="str">
        <f>VLOOKUP(record[[#This Row],[employeeID]],員工[],2,FALSE)</f>
        <v>蘇進昌</v>
      </c>
    </row>
    <row r="8443" spans="6:19" hidden="1" x14ac:dyDescent="0.25">
      <c r="F8443" t="s">
        <v>875</v>
      </c>
      <c r="G8443" t="s">
        <v>449</v>
      </c>
      <c r="H8443" t="str">
        <f>VLOOKUP(record[[#This Row],[ProcessSN]],表格2_7[],2,FALSE)</f>
        <v>30-4118-018-6XX</v>
      </c>
      <c r="I8443" t="str">
        <f>VLOOKUP(record[[#This Row],[ProcessSN]],表格2_7[],3,FALSE)</f>
        <v>#05</v>
      </c>
      <c r="J8443" t="s">
        <v>588</v>
      </c>
      <c r="K8443" s="195">
        <v>45869.584953703707</v>
      </c>
      <c r="L8443">
        <v>63</v>
      </c>
      <c r="M8443">
        <v>0</v>
      </c>
      <c r="N8443" s="98" t="str">
        <f>IF(record[[#This Row],[Memo]]="Browser:chrome os:android","平板報工",IF(record[[#This Row],[Memo]]=0,"委外",record[[#This Row],[Memo]]))</f>
        <v>產線漏報工</v>
      </c>
      <c r="O8443" t="s">
        <v>936</v>
      </c>
      <c r="P8443" t="s">
        <v>65</v>
      </c>
      <c r="Q8443" t="s">
        <v>58</v>
      </c>
      <c r="R8443" t="str">
        <f>IFERROR(VLOOKUP(record[[#This Row],[PCUSTID]],廠商[],2,FALSE),"")</f>
        <v/>
      </c>
      <c r="S8443" t="str">
        <f>VLOOKUP(record[[#This Row],[employeeID]],員工[],2,FALSE)</f>
        <v>蘇進昌</v>
      </c>
    </row>
    <row r="8444" spans="6:19" hidden="1" x14ac:dyDescent="0.25">
      <c r="F8444" t="s">
        <v>902</v>
      </c>
      <c r="G8444" t="s">
        <v>376</v>
      </c>
      <c r="H8444" t="str">
        <f>VLOOKUP(record[[#This Row],[ProcessSN]],表格2_7[],2,FALSE)</f>
        <v>30-4118-018-4XX</v>
      </c>
      <c r="I8444" t="str">
        <f>VLOOKUP(record[[#This Row],[ProcessSN]],表格2_7[],3,FALSE)</f>
        <v>#06</v>
      </c>
      <c r="J8444" t="s">
        <v>593</v>
      </c>
      <c r="K8444" s="195">
        <v>45869.484560185185</v>
      </c>
      <c r="L8444">
        <v>56</v>
      </c>
      <c r="M8444">
        <v>0</v>
      </c>
      <c r="N8444" s="98" t="str">
        <f>IF(record[[#This Row],[Memo]]="Browser:chrome os:android","平板報工",IF(record[[#This Row],[Memo]]=0,"委外",record[[#This Row],[Memo]]))</f>
        <v/>
      </c>
      <c r="O8444" t="s">
        <v>58</v>
      </c>
      <c r="P8444" t="s">
        <v>101</v>
      </c>
      <c r="Q8444" t="s">
        <v>58</v>
      </c>
      <c r="R8444" t="str">
        <f>IFERROR(VLOOKUP(record[[#This Row],[PCUSTID]],廠商[],2,FALSE),"")</f>
        <v/>
      </c>
      <c r="S8444" t="str">
        <f>VLOOKUP(record[[#This Row],[employeeID]],員工[],2,FALSE)</f>
        <v>陳氏絨</v>
      </c>
    </row>
    <row r="8445" spans="6:19" hidden="1" x14ac:dyDescent="0.25">
      <c r="F8445" t="s">
        <v>900</v>
      </c>
      <c r="G8445" t="s">
        <v>449</v>
      </c>
      <c r="H8445" t="str">
        <f>VLOOKUP(record[[#This Row],[ProcessSN]],表格2_7[],2,FALSE)</f>
        <v>30-4118-018-6XX</v>
      </c>
      <c r="I8445" t="str">
        <f>VLOOKUP(record[[#This Row],[ProcessSN]],表格2_7[],3,FALSE)</f>
        <v>#05</v>
      </c>
      <c r="J8445" t="s">
        <v>588</v>
      </c>
      <c r="K8445" s="195">
        <v>45869.483634259261</v>
      </c>
      <c r="L8445">
        <v>96</v>
      </c>
      <c r="M8445">
        <v>0</v>
      </c>
      <c r="N8445" s="98" t="str">
        <f>IF(record[[#This Row],[Memo]]="Browser:chrome os:android","平板報工",IF(record[[#This Row],[Memo]]=0,"委外",record[[#This Row],[Memo]]))</f>
        <v/>
      </c>
      <c r="O8445" t="s">
        <v>58</v>
      </c>
      <c r="P8445" t="s">
        <v>101</v>
      </c>
      <c r="Q8445" t="s">
        <v>58</v>
      </c>
      <c r="R8445" t="str">
        <f>IFERROR(VLOOKUP(record[[#This Row],[PCUSTID]],廠商[],2,FALSE),"")</f>
        <v/>
      </c>
      <c r="S8445" t="str">
        <f>VLOOKUP(record[[#This Row],[employeeID]],員工[],2,FALSE)</f>
        <v>陳氏絨</v>
      </c>
    </row>
    <row r="8446" spans="6:19" hidden="1" x14ac:dyDescent="0.25">
      <c r="F8446" t="s">
        <v>875</v>
      </c>
      <c r="G8446" t="s">
        <v>452</v>
      </c>
      <c r="H8446" t="str">
        <f>VLOOKUP(record[[#This Row],[ProcessSN]],表格2_7[],2,FALSE)</f>
        <v>30-4118-018-6XX</v>
      </c>
      <c r="I8446" t="str">
        <f>VLOOKUP(record[[#This Row],[ProcessSN]],表格2_7[],3,FALSE)</f>
        <v>#07QC</v>
      </c>
      <c r="J8446" t="s">
        <v>589</v>
      </c>
      <c r="K8446" s="195">
        <v>45869.445856481485</v>
      </c>
      <c r="L8446">
        <v>0</v>
      </c>
      <c r="M8446">
        <v>1</v>
      </c>
      <c r="N8446" s="98" t="str">
        <f>IF(record[[#This Row],[Memo]]="Browser:chrome os:android","平板報工",IF(record[[#This Row],[Memo]]=0,"委外",record[[#This Row],[Memo]]))</f>
        <v>平板報工</v>
      </c>
      <c r="O8446" t="s">
        <v>643</v>
      </c>
      <c r="P8446" t="s">
        <v>99</v>
      </c>
      <c r="Q8446" t="s">
        <v>644</v>
      </c>
      <c r="R8446" t="str">
        <f>IFERROR(VLOOKUP(record[[#This Row],[PCUSTID]],廠商[],2,FALSE),"")</f>
        <v/>
      </c>
      <c r="S8446" t="str">
        <f>VLOOKUP(record[[#This Row],[employeeID]],員工[],2,FALSE)</f>
        <v>阮氏河</v>
      </c>
    </row>
    <row r="8447" spans="6:19" hidden="1" x14ac:dyDescent="0.25">
      <c r="F8447" t="s">
        <v>902</v>
      </c>
      <c r="G8447" t="s">
        <v>378</v>
      </c>
      <c r="H8447" t="str">
        <f>VLOOKUP(record[[#This Row],[ProcessSN]],表格2_7[],2,FALSE)</f>
        <v>30-4118-018-4XX</v>
      </c>
      <c r="I8447" t="str">
        <f>VLOOKUP(record[[#This Row],[ProcessSN]],表格2_7[],3,FALSE)</f>
        <v>#07QC</v>
      </c>
      <c r="J8447" t="s">
        <v>589</v>
      </c>
      <c r="K8447" s="195">
        <v>45869.445613425924</v>
      </c>
      <c r="L8447">
        <v>165</v>
      </c>
      <c r="M8447">
        <v>0</v>
      </c>
      <c r="N8447" s="98" t="str">
        <f>IF(record[[#This Row],[Memo]]="Browser:chrome os:android","平板報工",IF(record[[#This Row],[Memo]]=0,"委外",record[[#This Row],[Memo]]))</f>
        <v>平板報工</v>
      </c>
      <c r="O8447" t="s">
        <v>643</v>
      </c>
      <c r="P8447" t="s">
        <v>99</v>
      </c>
      <c r="Q8447" t="s">
        <v>644</v>
      </c>
      <c r="R8447" t="str">
        <f>IFERROR(VLOOKUP(record[[#This Row],[PCUSTID]],廠商[],2,FALSE),"")</f>
        <v/>
      </c>
      <c r="S8447" t="str">
        <f>VLOOKUP(record[[#This Row],[employeeID]],員工[],2,FALSE)</f>
        <v>阮氏河</v>
      </c>
    </row>
    <row r="8448" spans="6:19" hidden="1" x14ac:dyDescent="0.25">
      <c r="F8448" t="s">
        <v>917</v>
      </c>
      <c r="G8448" t="s">
        <v>403</v>
      </c>
      <c r="H8448" t="str">
        <f>VLOOKUP(record[[#This Row],[ProcessSN]],表格2_7[],2,FALSE)</f>
        <v>30-4118-018-550</v>
      </c>
      <c r="I8448" t="str">
        <f>VLOOKUP(record[[#This Row],[ProcessSN]],表格2_7[],3,FALSE)</f>
        <v>#100SHIP</v>
      </c>
      <c r="J8448" t="s">
        <v>600</v>
      </c>
      <c r="K8448" s="195">
        <v>45869.442627314813</v>
      </c>
      <c r="L8448">
        <v>29</v>
      </c>
      <c r="M8448">
        <v>0</v>
      </c>
      <c r="N8448" s="98" t="str">
        <f>IF(record[[#This Row],[Memo]]="Browser:chrome os:android","平板報工",IF(record[[#This Row],[Memo]]=0,"委外",record[[#This Row],[Memo]]))</f>
        <v/>
      </c>
      <c r="O8448" t="s">
        <v>58</v>
      </c>
      <c r="P8448" t="s">
        <v>886</v>
      </c>
      <c r="Q8448" t="s">
        <v>58</v>
      </c>
      <c r="R8448" t="str">
        <f>IFERROR(VLOOKUP(record[[#This Row],[PCUSTID]],廠商[],2,FALSE),"")</f>
        <v/>
      </c>
      <c r="S8448" t="str">
        <f>VLOOKUP(record[[#This Row],[employeeID]],員工[],2,FALSE)</f>
        <v>謝蓁薰</v>
      </c>
    </row>
    <row r="8449" spans="6:19" hidden="1" x14ac:dyDescent="0.25">
      <c r="F8449" t="s">
        <v>917</v>
      </c>
      <c r="G8449" t="s">
        <v>402</v>
      </c>
      <c r="H8449" t="str">
        <f>VLOOKUP(record[[#This Row],[ProcessSN]],表格2_7[],2,FALSE)</f>
        <v>30-4118-018-550</v>
      </c>
      <c r="I8449" t="str">
        <f>VLOOKUP(record[[#This Row],[ProcessSN]],表格2_7[],3,FALSE)</f>
        <v>#100STOCK</v>
      </c>
      <c r="J8449" t="s">
        <v>592</v>
      </c>
      <c r="K8449" s="195">
        <v>45869.442465277774</v>
      </c>
      <c r="L8449">
        <v>29</v>
      </c>
      <c r="M8449">
        <v>0</v>
      </c>
      <c r="N8449" s="98" t="str">
        <f>IF(record[[#This Row],[Memo]]="Browser:chrome os:android","平板報工",IF(record[[#This Row],[Memo]]=0,"委外",record[[#This Row],[Memo]]))</f>
        <v/>
      </c>
      <c r="O8449" t="s">
        <v>58</v>
      </c>
      <c r="P8449" t="s">
        <v>886</v>
      </c>
      <c r="Q8449" t="s">
        <v>58</v>
      </c>
      <c r="R8449" t="str">
        <f>IFERROR(VLOOKUP(record[[#This Row],[PCUSTID]],廠商[],2,FALSE),"")</f>
        <v/>
      </c>
      <c r="S8449" t="str">
        <f>VLOOKUP(record[[#This Row],[employeeID]],員工[],2,FALSE)</f>
        <v>謝蓁薰</v>
      </c>
    </row>
    <row r="8450" spans="6:19" hidden="1" x14ac:dyDescent="0.25">
      <c r="F8450" t="s">
        <v>914</v>
      </c>
      <c r="G8450" t="s">
        <v>403</v>
      </c>
      <c r="H8450" t="str">
        <f>VLOOKUP(record[[#This Row],[ProcessSN]],表格2_7[],2,FALSE)</f>
        <v>30-4118-018-550</v>
      </c>
      <c r="I8450" t="str">
        <f>VLOOKUP(record[[#This Row],[ProcessSN]],表格2_7[],3,FALSE)</f>
        <v>#100SHIP</v>
      </c>
      <c r="J8450" t="s">
        <v>600</v>
      </c>
      <c r="K8450" s="195">
        <v>45869.44226851852</v>
      </c>
      <c r="L8450">
        <v>38</v>
      </c>
      <c r="M8450">
        <v>0</v>
      </c>
      <c r="N8450" s="98" t="str">
        <f>IF(record[[#This Row],[Memo]]="Browser:chrome os:android","平板報工",IF(record[[#This Row],[Memo]]=0,"委外",record[[#This Row],[Memo]]))</f>
        <v/>
      </c>
      <c r="O8450" t="s">
        <v>58</v>
      </c>
      <c r="P8450" t="s">
        <v>886</v>
      </c>
      <c r="Q8450" t="s">
        <v>58</v>
      </c>
      <c r="R8450" t="str">
        <f>IFERROR(VLOOKUP(record[[#This Row],[PCUSTID]],廠商[],2,FALSE),"")</f>
        <v/>
      </c>
      <c r="S8450" t="str">
        <f>VLOOKUP(record[[#This Row],[employeeID]],員工[],2,FALSE)</f>
        <v>謝蓁薰</v>
      </c>
    </row>
    <row r="8451" spans="6:19" hidden="1" x14ac:dyDescent="0.25">
      <c r="F8451" t="s">
        <v>893</v>
      </c>
      <c r="G8451" t="s">
        <v>428</v>
      </c>
      <c r="H8451" t="str">
        <f>VLOOKUP(record[[#This Row],[ProcessSN]],表格2_7[],2,FALSE)</f>
        <v>30-4118-018-600</v>
      </c>
      <c r="I8451" t="str">
        <f>VLOOKUP(record[[#This Row],[ProcessSN]],表格2_7[],3,FALSE)</f>
        <v>#100SHIP</v>
      </c>
      <c r="J8451" t="s">
        <v>600</v>
      </c>
      <c r="K8451" s="195">
        <v>45869.440752314818</v>
      </c>
      <c r="L8451">
        <v>117</v>
      </c>
      <c r="M8451">
        <v>0</v>
      </c>
      <c r="N8451" s="98" t="str">
        <f>IF(record[[#This Row],[Memo]]="Browser:chrome os:android","平板報工",IF(record[[#This Row],[Memo]]=0,"委外",record[[#This Row],[Memo]]))</f>
        <v/>
      </c>
      <c r="O8451" t="s">
        <v>58</v>
      </c>
      <c r="P8451" t="s">
        <v>886</v>
      </c>
      <c r="Q8451" t="s">
        <v>58</v>
      </c>
      <c r="R8451" t="str">
        <f>IFERROR(VLOOKUP(record[[#This Row],[PCUSTID]],廠商[],2,FALSE),"")</f>
        <v/>
      </c>
      <c r="S8451" t="str">
        <f>VLOOKUP(record[[#This Row],[employeeID]],員工[],2,FALSE)</f>
        <v>謝蓁薰</v>
      </c>
    </row>
    <row r="8452" spans="6:19" hidden="1" x14ac:dyDescent="0.25">
      <c r="F8452" t="s">
        <v>893</v>
      </c>
      <c r="G8452" t="s">
        <v>427</v>
      </c>
      <c r="H8452" t="str">
        <f>VLOOKUP(record[[#This Row],[ProcessSN]],表格2_7[],2,FALSE)</f>
        <v>30-4118-018-600</v>
      </c>
      <c r="I8452" t="str">
        <f>VLOOKUP(record[[#This Row],[ProcessSN]],表格2_7[],3,FALSE)</f>
        <v>#100STOCK</v>
      </c>
      <c r="J8452" t="s">
        <v>592</v>
      </c>
      <c r="K8452" s="195">
        <v>45869.440648148149</v>
      </c>
      <c r="L8452">
        <v>117</v>
      </c>
      <c r="M8452">
        <v>0</v>
      </c>
      <c r="N8452" s="98" t="str">
        <f>IF(record[[#This Row],[Memo]]="Browser:chrome os:android","平板報工",IF(record[[#This Row],[Memo]]=0,"委外",record[[#This Row],[Memo]]))</f>
        <v/>
      </c>
      <c r="O8452" t="s">
        <v>58</v>
      </c>
      <c r="P8452" t="s">
        <v>886</v>
      </c>
      <c r="Q8452" t="s">
        <v>58</v>
      </c>
      <c r="R8452" t="str">
        <f>IFERROR(VLOOKUP(record[[#This Row],[PCUSTID]],廠商[],2,FALSE),"")</f>
        <v/>
      </c>
      <c r="S8452" t="str">
        <f>VLOOKUP(record[[#This Row],[employeeID]],員工[],2,FALSE)</f>
        <v>謝蓁薰</v>
      </c>
    </row>
    <row r="8453" spans="6:19" hidden="1" x14ac:dyDescent="0.25">
      <c r="F8453" t="s">
        <v>890</v>
      </c>
      <c r="G8453" t="s">
        <v>428</v>
      </c>
      <c r="H8453" t="str">
        <f>VLOOKUP(record[[#This Row],[ProcessSN]],表格2_7[],2,FALSE)</f>
        <v>30-4118-018-600</v>
      </c>
      <c r="I8453" t="str">
        <f>VLOOKUP(record[[#This Row],[ProcessSN]],表格2_7[],3,FALSE)</f>
        <v>#100SHIP</v>
      </c>
      <c r="J8453" t="s">
        <v>600</v>
      </c>
      <c r="K8453" s="195">
        <v>45869.440439814818</v>
      </c>
      <c r="L8453">
        <v>37</v>
      </c>
      <c r="M8453">
        <v>0</v>
      </c>
      <c r="N8453" s="98" t="str">
        <f>IF(record[[#This Row],[Memo]]="Browser:chrome os:android","平板報工",IF(record[[#This Row],[Memo]]=0,"委外",record[[#This Row],[Memo]]))</f>
        <v/>
      </c>
      <c r="O8453" t="s">
        <v>58</v>
      </c>
      <c r="P8453" t="s">
        <v>886</v>
      </c>
      <c r="Q8453" t="s">
        <v>58</v>
      </c>
      <c r="R8453" t="str">
        <f>IFERROR(VLOOKUP(record[[#This Row],[PCUSTID]],廠商[],2,FALSE),"")</f>
        <v/>
      </c>
      <c r="S8453" t="str">
        <f>VLOOKUP(record[[#This Row],[employeeID]],員工[],2,FALSE)</f>
        <v>謝蓁薰</v>
      </c>
    </row>
    <row r="8454" spans="6:19" hidden="1" x14ac:dyDescent="0.25">
      <c r="F8454" t="s">
        <v>683</v>
      </c>
      <c r="G8454" t="s">
        <v>362</v>
      </c>
      <c r="H8454" t="str">
        <f>VLOOKUP(record[[#This Row],[ProcessSN]],表格2_7[],2,FALSE)</f>
        <v>30-4118-018-450</v>
      </c>
      <c r="I8454" t="str">
        <f>VLOOKUP(record[[#This Row],[ProcessSN]],表格2_7[],3,FALSE)</f>
        <v>#100SHIP</v>
      </c>
      <c r="J8454" t="s">
        <v>600</v>
      </c>
      <c r="K8454" s="195">
        <v>45869.44027777778</v>
      </c>
      <c r="L8454">
        <v>141</v>
      </c>
      <c r="M8454">
        <v>0</v>
      </c>
      <c r="N8454" s="98" t="str">
        <f>IF(record[[#This Row],[Memo]]="Browser:chrome os:android","平板報工",IF(record[[#This Row],[Memo]]=0,"委外",record[[#This Row],[Memo]]))</f>
        <v/>
      </c>
      <c r="O8454" t="s">
        <v>58</v>
      </c>
      <c r="P8454" t="s">
        <v>886</v>
      </c>
      <c r="Q8454" t="s">
        <v>58</v>
      </c>
      <c r="R8454" t="str">
        <f>IFERROR(VLOOKUP(record[[#This Row],[PCUSTID]],廠商[],2,FALSE),"")</f>
        <v/>
      </c>
      <c r="S8454" t="str">
        <f>VLOOKUP(record[[#This Row],[employeeID]],員工[],2,FALSE)</f>
        <v>謝蓁薰</v>
      </c>
    </row>
    <row r="8455" spans="6:19" hidden="1" x14ac:dyDescent="0.25">
      <c r="F8455" t="s">
        <v>902</v>
      </c>
      <c r="G8455" t="s">
        <v>376</v>
      </c>
      <c r="H8455" t="str">
        <f>VLOOKUP(record[[#This Row],[ProcessSN]],表格2_7[],2,FALSE)</f>
        <v>30-4118-018-4XX</v>
      </c>
      <c r="I8455" t="str">
        <f>VLOOKUP(record[[#This Row],[ProcessSN]],表格2_7[],3,FALSE)</f>
        <v>#06</v>
      </c>
      <c r="J8455" t="s">
        <v>593</v>
      </c>
      <c r="K8455" s="195">
        <v>45869.308703703704</v>
      </c>
      <c r="L8455">
        <v>80</v>
      </c>
      <c r="M8455">
        <v>0</v>
      </c>
      <c r="N8455" s="98" t="str">
        <f>IF(record[[#This Row],[Memo]]="Browser:chrome os:android","平板報工",IF(record[[#This Row],[Memo]]=0,"委外",record[[#This Row],[Memo]]))</f>
        <v/>
      </c>
      <c r="O8455" t="s">
        <v>58</v>
      </c>
      <c r="P8455" t="s">
        <v>135</v>
      </c>
      <c r="Q8455" t="s">
        <v>58</v>
      </c>
      <c r="R8455" t="str">
        <f>IFERROR(VLOOKUP(record[[#This Row],[PCUSTID]],廠商[],2,FALSE),"")</f>
        <v/>
      </c>
      <c r="S8455" t="str">
        <f>VLOOKUP(record[[#This Row],[employeeID]],員工[],2,FALSE)</f>
        <v>阮士文</v>
      </c>
    </row>
    <row r="8456" spans="6:19" hidden="1" x14ac:dyDescent="0.25">
      <c r="F8456" t="s">
        <v>900</v>
      </c>
      <c r="G8456" t="s">
        <v>448</v>
      </c>
      <c r="H8456" t="str">
        <f>VLOOKUP(record[[#This Row],[ProcessSN]],表格2_7[],2,FALSE)</f>
        <v>30-4118-018-6XX</v>
      </c>
      <c r="I8456" t="str">
        <f>VLOOKUP(record[[#This Row],[ProcessSN]],表格2_7[],3,FALSE)</f>
        <v>#04</v>
      </c>
      <c r="J8456" t="s">
        <v>588</v>
      </c>
      <c r="K8456" s="195">
        <v>45869.305902777778</v>
      </c>
      <c r="L8456">
        <v>125</v>
      </c>
      <c r="M8456">
        <v>0</v>
      </c>
      <c r="N8456" s="98" t="str">
        <f>IF(record[[#This Row],[Memo]]="Browser:chrome os:android","平板報工",IF(record[[#This Row],[Memo]]=0,"委外",record[[#This Row],[Memo]]))</f>
        <v/>
      </c>
      <c r="O8456" t="s">
        <v>58</v>
      </c>
      <c r="P8456" t="s">
        <v>135</v>
      </c>
      <c r="Q8456" t="s">
        <v>58</v>
      </c>
      <c r="R8456" t="str">
        <f>IFERROR(VLOOKUP(record[[#This Row],[PCUSTID]],廠商[],2,FALSE),"")</f>
        <v/>
      </c>
      <c r="S8456" t="str">
        <f>VLOOKUP(record[[#This Row],[employeeID]],員工[],2,FALSE)</f>
        <v>阮士文</v>
      </c>
    </row>
    <row r="8457" spans="6:19" hidden="1" x14ac:dyDescent="0.25">
      <c r="F8457" t="s">
        <v>902</v>
      </c>
      <c r="G8457" t="s">
        <v>377</v>
      </c>
      <c r="H8457" t="str">
        <f>VLOOKUP(record[[#This Row],[ProcessSN]],表格2_7[],2,FALSE)</f>
        <v>30-4118-018-4XX</v>
      </c>
      <c r="I8457" t="str">
        <f>VLOOKUP(record[[#This Row],[ProcessSN]],表格2_7[],3,FALSE)</f>
        <v>#07</v>
      </c>
      <c r="J8457" t="s">
        <v>588</v>
      </c>
      <c r="K8457" s="195">
        <v>45869.305659722224</v>
      </c>
      <c r="L8457">
        <v>0</v>
      </c>
      <c r="M8457">
        <v>1</v>
      </c>
      <c r="N8457" s="98" t="str">
        <f>IF(record[[#This Row],[Memo]]="Browser:chrome os:android","平板報工",IF(record[[#This Row],[Memo]]=0,"委外",record[[#This Row],[Memo]]))</f>
        <v/>
      </c>
      <c r="O8457" t="s">
        <v>58</v>
      </c>
      <c r="P8457" t="s">
        <v>135</v>
      </c>
      <c r="Q8457" t="s">
        <v>58</v>
      </c>
      <c r="R8457" t="str">
        <f>IFERROR(VLOOKUP(record[[#This Row],[PCUSTID]],廠商[],2,FALSE),"")</f>
        <v/>
      </c>
      <c r="S8457" t="str">
        <f>VLOOKUP(record[[#This Row],[employeeID]],員工[],2,FALSE)</f>
        <v>阮士文</v>
      </c>
    </row>
    <row r="8458" spans="6:19" hidden="1" x14ac:dyDescent="0.25">
      <c r="F8458" t="s">
        <v>902</v>
      </c>
      <c r="G8458" t="s">
        <v>377</v>
      </c>
      <c r="H8458" t="str">
        <f>VLOOKUP(record[[#This Row],[ProcessSN]],表格2_7[],2,FALSE)</f>
        <v>30-4118-018-4XX</v>
      </c>
      <c r="I8458" t="str">
        <f>VLOOKUP(record[[#This Row],[ProcessSN]],表格2_7[],3,FALSE)</f>
        <v>#07</v>
      </c>
      <c r="J8458" t="s">
        <v>588</v>
      </c>
      <c r="K8458" s="195">
        <v>45869.30541666667</v>
      </c>
      <c r="L8458">
        <v>133</v>
      </c>
      <c r="M8458">
        <v>0</v>
      </c>
      <c r="N8458" s="98" t="str">
        <f>IF(record[[#This Row],[Memo]]="Browser:chrome os:android","平板報工",IF(record[[#This Row],[Memo]]=0,"委外",record[[#This Row],[Memo]]))</f>
        <v/>
      </c>
      <c r="O8458" t="s">
        <v>58</v>
      </c>
      <c r="P8458" t="s">
        <v>135</v>
      </c>
      <c r="Q8458" t="s">
        <v>58</v>
      </c>
      <c r="R8458" t="str">
        <f>IFERROR(VLOOKUP(record[[#This Row],[PCUSTID]],廠商[],2,FALSE),"")</f>
        <v/>
      </c>
      <c r="S8458" t="str">
        <f>VLOOKUP(record[[#This Row],[employeeID]],員工[],2,FALSE)</f>
        <v>阮士文</v>
      </c>
    </row>
    <row r="8459" spans="6:19" hidden="1" x14ac:dyDescent="0.25">
      <c r="F8459" t="s">
        <v>900</v>
      </c>
      <c r="G8459" t="s">
        <v>449</v>
      </c>
      <c r="H8459" t="str">
        <f>VLOOKUP(record[[#This Row],[ProcessSN]],表格2_7[],2,FALSE)</f>
        <v>30-4118-018-6XX</v>
      </c>
      <c r="I8459" t="str">
        <f>VLOOKUP(record[[#This Row],[ProcessSN]],表格2_7[],3,FALSE)</f>
        <v>#05</v>
      </c>
      <c r="J8459" t="s">
        <v>588</v>
      </c>
      <c r="K8459" s="195">
        <v>45869.303171296298</v>
      </c>
      <c r="L8459">
        <v>149</v>
      </c>
      <c r="M8459">
        <v>0</v>
      </c>
      <c r="N8459" s="98" t="str">
        <f>IF(record[[#This Row],[Memo]]="Browser:chrome os:android","平板報工",IF(record[[#This Row],[Memo]]=0,"委外",record[[#This Row],[Memo]]))</f>
        <v/>
      </c>
      <c r="O8459" t="s">
        <v>58</v>
      </c>
      <c r="P8459" t="s">
        <v>135</v>
      </c>
      <c r="Q8459" t="s">
        <v>58</v>
      </c>
      <c r="R8459" t="str">
        <f>IFERROR(VLOOKUP(record[[#This Row],[PCUSTID]],廠商[],2,FALSE),"")</f>
        <v/>
      </c>
      <c r="S8459" t="str">
        <f>VLOOKUP(record[[#This Row],[employeeID]],員工[],2,FALSE)</f>
        <v>阮士文</v>
      </c>
    </row>
    <row r="8460" spans="6:19" hidden="1" x14ac:dyDescent="0.25">
      <c r="F8460" t="s">
        <v>902</v>
      </c>
      <c r="G8460" t="s">
        <v>376</v>
      </c>
      <c r="H8460" t="str">
        <f>VLOOKUP(record[[#This Row],[ProcessSN]],表格2_7[],2,FALSE)</f>
        <v>30-4118-018-4XX</v>
      </c>
      <c r="I8460" t="str">
        <f>VLOOKUP(record[[#This Row],[ProcessSN]],表格2_7[],3,FALSE)</f>
        <v>#06</v>
      </c>
      <c r="J8460" t="s">
        <v>593</v>
      </c>
      <c r="K8460" s="195">
        <v>45868.983263888891</v>
      </c>
      <c r="L8460">
        <v>121</v>
      </c>
      <c r="M8460">
        <v>2</v>
      </c>
      <c r="N8460" s="98" t="str">
        <f>IF(record[[#This Row],[Memo]]="Browser:chrome os:android","平板報工",IF(record[[#This Row],[Memo]]=0,"委外",record[[#This Row],[Memo]]))</f>
        <v/>
      </c>
      <c r="O8460" t="s">
        <v>58</v>
      </c>
      <c r="P8460" t="s">
        <v>841</v>
      </c>
      <c r="Q8460" t="s">
        <v>58</v>
      </c>
      <c r="R8460" t="str">
        <f>IFERROR(VLOOKUP(record[[#This Row],[PCUSTID]],廠商[],2,FALSE),"")</f>
        <v/>
      </c>
      <c r="S8460" t="str">
        <f>VLOOKUP(record[[#This Row],[employeeID]],員工[],2,FALSE)</f>
        <v>范氏香</v>
      </c>
    </row>
    <row r="8461" spans="6:19" hidden="1" x14ac:dyDescent="0.25">
      <c r="F8461" t="s">
        <v>900</v>
      </c>
      <c r="G8461" t="s">
        <v>449</v>
      </c>
      <c r="H8461" t="str">
        <f>VLOOKUP(record[[#This Row],[ProcessSN]],表格2_7[],2,FALSE)</f>
        <v>30-4118-018-6XX</v>
      </c>
      <c r="I8461" t="str">
        <f>VLOOKUP(record[[#This Row],[ProcessSN]],表格2_7[],3,FALSE)</f>
        <v>#05</v>
      </c>
      <c r="J8461" t="s">
        <v>588</v>
      </c>
      <c r="K8461" s="195">
        <v>45868.971932870372</v>
      </c>
      <c r="L8461">
        <v>90</v>
      </c>
      <c r="M8461">
        <v>0</v>
      </c>
      <c r="N8461" s="98" t="str">
        <f>IF(record[[#This Row],[Memo]]="Browser:chrome os:android","平板報工",IF(record[[#This Row],[Memo]]=0,"委外",record[[#This Row],[Memo]]))</f>
        <v/>
      </c>
      <c r="O8461" t="s">
        <v>58</v>
      </c>
      <c r="P8461" t="s">
        <v>133</v>
      </c>
      <c r="Q8461" t="s">
        <v>58</v>
      </c>
      <c r="R8461" t="str">
        <f>IFERROR(VLOOKUP(record[[#This Row],[PCUSTID]],廠商[],2,FALSE),"")</f>
        <v/>
      </c>
      <c r="S8461" t="str">
        <f>VLOOKUP(record[[#This Row],[employeeID]],員工[],2,FALSE)</f>
        <v>黎長維</v>
      </c>
    </row>
    <row r="8462" spans="6:19" hidden="1" x14ac:dyDescent="0.25">
      <c r="F8462" t="s">
        <v>902</v>
      </c>
      <c r="G8462" t="s">
        <v>377</v>
      </c>
      <c r="H8462" t="str">
        <f>VLOOKUP(record[[#This Row],[ProcessSN]],表格2_7[],2,FALSE)</f>
        <v>30-4118-018-4XX</v>
      </c>
      <c r="I8462" t="str">
        <f>VLOOKUP(record[[#This Row],[ProcessSN]],表格2_7[],3,FALSE)</f>
        <v>#07</v>
      </c>
      <c r="J8462" t="s">
        <v>588</v>
      </c>
      <c r="K8462" s="195">
        <v>45868.971562500003</v>
      </c>
      <c r="L8462">
        <v>80</v>
      </c>
      <c r="M8462">
        <v>0</v>
      </c>
      <c r="N8462" s="98" t="str">
        <f>IF(record[[#This Row],[Memo]]="Browser:chrome os:android","平板報工",IF(record[[#This Row],[Memo]]=0,"委外",record[[#This Row],[Memo]]))</f>
        <v/>
      </c>
      <c r="O8462" t="s">
        <v>58</v>
      </c>
      <c r="P8462" t="s">
        <v>133</v>
      </c>
      <c r="Q8462" t="s">
        <v>58</v>
      </c>
      <c r="R8462" t="str">
        <f>IFERROR(VLOOKUP(record[[#This Row],[PCUSTID]],廠商[],2,FALSE),"")</f>
        <v/>
      </c>
      <c r="S8462" t="str">
        <f>VLOOKUP(record[[#This Row],[employeeID]],員工[],2,FALSE)</f>
        <v>黎長維</v>
      </c>
    </row>
    <row r="8463" spans="6:19" hidden="1" x14ac:dyDescent="0.25">
      <c r="F8463" t="s">
        <v>875</v>
      </c>
      <c r="G8463" t="s">
        <v>451</v>
      </c>
      <c r="H8463" t="str">
        <f>VLOOKUP(record[[#This Row],[ProcessSN]],表格2_7[],2,FALSE)</f>
        <v>30-4118-018-6XX</v>
      </c>
      <c r="I8463" t="str">
        <f>VLOOKUP(record[[#This Row],[ProcessSN]],表格2_7[],3,FALSE)</f>
        <v>#07</v>
      </c>
      <c r="J8463" t="s">
        <v>588</v>
      </c>
      <c r="K8463" s="195">
        <v>45868.898101851853</v>
      </c>
      <c r="L8463">
        <v>15</v>
      </c>
      <c r="M8463">
        <v>0</v>
      </c>
      <c r="N8463" s="98" t="str">
        <f>IF(record[[#This Row],[Memo]]="Browser:chrome os:android","平板報工",IF(record[[#This Row],[Memo]]=0,"委外",record[[#This Row],[Memo]]))</f>
        <v/>
      </c>
      <c r="O8463" t="s">
        <v>58</v>
      </c>
      <c r="P8463" t="s">
        <v>133</v>
      </c>
      <c r="Q8463" t="s">
        <v>58</v>
      </c>
      <c r="R8463" t="str">
        <f>IFERROR(VLOOKUP(record[[#This Row],[PCUSTID]],廠商[],2,FALSE),"")</f>
        <v/>
      </c>
      <c r="S8463" t="str">
        <f>VLOOKUP(record[[#This Row],[employeeID]],員工[],2,FALSE)</f>
        <v>黎長維</v>
      </c>
    </row>
    <row r="8464" spans="6:19" hidden="1" x14ac:dyDescent="0.25">
      <c r="F8464" t="s">
        <v>924</v>
      </c>
      <c r="G8464" t="s">
        <v>399</v>
      </c>
      <c r="H8464" t="str">
        <f>VLOOKUP(record[[#This Row],[ProcessSN]],表格2_7[],2,FALSE)</f>
        <v>30-4118-018-550</v>
      </c>
      <c r="I8464" t="str">
        <f>VLOOKUP(record[[#This Row],[ProcessSN]],表格2_7[],3,FALSE)</f>
        <v>#08IQC</v>
      </c>
      <c r="J8464" t="s">
        <v>583</v>
      </c>
      <c r="K8464" s="195">
        <v>45868.763298611113</v>
      </c>
      <c r="L8464">
        <v>166</v>
      </c>
      <c r="M8464">
        <v>0</v>
      </c>
      <c r="N8464" s="98" t="str">
        <f>IF(record[[#This Row],[Memo]]="Browser:chrome os:android","平板報工",IF(record[[#This Row],[Memo]]=0,"委外",record[[#This Row],[Memo]]))</f>
        <v/>
      </c>
      <c r="O8464" t="s">
        <v>58</v>
      </c>
      <c r="P8464" t="s">
        <v>109</v>
      </c>
      <c r="Q8464" t="s">
        <v>58</v>
      </c>
      <c r="R8464" t="str">
        <f>IFERROR(VLOOKUP(record[[#This Row],[PCUSTID]],廠商[],2,FALSE),"")</f>
        <v/>
      </c>
      <c r="S8464" t="str">
        <f>VLOOKUP(record[[#This Row],[employeeID]],員工[],2,FALSE)</f>
        <v>裴氏璧鳳</v>
      </c>
    </row>
    <row r="8465" spans="6:19" hidden="1" x14ac:dyDescent="0.25">
      <c r="F8465" t="s">
        <v>917</v>
      </c>
      <c r="G8465" t="s">
        <v>401</v>
      </c>
      <c r="H8465" t="str">
        <f>VLOOKUP(record[[#This Row],[ProcessSN]],表格2_7[],2,FALSE)</f>
        <v>30-4118-018-550</v>
      </c>
      <c r="I8465" t="str">
        <f>VLOOKUP(record[[#This Row],[ProcessSN]],表格2_7[],3,FALSE)</f>
        <v>#100OQC</v>
      </c>
      <c r="J8465" t="s">
        <v>599</v>
      </c>
      <c r="K8465" s="195">
        <v>45868.699756944443</v>
      </c>
      <c r="L8465">
        <v>318</v>
      </c>
      <c r="M8465">
        <v>0</v>
      </c>
      <c r="N8465" s="98" t="str">
        <f>IF(record[[#This Row],[Memo]]="Browser:chrome os:android","平板報工",IF(record[[#This Row],[Memo]]=0,"委外",record[[#This Row],[Memo]]))</f>
        <v/>
      </c>
      <c r="O8465" t="s">
        <v>58</v>
      </c>
      <c r="P8465" t="s">
        <v>121</v>
      </c>
      <c r="Q8465" t="s">
        <v>58</v>
      </c>
      <c r="R8465" t="str">
        <f>IFERROR(VLOOKUP(record[[#This Row],[PCUSTID]],廠商[],2,FALSE),"")</f>
        <v/>
      </c>
      <c r="S8465" t="str">
        <f>VLOOKUP(record[[#This Row],[employeeID]],員工[],2,FALSE)</f>
        <v>謝素卿</v>
      </c>
    </row>
    <row r="8466" spans="6:19" hidden="1" x14ac:dyDescent="0.25">
      <c r="F8466" t="s">
        <v>920</v>
      </c>
      <c r="G8466" t="s">
        <v>401</v>
      </c>
      <c r="H8466" t="str">
        <f>VLOOKUP(record[[#This Row],[ProcessSN]],表格2_7[],2,FALSE)</f>
        <v>30-4118-018-550</v>
      </c>
      <c r="I8466" t="str">
        <f>VLOOKUP(record[[#This Row],[ProcessSN]],表格2_7[],3,FALSE)</f>
        <v>#100OQC</v>
      </c>
      <c r="J8466" t="s">
        <v>599</v>
      </c>
      <c r="K8466" s="195">
        <v>45868.699594907404</v>
      </c>
      <c r="L8466">
        <v>301</v>
      </c>
      <c r="M8466">
        <v>0</v>
      </c>
      <c r="N8466" s="98" t="str">
        <f>IF(record[[#This Row],[Memo]]="Browser:chrome os:android","平板報工",IF(record[[#This Row],[Memo]]=0,"委外",record[[#This Row],[Memo]]))</f>
        <v/>
      </c>
      <c r="O8466" t="s">
        <v>58</v>
      </c>
      <c r="P8466" t="s">
        <v>121</v>
      </c>
      <c r="Q8466" t="s">
        <v>58</v>
      </c>
      <c r="R8466" t="str">
        <f>IFERROR(VLOOKUP(record[[#This Row],[PCUSTID]],廠商[],2,FALSE),"")</f>
        <v/>
      </c>
      <c r="S8466" t="str">
        <f>VLOOKUP(record[[#This Row],[employeeID]],員工[],2,FALSE)</f>
        <v>謝素卿</v>
      </c>
    </row>
    <row r="8467" spans="6:19" hidden="1" x14ac:dyDescent="0.25">
      <c r="F8467" t="s">
        <v>893</v>
      </c>
      <c r="G8467" t="s">
        <v>426</v>
      </c>
      <c r="H8467" t="str">
        <f>VLOOKUP(record[[#This Row],[ProcessSN]],表格2_7[],2,FALSE)</f>
        <v>30-4118-018-600</v>
      </c>
      <c r="I8467" t="str">
        <f>VLOOKUP(record[[#This Row],[ProcessSN]],表格2_7[],3,FALSE)</f>
        <v>#100OQC</v>
      </c>
      <c r="J8467" t="s">
        <v>599</v>
      </c>
      <c r="K8467" s="195">
        <v>45868.699328703704</v>
      </c>
      <c r="L8467">
        <v>124</v>
      </c>
      <c r="M8467">
        <v>0</v>
      </c>
      <c r="N8467" s="98" t="str">
        <f>IF(record[[#This Row],[Memo]]="Browser:chrome os:android","平板報工",IF(record[[#This Row],[Memo]]=0,"委外",record[[#This Row],[Memo]]))</f>
        <v/>
      </c>
      <c r="O8467" t="s">
        <v>58</v>
      </c>
      <c r="P8467" t="s">
        <v>121</v>
      </c>
      <c r="Q8467" t="s">
        <v>58</v>
      </c>
      <c r="R8467" t="str">
        <f>IFERROR(VLOOKUP(record[[#This Row],[PCUSTID]],廠商[],2,FALSE),"")</f>
        <v/>
      </c>
      <c r="S8467" t="str">
        <f>VLOOKUP(record[[#This Row],[employeeID]],員工[],2,FALSE)</f>
        <v>謝素卿</v>
      </c>
    </row>
    <row r="8468" spans="6:19" hidden="1" x14ac:dyDescent="0.25">
      <c r="F8468" t="s">
        <v>924</v>
      </c>
      <c r="G8468" t="s">
        <v>398</v>
      </c>
      <c r="H8468" t="str">
        <f>VLOOKUP(record[[#This Row],[ProcessSN]],表格2_7[],2,FALSE)</f>
        <v>30-4118-018-550</v>
      </c>
      <c r="I8468" t="str">
        <f>VLOOKUP(record[[#This Row],[ProcessSN]],表格2_7[],3,FALSE)</f>
        <v>#08RCV</v>
      </c>
      <c r="J8468" t="s">
        <v>591</v>
      </c>
      <c r="K8468" s="195">
        <v>45868.691701388889</v>
      </c>
      <c r="L8468">
        <v>166</v>
      </c>
      <c r="M8468">
        <v>0</v>
      </c>
      <c r="N8468" s="98" t="str">
        <f>IF(record[[#This Row],[Memo]]="Browser:chrome os:android","平板報工",IF(record[[#This Row],[Memo]]=0,"委外",record[[#This Row],[Memo]]))</f>
        <v/>
      </c>
      <c r="O8468" t="s">
        <v>58</v>
      </c>
      <c r="P8468" t="s">
        <v>186</v>
      </c>
      <c r="Q8468" t="s">
        <v>58</v>
      </c>
      <c r="R8468" t="str">
        <f>IFERROR(VLOOKUP(record[[#This Row],[PCUSTID]],廠商[],2,FALSE),"")</f>
        <v/>
      </c>
      <c r="S8468" t="str">
        <f>VLOOKUP(record[[#This Row],[employeeID]],員工[],2,FALSE)</f>
        <v>許文姍</v>
      </c>
    </row>
    <row r="8469" spans="6:19" hidden="1" x14ac:dyDescent="0.25">
      <c r="F8469" t="s">
        <v>932</v>
      </c>
      <c r="G8469" t="s">
        <v>422</v>
      </c>
      <c r="H8469" t="str">
        <f>VLOOKUP(record[[#This Row],[ProcessSN]],表格2_7[],2,FALSE)</f>
        <v>30-4118-018-600</v>
      </c>
      <c r="I8469" t="str">
        <f>VLOOKUP(record[[#This Row],[ProcessSN]],表格2_7[],3,FALSE)</f>
        <v>#08</v>
      </c>
      <c r="J8469" t="s">
        <v>597</v>
      </c>
      <c r="K8469" s="195">
        <v>45868.685810185183</v>
      </c>
      <c r="L8469">
        <v>310</v>
      </c>
      <c r="M8469">
        <v>0</v>
      </c>
      <c r="N8469" s="98" t="str">
        <f>IF(record[[#This Row],[Memo]]="Browser:chrome os:android","平板報工",IF(record[[#This Row],[Memo]]=0,"委外",record[[#This Row],[Memo]]))</f>
        <v/>
      </c>
      <c r="O8469" t="s">
        <v>58</v>
      </c>
      <c r="P8469" t="s">
        <v>186</v>
      </c>
      <c r="Q8469" t="s">
        <v>287</v>
      </c>
      <c r="R8469" t="str">
        <f>IFERROR(VLOOKUP(record[[#This Row],[PCUSTID]],廠商[],2,FALSE),"")</f>
        <v>泉盛</v>
      </c>
      <c r="S8469" t="str">
        <f>VLOOKUP(record[[#This Row],[employeeID]],員工[],2,FALSE)</f>
        <v>許文姍</v>
      </c>
    </row>
    <row r="8470" spans="6:19" hidden="1" x14ac:dyDescent="0.25">
      <c r="F8470" t="s">
        <v>930</v>
      </c>
      <c r="G8470" t="s">
        <v>397</v>
      </c>
      <c r="H8470" t="str">
        <f>VLOOKUP(record[[#This Row],[ProcessSN]],表格2_7[],2,FALSE)</f>
        <v>30-4118-018-550</v>
      </c>
      <c r="I8470" t="str">
        <f>VLOOKUP(record[[#This Row],[ProcessSN]],表格2_7[],3,FALSE)</f>
        <v>#08</v>
      </c>
      <c r="J8470" t="s">
        <v>597</v>
      </c>
      <c r="K8470" s="195">
        <v>45868.685682870368</v>
      </c>
      <c r="L8470">
        <v>162</v>
      </c>
      <c r="M8470">
        <v>0</v>
      </c>
      <c r="N8470" s="98" t="str">
        <f>IF(record[[#This Row],[Memo]]="Browser:chrome os:android","平板報工",IF(record[[#This Row],[Memo]]=0,"委外",record[[#This Row],[Memo]]))</f>
        <v/>
      </c>
      <c r="O8470" t="s">
        <v>58</v>
      </c>
      <c r="P8470" t="s">
        <v>186</v>
      </c>
      <c r="Q8470" t="s">
        <v>287</v>
      </c>
      <c r="R8470" t="str">
        <f>IFERROR(VLOOKUP(record[[#This Row],[PCUSTID]],廠商[],2,FALSE),"")</f>
        <v>泉盛</v>
      </c>
      <c r="S8470" t="str">
        <f>VLOOKUP(record[[#This Row],[employeeID]],員工[],2,FALSE)</f>
        <v>許文姍</v>
      </c>
    </row>
    <row r="8471" spans="6:19" hidden="1" x14ac:dyDescent="0.25">
      <c r="F8471" t="s">
        <v>932</v>
      </c>
      <c r="G8471" t="s">
        <v>421</v>
      </c>
      <c r="H8471" t="str">
        <f>VLOOKUP(record[[#This Row],[ProcessSN]],表格2_7[],2,FALSE)</f>
        <v>30-4118-018-600</v>
      </c>
      <c r="I8471" t="str">
        <f>VLOOKUP(record[[#This Row],[ProcessSN]],表格2_7[],3,FALSE)</f>
        <v>#08PICK</v>
      </c>
      <c r="J8471" t="s">
        <v>582</v>
      </c>
      <c r="K8471" s="195">
        <v>45868.685590277775</v>
      </c>
      <c r="L8471">
        <v>310</v>
      </c>
      <c r="M8471">
        <v>0</v>
      </c>
      <c r="N8471" s="98" t="str">
        <f>IF(record[[#This Row],[Memo]]="Browser:chrome os:android","平板報工",IF(record[[#This Row],[Memo]]=0,"委外",record[[#This Row],[Memo]]))</f>
        <v/>
      </c>
      <c r="O8471" t="s">
        <v>58</v>
      </c>
      <c r="P8471" t="s">
        <v>186</v>
      </c>
      <c r="Q8471" t="s">
        <v>58</v>
      </c>
      <c r="R8471" t="str">
        <f>IFERROR(VLOOKUP(record[[#This Row],[PCUSTID]],廠商[],2,FALSE),"")</f>
        <v/>
      </c>
      <c r="S8471" t="str">
        <f>VLOOKUP(record[[#This Row],[employeeID]],員工[],2,FALSE)</f>
        <v>許文姍</v>
      </c>
    </row>
    <row r="8472" spans="6:19" hidden="1" x14ac:dyDescent="0.25">
      <c r="F8472" t="s">
        <v>930</v>
      </c>
      <c r="G8472" t="s">
        <v>396</v>
      </c>
      <c r="H8472" t="str">
        <f>VLOOKUP(record[[#This Row],[ProcessSN]],表格2_7[],2,FALSE)</f>
        <v>30-4118-018-550</v>
      </c>
      <c r="I8472" t="str">
        <f>VLOOKUP(record[[#This Row],[ProcessSN]],表格2_7[],3,FALSE)</f>
        <v>#08PICK</v>
      </c>
      <c r="J8472" t="s">
        <v>582</v>
      </c>
      <c r="K8472" s="195">
        <v>45868.685370370367</v>
      </c>
      <c r="L8472">
        <v>162</v>
      </c>
      <c r="M8472">
        <v>0</v>
      </c>
      <c r="N8472" s="98" t="str">
        <f>IF(record[[#This Row],[Memo]]="Browser:chrome os:android","平板報工",IF(record[[#This Row],[Memo]]=0,"委外",record[[#This Row],[Memo]]))</f>
        <v/>
      </c>
      <c r="O8472" t="s">
        <v>58</v>
      </c>
      <c r="P8472" t="s">
        <v>186</v>
      </c>
      <c r="Q8472" t="s">
        <v>58</v>
      </c>
      <c r="R8472" t="str">
        <f>IFERROR(VLOOKUP(record[[#This Row],[PCUSTID]],廠商[],2,FALSE),"")</f>
        <v/>
      </c>
      <c r="S8472" t="str">
        <f>VLOOKUP(record[[#This Row],[employeeID]],員工[],2,FALSE)</f>
        <v>許文姍</v>
      </c>
    </row>
    <row r="8473" spans="6:19" hidden="1" x14ac:dyDescent="0.25">
      <c r="F8473" t="s">
        <v>917</v>
      </c>
      <c r="G8473" t="s">
        <v>400</v>
      </c>
      <c r="H8473" t="str">
        <f>VLOOKUP(record[[#This Row],[ProcessSN]],表格2_7[],2,FALSE)</f>
        <v>30-4118-018-550</v>
      </c>
      <c r="I8473" t="str">
        <f>VLOOKUP(record[[#This Row],[ProcessSN]],表格2_7[],3,FALSE)</f>
        <v>#100</v>
      </c>
      <c r="J8473" t="s">
        <v>598</v>
      </c>
      <c r="K8473" s="195">
        <v>45868.679270833331</v>
      </c>
      <c r="L8473">
        <v>318</v>
      </c>
      <c r="M8473">
        <v>0</v>
      </c>
      <c r="N8473" s="98" t="str">
        <f>IF(record[[#This Row],[Memo]]="Browser:chrome os:android","平板報工",IF(record[[#This Row],[Memo]]=0,"委外",record[[#This Row],[Memo]]))</f>
        <v>平板報工</v>
      </c>
      <c r="O8473" t="s">
        <v>643</v>
      </c>
      <c r="P8473" t="s">
        <v>141</v>
      </c>
      <c r="Q8473" t="s">
        <v>644</v>
      </c>
      <c r="R8473" t="str">
        <f>IFERROR(VLOOKUP(record[[#This Row],[PCUSTID]],廠商[],2,FALSE),"")</f>
        <v/>
      </c>
      <c r="S8473" t="str">
        <f>VLOOKUP(record[[#This Row],[employeeID]],員工[],2,FALSE)</f>
        <v>蔣梅</v>
      </c>
    </row>
    <row r="8474" spans="6:19" hidden="1" x14ac:dyDescent="0.25">
      <c r="F8474" t="s">
        <v>917</v>
      </c>
      <c r="G8474" t="s">
        <v>400</v>
      </c>
      <c r="H8474" t="str">
        <f>VLOOKUP(record[[#This Row],[ProcessSN]],表格2_7[],2,FALSE)</f>
        <v>30-4118-018-550</v>
      </c>
      <c r="I8474" t="str">
        <f>VLOOKUP(record[[#This Row],[ProcessSN]],表格2_7[],3,FALSE)</f>
        <v>#100</v>
      </c>
      <c r="J8474" t="s">
        <v>598</v>
      </c>
      <c r="K8474" s="195">
        <v>45868.678900462961</v>
      </c>
      <c r="L8474">
        <v>0</v>
      </c>
      <c r="M8474">
        <v>28</v>
      </c>
      <c r="N8474" s="98" t="str">
        <f>IF(record[[#This Row],[Memo]]="Browser:chrome os:android","平板報工",IF(record[[#This Row],[Memo]]=0,"委外",record[[#This Row],[Memo]]))</f>
        <v>平板報工</v>
      </c>
      <c r="O8474" t="s">
        <v>643</v>
      </c>
      <c r="P8474" t="s">
        <v>141</v>
      </c>
      <c r="Q8474" t="s">
        <v>644</v>
      </c>
      <c r="R8474" t="str">
        <f>IFERROR(VLOOKUP(record[[#This Row],[PCUSTID]],廠商[],2,FALSE),"")</f>
        <v/>
      </c>
      <c r="S8474" t="str">
        <f>VLOOKUP(record[[#This Row],[employeeID]],員工[],2,FALSE)</f>
        <v>蔣梅</v>
      </c>
    </row>
    <row r="8475" spans="6:19" hidden="1" x14ac:dyDescent="0.25">
      <c r="F8475" t="s">
        <v>920</v>
      </c>
      <c r="G8475" t="s">
        <v>400</v>
      </c>
      <c r="H8475" t="str">
        <f>VLOOKUP(record[[#This Row],[ProcessSN]],表格2_7[],2,FALSE)</f>
        <v>30-4118-018-550</v>
      </c>
      <c r="I8475" t="str">
        <f>VLOOKUP(record[[#This Row],[ProcessSN]],表格2_7[],3,FALSE)</f>
        <v>#100</v>
      </c>
      <c r="J8475" t="s">
        <v>598</v>
      </c>
      <c r="K8475" s="195">
        <v>45868.678530092591</v>
      </c>
      <c r="L8475">
        <v>301</v>
      </c>
      <c r="M8475">
        <v>0</v>
      </c>
      <c r="N8475" s="98" t="str">
        <f>IF(record[[#This Row],[Memo]]="Browser:chrome os:android","平板報工",IF(record[[#This Row],[Memo]]=0,"委外",record[[#This Row],[Memo]]))</f>
        <v>平板報工</v>
      </c>
      <c r="O8475" t="s">
        <v>643</v>
      </c>
      <c r="P8475" t="s">
        <v>141</v>
      </c>
      <c r="Q8475" t="s">
        <v>644</v>
      </c>
      <c r="R8475" t="str">
        <f>IFERROR(VLOOKUP(record[[#This Row],[PCUSTID]],廠商[],2,FALSE),"")</f>
        <v/>
      </c>
      <c r="S8475" t="str">
        <f>VLOOKUP(record[[#This Row],[employeeID]],員工[],2,FALSE)</f>
        <v>蔣梅</v>
      </c>
    </row>
    <row r="8476" spans="6:19" hidden="1" x14ac:dyDescent="0.25">
      <c r="F8476" t="s">
        <v>920</v>
      </c>
      <c r="G8476" t="s">
        <v>400</v>
      </c>
      <c r="H8476" t="str">
        <f>VLOOKUP(record[[#This Row],[ProcessSN]],表格2_7[],2,FALSE)</f>
        <v>30-4118-018-550</v>
      </c>
      <c r="I8476" t="str">
        <f>VLOOKUP(record[[#This Row],[ProcessSN]],表格2_7[],3,FALSE)</f>
        <v>#100</v>
      </c>
      <c r="J8476" t="s">
        <v>598</v>
      </c>
      <c r="K8476" s="195">
        <v>45868.678206018521</v>
      </c>
      <c r="L8476">
        <v>0</v>
      </c>
      <c r="M8476">
        <v>22</v>
      </c>
      <c r="N8476" s="98" t="str">
        <f>IF(record[[#This Row],[Memo]]="Browser:chrome os:android","平板報工",IF(record[[#This Row],[Memo]]=0,"委外",record[[#This Row],[Memo]]))</f>
        <v>平板報工</v>
      </c>
      <c r="O8476" t="s">
        <v>643</v>
      </c>
      <c r="P8476" t="s">
        <v>141</v>
      </c>
      <c r="Q8476" t="s">
        <v>644</v>
      </c>
      <c r="R8476" t="str">
        <f>IFERROR(VLOOKUP(record[[#This Row],[PCUSTID]],廠商[],2,FALSE),"")</f>
        <v/>
      </c>
      <c r="S8476" t="str">
        <f>VLOOKUP(record[[#This Row],[employeeID]],員工[],2,FALSE)</f>
        <v>蔣梅</v>
      </c>
    </row>
    <row r="8477" spans="6:19" hidden="1" x14ac:dyDescent="0.25">
      <c r="F8477" t="s">
        <v>902</v>
      </c>
      <c r="G8477" t="s">
        <v>376</v>
      </c>
      <c r="H8477" t="str">
        <f>VLOOKUP(record[[#This Row],[ProcessSN]],表格2_7[],2,FALSE)</f>
        <v>30-4118-018-4XX</v>
      </c>
      <c r="I8477" t="str">
        <f>VLOOKUP(record[[#This Row],[ProcessSN]],表格2_7[],3,FALSE)</f>
        <v>#06</v>
      </c>
      <c r="J8477" t="s">
        <v>593</v>
      </c>
      <c r="K8477" s="195">
        <v>45868.66814814815</v>
      </c>
      <c r="L8477">
        <v>121</v>
      </c>
      <c r="M8477">
        <v>0</v>
      </c>
      <c r="N8477" s="98" t="str">
        <f>IF(record[[#This Row],[Memo]]="Browser:chrome os:android","平板報工",IF(record[[#This Row],[Memo]]=0,"委外",record[[#This Row],[Memo]]))</f>
        <v/>
      </c>
      <c r="O8477" t="s">
        <v>58</v>
      </c>
      <c r="P8477" t="s">
        <v>101</v>
      </c>
      <c r="Q8477" t="s">
        <v>58</v>
      </c>
      <c r="R8477" t="str">
        <f>IFERROR(VLOOKUP(record[[#This Row],[PCUSTID]],廠商[],2,FALSE),"")</f>
        <v/>
      </c>
      <c r="S8477" t="str">
        <f>VLOOKUP(record[[#This Row],[employeeID]],員工[],2,FALSE)</f>
        <v>陳氏絨</v>
      </c>
    </row>
    <row r="8478" spans="6:19" hidden="1" x14ac:dyDescent="0.25">
      <c r="F8478" t="s">
        <v>900</v>
      </c>
      <c r="G8478" t="s">
        <v>448</v>
      </c>
      <c r="H8478" t="str">
        <f>VLOOKUP(record[[#This Row],[ProcessSN]],表格2_7[],2,FALSE)</f>
        <v>30-4118-018-6XX</v>
      </c>
      <c r="I8478" t="str">
        <f>VLOOKUP(record[[#This Row],[ProcessSN]],表格2_7[],3,FALSE)</f>
        <v>#04</v>
      </c>
      <c r="J8478" t="s">
        <v>588</v>
      </c>
      <c r="K8478" s="195">
        <v>45868.662187499998</v>
      </c>
      <c r="L8478">
        <v>134</v>
      </c>
      <c r="M8478">
        <v>1</v>
      </c>
      <c r="N8478" s="98" t="str">
        <f>IF(record[[#This Row],[Memo]]="Browser:chrome os:android","平板報工",IF(record[[#This Row],[Memo]]=0,"委外",record[[#This Row],[Memo]]))</f>
        <v/>
      </c>
      <c r="O8478" t="s">
        <v>58</v>
      </c>
      <c r="P8478" t="s">
        <v>101</v>
      </c>
      <c r="Q8478" t="s">
        <v>58</v>
      </c>
      <c r="R8478" t="str">
        <f>IFERROR(VLOOKUP(record[[#This Row],[PCUSTID]],廠商[],2,FALSE),"")</f>
        <v/>
      </c>
      <c r="S8478" t="str">
        <f>VLOOKUP(record[[#This Row],[employeeID]],員工[],2,FALSE)</f>
        <v>陳氏絨</v>
      </c>
    </row>
    <row r="8479" spans="6:19" hidden="1" x14ac:dyDescent="0.25">
      <c r="F8479" t="s">
        <v>875</v>
      </c>
      <c r="G8479" t="s">
        <v>451</v>
      </c>
      <c r="H8479" t="str">
        <f>VLOOKUP(record[[#This Row],[ProcessSN]],表格2_7[],2,FALSE)</f>
        <v>30-4118-018-6XX</v>
      </c>
      <c r="I8479" t="str">
        <f>VLOOKUP(record[[#This Row],[ProcessSN]],表格2_7[],3,FALSE)</f>
        <v>#07</v>
      </c>
      <c r="J8479" t="s">
        <v>588</v>
      </c>
      <c r="K8479" s="195">
        <v>45868.661493055559</v>
      </c>
      <c r="L8479">
        <v>123</v>
      </c>
      <c r="M8479">
        <v>12</v>
      </c>
      <c r="N8479" s="98" t="str">
        <f>IF(record[[#This Row],[Memo]]="Browser:chrome os:android","平板報工",IF(record[[#This Row],[Memo]]=0,"委外",record[[#This Row],[Memo]]))</f>
        <v/>
      </c>
      <c r="O8479" t="s">
        <v>58</v>
      </c>
      <c r="P8479" t="s">
        <v>101</v>
      </c>
      <c r="Q8479" t="s">
        <v>58</v>
      </c>
      <c r="R8479" t="str">
        <f>IFERROR(VLOOKUP(record[[#This Row],[PCUSTID]],廠商[],2,FALSE),"")</f>
        <v/>
      </c>
      <c r="S8479" t="str">
        <f>VLOOKUP(record[[#This Row],[employeeID]],員工[],2,FALSE)</f>
        <v>陳氏絨</v>
      </c>
    </row>
    <row r="8480" spans="6:19" hidden="1" x14ac:dyDescent="0.25">
      <c r="F8480" t="s">
        <v>890</v>
      </c>
      <c r="G8480" t="s">
        <v>428</v>
      </c>
      <c r="H8480" t="str">
        <f>VLOOKUP(record[[#This Row],[ProcessSN]],表格2_7[],2,FALSE)</f>
        <v>30-4118-018-600</v>
      </c>
      <c r="I8480" t="str">
        <f>VLOOKUP(record[[#This Row],[ProcessSN]],表格2_7[],3,FALSE)</f>
        <v>#100SHIP</v>
      </c>
      <c r="J8480" t="s">
        <v>600</v>
      </c>
      <c r="K8480" s="195">
        <v>45868.482743055552</v>
      </c>
      <c r="L8480">
        <v>2</v>
      </c>
      <c r="M8480">
        <v>0</v>
      </c>
      <c r="N8480" s="98" t="str">
        <f>IF(record[[#This Row],[Memo]]="Browser:chrome os:android","平板報工",IF(record[[#This Row],[Memo]]=0,"委外",record[[#This Row],[Memo]]))</f>
        <v/>
      </c>
      <c r="O8480" t="s">
        <v>58</v>
      </c>
      <c r="P8480" t="s">
        <v>886</v>
      </c>
      <c r="Q8480" t="s">
        <v>58</v>
      </c>
      <c r="R8480" t="str">
        <f>IFERROR(VLOOKUP(record[[#This Row],[PCUSTID]],廠商[],2,FALSE),"")</f>
        <v/>
      </c>
      <c r="S8480" t="str">
        <f>VLOOKUP(record[[#This Row],[employeeID]],員工[],2,FALSE)</f>
        <v>謝蓁薰</v>
      </c>
    </row>
    <row r="8481" spans="6:19" hidden="1" x14ac:dyDescent="0.25">
      <c r="F8481" t="s">
        <v>680</v>
      </c>
      <c r="G8481" t="s">
        <v>362</v>
      </c>
      <c r="H8481" t="str">
        <f>VLOOKUP(record[[#This Row],[ProcessSN]],表格2_7[],2,FALSE)</f>
        <v>30-4118-018-450</v>
      </c>
      <c r="I8481" t="str">
        <f>VLOOKUP(record[[#This Row],[ProcessSN]],表格2_7[],3,FALSE)</f>
        <v>#100SHIP</v>
      </c>
      <c r="J8481" t="s">
        <v>600</v>
      </c>
      <c r="K8481" s="195">
        <v>45868.482037037036</v>
      </c>
      <c r="L8481">
        <v>4</v>
      </c>
      <c r="M8481">
        <v>0</v>
      </c>
      <c r="N8481" s="98" t="str">
        <f>IF(record[[#This Row],[Memo]]="Browser:chrome os:android","平板報工",IF(record[[#This Row],[Memo]]=0,"委外",record[[#This Row],[Memo]]))</f>
        <v/>
      </c>
      <c r="O8481" t="s">
        <v>58</v>
      </c>
      <c r="P8481" t="s">
        <v>886</v>
      </c>
      <c r="Q8481" t="s">
        <v>58</v>
      </c>
      <c r="R8481" t="str">
        <f>IFERROR(VLOOKUP(record[[#This Row],[PCUSTID]],廠商[],2,FALSE),"")</f>
        <v/>
      </c>
      <c r="S8481" t="str">
        <f>VLOOKUP(record[[#This Row],[employeeID]],員工[],2,FALSE)</f>
        <v>謝蓁薰</v>
      </c>
    </row>
    <row r="8482" spans="6:19" hidden="1" x14ac:dyDescent="0.25">
      <c r="F8482" t="s">
        <v>680</v>
      </c>
      <c r="G8482" t="s">
        <v>362</v>
      </c>
      <c r="H8482" t="str">
        <f>VLOOKUP(record[[#This Row],[ProcessSN]],表格2_7[],2,FALSE)</f>
        <v>30-4118-018-450</v>
      </c>
      <c r="I8482" t="str">
        <f>VLOOKUP(record[[#This Row],[ProcessSN]],表格2_7[],3,FALSE)</f>
        <v>#100SHIP</v>
      </c>
      <c r="J8482" t="s">
        <v>600</v>
      </c>
      <c r="K8482" s="195">
        <v>45868.481793981482</v>
      </c>
      <c r="L8482">
        <v>4</v>
      </c>
      <c r="M8482">
        <v>0</v>
      </c>
      <c r="N8482" s="98" t="str">
        <f>IF(record[[#This Row],[Memo]]="Browser:chrome os:android","平板報工",IF(record[[#This Row],[Memo]]=0,"委外",record[[#This Row],[Memo]]))</f>
        <v/>
      </c>
      <c r="O8482" t="s">
        <v>58</v>
      </c>
      <c r="P8482" t="s">
        <v>886</v>
      </c>
      <c r="Q8482" t="s">
        <v>58</v>
      </c>
      <c r="R8482" t="str">
        <f>IFERROR(VLOOKUP(record[[#This Row],[PCUSTID]],廠商[],2,FALSE),"")</f>
        <v/>
      </c>
      <c r="S8482" t="str">
        <f>VLOOKUP(record[[#This Row],[employeeID]],員工[],2,FALSE)</f>
        <v>謝蓁薰</v>
      </c>
    </row>
    <row r="8483" spans="6:19" hidden="1" x14ac:dyDescent="0.25">
      <c r="F8483" t="s">
        <v>893</v>
      </c>
      <c r="G8483" t="s">
        <v>425</v>
      </c>
      <c r="H8483" t="str">
        <f>VLOOKUP(record[[#This Row],[ProcessSN]],表格2_7[],2,FALSE)</f>
        <v>30-4118-018-600</v>
      </c>
      <c r="I8483" t="str">
        <f>VLOOKUP(record[[#This Row],[ProcessSN]],表格2_7[],3,FALSE)</f>
        <v>#100</v>
      </c>
      <c r="J8483" t="s">
        <v>598</v>
      </c>
      <c r="K8483" s="195">
        <v>45868.475763888891</v>
      </c>
      <c r="L8483">
        <v>0</v>
      </c>
      <c r="M8483">
        <v>9</v>
      </c>
      <c r="N8483" s="98" t="str">
        <f>IF(record[[#This Row],[Memo]]="Browser:chrome os:android","平板報工",IF(record[[#This Row],[Memo]]=0,"委外",record[[#This Row],[Memo]]))</f>
        <v>平板報工</v>
      </c>
      <c r="O8483" t="s">
        <v>643</v>
      </c>
      <c r="P8483" t="s">
        <v>141</v>
      </c>
      <c r="Q8483" t="s">
        <v>644</v>
      </c>
      <c r="R8483" t="str">
        <f>IFERROR(VLOOKUP(record[[#This Row],[PCUSTID]],廠商[],2,FALSE),"")</f>
        <v/>
      </c>
      <c r="S8483" t="str">
        <f>VLOOKUP(record[[#This Row],[employeeID]],員工[],2,FALSE)</f>
        <v>蔣梅</v>
      </c>
    </row>
    <row r="8484" spans="6:19" hidden="1" x14ac:dyDescent="0.25">
      <c r="F8484" t="s">
        <v>893</v>
      </c>
      <c r="G8484" t="s">
        <v>425</v>
      </c>
      <c r="H8484" t="str">
        <f>VLOOKUP(record[[#This Row],[ProcessSN]],表格2_7[],2,FALSE)</f>
        <v>30-4118-018-600</v>
      </c>
      <c r="I8484" t="str">
        <f>VLOOKUP(record[[#This Row],[ProcessSN]],表格2_7[],3,FALSE)</f>
        <v>#100</v>
      </c>
      <c r="J8484" t="s">
        <v>598</v>
      </c>
      <c r="K8484" s="195">
        <v>45868.475555555553</v>
      </c>
      <c r="L8484">
        <v>124</v>
      </c>
      <c r="M8484">
        <v>0</v>
      </c>
      <c r="N8484" s="98" t="str">
        <f>IF(record[[#This Row],[Memo]]="Browser:chrome os:android","平板報工",IF(record[[#This Row],[Memo]]=0,"委外",record[[#This Row],[Memo]]))</f>
        <v>平板報工</v>
      </c>
      <c r="O8484" t="s">
        <v>643</v>
      </c>
      <c r="P8484" t="s">
        <v>141</v>
      </c>
      <c r="Q8484" t="s">
        <v>644</v>
      </c>
      <c r="R8484" t="str">
        <f>IFERROR(VLOOKUP(record[[#This Row],[PCUSTID]],廠商[],2,FALSE),"")</f>
        <v/>
      </c>
      <c r="S8484" t="str">
        <f>VLOOKUP(record[[#This Row],[employeeID]],員工[],2,FALSE)</f>
        <v>蔣梅</v>
      </c>
    </row>
    <row r="8485" spans="6:19" hidden="1" x14ac:dyDescent="0.25">
      <c r="F8485" t="s">
        <v>875</v>
      </c>
      <c r="G8485" t="s">
        <v>453</v>
      </c>
      <c r="H8485" t="str">
        <f>VLOOKUP(record[[#This Row],[ProcessSN]],表格2_7[],2,FALSE)</f>
        <v>30-4118-018-6XX</v>
      </c>
      <c r="I8485" t="str">
        <f>VLOOKUP(record[[#This Row],[ProcessSN]],表格2_7[],3,FALSE)</f>
        <v>#07STOCK</v>
      </c>
      <c r="J8485" t="s">
        <v>592</v>
      </c>
      <c r="K8485" s="195">
        <v>45868.449270833335</v>
      </c>
      <c r="L8485">
        <v>307</v>
      </c>
      <c r="M8485">
        <v>0</v>
      </c>
      <c r="N8485" s="98" t="str">
        <f>IF(record[[#This Row],[Memo]]="Browser:chrome os:android","平板報工",IF(record[[#This Row],[Memo]]=0,"委外",record[[#This Row],[Memo]]))</f>
        <v/>
      </c>
      <c r="O8485" t="s">
        <v>58</v>
      </c>
      <c r="P8485" t="s">
        <v>125</v>
      </c>
      <c r="Q8485" t="s">
        <v>58</v>
      </c>
      <c r="R8485" t="str">
        <f>IFERROR(VLOOKUP(record[[#This Row],[PCUSTID]],廠商[],2,FALSE),"")</f>
        <v/>
      </c>
      <c r="S8485" t="str">
        <f>VLOOKUP(record[[#This Row],[employeeID]],員工[],2,FALSE)</f>
        <v>黃瓈巧</v>
      </c>
    </row>
    <row r="8486" spans="6:19" hidden="1" x14ac:dyDescent="0.25">
      <c r="F8486" t="s">
        <v>864</v>
      </c>
      <c r="G8486" t="s">
        <v>453</v>
      </c>
      <c r="H8486" t="str">
        <f>VLOOKUP(record[[#This Row],[ProcessSN]],表格2_7[],2,FALSE)</f>
        <v>30-4118-018-6XX</v>
      </c>
      <c r="I8486" t="str">
        <f>VLOOKUP(record[[#This Row],[ProcessSN]],表格2_7[],3,FALSE)</f>
        <v>#07STOCK</v>
      </c>
      <c r="J8486" t="s">
        <v>592</v>
      </c>
      <c r="K8486" s="195">
        <v>45868.449097222219</v>
      </c>
      <c r="L8486">
        <v>3</v>
      </c>
      <c r="M8486">
        <v>0</v>
      </c>
      <c r="N8486" s="98" t="str">
        <f>IF(record[[#This Row],[Memo]]="Browser:chrome os:android","平板報工",IF(record[[#This Row],[Memo]]=0,"委外",record[[#This Row],[Memo]]))</f>
        <v/>
      </c>
      <c r="O8486" t="s">
        <v>58</v>
      </c>
      <c r="P8486" t="s">
        <v>125</v>
      </c>
      <c r="Q8486" t="s">
        <v>58</v>
      </c>
      <c r="R8486" t="str">
        <f>IFERROR(VLOOKUP(record[[#This Row],[PCUSTID]],廠商[],2,FALSE),"")</f>
        <v/>
      </c>
      <c r="S8486" t="str">
        <f>VLOOKUP(record[[#This Row],[employeeID]],員工[],2,FALSE)</f>
        <v>黃瓈巧</v>
      </c>
    </row>
    <row r="8487" spans="6:19" hidden="1" x14ac:dyDescent="0.25">
      <c r="F8487" t="s">
        <v>737</v>
      </c>
      <c r="G8487" t="s">
        <v>423</v>
      </c>
      <c r="H8487" t="str">
        <f>VLOOKUP(record[[#This Row],[ProcessSN]],表格2_7[],2,FALSE)</f>
        <v>30-4118-018-600</v>
      </c>
      <c r="I8487" t="str">
        <f>VLOOKUP(record[[#This Row],[ProcessSN]],表格2_7[],3,FALSE)</f>
        <v>#08RCV</v>
      </c>
      <c r="J8487" t="s">
        <v>591</v>
      </c>
      <c r="K8487" s="195">
        <v>45868.447638888887</v>
      </c>
      <c r="L8487">
        <v>0</v>
      </c>
      <c r="M8487">
        <v>14</v>
      </c>
      <c r="N8487" s="98" t="str">
        <f>IF(record[[#This Row],[Memo]]="Browser:chrome os:android","平板報工",IF(record[[#This Row],[Memo]]=0,"委外",record[[#This Row],[Memo]]))</f>
        <v>領1140141</v>
      </c>
      <c r="O8487" t="s">
        <v>935</v>
      </c>
      <c r="P8487" t="s">
        <v>125</v>
      </c>
      <c r="Q8487" t="s">
        <v>58</v>
      </c>
      <c r="R8487" t="str">
        <f>IFERROR(VLOOKUP(record[[#This Row],[PCUSTID]],廠商[],2,FALSE),"")</f>
        <v/>
      </c>
      <c r="S8487" t="str">
        <f>VLOOKUP(record[[#This Row],[employeeID]],員工[],2,FALSE)</f>
        <v>黃瓈巧</v>
      </c>
    </row>
    <row r="8488" spans="6:19" hidden="1" x14ac:dyDescent="0.25">
      <c r="F8488" t="s">
        <v>897</v>
      </c>
      <c r="G8488" t="s">
        <v>420</v>
      </c>
      <c r="H8488" t="str">
        <f>VLOOKUP(record[[#This Row],[ProcessSN]],表格2_7[],2,FALSE)</f>
        <v>30-4118-018-5XX</v>
      </c>
      <c r="I8488" t="str">
        <f>VLOOKUP(record[[#This Row],[ProcessSN]],表格2_7[],3,FALSE)</f>
        <v>#07STOCK</v>
      </c>
      <c r="J8488" t="s">
        <v>592</v>
      </c>
      <c r="K8488" s="195">
        <v>45868.445925925924</v>
      </c>
      <c r="L8488">
        <v>162</v>
      </c>
      <c r="M8488">
        <v>0</v>
      </c>
      <c r="N8488" s="98" t="str">
        <f>IF(record[[#This Row],[Memo]]="Browser:chrome os:android","平板報工",IF(record[[#This Row],[Memo]]=0,"委外",record[[#This Row],[Memo]]))</f>
        <v/>
      </c>
      <c r="O8488" t="s">
        <v>58</v>
      </c>
      <c r="P8488" t="s">
        <v>125</v>
      </c>
      <c r="Q8488" t="s">
        <v>58</v>
      </c>
      <c r="R8488" t="str">
        <f>IFERROR(VLOOKUP(record[[#This Row],[PCUSTID]],廠商[],2,FALSE),"")</f>
        <v/>
      </c>
      <c r="S8488" t="str">
        <f>VLOOKUP(record[[#This Row],[employeeID]],員工[],2,FALSE)</f>
        <v>黃瓈巧</v>
      </c>
    </row>
    <row r="8489" spans="6:19" hidden="1" x14ac:dyDescent="0.25">
      <c r="F8489" t="s">
        <v>897</v>
      </c>
      <c r="G8489" t="s">
        <v>419</v>
      </c>
      <c r="H8489" t="str">
        <f>VLOOKUP(record[[#This Row],[ProcessSN]],表格2_7[],2,FALSE)</f>
        <v>30-4118-018-5XX</v>
      </c>
      <c r="I8489" t="str">
        <f>VLOOKUP(record[[#This Row],[ProcessSN]],表格2_7[],3,FALSE)</f>
        <v>#07QC</v>
      </c>
      <c r="J8489" t="s">
        <v>589</v>
      </c>
      <c r="K8489" s="195">
        <v>45868.431215277778</v>
      </c>
      <c r="L8489">
        <v>0</v>
      </c>
      <c r="M8489">
        <v>3</v>
      </c>
      <c r="N8489" s="98" t="str">
        <f>IF(record[[#This Row],[Memo]]="Browser:chrome os:android","平板報工",IF(record[[#This Row],[Memo]]=0,"委外",record[[#This Row],[Memo]]))</f>
        <v>平板報工</v>
      </c>
      <c r="O8489" t="s">
        <v>643</v>
      </c>
      <c r="P8489" t="s">
        <v>141</v>
      </c>
      <c r="Q8489" t="s">
        <v>644</v>
      </c>
      <c r="R8489" t="str">
        <f>IFERROR(VLOOKUP(record[[#This Row],[PCUSTID]],廠商[],2,FALSE),"")</f>
        <v/>
      </c>
      <c r="S8489" t="str">
        <f>VLOOKUP(record[[#This Row],[employeeID]],員工[],2,FALSE)</f>
        <v>蔣梅</v>
      </c>
    </row>
    <row r="8490" spans="6:19" hidden="1" x14ac:dyDescent="0.25">
      <c r="F8490" t="s">
        <v>897</v>
      </c>
      <c r="G8490" t="s">
        <v>419</v>
      </c>
      <c r="H8490" t="str">
        <f>VLOOKUP(record[[#This Row],[ProcessSN]],表格2_7[],2,FALSE)</f>
        <v>30-4118-018-5XX</v>
      </c>
      <c r="I8490" t="str">
        <f>VLOOKUP(record[[#This Row],[ProcessSN]],表格2_7[],3,FALSE)</f>
        <v>#07QC</v>
      </c>
      <c r="J8490" t="s">
        <v>589</v>
      </c>
      <c r="K8490" s="195">
        <v>45868.430972222224</v>
      </c>
      <c r="L8490">
        <v>162</v>
      </c>
      <c r="M8490">
        <v>0</v>
      </c>
      <c r="N8490" s="98" t="str">
        <f>IF(record[[#This Row],[Memo]]="Browser:chrome os:android","平板報工",IF(record[[#This Row],[Memo]]=0,"委外",record[[#This Row],[Memo]]))</f>
        <v>平板報工</v>
      </c>
      <c r="O8490" t="s">
        <v>643</v>
      </c>
      <c r="P8490" t="s">
        <v>141</v>
      </c>
      <c r="Q8490" t="s">
        <v>644</v>
      </c>
      <c r="R8490" t="str">
        <f>IFERROR(VLOOKUP(record[[#This Row],[PCUSTID]],廠商[],2,FALSE),"")</f>
        <v/>
      </c>
      <c r="S8490" t="str">
        <f>VLOOKUP(record[[#This Row],[employeeID]],員工[],2,FALSE)</f>
        <v>蔣梅</v>
      </c>
    </row>
    <row r="8491" spans="6:19" hidden="1" x14ac:dyDescent="0.25">
      <c r="F8491" t="s">
        <v>875</v>
      </c>
      <c r="G8491" t="s">
        <v>452</v>
      </c>
      <c r="H8491" t="str">
        <f>VLOOKUP(record[[#This Row],[ProcessSN]],表格2_7[],2,FALSE)</f>
        <v>30-4118-018-6XX</v>
      </c>
      <c r="I8491" t="str">
        <f>VLOOKUP(record[[#This Row],[ProcessSN]],表格2_7[],3,FALSE)</f>
        <v>#07QC</v>
      </c>
      <c r="J8491" t="s">
        <v>589</v>
      </c>
      <c r="K8491" s="195">
        <v>45868.395520833335</v>
      </c>
      <c r="L8491">
        <v>0</v>
      </c>
      <c r="M8491">
        <v>1</v>
      </c>
      <c r="N8491" s="98" t="str">
        <f>IF(record[[#This Row],[Memo]]="Browser:chrome os:android","平板報工",IF(record[[#This Row],[Memo]]=0,"委外",record[[#This Row],[Memo]]))</f>
        <v>平板報工</v>
      </c>
      <c r="O8491" t="s">
        <v>643</v>
      </c>
      <c r="P8491" t="s">
        <v>141</v>
      </c>
      <c r="Q8491" t="s">
        <v>644</v>
      </c>
      <c r="R8491" t="str">
        <f>IFERROR(VLOOKUP(record[[#This Row],[PCUSTID]],廠商[],2,FALSE),"")</f>
        <v/>
      </c>
      <c r="S8491" t="str">
        <f>VLOOKUP(record[[#This Row],[employeeID]],員工[],2,FALSE)</f>
        <v>蔣梅</v>
      </c>
    </row>
    <row r="8492" spans="6:19" hidden="1" x14ac:dyDescent="0.25">
      <c r="F8492" t="s">
        <v>875</v>
      </c>
      <c r="G8492" t="s">
        <v>452</v>
      </c>
      <c r="H8492" t="str">
        <f>VLOOKUP(record[[#This Row],[ProcessSN]],表格2_7[],2,FALSE)</f>
        <v>30-4118-018-6XX</v>
      </c>
      <c r="I8492" t="str">
        <f>VLOOKUP(record[[#This Row],[ProcessSN]],表格2_7[],3,FALSE)</f>
        <v>#07QC</v>
      </c>
      <c r="J8492" t="s">
        <v>589</v>
      </c>
      <c r="K8492" s="195">
        <v>45868.395219907405</v>
      </c>
      <c r="L8492">
        <v>305</v>
      </c>
      <c r="M8492">
        <v>0</v>
      </c>
      <c r="N8492" s="98" t="str">
        <f>IF(record[[#This Row],[Memo]]="Browser:chrome os:android","平板報工",IF(record[[#This Row],[Memo]]=0,"委外",record[[#This Row],[Memo]]))</f>
        <v>平板報工</v>
      </c>
      <c r="O8492" t="s">
        <v>643</v>
      </c>
      <c r="P8492" t="s">
        <v>141</v>
      </c>
      <c r="Q8492" t="s">
        <v>644</v>
      </c>
      <c r="R8492" t="str">
        <f>IFERROR(VLOOKUP(record[[#This Row],[PCUSTID]],廠商[],2,FALSE),"")</f>
        <v/>
      </c>
      <c r="S8492" t="str">
        <f>VLOOKUP(record[[#This Row],[employeeID]],員工[],2,FALSE)</f>
        <v>蔣梅</v>
      </c>
    </row>
    <row r="8493" spans="6:19" hidden="1" x14ac:dyDescent="0.25">
      <c r="F8493" t="s">
        <v>884</v>
      </c>
      <c r="G8493" t="s">
        <v>428</v>
      </c>
      <c r="H8493" t="str">
        <f>VLOOKUP(record[[#This Row],[ProcessSN]],表格2_7[],2,FALSE)</f>
        <v>30-4118-018-600</v>
      </c>
      <c r="I8493" t="str">
        <f>VLOOKUP(record[[#This Row],[ProcessSN]],表格2_7[],3,FALSE)</f>
        <v>#100SHIP</v>
      </c>
      <c r="J8493" t="s">
        <v>600</v>
      </c>
      <c r="K8493" s="195">
        <v>45868.377256944441</v>
      </c>
      <c r="L8493">
        <v>28</v>
      </c>
      <c r="M8493">
        <v>0</v>
      </c>
      <c r="N8493" s="98" t="str">
        <f>IF(record[[#This Row],[Memo]]="Browser:chrome os:android","平板報工",IF(record[[#This Row],[Memo]]=0,"委外",record[[#This Row],[Memo]]))</f>
        <v/>
      </c>
      <c r="O8493" t="s">
        <v>58</v>
      </c>
      <c r="P8493" t="s">
        <v>886</v>
      </c>
      <c r="Q8493" t="s">
        <v>58</v>
      </c>
      <c r="R8493" t="str">
        <f>IFERROR(VLOOKUP(record[[#This Row],[PCUSTID]],廠商[],2,FALSE),"")</f>
        <v/>
      </c>
      <c r="S8493" t="str">
        <f>VLOOKUP(record[[#This Row],[employeeID]],員工[],2,FALSE)</f>
        <v>謝蓁薰</v>
      </c>
    </row>
    <row r="8494" spans="6:19" hidden="1" x14ac:dyDescent="0.25">
      <c r="F8494" t="s">
        <v>884</v>
      </c>
      <c r="G8494" t="s">
        <v>427</v>
      </c>
      <c r="H8494" t="str">
        <f>VLOOKUP(record[[#This Row],[ProcessSN]],表格2_7[],2,FALSE)</f>
        <v>30-4118-018-600</v>
      </c>
      <c r="I8494" t="str">
        <f>VLOOKUP(record[[#This Row],[ProcessSN]],表格2_7[],3,FALSE)</f>
        <v>#100STOCK</v>
      </c>
      <c r="J8494" t="s">
        <v>592</v>
      </c>
      <c r="K8494" s="195">
        <v>45868.377118055556</v>
      </c>
      <c r="L8494">
        <v>28</v>
      </c>
      <c r="M8494">
        <v>0</v>
      </c>
      <c r="N8494" s="98" t="str">
        <f>IF(record[[#This Row],[Memo]]="Browser:chrome os:android","平板報工",IF(record[[#This Row],[Memo]]=0,"委外",record[[#This Row],[Memo]]))</f>
        <v/>
      </c>
      <c r="O8494" t="s">
        <v>58</v>
      </c>
      <c r="P8494" t="s">
        <v>886</v>
      </c>
      <c r="Q8494" t="s">
        <v>58</v>
      </c>
      <c r="R8494" t="str">
        <f>IFERROR(VLOOKUP(record[[#This Row],[PCUSTID]],廠商[],2,FALSE),"")</f>
        <v/>
      </c>
      <c r="S8494" t="str">
        <f>VLOOKUP(record[[#This Row],[employeeID]],員工[],2,FALSE)</f>
        <v>謝蓁薰</v>
      </c>
    </row>
    <row r="8495" spans="6:19" hidden="1" x14ac:dyDescent="0.25">
      <c r="F8495" t="s">
        <v>884</v>
      </c>
      <c r="G8495" t="s">
        <v>428</v>
      </c>
      <c r="H8495" t="str">
        <f>VLOOKUP(record[[#This Row],[ProcessSN]],表格2_7[],2,FALSE)</f>
        <v>30-4118-018-600</v>
      </c>
      <c r="I8495" t="str">
        <f>VLOOKUP(record[[#This Row],[ProcessSN]],表格2_7[],3,FALSE)</f>
        <v>#100SHIP</v>
      </c>
      <c r="J8495" t="s">
        <v>600</v>
      </c>
      <c r="K8495" s="195">
        <v>45868.36246527778</v>
      </c>
      <c r="L8495">
        <v>75</v>
      </c>
      <c r="M8495">
        <v>0</v>
      </c>
      <c r="N8495" s="98" t="str">
        <f>IF(record[[#This Row],[Memo]]="Browser:chrome os:android","平板報工",IF(record[[#This Row],[Memo]]=0,"委外",record[[#This Row],[Memo]]))</f>
        <v/>
      </c>
      <c r="O8495" t="s">
        <v>58</v>
      </c>
      <c r="P8495" t="s">
        <v>886</v>
      </c>
      <c r="Q8495" t="s">
        <v>58</v>
      </c>
      <c r="R8495" t="str">
        <f>IFERROR(VLOOKUP(record[[#This Row],[PCUSTID]],廠商[],2,FALSE),"")</f>
        <v/>
      </c>
      <c r="S8495" t="str">
        <f>VLOOKUP(record[[#This Row],[employeeID]],員工[],2,FALSE)</f>
        <v>謝蓁薰</v>
      </c>
    </row>
    <row r="8496" spans="6:19" hidden="1" x14ac:dyDescent="0.25">
      <c r="F8496" t="s">
        <v>900</v>
      </c>
      <c r="G8496" t="s">
        <v>448</v>
      </c>
      <c r="H8496" t="str">
        <f>VLOOKUP(record[[#This Row],[ProcessSN]],表格2_7[],2,FALSE)</f>
        <v>30-4118-018-6XX</v>
      </c>
      <c r="I8496" t="str">
        <f>VLOOKUP(record[[#This Row],[ProcessSN]],表格2_7[],3,FALSE)</f>
        <v>#04</v>
      </c>
      <c r="J8496" t="s">
        <v>588</v>
      </c>
      <c r="K8496" s="195">
        <v>45868.312592592592</v>
      </c>
      <c r="L8496">
        <v>25</v>
      </c>
      <c r="M8496">
        <v>0</v>
      </c>
      <c r="N8496" s="98" t="str">
        <f>IF(record[[#This Row],[Memo]]="Browser:chrome os:android","平板報工",IF(record[[#This Row],[Memo]]=0,"委外",record[[#This Row],[Memo]]))</f>
        <v>中7/29</v>
      </c>
      <c r="O8496" t="s">
        <v>929</v>
      </c>
      <c r="P8496" t="s">
        <v>135</v>
      </c>
      <c r="Q8496" t="s">
        <v>58</v>
      </c>
      <c r="R8496" t="str">
        <f>IFERROR(VLOOKUP(record[[#This Row],[PCUSTID]],廠商[],2,FALSE),"")</f>
        <v/>
      </c>
      <c r="S8496" t="str">
        <f>VLOOKUP(record[[#This Row],[employeeID]],員工[],2,FALSE)</f>
        <v>阮士文</v>
      </c>
    </row>
    <row r="8497" spans="6:19" hidden="1" x14ac:dyDescent="0.25">
      <c r="F8497" t="s">
        <v>902</v>
      </c>
      <c r="G8497" t="s">
        <v>376</v>
      </c>
      <c r="H8497" t="str">
        <f>VLOOKUP(record[[#This Row],[ProcessSN]],表格2_7[],2,FALSE)</f>
        <v>30-4118-018-4XX</v>
      </c>
      <c r="I8497" t="str">
        <f>VLOOKUP(record[[#This Row],[ProcessSN]],表格2_7[],3,FALSE)</f>
        <v>#06</v>
      </c>
      <c r="J8497" t="s">
        <v>593</v>
      </c>
      <c r="K8497" s="195">
        <v>45868.304212962961</v>
      </c>
      <c r="L8497">
        <v>85</v>
      </c>
      <c r="M8497">
        <v>0</v>
      </c>
      <c r="N8497" s="98" t="str">
        <f>IF(record[[#This Row],[Memo]]="Browser:chrome os:android","平板報工",IF(record[[#This Row],[Memo]]=0,"委外",record[[#This Row],[Memo]]))</f>
        <v/>
      </c>
      <c r="O8497" t="s">
        <v>58</v>
      </c>
      <c r="P8497" t="s">
        <v>135</v>
      </c>
      <c r="Q8497" t="s">
        <v>58</v>
      </c>
      <c r="R8497" t="str">
        <f>IFERROR(VLOOKUP(record[[#This Row],[PCUSTID]],廠商[],2,FALSE),"")</f>
        <v/>
      </c>
      <c r="S8497" t="str">
        <f>VLOOKUP(record[[#This Row],[employeeID]],員工[],2,FALSE)</f>
        <v>阮士文</v>
      </c>
    </row>
    <row r="8498" spans="6:19" hidden="1" x14ac:dyDescent="0.25">
      <c r="F8498" t="s">
        <v>900</v>
      </c>
      <c r="G8498" t="s">
        <v>448</v>
      </c>
      <c r="H8498" t="str">
        <f>VLOOKUP(record[[#This Row],[ProcessSN]],表格2_7[],2,FALSE)</f>
        <v>30-4118-018-6XX</v>
      </c>
      <c r="I8498" t="str">
        <f>VLOOKUP(record[[#This Row],[ProcessSN]],表格2_7[],3,FALSE)</f>
        <v>#04</v>
      </c>
      <c r="J8498" t="s">
        <v>588</v>
      </c>
      <c r="K8498" s="195">
        <v>45868.300185185188</v>
      </c>
      <c r="L8498">
        <v>119</v>
      </c>
      <c r="M8498">
        <v>0</v>
      </c>
      <c r="N8498" s="98" t="str">
        <f>IF(record[[#This Row],[Memo]]="Browser:chrome os:android","平板報工",IF(record[[#This Row],[Memo]]=0,"委外",record[[#This Row],[Memo]]))</f>
        <v/>
      </c>
      <c r="O8498" t="s">
        <v>58</v>
      </c>
      <c r="P8498" t="s">
        <v>135</v>
      </c>
      <c r="Q8498" t="s">
        <v>58</v>
      </c>
      <c r="R8498" t="str">
        <f>IFERROR(VLOOKUP(record[[#This Row],[PCUSTID]],廠商[],2,FALSE),"")</f>
        <v/>
      </c>
      <c r="S8498" t="str">
        <f>VLOOKUP(record[[#This Row],[employeeID]],員工[],2,FALSE)</f>
        <v>阮士文</v>
      </c>
    </row>
    <row r="8499" spans="6:19" hidden="1" x14ac:dyDescent="0.25">
      <c r="F8499" t="s">
        <v>902</v>
      </c>
      <c r="G8499" t="s">
        <v>375</v>
      </c>
      <c r="H8499" t="str">
        <f>VLOOKUP(record[[#This Row],[ProcessSN]],表格2_7[],2,FALSE)</f>
        <v>30-4118-018-4XX</v>
      </c>
      <c r="I8499" t="str">
        <f>VLOOKUP(record[[#This Row],[ProcessSN]],表格2_7[],3,FALSE)</f>
        <v>#05</v>
      </c>
      <c r="J8499" t="s">
        <v>588</v>
      </c>
      <c r="K8499" s="195">
        <v>45868.151192129626</v>
      </c>
      <c r="L8499">
        <v>101</v>
      </c>
      <c r="M8499">
        <v>0</v>
      </c>
      <c r="N8499" s="98" t="str">
        <f>IF(record[[#This Row],[Memo]]="Browser:chrome os:android","平板報工",IF(record[[#This Row],[Memo]]=0,"委外",record[[#This Row],[Memo]]))</f>
        <v/>
      </c>
      <c r="O8499" t="s">
        <v>58</v>
      </c>
      <c r="P8499" t="s">
        <v>133</v>
      </c>
      <c r="Q8499" t="s">
        <v>58</v>
      </c>
      <c r="R8499" t="str">
        <f>IFERROR(VLOOKUP(record[[#This Row],[PCUSTID]],廠商[],2,FALSE),"")</f>
        <v/>
      </c>
      <c r="S8499" t="str">
        <f>VLOOKUP(record[[#This Row],[employeeID]],員工[],2,FALSE)</f>
        <v>黎長維</v>
      </c>
    </row>
    <row r="8500" spans="6:19" hidden="1" x14ac:dyDescent="0.25">
      <c r="F8500" t="s">
        <v>875</v>
      </c>
      <c r="G8500" t="s">
        <v>451</v>
      </c>
      <c r="H8500" t="str">
        <f>VLOOKUP(record[[#This Row],[ProcessSN]],表格2_7[],2,FALSE)</f>
        <v>30-4118-018-6XX</v>
      </c>
      <c r="I8500" t="str">
        <f>VLOOKUP(record[[#This Row],[ProcessSN]],表格2_7[],3,FALSE)</f>
        <v>#07</v>
      </c>
      <c r="J8500" t="s">
        <v>588</v>
      </c>
      <c r="K8500" s="195">
        <v>45868.145648148151</v>
      </c>
      <c r="L8500">
        <v>110</v>
      </c>
      <c r="M8500">
        <v>0</v>
      </c>
      <c r="N8500" s="98" t="str">
        <f>IF(record[[#This Row],[Memo]]="Browser:chrome os:android","平板報工",IF(record[[#This Row],[Memo]]=0,"委外",record[[#This Row],[Memo]]))</f>
        <v/>
      </c>
      <c r="O8500" t="s">
        <v>58</v>
      </c>
      <c r="P8500" t="s">
        <v>133</v>
      </c>
      <c r="Q8500" t="s">
        <v>58</v>
      </c>
      <c r="R8500" t="str">
        <f>IFERROR(VLOOKUP(record[[#This Row],[PCUSTID]],廠商[],2,FALSE),"")</f>
        <v/>
      </c>
      <c r="S8500" t="str">
        <f>VLOOKUP(record[[#This Row],[employeeID]],員工[],2,FALSE)</f>
        <v>黎長維</v>
      </c>
    </row>
    <row r="8501" spans="6:19" hidden="1" x14ac:dyDescent="0.25">
      <c r="F8501" t="s">
        <v>902</v>
      </c>
      <c r="G8501" t="s">
        <v>376</v>
      </c>
      <c r="H8501" t="str">
        <f>VLOOKUP(record[[#This Row],[ProcessSN]],表格2_7[],2,FALSE)</f>
        <v>30-4118-018-4XX</v>
      </c>
      <c r="I8501" t="str">
        <f>VLOOKUP(record[[#This Row],[ProcessSN]],表格2_7[],3,FALSE)</f>
        <v>#06</v>
      </c>
      <c r="J8501" t="s">
        <v>593</v>
      </c>
      <c r="K8501" s="195">
        <v>45867.988819444443</v>
      </c>
      <c r="L8501">
        <v>121</v>
      </c>
      <c r="M8501">
        <v>2</v>
      </c>
      <c r="N8501" s="98" t="str">
        <f>IF(record[[#This Row],[Memo]]="Browser:chrome os:android","平板報工",IF(record[[#This Row],[Memo]]=0,"委外",record[[#This Row],[Memo]]))</f>
        <v/>
      </c>
      <c r="O8501" t="s">
        <v>58</v>
      </c>
      <c r="P8501" t="s">
        <v>841</v>
      </c>
      <c r="Q8501" t="s">
        <v>58</v>
      </c>
      <c r="R8501" t="str">
        <f>IFERROR(VLOOKUP(record[[#This Row],[PCUSTID]],廠商[],2,FALSE),"")</f>
        <v/>
      </c>
      <c r="S8501" t="str">
        <f>VLOOKUP(record[[#This Row],[employeeID]],員工[],2,FALSE)</f>
        <v>范氏香</v>
      </c>
    </row>
    <row r="8502" spans="6:19" hidden="1" x14ac:dyDescent="0.25">
      <c r="F8502" t="s">
        <v>875</v>
      </c>
      <c r="G8502" t="s">
        <v>448</v>
      </c>
      <c r="H8502" t="str">
        <f>VLOOKUP(record[[#This Row],[ProcessSN]],表格2_7[],2,FALSE)</f>
        <v>30-4118-018-6XX</v>
      </c>
      <c r="I8502" t="str">
        <f>VLOOKUP(record[[#This Row],[ProcessSN]],表格2_7[],3,FALSE)</f>
        <v>#04</v>
      </c>
      <c r="J8502" t="s">
        <v>588</v>
      </c>
      <c r="K8502" s="195">
        <v>45867.980775462966</v>
      </c>
      <c r="L8502">
        <v>128</v>
      </c>
      <c r="M8502">
        <v>0</v>
      </c>
      <c r="N8502" s="98" t="str">
        <f>IF(record[[#This Row],[Memo]]="Browser:chrome os:android","平板報工",IF(record[[#This Row],[Memo]]=0,"委外",record[[#This Row],[Memo]]))</f>
        <v/>
      </c>
      <c r="O8502" t="s">
        <v>58</v>
      </c>
      <c r="P8502" t="s">
        <v>133</v>
      </c>
      <c r="Q8502" t="s">
        <v>58</v>
      </c>
      <c r="R8502" t="str">
        <f>IFERROR(VLOOKUP(record[[#This Row],[PCUSTID]],廠商[],2,FALSE),"")</f>
        <v/>
      </c>
      <c r="S8502" t="str">
        <f>VLOOKUP(record[[#This Row],[employeeID]],員工[],2,FALSE)</f>
        <v>黎長維</v>
      </c>
    </row>
    <row r="8503" spans="6:19" hidden="1" x14ac:dyDescent="0.25">
      <c r="F8503" t="s">
        <v>875</v>
      </c>
      <c r="G8503" t="s">
        <v>451</v>
      </c>
      <c r="H8503" t="str">
        <f>VLOOKUP(record[[#This Row],[ProcessSN]],表格2_7[],2,FALSE)</f>
        <v>30-4118-018-6XX</v>
      </c>
      <c r="I8503" t="str">
        <f>VLOOKUP(record[[#This Row],[ProcessSN]],表格2_7[],3,FALSE)</f>
        <v>#07</v>
      </c>
      <c r="J8503" t="s">
        <v>588</v>
      </c>
      <c r="K8503" s="195">
        <v>45867.979664351849</v>
      </c>
      <c r="L8503">
        <v>184</v>
      </c>
      <c r="M8503">
        <v>5</v>
      </c>
      <c r="N8503" s="98" t="str">
        <f>IF(record[[#This Row],[Memo]]="Browser:chrome os:android","平板報工",IF(record[[#This Row],[Memo]]=0,"委外",record[[#This Row],[Memo]]))</f>
        <v/>
      </c>
      <c r="O8503" t="s">
        <v>58</v>
      </c>
      <c r="P8503" t="s">
        <v>133</v>
      </c>
      <c r="Q8503" t="s">
        <v>58</v>
      </c>
      <c r="R8503" t="str">
        <f>IFERROR(VLOOKUP(record[[#This Row],[PCUSTID]],廠商[],2,FALSE),"")</f>
        <v/>
      </c>
      <c r="S8503" t="str">
        <f>VLOOKUP(record[[#This Row],[employeeID]],員工[],2,FALSE)</f>
        <v>黎長維</v>
      </c>
    </row>
    <row r="8504" spans="6:19" hidden="1" x14ac:dyDescent="0.25">
      <c r="F8504" t="s">
        <v>902</v>
      </c>
      <c r="G8504" t="s">
        <v>375</v>
      </c>
      <c r="H8504" t="str">
        <f>VLOOKUP(record[[#This Row],[ProcessSN]],表格2_7[],2,FALSE)</f>
        <v>30-4118-018-4XX</v>
      </c>
      <c r="I8504" t="str">
        <f>VLOOKUP(record[[#This Row],[ProcessSN]],表格2_7[],3,FALSE)</f>
        <v>#05</v>
      </c>
      <c r="J8504" t="s">
        <v>588</v>
      </c>
      <c r="K8504" s="195">
        <v>45867.975937499999</v>
      </c>
      <c r="L8504">
        <v>130</v>
      </c>
      <c r="M8504">
        <v>0</v>
      </c>
      <c r="N8504" s="98" t="str">
        <f>IF(record[[#This Row],[Memo]]="Browser:chrome os:android","平板報工",IF(record[[#This Row],[Memo]]=0,"委外",record[[#This Row],[Memo]]))</f>
        <v/>
      </c>
      <c r="O8504" t="s">
        <v>58</v>
      </c>
      <c r="P8504" t="s">
        <v>691</v>
      </c>
      <c r="Q8504" t="s">
        <v>58</v>
      </c>
      <c r="R8504" t="str">
        <f>IFERROR(VLOOKUP(record[[#This Row],[PCUSTID]],廠商[],2,FALSE),"")</f>
        <v/>
      </c>
      <c r="S8504" t="str">
        <f>VLOOKUP(record[[#This Row],[employeeID]],員工[],2,FALSE)</f>
        <v>武氏賢</v>
      </c>
    </row>
    <row r="8505" spans="6:19" hidden="1" x14ac:dyDescent="0.25">
      <c r="F8505" t="s">
        <v>902</v>
      </c>
      <c r="G8505" t="s">
        <v>375</v>
      </c>
      <c r="H8505" t="str">
        <f>VLOOKUP(record[[#This Row],[ProcessSN]],表格2_7[],2,FALSE)</f>
        <v>30-4118-018-4XX</v>
      </c>
      <c r="I8505" t="str">
        <f>VLOOKUP(record[[#This Row],[ProcessSN]],表格2_7[],3,FALSE)</f>
        <v>#05</v>
      </c>
      <c r="J8505" t="s">
        <v>588</v>
      </c>
      <c r="K8505" s="195">
        <v>45867.837094907409</v>
      </c>
      <c r="L8505">
        <v>125</v>
      </c>
      <c r="M8505">
        <v>0</v>
      </c>
      <c r="N8505" s="98" t="str">
        <f>IF(record[[#This Row],[Memo]]="Browser:chrome os:android","平板報工",IF(record[[#This Row],[Memo]]=0,"委外",record[[#This Row],[Memo]]))</f>
        <v/>
      </c>
      <c r="O8505" t="s">
        <v>58</v>
      </c>
      <c r="P8505" t="s">
        <v>101</v>
      </c>
      <c r="Q8505" t="s">
        <v>58</v>
      </c>
      <c r="R8505" t="str">
        <f>IFERROR(VLOOKUP(record[[#This Row],[PCUSTID]],廠商[],2,FALSE),"")</f>
        <v/>
      </c>
      <c r="S8505" t="str">
        <f>VLOOKUP(record[[#This Row],[employeeID]],員工[],2,FALSE)</f>
        <v>陳氏絨</v>
      </c>
    </row>
    <row r="8506" spans="6:19" hidden="1" x14ac:dyDescent="0.25">
      <c r="F8506" t="s">
        <v>902</v>
      </c>
      <c r="G8506" t="s">
        <v>376</v>
      </c>
      <c r="H8506" t="str">
        <f>VLOOKUP(record[[#This Row],[ProcessSN]],表格2_7[],2,FALSE)</f>
        <v>30-4118-018-4XX</v>
      </c>
      <c r="I8506" t="str">
        <f>VLOOKUP(record[[#This Row],[ProcessSN]],表格2_7[],3,FALSE)</f>
        <v>#06</v>
      </c>
      <c r="J8506" t="s">
        <v>593</v>
      </c>
      <c r="K8506" s="195">
        <v>45867.665659722225</v>
      </c>
      <c r="L8506">
        <v>121</v>
      </c>
      <c r="M8506">
        <v>0</v>
      </c>
      <c r="N8506" s="98" t="str">
        <f>IF(record[[#This Row],[Memo]]="Browser:chrome os:android","平板報工",IF(record[[#This Row],[Memo]]=0,"委外",record[[#This Row],[Memo]]))</f>
        <v/>
      </c>
      <c r="O8506" t="s">
        <v>58</v>
      </c>
      <c r="P8506" t="s">
        <v>101</v>
      </c>
      <c r="Q8506" t="s">
        <v>58</v>
      </c>
      <c r="R8506" t="str">
        <f>IFERROR(VLOOKUP(record[[#This Row],[PCUSTID]],廠商[],2,FALSE),"")</f>
        <v/>
      </c>
      <c r="S8506" t="str">
        <f>VLOOKUP(record[[#This Row],[employeeID]],員工[],2,FALSE)</f>
        <v>陳氏絨</v>
      </c>
    </row>
    <row r="8507" spans="6:19" hidden="1" x14ac:dyDescent="0.25">
      <c r="F8507" t="s">
        <v>890</v>
      </c>
      <c r="G8507" t="s">
        <v>428</v>
      </c>
      <c r="H8507" t="str">
        <f>VLOOKUP(record[[#This Row],[ProcessSN]],表格2_7[],2,FALSE)</f>
        <v>30-4118-018-600</v>
      </c>
      <c r="I8507" t="str">
        <f>VLOOKUP(record[[#This Row],[ProcessSN]],表格2_7[],3,FALSE)</f>
        <v>#100SHIP</v>
      </c>
      <c r="J8507" t="s">
        <v>600</v>
      </c>
      <c r="K8507" s="195">
        <v>45867.657870370371</v>
      </c>
      <c r="L8507">
        <v>128</v>
      </c>
      <c r="M8507">
        <v>0</v>
      </c>
      <c r="N8507" s="98" t="str">
        <f>IF(record[[#This Row],[Memo]]="Browser:chrome os:android","平板報工",IF(record[[#This Row],[Memo]]=0,"委外",record[[#This Row],[Memo]]))</f>
        <v/>
      </c>
      <c r="O8507" t="s">
        <v>58</v>
      </c>
      <c r="P8507" t="s">
        <v>886</v>
      </c>
      <c r="Q8507" t="s">
        <v>58</v>
      </c>
      <c r="R8507" t="str">
        <f>IFERROR(VLOOKUP(record[[#This Row],[PCUSTID]],廠商[],2,FALSE),"")</f>
        <v/>
      </c>
      <c r="S8507" t="str">
        <f>VLOOKUP(record[[#This Row],[employeeID]],員工[],2,FALSE)</f>
        <v>謝蓁薰</v>
      </c>
    </row>
    <row r="8508" spans="6:19" hidden="1" x14ac:dyDescent="0.25">
      <c r="F8508" t="s">
        <v>875</v>
      </c>
      <c r="G8508" t="s">
        <v>448</v>
      </c>
      <c r="H8508" t="str">
        <f>VLOOKUP(record[[#This Row],[ProcessSN]],表格2_7[],2,FALSE)</f>
        <v>30-4118-018-6XX</v>
      </c>
      <c r="I8508" t="str">
        <f>VLOOKUP(record[[#This Row],[ProcessSN]],表格2_7[],3,FALSE)</f>
        <v>#04</v>
      </c>
      <c r="J8508" t="s">
        <v>588</v>
      </c>
      <c r="K8508" s="195">
        <v>45867.655972222223</v>
      </c>
      <c r="L8508">
        <v>55</v>
      </c>
      <c r="M8508">
        <v>6</v>
      </c>
      <c r="N8508" s="98" t="str">
        <f>IF(record[[#This Row],[Memo]]="Browser:chrome os:android","平板報工",IF(record[[#This Row],[Memo]]=0,"委外",record[[#This Row],[Memo]]))</f>
        <v/>
      </c>
      <c r="O8508" t="s">
        <v>58</v>
      </c>
      <c r="P8508" t="s">
        <v>101</v>
      </c>
      <c r="Q8508" t="s">
        <v>58</v>
      </c>
      <c r="R8508" t="str">
        <f>IFERROR(VLOOKUP(record[[#This Row],[PCUSTID]],廠商[],2,FALSE),"")</f>
        <v/>
      </c>
      <c r="S8508" t="str">
        <f>VLOOKUP(record[[#This Row],[employeeID]],員工[],2,FALSE)</f>
        <v>陳氏絨</v>
      </c>
    </row>
    <row r="8509" spans="6:19" hidden="1" x14ac:dyDescent="0.25">
      <c r="F8509" t="s">
        <v>902</v>
      </c>
      <c r="G8509" t="s">
        <v>374</v>
      </c>
      <c r="H8509" t="str">
        <f>VLOOKUP(record[[#This Row],[ProcessSN]],表格2_7[],2,FALSE)</f>
        <v>30-4118-018-4XX</v>
      </c>
      <c r="I8509" t="str">
        <f>VLOOKUP(record[[#This Row],[ProcessSN]],表格2_7[],3,FALSE)</f>
        <v>#04</v>
      </c>
      <c r="J8509" t="s">
        <v>588</v>
      </c>
      <c r="K8509" s="195">
        <v>45867.655636574076</v>
      </c>
      <c r="L8509">
        <v>76</v>
      </c>
      <c r="M8509">
        <v>0</v>
      </c>
      <c r="N8509" s="98" t="str">
        <f>IF(record[[#This Row],[Memo]]="Browser:chrome os:android","平板報工",IF(record[[#This Row],[Memo]]=0,"委外",record[[#This Row],[Memo]]))</f>
        <v/>
      </c>
      <c r="O8509" t="s">
        <v>58</v>
      </c>
      <c r="P8509" t="s">
        <v>101</v>
      </c>
      <c r="Q8509" t="s">
        <v>58</v>
      </c>
      <c r="R8509" t="str">
        <f>IFERROR(VLOOKUP(record[[#This Row],[PCUSTID]],廠商[],2,FALSE),"")</f>
        <v/>
      </c>
      <c r="S8509" t="str">
        <f>VLOOKUP(record[[#This Row],[employeeID]],員工[],2,FALSE)</f>
        <v>陳氏絨</v>
      </c>
    </row>
    <row r="8510" spans="6:19" hidden="1" x14ac:dyDescent="0.25">
      <c r="F8510" t="s">
        <v>897</v>
      </c>
      <c r="G8510" t="s">
        <v>418</v>
      </c>
      <c r="H8510" t="str">
        <f>VLOOKUP(record[[#This Row],[ProcessSN]],表格2_7[],2,FALSE)</f>
        <v>30-4118-018-5XX</v>
      </c>
      <c r="I8510" t="str">
        <f>VLOOKUP(record[[#This Row],[ProcessSN]],表格2_7[],3,FALSE)</f>
        <v>#07</v>
      </c>
      <c r="J8510" t="s">
        <v>588</v>
      </c>
      <c r="K8510" s="195">
        <v>45867.654733796298</v>
      </c>
      <c r="L8510">
        <v>88</v>
      </c>
      <c r="M8510">
        <v>0</v>
      </c>
      <c r="N8510" s="98" t="str">
        <f>IF(record[[#This Row],[Memo]]="Browser:chrome os:android","平板報工",IF(record[[#This Row],[Memo]]=0,"委外",record[[#This Row],[Memo]]))</f>
        <v/>
      </c>
      <c r="O8510" t="s">
        <v>58</v>
      </c>
      <c r="P8510" t="s">
        <v>101</v>
      </c>
      <c r="Q8510" t="s">
        <v>58</v>
      </c>
      <c r="R8510" t="str">
        <f>IFERROR(VLOOKUP(record[[#This Row],[PCUSTID]],廠商[],2,FALSE),"")</f>
        <v/>
      </c>
      <c r="S8510" t="str">
        <f>VLOOKUP(record[[#This Row],[employeeID]],員工[],2,FALSE)</f>
        <v>陳氏絨</v>
      </c>
    </row>
    <row r="8511" spans="6:19" hidden="1" x14ac:dyDescent="0.25">
      <c r="F8511" t="s">
        <v>875</v>
      </c>
      <c r="G8511" t="s">
        <v>451</v>
      </c>
      <c r="H8511" t="str">
        <f>VLOOKUP(record[[#This Row],[ProcessSN]],表格2_7[],2,FALSE)</f>
        <v>30-4118-018-6XX</v>
      </c>
      <c r="I8511" t="str">
        <f>VLOOKUP(record[[#This Row],[ProcessSN]],表格2_7[],3,FALSE)</f>
        <v>#07</v>
      </c>
      <c r="J8511" t="s">
        <v>588</v>
      </c>
      <c r="K8511" s="195">
        <v>45867.654409722221</v>
      </c>
      <c r="L8511">
        <v>73</v>
      </c>
      <c r="M8511">
        <v>4</v>
      </c>
      <c r="N8511" s="98" t="str">
        <f>IF(record[[#This Row],[Memo]]="Browser:chrome os:android","平板報工",IF(record[[#This Row],[Memo]]=0,"委外",record[[#This Row],[Memo]]))</f>
        <v/>
      </c>
      <c r="O8511" t="s">
        <v>58</v>
      </c>
      <c r="P8511" t="s">
        <v>101</v>
      </c>
      <c r="Q8511" t="s">
        <v>58</v>
      </c>
      <c r="R8511" t="str">
        <f>IFERROR(VLOOKUP(record[[#This Row],[PCUSTID]],廠商[],2,FALSE),"")</f>
        <v/>
      </c>
      <c r="S8511" t="str">
        <f>VLOOKUP(record[[#This Row],[employeeID]],員工[],2,FALSE)</f>
        <v>陳氏絨</v>
      </c>
    </row>
    <row r="8512" spans="6:19" hidden="1" x14ac:dyDescent="0.25">
      <c r="F8512" t="s">
        <v>902</v>
      </c>
      <c r="G8512" t="s">
        <v>375</v>
      </c>
      <c r="H8512" t="str">
        <f>VLOOKUP(record[[#This Row],[ProcessSN]],表格2_7[],2,FALSE)</f>
        <v>30-4118-018-4XX</v>
      </c>
      <c r="I8512" t="str">
        <f>VLOOKUP(record[[#This Row],[ProcessSN]],表格2_7[],3,FALSE)</f>
        <v>#05</v>
      </c>
      <c r="J8512" t="s">
        <v>588</v>
      </c>
      <c r="K8512" s="195">
        <v>45867.652962962966</v>
      </c>
      <c r="L8512">
        <v>284</v>
      </c>
      <c r="M8512">
        <v>0</v>
      </c>
      <c r="N8512" s="98" t="str">
        <f>IF(record[[#This Row],[Memo]]="Browser:chrome os:android","平板報工",IF(record[[#This Row],[Memo]]=0,"委外",record[[#This Row],[Memo]]))</f>
        <v/>
      </c>
      <c r="O8512" t="s">
        <v>58</v>
      </c>
      <c r="P8512" t="s">
        <v>101</v>
      </c>
      <c r="Q8512" t="s">
        <v>58</v>
      </c>
      <c r="R8512" t="str">
        <f>IFERROR(VLOOKUP(record[[#This Row],[PCUSTID]],廠商[],2,FALSE),"")</f>
        <v/>
      </c>
      <c r="S8512" t="str">
        <f>VLOOKUP(record[[#This Row],[employeeID]],員工[],2,FALSE)</f>
        <v>陳氏絨</v>
      </c>
    </row>
    <row r="8513" spans="6:19" hidden="1" x14ac:dyDescent="0.25">
      <c r="F8513" t="s">
        <v>890</v>
      </c>
      <c r="G8513" t="s">
        <v>428</v>
      </c>
      <c r="H8513" t="str">
        <f>VLOOKUP(record[[#This Row],[ProcessSN]],表格2_7[],2,FALSE)</f>
        <v>30-4118-018-600</v>
      </c>
      <c r="I8513" t="str">
        <f>VLOOKUP(record[[#This Row],[ProcessSN]],表格2_7[],3,FALSE)</f>
        <v>#100SHIP</v>
      </c>
      <c r="J8513" t="s">
        <v>600</v>
      </c>
      <c r="K8513" s="195">
        <v>45867.642326388886</v>
      </c>
      <c r="L8513">
        <v>128</v>
      </c>
      <c r="M8513">
        <v>0</v>
      </c>
      <c r="N8513" s="98" t="str">
        <f>IF(record[[#This Row],[Memo]]="Browser:chrome os:android","平板報工",IF(record[[#This Row],[Memo]]=0,"委外",record[[#This Row],[Memo]]))</f>
        <v/>
      </c>
      <c r="O8513" t="s">
        <v>58</v>
      </c>
      <c r="P8513" t="s">
        <v>886</v>
      </c>
      <c r="Q8513" t="s">
        <v>58</v>
      </c>
      <c r="R8513" t="str">
        <f>IFERROR(VLOOKUP(record[[#This Row],[PCUSTID]],廠商[],2,FALSE),"")</f>
        <v/>
      </c>
      <c r="S8513" t="str">
        <f>VLOOKUP(record[[#This Row],[employeeID]],員工[],2,FALSE)</f>
        <v>謝蓁薰</v>
      </c>
    </row>
    <row r="8514" spans="6:19" hidden="1" x14ac:dyDescent="0.25">
      <c r="F8514" t="s">
        <v>927</v>
      </c>
      <c r="G8514" t="s">
        <v>397</v>
      </c>
      <c r="H8514" t="str">
        <f>VLOOKUP(record[[#This Row],[ProcessSN]],表格2_7[],2,FALSE)</f>
        <v>30-4118-018-550</v>
      </c>
      <c r="I8514" t="str">
        <f>VLOOKUP(record[[#This Row],[ProcessSN]],表格2_7[],3,FALSE)</f>
        <v>#08</v>
      </c>
      <c r="J8514" t="s">
        <v>597</v>
      </c>
      <c r="K8514" s="195">
        <v>45867.566967592589</v>
      </c>
      <c r="L8514">
        <v>321</v>
      </c>
      <c r="M8514">
        <v>0</v>
      </c>
      <c r="N8514" s="98" t="str">
        <f>IF(record[[#This Row],[Memo]]="Browser:chrome os:android","平板報工",IF(record[[#This Row],[Memo]]=0,"委外",record[[#This Row],[Memo]]))</f>
        <v/>
      </c>
      <c r="O8514" t="s">
        <v>58</v>
      </c>
      <c r="P8514" t="s">
        <v>186</v>
      </c>
      <c r="Q8514" t="s">
        <v>287</v>
      </c>
      <c r="R8514" t="str">
        <f>IFERROR(VLOOKUP(record[[#This Row],[PCUSTID]],廠商[],2,FALSE),"")</f>
        <v>泉盛</v>
      </c>
      <c r="S8514" t="str">
        <f>VLOOKUP(record[[#This Row],[employeeID]],員工[],2,FALSE)</f>
        <v>許文姍</v>
      </c>
    </row>
    <row r="8515" spans="6:19" hidden="1" x14ac:dyDescent="0.25">
      <c r="F8515" t="s">
        <v>877</v>
      </c>
      <c r="G8515" t="s">
        <v>420</v>
      </c>
      <c r="H8515" t="str">
        <f>VLOOKUP(record[[#This Row],[ProcessSN]],表格2_7[],2,FALSE)</f>
        <v>30-4118-018-5XX</v>
      </c>
      <c r="I8515" t="str">
        <f>VLOOKUP(record[[#This Row],[ProcessSN]],表格2_7[],3,FALSE)</f>
        <v>#07STOCK</v>
      </c>
      <c r="J8515" t="s">
        <v>592</v>
      </c>
      <c r="K8515" s="195">
        <v>45867.546168981484</v>
      </c>
      <c r="L8515">
        <v>1</v>
      </c>
      <c r="M8515">
        <v>0</v>
      </c>
      <c r="N8515" s="98" t="str">
        <f>IF(record[[#This Row],[Memo]]="Browser:chrome os:android","平板報工",IF(record[[#This Row],[Memo]]=0,"委外",record[[#This Row],[Memo]]))</f>
        <v/>
      </c>
      <c r="O8515" t="s">
        <v>58</v>
      </c>
      <c r="P8515" t="s">
        <v>65</v>
      </c>
      <c r="Q8515" t="s">
        <v>58</v>
      </c>
      <c r="R8515" t="str">
        <f>IFERROR(VLOOKUP(record[[#This Row],[PCUSTID]],廠商[],2,FALSE),"")</f>
        <v/>
      </c>
      <c r="S8515" t="str">
        <f>VLOOKUP(record[[#This Row],[employeeID]],員工[],2,FALSE)</f>
        <v>蘇進昌</v>
      </c>
    </row>
    <row r="8516" spans="6:19" hidden="1" x14ac:dyDescent="0.25">
      <c r="F8516" t="s">
        <v>927</v>
      </c>
      <c r="G8516" t="s">
        <v>396</v>
      </c>
      <c r="H8516" t="str">
        <f>VLOOKUP(record[[#This Row],[ProcessSN]],表格2_7[],2,FALSE)</f>
        <v>30-4118-018-550</v>
      </c>
      <c r="I8516" t="str">
        <f>VLOOKUP(record[[#This Row],[ProcessSN]],表格2_7[],3,FALSE)</f>
        <v>#08PICK</v>
      </c>
      <c r="J8516" t="s">
        <v>582</v>
      </c>
      <c r="K8516" s="195">
        <v>45867.462824074071</v>
      </c>
      <c r="L8516">
        <v>321</v>
      </c>
      <c r="M8516">
        <v>0</v>
      </c>
      <c r="N8516" s="98" t="str">
        <f>IF(record[[#This Row],[Memo]]="Browser:chrome os:android","平板報工",IF(record[[#This Row],[Memo]]=0,"委外",record[[#This Row],[Memo]]))</f>
        <v/>
      </c>
      <c r="O8516" t="s">
        <v>58</v>
      </c>
      <c r="P8516" t="s">
        <v>65</v>
      </c>
      <c r="Q8516" t="s">
        <v>58</v>
      </c>
      <c r="R8516" t="str">
        <f>IFERROR(VLOOKUP(record[[#This Row],[PCUSTID]],廠商[],2,FALSE),"")</f>
        <v/>
      </c>
      <c r="S8516" t="str">
        <f>VLOOKUP(record[[#This Row],[employeeID]],員工[],2,FALSE)</f>
        <v>蘇進昌</v>
      </c>
    </row>
    <row r="8517" spans="6:19" hidden="1" x14ac:dyDescent="0.25">
      <c r="F8517" t="s">
        <v>875</v>
      </c>
      <c r="G8517" t="s">
        <v>452</v>
      </c>
      <c r="H8517" t="str">
        <f>VLOOKUP(record[[#This Row],[ProcessSN]],表格2_7[],2,FALSE)</f>
        <v>30-4118-018-6XX</v>
      </c>
      <c r="I8517" t="str">
        <f>VLOOKUP(record[[#This Row],[ProcessSN]],表格2_7[],3,FALSE)</f>
        <v>#07QC</v>
      </c>
      <c r="J8517" t="s">
        <v>589</v>
      </c>
      <c r="K8517" s="195">
        <v>45867.453159722223</v>
      </c>
      <c r="L8517">
        <v>2</v>
      </c>
      <c r="M8517">
        <v>0</v>
      </c>
      <c r="N8517" s="98" t="str">
        <f>IF(record[[#This Row],[Memo]]="Browser:chrome os:android","平板報工",IF(record[[#This Row],[Memo]]=0,"委外",record[[#This Row],[Memo]]))</f>
        <v>平板報工</v>
      </c>
      <c r="O8517" t="s">
        <v>643</v>
      </c>
      <c r="P8517" t="s">
        <v>141</v>
      </c>
      <c r="Q8517" t="s">
        <v>644</v>
      </c>
      <c r="R8517" t="str">
        <f>IFERROR(VLOOKUP(record[[#This Row],[PCUSTID]],廠商[],2,FALSE),"")</f>
        <v/>
      </c>
      <c r="S8517" t="str">
        <f>VLOOKUP(record[[#This Row],[employeeID]],員工[],2,FALSE)</f>
        <v>蔣梅</v>
      </c>
    </row>
    <row r="8518" spans="6:19" hidden="1" x14ac:dyDescent="0.25">
      <c r="F8518" t="s">
        <v>864</v>
      </c>
      <c r="G8518" t="s">
        <v>452</v>
      </c>
      <c r="H8518" t="str">
        <f>VLOOKUP(record[[#This Row],[ProcessSN]],表格2_7[],2,FALSE)</f>
        <v>30-4118-018-6XX</v>
      </c>
      <c r="I8518" t="str">
        <f>VLOOKUP(record[[#This Row],[ProcessSN]],表格2_7[],3,FALSE)</f>
        <v>#07QC</v>
      </c>
      <c r="J8518" t="s">
        <v>589</v>
      </c>
      <c r="K8518" s="195">
        <v>45867.452731481484</v>
      </c>
      <c r="L8518">
        <v>3</v>
      </c>
      <c r="M8518">
        <v>0</v>
      </c>
      <c r="N8518" s="98" t="str">
        <f>IF(record[[#This Row],[Memo]]="Browser:chrome os:android","平板報工",IF(record[[#This Row],[Memo]]=0,"委外",record[[#This Row],[Memo]]))</f>
        <v>平板報工</v>
      </c>
      <c r="O8518" t="s">
        <v>643</v>
      </c>
      <c r="P8518" t="s">
        <v>141</v>
      </c>
      <c r="Q8518" t="s">
        <v>644</v>
      </c>
      <c r="R8518" t="str">
        <f>IFERROR(VLOOKUP(record[[#This Row],[PCUSTID]],廠商[],2,FALSE),"")</f>
        <v/>
      </c>
      <c r="S8518" t="str">
        <f>VLOOKUP(record[[#This Row],[employeeID]],員工[],2,FALSE)</f>
        <v>蔣梅</v>
      </c>
    </row>
    <row r="8519" spans="6:19" hidden="1" x14ac:dyDescent="0.25">
      <c r="F8519" t="s">
        <v>877</v>
      </c>
      <c r="G8519" t="s">
        <v>419</v>
      </c>
      <c r="H8519" t="str">
        <f>VLOOKUP(record[[#This Row],[ProcessSN]],表格2_7[],2,FALSE)</f>
        <v>30-4118-018-5XX</v>
      </c>
      <c r="I8519" t="str">
        <f>VLOOKUP(record[[#This Row],[ProcessSN]],表格2_7[],3,FALSE)</f>
        <v>#07QC</v>
      </c>
      <c r="J8519" t="s">
        <v>589</v>
      </c>
      <c r="K8519" s="195">
        <v>45867.449953703705</v>
      </c>
      <c r="L8519">
        <v>1</v>
      </c>
      <c r="M8519">
        <v>0</v>
      </c>
      <c r="N8519" s="98" t="str">
        <f>IF(record[[#This Row],[Memo]]="Browser:chrome os:android","平板報工",IF(record[[#This Row],[Memo]]=0,"委外",record[[#This Row],[Memo]]))</f>
        <v>平板報工</v>
      </c>
      <c r="O8519" t="s">
        <v>643</v>
      </c>
      <c r="P8519" t="s">
        <v>141</v>
      </c>
      <c r="Q8519" t="s">
        <v>644</v>
      </c>
      <c r="R8519" t="str">
        <f>IFERROR(VLOOKUP(record[[#This Row],[PCUSTID]],廠商[],2,FALSE),"")</f>
        <v/>
      </c>
      <c r="S8519" t="str">
        <f>VLOOKUP(record[[#This Row],[employeeID]],員工[],2,FALSE)</f>
        <v>蔣梅</v>
      </c>
    </row>
    <row r="8520" spans="6:19" hidden="1" x14ac:dyDescent="0.25">
      <c r="F8520" t="s">
        <v>864</v>
      </c>
      <c r="G8520" t="s">
        <v>452</v>
      </c>
      <c r="H8520" t="str">
        <f>VLOOKUP(record[[#This Row],[ProcessSN]],表格2_7[],2,FALSE)</f>
        <v>30-4118-018-6XX</v>
      </c>
      <c r="I8520" t="str">
        <f>VLOOKUP(record[[#This Row],[ProcessSN]],表格2_7[],3,FALSE)</f>
        <v>#07QC</v>
      </c>
      <c r="J8520" t="s">
        <v>589</v>
      </c>
      <c r="K8520" s="195">
        <v>45867.413865740738</v>
      </c>
      <c r="L8520">
        <v>0</v>
      </c>
      <c r="M8520">
        <v>-3</v>
      </c>
      <c r="N8520" s="98" t="str">
        <f>IF(record[[#This Row],[Memo]]="Browser:chrome os:android","平板報工",IF(record[[#This Row],[Memo]]=0,"委外",record[[#This Row],[Memo]]))</f>
        <v>覆回品</v>
      </c>
      <c r="O8520" t="s">
        <v>664</v>
      </c>
      <c r="P8520" t="s">
        <v>65</v>
      </c>
      <c r="Q8520" t="s">
        <v>644</v>
      </c>
      <c r="R8520" t="str">
        <f>IFERROR(VLOOKUP(record[[#This Row],[PCUSTID]],廠商[],2,FALSE),"")</f>
        <v/>
      </c>
      <c r="S8520" t="str">
        <f>VLOOKUP(record[[#This Row],[employeeID]],員工[],2,FALSE)</f>
        <v>蘇進昌</v>
      </c>
    </row>
    <row r="8521" spans="6:19" hidden="1" x14ac:dyDescent="0.25">
      <c r="F8521" t="s">
        <v>897</v>
      </c>
      <c r="G8521" t="s">
        <v>419</v>
      </c>
      <c r="H8521" t="str">
        <f>VLOOKUP(record[[#This Row],[ProcessSN]],表格2_7[],2,FALSE)</f>
        <v>30-4118-018-5XX</v>
      </c>
      <c r="I8521" t="str">
        <f>VLOOKUP(record[[#This Row],[ProcessSN]],表格2_7[],3,FALSE)</f>
        <v>#07QC</v>
      </c>
      <c r="J8521" t="s">
        <v>589</v>
      </c>
      <c r="K8521" s="195">
        <v>45867.412812499999</v>
      </c>
      <c r="L8521">
        <v>0</v>
      </c>
      <c r="M8521">
        <v>10</v>
      </c>
      <c r="N8521" s="98" t="str">
        <f>IF(record[[#This Row],[Memo]]="Browser:chrome os:android","平板報工",IF(record[[#This Row],[Memo]]=0,"委外",record[[#This Row],[Memo]]))</f>
        <v>平板報工</v>
      </c>
      <c r="O8521" t="s">
        <v>643</v>
      </c>
      <c r="P8521" t="s">
        <v>141</v>
      </c>
      <c r="Q8521" t="s">
        <v>644</v>
      </c>
      <c r="R8521" t="str">
        <f>IFERROR(VLOOKUP(record[[#This Row],[PCUSTID]],廠商[],2,FALSE),"")</f>
        <v/>
      </c>
      <c r="S8521" t="str">
        <f>VLOOKUP(record[[#This Row],[employeeID]],員工[],2,FALSE)</f>
        <v>蔣梅</v>
      </c>
    </row>
    <row r="8522" spans="6:19" hidden="1" x14ac:dyDescent="0.25">
      <c r="F8522" t="s">
        <v>897</v>
      </c>
      <c r="G8522" t="s">
        <v>419</v>
      </c>
      <c r="H8522" t="str">
        <f>VLOOKUP(record[[#This Row],[ProcessSN]],表格2_7[],2,FALSE)</f>
        <v>30-4118-018-5XX</v>
      </c>
      <c r="I8522" t="str">
        <f>VLOOKUP(record[[#This Row],[ProcessSN]],表格2_7[],3,FALSE)</f>
        <v>#07QC</v>
      </c>
      <c r="J8522" t="s">
        <v>589</v>
      </c>
      <c r="K8522" s="195">
        <v>45867.412546296298</v>
      </c>
      <c r="L8522">
        <v>320</v>
      </c>
      <c r="M8522">
        <v>0</v>
      </c>
      <c r="N8522" s="98" t="str">
        <f>IF(record[[#This Row],[Memo]]="Browser:chrome os:android","平板報工",IF(record[[#This Row],[Memo]]=0,"委外",record[[#This Row],[Memo]]))</f>
        <v>平板報工</v>
      </c>
      <c r="O8522" t="s">
        <v>643</v>
      </c>
      <c r="P8522" t="s">
        <v>141</v>
      </c>
      <c r="Q8522" t="s">
        <v>644</v>
      </c>
      <c r="R8522" t="str">
        <f>IFERROR(VLOOKUP(record[[#This Row],[PCUSTID]],廠商[],2,FALSE),"")</f>
        <v/>
      </c>
      <c r="S8522" t="str">
        <f>VLOOKUP(record[[#This Row],[employeeID]],員工[],2,FALSE)</f>
        <v>蔣梅</v>
      </c>
    </row>
    <row r="8523" spans="6:19" hidden="1" x14ac:dyDescent="0.25">
      <c r="F8523" t="s">
        <v>875</v>
      </c>
      <c r="G8523" t="s">
        <v>452</v>
      </c>
      <c r="H8523" t="str">
        <f>VLOOKUP(record[[#This Row],[ProcessSN]],表格2_7[],2,FALSE)</f>
        <v>30-4118-018-6XX</v>
      </c>
      <c r="I8523" t="str">
        <f>VLOOKUP(record[[#This Row],[ProcessSN]],表格2_7[],3,FALSE)</f>
        <v>#07QC</v>
      </c>
      <c r="J8523" t="s">
        <v>589</v>
      </c>
      <c r="K8523" s="195">
        <v>45867.367905092593</v>
      </c>
      <c r="L8523">
        <v>0</v>
      </c>
      <c r="M8523">
        <v>-2</v>
      </c>
      <c r="N8523" s="98" t="str">
        <f>IF(record[[#This Row],[Memo]]="Browser:chrome os:android","平板報工",IF(record[[#This Row],[Memo]]=0,"委外",record[[#This Row],[Memo]]))</f>
        <v>覆回品</v>
      </c>
      <c r="O8523" t="s">
        <v>664</v>
      </c>
      <c r="P8523" t="s">
        <v>65</v>
      </c>
      <c r="Q8523" t="s">
        <v>644</v>
      </c>
      <c r="R8523" t="str">
        <f>IFERROR(VLOOKUP(record[[#This Row],[PCUSTID]],廠商[],2,FALSE),"")</f>
        <v/>
      </c>
      <c r="S8523" t="str">
        <f>VLOOKUP(record[[#This Row],[employeeID]],員工[],2,FALSE)</f>
        <v>蘇進昌</v>
      </c>
    </row>
    <row r="8524" spans="6:19" hidden="1" x14ac:dyDescent="0.25">
      <c r="F8524" t="s">
        <v>902</v>
      </c>
      <c r="G8524" t="s">
        <v>374</v>
      </c>
      <c r="H8524" t="str">
        <f>VLOOKUP(record[[#This Row],[ProcessSN]],表格2_7[],2,FALSE)</f>
        <v>30-4118-018-4XX</v>
      </c>
      <c r="I8524" t="str">
        <f>VLOOKUP(record[[#This Row],[ProcessSN]],表格2_7[],3,FALSE)</f>
        <v>#04</v>
      </c>
      <c r="J8524" t="s">
        <v>588</v>
      </c>
      <c r="K8524" s="195">
        <v>45867.310787037037</v>
      </c>
      <c r="L8524">
        <v>174</v>
      </c>
      <c r="M8524">
        <v>0</v>
      </c>
      <c r="N8524" s="98" t="str">
        <f>IF(record[[#This Row],[Memo]]="Browser:chrome os:android","平板報工",IF(record[[#This Row],[Memo]]=0,"委外",record[[#This Row],[Memo]]))</f>
        <v/>
      </c>
      <c r="O8524" t="s">
        <v>58</v>
      </c>
      <c r="P8524" t="s">
        <v>135</v>
      </c>
      <c r="Q8524" t="s">
        <v>58</v>
      </c>
      <c r="R8524" t="str">
        <f>IFERROR(VLOOKUP(record[[#This Row],[PCUSTID]],廠商[],2,FALSE),"")</f>
        <v/>
      </c>
      <c r="S8524" t="str">
        <f>VLOOKUP(record[[#This Row],[employeeID]],員工[],2,FALSE)</f>
        <v>阮士文</v>
      </c>
    </row>
    <row r="8525" spans="6:19" hidden="1" x14ac:dyDescent="0.25">
      <c r="F8525" t="s">
        <v>902</v>
      </c>
      <c r="G8525" t="s">
        <v>376</v>
      </c>
      <c r="H8525" t="str">
        <f>VLOOKUP(record[[#This Row],[ProcessSN]],表格2_7[],2,FALSE)</f>
        <v>30-4118-018-4XX</v>
      </c>
      <c r="I8525" t="str">
        <f>VLOOKUP(record[[#This Row],[ProcessSN]],表格2_7[],3,FALSE)</f>
        <v>#06</v>
      </c>
      <c r="J8525" t="s">
        <v>593</v>
      </c>
      <c r="K8525" s="195">
        <v>45867.129479166666</v>
      </c>
      <c r="L8525">
        <v>61</v>
      </c>
      <c r="M8525">
        <v>0</v>
      </c>
      <c r="N8525" s="98" t="str">
        <f>IF(record[[#This Row],[Memo]]="Browser:chrome os:android","平板報工",IF(record[[#This Row],[Memo]]=0,"委外",record[[#This Row],[Memo]]))</f>
        <v>平板報工</v>
      </c>
      <c r="O8525" t="s">
        <v>643</v>
      </c>
      <c r="P8525" t="s">
        <v>841</v>
      </c>
      <c r="Q8525" t="s">
        <v>644</v>
      </c>
      <c r="R8525" t="str">
        <f>IFERROR(VLOOKUP(record[[#This Row],[PCUSTID]],廠商[],2,FALSE),"")</f>
        <v/>
      </c>
      <c r="S8525" t="str">
        <f>VLOOKUP(record[[#This Row],[employeeID]],員工[],2,FALSE)</f>
        <v>范氏香</v>
      </c>
    </row>
    <row r="8526" spans="6:19" hidden="1" x14ac:dyDescent="0.25">
      <c r="F8526" t="s">
        <v>902</v>
      </c>
      <c r="G8526" t="s">
        <v>376</v>
      </c>
      <c r="H8526" t="str">
        <f>VLOOKUP(record[[#This Row],[ProcessSN]],表格2_7[],2,FALSE)</f>
        <v>30-4118-018-4XX</v>
      </c>
      <c r="I8526" t="str">
        <f>VLOOKUP(record[[#This Row],[ProcessSN]],表格2_7[],3,FALSE)</f>
        <v>#06</v>
      </c>
      <c r="J8526" t="s">
        <v>593</v>
      </c>
      <c r="K8526" s="195">
        <v>45866.984189814815</v>
      </c>
      <c r="L8526">
        <v>65</v>
      </c>
      <c r="M8526">
        <v>0</v>
      </c>
      <c r="N8526" s="98" t="str">
        <f>IF(record[[#This Row],[Memo]]="Browser:chrome os:android","平板報工",IF(record[[#This Row],[Memo]]=0,"委外",record[[#This Row],[Memo]]))</f>
        <v/>
      </c>
      <c r="O8526" t="s">
        <v>58</v>
      </c>
      <c r="P8526" t="s">
        <v>841</v>
      </c>
      <c r="Q8526" t="s">
        <v>58</v>
      </c>
      <c r="R8526" t="str">
        <f>IFERROR(VLOOKUP(record[[#This Row],[PCUSTID]],廠商[],2,FALSE),"")</f>
        <v/>
      </c>
      <c r="S8526" t="str">
        <f>VLOOKUP(record[[#This Row],[employeeID]],員工[],2,FALSE)</f>
        <v>范氏香</v>
      </c>
    </row>
    <row r="8527" spans="6:19" hidden="1" x14ac:dyDescent="0.25">
      <c r="F8527" t="s">
        <v>875</v>
      </c>
      <c r="G8527" t="s">
        <v>450</v>
      </c>
      <c r="H8527" t="str">
        <f>VLOOKUP(record[[#This Row],[ProcessSN]],表格2_7[],2,FALSE)</f>
        <v>30-4118-018-6XX</v>
      </c>
      <c r="I8527" t="str">
        <f>VLOOKUP(record[[#This Row],[ProcessSN]],表格2_7[],3,FALSE)</f>
        <v>#06</v>
      </c>
      <c r="J8527" t="s">
        <v>593</v>
      </c>
      <c r="K8527" s="195">
        <v>45866.983831018515</v>
      </c>
      <c r="L8527">
        <v>37</v>
      </c>
      <c r="M8527">
        <v>0</v>
      </c>
      <c r="N8527" s="98" t="str">
        <f>IF(record[[#This Row],[Memo]]="Browser:chrome os:android","平板報工",IF(record[[#This Row],[Memo]]=0,"委外",record[[#This Row],[Memo]]))</f>
        <v/>
      </c>
      <c r="O8527" t="s">
        <v>58</v>
      </c>
      <c r="P8527" t="s">
        <v>841</v>
      </c>
      <c r="Q8527" t="s">
        <v>58</v>
      </c>
      <c r="R8527" t="str">
        <f>IFERROR(VLOOKUP(record[[#This Row],[PCUSTID]],廠商[],2,FALSE),"")</f>
        <v/>
      </c>
      <c r="S8527" t="str">
        <f>VLOOKUP(record[[#This Row],[employeeID]],員工[],2,FALSE)</f>
        <v>范氏香</v>
      </c>
    </row>
    <row r="8528" spans="6:19" hidden="1" x14ac:dyDescent="0.25">
      <c r="F8528" t="s">
        <v>902</v>
      </c>
      <c r="G8528" t="s">
        <v>374</v>
      </c>
      <c r="H8528" t="str">
        <f>VLOOKUP(record[[#This Row],[ProcessSN]],表格2_7[],2,FALSE)</f>
        <v>30-4118-018-4XX</v>
      </c>
      <c r="I8528" t="str">
        <f>VLOOKUP(record[[#This Row],[ProcessSN]],表格2_7[],3,FALSE)</f>
        <v>#04</v>
      </c>
      <c r="J8528" t="s">
        <v>588</v>
      </c>
      <c r="K8528" s="195">
        <v>45866.977685185186</v>
      </c>
      <c r="L8528">
        <v>160</v>
      </c>
      <c r="M8528">
        <v>0</v>
      </c>
      <c r="N8528" s="98" t="str">
        <f>IF(record[[#This Row],[Memo]]="Browser:chrome os:android","平板報工",IF(record[[#This Row],[Memo]]=0,"委外",record[[#This Row],[Memo]]))</f>
        <v/>
      </c>
      <c r="O8528" t="s">
        <v>58</v>
      </c>
      <c r="P8528" t="s">
        <v>133</v>
      </c>
      <c r="Q8528" t="s">
        <v>58</v>
      </c>
      <c r="R8528" t="str">
        <f>IFERROR(VLOOKUP(record[[#This Row],[PCUSTID]],廠商[],2,FALSE),"")</f>
        <v/>
      </c>
      <c r="S8528" t="str">
        <f>VLOOKUP(record[[#This Row],[employeeID]],員工[],2,FALSE)</f>
        <v>黎長維</v>
      </c>
    </row>
    <row r="8529" spans="6:19" hidden="1" x14ac:dyDescent="0.25">
      <c r="F8529" t="s">
        <v>897</v>
      </c>
      <c r="G8529" t="s">
        <v>418</v>
      </c>
      <c r="H8529" t="str">
        <f>VLOOKUP(record[[#This Row],[ProcessSN]],表格2_7[],2,FALSE)</f>
        <v>30-4118-018-5XX</v>
      </c>
      <c r="I8529" t="str">
        <f>VLOOKUP(record[[#This Row],[ProcessSN]],表格2_7[],3,FALSE)</f>
        <v>#07</v>
      </c>
      <c r="J8529" t="s">
        <v>588</v>
      </c>
      <c r="K8529" s="195">
        <v>45866.977395833332</v>
      </c>
      <c r="L8529">
        <v>95</v>
      </c>
      <c r="M8529">
        <v>0</v>
      </c>
      <c r="N8529" s="98" t="str">
        <f>IF(record[[#This Row],[Memo]]="Browser:chrome os:android","平板報工",IF(record[[#This Row],[Memo]]=0,"委外",record[[#This Row],[Memo]]))</f>
        <v/>
      </c>
      <c r="O8529" t="s">
        <v>58</v>
      </c>
      <c r="P8529" t="s">
        <v>133</v>
      </c>
      <c r="Q8529" t="s">
        <v>58</v>
      </c>
      <c r="R8529" t="str">
        <f>IFERROR(VLOOKUP(record[[#This Row],[PCUSTID]],廠商[],2,FALSE),"")</f>
        <v/>
      </c>
      <c r="S8529" t="str">
        <f>VLOOKUP(record[[#This Row],[employeeID]],員工[],2,FALSE)</f>
        <v>黎長維</v>
      </c>
    </row>
    <row r="8530" spans="6:19" hidden="1" x14ac:dyDescent="0.25">
      <c r="F8530" t="s">
        <v>920</v>
      </c>
      <c r="G8530" t="s">
        <v>399</v>
      </c>
      <c r="H8530" t="str">
        <f>VLOOKUP(record[[#This Row],[ProcessSN]],表格2_7[],2,FALSE)</f>
        <v>30-4118-018-550</v>
      </c>
      <c r="I8530" t="str">
        <f>VLOOKUP(record[[#This Row],[ProcessSN]],表格2_7[],3,FALSE)</f>
        <v>#08IQC</v>
      </c>
      <c r="J8530" t="s">
        <v>583</v>
      </c>
      <c r="K8530" s="195">
        <v>45866.780335648145</v>
      </c>
      <c r="L8530">
        <v>323</v>
      </c>
      <c r="M8530">
        <v>0</v>
      </c>
      <c r="N8530" s="98" t="str">
        <f>IF(record[[#This Row],[Memo]]="Browser:chrome os:android","平板報工",IF(record[[#This Row],[Memo]]=0,"委外",record[[#This Row],[Memo]]))</f>
        <v/>
      </c>
      <c r="O8530" t="s">
        <v>58</v>
      </c>
      <c r="P8530" t="s">
        <v>109</v>
      </c>
      <c r="Q8530" t="s">
        <v>58</v>
      </c>
      <c r="R8530" t="str">
        <f>IFERROR(VLOOKUP(record[[#This Row],[PCUSTID]],廠商[],2,FALSE),"")</f>
        <v/>
      </c>
      <c r="S8530" t="str">
        <f>VLOOKUP(record[[#This Row],[employeeID]],員工[],2,FALSE)</f>
        <v>裴氏璧鳳</v>
      </c>
    </row>
    <row r="8531" spans="6:19" hidden="1" x14ac:dyDescent="0.25">
      <c r="F8531" t="s">
        <v>875</v>
      </c>
      <c r="G8531" t="s">
        <v>450</v>
      </c>
      <c r="H8531" t="str">
        <f>VLOOKUP(record[[#This Row],[ProcessSN]],表格2_7[],2,FALSE)</f>
        <v>30-4118-018-6XX</v>
      </c>
      <c r="I8531" t="str">
        <f>VLOOKUP(record[[#This Row],[ProcessSN]],表格2_7[],3,FALSE)</f>
        <v>#06</v>
      </c>
      <c r="J8531" t="s">
        <v>593</v>
      </c>
      <c r="K8531" s="195">
        <v>45866.682511574072</v>
      </c>
      <c r="L8531">
        <v>54</v>
      </c>
      <c r="M8531">
        <v>50</v>
      </c>
      <c r="N8531" s="98" t="str">
        <f>IF(record[[#This Row],[Memo]]="Browser:chrome os:android","平板報工",IF(record[[#This Row],[Memo]]=0,"委外",record[[#This Row],[Memo]]))</f>
        <v/>
      </c>
      <c r="O8531" t="s">
        <v>58</v>
      </c>
      <c r="P8531" t="s">
        <v>119</v>
      </c>
      <c r="Q8531" t="s">
        <v>58</v>
      </c>
      <c r="R8531" t="str">
        <f>IFERROR(VLOOKUP(record[[#This Row],[PCUSTID]],廠商[],2,FALSE),"")</f>
        <v/>
      </c>
      <c r="S8531" t="str">
        <f>VLOOKUP(record[[#This Row],[employeeID]],員工[],2,FALSE)</f>
        <v>廖俊彥</v>
      </c>
    </row>
    <row r="8532" spans="6:19" hidden="1" x14ac:dyDescent="0.25">
      <c r="F8532" t="s">
        <v>897</v>
      </c>
      <c r="G8532" t="s">
        <v>418</v>
      </c>
      <c r="H8532" t="str">
        <f>VLOOKUP(record[[#This Row],[ProcessSN]],表格2_7[],2,FALSE)</f>
        <v>30-4118-018-5XX</v>
      </c>
      <c r="I8532" t="str">
        <f>VLOOKUP(record[[#This Row],[ProcessSN]],表格2_7[],3,FALSE)</f>
        <v>#07</v>
      </c>
      <c r="J8532" t="s">
        <v>588</v>
      </c>
      <c r="K8532" s="195">
        <v>45866.679467592592</v>
      </c>
      <c r="L8532">
        <v>156</v>
      </c>
      <c r="M8532">
        <v>0</v>
      </c>
      <c r="N8532" s="98" t="str">
        <f>IF(record[[#This Row],[Memo]]="Browser:chrome os:android","平板報工",IF(record[[#This Row],[Memo]]=0,"委外",record[[#This Row],[Memo]]))</f>
        <v/>
      </c>
      <c r="O8532" t="s">
        <v>58</v>
      </c>
      <c r="P8532" t="s">
        <v>119</v>
      </c>
      <c r="Q8532" t="s">
        <v>58</v>
      </c>
      <c r="R8532" t="str">
        <f>IFERROR(VLOOKUP(record[[#This Row],[PCUSTID]],廠商[],2,FALSE),"")</f>
        <v/>
      </c>
      <c r="S8532" t="str">
        <f>VLOOKUP(record[[#This Row],[employeeID]],員工[],2,FALSE)</f>
        <v>廖俊彥</v>
      </c>
    </row>
    <row r="8533" spans="6:19" hidden="1" x14ac:dyDescent="0.25">
      <c r="F8533" t="s">
        <v>902</v>
      </c>
      <c r="G8533" t="s">
        <v>375</v>
      </c>
      <c r="H8533" t="str">
        <f>VLOOKUP(record[[#This Row],[ProcessSN]],表格2_7[],2,FALSE)</f>
        <v>30-4118-018-4XX</v>
      </c>
      <c r="I8533" t="str">
        <f>VLOOKUP(record[[#This Row],[ProcessSN]],表格2_7[],3,FALSE)</f>
        <v>#05</v>
      </c>
      <c r="J8533" t="s">
        <v>588</v>
      </c>
      <c r="K8533" s="195">
        <v>45866.677743055552</v>
      </c>
      <c r="L8533">
        <v>270</v>
      </c>
      <c r="M8533">
        <v>0</v>
      </c>
      <c r="N8533" s="98" t="str">
        <f>IF(record[[#This Row],[Memo]]="Browser:chrome os:android","平板報工",IF(record[[#This Row],[Memo]]=0,"委外",record[[#This Row],[Memo]]))</f>
        <v/>
      </c>
      <c r="O8533" t="s">
        <v>58</v>
      </c>
      <c r="P8533" t="s">
        <v>119</v>
      </c>
      <c r="Q8533" t="s">
        <v>58</v>
      </c>
      <c r="R8533" t="str">
        <f>IFERROR(VLOOKUP(record[[#This Row],[PCUSTID]],廠商[],2,FALSE),"")</f>
        <v/>
      </c>
      <c r="S8533" t="str">
        <f>VLOOKUP(record[[#This Row],[employeeID]],員工[],2,FALSE)</f>
        <v>廖俊彥</v>
      </c>
    </row>
    <row r="8534" spans="6:19" hidden="1" x14ac:dyDescent="0.25">
      <c r="F8534" t="s">
        <v>902</v>
      </c>
      <c r="G8534" t="s">
        <v>374</v>
      </c>
      <c r="H8534" t="str">
        <f>VLOOKUP(record[[#This Row],[ProcessSN]],表格2_7[],2,FALSE)</f>
        <v>30-4118-018-4XX</v>
      </c>
      <c r="I8534" t="str">
        <f>VLOOKUP(record[[#This Row],[ProcessSN]],表格2_7[],3,FALSE)</f>
        <v>#04</v>
      </c>
      <c r="J8534" t="s">
        <v>588</v>
      </c>
      <c r="K8534" s="195">
        <v>45866.677534722221</v>
      </c>
      <c r="L8534">
        <v>152</v>
      </c>
      <c r="M8534">
        <v>2</v>
      </c>
      <c r="N8534" s="98" t="str">
        <f>IF(record[[#This Row],[Memo]]="Browser:chrome os:android","平板報工",IF(record[[#This Row],[Memo]]=0,"委外",record[[#This Row],[Memo]]))</f>
        <v/>
      </c>
      <c r="O8534" t="s">
        <v>58</v>
      </c>
      <c r="P8534" t="s">
        <v>119</v>
      </c>
      <c r="Q8534" t="s">
        <v>58</v>
      </c>
      <c r="R8534" t="str">
        <f>IFERROR(VLOOKUP(record[[#This Row],[PCUSTID]],廠商[],2,FALSE),"")</f>
        <v/>
      </c>
      <c r="S8534" t="str">
        <f>VLOOKUP(record[[#This Row],[employeeID]],員工[],2,FALSE)</f>
        <v>廖俊彥</v>
      </c>
    </row>
    <row r="8535" spans="6:19" hidden="1" x14ac:dyDescent="0.25">
      <c r="F8535" t="s">
        <v>920</v>
      </c>
      <c r="G8535" t="s">
        <v>398</v>
      </c>
      <c r="H8535" t="str">
        <f>VLOOKUP(record[[#This Row],[ProcessSN]],表格2_7[],2,FALSE)</f>
        <v>30-4118-018-550</v>
      </c>
      <c r="I8535" t="str">
        <f>VLOOKUP(record[[#This Row],[ProcessSN]],表格2_7[],3,FALSE)</f>
        <v>#08RCV</v>
      </c>
      <c r="J8535" t="s">
        <v>591</v>
      </c>
      <c r="K8535" s="195">
        <v>45866.603530092594</v>
      </c>
      <c r="L8535">
        <v>323</v>
      </c>
      <c r="M8535">
        <v>0</v>
      </c>
      <c r="N8535" s="98" t="str">
        <f>IF(record[[#This Row],[Memo]]="Browser:chrome os:android","平板報工",IF(record[[#This Row],[Memo]]=0,"委外",record[[#This Row],[Memo]]))</f>
        <v/>
      </c>
      <c r="O8535" t="s">
        <v>58</v>
      </c>
      <c r="P8535" t="s">
        <v>186</v>
      </c>
      <c r="Q8535" t="s">
        <v>58</v>
      </c>
      <c r="R8535" t="str">
        <f>IFERROR(VLOOKUP(record[[#This Row],[PCUSTID]],廠商[],2,FALSE),"")</f>
        <v/>
      </c>
      <c r="S8535" t="str">
        <f>VLOOKUP(record[[#This Row],[employeeID]],員工[],2,FALSE)</f>
        <v>許文姍</v>
      </c>
    </row>
    <row r="8536" spans="6:19" hidden="1" x14ac:dyDescent="0.25">
      <c r="F8536" t="s">
        <v>924</v>
      </c>
      <c r="G8536" t="s">
        <v>397</v>
      </c>
      <c r="H8536" t="str">
        <f>VLOOKUP(record[[#This Row],[ProcessSN]],表格2_7[],2,FALSE)</f>
        <v>30-4118-018-550</v>
      </c>
      <c r="I8536" t="str">
        <f>VLOOKUP(record[[#This Row],[ProcessSN]],表格2_7[],3,FALSE)</f>
        <v>#08</v>
      </c>
      <c r="J8536" t="s">
        <v>597</v>
      </c>
      <c r="K8536" s="195">
        <v>45866.498680555553</v>
      </c>
      <c r="L8536">
        <v>166</v>
      </c>
      <c r="M8536">
        <v>0</v>
      </c>
      <c r="N8536" s="98" t="str">
        <f>IF(record[[#This Row],[Memo]]="Browser:chrome os:android","平板報工",IF(record[[#This Row],[Memo]]=0,"委外",record[[#This Row],[Memo]]))</f>
        <v/>
      </c>
      <c r="O8536" t="s">
        <v>58</v>
      </c>
      <c r="P8536" t="s">
        <v>186</v>
      </c>
      <c r="Q8536" t="s">
        <v>287</v>
      </c>
      <c r="R8536" t="str">
        <f>IFERROR(VLOOKUP(record[[#This Row],[PCUSTID]],廠商[],2,FALSE),"")</f>
        <v>泉盛</v>
      </c>
      <c r="S8536" t="str">
        <f>VLOOKUP(record[[#This Row],[employeeID]],員工[],2,FALSE)</f>
        <v>許文姍</v>
      </c>
    </row>
    <row r="8537" spans="6:19" hidden="1" x14ac:dyDescent="0.25">
      <c r="F8537" t="s">
        <v>924</v>
      </c>
      <c r="G8537" t="s">
        <v>396</v>
      </c>
      <c r="H8537" t="str">
        <f>VLOOKUP(record[[#This Row],[ProcessSN]],表格2_7[],2,FALSE)</f>
        <v>30-4118-018-550</v>
      </c>
      <c r="I8537" t="str">
        <f>VLOOKUP(record[[#This Row],[ProcessSN]],表格2_7[],3,FALSE)</f>
        <v>#08PICK</v>
      </c>
      <c r="J8537" t="s">
        <v>582</v>
      </c>
      <c r="K8537" s="195">
        <v>45866.496678240743</v>
      </c>
      <c r="L8537">
        <v>166</v>
      </c>
      <c r="M8537">
        <v>0</v>
      </c>
      <c r="N8537" s="98" t="str">
        <f>IF(record[[#This Row],[Memo]]="Browser:chrome os:android","平板報工",IF(record[[#This Row],[Memo]]=0,"委外",record[[#This Row],[Memo]]))</f>
        <v/>
      </c>
      <c r="O8537" t="s">
        <v>58</v>
      </c>
      <c r="P8537" t="s">
        <v>113</v>
      </c>
      <c r="Q8537" t="s">
        <v>58</v>
      </c>
      <c r="R8537" t="str">
        <f>IFERROR(VLOOKUP(record[[#This Row],[PCUSTID]],廠商[],2,FALSE),"")</f>
        <v/>
      </c>
      <c r="S8537" t="str">
        <f>VLOOKUP(record[[#This Row],[employeeID]],員工[],2,FALSE)</f>
        <v>王奕蓁</v>
      </c>
    </row>
    <row r="8538" spans="6:19" hidden="1" x14ac:dyDescent="0.25">
      <c r="F8538" t="s">
        <v>897</v>
      </c>
      <c r="G8538" t="s">
        <v>420</v>
      </c>
      <c r="H8538" t="str">
        <f>VLOOKUP(record[[#This Row],[ProcessSN]],表格2_7[],2,FALSE)</f>
        <v>30-4118-018-5XX</v>
      </c>
      <c r="I8538" t="str">
        <f>VLOOKUP(record[[#This Row],[ProcessSN]],表格2_7[],3,FALSE)</f>
        <v>#07STOCK</v>
      </c>
      <c r="J8538" t="s">
        <v>592</v>
      </c>
      <c r="K8538" s="195">
        <v>45866.495486111111</v>
      </c>
      <c r="L8538">
        <v>166</v>
      </c>
      <c r="M8538">
        <v>0</v>
      </c>
      <c r="N8538" s="98" t="str">
        <f>IF(record[[#This Row],[Memo]]="Browser:chrome os:android","平板報工",IF(record[[#This Row],[Memo]]=0,"委外",record[[#This Row],[Memo]]))</f>
        <v/>
      </c>
      <c r="O8538" t="s">
        <v>58</v>
      </c>
      <c r="P8538" t="s">
        <v>113</v>
      </c>
      <c r="Q8538" t="s">
        <v>58</v>
      </c>
      <c r="R8538" t="str">
        <f>IFERROR(VLOOKUP(record[[#This Row],[PCUSTID]],廠商[],2,FALSE),"")</f>
        <v/>
      </c>
      <c r="S8538" t="str">
        <f>VLOOKUP(record[[#This Row],[employeeID]],員工[],2,FALSE)</f>
        <v>王奕蓁</v>
      </c>
    </row>
    <row r="8539" spans="6:19" hidden="1" x14ac:dyDescent="0.25">
      <c r="F8539" t="s">
        <v>875</v>
      </c>
      <c r="G8539" t="s">
        <v>450</v>
      </c>
      <c r="H8539" t="str">
        <f>VLOOKUP(record[[#This Row],[ProcessSN]],表格2_7[],2,FALSE)</f>
        <v>30-4118-018-6XX</v>
      </c>
      <c r="I8539" t="str">
        <f>VLOOKUP(record[[#This Row],[ProcessSN]],表格2_7[],3,FALSE)</f>
        <v>#06</v>
      </c>
      <c r="J8539" t="s">
        <v>593</v>
      </c>
      <c r="K8539" s="195">
        <v>45866.438483796293</v>
      </c>
      <c r="L8539">
        <v>15</v>
      </c>
      <c r="M8539">
        <v>47</v>
      </c>
      <c r="N8539" s="98" t="str">
        <f>IF(record[[#This Row],[Memo]]="Browser:chrome os:android","平板報工",IF(record[[#This Row],[Memo]]=0,"委外",record[[#This Row],[Memo]]))</f>
        <v>7/25 晚</v>
      </c>
      <c r="O8539" t="s">
        <v>923</v>
      </c>
      <c r="P8539" t="s">
        <v>119</v>
      </c>
      <c r="Q8539" t="s">
        <v>58</v>
      </c>
      <c r="R8539" t="str">
        <f>IFERROR(VLOOKUP(record[[#This Row],[PCUSTID]],廠商[],2,FALSE),"")</f>
        <v/>
      </c>
      <c r="S8539" t="str">
        <f>VLOOKUP(record[[#This Row],[employeeID]],員工[],2,FALSE)</f>
        <v>廖俊彥</v>
      </c>
    </row>
    <row r="8540" spans="6:19" hidden="1" x14ac:dyDescent="0.25">
      <c r="F8540" t="s">
        <v>890</v>
      </c>
      <c r="G8540" t="s">
        <v>428</v>
      </c>
      <c r="H8540" t="str">
        <f>VLOOKUP(record[[#This Row],[ProcessSN]],表格2_7[],2,FALSE)</f>
        <v>30-4118-018-600</v>
      </c>
      <c r="I8540" t="str">
        <f>VLOOKUP(record[[#This Row],[ProcessSN]],表格2_7[],3,FALSE)</f>
        <v>#100SHIP</v>
      </c>
      <c r="J8540" t="s">
        <v>600</v>
      </c>
      <c r="K8540" s="195">
        <v>45866.376875000002</v>
      </c>
      <c r="L8540">
        <v>1</v>
      </c>
      <c r="M8540">
        <v>0</v>
      </c>
      <c r="N8540" s="98" t="str">
        <f>IF(record[[#This Row],[Memo]]="Browser:chrome os:android","平板報工",IF(record[[#This Row],[Memo]]=0,"委外",record[[#This Row],[Memo]]))</f>
        <v/>
      </c>
      <c r="O8540" t="s">
        <v>58</v>
      </c>
      <c r="P8540" t="s">
        <v>886</v>
      </c>
      <c r="Q8540" t="s">
        <v>58</v>
      </c>
      <c r="R8540" t="str">
        <f>IFERROR(VLOOKUP(record[[#This Row],[PCUSTID]],廠商[],2,FALSE),"")</f>
        <v/>
      </c>
      <c r="S8540" t="str">
        <f>VLOOKUP(record[[#This Row],[employeeID]],員工[],2,FALSE)</f>
        <v>謝蓁薰</v>
      </c>
    </row>
    <row r="8541" spans="6:19" hidden="1" x14ac:dyDescent="0.25">
      <c r="F8541" t="s">
        <v>680</v>
      </c>
      <c r="G8541" t="s">
        <v>362</v>
      </c>
      <c r="H8541" t="str">
        <f>VLOOKUP(record[[#This Row],[ProcessSN]],表格2_7[],2,FALSE)</f>
        <v>30-4118-018-450</v>
      </c>
      <c r="I8541" t="str">
        <f>VLOOKUP(record[[#This Row],[ProcessSN]],表格2_7[],3,FALSE)</f>
        <v>#100SHIP</v>
      </c>
      <c r="J8541" t="s">
        <v>600</v>
      </c>
      <c r="K8541" s="195">
        <v>45866.376701388886</v>
      </c>
      <c r="L8541">
        <v>12</v>
      </c>
      <c r="M8541">
        <v>0</v>
      </c>
      <c r="N8541" s="98" t="str">
        <f>IF(record[[#This Row],[Memo]]="Browser:chrome os:android","平板報工",IF(record[[#This Row],[Memo]]=0,"委外",record[[#This Row],[Memo]]))</f>
        <v/>
      </c>
      <c r="O8541" t="s">
        <v>58</v>
      </c>
      <c r="P8541" t="s">
        <v>886</v>
      </c>
      <c r="Q8541" t="s">
        <v>58</v>
      </c>
      <c r="R8541" t="str">
        <f>IFERROR(VLOOKUP(record[[#This Row],[PCUSTID]],廠商[],2,FALSE),"")</f>
        <v/>
      </c>
      <c r="S8541" t="str">
        <f>VLOOKUP(record[[#This Row],[employeeID]],員工[],2,FALSE)</f>
        <v>謝蓁薰</v>
      </c>
    </row>
    <row r="8542" spans="6:19" hidden="1" x14ac:dyDescent="0.25">
      <c r="F8542" t="s">
        <v>922</v>
      </c>
      <c r="G8542" t="s">
        <v>464</v>
      </c>
      <c r="H8542" t="str">
        <f>VLOOKUP(record[[#This Row],[ProcessSN]],表格2_7[],2,FALSE)</f>
        <v>30-4118-018-XXX</v>
      </c>
      <c r="I8542" t="str">
        <f>VLOOKUP(record[[#This Row],[ProcessSN]],表格2_7[],3,FALSE)</f>
        <v>#01GIVE</v>
      </c>
      <c r="J8542" t="s">
        <v>587</v>
      </c>
      <c r="K8542" s="195">
        <v>45866.338703703703</v>
      </c>
      <c r="L8542">
        <v>4680</v>
      </c>
      <c r="M8542">
        <v>0</v>
      </c>
      <c r="N8542" s="98" t="str">
        <f>IF(record[[#This Row],[Memo]]="Browser:chrome os:android","平板報工",IF(record[[#This Row],[Memo]]=0,"委外",record[[#This Row],[Memo]]))</f>
        <v/>
      </c>
      <c r="O8542" t="s">
        <v>58</v>
      </c>
      <c r="P8542" t="s">
        <v>208</v>
      </c>
      <c r="Q8542" t="s">
        <v>58</v>
      </c>
      <c r="R8542" t="str">
        <f>IFERROR(VLOOKUP(record[[#This Row],[PCUSTID]],廠商[],2,FALSE),"")</f>
        <v/>
      </c>
      <c r="S8542" t="str">
        <f>VLOOKUP(record[[#This Row],[employeeID]],員工[],2,FALSE)</f>
        <v>陳治宏</v>
      </c>
    </row>
    <row r="8543" spans="6:19" hidden="1" x14ac:dyDescent="0.25">
      <c r="F8543" t="s">
        <v>902</v>
      </c>
      <c r="G8543" t="s">
        <v>374</v>
      </c>
      <c r="H8543" t="str">
        <f>VLOOKUP(record[[#This Row],[ProcessSN]],表格2_7[],2,FALSE)</f>
        <v>30-4118-018-4XX</v>
      </c>
      <c r="I8543" t="str">
        <f>VLOOKUP(record[[#This Row],[ProcessSN]],表格2_7[],3,FALSE)</f>
        <v>#04</v>
      </c>
      <c r="J8543" t="s">
        <v>588</v>
      </c>
      <c r="K8543" s="195">
        <v>45864.311886574076</v>
      </c>
      <c r="L8543">
        <v>148</v>
      </c>
      <c r="M8543">
        <v>0</v>
      </c>
      <c r="N8543" s="98" t="str">
        <f>IF(record[[#This Row],[Memo]]="Browser:chrome os:android","平板報工",IF(record[[#This Row],[Memo]]=0,"委外",record[[#This Row],[Memo]]))</f>
        <v/>
      </c>
      <c r="O8543" t="s">
        <v>58</v>
      </c>
      <c r="P8543" t="s">
        <v>135</v>
      </c>
      <c r="Q8543" t="s">
        <v>58</v>
      </c>
      <c r="R8543" t="str">
        <f>IFERROR(VLOOKUP(record[[#This Row],[PCUSTID]],廠商[],2,FALSE),"")</f>
        <v/>
      </c>
      <c r="S8543" t="str">
        <f>VLOOKUP(record[[#This Row],[employeeID]],員工[],2,FALSE)</f>
        <v>阮士文</v>
      </c>
    </row>
    <row r="8544" spans="6:19" hidden="1" x14ac:dyDescent="0.25">
      <c r="F8544" t="s">
        <v>902</v>
      </c>
      <c r="G8544" t="s">
        <v>374</v>
      </c>
      <c r="H8544" t="str">
        <f>VLOOKUP(record[[#This Row],[ProcessSN]],表格2_7[],2,FALSE)</f>
        <v>30-4118-018-4XX</v>
      </c>
      <c r="I8544" t="str">
        <f>VLOOKUP(record[[#This Row],[ProcessSN]],表格2_7[],3,FALSE)</f>
        <v>#04</v>
      </c>
      <c r="J8544" t="s">
        <v>588</v>
      </c>
      <c r="K8544" s="195">
        <v>45863.970891203702</v>
      </c>
      <c r="L8544">
        <v>165</v>
      </c>
      <c r="M8544">
        <v>0</v>
      </c>
      <c r="N8544" s="98" t="str">
        <f>IF(record[[#This Row],[Memo]]="Browser:chrome os:android","平板報工",IF(record[[#This Row],[Memo]]=0,"委外",record[[#This Row],[Memo]]))</f>
        <v/>
      </c>
      <c r="O8544" t="s">
        <v>58</v>
      </c>
      <c r="P8544" t="s">
        <v>133</v>
      </c>
      <c r="Q8544" t="s">
        <v>58</v>
      </c>
      <c r="R8544" t="str">
        <f>IFERROR(VLOOKUP(record[[#This Row],[PCUSTID]],廠商[],2,FALSE),"")</f>
        <v/>
      </c>
      <c r="S8544" t="str">
        <f>VLOOKUP(record[[#This Row],[employeeID]],員工[],2,FALSE)</f>
        <v>黎長維</v>
      </c>
    </row>
    <row r="8545" spans="6:19" hidden="1" x14ac:dyDescent="0.25">
      <c r="F8545" t="s">
        <v>875</v>
      </c>
      <c r="G8545" t="s">
        <v>450</v>
      </c>
      <c r="H8545" t="str">
        <f>VLOOKUP(record[[#This Row],[ProcessSN]],表格2_7[],2,FALSE)</f>
        <v>30-4118-018-6XX</v>
      </c>
      <c r="I8545" t="str">
        <f>VLOOKUP(record[[#This Row],[ProcessSN]],表格2_7[],3,FALSE)</f>
        <v>#06</v>
      </c>
      <c r="J8545" t="s">
        <v>593</v>
      </c>
      <c r="K8545" s="195">
        <v>45863.937858796293</v>
      </c>
      <c r="L8545">
        <v>27</v>
      </c>
      <c r="M8545">
        <v>0</v>
      </c>
      <c r="N8545" s="98" t="str">
        <f>IF(record[[#This Row],[Memo]]="Browser:chrome os:android","平板報工",IF(record[[#This Row],[Memo]]=0,"委外",record[[#This Row],[Memo]]))</f>
        <v/>
      </c>
      <c r="O8545" t="s">
        <v>58</v>
      </c>
      <c r="P8545" t="s">
        <v>841</v>
      </c>
      <c r="Q8545" t="s">
        <v>58</v>
      </c>
      <c r="R8545" t="str">
        <f>IFERROR(VLOOKUP(record[[#This Row],[PCUSTID]],廠商[],2,FALSE),"")</f>
        <v/>
      </c>
      <c r="S8545" t="str">
        <f>VLOOKUP(record[[#This Row],[employeeID]],員工[],2,FALSE)</f>
        <v>范氏香</v>
      </c>
    </row>
    <row r="8546" spans="6:19" hidden="1" x14ac:dyDescent="0.25">
      <c r="F8546" t="s">
        <v>897</v>
      </c>
      <c r="G8546" t="s">
        <v>417</v>
      </c>
      <c r="H8546" t="str">
        <f>VLOOKUP(record[[#This Row],[ProcessSN]],表格2_7[],2,FALSE)</f>
        <v>30-4118-018-5XX</v>
      </c>
      <c r="I8546" t="str">
        <f>VLOOKUP(record[[#This Row],[ProcessSN]],表格2_7[],3,FALSE)</f>
        <v>#06</v>
      </c>
      <c r="J8546" t="s">
        <v>593</v>
      </c>
      <c r="K8546" s="195">
        <v>45863.9375462963</v>
      </c>
      <c r="L8546">
        <v>93</v>
      </c>
      <c r="M8546">
        <v>0</v>
      </c>
      <c r="N8546" s="98" t="str">
        <f>IF(record[[#This Row],[Memo]]="Browser:chrome os:android","平板報工",IF(record[[#This Row],[Memo]]=0,"委外",record[[#This Row],[Memo]]))</f>
        <v/>
      </c>
      <c r="O8546" t="s">
        <v>58</v>
      </c>
      <c r="P8546" t="s">
        <v>841</v>
      </c>
      <c r="Q8546" t="s">
        <v>58</v>
      </c>
      <c r="R8546" t="str">
        <f>IFERROR(VLOOKUP(record[[#This Row],[PCUSTID]],廠商[],2,FALSE),"")</f>
        <v/>
      </c>
      <c r="S8546" t="str">
        <f>VLOOKUP(record[[#This Row],[employeeID]],員工[],2,FALSE)</f>
        <v>范氏香</v>
      </c>
    </row>
    <row r="8547" spans="6:19" hidden="1" x14ac:dyDescent="0.25">
      <c r="F8547" t="s">
        <v>917</v>
      </c>
      <c r="G8547" t="s">
        <v>399</v>
      </c>
      <c r="H8547" t="str">
        <f>VLOOKUP(record[[#This Row],[ProcessSN]],表格2_7[],2,FALSE)</f>
        <v>30-4118-018-550</v>
      </c>
      <c r="I8547" t="str">
        <f>VLOOKUP(record[[#This Row],[ProcessSN]],表格2_7[],3,FALSE)</f>
        <v>#08IQC</v>
      </c>
      <c r="J8547" t="s">
        <v>583</v>
      </c>
      <c r="K8547" s="195">
        <v>45863.840486111112</v>
      </c>
      <c r="L8547">
        <v>346</v>
      </c>
      <c r="M8547">
        <v>0</v>
      </c>
      <c r="N8547" s="98" t="str">
        <f>IF(record[[#This Row],[Memo]]="Browser:chrome os:android","平板報工",IF(record[[#This Row],[Memo]]=0,"委外",record[[#This Row],[Memo]]))</f>
        <v/>
      </c>
      <c r="O8547" t="s">
        <v>58</v>
      </c>
      <c r="P8547" t="s">
        <v>109</v>
      </c>
      <c r="Q8547" t="s">
        <v>58</v>
      </c>
      <c r="R8547" t="str">
        <f>IFERROR(VLOOKUP(record[[#This Row],[PCUSTID]],廠商[],2,FALSE),"")</f>
        <v/>
      </c>
      <c r="S8547" t="str">
        <f>VLOOKUP(record[[#This Row],[employeeID]],員工[],2,FALSE)</f>
        <v>裴氏璧鳳</v>
      </c>
    </row>
    <row r="8548" spans="6:19" hidden="1" x14ac:dyDescent="0.25">
      <c r="F8548" t="s">
        <v>922</v>
      </c>
      <c r="G8548" t="s">
        <v>463</v>
      </c>
      <c r="H8548" t="str">
        <f>VLOOKUP(record[[#This Row],[ProcessSN]],表格2_7[],2,FALSE)</f>
        <v>30-4118-018-XXX</v>
      </c>
      <c r="I8548" t="str">
        <f>VLOOKUP(record[[#This Row],[ProcessSN]],表格2_7[],3,FALSE)</f>
        <v>#00IQC</v>
      </c>
      <c r="J8548" t="s">
        <v>583</v>
      </c>
      <c r="K8548" s="195">
        <v>45863.836956018517</v>
      </c>
      <c r="L8548">
        <v>4680</v>
      </c>
      <c r="M8548">
        <v>0</v>
      </c>
      <c r="N8548" s="98" t="str">
        <f>IF(record[[#This Row],[Memo]]="Browser:chrome os:android","平板報工",IF(record[[#This Row],[Memo]]=0,"委外",record[[#This Row],[Memo]]))</f>
        <v/>
      </c>
      <c r="O8548" t="s">
        <v>58</v>
      </c>
      <c r="P8548" t="s">
        <v>109</v>
      </c>
      <c r="Q8548" t="s">
        <v>58</v>
      </c>
      <c r="R8548" t="str">
        <f>IFERROR(VLOOKUP(record[[#This Row],[PCUSTID]],廠商[],2,FALSE),"")</f>
        <v/>
      </c>
      <c r="S8548" t="str">
        <f>VLOOKUP(record[[#This Row],[employeeID]],員工[],2,FALSE)</f>
        <v>裴氏璧鳳</v>
      </c>
    </row>
    <row r="8549" spans="6:19" hidden="1" x14ac:dyDescent="0.25">
      <c r="F8549" t="s">
        <v>914</v>
      </c>
      <c r="G8549" t="s">
        <v>402</v>
      </c>
      <c r="H8549" t="str">
        <f>VLOOKUP(record[[#This Row],[ProcessSN]],表格2_7[],2,FALSE)</f>
        <v>30-4118-018-550</v>
      </c>
      <c r="I8549" t="str">
        <f>VLOOKUP(record[[#This Row],[ProcessSN]],表格2_7[],3,FALSE)</f>
        <v>#100STOCK</v>
      </c>
      <c r="J8549" t="s">
        <v>592</v>
      </c>
      <c r="K8549" s="195">
        <v>45863.673854166664</v>
      </c>
      <c r="L8549">
        <v>40</v>
      </c>
      <c r="M8549">
        <v>0</v>
      </c>
      <c r="N8549" s="98" t="str">
        <f>IF(record[[#This Row],[Memo]]="Browser:chrome os:android","平板報工",IF(record[[#This Row],[Memo]]=0,"委外",record[[#This Row],[Memo]]))</f>
        <v/>
      </c>
      <c r="O8549" t="s">
        <v>58</v>
      </c>
      <c r="P8549" t="s">
        <v>886</v>
      </c>
      <c r="Q8549" t="s">
        <v>58</v>
      </c>
      <c r="R8549" t="str">
        <f>IFERROR(VLOOKUP(record[[#This Row],[PCUSTID]],廠商[],2,FALSE),"")</f>
        <v/>
      </c>
      <c r="S8549" t="str">
        <f>VLOOKUP(record[[#This Row],[employeeID]],員工[],2,FALSE)</f>
        <v>謝蓁薰</v>
      </c>
    </row>
    <row r="8550" spans="6:19" hidden="1" x14ac:dyDescent="0.25">
      <c r="F8550" t="s">
        <v>902</v>
      </c>
      <c r="G8550" t="s">
        <v>374</v>
      </c>
      <c r="H8550" t="str">
        <f>VLOOKUP(record[[#This Row],[ProcessSN]],表格2_7[],2,FALSE)</f>
        <v>30-4118-018-4XX</v>
      </c>
      <c r="I8550" t="str">
        <f>VLOOKUP(record[[#This Row],[ProcessSN]],表格2_7[],3,FALSE)</f>
        <v>#04</v>
      </c>
      <c r="J8550" t="s">
        <v>588</v>
      </c>
      <c r="K8550" s="195">
        <v>45863.646921296298</v>
      </c>
      <c r="L8550">
        <v>120</v>
      </c>
      <c r="M8550">
        <v>3</v>
      </c>
      <c r="N8550" s="98" t="str">
        <f>IF(record[[#This Row],[Memo]]="Browser:chrome os:android","平板報工",IF(record[[#This Row],[Memo]]=0,"委外",record[[#This Row],[Memo]]))</f>
        <v/>
      </c>
      <c r="O8550" t="s">
        <v>58</v>
      </c>
      <c r="P8550" t="s">
        <v>119</v>
      </c>
      <c r="Q8550" t="s">
        <v>58</v>
      </c>
      <c r="R8550" t="str">
        <f>IFERROR(VLOOKUP(record[[#This Row],[PCUSTID]],廠商[],2,FALSE),"")</f>
        <v/>
      </c>
      <c r="S8550" t="str">
        <f>VLOOKUP(record[[#This Row],[employeeID]],員工[],2,FALSE)</f>
        <v>廖俊彥</v>
      </c>
    </row>
    <row r="8551" spans="6:19" hidden="1" x14ac:dyDescent="0.25">
      <c r="F8551" t="s">
        <v>897</v>
      </c>
      <c r="G8551" t="s">
        <v>418</v>
      </c>
      <c r="H8551" t="str">
        <f>VLOOKUP(record[[#This Row],[ProcessSN]],表格2_7[],2,FALSE)</f>
        <v>30-4118-018-5XX</v>
      </c>
      <c r="I8551" t="str">
        <f>VLOOKUP(record[[#This Row],[ProcessSN]],表格2_7[],3,FALSE)</f>
        <v>#07</v>
      </c>
      <c r="J8551" t="s">
        <v>588</v>
      </c>
      <c r="K8551" s="195">
        <v>45863.646666666667</v>
      </c>
      <c r="L8551">
        <v>120</v>
      </c>
      <c r="M8551">
        <v>0</v>
      </c>
      <c r="N8551" s="98" t="str">
        <f>IF(record[[#This Row],[Memo]]="Browser:chrome os:android","平板報工",IF(record[[#This Row],[Memo]]=0,"委外",record[[#This Row],[Memo]]))</f>
        <v/>
      </c>
      <c r="O8551" t="s">
        <v>58</v>
      </c>
      <c r="P8551" t="s">
        <v>119</v>
      </c>
      <c r="Q8551" t="s">
        <v>58</v>
      </c>
      <c r="R8551" t="str">
        <f>IFERROR(VLOOKUP(record[[#This Row],[PCUSTID]],廠商[],2,FALSE),"")</f>
        <v/>
      </c>
      <c r="S8551" t="str">
        <f>VLOOKUP(record[[#This Row],[employeeID]],員工[],2,FALSE)</f>
        <v>廖俊彥</v>
      </c>
    </row>
    <row r="8552" spans="6:19" hidden="1" x14ac:dyDescent="0.25">
      <c r="F8552" t="s">
        <v>890</v>
      </c>
      <c r="G8552" t="s">
        <v>428</v>
      </c>
      <c r="H8552" t="str">
        <f>VLOOKUP(record[[#This Row],[ProcessSN]],表格2_7[],2,FALSE)</f>
        <v>30-4118-018-600</v>
      </c>
      <c r="I8552" t="str">
        <f>VLOOKUP(record[[#This Row],[ProcessSN]],表格2_7[],3,FALSE)</f>
        <v>#100SHIP</v>
      </c>
      <c r="J8552" t="s">
        <v>600</v>
      </c>
      <c r="K8552" s="195">
        <v>45863.642754629633</v>
      </c>
      <c r="L8552">
        <v>2</v>
      </c>
      <c r="M8552">
        <v>0</v>
      </c>
      <c r="N8552" s="98" t="str">
        <f>IF(record[[#This Row],[Memo]]="Browser:chrome os:android","平板報工",IF(record[[#This Row],[Memo]]=0,"委外",record[[#This Row],[Memo]]))</f>
        <v/>
      </c>
      <c r="O8552" t="s">
        <v>58</v>
      </c>
      <c r="P8552" t="s">
        <v>886</v>
      </c>
      <c r="Q8552" t="s">
        <v>58</v>
      </c>
      <c r="R8552" t="str">
        <f>IFERROR(VLOOKUP(record[[#This Row],[PCUSTID]],廠商[],2,FALSE),"")</f>
        <v/>
      </c>
      <c r="S8552" t="str">
        <f>VLOOKUP(record[[#This Row],[employeeID]],員工[],2,FALSE)</f>
        <v>謝蓁薰</v>
      </c>
    </row>
    <row r="8553" spans="6:19" hidden="1" x14ac:dyDescent="0.25">
      <c r="F8553" t="s">
        <v>680</v>
      </c>
      <c r="G8553" t="s">
        <v>362</v>
      </c>
      <c r="H8553" t="str">
        <f>VLOOKUP(record[[#This Row],[ProcessSN]],表格2_7[],2,FALSE)</f>
        <v>30-4118-018-450</v>
      </c>
      <c r="I8553" t="str">
        <f>VLOOKUP(record[[#This Row],[ProcessSN]],表格2_7[],3,FALSE)</f>
        <v>#100SHIP</v>
      </c>
      <c r="J8553" t="s">
        <v>600</v>
      </c>
      <c r="K8553" s="195">
        <v>45863.642592592594</v>
      </c>
      <c r="L8553">
        <v>3</v>
      </c>
      <c r="M8553">
        <v>0</v>
      </c>
      <c r="N8553" s="98" t="str">
        <f>IF(record[[#This Row],[Memo]]="Browser:chrome os:android","平板報工",IF(record[[#This Row],[Memo]]=0,"委外",record[[#This Row],[Memo]]))</f>
        <v/>
      </c>
      <c r="O8553" t="s">
        <v>58</v>
      </c>
      <c r="P8553" t="s">
        <v>886</v>
      </c>
      <c r="Q8553" t="s">
        <v>58</v>
      </c>
      <c r="R8553" t="str">
        <f>IFERROR(VLOOKUP(record[[#This Row],[PCUSTID]],廠商[],2,FALSE),"")</f>
        <v/>
      </c>
      <c r="S8553" t="str">
        <f>VLOOKUP(record[[#This Row],[employeeID]],員工[],2,FALSE)</f>
        <v>謝蓁薰</v>
      </c>
    </row>
    <row r="8554" spans="6:19" hidden="1" x14ac:dyDescent="0.25">
      <c r="F8554" t="s">
        <v>897</v>
      </c>
      <c r="G8554" t="s">
        <v>417</v>
      </c>
      <c r="H8554" t="str">
        <f>VLOOKUP(record[[#This Row],[ProcessSN]],表格2_7[],2,FALSE)</f>
        <v>30-4118-018-5XX</v>
      </c>
      <c r="I8554" t="str">
        <f>VLOOKUP(record[[#This Row],[ProcessSN]],表格2_7[],3,FALSE)</f>
        <v>#06</v>
      </c>
      <c r="J8554" t="s">
        <v>593</v>
      </c>
      <c r="K8554" s="195">
        <v>45863.621099537035</v>
      </c>
      <c r="L8554">
        <v>121</v>
      </c>
      <c r="M8554">
        <v>2</v>
      </c>
      <c r="N8554" s="98" t="str">
        <f>IF(record[[#This Row],[Memo]]="Browser:chrome os:android","平板報工",IF(record[[#This Row],[Memo]]=0,"委外",record[[#This Row],[Memo]]))</f>
        <v/>
      </c>
      <c r="O8554" t="s">
        <v>58</v>
      </c>
      <c r="P8554" t="s">
        <v>119</v>
      </c>
      <c r="Q8554" t="s">
        <v>58</v>
      </c>
      <c r="R8554" t="str">
        <f>IFERROR(VLOOKUP(record[[#This Row],[PCUSTID]],廠商[],2,FALSE),"")</f>
        <v/>
      </c>
      <c r="S8554" t="str">
        <f>VLOOKUP(record[[#This Row],[employeeID]],員工[],2,FALSE)</f>
        <v>廖俊彥</v>
      </c>
    </row>
    <row r="8555" spans="6:19" hidden="1" x14ac:dyDescent="0.25">
      <c r="F8555" t="s">
        <v>897</v>
      </c>
      <c r="G8555" t="s">
        <v>419</v>
      </c>
      <c r="H8555" t="str">
        <f>VLOOKUP(record[[#This Row],[ProcessSN]],表格2_7[],2,FALSE)</f>
        <v>30-4118-018-5XX</v>
      </c>
      <c r="I8555" t="str">
        <f>VLOOKUP(record[[#This Row],[ProcessSN]],表格2_7[],3,FALSE)</f>
        <v>#07QC</v>
      </c>
      <c r="J8555" t="s">
        <v>589</v>
      </c>
      <c r="K8555" s="195">
        <v>45863.563750000001</v>
      </c>
      <c r="L8555">
        <v>0</v>
      </c>
      <c r="M8555">
        <v>1</v>
      </c>
      <c r="N8555" s="98" t="str">
        <f>IF(record[[#This Row],[Memo]]="Browser:chrome os:android","平板報工",IF(record[[#This Row],[Memo]]=0,"委外",record[[#This Row],[Memo]]))</f>
        <v>平板報工</v>
      </c>
      <c r="O8555" t="s">
        <v>643</v>
      </c>
      <c r="P8555" t="s">
        <v>141</v>
      </c>
      <c r="Q8555" t="s">
        <v>644</v>
      </c>
      <c r="R8555" t="str">
        <f>IFERROR(VLOOKUP(record[[#This Row],[PCUSTID]],廠商[],2,FALSE),"")</f>
        <v/>
      </c>
      <c r="S8555" t="str">
        <f>VLOOKUP(record[[#This Row],[employeeID]],員工[],2,FALSE)</f>
        <v>蔣梅</v>
      </c>
    </row>
    <row r="8556" spans="6:19" hidden="1" x14ac:dyDescent="0.25">
      <c r="F8556" t="s">
        <v>897</v>
      </c>
      <c r="G8556" t="s">
        <v>419</v>
      </c>
      <c r="H8556" t="str">
        <f>VLOOKUP(record[[#This Row],[ProcessSN]],表格2_7[],2,FALSE)</f>
        <v>30-4118-018-5XX</v>
      </c>
      <c r="I8556" t="str">
        <f>VLOOKUP(record[[#This Row],[ProcessSN]],表格2_7[],3,FALSE)</f>
        <v>#07QC</v>
      </c>
      <c r="J8556" t="s">
        <v>589</v>
      </c>
      <c r="K8556" s="195">
        <v>45863.562662037039</v>
      </c>
      <c r="L8556">
        <v>166</v>
      </c>
      <c r="M8556">
        <v>0</v>
      </c>
      <c r="N8556" s="98" t="str">
        <f>IF(record[[#This Row],[Memo]]="Browser:chrome os:android","平板報工",IF(record[[#This Row],[Memo]]=0,"委外",record[[#This Row],[Memo]]))</f>
        <v>平板報工</v>
      </c>
      <c r="O8556" t="s">
        <v>643</v>
      </c>
      <c r="P8556" t="s">
        <v>141</v>
      </c>
      <c r="Q8556" t="s">
        <v>644</v>
      </c>
      <c r="R8556" t="str">
        <f>IFERROR(VLOOKUP(record[[#This Row],[PCUSTID]],廠商[],2,FALSE),"")</f>
        <v/>
      </c>
      <c r="S8556" t="str">
        <f>VLOOKUP(record[[#This Row],[employeeID]],員工[],2,FALSE)</f>
        <v>蔣梅</v>
      </c>
    </row>
    <row r="8557" spans="6:19" hidden="1" x14ac:dyDescent="0.25">
      <c r="F8557" t="s">
        <v>917</v>
      </c>
      <c r="G8557" t="s">
        <v>398</v>
      </c>
      <c r="H8557" t="str">
        <f>VLOOKUP(record[[#This Row],[ProcessSN]],表格2_7[],2,FALSE)</f>
        <v>30-4118-018-550</v>
      </c>
      <c r="I8557" t="str">
        <f>VLOOKUP(record[[#This Row],[ProcessSN]],表格2_7[],3,FALSE)</f>
        <v>#08RCV</v>
      </c>
      <c r="J8557" t="s">
        <v>591</v>
      </c>
      <c r="K8557" s="195">
        <v>45863.546967592592</v>
      </c>
      <c r="L8557">
        <v>346</v>
      </c>
      <c r="M8557">
        <v>0</v>
      </c>
      <c r="N8557" s="98" t="str">
        <f>IF(record[[#This Row],[Memo]]="Browser:chrome os:android","平板報工",IF(record[[#This Row],[Memo]]=0,"委外",record[[#This Row],[Memo]]))</f>
        <v/>
      </c>
      <c r="O8557" t="s">
        <v>58</v>
      </c>
      <c r="P8557" t="s">
        <v>186</v>
      </c>
      <c r="Q8557" t="s">
        <v>58</v>
      </c>
      <c r="R8557" t="str">
        <f>IFERROR(VLOOKUP(record[[#This Row],[PCUSTID]],廠商[],2,FALSE),"")</f>
        <v/>
      </c>
      <c r="S8557" t="str">
        <f>VLOOKUP(record[[#This Row],[employeeID]],員工[],2,FALSE)</f>
        <v>許文姍</v>
      </c>
    </row>
    <row r="8558" spans="6:19" hidden="1" x14ac:dyDescent="0.25">
      <c r="F8558" t="s">
        <v>922</v>
      </c>
      <c r="G8558" t="s">
        <v>462</v>
      </c>
      <c r="H8558" t="str">
        <f>VLOOKUP(record[[#This Row],[ProcessSN]],表格2_7[],2,FALSE)</f>
        <v>30-4118-018-XXX</v>
      </c>
      <c r="I8558" t="str">
        <f>VLOOKUP(record[[#This Row],[ProcessSN]],表格2_7[],3,FALSE)</f>
        <v>#00PICK</v>
      </c>
      <c r="J8558" t="s">
        <v>582</v>
      </c>
      <c r="K8558" s="195">
        <v>45863.437384259261</v>
      </c>
      <c r="L8558">
        <v>4680</v>
      </c>
      <c r="M8558">
        <v>0</v>
      </c>
      <c r="N8558" s="98" t="str">
        <f>IF(record[[#This Row],[Memo]]="Browser:chrome os:android","平板報工",IF(record[[#This Row],[Memo]]=0,"委外",record[[#This Row],[Memo]]))</f>
        <v/>
      </c>
      <c r="O8558" t="s">
        <v>58</v>
      </c>
      <c r="P8558" t="s">
        <v>113</v>
      </c>
      <c r="Q8558" t="s">
        <v>58</v>
      </c>
      <c r="R8558" t="str">
        <f>IFERROR(VLOOKUP(record[[#This Row],[PCUSTID]],廠商[],2,FALSE),"")</f>
        <v/>
      </c>
      <c r="S8558" t="str">
        <f>VLOOKUP(record[[#This Row],[employeeID]],員工[],2,FALSE)</f>
        <v>王奕蓁</v>
      </c>
    </row>
    <row r="8559" spans="6:19" hidden="1" x14ac:dyDescent="0.25">
      <c r="F8559" t="s">
        <v>897</v>
      </c>
      <c r="G8559" t="s">
        <v>417</v>
      </c>
      <c r="H8559" t="str">
        <f>VLOOKUP(record[[#This Row],[ProcessSN]],表格2_7[],2,FALSE)</f>
        <v>30-4118-018-5XX</v>
      </c>
      <c r="I8559" t="str">
        <f>VLOOKUP(record[[#This Row],[ProcessSN]],表格2_7[],3,FALSE)</f>
        <v>#06</v>
      </c>
      <c r="J8559" t="s">
        <v>593</v>
      </c>
      <c r="K8559" s="195">
        <v>45863.142858796295</v>
      </c>
      <c r="L8559">
        <v>65</v>
      </c>
      <c r="M8559">
        <v>0</v>
      </c>
      <c r="N8559" s="98" t="str">
        <f>IF(record[[#This Row],[Memo]]="Browser:chrome os:android","平板報工",IF(record[[#This Row],[Memo]]=0,"委外",record[[#This Row],[Memo]]))</f>
        <v>平板報工</v>
      </c>
      <c r="O8559" t="s">
        <v>643</v>
      </c>
      <c r="P8559" t="s">
        <v>841</v>
      </c>
      <c r="Q8559" t="s">
        <v>644</v>
      </c>
      <c r="R8559" t="str">
        <f>IFERROR(VLOOKUP(record[[#This Row],[PCUSTID]],廠商[],2,FALSE),"")</f>
        <v/>
      </c>
      <c r="S8559" t="str">
        <f>VLOOKUP(record[[#This Row],[employeeID]],員工[],2,FALSE)</f>
        <v>范氏香</v>
      </c>
    </row>
    <row r="8560" spans="6:19" hidden="1" x14ac:dyDescent="0.25">
      <c r="F8560" t="s">
        <v>897</v>
      </c>
      <c r="G8560" t="s">
        <v>417</v>
      </c>
      <c r="H8560" t="str">
        <f>VLOOKUP(record[[#This Row],[ProcessSN]],表格2_7[],2,FALSE)</f>
        <v>30-4118-018-5XX</v>
      </c>
      <c r="I8560" t="str">
        <f>VLOOKUP(record[[#This Row],[ProcessSN]],表格2_7[],3,FALSE)</f>
        <v>#06</v>
      </c>
      <c r="J8560" t="s">
        <v>593</v>
      </c>
      <c r="K8560" s="195">
        <v>45862.9768287037</v>
      </c>
      <c r="L8560">
        <v>121</v>
      </c>
      <c r="M8560">
        <v>0</v>
      </c>
      <c r="N8560" s="98" t="str">
        <f>IF(record[[#This Row],[Memo]]="Browser:chrome os:android","平板報工",IF(record[[#This Row],[Memo]]=0,"委外",record[[#This Row],[Memo]]))</f>
        <v/>
      </c>
      <c r="O8560" t="s">
        <v>58</v>
      </c>
      <c r="P8560" t="s">
        <v>841</v>
      </c>
      <c r="Q8560" t="s">
        <v>58</v>
      </c>
      <c r="R8560" t="str">
        <f>IFERROR(VLOOKUP(record[[#This Row],[PCUSTID]],廠商[],2,FALSE),"")</f>
        <v/>
      </c>
      <c r="S8560" t="str">
        <f>VLOOKUP(record[[#This Row],[employeeID]],員工[],2,FALSE)</f>
        <v>范氏香</v>
      </c>
    </row>
    <row r="8561" spans="6:19" hidden="1" x14ac:dyDescent="0.25">
      <c r="F8561" t="s">
        <v>897</v>
      </c>
      <c r="G8561" t="s">
        <v>415</v>
      </c>
      <c r="H8561" t="str">
        <f>VLOOKUP(record[[#This Row],[ProcessSN]],表格2_7[],2,FALSE)</f>
        <v>30-4118-018-5XX</v>
      </c>
      <c r="I8561" t="str">
        <f>VLOOKUP(record[[#This Row],[ProcessSN]],表格2_7[],3,FALSE)</f>
        <v>#04</v>
      </c>
      <c r="J8561" t="s">
        <v>588</v>
      </c>
      <c r="K8561" s="195">
        <v>45862.966770833336</v>
      </c>
      <c r="L8561">
        <v>115</v>
      </c>
      <c r="M8561">
        <v>0</v>
      </c>
      <c r="N8561" s="98" t="str">
        <f>IF(record[[#This Row],[Memo]]="Browser:chrome os:android","平板報工",IF(record[[#This Row],[Memo]]=0,"委外",record[[#This Row],[Memo]]))</f>
        <v/>
      </c>
      <c r="O8561" t="s">
        <v>58</v>
      </c>
      <c r="P8561" t="s">
        <v>133</v>
      </c>
      <c r="Q8561" t="s">
        <v>58</v>
      </c>
      <c r="R8561" t="str">
        <f>IFERROR(VLOOKUP(record[[#This Row],[PCUSTID]],廠商[],2,FALSE),"")</f>
        <v/>
      </c>
      <c r="S8561" t="str">
        <f>VLOOKUP(record[[#This Row],[employeeID]],員工[],2,FALSE)</f>
        <v>黎長維</v>
      </c>
    </row>
    <row r="8562" spans="6:19" hidden="1" x14ac:dyDescent="0.25">
      <c r="F8562" t="s">
        <v>897</v>
      </c>
      <c r="G8562" t="s">
        <v>414</v>
      </c>
      <c r="H8562" t="str">
        <f>VLOOKUP(record[[#This Row],[ProcessSN]],表格2_7[],2,FALSE)</f>
        <v>30-4118-018-5XX</v>
      </c>
      <c r="I8562" t="str">
        <f>VLOOKUP(record[[#This Row],[ProcessSN]],表格2_7[],3,FALSE)</f>
        <v>#03</v>
      </c>
      <c r="J8562" t="s">
        <v>588</v>
      </c>
      <c r="K8562" s="195">
        <v>45862.96297453704</v>
      </c>
      <c r="L8562">
        <v>4</v>
      </c>
      <c r="M8562">
        <v>-4</v>
      </c>
      <c r="N8562" s="98" t="str">
        <f>IF(record[[#This Row],[Memo]]="Browser:chrome os:android","平板報工",IF(record[[#This Row],[Memo]]=0,"委外",record[[#This Row],[Memo]]))</f>
        <v>覆回品</v>
      </c>
      <c r="O8562" t="s">
        <v>664</v>
      </c>
      <c r="P8562" t="s">
        <v>65</v>
      </c>
      <c r="Q8562" t="s">
        <v>58</v>
      </c>
      <c r="R8562" t="str">
        <f>IFERROR(VLOOKUP(record[[#This Row],[PCUSTID]],廠商[],2,FALSE),"")</f>
        <v/>
      </c>
      <c r="S8562" t="str">
        <f>VLOOKUP(record[[#This Row],[employeeID]],員工[],2,FALSE)</f>
        <v>蘇進昌</v>
      </c>
    </row>
    <row r="8563" spans="6:19" hidden="1" x14ac:dyDescent="0.25">
      <c r="F8563" t="s">
        <v>904</v>
      </c>
      <c r="G8563" t="s">
        <v>414</v>
      </c>
      <c r="H8563" t="str">
        <f>VLOOKUP(record[[#This Row],[ProcessSN]],表格2_7[],2,FALSE)</f>
        <v>30-4118-018-5XX</v>
      </c>
      <c r="I8563" t="str">
        <f>VLOOKUP(record[[#This Row],[ProcessSN]],表格2_7[],3,FALSE)</f>
        <v>#03</v>
      </c>
      <c r="J8563" t="s">
        <v>588</v>
      </c>
      <c r="K8563" s="195">
        <v>45862.954513888886</v>
      </c>
      <c r="L8563">
        <v>3</v>
      </c>
      <c r="M8563">
        <v>-3</v>
      </c>
      <c r="N8563" s="98" t="str">
        <f>IF(record[[#This Row],[Memo]]="Browser:chrome os:android","平板報工",IF(record[[#This Row],[Memo]]=0,"委外",record[[#This Row],[Memo]]))</f>
        <v>覆回品</v>
      </c>
      <c r="O8563" t="s">
        <v>664</v>
      </c>
      <c r="P8563" t="s">
        <v>65</v>
      </c>
      <c r="Q8563" t="s">
        <v>58</v>
      </c>
      <c r="R8563" t="str">
        <f>IFERROR(VLOOKUP(record[[#This Row],[PCUSTID]],廠商[],2,FALSE),"")</f>
        <v/>
      </c>
      <c r="S8563" t="str">
        <f>VLOOKUP(record[[#This Row],[employeeID]],員工[],2,FALSE)</f>
        <v>蘇進昌</v>
      </c>
    </row>
    <row r="8564" spans="6:19" hidden="1" x14ac:dyDescent="0.25">
      <c r="F8564" t="s">
        <v>914</v>
      </c>
      <c r="G8564" t="s">
        <v>403</v>
      </c>
      <c r="H8564" t="str">
        <f>VLOOKUP(record[[#This Row],[ProcessSN]],表格2_7[],2,FALSE)</f>
        <v>30-4118-018-550</v>
      </c>
      <c r="I8564" t="str">
        <f>VLOOKUP(record[[#This Row],[ProcessSN]],表格2_7[],3,FALSE)</f>
        <v>#100SHIP</v>
      </c>
      <c r="J8564" t="s">
        <v>600</v>
      </c>
      <c r="K8564" s="195">
        <v>45862.676226851851</v>
      </c>
      <c r="L8564">
        <v>71</v>
      </c>
      <c r="M8564">
        <v>0</v>
      </c>
      <c r="N8564" s="98" t="str">
        <f>IF(record[[#This Row],[Memo]]="Browser:chrome os:android","平板報工",IF(record[[#This Row],[Memo]]=0,"委外",record[[#This Row],[Memo]]))</f>
        <v/>
      </c>
      <c r="O8564" t="s">
        <v>58</v>
      </c>
      <c r="P8564" t="s">
        <v>113</v>
      </c>
      <c r="Q8564" t="s">
        <v>58</v>
      </c>
      <c r="R8564" t="str">
        <f>IFERROR(VLOOKUP(record[[#This Row],[PCUSTID]],廠商[],2,FALSE),"")</f>
        <v/>
      </c>
      <c r="S8564" t="str">
        <f>VLOOKUP(record[[#This Row],[employeeID]],員工[],2,FALSE)</f>
        <v>王奕蓁</v>
      </c>
    </row>
    <row r="8565" spans="6:19" hidden="1" x14ac:dyDescent="0.25">
      <c r="F8565" t="s">
        <v>914</v>
      </c>
      <c r="G8565" t="s">
        <v>402</v>
      </c>
      <c r="H8565" t="str">
        <f>VLOOKUP(record[[#This Row],[ProcessSN]],表格2_7[],2,FALSE)</f>
        <v>30-4118-018-550</v>
      </c>
      <c r="I8565" t="str">
        <f>VLOOKUP(record[[#This Row],[ProcessSN]],表格2_7[],3,FALSE)</f>
        <v>#100STOCK</v>
      </c>
      <c r="J8565" t="s">
        <v>592</v>
      </c>
      <c r="K8565" s="195">
        <v>45862.676064814812</v>
      </c>
      <c r="L8565">
        <v>71</v>
      </c>
      <c r="M8565">
        <v>0</v>
      </c>
      <c r="N8565" s="98" t="str">
        <f>IF(record[[#This Row],[Memo]]="Browser:chrome os:android","平板報工",IF(record[[#This Row],[Memo]]=0,"委外",record[[#This Row],[Memo]]))</f>
        <v/>
      </c>
      <c r="O8565" t="s">
        <v>58</v>
      </c>
      <c r="P8565" t="s">
        <v>113</v>
      </c>
      <c r="Q8565" t="s">
        <v>58</v>
      </c>
      <c r="R8565" t="str">
        <f>IFERROR(VLOOKUP(record[[#This Row],[PCUSTID]],廠商[],2,FALSE),"")</f>
        <v/>
      </c>
      <c r="S8565" t="str">
        <f>VLOOKUP(record[[#This Row],[employeeID]],員工[],2,FALSE)</f>
        <v>王奕蓁</v>
      </c>
    </row>
    <row r="8566" spans="6:19" hidden="1" x14ac:dyDescent="0.25">
      <c r="F8566" t="s">
        <v>914</v>
      </c>
      <c r="G8566" t="s">
        <v>401</v>
      </c>
      <c r="H8566" t="str">
        <f>VLOOKUP(record[[#This Row],[ProcessSN]],表格2_7[],2,FALSE)</f>
        <v>30-4118-018-550</v>
      </c>
      <c r="I8566" t="str">
        <f>VLOOKUP(record[[#This Row],[ProcessSN]],表格2_7[],3,FALSE)</f>
        <v>#100OQC</v>
      </c>
      <c r="J8566" t="s">
        <v>599</v>
      </c>
      <c r="K8566" s="195">
        <v>45862.671770833331</v>
      </c>
      <c r="L8566">
        <v>111</v>
      </c>
      <c r="M8566">
        <v>0</v>
      </c>
      <c r="N8566" s="98" t="str">
        <f>IF(record[[#This Row],[Memo]]="Browser:chrome os:android","平板報工",IF(record[[#This Row],[Memo]]=0,"委外",record[[#This Row],[Memo]]))</f>
        <v/>
      </c>
      <c r="O8566" t="s">
        <v>58</v>
      </c>
      <c r="P8566" t="s">
        <v>121</v>
      </c>
      <c r="Q8566" t="s">
        <v>58</v>
      </c>
      <c r="R8566" t="str">
        <f>IFERROR(VLOOKUP(record[[#This Row],[PCUSTID]],廠商[],2,FALSE),"")</f>
        <v/>
      </c>
      <c r="S8566" t="str">
        <f>VLOOKUP(record[[#This Row],[employeeID]],員工[],2,FALSE)</f>
        <v>謝素卿</v>
      </c>
    </row>
    <row r="8567" spans="6:19" hidden="1" x14ac:dyDescent="0.25">
      <c r="F8567" t="s">
        <v>877</v>
      </c>
      <c r="G8567" t="s">
        <v>418</v>
      </c>
      <c r="H8567" t="str">
        <f>VLOOKUP(record[[#This Row],[ProcessSN]],表格2_7[],2,FALSE)</f>
        <v>30-4118-018-5XX</v>
      </c>
      <c r="I8567" t="str">
        <f>VLOOKUP(record[[#This Row],[ProcessSN]],表格2_7[],3,FALSE)</f>
        <v>#07</v>
      </c>
      <c r="J8567" t="s">
        <v>588</v>
      </c>
      <c r="K8567" s="195">
        <v>45862.646851851852</v>
      </c>
      <c r="L8567">
        <v>1</v>
      </c>
      <c r="M8567">
        <v>-1</v>
      </c>
      <c r="N8567" s="98" t="str">
        <f>IF(record[[#This Row],[Memo]]="Browser:chrome os:android","平板報工",IF(record[[#This Row],[Memo]]=0,"委外",record[[#This Row],[Memo]]))</f>
        <v>覆回品</v>
      </c>
      <c r="O8567" t="s">
        <v>664</v>
      </c>
      <c r="P8567" t="s">
        <v>65</v>
      </c>
      <c r="Q8567" t="s">
        <v>58</v>
      </c>
      <c r="R8567" t="str">
        <f>IFERROR(VLOOKUP(record[[#This Row],[PCUSTID]],廠商[],2,FALSE),"")</f>
        <v/>
      </c>
      <c r="S8567" t="str">
        <f>VLOOKUP(record[[#This Row],[employeeID]],員工[],2,FALSE)</f>
        <v>蘇進昌</v>
      </c>
    </row>
    <row r="8568" spans="6:19" hidden="1" x14ac:dyDescent="0.25">
      <c r="F8568" t="s">
        <v>897</v>
      </c>
      <c r="G8568" t="s">
        <v>418</v>
      </c>
      <c r="H8568" t="str">
        <f>VLOOKUP(record[[#This Row],[ProcessSN]],表格2_7[],2,FALSE)</f>
        <v>30-4118-018-5XX</v>
      </c>
      <c r="I8568" t="str">
        <f>VLOOKUP(record[[#This Row],[ProcessSN]],表格2_7[],3,FALSE)</f>
        <v>#07</v>
      </c>
      <c r="J8568" t="s">
        <v>588</v>
      </c>
      <c r="K8568" s="195">
        <v>45862.644259259258</v>
      </c>
      <c r="L8568">
        <v>203</v>
      </c>
      <c r="M8568">
        <v>0</v>
      </c>
      <c r="N8568" s="98" t="str">
        <f>IF(record[[#This Row],[Memo]]="Browser:chrome os:android","平板報工",IF(record[[#This Row],[Memo]]=0,"委外",record[[#This Row],[Memo]]))</f>
        <v/>
      </c>
      <c r="O8568" t="s">
        <v>58</v>
      </c>
      <c r="P8568" t="s">
        <v>119</v>
      </c>
      <c r="Q8568" t="s">
        <v>58</v>
      </c>
      <c r="R8568" t="str">
        <f>IFERROR(VLOOKUP(record[[#This Row],[PCUSTID]],廠商[],2,FALSE),"")</f>
        <v/>
      </c>
      <c r="S8568" t="str">
        <f>VLOOKUP(record[[#This Row],[employeeID]],員工[],2,FALSE)</f>
        <v>廖俊彥</v>
      </c>
    </row>
    <row r="8569" spans="6:19" hidden="1" x14ac:dyDescent="0.25">
      <c r="F8569" t="s">
        <v>897</v>
      </c>
      <c r="G8569" t="s">
        <v>417</v>
      </c>
      <c r="H8569" t="str">
        <f>VLOOKUP(record[[#This Row],[ProcessSN]],表格2_7[],2,FALSE)</f>
        <v>30-4118-018-5XX</v>
      </c>
      <c r="I8569" t="str">
        <f>VLOOKUP(record[[#This Row],[ProcessSN]],表格2_7[],3,FALSE)</f>
        <v>#06</v>
      </c>
      <c r="J8569" t="s">
        <v>593</v>
      </c>
      <c r="K8569" s="195">
        <v>45862.644016203703</v>
      </c>
      <c r="L8569">
        <v>121</v>
      </c>
      <c r="M8569">
        <v>0</v>
      </c>
      <c r="N8569" s="98" t="str">
        <f>IF(record[[#This Row],[Memo]]="Browser:chrome os:android","平板報工",IF(record[[#This Row],[Memo]]=0,"委外",record[[#This Row],[Memo]]))</f>
        <v/>
      </c>
      <c r="O8569" t="s">
        <v>58</v>
      </c>
      <c r="P8569" t="s">
        <v>119</v>
      </c>
      <c r="Q8569" t="s">
        <v>58</v>
      </c>
      <c r="R8569" t="str">
        <f>IFERROR(VLOOKUP(record[[#This Row],[PCUSTID]],廠商[],2,FALSE),"")</f>
        <v/>
      </c>
      <c r="S8569" t="str">
        <f>VLOOKUP(record[[#This Row],[employeeID]],員工[],2,FALSE)</f>
        <v>廖俊彥</v>
      </c>
    </row>
    <row r="8570" spans="6:19" hidden="1" x14ac:dyDescent="0.25">
      <c r="F8570" t="s">
        <v>897</v>
      </c>
      <c r="G8570" t="s">
        <v>416</v>
      </c>
      <c r="H8570" t="str">
        <f>VLOOKUP(record[[#This Row],[ProcessSN]],表格2_7[],2,FALSE)</f>
        <v>30-4118-018-5XX</v>
      </c>
      <c r="I8570" t="str">
        <f>VLOOKUP(record[[#This Row],[ProcessSN]],表格2_7[],3,FALSE)</f>
        <v>#05</v>
      </c>
      <c r="J8570" t="s">
        <v>588</v>
      </c>
      <c r="K8570" s="195">
        <v>45862.643854166665</v>
      </c>
      <c r="L8570">
        <v>37</v>
      </c>
      <c r="M8570">
        <v>0</v>
      </c>
      <c r="N8570" s="98" t="str">
        <f>IF(record[[#This Row],[Memo]]="Browser:chrome os:android","平板報工",IF(record[[#This Row],[Memo]]=0,"委外",record[[#This Row],[Memo]]))</f>
        <v/>
      </c>
      <c r="O8570" t="s">
        <v>58</v>
      </c>
      <c r="P8570" t="s">
        <v>119</v>
      </c>
      <c r="Q8570" t="s">
        <v>58</v>
      </c>
      <c r="R8570" t="str">
        <f>IFERROR(VLOOKUP(record[[#This Row],[PCUSTID]],廠商[],2,FALSE),"")</f>
        <v/>
      </c>
      <c r="S8570" t="str">
        <f>VLOOKUP(record[[#This Row],[employeeID]],員工[],2,FALSE)</f>
        <v>廖俊彥</v>
      </c>
    </row>
    <row r="8571" spans="6:19" hidden="1" x14ac:dyDescent="0.25">
      <c r="F8571" t="s">
        <v>897</v>
      </c>
      <c r="G8571" t="s">
        <v>415</v>
      </c>
      <c r="H8571" t="str">
        <f>VLOOKUP(record[[#This Row],[ProcessSN]],表格2_7[],2,FALSE)</f>
        <v>30-4118-018-5XX</v>
      </c>
      <c r="I8571" t="str">
        <f>VLOOKUP(record[[#This Row],[ProcessSN]],表格2_7[],3,FALSE)</f>
        <v>#04</v>
      </c>
      <c r="J8571" t="s">
        <v>588</v>
      </c>
      <c r="K8571" s="195">
        <v>45862.643645833334</v>
      </c>
      <c r="L8571">
        <v>143</v>
      </c>
      <c r="M8571">
        <v>0</v>
      </c>
      <c r="N8571" s="98" t="str">
        <f>IF(record[[#This Row],[Memo]]="Browser:chrome os:android","平板報工",IF(record[[#This Row],[Memo]]=0,"委外",record[[#This Row],[Memo]]))</f>
        <v/>
      </c>
      <c r="O8571" t="s">
        <v>58</v>
      </c>
      <c r="P8571" t="s">
        <v>119</v>
      </c>
      <c r="Q8571" t="s">
        <v>58</v>
      </c>
      <c r="R8571" t="str">
        <f>IFERROR(VLOOKUP(record[[#This Row],[PCUSTID]],廠商[],2,FALSE),"")</f>
        <v/>
      </c>
      <c r="S8571" t="str">
        <f>VLOOKUP(record[[#This Row],[employeeID]],員工[],2,FALSE)</f>
        <v>廖俊彥</v>
      </c>
    </row>
    <row r="8572" spans="6:19" hidden="1" x14ac:dyDescent="0.25">
      <c r="F8572" t="s">
        <v>895</v>
      </c>
      <c r="G8572" t="s">
        <v>400</v>
      </c>
      <c r="H8572" t="str">
        <f>VLOOKUP(record[[#This Row],[ProcessSN]],表格2_7[],2,FALSE)</f>
        <v>30-4118-018-550</v>
      </c>
      <c r="I8572" t="str">
        <f>VLOOKUP(record[[#This Row],[ProcessSN]],表格2_7[],3,FALSE)</f>
        <v>#100</v>
      </c>
      <c r="J8572" t="s">
        <v>598</v>
      </c>
      <c r="K8572" s="195">
        <v>45862.640300925923</v>
      </c>
      <c r="L8572">
        <v>0</v>
      </c>
      <c r="M8572">
        <v>1</v>
      </c>
      <c r="N8572" s="98" t="str">
        <f>IF(record[[#This Row],[Memo]]="Browser:chrome os:android","平板報工",IF(record[[#This Row],[Memo]]=0,"委外",record[[#This Row],[Memo]]))</f>
        <v>平板報工</v>
      </c>
      <c r="O8572" t="s">
        <v>643</v>
      </c>
      <c r="P8572" t="s">
        <v>141</v>
      </c>
      <c r="Q8572" t="s">
        <v>644</v>
      </c>
      <c r="R8572" t="str">
        <f>IFERROR(VLOOKUP(record[[#This Row],[PCUSTID]],廠商[],2,FALSE),"")</f>
        <v/>
      </c>
      <c r="S8572" t="str">
        <f>VLOOKUP(record[[#This Row],[employeeID]],員工[],2,FALSE)</f>
        <v>蔣梅</v>
      </c>
    </row>
    <row r="8573" spans="6:19" hidden="1" x14ac:dyDescent="0.25">
      <c r="F8573" t="s">
        <v>895</v>
      </c>
      <c r="G8573" t="s">
        <v>399</v>
      </c>
      <c r="H8573" t="str">
        <f>VLOOKUP(record[[#This Row],[ProcessSN]],表格2_7[],2,FALSE)</f>
        <v>30-4118-018-550</v>
      </c>
      <c r="I8573" t="str">
        <f>VLOOKUP(record[[#This Row],[ProcessSN]],表格2_7[],3,FALSE)</f>
        <v>#08IQC</v>
      </c>
      <c r="J8573" t="s">
        <v>583</v>
      </c>
      <c r="K8573" s="195">
        <v>45862.640057870369</v>
      </c>
      <c r="L8573">
        <v>1</v>
      </c>
      <c r="M8573">
        <v>0</v>
      </c>
      <c r="N8573" s="98" t="str">
        <f>IF(record[[#This Row],[Memo]]="Browser:chrome os:android","平板報工",IF(record[[#This Row],[Memo]]=0,"委外",record[[#This Row],[Memo]]))</f>
        <v>平板報工</v>
      </c>
      <c r="O8573" t="s">
        <v>643</v>
      </c>
      <c r="P8573" t="s">
        <v>141</v>
      </c>
      <c r="Q8573" t="s">
        <v>644</v>
      </c>
      <c r="R8573" t="str">
        <f>IFERROR(VLOOKUP(record[[#This Row],[PCUSTID]],廠商[],2,FALSE),"")</f>
        <v/>
      </c>
      <c r="S8573" t="str">
        <f>VLOOKUP(record[[#This Row],[employeeID]],員工[],2,FALSE)</f>
        <v>蔣梅</v>
      </c>
    </row>
    <row r="8574" spans="6:19" hidden="1" x14ac:dyDescent="0.25">
      <c r="F8574" t="s">
        <v>895</v>
      </c>
      <c r="G8574" t="s">
        <v>398</v>
      </c>
      <c r="H8574" t="str">
        <f>VLOOKUP(record[[#This Row],[ProcessSN]],表格2_7[],2,FALSE)</f>
        <v>30-4118-018-550</v>
      </c>
      <c r="I8574" t="str">
        <f>VLOOKUP(record[[#This Row],[ProcessSN]],表格2_7[],3,FALSE)</f>
        <v>#08RCV</v>
      </c>
      <c r="J8574" t="s">
        <v>591</v>
      </c>
      <c r="K8574" s="195">
        <v>45862.639791666668</v>
      </c>
      <c r="L8574">
        <v>1</v>
      </c>
      <c r="M8574">
        <v>0</v>
      </c>
      <c r="N8574" s="98" t="str">
        <f>IF(record[[#This Row],[Memo]]="Browser:chrome os:android","平板報工",IF(record[[#This Row],[Memo]]=0,"委外",record[[#This Row],[Memo]]))</f>
        <v>平板報工</v>
      </c>
      <c r="O8574" t="s">
        <v>643</v>
      </c>
      <c r="P8574" t="s">
        <v>141</v>
      </c>
      <c r="Q8574" t="s">
        <v>644</v>
      </c>
      <c r="R8574" t="str">
        <f>IFERROR(VLOOKUP(record[[#This Row],[PCUSTID]],廠商[],2,FALSE),"")</f>
        <v/>
      </c>
      <c r="S8574" t="str">
        <f>VLOOKUP(record[[#This Row],[employeeID]],員工[],2,FALSE)</f>
        <v>蔣梅</v>
      </c>
    </row>
    <row r="8575" spans="6:19" hidden="1" x14ac:dyDescent="0.25">
      <c r="F8575" t="s">
        <v>914</v>
      </c>
      <c r="G8575" t="s">
        <v>400</v>
      </c>
      <c r="H8575" t="str">
        <f>VLOOKUP(record[[#This Row],[ProcessSN]],表格2_7[],2,FALSE)</f>
        <v>30-4118-018-550</v>
      </c>
      <c r="I8575" t="str">
        <f>VLOOKUP(record[[#This Row],[ProcessSN]],表格2_7[],3,FALSE)</f>
        <v>#100</v>
      </c>
      <c r="J8575" t="s">
        <v>598</v>
      </c>
      <c r="K8575" s="195">
        <v>45862.634143518517</v>
      </c>
      <c r="L8575">
        <v>0</v>
      </c>
      <c r="M8575">
        <v>4</v>
      </c>
      <c r="N8575" s="98" t="str">
        <f>IF(record[[#This Row],[Memo]]="Browser:chrome os:android","平板報工",IF(record[[#This Row],[Memo]]=0,"委外",record[[#This Row],[Memo]]))</f>
        <v>平板報工</v>
      </c>
      <c r="O8575" t="s">
        <v>643</v>
      </c>
      <c r="P8575" t="s">
        <v>141</v>
      </c>
      <c r="Q8575" t="s">
        <v>644</v>
      </c>
      <c r="R8575" t="str">
        <f>IFERROR(VLOOKUP(record[[#This Row],[PCUSTID]],廠商[],2,FALSE),"")</f>
        <v/>
      </c>
      <c r="S8575" t="str">
        <f>VLOOKUP(record[[#This Row],[employeeID]],員工[],2,FALSE)</f>
        <v>蔣梅</v>
      </c>
    </row>
    <row r="8576" spans="6:19" hidden="1" x14ac:dyDescent="0.25">
      <c r="F8576" t="s">
        <v>914</v>
      </c>
      <c r="G8576" t="s">
        <v>400</v>
      </c>
      <c r="H8576" t="str">
        <f>VLOOKUP(record[[#This Row],[ProcessSN]],表格2_7[],2,FALSE)</f>
        <v>30-4118-018-550</v>
      </c>
      <c r="I8576" t="str">
        <f>VLOOKUP(record[[#This Row],[ProcessSN]],表格2_7[],3,FALSE)</f>
        <v>#100</v>
      </c>
      <c r="J8576" t="s">
        <v>598</v>
      </c>
      <c r="K8576" s="195">
        <v>45862.633923611109</v>
      </c>
      <c r="L8576">
        <v>111</v>
      </c>
      <c r="M8576">
        <v>0</v>
      </c>
      <c r="N8576" s="98" t="str">
        <f>IF(record[[#This Row],[Memo]]="Browser:chrome os:android","平板報工",IF(record[[#This Row],[Memo]]=0,"委外",record[[#This Row],[Memo]]))</f>
        <v>平板報工</v>
      </c>
      <c r="O8576" t="s">
        <v>643</v>
      </c>
      <c r="P8576" t="s">
        <v>141</v>
      </c>
      <c r="Q8576" t="s">
        <v>644</v>
      </c>
      <c r="R8576" t="str">
        <f>IFERROR(VLOOKUP(record[[#This Row],[PCUSTID]],廠商[],2,FALSE),"")</f>
        <v/>
      </c>
      <c r="S8576" t="str">
        <f>VLOOKUP(record[[#This Row],[employeeID]],員工[],2,FALSE)</f>
        <v>蔣梅</v>
      </c>
    </row>
    <row r="8577" spans="6:19" hidden="1" x14ac:dyDescent="0.25">
      <c r="F8577" t="s">
        <v>914</v>
      </c>
      <c r="G8577" t="s">
        <v>399</v>
      </c>
      <c r="H8577" t="str">
        <f>VLOOKUP(record[[#This Row],[ProcessSN]],表格2_7[],2,FALSE)</f>
        <v>30-4118-018-550</v>
      </c>
      <c r="I8577" t="str">
        <f>VLOOKUP(record[[#This Row],[ProcessSN]],表格2_7[],3,FALSE)</f>
        <v>#08IQC</v>
      </c>
      <c r="J8577" t="s">
        <v>583</v>
      </c>
      <c r="K8577" s="195">
        <v>45862.609016203707</v>
      </c>
      <c r="L8577">
        <v>115</v>
      </c>
      <c r="M8577">
        <v>0</v>
      </c>
      <c r="N8577" s="98" t="str">
        <f>IF(record[[#This Row],[Memo]]="Browser:chrome os:android","平板報工",IF(record[[#This Row],[Memo]]=0,"委外",record[[#This Row],[Memo]]))</f>
        <v/>
      </c>
      <c r="O8577" t="s">
        <v>58</v>
      </c>
      <c r="P8577" t="s">
        <v>121</v>
      </c>
      <c r="Q8577" t="s">
        <v>58</v>
      </c>
      <c r="R8577" t="str">
        <f>IFERROR(VLOOKUP(record[[#This Row],[PCUSTID]],廠商[],2,FALSE),"")</f>
        <v/>
      </c>
      <c r="S8577" t="str">
        <f>VLOOKUP(record[[#This Row],[employeeID]],員工[],2,FALSE)</f>
        <v>謝素卿</v>
      </c>
    </row>
    <row r="8578" spans="6:19" hidden="1" x14ac:dyDescent="0.25">
      <c r="F8578" t="s">
        <v>907</v>
      </c>
      <c r="G8578" t="s">
        <v>403</v>
      </c>
      <c r="H8578" t="str">
        <f>VLOOKUP(record[[#This Row],[ProcessSN]],表格2_7[],2,FALSE)</f>
        <v>30-4118-018-550</v>
      </c>
      <c r="I8578" t="str">
        <f>VLOOKUP(record[[#This Row],[ProcessSN]],表格2_7[],3,FALSE)</f>
        <v>#100SHIP</v>
      </c>
      <c r="J8578" t="s">
        <v>600</v>
      </c>
      <c r="K8578" s="195">
        <v>45862.469328703701</v>
      </c>
      <c r="L8578">
        <v>98</v>
      </c>
      <c r="M8578">
        <v>0</v>
      </c>
      <c r="N8578" s="98" t="str">
        <f>IF(record[[#This Row],[Memo]]="Browser:chrome os:android","平板報工",IF(record[[#This Row],[Memo]]=0,"委外",record[[#This Row],[Memo]]))</f>
        <v/>
      </c>
      <c r="O8578" t="s">
        <v>58</v>
      </c>
      <c r="P8578" t="s">
        <v>886</v>
      </c>
      <c r="Q8578" t="s">
        <v>58</v>
      </c>
      <c r="R8578" t="str">
        <f>IFERROR(VLOOKUP(record[[#This Row],[PCUSTID]],廠商[],2,FALSE),"")</f>
        <v/>
      </c>
      <c r="S8578" t="str">
        <f>VLOOKUP(record[[#This Row],[employeeID]],員工[],2,FALSE)</f>
        <v>謝蓁薰</v>
      </c>
    </row>
    <row r="8579" spans="6:19" hidden="1" x14ac:dyDescent="0.25">
      <c r="F8579" t="s">
        <v>907</v>
      </c>
      <c r="G8579" t="s">
        <v>402</v>
      </c>
      <c r="H8579" t="str">
        <f>VLOOKUP(record[[#This Row],[ProcessSN]],表格2_7[],2,FALSE)</f>
        <v>30-4118-018-550</v>
      </c>
      <c r="I8579" t="str">
        <f>VLOOKUP(record[[#This Row],[ProcessSN]],表格2_7[],3,FALSE)</f>
        <v>#100STOCK</v>
      </c>
      <c r="J8579" t="s">
        <v>592</v>
      </c>
      <c r="K8579" s="195">
        <v>45862.469131944446</v>
      </c>
      <c r="L8579">
        <v>98</v>
      </c>
      <c r="M8579">
        <v>0</v>
      </c>
      <c r="N8579" s="98" t="str">
        <f>IF(record[[#This Row],[Memo]]="Browser:chrome os:android","平板報工",IF(record[[#This Row],[Memo]]=0,"委外",record[[#This Row],[Memo]]))</f>
        <v/>
      </c>
      <c r="O8579" t="s">
        <v>58</v>
      </c>
      <c r="P8579" t="s">
        <v>886</v>
      </c>
      <c r="Q8579" t="s">
        <v>58</v>
      </c>
      <c r="R8579" t="str">
        <f>IFERROR(VLOOKUP(record[[#This Row],[PCUSTID]],廠商[],2,FALSE),"")</f>
        <v/>
      </c>
      <c r="S8579" t="str">
        <f>VLOOKUP(record[[#This Row],[employeeID]],員工[],2,FALSE)</f>
        <v>謝蓁薰</v>
      </c>
    </row>
    <row r="8580" spans="6:19" hidden="1" x14ac:dyDescent="0.25">
      <c r="F8580" t="s">
        <v>914</v>
      </c>
      <c r="G8580" t="s">
        <v>398</v>
      </c>
      <c r="H8580" t="str">
        <f>VLOOKUP(record[[#This Row],[ProcessSN]],表格2_7[],2,FALSE)</f>
        <v>30-4118-018-550</v>
      </c>
      <c r="I8580" t="str">
        <f>VLOOKUP(record[[#This Row],[ProcessSN]],表格2_7[],3,FALSE)</f>
        <v>#08RCV</v>
      </c>
      <c r="J8580" t="s">
        <v>591</v>
      </c>
      <c r="K8580" s="195">
        <v>45862.419976851852</v>
      </c>
      <c r="L8580">
        <v>115</v>
      </c>
      <c r="M8580">
        <v>0</v>
      </c>
      <c r="N8580" s="98" t="str">
        <f>IF(record[[#This Row],[Memo]]="Browser:chrome os:android","平板報工",IF(record[[#This Row],[Memo]]=0,"委外",record[[#This Row],[Memo]]))</f>
        <v/>
      </c>
      <c r="O8580" t="s">
        <v>58</v>
      </c>
      <c r="P8580" t="s">
        <v>186</v>
      </c>
      <c r="Q8580" t="s">
        <v>58</v>
      </c>
      <c r="R8580" t="str">
        <f>IFERROR(VLOOKUP(record[[#This Row],[PCUSTID]],廠商[],2,FALSE),"")</f>
        <v/>
      </c>
      <c r="S8580" t="str">
        <f>VLOOKUP(record[[#This Row],[employeeID]],員工[],2,FALSE)</f>
        <v>許文姍</v>
      </c>
    </row>
    <row r="8581" spans="6:19" hidden="1" x14ac:dyDescent="0.25">
      <c r="F8581" t="s">
        <v>920</v>
      </c>
      <c r="G8581" t="s">
        <v>397</v>
      </c>
      <c r="H8581" t="str">
        <f>VLOOKUP(record[[#This Row],[ProcessSN]],表格2_7[],2,FALSE)</f>
        <v>30-4118-018-550</v>
      </c>
      <c r="I8581" t="str">
        <f>VLOOKUP(record[[#This Row],[ProcessSN]],表格2_7[],3,FALSE)</f>
        <v>#08</v>
      </c>
      <c r="J8581" t="s">
        <v>597</v>
      </c>
      <c r="K8581" s="195">
        <v>45862.413460648146</v>
      </c>
      <c r="L8581">
        <v>323</v>
      </c>
      <c r="M8581">
        <v>0</v>
      </c>
      <c r="N8581" s="98" t="str">
        <f>IF(record[[#This Row],[Memo]]="Browser:chrome os:android","平板報工",IF(record[[#This Row],[Memo]]=0,"委外",record[[#This Row],[Memo]]))</f>
        <v/>
      </c>
      <c r="O8581" t="s">
        <v>58</v>
      </c>
      <c r="P8581" t="s">
        <v>186</v>
      </c>
      <c r="Q8581" t="s">
        <v>287</v>
      </c>
      <c r="R8581" t="str">
        <f>IFERROR(VLOOKUP(record[[#This Row],[PCUSTID]],廠商[],2,FALSE),"")</f>
        <v>泉盛</v>
      </c>
      <c r="S8581" t="str">
        <f>VLOOKUP(record[[#This Row],[employeeID]],員工[],2,FALSE)</f>
        <v>許文姍</v>
      </c>
    </row>
    <row r="8582" spans="6:19" hidden="1" x14ac:dyDescent="0.25">
      <c r="F8582" t="s">
        <v>920</v>
      </c>
      <c r="G8582" t="s">
        <v>396</v>
      </c>
      <c r="H8582" t="str">
        <f>VLOOKUP(record[[#This Row],[ProcessSN]],表格2_7[],2,FALSE)</f>
        <v>30-4118-018-550</v>
      </c>
      <c r="I8582" t="str">
        <f>VLOOKUP(record[[#This Row],[ProcessSN]],表格2_7[],3,FALSE)</f>
        <v>#08PICK</v>
      </c>
      <c r="J8582" t="s">
        <v>582</v>
      </c>
      <c r="K8582" s="195">
        <v>45862.403946759259</v>
      </c>
      <c r="L8582">
        <v>323</v>
      </c>
      <c r="M8582">
        <v>0</v>
      </c>
      <c r="N8582" s="98" t="str">
        <f>IF(record[[#This Row],[Memo]]="Browser:chrome os:android","平板報工",IF(record[[#This Row],[Memo]]=0,"委外",record[[#This Row],[Memo]]))</f>
        <v/>
      </c>
      <c r="O8582" t="s">
        <v>58</v>
      </c>
      <c r="P8582" t="s">
        <v>113</v>
      </c>
      <c r="Q8582" t="s">
        <v>58</v>
      </c>
      <c r="R8582" t="str">
        <f>IFERROR(VLOOKUP(record[[#This Row],[PCUSTID]],廠商[],2,FALSE),"")</f>
        <v/>
      </c>
      <c r="S8582" t="str">
        <f>VLOOKUP(record[[#This Row],[employeeID]],員工[],2,FALSE)</f>
        <v>王奕蓁</v>
      </c>
    </row>
    <row r="8583" spans="6:19" hidden="1" x14ac:dyDescent="0.25">
      <c r="F8583" t="s">
        <v>897</v>
      </c>
      <c r="G8583" t="s">
        <v>420</v>
      </c>
      <c r="H8583" t="str">
        <f>VLOOKUP(record[[#This Row],[ProcessSN]],表格2_7[],2,FALSE)</f>
        <v>30-4118-018-5XX</v>
      </c>
      <c r="I8583" t="str">
        <f>VLOOKUP(record[[#This Row],[ProcessSN]],表格2_7[],3,FALSE)</f>
        <v>#07STOCK</v>
      </c>
      <c r="J8583" t="s">
        <v>592</v>
      </c>
      <c r="K8583" s="195">
        <v>45862.403865740744</v>
      </c>
      <c r="L8583">
        <v>323</v>
      </c>
      <c r="M8583">
        <v>0</v>
      </c>
      <c r="N8583" s="98" t="str">
        <f>IF(record[[#This Row],[Memo]]="Browser:chrome os:android","平板報工",IF(record[[#This Row],[Memo]]=0,"委外",record[[#This Row],[Memo]]))</f>
        <v/>
      </c>
      <c r="O8583" t="s">
        <v>58</v>
      </c>
      <c r="P8583" t="s">
        <v>113</v>
      </c>
      <c r="Q8583" t="s">
        <v>58</v>
      </c>
      <c r="R8583" t="str">
        <f>IFERROR(VLOOKUP(record[[#This Row],[PCUSTID]],廠商[],2,FALSE),"")</f>
        <v/>
      </c>
      <c r="S8583" t="str">
        <f>VLOOKUP(record[[#This Row],[employeeID]],員工[],2,FALSE)</f>
        <v>王奕蓁</v>
      </c>
    </row>
    <row r="8584" spans="6:19" hidden="1" x14ac:dyDescent="0.25">
      <c r="F8584" t="s">
        <v>897</v>
      </c>
      <c r="G8584" t="s">
        <v>419</v>
      </c>
      <c r="H8584" t="str">
        <f>VLOOKUP(record[[#This Row],[ProcessSN]],表格2_7[],2,FALSE)</f>
        <v>30-4118-018-5XX</v>
      </c>
      <c r="I8584" t="str">
        <f>VLOOKUP(record[[#This Row],[ProcessSN]],表格2_7[],3,FALSE)</f>
        <v>#07QC</v>
      </c>
      <c r="J8584" t="s">
        <v>589</v>
      </c>
      <c r="K8584" s="195">
        <v>45862.402870370373</v>
      </c>
      <c r="L8584">
        <v>0</v>
      </c>
      <c r="M8584">
        <v>2</v>
      </c>
      <c r="N8584" s="98" t="str">
        <f>IF(record[[#This Row],[Memo]]="Browser:chrome os:android","平板報工",IF(record[[#This Row],[Memo]]=0,"委外",record[[#This Row],[Memo]]))</f>
        <v>平板報工</v>
      </c>
      <c r="O8584" t="s">
        <v>643</v>
      </c>
      <c r="P8584" t="s">
        <v>141</v>
      </c>
      <c r="Q8584" t="s">
        <v>644</v>
      </c>
      <c r="R8584" t="str">
        <f>IFERROR(VLOOKUP(record[[#This Row],[PCUSTID]],廠商[],2,FALSE),"")</f>
        <v/>
      </c>
      <c r="S8584" t="str">
        <f>VLOOKUP(record[[#This Row],[employeeID]],員工[],2,FALSE)</f>
        <v>蔣梅</v>
      </c>
    </row>
    <row r="8585" spans="6:19" hidden="1" x14ac:dyDescent="0.25">
      <c r="F8585" t="s">
        <v>897</v>
      </c>
      <c r="G8585" t="s">
        <v>419</v>
      </c>
      <c r="H8585" t="str">
        <f>VLOOKUP(record[[#This Row],[ProcessSN]],表格2_7[],2,FALSE)</f>
        <v>30-4118-018-5XX</v>
      </c>
      <c r="I8585" t="str">
        <f>VLOOKUP(record[[#This Row],[ProcessSN]],表格2_7[],3,FALSE)</f>
        <v>#07QC</v>
      </c>
      <c r="J8585" t="s">
        <v>589</v>
      </c>
      <c r="K8585" s="195">
        <v>45862.402465277781</v>
      </c>
      <c r="L8585">
        <v>323</v>
      </c>
      <c r="M8585">
        <v>0</v>
      </c>
      <c r="N8585" s="98" t="str">
        <f>IF(record[[#This Row],[Memo]]="Browser:chrome os:android","平板報工",IF(record[[#This Row],[Memo]]=0,"委外",record[[#This Row],[Memo]]))</f>
        <v>平板報工</v>
      </c>
      <c r="O8585" t="s">
        <v>643</v>
      </c>
      <c r="P8585" t="s">
        <v>141</v>
      </c>
      <c r="Q8585" t="s">
        <v>644</v>
      </c>
      <c r="R8585" t="str">
        <f>IFERROR(VLOOKUP(record[[#This Row],[PCUSTID]],廠商[],2,FALSE),"")</f>
        <v/>
      </c>
      <c r="S8585" t="str">
        <f>VLOOKUP(record[[#This Row],[employeeID]],員工[],2,FALSE)</f>
        <v>蔣梅</v>
      </c>
    </row>
    <row r="8586" spans="6:19" hidden="1" x14ac:dyDescent="0.25">
      <c r="F8586" t="s">
        <v>897</v>
      </c>
      <c r="G8586" t="s">
        <v>415</v>
      </c>
      <c r="H8586" t="str">
        <f>VLOOKUP(record[[#This Row],[ProcessSN]],表格2_7[],2,FALSE)</f>
        <v>30-4118-018-5XX</v>
      </c>
      <c r="I8586" t="str">
        <f>VLOOKUP(record[[#This Row],[ProcessSN]],表格2_7[],3,FALSE)</f>
        <v>#04</v>
      </c>
      <c r="J8586" t="s">
        <v>588</v>
      </c>
      <c r="K8586" s="195">
        <v>45862.305266203701</v>
      </c>
      <c r="L8586">
        <v>136</v>
      </c>
      <c r="M8586">
        <v>0</v>
      </c>
      <c r="N8586" s="98" t="str">
        <f>IF(record[[#This Row],[Memo]]="Browser:chrome os:android","平板報工",IF(record[[#This Row],[Memo]]=0,"委外",record[[#This Row],[Memo]]))</f>
        <v/>
      </c>
      <c r="O8586" t="s">
        <v>58</v>
      </c>
      <c r="P8586" t="s">
        <v>135</v>
      </c>
      <c r="Q8586" t="s">
        <v>58</v>
      </c>
      <c r="R8586" t="str">
        <f>IFERROR(VLOOKUP(record[[#This Row],[PCUSTID]],廠商[],2,FALSE),"")</f>
        <v/>
      </c>
      <c r="S8586" t="str">
        <f>VLOOKUP(record[[#This Row],[employeeID]],員工[],2,FALSE)</f>
        <v>阮士文</v>
      </c>
    </row>
    <row r="8587" spans="6:19" hidden="1" x14ac:dyDescent="0.25">
      <c r="F8587" t="s">
        <v>897</v>
      </c>
      <c r="G8587" t="s">
        <v>417</v>
      </c>
      <c r="H8587" t="str">
        <f>VLOOKUP(record[[#This Row],[ProcessSN]],表格2_7[],2,FALSE)</f>
        <v>30-4118-018-5XX</v>
      </c>
      <c r="I8587" t="str">
        <f>VLOOKUP(record[[#This Row],[ProcessSN]],表格2_7[],3,FALSE)</f>
        <v>#06</v>
      </c>
      <c r="J8587" t="s">
        <v>593</v>
      </c>
      <c r="K8587" s="195">
        <v>45862.140486111108</v>
      </c>
      <c r="L8587">
        <v>61</v>
      </c>
      <c r="M8587">
        <v>0</v>
      </c>
      <c r="N8587" s="98" t="str">
        <f>IF(record[[#This Row],[Memo]]="Browser:chrome os:android","平板報工",IF(record[[#This Row],[Memo]]=0,"委外",record[[#This Row],[Memo]]))</f>
        <v/>
      </c>
      <c r="O8587" t="s">
        <v>58</v>
      </c>
      <c r="P8587" t="s">
        <v>841</v>
      </c>
      <c r="Q8587" t="s">
        <v>58</v>
      </c>
      <c r="R8587" t="str">
        <f>IFERROR(VLOOKUP(record[[#This Row],[PCUSTID]],廠商[],2,FALSE),"")</f>
        <v/>
      </c>
      <c r="S8587" t="str">
        <f>VLOOKUP(record[[#This Row],[employeeID]],員工[],2,FALSE)</f>
        <v>范氏香</v>
      </c>
    </row>
    <row r="8588" spans="6:19" hidden="1" x14ac:dyDescent="0.25">
      <c r="F8588" t="s">
        <v>897</v>
      </c>
      <c r="G8588" t="s">
        <v>415</v>
      </c>
      <c r="H8588" t="str">
        <f>VLOOKUP(record[[#This Row],[ProcessSN]],表格2_7[],2,FALSE)</f>
        <v>30-4118-018-5XX</v>
      </c>
      <c r="I8588" t="str">
        <f>VLOOKUP(record[[#This Row],[ProcessSN]],表格2_7[],3,FALSE)</f>
        <v>#04</v>
      </c>
      <c r="J8588" t="s">
        <v>588</v>
      </c>
      <c r="K8588" s="195">
        <v>45861.96266203704</v>
      </c>
      <c r="L8588">
        <v>125</v>
      </c>
      <c r="M8588">
        <v>0</v>
      </c>
      <c r="N8588" s="98" t="str">
        <f>IF(record[[#This Row],[Memo]]="Browser:chrome os:android","平板報工",IF(record[[#This Row],[Memo]]=0,"委外",record[[#This Row],[Memo]]))</f>
        <v/>
      </c>
      <c r="O8588" t="s">
        <v>58</v>
      </c>
      <c r="P8588" t="s">
        <v>806</v>
      </c>
      <c r="Q8588" t="s">
        <v>58</v>
      </c>
      <c r="R8588" t="str">
        <f>IFERROR(VLOOKUP(record[[#This Row],[PCUSTID]],廠商[],2,FALSE),"")</f>
        <v/>
      </c>
      <c r="S8588" t="str">
        <f>VLOOKUP(record[[#This Row],[employeeID]],員工[],2,FALSE)</f>
        <v>方思緯</v>
      </c>
    </row>
    <row r="8589" spans="6:19" hidden="1" x14ac:dyDescent="0.25">
      <c r="F8589" t="s">
        <v>897</v>
      </c>
      <c r="G8589" t="s">
        <v>418</v>
      </c>
      <c r="H8589" t="str">
        <f>VLOOKUP(record[[#This Row],[ProcessSN]],表格2_7[],2,FALSE)</f>
        <v>30-4118-018-5XX</v>
      </c>
      <c r="I8589" t="str">
        <f>VLOOKUP(record[[#This Row],[ProcessSN]],表格2_7[],3,FALSE)</f>
        <v>#07</v>
      </c>
      <c r="J8589" t="s">
        <v>588</v>
      </c>
      <c r="K8589" s="195">
        <v>45861.960081018522</v>
      </c>
      <c r="L8589">
        <v>68</v>
      </c>
      <c r="M8589">
        <v>0</v>
      </c>
      <c r="N8589" s="98" t="str">
        <f>IF(record[[#This Row],[Memo]]="Browser:chrome os:android","平板報工",IF(record[[#This Row],[Memo]]=0,"委外",record[[#This Row],[Memo]]))</f>
        <v/>
      </c>
      <c r="O8589" t="s">
        <v>58</v>
      </c>
      <c r="P8589" t="s">
        <v>89</v>
      </c>
      <c r="Q8589" t="s">
        <v>58</v>
      </c>
      <c r="R8589" t="str">
        <f>IFERROR(VLOOKUP(record[[#This Row],[PCUSTID]],廠商[],2,FALSE),"")</f>
        <v/>
      </c>
      <c r="S8589" t="str">
        <f>VLOOKUP(record[[#This Row],[employeeID]],員工[],2,FALSE)</f>
        <v>李美蓮</v>
      </c>
    </row>
    <row r="8590" spans="6:19" hidden="1" x14ac:dyDescent="0.25">
      <c r="F8590" t="s">
        <v>897</v>
      </c>
      <c r="G8590" t="s">
        <v>416</v>
      </c>
      <c r="H8590" t="str">
        <f>VLOOKUP(record[[#This Row],[ProcessSN]],表格2_7[],2,FALSE)</f>
        <v>30-4118-018-5XX</v>
      </c>
      <c r="I8590" t="str">
        <f>VLOOKUP(record[[#This Row],[ProcessSN]],表格2_7[],3,FALSE)</f>
        <v>#05</v>
      </c>
      <c r="J8590" t="s">
        <v>588</v>
      </c>
      <c r="K8590" s="195">
        <v>45861.959062499998</v>
      </c>
      <c r="L8590">
        <v>260</v>
      </c>
      <c r="M8590">
        <v>0</v>
      </c>
      <c r="N8590" s="98" t="str">
        <f>IF(record[[#This Row],[Memo]]="Browser:chrome os:android","平板報工",IF(record[[#This Row],[Memo]]=0,"委外",record[[#This Row],[Memo]]))</f>
        <v/>
      </c>
      <c r="O8590" t="s">
        <v>58</v>
      </c>
      <c r="P8590" t="s">
        <v>89</v>
      </c>
      <c r="Q8590" t="s">
        <v>58</v>
      </c>
      <c r="R8590" t="str">
        <f>IFERROR(VLOOKUP(record[[#This Row],[PCUSTID]],廠商[],2,FALSE),"")</f>
        <v/>
      </c>
      <c r="S8590" t="str">
        <f>VLOOKUP(record[[#This Row],[employeeID]],員工[],2,FALSE)</f>
        <v>李美蓮</v>
      </c>
    </row>
    <row r="8591" spans="6:19" hidden="1" x14ac:dyDescent="0.25">
      <c r="F8591" t="s">
        <v>897</v>
      </c>
      <c r="G8591" t="s">
        <v>417</v>
      </c>
      <c r="H8591" t="str">
        <f>VLOOKUP(record[[#This Row],[ProcessSN]],表格2_7[],2,FALSE)</f>
        <v>30-4118-018-5XX</v>
      </c>
      <c r="I8591" t="str">
        <f>VLOOKUP(record[[#This Row],[ProcessSN]],表格2_7[],3,FALSE)</f>
        <v>#06</v>
      </c>
      <c r="J8591" t="s">
        <v>593</v>
      </c>
      <c r="K8591" s="195">
        <v>45861.956064814818</v>
      </c>
      <c r="L8591">
        <v>116</v>
      </c>
      <c r="M8591">
        <v>0</v>
      </c>
      <c r="N8591" s="98" t="str">
        <f>IF(record[[#This Row],[Memo]]="Browser:chrome os:android","平板報工",IF(record[[#This Row],[Memo]]=0,"委外",record[[#This Row],[Memo]]))</f>
        <v/>
      </c>
      <c r="O8591" t="s">
        <v>58</v>
      </c>
      <c r="P8591" t="s">
        <v>841</v>
      </c>
      <c r="Q8591" t="s">
        <v>58</v>
      </c>
      <c r="R8591" t="str">
        <f>IFERROR(VLOOKUP(record[[#This Row],[PCUSTID]],廠商[],2,FALSE),"")</f>
        <v/>
      </c>
      <c r="S8591" t="str">
        <f>VLOOKUP(record[[#This Row],[employeeID]],員工[],2,FALSE)</f>
        <v>范氏香</v>
      </c>
    </row>
    <row r="8592" spans="6:19" hidden="1" x14ac:dyDescent="0.25">
      <c r="F8592" t="s">
        <v>897</v>
      </c>
      <c r="G8592" t="s">
        <v>415</v>
      </c>
      <c r="H8592" t="str">
        <f>VLOOKUP(record[[#This Row],[ProcessSN]],表格2_7[],2,FALSE)</f>
        <v>30-4118-018-5XX</v>
      </c>
      <c r="I8592" t="str">
        <f>VLOOKUP(record[[#This Row],[ProcessSN]],表格2_7[],3,FALSE)</f>
        <v>#04</v>
      </c>
      <c r="J8592" t="s">
        <v>588</v>
      </c>
      <c r="K8592" s="195">
        <v>45861.652511574073</v>
      </c>
      <c r="L8592">
        <v>128</v>
      </c>
      <c r="M8592">
        <v>0</v>
      </c>
      <c r="N8592" s="98" t="str">
        <f>IF(record[[#This Row],[Memo]]="Browser:chrome os:android","平板報工",IF(record[[#This Row],[Memo]]=0,"委外",record[[#This Row],[Memo]]))</f>
        <v/>
      </c>
      <c r="O8592" t="s">
        <v>58</v>
      </c>
      <c r="P8592" t="s">
        <v>119</v>
      </c>
      <c r="Q8592" t="s">
        <v>58</v>
      </c>
      <c r="R8592" t="str">
        <f>IFERROR(VLOOKUP(record[[#This Row],[PCUSTID]],廠商[],2,FALSE),"")</f>
        <v/>
      </c>
      <c r="S8592" t="str">
        <f>VLOOKUP(record[[#This Row],[employeeID]],員工[],2,FALSE)</f>
        <v>廖俊彥</v>
      </c>
    </row>
    <row r="8593" spans="6:19" hidden="1" x14ac:dyDescent="0.25">
      <c r="F8593" t="s">
        <v>897</v>
      </c>
      <c r="G8593" t="s">
        <v>418</v>
      </c>
      <c r="H8593" t="str">
        <f>VLOOKUP(record[[#This Row],[ProcessSN]],表格2_7[],2,FALSE)</f>
        <v>30-4118-018-5XX</v>
      </c>
      <c r="I8593" t="str">
        <f>VLOOKUP(record[[#This Row],[ProcessSN]],表格2_7[],3,FALSE)</f>
        <v>#07</v>
      </c>
      <c r="J8593" t="s">
        <v>588</v>
      </c>
      <c r="K8593" s="195">
        <v>45861.652280092596</v>
      </c>
      <c r="L8593">
        <v>176</v>
      </c>
      <c r="M8593">
        <v>3</v>
      </c>
      <c r="N8593" s="98" t="str">
        <f>IF(record[[#This Row],[Memo]]="Browser:chrome os:android","平板報工",IF(record[[#This Row],[Memo]]=0,"委外",record[[#This Row],[Memo]]))</f>
        <v/>
      </c>
      <c r="O8593" t="s">
        <v>58</v>
      </c>
      <c r="P8593" t="s">
        <v>119</v>
      </c>
      <c r="Q8593" t="s">
        <v>58</v>
      </c>
      <c r="R8593" t="str">
        <f>IFERROR(VLOOKUP(record[[#This Row],[PCUSTID]],廠商[],2,FALSE),"")</f>
        <v/>
      </c>
      <c r="S8593" t="str">
        <f>VLOOKUP(record[[#This Row],[employeeID]],員工[],2,FALSE)</f>
        <v>廖俊彥</v>
      </c>
    </row>
    <row r="8594" spans="6:19" hidden="1" x14ac:dyDescent="0.25">
      <c r="F8594" t="s">
        <v>897</v>
      </c>
      <c r="G8594" t="s">
        <v>417</v>
      </c>
      <c r="H8594" t="str">
        <f>VLOOKUP(record[[#This Row],[ProcessSN]],表格2_7[],2,FALSE)</f>
        <v>30-4118-018-5XX</v>
      </c>
      <c r="I8594" t="str">
        <f>VLOOKUP(record[[#This Row],[ProcessSN]],表格2_7[],3,FALSE)</f>
        <v>#06</v>
      </c>
      <c r="J8594" t="s">
        <v>593</v>
      </c>
      <c r="K8594" s="195">
        <v>45861.652083333334</v>
      </c>
      <c r="L8594">
        <v>120</v>
      </c>
      <c r="M8594">
        <v>0</v>
      </c>
      <c r="N8594" s="98" t="str">
        <f>IF(record[[#This Row],[Memo]]="Browser:chrome os:android","平板報工",IF(record[[#This Row],[Memo]]=0,"委外",record[[#This Row],[Memo]]))</f>
        <v/>
      </c>
      <c r="O8594" t="s">
        <v>58</v>
      </c>
      <c r="P8594" t="s">
        <v>119</v>
      </c>
      <c r="Q8594" t="s">
        <v>58</v>
      </c>
      <c r="R8594" t="str">
        <f>IFERROR(VLOOKUP(record[[#This Row],[PCUSTID]],廠商[],2,FALSE),"")</f>
        <v/>
      </c>
      <c r="S8594" t="str">
        <f>VLOOKUP(record[[#This Row],[employeeID]],員工[],2,FALSE)</f>
        <v>廖俊彥</v>
      </c>
    </row>
    <row r="8595" spans="6:19" hidden="1" x14ac:dyDescent="0.25">
      <c r="F8595" t="s">
        <v>897</v>
      </c>
      <c r="G8595" t="s">
        <v>416</v>
      </c>
      <c r="H8595" t="str">
        <f>VLOOKUP(record[[#This Row],[ProcessSN]],表格2_7[],2,FALSE)</f>
        <v>30-4118-018-5XX</v>
      </c>
      <c r="I8595" t="str">
        <f>VLOOKUP(record[[#This Row],[ProcessSN]],表格2_7[],3,FALSE)</f>
        <v>#05</v>
      </c>
      <c r="J8595" t="s">
        <v>588</v>
      </c>
      <c r="K8595" s="195">
        <v>45861.648344907408</v>
      </c>
      <c r="L8595">
        <v>200</v>
      </c>
      <c r="M8595">
        <v>0</v>
      </c>
      <c r="N8595" s="98" t="str">
        <f>IF(record[[#This Row],[Memo]]="Browser:chrome os:android","平板報工",IF(record[[#This Row],[Memo]]=0,"委外",record[[#This Row],[Memo]]))</f>
        <v/>
      </c>
      <c r="O8595" t="s">
        <v>58</v>
      </c>
      <c r="P8595" t="s">
        <v>119</v>
      </c>
      <c r="Q8595" t="s">
        <v>58</v>
      </c>
      <c r="R8595" t="str">
        <f>IFERROR(VLOOKUP(record[[#This Row],[PCUSTID]],廠商[],2,FALSE),"")</f>
        <v/>
      </c>
      <c r="S8595" t="str">
        <f>VLOOKUP(record[[#This Row],[employeeID]],員工[],2,FALSE)</f>
        <v>廖俊彥</v>
      </c>
    </row>
    <row r="8596" spans="6:19" hidden="1" x14ac:dyDescent="0.25">
      <c r="F8596" t="s">
        <v>917</v>
      </c>
      <c r="G8596" t="s">
        <v>397</v>
      </c>
      <c r="H8596" t="str">
        <f>VLOOKUP(record[[#This Row],[ProcessSN]],表格2_7[],2,FALSE)</f>
        <v>30-4118-018-550</v>
      </c>
      <c r="I8596" t="str">
        <f>VLOOKUP(record[[#This Row],[ProcessSN]],表格2_7[],3,FALSE)</f>
        <v>#08</v>
      </c>
      <c r="J8596" t="s">
        <v>597</v>
      </c>
      <c r="K8596" s="195">
        <v>45861.552118055559</v>
      </c>
      <c r="L8596">
        <v>346</v>
      </c>
      <c r="M8596">
        <v>0</v>
      </c>
      <c r="N8596" s="98" t="str">
        <f>IF(record[[#This Row],[Memo]]="Browser:chrome os:android","平板報工",IF(record[[#This Row],[Memo]]=0,"委外",record[[#This Row],[Memo]]))</f>
        <v/>
      </c>
      <c r="O8596" t="s">
        <v>58</v>
      </c>
      <c r="P8596" t="s">
        <v>186</v>
      </c>
      <c r="Q8596" t="s">
        <v>287</v>
      </c>
      <c r="R8596" t="str">
        <f>IFERROR(VLOOKUP(record[[#This Row],[PCUSTID]],廠商[],2,FALSE),"")</f>
        <v>泉盛</v>
      </c>
      <c r="S8596" t="str">
        <f>VLOOKUP(record[[#This Row],[employeeID]],員工[],2,FALSE)</f>
        <v>許文姍</v>
      </c>
    </row>
    <row r="8597" spans="6:19" hidden="1" x14ac:dyDescent="0.25">
      <c r="F8597" t="s">
        <v>917</v>
      </c>
      <c r="G8597" t="s">
        <v>396</v>
      </c>
      <c r="H8597" t="str">
        <f>VLOOKUP(record[[#This Row],[ProcessSN]],表格2_7[],2,FALSE)</f>
        <v>30-4118-018-550</v>
      </c>
      <c r="I8597" t="str">
        <f>VLOOKUP(record[[#This Row],[ProcessSN]],表格2_7[],3,FALSE)</f>
        <v>#08PICK</v>
      </c>
      <c r="J8597" t="s">
        <v>582</v>
      </c>
      <c r="K8597" s="195">
        <v>45861.550057870372</v>
      </c>
      <c r="L8597">
        <v>346</v>
      </c>
      <c r="M8597">
        <v>0</v>
      </c>
      <c r="N8597" s="98" t="str">
        <f>IF(record[[#This Row],[Memo]]="Browser:chrome os:android","平板報工",IF(record[[#This Row],[Memo]]=0,"委外",record[[#This Row],[Memo]]))</f>
        <v/>
      </c>
      <c r="O8597" t="s">
        <v>58</v>
      </c>
      <c r="P8597" t="s">
        <v>113</v>
      </c>
      <c r="Q8597" t="s">
        <v>58</v>
      </c>
      <c r="R8597" t="str">
        <f>IFERROR(VLOOKUP(record[[#This Row],[PCUSTID]],廠商[],2,FALSE),"")</f>
        <v/>
      </c>
      <c r="S8597" t="str">
        <f>VLOOKUP(record[[#This Row],[employeeID]],員工[],2,FALSE)</f>
        <v>王奕蓁</v>
      </c>
    </row>
    <row r="8598" spans="6:19" hidden="1" x14ac:dyDescent="0.25">
      <c r="F8598" t="s">
        <v>877</v>
      </c>
      <c r="G8598" t="s">
        <v>420</v>
      </c>
      <c r="H8598" t="str">
        <f>VLOOKUP(record[[#This Row],[ProcessSN]],表格2_7[],2,FALSE)</f>
        <v>30-4118-018-5XX</v>
      </c>
      <c r="I8598" t="str">
        <f>VLOOKUP(record[[#This Row],[ProcessSN]],表格2_7[],3,FALSE)</f>
        <v>#07STOCK</v>
      </c>
      <c r="J8598" t="s">
        <v>592</v>
      </c>
      <c r="K8598" s="195">
        <v>45861.549618055556</v>
      </c>
      <c r="L8598">
        <v>346</v>
      </c>
      <c r="M8598">
        <v>0</v>
      </c>
      <c r="N8598" s="98" t="str">
        <f>IF(record[[#This Row],[Memo]]="Browser:chrome os:android","平板報工",IF(record[[#This Row],[Memo]]=0,"委外",record[[#This Row],[Memo]]))</f>
        <v/>
      </c>
      <c r="O8598" t="s">
        <v>58</v>
      </c>
      <c r="P8598" t="s">
        <v>113</v>
      </c>
      <c r="Q8598" t="s">
        <v>58</v>
      </c>
      <c r="R8598" t="str">
        <f>IFERROR(VLOOKUP(record[[#This Row],[PCUSTID]],廠商[],2,FALSE),"")</f>
        <v/>
      </c>
      <c r="S8598" t="str">
        <f>VLOOKUP(record[[#This Row],[employeeID]],員工[],2,FALSE)</f>
        <v>王奕蓁</v>
      </c>
    </row>
    <row r="8599" spans="6:19" hidden="1" x14ac:dyDescent="0.25">
      <c r="F8599" t="s">
        <v>877</v>
      </c>
      <c r="G8599" t="s">
        <v>419</v>
      </c>
      <c r="H8599" t="str">
        <f>VLOOKUP(record[[#This Row],[ProcessSN]],表格2_7[],2,FALSE)</f>
        <v>30-4118-018-5XX</v>
      </c>
      <c r="I8599" t="str">
        <f>VLOOKUP(record[[#This Row],[ProcessSN]],表格2_7[],3,FALSE)</f>
        <v>#07QC</v>
      </c>
      <c r="J8599" t="s">
        <v>589</v>
      </c>
      <c r="K8599" s="195">
        <v>45861.492106481484</v>
      </c>
      <c r="L8599">
        <v>0</v>
      </c>
      <c r="M8599">
        <v>2</v>
      </c>
      <c r="N8599" s="98" t="str">
        <f>IF(record[[#This Row],[Memo]]="Browser:chrome os:android","平板報工",IF(record[[#This Row],[Memo]]=0,"委外",record[[#This Row],[Memo]]))</f>
        <v/>
      </c>
      <c r="O8599" t="s">
        <v>58</v>
      </c>
      <c r="P8599" t="s">
        <v>141</v>
      </c>
      <c r="Q8599" t="s">
        <v>58</v>
      </c>
      <c r="R8599" t="str">
        <f>IFERROR(VLOOKUP(record[[#This Row],[PCUSTID]],廠商[],2,FALSE),"")</f>
        <v/>
      </c>
      <c r="S8599" t="str">
        <f>VLOOKUP(record[[#This Row],[employeeID]],員工[],2,FALSE)</f>
        <v>蔣梅</v>
      </c>
    </row>
    <row r="8600" spans="6:19" hidden="1" x14ac:dyDescent="0.25">
      <c r="F8600" t="s">
        <v>890</v>
      </c>
      <c r="G8600" t="s">
        <v>428</v>
      </c>
      <c r="H8600" t="str">
        <f>VLOOKUP(record[[#This Row],[ProcessSN]],表格2_7[],2,FALSE)</f>
        <v>30-4118-018-600</v>
      </c>
      <c r="I8600" t="str">
        <f>VLOOKUP(record[[#This Row],[ProcessSN]],表格2_7[],3,FALSE)</f>
        <v>#100SHIP</v>
      </c>
      <c r="J8600" t="s">
        <v>600</v>
      </c>
      <c r="K8600" s="195">
        <v>45861.401307870372</v>
      </c>
      <c r="L8600">
        <v>89</v>
      </c>
      <c r="M8600">
        <v>0</v>
      </c>
      <c r="N8600" s="98" t="str">
        <f>IF(record[[#This Row],[Memo]]="Browser:chrome os:android","平板報工",IF(record[[#This Row],[Memo]]=0,"委外",record[[#This Row],[Memo]]))</f>
        <v/>
      </c>
      <c r="O8600" t="s">
        <v>58</v>
      </c>
      <c r="P8600" t="s">
        <v>886</v>
      </c>
      <c r="Q8600" t="s">
        <v>58</v>
      </c>
      <c r="R8600" t="str">
        <f>IFERROR(VLOOKUP(record[[#This Row],[PCUSTID]],廠商[],2,FALSE),"")</f>
        <v/>
      </c>
      <c r="S8600" t="str">
        <f>VLOOKUP(record[[#This Row],[employeeID]],員工[],2,FALSE)</f>
        <v>謝蓁薰</v>
      </c>
    </row>
    <row r="8601" spans="6:19" hidden="1" x14ac:dyDescent="0.25">
      <c r="F8601" t="s">
        <v>907</v>
      </c>
      <c r="G8601" t="s">
        <v>403</v>
      </c>
      <c r="H8601" t="str">
        <f>VLOOKUP(record[[#This Row],[ProcessSN]],表格2_7[],2,FALSE)</f>
        <v>30-4118-018-550</v>
      </c>
      <c r="I8601" t="str">
        <f>VLOOKUP(record[[#This Row],[ProcessSN]],表格2_7[],3,FALSE)</f>
        <v>#100SHIP</v>
      </c>
      <c r="J8601" t="s">
        <v>600</v>
      </c>
      <c r="K8601" s="195">
        <v>45861.401076388887</v>
      </c>
      <c r="L8601">
        <v>79</v>
      </c>
      <c r="M8601">
        <v>0</v>
      </c>
      <c r="N8601" s="98" t="str">
        <f>IF(record[[#This Row],[Memo]]="Browser:chrome os:android","平板報工",IF(record[[#This Row],[Memo]]=0,"委外",record[[#This Row],[Memo]]))</f>
        <v/>
      </c>
      <c r="O8601" t="s">
        <v>58</v>
      </c>
      <c r="P8601" t="s">
        <v>886</v>
      </c>
      <c r="Q8601" t="s">
        <v>58</v>
      </c>
      <c r="R8601" t="str">
        <f>IFERROR(VLOOKUP(record[[#This Row],[PCUSTID]],廠商[],2,FALSE),"")</f>
        <v/>
      </c>
      <c r="S8601" t="str">
        <f>VLOOKUP(record[[#This Row],[employeeID]],員工[],2,FALSE)</f>
        <v>謝蓁薰</v>
      </c>
    </row>
    <row r="8602" spans="6:19" hidden="1" x14ac:dyDescent="0.25">
      <c r="F8602" t="s">
        <v>907</v>
      </c>
      <c r="G8602" t="s">
        <v>402</v>
      </c>
      <c r="H8602" t="str">
        <f>VLOOKUP(record[[#This Row],[ProcessSN]],表格2_7[],2,FALSE)</f>
        <v>30-4118-018-550</v>
      </c>
      <c r="I8602" t="str">
        <f>VLOOKUP(record[[#This Row],[ProcessSN]],表格2_7[],3,FALSE)</f>
        <v>#100STOCK</v>
      </c>
      <c r="J8602" t="s">
        <v>592</v>
      </c>
      <c r="K8602" s="195">
        <v>45861.400949074072</v>
      </c>
      <c r="L8602">
        <v>79</v>
      </c>
      <c r="M8602">
        <v>0</v>
      </c>
      <c r="N8602" s="98" t="str">
        <f>IF(record[[#This Row],[Memo]]="Browser:chrome os:android","平板報工",IF(record[[#This Row],[Memo]]=0,"委外",record[[#This Row],[Memo]]))</f>
        <v/>
      </c>
      <c r="O8602" t="s">
        <v>58</v>
      </c>
      <c r="P8602" t="s">
        <v>886</v>
      </c>
      <c r="Q8602" t="s">
        <v>58</v>
      </c>
      <c r="R8602" t="str">
        <f>IFERROR(VLOOKUP(record[[#This Row],[PCUSTID]],廠商[],2,FALSE),"")</f>
        <v/>
      </c>
      <c r="S8602" t="str">
        <f>VLOOKUP(record[[#This Row],[employeeID]],員工[],2,FALSE)</f>
        <v>謝蓁薰</v>
      </c>
    </row>
    <row r="8603" spans="6:19" hidden="1" x14ac:dyDescent="0.25">
      <c r="F8603" t="s">
        <v>877</v>
      </c>
      <c r="G8603" t="s">
        <v>419</v>
      </c>
      <c r="H8603" t="str">
        <f>VLOOKUP(record[[#This Row],[ProcessSN]],表格2_7[],2,FALSE)</f>
        <v>30-4118-018-5XX</v>
      </c>
      <c r="I8603" t="str">
        <f>VLOOKUP(record[[#This Row],[ProcessSN]],表格2_7[],3,FALSE)</f>
        <v>#07QC</v>
      </c>
      <c r="J8603" t="s">
        <v>589</v>
      </c>
      <c r="K8603" s="195">
        <v>45861.380972222221</v>
      </c>
      <c r="L8603">
        <v>0</v>
      </c>
      <c r="M8603">
        <v>3</v>
      </c>
      <c r="N8603" s="98" t="str">
        <f>IF(record[[#This Row],[Memo]]="Browser:chrome os:android","平板報工",IF(record[[#This Row],[Memo]]=0,"委外",record[[#This Row],[Memo]]))</f>
        <v>平板報工</v>
      </c>
      <c r="O8603" t="s">
        <v>643</v>
      </c>
      <c r="P8603" t="s">
        <v>141</v>
      </c>
      <c r="Q8603" t="s">
        <v>644</v>
      </c>
      <c r="R8603" t="str">
        <f>IFERROR(VLOOKUP(record[[#This Row],[PCUSTID]],廠商[],2,FALSE),"")</f>
        <v/>
      </c>
      <c r="S8603" t="str">
        <f>VLOOKUP(record[[#This Row],[employeeID]],員工[],2,FALSE)</f>
        <v>蔣梅</v>
      </c>
    </row>
    <row r="8604" spans="6:19" hidden="1" x14ac:dyDescent="0.25">
      <c r="F8604" t="s">
        <v>877</v>
      </c>
      <c r="G8604" t="s">
        <v>419</v>
      </c>
      <c r="H8604" t="str">
        <f>VLOOKUP(record[[#This Row],[ProcessSN]],表格2_7[],2,FALSE)</f>
        <v>30-4118-018-5XX</v>
      </c>
      <c r="I8604" t="str">
        <f>VLOOKUP(record[[#This Row],[ProcessSN]],表格2_7[],3,FALSE)</f>
        <v>#07QC</v>
      </c>
      <c r="J8604" t="s">
        <v>589</v>
      </c>
      <c r="K8604" s="195">
        <v>45861.380324074074</v>
      </c>
      <c r="L8604">
        <v>186</v>
      </c>
      <c r="M8604">
        <v>0</v>
      </c>
      <c r="N8604" s="98" t="str">
        <f>IF(record[[#This Row],[Memo]]="Browser:chrome os:android","平板報工",IF(record[[#This Row],[Memo]]=0,"委外",record[[#This Row],[Memo]]))</f>
        <v>平板報工</v>
      </c>
      <c r="O8604" t="s">
        <v>643</v>
      </c>
      <c r="P8604" t="s">
        <v>141</v>
      </c>
      <c r="Q8604" t="s">
        <v>644</v>
      </c>
      <c r="R8604" t="str">
        <f>IFERROR(VLOOKUP(record[[#This Row],[PCUSTID]],廠商[],2,FALSE),"")</f>
        <v/>
      </c>
      <c r="S8604" t="str">
        <f>VLOOKUP(record[[#This Row],[employeeID]],員工[],2,FALSE)</f>
        <v>蔣梅</v>
      </c>
    </row>
    <row r="8605" spans="6:19" hidden="1" x14ac:dyDescent="0.25">
      <c r="F8605" t="s">
        <v>877</v>
      </c>
      <c r="G8605" t="s">
        <v>420</v>
      </c>
      <c r="H8605" t="str">
        <f>VLOOKUP(record[[#This Row],[ProcessSN]],表格2_7[],2,FALSE)</f>
        <v>30-4118-018-5XX</v>
      </c>
      <c r="I8605" t="str">
        <f>VLOOKUP(record[[#This Row],[ProcessSN]],表格2_7[],3,FALSE)</f>
        <v>#07STOCK</v>
      </c>
      <c r="J8605" t="s">
        <v>592</v>
      </c>
      <c r="K8605" s="195">
        <v>45861.343692129631</v>
      </c>
      <c r="L8605">
        <v>115</v>
      </c>
      <c r="M8605">
        <v>0</v>
      </c>
      <c r="N8605" s="98" t="str">
        <f>IF(record[[#This Row],[Memo]]="Browser:chrome os:android","平板報工",IF(record[[#This Row],[Memo]]=0,"委外",record[[#This Row],[Memo]]))</f>
        <v/>
      </c>
      <c r="O8605" t="s">
        <v>58</v>
      </c>
      <c r="P8605" t="s">
        <v>113</v>
      </c>
      <c r="Q8605" t="s">
        <v>58</v>
      </c>
      <c r="R8605" t="str">
        <f>IFERROR(VLOOKUP(record[[#This Row],[PCUSTID]],廠商[],2,FALSE),"")</f>
        <v/>
      </c>
      <c r="S8605" t="str">
        <f>VLOOKUP(record[[#This Row],[employeeID]],員工[],2,FALSE)</f>
        <v>王奕蓁</v>
      </c>
    </row>
    <row r="8606" spans="6:19" hidden="1" x14ac:dyDescent="0.25">
      <c r="F8606" t="s">
        <v>907</v>
      </c>
      <c r="G8606" t="s">
        <v>401</v>
      </c>
      <c r="H8606" t="str">
        <f>VLOOKUP(record[[#This Row],[ProcessSN]],表格2_7[],2,FALSE)</f>
        <v>30-4118-018-550</v>
      </c>
      <c r="I8606" t="str">
        <f>VLOOKUP(record[[#This Row],[ProcessSN]],表格2_7[],3,FALSE)</f>
        <v>#100OQC</v>
      </c>
      <c r="J8606" t="s">
        <v>599</v>
      </c>
      <c r="K8606" s="195">
        <v>45861.318703703706</v>
      </c>
      <c r="L8606">
        <v>177</v>
      </c>
      <c r="M8606">
        <v>0</v>
      </c>
      <c r="N8606" s="98" t="str">
        <f>IF(record[[#This Row],[Memo]]="Browser:chrome os:android","平板報工",IF(record[[#This Row],[Memo]]=0,"委外",record[[#This Row],[Memo]]))</f>
        <v/>
      </c>
      <c r="O8606" t="s">
        <v>58</v>
      </c>
      <c r="P8606" t="s">
        <v>121</v>
      </c>
      <c r="Q8606" t="s">
        <v>58</v>
      </c>
      <c r="R8606" t="str">
        <f>IFERROR(VLOOKUP(record[[#This Row],[PCUSTID]],廠商[],2,FALSE),"")</f>
        <v/>
      </c>
      <c r="S8606" t="str">
        <f>VLOOKUP(record[[#This Row],[employeeID]],員工[],2,FALSE)</f>
        <v>謝素卿</v>
      </c>
    </row>
    <row r="8607" spans="6:19" hidden="1" x14ac:dyDescent="0.25">
      <c r="F8607" t="s">
        <v>897</v>
      </c>
      <c r="G8607" t="s">
        <v>415</v>
      </c>
      <c r="H8607" t="str">
        <f>VLOOKUP(record[[#This Row],[ProcessSN]],表格2_7[],2,FALSE)</f>
        <v>30-4118-018-5XX</v>
      </c>
      <c r="I8607" t="str">
        <f>VLOOKUP(record[[#This Row],[ProcessSN]],表格2_7[],3,FALSE)</f>
        <v>#04</v>
      </c>
      <c r="J8607" t="s">
        <v>588</v>
      </c>
      <c r="K8607" s="195">
        <v>45861.315358796295</v>
      </c>
      <c r="L8607">
        <v>130</v>
      </c>
      <c r="M8607">
        <v>1</v>
      </c>
      <c r="N8607" s="98" t="str">
        <f>IF(record[[#This Row],[Memo]]="Browser:chrome os:android","平板報工",IF(record[[#This Row],[Memo]]=0,"委外",record[[#This Row],[Memo]]))</f>
        <v/>
      </c>
      <c r="O8607" t="s">
        <v>58</v>
      </c>
      <c r="P8607" t="s">
        <v>135</v>
      </c>
      <c r="Q8607" t="s">
        <v>58</v>
      </c>
      <c r="R8607" t="str">
        <f>IFERROR(VLOOKUP(record[[#This Row],[PCUSTID]],廠商[],2,FALSE),"")</f>
        <v/>
      </c>
      <c r="S8607" t="str">
        <f>VLOOKUP(record[[#This Row],[employeeID]],員工[],2,FALSE)</f>
        <v>阮士文</v>
      </c>
    </row>
    <row r="8608" spans="6:19" hidden="1" x14ac:dyDescent="0.25">
      <c r="F8608" t="s">
        <v>897</v>
      </c>
      <c r="G8608" t="s">
        <v>417</v>
      </c>
      <c r="H8608" t="str">
        <f>VLOOKUP(record[[#This Row],[ProcessSN]],表格2_7[],2,FALSE)</f>
        <v>30-4118-018-5XX</v>
      </c>
      <c r="I8608" t="str">
        <f>VLOOKUP(record[[#This Row],[ProcessSN]],表格2_7[],3,FALSE)</f>
        <v>#06</v>
      </c>
      <c r="J8608" t="s">
        <v>593</v>
      </c>
      <c r="K8608" s="195">
        <v>45861.1484375</v>
      </c>
      <c r="L8608">
        <v>65</v>
      </c>
      <c r="M8608">
        <v>0</v>
      </c>
      <c r="N8608" s="98" t="str">
        <f>IF(record[[#This Row],[Memo]]="Browser:chrome os:android","平板報工",IF(record[[#This Row],[Memo]]=0,"委外",record[[#This Row],[Memo]]))</f>
        <v>平板報工</v>
      </c>
      <c r="O8608" t="s">
        <v>643</v>
      </c>
      <c r="P8608" t="s">
        <v>841</v>
      </c>
      <c r="Q8608" t="s">
        <v>644</v>
      </c>
      <c r="R8608" t="str">
        <f>IFERROR(VLOOKUP(record[[#This Row],[PCUSTID]],廠商[],2,FALSE),"")</f>
        <v/>
      </c>
      <c r="S8608" t="str">
        <f>VLOOKUP(record[[#This Row],[employeeID]],員工[],2,FALSE)</f>
        <v>范氏香</v>
      </c>
    </row>
    <row r="8609" spans="6:19" hidden="1" x14ac:dyDescent="0.25">
      <c r="F8609" t="s">
        <v>897</v>
      </c>
      <c r="G8609" t="s">
        <v>416</v>
      </c>
      <c r="H8609" t="str">
        <f>VLOOKUP(record[[#This Row],[ProcessSN]],表格2_7[],2,FALSE)</f>
        <v>30-4118-018-5XX</v>
      </c>
      <c r="I8609" t="str">
        <f>VLOOKUP(record[[#This Row],[ProcessSN]],表格2_7[],3,FALSE)</f>
        <v>#05</v>
      </c>
      <c r="J8609" t="s">
        <v>588</v>
      </c>
      <c r="K8609" s="195">
        <v>45861.13354166667</v>
      </c>
      <c r="L8609">
        <v>149</v>
      </c>
      <c r="M8609">
        <v>0</v>
      </c>
      <c r="N8609" s="98" t="str">
        <f>IF(record[[#This Row],[Memo]]="Browser:chrome os:android","平板報工",IF(record[[#This Row],[Memo]]=0,"委外",record[[#This Row],[Memo]]))</f>
        <v/>
      </c>
      <c r="O8609" t="s">
        <v>58</v>
      </c>
      <c r="P8609" t="s">
        <v>133</v>
      </c>
      <c r="Q8609" t="s">
        <v>58</v>
      </c>
      <c r="R8609" t="str">
        <f>IFERROR(VLOOKUP(record[[#This Row],[PCUSTID]],廠商[],2,FALSE),"")</f>
        <v/>
      </c>
      <c r="S8609" t="str">
        <f>VLOOKUP(record[[#This Row],[employeeID]],員工[],2,FALSE)</f>
        <v>黎長維</v>
      </c>
    </row>
    <row r="8610" spans="6:19" hidden="1" x14ac:dyDescent="0.25">
      <c r="F8610" t="s">
        <v>897</v>
      </c>
      <c r="G8610" t="s">
        <v>415</v>
      </c>
      <c r="H8610" t="str">
        <f>VLOOKUP(record[[#This Row],[ProcessSN]],表格2_7[],2,FALSE)</f>
        <v>30-4118-018-5XX</v>
      </c>
      <c r="I8610" t="str">
        <f>VLOOKUP(record[[#This Row],[ProcessSN]],表格2_7[],3,FALSE)</f>
        <v>#04</v>
      </c>
      <c r="J8610" t="s">
        <v>588</v>
      </c>
      <c r="K8610" s="195">
        <v>45860.967418981483</v>
      </c>
      <c r="L8610">
        <v>136</v>
      </c>
      <c r="M8610">
        <v>0</v>
      </c>
      <c r="N8610" s="98" t="str">
        <f>IF(record[[#This Row],[Memo]]="Browser:chrome os:android","平板報工",IF(record[[#This Row],[Memo]]=0,"委外",record[[#This Row],[Memo]]))</f>
        <v/>
      </c>
      <c r="O8610" t="s">
        <v>58</v>
      </c>
      <c r="P8610" t="s">
        <v>133</v>
      </c>
      <c r="Q8610" t="s">
        <v>58</v>
      </c>
      <c r="R8610" t="str">
        <f>IFERROR(VLOOKUP(record[[#This Row],[PCUSTID]],廠商[],2,FALSE),"")</f>
        <v/>
      </c>
      <c r="S8610" t="str">
        <f>VLOOKUP(record[[#This Row],[employeeID]],員工[],2,FALSE)</f>
        <v>黎長維</v>
      </c>
    </row>
    <row r="8611" spans="6:19" hidden="1" x14ac:dyDescent="0.25">
      <c r="F8611" t="s">
        <v>897</v>
      </c>
      <c r="G8611" t="s">
        <v>418</v>
      </c>
      <c r="H8611" t="str">
        <f>VLOOKUP(record[[#This Row],[ProcessSN]],表格2_7[],2,FALSE)</f>
        <v>30-4118-018-5XX</v>
      </c>
      <c r="I8611" t="str">
        <f>VLOOKUP(record[[#This Row],[ProcessSN]],表格2_7[],3,FALSE)</f>
        <v>#07</v>
      </c>
      <c r="J8611" t="s">
        <v>588</v>
      </c>
      <c r="K8611" s="195">
        <v>45860.948958333334</v>
      </c>
      <c r="L8611">
        <v>81</v>
      </c>
      <c r="M8611">
        <v>1</v>
      </c>
      <c r="N8611" s="98" t="str">
        <f>IF(record[[#This Row],[Memo]]="Browser:chrome os:android","平板報工",IF(record[[#This Row],[Memo]]=0,"委外",record[[#This Row],[Memo]]))</f>
        <v/>
      </c>
      <c r="O8611" t="s">
        <v>58</v>
      </c>
      <c r="P8611" t="s">
        <v>89</v>
      </c>
      <c r="Q8611" t="s">
        <v>58</v>
      </c>
      <c r="R8611" t="str">
        <f>IFERROR(VLOOKUP(record[[#This Row],[PCUSTID]],廠商[],2,FALSE),"")</f>
        <v/>
      </c>
      <c r="S8611" t="str">
        <f>VLOOKUP(record[[#This Row],[employeeID]],員工[],2,FALSE)</f>
        <v>李美蓮</v>
      </c>
    </row>
    <row r="8612" spans="6:19" hidden="1" x14ac:dyDescent="0.25">
      <c r="F8612" t="s">
        <v>897</v>
      </c>
      <c r="G8612" t="s">
        <v>417</v>
      </c>
      <c r="H8612" t="str">
        <f>VLOOKUP(record[[#This Row],[ProcessSN]],表格2_7[],2,FALSE)</f>
        <v>30-4118-018-5XX</v>
      </c>
      <c r="I8612" t="str">
        <f>VLOOKUP(record[[#This Row],[ProcessSN]],表格2_7[],3,FALSE)</f>
        <v>#06</v>
      </c>
      <c r="J8612" t="s">
        <v>593</v>
      </c>
      <c r="K8612" s="195">
        <v>45860.948472222219</v>
      </c>
      <c r="L8612">
        <v>108</v>
      </c>
      <c r="M8612">
        <v>0</v>
      </c>
      <c r="N8612" s="98" t="str">
        <f>IF(record[[#This Row],[Memo]]="Browser:chrome os:android","平板報工",IF(record[[#This Row],[Memo]]=0,"委外",record[[#This Row],[Memo]]))</f>
        <v/>
      </c>
      <c r="O8612" t="s">
        <v>58</v>
      </c>
      <c r="P8612" t="s">
        <v>841</v>
      </c>
      <c r="Q8612" t="s">
        <v>58</v>
      </c>
      <c r="R8612" t="str">
        <f>IFERROR(VLOOKUP(record[[#This Row],[PCUSTID]],廠商[],2,FALSE),"")</f>
        <v/>
      </c>
      <c r="S8612" t="str">
        <f>VLOOKUP(record[[#This Row],[employeeID]],員工[],2,FALSE)</f>
        <v>范氏香</v>
      </c>
    </row>
    <row r="8613" spans="6:19" hidden="1" x14ac:dyDescent="0.25">
      <c r="F8613" t="s">
        <v>877</v>
      </c>
      <c r="G8613" t="s">
        <v>418</v>
      </c>
      <c r="H8613" t="str">
        <f>VLOOKUP(record[[#This Row],[ProcessSN]],表格2_7[],2,FALSE)</f>
        <v>30-4118-018-5XX</v>
      </c>
      <c r="I8613" t="str">
        <f>VLOOKUP(record[[#This Row],[ProcessSN]],表格2_7[],3,FALSE)</f>
        <v>#07</v>
      </c>
      <c r="J8613" t="s">
        <v>588</v>
      </c>
      <c r="K8613" s="195">
        <v>45860.947557870371</v>
      </c>
      <c r="L8613">
        <v>104</v>
      </c>
      <c r="M8613">
        <v>0</v>
      </c>
      <c r="N8613" s="98" t="str">
        <f>IF(record[[#This Row],[Memo]]="Browser:chrome os:android","平板報工",IF(record[[#This Row],[Memo]]=0,"委外",record[[#This Row],[Memo]]))</f>
        <v/>
      </c>
      <c r="O8613" t="s">
        <v>58</v>
      </c>
      <c r="P8613" t="s">
        <v>89</v>
      </c>
      <c r="Q8613" t="s">
        <v>58</v>
      </c>
      <c r="R8613" t="str">
        <f>IFERROR(VLOOKUP(record[[#This Row],[PCUSTID]],廠商[],2,FALSE),"")</f>
        <v/>
      </c>
      <c r="S8613" t="str">
        <f>VLOOKUP(record[[#This Row],[employeeID]],員工[],2,FALSE)</f>
        <v>李美蓮</v>
      </c>
    </row>
    <row r="8614" spans="6:19" hidden="1" x14ac:dyDescent="0.25">
      <c r="F8614" t="s">
        <v>897</v>
      </c>
      <c r="G8614" t="s">
        <v>416</v>
      </c>
      <c r="H8614" t="str">
        <f>VLOOKUP(record[[#This Row],[ProcessSN]],表格2_7[],2,FALSE)</f>
        <v>30-4118-018-5XX</v>
      </c>
      <c r="I8614" t="str">
        <f>VLOOKUP(record[[#This Row],[ProcessSN]],表格2_7[],3,FALSE)</f>
        <v>#05</v>
      </c>
      <c r="J8614" t="s">
        <v>588</v>
      </c>
      <c r="K8614" s="195">
        <v>45860.942152777781</v>
      </c>
      <c r="L8614">
        <v>192</v>
      </c>
      <c r="M8614">
        <v>0</v>
      </c>
      <c r="N8614" s="98" t="str">
        <f>IF(record[[#This Row],[Memo]]="Browser:chrome os:android","平板報工",IF(record[[#This Row],[Memo]]=0,"委外",record[[#This Row],[Memo]]))</f>
        <v/>
      </c>
      <c r="O8614" t="s">
        <v>58</v>
      </c>
      <c r="P8614" t="s">
        <v>89</v>
      </c>
      <c r="Q8614" t="s">
        <v>58</v>
      </c>
      <c r="R8614" t="str">
        <f>IFERROR(VLOOKUP(record[[#This Row],[PCUSTID]],廠商[],2,FALSE),"")</f>
        <v/>
      </c>
      <c r="S8614" t="str">
        <f>VLOOKUP(record[[#This Row],[employeeID]],員工[],2,FALSE)</f>
        <v>李美蓮</v>
      </c>
    </row>
    <row r="8615" spans="6:19" hidden="1" x14ac:dyDescent="0.25">
      <c r="F8615" t="s">
        <v>907</v>
      </c>
      <c r="G8615" t="s">
        <v>400</v>
      </c>
      <c r="H8615" t="str">
        <f>VLOOKUP(record[[#This Row],[ProcessSN]],表格2_7[],2,FALSE)</f>
        <v>30-4118-018-550</v>
      </c>
      <c r="I8615" t="str">
        <f>VLOOKUP(record[[#This Row],[ProcessSN]],表格2_7[],3,FALSE)</f>
        <v>#100</v>
      </c>
      <c r="J8615" t="s">
        <v>598</v>
      </c>
      <c r="K8615" s="195">
        <v>45860.789039351854</v>
      </c>
      <c r="L8615">
        <v>0</v>
      </c>
      <c r="M8615">
        <v>2</v>
      </c>
      <c r="N8615" s="98" t="str">
        <f>IF(record[[#This Row],[Memo]]="Browser:chrome os:android","平板報工",IF(record[[#This Row],[Memo]]=0,"委外",record[[#This Row],[Memo]]))</f>
        <v>平板報工</v>
      </c>
      <c r="O8615" t="s">
        <v>643</v>
      </c>
      <c r="P8615" t="s">
        <v>141</v>
      </c>
      <c r="Q8615" t="s">
        <v>644</v>
      </c>
      <c r="R8615" t="str">
        <f>IFERROR(VLOOKUP(record[[#This Row],[PCUSTID]],廠商[],2,FALSE),"")</f>
        <v/>
      </c>
      <c r="S8615" t="str">
        <f>VLOOKUP(record[[#This Row],[employeeID]],員工[],2,FALSE)</f>
        <v>蔣梅</v>
      </c>
    </row>
    <row r="8616" spans="6:19" hidden="1" x14ac:dyDescent="0.25">
      <c r="F8616" t="s">
        <v>907</v>
      </c>
      <c r="G8616" t="s">
        <v>400</v>
      </c>
      <c r="H8616" t="str">
        <f>VLOOKUP(record[[#This Row],[ProcessSN]],表格2_7[],2,FALSE)</f>
        <v>30-4118-018-550</v>
      </c>
      <c r="I8616" t="str">
        <f>VLOOKUP(record[[#This Row],[ProcessSN]],表格2_7[],3,FALSE)</f>
        <v>#100</v>
      </c>
      <c r="J8616" t="s">
        <v>598</v>
      </c>
      <c r="K8616" s="195">
        <v>45860.788831018515</v>
      </c>
      <c r="L8616">
        <v>177</v>
      </c>
      <c r="M8616">
        <v>0</v>
      </c>
      <c r="N8616" s="98" t="str">
        <f>IF(record[[#This Row],[Memo]]="Browser:chrome os:android","平板報工",IF(record[[#This Row],[Memo]]=0,"委外",record[[#This Row],[Memo]]))</f>
        <v>平板報工</v>
      </c>
      <c r="O8616" t="s">
        <v>643</v>
      </c>
      <c r="P8616" t="s">
        <v>141</v>
      </c>
      <c r="Q8616" t="s">
        <v>644</v>
      </c>
      <c r="R8616" t="str">
        <f>IFERROR(VLOOKUP(record[[#This Row],[PCUSTID]],廠商[],2,FALSE),"")</f>
        <v/>
      </c>
      <c r="S8616" t="str">
        <f>VLOOKUP(record[[#This Row],[employeeID]],員工[],2,FALSE)</f>
        <v>蔣梅</v>
      </c>
    </row>
    <row r="8617" spans="6:19" hidden="1" x14ac:dyDescent="0.25">
      <c r="F8617" t="s">
        <v>875</v>
      </c>
      <c r="G8617" t="s">
        <v>450</v>
      </c>
      <c r="H8617" t="str">
        <f>VLOOKUP(record[[#This Row],[ProcessSN]],表格2_7[],2,FALSE)</f>
        <v>30-4118-018-6XX</v>
      </c>
      <c r="I8617" t="str">
        <f>VLOOKUP(record[[#This Row],[ProcessSN]],表格2_7[],3,FALSE)</f>
        <v>#06</v>
      </c>
      <c r="J8617" t="s">
        <v>593</v>
      </c>
      <c r="K8617" s="195">
        <v>45860.753287037034</v>
      </c>
      <c r="L8617">
        <v>13</v>
      </c>
      <c r="M8617">
        <v>0</v>
      </c>
      <c r="N8617" s="98" t="str">
        <f>IF(record[[#This Row],[Memo]]="Browser:chrome os:android","平板報工",IF(record[[#This Row],[Memo]]=0,"委外",record[[#This Row],[Memo]]))</f>
        <v/>
      </c>
      <c r="O8617" t="s">
        <v>58</v>
      </c>
      <c r="P8617" t="s">
        <v>841</v>
      </c>
      <c r="Q8617" t="s">
        <v>58</v>
      </c>
      <c r="R8617" t="str">
        <f>IFERROR(VLOOKUP(record[[#This Row],[PCUSTID]],廠商[],2,FALSE),"")</f>
        <v/>
      </c>
      <c r="S8617" t="str">
        <f>VLOOKUP(record[[#This Row],[employeeID]],員工[],2,FALSE)</f>
        <v>范氏香</v>
      </c>
    </row>
    <row r="8618" spans="6:19" hidden="1" x14ac:dyDescent="0.25">
      <c r="F8618" t="s">
        <v>877</v>
      </c>
      <c r="G8618" t="s">
        <v>419</v>
      </c>
      <c r="H8618" t="str">
        <f>VLOOKUP(record[[#This Row],[ProcessSN]],表格2_7[],2,FALSE)</f>
        <v>30-4118-018-5XX</v>
      </c>
      <c r="I8618" t="str">
        <f>VLOOKUP(record[[#This Row],[ProcessSN]],表格2_7[],3,FALSE)</f>
        <v>#07QC</v>
      </c>
      <c r="J8618" t="s">
        <v>589</v>
      </c>
      <c r="K8618" s="195">
        <v>45860.690185185187</v>
      </c>
      <c r="L8618">
        <v>160</v>
      </c>
      <c r="M8618">
        <v>0</v>
      </c>
      <c r="N8618" s="98" t="str">
        <f>IF(record[[#This Row],[Memo]]="Browser:chrome os:android","平板報工",IF(record[[#This Row],[Memo]]=0,"委外",record[[#This Row],[Memo]]))</f>
        <v>平板報工</v>
      </c>
      <c r="O8618" t="s">
        <v>643</v>
      </c>
      <c r="P8618" t="s">
        <v>141</v>
      </c>
      <c r="Q8618" t="s">
        <v>644</v>
      </c>
      <c r="R8618" t="str">
        <f>IFERROR(VLOOKUP(record[[#This Row],[PCUSTID]],廠商[],2,FALSE),"")</f>
        <v/>
      </c>
      <c r="S8618" t="str">
        <f>VLOOKUP(record[[#This Row],[employeeID]],員工[],2,FALSE)</f>
        <v>蔣梅</v>
      </c>
    </row>
    <row r="8619" spans="6:19" hidden="1" x14ac:dyDescent="0.25">
      <c r="F8619" t="s">
        <v>875</v>
      </c>
      <c r="G8619" t="s">
        <v>450</v>
      </c>
      <c r="H8619" t="str">
        <f>VLOOKUP(record[[#This Row],[ProcessSN]],表格2_7[],2,FALSE)</f>
        <v>30-4118-018-6XX</v>
      </c>
      <c r="I8619" t="str">
        <f>VLOOKUP(record[[#This Row],[ProcessSN]],表格2_7[],3,FALSE)</f>
        <v>#06</v>
      </c>
      <c r="J8619" t="s">
        <v>593</v>
      </c>
      <c r="K8619" s="195">
        <v>45860.68440972222</v>
      </c>
      <c r="L8619">
        <v>87</v>
      </c>
      <c r="M8619">
        <v>0</v>
      </c>
      <c r="N8619" s="98" t="str">
        <f>IF(record[[#This Row],[Memo]]="Browser:chrome os:android","平板報工",IF(record[[#This Row],[Memo]]=0,"委外",record[[#This Row],[Memo]]))</f>
        <v/>
      </c>
      <c r="O8619" t="s">
        <v>58</v>
      </c>
      <c r="P8619" t="s">
        <v>119</v>
      </c>
      <c r="Q8619" t="s">
        <v>58</v>
      </c>
      <c r="R8619" t="str">
        <f>IFERROR(VLOOKUP(record[[#This Row],[PCUSTID]],廠商[],2,FALSE),"")</f>
        <v/>
      </c>
      <c r="S8619" t="str">
        <f>VLOOKUP(record[[#This Row],[employeeID]],員工[],2,FALSE)</f>
        <v>廖俊彥</v>
      </c>
    </row>
    <row r="8620" spans="6:19" hidden="1" x14ac:dyDescent="0.25">
      <c r="F8620" t="s">
        <v>897</v>
      </c>
      <c r="G8620" t="s">
        <v>415</v>
      </c>
      <c r="H8620" t="str">
        <f>VLOOKUP(record[[#This Row],[ProcessSN]],表格2_7[],2,FALSE)</f>
        <v>30-4118-018-5XX</v>
      </c>
      <c r="I8620" t="str">
        <f>VLOOKUP(record[[#This Row],[ProcessSN]],表格2_7[],3,FALSE)</f>
        <v>#04</v>
      </c>
      <c r="J8620" t="s">
        <v>588</v>
      </c>
      <c r="K8620" s="195">
        <v>45860.677789351852</v>
      </c>
      <c r="L8620">
        <v>135</v>
      </c>
      <c r="M8620">
        <v>1</v>
      </c>
      <c r="N8620" s="98" t="str">
        <f>IF(record[[#This Row],[Memo]]="Browser:chrome os:android","平板報工",IF(record[[#This Row],[Memo]]=0,"委外",record[[#This Row],[Memo]]))</f>
        <v/>
      </c>
      <c r="O8620" t="s">
        <v>58</v>
      </c>
      <c r="P8620" t="s">
        <v>119</v>
      </c>
      <c r="Q8620" t="s">
        <v>58</v>
      </c>
      <c r="R8620" t="str">
        <f>IFERROR(VLOOKUP(record[[#This Row],[PCUSTID]],廠商[],2,FALSE),"")</f>
        <v/>
      </c>
      <c r="S8620" t="str">
        <f>VLOOKUP(record[[#This Row],[employeeID]],員工[],2,FALSE)</f>
        <v>廖俊彥</v>
      </c>
    </row>
    <row r="8621" spans="6:19" hidden="1" x14ac:dyDescent="0.25">
      <c r="F8621" t="s">
        <v>877</v>
      </c>
      <c r="G8621" t="s">
        <v>418</v>
      </c>
      <c r="H8621" t="str">
        <f>VLOOKUP(record[[#This Row],[ProcessSN]],表格2_7[],2,FALSE)</f>
        <v>30-4118-018-5XX</v>
      </c>
      <c r="I8621" t="str">
        <f>VLOOKUP(record[[#This Row],[ProcessSN]],表格2_7[],3,FALSE)</f>
        <v>#07</v>
      </c>
      <c r="J8621" t="s">
        <v>588</v>
      </c>
      <c r="K8621" s="195">
        <v>45860.666817129626</v>
      </c>
      <c r="L8621">
        <v>175</v>
      </c>
      <c r="M8621">
        <v>0</v>
      </c>
      <c r="N8621" s="98" t="str">
        <f>IF(record[[#This Row],[Memo]]="Browser:chrome os:android","平板報工",IF(record[[#This Row],[Memo]]=0,"委外",record[[#This Row],[Memo]]))</f>
        <v/>
      </c>
      <c r="O8621" t="s">
        <v>58</v>
      </c>
      <c r="P8621" t="s">
        <v>119</v>
      </c>
      <c r="Q8621" t="s">
        <v>58</v>
      </c>
      <c r="R8621" t="str">
        <f>IFERROR(VLOOKUP(record[[#This Row],[PCUSTID]],廠商[],2,FALSE),"")</f>
        <v/>
      </c>
      <c r="S8621" t="str">
        <f>VLOOKUP(record[[#This Row],[employeeID]],員工[],2,FALSE)</f>
        <v>廖俊彥</v>
      </c>
    </row>
    <row r="8622" spans="6:19" hidden="1" x14ac:dyDescent="0.25">
      <c r="F8622" t="s">
        <v>877</v>
      </c>
      <c r="G8622" t="s">
        <v>417</v>
      </c>
      <c r="H8622" t="str">
        <f>VLOOKUP(record[[#This Row],[ProcessSN]],表格2_7[],2,FALSE)</f>
        <v>30-4118-018-5XX</v>
      </c>
      <c r="I8622" t="str">
        <f>VLOOKUP(record[[#This Row],[ProcessSN]],表格2_7[],3,FALSE)</f>
        <v>#06</v>
      </c>
      <c r="J8622" t="s">
        <v>593</v>
      </c>
      <c r="K8622" s="195">
        <v>45860.647233796299</v>
      </c>
      <c r="L8622">
        <v>3</v>
      </c>
      <c r="M8622">
        <v>0</v>
      </c>
      <c r="N8622" s="98" t="str">
        <f>IF(record[[#This Row],[Memo]]="Browser:chrome os:android","平板報工",IF(record[[#This Row],[Memo]]=0,"委外",record[[#This Row],[Memo]]))</f>
        <v/>
      </c>
      <c r="O8622" t="s">
        <v>58</v>
      </c>
      <c r="P8622" t="s">
        <v>119</v>
      </c>
      <c r="Q8622" t="s">
        <v>58</v>
      </c>
      <c r="R8622" t="str">
        <f>IFERROR(VLOOKUP(record[[#This Row],[PCUSTID]],廠商[],2,FALSE),"")</f>
        <v/>
      </c>
      <c r="S8622" t="str">
        <f>VLOOKUP(record[[#This Row],[employeeID]],員工[],2,FALSE)</f>
        <v>廖俊彥</v>
      </c>
    </row>
    <row r="8623" spans="6:19" hidden="1" x14ac:dyDescent="0.25">
      <c r="F8623" t="s">
        <v>877</v>
      </c>
      <c r="G8623" t="s">
        <v>416</v>
      </c>
      <c r="H8623" t="str">
        <f>VLOOKUP(record[[#This Row],[ProcessSN]],表格2_7[],2,FALSE)</f>
        <v>30-4118-018-5XX</v>
      </c>
      <c r="I8623" t="str">
        <f>VLOOKUP(record[[#This Row],[ProcessSN]],表格2_7[],3,FALSE)</f>
        <v>#05</v>
      </c>
      <c r="J8623" t="s">
        <v>588</v>
      </c>
      <c r="K8623" s="195">
        <v>45860.647094907406</v>
      </c>
      <c r="L8623">
        <v>3</v>
      </c>
      <c r="M8623">
        <v>0</v>
      </c>
      <c r="N8623" s="98" t="str">
        <f>IF(record[[#This Row],[Memo]]="Browser:chrome os:android","平板報工",IF(record[[#This Row],[Memo]]=0,"委外",record[[#This Row],[Memo]]))</f>
        <v>補</v>
      </c>
      <c r="O8623" t="s">
        <v>690</v>
      </c>
      <c r="P8623" t="s">
        <v>119</v>
      </c>
      <c r="Q8623" t="s">
        <v>58</v>
      </c>
      <c r="R8623" t="str">
        <f>IFERROR(VLOOKUP(record[[#This Row],[PCUSTID]],廠商[],2,FALSE),"")</f>
        <v/>
      </c>
      <c r="S8623" t="str">
        <f>VLOOKUP(record[[#This Row],[employeeID]],員工[],2,FALSE)</f>
        <v>廖俊彥</v>
      </c>
    </row>
    <row r="8624" spans="6:19" hidden="1" x14ac:dyDescent="0.25">
      <c r="F8624" t="s">
        <v>877</v>
      </c>
      <c r="G8624" t="s">
        <v>415</v>
      </c>
      <c r="H8624" t="str">
        <f>VLOOKUP(record[[#This Row],[ProcessSN]],表格2_7[],2,FALSE)</f>
        <v>30-4118-018-5XX</v>
      </c>
      <c r="I8624" t="str">
        <f>VLOOKUP(record[[#This Row],[ProcessSN]],表格2_7[],3,FALSE)</f>
        <v>#04</v>
      </c>
      <c r="J8624" t="s">
        <v>588</v>
      </c>
      <c r="K8624" s="195">
        <v>45860.646944444445</v>
      </c>
      <c r="L8624">
        <v>3</v>
      </c>
      <c r="M8624">
        <v>0</v>
      </c>
      <c r="N8624" s="98" t="str">
        <f>IF(record[[#This Row],[Memo]]="Browser:chrome os:android","平板報工",IF(record[[#This Row],[Memo]]=0,"委外",record[[#This Row],[Memo]]))</f>
        <v>補</v>
      </c>
      <c r="O8624" t="s">
        <v>690</v>
      </c>
      <c r="P8624" t="s">
        <v>119</v>
      </c>
      <c r="Q8624" t="s">
        <v>58</v>
      </c>
      <c r="R8624" t="str">
        <f>IFERROR(VLOOKUP(record[[#This Row],[PCUSTID]],廠商[],2,FALSE),"")</f>
        <v/>
      </c>
      <c r="S8624" t="str">
        <f>VLOOKUP(record[[#This Row],[employeeID]],員工[],2,FALSE)</f>
        <v>廖俊彥</v>
      </c>
    </row>
    <row r="8625" spans="6:19" hidden="1" x14ac:dyDescent="0.25">
      <c r="F8625" t="s">
        <v>877</v>
      </c>
      <c r="G8625" t="s">
        <v>414</v>
      </c>
      <c r="H8625" t="str">
        <f>VLOOKUP(record[[#This Row],[ProcessSN]],表格2_7[],2,FALSE)</f>
        <v>30-4118-018-5XX</v>
      </c>
      <c r="I8625" t="str">
        <f>VLOOKUP(record[[#This Row],[ProcessSN]],表格2_7[],3,FALSE)</f>
        <v>#03</v>
      </c>
      <c r="J8625" t="s">
        <v>588</v>
      </c>
      <c r="K8625" s="195">
        <v>45860.64675925926</v>
      </c>
      <c r="L8625">
        <v>3</v>
      </c>
      <c r="M8625">
        <v>0</v>
      </c>
      <c r="N8625" s="98" t="str">
        <f>IF(record[[#This Row],[Memo]]="Browser:chrome os:android","平板報工",IF(record[[#This Row],[Memo]]=0,"委外",record[[#This Row],[Memo]]))</f>
        <v>補</v>
      </c>
      <c r="O8625" t="s">
        <v>690</v>
      </c>
      <c r="P8625" t="s">
        <v>119</v>
      </c>
      <c r="Q8625" t="s">
        <v>58</v>
      </c>
      <c r="R8625" t="str">
        <f>IFERROR(VLOOKUP(record[[#This Row],[PCUSTID]],廠商[],2,FALSE),"")</f>
        <v/>
      </c>
      <c r="S8625" t="str">
        <f>VLOOKUP(record[[#This Row],[employeeID]],員工[],2,FALSE)</f>
        <v>廖俊彥</v>
      </c>
    </row>
    <row r="8626" spans="6:19" hidden="1" x14ac:dyDescent="0.25">
      <c r="F8626" t="s">
        <v>877</v>
      </c>
      <c r="G8626" t="s">
        <v>417</v>
      </c>
      <c r="H8626" t="str">
        <f>VLOOKUP(record[[#This Row],[ProcessSN]],表格2_7[],2,FALSE)</f>
        <v>30-4118-018-5XX</v>
      </c>
      <c r="I8626" t="str">
        <f>VLOOKUP(record[[#This Row],[ProcessSN]],表格2_7[],3,FALSE)</f>
        <v>#06</v>
      </c>
      <c r="J8626" t="s">
        <v>593</v>
      </c>
      <c r="K8626" s="195">
        <v>45860.646458333336</v>
      </c>
      <c r="L8626">
        <v>21</v>
      </c>
      <c r="M8626">
        <v>0</v>
      </c>
      <c r="N8626" s="98" t="str">
        <f>IF(record[[#This Row],[Memo]]="Browser:chrome os:android","平板報工",IF(record[[#This Row],[Memo]]=0,"委外",record[[#This Row],[Memo]]))</f>
        <v/>
      </c>
      <c r="O8626" t="s">
        <v>58</v>
      </c>
      <c r="P8626" t="s">
        <v>119</v>
      </c>
      <c r="Q8626" t="s">
        <v>58</v>
      </c>
      <c r="R8626" t="str">
        <f>IFERROR(VLOOKUP(record[[#This Row],[PCUSTID]],廠商[],2,FALSE),"")</f>
        <v/>
      </c>
      <c r="S8626" t="str">
        <f>VLOOKUP(record[[#This Row],[employeeID]],員工[],2,FALSE)</f>
        <v>廖俊彥</v>
      </c>
    </row>
    <row r="8627" spans="6:19" hidden="1" x14ac:dyDescent="0.25">
      <c r="F8627" t="s">
        <v>897</v>
      </c>
      <c r="G8627" t="s">
        <v>416</v>
      </c>
      <c r="H8627" t="str">
        <f>VLOOKUP(record[[#This Row],[ProcessSN]],表格2_7[],2,FALSE)</f>
        <v>30-4118-018-5XX</v>
      </c>
      <c r="I8627" t="str">
        <f>VLOOKUP(record[[#This Row],[ProcessSN]],表格2_7[],3,FALSE)</f>
        <v>#05</v>
      </c>
      <c r="J8627" t="s">
        <v>588</v>
      </c>
      <c r="K8627" s="195">
        <v>45860.646261574075</v>
      </c>
      <c r="L8627">
        <v>155</v>
      </c>
      <c r="M8627">
        <v>0</v>
      </c>
      <c r="N8627" s="98" t="str">
        <f>IF(record[[#This Row],[Memo]]="Browser:chrome os:android","平板報工",IF(record[[#This Row],[Memo]]=0,"委外",record[[#This Row],[Memo]]))</f>
        <v/>
      </c>
      <c r="O8627" t="s">
        <v>58</v>
      </c>
      <c r="P8627" t="s">
        <v>119</v>
      </c>
      <c r="Q8627" t="s">
        <v>58</v>
      </c>
      <c r="R8627" t="str">
        <f>IFERROR(VLOOKUP(record[[#This Row],[PCUSTID]],廠商[],2,FALSE),"")</f>
        <v/>
      </c>
      <c r="S8627" t="str">
        <f>VLOOKUP(record[[#This Row],[employeeID]],員工[],2,FALSE)</f>
        <v>廖俊彥</v>
      </c>
    </row>
    <row r="8628" spans="6:19" hidden="1" x14ac:dyDescent="0.25">
      <c r="F8628" t="s">
        <v>914</v>
      </c>
      <c r="G8628" t="s">
        <v>397</v>
      </c>
      <c r="H8628" t="str">
        <f>VLOOKUP(record[[#This Row],[ProcessSN]],表格2_7[],2,FALSE)</f>
        <v>30-4118-018-550</v>
      </c>
      <c r="I8628" t="str">
        <f>VLOOKUP(record[[#This Row],[ProcessSN]],表格2_7[],3,FALSE)</f>
        <v>#08</v>
      </c>
      <c r="J8628" t="s">
        <v>597</v>
      </c>
      <c r="K8628" s="195">
        <v>45860.593761574077</v>
      </c>
      <c r="L8628">
        <v>115</v>
      </c>
      <c r="M8628">
        <v>0</v>
      </c>
      <c r="N8628" s="98" t="str">
        <f>IF(record[[#This Row],[Memo]]="Browser:chrome os:android","平板報工",IF(record[[#This Row],[Memo]]=0,"委外",record[[#This Row],[Memo]]))</f>
        <v/>
      </c>
      <c r="O8628" t="s">
        <v>58</v>
      </c>
      <c r="P8628" t="s">
        <v>186</v>
      </c>
      <c r="Q8628" t="s">
        <v>287</v>
      </c>
      <c r="R8628" t="str">
        <f>IFERROR(VLOOKUP(record[[#This Row],[PCUSTID]],廠商[],2,FALSE),"")</f>
        <v>泉盛</v>
      </c>
      <c r="S8628" t="str">
        <f>VLOOKUP(record[[#This Row],[employeeID]],員工[],2,FALSE)</f>
        <v>許文姍</v>
      </c>
    </row>
    <row r="8629" spans="6:19" hidden="1" x14ac:dyDescent="0.25">
      <c r="F8629" t="s">
        <v>914</v>
      </c>
      <c r="G8629" t="s">
        <v>396</v>
      </c>
      <c r="H8629" t="str">
        <f>VLOOKUP(record[[#This Row],[ProcessSN]],表格2_7[],2,FALSE)</f>
        <v>30-4118-018-550</v>
      </c>
      <c r="I8629" t="str">
        <f>VLOOKUP(record[[#This Row],[ProcessSN]],表格2_7[],3,FALSE)</f>
        <v>#08PICK</v>
      </c>
      <c r="J8629" t="s">
        <v>582</v>
      </c>
      <c r="K8629" s="195">
        <v>45860.593518518515</v>
      </c>
      <c r="L8629">
        <v>115</v>
      </c>
      <c r="M8629">
        <v>0</v>
      </c>
      <c r="N8629" s="98" t="str">
        <f>IF(record[[#This Row],[Memo]]="Browser:chrome os:android","平板報工",IF(record[[#This Row],[Memo]]=0,"委外",record[[#This Row],[Memo]]))</f>
        <v/>
      </c>
      <c r="O8629" t="s">
        <v>58</v>
      </c>
      <c r="P8629" t="s">
        <v>186</v>
      </c>
      <c r="Q8629" t="s">
        <v>58</v>
      </c>
      <c r="R8629" t="str">
        <f>IFERROR(VLOOKUP(record[[#This Row],[PCUSTID]],廠商[],2,FALSE),"")</f>
        <v/>
      </c>
      <c r="S8629" t="str">
        <f>VLOOKUP(record[[#This Row],[employeeID]],員工[],2,FALSE)</f>
        <v>許文姍</v>
      </c>
    </row>
    <row r="8630" spans="6:19" hidden="1" x14ac:dyDescent="0.25">
      <c r="F8630" t="s">
        <v>877</v>
      </c>
      <c r="G8630" t="s">
        <v>419</v>
      </c>
      <c r="H8630" t="str">
        <f>VLOOKUP(record[[#This Row],[ProcessSN]],表格2_7[],2,FALSE)</f>
        <v>30-4118-018-5XX</v>
      </c>
      <c r="I8630" t="str">
        <f>VLOOKUP(record[[#This Row],[ProcessSN]],表格2_7[],3,FALSE)</f>
        <v>#07QC</v>
      </c>
      <c r="J8630" t="s">
        <v>589</v>
      </c>
      <c r="K8630" s="195">
        <v>45860.580185185187</v>
      </c>
      <c r="L8630">
        <v>0</v>
      </c>
      <c r="M8630">
        <v>77</v>
      </c>
      <c r="N8630" s="98" t="str">
        <f>IF(record[[#This Row],[Memo]]="Browser:chrome os:android","平板報工",IF(record[[#This Row],[Memo]]=0,"委外",record[[#This Row],[Memo]]))</f>
        <v>平板報工</v>
      </c>
      <c r="O8630" t="s">
        <v>643</v>
      </c>
      <c r="P8630" t="s">
        <v>141</v>
      </c>
      <c r="Q8630" t="s">
        <v>644</v>
      </c>
      <c r="R8630" t="str">
        <f>IFERROR(VLOOKUP(record[[#This Row],[PCUSTID]],廠商[],2,FALSE),"")</f>
        <v/>
      </c>
      <c r="S8630" t="str">
        <f>VLOOKUP(record[[#This Row],[employeeID]],員工[],2,FALSE)</f>
        <v>蔣梅</v>
      </c>
    </row>
    <row r="8631" spans="6:19" hidden="1" x14ac:dyDescent="0.25">
      <c r="F8631" t="s">
        <v>877</v>
      </c>
      <c r="G8631" t="s">
        <v>419</v>
      </c>
      <c r="H8631" t="str">
        <f>VLOOKUP(record[[#This Row],[ProcessSN]],表格2_7[],2,FALSE)</f>
        <v>30-4118-018-5XX</v>
      </c>
      <c r="I8631" t="str">
        <f>VLOOKUP(record[[#This Row],[ProcessSN]],表格2_7[],3,FALSE)</f>
        <v>#07QC</v>
      </c>
      <c r="J8631" t="s">
        <v>589</v>
      </c>
      <c r="K8631" s="195">
        <v>45860.579756944448</v>
      </c>
      <c r="L8631">
        <v>115</v>
      </c>
      <c r="M8631">
        <v>0</v>
      </c>
      <c r="N8631" s="98" t="str">
        <f>IF(record[[#This Row],[Memo]]="Browser:chrome os:android","平板報工",IF(record[[#This Row],[Memo]]=0,"委外",record[[#This Row],[Memo]]))</f>
        <v>平板報工</v>
      </c>
      <c r="O8631" t="s">
        <v>643</v>
      </c>
      <c r="P8631" t="s">
        <v>141</v>
      </c>
      <c r="Q8631" t="s">
        <v>644</v>
      </c>
      <c r="R8631" t="str">
        <f>IFERROR(VLOOKUP(record[[#This Row],[PCUSTID]],廠商[],2,FALSE),"")</f>
        <v/>
      </c>
      <c r="S8631" t="str">
        <f>VLOOKUP(record[[#This Row],[employeeID]],員工[],2,FALSE)</f>
        <v>蔣梅</v>
      </c>
    </row>
    <row r="8632" spans="6:19" hidden="1" x14ac:dyDescent="0.25">
      <c r="F8632" t="s">
        <v>897</v>
      </c>
      <c r="G8632" t="s">
        <v>415</v>
      </c>
      <c r="H8632" t="str">
        <f>VLOOKUP(record[[#This Row],[ProcessSN]],表格2_7[],2,FALSE)</f>
        <v>30-4118-018-5XX</v>
      </c>
      <c r="I8632" t="str">
        <f>VLOOKUP(record[[#This Row],[ProcessSN]],表格2_7[],3,FALSE)</f>
        <v>#04</v>
      </c>
      <c r="J8632" t="s">
        <v>588</v>
      </c>
      <c r="K8632" s="195">
        <v>45860.310486111113</v>
      </c>
      <c r="L8632">
        <v>144</v>
      </c>
      <c r="M8632">
        <v>0</v>
      </c>
      <c r="N8632" s="98" t="str">
        <f>IF(record[[#This Row],[Memo]]="Browser:chrome os:android","平板報工",IF(record[[#This Row],[Memo]]=0,"委外",record[[#This Row],[Memo]]))</f>
        <v/>
      </c>
      <c r="O8632" t="s">
        <v>58</v>
      </c>
      <c r="P8632" t="s">
        <v>135</v>
      </c>
      <c r="Q8632" t="s">
        <v>58</v>
      </c>
      <c r="R8632" t="str">
        <f>IFERROR(VLOOKUP(record[[#This Row],[PCUSTID]],廠商[],2,FALSE),"")</f>
        <v/>
      </c>
      <c r="S8632" t="str">
        <f>VLOOKUP(record[[#This Row],[employeeID]],員工[],2,FALSE)</f>
        <v>阮士文</v>
      </c>
    </row>
    <row r="8633" spans="6:19" hidden="1" x14ac:dyDescent="0.25">
      <c r="F8633" t="s">
        <v>875</v>
      </c>
      <c r="G8633" t="s">
        <v>450</v>
      </c>
      <c r="H8633" t="str">
        <f>VLOOKUP(record[[#This Row],[ProcessSN]],表格2_7[],2,FALSE)</f>
        <v>30-4118-018-6XX</v>
      </c>
      <c r="I8633" t="str">
        <f>VLOOKUP(record[[#This Row],[ProcessSN]],表格2_7[],3,FALSE)</f>
        <v>#06</v>
      </c>
      <c r="J8633" t="s">
        <v>593</v>
      </c>
      <c r="K8633" s="195">
        <v>45860.144444444442</v>
      </c>
      <c r="L8633">
        <v>61</v>
      </c>
      <c r="M8633">
        <v>0</v>
      </c>
      <c r="N8633" s="98" t="str">
        <f>IF(record[[#This Row],[Memo]]="Browser:chrome os:android","平板報工",IF(record[[#This Row],[Memo]]=0,"委外",record[[#This Row],[Memo]]))</f>
        <v/>
      </c>
      <c r="O8633" t="s">
        <v>58</v>
      </c>
      <c r="P8633" t="s">
        <v>841</v>
      </c>
      <c r="Q8633" t="s">
        <v>58</v>
      </c>
      <c r="R8633" t="str">
        <f>IFERROR(VLOOKUP(record[[#This Row],[PCUSTID]],廠商[],2,FALSE),"")</f>
        <v/>
      </c>
      <c r="S8633" t="str">
        <f>VLOOKUP(record[[#This Row],[employeeID]],員工[],2,FALSE)</f>
        <v>范氏香</v>
      </c>
    </row>
    <row r="8634" spans="6:19" hidden="1" x14ac:dyDescent="0.25">
      <c r="F8634" t="s">
        <v>877</v>
      </c>
      <c r="G8634" t="s">
        <v>418</v>
      </c>
      <c r="H8634" t="str">
        <f>VLOOKUP(record[[#This Row],[ProcessSN]],表格2_7[],2,FALSE)</f>
        <v>30-4118-018-5XX</v>
      </c>
      <c r="I8634" t="str">
        <f>VLOOKUP(record[[#This Row],[ProcessSN]],表格2_7[],3,FALSE)</f>
        <v>#07</v>
      </c>
      <c r="J8634" t="s">
        <v>588</v>
      </c>
      <c r="K8634" s="195">
        <v>45860.132256944446</v>
      </c>
      <c r="L8634">
        <v>103</v>
      </c>
      <c r="M8634">
        <v>0</v>
      </c>
      <c r="N8634" s="98" t="str">
        <f>IF(record[[#This Row],[Memo]]="Browser:chrome os:android","平板報工",IF(record[[#This Row],[Memo]]=0,"委外",record[[#This Row],[Memo]]))</f>
        <v/>
      </c>
      <c r="O8634" t="s">
        <v>58</v>
      </c>
      <c r="P8634" t="s">
        <v>133</v>
      </c>
      <c r="Q8634" t="s">
        <v>58</v>
      </c>
      <c r="R8634" t="str">
        <f>IFERROR(VLOOKUP(record[[#This Row],[PCUSTID]],廠商[],2,FALSE),"")</f>
        <v/>
      </c>
      <c r="S8634" t="str">
        <f>VLOOKUP(record[[#This Row],[employeeID]],員工[],2,FALSE)</f>
        <v>黎長維</v>
      </c>
    </row>
    <row r="8635" spans="6:19" hidden="1" x14ac:dyDescent="0.25">
      <c r="F8635" t="s">
        <v>875</v>
      </c>
      <c r="G8635" t="s">
        <v>450</v>
      </c>
      <c r="H8635" t="str">
        <f>VLOOKUP(record[[#This Row],[ProcessSN]],表格2_7[],2,FALSE)</f>
        <v>30-4118-018-6XX</v>
      </c>
      <c r="I8635" t="str">
        <f>VLOOKUP(record[[#This Row],[ProcessSN]],表格2_7[],3,FALSE)</f>
        <v>#06</v>
      </c>
      <c r="J8635" t="s">
        <v>593</v>
      </c>
      <c r="K8635" s="195">
        <v>45859.966423611113</v>
      </c>
      <c r="L8635">
        <v>121</v>
      </c>
      <c r="M8635">
        <v>2</v>
      </c>
      <c r="N8635" s="98" t="str">
        <f>IF(record[[#This Row],[Memo]]="Browser:chrome os:android","平板報工",IF(record[[#This Row],[Memo]]=0,"委外",record[[#This Row],[Memo]]))</f>
        <v/>
      </c>
      <c r="O8635" t="s">
        <v>58</v>
      </c>
      <c r="P8635" t="s">
        <v>841</v>
      </c>
      <c r="Q8635" t="s">
        <v>58</v>
      </c>
      <c r="R8635" t="str">
        <f>IFERROR(VLOOKUP(record[[#This Row],[PCUSTID]],廠商[],2,FALSE),"")</f>
        <v/>
      </c>
      <c r="S8635" t="str">
        <f>VLOOKUP(record[[#This Row],[employeeID]],員工[],2,FALSE)</f>
        <v>范氏香</v>
      </c>
    </row>
    <row r="8636" spans="6:19" hidden="1" x14ac:dyDescent="0.25">
      <c r="F8636" t="s">
        <v>877</v>
      </c>
      <c r="G8636" t="s">
        <v>418</v>
      </c>
      <c r="H8636" t="str">
        <f>VLOOKUP(record[[#This Row],[ProcessSN]],表格2_7[],2,FALSE)</f>
        <v>30-4118-018-5XX</v>
      </c>
      <c r="I8636" t="str">
        <f>VLOOKUP(record[[#This Row],[ProcessSN]],表格2_7[],3,FALSE)</f>
        <v>#07</v>
      </c>
      <c r="J8636" t="s">
        <v>588</v>
      </c>
      <c r="K8636" s="195">
        <v>45859.962395833332</v>
      </c>
      <c r="L8636">
        <v>160</v>
      </c>
      <c r="M8636">
        <v>3</v>
      </c>
      <c r="N8636" s="98" t="str">
        <f>IF(record[[#This Row],[Memo]]="Browser:chrome os:android","平板報工",IF(record[[#This Row],[Memo]]=0,"委外",record[[#This Row],[Memo]]))</f>
        <v/>
      </c>
      <c r="O8636" t="s">
        <v>58</v>
      </c>
      <c r="P8636" t="s">
        <v>89</v>
      </c>
      <c r="Q8636" t="s">
        <v>58</v>
      </c>
      <c r="R8636" t="str">
        <f>IFERROR(VLOOKUP(record[[#This Row],[PCUSTID]],廠商[],2,FALSE),"")</f>
        <v/>
      </c>
      <c r="S8636" t="str">
        <f>VLOOKUP(record[[#This Row],[employeeID]],員工[],2,FALSE)</f>
        <v>李美蓮</v>
      </c>
    </row>
    <row r="8637" spans="6:19" hidden="1" x14ac:dyDescent="0.25">
      <c r="F8637" t="s">
        <v>897</v>
      </c>
      <c r="G8637" t="s">
        <v>415</v>
      </c>
      <c r="H8637" t="str">
        <f>VLOOKUP(record[[#This Row],[ProcessSN]],表格2_7[],2,FALSE)</f>
        <v>30-4118-018-5XX</v>
      </c>
      <c r="I8637" t="str">
        <f>VLOOKUP(record[[#This Row],[ProcessSN]],表格2_7[],3,FALSE)</f>
        <v>#04</v>
      </c>
      <c r="J8637" t="s">
        <v>588</v>
      </c>
      <c r="K8637" s="195">
        <v>45859.95894675926</v>
      </c>
      <c r="L8637">
        <v>133</v>
      </c>
      <c r="M8637">
        <v>0</v>
      </c>
      <c r="N8637" s="98" t="str">
        <f>IF(record[[#This Row],[Memo]]="Browser:chrome os:android","平板報工",IF(record[[#This Row],[Memo]]=0,"委外",record[[#This Row],[Memo]]))</f>
        <v/>
      </c>
      <c r="O8637" t="s">
        <v>58</v>
      </c>
      <c r="P8637" t="s">
        <v>133</v>
      </c>
      <c r="Q8637" t="s">
        <v>58</v>
      </c>
      <c r="R8637" t="str">
        <f>IFERROR(VLOOKUP(record[[#This Row],[PCUSTID]],廠商[],2,FALSE),"")</f>
        <v/>
      </c>
      <c r="S8637" t="str">
        <f>VLOOKUP(record[[#This Row],[employeeID]],員工[],2,FALSE)</f>
        <v>黎長維</v>
      </c>
    </row>
    <row r="8638" spans="6:19" hidden="1" x14ac:dyDescent="0.25">
      <c r="F8638" t="s">
        <v>875</v>
      </c>
      <c r="G8638" t="s">
        <v>449</v>
      </c>
      <c r="H8638" t="str">
        <f>VLOOKUP(record[[#This Row],[ProcessSN]],表格2_7[],2,FALSE)</f>
        <v>30-4118-018-6XX</v>
      </c>
      <c r="I8638" t="str">
        <f>VLOOKUP(record[[#This Row],[ProcessSN]],表格2_7[],3,FALSE)</f>
        <v>#05</v>
      </c>
      <c r="J8638" t="s">
        <v>588</v>
      </c>
      <c r="K8638" s="195">
        <v>45859.957395833335</v>
      </c>
      <c r="L8638">
        <v>54</v>
      </c>
      <c r="M8638">
        <v>0</v>
      </c>
      <c r="N8638" s="98" t="str">
        <f>IF(record[[#This Row],[Memo]]="Browser:chrome os:android","平板報工",IF(record[[#This Row],[Memo]]=0,"委外",record[[#This Row],[Memo]]))</f>
        <v/>
      </c>
      <c r="O8638" t="s">
        <v>58</v>
      </c>
      <c r="P8638" t="s">
        <v>806</v>
      </c>
      <c r="Q8638" t="s">
        <v>58</v>
      </c>
      <c r="R8638" t="str">
        <f>IFERROR(VLOOKUP(record[[#This Row],[PCUSTID]],廠商[],2,FALSE),"")</f>
        <v/>
      </c>
      <c r="S8638" t="str">
        <f>VLOOKUP(record[[#This Row],[employeeID]],員工[],2,FALSE)</f>
        <v>方思緯</v>
      </c>
    </row>
    <row r="8639" spans="6:19" hidden="1" x14ac:dyDescent="0.25">
      <c r="F8639" t="s">
        <v>904</v>
      </c>
      <c r="G8639" t="s">
        <v>414</v>
      </c>
      <c r="H8639" t="str">
        <f>VLOOKUP(record[[#This Row],[ProcessSN]],表格2_7[],2,FALSE)</f>
        <v>30-4118-018-5XX</v>
      </c>
      <c r="I8639" t="str">
        <f>VLOOKUP(record[[#This Row],[ProcessSN]],表格2_7[],3,FALSE)</f>
        <v>#03</v>
      </c>
      <c r="J8639" t="s">
        <v>588</v>
      </c>
      <c r="K8639" s="195">
        <v>45859.954513888886</v>
      </c>
      <c r="L8639">
        <v>637</v>
      </c>
      <c r="M8639">
        <v>4</v>
      </c>
      <c r="N8639" s="98" t="str">
        <f>IF(record[[#This Row],[Memo]]="Browser:chrome os:android","平板報工",IF(record[[#This Row],[Memo]]=0,"委外",record[[#This Row],[Memo]]))</f>
        <v/>
      </c>
      <c r="O8639" t="s">
        <v>58</v>
      </c>
      <c r="P8639" t="s">
        <v>806</v>
      </c>
      <c r="Q8639" t="s">
        <v>58</v>
      </c>
      <c r="R8639" t="str">
        <f>IFERROR(VLOOKUP(record[[#This Row],[PCUSTID]],廠商[],2,FALSE),"")</f>
        <v/>
      </c>
      <c r="S8639" t="str">
        <f>VLOOKUP(record[[#This Row],[employeeID]],員工[],2,FALSE)</f>
        <v>方思緯</v>
      </c>
    </row>
    <row r="8640" spans="6:19" hidden="1" x14ac:dyDescent="0.25">
      <c r="F8640" t="s">
        <v>907</v>
      </c>
      <c r="G8640" t="s">
        <v>399</v>
      </c>
      <c r="H8640" t="str">
        <f>VLOOKUP(record[[#This Row],[ProcessSN]],表格2_7[],2,FALSE)</f>
        <v>30-4118-018-550</v>
      </c>
      <c r="I8640" t="str">
        <f>VLOOKUP(record[[#This Row],[ProcessSN]],表格2_7[],3,FALSE)</f>
        <v>#08IQC</v>
      </c>
      <c r="J8640" t="s">
        <v>583</v>
      </c>
      <c r="K8640" s="195">
        <v>45859.813634259262</v>
      </c>
      <c r="L8640">
        <v>179</v>
      </c>
      <c r="M8640">
        <v>0</v>
      </c>
      <c r="N8640" s="98" t="str">
        <f>IF(record[[#This Row],[Memo]]="Browser:chrome os:android","平板報工",IF(record[[#This Row],[Memo]]=0,"委外",record[[#This Row],[Memo]]))</f>
        <v/>
      </c>
      <c r="O8640" t="s">
        <v>58</v>
      </c>
      <c r="P8640" t="s">
        <v>109</v>
      </c>
      <c r="Q8640" t="s">
        <v>58</v>
      </c>
      <c r="R8640" t="str">
        <f>IFERROR(VLOOKUP(record[[#This Row],[PCUSTID]],廠商[],2,FALSE),"")</f>
        <v/>
      </c>
      <c r="S8640" t="str">
        <f>VLOOKUP(record[[#This Row],[employeeID]],員工[],2,FALSE)</f>
        <v>裴氏璧鳳</v>
      </c>
    </row>
    <row r="8641" spans="6:19" hidden="1" x14ac:dyDescent="0.25">
      <c r="F8641" t="s">
        <v>877</v>
      </c>
      <c r="G8641" t="s">
        <v>417</v>
      </c>
      <c r="H8641" t="str">
        <f>VLOOKUP(record[[#This Row],[ProcessSN]],表格2_7[],2,FALSE)</f>
        <v>30-4118-018-5XX</v>
      </c>
      <c r="I8641" t="str">
        <f>VLOOKUP(record[[#This Row],[ProcessSN]],表格2_7[],3,FALSE)</f>
        <v>#06</v>
      </c>
      <c r="J8641" t="s">
        <v>593</v>
      </c>
      <c r="K8641" s="195">
        <v>45859.780219907407</v>
      </c>
      <c r="L8641">
        <v>40</v>
      </c>
      <c r="M8641">
        <v>2</v>
      </c>
      <c r="N8641" s="98" t="str">
        <f>IF(record[[#This Row],[Memo]]="Browser:chrome os:android","平板報工",IF(record[[#This Row],[Memo]]=0,"委外",record[[#This Row],[Memo]]))</f>
        <v>補報7/17中</v>
      </c>
      <c r="O8641" t="s">
        <v>912</v>
      </c>
      <c r="P8641" t="s">
        <v>127</v>
      </c>
      <c r="Q8641" t="s">
        <v>58</v>
      </c>
      <c r="R8641" t="str">
        <f>IFERROR(VLOOKUP(record[[#This Row],[PCUSTID]],廠商[],2,FALSE),"")</f>
        <v/>
      </c>
      <c r="S8641" t="str">
        <f>VLOOKUP(record[[#This Row],[employeeID]],員工[],2,FALSE)</f>
        <v>潘雪梅</v>
      </c>
    </row>
    <row r="8642" spans="6:19" hidden="1" x14ac:dyDescent="0.25">
      <c r="F8642" t="s">
        <v>875</v>
      </c>
      <c r="G8642" t="s">
        <v>450</v>
      </c>
      <c r="H8642" t="str">
        <f>VLOOKUP(record[[#This Row],[ProcessSN]],表格2_7[],2,FALSE)</f>
        <v>30-4118-018-6XX</v>
      </c>
      <c r="I8642" t="str">
        <f>VLOOKUP(record[[#This Row],[ProcessSN]],表格2_7[],3,FALSE)</f>
        <v>#06</v>
      </c>
      <c r="J8642" t="s">
        <v>593</v>
      </c>
      <c r="K8642" s="195">
        <v>45859.658437500002</v>
      </c>
      <c r="L8642">
        <v>110</v>
      </c>
      <c r="M8642">
        <v>0</v>
      </c>
      <c r="N8642" s="98" t="str">
        <f>IF(record[[#This Row],[Memo]]="Browser:chrome os:android","平板報工",IF(record[[#This Row],[Memo]]=0,"委外",record[[#This Row],[Memo]]))</f>
        <v/>
      </c>
      <c r="O8642" t="s">
        <v>58</v>
      </c>
      <c r="P8642" t="s">
        <v>119</v>
      </c>
      <c r="Q8642" t="s">
        <v>58</v>
      </c>
      <c r="R8642" t="str">
        <f>IFERROR(VLOOKUP(record[[#This Row],[PCUSTID]],廠商[],2,FALSE),"")</f>
        <v/>
      </c>
      <c r="S8642" t="str">
        <f>VLOOKUP(record[[#This Row],[employeeID]],員工[],2,FALSE)</f>
        <v>廖俊彥</v>
      </c>
    </row>
    <row r="8643" spans="6:19" hidden="1" x14ac:dyDescent="0.25">
      <c r="F8643" t="s">
        <v>897</v>
      </c>
      <c r="G8643" t="s">
        <v>415</v>
      </c>
      <c r="H8643" t="str">
        <f>VLOOKUP(record[[#This Row],[ProcessSN]],表格2_7[],2,FALSE)</f>
        <v>30-4118-018-5XX</v>
      </c>
      <c r="I8643" t="str">
        <f>VLOOKUP(record[[#This Row],[ProcessSN]],表格2_7[],3,FALSE)</f>
        <v>#04</v>
      </c>
      <c r="J8643" t="s">
        <v>588</v>
      </c>
      <c r="K8643" s="195">
        <v>45859.654942129629</v>
      </c>
      <c r="L8643">
        <v>106</v>
      </c>
      <c r="M8643">
        <v>1</v>
      </c>
      <c r="N8643" s="98" t="str">
        <f>IF(record[[#This Row],[Memo]]="Browser:chrome os:android","平板報工",IF(record[[#This Row],[Memo]]=0,"委外",record[[#This Row],[Memo]]))</f>
        <v/>
      </c>
      <c r="O8643" t="s">
        <v>58</v>
      </c>
      <c r="P8643" t="s">
        <v>119</v>
      </c>
      <c r="Q8643" t="s">
        <v>58</v>
      </c>
      <c r="R8643" t="str">
        <f>IFERROR(VLOOKUP(record[[#This Row],[PCUSTID]],廠商[],2,FALSE),"")</f>
        <v/>
      </c>
      <c r="S8643" t="str">
        <f>VLOOKUP(record[[#This Row],[employeeID]],員工[],2,FALSE)</f>
        <v>廖俊彥</v>
      </c>
    </row>
    <row r="8644" spans="6:19" hidden="1" x14ac:dyDescent="0.25">
      <c r="F8644" t="s">
        <v>904</v>
      </c>
      <c r="G8644" t="s">
        <v>414</v>
      </c>
      <c r="H8644" t="str">
        <f>VLOOKUP(record[[#This Row],[ProcessSN]],表格2_7[],2,FALSE)</f>
        <v>30-4118-018-5XX</v>
      </c>
      <c r="I8644" t="str">
        <f>VLOOKUP(record[[#This Row],[ProcessSN]],表格2_7[],3,FALSE)</f>
        <v>#03</v>
      </c>
      <c r="J8644" t="s">
        <v>588</v>
      </c>
      <c r="K8644" s="195">
        <v>45859.652812499997</v>
      </c>
      <c r="L8644">
        <v>264</v>
      </c>
      <c r="M8644">
        <v>1</v>
      </c>
      <c r="N8644" s="98" t="str">
        <f>IF(record[[#This Row],[Memo]]="Browser:chrome os:android","平板報工",IF(record[[#This Row],[Memo]]=0,"委外",record[[#This Row],[Memo]]))</f>
        <v/>
      </c>
      <c r="O8644" t="s">
        <v>58</v>
      </c>
      <c r="P8644" t="s">
        <v>119</v>
      </c>
      <c r="Q8644" t="s">
        <v>58</v>
      </c>
      <c r="R8644" t="str">
        <f>IFERROR(VLOOKUP(record[[#This Row],[PCUSTID]],廠商[],2,FALSE),"")</f>
        <v/>
      </c>
      <c r="S8644" t="str">
        <f>VLOOKUP(record[[#This Row],[employeeID]],員工[],2,FALSE)</f>
        <v>廖俊彥</v>
      </c>
    </row>
    <row r="8645" spans="6:19" hidden="1" x14ac:dyDescent="0.25">
      <c r="F8645" t="s">
        <v>875</v>
      </c>
      <c r="G8645" t="s">
        <v>449</v>
      </c>
      <c r="H8645" t="str">
        <f>VLOOKUP(record[[#This Row],[ProcessSN]],表格2_7[],2,FALSE)</f>
        <v>30-4118-018-6XX</v>
      </c>
      <c r="I8645" t="str">
        <f>VLOOKUP(record[[#This Row],[ProcessSN]],表格2_7[],3,FALSE)</f>
        <v>#05</v>
      </c>
      <c r="J8645" t="s">
        <v>588</v>
      </c>
      <c r="K8645" s="195">
        <v>45859.652453703704</v>
      </c>
      <c r="L8645">
        <v>270</v>
      </c>
      <c r="M8645">
        <v>0</v>
      </c>
      <c r="N8645" s="98" t="str">
        <f>IF(record[[#This Row],[Memo]]="Browser:chrome os:android","平板報工",IF(record[[#This Row],[Memo]]=0,"委外",record[[#This Row],[Memo]]))</f>
        <v/>
      </c>
      <c r="O8645" t="s">
        <v>58</v>
      </c>
      <c r="P8645" t="s">
        <v>119</v>
      </c>
      <c r="Q8645" t="s">
        <v>58</v>
      </c>
      <c r="R8645" t="str">
        <f>IFERROR(VLOOKUP(record[[#This Row],[PCUSTID]],廠商[],2,FALSE),"")</f>
        <v/>
      </c>
      <c r="S8645" t="str">
        <f>VLOOKUP(record[[#This Row],[employeeID]],員工[],2,FALSE)</f>
        <v>廖俊彥</v>
      </c>
    </row>
    <row r="8646" spans="6:19" hidden="1" x14ac:dyDescent="0.25">
      <c r="F8646" t="s">
        <v>890</v>
      </c>
      <c r="G8646" t="s">
        <v>428</v>
      </c>
      <c r="H8646" t="str">
        <f>VLOOKUP(record[[#This Row],[ProcessSN]],表格2_7[],2,FALSE)</f>
        <v>30-4118-018-600</v>
      </c>
      <c r="I8646" t="str">
        <f>VLOOKUP(record[[#This Row],[ProcessSN]],表格2_7[],3,FALSE)</f>
        <v>#100SHIP</v>
      </c>
      <c r="J8646" t="s">
        <v>600</v>
      </c>
      <c r="K8646" s="195">
        <v>45859.591053240743</v>
      </c>
      <c r="L8646">
        <v>22</v>
      </c>
      <c r="M8646">
        <v>0</v>
      </c>
      <c r="N8646" s="98" t="str">
        <f>IF(record[[#This Row],[Memo]]="Browser:chrome os:android","平板報工",IF(record[[#This Row],[Memo]]=0,"委外",record[[#This Row],[Memo]]))</f>
        <v/>
      </c>
      <c r="O8646" t="s">
        <v>58</v>
      </c>
      <c r="P8646" t="s">
        <v>886</v>
      </c>
      <c r="Q8646" t="s">
        <v>58</v>
      </c>
      <c r="R8646" t="str">
        <f>IFERROR(VLOOKUP(record[[#This Row],[PCUSTID]],廠商[],2,FALSE),"")</f>
        <v/>
      </c>
      <c r="S8646" t="str">
        <f>VLOOKUP(record[[#This Row],[employeeID]],員工[],2,FALSE)</f>
        <v>謝蓁薰</v>
      </c>
    </row>
    <row r="8647" spans="6:19" hidden="1" x14ac:dyDescent="0.25">
      <c r="F8647" t="s">
        <v>720</v>
      </c>
      <c r="G8647" t="s">
        <v>428</v>
      </c>
      <c r="H8647" t="str">
        <f>VLOOKUP(record[[#This Row],[ProcessSN]],表格2_7[],2,FALSE)</f>
        <v>30-4118-018-600</v>
      </c>
      <c r="I8647" t="str">
        <f>VLOOKUP(record[[#This Row],[ProcessSN]],表格2_7[],3,FALSE)</f>
        <v>#100SHIP</v>
      </c>
      <c r="J8647" t="s">
        <v>600</v>
      </c>
      <c r="K8647" s="195">
        <v>45859.590856481482</v>
      </c>
      <c r="L8647">
        <v>1</v>
      </c>
      <c r="M8647">
        <v>0</v>
      </c>
      <c r="N8647" s="98" t="str">
        <f>IF(record[[#This Row],[Memo]]="Browser:chrome os:android","平板報工",IF(record[[#This Row],[Memo]]=0,"委外",record[[#This Row],[Memo]]))</f>
        <v/>
      </c>
      <c r="O8647" t="s">
        <v>58</v>
      </c>
      <c r="P8647" t="s">
        <v>886</v>
      </c>
      <c r="Q8647" t="s">
        <v>58</v>
      </c>
      <c r="R8647" t="str">
        <f>IFERROR(VLOOKUP(record[[#This Row],[PCUSTID]],廠商[],2,FALSE),"")</f>
        <v/>
      </c>
      <c r="S8647" t="str">
        <f>VLOOKUP(record[[#This Row],[employeeID]],員工[],2,FALSE)</f>
        <v>謝蓁薰</v>
      </c>
    </row>
    <row r="8648" spans="6:19" hidden="1" x14ac:dyDescent="0.25">
      <c r="F8648" t="s">
        <v>866</v>
      </c>
      <c r="G8648" t="s">
        <v>403</v>
      </c>
      <c r="H8648" t="str">
        <f>VLOOKUP(record[[#This Row],[ProcessSN]],表格2_7[],2,FALSE)</f>
        <v>30-4118-018-550</v>
      </c>
      <c r="I8648" t="str">
        <f>VLOOKUP(record[[#This Row],[ProcessSN]],表格2_7[],3,FALSE)</f>
        <v>#100SHIP</v>
      </c>
      <c r="J8648" t="s">
        <v>600</v>
      </c>
      <c r="K8648" s="195">
        <v>45859.590601851851</v>
      </c>
      <c r="L8648">
        <v>1</v>
      </c>
      <c r="M8648">
        <v>0</v>
      </c>
      <c r="N8648" s="98" t="str">
        <f>IF(record[[#This Row],[Memo]]="Browser:chrome os:android","平板報工",IF(record[[#This Row],[Memo]]=0,"委外",record[[#This Row],[Memo]]))</f>
        <v/>
      </c>
      <c r="O8648" t="s">
        <v>58</v>
      </c>
      <c r="P8648" t="s">
        <v>886</v>
      </c>
      <c r="Q8648" t="s">
        <v>58</v>
      </c>
      <c r="R8648" t="str">
        <f>IFERROR(VLOOKUP(record[[#This Row],[PCUSTID]],廠商[],2,FALSE),"")</f>
        <v/>
      </c>
      <c r="S8648" t="str">
        <f>VLOOKUP(record[[#This Row],[employeeID]],員工[],2,FALSE)</f>
        <v>謝蓁薰</v>
      </c>
    </row>
    <row r="8649" spans="6:19" hidden="1" x14ac:dyDescent="0.25">
      <c r="F8649" t="s">
        <v>895</v>
      </c>
      <c r="G8649" t="s">
        <v>403</v>
      </c>
      <c r="H8649" t="str">
        <f>VLOOKUP(record[[#This Row],[ProcessSN]],表格2_7[],2,FALSE)</f>
        <v>30-4118-018-550</v>
      </c>
      <c r="I8649" t="str">
        <f>VLOOKUP(record[[#This Row],[ProcessSN]],表格2_7[],3,FALSE)</f>
        <v>#100SHIP</v>
      </c>
      <c r="J8649" t="s">
        <v>600</v>
      </c>
      <c r="K8649" s="195">
        <v>45859.590474537035</v>
      </c>
      <c r="L8649">
        <v>41</v>
      </c>
      <c r="M8649">
        <v>0</v>
      </c>
      <c r="N8649" s="98" t="str">
        <f>IF(record[[#This Row],[Memo]]="Browser:chrome os:android","平板報工",IF(record[[#This Row],[Memo]]=0,"委外",record[[#This Row],[Memo]]))</f>
        <v/>
      </c>
      <c r="O8649" t="s">
        <v>58</v>
      </c>
      <c r="P8649" t="s">
        <v>886</v>
      </c>
      <c r="Q8649" t="s">
        <v>58</v>
      </c>
      <c r="R8649" t="str">
        <f>IFERROR(VLOOKUP(record[[#This Row],[PCUSTID]],廠商[],2,FALSE),"")</f>
        <v/>
      </c>
      <c r="S8649" t="str">
        <f>VLOOKUP(record[[#This Row],[employeeID]],員工[],2,FALSE)</f>
        <v>謝蓁薰</v>
      </c>
    </row>
    <row r="8650" spans="6:19" hidden="1" x14ac:dyDescent="0.25">
      <c r="F8650" t="s">
        <v>907</v>
      </c>
      <c r="G8650" t="s">
        <v>398</v>
      </c>
      <c r="H8650" t="str">
        <f>VLOOKUP(record[[#This Row],[ProcessSN]],表格2_7[],2,FALSE)</f>
        <v>30-4118-018-550</v>
      </c>
      <c r="I8650" t="str">
        <f>VLOOKUP(record[[#This Row],[ProcessSN]],表格2_7[],3,FALSE)</f>
        <v>#08RCV</v>
      </c>
      <c r="J8650" t="s">
        <v>591</v>
      </c>
      <c r="K8650" s="195">
        <v>45859.394108796296</v>
      </c>
      <c r="L8650">
        <v>0</v>
      </c>
      <c r="M8650">
        <v>1</v>
      </c>
      <c r="N8650" s="98" t="str">
        <f>IF(record[[#This Row],[Memo]]="Browser:chrome os:android","平板報工",IF(record[[#This Row],[Memo]]=0,"委外",record[[#This Row],[Memo]]))</f>
        <v>素材不良退回</v>
      </c>
      <c r="O8650" t="s">
        <v>908</v>
      </c>
      <c r="P8650" t="s">
        <v>186</v>
      </c>
      <c r="Q8650" t="s">
        <v>58</v>
      </c>
      <c r="R8650" t="str">
        <f>IFERROR(VLOOKUP(record[[#This Row],[PCUSTID]],廠商[],2,FALSE),"")</f>
        <v/>
      </c>
      <c r="S8650" t="str">
        <f>VLOOKUP(record[[#This Row],[employeeID]],員工[],2,FALSE)</f>
        <v>許文姍</v>
      </c>
    </row>
    <row r="8651" spans="6:19" hidden="1" x14ac:dyDescent="0.25">
      <c r="F8651" t="s">
        <v>907</v>
      </c>
      <c r="G8651" t="s">
        <v>398</v>
      </c>
      <c r="H8651" t="str">
        <f>VLOOKUP(record[[#This Row],[ProcessSN]],表格2_7[],2,FALSE)</f>
        <v>30-4118-018-550</v>
      </c>
      <c r="I8651" t="str">
        <f>VLOOKUP(record[[#This Row],[ProcessSN]],表格2_7[],3,FALSE)</f>
        <v>#08RCV</v>
      </c>
      <c r="J8651" t="s">
        <v>591</v>
      </c>
      <c r="K8651" s="195">
        <v>45859.393750000003</v>
      </c>
      <c r="L8651">
        <v>179</v>
      </c>
      <c r="M8651">
        <v>0</v>
      </c>
      <c r="N8651" s="98" t="str">
        <f>IF(record[[#This Row],[Memo]]="Browser:chrome os:android","平板報工",IF(record[[#This Row],[Memo]]=0,"委外",record[[#This Row],[Memo]]))</f>
        <v/>
      </c>
      <c r="O8651" t="s">
        <v>58</v>
      </c>
      <c r="P8651" t="s">
        <v>186</v>
      </c>
      <c r="Q8651" t="s">
        <v>58</v>
      </c>
      <c r="R8651" t="str">
        <f>IFERROR(VLOOKUP(record[[#This Row],[PCUSTID]],廠商[],2,FALSE),"")</f>
        <v/>
      </c>
      <c r="S8651" t="str">
        <f>VLOOKUP(record[[#This Row],[employeeID]],員工[],2,FALSE)</f>
        <v>許文姍</v>
      </c>
    </row>
    <row r="8652" spans="6:19" hidden="1" x14ac:dyDescent="0.25">
      <c r="F8652" t="s">
        <v>877</v>
      </c>
      <c r="G8652" t="s">
        <v>417</v>
      </c>
      <c r="H8652" t="str">
        <f>VLOOKUP(record[[#This Row],[ProcessSN]],表格2_7[],2,FALSE)</f>
        <v>30-4118-018-5XX</v>
      </c>
      <c r="I8652" t="str">
        <f>VLOOKUP(record[[#This Row],[ProcessSN]],表格2_7[],3,FALSE)</f>
        <v>#06</v>
      </c>
      <c r="J8652" t="s">
        <v>593</v>
      </c>
      <c r="K8652" s="195">
        <v>45857.311435185184</v>
      </c>
      <c r="L8652">
        <v>65</v>
      </c>
      <c r="M8652">
        <v>0</v>
      </c>
      <c r="N8652" s="98" t="str">
        <f>IF(record[[#This Row],[Memo]]="Browser:chrome os:android","平板報工",IF(record[[#This Row],[Memo]]=0,"委外",record[[#This Row],[Memo]]))</f>
        <v/>
      </c>
      <c r="O8652" t="s">
        <v>58</v>
      </c>
      <c r="P8652" t="s">
        <v>135</v>
      </c>
      <c r="Q8652" t="s">
        <v>58</v>
      </c>
      <c r="R8652" t="str">
        <f>IFERROR(VLOOKUP(record[[#This Row],[PCUSTID]],廠商[],2,FALSE),"")</f>
        <v/>
      </c>
      <c r="S8652" t="str">
        <f>VLOOKUP(record[[#This Row],[employeeID]],員工[],2,FALSE)</f>
        <v>阮士文</v>
      </c>
    </row>
    <row r="8653" spans="6:19" hidden="1" x14ac:dyDescent="0.25">
      <c r="F8653" t="s">
        <v>897</v>
      </c>
      <c r="G8653" t="s">
        <v>415</v>
      </c>
      <c r="H8653" t="str">
        <f>VLOOKUP(record[[#This Row],[ProcessSN]],表格2_7[],2,FALSE)</f>
        <v>30-4118-018-5XX</v>
      </c>
      <c r="I8653" t="str">
        <f>VLOOKUP(record[[#This Row],[ProcessSN]],表格2_7[],3,FALSE)</f>
        <v>#04</v>
      </c>
      <c r="J8653" t="s">
        <v>588</v>
      </c>
      <c r="K8653" s="195">
        <v>45857.309039351851</v>
      </c>
      <c r="L8653">
        <v>150</v>
      </c>
      <c r="M8653">
        <v>0</v>
      </c>
      <c r="N8653" s="98" t="str">
        <f>IF(record[[#This Row],[Memo]]="Browser:chrome os:android","平板報工",IF(record[[#This Row],[Memo]]=0,"委外",record[[#This Row],[Memo]]))</f>
        <v/>
      </c>
      <c r="O8653" t="s">
        <v>58</v>
      </c>
      <c r="P8653" t="s">
        <v>135</v>
      </c>
      <c r="Q8653" t="s">
        <v>58</v>
      </c>
      <c r="R8653" t="str">
        <f>IFERROR(VLOOKUP(record[[#This Row],[PCUSTID]],廠商[],2,FALSE),"")</f>
        <v/>
      </c>
      <c r="S8653" t="str">
        <f>VLOOKUP(record[[#This Row],[employeeID]],員工[],2,FALSE)</f>
        <v>阮士文</v>
      </c>
    </row>
    <row r="8654" spans="6:19" hidden="1" x14ac:dyDescent="0.25">
      <c r="F8654" t="s">
        <v>897</v>
      </c>
      <c r="G8654" t="s">
        <v>415</v>
      </c>
      <c r="H8654" t="str">
        <f>VLOOKUP(record[[#This Row],[ProcessSN]],表格2_7[],2,FALSE)</f>
        <v>30-4118-018-5XX</v>
      </c>
      <c r="I8654" t="str">
        <f>VLOOKUP(record[[#This Row],[ProcessSN]],表格2_7[],3,FALSE)</f>
        <v>#04</v>
      </c>
      <c r="J8654" t="s">
        <v>588</v>
      </c>
      <c r="K8654" s="195">
        <v>45856.981388888889</v>
      </c>
      <c r="L8654">
        <v>135</v>
      </c>
      <c r="M8654">
        <v>0</v>
      </c>
      <c r="N8654" s="98" t="str">
        <f>IF(record[[#This Row],[Memo]]="Browser:chrome os:android","平板報工",IF(record[[#This Row],[Memo]]=0,"委外",record[[#This Row],[Memo]]))</f>
        <v/>
      </c>
      <c r="O8654" t="s">
        <v>58</v>
      </c>
      <c r="P8654" t="s">
        <v>127</v>
      </c>
      <c r="Q8654" t="s">
        <v>58</v>
      </c>
      <c r="R8654" t="str">
        <f>IFERROR(VLOOKUP(record[[#This Row],[PCUSTID]],廠商[],2,FALSE),"")</f>
        <v/>
      </c>
      <c r="S8654" t="str">
        <f>VLOOKUP(record[[#This Row],[employeeID]],員工[],2,FALSE)</f>
        <v>潘雪梅</v>
      </c>
    </row>
    <row r="8655" spans="6:19" hidden="1" x14ac:dyDescent="0.25">
      <c r="F8655" t="s">
        <v>904</v>
      </c>
      <c r="G8655" t="s">
        <v>414</v>
      </c>
      <c r="H8655" t="str">
        <f>VLOOKUP(record[[#This Row],[ProcessSN]],表格2_7[],2,FALSE)</f>
        <v>30-4118-018-5XX</v>
      </c>
      <c r="I8655" t="str">
        <f>VLOOKUP(record[[#This Row],[ProcessSN]],表格2_7[],3,FALSE)</f>
        <v>#03</v>
      </c>
      <c r="J8655" t="s">
        <v>588</v>
      </c>
      <c r="K8655" s="195">
        <v>45856.97960648148</v>
      </c>
      <c r="L8655">
        <v>499</v>
      </c>
      <c r="M8655">
        <v>5</v>
      </c>
      <c r="N8655" s="98" t="str">
        <f>IF(record[[#This Row],[Memo]]="Browser:chrome os:android","平板報工",IF(record[[#This Row],[Memo]]=0,"委外",record[[#This Row],[Memo]]))</f>
        <v/>
      </c>
      <c r="O8655" t="s">
        <v>58</v>
      </c>
      <c r="P8655" t="s">
        <v>127</v>
      </c>
      <c r="Q8655" t="s">
        <v>58</v>
      </c>
      <c r="R8655" t="str">
        <f>IFERROR(VLOOKUP(record[[#This Row],[PCUSTID]],廠商[],2,FALSE),"")</f>
        <v/>
      </c>
      <c r="S8655" t="str">
        <f>VLOOKUP(record[[#This Row],[employeeID]],員工[],2,FALSE)</f>
        <v>潘雪梅</v>
      </c>
    </row>
    <row r="8656" spans="6:19" hidden="1" x14ac:dyDescent="0.25">
      <c r="F8656" t="s">
        <v>897</v>
      </c>
      <c r="G8656" t="s">
        <v>414</v>
      </c>
      <c r="H8656" t="str">
        <f>VLOOKUP(record[[#This Row],[ProcessSN]],表格2_7[],2,FALSE)</f>
        <v>30-4118-018-5XX</v>
      </c>
      <c r="I8656" t="str">
        <f>VLOOKUP(record[[#This Row],[ProcessSN]],表格2_7[],3,FALSE)</f>
        <v>#03</v>
      </c>
      <c r="J8656" t="s">
        <v>588</v>
      </c>
      <c r="K8656" s="195">
        <v>45856.979155092595</v>
      </c>
      <c r="L8656">
        <v>158</v>
      </c>
      <c r="M8656">
        <v>0</v>
      </c>
      <c r="N8656" s="98" t="str">
        <f>IF(record[[#This Row],[Memo]]="Browser:chrome os:android","平板報工",IF(record[[#This Row],[Memo]]=0,"委外",record[[#This Row],[Memo]]))</f>
        <v/>
      </c>
      <c r="O8656" t="s">
        <v>58</v>
      </c>
      <c r="P8656" t="s">
        <v>127</v>
      </c>
      <c r="Q8656" t="s">
        <v>58</v>
      </c>
      <c r="R8656" t="str">
        <f>IFERROR(VLOOKUP(record[[#This Row],[PCUSTID]],廠商[],2,FALSE),"")</f>
        <v/>
      </c>
      <c r="S8656" t="str">
        <f>VLOOKUP(record[[#This Row],[employeeID]],員工[],2,FALSE)</f>
        <v>潘雪梅</v>
      </c>
    </row>
    <row r="8657" spans="6:19" hidden="1" x14ac:dyDescent="0.25">
      <c r="F8657" t="s">
        <v>875</v>
      </c>
      <c r="G8657" t="s">
        <v>449</v>
      </c>
      <c r="H8657" t="str">
        <f>VLOOKUP(record[[#This Row],[ProcessSN]],表格2_7[],2,FALSE)</f>
        <v>30-4118-018-6XX</v>
      </c>
      <c r="I8657" t="str">
        <f>VLOOKUP(record[[#This Row],[ProcessSN]],表格2_7[],3,FALSE)</f>
        <v>#05</v>
      </c>
      <c r="J8657" t="s">
        <v>588</v>
      </c>
      <c r="K8657" s="195">
        <v>45856.978726851848</v>
      </c>
      <c r="L8657">
        <v>260</v>
      </c>
      <c r="M8657">
        <v>0</v>
      </c>
      <c r="N8657" s="98" t="str">
        <f>IF(record[[#This Row],[Memo]]="Browser:chrome os:android","平板報工",IF(record[[#This Row],[Memo]]=0,"委外",record[[#This Row],[Memo]]))</f>
        <v/>
      </c>
      <c r="O8657" t="s">
        <v>58</v>
      </c>
      <c r="P8657" t="s">
        <v>127</v>
      </c>
      <c r="Q8657" t="s">
        <v>58</v>
      </c>
      <c r="R8657" t="str">
        <f>IFERROR(VLOOKUP(record[[#This Row],[PCUSTID]],廠商[],2,FALSE),"")</f>
        <v/>
      </c>
      <c r="S8657" t="str">
        <f>VLOOKUP(record[[#This Row],[employeeID]],員工[],2,FALSE)</f>
        <v>潘雪梅</v>
      </c>
    </row>
    <row r="8658" spans="6:19" hidden="1" x14ac:dyDescent="0.25">
      <c r="F8658" t="s">
        <v>877</v>
      </c>
      <c r="G8658" t="s">
        <v>417</v>
      </c>
      <c r="H8658" t="str">
        <f>VLOOKUP(record[[#This Row],[ProcessSN]],表格2_7[],2,FALSE)</f>
        <v>30-4118-018-5XX</v>
      </c>
      <c r="I8658" t="str">
        <f>VLOOKUP(record[[#This Row],[ProcessSN]],表格2_7[],3,FALSE)</f>
        <v>#06</v>
      </c>
      <c r="J8658" t="s">
        <v>593</v>
      </c>
      <c r="K8658" s="195">
        <v>45856.821388888886</v>
      </c>
      <c r="L8658">
        <v>61</v>
      </c>
      <c r="M8658">
        <v>0</v>
      </c>
      <c r="N8658" s="98" t="str">
        <f>IF(record[[#This Row],[Memo]]="Browser:chrome os:android","平板報工",IF(record[[#This Row],[Memo]]=0,"委外",record[[#This Row],[Memo]]))</f>
        <v>平板報工</v>
      </c>
      <c r="O8658" t="s">
        <v>643</v>
      </c>
      <c r="P8658" t="s">
        <v>166</v>
      </c>
      <c r="Q8658" t="s">
        <v>644</v>
      </c>
      <c r="R8658" t="str">
        <f>IFERROR(VLOOKUP(record[[#This Row],[PCUSTID]],廠商[],2,FALSE),"")</f>
        <v/>
      </c>
      <c r="S8658" t="str">
        <f>VLOOKUP(record[[#This Row],[employeeID]],員工[],2,FALSE)</f>
        <v>阮懷香</v>
      </c>
    </row>
    <row r="8659" spans="6:19" hidden="1" x14ac:dyDescent="0.25">
      <c r="F8659" t="s">
        <v>897</v>
      </c>
      <c r="G8659" t="s">
        <v>415</v>
      </c>
      <c r="H8659" t="str">
        <f>VLOOKUP(record[[#This Row],[ProcessSN]],表格2_7[],2,FALSE)</f>
        <v>30-4118-018-5XX</v>
      </c>
      <c r="I8659" t="str">
        <f>VLOOKUP(record[[#This Row],[ProcessSN]],表格2_7[],3,FALSE)</f>
        <v>#04</v>
      </c>
      <c r="J8659" t="s">
        <v>588</v>
      </c>
      <c r="K8659" s="195">
        <v>45856.687037037038</v>
      </c>
      <c r="L8659">
        <v>68</v>
      </c>
      <c r="M8659">
        <v>2</v>
      </c>
      <c r="N8659" s="98" t="str">
        <f>IF(record[[#This Row],[Memo]]="Browser:chrome os:android","平板報工",IF(record[[#This Row],[Memo]]=0,"委外",record[[#This Row],[Memo]]))</f>
        <v/>
      </c>
      <c r="O8659" t="s">
        <v>58</v>
      </c>
      <c r="P8659" t="s">
        <v>119</v>
      </c>
      <c r="Q8659" t="s">
        <v>58</v>
      </c>
      <c r="R8659" t="str">
        <f>IFERROR(VLOOKUP(record[[#This Row],[PCUSTID]],廠商[],2,FALSE),"")</f>
        <v/>
      </c>
      <c r="S8659" t="str">
        <f>VLOOKUP(record[[#This Row],[employeeID]],員工[],2,FALSE)</f>
        <v>廖俊彥</v>
      </c>
    </row>
    <row r="8660" spans="6:19" hidden="1" x14ac:dyDescent="0.25">
      <c r="F8660" t="s">
        <v>877</v>
      </c>
      <c r="G8660" t="s">
        <v>416</v>
      </c>
      <c r="H8660" t="str">
        <f>VLOOKUP(record[[#This Row],[ProcessSN]],表格2_7[],2,FALSE)</f>
        <v>30-4118-018-5XX</v>
      </c>
      <c r="I8660" t="str">
        <f>VLOOKUP(record[[#This Row],[ProcessSN]],表格2_7[],3,FALSE)</f>
        <v>#05</v>
      </c>
      <c r="J8660" t="s">
        <v>588</v>
      </c>
      <c r="K8660" s="195">
        <v>45856.686689814815</v>
      </c>
      <c r="L8660">
        <v>35</v>
      </c>
      <c r="M8660">
        <v>0</v>
      </c>
      <c r="N8660" s="98" t="str">
        <f>IF(record[[#This Row],[Memo]]="Browser:chrome os:android","平板報工",IF(record[[#This Row],[Memo]]=0,"委外",record[[#This Row],[Memo]]))</f>
        <v/>
      </c>
      <c r="O8660" t="s">
        <v>58</v>
      </c>
      <c r="P8660" t="s">
        <v>119</v>
      </c>
      <c r="Q8660" t="s">
        <v>58</v>
      </c>
      <c r="R8660" t="str">
        <f>IFERROR(VLOOKUP(record[[#This Row],[PCUSTID]],廠商[],2,FALSE),"")</f>
        <v/>
      </c>
      <c r="S8660" t="str">
        <f>VLOOKUP(record[[#This Row],[employeeID]],員工[],2,FALSE)</f>
        <v>廖俊彥</v>
      </c>
    </row>
    <row r="8661" spans="6:19" hidden="1" x14ac:dyDescent="0.25">
      <c r="F8661" t="s">
        <v>877</v>
      </c>
      <c r="G8661" t="s">
        <v>415</v>
      </c>
      <c r="H8661" t="str">
        <f>VLOOKUP(record[[#This Row],[ProcessSN]],表格2_7[],2,FALSE)</f>
        <v>30-4118-018-5XX</v>
      </c>
      <c r="I8661" t="str">
        <f>VLOOKUP(record[[#This Row],[ProcessSN]],表格2_7[],3,FALSE)</f>
        <v>#04</v>
      </c>
      <c r="J8661" t="s">
        <v>588</v>
      </c>
      <c r="K8661" s="195">
        <v>45856.685937499999</v>
      </c>
      <c r="L8661">
        <v>35</v>
      </c>
      <c r="M8661">
        <v>0</v>
      </c>
      <c r="N8661" s="98" t="str">
        <f>IF(record[[#This Row],[Memo]]="Browser:chrome os:android","平板報工",IF(record[[#This Row],[Memo]]=0,"委外",record[[#This Row],[Memo]]))</f>
        <v/>
      </c>
      <c r="O8661" t="s">
        <v>58</v>
      </c>
      <c r="P8661" t="s">
        <v>119</v>
      </c>
      <c r="Q8661" t="s">
        <v>58</v>
      </c>
      <c r="R8661" t="str">
        <f>IFERROR(VLOOKUP(record[[#This Row],[PCUSTID]],廠商[],2,FALSE),"")</f>
        <v/>
      </c>
      <c r="S8661" t="str">
        <f>VLOOKUP(record[[#This Row],[employeeID]],員工[],2,FALSE)</f>
        <v>廖俊彥</v>
      </c>
    </row>
    <row r="8662" spans="6:19" hidden="1" x14ac:dyDescent="0.25">
      <c r="F8662" t="s">
        <v>875</v>
      </c>
      <c r="G8662" t="s">
        <v>448</v>
      </c>
      <c r="H8662" t="str">
        <f>VLOOKUP(record[[#This Row],[ProcessSN]],表格2_7[],2,FALSE)</f>
        <v>30-4118-018-6XX</v>
      </c>
      <c r="I8662" t="str">
        <f>VLOOKUP(record[[#This Row],[ProcessSN]],表格2_7[],3,FALSE)</f>
        <v>#04</v>
      </c>
      <c r="J8662" t="s">
        <v>588</v>
      </c>
      <c r="K8662" s="195">
        <v>45856.685520833336</v>
      </c>
      <c r="L8662">
        <v>11</v>
      </c>
      <c r="M8662">
        <v>0</v>
      </c>
      <c r="N8662" s="98" t="str">
        <f>IF(record[[#This Row],[Memo]]="Browser:chrome os:android","平板報工",IF(record[[#This Row],[Memo]]=0,"委外",record[[#This Row],[Memo]]))</f>
        <v/>
      </c>
      <c r="O8662" t="s">
        <v>58</v>
      </c>
      <c r="P8662" t="s">
        <v>119</v>
      </c>
      <c r="Q8662" t="s">
        <v>58</v>
      </c>
      <c r="R8662" t="str">
        <f>IFERROR(VLOOKUP(record[[#This Row],[PCUSTID]],廠商[],2,FALSE),"")</f>
        <v/>
      </c>
      <c r="S8662" t="str">
        <f>VLOOKUP(record[[#This Row],[employeeID]],員工[],2,FALSE)</f>
        <v>廖俊彥</v>
      </c>
    </row>
    <row r="8663" spans="6:19" hidden="1" x14ac:dyDescent="0.25">
      <c r="F8663" t="s">
        <v>897</v>
      </c>
      <c r="G8663" t="s">
        <v>414</v>
      </c>
      <c r="H8663" t="str">
        <f>VLOOKUP(record[[#This Row],[ProcessSN]],表格2_7[],2,FALSE)</f>
        <v>30-4118-018-5XX</v>
      </c>
      <c r="I8663" t="str">
        <f>VLOOKUP(record[[#This Row],[ProcessSN]],表格2_7[],3,FALSE)</f>
        <v>#03</v>
      </c>
      <c r="J8663" t="s">
        <v>588</v>
      </c>
      <c r="K8663" s="195">
        <v>45856.683912037035</v>
      </c>
      <c r="L8663">
        <v>802</v>
      </c>
      <c r="M8663">
        <v>0</v>
      </c>
      <c r="N8663" s="98" t="str">
        <f>IF(record[[#This Row],[Memo]]="Browser:chrome os:android","平板報工",IF(record[[#This Row],[Memo]]=0,"委外",record[[#This Row],[Memo]]))</f>
        <v/>
      </c>
      <c r="O8663" t="s">
        <v>58</v>
      </c>
      <c r="P8663" t="s">
        <v>119</v>
      </c>
      <c r="Q8663" t="s">
        <v>58</v>
      </c>
      <c r="R8663" t="str">
        <f>IFERROR(VLOOKUP(record[[#This Row],[PCUSTID]],廠商[],2,FALSE),"")</f>
        <v/>
      </c>
      <c r="S8663" t="str">
        <f>VLOOKUP(record[[#This Row],[employeeID]],員工[],2,FALSE)</f>
        <v>廖俊彥</v>
      </c>
    </row>
    <row r="8664" spans="6:19" hidden="1" x14ac:dyDescent="0.25">
      <c r="F8664" t="s">
        <v>877</v>
      </c>
      <c r="G8664" t="s">
        <v>416</v>
      </c>
      <c r="H8664" t="str">
        <f>VLOOKUP(record[[#This Row],[ProcessSN]],表格2_7[],2,FALSE)</f>
        <v>30-4118-018-5XX</v>
      </c>
      <c r="I8664" t="str">
        <f>VLOOKUP(record[[#This Row],[ProcessSN]],表格2_7[],3,FALSE)</f>
        <v>#05</v>
      </c>
      <c r="J8664" t="s">
        <v>588</v>
      </c>
      <c r="K8664" s="195">
        <v>45856.683472222219</v>
      </c>
      <c r="L8664">
        <v>121</v>
      </c>
      <c r="M8664">
        <v>0</v>
      </c>
      <c r="N8664" s="98" t="str">
        <f>IF(record[[#This Row],[Memo]]="Browser:chrome os:android","平板報工",IF(record[[#This Row],[Memo]]=0,"委外",record[[#This Row],[Memo]]))</f>
        <v/>
      </c>
      <c r="O8664" t="s">
        <v>58</v>
      </c>
      <c r="P8664" t="s">
        <v>119</v>
      </c>
      <c r="Q8664" t="s">
        <v>58</v>
      </c>
      <c r="R8664" t="str">
        <f>IFERROR(VLOOKUP(record[[#This Row],[PCUSTID]],廠商[],2,FALSE),"")</f>
        <v/>
      </c>
      <c r="S8664" t="str">
        <f>VLOOKUP(record[[#This Row],[employeeID]],員工[],2,FALSE)</f>
        <v>廖俊彥</v>
      </c>
    </row>
    <row r="8665" spans="6:19" hidden="1" x14ac:dyDescent="0.25">
      <c r="F8665" t="s">
        <v>875</v>
      </c>
      <c r="G8665" t="s">
        <v>449</v>
      </c>
      <c r="H8665" t="str">
        <f>VLOOKUP(record[[#This Row],[ProcessSN]],表格2_7[],2,FALSE)</f>
        <v>30-4118-018-6XX</v>
      </c>
      <c r="I8665" t="str">
        <f>VLOOKUP(record[[#This Row],[ProcessSN]],表格2_7[],3,FALSE)</f>
        <v>#05</v>
      </c>
      <c r="J8665" t="s">
        <v>588</v>
      </c>
      <c r="K8665" s="195">
        <v>45856.683194444442</v>
      </c>
      <c r="L8665">
        <v>40</v>
      </c>
      <c r="M8665">
        <v>0</v>
      </c>
      <c r="N8665" s="98" t="str">
        <f>IF(record[[#This Row],[Memo]]="Browser:chrome os:android","平板報工",IF(record[[#This Row],[Memo]]=0,"委外",record[[#This Row],[Memo]]))</f>
        <v/>
      </c>
      <c r="O8665" t="s">
        <v>58</v>
      </c>
      <c r="P8665" t="s">
        <v>119</v>
      </c>
      <c r="Q8665" t="s">
        <v>58</v>
      </c>
      <c r="R8665" t="str">
        <f>IFERROR(VLOOKUP(record[[#This Row],[PCUSTID]],廠商[],2,FALSE),"")</f>
        <v/>
      </c>
      <c r="S8665" t="str">
        <f>VLOOKUP(record[[#This Row],[employeeID]],員工[],2,FALSE)</f>
        <v>廖俊彥</v>
      </c>
    </row>
    <row r="8666" spans="6:19" hidden="1" x14ac:dyDescent="0.25">
      <c r="F8666" t="s">
        <v>895</v>
      </c>
      <c r="G8666" t="s">
        <v>403</v>
      </c>
      <c r="H8666" t="str">
        <f>VLOOKUP(record[[#This Row],[ProcessSN]],表格2_7[],2,FALSE)</f>
        <v>30-4118-018-550</v>
      </c>
      <c r="I8666" t="str">
        <f>VLOOKUP(record[[#This Row],[ProcessSN]],表格2_7[],3,FALSE)</f>
        <v>#100SHIP</v>
      </c>
      <c r="J8666" t="s">
        <v>600</v>
      </c>
      <c r="K8666" s="195">
        <v>45856.592847222222</v>
      </c>
      <c r="L8666">
        <v>4</v>
      </c>
      <c r="M8666">
        <v>0</v>
      </c>
      <c r="N8666" s="98" t="str">
        <f>IF(record[[#This Row],[Memo]]="Browser:chrome os:android","平板報工",IF(record[[#This Row],[Memo]]=0,"委外",record[[#This Row],[Memo]]))</f>
        <v/>
      </c>
      <c r="O8666" t="s">
        <v>58</v>
      </c>
      <c r="P8666" t="s">
        <v>886</v>
      </c>
      <c r="Q8666" t="s">
        <v>58</v>
      </c>
      <c r="R8666" t="str">
        <f>IFERROR(VLOOKUP(record[[#This Row],[PCUSTID]],廠商[],2,FALSE),"")</f>
        <v/>
      </c>
      <c r="S8666" t="str">
        <f>VLOOKUP(record[[#This Row],[employeeID]],員工[],2,FALSE)</f>
        <v>謝蓁薰</v>
      </c>
    </row>
    <row r="8667" spans="6:19" hidden="1" x14ac:dyDescent="0.25">
      <c r="F8667" t="s">
        <v>875</v>
      </c>
      <c r="G8667" t="s">
        <v>448</v>
      </c>
      <c r="H8667" t="str">
        <f>VLOOKUP(record[[#This Row],[ProcessSN]],表格2_7[],2,FALSE)</f>
        <v>30-4118-018-6XX</v>
      </c>
      <c r="I8667" t="str">
        <f>VLOOKUP(record[[#This Row],[ProcessSN]],表格2_7[],3,FALSE)</f>
        <v>#04</v>
      </c>
      <c r="J8667" t="s">
        <v>588</v>
      </c>
      <c r="K8667" s="195">
        <v>45855.964120370372</v>
      </c>
      <c r="L8667">
        <v>109</v>
      </c>
      <c r="M8667">
        <v>0</v>
      </c>
      <c r="N8667" s="98" t="str">
        <f>IF(record[[#This Row],[Memo]]="Browser:chrome os:android","平板報工",IF(record[[#This Row],[Memo]]=0,"委外",record[[#This Row],[Memo]]))</f>
        <v/>
      </c>
      <c r="O8667" t="s">
        <v>58</v>
      </c>
      <c r="P8667" t="s">
        <v>763</v>
      </c>
      <c r="Q8667" t="s">
        <v>58</v>
      </c>
      <c r="R8667" t="str">
        <f>IFERROR(VLOOKUP(record[[#This Row],[PCUSTID]],廠商[],2,FALSE),"")</f>
        <v/>
      </c>
      <c r="S8667" t="str">
        <f>VLOOKUP(record[[#This Row],[employeeID]],員工[],2,FALSE)</f>
        <v>江嘉倫</v>
      </c>
    </row>
    <row r="8668" spans="6:19" hidden="1" x14ac:dyDescent="0.25">
      <c r="F8668" t="s">
        <v>897</v>
      </c>
      <c r="G8668" t="s">
        <v>414</v>
      </c>
      <c r="H8668" t="str">
        <f>VLOOKUP(record[[#This Row],[ProcessSN]],表格2_7[],2,FALSE)</f>
        <v>30-4118-018-5XX</v>
      </c>
      <c r="I8668" t="str">
        <f>VLOOKUP(record[[#This Row],[ProcessSN]],表格2_7[],3,FALSE)</f>
        <v>#03</v>
      </c>
      <c r="J8668" t="s">
        <v>588</v>
      </c>
      <c r="K8668" s="195">
        <v>45855.96297453704</v>
      </c>
      <c r="L8668">
        <v>783</v>
      </c>
      <c r="M8668">
        <v>6</v>
      </c>
      <c r="N8668" s="98" t="str">
        <f>IF(record[[#This Row],[Memo]]="Browser:chrome os:android","平板報工",IF(record[[#This Row],[Memo]]=0,"委外",record[[#This Row],[Memo]]))</f>
        <v/>
      </c>
      <c r="O8668" t="s">
        <v>58</v>
      </c>
      <c r="P8668" t="s">
        <v>806</v>
      </c>
      <c r="Q8668" t="s">
        <v>58</v>
      </c>
      <c r="R8668" t="str">
        <f>IFERROR(VLOOKUP(record[[#This Row],[PCUSTID]],廠商[],2,FALSE),"")</f>
        <v/>
      </c>
      <c r="S8668" t="str">
        <f>VLOOKUP(record[[#This Row],[employeeID]],員工[],2,FALSE)</f>
        <v>方思緯</v>
      </c>
    </row>
    <row r="8669" spans="6:19" hidden="1" x14ac:dyDescent="0.25">
      <c r="F8669" t="s">
        <v>877</v>
      </c>
      <c r="G8669" t="s">
        <v>419</v>
      </c>
      <c r="H8669" t="str">
        <f>VLOOKUP(record[[#This Row],[ProcessSN]],表格2_7[],2,FALSE)</f>
        <v>30-4118-018-5XX</v>
      </c>
      <c r="I8669" t="str">
        <f>VLOOKUP(record[[#This Row],[ProcessSN]],表格2_7[],3,FALSE)</f>
        <v>#07QC</v>
      </c>
      <c r="J8669" t="s">
        <v>589</v>
      </c>
      <c r="K8669" s="195">
        <v>45855.828090277777</v>
      </c>
      <c r="L8669">
        <v>0</v>
      </c>
      <c r="M8669">
        <v>4</v>
      </c>
      <c r="N8669" s="98" t="str">
        <f>IF(record[[#This Row],[Memo]]="Browser:chrome os:android","平板報工",IF(record[[#This Row],[Memo]]=0,"委外",record[[#This Row],[Memo]]))</f>
        <v/>
      </c>
      <c r="O8669" t="s">
        <v>58</v>
      </c>
      <c r="P8669" t="s">
        <v>141</v>
      </c>
      <c r="Q8669" t="s">
        <v>58</v>
      </c>
      <c r="R8669" t="str">
        <f>IFERROR(VLOOKUP(record[[#This Row],[PCUSTID]],廠商[],2,FALSE),"")</f>
        <v/>
      </c>
      <c r="S8669" t="str">
        <f>VLOOKUP(record[[#This Row],[employeeID]],員工[],2,FALSE)</f>
        <v>蔣梅</v>
      </c>
    </row>
    <row r="8670" spans="6:19" hidden="1" x14ac:dyDescent="0.25">
      <c r="F8670" t="s">
        <v>720</v>
      </c>
      <c r="G8670" t="s">
        <v>427</v>
      </c>
      <c r="H8670" t="str">
        <f>VLOOKUP(record[[#This Row],[ProcessSN]],表格2_7[],2,FALSE)</f>
        <v>30-4118-018-600</v>
      </c>
      <c r="I8670" t="str">
        <f>VLOOKUP(record[[#This Row],[ProcessSN]],表格2_7[],3,FALSE)</f>
        <v>#100STOCK</v>
      </c>
      <c r="J8670" t="s">
        <v>592</v>
      </c>
      <c r="K8670" s="195">
        <v>45855.652025462965</v>
      </c>
      <c r="L8670">
        <v>1</v>
      </c>
      <c r="M8670">
        <v>0</v>
      </c>
      <c r="N8670" s="98" t="str">
        <f>IF(record[[#This Row],[Memo]]="Browser:chrome os:android","平板報工",IF(record[[#This Row],[Memo]]=0,"委外",record[[#This Row],[Memo]]))</f>
        <v/>
      </c>
      <c r="O8670" t="s">
        <v>58</v>
      </c>
      <c r="P8670" t="s">
        <v>886</v>
      </c>
      <c r="Q8670" t="s">
        <v>58</v>
      </c>
      <c r="R8670" t="str">
        <f>IFERROR(VLOOKUP(record[[#This Row],[PCUSTID]],廠商[],2,FALSE),"")</f>
        <v/>
      </c>
      <c r="S8670" t="str">
        <f>VLOOKUP(record[[#This Row],[employeeID]],員工[],2,FALSE)</f>
        <v>謝蓁薰</v>
      </c>
    </row>
    <row r="8671" spans="6:19" hidden="1" x14ac:dyDescent="0.25">
      <c r="F8671" t="s">
        <v>895</v>
      </c>
      <c r="G8671" t="s">
        <v>402</v>
      </c>
      <c r="H8671" t="str">
        <f>VLOOKUP(record[[#This Row],[ProcessSN]],表格2_7[],2,FALSE)</f>
        <v>30-4118-018-550</v>
      </c>
      <c r="I8671" t="str">
        <f>VLOOKUP(record[[#This Row],[ProcessSN]],表格2_7[],3,FALSE)</f>
        <v>#100STOCK</v>
      </c>
      <c r="J8671" t="s">
        <v>592</v>
      </c>
      <c r="K8671" s="195">
        <v>45855.651250000003</v>
      </c>
      <c r="L8671">
        <v>4</v>
      </c>
      <c r="M8671">
        <v>0</v>
      </c>
      <c r="N8671" s="98" t="str">
        <f>IF(record[[#This Row],[Memo]]="Browser:chrome os:android","平板報工",IF(record[[#This Row],[Memo]]=0,"委外",record[[#This Row],[Memo]]))</f>
        <v/>
      </c>
      <c r="O8671" t="s">
        <v>58</v>
      </c>
      <c r="P8671" t="s">
        <v>886</v>
      </c>
      <c r="Q8671" t="s">
        <v>58</v>
      </c>
      <c r="R8671" t="str">
        <f>IFERROR(VLOOKUP(record[[#This Row],[PCUSTID]],廠商[],2,FALSE),"")</f>
        <v/>
      </c>
      <c r="S8671" t="str">
        <f>VLOOKUP(record[[#This Row],[employeeID]],員工[],2,FALSE)</f>
        <v>謝蓁薰</v>
      </c>
    </row>
    <row r="8672" spans="6:19" hidden="1" x14ac:dyDescent="0.25">
      <c r="F8672" t="s">
        <v>875</v>
      </c>
      <c r="G8672" t="s">
        <v>448</v>
      </c>
      <c r="H8672" t="str">
        <f>VLOOKUP(record[[#This Row],[ProcessSN]],表格2_7[],2,FALSE)</f>
        <v>30-4118-018-6XX</v>
      </c>
      <c r="I8672" t="str">
        <f>VLOOKUP(record[[#This Row],[ProcessSN]],表格2_7[],3,FALSE)</f>
        <v>#04</v>
      </c>
      <c r="J8672" t="s">
        <v>588</v>
      </c>
      <c r="K8672" s="195">
        <v>45855.649155092593</v>
      </c>
      <c r="L8672">
        <v>126</v>
      </c>
      <c r="M8672">
        <v>0</v>
      </c>
      <c r="N8672" s="98" t="str">
        <f>IF(record[[#This Row],[Memo]]="Browser:chrome os:android","平板報工",IF(record[[#This Row],[Memo]]=0,"委外",record[[#This Row],[Memo]]))</f>
        <v/>
      </c>
      <c r="O8672" t="s">
        <v>58</v>
      </c>
      <c r="P8672" t="s">
        <v>119</v>
      </c>
      <c r="Q8672" t="s">
        <v>58</v>
      </c>
      <c r="R8672" t="str">
        <f>IFERROR(VLOOKUP(record[[#This Row],[PCUSTID]],廠商[],2,FALSE),"")</f>
        <v/>
      </c>
      <c r="S8672" t="str">
        <f>VLOOKUP(record[[#This Row],[employeeID]],員工[],2,FALSE)</f>
        <v>廖俊彥</v>
      </c>
    </row>
    <row r="8673" spans="6:19" hidden="1" x14ac:dyDescent="0.25">
      <c r="F8673" t="s">
        <v>897</v>
      </c>
      <c r="G8673" t="s">
        <v>414</v>
      </c>
      <c r="H8673" t="str">
        <f>VLOOKUP(record[[#This Row],[ProcessSN]],表格2_7[],2,FALSE)</f>
        <v>30-4118-018-5XX</v>
      </c>
      <c r="I8673" t="str">
        <f>VLOOKUP(record[[#This Row],[ProcessSN]],表格2_7[],3,FALSE)</f>
        <v>#03</v>
      </c>
      <c r="J8673" t="s">
        <v>588</v>
      </c>
      <c r="K8673" s="195">
        <v>45855.648217592592</v>
      </c>
      <c r="L8673">
        <v>46</v>
      </c>
      <c r="M8673">
        <v>5</v>
      </c>
      <c r="N8673" s="98" t="str">
        <f>IF(record[[#This Row],[Memo]]="Browser:chrome os:android","平板報工",IF(record[[#This Row],[Memo]]=0,"委外",record[[#This Row],[Memo]]))</f>
        <v/>
      </c>
      <c r="O8673" t="s">
        <v>58</v>
      </c>
      <c r="P8673" t="s">
        <v>119</v>
      </c>
      <c r="Q8673" t="s">
        <v>58</v>
      </c>
      <c r="R8673" t="str">
        <f>IFERROR(VLOOKUP(record[[#This Row],[PCUSTID]],廠商[],2,FALSE),"")</f>
        <v/>
      </c>
      <c r="S8673" t="str">
        <f>VLOOKUP(record[[#This Row],[employeeID]],員工[],2,FALSE)</f>
        <v>廖俊彥</v>
      </c>
    </row>
    <row r="8674" spans="6:19" hidden="1" x14ac:dyDescent="0.25">
      <c r="F8674" t="s">
        <v>902</v>
      </c>
      <c r="G8674" t="s">
        <v>373</v>
      </c>
      <c r="H8674" t="str">
        <f>VLOOKUP(record[[#This Row],[ProcessSN]],表格2_7[],2,FALSE)</f>
        <v>30-4118-018-4XX</v>
      </c>
      <c r="I8674" t="str">
        <f>VLOOKUP(record[[#This Row],[ProcessSN]],表格2_7[],3,FALSE)</f>
        <v>#03</v>
      </c>
      <c r="J8674" t="s">
        <v>588</v>
      </c>
      <c r="K8674" s="195">
        <v>45855.647974537038</v>
      </c>
      <c r="L8674">
        <v>285</v>
      </c>
      <c r="M8674">
        <v>0</v>
      </c>
      <c r="N8674" s="98" t="str">
        <f>IF(record[[#This Row],[Memo]]="Browser:chrome os:android","平板報工",IF(record[[#This Row],[Memo]]=0,"委外",record[[#This Row],[Memo]]))</f>
        <v/>
      </c>
      <c r="O8674" t="s">
        <v>58</v>
      </c>
      <c r="P8674" t="s">
        <v>119</v>
      </c>
      <c r="Q8674" t="s">
        <v>58</v>
      </c>
      <c r="R8674" t="str">
        <f>IFERROR(VLOOKUP(record[[#This Row],[PCUSTID]],廠商[],2,FALSE),"")</f>
        <v/>
      </c>
      <c r="S8674" t="str">
        <f>VLOOKUP(record[[#This Row],[employeeID]],員工[],2,FALSE)</f>
        <v>廖俊彥</v>
      </c>
    </row>
    <row r="8675" spans="6:19" hidden="1" x14ac:dyDescent="0.25">
      <c r="F8675" t="s">
        <v>907</v>
      </c>
      <c r="G8675" t="s">
        <v>397</v>
      </c>
      <c r="H8675" t="str">
        <f>VLOOKUP(record[[#This Row],[ProcessSN]],表格2_7[],2,FALSE)</f>
        <v>30-4118-018-550</v>
      </c>
      <c r="I8675" t="str">
        <f>VLOOKUP(record[[#This Row],[ProcessSN]],表格2_7[],3,FALSE)</f>
        <v>#08</v>
      </c>
      <c r="J8675" t="s">
        <v>597</v>
      </c>
      <c r="K8675" s="195">
        <v>45855.500914351855</v>
      </c>
      <c r="L8675">
        <v>180</v>
      </c>
      <c r="M8675">
        <v>0</v>
      </c>
      <c r="N8675" s="98" t="str">
        <f>IF(record[[#This Row],[Memo]]="Browser:chrome os:android","平板報工",IF(record[[#This Row],[Memo]]=0,"委外",record[[#This Row],[Memo]]))</f>
        <v/>
      </c>
      <c r="O8675" t="s">
        <v>58</v>
      </c>
      <c r="P8675" t="s">
        <v>186</v>
      </c>
      <c r="Q8675" t="s">
        <v>287</v>
      </c>
      <c r="R8675" t="str">
        <f>IFERROR(VLOOKUP(record[[#This Row],[PCUSTID]],廠商[],2,FALSE),"")</f>
        <v>泉盛</v>
      </c>
      <c r="S8675" t="str">
        <f>VLOOKUP(record[[#This Row],[employeeID]],員工[],2,FALSE)</f>
        <v>許文姍</v>
      </c>
    </row>
    <row r="8676" spans="6:19" hidden="1" x14ac:dyDescent="0.25">
      <c r="F8676" t="s">
        <v>877</v>
      </c>
      <c r="G8676" t="s">
        <v>420</v>
      </c>
      <c r="H8676" t="str">
        <f>VLOOKUP(record[[#This Row],[ProcessSN]],表格2_7[],2,FALSE)</f>
        <v>30-4118-018-5XX</v>
      </c>
      <c r="I8676" t="str">
        <f>VLOOKUP(record[[#This Row],[ProcessSN]],表格2_7[],3,FALSE)</f>
        <v>#07STOCK</v>
      </c>
      <c r="J8676" t="s">
        <v>592</v>
      </c>
      <c r="K8676" s="195">
        <v>45855.460324074076</v>
      </c>
      <c r="L8676">
        <v>180</v>
      </c>
      <c r="M8676">
        <v>0</v>
      </c>
      <c r="N8676" s="98" t="str">
        <f>IF(record[[#This Row],[Memo]]="Browser:chrome os:android","平板報工",IF(record[[#This Row],[Memo]]=0,"委外",record[[#This Row],[Memo]]))</f>
        <v/>
      </c>
      <c r="O8676" t="s">
        <v>58</v>
      </c>
      <c r="P8676" t="s">
        <v>113</v>
      </c>
      <c r="Q8676" t="s">
        <v>58</v>
      </c>
      <c r="R8676" t="str">
        <f>IFERROR(VLOOKUP(record[[#This Row],[PCUSTID]],廠商[],2,FALSE),"")</f>
        <v/>
      </c>
      <c r="S8676" t="str">
        <f>VLOOKUP(record[[#This Row],[employeeID]],員工[],2,FALSE)</f>
        <v>王奕蓁</v>
      </c>
    </row>
    <row r="8677" spans="6:19" hidden="1" x14ac:dyDescent="0.25">
      <c r="F8677" t="s">
        <v>877</v>
      </c>
      <c r="G8677" t="s">
        <v>419</v>
      </c>
      <c r="H8677" t="str">
        <f>VLOOKUP(record[[#This Row],[ProcessSN]],表格2_7[],2,FALSE)</f>
        <v>30-4118-018-5XX</v>
      </c>
      <c r="I8677" t="str">
        <f>VLOOKUP(record[[#This Row],[ProcessSN]],表格2_7[],3,FALSE)</f>
        <v>#07QC</v>
      </c>
      <c r="J8677" t="s">
        <v>589</v>
      </c>
      <c r="K8677" s="195">
        <v>45855.460173611114</v>
      </c>
      <c r="L8677">
        <v>2</v>
      </c>
      <c r="M8677">
        <v>0</v>
      </c>
      <c r="N8677" s="98" t="str">
        <f>IF(record[[#This Row],[Memo]]="Browser:chrome os:android","平板報工",IF(record[[#This Row],[Memo]]=0,"委外",record[[#This Row],[Memo]]))</f>
        <v/>
      </c>
      <c r="O8677" t="s">
        <v>58</v>
      </c>
      <c r="P8677" t="s">
        <v>113</v>
      </c>
      <c r="Q8677" t="s">
        <v>58</v>
      </c>
      <c r="R8677" t="str">
        <f>IFERROR(VLOOKUP(record[[#This Row],[PCUSTID]],廠商[],2,FALSE),"")</f>
        <v/>
      </c>
      <c r="S8677" t="str">
        <f>VLOOKUP(record[[#This Row],[employeeID]],員工[],2,FALSE)</f>
        <v>王奕蓁</v>
      </c>
    </row>
    <row r="8678" spans="6:19" hidden="1" x14ac:dyDescent="0.25">
      <c r="F8678" t="s">
        <v>907</v>
      </c>
      <c r="G8678" t="s">
        <v>396</v>
      </c>
      <c r="H8678" t="str">
        <f>VLOOKUP(record[[#This Row],[ProcessSN]],表格2_7[],2,FALSE)</f>
        <v>30-4118-018-550</v>
      </c>
      <c r="I8678" t="str">
        <f>VLOOKUP(record[[#This Row],[ProcessSN]],表格2_7[],3,FALSE)</f>
        <v>#08PICK</v>
      </c>
      <c r="J8678" t="s">
        <v>582</v>
      </c>
      <c r="K8678" s="195">
        <v>45855.458449074074</v>
      </c>
      <c r="L8678">
        <v>180</v>
      </c>
      <c r="M8678">
        <v>0</v>
      </c>
      <c r="N8678" s="98" t="str">
        <f>IF(record[[#This Row],[Memo]]="Browser:chrome os:android","平板報工",IF(record[[#This Row],[Memo]]=0,"委外",record[[#This Row],[Memo]]))</f>
        <v/>
      </c>
      <c r="O8678" t="s">
        <v>58</v>
      </c>
      <c r="P8678" t="s">
        <v>113</v>
      </c>
      <c r="Q8678" t="s">
        <v>58</v>
      </c>
      <c r="R8678" t="str">
        <f>IFERROR(VLOOKUP(record[[#This Row],[PCUSTID]],廠商[],2,FALSE),"")</f>
        <v/>
      </c>
      <c r="S8678" t="str">
        <f>VLOOKUP(record[[#This Row],[employeeID]],員工[],2,FALSE)</f>
        <v>王奕蓁</v>
      </c>
    </row>
    <row r="8679" spans="6:19" hidden="1" x14ac:dyDescent="0.25">
      <c r="F8679" t="s">
        <v>877</v>
      </c>
      <c r="G8679" t="s">
        <v>419</v>
      </c>
      <c r="H8679" t="str">
        <f>VLOOKUP(record[[#This Row],[ProcessSN]],表格2_7[],2,FALSE)</f>
        <v>30-4118-018-5XX</v>
      </c>
      <c r="I8679" t="str">
        <f>VLOOKUP(record[[#This Row],[ProcessSN]],表格2_7[],3,FALSE)</f>
        <v>#07QC</v>
      </c>
      <c r="J8679" t="s">
        <v>589</v>
      </c>
      <c r="K8679" s="195">
        <v>45855.457650462966</v>
      </c>
      <c r="L8679">
        <v>107</v>
      </c>
      <c r="M8679">
        <v>0</v>
      </c>
      <c r="N8679" s="98" t="str">
        <f>IF(record[[#This Row],[Memo]]="Browser:chrome os:android","平板報工",IF(record[[#This Row],[Memo]]=0,"委外",record[[#This Row],[Memo]]))</f>
        <v>平板報工</v>
      </c>
      <c r="O8679" t="s">
        <v>643</v>
      </c>
      <c r="P8679" t="s">
        <v>141</v>
      </c>
      <c r="Q8679" t="s">
        <v>644</v>
      </c>
      <c r="R8679" t="str">
        <f>IFERROR(VLOOKUP(record[[#This Row],[PCUSTID]],廠商[],2,FALSE),"")</f>
        <v/>
      </c>
      <c r="S8679" t="str">
        <f>VLOOKUP(record[[#This Row],[employeeID]],員工[],2,FALSE)</f>
        <v>蔣梅</v>
      </c>
    </row>
    <row r="8680" spans="6:19" hidden="1" x14ac:dyDescent="0.25">
      <c r="F8680" t="s">
        <v>875</v>
      </c>
      <c r="G8680" t="s">
        <v>448</v>
      </c>
      <c r="H8680" t="str">
        <f>VLOOKUP(record[[#This Row],[ProcessSN]],表格2_7[],2,FALSE)</f>
        <v>30-4118-018-6XX</v>
      </c>
      <c r="I8680" t="str">
        <f>VLOOKUP(record[[#This Row],[ProcessSN]],表格2_7[],3,FALSE)</f>
        <v>#04</v>
      </c>
      <c r="J8680" t="s">
        <v>588</v>
      </c>
      <c r="K8680" s="195">
        <v>45855.353275462963</v>
      </c>
      <c r="L8680">
        <v>44</v>
      </c>
      <c r="M8680">
        <v>19</v>
      </c>
      <c r="N8680" s="98" t="str">
        <f>IF(record[[#This Row],[Memo]]="Browser:chrome os:android","平板報工",IF(record[[#This Row],[Memo]]=0,"委外",record[[#This Row],[Memo]]))</f>
        <v xml:space="preserve">7/16 </v>
      </c>
      <c r="O8680" t="s">
        <v>906</v>
      </c>
      <c r="P8680" t="s">
        <v>119</v>
      </c>
      <c r="Q8680" t="s">
        <v>58</v>
      </c>
      <c r="R8680" t="str">
        <f>IFERROR(VLOOKUP(record[[#This Row],[PCUSTID]],廠商[],2,FALSE),"")</f>
        <v/>
      </c>
      <c r="S8680" t="str">
        <f>VLOOKUP(record[[#This Row],[employeeID]],員工[],2,FALSE)</f>
        <v>廖俊彥</v>
      </c>
    </row>
    <row r="8681" spans="6:19" hidden="1" x14ac:dyDescent="0.25">
      <c r="F8681" t="s">
        <v>875</v>
      </c>
      <c r="G8681" t="s">
        <v>448</v>
      </c>
      <c r="H8681" t="str">
        <f>VLOOKUP(record[[#This Row],[ProcessSN]],表格2_7[],2,FALSE)</f>
        <v>30-4118-018-6XX</v>
      </c>
      <c r="I8681" t="str">
        <f>VLOOKUP(record[[#This Row],[ProcessSN]],表格2_7[],3,FALSE)</f>
        <v>#04</v>
      </c>
      <c r="J8681" t="s">
        <v>588</v>
      </c>
      <c r="K8681" s="195">
        <v>45855.305810185186</v>
      </c>
      <c r="L8681">
        <v>130</v>
      </c>
      <c r="M8681">
        <v>0</v>
      </c>
      <c r="N8681" s="98" t="str">
        <f>IF(record[[#This Row],[Memo]]="Browser:chrome os:android","平板報工",IF(record[[#This Row],[Memo]]=0,"委外",record[[#This Row],[Memo]]))</f>
        <v/>
      </c>
      <c r="O8681" t="s">
        <v>58</v>
      </c>
      <c r="P8681" t="s">
        <v>135</v>
      </c>
      <c r="Q8681" t="s">
        <v>58</v>
      </c>
      <c r="R8681" t="str">
        <f>IFERROR(VLOOKUP(record[[#This Row],[PCUSTID]],廠商[],2,FALSE),"")</f>
        <v/>
      </c>
      <c r="S8681" t="str">
        <f>VLOOKUP(record[[#This Row],[employeeID]],員工[],2,FALSE)</f>
        <v>阮士文</v>
      </c>
    </row>
    <row r="8682" spans="6:19" hidden="1" x14ac:dyDescent="0.25">
      <c r="F8682" t="s">
        <v>875</v>
      </c>
      <c r="G8682" t="s">
        <v>448</v>
      </c>
      <c r="H8682" t="str">
        <f>VLOOKUP(record[[#This Row],[ProcessSN]],表格2_7[],2,FALSE)</f>
        <v>30-4118-018-6XX</v>
      </c>
      <c r="I8682" t="str">
        <f>VLOOKUP(record[[#This Row],[ProcessSN]],表格2_7[],3,FALSE)</f>
        <v>#04</v>
      </c>
      <c r="J8682" t="s">
        <v>588</v>
      </c>
      <c r="K8682" s="195">
        <v>45854.97351851852</v>
      </c>
      <c r="L8682">
        <v>125</v>
      </c>
      <c r="M8682">
        <v>0</v>
      </c>
      <c r="N8682" s="98" t="str">
        <f>IF(record[[#This Row],[Memo]]="Browser:chrome os:android","平板報工",IF(record[[#This Row],[Memo]]=0,"委外",record[[#This Row],[Memo]]))</f>
        <v/>
      </c>
      <c r="O8682" t="s">
        <v>58</v>
      </c>
      <c r="P8682" t="s">
        <v>763</v>
      </c>
      <c r="Q8682" t="s">
        <v>58</v>
      </c>
      <c r="R8682" t="str">
        <f>IFERROR(VLOOKUP(record[[#This Row],[PCUSTID]],廠商[],2,FALSE),"")</f>
        <v/>
      </c>
      <c r="S8682" t="str">
        <f>VLOOKUP(record[[#This Row],[employeeID]],員工[],2,FALSE)</f>
        <v>江嘉倫</v>
      </c>
    </row>
    <row r="8683" spans="6:19" hidden="1" x14ac:dyDescent="0.25">
      <c r="F8683" t="s">
        <v>877</v>
      </c>
      <c r="G8683" t="s">
        <v>415</v>
      </c>
      <c r="H8683" t="str">
        <f>VLOOKUP(record[[#This Row],[ProcessSN]],表格2_7[],2,FALSE)</f>
        <v>30-4118-018-5XX</v>
      </c>
      <c r="I8683" t="str">
        <f>VLOOKUP(record[[#This Row],[ProcessSN]],表格2_7[],3,FALSE)</f>
        <v>#04</v>
      </c>
      <c r="J8683" t="s">
        <v>588</v>
      </c>
      <c r="K8683" s="195">
        <v>45854.968391203707</v>
      </c>
      <c r="L8683">
        <v>121</v>
      </c>
      <c r="M8683">
        <v>0</v>
      </c>
      <c r="N8683" s="98" t="str">
        <f>IF(record[[#This Row],[Memo]]="Browser:chrome os:android","平板報工",IF(record[[#This Row],[Memo]]=0,"委外",record[[#This Row],[Memo]]))</f>
        <v>平板報工</v>
      </c>
      <c r="O8683" t="s">
        <v>643</v>
      </c>
      <c r="P8683" t="s">
        <v>133</v>
      </c>
      <c r="Q8683" t="s">
        <v>644</v>
      </c>
      <c r="R8683" t="str">
        <f>IFERROR(VLOOKUP(record[[#This Row],[PCUSTID]],廠商[],2,FALSE),"")</f>
        <v/>
      </c>
      <c r="S8683" t="str">
        <f>VLOOKUP(record[[#This Row],[employeeID]],員工[],2,FALSE)</f>
        <v>黎長維</v>
      </c>
    </row>
    <row r="8684" spans="6:19" hidden="1" x14ac:dyDescent="0.25">
      <c r="F8684" t="s">
        <v>902</v>
      </c>
      <c r="G8684" t="s">
        <v>373</v>
      </c>
      <c r="H8684" t="str">
        <f>VLOOKUP(record[[#This Row],[ProcessSN]],表格2_7[],2,FALSE)</f>
        <v>30-4118-018-4XX</v>
      </c>
      <c r="I8684" t="str">
        <f>VLOOKUP(record[[#This Row],[ProcessSN]],表格2_7[],3,FALSE)</f>
        <v>#03</v>
      </c>
      <c r="J8684" t="s">
        <v>588</v>
      </c>
      <c r="K8684" s="195">
        <v>45854.966249999998</v>
      </c>
      <c r="L8684">
        <v>615</v>
      </c>
      <c r="M8684">
        <v>0</v>
      </c>
      <c r="N8684" s="98" t="str">
        <f>IF(record[[#This Row],[Memo]]="Browser:chrome os:android","平板報工",IF(record[[#This Row],[Memo]]=0,"委外",record[[#This Row],[Memo]]))</f>
        <v>平板報工</v>
      </c>
      <c r="O8684" t="s">
        <v>643</v>
      </c>
      <c r="P8684" t="s">
        <v>806</v>
      </c>
      <c r="Q8684" t="s">
        <v>644</v>
      </c>
      <c r="R8684" t="str">
        <f>IFERROR(VLOOKUP(record[[#This Row],[PCUSTID]],廠商[],2,FALSE),"")</f>
        <v/>
      </c>
      <c r="S8684" t="str">
        <f>VLOOKUP(record[[#This Row],[employeeID]],員工[],2,FALSE)</f>
        <v>方思緯</v>
      </c>
    </row>
    <row r="8685" spans="6:19" hidden="1" x14ac:dyDescent="0.25">
      <c r="F8685" t="s">
        <v>895</v>
      </c>
      <c r="G8685" t="s">
        <v>401</v>
      </c>
      <c r="H8685" t="str">
        <f>VLOOKUP(record[[#This Row],[ProcessSN]],表格2_7[],2,FALSE)</f>
        <v>30-4118-018-550</v>
      </c>
      <c r="I8685" t="str">
        <f>VLOOKUP(record[[#This Row],[ProcessSN]],表格2_7[],3,FALSE)</f>
        <v>#100OQC</v>
      </c>
      <c r="J8685" t="s">
        <v>599</v>
      </c>
      <c r="K8685" s="195">
        <v>45854.763692129629</v>
      </c>
      <c r="L8685">
        <v>4</v>
      </c>
      <c r="M8685">
        <v>0</v>
      </c>
      <c r="N8685" s="98" t="str">
        <f>IF(record[[#This Row],[Memo]]="Browser:chrome os:android","平板報工",IF(record[[#This Row],[Memo]]=0,"委外",record[[#This Row],[Memo]]))</f>
        <v/>
      </c>
      <c r="O8685" t="s">
        <v>58</v>
      </c>
      <c r="P8685" t="s">
        <v>121</v>
      </c>
      <c r="Q8685" t="s">
        <v>58</v>
      </c>
      <c r="R8685" t="str">
        <f>IFERROR(VLOOKUP(record[[#This Row],[PCUSTID]],廠商[],2,FALSE),"")</f>
        <v/>
      </c>
      <c r="S8685" t="str">
        <f>VLOOKUP(record[[#This Row],[employeeID]],員工[],2,FALSE)</f>
        <v>謝素卿</v>
      </c>
    </row>
    <row r="8686" spans="6:19" hidden="1" x14ac:dyDescent="0.25">
      <c r="F8686" t="s">
        <v>720</v>
      </c>
      <c r="G8686" t="s">
        <v>426</v>
      </c>
      <c r="H8686" t="str">
        <f>VLOOKUP(record[[#This Row],[ProcessSN]],表格2_7[],2,FALSE)</f>
        <v>30-4118-018-600</v>
      </c>
      <c r="I8686" t="str">
        <f>VLOOKUP(record[[#This Row],[ProcessSN]],表格2_7[],3,FALSE)</f>
        <v>#100OQC</v>
      </c>
      <c r="J8686" t="s">
        <v>599</v>
      </c>
      <c r="K8686" s="195">
        <v>45854.763541666667</v>
      </c>
      <c r="L8686">
        <v>1</v>
      </c>
      <c r="M8686">
        <v>0</v>
      </c>
      <c r="N8686" s="98" t="str">
        <f>IF(record[[#This Row],[Memo]]="Browser:chrome os:android","平板報工",IF(record[[#This Row],[Memo]]=0,"委外",record[[#This Row],[Memo]]))</f>
        <v/>
      </c>
      <c r="O8686" t="s">
        <v>58</v>
      </c>
      <c r="P8686" t="s">
        <v>121</v>
      </c>
      <c r="Q8686" t="s">
        <v>58</v>
      </c>
      <c r="R8686" t="str">
        <f>IFERROR(VLOOKUP(record[[#This Row],[PCUSTID]],廠商[],2,FALSE),"")</f>
        <v/>
      </c>
      <c r="S8686" t="str">
        <f>VLOOKUP(record[[#This Row],[employeeID]],員工[],2,FALSE)</f>
        <v>謝素卿</v>
      </c>
    </row>
    <row r="8687" spans="6:19" hidden="1" x14ac:dyDescent="0.25">
      <c r="F8687" t="s">
        <v>895</v>
      </c>
      <c r="G8687" t="s">
        <v>400</v>
      </c>
      <c r="H8687" t="str">
        <f>VLOOKUP(record[[#This Row],[ProcessSN]],表格2_7[],2,FALSE)</f>
        <v>30-4118-018-550</v>
      </c>
      <c r="I8687" t="str">
        <f>VLOOKUP(record[[#This Row],[ProcessSN]],表格2_7[],3,FALSE)</f>
        <v>#100</v>
      </c>
      <c r="J8687" t="s">
        <v>598</v>
      </c>
      <c r="K8687" s="195">
        <v>45854.72625</v>
      </c>
      <c r="L8687">
        <v>0</v>
      </c>
      <c r="M8687">
        <v>19</v>
      </c>
      <c r="N8687" s="98" t="str">
        <f>IF(record[[#This Row],[Memo]]="Browser:chrome os:android","平板報工",IF(record[[#This Row],[Memo]]=0,"委外",record[[#This Row],[Memo]]))</f>
        <v/>
      </c>
      <c r="O8687" t="s">
        <v>58</v>
      </c>
      <c r="P8687" t="s">
        <v>141</v>
      </c>
      <c r="Q8687" t="s">
        <v>58</v>
      </c>
      <c r="R8687" t="str">
        <f>IFERROR(VLOOKUP(record[[#This Row],[PCUSTID]],廠商[],2,FALSE),"")</f>
        <v/>
      </c>
      <c r="S8687" t="str">
        <f>VLOOKUP(record[[#This Row],[employeeID]],員工[],2,FALSE)</f>
        <v>蔣梅</v>
      </c>
    </row>
    <row r="8688" spans="6:19" hidden="1" x14ac:dyDescent="0.25">
      <c r="F8688" t="s">
        <v>895</v>
      </c>
      <c r="G8688" t="s">
        <v>400</v>
      </c>
      <c r="H8688" t="str">
        <f>VLOOKUP(record[[#This Row],[ProcessSN]],表格2_7[],2,FALSE)</f>
        <v>30-4118-018-550</v>
      </c>
      <c r="I8688" t="str">
        <f>VLOOKUP(record[[#This Row],[ProcessSN]],表格2_7[],3,FALSE)</f>
        <v>#100</v>
      </c>
      <c r="J8688" t="s">
        <v>598</v>
      </c>
      <c r="K8688" s="195">
        <v>45854.726099537038</v>
      </c>
      <c r="L8688">
        <v>4</v>
      </c>
      <c r="M8688">
        <v>0</v>
      </c>
      <c r="N8688" s="98" t="str">
        <f>IF(record[[#This Row],[Memo]]="Browser:chrome os:android","平板報工",IF(record[[#This Row],[Memo]]=0,"委外",record[[#This Row],[Memo]]))</f>
        <v/>
      </c>
      <c r="O8688" t="s">
        <v>58</v>
      </c>
      <c r="P8688" t="s">
        <v>141</v>
      </c>
      <c r="Q8688" t="s">
        <v>58</v>
      </c>
      <c r="R8688" t="str">
        <f>IFERROR(VLOOKUP(record[[#This Row],[PCUSTID]],廠商[],2,FALSE),"")</f>
        <v/>
      </c>
      <c r="S8688" t="str">
        <f>VLOOKUP(record[[#This Row],[employeeID]],員工[],2,FALSE)</f>
        <v>蔣梅</v>
      </c>
    </row>
    <row r="8689" spans="6:19" hidden="1" x14ac:dyDescent="0.25">
      <c r="F8689" t="s">
        <v>720</v>
      </c>
      <c r="G8689" t="s">
        <v>425</v>
      </c>
      <c r="H8689" t="str">
        <f>VLOOKUP(record[[#This Row],[ProcessSN]],表格2_7[],2,FALSE)</f>
        <v>30-4118-018-600</v>
      </c>
      <c r="I8689" t="str">
        <f>VLOOKUP(record[[#This Row],[ProcessSN]],表格2_7[],3,FALSE)</f>
        <v>#100</v>
      </c>
      <c r="J8689" t="s">
        <v>598</v>
      </c>
      <c r="K8689" s="195">
        <v>45854.724791666667</v>
      </c>
      <c r="L8689">
        <v>1</v>
      </c>
      <c r="M8689">
        <v>0</v>
      </c>
      <c r="N8689" s="98" t="str">
        <f>IF(record[[#This Row],[Memo]]="Browser:chrome os:android","平板報工",IF(record[[#This Row],[Memo]]=0,"委外",record[[#This Row],[Memo]]))</f>
        <v/>
      </c>
      <c r="O8689" t="s">
        <v>58</v>
      </c>
      <c r="P8689" t="s">
        <v>141</v>
      </c>
      <c r="Q8689" t="s">
        <v>58</v>
      </c>
      <c r="R8689" t="str">
        <f>IFERROR(VLOOKUP(record[[#This Row],[PCUSTID]],廠商[],2,FALSE),"")</f>
        <v/>
      </c>
      <c r="S8689" t="str">
        <f>VLOOKUP(record[[#This Row],[employeeID]],員工[],2,FALSE)</f>
        <v>蔣梅</v>
      </c>
    </row>
    <row r="8690" spans="6:19" hidden="1" x14ac:dyDescent="0.25">
      <c r="F8690" t="s">
        <v>902</v>
      </c>
      <c r="G8690" t="s">
        <v>373</v>
      </c>
      <c r="H8690" t="str">
        <f>VLOOKUP(record[[#This Row],[ProcessSN]],表格2_7[],2,FALSE)</f>
        <v>30-4118-018-4XX</v>
      </c>
      <c r="I8690" t="str">
        <f>VLOOKUP(record[[#This Row],[ProcessSN]],表格2_7[],3,FALSE)</f>
        <v>#03</v>
      </c>
      <c r="J8690" t="s">
        <v>588</v>
      </c>
      <c r="K8690" s="195">
        <v>45854.661944444444</v>
      </c>
      <c r="L8690">
        <v>100</v>
      </c>
      <c r="M8690">
        <v>0</v>
      </c>
      <c r="N8690" s="98" t="str">
        <f>IF(record[[#This Row],[Memo]]="Browser:chrome os:android","平板報工",IF(record[[#This Row],[Memo]]=0,"委外",record[[#This Row],[Memo]]))</f>
        <v/>
      </c>
      <c r="O8690" t="s">
        <v>58</v>
      </c>
      <c r="P8690" t="s">
        <v>119</v>
      </c>
      <c r="Q8690" t="s">
        <v>58</v>
      </c>
      <c r="R8690" t="str">
        <f>IFERROR(VLOOKUP(record[[#This Row],[PCUSTID]],廠商[],2,FALSE),"")</f>
        <v/>
      </c>
      <c r="S8690" t="str">
        <f>VLOOKUP(record[[#This Row],[employeeID]],員工[],2,FALSE)</f>
        <v>廖俊彥</v>
      </c>
    </row>
    <row r="8691" spans="6:19" hidden="1" x14ac:dyDescent="0.25">
      <c r="F8691" t="s">
        <v>900</v>
      </c>
      <c r="G8691" t="s">
        <v>447</v>
      </c>
      <c r="H8691" t="str">
        <f>VLOOKUP(record[[#This Row],[ProcessSN]],表格2_7[],2,FALSE)</f>
        <v>30-4118-018-6XX</v>
      </c>
      <c r="I8691" t="str">
        <f>VLOOKUP(record[[#This Row],[ProcessSN]],表格2_7[],3,FALSE)</f>
        <v>#03</v>
      </c>
      <c r="J8691" t="s">
        <v>588</v>
      </c>
      <c r="K8691" s="195">
        <v>45854.661006944443</v>
      </c>
      <c r="L8691">
        <v>496</v>
      </c>
      <c r="M8691">
        <v>0</v>
      </c>
      <c r="N8691" s="98" t="str">
        <f>IF(record[[#This Row],[Memo]]="Browser:chrome os:android","平板報工",IF(record[[#This Row],[Memo]]=0,"委外",record[[#This Row],[Memo]]))</f>
        <v/>
      </c>
      <c r="O8691" t="s">
        <v>58</v>
      </c>
      <c r="P8691" t="s">
        <v>119</v>
      </c>
      <c r="Q8691" t="s">
        <v>58</v>
      </c>
      <c r="R8691" t="str">
        <f>IFERROR(VLOOKUP(record[[#This Row],[PCUSTID]],廠商[],2,FALSE),"")</f>
        <v/>
      </c>
      <c r="S8691" t="str">
        <f>VLOOKUP(record[[#This Row],[employeeID]],員工[],2,FALSE)</f>
        <v>廖俊彥</v>
      </c>
    </row>
    <row r="8692" spans="6:19" hidden="1" x14ac:dyDescent="0.25">
      <c r="F8692" t="s">
        <v>877</v>
      </c>
      <c r="G8692" t="s">
        <v>417</v>
      </c>
      <c r="H8692" t="str">
        <f>VLOOKUP(record[[#This Row],[ProcessSN]],表格2_7[],2,FALSE)</f>
        <v>30-4118-018-5XX</v>
      </c>
      <c r="I8692" t="str">
        <f>VLOOKUP(record[[#This Row],[ProcessSN]],表格2_7[],3,FALSE)</f>
        <v>#06</v>
      </c>
      <c r="J8692" t="s">
        <v>593</v>
      </c>
      <c r="K8692" s="195">
        <v>45854.659837962965</v>
      </c>
      <c r="L8692">
        <v>92</v>
      </c>
      <c r="M8692">
        <v>6</v>
      </c>
      <c r="N8692" s="98" t="str">
        <f>IF(record[[#This Row],[Memo]]="Browser:chrome os:android","平板報工",IF(record[[#This Row],[Memo]]=0,"委外",record[[#This Row],[Memo]]))</f>
        <v/>
      </c>
      <c r="O8692" t="s">
        <v>58</v>
      </c>
      <c r="P8692" t="s">
        <v>119</v>
      </c>
      <c r="Q8692" t="s">
        <v>58</v>
      </c>
      <c r="R8692" t="str">
        <f>IFERROR(VLOOKUP(record[[#This Row],[PCUSTID]],廠商[],2,FALSE),"")</f>
        <v/>
      </c>
      <c r="S8692" t="str">
        <f>VLOOKUP(record[[#This Row],[employeeID]],員工[],2,FALSE)</f>
        <v>廖俊彥</v>
      </c>
    </row>
    <row r="8693" spans="6:19" hidden="1" x14ac:dyDescent="0.25">
      <c r="F8693" t="s">
        <v>877</v>
      </c>
      <c r="G8693" t="s">
        <v>416</v>
      </c>
      <c r="H8693" t="str">
        <f>VLOOKUP(record[[#This Row],[ProcessSN]],表格2_7[],2,FALSE)</f>
        <v>30-4118-018-5XX</v>
      </c>
      <c r="I8693" t="str">
        <f>VLOOKUP(record[[#This Row],[ProcessSN]],表格2_7[],3,FALSE)</f>
        <v>#05</v>
      </c>
      <c r="J8693" t="s">
        <v>588</v>
      </c>
      <c r="K8693" s="195">
        <v>45854.659675925926</v>
      </c>
      <c r="L8693">
        <v>121</v>
      </c>
      <c r="M8693">
        <v>0</v>
      </c>
      <c r="N8693" s="98" t="str">
        <f>IF(record[[#This Row],[Memo]]="Browser:chrome os:android","平板報工",IF(record[[#This Row],[Memo]]=0,"委外",record[[#This Row],[Memo]]))</f>
        <v/>
      </c>
      <c r="O8693" t="s">
        <v>58</v>
      </c>
      <c r="P8693" t="s">
        <v>119</v>
      </c>
      <c r="Q8693" t="s">
        <v>58</v>
      </c>
      <c r="R8693" t="str">
        <f>IFERROR(VLOOKUP(record[[#This Row],[PCUSTID]],廠商[],2,FALSE),"")</f>
        <v/>
      </c>
      <c r="S8693" t="str">
        <f>VLOOKUP(record[[#This Row],[employeeID]],員工[],2,FALSE)</f>
        <v>廖俊彥</v>
      </c>
    </row>
    <row r="8694" spans="6:19" hidden="1" x14ac:dyDescent="0.25">
      <c r="F8694" t="s">
        <v>877</v>
      </c>
      <c r="G8694" t="s">
        <v>415</v>
      </c>
      <c r="H8694" t="str">
        <f>VLOOKUP(record[[#This Row],[ProcessSN]],表格2_7[],2,FALSE)</f>
        <v>30-4118-018-5XX</v>
      </c>
      <c r="I8694" t="str">
        <f>VLOOKUP(record[[#This Row],[ProcessSN]],表格2_7[],3,FALSE)</f>
        <v>#04</v>
      </c>
      <c r="J8694" t="s">
        <v>588</v>
      </c>
      <c r="K8694" s="195">
        <v>45854.659490740742</v>
      </c>
      <c r="L8694">
        <v>121</v>
      </c>
      <c r="M8694">
        <v>0</v>
      </c>
      <c r="N8694" s="98" t="str">
        <f>IF(record[[#This Row],[Memo]]="Browser:chrome os:android","平板報工",IF(record[[#This Row],[Memo]]=0,"委外",record[[#This Row],[Memo]]))</f>
        <v/>
      </c>
      <c r="O8694" t="s">
        <v>58</v>
      </c>
      <c r="P8694" t="s">
        <v>119</v>
      </c>
      <c r="Q8694" t="s">
        <v>58</v>
      </c>
      <c r="R8694" t="str">
        <f>IFERROR(VLOOKUP(record[[#This Row],[PCUSTID]],廠商[],2,FALSE),"")</f>
        <v/>
      </c>
      <c r="S8694" t="str">
        <f>VLOOKUP(record[[#This Row],[employeeID]],員工[],2,FALSE)</f>
        <v>廖俊彥</v>
      </c>
    </row>
    <row r="8695" spans="6:19" hidden="1" x14ac:dyDescent="0.25">
      <c r="F8695" t="s">
        <v>895</v>
      </c>
      <c r="G8695" t="s">
        <v>402</v>
      </c>
      <c r="H8695" t="str">
        <f>VLOOKUP(record[[#This Row],[ProcessSN]],表格2_7[],2,FALSE)</f>
        <v>30-4118-018-550</v>
      </c>
      <c r="I8695" t="str">
        <f>VLOOKUP(record[[#This Row],[ProcessSN]],表格2_7[],3,FALSE)</f>
        <v>#100STOCK</v>
      </c>
      <c r="J8695" t="s">
        <v>592</v>
      </c>
      <c r="K8695" s="195">
        <v>45854.582037037035</v>
      </c>
      <c r="L8695">
        <v>41</v>
      </c>
      <c r="M8695">
        <v>0</v>
      </c>
      <c r="N8695" s="98" t="str">
        <f>IF(record[[#This Row],[Memo]]="Browser:chrome os:android","平板報工",IF(record[[#This Row],[Memo]]=0,"委外",record[[#This Row],[Memo]]))</f>
        <v/>
      </c>
      <c r="O8695" t="s">
        <v>58</v>
      </c>
      <c r="P8695" t="s">
        <v>886</v>
      </c>
      <c r="Q8695" t="s">
        <v>58</v>
      </c>
      <c r="R8695" t="str">
        <f>IFERROR(VLOOKUP(record[[#This Row],[PCUSTID]],廠商[],2,FALSE),"")</f>
        <v/>
      </c>
      <c r="S8695" t="str">
        <f>VLOOKUP(record[[#This Row],[employeeID]],員工[],2,FALSE)</f>
        <v>謝蓁薰</v>
      </c>
    </row>
    <row r="8696" spans="6:19" hidden="1" x14ac:dyDescent="0.25">
      <c r="F8696" t="s">
        <v>895</v>
      </c>
      <c r="G8696" t="s">
        <v>403</v>
      </c>
      <c r="H8696" t="str">
        <f>VLOOKUP(record[[#This Row],[ProcessSN]],表格2_7[],2,FALSE)</f>
        <v>30-4118-018-550</v>
      </c>
      <c r="I8696" t="str">
        <f>VLOOKUP(record[[#This Row],[ProcessSN]],表格2_7[],3,FALSE)</f>
        <v>#100SHIP</v>
      </c>
      <c r="J8696" t="s">
        <v>600</v>
      </c>
      <c r="K8696" s="195">
        <v>45854.480636574073</v>
      </c>
      <c r="L8696">
        <v>16</v>
      </c>
      <c r="M8696">
        <v>0</v>
      </c>
      <c r="N8696" s="98" t="str">
        <f>IF(record[[#This Row],[Memo]]="Browser:chrome os:android","平板報工",IF(record[[#This Row],[Memo]]=0,"委外",record[[#This Row],[Memo]]))</f>
        <v/>
      </c>
      <c r="O8696" t="s">
        <v>58</v>
      </c>
      <c r="P8696" t="s">
        <v>886</v>
      </c>
      <c r="Q8696" t="s">
        <v>58</v>
      </c>
      <c r="R8696" t="str">
        <f>IFERROR(VLOOKUP(record[[#This Row],[PCUSTID]],廠商[],2,FALSE),"")</f>
        <v/>
      </c>
      <c r="S8696" t="str">
        <f>VLOOKUP(record[[#This Row],[employeeID]],員工[],2,FALSE)</f>
        <v>謝蓁薰</v>
      </c>
    </row>
    <row r="8697" spans="6:19" hidden="1" x14ac:dyDescent="0.25">
      <c r="F8697" t="s">
        <v>895</v>
      </c>
      <c r="G8697" t="s">
        <v>402</v>
      </c>
      <c r="H8697" t="str">
        <f>VLOOKUP(record[[#This Row],[ProcessSN]],表格2_7[],2,FALSE)</f>
        <v>30-4118-018-550</v>
      </c>
      <c r="I8697" t="str">
        <f>VLOOKUP(record[[#This Row],[ProcessSN]],表格2_7[],3,FALSE)</f>
        <v>#100STOCK</v>
      </c>
      <c r="J8697" t="s">
        <v>592</v>
      </c>
      <c r="K8697" s="195">
        <v>45854.480497685188</v>
      </c>
      <c r="L8697">
        <v>16</v>
      </c>
      <c r="M8697">
        <v>0</v>
      </c>
      <c r="N8697" s="98" t="str">
        <f>IF(record[[#This Row],[Memo]]="Browser:chrome os:android","平板報工",IF(record[[#This Row],[Memo]]=0,"委外",record[[#This Row],[Memo]]))</f>
        <v/>
      </c>
      <c r="O8697" t="s">
        <v>58</v>
      </c>
      <c r="P8697" t="s">
        <v>886</v>
      </c>
      <c r="Q8697" t="s">
        <v>58</v>
      </c>
      <c r="R8697" t="str">
        <f>IFERROR(VLOOKUP(record[[#This Row],[PCUSTID]],廠商[],2,FALSE),"")</f>
        <v/>
      </c>
      <c r="S8697" t="str">
        <f>VLOOKUP(record[[#This Row],[employeeID]],員工[],2,FALSE)</f>
        <v>謝蓁薰</v>
      </c>
    </row>
    <row r="8698" spans="6:19" hidden="1" x14ac:dyDescent="0.25">
      <c r="F8698" t="s">
        <v>680</v>
      </c>
      <c r="G8698" t="s">
        <v>362</v>
      </c>
      <c r="H8698" t="str">
        <f>VLOOKUP(record[[#This Row],[ProcessSN]],表格2_7[],2,FALSE)</f>
        <v>30-4118-018-450</v>
      </c>
      <c r="I8698" t="str">
        <f>VLOOKUP(record[[#This Row],[ProcessSN]],表格2_7[],3,FALSE)</f>
        <v>#100SHIP</v>
      </c>
      <c r="J8698" t="s">
        <v>600</v>
      </c>
      <c r="K8698" s="195">
        <v>45854.480266203704</v>
      </c>
      <c r="L8698">
        <v>168</v>
      </c>
      <c r="M8698">
        <v>0</v>
      </c>
      <c r="N8698" s="98" t="str">
        <f>IF(record[[#This Row],[Memo]]="Browser:chrome os:android","平板報工",IF(record[[#This Row],[Memo]]=0,"委外",record[[#This Row],[Memo]]))</f>
        <v/>
      </c>
      <c r="O8698" t="s">
        <v>58</v>
      </c>
      <c r="P8698" t="s">
        <v>886</v>
      </c>
      <c r="Q8698" t="s">
        <v>58</v>
      </c>
      <c r="R8698" t="str">
        <f>IFERROR(VLOOKUP(record[[#This Row],[PCUSTID]],廠商[],2,FALSE),"")</f>
        <v/>
      </c>
      <c r="S8698" t="str">
        <f>VLOOKUP(record[[#This Row],[employeeID]],員工[],2,FALSE)</f>
        <v>謝蓁薰</v>
      </c>
    </row>
    <row r="8699" spans="6:19" hidden="1" x14ac:dyDescent="0.25">
      <c r="F8699" t="s">
        <v>895</v>
      </c>
      <c r="G8699" t="s">
        <v>401</v>
      </c>
      <c r="H8699" t="str">
        <f>VLOOKUP(record[[#This Row],[ProcessSN]],表格2_7[],2,FALSE)</f>
        <v>30-4118-018-550</v>
      </c>
      <c r="I8699" t="str">
        <f>VLOOKUP(record[[#This Row],[ProcessSN]],表格2_7[],3,FALSE)</f>
        <v>#100OQC</v>
      </c>
      <c r="J8699" t="s">
        <v>599</v>
      </c>
      <c r="K8699" s="195">
        <v>45854.32303240741</v>
      </c>
      <c r="L8699">
        <v>57</v>
      </c>
      <c r="M8699">
        <v>0</v>
      </c>
      <c r="N8699" s="98" t="str">
        <f>IF(record[[#This Row],[Memo]]="Browser:chrome os:android","平板報工",IF(record[[#This Row],[Memo]]=0,"委外",record[[#This Row],[Memo]]))</f>
        <v/>
      </c>
      <c r="O8699" t="s">
        <v>58</v>
      </c>
      <c r="P8699" t="s">
        <v>121</v>
      </c>
      <c r="Q8699" t="s">
        <v>58</v>
      </c>
      <c r="R8699" t="str">
        <f>IFERROR(VLOOKUP(record[[#This Row],[PCUSTID]],廠商[],2,FALSE),"")</f>
        <v/>
      </c>
      <c r="S8699" t="str">
        <f>VLOOKUP(record[[#This Row],[employeeID]],員工[],2,FALSE)</f>
        <v>謝素卿</v>
      </c>
    </row>
    <row r="8700" spans="6:19" hidden="1" x14ac:dyDescent="0.25">
      <c r="F8700" t="s">
        <v>877</v>
      </c>
      <c r="G8700" t="s">
        <v>417</v>
      </c>
      <c r="H8700" t="str">
        <f>VLOOKUP(record[[#This Row],[ProcessSN]],表格2_7[],2,FALSE)</f>
        <v>30-4118-018-5XX</v>
      </c>
      <c r="I8700" t="str">
        <f>VLOOKUP(record[[#This Row],[ProcessSN]],表格2_7[],3,FALSE)</f>
        <v>#06</v>
      </c>
      <c r="J8700" t="s">
        <v>593</v>
      </c>
      <c r="K8700" s="195">
        <v>45854.142523148148</v>
      </c>
      <c r="L8700">
        <v>61</v>
      </c>
      <c r="M8700">
        <v>0</v>
      </c>
      <c r="N8700" s="98" t="str">
        <f>IF(record[[#This Row],[Memo]]="Browser:chrome os:android","平板報工",IF(record[[#This Row],[Memo]]=0,"委外",record[[#This Row],[Memo]]))</f>
        <v/>
      </c>
      <c r="O8700" t="s">
        <v>58</v>
      </c>
      <c r="P8700" t="s">
        <v>841</v>
      </c>
      <c r="Q8700" t="s">
        <v>58</v>
      </c>
      <c r="R8700" t="str">
        <f>IFERROR(VLOOKUP(record[[#This Row],[PCUSTID]],廠商[],2,FALSE),"")</f>
        <v/>
      </c>
      <c r="S8700" t="str">
        <f>VLOOKUP(record[[#This Row],[employeeID]],員工[],2,FALSE)</f>
        <v>范氏香</v>
      </c>
    </row>
    <row r="8701" spans="6:19" hidden="1" x14ac:dyDescent="0.25">
      <c r="F8701" t="s">
        <v>877</v>
      </c>
      <c r="G8701" t="s">
        <v>416</v>
      </c>
      <c r="H8701" t="str">
        <f>VLOOKUP(record[[#This Row],[ProcessSN]],表格2_7[],2,FALSE)</f>
        <v>30-4118-018-5XX</v>
      </c>
      <c r="I8701" t="str">
        <f>VLOOKUP(record[[#This Row],[ProcessSN]],表格2_7[],3,FALSE)</f>
        <v>#05</v>
      </c>
      <c r="J8701" t="s">
        <v>588</v>
      </c>
      <c r="K8701" s="195">
        <v>45854.123842592591</v>
      </c>
      <c r="L8701">
        <v>61</v>
      </c>
      <c r="M8701">
        <v>0</v>
      </c>
      <c r="N8701" s="98" t="str">
        <f>IF(record[[#This Row],[Memo]]="Browser:chrome os:android","平板報工",IF(record[[#This Row],[Memo]]=0,"委外",record[[#This Row],[Memo]]))</f>
        <v/>
      </c>
      <c r="O8701" t="s">
        <v>58</v>
      </c>
      <c r="P8701" t="s">
        <v>133</v>
      </c>
      <c r="Q8701" t="s">
        <v>58</v>
      </c>
      <c r="R8701" t="str">
        <f>IFERROR(VLOOKUP(record[[#This Row],[PCUSTID]],廠商[],2,FALSE),"")</f>
        <v/>
      </c>
      <c r="S8701" t="str">
        <f>VLOOKUP(record[[#This Row],[employeeID]],員工[],2,FALSE)</f>
        <v>黎長維</v>
      </c>
    </row>
    <row r="8702" spans="6:19" hidden="1" x14ac:dyDescent="0.25">
      <c r="F8702" t="s">
        <v>877</v>
      </c>
      <c r="G8702" t="s">
        <v>415</v>
      </c>
      <c r="H8702" t="str">
        <f>VLOOKUP(record[[#This Row],[ProcessSN]],表格2_7[],2,FALSE)</f>
        <v>30-4118-018-5XX</v>
      </c>
      <c r="I8702" t="str">
        <f>VLOOKUP(record[[#This Row],[ProcessSN]],表格2_7[],3,FALSE)</f>
        <v>#04</v>
      </c>
      <c r="J8702" t="s">
        <v>588</v>
      </c>
      <c r="K8702" s="195">
        <v>45854.123310185183</v>
      </c>
      <c r="L8702">
        <v>61</v>
      </c>
      <c r="M8702">
        <v>0</v>
      </c>
      <c r="N8702" s="98" t="str">
        <f>IF(record[[#This Row],[Memo]]="Browser:chrome os:android","平板報工",IF(record[[#This Row],[Memo]]=0,"委外",record[[#This Row],[Memo]]))</f>
        <v/>
      </c>
      <c r="O8702" t="s">
        <v>58</v>
      </c>
      <c r="P8702" t="s">
        <v>133</v>
      </c>
      <c r="Q8702" t="s">
        <v>58</v>
      </c>
      <c r="R8702" t="str">
        <f>IFERROR(VLOOKUP(record[[#This Row],[PCUSTID]],廠商[],2,FALSE),"")</f>
        <v/>
      </c>
      <c r="S8702" t="str">
        <f>VLOOKUP(record[[#This Row],[employeeID]],員工[],2,FALSE)</f>
        <v>黎長維</v>
      </c>
    </row>
    <row r="8703" spans="6:19" hidden="1" x14ac:dyDescent="0.25">
      <c r="F8703" t="s">
        <v>877</v>
      </c>
      <c r="G8703" t="s">
        <v>417</v>
      </c>
      <c r="H8703" t="str">
        <f>VLOOKUP(record[[#This Row],[ProcessSN]],表格2_7[],2,FALSE)</f>
        <v>30-4118-018-5XX</v>
      </c>
      <c r="I8703" t="str">
        <f>VLOOKUP(record[[#This Row],[ProcessSN]],表格2_7[],3,FALSE)</f>
        <v>#06</v>
      </c>
      <c r="J8703" t="s">
        <v>593</v>
      </c>
      <c r="K8703" s="195">
        <v>45853.966493055559</v>
      </c>
      <c r="L8703">
        <v>117</v>
      </c>
      <c r="M8703">
        <v>3</v>
      </c>
      <c r="N8703" s="98" t="str">
        <f>IF(record[[#This Row],[Memo]]="Browser:chrome os:android","平板報工",IF(record[[#This Row],[Memo]]=0,"委外",record[[#This Row],[Memo]]))</f>
        <v/>
      </c>
      <c r="O8703" t="s">
        <v>58</v>
      </c>
      <c r="P8703" t="s">
        <v>180</v>
      </c>
      <c r="Q8703" t="s">
        <v>58</v>
      </c>
      <c r="R8703" t="str">
        <f>IFERROR(VLOOKUP(record[[#This Row],[PCUSTID]],廠商[],2,FALSE),"")</f>
        <v/>
      </c>
      <c r="S8703" t="str">
        <f>VLOOKUP(record[[#This Row],[employeeID]],員工[],2,FALSE)</f>
        <v>黎功江</v>
      </c>
    </row>
    <row r="8704" spans="6:19" hidden="1" x14ac:dyDescent="0.25">
      <c r="F8704" t="s">
        <v>877</v>
      </c>
      <c r="G8704" t="s">
        <v>416</v>
      </c>
      <c r="H8704" t="str">
        <f>VLOOKUP(record[[#This Row],[ProcessSN]],表格2_7[],2,FALSE)</f>
        <v>30-4118-018-5XX</v>
      </c>
      <c r="I8704" t="str">
        <f>VLOOKUP(record[[#This Row],[ProcessSN]],表格2_7[],3,FALSE)</f>
        <v>#05</v>
      </c>
      <c r="J8704" t="s">
        <v>588</v>
      </c>
      <c r="K8704" s="195">
        <v>45853.966006944444</v>
      </c>
      <c r="L8704">
        <v>121</v>
      </c>
      <c r="M8704">
        <v>0</v>
      </c>
      <c r="N8704" s="98" t="str">
        <f>IF(record[[#This Row],[Memo]]="Browser:chrome os:android","平板報工",IF(record[[#This Row],[Memo]]=0,"委外",record[[#This Row],[Memo]]))</f>
        <v/>
      </c>
      <c r="O8704" t="s">
        <v>58</v>
      </c>
      <c r="P8704" t="s">
        <v>806</v>
      </c>
      <c r="Q8704" t="s">
        <v>58</v>
      </c>
      <c r="R8704" t="str">
        <f>IFERROR(VLOOKUP(record[[#This Row],[PCUSTID]],廠商[],2,FALSE),"")</f>
        <v/>
      </c>
      <c r="S8704" t="str">
        <f>VLOOKUP(record[[#This Row],[employeeID]],員工[],2,FALSE)</f>
        <v>方思緯</v>
      </c>
    </row>
    <row r="8705" spans="6:19" hidden="1" x14ac:dyDescent="0.25">
      <c r="F8705" t="s">
        <v>900</v>
      </c>
      <c r="G8705" t="s">
        <v>447</v>
      </c>
      <c r="H8705" t="str">
        <f>VLOOKUP(record[[#This Row],[ProcessSN]],表格2_7[],2,FALSE)</f>
        <v>30-4118-018-6XX</v>
      </c>
      <c r="I8705" t="str">
        <f>VLOOKUP(record[[#This Row],[ProcessSN]],表格2_7[],3,FALSE)</f>
        <v>#03</v>
      </c>
      <c r="J8705" t="s">
        <v>588</v>
      </c>
      <c r="K8705" s="195">
        <v>45853.965115740742</v>
      </c>
      <c r="L8705">
        <v>504</v>
      </c>
      <c r="M8705">
        <v>0</v>
      </c>
      <c r="N8705" s="98" t="str">
        <f>IF(record[[#This Row],[Memo]]="Browser:chrome os:android","平板報工",IF(record[[#This Row],[Memo]]=0,"委外",record[[#This Row],[Memo]]))</f>
        <v/>
      </c>
      <c r="O8705" t="s">
        <v>58</v>
      </c>
      <c r="P8705" t="s">
        <v>806</v>
      </c>
      <c r="Q8705" t="s">
        <v>58</v>
      </c>
      <c r="R8705" t="str">
        <f>IFERROR(VLOOKUP(record[[#This Row],[PCUSTID]],廠商[],2,FALSE),"")</f>
        <v/>
      </c>
      <c r="S8705" t="str">
        <f>VLOOKUP(record[[#This Row],[employeeID]],員工[],2,FALSE)</f>
        <v>方思緯</v>
      </c>
    </row>
    <row r="8706" spans="6:19" hidden="1" x14ac:dyDescent="0.25">
      <c r="F8706" t="s">
        <v>877</v>
      </c>
      <c r="G8706" t="s">
        <v>415</v>
      </c>
      <c r="H8706" t="str">
        <f>VLOOKUP(record[[#This Row],[ProcessSN]],表格2_7[],2,FALSE)</f>
        <v>30-4118-018-5XX</v>
      </c>
      <c r="I8706" t="str">
        <f>VLOOKUP(record[[#This Row],[ProcessSN]],表格2_7[],3,FALSE)</f>
        <v>#04</v>
      </c>
      <c r="J8706" t="s">
        <v>588</v>
      </c>
      <c r="K8706" s="195">
        <v>45853.964768518519</v>
      </c>
      <c r="L8706">
        <v>0</v>
      </c>
      <c r="M8706">
        <v>1</v>
      </c>
      <c r="N8706" s="98" t="str">
        <f>IF(record[[#This Row],[Memo]]="Browser:chrome os:android","平板報工",IF(record[[#This Row],[Memo]]=0,"委外",record[[#This Row],[Memo]]))</f>
        <v/>
      </c>
      <c r="O8706" t="s">
        <v>58</v>
      </c>
      <c r="P8706" t="s">
        <v>806</v>
      </c>
      <c r="Q8706" t="s">
        <v>58</v>
      </c>
      <c r="R8706" t="str">
        <f>IFERROR(VLOOKUP(record[[#This Row],[PCUSTID]],廠商[],2,FALSE),"")</f>
        <v/>
      </c>
      <c r="S8706" t="str">
        <f>VLOOKUP(record[[#This Row],[employeeID]],員工[],2,FALSE)</f>
        <v>方思緯</v>
      </c>
    </row>
    <row r="8707" spans="6:19" hidden="1" x14ac:dyDescent="0.25">
      <c r="F8707" t="s">
        <v>877</v>
      </c>
      <c r="G8707" t="s">
        <v>415</v>
      </c>
      <c r="H8707" t="str">
        <f>VLOOKUP(record[[#This Row],[ProcessSN]],表格2_7[],2,FALSE)</f>
        <v>30-4118-018-5XX</v>
      </c>
      <c r="I8707" t="str">
        <f>VLOOKUP(record[[#This Row],[ProcessSN]],表格2_7[],3,FALSE)</f>
        <v>#04</v>
      </c>
      <c r="J8707" t="s">
        <v>588</v>
      </c>
      <c r="K8707" s="195">
        <v>45853.964386574073</v>
      </c>
      <c r="L8707">
        <v>121</v>
      </c>
      <c r="M8707">
        <v>0</v>
      </c>
      <c r="N8707" s="98" t="str">
        <f>IF(record[[#This Row],[Memo]]="Browser:chrome os:android","平板報工",IF(record[[#This Row],[Memo]]=0,"委外",record[[#This Row],[Memo]]))</f>
        <v/>
      </c>
      <c r="O8707" t="s">
        <v>58</v>
      </c>
      <c r="P8707" t="s">
        <v>806</v>
      </c>
      <c r="Q8707" t="s">
        <v>58</v>
      </c>
      <c r="R8707" t="str">
        <f>IFERROR(VLOOKUP(record[[#This Row],[PCUSTID]],廠商[],2,FALSE),"")</f>
        <v/>
      </c>
      <c r="S8707" t="str">
        <f>VLOOKUP(record[[#This Row],[employeeID]],員工[],2,FALSE)</f>
        <v>方思緯</v>
      </c>
    </row>
    <row r="8708" spans="6:19" hidden="1" x14ac:dyDescent="0.25">
      <c r="F8708" t="s">
        <v>893</v>
      </c>
      <c r="G8708" t="s">
        <v>424</v>
      </c>
      <c r="H8708" t="str">
        <f>VLOOKUP(record[[#This Row],[ProcessSN]],表格2_7[],2,FALSE)</f>
        <v>30-4118-018-600</v>
      </c>
      <c r="I8708" t="str">
        <f>VLOOKUP(record[[#This Row],[ProcessSN]],表格2_7[],3,FALSE)</f>
        <v>#08IQC</v>
      </c>
      <c r="J8708" t="s">
        <v>583</v>
      </c>
      <c r="K8708" s="195">
        <v>45853.79954861111</v>
      </c>
      <c r="L8708">
        <v>133</v>
      </c>
      <c r="M8708">
        <v>0</v>
      </c>
      <c r="N8708" s="98" t="str">
        <f>IF(record[[#This Row],[Memo]]="Browser:chrome os:android","平板報工",IF(record[[#This Row],[Memo]]=0,"委外",record[[#This Row],[Memo]]))</f>
        <v/>
      </c>
      <c r="O8708" t="s">
        <v>58</v>
      </c>
      <c r="P8708" t="s">
        <v>109</v>
      </c>
      <c r="Q8708" t="s">
        <v>58</v>
      </c>
      <c r="R8708" t="str">
        <f>IFERROR(VLOOKUP(record[[#This Row],[PCUSTID]],廠商[],2,FALSE),"")</f>
        <v/>
      </c>
      <c r="S8708" t="str">
        <f>VLOOKUP(record[[#This Row],[employeeID]],員工[],2,FALSE)</f>
        <v>裴氏璧鳳</v>
      </c>
    </row>
    <row r="8709" spans="6:19" hidden="1" x14ac:dyDescent="0.25">
      <c r="F8709" t="s">
        <v>900</v>
      </c>
      <c r="G8709" t="s">
        <v>446</v>
      </c>
      <c r="H8709" t="str">
        <f>VLOOKUP(record[[#This Row],[ProcessSN]],表格2_7[],2,FALSE)</f>
        <v>30-4118-018-6XX</v>
      </c>
      <c r="I8709" t="str">
        <f>VLOOKUP(record[[#This Row],[ProcessSN]],表格2_7[],3,FALSE)</f>
        <v>#03GIVE</v>
      </c>
      <c r="J8709" t="s">
        <v>587</v>
      </c>
      <c r="K8709" s="195">
        <v>45853.764108796298</v>
      </c>
      <c r="L8709">
        <v>1000</v>
      </c>
      <c r="M8709">
        <v>0</v>
      </c>
      <c r="N8709" s="98" t="str">
        <f>IF(record[[#This Row],[Memo]]="Browser:chrome os:android","平板報工",IF(record[[#This Row],[Memo]]=0,"委外",record[[#This Row],[Memo]]))</f>
        <v/>
      </c>
      <c r="O8709" t="s">
        <v>58</v>
      </c>
      <c r="P8709" t="s">
        <v>208</v>
      </c>
      <c r="Q8709" t="s">
        <v>58</v>
      </c>
      <c r="R8709" t="str">
        <f>IFERROR(VLOOKUP(record[[#This Row],[PCUSTID]],廠商[],2,FALSE),"")</f>
        <v/>
      </c>
      <c r="S8709" t="str">
        <f>VLOOKUP(record[[#This Row],[employeeID]],員工[],2,FALSE)</f>
        <v>陳治宏</v>
      </c>
    </row>
    <row r="8710" spans="6:19" hidden="1" x14ac:dyDescent="0.25">
      <c r="F8710" t="s">
        <v>904</v>
      </c>
      <c r="G8710" t="s">
        <v>413</v>
      </c>
      <c r="H8710" t="str">
        <f>VLOOKUP(record[[#This Row],[ProcessSN]],表格2_7[],2,FALSE)</f>
        <v>30-4118-018-5XX</v>
      </c>
      <c r="I8710" t="str">
        <f>VLOOKUP(record[[#This Row],[ProcessSN]],表格2_7[],3,FALSE)</f>
        <v>#03GIVE</v>
      </c>
      <c r="J8710" t="s">
        <v>587</v>
      </c>
      <c r="K8710" s="195">
        <v>45853.763923611114</v>
      </c>
      <c r="L8710">
        <v>1410</v>
      </c>
      <c r="M8710">
        <v>0</v>
      </c>
      <c r="N8710" s="98" t="str">
        <f>IF(record[[#This Row],[Memo]]="Browser:chrome os:android","平板報工",IF(record[[#This Row],[Memo]]=0,"委外",record[[#This Row],[Memo]]))</f>
        <v/>
      </c>
      <c r="O8710" t="s">
        <v>58</v>
      </c>
      <c r="P8710" t="s">
        <v>208</v>
      </c>
      <c r="Q8710" t="s">
        <v>58</v>
      </c>
      <c r="R8710" t="str">
        <f>IFERROR(VLOOKUP(record[[#This Row],[PCUSTID]],廠商[],2,FALSE),"")</f>
        <v/>
      </c>
      <c r="S8710" t="str">
        <f>VLOOKUP(record[[#This Row],[employeeID]],員工[],2,FALSE)</f>
        <v>陳治宏</v>
      </c>
    </row>
    <row r="8711" spans="6:19" hidden="1" x14ac:dyDescent="0.25">
      <c r="F8711" t="s">
        <v>902</v>
      </c>
      <c r="G8711" t="s">
        <v>372</v>
      </c>
      <c r="H8711" t="str">
        <f>VLOOKUP(record[[#This Row],[ProcessSN]],表格2_7[],2,FALSE)</f>
        <v>30-4118-018-4XX</v>
      </c>
      <c r="I8711" t="str">
        <f>VLOOKUP(record[[#This Row],[ProcessSN]],表格2_7[],3,FALSE)</f>
        <v>#03GIVE</v>
      </c>
      <c r="J8711" t="s">
        <v>587</v>
      </c>
      <c r="K8711" s="195">
        <v>45853.763738425929</v>
      </c>
      <c r="L8711">
        <v>1000</v>
      </c>
      <c r="M8711">
        <v>0</v>
      </c>
      <c r="N8711" s="98" t="str">
        <f>IF(record[[#This Row],[Memo]]="Browser:chrome os:android","平板報工",IF(record[[#This Row],[Memo]]=0,"委外",record[[#This Row],[Memo]]))</f>
        <v/>
      </c>
      <c r="O8711" t="s">
        <v>58</v>
      </c>
      <c r="P8711" t="s">
        <v>208</v>
      </c>
      <c r="Q8711" t="s">
        <v>58</v>
      </c>
      <c r="R8711" t="str">
        <f>IFERROR(VLOOKUP(record[[#This Row],[PCUSTID]],廠商[],2,FALSE),"")</f>
        <v/>
      </c>
      <c r="S8711" t="str">
        <f>VLOOKUP(record[[#This Row],[employeeID]],員工[],2,FALSE)</f>
        <v>陳治宏</v>
      </c>
    </row>
    <row r="8712" spans="6:19" hidden="1" x14ac:dyDescent="0.25">
      <c r="F8712" t="s">
        <v>895</v>
      </c>
      <c r="G8712" t="s">
        <v>403</v>
      </c>
      <c r="H8712" t="str">
        <f>VLOOKUP(record[[#This Row],[ProcessSN]],表格2_7[],2,FALSE)</f>
        <v>30-4118-018-550</v>
      </c>
      <c r="I8712" t="str">
        <f>VLOOKUP(record[[#This Row],[ProcessSN]],表格2_7[],3,FALSE)</f>
        <v>#100SHIP</v>
      </c>
      <c r="J8712" t="s">
        <v>600</v>
      </c>
      <c r="K8712" s="195">
        <v>45853.718611111108</v>
      </c>
      <c r="L8712">
        <v>283</v>
      </c>
      <c r="M8712">
        <v>0</v>
      </c>
      <c r="N8712" s="98" t="str">
        <f>IF(record[[#This Row],[Memo]]="Browser:chrome os:android","平板報工",IF(record[[#This Row],[Memo]]=0,"委外",record[[#This Row],[Memo]]))</f>
        <v/>
      </c>
      <c r="O8712" t="s">
        <v>58</v>
      </c>
      <c r="P8712" t="s">
        <v>886</v>
      </c>
      <c r="Q8712" t="s">
        <v>58</v>
      </c>
      <c r="R8712" t="str">
        <f>IFERROR(VLOOKUP(record[[#This Row],[PCUSTID]],廠商[],2,FALSE),"")</f>
        <v/>
      </c>
      <c r="S8712" t="str">
        <f>VLOOKUP(record[[#This Row],[employeeID]],員工[],2,FALSE)</f>
        <v>謝蓁薰</v>
      </c>
    </row>
    <row r="8713" spans="6:19" hidden="1" x14ac:dyDescent="0.25">
      <c r="F8713" t="s">
        <v>895</v>
      </c>
      <c r="G8713" t="s">
        <v>402</v>
      </c>
      <c r="H8713" t="str">
        <f>VLOOKUP(record[[#This Row],[ProcessSN]],表格2_7[],2,FALSE)</f>
        <v>30-4118-018-550</v>
      </c>
      <c r="I8713" t="str">
        <f>VLOOKUP(record[[#This Row],[ProcessSN]],表格2_7[],3,FALSE)</f>
        <v>#100STOCK</v>
      </c>
      <c r="J8713" t="s">
        <v>592</v>
      </c>
      <c r="K8713" s="195">
        <v>45853.718425925923</v>
      </c>
      <c r="L8713">
        <v>283</v>
      </c>
      <c r="M8713">
        <v>0</v>
      </c>
      <c r="N8713" s="98" t="str">
        <f>IF(record[[#This Row],[Memo]]="Browser:chrome os:android","平板報工",IF(record[[#This Row],[Memo]]=0,"委外",record[[#This Row],[Memo]]))</f>
        <v/>
      </c>
      <c r="O8713" t="s">
        <v>58</v>
      </c>
      <c r="P8713" t="s">
        <v>886</v>
      </c>
      <c r="Q8713" t="s">
        <v>58</v>
      </c>
      <c r="R8713" t="str">
        <f>IFERROR(VLOOKUP(record[[#This Row],[PCUSTID]],廠商[],2,FALSE),"")</f>
        <v/>
      </c>
      <c r="S8713" t="str">
        <f>VLOOKUP(record[[#This Row],[employeeID]],員工[],2,FALSE)</f>
        <v>謝蓁薰</v>
      </c>
    </row>
    <row r="8714" spans="6:19" hidden="1" x14ac:dyDescent="0.25">
      <c r="F8714" t="s">
        <v>879</v>
      </c>
      <c r="G8714" t="s">
        <v>403</v>
      </c>
      <c r="H8714" t="str">
        <f>VLOOKUP(record[[#This Row],[ProcessSN]],表格2_7[],2,FALSE)</f>
        <v>30-4118-018-550</v>
      </c>
      <c r="I8714" t="str">
        <f>VLOOKUP(record[[#This Row],[ProcessSN]],表格2_7[],3,FALSE)</f>
        <v>#100SHIP</v>
      </c>
      <c r="J8714" t="s">
        <v>600</v>
      </c>
      <c r="K8714" s="195">
        <v>45853.715636574074</v>
      </c>
      <c r="L8714">
        <v>91</v>
      </c>
      <c r="M8714">
        <v>0</v>
      </c>
      <c r="N8714" s="98" t="str">
        <f>IF(record[[#This Row],[Memo]]="Browser:chrome os:android","平板報工",IF(record[[#This Row],[Memo]]=0,"委外",record[[#This Row],[Memo]]))</f>
        <v/>
      </c>
      <c r="O8714" t="s">
        <v>58</v>
      </c>
      <c r="P8714" t="s">
        <v>886</v>
      </c>
      <c r="Q8714" t="s">
        <v>58</v>
      </c>
      <c r="R8714" t="str">
        <f>IFERROR(VLOOKUP(record[[#This Row],[PCUSTID]],廠商[],2,FALSE),"")</f>
        <v/>
      </c>
      <c r="S8714" t="str">
        <f>VLOOKUP(record[[#This Row],[employeeID]],員工[],2,FALSE)</f>
        <v>謝蓁薰</v>
      </c>
    </row>
    <row r="8715" spans="6:19" hidden="1" x14ac:dyDescent="0.25">
      <c r="F8715" t="s">
        <v>881</v>
      </c>
      <c r="G8715" t="s">
        <v>403</v>
      </c>
      <c r="H8715" t="str">
        <f>VLOOKUP(record[[#This Row],[ProcessSN]],表格2_7[],2,FALSE)</f>
        <v>30-4118-018-550</v>
      </c>
      <c r="I8715" t="str">
        <f>VLOOKUP(record[[#This Row],[ProcessSN]],表格2_7[],3,FALSE)</f>
        <v>#100SHIP</v>
      </c>
      <c r="J8715" t="s">
        <v>600</v>
      </c>
      <c r="K8715" s="195">
        <v>45853.715405092589</v>
      </c>
      <c r="L8715">
        <v>29</v>
      </c>
      <c r="M8715">
        <v>0</v>
      </c>
      <c r="N8715" s="98" t="str">
        <f>IF(record[[#This Row],[Memo]]="Browser:chrome os:android","平板報工",IF(record[[#This Row],[Memo]]=0,"委外",record[[#This Row],[Memo]]))</f>
        <v/>
      </c>
      <c r="O8715" t="s">
        <v>58</v>
      </c>
      <c r="P8715" t="s">
        <v>886</v>
      </c>
      <c r="Q8715" t="s">
        <v>58</v>
      </c>
      <c r="R8715" t="str">
        <f>IFERROR(VLOOKUP(record[[#This Row],[PCUSTID]],廠商[],2,FALSE),"")</f>
        <v/>
      </c>
      <c r="S8715" t="str">
        <f>VLOOKUP(record[[#This Row],[employeeID]],員工[],2,FALSE)</f>
        <v>謝蓁薰</v>
      </c>
    </row>
    <row r="8716" spans="6:19" hidden="1" x14ac:dyDescent="0.25">
      <c r="F8716" t="s">
        <v>895</v>
      </c>
      <c r="G8716" t="s">
        <v>400</v>
      </c>
      <c r="H8716" t="str">
        <f>VLOOKUP(record[[#This Row],[ProcessSN]],表格2_7[],2,FALSE)</f>
        <v>30-4118-018-550</v>
      </c>
      <c r="I8716" t="str">
        <f>VLOOKUP(record[[#This Row],[ProcessSN]],表格2_7[],3,FALSE)</f>
        <v>#100</v>
      </c>
      <c r="J8716" t="s">
        <v>598</v>
      </c>
      <c r="K8716" s="195">
        <v>45853.715277777781</v>
      </c>
      <c r="L8716">
        <v>57</v>
      </c>
      <c r="M8716">
        <v>0</v>
      </c>
      <c r="N8716" s="98" t="str">
        <f>IF(record[[#This Row],[Memo]]="Browser:chrome os:android","平板報工",IF(record[[#This Row],[Memo]]=0,"委外",record[[#This Row],[Memo]]))</f>
        <v>平板報工</v>
      </c>
      <c r="O8716" t="s">
        <v>643</v>
      </c>
      <c r="P8716" t="s">
        <v>141</v>
      </c>
      <c r="Q8716" t="s">
        <v>644</v>
      </c>
      <c r="R8716" t="str">
        <f>IFERROR(VLOOKUP(record[[#This Row],[PCUSTID]],廠商[],2,FALSE),"")</f>
        <v/>
      </c>
      <c r="S8716" t="str">
        <f>VLOOKUP(record[[#This Row],[employeeID]],員工[],2,FALSE)</f>
        <v>蔣梅</v>
      </c>
    </row>
    <row r="8717" spans="6:19" hidden="1" x14ac:dyDescent="0.25">
      <c r="F8717" t="s">
        <v>895</v>
      </c>
      <c r="G8717" t="s">
        <v>401</v>
      </c>
      <c r="H8717" t="str">
        <f>VLOOKUP(record[[#This Row],[ProcessSN]],表格2_7[],2,FALSE)</f>
        <v>30-4118-018-550</v>
      </c>
      <c r="I8717" t="str">
        <f>VLOOKUP(record[[#This Row],[ProcessSN]],表格2_7[],3,FALSE)</f>
        <v>#100OQC</v>
      </c>
      <c r="J8717" t="s">
        <v>599</v>
      </c>
      <c r="K8717" s="195">
        <v>45853.701793981483</v>
      </c>
      <c r="L8717">
        <v>283</v>
      </c>
      <c r="M8717">
        <v>0</v>
      </c>
      <c r="N8717" s="98" t="str">
        <f>IF(record[[#This Row],[Memo]]="Browser:chrome os:android","平板報工",IF(record[[#This Row],[Memo]]=0,"委外",record[[#This Row],[Memo]]))</f>
        <v/>
      </c>
      <c r="O8717" t="s">
        <v>58</v>
      </c>
      <c r="P8717" t="s">
        <v>121</v>
      </c>
      <c r="Q8717" t="s">
        <v>58</v>
      </c>
      <c r="R8717" t="str">
        <f>IFERROR(VLOOKUP(record[[#This Row],[PCUSTID]],廠商[],2,FALSE),"")</f>
        <v/>
      </c>
      <c r="S8717" t="str">
        <f>VLOOKUP(record[[#This Row],[employeeID]],員工[],2,FALSE)</f>
        <v>謝素卿</v>
      </c>
    </row>
    <row r="8718" spans="6:19" hidden="1" x14ac:dyDescent="0.25">
      <c r="F8718" t="s">
        <v>895</v>
      </c>
      <c r="G8718" t="s">
        <v>400</v>
      </c>
      <c r="H8718" t="str">
        <f>VLOOKUP(record[[#This Row],[ProcessSN]],表格2_7[],2,FALSE)</f>
        <v>30-4118-018-550</v>
      </c>
      <c r="I8718" t="str">
        <f>VLOOKUP(record[[#This Row],[ProcessSN]],表格2_7[],3,FALSE)</f>
        <v>#100</v>
      </c>
      <c r="J8718" t="s">
        <v>598</v>
      </c>
      <c r="K8718" s="195">
        <v>45853.688055555554</v>
      </c>
      <c r="L8718">
        <v>283</v>
      </c>
      <c r="M8718">
        <v>0</v>
      </c>
      <c r="N8718" s="98" t="str">
        <f>IF(record[[#This Row],[Memo]]="Browser:chrome os:android","平板報工",IF(record[[#This Row],[Memo]]=0,"委外",record[[#This Row],[Memo]]))</f>
        <v/>
      </c>
      <c r="O8718" t="s">
        <v>58</v>
      </c>
      <c r="P8718" t="s">
        <v>141</v>
      </c>
      <c r="Q8718" t="s">
        <v>58</v>
      </c>
      <c r="R8718" t="str">
        <f>IFERROR(VLOOKUP(record[[#This Row],[PCUSTID]],廠商[],2,FALSE),"")</f>
        <v/>
      </c>
      <c r="S8718" t="str">
        <f>VLOOKUP(record[[#This Row],[employeeID]],員工[],2,FALSE)</f>
        <v>蔣梅</v>
      </c>
    </row>
    <row r="8719" spans="6:19" hidden="1" x14ac:dyDescent="0.25">
      <c r="F8719" t="s">
        <v>877</v>
      </c>
      <c r="G8719" t="s">
        <v>417</v>
      </c>
      <c r="H8719" t="str">
        <f>VLOOKUP(record[[#This Row],[ProcessSN]],表格2_7[],2,FALSE)</f>
        <v>30-4118-018-5XX</v>
      </c>
      <c r="I8719" t="str">
        <f>VLOOKUP(record[[#This Row],[ProcessSN]],表格2_7[],3,FALSE)</f>
        <v>#06</v>
      </c>
      <c r="J8719" t="s">
        <v>593</v>
      </c>
      <c r="K8719" s="195">
        <v>45853.663460648146</v>
      </c>
      <c r="L8719">
        <v>85</v>
      </c>
      <c r="M8719">
        <v>1</v>
      </c>
      <c r="N8719" s="98" t="str">
        <f>IF(record[[#This Row],[Memo]]="Browser:chrome os:android","平板報工",IF(record[[#This Row],[Memo]]=0,"委外",record[[#This Row],[Memo]]))</f>
        <v/>
      </c>
      <c r="O8719" t="s">
        <v>58</v>
      </c>
      <c r="P8719" t="s">
        <v>119</v>
      </c>
      <c r="Q8719" t="s">
        <v>58</v>
      </c>
      <c r="R8719" t="str">
        <f>IFERROR(VLOOKUP(record[[#This Row],[PCUSTID]],廠商[],2,FALSE),"")</f>
        <v/>
      </c>
      <c r="S8719" t="str">
        <f>VLOOKUP(record[[#This Row],[employeeID]],員工[],2,FALSE)</f>
        <v>廖俊彥</v>
      </c>
    </row>
    <row r="8720" spans="6:19" hidden="1" x14ac:dyDescent="0.25">
      <c r="F8720" t="s">
        <v>877</v>
      </c>
      <c r="G8720" t="s">
        <v>416</v>
      </c>
      <c r="H8720" t="str">
        <f>VLOOKUP(record[[#This Row],[ProcessSN]],表格2_7[],2,FALSE)</f>
        <v>30-4118-018-5XX</v>
      </c>
      <c r="I8720" t="str">
        <f>VLOOKUP(record[[#This Row],[ProcessSN]],表格2_7[],3,FALSE)</f>
        <v>#05</v>
      </c>
      <c r="J8720" t="s">
        <v>588</v>
      </c>
      <c r="K8720" s="195">
        <v>45853.663344907407</v>
      </c>
      <c r="L8720">
        <v>95</v>
      </c>
      <c r="M8720">
        <v>0</v>
      </c>
      <c r="N8720" s="98" t="str">
        <f>IF(record[[#This Row],[Memo]]="Browser:chrome os:android","平板報工",IF(record[[#This Row],[Memo]]=0,"委外",record[[#This Row],[Memo]]))</f>
        <v/>
      </c>
      <c r="O8720" t="s">
        <v>58</v>
      </c>
      <c r="P8720" t="s">
        <v>119</v>
      </c>
      <c r="Q8720" t="s">
        <v>58</v>
      </c>
      <c r="R8720" t="str">
        <f>IFERROR(VLOOKUP(record[[#This Row],[PCUSTID]],廠商[],2,FALSE),"")</f>
        <v/>
      </c>
      <c r="S8720" t="str">
        <f>VLOOKUP(record[[#This Row],[employeeID]],員工[],2,FALSE)</f>
        <v>廖俊彥</v>
      </c>
    </row>
    <row r="8721" spans="6:19" hidden="1" x14ac:dyDescent="0.25">
      <c r="F8721" t="s">
        <v>877</v>
      </c>
      <c r="G8721" t="s">
        <v>415</v>
      </c>
      <c r="H8721" t="str">
        <f>VLOOKUP(record[[#This Row],[ProcessSN]],表格2_7[],2,FALSE)</f>
        <v>30-4118-018-5XX</v>
      </c>
      <c r="I8721" t="str">
        <f>VLOOKUP(record[[#This Row],[ProcessSN]],表格2_7[],3,FALSE)</f>
        <v>#04</v>
      </c>
      <c r="J8721" t="s">
        <v>588</v>
      </c>
      <c r="K8721" s="195">
        <v>45853.663206018522</v>
      </c>
      <c r="L8721">
        <v>95</v>
      </c>
      <c r="M8721">
        <v>0</v>
      </c>
      <c r="N8721" s="98" t="str">
        <f>IF(record[[#This Row],[Memo]]="Browser:chrome os:android","平板報工",IF(record[[#This Row],[Memo]]=0,"委外",record[[#This Row],[Memo]]))</f>
        <v/>
      </c>
      <c r="O8721" t="s">
        <v>58</v>
      </c>
      <c r="P8721" t="s">
        <v>119</v>
      </c>
      <c r="Q8721" t="s">
        <v>58</v>
      </c>
      <c r="R8721" t="str">
        <f>IFERROR(VLOOKUP(record[[#This Row],[PCUSTID]],廠商[],2,FALSE),"")</f>
        <v/>
      </c>
      <c r="S8721" t="str">
        <f>VLOOKUP(record[[#This Row],[employeeID]],員工[],2,FALSE)</f>
        <v>廖俊彥</v>
      </c>
    </row>
    <row r="8722" spans="6:19" hidden="1" x14ac:dyDescent="0.25">
      <c r="F8722" t="s">
        <v>895</v>
      </c>
      <c r="G8722" t="s">
        <v>399</v>
      </c>
      <c r="H8722" t="str">
        <f>VLOOKUP(record[[#This Row],[ProcessSN]],表格2_7[],2,FALSE)</f>
        <v>30-4118-018-550</v>
      </c>
      <c r="I8722" t="str">
        <f>VLOOKUP(record[[#This Row],[ProcessSN]],表格2_7[],3,FALSE)</f>
        <v>#08IQC</v>
      </c>
      <c r="J8722" t="s">
        <v>583</v>
      </c>
      <c r="K8722" s="195">
        <v>45853.660914351851</v>
      </c>
      <c r="L8722">
        <v>363</v>
      </c>
      <c r="M8722">
        <v>0</v>
      </c>
      <c r="N8722" s="98" t="str">
        <f>IF(record[[#This Row],[Memo]]="Browser:chrome os:android","平板報工",IF(record[[#This Row],[Memo]]=0,"委外",record[[#This Row],[Memo]]))</f>
        <v/>
      </c>
      <c r="O8722" t="s">
        <v>58</v>
      </c>
      <c r="P8722" t="s">
        <v>121</v>
      </c>
      <c r="Q8722" t="s">
        <v>58</v>
      </c>
      <c r="R8722" t="str">
        <f>IFERROR(VLOOKUP(record[[#This Row],[PCUSTID]],廠商[],2,FALSE),"")</f>
        <v/>
      </c>
      <c r="S8722" t="str">
        <f>VLOOKUP(record[[#This Row],[employeeID]],員工[],2,FALSE)</f>
        <v>謝素卿</v>
      </c>
    </row>
    <row r="8723" spans="6:19" hidden="1" x14ac:dyDescent="0.25">
      <c r="F8723" t="s">
        <v>895</v>
      </c>
      <c r="G8723" t="s">
        <v>398</v>
      </c>
      <c r="H8723" t="str">
        <f>VLOOKUP(record[[#This Row],[ProcessSN]],表格2_7[],2,FALSE)</f>
        <v>30-4118-018-550</v>
      </c>
      <c r="I8723" t="str">
        <f>VLOOKUP(record[[#This Row],[ProcessSN]],表格2_7[],3,FALSE)</f>
        <v>#08RCV</v>
      </c>
      <c r="J8723" t="s">
        <v>591</v>
      </c>
      <c r="K8723" s="195">
        <v>45853.64644675926</v>
      </c>
      <c r="L8723">
        <v>46</v>
      </c>
      <c r="M8723">
        <v>0</v>
      </c>
      <c r="N8723" s="98" t="str">
        <f>IF(record[[#This Row],[Memo]]="Browser:chrome os:android","平板報工",IF(record[[#This Row],[Memo]]=0,"委外",record[[#This Row],[Memo]]))</f>
        <v/>
      </c>
      <c r="O8723" t="s">
        <v>58</v>
      </c>
      <c r="P8723" t="s">
        <v>113</v>
      </c>
      <c r="Q8723" t="s">
        <v>58</v>
      </c>
      <c r="R8723" t="str">
        <f>IFERROR(VLOOKUP(record[[#This Row],[PCUSTID]],廠商[],2,FALSE),"")</f>
        <v/>
      </c>
      <c r="S8723" t="str">
        <f>VLOOKUP(record[[#This Row],[employeeID]],員工[],2,FALSE)</f>
        <v>王奕蓁</v>
      </c>
    </row>
    <row r="8724" spans="6:19" hidden="1" x14ac:dyDescent="0.25">
      <c r="F8724" t="s">
        <v>895</v>
      </c>
      <c r="G8724" t="s">
        <v>398</v>
      </c>
      <c r="H8724" t="str">
        <f>VLOOKUP(record[[#This Row],[ProcessSN]],表格2_7[],2,FALSE)</f>
        <v>30-4118-018-550</v>
      </c>
      <c r="I8724" t="str">
        <f>VLOOKUP(record[[#This Row],[ProcessSN]],表格2_7[],3,FALSE)</f>
        <v>#08RCV</v>
      </c>
      <c r="J8724" t="s">
        <v>591</v>
      </c>
      <c r="K8724" s="195">
        <v>45853.646226851852</v>
      </c>
      <c r="L8724">
        <v>317</v>
      </c>
      <c r="M8724">
        <v>0</v>
      </c>
      <c r="N8724" s="98" t="str">
        <f>IF(record[[#This Row],[Memo]]="Browser:chrome os:android","平板報工",IF(record[[#This Row],[Memo]]=0,"委外",record[[#This Row],[Memo]]))</f>
        <v/>
      </c>
      <c r="O8724" t="s">
        <v>58</v>
      </c>
      <c r="P8724" t="s">
        <v>113</v>
      </c>
      <c r="Q8724" t="s">
        <v>58</v>
      </c>
      <c r="R8724" t="str">
        <f>IFERROR(VLOOKUP(record[[#This Row],[PCUSTID]],廠商[],2,FALSE),"")</f>
        <v/>
      </c>
      <c r="S8724" t="str">
        <f>VLOOKUP(record[[#This Row],[employeeID]],員工[],2,FALSE)</f>
        <v>王奕蓁</v>
      </c>
    </row>
    <row r="8725" spans="6:19" hidden="1" x14ac:dyDescent="0.25">
      <c r="F8725" t="s">
        <v>893</v>
      </c>
      <c r="G8725" t="s">
        <v>423</v>
      </c>
      <c r="H8725" t="str">
        <f>VLOOKUP(record[[#This Row],[ProcessSN]],表格2_7[],2,FALSE)</f>
        <v>30-4118-018-600</v>
      </c>
      <c r="I8725" t="str">
        <f>VLOOKUP(record[[#This Row],[ProcessSN]],表格2_7[],3,FALSE)</f>
        <v>#08RCV</v>
      </c>
      <c r="J8725" t="s">
        <v>591</v>
      </c>
      <c r="K8725" s="195">
        <v>45853.645300925928</v>
      </c>
      <c r="L8725">
        <v>15</v>
      </c>
      <c r="M8725">
        <v>0</v>
      </c>
      <c r="N8725" s="98" t="str">
        <f>IF(record[[#This Row],[Memo]]="Browser:chrome os:android","平板報工",IF(record[[#This Row],[Memo]]=0,"委外",record[[#This Row],[Memo]]))</f>
        <v/>
      </c>
      <c r="O8725" t="s">
        <v>58</v>
      </c>
      <c r="P8725" t="s">
        <v>113</v>
      </c>
      <c r="Q8725" t="s">
        <v>58</v>
      </c>
      <c r="R8725" t="str">
        <f>IFERROR(VLOOKUP(record[[#This Row],[PCUSTID]],廠商[],2,FALSE),"")</f>
        <v/>
      </c>
      <c r="S8725" t="str">
        <f>VLOOKUP(record[[#This Row],[employeeID]],員工[],2,FALSE)</f>
        <v>王奕蓁</v>
      </c>
    </row>
    <row r="8726" spans="6:19" hidden="1" x14ac:dyDescent="0.25">
      <c r="F8726" t="s">
        <v>893</v>
      </c>
      <c r="G8726" t="s">
        <v>423</v>
      </c>
      <c r="H8726" t="str">
        <f>VLOOKUP(record[[#This Row],[ProcessSN]],表格2_7[],2,FALSE)</f>
        <v>30-4118-018-600</v>
      </c>
      <c r="I8726" t="str">
        <f>VLOOKUP(record[[#This Row],[ProcessSN]],表格2_7[],3,FALSE)</f>
        <v>#08RCV</v>
      </c>
      <c r="J8726" t="s">
        <v>591</v>
      </c>
      <c r="K8726" s="195">
        <v>45853.645162037035</v>
      </c>
      <c r="L8726">
        <v>118</v>
      </c>
      <c r="M8726">
        <v>0</v>
      </c>
      <c r="N8726" s="98" t="str">
        <f>IF(record[[#This Row],[Memo]]="Browser:chrome os:android","平板報工",IF(record[[#This Row],[Memo]]=0,"委外",record[[#This Row],[Memo]]))</f>
        <v/>
      </c>
      <c r="O8726" t="s">
        <v>58</v>
      </c>
      <c r="P8726" t="s">
        <v>113</v>
      </c>
      <c r="Q8726" t="s">
        <v>58</v>
      </c>
      <c r="R8726" t="str">
        <f>IFERROR(VLOOKUP(record[[#This Row],[PCUSTID]],廠商[],2,FALSE),"")</f>
        <v/>
      </c>
      <c r="S8726" t="str">
        <f>VLOOKUP(record[[#This Row],[employeeID]],員工[],2,FALSE)</f>
        <v>王奕蓁</v>
      </c>
    </row>
    <row r="8727" spans="6:19" hidden="1" x14ac:dyDescent="0.25">
      <c r="F8727" t="s">
        <v>890</v>
      </c>
      <c r="G8727" t="s">
        <v>428</v>
      </c>
      <c r="H8727" t="str">
        <f>VLOOKUP(record[[#This Row],[ProcessSN]],表格2_7[],2,FALSE)</f>
        <v>30-4118-018-600</v>
      </c>
      <c r="I8727" t="str">
        <f>VLOOKUP(record[[#This Row],[ProcessSN]],表格2_7[],3,FALSE)</f>
        <v>#100SHIP</v>
      </c>
      <c r="J8727" t="s">
        <v>600</v>
      </c>
      <c r="K8727" s="195">
        <v>45853.489120370374</v>
      </c>
      <c r="L8727">
        <v>1</v>
      </c>
      <c r="M8727">
        <v>0</v>
      </c>
      <c r="N8727" s="98" t="str">
        <f>IF(record[[#This Row],[Memo]]="Browser:chrome os:android","平板報工",IF(record[[#This Row],[Memo]]=0,"委外",record[[#This Row],[Memo]]))</f>
        <v/>
      </c>
      <c r="O8727" t="s">
        <v>58</v>
      </c>
      <c r="P8727" t="s">
        <v>886</v>
      </c>
      <c r="Q8727" t="s">
        <v>58</v>
      </c>
      <c r="R8727" t="str">
        <f>IFERROR(VLOOKUP(record[[#This Row],[PCUSTID]],廠商[],2,FALSE),"")</f>
        <v/>
      </c>
      <c r="S8727" t="str">
        <f>VLOOKUP(record[[#This Row],[employeeID]],員工[],2,FALSE)</f>
        <v>謝蓁薰</v>
      </c>
    </row>
    <row r="8728" spans="6:19" hidden="1" x14ac:dyDescent="0.25">
      <c r="F8728" t="s">
        <v>884</v>
      </c>
      <c r="G8728" t="s">
        <v>428</v>
      </c>
      <c r="H8728" t="str">
        <f>VLOOKUP(record[[#This Row],[ProcessSN]],表格2_7[],2,FALSE)</f>
        <v>30-4118-018-600</v>
      </c>
      <c r="I8728" t="str">
        <f>VLOOKUP(record[[#This Row],[ProcessSN]],表格2_7[],3,FALSE)</f>
        <v>#100SHIP</v>
      </c>
      <c r="J8728" t="s">
        <v>600</v>
      </c>
      <c r="K8728" s="195">
        <v>45853.488923611112</v>
      </c>
      <c r="L8728">
        <v>28</v>
      </c>
      <c r="M8728">
        <v>0</v>
      </c>
      <c r="N8728" s="98" t="str">
        <f>IF(record[[#This Row],[Memo]]="Browser:chrome os:android","平板報工",IF(record[[#This Row],[Memo]]=0,"委外",record[[#This Row],[Memo]]))</f>
        <v/>
      </c>
      <c r="O8728" t="s">
        <v>58</v>
      </c>
      <c r="P8728" t="s">
        <v>886</v>
      </c>
      <c r="Q8728" t="s">
        <v>58</v>
      </c>
      <c r="R8728" t="str">
        <f>IFERROR(VLOOKUP(record[[#This Row],[PCUSTID]],廠商[],2,FALSE),"")</f>
        <v/>
      </c>
      <c r="S8728" t="str">
        <f>VLOOKUP(record[[#This Row],[employeeID]],員工[],2,FALSE)</f>
        <v>謝蓁薰</v>
      </c>
    </row>
    <row r="8729" spans="6:19" hidden="1" x14ac:dyDescent="0.25">
      <c r="F8729" t="s">
        <v>890</v>
      </c>
      <c r="G8729" t="s">
        <v>428</v>
      </c>
      <c r="H8729" t="str">
        <f>VLOOKUP(record[[#This Row],[ProcessSN]],表格2_7[],2,FALSE)</f>
        <v>30-4118-018-600</v>
      </c>
      <c r="I8729" t="str">
        <f>VLOOKUP(record[[#This Row],[ProcessSN]],表格2_7[],3,FALSE)</f>
        <v>#100SHIP</v>
      </c>
      <c r="J8729" t="s">
        <v>600</v>
      </c>
      <c r="K8729" s="195">
        <v>45853.488599537035</v>
      </c>
      <c r="L8729">
        <v>21</v>
      </c>
      <c r="M8729">
        <v>0</v>
      </c>
      <c r="N8729" s="98" t="str">
        <f>IF(record[[#This Row],[Memo]]="Browser:chrome os:android","平板報工",IF(record[[#This Row],[Memo]]=0,"委外",record[[#This Row],[Memo]]))</f>
        <v/>
      </c>
      <c r="O8729" t="s">
        <v>58</v>
      </c>
      <c r="P8729" t="s">
        <v>886</v>
      </c>
      <c r="Q8729" t="s">
        <v>58</v>
      </c>
      <c r="R8729" t="str">
        <f>IFERROR(VLOOKUP(record[[#This Row],[PCUSTID]],廠商[],2,FALSE),"")</f>
        <v/>
      </c>
      <c r="S8729" t="str">
        <f>VLOOKUP(record[[#This Row],[employeeID]],員工[],2,FALSE)</f>
        <v>謝蓁薰</v>
      </c>
    </row>
    <row r="8730" spans="6:19" hidden="1" x14ac:dyDescent="0.25">
      <c r="F8730" t="s">
        <v>680</v>
      </c>
      <c r="G8730" t="s">
        <v>362</v>
      </c>
      <c r="H8730" t="str">
        <f>VLOOKUP(record[[#This Row],[ProcessSN]],表格2_7[],2,FALSE)</f>
        <v>30-4118-018-450</v>
      </c>
      <c r="I8730" t="str">
        <f>VLOOKUP(record[[#This Row],[ProcessSN]],表格2_7[],3,FALSE)</f>
        <v>#100SHIP</v>
      </c>
      <c r="J8730" t="s">
        <v>600</v>
      </c>
      <c r="K8730" s="195">
        <v>45853.488252314812</v>
      </c>
      <c r="L8730">
        <v>42</v>
      </c>
      <c r="M8730">
        <v>0</v>
      </c>
      <c r="N8730" s="98" t="str">
        <f>IF(record[[#This Row],[Memo]]="Browser:chrome os:android","平板報工",IF(record[[#This Row],[Memo]]=0,"委外",record[[#This Row],[Memo]]))</f>
        <v/>
      </c>
      <c r="O8730" t="s">
        <v>58</v>
      </c>
      <c r="P8730" t="s">
        <v>886</v>
      </c>
      <c r="Q8730" t="s">
        <v>58</v>
      </c>
      <c r="R8730" t="str">
        <f>IFERROR(VLOOKUP(record[[#This Row],[PCUSTID]],廠商[],2,FALSE),"")</f>
        <v/>
      </c>
      <c r="S8730" t="str">
        <f>VLOOKUP(record[[#This Row],[employeeID]],員工[],2,FALSE)</f>
        <v>謝蓁薰</v>
      </c>
    </row>
    <row r="8731" spans="6:19" hidden="1" x14ac:dyDescent="0.25">
      <c r="F8731" t="s">
        <v>849</v>
      </c>
      <c r="G8731" t="s">
        <v>471</v>
      </c>
      <c r="H8731" t="str">
        <f>VLOOKUP(record[[#This Row],[ProcessSN]],表格2_7[],2,FALSE)</f>
        <v>30-4118-018-XXX</v>
      </c>
      <c r="I8731" t="str">
        <f>VLOOKUP(record[[#This Row],[ProcessSN]],表格2_7[],3,FALSE)</f>
        <v>#02STOCK</v>
      </c>
      <c r="J8731" t="s">
        <v>592</v>
      </c>
      <c r="K8731" s="195">
        <v>45853.470902777779</v>
      </c>
      <c r="L8731">
        <v>3410</v>
      </c>
      <c r="M8731">
        <v>0</v>
      </c>
      <c r="N8731" s="98" t="str">
        <f>IF(record[[#This Row],[Memo]]="Browser:chrome os:android","平板報工",IF(record[[#This Row],[Memo]]=0,"委外",record[[#This Row],[Memo]]))</f>
        <v/>
      </c>
      <c r="O8731" t="s">
        <v>58</v>
      </c>
      <c r="P8731" t="s">
        <v>113</v>
      </c>
      <c r="Q8731" t="s">
        <v>58</v>
      </c>
      <c r="R8731" t="str">
        <f>IFERROR(VLOOKUP(record[[#This Row],[PCUSTID]],廠商[],2,FALSE),"")</f>
        <v/>
      </c>
      <c r="S8731" t="str">
        <f>VLOOKUP(record[[#This Row],[employeeID]],員工[],2,FALSE)</f>
        <v>王奕蓁</v>
      </c>
    </row>
    <row r="8732" spans="6:19" hidden="1" x14ac:dyDescent="0.25">
      <c r="F8732" t="s">
        <v>904</v>
      </c>
      <c r="G8732" t="s">
        <v>412</v>
      </c>
      <c r="H8732" t="str">
        <f>VLOOKUP(record[[#This Row],[ProcessSN]],表格2_7[],2,FALSE)</f>
        <v>30-4118-018-5XX</v>
      </c>
      <c r="I8732" t="str">
        <f>VLOOKUP(record[[#This Row],[ProcessSN]],表格2_7[],3,FALSE)</f>
        <v>#03PICK</v>
      </c>
      <c r="J8732" t="s">
        <v>582</v>
      </c>
      <c r="K8732" s="195">
        <v>45853.470671296294</v>
      </c>
      <c r="L8732">
        <v>1410</v>
      </c>
      <c r="M8732">
        <v>0</v>
      </c>
      <c r="N8732" s="98" t="str">
        <f>IF(record[[#This Row],[Memo]]="Browser:chrome os:android","平板報工",IF(record[[#This Row],[Memo]]=0,"委外",record[[#This Row],[Memo]]))</f>
        <v/>
      </c>
      <c r="O8732" t="s">
        <v>58</v>
      </c>
      <c r="P8732" t="s">
        <v>113</v>
      </c>
      <c r="Q8732" t="s">
        <v>58</v>
      </c>
      <c r="R8732" t="str">
        <f>IFERROR(VLOOKUP(record[[#This Row],[PCUSTID]],廠商[],2,FALSE),"")</f>
        <v/>
      </c>
      <c r="S8732" t="str">
        <f>VLOOKUP(record[[#This Row],[employeeID]],員工[],2,FALSE)</f>
        <v>王奕蓁</v>
      </c>
    </row>
    <row r="8733" spans="6:19" hidden="1" x14ac:dyDescent="0.25">
      <c r="F8733" t="s">
        <v>902</v>
      </c>
      <c r="G8733" t="s">
        <v>371</v>
      </c>
      <c r="H8733" t="str">
        <f>VLOOKUP(record[[#This Row],[ProcessSN]],表格2_7[],2,FALSE)</f>
        <v>30-4118-018-4XX</v>
      </c>
      <c r="I8733" t="str">
        <f>VLOOKUP(record[[#This Row],[ProcessSN]],表格2_7[],3,FALSE)</f>
        <v>#03PICK</v>
      </c>
      <c r="J8733" t="s">
        <v>582</v>
      </c>
      <c r="K8733" s="195">
        <v>45853.470578703702</v>
      </c>
      <c r="L8733">
        <v>1000</v>
      </c>
      <c r="M8733">
        <v>0</v>
      </c>
      <c r="N8733" s="98" t="str">
        <f>IF(record[[#This Row],[Memo]]="Browser:chrome os:android","平板報工",IF(record[[#This Row],[Memo]]=0,"委外",record[[#This Row],[Memo]]))</f>
        <v/>
      </c>
      <c r="O8733" t="s">
        <v>58</v>
      </c>
      <c r="P8733" t="s">
        <v>113</v>
      </c>
      <c r="Q8733" t="s">
        <v>58</v>
      </c>
      <c r="R8733" t="str">
        <f>IFERROR(VLOOKUP(record[[#This Row],[PCUSTID]],廠商[],2,FALSE),"")</f>
        <v/>
      </c>
      <c r="S8733" t="str">
        <f>VLOOKUP(record[[#This Row],[employeeID]],員工[],2,FALSE)</f>
        <v>王奕蓁</v>
      </c>
    </row>
    <row r="8734" spans="6:19" hidden="1" x14ac:dyDescent="0.25">
      <c r="F8734" t="s">
        <v>900</v>
      </c>
      <c r="G8734" t="s">
        <v>445</v>
      </c>
      <c r="H8734" t="str">
        <f>VLOOKUP(record[[#This Row],[ProcessSN]],表格2_7[],2,FALSE)</f>
        <v>30-4118-018-6XX</v>
      </c>
      <c r="I8734" t="str">
        <f>VLOOKUP(record[[#This Row],[ProcessSN]],表格2_7[],3,FALSE)</f>
        <v>#03PICK</v>
      </c>
      <c r="J8734" t="s">
        <v>582</v>
      </c>
      <c r="K8734" s="195">
        <v>45853.470486111109</v>
      </c>
      <c r="L8734">
        <v>1000</v>
      </c>
      <c r="M8734">
        <v>0</v>
      </c>
      <c r="N8734" s="98" t="str">
        <f>IF(record[[#This Row],[Memo]]="Browser:chrome os:android","平板報工",IF(record[[#This Row],[Memo]]=0,"委外",record[[#This Row],[Memo]]))</f>
        <v/>
      </c>
      <c r="O8734" t="s">
        <v>58</v>
      </c>
      <c r="P8734" t="s">
        <v>113</v>
      </c>
      <c r="Q8734" t="s">
        <v>58</v>
      </c>
      <c r="R8734" t="str">
        <f>IFERROR(VLOOKUP(record[[#This Row],[PCUSTID]],廠商[],2,FALSE),"")</f>
        <v/>
      </c>
      <c r="S8734" t="str">
        <f>VLOOKUP(record[[#This Row],[employeeID]],員工[],2,FALSE)</f>
        <v>王奕蓁</v>
      </c>
    </row>
    <row r="8735" spans="6:19" hidden="1" x14ac:dyDescent="0.25">
      <c r="F8735" t="s">
        <v>877</v>
      </c>
      <c r="G8735" t="s">
        <v>419</v>
      </c>
      <c r="H8735" t="str">
        <f>VLOOKUP(record[[#This Row],[ProcessSN]],表格2_7[],2,FALSE)</f>
        <v>30-4118-018-5XX</v>
      </c>
      <c r="I8735" t="str">
        <f>VLOOKUP(record[[#This Row],[ProcessSN]],表格2_7[],3,FALSE)</f>
        <v>#07QC</v>
      </c>
      <c r="J8735" t="s">
        <v>589</v>
      </c>
      <c r="K8735" s="195">
        <v>45853.359305555554</v>
      </c>
      <c r="L8735">
        <v>0</v>
      </c>
      <c r="M8735">
        <v>8</v>
      </c>
      <c r="N8735" s="98" t="str">
        <f>IF(record[[#This Row],[Memo]]="Browser:chrome os:android","平板報工",IF(record[[#This Row],[Memo]]=0,"委外",record[[#This Row],[Memo]]))</f>
        <v>平板報工</v>
      </c>
      <c r="O8735" t="s">
        <v>643</v>
      </c>
      <c r="P8735" t="s">
        <v>141</v>
      </c>
      <c r="Q8735" t="s">
        <v>644</v>
      </c>
      <c r="R8735" t="str">
        <f>IFERROR(VLOOKUP(record[[#This Row],[PCUSTID]],廠商[],2,FALSE),"")</f>
        <v/>
      </c>
      <c r="S8735" t="str">
        <f>VLOOKUP(record[[#This Row],[employeeID]],員工[],2,FALSE)</f>
        <v>蔣梅</v>
      </c>
    </row>
    <row r="8736" spans="6:19" hidden="1" x14ac:dyDescent="0.25">
      <c r="F8736" t="s">
        <v>877</v>
      </c>
      <c r="G8736" t="s">
        <v>419</v>
      </c>
      <c r="H8736" t="str">
        <f>VLOOKUP(record[[#This Row],[ProcessSN]],表格2_7[],2,FALSE)</f>
        <v>30-4118-018-5XX</v>
      </c>
      <c r="I8736" t="str">
        <f>VLOOKUP(record[[#This Row],[ProcessSN]],表格2_7[],3,FALSE)</f>
        <v>#07QC</v>
      </c>
      <c r="J8736" t="s">
        <v>589</v>
      </c>
      <c r="K8736" s="195">
        <v>45853.358946759261</v>
      </c>
      <c r="L8736">
        <v>71</v>
      </c>
      <c r="M8736">
        <v>0</v>
      </c>
      <c r="N8736" s="98" t="str">
        <f>IF(record[[#This Row],[Memo]]="Browser:chrome os:android","平板報工",IF(record[[#This Row],[Memo]]=0,"委外",record[[#This Row],[Memo]]))</f>
        <v>平板報工</v>
      </c>
      <c r="O8736" t="s">
        <v>643</v>
      </c>
      <c r="P8736" t="s">
        <v>141</v>
      </c>
      <c r="Q8736" t="s">
        <v>644</v>
      </c>
      <c r="R8736" t="str">
        <f>IFERROR(VLOOKUP(record[[#This Row],[PCUSTID]],廠商[],2,FALSE),"")</f>
        <v/>
      </c>
      <c r="S8736" t="str">
        <f>VLOOKUP(record[[#This Row],[employeeID]],員工[],2,FALSE)</f>
        <v>蔣梅</v>
      </c>
    </row>
    <row r="8737" spans="6:19" hidden="1" x14ac:dyDescent="0.25">
      <c r="F8737" t="s">
        <v>890</v>
      </c>
      <c r="G8737" t="s">
        <v>427</v>
      </c>
      <c r="H8737" t="str">
        <f>VLOOKUP(record[[#This Row],[ProcessSN]],表格2_7[],2,FALSE)</f>
        <v>30-4118-018-600</v>
      </c>
      <c r="I8737" t="str">
        <f>VLOOKUP(record[[#This Row],[ProcessSN]],表格2_7[],3,FALSE)</f>
        <v>#100STOCK</v>
      </c>
      <c r="J8737" t="s">
        <v>592</v>
      </c>
      <c r="K8737" s="195">
        <v>45853.33797453704</v>
      </c>
      <c r="L8737">
        <v>431</v>
      </c>
      <c r="M8737">
        <v>0</v>
      </c>
      <c r="N8737" s="98" t="str">
        <f>IF(record[[#This Row],[Memo]]="Browser:chrome os:android","平板報工",IF(record[[#This Row],[Memo]]=0,"委外",record[[#This Row],[Memo]]))</f>
        <v/>
      </c>
      <c r="O8737" t="s">
        <v>58</v>
      </c>
      <c r="P8737" t="s">
        <v>886</v>
      </c>
      <c r="Q8737" t="s">
        <v>58</v>
      </c>
      <c r="R8737" t="str">
        <f>IFERROR(VLOOKUP(record[[#This Row],[PCUSTID]],廠商[],2,FALSE),"")</f>
        <v/>
      </c>
      <c r="S8737" t="str">
        <f>VLOOKUP(record[[#This Row],[employeeID]],員工[],2,FALSE)</f>
        <v>謝蓁薰</v>
      </c>
    </row>
    <row r="8738" spans="6:19" hidden="1" x14ac:dyDescent="0.25">
      <c r="F8738" t="s">
        <v>877</v>
      </c>
      <c r="G8738" t="s">
        <v>418</v>
      </c>
      <c r="H8738" t="str">
        <f>VLOOKUP(record[[#This Row],[ProcessSN]],表格2_7[],2,FALSE)</f>
        <v>30-4118-018-5XX</v>
      </c>
      <c r="I8738" t="str">
        <f>VLOOKUP(record[[#This Row],[ProcessSN]],表格2_7[],3,FALSE)</f>
        <v>#07</v>
      </c>
      <c r="J8738" t="s">
        <v>588</v>
      </c>
      <c r="K8738" s="195">
        <v>45853.313159722224</v>
      </c>
      <c r="L8738">
        <v>62</v>
      </c>
      <c r="M8738">
        <v>4</v>
      </c>
      <c r="N8738" s="98" t="str">
        <f>IF(record[[#This Row],[Memo]]="Browser:chrome os:android","平板報工",IF(record[[#This Row],[Memo]]=0,"委外",record[[#This Row],[Memo]]))</f>
        <v/>
      </c>
      <c r="O8738" t="s">
        <v>58</v>
      </c>
      <c r="P8738" t="s">
        <v>135</v>
      </c>
      <c r="Q8738" t="s">
        <v>58</v>
      </c>
      <c r="R8738" t="str">
        <f>IFERROR(VLOOKUP(record[[#This Row],[PCUSTID]],廠商[],2,FALSE),"")</f>
        <v/>
      </c>
      <c r="S8738" t="str">
        <f>VLOOKUP(record[[#This Row],[employeeID]],員工[],2,FALSE)</f>
        <v>阮士文</v>
      </c>
    </row>
    <row r="8739" spans="6:19" hidden="1" x14ac:dyDescent="0.25">
      <c r="F8739" t="s">
        <v>877</v>
      </c>
      <c r="G8739" t="s">
        <v>417</v>
      </c>
      <c r="H8739" t="str">
        <f>VLOOKUP(record[[#This Row],[ProcessSN]],表格2_7[],2,FALSE)</f>
        <v>30-4118-018-5XX</v>
      </c>
      <c r="I8739" t="str">
        <f>VLOOKUP(record[[#This Row],[ProcessSN]],表格2_7[],3,FALSE)</f>
        <v>#06</v>
      </c>
      <c r="J8739" t="s">
        <v>593</v>
      </c>
      <c r="K8739" s="195">
        <v>45853.312997685185</v>
      </c>
      <c r="L8739">
        <v>66</v>
      </c>
      <c r="M8739">
        <v>0</v>
      </c>
      <c r="N8739" s="98" t="str">
        <f>IF(record[[#This Row],[Memo]]="Browser:chrome os:android","平板報工",IF(record[[#This Row],[Memo]]=0,"委外",record[[#This Row],[Memo]]))</f>
        <v/>
      </c>
      <c r="O8739" t="s">
        <v>58</v>
      </c>
      <c r="P8739" t="s">
        <v>135</v>
      </c>
      <c r="Q8739" t="s">
        <v>58</v>
      </c>
      <c r="R8739" t="str">
        <f>IFERROR(VLOOKUP(record[[#This Row],[PCUSTID]],廠商[],2,FALSE),"")</f>
        <v/>
      </c>
      <c r="S8739" t="str">
        <f>VLOOKUP(record[[#This Row],[employeeID]],員工[],2,FALSE)</f>
        <v>阮士文</v>
      </c>
    </row>
    <row r="8740" spans="6:19" hidden="1" x14ac:dyDescent="0.25">
      <c r="F8740" t="s">
        <v>877</v>
      </c>
      <c r="G8740" t="s">
        <v>416</v>
      </c>
      <c r="H8740" t="str">
        <f>VLOOKUP(record[[#This Row],[ProcessSN]],表格2_7[],2,FALSE)</f>
        <v>30-4118-018-5XX</v>
      </c>
      <c r="I8740" t="str">
        <f>VLOOKUP(record[[#This Row],[ProcessSN]],表格2_7[],3,FALSE)</f>
        <v>#05</v>
      </c>
      <c r="J8740" t="s">
        <v>588</v>
      </c>
      <c r="K8740" s="195">
        <v>45853.312800925924</v>
      </c>
      <c r="L8740">
        <v>66</v>
      </c>
      <c r="M8740">
        <v>0</v>
      </c>
      <c r="N8740" s="98" t="str">
        <f>IF(record[[#This Row],[Memo]]="Browser:chrome os:android","平板報工",IF(record[[#This Row],[Memo]]=0,"委外",record[[#This Row],[Memo]]))</f>
        <v/>
      </c>
      <c r="O8740" t="s">
        <v>58</v>
      </c>
      <c r="P8740" t="s">
        <v>135</v>
      </c>
      <c r="Q8740" t="s">
        <v>58</v>
      </c>
      <c r="R8740" t="str">
        <f>IFERROR(VLOOKUP(record[[#This Row],[PCUSTID]],廠商[],2,FALSE),"")</f>
        <v/>
      </c>
      <c r="S8740" t="str">
        <f>VLOOKUP(record[[#This Row],[employeeID]],員工[],2,FALSE)</f>
        <v>阮士文</v>
      </c>
    </row>
    <row r="8741" spans="6:19" hidden="1" x14ac:dyDescent="0.25">
      <c r="F8741" t="s">
        <v>877</v>
      </c>
      <c r="G8741" t="s">
        <v>415</v>
      </c>
      <c r="H8741" t="str">
        <f>VLOOKUP(record[[#This Row],[ProcessSN]],表格2_7[],2,FALSE)</f>
        <v>30-4118-018-5XX</v>
      </c>
      <c r="I8741" t="str">
        <f>VLOOKUP(record[[#This Row],[ProcessSN]],表格2_7[],3,FALSE)</f>
        <v>#04</v>
      </c>
      <c r="J8741" t="s">
        <v>588</v>
      </c>
      <c r="K8741" s="195">
        <v>45853.312650462962</v>
      </c>
      <c r="L8741">
        <v>66</v>
      </c>
      <c r="M8741">
        <v>2</v>
      </c>
      <c r="N8741" s="98" t="str">
        <f>IF(record[[#This Row],[Memo]]="Browser:chrome os:android","平板報工",IF(record[[#This Row],[Memo]]=0,"委外",record[[#This Row],[Memo]]))</f>
        <v/>
      </c>
      <c r="O8741" t="s">
        <v>58</v>
      </c>
      <c r="P8741" t="s">
        <v>135</v>
      </c>
      <c r="Q8741" t="s">
        <v>58</v>
      </c>
      <c r="R8741" t="str">
        <f>IFERROR(VLOOKUP(record[[#This Row],[PCUSTID]],廠商[],2,FALSE),"")</f>
        <v/>
      </c>
      <c r="S8741" t="str">
        <f>VLOOKUP(record[[#This Row],[employeeID]],員工[],2,FALSE)</f>
        <v>阮士文</v>
      </c>
    </row>
    <row r="8742" spans="6:19" hidden="1" x14ac:dyDescent="0.25">
      <c r="F8742" t="s">
        <v>877</v>
      </c>
      <c r="G8742" t="s">
        <v>418</v>
      </c>
      <c r="H8742" t="str">
        <f>VLOOKUP(record[[#This Row],[ProcessSN]],表格2_7[],2,FALSE)</f>
        <v>30-4118-018-5XX</v>
      </c>
      <c r="I8742" t="str">
        <f>VLOOKUP(record[[#This Row],[ProcessSN]],表格2_7[],3,FALSE)</f>
        <v>#07</v>
      </c>
      <c r="J8742" t="s">
        <v>588</v>
      </c>
      <c r="K8742" s="195">
        <v>45852.949178240742</v>
      </c>
      <c r="L8742">
        <v>114</v>
      </c>
      <c r="M8742">
        <v>0</v>
      </c>
      <c r="N8742" s="98" t="str">
        <f>IF(record[[#This Row],[Memo]]="Browser:chrome os:android","平板報工",IF(record[[#This Row],[Memo]]=0,"委外",record[[#This Row],[Memo]]))</f>
        <v>平板報工</v>
      </c>
      <c r="O8742" t="s">
        <v>643</v>
      </c>
      <c r="P8742" t="s">
        <v>133</v>
      </c>
      <c r="Q8742" t="s">
        <v>644</v>
      </c>
      <c r="R8742" t="str">
        <f>IFERROR(VLOOKUP(record[[#This Row],[PCUSTID]],廠商[],2,FALSE),"")</f>
        <v/>
      </c>
      <c r="S8742" t="str">
        <f>VLOOKUP(record[[#This Row],[employeeID]],員工[],2,FALSE)</f>
        <v>黎長維</v>
      </c>
    </row>
    <row r="8743" spans="6:19" hidden="1" x14ac:dyDescent="0.25">
      <c r="F8743" t="s">
        <v>877</v>
      </c>
      <c r="G8743" t="s">
        <v>417</v>
      </c>
      <c r="H8743" t="str">
        <f>VLOOKUP(record[[#This Row],[ProcessSN]],表格2_7[],2,FALSE)</f>
        <v>30-4118-018-5XX</v>
      </c>
      <c r="I8743" t="str">
        <f>VLOOKUP(record[[#This Row],[ProcessSN]],表格2_7[],3,FALSE)</f>
        <v>#06</v>
      </c>
      <c r="J8743" t="s">
        <v>593</v>
      </c>
      <c r="K8743" s="195">
        <v>45852.948807870373</v>
      </c>
      <c r="L8743">
        <v>114</v>
      </c>
      <c r="M8743">
        <v>11</v>
      </c>
      <c r="N8743" s="98" t="str">
        <f>IF(record[[#This Row],[Memo]]="Browser:chrome os:android","平板報工",IF(record[[#This Row],[Memo]]=0,"委外",record[[#This Row],[Memo]]))</f>
        <v>平板報工</v>
      </c>
      <c r="O8743" t="s">
        <v>643</v>
      </c>
      <c r="P8743" t="s">
        <v>176</v>
      </c>
      <c r="Q8743" t="s">
        <v>644</v>
      </c>
      <c r="R8743" t="str">
        <f>IFERROR(VLOOKUP(record[[#This Row],[PCUSTID]],廠商[],2,FALSE),"")</f>
        <v/>
      </c>
      <c r="S8743" t="str">
        <f>VLOOKUP(record[[#This Row],[employeeID]],員工[],2,FALSE)</f>
        <v>郭政雄</v>
      </c>
    </row>
    <row r="8744" spans="6:19" hidden="1" x14ac:dyDescent="0.25">
      <c r="F8744" t="s">
        <v>877</v>
      </c>
      <c r="G8744" t="s">
        <v>416</v>
      </c>
      <c r="H8744" t="str">
        <f>VLOOKUP(record[[#This Row],[ProcessSN]],表格2_7[],2,FALSE)</f>
        <v>30-4118-018-5XX</v>
      </c>
      <c r="I8744" t="str">
        <f>VLOOKUP(record[[#This Row],[ProcessSN]],表格2_7[],3,FALSE)</f>
        <v>#05</v>
      </c>
      <c r="J8744" t="s">
        <v>588</v>
      </c>
      <c r="K8744" s="195">
        <v>45852.948333333334</v>
      </c>
      <c r="L8744">
        <v>125</v>
      </c>
      <c r="M8744">
        <v>0</v>
      </c>
      <c r="N8744" s="98" t="str">
        <f>IF(record[[#This Row],[Memo]]="Browser:chrome os:android","平板報工",IF(record[[#This Row],[Memo]]=0,"委外",record[[#This Row],[Memo]]))</f>
        <v>平板報工</v>
      </c>
      <c r="O8744" t="s">
        <v>643</v>
      </c>
      <c r="P8744" t="s">
        <v>806</v>
      </c>
      <c r="Q8744" t="s">
        <v>644</v>
      </c>
      <c r="R8744" t="str">
        <f>IFERROR(VLOOKUP(record[[#This Row],[PCUSTID]],廠商[],2,FALSE),"")</f>
        <v/>
      </c>
      <c r="S8744" t="str">
        <f>VLOOKUP(record[[#This Row],[employeeID]],員工[],2,FALSE)</f>
        <v>方思緯</v>
      </c>
    </row>
    <row r="8745" spans="6:19" hidden="1" x14ac:dyDescent="0.25">
      <c r="F8745" t="s">
        <v>877</v>
      </c>
      <c r="G8745" t="s">
        <v>415</v>
      </c>
      <c r="H8745" t="str">
        <f>VLOOKUP(record[[#This Row],[ProcessSN]],表格2_7[],2,FALSE)</f>
        <v>30-4118-018-5XX</v>
      </c>
      <c r="I8745" t="str">
        <f>VLOOKUP(record[[#This Row],[ProcessSN]],表格2_7[],3,FALSE)</f>
        <v>#04</v>
      </c>
      <c r="J8745" t="s">
        <v>588</v>
      </c>
      <c r="K8745" s="195">
        <v>45852.947268518517</v>
      </c>
      <c r="L8745">
        <v>125</v>
      </c>
      <c r="M8745">
        <v>7</v>
      </c>
      <c r="N8745" s="98" t="str">
        <f>IF(record[[#This Row],[Memo]]="Browser:chrome os:android","平板報工",IF(record[[#This Row],[Memo]]=0,"委外",record[[#This Row],[Memo]]))</f>
        <v>平板報工</v>
      </c>
      <c r="O8745" t="s">
        <v>643</v>
      </c>
      <c r="P8745" t="s">
        <v>133</v>
      </c>
      <c r="Q8745" t="s">
        <v>644</v>
      </c>
      <c r="R8745" t="str">
        <f>IFERROR(VLOOKUP(record[[#This Row],[PCUSTID]],廠商[],2,FALSE),"")</f>
        <v/>
      </c>
      <c r="S8745" t="str">
        <f>VLOOKUP(record[[#This Row],[employeeID]],員工[],2,FALSE)</f>
        <v>黎長維</v>
      </c>
    </row>
    <row r="8746" spans="6:19" hidden="1" x14ac:dyDescent="0.25">
      <c r="F8746" t="s">
        <v>890</v>
      </c>
      <c r="G8746" t="s">
        <v>426</v>
      </c>
      <c r="H8746" t="str">
        <f>VLOOKUP(record[[#This Row],[ProcessSN]],表格2_7[],2,FALSE)</f>
        <v>30-4118-018-600</v>
      </c>
      <c r="I8746" t="str">
        <f>VLOOKUP(record[[#This Row],[ProcessSN]],表格2_7[],3,FALSE)</f>
        <v>#100OQC</v>
      </c>
      <c r="J8746" t="s">
        <v>599</v>
      </c>
      <c r="K8746" s="195">
        <v>45852.80537037037</v>
      </c>
      <c r="L8746">
        <v>431</v>
      </c>
      <c r="M8746">
        <v>0</v>
      </c>
      <c r="N8746" s="98" t="str">
        <f>IF(record[[#This Row],[Memo]]="Browser:chrome os:android","平板報工",IF(record[[#This Row],[Memo]]=0,"委外",record[[#This Row],[Memo]]))</f>
        <v/>
      </c>
      <c r="O8746" t="s">
        <v>58</v>
      </c>
      <c r="P8746" t="s">
        <v>121</v>
      </c>
      <c r="Q8746" t="s">
        <v>58</v>
      </c>
      <c r="R8746" t="str">
        <f>IFERROR(VLOOKUP(record[[#This Row],[PCUSTID]],廠商[],2,FALSE),"")</f>
        <v/>
      </c>
      <c r="S8746" t="str">
        <f>VLOOKUP(record[[#This Row],[employeeID]],員工[],2,FALSE)</f>
        <v>謝素卿</v>
      </c>
    </row>
    <row r="8747" spans="6:19" hidden="1" x14ac:dyDescent="0.25">
      <c r="F8747" t="s">
        <v>890</v>
      </c>
      <c r="G8747" t="s">
        <v>425</v>
      </c>
      <c r="H8747" t="str">
        <f>VLOOKUP(record[[#This Row],[ProcessSN]],表格2_7[],2,FALSE)</f>
        <v>30-4118-018-600</v>
      </c>
      <c r="I8747" t="str">
        <f>VLOOKUP(record[[#This Row],[ProcessSN]],表格2_7[],3,FALSE)</f>
        <v>#100</v>
      </c>
      <c r="J8747" t="s">
        <v>598</v>
      </c>
      <c r="K8747" s="195">
        <v>45852.7422337963</v>
      </c>
      <c r="L8747">
        <v>0</v>
      </c>
      <c r="M8747">
        <v>38</v>
      </c>
      <c r="N8747" s="98" t="str">
        <f>IF(record[[#This Row],[Memo]]="Browser:chrome os:android","平板報工",IF(record[[#This Row],[Memo]]=0,"委外",record[[#This Row],[Memo]]))</f>
        <v>平板報工</v>
      </c>
      <c r="O8747" t="s">
        <v>643</v>
      </c>
      <c r="P8747" t="s">
        <v>141</v>
      </c>
      <c r="Q8747" t="s">
        <v>644</v>
      </c>
      <c r="R8747" t="str">
        <f>IFERROR(VLOOKUP(record[[#This Row],[PCUSTID]],廠商[],2,FALSE),"")</f>
        <v/>
      </c>
      <c r="S8747" t="str">
        <f>VLOOKUP(record[[#This Row],[employeeID]],員工[],2,FALSE)</f>
        <v>蔣梅</v>
      </c>
    </row>
    <row r="8748" spans="6:19" hidden="1" x14ac:dyDescent="0.25">
      <c r="F8748" t="s">
        <v>890</v>
      </c>
      <c r="G8748" t="s">
        <v>425</v>
      </c>
      <c r="H8748" t="str">
        <f>VLOOKUP(record[[#This Row],[ProcessSN]],表格2_7[],2,FALSE)</f>
        <v>30-4118-018-600</v>
      </c>
      <c r="I8748" t="str">
        <f>VLOOKUP(record[[#This Row],[ProcessSN]],表格2_7[],3,FALSE)</f>
        <v>#100</v>
      </c>
      <c r="J8748" t="s">
        <v>598</v>
      </c>
      <c r="K8748" s="195">
        <v>45852.741273148145</v>
      </c>
      <c r="L8748">
        <v>431</v>
      </c>
      <c r="M8748">
        <v>0</v>
      </c>
      <c r="N8748" s="98" t="str">
        <f>IF(record[[#This Row],[Memo]]="Browser:chrome os:android","平板報工",IF(record[[#This Row],[Memo]]=0,"委外",record[[#This Row],[Memo]]))</f>
        <v>平板報工</v>
      </c>
      <c r="O8748" t="s">
        <v>643</v>
      </c>
      <c r="P8748" t="s">
        <v>141</v>
      </c>
      <c r="Q8748" t="s">
        <v>644</v>
      </c>
      <c r="R8748" t="str">
        <f>IFERROR(VLOOKUP(record[[#This Row],[PCUSTID]],廠商[],2,FALSE),"")</f>
        <v/>
      </c>
      <c r="S8748" t="str">
        <f>VLOOKUP(record[[#This Row],[employeeID]],員工[],2,FALSE)</f>
        <v>蔣梅</v>
      </c>
    </row>
    <row r="8749" spans="6:19" hidden="1" x14ac:dyDescent="0.25">
      <c r="F8749" t="s">
        <v>879</v>
      </c>
      <c r="G8749" t="s">
        <v>402</v>
      </c>
      <c r="H8749" t="str">
        <f>VLOOKUP(record[[#This Row],[ProcessSN]],表格2_7[],2,FALSE)</f>
        <v>30-4118-018-550</v>
      </c>
      <c r="I8749" t="str">
        <f>VLOOKUP(record[[#This Row],[ProcessSN]],表格2_7[],3,FALSE)</f>
        <v>#100STOCK</v>
      </c>
      <c r="J8749" t="s">
        <v>592</v>
      </c>
      <c r="K8749" s="195">
        <v>45852.66715277778</v>
      </c>
      <c r="L8749">
        <v>91</v>
      </c>
      <c r="M8749">
        <v>0</v>
      </c>
      <c r="N8749" s="98" t="str">
        <f>IF(record[[#This Row],[Memo]]="Browser:chrome os:android","平板報工",IF(record[[#This Row],[Memo]]=0,"委外",record[[#This Row],[Memo]]))</f>
        <v/>
      </c>
      <c r="O8749" t="s">
        <v>58</v>
      </c>
      <c r="P8749" t="s">
        <v>886</v>
      </c>
      <c r="Q8749" t="s">
        <v>58</v>
      </c>
      <c r="R8749" t="str">
        <f>IFERROR(VLOOKUP(record[[#This Row],[PCUSTID]],廠商[],2,FALSE),"")</f>
        <v/>
      </c>
      <c r="S8749" t="str">
        <f>VLOOKUP(record[[#This Row],[employeeID]],員工[],2,FALSE)</f>
        <v>謝蓁薰</v>
      </c>
    </row>
    <row r="8750" spans="6:19" hidden="1" x14ac:dyDescent="0.25">
      <c r="F8750" t="s">
        <v>881</v>
      </c>
      <c r="G8750" t="s">
        <v>402</v>
      </c>
      <c r="H8750" t="str">
        <f>VLOOKUP(record[[#This Row],[ProcessSN]],表格2_7[],2,FALSE)</f>
        <v>30-4118-018-550</v>
      </c>
      <c r="I8750" t="str">
        <f>VLOOKUP(record[[#This Row],[ProcessSN]],表格2_7[],3,FALSE)</f>
        <v>#100STOCK</v>
      </c>
      <c r="J8750" t="s">
        <v>592</v>
      </c>
      <c r="K8750" s="195">
        <v>45852.666921296295</v>
      </c>
      <c r="L8750">
        <v>29</v>
      </c>
      <c r="M8750">
        <v>0</v>
      </c>
      <c r="N8750" s="98" t="str">
        <f>IF(record[[#This Row],[Memo]]="Browser:chrome os:android","平板報工",IF(record[[#This Row],[Memo]]=0,"委外",record[[#This Row],[Memo]]))</f>
        <v/>
      </c>
      <c r="O8750" t="s">
        <v>58</v>
      </c>
      <c r="P8750" t="s">
        <v>886</v>
      </c>
      <c r="Q8750" t="s">
        <v>58</v>
      </c>
      <c r="R8750" t="str">
        <f>IFERROR(VLOOKUP(record[[#This Row],[PCUSTID]],廠商[],2,FALSE),"")</f>
        <v/>
      </c>
      <c r="S8750" t="str">
        <f>VLOOKUP(record[[#This Row],[employeeID]],員工[],2,FALSE)</f>
        <v>謝蓁薰</v>
      </c>
    </row>
    <row r="8751" spans="6:19" hidden="1" x14ac:dyDescent="0.25">
      <c r="F8751" t="s">
        <v>877</v>
      </c>
      <c r="G8751" t="s">
        <v>418</v>
      </c>
      <c r="H8751" t="str">
        <f>VLOOKUP(record[[#This Row],[ProcessSN]],表格2_7[],2,FALSE)</f>
        <v>30-4118-018-5XX</v>
      </c>
      <c r="I8751" t="str">
        <f>VLOOKUP(record[[#This Row],[ProcessSN]],表格2_7[],3,FALSE)</f>
        <v>#07</v>
      </c>
      <c r="J8751" t="s">
        <v>588</v>
      </c>
      <c r="K8751" s="195">
        <v>45852.646851851852</v>
      </c>
      <c r="L8751">
        <v>16</v>
      </c>
      <c r="M8751">
        <v>1</v>
      </c>
      <c r="N8751" s="98" t="str">
        <f>IF(record[[#This Row],[Memo]]="Browser:chrome os:android","平板報工",IF(record[[#This Row],[Memo]]=0,"委外",record[[#This Row],[Memo]]))</f>
        <v/>
      </c>
      <c r="O8751" t="s">
        <v>58</v>
      </c>
      <c r="P8751" t="s">
        <v>119</v>
      </c>
      <c r="Q8751" t="s">
        <v>58</v>
      </c>
      <c r="R8751" t="str">
        <f>IFERROR(VLOOKUP(record[[#This Row],[PCUSTID]],廠商[],2,FALSE),"")</f>
        <v/>
      </c>
      <c r="S8751" t="str">
        <f>VLOOKUP(record[[#This Row],[employeeID]],員工[],2,FALSE)</f>
        <v>廖俊彥</v>
      </c>
    </row>
    <row r="8752" spans="6:19" hidden="1" x14ac:dyDescent="0.25">
      <c r="F8752" t="s">
        <v>877</v>
      </c>
      <c r="G8752" t="s">
        <v>417</v>
      </c>
      <c r="H8752" t="str">
        <f>VLOOKUP(record[[#This Row],[ProcessSN]],表格2_7[],2,FALSE)</f>
        <v>30-4118-018-5XX</v>
      </c>
      <c r="I8752" t="str">
        <f>VLOOKUP(record[[#This Row],[ProcessSN]],表格2_7[],3,FALSE)</f>
        <v>#06</v>
      </c>
      <c r="J8752" t="s">
        <v>593</v>
      </c>
      <c r="K8752" s="195">
        <v>45852.646620370368</v>
      </c>
      <c r="L8752">
        <v>17</v>
      </c>
      <c r="M8752">
        <v>10</v>
      </c>
      <c r="N8752" s="98" t="str">
        <f>IF(record[[#This Row],[Memo]]="Browser:chrome os:android","平板報工",IF(record[[#This Row],[Memo]]=0,"委外",record[[#This Row],[Memo]]))</f>
        <v/>
      </c>
      <c r="O8752" t="s">
        <v>58</v>
      </c>
      <c r="P8752" t="s">
        <v>119</v>
      </c>
      <c r="Q8752" t="s">
        <v>58</v>
      </c>
      <c r="R8752" t="str">
        <f>IFERROR(VLOOKUP(record[[#This Row],[PCUSTID]],廠商[],2,FALSE),"")</f>
        <v/>
      </c>
      <c r="S8752" t="str">
        <f>VLOOKUP(record[[#This Row],[employeeID]],員工[],2,FALSE)</f>
        <v>廖俊彥</v>
      </c>
    </row>
    <row r="8753" spans="6:19" hidden="1" x14ac:dyDescent="0.25">
      <c r="F8753" t="s">
        <v>877</v>
      </c>
      <c r="G8753" t="s">
        <v>416</v>
      </c>
      <c r="H8753" t="str">
        <f>VLOOKUP(record[[#This Row],[ProcessSN]],表格2_7[],2,FALSE)</f>
        <v>30-4118-018-5XX</v>
      </c>
      <c r="I8753" t="str">
        <f>VLOOKUP(record[[#This Row],[ProcessSN]],表格2_7[],3,FALSE)</f>
        <v>#05</v>
      </c>
      <c r="J8753" t="s">
        <v>588</v>
      </c>
      <c r="K8753" s="195">
        <v>45852.646504629629</v>
      </c>
      <c r="L8753">
        <v>27</v>
      </c>
      <c r="M8753">
        <v>0</v>
      </c>
      <c r="N8753" s="98" t="str">
        <f>IF(record[[#This Row],[Memo]]="Browser:chrome os:android","平板報工",IF(record[[#This Row],[Memo]]=0,"委外",record[[#This Row],[Memo]]))</f>
        <v/>
      </c>
      <c r="O8753" t="s">
        <v>58</v>
      </c>
      <c r="P8753" t="s">
        <v>119</v>
      </c>
      <c r="Q8753" t="s">
        <v>58</v>
      </c>
      <c r="R8753" t="str">
        <f>IFERROR(VLOOKUP(record[[#This Row],[PCUSTID]],廠商[],2,FALSE),"")</f>
        <v/>
      </c>
      <c r="S8753" t="str">
        <f>VLOOKUP(record[[#This Row],[employeeID]],員工[],2,FALSE)</f>
        <v>廖俊彥</v>
      </c>
    </row>
    <row r="8754" spans="6:19" hidden="1" x14ac:dyDescent="0.25">
      <c r="F8754" t="s">
        <v>877</v>
      </c>
      <c r="G8754" t="s">
        <v>415</v>
      </c>
      <c r="H8754" t="str">
        <f>VLOOKUP(record[[#This Row],[ProcessSN]],表格2_7[],2,FALSE)</f>
        <v>30-4118-018-5XX</v>
      </c>
      <c r="I8754" t="str">
        <f>VLOOKUP(record[[#This Row],[ProcessSN]],表格2_7[],3,FALSE)</f>
        <v>#04</v>
      </c>
      <c r="J8754" t="s">
        <v>588</v>
      </c>
      <c r="K8754" s="195">
        <v>45852.646307870367</v>
      </c>
      <c r="L8754">
        <v>27</v>
      </c>
      <c r="M8754">
        <v>4</v>
      </c>
      <c r="N8754" s="98" t="str">
        <f>IF(record[[#This Row],[Memo]]="Browser:chrome os:android","平板報工",IF(record[[#This Row],[Memo]]=0,"委外",record[[#This Row],[Memo]]))</f>
        <v/>
      </c>
      <c r="O8754" t="s">
        <v>58</v>
      </c>
      <c r="P8754" t="s">
        <v>119</v>
      </c>
      <c r="Q8754" t="s">
        <v>58</v>
      </c>
      <c r="R8754" t="str">
        <f>IFERROR(VLOOKUP(record[[#This Row],[PCUSTID]],廠商[],2,FALSE),"")</f>
        <v/>
      </c>
      <c r="S8754" t="str">
        <f>VLOOKUP(record[[#This Row],[employeeID]],員工[],2,FALSE)</f>
        <v>廖俊彥</v>
      </c>
    </row>
    <row r="8755" spans="6:19" hidden="1" x14ac:dyDescent="0.25">
      <c r="F8755" t="s">
        <v>884</v>
      </c>
      <c r="G8755" t="s">
        <v>427</v>
      </c>
      <c r="H8755" t="str">
        <f>VLOOKUP(record[[#This Row],[ProcessSN]],表格2_7[],2,FALSE)</f>
        <v>30-4118-018-600</v>
      </c>
      <c r="I8755" t="str">
        <f>VLOOKUP(record[[#This Row],[ProcessSN]],表格2_7[],3,FALSE)</f>
        <v>#100STOCK</v>
      </c>
      <c r="J8755" t="s">
        <v>592</v>
      </c>
      <c r="K8755" s="195">
        <v>45852.608344907407</v>
      </c>
      <c r="L8755">
        <v>103</v>
      </c>
      <c r="M8755">
        <v>0</v>
      </c>
      <c r="N8755" s="98" t="str">
        <f>IF(record[[#This Row],[Memo]]="Browser:chrome os:android","平板報工",IF(record[[#This Row],[Memo]]=0,"委外",record[[#This Row],[Memo]]))</f>
        <v/>
      </c>
      <c r="O8755" t="s">
        <v>58</v>
      </c>
      <c r="P8755" t="s">
        <v>886</v>
      </c>
      <c r="Q8755" t="s">
        <v>58</v>
      </c>
      <c r="R8755" t="str">
        <f>IFERROR(VLOOKUP(record[[#This Row],[PCUSTID]],廠商[],2,FALSE),"")</f>
        <v/>
      </c>
      <c r="S8755" t="str">
        <f>VLOOKUP(record[[#This Row],[employeeID]],員工[],2,FALSE)</f>
        <v>謝蓁薰</v>
      </c>
    </row>
    <row r="8756" spans="6:19" hidden="1" x14ac:dyDescent="0.25">
      <c r="F8756" t="s">
        <v>879</v>
      </c>
      <c r="G8756" t="s">
        <v>403</v>
      </c>
      <c r="H8756" t="str">
        <f>VLOOKUP(record[[#This Row],[ProcessSN]],表格2_7[],2,FALSE)</f>
        <v>30-4118-018-550</v>
      </c>
      <c r="I8756" t="str">
        <f>VLOOKUP(record[[#This Row],[ProcessSN]],表格2_7[],3,FALSE)</f>
        <v>#100SHIP</v>
      </c>
      <c r="J8756" t="s">
        <v>600</v>
      </c>
      <c r="K8756" s="195">
        <v>45852.605486111112</v>
      </c>
      <c r="L8756">
        <v>74</v>
      </c>
      <c r="M8756">
        <v>0</v>
      </c>
      <c r="N8756" s="98" t="str">
        <f>IF(record[[#This Row],[Memo]]="Browser:chrome os:android","平板報工",IF(record[[#This Row],[Memo]]=0,"委外",record[[#This Row],[Memo]]))</f>
        <v/>
      </c>
      <c r="O8756" t="s">
        <v>58</v>
      </c>
      <c r="P8756" t="s">
        <v>886</v>
      </c>
      <c r="Q8756" t="s">
        <v>58</v>
      </c>
      <c r="R8756" t="str">
        <f>IFERROR(VLOOKUP(record[[#This Row],[PCUSTID]],廠商[],2,FALSE),"")</f>
        <v/>
      </c>
      <c r="S8756" t="str">
        <f>VLOOKUP(record[[#This Row],[employeeID]],員工[],2,FALSE)</f>
        <v>謝蓁薰</v>
      </c>
    </row>
    <row r="8757" spans="6:19" hidden="1" x14ac:dyDescent="0.25">
      <c r="F8757" t="s">
        <v>879</v>
      </c>
      <c r="G8757" t="s">
        <v>402</v>
      </c>
      <c r="H8757" t="str">
        <f>VLOOKUP(record[[#This Row],[ProcessSN]],表格2_7[],2,FALSE)</f>
        <v>30-4118-018-550</v>
      </c>
      <c r="I8757" t="str">
        <f>VLOOKUP(record[[#This Row],[ProcessSN]],表格2_7[],3,FALSE)</f>
        <v>#100STOCK</v>
      </c>
      <c r="J8757" t="s">
        <v>592</v>
      </c>
      <c r="K8757" s="195">
        <v>45852.605347222219</v>
      </c>
      <c r="L8757">
        <v>74</v>
      </c>
      <c r="M8757">
        <v>0</v>
      </c>
      <c r="N8757" s="98" t="str">
        <f>IF(record[[#This Row],[Memo]]="Browser:chrome os:android","平板報工",IF(record[[#This Row],[Memo]]=0,"委外",record[[#This Row],[Memo]]))</f>
        <v/>
      </c>
      <c r="O8757" t="s">
        <v>58</v>
      </c>
      <c r="P8757" t="s">
        <v>886</v>
      </c>
      <c r="Q8757" t="s">
        <v>58</v>
      </c>
      <c r="R8757" t="str">
        <f>IFERROR(VLOOKUP(record[[#This Row],[PCUSTID]],廠商[],2,FALSE),"")</f>
        <v/>
      </c>
      <c r="S8757" t="str">
        <f>VLOOKUP(record[[#This Row],[employeeID]],員工[],2,FALSE)</f>
        <v>謝蓁薰</v>
      </c>
    </row>
    <row r="8758" spans="6:19" hidden="1" x14ac:dyDescent="0.25">
      <c r="F8758" t="s">
        <v>881</v>
      </c>
      <c r="G8758" t="s">
        <v>403</v>
      </c>
      <c r="H8758" t="str">
        <f>VLOOKUP(record[[#This Row],[ProcessSN]],表格2_7[],2,FALSE)</f>
        <v>30-4118-018-550</v>
      </c>
      <c r="I8758" t="str">
        <f>VLOOKUP(record[[#This Row],[ProcessSN]],表格2_7[],3,FALSE)</f>
        <v>#100SHIP</v>
      </c>
      <c r="J8758" t="s">
        <v>600</v>
      </c>
      <c r="K8758" s="195">
        <v>45852.60496527778</v>
      </c>
      <c r="L8758">
        <v>336</v>
      </c>
      <c r="M8758">
        <v>0</v>
      </c>
      <c r="N8758" s="98" t="str">
        <f>IF(record[[#This Row],[Memo]]="Browser:chrome os:android","平板報工",IF(record[[#This Row],[Memo]]=0,"委外",record[[#This Row],[Memo]]))</f>
        <v/>
      </c>
      <c r="O8758" t="s">
        <v>58</v>
      </c>
      <c r="P8758" t="s">
        <v>886</v>
      </c>
      <c r="Q8758" t="s">
        <v>58</v>
      </c>
      <c r="R8758" t="str">
        <f>IFERROR(VLOOKUP(record[[#This Row],[PCUSTID]],廠商[],2,FALSE),"")</f>
        <v/>
      </c>
      <c r="S8758" t="str">
        <f>VLOOKUP(record[[#This Row],[employeeID]],員工[],2,FALSE)</f>
        <v>謝蓁薰</v>
      </c>
    </row>
    <row r="8759" spans="6:19" hidden="1" x14ac:dyDescent="0.25">
      <c r="F8759" t="s">
        <v>881</v>
      </c>
      <c r="G8759" t="s">
        <v>402</v>
      </c>
      <c r="H8759" t="str">
        <f>VLOOKUP(record[[#This Row],[ProcessSN]],表格2_7[],2,FALSE)</f>
        <v>30-4118-018-550</v>
      </c>
      <c r="I8759" t="str">
        <f>VLOOKUP(record[[#This Row],[ProcessSN]],表格2_7[],3,FALSE)</f>
        <v>#100STOCK</v>
      </c>
      <c r="J8759" t="s">
        <v>592</v>
      </c>
      <c r="K8759" s="195">
        <v>45852.604768518519</v>
      </c>
      <c r="L8759">
        <v>336</v>
      </c>
      <c r="M8759">
        <v>0</v>
      </c>
      <c r="N8759" s="98" t="str">
        <f>IF(record[[#This Row],[Memo]]="Browser:chrome os:android","平板報工",IF(record[[#This Row],[Memo]]=0,"委外",record[[#This Row],[Memo]]))</f>
        <v/>
      </c>
      <c r="O8759" t="s">
        <v>58</v>
      </c>
      <c r="P8759" t="s">
        <v>886</v>
      </c>
      <c r="Q8759" t="s">
        <v>58</v>
      </c>
      <c r="R8759" t="str">
        <f>IFERROR(VLOOKUP(record[[#This Row],[PCUSTID]],廠商[],2,FALSE),"")</f>
        <v/>
      </c>
      <c r="S8759" t="str">
        <f>VLOOKUP(record[[#This Row],[employeeID]],員工[],2,FALSE)</f>
        <v>謝蓁薰</v>
      </c>
    </row>
    <row r="8760" spans="6:19" hidden="1" x14ac:dyDescent="0.25">
      <c r="F8760" t="s">
        <v>873</v>
      </c>
      <c r="G8760" t="s">
        <v>403</v>
      </c>
      <c r="H8760" t="str">
        <f>VLOOKUP(record[[#This Row],[ProcessSN]],表格2_7[],2,FALSE)</f>
        <v>30-4118-018-550</v>
      </c>
      <c r="I8760" t="str">
        <f>VLOOKUP(record[[#This Row],[ProcessSN]],表格2_7[],3,FALSE)</f>
        <v>#100SHIP</v>
      </c>
      <c r="J8760" t="s">
        <v>600</v>
      </c>
      <c r="K8760" s="195">
        <v>45852.60365740741</v>
      </c>
      <c r="L8760">
        <v>47</v>
      </c>
      <c r="M8760">
        <v>0</v>
      </c>
      <c r="N8760" s="98" t="str">
        <f>IF(record[[#This Row],[Memo]]="Browser:chrome os:android","平板報工",IF(record[[#This Row],[Memo]]=0,"委外",record[[#This Row],[Memo]]))</f>
        <v/>
      </c>
      <c r="O8760" t="s">
        <v>58</v>
      </c>
      <c r="P8760" t="s">
        <v>886</v>
      </c>
      <c r="Q8760" t="s">
        <v>58</v>
      </c>
      <c r="R8760" t="str">
        <f>IFERROR(VLOOKUP(record[[#This Row],[PCUSTID]],廠商[],2,FALSE),"")</f>
        <v/>
      </c>
      <c r="S8760" t="str">
        <f>VLOOKUP(record[[#This Row],[employeeID]],員工[],2,FALSE)</f>
        <v>謝蓁薰</v>
      </c>
    </row>
    <row r="8761" spans="6:19" hidden="1" x14ac:dyDescent="0.25">
      <c r="F8761" t="s">
        <v>680</v>
      </c>
      <c r="G8761" t="s">
        <v>362</v>
      </c>
      <c r="H8761" t="str">
        <f>VLOOKUP(record[[#This Row],[ProcessSN]],表格2_7[],2,FALSE)</f>
        <v>30-4118-018-450</v>
      </c>
      <c r="I8761" t="str">
        <f>VLOOKUP(record[[#This Row],[ProcessSN]],表格2_7[],3,FALSE)</f>
        <v>#100SHIP</v>
      </c>
      <c r="J8761" t="s">
        <v>600</v>
      </c>
      <c r="K8761" s="195">
        <v>45852.603425925925</v>
      </c>
      <c r="L8761">
        <v>9</v>
      </c>
      <c r="M8761">
        <v>0</v>
      </c>
      <c r="N8761" s="98" t="str">
        <f>IF(record[[#This Row],[Memo]]="Browser:chrome os:android","平板報工",IF(record[[#This Row],[Memo]]=0,"委外",record[[#This Row],[Memo]]))</f>
        <v/>
      </c>
      <c r="O8761" t="s">
        <v>58</v>
      </c>
      <c r="P8761" t="s">
        <v>886</v>
      </c>
      <c r="Q8761" t="s">
        <v>58</v>
      </c>
      <c r="R8761" t="str">
        <f>IFERROR(VLOOKUP(record[[#This Row],[PCUSTID]],廠商[],2,FALSE),"")</f>
        <v/>
      </c>
      <c r="S8761" t="str">
        <f>VLOOKUP(record[[#This Row],[employeeID]],員工[],2,FALSE)</f>
        <v>謝蓁薰</v>
      </c>
    </row>
    <row r="8762" spans="6:19" hidden="1" x14ac:dyDescent="0.25">
      <c r="F8762" t="s">
        <v>897</v>
      </c>
      <c r="G8762" t="s">
        <v>413</v>
      </c>
      <c r="H8762" t="str">
        <f>VLOOKUP(record[[#This Row],[ProcessSN]],表格2_7[],2,FALSE)</f>
        <v>30-4118-018-5XX</v>
      </c>
      <c r="I8762" t="str">
        <f>VLOOKUP(record[[#This Row],[ProcessSN]],表格2_7[],3,FALSE)</f>
        <v>#03GIVE</v>
      </c>
      <c r="J8762" t="s">
        <v>587</v>
      </c>
      <c r="K8762" s="195">
        <v>45852.574340277781</v>
      </c>
      <c r="L8762">
        <v>1800</v>
      </c>
      <c r="M8762">
        <v>0</v>
      </c>
      <c r="N8762" s="98" t="str">
        <f>IF(record[[#This Row],[Memo]]="Browser:chrome os:android","平板報工",IF(record[[#This Row],[Memo]]=0,"委外",record[[#This Row],[Memo]]))</f>
        <v/>
      </c>
      <c r="O8762" t="s">
        <v>58</v>
      </c>
      <c r="P8762" t="s">
        <v>208</v>
      </c>
      <c r="Q8762" t="s">
        <v>58</v>
      </c>
      <c r="R8762" t="str">
        <f>IFERROR(VLOOKUP(record[[#This Row],[PCUSTID]],廠商[],2,FALSE),"")</f>
        <v/>
      </c>
      <c r="S8762" t="str">
        <f>VLOOKUP(record[[#This Row],[employeeID]],員工[],2,FALSE)</f>
        <v>陳治宏</v>
      </c>
    </row>
    <row r="8763" spans="6:19" hidden="1" x14ac:dyDescent="0.25">
      <c r="F8763" t="s">
        <v>849</v>
      </c>
      <c r="G8763" t="s">
        <v>471</v>
      </c>
      <c r="H8763" t="str">
        <f>VLOOKUP(record[[#This Row],[ProcessSN]],表格2_7[],2,FALSE)</f>
        <v>30-4118-018-XXX</v>
      </c>
      <c r="I8763" t="str">
        <f>VLOOKUP(record[[#This Row],[ProcessSN]],表格2_7[],3,FALSE)</f>
        <v>#02STOCK</v>
      </c>
      <c r="J8763" t="s">
        <v>592</v>
      </c>
      <c r="K8763" s="195">
        <v>45852.547592592593</v>
      </c>
      <c r="L8763">
        <v>1297</v>
      </c>
      <c r="M8763">
        <v>0</v>
      </c>
      <c r="N8763" s="98" t="str">
        <f>IF(record[[#This Row],[Memo]]="Browser:chrome os:android","平板報工",IF(record[[#This Row],[Memo]]=0,"委外",record[[#This Row],[Memo]]))</f>
        <v/>
      </c>
      <c r="O8763" t="s">
        <v>58</v>
      </c>
      <c r="P8763" t="s">
        <v>113</v>
      </c>
      <c r="Q8763" t="s">
        <v>58</v>
      </c>
      <c r="R8763" t="str">
        <f>IFERROR(VLOOKUP(record[[#This Row],[PCUSTID]],廠商[],2,FALSE),"")</f>
        <v/>
      </c>
      <c r="S8763" t="str">
        <f>VLOOKUP(record[[#This Row],[employeeID]],員工[],2,FALSE)</f>
        <v>王奕蓁</v>
      </c>
    </row>
    <row r="8764" spans="6:19" hidden="1" x14ac:dyDescent="0.25">
      <c r="F8764" t="s">
        <v>897</v>
      </c>
      <c r="G8764" t="s">
        <v>412</v>
      </c>
      <c r="H8764" t="str">
        <f>VLOOKUP(record[[#This Row],[ProcessSN]],表格2_7[],2,FALSE)</f>
        <v>30-4118-018-5XX</v>
      </c>
      <c r="I8764" t="str">
        <f>VLOOKUP(record[[#This Row],[ProcessSN]],表格2_7[],3,FALSE)</f>
        <v>#03PICK</v>
      </c>
      <c r="J8764" t="s">
        <v>582</v>
      </c>
      <c r="K8764" s="195">
        <v>45852.547222222223</v>
      </c>
      <c r="L8764">
        <v>1800</v>
      </c>
      <c r="M8764">
        <v>0</v>
      </c>
      <c r="N8764" s="98" t="str">
        <f>IF(record[[#This Row],[Memo]]="Browser:chrome os:android","平板報工",IF(record[[#This Row],[Memo]]=0,"委外",record[[#This Row],[Memo]]))</f>
        <v/>
      </c>
      <c r="O8764" t="s">
        <v>58</v>
      </c>
      <c r="P8764" t="s">
        <v>113</v>
      </c>
      <c r="Q8764" t="s">
        <v>58</v>
      </c>
      <c r="R8764" t="str">
        <f>IFERROR(VLOOKUP(record[[#This Row],[PCUSTID]],廠商[],2,FALSE),"")</f>
        <v/>
      </c>
      <c r="S8764" t="str">
        <f>VLOOKUP(record[[#This Row],[employeeID]],員工[],2,FALSE)</f>
        <v>王奕蓁</v>
      </c>
    </row>
    <row r="8765" spans="6:19" hidden="1" x14ac:dyDescent="0.25">
      <c r="F8765" t="s">
        <v>890</v>
      </c>
      <c r="G8765" t="s">
        <v>424</v>
      </c>
      <c r="H8765" t="str">
        <f>VLOOKUP(record[[#This Row],[ProcessSN]],表格2_7[],2,FALSE)</f>
        <v>30-4118-018-600</v>
      </c>
      <c r="I8765" t="str">
        <f>VLOOKUP(record[[#This Row],[ProcessSN]],表格2_7[],3,FALSE)</f>
        <v>#08IQC</v>
      </c>
      <c r="J8765" t="s">
        <v>583</v>
      </c>
      <c r="K8765" s="195">
        <v>45852.50949074074</v>
      </c>
      <c r="L8765">
        <v>469</v>
      </c>
      <c r="M8765">
        <v>0</v>
      </c>
      <c r="N8765" s="98" t="str">
        <f>IF(record[[#This Row],[Memo]]="Browser:chrome os:android","平板報工",IF(record[[#This Row],[Memo]]=0,"委外",record[[#This Row],[Memo]]))</f>
        <v/>
      </c>
      <c r="O8765" t="s">
        <v>58</v>
      </c>
      <c r="P8765" t="s">
        <v>121</v>
      </c>
      <c r="Q8765" t="s">
        <v>58</v>
      </c>
      <c r="R8765" t="str">
        <f>IFERROR(VLOOKUP(record[[#This Row],[PCUSTID]],廠商[],2,FALSE),"")</f>
        <v/>
      </c>
      <c r="S8765" t="str">
        <f>VLOOKUP(record[[#This Row],[employeeID]],員工[],2,FALSE)</f>
        <v>謝素卿</v>
      </c>
    </row>
    <row r="8766" spans="6:19" hidden="1" x14ac:dyDescent="0.25">
      <c r="F8766" t="s">
        <v>890</v>
      </c>
      <c r="G8766" t="s">
        <v>423</v>
      </c>
      <c r="H8766" t="str">
        <f>VLOOKUP(record[[#This Row],[ProcessSN]],表格2_7[],2,FALSE)</f>
        <v>30-4118-018-600</v>
      </c>
      <c r="I8766" t="str">
        <f>VLOOKUP(record[[#This Row],[ProcessSN]],表格2_7[],3,FALSE)</f>
        <v>#08RCV</v>
      </c>
      <c r="J8766" t="s">
        <v>591</v>
      </c>
      <c r="K8766" s="195">
        <v>45852.449976851851</v>
      </c>
      <c r="L8766">
        <v>469</v>
      </c>
      <c r="M8766">
        <v>0</v>
      </c>
      <c r="N8766" s="98" t="str">
        <f>IF(record[[#This Row],[Memo]]="Browser:chrome os:android","平板報工",IF(record[[#This Row],[Memo]]=0,"委外",record[[#This Row],[Memo]]))</f>
        <v/>
      </c>
      <c r="O8766" t="s">
        <v>58</v>
      </c>
      <c r="P8766" t="s">
        <v>186</v>
      </c>
      <c r="Q8766" t="s">
        <v>58</v>
      </c>
      <c r="R8766" t="str">
        <f>IFERROR(VLOOKUP(record[[#This Row],[PCUSTID]],廠商[],2,FALSE),"")</f>
        <v/>
      </c>
      <c r="S8766" t="str">
        <f>VLOOKUP(record[[#This Row],[employeeID]],員工[],2,FALSE)</f>
        <v>許文姍</v>
      </c>
    </row>
    <row r="8767" spans="6:19" hidden="1" x14ac:dyDescent="0.25">
      <c r="F8767" t="s">
        <v>895</v>
      </c>
      <c r="G8767" t="s">
        <v>397</v>
      </c>
      <c r="H8767" t="str">
        <f>VLOOKUP(record[[#This Row],[ProcessSN]],表格2_7[],2,FALSE)</f>
        <v>30-4118-018-550</v>
      </c>
      <c r="I8767" t="str">
        <f>VLOOKUP(record[[#This Row],[ProcessSN]],表格2_7[],3,FALSE)</f>
        <v>#08</v>
      </c>
      <c r="J8767" t="s">
        <v>597</v>
      </c>
      <c r="K8767" s="195">
        <v>45852.445555555554</v>
      </c>
      <c r="L8767">
        <v>364</v>
      </c>
      <c r="M8767">
        <v>0</v>
      </c>
      <c r="N8767" s="98" t="str">
        <f>IF(record[[#This Row],[Memo]]="Browser:chrome os:android","平板報工",IF(record[[#This Row],[Memo]]=0,"委外",record[[#This Row],[Memo]]))</f>
        <v/>
      </c>
      <c r="O8767" t="s">
        <v>58</v>
      </c>
      <c r="P8767" t="s">
        <v>186</v>
      </c>
      <c r="Q8767" t="s">
        <v>287</v>
      </c>
      <c r="R8767" t="str">
        <f>IFERROR(VLOOKUP(record[[#This Row],[PCUSTID]],廠商[],2,FALSE),"")</f>
        <v>泉盛</v>
      </c>
      <c r="S8767" t="str">
        <f>VLOOKUP(record[[#This Row],[employeeID]],員工[],2,FALSE)</f>
        <v>許文姍</v>
      </c>
    </row>
    <row r="8768" spans="6:19" hidden="1" x14ac:dyDescent="0.25">
      <c r="F8768" t="s">
        <v>877</v>
      </c>
      <c r="G8768" t="s">
        <v>418</v>
      </c>
      <c r="H8768" t="str">
        <f>VLOOKUP(record[[#This Row],[ProcessSN]],表格2_7[],2,FALSE)</f>
        <v>30-4118-018-5XX</v>
      </c>
      <c r="I8768" t="str">
        <f>VLOOKUP(record[[#This Row],[ProcessSN]],表格2_7[],3,FALSE)</f>
        <v>#07</v>
      </c>
      <c r="J8768" t="s">
        <v>588</v>
      </c>
      <c r="K8768" s="195">
        <v>45852.439340277779</v>
      </c>
      <c r="L8768">
        <v>25</v>
      </c>
      <c r="M8768">
        <v>0</v>
      </c>
      <c r="N8768" s="98" t="str">
        <f>IF(record[[#This Row],[Memo]]="Browser:chrome os:android","平板報工",IF(record[[#This Row],[Memo]]=0,"委外",record[[#This Row],[Memo]]))</f>
        <v>7/11 晚</v>
      </c>
      <c r="O8768" t="s">
        <v>896</v>
      </c>
      <c r="P8768" t="s">
        <v>119</v>
      </c>
      <c r="Q8768" t="s">
        <v>58</v>
      </c>
      <c r="R8768" t="str">
        <f>IFERROR(VLOOKUP(record[[#This Row],[PCUSTID]],廠商[],2,FALSE),"")</f>
        <v/>
      </c>
      <c r="S8768" t="str">
        <f>VLOOKUP(record[[#This Row],[employeeID]],員工[],2,FALSE)</f>
        <v>廖俊彥</v>
      </c>
    </row>
    <row r="8769" spans="6:19" hidden="1" x14ac:dyDescent="0.25">
      <c r="F8769" t="s">
        <v>877</v>
      </c>
      <c r="G8769" t="s">
        <v>419</v>
      </c>
      <c r="H8769" t="str">
        <f>VLOOKUP(record[[#This Row],[ProcessSN]],表格2_7[],2,FALSE)</f>
        <v>30-4118-018-5XX</v>
      </c>
      <c r="I8769" t="str">
        <f>VLOOKUP(record[[#This Row],[ProcessSN]],表格2_7[],3,FALSE)</f>
        <v>#07QC</v>
      </c>
      <c r="J8769" t="s">
        <v>589</v>
      </c>
      <c r="K8769" s="195">
        <v>45852.42150462963</v>
      </c>
      <c r="L8769">
        <v>0</v>
      </c>
      <c r="M8769">
        <v>25</v>
      </c>
      <c r="N8769" s="98" t="str">
        <f>IF(record[[#This Row],[Memo]]="Browser:chrome os:android","平板報工",IF(record[[#This Row],[Memo]]=0,"委外",record[[#This Row],[Memo]]))</f>
        <v/>
      </c>
      <c r="O8769" t="s">
        <v>58</v>
      </c>
      <c r="P8769" t="s">
        <v>141</v>
      </c>
      <c r="Q8769" t="s">
        <v>58</v>
      </c>
      <c r="R8769" t="str">
        <f>IFERROR(VLOOKUP(record[[#This Row],[PCUSTID]],廠商[],2,FALSE),"")</f>
        <v/>
      </c>
      <c r="S8769" t="str">
        <f>VLOOKUP(record[[#This Row],[employeeID]],員工[],2,FALSE)</f>
        <v>蔣梅</v>
      </c>
    </row>
    <row r="8770" spans="6:19" hidden="1" x14ac:dyDescent="0.25">
      <c r="F8770" t="s">
        <v>895</v>
      </c>
      <c r="G8770" t="s">
        <v>396</v>
      </c>
      <c r="H8770" t="str">
        <f>VLOOKUP(record[[#This Row],[ProcessSN]],表格2_7[],2,FALSE)</f>
        <v>30-4118-018-550</v>
      </c>
      <c r="I8770" t="str">
        <f>VLOOKUP(record[[#This Row],[ProcessSN]],表格2_7[],3,FALSE)</f>
        <v>#08PICK</v>
      </c>
      <c r="J8770" t="s">
        <v>582</v>
      </c>
      <c r="K8770" s="195">
        <v>45852.414687500001</v>
      </c>
      <c r="L8770">
        <v>364</v>
      </c>
      <c r="M8770">
        <v>0</v>
      </c>
      <c r="N8770" s="98" t="str">
        <f>IF(record[[#This Row],[Memo]]="Browser:chrome os:android","平板報工",IF(record[[#This Row],[Memo]]=0,"委外",record[[#This Row],[Memo]]))</f>
        <v/>
      </c>
      <c r="O8770" t="s">
        <v>58</v>
      </c>
      <c r="P8770" t="s">
        <v>113</v>
      </c>
      <c r="Q8770" t="s">
        <v>58</v>
      </c>
      <c r="R8770" t="str">
        <f>IFERROR(VLOOKUP(record[[#This Row],[PCUSTID]],廠商[],2,FALSE),"")</f>
        <v/>
      </c>
      <c r="S8770" t="str">
        <f>VLOOKUP(record[[#This Row],[employeeID]],員工[],2,FALSE)</f>
        <v>王奕蓁</v>
      </c>
    </row>
    <row r="8771" spans="6:19" hidden="1" x14ac:dyDescent="0.25">
      <c r="F8771" t="s">
        <v>877</v>
      </c>
      <c r="G8771" t="s">
        <v>420</v>
      </c>
      <c r="H8771" t="str">
        <f>VLOOKUP(record[[#This Row],[ProcessSN]],表格2_7[],2,FALSE)</f>
        <v>30-4118-018-5XX</v>
      </c>
      <c r="I8771" t="str">
        <f>VLOOKUP(record[[#This Row],[ProcessSN]],表格2_7[],3,FALSE)</f>
        <v>#07STOCK</v>
      </c>
      <c r="J8771" t="s">
        <v>592</v>
      </c>
      <c r="K8771" s="195">
        <v>45852.413958333331</v>
      </c>
      <c r="L8771">
        <v>364</v>
      </c>
      <c r="M8771">
        <v>0</v>
      </c>
      <c r="N8771" s="98" t="str">
        <f>IF(record[[#This Row],[Memo]]="Browser:chrome os:android","平板報工",IF(record[[#This Row],[Memo]]=0,"委外",record[[#This Row],[Memo]]))</f>
        <v/>
      </c>
      <c r="O8771" t="s">
        <v>58</v>
      </c>
      <c r="P8771" t="s">
        <v>113</v>
      </c>
      <c r="Q8771" t="s">
        <v>58</v>
      </c>
      <c r="R8771" t="str">
        <f>IFERROR(VLOOKUP(record[[#This Row],[PCUSTID]],廠商[],2,FALSE),"")</f>
        <v/>
      </c>
      <c r="S8771" t="str">
        <f>VLOOKUP(record[[#This Row],[employeeID]],員工[],2,FALSE)</f>
        <v>王奕蓁</v>
      </c>
    </row>
    <row r="8772" spans="6:19" hidden="1" x14ac:dyDescent="0.25">
      <c r="F8772" t="s">
        <v>877</v>
      </c>
      <c r="G8772" t="s">
        <v>419</v>
      </c>
      <c r="H8772" t="str">
        <f>VLOOKUP(record[[#This Row],[ProcessSN]],表格2_7[],2,FALSE)</f>
        <v>30-4118-018-5XX</v>
      </c>
      <c r="I8772" t="str">
        <f>VLOOKUP(record[[#This Row],[ProcessSN]],表格2_7[],3,FALSE)</f>
        <v>#07QC</v>
      </c>
      <c r="J8772" t="s">
        <v>589</v>
      </c>
      <c r="K8772" s="195">
        <v>45852.411527777775</v>
      </c>
      <c r="L8772">
        <v>364</v>
      </c>
      <c r="M8772">
        <v>0</v>
      </c>
      <c r="N8772" s="98" t="str">
        <f>IF(record[[#This Row],[Memo]]="Browser:chrome os:android","平板報工",IF(record[[#This Row],[Memo]]=0,"委外",record[[#This Row],[Memo]]))</f>
        <v/>
      </c>
      <c r="O8772" t="s">
        <v>58</v>
      </c>
      <c r="P8772" t="s">
        <v>141</v>
      </c>
      <c r="Q8772" t="s">
        <v>58</v>
      </c>
      <c r="R8772" t="str">
        <f>IFERROR(VLOOKUP(record[[#This Row],[PCUSTID]],廠商[],2,FALSE),"")</f>
        <v/>
      </c>
      <c r="S8772" t="str">
        <f>VLOOKUP(record[[#This Row],[employeeID]],員工[],2,FALSE)</f>
        <v>蔣梅</v>
      </c>
    </row>
    <row r="8773" spans="6:19" hidden="1" x14ac:dyDescent="0.25">
      <c r="F8773" t="s">
        <v>881</v>
      </c>
      <c r="G8773" t="s">
        <v>401</v>
      </c>
      <c r="H8773" t="str">
        <f>VLOOKUP(record[[#This Row],[ProcessSN]],表格2_7[],2,FALSE)</f>
        <v>30-4118-018-550</v>
      </c>
      <c r="I8773" t="str">
        <f>VLOOKUP(record[[#This Row],[ProcessSN]],表格2_7[],3,FALSE)</f>
        <v>#100OQC</v>
      </c>
      <c r="J8773" t="s">
        <v>599</v>
      </c>
      <c r="K8773" s="195">
        <v>45852.357731481483</v>
      </c>
      <c r="L8773">
        <v>365</v>
      </c>
      <c r="M8773">
        <v>0</v>
      </c>
      <c r="N8773" s="98" t="str">
        <f>IF(record[[#This Row],[Memo]]="Browser:chrome os:android","平板報工",IF(record[[#This Row],[Memo]]=0,"委外",record[[#This Row],[Memo]]))</f>
        <v/>
      </c>
      <c r="O8773" t="s">
        <v>58</v>
      </c>
      <c r="P8773" t="s">
        <v>121</v>
      </c>
      <c r="Q8773" t="s">
        <v>58</v>
      </c>
      <c r="R8773" t="str">
        <f>IFERROR(VLOOKUP(record[[#This Row],[PCUSTID]],廠商[],2,FALSE),"")</f>
        <v/>
      </c>
      <c r="S8773" t="str">
        <f>VLOOKUP(record[[#This Row],[employeeID]],員工[],2,FALSE)</f>
        <v>謝素卿</v>
      </c>
    </row>
    <row r="8774" spans="6:19" hidden="1" x14ac:dyDescent="0.25">
      <c r="F8774" t="s">
        <v>879</v>
      </c>
      <c r="G8774" t="s">
        <v>401</v>
      </c>
      <c r="H8774" t="str">
        <f>VLOOKUP(record[[#This Row],[ProcessSN]],表格2_7[],2,FALSE)</f>
        <v>30-4118-018-550</v>
      </c>
      <c r="I8774" t="str">
        <f>VLOOKUP(record[[#This Row],[ProcessSN]],表格2_7[],3,FALSE)</f>
        <v>#100OQC</v>
      </c>
      <c r="J8774" t="s">
        <v>599</v>
      </c>
      <c r="K8774" s="195">
        <v>45852.357581018521</v>
      </c>
      <c r="L8774">
        <v>165</v>
      </c>
      <c r="M8774">
        <v>0</v>
      </c>
      <c r="N8774" s="98" t="str">
        <f>IF(record[[#This Row],[Memo]]="Browser:chrome os:android","平板報工",IF(record[[#This Row],[Memo]]=0,"委外",record[[#This Row],[Memo]]))</f>
        <v/>
      </c>
      <c r="O8774" t="s">
        <v>58</v>
      </c>
      <c r="P8774" t="s">
        <v>121</v>
      </c>
      <c r="Q8774" t="s">
        <v>58</v>
      </c>
      <c r="R8774" t="str">
        <f>IFERROR(VLOOKUP(record[[#This Row],[PCUSTID]],廠商[],2,FALSE),"")</f>
        <v/>
      </c>
      <c r="S8774" t="str">
        <f>VLOOKUP(record[[#This Row],[employeeID]],員工[],2,FALSE)</f>
        <v>謝素卿</v>
      </c>
    </row>
    <row r="8775" spans="6:19" hidden="1" x14ac:dyDescent="0.25">
      <c r="F8775" t="s">
        <v>884</v>
      </c>
      <c r="G8775" t="s">
        <v>426</v>
      </c>
      <c r="H8775" t="str">
        <f>VLOOKUP(record[[#This Row],[ProcessSN]],表格2_7[],2,FALSE)</f>
        <v>30-4118-018-600</v>
      </c>
      <c r="I8775" t="str">
        <f>VLOOKUP(record[[#This Row],[ProcessSN]],表格2_7[],3,FALSE)</f>
        <v>#100OQC</v>
      </c>
      <c r="J8775" t="s">
        <v>599</v>
      </c>
      <c r="K8775" s="195">
        <v>45852.357025462959</v>
      </c>
      <c r="L8775">
        <v>131</v>
      </c>
      <c r="M8775">
        <v>0</v>
      </c>
      <c r="N8775" s="98" t="str">
        <f>IF(record[[#This Row],[Memo]]="Browser:chrome os:android","平板報工",IF(record[[#This Row],[Memo]]=0,"委外",record[[#This Row],[Memo]]))</f>
        <v/>
      </c>
      <c r="O8775" t="s">
        <v>58</v>
      </c>
      <c r="P8775" t="s">
        <v>121</v>
      </c>
      <c r="Q8775" t="s">
        <v>58</v>
      </c>
      <c r="R8775" t="str">
        <f>IFERROR(VLOOKUP(record[[#This Row],[PCUSTID]],廠商[],2,FALSE),"")</f>
        <v/>
      </c>
      <c r="S8775" t="str">
        <f>VLOOKUP(record[[#This Row],[employeeID]],員工[],2,FALSE)</f>
        <v>謝素卿</v>
      </c>
    </row>
    <row r="8776" spans="6:19" hidden="1" x14ac:dyDescent="0.25">
      <c r="F8776" t="s">
        <v>683</v>
      </c>
      <c r="G8776" t="s">
        <v>360</v>
      </c>
      <c r="H8776" t="str">
        <f>VLOOKUP(record[[#This Row],[ProcessSN]],表格2_7[],2,FALSE)</f>
        <v>30-4118-018-450</v>
      </c>
      <c r="I8776" t="str">
        <f>VLOOKUP(record[[#This Row],[ProcessSN]],表格2_7[],3,FALSE)</f>
        <v>#100OQC</v>
      </c>
      <c r="J8776" t="s">
        <v>599</v>
      </c>
      <c r="K8776" s="195">
        <v>45852.330868055556</v>
      </c>
      <c r="L8776">
        <v>1</v>
      </c>
      <c r="M8776">
        <v>0</v>
      </c>
      <c r="N8776" s="98" t="str">
        <f>IF(record[[#This Row],[Memo]]="Browser:chrome os:android","平板報工",IF(record[[#This Row],[Memo]]=0,"委外",record[[#This Row],[Memo]]))</f>
        <v/>
      </c>
      <c r="O8776" t="s">
        <v>58</v>
      </c>
      <c r="P8776" t="s">
        <v>121</v>
      </c>
      <c r="Q8776" t="s">
        <v>58</v>
      </c>
      <c r="R8776" t="str">
        <f>IFERROR(VLOOKUP(record[[#This Row],[PCUSTID]],廠商[],2,FALSE),"")</f>
        <v/>
      </c>
      <c r="S8776" t="str">
        <f>VLOOKUP(record[[#This Row],[employeeID]],員工[],2,FALSE)</f>
        <v>謝素卿</v>
      </c>
    </row>
    <row r="8777" spans="6:19" hidden="1" x14ac:dyDescent="0.25">
      <c r="F8777" t="s">
        <v>877</v>
      </c>
      <c r="G8777" t="s">
        <v>418</v>
      </c>
      <c r="H8777" t="str">
        <f>VLOOKUP(record[[#This Row],[ProcessSN]],表格2_7[],2,FALSE)</f>
        <v>30-4118-018-5XX</v>
      </c>
      <c r="I8777" t="str">
        <f>VLOOKUP(record[[#This Row],[ProcessSN]],表格2_7[],3,FALSE)</f>
        <v>#07</v>
      </c>
      <c r="J8777" t="s">
        <v>588</v>
      </c>
      <c r="K8777" s="195">
        <v>45850.324629629627</v>
      </c>
      <c r="L8777">
        <v>102</v>
      </c>
      <c r="M8777">
        <v>0</v>
      </c>
      <c r="N8777" s="98" t="str">
        <f>IF(record[[#This Row],[Memo]]="Browser:chrome os:android","平板報工",IF(record[[#This Row],[Memo]]=0,"委外",record[[#This Row],[Memo]]))</f>
        <v/>
      </c>
      <c r="O8777" t="s">
        <v>58</v>
      </c>
      <c r="P8777" t="s">
        <v>135</v>
      </c>
      <c r="Q8777" t="s">
        <v>58</v>
      </c>
      <c r="R8777" t="str">
        <f>IFERROR(VLOOKUP(record[[#This Row],[PCUSTID]],廠商[],2,FALSE),"")</f>
        <v/>
      </c>
      <c r="S8777" t="str">
        <f>VLOOKUP(record[[#This Row],[employeeID]],員工[],2,FALSE)</f>
        <v>阮士文</v>
      </c>
    </row>
    <row r="8778" spans="6:19" hidden="1" x14ac:dyDescent="0.25">
      <c r="F8778" t="s">
        <v>877</v>
      </c>
      <c r="G8778" t="s">
        <v>417</v>
      </c>
      <c r="H8778" t="str">
        <f>VLOOKUP(record[[#This Row],[ProcessSN]],表格2_7[],2,FALSE)</f>
        <v>30-4118-018-5XX</v>
      </c>
      <c r="I8778" t="str">
        <f>VLOOKUP(record[[#This Row],[ProcessSN]],表格2_7[],3,FALSE)</f>
        <v>#06</v>
      </c>
      <c r="J8778" t="s">
        <v>593</v>
      </c>
      <c r="K8778" s="195">
        <v>45850.324490740742</v>
      </c>
      <c r="L8778">
        <v>102</v>
      </c>
      <c r="M8778">
        <v>0</v>
      </c>
      <c r="N8778" s="98" t="str">
        <f>IF(record[[#This Row],[Memo]]="Browser:chrome os:android","平板報工",IF(record[[#This Row],[Memo]]=0,"委外",record[[#This Row],[Memo]]))</f>
        <v/>
      </c>
      <c r="O8778" t="s">
        <v>58</v>
      </c>
      <c r="P8778" t="s">
        <v>135</v>
      </c>
      <c r="Q8778" t="s">
        <v>58</v>
      </c>
      <c r="R8778" t="str">
        <f>IFERROR(VLOOKUP(record[[#This Row],[PCUSTID]],廠商[],2,FALSE),"")</f>
        <v/>
      </c>
      <c r="S8778" t="str">
        <f>VLOOKUP(record[[#This Row],[employeeID]],員工[],2,FALSE)</f>
        <v>阮士文</v>
      </c>
    </row>
    <row r="8779" spans="6:19" hidden="1" x14ac:dyDescent="0.25">
      <c r="F8779" t="s">
        <v>877</v>
      </c>
      <c r="G8779" t="s">
        <v>416</v>
      </c>
      <c r="H8779" t="str">
        <f>VLOOKUP(record[[#This Row],[ProcessSN]],表格2_7[],2,FALSE)</f>
        <v>30-4118-018-5XX</v>
      </c>
      <c r="I8779" t="str">
        <f>VLOOKUP(record[[#This Row],[ProcessSN]],表格2_7[],3,FALSE)</f>
        <v>#05</v>
      </c>
      <c r="J8779" t="s">
        <v>588</v>
      </c>
      <c r="K8779" s="195">
        <v>45850.324374999997</v>
      </c>
      <c r="L8779">
        <v>102</v>
      </c>
      <c r="M8779">
        <v>0</v>
      </c>
      <c r="N8779" s="98" t="str">
        <f>IF(record[[#This Row],[Memo]]="Browser:chrome os:android","平板報工",IF(record[[#This Row],[Memo]]=0,"委外",record[[#This Row],[Memo]]))</f>
        <v/>
      </c>
      <c r="O8779" t="s">
        <v>58</v>
      </c>
      <c r="P8779" t="s">
        <v>135</v>
      </c>
      <c r="Q8779" t="s">
        <v>58</v>
      </c>
      <c r="R8779" t="str">
        <f>IFERROR(VLOOKUP(record[[#This Row],[PCUSTID]],廠商[],2,FALSE),"")</f>
        <v/>
      </c>
      <c r="S8779" t="str">
        <f>VLOOKUP(record[[#This Row],[employeeID]],員工[],2,FALSE)</f>
        <v>阮士文</v>
      </c>
    </row>
    <row r="8780" spans="6:19" hidden="1" x14ac:dyDescent="0.25">
      <c r="F8780" t="s">
        <v>877</v>
      </c>
      <c r="G8780" t="s">
        <v>415</v>
      </c>
      <c r="H8780" t="str">
        <f>VLOOKUP(record[[#This Row],[ProcessSN]],表格2_7[],2,FALSE)</f>
        <v>30-4118-018-5XX</v>
      </c>
      <c r="I8780" t="str">
        <f>VLOOKUP(record[[#This Row],[ProcessSN]],表格2_7[],3,FALSE)</f>
        <v>#04</v>
      </c>
      <c r="J8780" t="s">
        <v>588</v>
      </c>
      <c r="K8780" s="195">
        <v>45850.324201388888</v>
      </c>
      <c r="L8780">
        <v>102</v>
      </c>
      <c r="M8780">
        <v>1</v>
      </c>
      <c r="N8780" s="98" t="str">
        <f>IF(record[[#This Row],[Memo]]="Browser:chrome os:android","平板報工",IF(record[[#This Row],[Memo]]=0,"委外",record[[#This Row],[Memo]]))</f>
        <v/>
      </c>
      <c r="O8780" t="s">
        <v>58</v>
      </c>
      <c r="P8780" t="s">
        <v>135</v>
      </c>
      <c r="Q8780" t="s">
        <v>58</v>
      </c>
      <c r="R8780" t="str">
        <f>IFERROR(VLOOKUP(record[[#This Row],[PCUSTID]],廠商[],2,FALSE),"")</f>
        <v/>
      </c>
      <c r="S8780" t="str">
        <f>VLOOKUP(record[[#This Row],[employeeID]],員工[],2,FALSE)</f>
        <v>阮士文</v>
      </c>
    </row>
    <row r="8781" spans="6:19" hidden="1" x14ac:dyDescent="0.25">
      <c r="F8781" t="s">
        <v>877</v>
      </c>
      <c r="G8781" t="s">
        <v>418</v>
      </c>
      <c r="H8781" t="str">
        <f>VLOOKUP(record[[#This Row],[ProcessSN]],表格2_7[],2,FALSE)</f>
        <v>30-4118-018-5XX</v>
      </c>
      <c r="I8781" t="str">
        <f>VLOOKUP(record[[#This Row],[ProcessSN]],表格2_7[],3,FALSE)</f>
        <v>#07</v>
      </c>
      <c r="J8781" t="s">
        <v>588</v>
      </c>
      <c r="K8781" s="195">
        <v>45849.969525462962</v>
      </c>
      <c r="L8781">
        <v>167</v>
      </c>
      <c r="M8781">
        <v>7</v>
      </c>
      <c r="N8781" s="98" t="str">
        <f>IF(record[[#This Row],[Memo]]="Browser:chrome os:android","平板報工",IF(record[[#This Row],[Memo]]=0,"委外",record[[#This Row],[Memo]]))</f>
        <v/>
      </c>
      <c r="O8781" t="s">
        <v>58</v>
      </c>
      <c r="P8781" t="s">
        <v>89</v>
      </c>
      <c r="Q8781" t="s">
        <v>58</v>
      </c>
      <c r="R8781" t="str">
        <f>IFERROR(VLOOKUP(record[[#This Row],[PCUSTID]],廠商[],2,FALSE),"")</f>
        <v/>
      </c>
      <c r="S8781" t="str">
        <f>VLOOKUP(record[[#This Row],[employeeID]],員工[],2,FALSE)</f>
        <v>李美蓮</v>
      </c>
    </row>
    <row r="8782" spans="6:19" hidden="1" x14ac:dyDescent="0.25">
      <c r="F8782" t="s">
        <v>877</v>
      </c>
      <c r="G8782" t="s">
        <v>417</v>
      </c>
      <c r="H8782" t="str">
        <f>VLOOKUP(record[[#This Row],[ProcessSN]],表格2_7[],2,FALSE)</f>
        <v>30-4118-018-5XX</v>
      </c>
      <c r="I8782" t="str">
        <f>VLOOKUP(record[[#This Row],[ProcessSN]],表格2_7[],3,FALSE)</f>
        <v>#06</v>
      </c>
      <c r="J8782" t="s">
        <v>593</v>
      </c>
      <c r="K8782" s="195">
        <v>45849.968935185185</v>
      </c>
      <c r="L8782">
        <v>90</v>
      </c>
      <c r="M8782">
        <v>0</v>
      </c>
      <c r="N8782" s="98" t="str">
        <f>IF(record[[#This Row],[Memo]]="Browser:chrome os:android","平板報工",IF(record[[#This Row],[Memo]]=0,"委外",record[[#This Row],[Memo]]))</f>
        <v/>
      </c>
      <c r="O8782" t="s">
        <v>58</v>
      </c>
      <c r="P8782" t="s">
        <v>841</v>
      </c>
      <c r="Q8782" t="s">
        <v>58</v>
      </c>
      <c r="R8782" t="str">
        <f>IFERROR(VLOOKUP(record[[#This Row],[PCUSTID]],廠商[],2,FALSE),"")</f>
        <v/>
      </c>
      <c r="S8782" t="str">
        <f>VLOOKUP(record[[#This Row],[employeeID]],員工[],2,FALSE)</f>
        <v>范氏香</v>
      </c>
    </row>
    <row r="8783" spans="6:19" hidden="1" x14ac:dyDescent="0.25">
      <c r="F8783" t="s">
        <v>877</v>
      </c>
      <c r="G8783" t="s">
        <v>416</v>
      </c>
      <c r="H8783" t="str">
        <f>VLOOKUP(record[[#This Row],[ProcessSN]],表格2_7[],2,FALSE)</f>
        <v>30-4118-018-5XX</v>
      </c>
      <c r="I8783" t="str">
        <f>VLOOKUP(record[[#This Row],[ProcessSN]],表格2_7[],3,FALSE)</f>
        <v>#05</v>
      </c>
      <c r="J8783" t="s">
        <v>588</v>
      </c>
      <c r="K8783" s="195">
        <v>45849.968530092592</v>
      </c>
      <c r="L8783">
        <v>90</v>
      </c>
      <c r="M8783">
        <v>0</v>
      </c>
      <c r="N8783" s="98" t="str">
        <f>IF(record[[#This Row],[Memo]]="Browser:chrome os:android","平板報工",IF(record[[#This Row],[Memo]]=0,"委外",record[[#This Row],[Memo]]))</f>
        <v/>
      </c>
      <c r="O8783" t="s">
        <v>58</v>
      </c>
      <c r="P8783" t="s">
        <v>806</v>
      </c>
      <c r="Q8783" t="s">
        <v>58</v>
      </c>
      <c r="R8783" t="str">
        <f>IFERROR(VLOOKUP(record[[#This Row],[PCUSTID]],廠商[],2,FALSE),"")</f>
        <v/>
      </c>
      <c r="S8783" t="str">
        <f>VLOOKUP(record[[#This Row],[employeeID]],員工[],2,FALSE)</f>
        <v>方思緯</v>
      </c>
    </row>
    <row r="8784" spans="6:19" hidden="1" x14ac:dyDescent="0.25">
      <c r="F8784" t="s">
        <v>877</v>
      </c>
      <c r="G8784" t="s">
        <v>415</v>
      </c>
      <c r="H8784" t="str">
        <f>VLOOKUP(record[[#This Row],[ProcessSN]],表格2_7[],2,FALSE)</f>
        <v>30-4118-018-5XX</v>
      </c>
      <c r="I8784" t="str">
        <f>VLOOKUP(record[[#This Row],[ProcessSN]],表格2_7[],3,FALSE)</f>
        <v>#04</v>
      </c>
      <c r="J8784" t="s">
        <v>588</v>
      </c>
      <c r="K8784" s="195">
        <v>45849.967777777776</v>
      </c>
      <c r="L8784">
        <v>90</v>
      </c>
      <c r="M8784">
        <v>0</v>
      </c>
      <c r="N8784" s="98" t="str">
        <f>IF(record[[#This Row],[Memo]]="Browser:chrome os:android","平板報工",IF(record[[#This Row],[Memo]]=0,"委外",record[[#This Row],[Memo]]))</f>
        <v/>
      </c>
      <c r="O8784" t="s">
        <v>58</v>
      </c>
      <c r="P8784" t="s">
        <v>89</v>
      </c>
      <c r="Q8784" t="s">
        <v>58</v>
      </c>
      <c r="R8784" t="str">
        <f>IFERROR(VLOOKUP(record[[#This Row],[PCUSTID]],廠商[],2,FALSE),"")</f>
        <v/>
      </c>
      <c r="S8784" t="str">
        <f>VLOOKUP(record[[#This Row],[employeeID]],員工[],2,FALSE)</f>
        <v>李美蓮</v>
      </c>
    </row>
    <row r="8785" spans="6:19" hidden="1" x14ac:dyDescent="0.25">
      <c r="F8785" t="s">
        <v>881</v>
      </c>
      <c r="G8785" t="s">
        <v>400</v>
      </c>
      <c r="H8785" t="str">
        <f>VLOOKUP(record[[#This Row],[ProcessSN]],表格2_7[],2,FALSE)</f>
        <v>30-4118-018-550</v>
      </c>
      <c r="I8785" t="str">
        <f>VLOOKUP(record[[#This Row],[ProcessSN]],表格2_7[],3,FALSE)</f>
        <v>#100</v>
      </c>
      <c r="J8785" t="s">
        <v>598</v>
      </c>
      <c r="K8785" s="195">
        <v>45849.662152777775</v>
      </c>
      <c r="L8785">
        <v>0</v>
      </c>
      <c r="M8785">
        <v>10</v>
      </c>
      <c r="N8785" s="98" t="str">
        <f>IF(record[[#This Row],[Memo]]="Browser:chrome os:android","平板報工",IF(record[[#This Row],[Memo]]=0,"委外",record[[#This Row],[Memo]]))</f>
        <v>平板報工</v>
      </c>
      <c r="O8785" t="s">
        <v>643</v>
      </c>
      <c r="P8785" t="s">
        <v>141</v>
      </c>
      <c r="Q8785" t="s">
        <v>644</v>
      </c>
      <c r="R8785" t="str">
        <f>IFERROR(VLOOKUP(record[[#This Row],[PCUSTID]],廠商[],2,FALSE),"")</f>
        <v/>
      </c>
      <c r="S8785" t="str">
        <f>VLOOKUP(record[[#This Row],[employeeID]],員工[],2,FALSE)</f>
        <v>蔣梅</v>
      </c>
    </row>
    <row r="8786" spans="6:19" hidden="1" x14ac:dyDescent="0.25">
      <c r="F8786" t="s">
        <v>881</v>
      </c>
      <c r="G8786" t="s">
        <v>400</v>
      </c>
      <c r="H8786" t="str">
        <f>VLOOKUP(record[[#This Row],[ProcessSN]],表格2_7[],2,FALSE)</f>
        <v>30-4118-018-550</v>
      </c>
      <c r="I8786" t="str">
        <f>VLOOKUP(record[[#This Row],[ProcessSN]],表格2_7[],3,FALSE)</f>
        <v>#100</v>
      </c>
      <c r="J8786" t="s">
        <v>598</v>
      </c>
      <c r="K8786" s="195">
        <v>45849.661909722221</v>
      </c>
      <c r="L8786">
        <v>365</v>
      </c>
      <c r="M8786">
        <v>0</v>
      </c>
      <c r="N8786" s="98" t="str">
        <f>IF(record[[#This Row],[Memo]]="Browser:chrome os:android","平板報工",IF(record[[#This Row],[Memo]]=0,"委外",record[[#This Row],[Memo]]))</f>
        <v>平板報工</v>
      </c>
      <c r="O8786" t="s">
        <v>643</v>
      </c>
      <c r="P8786" t="s">
        <v>141</v>
      </c>
      <c r="Q8786" t="s">
        <v>644</v>
      </c>
      <c r="R8786" t="str">
        <f>IFERROR(VLOOKUP(record[[#This Row],[PCUSTID]],廠商[],2,FALSE),"")</f>
        <v/>
      </c>
      <c r="S8786" t="str">
        <f>VLOOKUP(record[[#This Row],[employeeID]],員工[],2,FALSE)</f>
        <v>蔣梅</v>
      </c>
    </row>
    <row r="8787" spans="6:19" hidden="1" x14ac:dyDescent="0.25">
      <c r="F8787" t="s">
        <v>877</v>
      </c>
      <c r="G8787" t="s">
        <v>417</v>
      </c>
      <c r="H8787" t="str">
        <f>VLOOKUP(record[[#This Row],[ProcessSN]],表格2_7[],2,FALSE)</f>
        <v>30-4118-018-5XX</v>
      </c>
      <c r="I8787" t="str">
        <f>VLOOKUP(record[[#This Row],[ProcessSN]],表格2_7[],3,FALSE)</f>
        <v>#06</v>
      </c>
      <c r="J8787" t="s">
        <v>593</v>
      </c>
      <c r="K8787" s="195">
        <v>45849.661608796298</v>
      </c>
      <c r="L8787">
        <v>96</v>
      </c>
      <c r="M8787">
        <v>4</v>
      </c>
      <c r="N8787" s="98" t="str">
        <f>IF(record[[#This Row],[Memo]]="Browser:chrome os:android","平板報工",IF(record[[#This Row],[Memo]]=0,"委外",record[[#This Row],[Memo]]))</f>
        <v/>
      </c>
      <c r="O8787" t="s">
        <v>58</v>
      </c>
      <c r="P8787" t="s">
        <v>119</v>
      </c>
      <c r="Q8787" t="s">
        <v>58</v>
      </c>
      <c r="R8787" t="str">
        <f>IFERROR(VLOOKUP(record[[#This Row],[PCUSTID]],廠商[],2,FALSE),"")</f>
        <v/>
      </c>
      <c r="S8787" t="str">
        <f>VLOOKUP(record[[#This Row],[employeeID]],員工[],2,FALSE)</f>
        <v>廖俊彥</v>
      </c>
    </row>
    <row r="8788" spans="6:19" hidden="1" x14ac:dyDescent="0.25">
      <c r="F8788" t="s">
        <v>877</v>
      </c>
      <c r="G8788" t="s">
        <v>418</v>
      </c>
      <c r="H8788" t="str">
        <f>VLOOKUP(record[[#This Row],[ProcessSN]],表格2_7[],2,FALSE)</f>
        <v>30-4118-018-5XX</v>
      </c>
      <c r="I8788" t="str">
        <f>VLOOKUP(record[[#This Row],[ProcessSN]],表格2_7[],3,FALSE)</f>
        <v>#07</v>
      </c>
      <c r="J8788" t="s">
        <v>588</v>
      </c>
      <c r="K8788" s="195">
        <v>45849.646608796298</v>
      </c>
      <c r="L8788">
        <v>96</v>
      </c>
      <c r="M8788">
        <v>0</v>
      </c>
      <c r="N8788" s="98" t="str">
        <f>IF(record[[#This Row],[Memo]]="Browser:chrome os:android","平板報工",IF(record[[#This Row],[Memo]]=0,"委外",record[[#This Row],[Memo]]))</f>
        <v/>
      </c>
      <c r="O8788" t="s">
        <v>58</v>
      </c>
      <c r="P8788" t="s">
        <v>119</v>
      </c>
      <c r="Q8788" t="s">
        <v>58</v>
      </c>
      <c r="R8788" t="str">
        <f>IFERROR(VLOOKUP(record[[#This Row],[PCUSTID]],廠商[],2,FALSE),"")</f>
        <v/>
      </c>
      <c r="S8788" t="str">
        <f>VLOOKUP(record[[#This Row],[employeeID]],員工[],2,FALSE)</f>
        <v>廖俊彥</v>
      </c>
    </row>
    <row r="8789" spans="6:19" hidden="1" x14ac:dyDescent="0.25">
      <c r="F8789" t="s">
        <v>877</v>
      </c>
      <c r="G8789" t="s">
        <v>416</v>
      </c>
      <c r="H8789" t="str">
        <f>VLOOKUP(record[[#This Row],[ProcessSN]],表格2_7[],2,FALSE)</f>
        <v>30-4118-018-5XX</v>
      </c>
      <c r="I8789" t="str">
        <f>VLOOKUP(record[[#This Row],[ProcessSN]],表格2_7[],3,FALSE)</f>
        <v>#05</v>
      </c>
      <c r="J8789" t="s">
        <v>588</v>
      </c>
      <c r="K8789" s="195">
        <v>45849.646157407406</v>
      </c>
      <c r="L8789">
        <v>100</v>
      </c>
      <c r="M8789">
        <v>0</v>
      </c>
      <c r="N8789" s="98" t="str">
        <f>IF(record[[#This Row],[Memo]]="Browser:chrome os:android","平板報工",IF(record[[#This Row],[Memo]]=0,"委外",record[[#This Row],[Memo]]))</f>
        <v/>
      </c>
      <c r="O8789" t="s">
        <v>58</v>
      </c>
      <c r="P8789" t="s">
        <v>119</v>
      </c>
      <c r="Q8789" t="s">
        <v>58</v>
      </c>
      <c r="R8789" t="str">
        <f>IFERROR(VLOOKUP(record[[#This Row],[PCUSTID]],廠商[],2,FALSE),"")</f>
        <v/>
      </c>
      <c r="S8789" t="str">
        <f>VLOOKUP(record[[#This Row],[employeeID]],員工[],2,FALSE)</f>
        <v>廖俊彥</v>
      </c>
    </row>
    <row r="8790" spans="6:19" hidden="1" x14ac:dyDescent="0.25">
      <c r="F8790" t="s">
        <v>877</v>
      </c>
      <c r="G8790" t="s">
        <v>415</v>
      </c>
      <c r="H8790" t="str">
        <f>VLOOKUP(record[[#This Row],[ProcessSN]],表格2_7[],2,FALSE)</f>
        <v>30-4118-018-5XX</v>
      </c>
      <c r="I8790" t="str">
        <f>VLOOKUP(record[[#This Row],[ProcessSN]],表格2_7[],3,FALSE)</f>
        <v>#04</v>
      </c>
      <c r="J8790" t="s">
        <v>588</v>
      </c>
      <c r="K8790" s="195">
        <v>45849.645995370367</v>
      </c>
      <c r="L8790">
        <v>100</v>
      </c>
      <c r="M8790">
        <v>2</v>
      </c>
      <c r="N8790" s="98" t="str">
        <f>IF(record[[#This Row],[Memo]]="Browser:chrome os:android","平板報工",IF(record[[#This Row],[Memo]]=0,"委外",record[[#This Row],[Memo]]))</f>
        <v/>
      </c>
      <c r="O8790" t="s">
        <v>58</v>
      </c>
      <c r="P8790" t="s">
        <v>119</v>
      </c>
      <c r="Q8790" t="s">
        <v>58</v>
      </c>
      <c r="R8790" t="str">
        <f>IFERROR(VLOOKUP(record[[#This Row],[PCUSTID]],廠商[],2,FALSE),"")</f>
        <v/>
      </c>
      <c r="S8790" t="str">
        <f>VLOOKUP(record[[#This Row],[employeeID]],員工[],2,FALSE)</f>
        <v>廖俊彥</v>
      </c>
    </row>
    <row r="8791" spans="6:19" hidden="1" x14ac:dyDescent="0.25">
      <c r="F8791" t="s">
        <v>875</v>
      </c>
      <c r="G8791" t="s">
        <v>452</v>
      </c>
      <c r="H8791" t="str">
        <f>VLOOKUP(record[[#This Row],[ProcessSN]],表格2_7[],2,FALSE)</f>
        <v>30-4118-018-6XX</v>
      </c>
      <c r="I8791" t="str">
        <f>VLOOKUP(record[[#This Row],[ProcessSN]],表格2_7[],3,FALSE)</f>
        <v>#07QC</v>
      </c>
      <c r="J8791" t="s">
        <v>589</v>
      </c>
      <c r="K8791" s="195">
        <v>45849.593182870369</v>
      </c>
      <c r="L8791">
        <v>0</v>
      </c>
      <c r="M8791">
        <v>1</v>
      </c>
      <c r="N8791" s="98" t="str">
        <f>IF(record[[#This Row],[Memo]]="Browser:chrome os:android","平板報工",IF(record[[#This Row],[Memo]]=0,"委外",record[[#This Row],[Memo]]))</f>
        <v>平板報工</v>
      </c>
      <c r="O8791" t="s">
        <v>643</v>
      </c>
      <c r="P8791" t="s">
        <v>141</v>
      </c>
      <c r="Q8791" t="s">
        <v>644</v>
      </c>
      <c r="R8791" t="str">
        <f>IFERROR(VLOOKUP(record[[#This Row],[PCUSTID]],廠商[],2,FALSE),"")</f>
        <v/>
      </c>
      <c r="S8791" t="str">
        <f>VLOOKUP(record[[#This Row],[employeeID]],員工[],2,FALSE)</f>
        <v>蔣梅</v>
      </c>
    </row>
    <row r="8792" spans="6:19" hidden="1" x14ac:dyDescent="0.25">
      <c r="F8792" t="s">
        <v>893</v>
      </c>
      <c r="G8792" t="s">
        <v>422</v>
      </c>
      <c r="H8792" t="str">
        <f>VLOOKUP(record[[#This Row],[ProcessSN]],表格2_7[],2,FALSE)</f>
        <v>30-4118-018-600</v>
      </c>
      <c r="I8792" t="str">
        <f>VLOOKUP(record[[#This Row],[ProcessSN]],表格2_7[],3,FALSE)</f>
        <v>#08</v>
      </c>
      <c r="J8792" t="s">
        <v>597</v>
      </c>
      <c r="K8792" s="195">
        <v>45849.562650462962</v>
      </c>
      <c r="L8792">
        <v>133</v>
      </c>
      <c r="M8792">
        <v>0</v>
      </c>
      <c r="N8792" s="98" t="str">
        <f>IF(record[[#This Row],[Memo]]="Browser:chrome os:android","平板報工",IF(record[[#This Row],[Memo]]=0,"委外",record[[#This Row],[Memo]]))</f>
        <v/>
      </c>
      <c r="O8792" t="s">
        <v>58</v>
      </c>
      <c r="P8792" t="s">
        <v>186</v>
      </c>
      <c r="Q8792" t="s">
        <v>287</v>
      </c>
      <c r="R8792" t="str">
        <f>IFERROR(VLOOKUP(record[[#This Row],[PCUSTID]],廠商[],2,FALSE),"")</f>
        <v>泉盛</v>
      </c>
      <c r="S8792" t="str">
        <f>VLOOKUP(record[[#This Row],[employeeID]],員工[],2,FALSE)</f>
        <v>許文姍</v>
      </c>
    </row>
    <row r="8793" spans="6:19" hidden="1" x14ac:dyDescent="0.25">
      <c r="F8793" t="s">
        <v>893</v>
      </c>
      <c r="G8793" t="s">
        <v>421</v>
      </c>
      <c r="H8793" t="str">
        <f>VLOOKUP(record[[#This Row],[ProcessSN]],表格2_7[],2,FALSE)</f>
        <v>30-4118-018-600</v>
      </c>
      <c r="I8793" t="str">
        <f>VLOOKUP(record[[#This Row],[ProcessSN]],表格2_7[],3,FALSE)</f>
        <v>#08PICK</v>
      </c>
      <c r="J8793" t="s">
        <v>582</v>
      </c>
      <c r="K8793" s="195">
        <v>45849.562511574077</v>
      </c>
      <c r="L8793">
        <v>133</v>
      </c>
      <c r="M8793">
        <v>0</v>
      </c>
      <c r="N8793" s="98" t="str">
        <f>IF(record[[#This Row],[Memo]]="Browser:chrome os:android","平板報工",IF(record[[#This Row],[Memo]]=0,"委外",record[[#This Row],[Memo]]))</f>
        <v/>
      </c>
      <c r="O8793" t="s">
        <v>58</v>
      </c>
      <c r="P8793" t="s">
        <v>186</v>
      </c>
      <c r="Q8793" t="s">
        <v>58</v>
      </c>
      <c r="R8793" t="str">
        <f>IFERROR(VLOOKUP(record[[#This Row],[PCUSTID]],廠商[],2,FALSE),"")</f>
        <v/>
      </c>
      <c r="S8793" t="str">
        <f>VLOOKUP(record[[#This Row],[employeeID]],員工[],2,FALSE)</f>
        <v>許文姍</v>
      </c>
    </row>
    <row r="8794" spans="6:19" hidden="1" x14ac:dyDescent="0.25">
      <c r="F8794" t="s">
        <v>875</v>
      </c>
      <c r="G8794" t="s">
        <v>451</v>
      </c>
      <c r="H8794" t="str">
        <f>VLOOKUP(record[[#This Row],[ProcessSN]],表格2_7[],2,FALSE)</f>
        <v>30-4118-018-6XX</v>
      </c>
      <c r="I8794" t="str">
        <f>VLOOKUP(record[[#This Row],[ProcessSN]],表格2_7[],3,FALSE)</f>
        <v>#07</v>
      </c>
      <c r="J8794" t="s">
        <v>588</v>
      </c>
      <c r="K8794" s="195">
        <v>45849.498715277776</v>
      </c>
      <c r="L8794">
        <v>1</v>
      </c>
      <c r="M8794">
        <v>0</v>
      </c>
      <c r="N8794" s="98" t="str">
        <f>IF(record[[#This Row],[Memo]]="Browser:chrome os:android","平板報工",IF(record[[#This Row],[Memo]]=0,"委外",record[[#This Row],[Memo]]))</f>
        <v>補</v>
      </c>
      <c r="O8794" t="s">
        <v>690</v>
      </c>
      <c r="P8794" t="s">
        <v>119</v>
      </c>
      <c r="Q8794" t="s">
        <v>58</v>
      </c>
      <c r="R8794" t="str">
        <f>IFERROR(VLOOKUP(record[[#This Row],[PCUSTID]],廠商[],2,FALSE),"")</f>
        <v/>
      </c>
      <c r="S8794" t="str">
        <f>VLOOKUP(record[[#This Row],[employeeID]],員工[],2,FALSE)</f>
        <v>廖俊彥</v>
      </c>
    </row>
    <row r="8795" spans="6:19" hidden="1" x14ac:dyDescent="0.25">
      <c r="F8795" t="s">
        <v>875</v>
      </c>
      <c r="G8795" t="s">
        <v>453</v>
      </c>
      <c r="H8795" t="str">
        <f>VLOOKUP(record[[#This Row],[ProcessSN]],表格2_7[],2,FALSE)</f>
        <v>30-4118-018-6XX</v>
      </c>
      <c r="I8795" t="str">
        <f>VLOOKUP(record[[#This Row],[ProcessSN]],表格2_7[],3,FALSE)</f>
        <v>#07STOCK</v>
      </c>
      <c r="J8795" t="s">
        <v>592</v>
      </c>
      <c r="K8795" s="195">
        <v>45849.381840277776</v>
      </c>
      <c r="L8795">
        <v>133</v>
      </c>
      <c r="M8795">
        <v>0</v>
      </c>
      <c r="N8795" s="98" t="str">
        <f>IF(record[[#This Row],[Memo]]="Browser:chrome os:android","平板報工",IF(record[[#This Row],[Memo]]=0,"委外",record[[#This Row],[Memo]]))</f>
        <v/>
      </c>
      <c r="O8795" t="s">
        <v>58</v>
      </c>
      <c r="P8795" t="s">
        <v>125</v>
      </c>
      <c r="Q8795" t="s">
        <v>58</v>
      </c>
      <c r="R8795" t="str">
        <f>IFERROR(VLOOKUP(record[[#This Row],[PCUSTID]],廠商[],2,FALSE),"")</f>
        <v/>
      </c>
      <c r="S8795" t="str">
        <f>VLOOKUP(record[[#This Row],[employeeID]],員工[],2,FALSE)</f>
        <v>黃瓈巧</v>
      </c>
    </row>
    <row r="8796" spans="6:19" hidden="1" x14ac:dyDescent="0.25">
      <c r="F8796" t="s">
        <v>875</v>
      </c>
      <c r="G8796" t="s">
        <v>452</v>
      </c>
      <c r="H8796" t="str">
        <f>VLOOKUP(record[[#This Row],[ProcessSN]],表格2_7[],2,FALSE)</f>
        <v>30-4118-018-6XX</v>
      </c>
      <c r="I8796" t="str">
        <f>VLOOKUP(record[[#This Row],[ProcessSN]],表格2_7[],3,FALSE)</f>
        <v>#07QC</v>
      </c>
      <c r="J8796" t="s">
        <v>589</v>
      </c>
      <c r="K8796" s="195">
        <v>45849.367905092593</v>
      </c>
      <c r="L8796">
        <v>0</v>
      </c>
      <c r="M8796">
        <v>26</v>
      </c>
      <c r="N8796" s="98" t="str">
        <f>IF(record[[#This Row],[Memo]]="Browser:chrome os:android","平板報工",IF(record[[#This Row],[Memo]]=0,"委外",record[[#This Row],[Memo]]))</f>
        <v>平板報工</v>
      </c>
      <c r="O8796" t="s">
        <v>643</v>
      </c>
      <c r="P8796" t="s">
        <v>141</v>
      </c>
      <c r="Q8796" t="s">
        <v>644</v>
      </c>
      <c r="R8796" t="str">
        <f>IFERROR(VLOOKUP(record[[#This Row],[PCUSTID]],廠商[],2,FALSE),"")</f>
        <v/>
      </c>
      <c r="S8796" t="str">
        <f>VLOOKUP(record[[#This Row],[employeeID]],員工[],2,FALSE)</f>
        <v>蔣梅</v>
      </c>
    </row>
    <row r="8797" spans="6:19" hidden="1" x14ac:dyDescent="0.25">
      <c r="F8797" t="s">
        <v>875</v>
      </c>
      <c r="G8797" t="s">
        <v>452</v>
      </c>
      <c r="H8797" t="str">
        <f>VLOOKUP(record[[#This Row],[ProcessSN]],表格2_7[],2,FALSE)</f>
        <v>30-4118-018-6XX</v>
      </c>
      <c r="I8797" t="str">
        <f>VLOOKUP(record[[#This Row],[ProcessSN]],表格2_7[],3,FALSE)</f>
        <v>#07QC</v>
      </c>
      <c r="J8797" t="s">
        <v>589</v>
      </c>
      <c r="K8797" s="195">
        <v>45849.367106481484</v>
      </c>
      <c r="L8797">
        <v>133</v>
      </c>
      <c r="M8797">
        <v>0</v>
      </c>
      <c r="N8797" s="98" t="str">
        <f>IF(record[[#This Row],[Memo]]="Browser:chrome os:android","平板報工",IF(record[[#This Row],[Memo]]=0,"委外",record[[#This Row],[Memo]]))</f>
        <v>平板報工</v>
      </c>
      <c r="O8797" t="s">
        <v>643</v>
      </c>
      <c r="P8797" t="s">
        <v>141</v>
      </c>
      <c r="Q8797" t="s">
        <v>644</v>
      </c>
      <c r="R8797" t="str">
        <f>IFERROR(VLOOKUP(record[[#This Row],[PCUSTID]],廠商[],2,FALSE),"")</f>
        <v/>
      </c>
      <c r="S8797" t="str">
        <f>VLOOKUP(record[[#This Row],[employeeID]],員工[],2,FALSE)</f>
        <v>蔣梅</v>
      </c>
    </row>
    <row r="8798" spans="6:19" hidden="1" x14ac:dyDescent="0.25">
      <c r="F8798" t="s">
        <v>877</v>
      </c>
      <c r="G8798" t="s">
        <v>417</v>
      </c>
      <c r="H8798" t="str">
        <f>VLOOKUP(record[[#This Row],[ProcessSN]],表格2_7[],2,FALSE)</f>
        <v>30-4118-018-5XX</v>
      </c>
      <c r="I8798" t="str">
        <f>VLOOKUP(record[[#This Row],[ProcessSN]],表格2_7[],3,FALSE)</f>
        <v>#06</v>
      </c>
      <c r="J8798" t="s">
        <v>593</v>
      </c>
      <c r="K8798" s="195">
        <v>45849.307384259257</v>
      </c>
      <c r="L8798">
        <v>109</v>
      </c>
      <c r="M8798">
        <v>0</v>
      </c>
      <c r="N8798" s="98" t="str">
        <f>IF(record[[#This Row],[Memo]]="Browser:chrome os:android","平板報工",IF(record[[#This Row],[Memo]]=0,"委外",record[[#This Row],[Memo]]))</f>
        <v/>
      </c>
      <c r="O8798" t="s">
        <v>58</v>
      </c>
      <c r="P8798" t="s">
        <v>135</v>
      </c>
      <c r="Q8798" t="s">
        <v>58</v>
      </c>
      <c r="R8798" t="str">
        <f>IFERROR(VLOOKUP(record[[#This Row],[PCUSTID]],廠商[],2,FALSE),"")</f>
        <v/>
      </c>
      <c r="S8798" t="str">
        <f>VLOOKUP(record[[#This Row],[employeeID]],員工[],2,FALSE)</f>
        <v>阮士文</v>
      </c>
    </row>
    <row r="8799" spans="6:19" hidden="1" x14ac:dyDescent="0.25">
      <c r="F8799" t="s">
        <v>877</v>
      </c>
      <c r="G8799" t="s">
        <v>416</v>
      </c>
      <c r="H8799" t="str">
        <f>VLOOKUP(record[[#This Row],[ProcessSN]],表格2_7[],2,FALSE)</f>
        <v>30-4118-018-5XX</v>
      </c>
      <c r="I8799" t="str">
        <f>VLOOKUP(record[[#This Row],[ProcessSN]],表格2_7[],3,FALSE)</f>
        <v>#05</v>
      </c>
      <c r="J8799" t="s">
        <v>588</v>
      </c>
      <c r="K8799" s="195">
        <v>45849.306956018518</v>
      </c>
      <c r="L8799">
        <v>92</v>
      </c>
      <c r="M8799">
        <v>0</v>
      </c>
      <c r="N8799" s="98" t="str">
        <f>IF(record[[#This Row],[Memo]]="Browser:chrome os:android","平板報工",IF(record[[#This Row],[Memo]]=0,"委外",record[[#This Row],[Memo]]))</f>
        <v/>
      </c>
      <c r="O8799" t="s">
        <v>58</v>
      </c>
      <c r="P8799" t="s">
        <v>135</v>
      </c>
      <c r="Q8799" t="s">
        <v>58</v>
      </c>
      <c r="R8799" t="str">
        <f>IFERROR(VLOOKUP(record[[#This Row],[PCUSTID]],廠商[],2,FALSE),"")</f>
        <v/>
      </c>
      <c r="S8799" t="str">
        <f>VLOOKUP(record[[#This Row],[employeeID]],員工[],2,FALSE)</f>
        <v>阮士文</v>
      </c>
    </row>
    <row r="8800" spans="6:19" hidden="1" x14ac:dyDescent="0.25">
      <c r="F8800" t="s">
        <v>877</v>
      </c>
      <c r="G8800" t="s">
        <v>415</v>
      </c>
      <c r="H8800" t="str">
        <f>VLOOKUP(record[[#This Row],[ProcessSN]],表格2_7[],2,FALSE)</f>
        <v>30-4118-018-5XX</v>
      </c>
      <c r="I8800" t="str">
        <f>VLOOKUP(record[[#This Row],[ProcessSN]],表格2_7[],3,FALSE)</f>
        <v>#04</v>
      </c>
      <c r="J8800" t="s">
        <v>588</v>
      </c>
      <c r="K8800" s="195">
        <v>45849.306805555556</v>
      </c>
      <c r="L8800">
        <v>92</v>
      </c>
      <c r="M8800">
        <v>0</v>
      </c>
      <c r="N8800" s="98" t="str">
        <f>IF(record[[#This Row],[Memo]]="Browser:chrome os:android","平板報工",IF(record[[#This Row],[Memo]]=0,"委外",record[[#This Row],[Memo]]))</f>
        <v/>
      </c>
      <c r="O8800" t="s">
        <v>58</v>
      </c>
      <c r="P8800" t="s">
        <v>135</v>
      </c>
      <c r="Q8800" t="s">
        <v>58</v>
      </c>
      <c r="R8800" t="str">
        <f>IFERROR(VLOOKUP(record[[#This Row],[PCUSTID]],廠商[],2,FALSE),"")</f>
        <v/>
      </c>
      <c r="S8800" t="str">
        <f>VLOOKUP(record[[#This Row],[employeeID]],員工[],2,FALSE)</f>
        <v>阮士文</v>
      </c>
    </row>
    <row r="8801" spans="6:19" hidden="1" x14ac:dyDescent="0.25">
      <c r="F8801" t="s">
        <v>877</v>
      </c>
      <c r="G8801" t="s">
        <v>416</v>
      </c>
      <c r="H8801" t="str">
        <f>VLOOKUP(record[[#This Row],[ProcessSN]],表格2_7[],2,FALSE)</f>
        <v>30-4118-018-5XX</v>
      </c>
      <c r="I8801" t="str">
        <f>VLOOKUP(record[[#This Row],[ProcessSN]],表格2_7[],3,FALSE)</f>
        <v>#05</v>
      </c>
      <c r="J8801" t="s">
        <v>588</v>
      </c>
      <c r="K8801" s="195">
        <v>45848.97693287037</v>
      </c>
      <c r="L8801">
        <v>17</v>
      </c>
      <c r="M8801">
        <v>1</v>
      </c>
      <c r="N8801" s="98" t="str">
        <f>IF(record[[#This Row],[Memo]]="Browser:chrome os:android","平板報工",IF(record[[#This Row],[Memo]]=0,"委外",record[[#This Row],[Memo]]))</f>
        <v/>
      </c>
      <c r="O8801" t="s">
        <v>58</v>
      </c>
      <c r="P8801" t="s">
        <v>806</v>
      </c>
      <c r="Q8801" t="s">
        <v>58</v>
      </c>
      <c r="R8801" t="str">
        <f>IFERROR(VLOOKUP(record[[#This Row],[PCUSTID]],廠商[],2,FALSE),"")</f>
        <v/>
      </c>
      <c r="S8801" t="str">
        <f>VLOOKUP(record[[#This Row],[employeeID]],員工[],2,FALSE)</f>
        <v>方思緯</v>
      </c>
    </row>
    <row r="8802" spans="6:19" hidden="1" x14ac:dyDescent="0.25">
      <c r="F8802" t="s">
        <v>877</v>
      </c>
      <c r="G8802" t="s">
        <v>415</v>
      </c>
      <c r="H8802" t="str">
        <f>VLOOKUP(record[[#This Row],[ProcessSN]],表格2_7[],2,FALSE)</f>
        <v>30-4118-018-5XX</v>
      </c>
      <c r="I8802" t="str">
        <f>VLOOKUP(record[[#This Row],[ProcessSN]],表格2_7[],3,FALSE)</f>
        <v>#04</v>
      </c>
      <c r="J8802" t="s">
        <v>588</v>
      </c>
      <c r="K8802" s="195">
        <v>45848.976689814815</v>
      </c>
      <c r="L8802">
        <v>18</v>
      </c>
      <c r="M8802">
        <v>5</v>
      </c>
      <c r="N8802" s="98" t="str">
        <f>IF(record[[#This Row],[Memo]]="Browser:chrome os:android","平板報工",IF(record[[#This Row],[Memo]]=0,"委外",record[[#This Row],[Memo]]))</f>
        <v/>
      </c>
      <c r="O8802" t="s">
        <v>58</v>
      </c>
      <c r="P8802" t="s">
        <v>806</v>
      </c>
      <c r="Q8802" t="s">
        <v>58</v>
      </c>
      <c r="R8802" t="str">
        <f>IFERROR(VLOOKUP(record[[#This Row],[PCUSTID]],廠商[],2,FALSE),"")</f>
        <v/>
      </c>
      <c r="S8802" t="str">
        <f>VLOOKUP(record[[#This Row],[employeeID]],員工[],2,FALSE)</f>
        <v>方思緯</v>
      </c>
    </row>
    <row r="8803" spans="6:19" hidden="1" x14ac:dyDescent="0.25">
      <c r="F8803" t="s">
        <v>864</v>
      </c>
      <c r="G8803" t="s">
        <v>452</v>
      </c>
      <c r="H8803" t="str">
        <f>VLOOKUP(record[[#This Row],[ProcessSN]],表格2_7[],2,FALSE)</f>
        <v>30-4118-018-6XX</v>
      </c>
      <c r="I8803" t="str">
        <f>VLOOKUP(record[[#This Row],[ProcessSN]],表格2_7[],3,FALSE)</f>
        <v>#07QC</v>
      </c>
      <c r="J8803" t="s">
        <v>589</v>
      </c>
      <c r="K8803" s="195">
        <v>45848.70553240741</v>
      </c>
      <c r="L8803">
        <v>0</v>
      </c>
      <c r="M8803">
        <v>66</v>
      </c>
      <c r="N8803" s="98" t="str">
        <f>IF(record[[#This Row],[Memo]]="Browser:chrome os:android","平板報工",IF(record[[#This Row],[Memo]]=0,"委外",record[[#This Row],[Memo]]))</f>
        <v>平板報工</v>
      </c>
      <c r="O8803" t="s">
        <v>643</v>
      </c>
      <c r="P8803" t="s">
        <v>159</v>
      </c>
      <c r="Q8803" t="s">
        <v>644</v>
      </c>
      <c r="R8803" t="str">
        <f>IFERROR(VLOOKUP(record[[#This Row],[PCUSTID]],廠商[],2,FALSE),"")</f>
        <v/>
      </c>
      <c r="S8803" t="str">
        <f>VLOOKUP(record[[#This Row],[employeeID]],員工[],2,FALSE)</f>
        <v>萬琴</v>
      </c>
    </row>
    <row r="8804" spans="6:19" hidden="1" x14ac:dyDescent="0.25">
      <c r="F8804" t="s">
        <v>849</v>
      </c>
      <c r="G8804" t="s">
        <v>470</v>
      </c>
      <c r="H8804" t="str">
        <f>VLOOKUP(record[[#This Row],[ProcessSN]],表格2_7[],2,FALSE)</f>
        <v>30-4118-018-XXX</v>
      </c>
      <c r="I8804" t="str">
        <f>VLOOKUP(record[[#This Row],[ProcessSN]],表格2_7[],3,FALSE)</f>
        <v>#02IQC</v>
      </c>
      <c r="J8804" t="s">
        <v>583</v>
      </c>
      <c r="K8804" s="195">
        <v>45848.67591435185</v>
      </c>
      <c r="L8804">
        <v>173</v>
      </c>
      <c r="M8804">
        <v>0</v>
      </c>
      <c r="N8804" s="98" t="str">
        <f>IF(record[[#This Row],[Memo]]="Browser:chrome os:android","平板報工",IF(record[[#This Row],[Memo]]=0,"委外",record[[#This Row],[Memo]]))</f>
        <v/>
      </c>
      <c r="O8804" t="s">
        <v>58</v>
      </c>
      <c r="P8804" t="s">
        <v>121</v>
      </c>
      <c r="Q8804" t="s">
        <v>58</v>
      </c>
      <c r="R8804" t="str">
        <f>IFERROR(VLOOKUP(record[[#This Row],[PCUSTID]],廠商[],2,FALSE),"")</f>
        <v/>
      </c>
      <c r="S8804" t="str">
        <f>VLOOKUP(record[[#This Row],[employeeID]],員工[],2,FALSE)</f>
        <v>謝素卿</v>
      </c>
    </row>
    <row r="8805" spans="6:19" hidden="1" x14ac:dyDescent="0.25">
      <c r="F8805" t="s">
        <v>875</v>
      </c>
      <c r="G8805" t="s">
        <v>451</v>
      </c>
      <c r="H8805" t="str">
        <f>VLOOKUP(record[[#This Row],[ProcessSN]],表格2_7[],2,FALSE)</f>
        <v>30-4118-018-6XX</v>
      </c>
      <c r="I8805" t="str">
        <f>VLOOKUP(record[[#This Row],[ProcessSN]],表格2_7[],3,FALSE)</f>
        <v>#07</v>
      </c>
      <c r="J8805" t="s">
        <v>588</v>
      </c>
      <c r="K8805" s="195">
        <v>45848.6403125</v>
      </c>
      <c r="L8805">
        <v>36</v>
      </c>
      <c r="M8805">
        <v>0</v>
      </c>
      <c r="N8805" s="98" t="str">
        <f>IF(record[[#This Row],[Memo]]="Browser:chrome os:android","平板報工",IF(record[[#This Row],[Memo]]=0,"委外",record[[#This Row],[Memo]]))</f>
        <v/>
      </c>
      <c r="O8805" t="s">
        <v>58</v>
      </c>
      <c r="P8805" t="s">
        <v>119</v>
      </c>
      <c r="Q8805" t="s">
        <v>58</v>
      </c>
      <c r="R8805" t="str">
        <f>IFERROR(VLOOKUP(record[[#This Row],[PCUSTID]],廠商[],2,FALSE),"")</f>
        <v/>
      </c>
      <c r="S8805" t="str">
        <f>VLOOKUP(record[[#This Row],[employeeID]],員工[],2,FALSE)</f>
        <v>廖俊彥</v>
      </c>
    </row>
    <row r="8806" spans="6:19" hidden="1" x14ac:dyDescent="0.25">
      <c r="F8806" t="s">
        <v>890</v>
      </c>
      <c r="G8806" t="s">
        <v>422</v>
      </c>
      <c r="H8806" t="str">
        <f>VLOOKUP(record[[#This Row],[ProcessSN]],表格2_7[],2,FALSE)</f>
        <v>30-4118-018-600</v>
      </c>
      <c r="I8806" t="str">
        <f>VLOOKUP(record[[#This Row],[ProcessSN]],表格2_7[],3,FALSE)</f>
        <v>#08</v>
      </c>
      <c r="J8806" t="s">
        <v>597</v>
      </c>
      <c r="K8806" s="195">
        <v>45848.545381944445</v>
      </c>
      <c r="L8806">
        <v>469</v>
      </c>
      <c r="M8806">
        <v>0</v>
      </c>
      <c r="N8806" s="98" t="str">
        <f>IF(record[[#This Row],[Memo]]="Browser:chrome os:android","平板報工",IF(record[[#This Row],[Memo]]=0,"委外",record[[#This Row],[Memo]]))</f>
        <v/>
      </c>
      <c r="O8806" t="s">
        <v>58</v>
      </c>
      <c r="P8806" t="s">
        <v>186</v>
      </c>
      <c r="Q8806" t="s">
        <v>287</v>
      </c>
      <c r="R8806" t="str">
        <f>IFERROR(VLOOKUP(record[[#This Row],[PCUSTID]],廠商[],2,FALSE),"")</f>
        <v>泉盛</v>
      </c>
      <c r="S8806" t="str">
        <f>VLOOKUP(record[[#This Row],[employeeID]],員工[],2,FALSE)</f>
        <v>許文姍</v>
      </c>
    </row>
    <row r="8807" spans="6:19" hidden="1" x14ac:dyDescent="0.25">
      <c r="F8807" t="s">
        <v>890</v>
      </c>
      <c r="G8807" t="s">
        <v>421</v>
      </c>
      <c r="H8807" t="str">
        <f>VLOOKUP(record[[#This Row],[ProcessSN]],表格2_7[],2,FALSE)</f>
        <v>30-4118-018-600</v>
      </c>
      <c r="I8807" t="str">
        <f>VLOOKUP(record[[#This Row],[ProcessSN]],表格2_7[],3,FALSE)</f>
        <v>#08PICK</v>
      </c>
      <c r="J8807" t="s">
        <v>582</v>
      </c>
      <c r="K8807" s="195">
        <v>45848.544768518521</v>
      </c>
      <c r="L8807">
        <v>469</v>
      </c>
      <c r="M8807">
        <v>0</v>
      </c>
      <c r="N8807" s="98" t="str">
        <f>IF(record[[#This Row],[Memo]]="Browser:chrome os:android","平板報工",IF(record[[#This Row],[Memo]]=0,"委外",record[[#This Row],[Memo]]))</f>
        <v/>
      </c>
      <c r="O8807" t="s">
        <v>58</v>
      </c>
      <c r="P8807" t="s">
        <v>186</v>
      </c>
      <c r="Q8807" t="s">
        <v>58</v>
      </c>
      <c r="R8807" t="str">
        <f>IFERROR(VLOOKUP(record[[#This Row],[PCUSTID]],廠商[],2,FALSE),"")</f>
        <v/>
      </c>
      <c r="S8807" t="str">
        <f>VLOOKUP(record[[#This Row],[employeeID]],員工[],2,FALSE)</f>
        <v>許文姍</v>
      </c>
    </row>
    <row r="8808" spans="6:19" hidden="1" x14ac:dyDescent="0.25">
      <c r="F8808" t="s">
        <v>849</v>
      </c>
      <c r="G8808" t="s">
        <v>469</v>
      </c>
      <c r="H8808" t="str">
        <f>VLOOKUP(record[[#This Row],[ProcessSN]],表格2_7[],2,FALSE)</f>
        <v>30-4118-018-XXX</v>
      </c>
      <c r="I8808" t="str">
        <f>VLOOKUP(record[[#This Row],[ProcessSN]],表格2_7[],3,FALSE)</f>
        <v>#02RCV</v>
      </c>
      <c r="J8808" t="s">
        <v>591</v>
      </c>
      <c r="K8808" s="195">
        <v>45848.481504629628</v>
      </c>
      <c r="L8808">
        <v>0</v>
      </c>
      <c r="M8808">
        <v>2</v>
      </c>
      <c r="N8808" s="98" t="str">
        <f>IF(record[[#This Row],[Memo]]="Browser:chrome os:android","平板報工",IF(record[[#This Row],[Memo]]=0,"委外",record[[#This Row],[Memo]]))</f>
        <v/>
      </c>
      <c r="O8808" t="s">
        <v>58</v>
      </c>
      <c r="P8808" t="s">
        <v>186</v>
      </c>
      <c r="Q8808" t="s">
        <v>58</v>
      </c>
      <c r="R8808" t="str">
        <f>IFERROR(VLOOKUP(record[[#This Row],[PCUSTID]],廠商[],2,FALSE),"")</f>
        <v/>
      </c>
      <c r="S8808" t="str">
        <f>VLOOKUP(record[[#This Row],[employeeID]],員工[],2,FALSE)</f>
        <v>許文姍</v>
      </c>
    </row>
    <row r="8809" spans="6:19" hidden="1" x14ac:dyDescent="0.25">
      <c r="F8809" t="s">
        <v>849</v>
      </c>
      <c r="G8809" t="s">
        <v>469</v>
      </c>
      <c r="H8809" t="str">
        <f>VLOOKUP(record[[#This Row],[ProcessSN]],表格2_7[],2,FALSE)</f>
        <v>30-4118-018-XXX</v>
      </c>
      <c r="I8809" t="str">
        <f>VLOOKUP(record[[#This Row],[ProcessSN]],表格2_7[],3,FALSE)</f>
        <v>#02RCV</v>
      </c>
      <c r="J8809" t="s">
        <v>591</v>
      </c>
      <c r="K8809" s="195">
        <v>45848.481099537035</v>
      </c>
      <c r="L8809">
        <v>173</v>
      </c>
      <c r="M8809">
        <v>0</v>
      </c>
      <c r="N8809" s="98" t="str">
        <f>IF(record[[#This Row],[Memo]]="Browser:chrome os:android","平板報工",IF(record[[#This Row],[Memo]]=0,"委外",record[[#This Row],[Memo]]))</f>
        <v/>
      </c>
      <c r="O8809" t="s">
        <v>58</v>
      </c>
      <c r="P8809" t="s">
        <v>186</v>
      </c>
      <c r="Q8809" t="s">
        <v>58</v>
      </c>
      <c r="R8809" t="str">
        <f>IFERROR(VLOOKUP(record[[#This Row],[PCUSTID]],廠商[],2,FALSE),"")</f>
        <v/>
      </c>
      <c r="S8809" t="str">
        <f>VLOOKUP(record[[#This Row],[employeeID]],員工[],2,FALSE)</f>
        <v>許文姍</v>
      </c>
    </row>
    <row r="8810" spans="6:19" hidden="1" x14ac:dyDescent="0.25">
      <c r="F8810" t="s">
        <v>887</v>
      </c>
      <c r="G8810" t="s">
        <v>453</v>
      </c>
      <c r="H8810" t="str">
        <f>VLOOKUP(record[[#This Row],[ProcessSN]],表格2_7[],2,FALSE)</f>
        <v>30-4118-018-6XX</v>
      </c>
      <c r="I8810" t="str">
        <f>VLOOKUP(record[[#This Row],[ProcessSN]],表格2_7[],3,FALSE)</f>
        <v>#07STOCK</v>
      </c>
      <c r="J8810" t="s">
        <v>592</v>
      </c>
      <c r="K8810" s="195">
        <v>45848.431979166664</v>
      </c>
      <c r="L8810">
        <v>194</v>
      </c>
      <c r="M8810">
        <v>0</v>
      </c>
      <c r="N8810" s="98" t="str">
        <f>IF(record[[#This Row],[Memo]]="Browser:chrome os:android","平板報工",IF(record[[#This Row],[Memo]]=0,"委外",record[[#This Row],[Memo]]))</f>
        <v/>
      </c>
      <c r="O8810" t="s">
        <v>58</v>
      </c>
      <c r="P8810" t="s">
        <v>113</v>
      </c>
      <c r="Q8810" t="s">
        <v>58</v>
      </c>
      <c r="R8810" t="str">
        <f>IFERROR(VLOOKUP(record[[#This Row],[PCUSTID]],廠商[],2,FALSE),"")</f>
        <v/>
      </c>
      <c r="S8810" t="str">
        <f>VLOOKUP(record[[#This Row],[employeeID]],員工[],2,FALSE)</f>
        <v>王奕蓁</v>
      </c>
    </row>
    <row r="8811" spans="6:19" hidden="1" x14ac:dyDescent="0.25">
      <c r="F8811" t="s">
        <v>864</v>
      </c>
      <c r="G8811" t="s">
        <v>453</v>
      </c>
      <c r="H8811" t="str">
        <f>VLOOKUP(record[[#This Row],[ProcessSN]],表格2_7[],2,FALSE)</f>
        <v>30-4118-018-6XX</v>
      </c>
      <c r="I8811" t="str">
        <f>VLOOKUP(record[[#This Row],[ProcessSN]],表格2_7[],3,FALSE)</f>
        <v>#07STOCK</v>
      </c>
      <c r="J8811" t="s">
        <v>592</v>
      </c>
      <c r="K8811" s="195">
        <v>45848.430277777778</v>
      </c>
      <c r="L8811">
        <v>275</v>
      </c>
      <c r="M8811">
        <v>0</v>
      </c>
      <c r="N8811" s="98" t="str">
        <f>IF(record[[#This Row],[Memo]]="Browser:chrome os:android","平板報工",IF(record[[#This Row],[Memo]]=0,"委外",record[[#This Row],[Memo]]))</f>
        <v/>
      </c>
      <c r="O8811" t="s">
        <v>58</v>
      </c>
      <c r="P8811" t="s">
        <v>113</v>
      </c>
      <c r="Q8811" t="s">
        <v>58</v>
      </c>
      <c r="R8811" t="str">
        <f>IFERROR(VLOOKUP(record[[#This Row],[PCUSTID]],廠商[],2,FALSE),"")</f>
        <v/>
      </c>
      <c r="S8811" t="str">
        <f>VLOOKUP(record[[#This Row],[employeeID]],員工[],2,FALSE)</f>
        <v>王奕蓁</v>
      </c>
    </row>
    <row r="8812" spans="6:19" hidden="1" x14ac:dyDescent="0.25">
      <c r="F8812" t="s">
        <v>864</v>
      </c>
      <c r="G8812" t="s">
        <v>451</v>
      </c>
      <c r="H8812" t="str">
        <f>VLOOKUP(record[[#This Row],[ProcessSN]],表格2_7[],2,FALSE)</f>
        <v>30-4118-018-6XX</v>
      </c>
      <c r="I8812" t="str">
        <f>VLOOKUP(record[[#This Row],[ProcessSN]],表格2_7[],3,FALSE)</f>
        <v>#07</v>
      </c>
      <c r="J8812" t="s">
        <v>588</v>
      </c>
      <c r="K8812" s="195">
        <v>45848.429583333331</v>
      </c>
      <c r="L8812">
        <v>10</v>
      </c>
      <c r="M8812">
        <v>0</v>
      </c>
      <c r="N8812" s="98" t="str">
        <f>IF(record[[#This Row],[Memo]]="Browser:chrome os:android","平板報工",IF(record[[#This Row],[Memo]]=0,"委外",record[[#This Row],[Memo]]))</f>
        <v>補</v>
      </c>
      <c r="O8812" t="s">
        <v>690</v>
      </c>
      <c r="P8812" t="s">
        <v>119</v>
      </c>
      <c r="Q8812" t="s">
        <v>58</v>
      </c>
      <c r="R8812" t="str">
        <f>IFERROR(VLOOKUP(record[[#This Row],[PCUSTID]],廠商[],2,FALSE),"")</f>
        <v/>
      </c>
      <c r="S8812" t="str">
        <f>VLOOKUP(record[[#This Row],[employeeID]],員工[],2,FALSE)</f>
        <v>廖俊彥</v>
      </c>
    </row>
    <row r="8813" spans="6:19" hidden="1" x14ac:dyDescent="0.25">
      <c r="F8813" t="s">
        <v>864</v>
      </c>
      <c r="G8813" t="s">
        <v>450</v>
      </c>
      <c r="H8813" t="str">
        <f>VLOOKUP(record[[#This Row],[ProcessSN]],表格2_7[],2,FALSE)</f>
        <v>30-4118-018-6XX</v>
      </c>
      <c r="I8813" t="str">
        <f>VLOOKUP(record[[#This Row],[ProcessSN]],表格2_7[],3,FALSE)</f>
        <v>#06</v>
      </c>
      <c r="J8813" t="s">
        <v>593</v>
      </c>
      <c r="K8813" s="195">
        <v>45848.429398148146</v>
      </c>
      <c r="L8813">
        <v>2</v>
      </c>
      <c r="M8813">
        <v>0</v>
      </c>
      <c r="N8813" s="98" t="str">
        <f>IF(record[[#This Row],[Memo]]="Browser:chrome os:android","平板報工",IF(record[[#This Row],[Memo]]=0,"委外",record[[#This Row],[Memo]]))</f>
        <v>補</v>
      </c>
      <c r="O8813" t="s">
        <v>690</v>
      </c>
      <c r="P8813" t="s">
        <v>119</v>
      </c>
      <c r="Q8813" t="s">
        <v>58</v>
      </c>
      <c r="R8813" t="str">
        <f>IFERROR(VLOOKUP(record[[#This Row],[PCUSTID]],廠商[],2,FALSE),"")</f>
        <v/>
      </c>
      <c r="S8813" t="str">
        <f>VLOOKUP(record[[#This Row],[employeeID]],員工[],2,FALSE)</f>
        <v>廖俊彥</v>
      </c>
    </row>
    <row r="8814" spans="6:19" hidden="1" x14ac:dyDescent="0.25">
      <c r="F8814" t="s">
        <v>864</v>
      </c>
      <c r="G8814" t="s">
        <v>449</v>
      </c>
      <c r="H8814" t="str">
        <f>VLOOKUP(record[[#This Row],[ProcessSN]],表格2_7[],2,FALSE)</f>
        <v>30-4118-018-6XX</v>
      </c>
      <c r="I8814" t="str">
        <f>VLOOKUP(record[[#This Row],[ProcessSN]],表格2_7[],3,FALSE)</f>
        <v>#05</v>
      </c>
      <c r="J8814" t="s">
        <v>588</v>
      </c>
      <c r="K8814" s="195">
        <v>45848.424872685187</v>
      </c>
      <c r="L8814">
        <v>1</v>
      </c>
      <c r="M8814">
        <v>0</v>
      </c>
      <c r="N8814" s="98" t="str">
        <f>IF(record[[#This Row],[Memo]]="Browser:chrome os:android","平板報工",IF(record[[#This Row],[Memo]]=0,"委外",record[[#This Row],[Memo]]))</f>
        <v>7/4 早</v>
      </c>
      <c r="O8814" t="s">
        <v>889</v>
      </c>
      <c r="P8814" t="s">
        <v>119</v>
      </c>
      <c r="Q8814" t="s">
        <v>58</v>
      </c>
      <c r="R8814" t="str">
        <f>IFERROR(VLOOKUP(record[[#This Row],[PCUSTID]],廠商[],2,FALSE),"")</f>
        <v/>
      </c>
      <c r="S8814" t="str">
        <f>VLOOKUP(record[[#This Row],[employeeID]],員工[],2,FALSE)</f>
        <v>廖俊彥</v>
      </c>
    </row>
    <row r="8815" spans="6:19" hidden="1" x14ac:dyDescent="0.25">
      <c r="F8815" t="s">
        <v>864</v>
      </c>
      <c r="G8815" t="s">
        <v>452</v>
      </c>
      <c r="H8815" t="str">
        <f>VLOOKUP(record[[#This Row],[ProcessSN]],表格2_7[],2,FALSE)</f>
        <v>30-4118-018-6XX</v>
      </c>
      <c r="I8815" t="str">
        <f>VLOOKUP(record[[#This Row],[ProcessSN]],表格2_7[],3,FALSE)</f>
        <v>#07QC</v>
      </c>
      <c r="J8815" t="s">
        <v>589</v>
      </c>
      <c r="K8815" s="195">
        <v>45848.408668981479</v>
      </c>
      <c r="L8815">
        <v>190</v>
      </c>
      <c r="M8815">
        <v>0</v>
      </c>
      <c r="N8815" s="98" t="str">
        <f>IF(record[[#This Row],[Memo]]="Browser:chrome os:android","平板報工",IF(record[[#This Row],[Memo]]=0,"委外",record[[#This Row],[Memo]]))</f>
        <v>平板報工</v>
      </c>
      <c r="O8815" t="s">
        <v>643</v>
      </c>
      <c r="P8815" t="s">
        <v>141</v>
      </c>
      <c r="Q8815" t="s">
        <v>644</v>
      </c>
      <c r="R8815" t="str">
        <f>IFERROR(VLOOKUP(record[[#This Row],[PCUSTID]],廠商[],2,FALSE),"")</f>
        <v/>
      </c>
      <c r="S8815" t="str">
        <f>VLOOKUP(record[[#This Row],[employeeID]],員工[],2,FALSE)</f>
        <v>蔣梅</v>
      </c>
    </row>
    <row r="8816" spans="6:19" hidden="1" x14ac:dyDescent="0.25">
      <c r="F8816" t="s">
        <v>875</v>
      </c>
      <c r="G8816" t="s">
        <v>451</v>
      </c>
      <c r="H8816" t="str">
        <f>VLOOKUP(record[[#This Row],[ProcessSN]],表格2_7[],2,FALSE)</f>
        <v>30-4118-018-6XX</v>
      </c>
      <c r="I8816" t="str">
        <f>VLOOKUP(record[[#This Row],[ProcessSN]],表格2_7[],3,FALSE)</f>
        <v>#07</v>
      </c>
      <c r="J8816" t="s">
        <v>588</v>
      </c>
      <c r="K8816" s="195">
        <v>45848.383958333332</v>
      </c>
      <c r="L8816">
        <v>123</v>
      </c>
      <c r="M8816">
        <v>0</v>
      </c>
      <c r="N8816" s="98" t="str">
        <f>IF(record[[#This Row],[Memo]]="Browser:chrome os:android","平板報工",IF(record[[#This Row],[Memo]]=0,"委外",record[[#This Row],[Memo]]))</f>
        <v/>
      </c>
      <c r="O8816" t="s">
        <v>58</v>
      </c>
      <c r="P8816" t="s">
        <v>127</v>
      </c>
      <c r="Q8816" t="s">
        <v>58</v>
      </c>
      <c r="R8816" t="str">
        <f>IFERROR(VLOOKUP(record[[#This Row],[PCUSTID]],廠商[],2,FALSE),"")</f>
        <v/>
      </c>
      <c r="S8816" t="str">
        <f>VLOOKUP(record[[#This Row],[employeeID]],員工[],2,FALSE)</f>
        <v>潘雪梅</v>
      </c>
    </row>
    <row r="8817" spans="6:19" hidden="1" x14ac:dyDescent="0.25">
      <c r="F8817" t="s">
        <v>875</v>
      </c>
      <c r="G8817" t="s">
        <v>450</v>
      </c>
      <c r="H8817" t="str">
        <f>VLOOKUP(record[[#This Row],[ProcessSN]],表格2_7[],2,FALSE)</f>
        <v>30-4118-018-6XX</v>
      </c>
      <c r="I8817" t="str">
        <f>VLOOKUP(record[[#This Row],[ProcessSN]],表格2_7[],3,FALSE)</f>
        <v>#06</v>
      </c>
      <c r="J8817" t="s">
        <v>593</v>
      </c>
      <c r="K8817" s="195">
        <v>45848.383275462962</v>
      </c>
      <c r="L8817">
        <v>105</v>
      </c>
      <c r="M8817">
        <v>0</v>
      </c>
      <c r="N8817" s="98" t="str">
        <f>IF(record[[#This Row],[Memo]]="Browser:chrome os:android","平板報工",IF(record[[#This Row],[Memo]]=0,"委外",record[[#This Row],[Memo]]))</f>
        <v>7/9</v>
      </c>
      <c r="O8817" t="s">
        <v>888</v>
      </c>
      <c r="P8817" t="s">
        <v>127</v>
      </c>
      <c r="Q8817" t="s">
        <v>58</v>
      </c>
      <c r="R8817" t="str">
        <f>IFERROR(VLOOKUP(record[[#This Row],[PCUSTID]],廠商[],2,FALSE),"")</f>
        <v/>
      </c>
      <c r="S8817" t="str">
        <f>VLOOKUP(record[[#This Row],[employeeID]],員工[],2,FALSE)</f>
        <v>潘雪梅</v>
      </c>
    </row>
    <row r="8818" spans="6:19" hidden="1" x14ac:dyDescent="0.25">
      <c r="F8818" t="s">
        <v>864</v>
      </c>
      <c r="G8818" t="s">
        <v>451</v>
      </c>
      <c r="H8818" t="str">
        <f>VLOOKUP(record[[#This Row],[ProcessSN]],表格2_7[],2,FALSE)</f>
        <v>30-4118-018-6XX</v>
      </c>
      <c r="I8818" t="str">
        <f>VLOOKUP(record[[#This Row],[ProcessSN]],表格2_7[],3,FALSE)</f>
        <v>#07</v>
      </c>
      <c r="J8818" t="s">
        <v>588</v>
      </c>
      <c r="K8818" s="195">
        <v>45848.382905092592</v>
      </c>
      <c r="L8818">
        <v>61</v>
      </c>
      <c r="M8818">
        <v>0</v>
      </c>
      <c r="N8818" s="98" t="str">
        <f>IF(record[[#This Row],[Memo]]="Browser:chrome os:android","平板報工",IF(record[[#This Row],[Memo]]=0,"委外",record[[#This Row],[Memo]]))</f>
        <v/>
      </c>
      <c r="O8818" t="s">
        <v>58</v>
      </c>
      <c r="P8818" t="s">
        <v>127</v>
      </c>
      <c r="Q8818" t="s">
        <v>58</v>
      </c>
      <c r="R8818" t="str">
        <f>IFERROR(VLOOKUP(record[[#This Row],[PCUSTID]],廠商[],2,FALSE),"")</f>
        <v/>
      </c>
      <c r="S8818" t="str">
        <f>VLOOKUP(record[[#This Row],[employeeID]],員工[],2,FALSE)</f>
        <v>潘雪梅</v>
      </c>
    </row>
    <row r="8819" spans="6:19" hidden="1" x14ac:dyDescent="0.25">
      <c r="F8819" t="s">
        <v>875</v>
      </c>
      <c r="G8819" t="s">
        <v>447</v>
      </c>
      <c r="H8819" t="str">
        <f>VLOOKUP(record[[#This Row],[ProcessSN]],表格2_7[],2,FALSE)</f>
        <v>30-4118-018-6XX</v>
      </c>
      <c r="I8819" t="str">
        <f>VLOOKUP(record[[#This Row],[ProcessSN]],表格2_7[],3,FALSE)</f>
        <v>#03</v>
      </c>
      <c r="J8819" t="s">
        <v>588</v>
      </c>
      <c r="K8819" s="195">
        <v>45848.382118055553</v>
      </c>
      <c r="L8819">
        <v>70</v>
      </c>
      <c r="M8819">
        <v>0</v>
      </c>
      <c r="N8819" s="98" t="str">
        <f>IF(record[[#This Row],[Memo]]="Browser:chrome os:android","平板報工",IF(record[[#This Row],[Memo]]=0,"委外",record[[#This Row],[Memo]]))</f>
        <v>7/9</v>
      </c>
      <c r="O8819" t="s">
        <v>888</v>
      </c>
      <c r="P8819" t="s">
        <v>127</v>
      </c>
      <c r="Q8819" t="s">
        <v>58</v>
      </c>
      <c r="R8819" t="str">
        <f>IFERROR(VLOOKUP(record[[#This Row],[PCUSTID]],廠商[],2,FALSE),"")</f>
        <v/>
      </c>
      <c r="S8819" t="str">
        <f>VLOOKUP(record[[#This Row],[employeeID]],員工[],2,FALSE)</f>
        <v>潘雪梅</v>
      </c>
    </row>
    <row r="8820" spans="6:19" hidden="1" x14ac:dyDescent="0.25">
      <c r="F8820" t="s">
        <v>887</v>
      </c>
      <c r="G8820" t="s">
        <v>452</v>
      </c>
      <c r="H8820" t="str">
        <f>VLOOKUP(record[[#This Row],[ProcessSN]],表格2_7[],2,FALSE)</f>
        <v>30-4118-018-6XX</v>
      </c>
      <c r="I8820" t="str">
        <f>VLOOKUP(record[[#This Row],[ProcessSN]],表格2_7[],3,FALSE)</f>
        <v>#07QC</v>
      </c>
      <c r="J8820" t="s">
        <v>589</v>
      </c>
      <c r="K8820" s="195">
        <v>45848.336851851855</v>
      </c>
      <c r="L8820">
        <v>194</v>
      </c>
      <c r="M8820">
        <v>0</v>
      </c>
      <c r="N8820" s="98" t="str">
        <f>IF(record[[#This Row],[Memo]]="Browser:chrome os:android","平板報工",IF(record[[#This Row],[Memo]]=0,"委外",record[[#This Row],[Memo]]))</f>
        <v/>
      </c>
      <c r="O8820" t="s">
        <v>58</v>
      </c>
      <c r="P8820" t="s">
        <v>141</v>
      </c>
      <c r="Q8820" t="s">
        <v>58</v>
      </c>
      <c r="R8820" t="str">
        <f>IFERROR(VLOOKUP(record[[#This Row],[PCUSTID]],廠商[],2,FALSE),"")</f>
        <v/>
      </c>
      <c r="S8820" t="str">
        <f>VLOOKUP(record[[#This Row],[employeeID]],員工[],2,FALSE)</f>
        <v>蔣梅</v>
      </c>
    </row>
    <row r="8821" spans="6:19" hidden="1" x14ac:dyDescent="0.25">
      <c r="F8821" t="s">
        <v>849</v>
      </c>
      <c r="G8821" t="s">
        <v>470</v>
      </c>
      <c r="H8821" t="str">
        <f>VLOOKUP(record[[#This Row],[ProcessSN]],表格2_7[],2,FALSE)</f>
        <v>30-4118-018-XXX</v>
      </c>
      <c r="I8821" t="str">
        <f>VLOOKUP(record[[#This Row],[ProcessSN]],表格2_7[],3,FALSE)</f>
        <v>#02IQC</v>
      </c>
      <c r="J8821" t="s">
        <v>583</v>
      </c>
      <c r="K8821" s="195">
        <v>45847.728194444448</v>
      </c>
      <c r="L8821">
        <v>504</v>
      </c>
      <c r="M8821">
        <v>0</v>
      </c>
      <c r="N8821" s="98" t="str">
        <f>IF(record[[#This Row],[Memo]]="Browser:chrome os:android","平板報工",IF(record[[#This Row],[Memo]]=0,"委外",record[[#This Row],[Memo]]))</f>
        <v/>
      </c>
      <c r="O8821" t="s">
        <v>58</v>
      </c>
      <c r="P8821" t="s">
        <v>109</v>
      </c>
      <c r="Q8821" t="s">
        <v>58</v>
      </c>
      <c r="R8821" t="str">
        <f>IFERROR(VLOOKUP(record[[#This Row],[PCUSTID]],廠商[],2,FALSE),"")</f>
        <v/>
      </c>
      <c r="S8821" t="str">
        <f>VLOOKUP(record[[#This Row],[employeeID]],員工[],2,FALSE)</f>
        <v>裴氏璧鳳</v>
      </c>
    </row>
    <row r="8822" spans="6:19" hidden="1" x14ac:dyDescent="0.25">
      <c r="F8822" t="s">
        <v>887</v>
      </c>
      <c r="G8822" t="s">
        <v>451</v>
      </c>
      <c r="H8822" t="str">
        <f>VLOOKUP(record[[#This Row],[ProcessSN]],表格2_7[],2,FALSE)</f>
        <v>30-4118-018-6XX</v>
      </c>
      <c r="I8822" t="str">
        <f>VLOOKUP(record[[#This Row],[ProcessSN]],表格2_7[],3,FALSE)</f>
        <v>#07</v>
      </c>
      <c r="J8822" t="s">
        <v>588</v>
      </c>
      <c r="K8822" s="195">
        <v>45847.711863425924</v>
      </c>
      <c r="L8822">
        <v>194</v>
      </c>
      <c r="M8822">
        <v>0</v>
      </c>
      <c r="N8822" s="98" t="str">
        <f>IF(record[[#This Row],[Memo]]="Browser:chrome os:android","平板報工",IF(record[[#This Row],[Memo]]=0,"委外",record[[#This Row],[Memo]]))</f>
        <v/>
      </c>
      <c r="O8822" t="s">
        <v>58</v>
      </c>
      <c r="P8822" t="s">
        <v>113</v>
      </c>
      <c r="Q8822" t="s">
        <v>58</v>
      </c>
      <c r="R8822" t="str">
        <f>IFERROR(VLOOKUP(record[[#This Row],[PCUSTID]],廠商[],2,FALSE),"")</f>
        <v/>
      </c>
      <c r="S8822" t="str">
        <f>VLOOKUP(record[[#This Row],[employeeID]],員工[],2,FALSE)</f>
        <v>王奕蓁</v>
      </c>
    </row>
    <row r="8823" spans="6:19" hidden="1" x14ac:dyDescent="0.25">
      <c r="F8823" t="s">
        <v>887</v>
      </c>
      <c r="G8823" t="s">
        <v>450</v>
      </c>
      <c r="H8823" t="str">
        <f>VLOOKUP(record[[#This Row],[ProcessSN]],表格2_7[],2,FALSE)</f>
        <v>30-4118-018-6XX</v>
      </c>
      <c r="I8823" t="str">
        <f>VLOOKUP(record[[#This Row],[ProcessSN]],表格2_7[],3,FALSE)</f>
        <v>#06</v>
      </c>
      <c r="J8823" t="s">
        <v>593</v>
      </c>
      <c r="K8823" s="195">
        <v>45847.709837962961</v>
      </c>
      <c r="L8823">
        <v>194</v>
      </c>
      <c r="M8823">
        <v>0</v>
      </c>
      <c r="N8823" s="98" t="str">
        <f>IF(record[[#This Row],[Memo]]="Browser:chrome os:android","平板報工",IF(record[[#This Row],[Memo]]=0,"委外",record[[#This Row],[Memo]]))</f>
        <v/>
      </c>
      <c r="O8823" t="s">
        <v>58</v>
      </c>
      <c r="P8823" t="s">
        <v>113</v>
      </c>
      <c r="Q8823" t="s">
        <v>58</v>
      </c>
      <c r="R8823" t="str">
        <f>IFERROR(VLOOKUP(record[[#This Row],[PCUSTID]],廠商[],2,FALSE),"")</f>
        <v/>
      </c>
      <c r="S8823" t="str">
        <f>VLOOKUP(record[[#This Row],[employeeID]],員工[],2,FALSE)</f>
        <v>王奕蓁</v>
      </c>
    </row>
    <row r="8824" spans="6:19" hidden="1" x14ac:dyDescent="0.25">
      <c r="F8824" t="s">
        <v>887</v>
      </c>
      <c r="G8824" t="s">
        <v>449</v>
      </c>
      <c r="H8824" t="str">
        <f>VLOOKUP(record[[#This Row],[ProcessSN]],表格2_7[],2,FALSE)</f>
        <v>30-4118-018-6XX</v>
      </c>
      <c r="I8824" t="str">
        <f>VLOOKUP(record[[#This Row],[ProcessSN]],表格2_7[],3,FALSE)</f>
        <v>#05</v>
      </c>
      <c r="J8824" t="s">
        <v>588</v>
      </c>
      <c r="K8824" s="195">
        <v>45847.709236111114</v>
      </c>
      <c r="L8824">
        <v>194</v>
      </c>
      <c r="M8824">
        <v>0</v>
      </c>
      <c r="N8824" s="98" t="str">
        <f>IF(record[[#This Row],[Memo]]="Browser:chrome os:android","平板報工",IF(record[[#This Row],[Memo]]=0,"委外",record[[#This Row],[Memo]]))</f>
        <v/>
      </c>
      <c r="O8824" t="s">
        <v>58</v>
      </c>
      <c r="P8824" t="s">
        <v>113</v>
      </c>
      <c r="Q8824" t="s">
        <v>58</v>
      </c>
      <c r="R8824" t="str">
        <f>IFERROR(VLOOKUP(record[[#This Row],[PCUSTID]],廠商[],2,FALSE),"")</f>
        <v/>
      </c>
      <c r="S8824" t="str">
        <f>VLOOKUP(record[[#This Row],[employeeID]],員工[],2,FALSE)</f>
        <v>王奕蓁</v>
      </c>
    </row>
    <row r="8825" spans="6:19" hidden="1" x14ac:dyDescent="0.25">
      <c r="F8825" t="s">
        <v>887</v>
      </c>
      <c r="G8825" t="s">
        <v>448</v>
      </c>
      <c r="H8825" t="str">
        <f>VLOOKUP(record[[#This Row],[ProcessSN]],表格2_7[],2,FALSE)</f>
        <v>30-4118-018-6XX</v>
      </c>
      <c r="I8825" t="str">
        <f>VLOOKUP(record[[#This Row],[ProcessSN]],表格2_7[],3,FALSE)</f>
        <v>#04</v>
      </c>
      <c r="J8825" t="s">
        <v>588</v>
      </c>
      <c r="K8825" s="195">
        <v>45847.709155092591</v>
      </c>
      <c r="L8825">
        <v>194</v>
      </c>
      <c r="M8825">
        <v>0</v>
      </c>
      <c r="N8825" s="98" t="str">
        <f>IF(record[[#This Row],[Memo]]="Browser:chrome os:android","平板報工",IF(record[[#This Row],[Memo]]=0,"委外",record[[#This Row],[Memo]]))</f>
        <v/>
      </c>
      <c r="O8825" t="s">
        <v>58</v>
      </c>
      <c r="P8825" t="s">
        <v>113</v>
      </c>
      <c r="Q8825" t="s">
        <v>58</v>
      </c>
      <c r="R8825" t="str">
        <f>IFERROR(VLOOKUP(record[[#This Row],[PCUSTID]],廠商[],2,FALSE),"")</f>
        <v/>
      </c>
      <c r="S8825" t="str">
        <f>VLOOKUP(record[[#This Row],[employeeID]],員工[],2,FALSE)</f>
        <v>王奕蓁</v>
      </c>
    </row>
    <row r="8826" spans="6:19" hidden="1" x14ac:dyDescent="0.25">
      <c r="F8826" t="s">
        <v>887</v>
      </c>
      <c r="G8826" t="s">
        <v>447</v>
      </c>
      <c r="H8826" t="str">
        <f>VLOOKUP(record[[#This Row],[ProcessSN]],表格2_7[],2,FALSE)</f>
        <v>30-4118-018-6XX</v>
      </c>
      <c r="I8826" t="str">
        <f>VLOOKUP(record[[#This Row],[ProcessSN]],表格2_7[],3,FALSE)</f>
        <v>#03</v>
      </c>
      <c r="J8826" t="s">
        <v>588</v>
      </c>
      <c r="K8826" s="195">
        <v>45847.709085648145</v>
      </c>
      <c r="L8826">
        <v>194</v>
      </c>
      <c r="M8826">
        <v>0</v>
      </c>
      <c r="N8826" s="98" t="str">
        <f>IF(record[[#This Row],[Memo]]="Browser:chrome os:android","平板報工",IF(record[[#This Row],[Memo]]=0,"委外",record[[#This Row],[Memo]]))</f>
        <v/>
      </c>
      <c r="O8826" t="s">
        <v>58</v>
      </c>
      <c r="P8826" t="s">
        <v>113</v>
      </c>
      <c r="Q8826" t="s">
        <v>58</v>
      </c>
      <c r="R8826" t="str">
        <f>IFERROR(VLOOKUP(record[[#This Row],[PCUSTID]],廠商[],2,FALSE),"")</f>
        <v/>
      </c>
      <c r="S8826" t="str">
        <f>VLOOKUP(record[[#This Row],[employeeID]],員工[],2,FALSE)</f>
        <v>王奕蓁</v>
      </c>
    </row>
    <row r="8827" spans="6:19" hidden="1" x14ac:dyDescent="0.25">
      <c r="F8827" t="s">
        <v>887</v>
      </c>
      <c r="G8827" t="s">
        <v>446</v>
      </c>
      <c r="H8827" t="str">
        <f>VLOOKUP(record[[#This Row],[ProcessSN]],表格2_7[],2,FALSE)</f>
        <v>30-4118-018-6XX</v>
      </c>
      <c r="I8827" t="str">
        <f>VLOOKUP(record[[#This Row],[ProcessSN]],表格2_7[],3,FALSE)</f>
        <v>#03GIVE</v>
      </c>
      <c r="J8827" t="s">
        <v>587</v>
      </c>
      <c r="K8827" s="195">
        <v>45847.708993055552</v>
      </c>
      <c r="L8827">
        <v>194</v>
      </c>
      <c r="M8827">
        <v>0</v>
      </c>
      <c r="N8827" s="98" t="str">
        <f>IF(record[[#This Row],[Memo]]="Browser:chrome os:android","平板報工",IF(record[[#This Row],[Memo]]=0,"委外",record[[#This Row],[Memo]]))</f>
        <v/>
      </c>
      <c r="O8827" t="s">
        <v>58</v>
      </c>
      <c r="P8827" t="s">
        <v>113</v>
      </c>
      <c r="Q8827" t="s">
        <v>58</v>
      </c>
      <c r="R8827" t="str">
        <f>IFERROR(VLOOKUP(record[[#This Row],[PCUSTID]],廠商[],2,FALSE),"")</f>
        <v/>
      </c>
      <c r="S8827" t="str">
        <f>VLOOKUP(record[[#This Row],[employeeID]],員工[],2,FALSE)</f>
        <v>王奕蓁</v>
      </c>
    </row>
    <row r="8828" spans="6:19" hidden="1" x14ac:dyDescent="0.25">
      <c r="F8828" t="s">
        <v>887</v>
      </c>
      <c r="G8828" t="s">
        <v>445</v>
      </c>
      <c r="H8828" t="str">
        <f>VLOOKUP(record[[#This Row],[ProcessSN]],表格2_7[],2,FALSE)</f>
        <v>30-4118-018-6XX</v>
      </c>
      <c r="I8828" t="str">
        <f>VLOOKUP(record[[#This Row],[ProcessSN]],表格2_7[],3,FALSE)</f>
        <v>#03PICK</v>
      </c>
      <c r="J8828" t="s">
        <v>582</v>
      </c>
      <c r="K8828" s="195">
        <v>45847.70884259259</v>
      </c>
      <c r="L8828">
        <v>194</v>
      </c>
      <c r="M8828">
        <v>0</v>
      </c>
      <c r="N8828" s="98" t="str">
        <f>IF(record[[#This Row],[Memo]]="Browser:chrome os:android","平板報工",IF(record[[#This Row],[Memo]]=0,"委外",record[[#This Row],[Memo]]))</f>
        <v/>
      </c>
      <c r="O8828" t="s">
        <v>58</v>
      </c>
      <c r="P8828" t="s">
        <v>113</v>
      </c>
      <c r="Q8828" t="s">
        <v>58</v>
      </c>
      <c r="R8828" t="str">
        <f>IFERROR(VLOOKUP(record[[#This Row],[PCUSTID]],廠商[],2,FALSE),"")</f>
        <v/>
      </c>
      <c r="S8828" t="str">
        <f>VLOOKUP(record[[#This Row],[employeeID]],員工[],2,FALSE)</f>
        <v>王奕蓁</v>
      </c>
    </row>
    <row r="8829" spans="6:19" hidden="1" x14ac:dyDescent="0.25">
      <c r="F8829" t="s">
        <v>864</v>
      </c>
      <c r="G8829" t="s">
        <v>451</v>
      </c>
      <c r="H8829" t="str">
        <f>VLOOKUP(record[[#This Row],[ProcessSN]],表格2_7[],2,FALSE)</f>
        <v>30-4118-018-6XX</v>
      </c>
      <c r="I8829" t="str">
        <f>VLOOKUP(record[[#This Row],[ProcessSN]],表格2_7[],3,FALSE)</f>
        <v>#07</v>
      </c>
      <c r="J8829" t="s">
        <v>588</v>
      </c>
      <c r="K8829" s="195">
        <v>45847.660092592596</v>
      </c>
      <c r="L8829">
        <v>185</v>
      </c>
      <c r="M8829">
        <v>0</v>
      </c>
      <c r="N8829" s="98" t="str">
        <f>IF(record[[#This Row],[Memo]]="Browser:chrome os:android","平板報工",IF(record[[#This Row],[Memo]]=0,"委外",record[[#This Row],[Memo]]))</f>
        <v/>
      </c>
      <c r="O8829" t="s">
        <v>58</v>
      </c>
      <c r="P8829" t="s">
        <v>119</v>
      </c>
      <c r="Q8829" t="s">
        <v>58</v>
      </c>
      <c r="R8829" t="str">
        <f>IFERROR(VLOOKUP(record[[#This Row],[PCUSTID]],廠商[],2,FALSE),"")</f>
        <v/>
      </c>
      <c r="S8829" t="str">
        <f>VLOOKUP(record[[#This Row],[employeeID]],員工[],2,FALSE)</f>
        <v>廖俊彥</v>
      </c>
    </row>
    <row r="8830" spans="6:19" hidden="1" x14ac:dyDescent="0.25">
      <c r="F8830" t="s">
        <v>864</v>
      </c>
      <c r="G8830" t="s">
        <v>450</v>
      </c>
      <c r="H8830" t="str">
        <f>VLOOKUP(record[[#This Row],[ProcessSN]],表格2_7[],2,FALSE)</f>
        <v>30-4118-018-6XX</v>
      </c>
      <c r="I8830" t="str">
        <f>VLOOKUP(record[[#This Row],[ProcessSN]],表格2_7[],3,FALSE)</f>
        <v>#06</v>
      </c>
      <c r="J8830" t="s">
        <v>593</v>
      </c>
      <c r="K8830" s="195">
        <v>45847.659918981481</v>
      </c>
      <c r="L8830">
        <v>36</v>
      </c>
      <c r="M8830">
        <v>0</v>
      </c>
      <c r="N8830" s="98" t="str">
        <f>IF(record[[#This Row],[Memo]]="Browser:chrome os:android","平板報工",IF(record[[#This Row],[Memo]]=0,"委外",record[[#This Row],[Memo]]))</f>
        <v/>
      </c>
      <c r="O8830" t="s">
        <v>58</v>
      </c>
      <c r="P8830" t="s">
        <v>119</v>
      </c>
      <c r="Q8830" t="s">
        <v>58</v>
      </c>
      <c r="R8830" t="str">
        <f>IFERROR(VLOOKUP(record[[#This Row],[PCUSTID]],廠商[],2,FALSE),"")</f>
        <v/>
      </c>
      <c r="S8830" t="str">
        <f>VLOOKUP(record[[#This Row],[employeeID]],員工[],2,FALSE)</f>
        <v>廖俊彥</v>
      </c>
    </row>
    <row r="8831" spans="6:19" hidden="1" x14ac:dyDescent="0.25">
      <c r="F8831" t="s">
        <v>875</v>
      </c>
      <c r="G8831" t="s">
        <v>450</v>
      </c>
      <c r="H8831" t="str">
        <f>VLOOKUP(record[[#This Row],[ProcessSN]],表格2_7[],2,FALSE)</f>
        <v>30-4118-018-6XX</v>
      </c>
      <c r="I8831" t="str">
        <f>VLOOKUP(record[[#This Row],[ProcessSN]],表格2_7[],3,FALSE)</f>
        <v>#06</v>
      </c>
      <c r="J8831" t="s">
        <v>593</v>
      </c>
      <c r="K8831" s="195">
        <v>45847.658831018518</v>
      </c>
      <c r="L8831">
        <v>56</v>
      </c>
      <c r="M8831">
        <v>7</v>
      </c>
      <c r="N8831" s="98" t="str">
        <f>IF(record[[#This Row],[Memo]]="Browser:chrome os:android","平板報工",IF(record[[#This Row],[Memo]]=0,"委外",record[[#This Row],[Memo]]))</f>
        <v/>
      </c>
      <c r="O8831" t="s">
        <v>58</v>
      </c>
      <c r="P8831" t="s">
        <v>119</v>
      </c>
      <c r="Q8831" t="s">
        <v>58</v>
      </c>
      <c r="R8831" t="str">
        <f>IFERROR(VLOOKUP(record[[#This Row],[PCUSTID]],廠商[],2,FALSE),"")</f>
        <v/>
      </c>
      <c r="S8831" t="str">
        <f>VLOOKUP(record[[#This Row],[employeeID]],員工[],2,FALSE)</f>
        <v>廖俊彥</v>
      </c>
    </row>
    <row r="8832" spans="6:19" hidden="1" x14ac:dyDescent="0.25">
      <c r="F8832" t="s">
        <v>875</v>
      </c>
      <c r="G8832" t="s">
        <v>449</v>
      </c>
      <c r="H8832" t="str">
        <f>VLOOKUP(record[[#This Row],[ProcessSN]],表格2_7[],2,FALSE)</f>
        <v>30-4118-018-6XX</v>
      </c>
      <c r="I8832" t="str">
        <f>VLOOKUP(record[[#This Row],[ProcessSN]],表格2_7[],3,FALSE)</f>
        <v>#05</v>
      </c>
      <c r="J8832" t="s">
        <v>588</v>
      </c>
      <c r="K8832" s="195">
        <v>45847.658391203702</v>
      </c>
      <c r="L8832">
        <v>105</v>
      </c>
      <c r="M8832">
        <v>0</v>
      </c>
      <c r="N8832" s="98" t="str">
        <f>IF(record[[#This Row],[Memo]]="Browser:chrome os:android","平板報工",IF(record[[#This Row],[Memo]]=0,"委外",record[[#This Row],[Memo]]))</f>
        <v/>
      </c>
      <c r="O8832" t="s">
        <v>58</v>
      </c>
      <c r="P8832" t="s">
        <v>119</v>
      </c>
      <c r="Q8832" t="s">
        <v>58</v>
      </c>
      <c r="R8832" t="str">
        <f>IFERROR(VLOOKUP(record[[#This Row],[PCUSTID]],廠商[],2,FALSE),"")</f>
        <v/>
      </c>
      <c r="S8832" t="str">
        <f>VLOOKUP(record[[#This Row],[employeeID]],員工[],2,FALSE)</f>
        <v>廖俊彥</v>
      </c>
    </row>
    <row r="8833" spans="6:19" hidden="1" x14ac:dyDescent="0.25">
      <c r="F8833" t="s">
        <v>875</v>
      </c>
      <c r="G8833" t="s">
        <v>448</v>
      </c>
      <c r="H8833" t="str">
        <f>VLOOKUP(record[[#This Row],[ProcessSN]],表格2_7[],2,FALSE)</f>
        <v>30-4118-018-6XX</v>
      </c>
      <c r="I8833" t="str">
        <f>VLOOKUP(record[[#This Row],[ProcessSN]],表格2_7[],3,FALSE)</f>
        <v>#04</v>
      </c>
      <c r="J8833" t="s">
        <v>588</v>
      </c>
      <c r="K8833" s="195">
        <v>45847.657592592594</v>
      </c>
      <c r="L8833">
        <v>103</v>
      </c>
      <c r="M8833">
        <v>0</v>
      </c>
      <c r="N8833" s="98" t="str">
        <f>IF(record[[#This Row],[Memo]]="Browser:chrome os:android","平板報工",IF(record[[#This Row],[Memo]]=0,"委外",record[[#This Row],[Memo]]))</f>
        <v/>
      </c>
      <c r="O8833" t="s">
        <v>58</v>
      </c>
      <c r="P8833" t="s">
        <v>119</v>
      </c>
      <c r="Q8833" t="s">
        <v>58</v>
      </c>
      <c r="R8833" t="str">
        <f>IFERROR(VLOOKUP(record[[#This Row],[PCUSTID]],廠商[],2,FALSE),"")</f>
        <v/>
      </c>
      <c r="S8833" t="str">
        <f>VLOOKUP(record[[#This Row],[employeeID]],員工[],2,FALSE)</f>
        <v>廖俊彥</v>
      </c>
    </row>
    <row r="8834" spans="6:19" hidden="1" x14ac:dyDescent="0.25">
      <c r="F8834" t="s">
        <v>875</v>
      </c>
      <c r="G8834" t="s">
        <v>447</v>
      </c>
      <c r="H8834" t="str">
        <f>VLOOKUP(record[[#This Row],[ProcessSN]],表格2_7[],2,FALSE)</f>
        <v>30-4118-018-6XX</v>
      </c>
      <c r="I8834" t="str">
        <f>VLOOKUP(record[[#This Row],[ProcessSN]],表格2_7[],3,FALSE)</f>
        <v>#03</v>
      </c>
      <c r="J8834" t="s">
        <v>588</v>
      </c>
      <c r="K8834" s="195">
        <v>45847.657337962963</v>
      </c>
      <c r="L8834">
        <v>484</v>
      </c>
      <c r="M8834">
        <v>0</v>
      </c>
      <c r="N8834" s="98" t="str">
        <f>IF(record[[#This Row],[Memo]]="Browser:chrome os:android","平板報工",IF(record[[#This Row],[Memo]]=0,"委外",record[[#This Row],[Memo]]))</f>
        <v/>
      </c>
      <c r="O8834" t="s">
        <v>58</v>
      </c>
      <c r="P8834" t="s">
        <v>119</v>
      </c>
      <c r="Q8834" t="s">
        <v>58</v>
      </c>
      <c r="R8834" t="str">
        <f>IFERROR(VLOOKUP(record[[#This Row],[PCUSTID]],廠商[],2,FALSE),"")</f>
        <v/>
      </c>
      <c r="S8834" t="str">
        <f>VLOOKUP(record[[#This Row],[employeeID]],員工[],2,FALSE)</f>
        <v>廖俊彥</v>
      </c>
    </row>
    <row r="8835" spans="6:19" hidden="1" x14ac:dyDescent="0.25">
      <c r="F8835" t="s">
        <v>873</v>
      </c>
      <c r="G8835" t="s">
        <v>403</v>
      </c>
      <c r="H8835" t="str">
        <f>VLOOKUP(record[[#This Row],[ProcessSN]],表格2_7[],2,FALSE)</f>
        <v>30-4118-018-550</v>
      </c>
      <c r="I8835" t="str">
        <f>VLOOKUP(record[[#This Row],[ProcessSN]],表格2_7[],3,FALSE)</f>
        <v>#100SHIP</v>
      </c>
      <c r="J8835" t="s">
        <v>600</v>
      </c>
      <c r="K8835" s="195">
        <v>45847.653032407405</v>
      </c>
      <c r="L8835">
        <v>98</v>
      </c>
      <c r="M8835">
        <v>0</v>
      </c>
      <c r="N8835" s="98" t="str">
        <f>IF(record[[#This Row],[Memo]]="Browser:chrome os:android","平板報工",IF(record[[#This Row],[Memo]]=0,"委外",record[[#This Row],[Memo]]))</f>
        <v/>
      </c>
      <c r="O8835" t="s">
        <v>58</v>
      </c>
      <c r="P8835" t="s">
        <v>886</v>
      </c>
      <c r="Q8835" t="s">
        <v>58</v>
      </c>
      <c r="R8835" t="str">
        <f>IFERROR(VLOOKUP(record[[#This Row],[PCUSTID]],廠商[],2,FALSE),"")</f>
        <v/>
      </c>
      <c r="S8835" t="str">
        <f>VLOOKUP(record[[#This Row],[employeeID]],員工[],2,FALSE)</f>
        <v>謝蓁薰</v>
      </c>
    </row>
    <row r="8836" spans="6:19" hidden="1" x14ac:dyDescent="0.25">
      <c r="F8836" t="s">
        <v>869</v>
      </c>
      <c r="G8836" t="s">
        <v>403</v>
      </c>
      <c r="H8836" t="str">
        <f>VLOOKUP(record[[#This Row],[ProcessSN]],表格2_7[],2,FALSE)</f>
        <v>30-4118-018-550</v>
      </c>
      <c r="I8836" t="str">
        <f>VLOOKUP(record[[#This Row],[ProcessSN]],表格2_7[],3,FALSE)</f>
        <v>#100SHIP</v>
      </c>
      <c r="J8836" t="s">
        <v>600</v>
      </c>
      <c r="K8836" s="195">
        <v>45847.652743055558</v>
      </c>
      <c r="L8836">
        <v>168</v>
      </c>
      <c r="M8836">
        <v>0</v>
      </c>
      <c r="N8836" s="98" t="str">
        <f>IF(record[[#This Row],[Memo]]="Browser:chrome os:android","平板報工",IF(record[[#This Row],[Memo]]=0,"委外",record[[#This Row],[Memo]]))</f>
        <v/>
      </c>
      <c r="O8836" t="s">
        <v>58</v>
      </c>
      <c r="P8836" t="s">
        <v>886</v>
      </c>
      <c r="Q8836" t="s">
        <v>58</v>
      </c>
      <c r="R8836" t="str">
        <f>IFERROR(VLOOKUP(record[[#This Row],[PCUSTID]],廠商[],2,FALSE),"")</f>
        <v/>
      </c>
      <c r="S8836" t="str">
        <f>VLOOKUP(record[[#This Row],[employeeID]],員工[],2,FALSE)</f>
        <v>謝蓁薰</v>
      </c>
    </row>
    <row r="8837" spans="6:19" hidden="1" x14ac:dyDescent="0.25">
      <c r="F8837" t="s">
        <v>874</v>
      </c>
      <c r="G8837" t="s">
        <v>403</v>
      </c>
      <c r="H8837" t="str">
        <f>VLOOKUP(record[[#This Row],[ProcessSN]],表格2_7[],2,FALSE)</f>
        <v>30-4118-018-550</v>
      </c>
      <c r="I8837" t="str">
        <f>VLOOKUP(record[[#This Row],[ProcessSN]],表格2_7[],3,FALSE)</f>
        <v>#100SHIP</v>
      </c>
      <c r="J8837" t="s">
        <v>600</v>
      </c>
      <c r="K8837" s="195">
        <v>45847.652511574073</v>
      </c>
      <c r="L8837">
        <v>2</v>
      </c>
      <c r="M8837">
        <v>0</v>
      </c>
      <c r="N8837" s="98" t="str">
        <f>IF(record[[#This Row],[Memo]]="Browser:chrome os:android","平板報工",IF(record[[#This Row],[Memo]]=0,"委外",record[[#This Row],[Memo]]))</f>
        <v/>
      </c>
      <c r="O8837" t="s">
        <v>58</v>
      </c>
      <c r="P8837" t="s">
        <v>886</v>
      </c>
      <c r="Q8837" t="s">
        <v>58</v>
      </c>
      <c r="R8837" t="str">
        <f>IFERROR(VLOOKUP(record[[#This Row],[PCUSTID]],廠商[],2,FALSE),"")</f>
        <v/>
      </c>
      <c r="S8837" t="str">
        <f>VLOOKUP(record[[#This Row],[employeeID]],員工[],2,FALSE)</f>
        <v>謝蓁薰</v>
      </c>
    </row>
    <row r="8838" spans="6:19" hidden="1" x14ac:dyDescent="0.25">
      <c r="F8838" t="s">
        <v>866</v>
      </c>
      <c r="G8838" t="s">
        <v>403</v>
      </c>
      <c r="H8838" t="str">
        <f>VLOOKUP(record[[#This Row],[ProcessSN]],表格2_7[],2,FALSE)</f>
        <v>30-4118-018-550</v>
      </c>
      <c r="I8838" t="str">
        <f>VLOOKUP(record[[#This Row],[ProcessSN]],表格2_7[],3,FALSE)</f>
        <v>#100SHIP</v>
      </c>
      <c r="J8838" t="s">
        <v>600</v>
      </c>
      <c r="K8838" s="195">
        <v>45847.652303240742</v>
      </c>
      <c r="L8838">
        <v>102</v>
      </c>
      <c r="M8838">
        <v>0</v>
      </c>
      <c r="N8838" s="98" t="str">
        <f>IF(record[[#This Row],[Memo]]="Browser:chrome os:android","平板報工",IF(record[[#This Row],[Memo]]=0,"委外",record[[#This Row],[Memo]]))</f>
        <v/>
      </c>
      <c r="O8838" t="s">
        <v>58</v>
      </c>
      <c r="P8838" t="s">
        <v>886</v>
      </c>
      <c r="Q8838" t="s">
        <v>58</v>
      </c>
      <c r="R8838" t="str">
        <f>IFERROR(VLOOKUP(record[[#This Row],[PCUSTID]],廠商[],2,FALSE),"")</f>
        <v/>
      </c>
      <c r="S8838" t="str">
        <f>VLOOKUP(record[[#This Row],[employeeID]],員工[],2,FALSE)</f>
        <v>謝蓁薰</v>
      </c>
    </row>
    <row r="8839" spans="6:19" hidden="1" x14ac:dyDescent="0.25">
      <c r="F8839" t="s">
        <v>879</v>
      </c>
      <c r="G8839" t="s">
        <v>400</v>
      </c>
      <c r="H8839" t="str">
        <f>VLOOKUP(record[[#This Row],[ProcessSN]],表格2_7[],2,FALSE)</f>
        <v>30-4118-018-550</v>
      </c>
      <c r="I8839" t="str">
        <f>VLOOKUP(record[[#This Row],[ProcessSN]],表格2_7[],3,FALSE)</f>
        <v>#100</v>
      </c>
      <c r="J8839" t="s">
        <v>598</v>
      </c>
      <c r="K8839" s="195">
        <v>45847.551701388889</v>
      </c>
      <c r="L8839">
        <v>165</v>
      </c>
      <c r="M8839">
        <v>0</v>
      </c>
      <c r="N8839" s="98" t="str">
        <f>IF(record[[#This Row],[Memo]]="Browser:chrome os:android","平板報工",IF(record[[#This Row],[Memo]]=0,"委外",record[[#This Row],[Memo]]))</f>
        <v>平板報工</v>
      </c>
      <c r="O8839" t="s">
        <v>643</v>
      </c>
      <c r="P8839" t="s">
        <v>141</v>
      </c>
      <c r="Q8839" t="s">
        <v>644</v>
      </c>
      <c r="R8839" t="str">
        <f>IFERROR(VLOOKUP(record[[#This Row],[PCUSTID]],廠商[],2,FALSE),"")</f>
        <v/>
      </c>
      <c r="S8839" t="str">
        <f>VLOOKUP(record[[#This Row],[employeeID]],員工[],2,FALSE)</f>
        <v>蔣梅</v>
      </c>
    </row>
    <row r="8840" spans="6:19" hidden="1" x14ac:dyDescent="0.25">
      <c r="F8840" t="s">
        <v>849</v>
      </c>
      <c r="G8840" t="s">
        <v>469</v>
      </c>
      <c r="H8840" t="str">
        <f>VLOOKUP(record[[#This Row],[ProcessSN]],表格2_7[],2,FALSE)</f>
        <v>30-4118-018-XXX</v>
      </c>
      <c r="I8840" t="str">
        <f>VLOOKUP(record[[#This Row],[ProcessSN]],表格2_7[],3,FALSE)</f>
        <v>#02RCV</v>
      </c>
      <c r="J8840" t="s">
        <v>591</v>
      </c>
      <c r="K8840" s="195">
        <v>45847.480891203704</v>
      </c>
      <c r="L8840">
        <v>504</v>
      </c>
      <c r="M8840">
        <v>0</v>
      </c>
      <c r="N8840" s="98" t="str">
        <f>IF(record[[#This Row],[Memo]]="Browser:chrome os:android","平板報工",IF(record[[#This Row],[Memo]]=0,"委外",record[[#This Row],[Memo]]))</f>
        <v/>
      </c>
      <c r="O8840" t="s">
        <v>58</v>
      </c>
      <c r="P8840" t="s">
        <v>186</v>
      </c>
      <c r="Q8840" t="s">
        <v>58</v>
      </c>
      <c r="R8840" t="str">
        <f>IFERROR(VLOOKUP(record[[#This Row],[PCUSTID]],廠商[],2,FALSE),"")</f>
        <v/>
      </c>
      <c r="S8840" t="str">
        <f>VLOOKUP(record[[#This Row],[employeeID]],員工[],2,FALSE)</f>
        <v>許文姍</v>
      </c>
    </row>
    <row r="8841" spans="6:19" hidden="1" x14ac:dyDescent="0.25">
      <c r="F8841" t="s">
        <v>884</v>
      </c>
      <c r="G8841" t="s">
        <v>425</v>
      </c>
      <c r="H8841" t="str">
        <f>VLOOKUP(record[[#This Row],[ProcessSN]],表格2_7[],2,FALSE)</f>
        <v>30-4118-018-600</v>
      </c>
      <c r="I8841" t="str">
        <f>VLOOKUP(record[[#This Row],[ProcessSN]],表格2_7[],3,FALSE)</f>
        <v>#100</v>
      </c>
      <c r="J8841" t="s">
        <v>598</v>
      </c>
      <c r="K8841" s="195">
        <v>45847.465960648151</v>
      </c>
      <c r="L8841">
        <v>0</v>
      </c>
      <c r="M8841">
        <v>5</v>
      </c>
      <c r="N8841" s="98" t="str">
        <f>IF(record[[#This Row],[Memo]]="Browser:chrome os:android","平板報工",IF(record[[#This Row],[Memo]]=0,"委外",record[[#This Row],[Memo]]))</f>
        <v>平板報工</v>
      </c>
      <c r="O8841" t="s">
        <v>643</v>
      </c>
      <c r="P8841" t="s">
        <v>141</v>
      </c>
      <c r="Q8841" t="s">
        <v>644</v>
      </c>
      <c r="R8841" t="str">
        <f>IFERROR(VLOOKUP(record[[#This Row],[PCUSTID]],廠商[],2,FALSE),"")</f>
        <v/>
      </c>
      <c r="S8841" t="str">
        <f>VLOOKUP(record[[#This Row],[employeeID]],員工[],2,FALSE)</f>
        <v>蔣梅</v>
      </c>
    </row>
    <row r="8842" spans="6:19" hidden="1" x14ac:dyDescent="0.25">
      <c r="F8842" t="s">
        <v>884</v>
      </c>
      <c r="G8842" t="s">
        <v>425</v>
      </c>
      <c r="H8842" t="str">
        <f>VLOOKUP(record[[#This Row],[ProcessSN]],表格2_7[],2,FALSE)</f>
        <v>30-4118-018-600</v>
      </c>
      <c r="I8842" t="str">
        <f>VLOOKUP(record[[#This Row],[ProcessSN]],表格2_7[],3,FALSE)</f>
        <v>#100</v>
      </c>
      <c r="J8842" t="s">
        <v>598</v>
      </c>
      <c r="K8842" s="195">
        <v>45847.465729166666</v>
      </c>
      <c r="L8842">
        <v>131</v>
      </c>
      <c r="M8842">
        <v>0</v>
      </c>
      <c r="N8842" s="98" t="str">
        <f>IF(record[[#This Row],[Memo]]="Browser:chrome os:android","平板報工",IF(record[[#This Row],[Memo]]=0,"委外",record[[#This Row],[Memo]]))</f>
        <v>平板報工</v>
      </c>
      <c r="O8842" t="s">
        <v>643</v>
      </c>
      <c r="P8842" t="s">
        <v>141</v>
      </c>
      <c r="Q8842" t="s">
        <v>644</v>
      </c>
      <c r="R8842" t="str">
        <f>IFERROR(VLOOKUP(record[[#This Row],[PCUSTID]],廠商[],2,FALSE),"")</f>
        <v/>
      </c>
      <c r="S8842" t="str">
        <f>VLOOKUP(record[[#This Row],[employeeID]],員工[],2,FALSE)</f>
        <v>蔣梅</v>
      </c>
    </row>
    <row r="8843" spans="6:19" hidden="1" x14ac:dyDescent="0.25">
      <c r="F8843" t="s">
        <v>864</v>
      </c>
      <c r="G8843" t="s">
        <v>452</v>
      </c>
      <c r="H8843" t="str">
        <f>VLOOKUP(record[[#This Row],[ProcessSN]],表格2_7[],2,FALSE)</f>
        <v>30-4118-018-6XX</v>
      </c>
      <c r="I8843" t="str">
        <f>VLOOKUP(record[[#This Row],[ProcessSN]],表格2_7[],3,FALSE)</f>
        <v>#07QC</v>
      </c>
      <c r="J8843" t="s">
        <v>589</v>
      </c>
      <c r="K8843" s="195">
        <v>45847.363229166665</v>
      </c>
      <c r="L8843">
        <v>0</v>
      </c>
      <c r="M8843">
        <v>5</v>
      </c>
      <c r="N8843" s="98" t="str">
        <f>IF(record[[#This Row],[Memo]]="Browser:chrome os:android","平板報工",IF(record[[#This Row],[Memo]]=0,"委外",record[[#This Row],[Memo]]))</f>
        <v>平板報工</v>
      </c>
      <c r="O8843" t="s">
        <v>643</v>
      </c>
      <c r="P8843" t="s">
        <v>141</v>
      </c>
      <c r="Q8843" t="s">
        <v>644</v>
      </c>
      <c r="R8843" t="str">
        <f>IFERROR(VLOOKUP(record[[#This Row],[PCUSTID]],廠商[],2,FALSE),"")</f>
        <v/>
      </c>
      <c r="S8843" t="str">
        <f>VLOOKUP(record[[#This Row],[employeeID]],員工[],2,FALSE)</f>
        <v>蔣梅</v>
      </c>
    </row>
    <row r="8844" spans="6:19" hidden="1" x14ac:dyDescent="0.25">
      <c r="F8844" t="s">
        <v>864</v>
      </c>
      <c r="G8844" t="s">
        <v>452</v>
      </c>
      <c r="H8844" t="str">
        <f>VLOOKUP(record[[#This Row],[ProcessSN]],表格2_7[],2,FALSE)</f>
        <v>30-4118-018-6XX</v>
      </c>
      <c r="I8844" t="str">
        <f>VLOOKUP(record[[#This Row],[ProcessSN]],表格2_7[],3,FALSE)</f>
        <v>#07QC</v>
      </c>
      <c r="J8844" t="s">
        <v>589</v>
      </c>
      <c r="K8844" s="195">
        <v>45847.363032407404</v>
      </c>
      <c r="L8844">
        <v>85</v>
      </c>
      <c r="M8844">
        <v>0</v>
      </c>
      <c r="N8844" s="98" t="str">
        <f>IF(record[[#This Row],[Memo]]="Browser:chrome os:android","平板報工",IF(record[[#This Row],[Memo]]=0,"委外",record[[#This Row],[Memo]]))</f>
        <v>平板報工</v>
      </c>
      <c r="O8844" t="s">
        <v>643</v>
      </c>
      <c r="P8844" t="s">
        <v>141</v>
      </c>
      <c r="Q8844" t="s">
        <v>644</v>
      </c>
      <c r="R8844" t="str">
        <f>IFERROR(VLOOKUP(record[[#This Row],[PCUSTID]],廠商[],2,FALSE),"")</f>
        <v/>
      </c>
      <c r="S8844" t="str">
        <f>VLOOKUP(record[[#This Row],[employeeID]],員工[],2,FALSE)</f>
        <v>蔣梅</v>
      </c>
    </row>
    <row r="8845" spans="6:19" hidden="1" x14ac:dyDescent="0.25">
      <c r="F8845" t="s">
        <v>875</v>
      </c>
      <c r="G8845" t="s">
        <v>448</v>
      </c>
      <c r="H8845" t="str">
        <f>VLOOKUP(record[[#This Row],[ProcessSN]],表格2_7[],2,FALSE)</f>
        <v>30-4118-018-6XX</v>
      </c>
      <c r="I8845" t="str">
        <f>VLOOKUP(record[[#This Row],[ProcessSN]],表格2_7[],3,FALSE)</f>
        <v>#04</v>
      </c>
      <c r="J8845" t="s">
        <v>588</v>
      </c>
      <c r="K8845" s="195">
        <v>45847.304965277777</v>
      </c>
      <c r="L8845">
        <v>81</v>
      </c>
      <c r="M8845">
        <v>0</v>
      </c>
      <c r="N8845" s="98" t="str">
        <f>IF(record[[#This Row],[Memo]]="Browser:chrome os:android","平板報工",IF(record[[#This Row],[Memo]]=0,"委外",record[[#This Row],[Memo]]))</f>
        <v/>
      </c>
      <c r="O8845" t="s">
        <v>58</v>
      </c>
      <c r="P8845" t="s">
        <v>135</v>
      </c>
      <c r="Q8845" t="s">
        <v>58</v>
      </c>
      <c r="R8845" t="str">
        <f>IFERROR(VLOOKUP(record[[#This Row],[PCUSTID]],廠商[],2,FALSE),"")</f>
        <v/>
      </c>
      <c r="S8845" t="str">
        <f>VLOOKUP(record[[#This Row],[employeeID]],員工[],2,FALSE)</f>
        <v>阮士文</v>
      </c>
    </row>
    <row r="8846" spans="6:19" hidden="1" x14ac:dyDescent="0.25">
      <c r="F8846" t="s">
        <v>875</v>
      </c>
      <c r="G8846" t="s">
        <v>449</v>
      </c>
      <c r="H8846" t="str">
        <f>VLOOKUP(record[[#This Row],[ProcessSN]],表格2_7[],2,FALSE)</f>
        <v>30-4118-018-6XX</v>
      </c>
      <c r="I8846" t="str">
        <f>VLOOKUP(record[[#This Row],[ProcessSN]],表格2_7[],3,FALSE)</f>
        <v>#05</v>
      </c>
      <c r="J8846" t="s">
        <v>588</v>
      </c>
      <c r="K8846" s="195">
        <v>45846.970752314817</v>
      </c>
      <c r="L8846">
        <v>63</v>
      </c>
      <c r="M8846">
        <v>0</v>
      </c>
      <c r="N8846" s="98" t="str">
        <f>IF(record[[#This Row],[Memo]]="Browser:chrome os:android","平板報工",IF(record[[#This Row],[Memo]]=0,"委外",record[[#This Row],[Memo]]))</f>
        <v/>
      </c>
      <c r="O8846" t="s">
        <v>58</v>
      </c>
      <c r="P8846" t="s">
        <v>89</v>
      </c>
      <c r="Q8846" t="s">
        <v>58</v>
      </c>
      <c r="R8846" t="str">
        <f>IFERROR(VLOOKUP(record[[#This Row],[PCUSTID]],廠商[],2,FALSE),"")</f>
        <v/>
      </c>
      <c r="S8846" t="str">
        <f>VLOOKUP(record[[#This Row],[employeeID]],員工[],2,FALSE)</f>
        <v>李美蓮</v>
      </c>
    </row>
    <row r="8847" spans="6:19" hidden="1" x14ac:dyDescent="0.25">
      <c r="F8847" t="s">
        <v>875</v>
      </c>
      <c r="G8847" t="s">
        <v>448</v>
      </c>
      <c r="H8847" t="str">
        <f>VLOOKUP(record[[#This Row],[ProcessSN]],表格2_7[],2,FALSE)</f>
        <v>30-4118-018-6XX</v>
      </c>
      <c r="I8847" t="str">
        <f>VLOOKUP(record[[#This Row],[ProcessSN]],表格2_7[],3,FALSE)</f>
        <v>#04</v>
      </c>
      <c r="J8847" t="s">
        <v>588</v>
      </c>
      <c r="K8847" s="195">
        <v>45846.970555555556</v>
      </c>
      <c r="L8847">
        <v>63</v>
      </c>
      <c r="M8847">
        <v>0</v>
      </c>
      <c r="N8847" s="98" t="str">
        <f>IF(record[[#This Row],[Memo]]="Browser:chrome os:android","平板報工",IF(record[[#This Row],[Memo]]=0,"委外",record[[#This Row],[Memo]]))</f>
        <v/>
      </c>
      <c r="O8847" t="s">
        <v>58</v>
      </c>
      <c r="P8847" t="s">
        <v>89</v>
      </c>
      <c r="Q8847" t="s">
        <v>58</v>
      </c>
      <c r="R8847" t="str">
        <f>IFERROR(VLOOKUP(record[[#This Row],[PCUSTID]],廠商[],2,FALSE),"")</f>
        <v/>
      </c>
      <c r="S8847" t="str">
        <f>VLOOKUP(record[[#This Row],[employeeID]],員工[],2,FALSE)</f>
        <v>李美蓮</v>
      </c>
    </row>
    <row r="8848" spans="6:19" hidden="1" x14ac:dyDescent="0.25">
      <c r="F8848" t="s">
        <v>864</v>
      </c>
      <c r="G8848" t="s">
        <v>450</v>
      </c>
      <c r="H8848" t="str">
        <f>VLOOKUP(record[[#This Row],[ProcessSN]],表格2_7[],2,FALSE)</f>
        <v>30-4118-018-6XX</v>
      </c>
      <c r="I8848" t="str">
        <f>VLOOKUP(record[[#This Row],[ProcessSN]],表格2_7[],3,FALSE)</f>
        <v>#06</v>
      </c>
      <c r="J8848" t="s">
        <v>593</v>
      </c>
      <c r="K8848" s="195">
        <v>45846.961631944447</v>
      </c>
      <c r="L8848">
        <v>121</v>
      </c>
      <c r="M8848">
        <v>3</v>
      </c>
      <c r="N8848" s="98" t="str">
        <f>IF(record[[#This Row],[Memo]]="Browser:chrome os:android","平板報工",IF(record[[#This Row],[Memo]]=0,"委外",record[[#This Row],[Memo]]))</f>
        <v/>
      </c>
      <c r="O8848" t="s">
        <v>58</v>
      </c>
      <c r="P8848" t="s">
        <v>841</v>
      </c>
      <c r="Q8848" t="s">
        <v>58</v>
      </c>
      <c r="R8848" t="str">
        <f>IFERROR(VLOOKUP(record[[#This Row],[PCUSTID]],廠商[],2,FALSE),"")</f>
        <v/>
      </c>
      <c r="S8848" t="str">
        <f>VLOOKUP(record[[#This Row],[employeeID]],員工[],2,FALSE)</f>
        <v>范氏香</v>
      </c>
    </row>
    <row r="8849" spans="6:19" hidden="1" x14ac:dyDescent="0.25">
      <c r="F8849" t="s">
        <v>864</v>
      </c>
      <c r="G8849" t="s">
        <v>449</v>
      </c>
      <c r="H8849" t="str">
        <f>VLOOKUP(record[[#This Row],[ProcessSN]],表格2_7[],2,FALSE)</f>
        <v>30-4118-018-6XX</v>
      </c>
      <c r="I8849" t="str">
        <f>VLOOKUP(record[[#This Row],[ProcessSN]],表格2_7[],3,FALSE)</f>
        <v>#05</v>
      </c>
      <c r="J8849" t="s">
        <v>588</v>
      </c>
      <c r="K8849" s="195">
        <v>45846.91138888889</v>
      </c>
      <c r="L8849">
        <v>160</v>
      </c>
      <c r="M8849">
        <v>0</v>
      </c>
      <c r="N8849" s="98" t="str">
        <f>IF(record[[#This Row],[Memo]]="Browser:chrome os:android","平板報工",IF(record[[#This Row],[Memo]]=0,"委外",record[[#This Row],[Memo]]))</f>
        <v/>
      </c>
      <c r="O8849" t="s">
        <v>58</v>
      </c>
      <c r="P8849" t="s">
        <v>89</v>
      </c>
      <c r="Q8849" t="s">
        <v>58</v>
      </c>
      <c r="R8849" t="str">
        <f>IFERROR(VLOOKUP(record[[#This Row],[PCUSTID]],廠商[],2,FALSE),"")</f>
        <v/>
      </c>
      <c r="S8849" t="str">
        <f>VLOOKUP(record[[#This Row],[employeeID]],員工[],2,FALSE)</f>
        <v>李美蓮</v>
      </c>
    </row>
    <row r="8850" spans="6:19" hidden="1" x14ac:dyDescent="0.25">
      <c r="F8850" t="s">
        <v>849</v>
      </c>
      <c r="G8850" t="s">
        <v>470</v>
      </c>
      <c r="H8850" t="str">
        <f>VLOOKUP(record[[#This Row],[ProcessSN]],表格2_7[],2,FALSE)</f>
        <v>30-4118-018-XXX</v>
      </c>
      <c r="I8850" t="str">
        <f>VLOOKUP(record[[#This Row],[ProcessSN]],表格2_7[],3,FALSE)</f>
        <v>#02IQC</v>
      </c>
      <c r="J8850" t="s">
        <v>583</v>
      </c>
      <c r="K8850" s="195">
        <v>45846.790925925925</v>
      </c>
      <c r="L8850">
        <v>336</v>
      </c>
      <c r="M8850">
        <v>0</v>
      </c>
      <c r="N8850" s="98" t="str">
        <f>IF(record[[#This Row],[Memo]]="Browser:chrome os:android","平板報工",IF(record[[#This Row],[Memo]]=0,"委外",record[[#This Row],[Memo]]))</f>
        <v/>
      </c>
      <c r="O8850" t="s">
        <v>58</v>
      </c>
      <c r="P8850" t="s">
        <v>109</v>
      </c>
      <c r="Q8850" t="s">
        <v>58</v>
      </c>
      <c r="R8850" t="str">
        <f>IFERROR(VLOOKUP(record[[#This Row],[PCUSTID]],廠商[],2,FALSE),"")</f>
        <v/>
      </c>
      <c r="S8850" t="str">
        <f>VLOOKUP(record[[#This Row],[employeeID]],員工[],2,FALSE)</f>
        <v>裴氏璧鳳</v>
      </c>
    </row>
    <row r="8851" spans="6:19" hidden="1" x14ac:dyDescent="0.25">
      <c r="F8851" t="s">
        <v>884</v>
      </c>
      <c r="G8851" t="s">
        <v>428</v>
      </c>
      <c r="H8851" t="str">
        <f>VLOOKUP(record[[#This Row],[ProcessSN]],表格2_7[],2,FALSE)</f>
        <v>30-4118-018-600</v>
      </c>
      <c r="I8851" t="str">
        <f>VLOOKUP(record[[#This Row],[ProcessSN]],表格2_7[],3,FALSE)</f>
        <v>#100SHIP</v>
      </c>
      <c r="J8851" t="s">
        <v>600</v>
      </c>
      <c r="K8851" s="195">
        <v>45846.704108796293</v>
      </c>
      <c r="L8851">
        <v>192</v>
      </c>
      <c r="M8851">
        <v>0</v>
      </c>
      <c r="N8851" s="98" t="str">
        <f>IF(record[[#This Row],[Memo]]="Browser:chrome os:android","平板報工",IF(record[[#This Row],[Memo]]=0,"委外",record[[#This Row],[Memo]]))</f>
        <v/>
      </c>
      <c r="O8851" t="s">
        <v>58</v>
      </c>
      <c r="P8851" t="s">
        <v>186</v>
      </c>
      <c r="Q8851" t="s">
        <v>58</v>
      </c>
      <c r="R8851" t="str">
        <f>IFERROR(VLOOKUP(record[[#This Row],[PCUSTID]],廠商[],2,FALSE),"")</f>
        <v/>
      </c>
      <c r="S8851" t="str">
        <f>VLOOKUP(record[[#This Row],[employeeID]],員工[],2,FALSE)</f>
        <v>許文姍</v>
      </c>
    </row>
    <row r="8852" spans="6:19" hidden="1" x14ac:dyDescent="0.25">
      <c r="F8852" t="s">
        <v>884</v>
      </c>
      <c r="G8852" t="s">
        <v>427</v>
      </c>
      <c r="H8852" t="str">
        <f>VLOOKUP(record[[#This Row],[ProcessSN]],表格2_7[],2,FALSE)</f>
        <v>30-4118-018-600</v>
      </c>
      <c r="I8852" t="str">
        <f>VLOOKUP(record[[#This Row],[ProcessSN]],表格2_7[],3,FALSE)</f>
        <v>#100STOCK</v>
      </c>
      <c r="J8852" t="s">
        <v>592</v>
      </c>
      <c r="K8852" s="195">
        <v>45846.704016203701</v>
      </c>
      <c r="L8852">
        <v>192</v>
      </c>
      <c r="M8852">
        <v>0</v>
      </c>
      <c r="N8852" s="98" t="str">
        <f>IF(record[[#This Row],[Memo]]="Browser:chrome os:android","平板報工",IF(record[[#This Row],[Memo]]=0,"委外",record[[#This Row],[Memo]]))</f>
        <v/>
      </c>
      <c r="O8852" t="s">
        <v>58</v>
      </c>
      <c r="P8852" t="s">
        <v>186</v>
      </c>
      <c r="Q8852" t="s">
        <v>58</v>
      </c>
      <c r="R8852" t="str">
        <f>IFERROR(VLOOKUP(record[[#This Row],[PCUSTID]],廠商[],2,FALSE),"")</f>
        <v/>
      </c>
      <c r="S8852" t="str">
        <f>VLOOKUP(record[[#This Row],[employeeID]],員工[],2,FALSE)</f>
        <v>許文姍</v>
      </c>
    </row>
    <row r="8853" spans="6:19" hidden="1" x14ac:dyDescent="0.25">
      <c r="F8853" t="s">
        <v>882</v>
      </c>
      <c r="G8853" t="s">
        <v>428</v>
      </c>
      <c r="H8853" t="str">
        <f>VLOOKUP(record[[#This Row],[ProcessSN]],表格2_7[],2,FALSE)</f>
        <v>30-4118-018-600</v>
      </c>
      <c r="I8853" t="str">
        <f>VLOOKUP(record[[#This Row],[ProcessSN]],表格2_7[],3,FALSE)</f>
        <v>#100SHIP</v>
      </c>
      <c r="J8853" t="s">
        <v>600</v>
      </c>
      <c r="K8853" s="195">
        <v>45846.703113425923</v>
      </c>
      <c r="L8853">
        <v>16</v>
      </c>
      <c r="M8853">
        <v>0</v>
      </c>
      <c r="N8853" s="98" t="str">
        <f>IF(record[[#This Row],[Memo]]="Browser:chrome os:android","平板報工",IF(record[[#This Row],[Memo]]=0,"委外",record[[#This Row],[Memo]]))</f>
        <v/>
      </c>
      <c r="O8853" t="s">
        <v>58</v>
      </c>
      <c r="P8853" t="s">
        <v>186</v>
      </c>
      <c r="Q8853" t="s">
        <v>58</v>
      </c>
      <c r="R8853" t="str">
        <f>IFERROR(VLOOKUP(record[[#This Row],[PCUSTID]],廠商[],2,FALSE),"")</f>
        <v/>
      </c>
      <c r="S8853" t="str">
        <f>VLOOKUP(record[[#This Row],[employeeID]],員工[],2,FALSE)</f>
        <v>許文姍</v>
      </c>
    </row>
    <row r="8854" spans="6:19" hidden="1" x14ac:dyDescent="0.25">
      <c r="F8854" t="s">
        <v>882</v>
      </c>
      <c r="G8854" t="s">
        <v>427</v>
      </c>
      <c r="H8854" t="str">
        <f>VLOOKUP(record[[#This Row],[ProcessSN]],表格2_7[],2,FALSE)</f>
        <v>30-4118-018-600</v>
      </c>
      <c r="I8854" t="str">
        <f>VLOOKUP(record[[#This Row],[ProcessSN]],表格2_7[],3,FALSE)</f>
        <v>#100STOCK</v>
      </c>
      <c r="J8854" t="s">
        <v>592</v>
      </c>
      <c r="K8854" s="195">
        <v>45846.703020833331</v>
      </c>
      <c r="L8854">
        <v>16</v>
      </c>
      <c r="M8854">
        <v>0</v>
      </c>
      <c r="N8854" s="98" t="str">
        <f>IF(record[[#This Row],[Memo]]="Browser:chrome os:android","平板報工",IF(record[[#This Row],[Memo]]=0,"委外",record[[#This Row],[Memo]]))</f>
        <v/>
      </c>
      <c r="O8854" t="s">
        <v>58</v>
      </c>
      <c r="P8854" t="s">
        <v>186</v>
      </c>
      <c r="Q8854" t="s">
        <v>58</v>
      </c>
      <c r="R8854" t="str">
        <f>IFERROR(VLOOKUP(record[[#This Row],[PCUSTID]],廠商[],2,FALSE),"")</f>
        <v/>
      </c>
      <c r="S8854" t="str">
        <f>VLOOKUP(record[[#This Row],[employeeID]],員工[],2,FALSE)</f>
        <v>許文姍</v>
      </c>
    </row>
    <row r="8855" spans="6:19" hidden="1" x14ac:dyDescent="0.25">
      <c r="F8855" t="s">
        <v>884</v>
      </c>
      <c r="G8855" t="s">
        <v>426</v>
      </c>
      <c r="H8855" t="str">
        <f>VLOOKUP(record[[#This Row],[ProcessSN]],表格2_7[],2,FALSE)</f>
        <v>30-4118-018-600</v>
      </c>
      <c r="I8855" t="str">
        <f>VLOOKUP(record[[#This Row],[ProcessSN]],表格2_7[],3,FALSE)</f>
        <v>#100OQC</v>
      </c>
      <c r="J8855" t="s">
        <v>599</v>
      </c>
      <c r="K8855" s="195">
        <v>45846.702650462961</v>
      </c>
      <c r="L8855">
        <v>192</v>
      </c>
      <c r="M8855">
        <v>0</v>
      </c>
      <c r="N8855" s="98" t="str">
        <f>IF(record[[#This Row],[Memo]]="Browser:chrome os:android","平板報工",IF(record[[#This Row],[Memo]]=0,"委外",record[[#This Row],[Memo]]))</f>
        <v/>
      </c>
      <c r="O8855" t="s">
        <v>58</v>
      </c>
      <c r="P8855" t="s">
        <v>121</v>
      </c>
      <c r="Q8855" t="s">
        <v>58</v>
      </c>
      <c r="R8855" t="str">
        <f>IFERROR(VLOOKUP(record[[#This Row],[PCUSTID]],廠商[],2,FALSE),"")</f>
        <v/>
      </c>
      <c r="S8855" t="str">
        <f>VLOOKUP(record[[#This Row],[employeeID]],員工[],2,FALSE)</f>
        <v>謝素卿</v>
      </c>
    </row>
    <row r="8856" spans="6:19" hidden="1" x14ac:dyDescent="0.25">
      <c r="F8856" t="s">
        <v>882</v>
      </c>
      <c r="G8856" t="s">
        <v>426</v>
      </c>
      <c r="H8856" t="str">
        <f>VLOOKUP(record[[#This Row],[ProcessSN]],表格2_7[],2,FALSE)</f>
        <v>30-4118-018-600</v>
      </c>
      <c r="I8856" t="str">
        <f>VLOOKUP(record[[#This Row],[ProcessSN]],表格2_7[],3,FALSE)</f>
        <v>#100OQC</v>
      </c>
      <c r="J8856" t="s">
        <v>599</v>
      </c>
      <c r="K8856" s="195">
        <v>45846.702453703707</v>
      </c>
      <c r="L8856">
        <v>16</v>
      </c>
      <c r="M8856">
        <v>0</v>
      </c>
      <c r="N8856" s="98" t="str">
        <f>IF(record[[#This Row],[Memo]]="Browser:chrome os:android","平板報工",IF(record[[#This Row],[Memo]]=0,"委外",record[[#This Row],[Memo]]))</f>
        <v/>
      </c>
      <c r="O8856" t="s">
        <v>58</v>
      </c>
      <c r="P8856" t="s">
        <v>121</v>
      </c>
      <c r="Q8856" t="s">
        <v>58</v>
      </c>
      <c r="R8856" t="str">
        <f>IFERROR(VLOOKUP(record[[#This Row],[PCUSTID]],廠商[],2,FALSE),"")</f>
        <v/>
      </c>
      <c r="S8856" t="str">
        <f>VLOOKUP(record[[#This Row],[employeeID]],員工[],2,FALSE)</f>
        <v>謝素卿</v>
      </c>
    </row>
    <row r="8857" spans="6:19" hidden="1" x14ac:dyDescent="0.25">
      <c r="F8857" t="s">
        <v>884</v>
      </c>
      <c r="G8857" t="s">
        <v>425</v>
      </c>
      <c r="H8857" t="str">
        <f>VLOOKUP(record[[#This Row],[ProcessSN]],表格2_7[],2,FALSE)</f>
        <v>30-4118-018-600</v>
      </c>
      <c r="I8857" t="str">
        <f>VLOOKUP(record[[#This Row],[ProcessSN]],表格2_7[],3,FALSE)</f>
        <v>#100</v>
      </c>
      <c r="J8857" t="s">
        <v>598</v>
      </c>
      <c r="K8857" s="195">
        <v>45846.688564814816</v>
      </c>
      <c r="L8857">
        <v>192</v>
      </c>
      <c r="M8857">
        <v>0</v>
      </c>
      <c r="N8857" s="98" t="str">
        <f>IF(record[[#This Row],[Memo]]="Browser:chrome os:android","平板報工",IF(record[[#This Row],[Memo]]=0,"委外",record[[#This Row],[Memo]]))</f>
        <v>平板報工</v>
      </c>
      <c r="O8857" t="s">
        <v>643</v>
      </c>
      <c r="P8857" t="s">
        <v>141</v>
      </c>
      <c r="Q8857" t="s">
        <v>644</v>
      </c>
      <c r="R8857" t="str">
        <f>IFERROR(VLOOKUP(record[[#This Row],[PCUSTID]],廠商[],2,FALSE),"")</f>
        <v/>
      </c>
      <c r="S8857" t="str">
        <f>VLOOKUP(record[[#This Row],[employeeID]],員工[],2,FALSE)</f>
        <v>蔣梅</v>
      </c>
    </row>
    <row r="8858" spans="6:19" hidden="1" x14ac:dyDescent="0.25">
      <c r="F8858" t="s">
        <v>864</v>
      </c>
      <c r="G8858" t="s">
        <v>450</v>
      </c>
      <c r="H8858" t="str">
        <f>VLOOKUP(record[[#This Row],[ProcessSN]],表格2_7[],2,FALSE)</f>
        <v>30-4118-018-6XX</v>
      </c>
      <c r="I8858" t="str">
        <f>VLOOKUP(record[[#This Row],[ProcessSN]],表格2_7[],3,FALSE)</f>
        <v>#06</v>
      </c>
      <c r="J8858" t="s">
        <v>593</v>
      </c>
      <c r="K8858" s="195">
        <v>45846.678171296298</v>
      </c>
      <c r="L8858">
        <v>84</v>
      </c>
      <c r="M8858">
        <v>4</v>
      </c>
      <c r="N8858" s="98" t="str">
        <f>IF(record[[#This Row],[Memo]]="Browser:chrome os:android","平板報工",IF(record[[#This Row],[Memo]]=0,"委外",record[[#This Row],[Memo]]))</f>
        <v/>
      </c>
      <c r="O8858" t="s">
        <v>58</v>
      </c>
      <c r="P8858" t="s">
        <v>101</v>
      </c>
      <c r="Q8858" t="s">
        <v>58</v>
      </c>
      <c r="R8858" t="str">
        <f>IFERROR(VLOOKUP(record[[#This Row],[PCUSTID]],廠商[],2,FALSE),"")</f>
        <v/>
      </c>
      <c r="S8858" t="str">
        <f>VLOOKUP(record[[#This Row],[employeeID]],員工[],2,FALSE)</f>
        <v>陳氏絨</v>
      </c>
    </row>
    <row r="8859" spans="6:19" hidden="1" x14ac:dyDescent="0.25">
      <c r="F8859" t="s">
        <v>875</v>
      </c>
      <c r="G8859" t="s">
        <v>447</v>
      </c>
      <c r="H8859" t="str">
        <f>VLOOKUP(record[[#This Row],[ProcessSN]],表格2_7[],2,FALSE)</f>
        <v>30-4118-018-6XX</v>
      </c>
      <c r="I8859" t="str">
        <f>VLOOKUP(record[[#This Row],[ProcessSN]],表格2_7[],3,FALSE)</f>
        <v>#03</v>
      </c>
      <c r="J8859" t="s">
        <v>588</v>
      </c>
      <c r="K8859" s="195">
        <v>45846.672777777778</v>
      </c>
      <c r="L8859">
        <v>446</v>
      </c>
      <c r="M8859">
        <v>0</v>
      </c>
      <c r="N8859" s="98" t="str">
        <f>IF(record[[#This Row],[Memo]]="Browser:chrome os:android","平板報工",IF(record[[#This Row],[Memo]]=0,"委外",record[[#This Row],[Memo]]))</f>
        <v/>
      </c>
      <c r="O8859" t="s">
        <v>58</v>
      </c>
      <c r="P8859" t="s">
        <v>101</v>
      </c>
      <c r="Q8859" t="s">
        <v>58</v>
      </c>
      <c r="R8859" t="str">
        <f>IFERROR(VLOOKUP(record[[#This Row],[PCUSTID]],廠商[],2,FALSE),"")</f>
        <v/>
      </c>
      <c r="S8859" t="str">
        <f>VLOOKUP(record[[#This Row],[employeeID]],員工[],2,FALSE)</f>
        <v>陳氏絨</v>
      </c>
    </row>
    <row r="8860" spans="6:19" hidden="1" x14ac:dyDescent="0.25">
      <c r="F8860" t="s">
        <v>877</v>
      </c>
      <c r="G8860" t="s">
        <v>414</v>
      </c>
      <c r="H8860" t="str">
        <f>VLOOKUP(record[[#This Row],[ProcessSN]],表格2_7[],2,FALSE)</f>
        <v>30-4118-018-5XX</v>
      </c>
      <c r="I8860" t="str">
        <f>VLOOKUP(record[[#This Row],[ProcessSN]],表格2_7[],3,FALSE)</f>
        <v>#03</v>
      </c>
      <c r="J8860" t="s">
        <v>588</v>
      </c>
      <c r="K8860" s="195">
        <v>45846.672349537039</v>
      </c>
      <c r="L8860">
        <v>256</v>
      </c>
      <c r="M8860">
        <v>0</v>
      </c>
      <c r="N8860" s="98" t="str">
        <f>IF(record[[#This Row],[Memo]]="Browser:chrome os:android","平板報工",IF(record[[#This Row],[Memo]]=0,"委外",record[[#This Row],[Memo]]))</f>
        <v/>
      </c>
      <c r="O8860" t="s">
        <v>58</v>
      </c>
      <c r="P8860" t="s">
        <v>101</v>
      </c>
      <c r="Q8860" t="s">
        <v>58</v>
      </c>
      <c r="R8860" t="str">
        <f>IFERROR(VLOOKUP(record[[#This Row],[PCUSTID]],廠商[],2,FALSE),"")</f>
        <v/>
      </c>
      <c r="S8860" t="str">
        <f>VLOOKUP(record[[#This Row],[employeeID]],員工[],2,FALSE)</f>
        <v>陳氏絨</v>
      </c>
    </row>
    <row r="8861" spans="6:19" hidden="1" x14ac:dyDescent="0.25">
      <c r="F8861" t="s">
        <v>882</v>
      </c>
      <c r="G8861" t="s">
        <v>428</v>
      </c>
      <c r="H8861" t="str">
        <f>VLOOKUP(record[[#This Row],[ProcessSN]],表格2_7[],2,FALSE)</f>
        <v>30-4118-018-600</v>
      </c>
      <c r="I8861" t="str">
        <f>VLOOKUP(record[[#This Row],[ProcessSN]],表格2_7[],3,FALSE)</f>
        <v>#100SHIP</v>
      </c>
      <c r="J8861" t="s">
        <v>600</v>
      </c>
      <c r="K8861" s="195">
        <v>45846.663761574076</v>
      </c>
      <c r="L8861">
        <v>131</v>
      </c>
      <c r="M8861">
        <v>0</v>
      </c>
      <c r="N8861" s="98" t="str">
        <f>IF(record[[#This Row],[Memo]]="Browser:chrome os:android","平板報工",IF(record[[#This Row],[Memo]]=0,"委外",record[[#This Row],[Memo]]))</f>
        <v/>
      </c>
      <c r="O8861" t="s">
        <v>58</v>
      </c>
      <c r="P8861" t="s">
        <v>99</v>
      </c>
      <c r="Q8861" t="s">
        <v>58</v>
      </c>
      <c r="R8861" t="str">
        <f>IFERROR(VLOOKUP(record[[#This Row],[PCUSTID]],廠商[],2,FALSE),"")</f>
        <v/>
      </c>
      <c r="S8861" t="str">
        <f>VLOOKUP(record[[#This Row],[employeeID]],員工[],2,FALSE)</f>
        <v>阮氏河</v>
      </c>
    </row>
    <row r="8862" spans="6:19" hidden="1" x14ac:dyDescent="0.25">
      <c r="F8862" t="s">
        <v>882</v>
      </c>
      <c r="G8862" t="s">
        <v>427</v>
      </c>
      <c r="H8862" t="str">
        <f>VLOOKUP(record[[#This Row],[ProcessSN]],表格2_7[],2,FALSE)</f>
        <v>30-4118-018-600</v>
      </c>
      <c r="I8862" t="str">
        <f>VLOOKUP(record[[#This Row],[ProcessSN]],表格2_7[],3,FALSE)</f>
        <v>#100STOCK</v>
      </c>
      <c r="J8862" t="s">
        <v>592</v>
      </c>
      <c r="K8862" s="195">
        <v>45846.663437499999</v>
      </c>
      <c r="L8862">
        <v>131</v>
      </c>
      <c r="M8862">
        <v>0</v>
      </c>
      <c r="N8862" s="98" t="str">
        <f>IF(record[[#This Row],[Memo]]="Browser:chrome os:android","平板報工",IF(record[[#This Row],[Memo]]=0,"委外",record[[#This Row],[Memo]]))</f>
        <v/>
      </c>
      <c r="O8862" t="s">
        <v>58</v>
      </c>
      <c r="P8862" t="s">
        <v>99</v>
      </c>
      <c r="Q8862" t="s">
        <v>58</v>
      </c>
      <c r="R8862" t="str">
        <f>IFERROR(VLOOKUP(record[[#This Row],[PCUSTID]],廠商[],2,FALSE),"")</f>
        <v/>
      </c>
      <c r="S8862" t="str">
        <f>VLOOKUP(record[[#This Row],[employeeID]],員工[],2,FALSE)</f>
        <v>阮氏河</v>
      </c>
    </row>
    <row r="8863" spans="6:19" hidden="1" x14ac:dyDescent="0.25">
      <c r="F8863" t="s">
        <v>874</v>
      </c>
      <c r="G8863" t="s">
        <v>403</v>
      </c>
      <c r="H8863" t="str">
        <f>VLOOKUP(record[[#This Row],[ProcessSN]],表格2_7[],2,FALSE)</f>
        <v>30-4118-018-550</v>
      </c>
      <c r="I8863" t="str">
        <f>VLOOKUP(record[[#This Row],[ProcessSN]],表格2_7[],3,FALSE)</f>
        <v>#100SHIP</v>
      </c>
      <c r="J8863" t="s">
        <v>600</v>
      </c>
      <c r="K8863" s="195">
        <v>45846.662523148145</v>
      </c>
      <c r="L8863">
        <v>157</v>
      </c>
      <c r="M8863">
        <v>0</v>
      </c>
      <c r="N8863" s="98" t="str">
        <f>IF(record[[#This Row],[Memo]]="Browser:chrome os:android","平板報工",IF(record[[#This Row],[Memo]]=0,"委外",record[[#This Row],[Memo]]))</f>
        <v/>
      </c>
      <c r="O8863" t="s">
        <v>58</v>
      </c>
      <c r="P8863" t="s">
        <v>99</v>
      </c>
      <c r="Q8863" t="s">
        <v>58</v>
      </c>
      <c r="R8863" t="str">
        <f>IFERROR(VLOOKUP(record[[#This Row],[PCUSTID]],廠商[],2,FALSE),"")</f>
        <v/>
      </c>
      <c r="S8863" t="str">
        <f>VLOOKUP(record[[#This Row],[employeeID]],員工[],2,FALSE)</f>
        <v>阮氏河</v>
      </c>
    </row>
    <row r="8864" spans="6:19" hidden="1" x14ac:dyDescent="0.25">
      <c r="F8864" t="s">
        <v>680</v>
      </c>
      <c r="G8864" t="s">
        <v>362</v>
      </c>
      <c r="H8864" t="str">
        <f>VLOOKUP(record[[#This Row],[ProcessSN]],表格2_7[],2,FALSE)</f>
        <v>30-4118-018-450</v>
      </c>
      <c r="I8864" t="str">
        <f>VLOOKUP(record[[#This Row],[ProcessSN]],表格2_7[],3,FALSE)</f>
        <v>#100SHIP</v>
      </c>
      <c r="J8864" t="s">
        <v>600</v>
      </c>
      <c r="K8864" s="195">
        <v>45846.661886574075</v>
      </c>
      <c r="L8864">
        <v>7</v>
      </c>
      <c r="M8864">
        <v>0</v>
      </c>
      <c r="N8864" s="98" t="str">
        <f>IF(record[[#This Row],[Memo]]="Browser:chrome os:android","平板報工",IF(record[[#This Row],[Memo]]=0,"委外",record[[#This Row],[Memo]]))</f>
        <v/>
      </c>
      <c r="O8864" t="s">
        <v>58</v>
      </c>
      <c r="P8864" t="s">
        <v>99</v>
      </c>
      <c r="Q8864" t="s">
        <v>58</v>
      </c>
      <c r="R8864" t="str">
        <f>IFERROR(VLOOKUP(record[[#This Row],[PCUSTID]],廠商[],2,FALSE),"")</f>
        <v/>
      </c>
      <c r="S8864" t="str">
        <f>VLOOKUP(record[[#This Row],[employeeID]],員工[],2,FALSE)</f>
        <v>阮氏河</v>
      </c>
    </row>
    <row r="8865" spans="6:19" hidden="1" x14ac:dyDescent="0.25">
      <c r="F8865" t="s">
        <v>884</v>
      </c>
      <c r="G8865" t="s">
        <v>424</v>
      </c>
      <c r="H8865" t="str">
        <f>VLOOKUP(record[[#This Row],[ProcessSN]],表格2_7[],2,FALSE)</f>
        <v>30-4118-018-600</v>
      </c>
      <c r="I8865" t="str">
        <f>VLOOKUP(record[[#This Row],[ProcessSN]],表格2_7[],3,FALSE)</f>
        <v>#08IQC</v>
      </c>
      <c r="J8865" t="s">
        <v>583</v>
      </c>
      <c r="K8865" s="195">
        <v>45846.653749999998</v>
      </c>
      <c r="L8865">
        <v>328</v>
      </c>
      <c r="M8865">
        <v>0</v>
      </c>
      <c r="N8865" s="98" t="str">
        <f>IF(record[[#This Row],[Memo]]="Browser:chrome os:android","平板報工",IF(record[[#This Row],[Memo]]=0,"委外",record[[#This Row],[Memo]]))</f>
        <v/>
      </c>
      <c r="O8865" t="s">
        <v>58</v>
      </c>
      <c r="P8865" t="s">
        <v>109</v>
      </c>
      <c r="Q8865" t="s">
        <v>58</v>
      </c>
      <c r="R8865" t="str">
        <f>IFERROR(VLOOKUP(record[[#This Row],[PCUSTID]],廠商[],2,FALSE),"")</f>
        <v/>
      </c>
      <c r="S8865" t="str">
        <f>VLOOKUP(record[[#This Row],[employeeID]],員工[],2,FALSE)</f>
        <v>裴氏璧鳳</v>
      </c>
    </row>
    <row r="8866" spans="6:19" hidden="1" x14ac:dyDescent="0.25">
      <c r="F8866" t="s">
        <v>884</v>
      </c>
      <c r="G8866" t="s">
        <v>423</v>
      </c>
      <c r="H8866" t="str">
        <f>VLOOKUP(record[[#This Row],[ProcessSN]],表格2_7[],2,FALSE)</f>
        <v>30-4118-018-600</v>
      </c>
      <c r="I8866" t="str">
        <f>VLOOKUP(record[[#This Row],[ProcessSN]],表格2_7[],3,FALSE)</f>
        <v>#08RCV</v>
      </c>
      <c r="J8866" t="s">
        <v>591</v>
      </c>
      <c r="K8866" s="195">
        <v>45846.637604166666</v>
      </c>
      <c r="L8866">
        <v>328</v>
      </c>
      <c r="M8866">
        <v>0</v>
      </c>
      <c r="N8866" s="98" t="str">
        <f>IF(record[[#This Row],[Memo]]="Browser:chrome os:android","平板報工",IF(record[[#This Row],[Memo]]=0,"委外",record[[#This Row],[Memo]]))</f>
        <v/>
      </c>
      <c r="O8866" t="s">
        <v>58</v>
      </c>
      <c r="P8866" t="s">
        <v>186</v>
      </c>
      <c r="Q8866" t="s">
        <v>58</v>
      </c>
      <c r="R8866" t="str">
        <f>IFERROR(VLOOKUP(record[[#This Row],[PCUSTID]],廠商[],2,FALSE),"")</f>
        <v/>
      </c>
      <c r="S8866" t="str">
        <f>VLOOKUP(record[[#This Row],[employeeID]],員工[],2,FALSE)</f>
        <v>許文姍</v>
      </c>
    </row>
    <row r="8867" spans="6:19" hidden="1" x14ac:dyDescent="0.25">
      <c r="F8867" t="s">
        <v>866</v>
      </c>
      <c r="G8867" t="s">
        <v>403</v>
      </c>
      <c r="H8867" t="str">
        <f>VLOOKUP(record[[#This Row],[ProcessSN]],表格2_7[],2,FALSE)</f>
        <v>30-4118-018-550</v>
      </c>
      <c r="I8867" t="str">
        <f>VLOOKUP(record[[#This Row],[ProcessSN]],表格2_7[],3,FALSE)</f>
        <v>#100SHIP</v>
      </c>
      <c r="J8867" t="s">
        <v>600</v>
      </c>
      <c r="K8867" s="195">
        <v>45846.615659722222</v>
      </c>
      <c r="L8867">
        <v>8</v>
      </c>
      <c r="M8867">
        <v>0</v>
      </c>
      <c r="N8867" s="98" t="str">
        <f>IF(record[[#This Row],[Memo]]="Browser:chrome os:android","平板報工",IF(record[[#This Row],[Memo]]=0,"委外",record[[#This Row],[Memo]]))</f>
        <v/>
      </c>
      <c r="O8867" t="s">
        <v>58</v>
      </c>
      <c r="P8867" t="s">
        <v>99</v>
      </c>
      <c r="Q8867" t="s">
        <v>58</v>
      </c>
      <c r="R8867" t="str">
        <f>IFERROR(VLOOKUP(record[[#This Row],[PCUSTID]],廠商[],2,FALSE),"")</f>
        <v/>
      </c>
      <c r="S8867" t="str">
        <f>VLOOKUP(record[[#This Row],[employeeID]],員工[],2,FALSE)</f>
        <v>阮氏河</v>
      </c>
    </row>
    <row r="8868" spans="6:19" hidden="1" x14ac:dyDescent="0.25">
      <c r="F8868" t="s">
        <v>882</v>
      </c>
      <c r="G8868" t="s">
        <v>425</v>
      </c>
      <c r="H8868" t="str">
        <f>VLOOKUP(record[[#This Row],[ProcessSN]],表格2_7[],2,FALSE)</f>
        <v>30-4118-018-600</v>
      </c>
      <c r="I8868" t="str">
        <f>VLOOKUP(record[[#This Row],[ProcessSN]],表格2_7[],3,FALSE)</f>
        <v>#100</v>
      </c>
      <c r="J8868" t="s">
        <v>598</v>
      </c>
      <c r="K8868" s="195">
        <v>45846.58258101852</v>
      </c>
      <c r="L8868">
        <v>16</v>
      </c>
      <c r="M8868">
        <v>0</v>
      </c>
      <c r="N8868" s="98" t="str">
        <f>IF(record[[#This Row],[Memo]]="Browser:chrome os:android","平板報工",IF(record[[#This Row],[Memo]]=0,"委外",record[[#This Row],[Memo]]))</f>
        <v/>
      </c>
      <c r="O8868" t="s">
        <v>58</v>
      </c>
      <c r="P8868" t="s">
        <v>99</v>
      </c>
      <c r="Q8868" t="s">
        <v>58</v>
      </c>
      <c r="R8868" t="str">
        <f>IFERROR(VLOOKUP(record[[#This Row],[PCUSTID]],廠商[],2,FALSE),"")</f>
        <v/>
      </c>
      <c r="S8868" t="str">
        <f>VLOOKUP(record[[#This Row],[employeeID]],員工[],2,FALSE)</f>
        <v>阮氏河</v>
      </c>
    </row>
    <row r="8869" spans="6:19" hidden="1" x14ac:dyDescent="0.25">
      <c r="F8869" t="s">
        <v>882</v>
      </c>
      <c r="G8869" t="s">
        <v>424</v>
      </c>
      <c r="H8869" t="str">
        <f>VLOOKUP(record[[#This Row],[ProcessSN]],表格2_7[],2,FALSE)</f>
        <v>30-4118-018-600</v>
      </c>
      <c r="I8869" t="str">
        <f>VLOOKUP(record[[#This Row],[ProcessSN]],表格2_7[],3,FALSE)</f>
        <v>#08IQC</v>
      </c>
      <c r="J8869" t="s">
        <v>583</v>
      </c>
      <c r="K8869" s="195">
        <v>45846.564317129632</v>
      </c>
      <c r="L8869">
        <v>2</v>
      </c>
      <c r="M8869">
        <v>0</v>
      </c>
      <c r="N8869" s="98" t="str">
        <f>IF(record[[#This Row],[Memo]]="Browser:chrome os:android","平板報工",IF(record[[#This Row],[Memo]]=0,"委外",record[[#This Row],[Memo]]))</f>
        <v>補</v>
      </c>
      <c r="O8869" t="s">
        <v>690</v>
      </c>
      <c r="P8869" t="s">
        <v>186</v>
      </c>
      <c r="Q8869" t="s">
        <v>58</v>
      </c>
      <c r="R8869" t="str">
        <f>IFERROR(VLOOKUP(record[[#This Row],[PCUSTID]],廠商[],2,FALSE),"")</f>
        <v/>
      </c>
      <c r="S8869" t="str">
        <f>VLOOKUP(record[[#This Row],[employeeID]],員工[],2,FALSE)</f>
        <v>許文姍</v>
      </c>
    </row>
    <row r="8870" spans="6:19" hidden="1" x14ac:dyDescent="0.25">
      <c r="F8870" t="s">
        <v>882</v>
      </c>
      <c r="G8870" t="s">
        <v>423</v>
      </c>
      <c r="H8870" t="str">
        <f>VLOOKUP(record[[#This Row],[ProcessSN]],表格2_7[],2,FALSE)</f>
        <v>30-4118-018-600</v>
      </c>
      <c r="I8870" t="str">
        <f>VLOOKUP(record[[#This Row],[ProcessSN]],表格2_7[],3,FALSE)</f>
        <v>#08RCV</v>
      </c>
      <c r="J8870" t="s">
        <v>591</v>
      </c>
      <c r="K8870" s="195">
        <v>45846.562800925924</v>
      </c>
      <c r="L8870">
        <v>2</v>
      </c>
      <c r="M8870">
        <v>0</v>
      </c>
      <c r="N8870" s="98" t="str">
        <f>IF(record[[#This Row],[Memo]]="Browser:chrome os:android","平板報工",IF(record[[#This Row],[Memo]]=0,"委外",record[[#This Row],[Memo]]))</f>
        <v/>
      </c>
      <c r="O8870" t="s">
        <v>58</v>
      </c>
      <c r="P8870" t="s">
        <v>186</v>
      </c>
      <c r="Q8870" t="s">
        <v>58</v>
      </c>
      <c r="R8870" t="str">
        <f>IFERROR(VLOOKUP(record[[#This Row],[PCUSTID]],廠商[],2,FALSE),"")</f>
        <v/>
      </c>
      <c r="S8870" t="str">
        <f>VLOOKUP(record[[#This Row],[employeeID]],員工[],2,FALSE)</f>
        <v>許文姍</v>
      </c>
    </row>
    <row r="8871" spans="6:19" hidden="1" x14ac:dyDescent="0.25">
      <c r="F8871" t="s">
        <v>849</v>
      </c>
      <c r="G8871" t="s">
        <v>469</v>
      </c>
      <c r="H8871" t="str">
        <f>VLOOKUP(record[[#This Row],[ProcessSN]],表格2_7[],2,FALSE)</f>
        <v>30-4118-018-XXX</v>
      </c>
      <c r="I8871" t="str">
        <f>VLOOKUP(record[[#This Row],[ProcessSN]],表格2_7[],3,FALSE)</f>
        <v>#02RCV</v>
      </c>
      <c r="J8871" t="s">
        <v>591</v>
      </c>
      <c r="K8871" s="195">
        <v>45846.48400462963</v>
      </c>
      <c r="L8871">
        <v>336</v>
      </c>
      <c r="M8871">
        <v>0</v>
      </c>
      <c r="N8871" s="98" t="str">
        <f>IF(record[[#This Row],[Memo]]="Browser:chrome os:android","平板報工",IF(record[[#This Row],[Memo]]=0,"委外",record[[#This Row],[Memo]]))</f>
        <v/>
      </c>
      <c r="O8871" t="s">
        <v>58</v>
      </c>
      <c r="P8871" t="s">
        <v>186</v>
      </c>
      <c r="Q8871" t="s">
        <v>58</v>
      </c>
      <c r="R8871" t="str">
        <f>IFERROR(VLOOKUP(record[[#This Row],[PCUSTID]],廠商[],2,FALSE),"")</f>
        <v/>
      </c>
      <c r="S8871" t="str">
        <f>VLOOKUP(record[[#This Row],[employeeID]],員工[],2,FALSE)</f>
        <v>許文姍</v>
      </c>
    </row>
    <row r="8872" spans="6:19" hidden="1" x14ac:dyDescent="0.25">
      <c r="F8872" t="s">
        <v>864</v>
      </c>
      <c r="G8872" t="s">
        <v>451</v>
      </c>
      <c r="H8872" t="str">
        <f>VLOOKUP(record[[#This Row],[ProcessSN]],表格2_7[],2,FALSE)</f>
        <v>30-4118-018-6XX</v>
      </c>
      <c r="I8872" t="str">
        <f>VLOOKUP(record[[#This Row],[ProcessSN]],表格2_7[],3,FALSE)</f>
        <v>#07</v>
      </c>
      <c r="J8872" t="s">
        <v>588</v>
      </c>
      <c r="K8872" s="195">
        <v>45842.972407407404</v>
      </c>
      <c r="L8872">
        <v>59</v>
      </c>
      <c r="M8872">
        <v>56</v>
      </c>
      <c r="N8872" s="98" t="str">
        <f>IF(record[[#This Row],[Memo]]="Browser:chrome os:android","平板報工",IF(record[[#This Row],[Memo]]=0,"委外",record[[#This Row],[Memo]]))</f>
        <v/>
      </c>
      <c r="O8872" t="s">
        <v>58</v>
      </c>
      <c r="P8872" t="s">
        <v>89</v>
      </c>
      <c r="Q8872" t="s">
        <v>58</v>
      </c>
      <c r="R8872" t="str">
        <f>IFERROR(VLOOKUP(record[[#This Row],[PCUSTID]],廠商[],2,FALSE),"")</f>
        <v/>
      </c>
      <c r="S8872" t="str">
        <f>VLOOKUP(record[[#This Row],[employeeID]],員工[],2,FALSE)</f>
        <v>李美蓮</v>
      </c>
    </row>
    <row r="8873" spans="6:19" hidden="1" x14ac:dyDescent="0.25">
      <c r="F8873" t="s">
        <v>864</v>
      </c>
      <c r="G8873" t="s">
        <v>450</v>
      </c>
      <c r="H8873" t="str">
        <f>VLOOKUP(record[[#This Row],[ProcessSN]],表格2_7[],2,FALSE)</f>
        <v>30-4118-018-6XX</v>
      </c>
      <c r="I8873" t="str">
        <f>VLOOKUP(record[[#This Row],[ProcessSN]],表格2_7[],3,FALSE)</f>
        <v>#06</v>
      </c>
      <c r="J8873" t="s">
        <v>593</v>
      </c>
      <c r="K8873" s="195">
        <v>45842.971863425926</v>
      </c>
      <c r="L8873">
        <v>105</v>
      </c>
      <c r="M8873">
        <v>0</v>
      </c>
      <c r="N8873" s="98" t="str">
        <f>IF(record[[#This Row],[Memo]]="Browser:chrome os:android","平板報工",IF(record[[#This Row],[Memo]]=0,"委外",record[[#This Row],[Memo]]))</f>
        <v/>
      </c>
      <c r="O8873" t="s">
        <v>58</v>
      </c>
      <c r="P8873" t="s">
        <v>841</v>
      </c>
      <c r="Q8873" t="s">
        <v>58</v>
      </c>
      <c r="R8873" t="str">
        <f>IFERROR(VLOOKUP(record[[#This Row],[PCUSTID]],廠商[],2,FALSE),"")</f>
        <v/>
      </c>
      <c r="S8873" t="str">
        <f>VLOOKUP(record[[#This Row],[employeeID]],員工[],2,FALSE)</f>
        <v>范氏香</v>
      </c>
    </row>
    <row r="8874" spans="6:19" hidden="1" x14ac:dyDescent="0.25">
      <c r="F8874" t="s">
        <v>877</v>
      </c>
      <c r="G8874" t="s">
        <v>414</v>
      </c>
      <c r="H8874" t="str">
        <f>VLOOKUP(record[[#This Row],[ProcessSN]],表格2_7[],2,FALSE)</f>
        <v>30-4118-018-5XX</v>
      </c>
      <c r="I8874" t="str">
        <f>VLOOKUP(record[[#This Row],[ProcessSN]],表格2_7[],3,FALSE)</f>
        <v>#03</v>
      </c>
      <c r="J8874" t="s">
        <v>588</v>
      </c>
      <c r="K8874" s="195">
        <v>45842.971365740741</v>
      </c>
      <c r="L8874">
        <v>436</v>
      </c>
      <c r="M8874">
        <v>0</v>
      </c>
      <c r="N8874" s="98" t="str">
        <f>IF(record[[#This Row],[Memo]]="Browser:chrome os:android","平板報工",IF(record[[#This Row],[Memo]]=0,"委外",record[[#This Row],[Memo]]))</f>
        <v/>
      </c>
      <c r="O8874" t="s">
        <v>58</v>
      </c>
      <c r="P8874" t="s">
        <v>89</v>
      </c>
      <c r="Q8874" t="s">
        <v>58</v>
      </c>
      <c r="R8874" t="str">
        <f>IFERROR(VLOOKUP(record[[#This Row],[PCUSTID]],廠商[],2,FALSE),"")</f>
        <v/>
      </c>
      <c r="S8874" t="str">
        <f>VLOOKUP(record[[#This Row],[employeeID]],員工[],2,FALSE)</f>
        <v>李美蓮</v>
      </c>
    </row>
    <row r="8875" spans="6:19" hidden="1" x14ac:dyDescent="0.25">
      <c r="F8875" t="s">
        <v>881</v>
      </c>
      <c r="G8875" t="s">
        <v>399</v>
      </c>
      <c r="H8875" t="str">
        <f>VLOOKUP(record[[#This Row],[ProcessSN]],表格2_7[],2,FALSE)</f>
        <v>30-4118-018-550</v>
      </c>
      <c r="I8875" t="str">
        <f>VLOOKUP(record[[#This Row],[ProcessSN]],表格2_7[],3,FALSE)</f>
        <v>#08IQC</v>
      </c>
      <c r="J8875" t="s">
        <v>583</v>
      </c>
      <c r="K8875" s="195">
        <v>45842.774618055555</v>
      </c>
      <c r="L8875">
        <v>375</v>
      </c>
      <c r="M8875">
        <v>0</v>
      </c>
      <c r="N8875" s="98" t="str">
        <f>IF(record[[#This Row],[Memo]]="Browser:chrome os:android","平板報工",IF(record[[#This Row],[Memo]]=0,"委外",record[[#This Row],[Memo]]))</f>
        <v/>
      </c>
      <c r="O8875" t="s">
        <v>58</v>
      </c>
      <c r="P8875" t="s">
        <v>109</v>
      </c>
      <c r="Q8875" t="s">
        <v>58</v>
      </c>
      <c r="R8875" t="str">
        <f>IFERROR(VLOOKUP(record[[#This Row],[PCUSTID]],廠商[],2,FALSE),"")</f>
        <v/>
      </c>
      <c r="S8875" t="str">
        <f>VLOOKUP(record[[#This Row],[employeeID]],員工[],2,FALSE)</f>
        <v>裴氏璧鳳</v>
      </c>
    </row>
    <row r="8876" spans="6:19" hidden="1" x14ac:dyDescent="0.25">
      <c r="F8876" t="s">
        <v>849</v>
      </c>
      <c r="G8876" t="s">
        <v>470</v>
      </c>
      <c r="H8876" t="str">
        <f>VLOOKUP(record[[#This Row],[ProcessSN]],表格2_7[],2,FALSE)</f>
        <v>30-4118-018-XXX</v>
      </c>
      <c r="I8876" t="str">
        <f>VLOOKUP(record[[#This Row],[ProcessSN]],表格2_7[],3,FALSE)</f>
        <v>#02IQC</v>
      </c>
      <c r="J8876" t="s">
        <v>583</v>
      </c>
      <c r="K8876" s="195">
        <v>45842.767106481479</v>
      </c>
      <c r="L8876">
        <v>504</v>
      </c>
      <c r="M8876">
        <v>0</v>
      </c>
      <c r="N8876" s="98" t="str">
        <f>IF(record[[#This Row],[Memo]]="Browser:chrome os:android","平板報工",IF(record[[#This Row],[Memo]]=0,"委外",record[[#This Row],[Memo]]))</f>
        <v/>
      </c>
      <c r="O8876" t="s">
        <v>58</v>
      </c>
      <c r="P8876" t="s">
        <v>109</v>
      </c>
      <c r="Q8876" t="s">
        <v>58</v>
      </c>
      <c r="R8876" t="str">
        <f>IFERROR(VLOOKUP(record[[#This Row],[PCUSTID]],廠商[],2,FALSE),"")</f>
        <v/>
      </c>
      <c r="S8876" t="str">
        <f>VLOOKUP(record[[#This Row],[employeeID]],員工[],2,FALSE)</f>
        <v>裴氏璧鳳</v>
      </c>
    </row>
    <row r="8877" spans="6:19" hidden="1" x14ac:dyDescent="0.25">
      <c r="F8877" t="s">
        <v>882</v>
      </c>
      <c r="G8877" t="s">
        <v>426</v>
      </c>
      <c r="H8877" t="str">
        <f>VLOOKUP(record[[#This Row],[ProcessSN]],表格2_7[],2,FALSE)</f>
        <v>30-4118-018-600</v>
      </c>
      <c r="I8877" t="str">
        <f>VLOOKUP(record[[#This Row],[ProcessSN]],表格2_7[],3,FALSE)</f>
        <v>#100OQC</v>
      </c>
      <c r="J8877" t="s">
        <v>599</v>
      </c>
      <c r="K8877" s="195">
        <v>45842.706747685188</v>
      </c>
      <c r="L8877">
        <v>131</v>
      </c>
      <c r="M8877">
        <v>0</v>
      </c>
      <c r="N8877" s="98" t="str">
        <f>IF(record[[#This Row],[Memo]]="Browser:chrome os:android","平板報工",IF(record[[#This Row],[Memo]]=0,"委外",record[[#This Row],[Memo]]))</f>
        <v/>
      </c>
      <c r="O8877" t="s">
        <v>58</v>
      </c>
      <c r="P8877" t="s">
        <v>121</v>
      </c>
      <c r="Q8877" t="s">
        <v>58</v>
      </c>
      <c r="R8877" t="str">
        <f>IFERROR(VLOOKUP(record[[#This Row],[PCUSTID]],廠商[],2,FALSE),"")</f>
        <v/>
      </c>
      <c r="S8877" t="str">
        <f>VLOOKUP(record[[#This Row],[employeeID]],員工[],2,FALSE)</f>
        <v>謝素卿</v>
      </c>
    </row>
    <row r="8878" spans="6:19" hidden="1" x14ac:dyDescent="0.25">
      <c r="F8878" t="s">
        <v>864</v>
      </c>
      <c r="G8878" t="s">
        <v>453</v>
      </c>
      <c r="H8878" t="str">
        <f>VLOOKUP(record[[#This Row],[ProcessSN]],表格2_7[],2,FALSE)</f>
        <v>30-4118-018-6XX</v>
      </c>
      <c r="I8878" t="str">
        <f>VLOOKUP(record[[#This Row],[ProcessSN]],表格2_7[],3,FALSE)</f>
        <v>#07STOCK</v>
      </c>
      <c r="J8878" t="s">
        <v>592</v>
      </c>
      <c r="K8878" s="195">
        <v>45842.692245370374</v>
      </c>
      <c r="L8878">
        <v>328</v>
      </c>
      <c r="M8878">
        <v>0</v>
      </c>
      <c r="N8878" s="98" t="str">
        <f>IF(record[[#This Row],[Memo]]="Browser:chrome os:android","平板報工",IF(record[[#This Row],[Memo]]=0,"委外",record[[#This Row],[Memo]]))</f>
        <v/>
      </c>
      <c r="O8878" t="s">
        <v>58</v>
      </c>
      <c r="P8878" t="s">
        <v>113</v>
      </c>
      <c r="Q8878" t="s">
        <v>58</v>
      </c>
      <c r="R8878" t="str">
        <f>IFERROR(VLOOKUP(record[[#This Row],[PCUSTID]],廠商[],2,FALSE),"")</f>
        <v/>
      </c>
      <c r="S8878" t="str">
        <f>VLOOKUP(record[[#This Row],[employeeID]],員工[],2,FALSE)</f>
        <v>王奕蓁</v>
      </c>
    </row>
    <row r="8879" spans="6:19" hidden="1" x14ac:dyDescent="0.25">
      <c r="F8879" t="s">
        <v>882</v>
      </c>
      <c r="G8879" t="s">
        <v>425</v>
      </c>
      <c r="H8879" t="str">
        <f>VLOOKUP(record[[#This Row],[ProcessSN]],表格2_7[],2,FALSE)</f>
        <v>30-4118-018-600</v>
      </c>
      <c r="I8879" t="str">
        <f>VLOOKUP(record[[#This Row],[ProcessSN]],表格2_7[],3,FALSE)</f>
        <v>#100</v>
      </c>
      <c r="J8879" t="s">
        <v>598</v>
      </c>
      <c r="K8879" s="195">
        <v>45842.691145833334</v>
      </c>
      <c r="L8879">
        <v>0</v>
      </c>
      <c r="M8879">
        <v>11</v>
      </c>
      <c r="N8879" s="98" t="str">
        <f>IF(record[[#This Row],[Memo]]="Browser:chrome os:android","平板報工",IF(record[[#This Row],[Memo]]=0,"委外",record[[#This Row],[Memo]]))</f>
        <v>平板報工</v>
      </c>
      <c r="O8879" t="s">
        <v>643</v>
      </c>
      <c r="P8879" t="s">
        <v>141</v>
      </c>
      <c r="Q8879" t="s">
        <v>644</v>
      </c>
      <c r="R8879" t="str">
        <f>IFERROR(VLOOKUP(record[[#This Row],[PCUSTID]],廠商[],2,FALSE),"")</f>
        <v/>
      </c>
      <c r="S8879" t="str">
        <f>VLOOKUP(record[[#This Row],[employeeID]],員工[],2,FALSE)</f>
        <v>蔣梅</v>
      </c>
    </row>
    <row r="8880" spans="6:19" hidden="1" x14ac:dyDescent="0.25">
      <c r="F8880" t="s">
        <v>882</v>
      </c>
      <c r="G8880" t="s">
        <v>425</v>
      </c>
      <c r="H8880" t="str">
        <f>VLOOKUP(record[[#This Row],[ProcessSN]],表格2_7[],2,FALSE)</f>
        <v>30-4118-018-600</v>
      </c>
      <c r="I8880" t="str">
        <f>VLOOKUP(record[[#This Row],[ProcessSN]],表格2_7[],3,FALSE)</f>
        <v>#100</v>
      </c>
      <c r="J8880" t="s">
        <v>598</v>
      </c>
      <c r="K8880" s="195">
        <v>45842.690648148149</v>
      </c>
      <c r="L8880">
        <v>131</v>
      </c>
      <c r="M8880">
        <v>0</v>
      </c>
      <c r="N8880" s="98" t="str">
        <f>IF(record[[#This Row],[Memo]]="Browser:chrome os:android","平板報工",IF(record[[#This Row],[Memo]]=0,"委外",record[[#This Row],[Memo]]))</f>
        <v>平板報工</v>
      </c>
      <c r="O8880" t="s">
        <v>643</v>
      </c>
      <c r="P8880" t="s">
        <v>141</v>
      </c>
      <c r="Q8880" t="s">
        <v>644</v>
      </c>
      <c r="R8880" t="str">
        <f>IFERROR(VLOOKUP(record[[#This Row],[PCUSTID]],廠商[],2,FALSE),"")</f>
        <v/>
      </c>
      <c r="S8880" t="str">
        <f>VLOOKUP(record[[#This Row],[employeeID]],員工[],2,FALSE)</f>
        <v>蔣梅</v>
      </c>
    </row>
    <row r="8881" spans="6:19" hidden="1" x14ac:dyDescent="0.25">
      <c r="F8881" t="s">
        <v>882</v>
      </c>
      <c r="G8881" t="s">
        <v>428</v>
      </c>
      <c r="H8881" t="str">
        <f>VLOOKUP(record[[#This Row],[ProcessSN]],表格2_7[],2,FALSE)</f>
        <v>30-4118-018-600</v>
      </c>
      <c r="I8881" t="str">
        <f>VLOOKUP(record[[#This Row],[ProcessSN]],表格2_7[],3,FALSE)</f>
        <v>#100SHIP</v>
      </c>
      <c r="J8881" t="s">
        <v>600</v>
      </c>
      <c r="K8881" s="195">
        <v>45842.687094907407</v>
      </c>
      <c r="L8881">
        <v>3</v>
      </c>
      <c r="M8881">
        <v>0</v>
      </c>
      <c r="N8881" s="98" t="str">
        <f>IF(record[[#This Row],[Memo]]="Browser:chrome os:android","平板報工",IF(record[[#This Row],[Memo]]=0,"委外",record[[#This Row],[Memo]]))</f>
        <v/>
      </c>
      <c r="O8881" t="s">
        <v>58</v>
      </c>
      <c r="P8881" t="s">
        <v>99</v>
      </c>
      <c r="Q8881" t="s">
        <v>58</v>
      </c>
      <c r="R8881" t="str">
        <f>IFERROR(VLOOKUP(record[[#This Row],[PCUSTID]],廠商[],2,FALSE),"")</f>
        <v/>
      </c>
      <c r="S8881" t="str">
        <f>VLOOKUP(record[[#This Row],[employeeID]],員工[],2,FALSE)</f>
        <v>阮氏河</v>
      </c>
    </row>
    <row r="8882" spans="6:19" hidden="1" x14ac:dyDescent="0.25">
      <c r="F8882" t="s">
        <v>882</v>
      </c>
      <c r="G8882" t="s">
        <v>427</v>
      </c>
      <c r="H8882" t="str">
        <f>VLOOKUP(record[[#This Row],[ProcessSN]],表格2_7[],2,FALSE)</f>
        <v>30-4118-018-600</v>
      </c>
      <c r="I8882" t="str">
        <f>VLOOKUP(record[[#This Row],[ProcessSN]],表格2_7[],3,FALSE)</f>
        <v>#100STOCK</v>
      </c>
      <c r="J8882" t="s">
        <v>592</v>
      </c>
      <c r="K8882" s="195">
        <v>45842.686701388891</v>
      </c>
      <c r="L8882">
        <v>3</v>
      </c>
      <c r="M8882">
        <v>0</v>
      </c>
      <c r="N8882" s="98" t="str">
        <f>IF(record[[#This Row],[Memo]]="Browser:chrome os:android","平板報工",IF(record[[#This Row],[Memo]]=0,"委外",record[[#This Row],[Memo]]))</f>
        <v/>
      </c>
      <c r="O8882" t="s">
        <v>58</v>
      </c>
      <c r="P8882" t="s">
        <v>99</v>
      </c>
      <c r="Q8882" t="s">
        <v>58</v>
      </c>
      <c r="R8882" t="str">
        <f>IFERROR(VLOOKUP(record[[#This Row],[PCUSTID]],廠商[],2,FALSE),"")</f>
        <v/>
      </c>
      <c r="S8882" t="str">
        <f>VLOOKUP(record[[#This Row],[employeeID]],員工[],2,FALSE)</f>
        <v>阮氏河</v>
      </c>
    </row>
    <row r="8883" spans="6:19" hidden="1" x14ac:dyDescent="0.25">
      <c r="F8883" t="s">
        <v>882</v>
      </c>
      <c r="G8883" t="s">
        <v>426</v>
      </c>
      <c r="H8883" t="str">
        <f>VLOOKUP(record[[#This Row],[ProcessSN]],表格2_7[],2,FALSE)</f>
        <v>30-4118-018-600</v>
      </c>
      <c r="I8883" t="str">
        <f>VLOOKUP(record[[#This Row],[ProcessSN]],表格2_7[],3,FALSE)</f>
        <v>#100OQC</v>
      </c>
      <c r="J8883" t="s">
        <v>599</v>
      </c>
      <c r="K8883" s="195">
        <v>45842.681435185186</v>
      </c>
      <c r="L8883">
        <v>3</v>
      </c>
      <c r="M8883">
        <v>0</v>
      </c>
      <c r="N8883" s="98" t="str">
        <f>IF(record[[#This Row],[Memo]]="Browser:chrome os:android","平板報工",IF(record[[#This Row],[Memo]]=0,"委外",record[[#This Row],[Memo]]))</f>
        <v/>
      </c>
      <c r="O8883" t="s">
        <v>58</v>
      </c>
      <c r="P8883" t="s">
        <v>121</v>
      </c>
      <c r="Q8883" t="s">
        <v>58</v>
      </c>
      <c r="R8883" t="str">
        <f>IFERROR(VLOOKUP(record[[#This Row],[PCUSTID]],廠商[],2,FALSE),"")</f>
        <v/>
      </c>
      <c r="S8883" t="str">
        <f>VLOOKUP(record[[#This Row],[employeeID]],員工[],2,FALSE)</f>
        <v>謝素卿</v>
      </c>
    </row>
    <row r="8884" spans="6:19" hidden="1" x14ac:dyDescent="0.25">
      <c r="F8884" t="s">
        <v>830</v>
      </c>
      <c r="G8884" t="s">
        <v>428</v>
      </c>
      <c r="H8884" t="str">
        <f>VLOOKUP(record[[#This Row],[ProcessSN]],表格2_7[],2,FALSE)</f>
        <v>30-4118-018-600</v>
      </c>
      <c r="I8884" t="str">
        <f>VLOOKUP(record[[#This Row],[ProcessSN]],表格2_7[],3,FALSE)</f>
        <v>#100SHIP</v>
      </c>
      <c r="J8884" t="s">
        <v>600</v>
      </c>
      <c r="K8884" s="195">
        <v>45842.679270833331</v>
      </c>
      <c r="L8884">
        <v>215</v>
      </c>
      <c r="M8884">
        <v>0</v>
      </c>
      <c r="N8884" s="98" t="str">
        <f>IF(record[[#This Row],[Memo]]="Browser:chrome os:android","平板報工",IF(record[[#This Row],[Memo]]=0,"委外",record[[#This Row],[Memo]]))</f>
        <v/>
      </c>
      <c r="O8884" t="s">
        <v>58</v>
      </c>
      <c r="P8884" t="s">
        <v>99</v>
      </c>
      <c r="Q8884" t="s">
        <v>58</v>
      </c>
      <c r="R8884" t="str">
        <f>IFERROR(VLOOKUP(record[[#This Row],[PCUSTID]],廠商[],2,FALSE),"")</f>
        <v/>
      </c>
      <c r="S8884" t="str">
        <f>VLOOKUP(record[[#This Row],[employeeID]],員工[],2,FALSE)</f>
        <v>阮氏河</v>
      </c>
    </row>
    <row r="8885" spans="6:19" hidden="1" x14ac:dyDescent="0.25">
      <c r="F8885" t="s">
        <v>866</v>
      </c>
      <c r="G8885" t="s">
        <v>403</v>
      </c>
      <c r="H8885" t="str">
        <f>VLOOKUP(record[[#This Row],[ProcessSN]],表格2_7[],2,FALSE)</f>
        <v>30-4118-018-550</v>
      </c>
      <c r="I8885" t="str">
        <f>VLOOKUP(record[[#This Row],[ProcessSN]],表格2_7[],3,FALSE)</f>
        <v>#100SHIP</v>
      </c>
      <c r="J8885" t="s">
        <v>600</v>
      </c>
      <c r="K8885" s="195">
        <v>45842.679062499999</v>
      </c>
      <c r="L8885">
        <v>43</v>
      </c>
      <c r="M8885">
        <v>0</v>
      </c>
      <c r="N8885" s="98" t="str">
        <f>IF(record[[#This Row],[Memo]]="Browser:chrome os:android","平板報工",IF(record[[#This Row],[Memo]]=0,"委外",record[[#This Row],[Memo]]))</f>
        <v/>
      </c>
      <c r="O8885" t="s">
        <v>58</v>
      </c>
      <c r="P8885" t="s">
        <v>99</v>
      </c>
      <c r="Q8885" t="s">
        <v>58</v>
      </c>
      <c r="R8885" t="str">
        <f>IFERROR(VLOOKUP(record[[#This Row],[PCUSTID]],廠商[],2,FALSE),"")</f>
        <v/>
      </c>
      <c r="S8885" t="str">
        <f>VLOOKUP(record[[#This Row],[employeeID]],員工[],2,FALSE)</f>
        <v>阮氏河</v>
      </c>
    </row>
    <row r="8886" spans="6:19" hidden="1" x14ac:dyDescent="0.25">
      <c r="F8886" t="s">
        <v>869</v>
      </c>
      <c r="G8886" t="s">
        <v>403</v>
      </c>
      <c r="H8886" t="str">
        <f>VLOOKUP(record[[#This Row],[ProcessSN]],表格2_7[],2,FALSE)</f>
        <v>30-4118-018-550</v>
      </c>
      <c r="I8886" t="str">
        <f>VLOOKUP(record[[#This Row],[ProcessSN]],表格2_7[],3,FALSE)</f>
        <v>#100SHIP</v>
      </c>
      <c r="J8886" t="s">
        <v>600</v>
      </c>
      <c r="K8886" s="195">
        <v>45842.678819444445</v>
      </c>
      <c r="L8886">
        <v>147</v>
      </c>
      <c r="M8886">
        <v>0</v>
      </c>
      <c r="N8886" s="98" t="str">
        <f>IF(record[[#This Row],[Memo]]="Browser:chrome os:android","平板報工",IF(record[[#This Row],[Memo]]=0,"委外",record[[#This Row],[Memo]]))</f>
        <v/>
      </c>
      <c r="O8886" t="s">
        <v>58</v>
      </c>
      <c r="P8886" t="s">
        <v>99</v>
      </c>
      <c r="Q8886" t="s">
        <v>58</v>
      </c>
      <c r="R8886" t="str">
        <f>IFERROR(VLOOKUP(record[[#This Row],[PCUSTID]],廠商[],2,FALSE),"")</f>
        <v/>
      </c>
      <c r="S8886" t="str">
        <f>VLOOKUP(record[[#This Row],[employeeID]],員工[],2,FALSE)</f>
        <v>阮氏河</v>
      </c>
    </row>
    <row r="8887" spans="6:19" hidden="1" x14ac:dyDescent="0.25">
      <c r="F8887" t="s">
        <v>882</v>
      </c>
      <c r="G8887" t="s">
        <v>425</v>
      </c>
      <c r="H8887" t="str">
        <f>VLOOKUP(record[[#This Row],[ProcessSN]],表格2_7[],2,FALSE)</f>
        <v>30-4118-018-600</v>
      </c>
      <c r="I8887" t="str">
        <f>VLOOKUP(record[[#This Row],[ProcessSN]],表格2_7[],3,FALSE)</f>
        <v>#100</v>
      </c>
      <c r="J8887" t="s">
        <v>598</v>
      </c>
      <c r="K8887" s="195">
        <v>45842.669583333336</v>
      </c>
      <c r="L8887">
        <v>3</v>
      </c>
      <c r="M8887">
        <v>0</v>
      </c>
      <c r="N8887" s="98" t="str">
        <f>IF(record[[#This Row],[Memo]]="Browser:chrome os:android","平板報工",IF(record[[#This Row],[Memo]]=0,"委外",record[[#This Row],[Memo]]))</f>
        <v/>
      </c>
      <c r="O8887" t="s">
        <v>58</v>
      </c>
      <c r="P8887" t="s">
        <v>99</v>
      </c>
      <c r="Q8887" t="s">
        <v>58</v>
      </c>
      <c r="R8887" t="str">
        <f>IFERROR(VLOOKUP(record[[#This Row],[PCUSTID]],廠商[],2,FALSE),"")</f>
        <v/>
      </c>
      <c r="S8887" t="str">
        <f>VLOOKUP(record[[#This Row],[employeeID]],員工[],2,FALSE)</f>
        <v>阮氏河</v>
      </c>
    </row>
    <row r="8888" spans="6:19" hidden="1" x14ac:dyDescent="0.25">
      <c r="F8888" t="s">
        <v>877</v>
      </c>
      <c r="G8888" t="s">
        <v>414</v>
      </c>
      <c r="H8888" t="str">
        <f>VLOOKUP(record[[#This Row],[ProcessSN]],表格2_7[],2,FALSE)</f>
        <v>30-4118-018-5XX</v>
      </c>
      <c r="I8888" t="str">
        <f>VLOOKUP(record[[#This Row],[ProcessSN]],表格2_7[],3,FALSE)</f>
        <v>#03</v>
      </c>
      <c r="J8888" t="s">
        <v>588</v>
      </c>
      <c r="K8888" s="195">
        <v>45842.662928240738</v>
      </c>
      <c r="L8888">
        <v>504</v>
      </c>
      <c r="M8888">
        <v>0</v>
      </c>
      <c r="N8888" s="98" t="str">
        <f>IF(record[[#This Row],[Memo]]="Browser:chrome os:android","平板報工",IF(record[[#This Row],[Memo]]=0,"委外",record[[#This Row],[Memo]]))</f>
        <v/>
      </c>
      <c r="O8888" t="s">
        <v>58</v>
      </c>
      <c r="P8888" t="s">
        <v>101</v>
      </c>
      <c r="Q8888" t="s">
        <v>58</v>
      </c>
      <c r="R8888" t="str">
        <f>IFERROR(VLOOKUP(record[[#This Row],[PCUSTID]],廠商[],2,FALSE),"")</f>
        <v/>
      </c>
      <c r="S8888" t="str">
        <f>VLOOKUP(record[[#This Row],[employeeID]],員工[],2,FALSE)</f>
        <v>陳氏絨</v>
      </c>
    </row>
    <row r="8889" spans="6:19" hidden="1" x14ac:dyDescent="0.25">
      <c r="F8889" t="s">
        <v>874</v>
      </c>
      <c r="G8889" t="s">
        <v>402</v>
      </c>
      <c r="H8889" t="str">
        <f>VLOOKUP(record[[#This Row],[ProcessSN]],表格2_7[],2,FALSE)</f>
        <v>30-4118-018-550</v>
      </c>
      <c r="I8889" t="str">
        <f>VLOOKUP(record[[#This Row],[ProcessSN]],表格2_7[],3,FALSE)</f>
        <v>#100STOCK</v>
      </c>
      <c r="J8889" t="s">
        <v>592</v>
      </c>
      <c r="K8889" s="195">
        <v>45842.655590277776</v>
      </c>
      <c r="L8889">
        <v>159</v>
      </c>
      <c r="M8889">
        <v>0</v>
      </c>
      <c r="N8889" s="98" t="str">
        <f>IF(record[[#This Row],[Memo]]="Browser:chrome os:android","平板報工",IF(record[[#This Row],[Memo]]=0,"委外",record[[#This Row],[Memo]]))</f>
        <v/>
      </c>
      <c r="O8889" t="s">
        <v>58</v>
      </c>
      <c r="P8889" t="s">
        <v>99</v>
      </c>
      <c r="Q8889" t="s">
        <v>58</v>
      </c>
      <c r="R8889" t="str">
        <f>IFERROR(VLOOKUP(record[[#This Row],[PCUSTID]],廠商[],2,FALSE),"")</f>
        <v/>
      </c>
      <c r="S8889" t="str">
        <f>VLOOKUP(record[[#This Row],[employeeID]],員工[],2,FALSE)</f>
        <v>阮氏河</v>
      </c>
    </row>
    <row r="8890" spans="6:19" hidden="1" x14ac:dyDescent="0.25">
      <c r="F8890" t="s">
        <v>882</v>
      </c>
      <c r="G8890" t="s">
        <v>424</v>
      </c>
      <c r="H8890" t="str">
        <f>VLOOKUP(record[[#This Row],[ProcessSN]],表格2_7[],2,FALSE)</f>
        <v>30-4118-018-600</v>
      </c>
      <c r="I8890" t="str">
        <f>VLOOKUP(record[[#This Row],[ProcessSN]],表格2_7[],3,FALSE)</f>
        <v>#08IQC</v>
      </c>
      <c r="J8890" t="s">
        <v>583</v>
      </c>
      <c r="K8890" s="195">
        <v>45842.641041666669</v>
      </c>
      <c r="L8890">
        <v>159</v>
      </c>
      <c r="M8890">
        <v>0</v>
      </c>
      <c r="N8890" s="98" t="str">
        <f>IF(record[[#This Row],[Memo]]="Browser:chrome os:android","平板報工",IF(record[[#This Row],[Memo]]=0,"委外",record[[#This Row],[Memo]]))</f>
        <v/>
      </c>
      <c r="O8890" t="s">
        <v>58</v>
      </c>
      <c r="P8890" t="s">
        <v>121</v>
      </c>
      <c r="Q8890" t="s">
        <v>58</v>
      </c>
      <c r="R8890" t="str">
        <f>IFERROR(VLOOKUP(record[[#This Row],[PCUSTID]],廠商[],2,FALSE),"")</f>
        <v/>
      </c>
      <c r="S8890" t="str">
        <f>VLOOKUP(record[[#This Row],[employeeID]],員工[],2,FALSE)</f>
        <v>謝素卿</v>
      </c>
    </row>
    <row r="8891" spans="6:19" hidden="1" x14ac:dyDescent="0.25">
      <c r="F8891" t="s">
        <v>864</v>
      </c>
      <c r="G8891" t="s">
        <v>452</v>
      </c>
      <c r="H8891" t="str">
        <f>VLOOKUP(record[[#This Row],[ProcessSN]],表格2_7[],2,FALSE)</f>
        <v>30-4118-018-6XX</v>
      </c>
      <c r="I8891" t="str">
        <f>VLOOKUP(record[[#This Row],[ProcessSN]],表格2_7[],3,FALSE)</f>
        <v>#07QC</v>
      </c>
      <c r="J8891" t="s">
        <v>589</v>
      </c>
      <c r="K8891" s="195">
        <v>45842.633263888885</v>
      </c>
      <c r="L8891">
        <v>0</v>
      </c>
      <c r="M8891">
        <v>1</v>
      </c>
      <c r="N8891" s="98" t="str">
        <f>IF(record[[#This Row],[Memo]]="Browser:chrome os:android","平板報工",IF(record[[#This Row],[Memo]]=0,"委外",record[[#This Row],[Memo]]))</f>
        <v>平板報工</v>
      </c>
      <c r="O8891" t="s">
        <v>643</v>
      </c>
      <c r="P8891" t="s">
        <v>141</v>
      </c>
      <c r="Q8891" t="s">
        <v>644</v>
      </c>
      <c r="R8891" t="str">
        <f>IFERROR(VLOOKUP(record[[#This Row],[PCUSTID]],廠商[],2,FALSE),"")</f>
        <v/>
      </c>
      <c r="S8891" t="str">
        <f>VLOOKUP(record[[#This Row],[employeeID]],員工[],2,FALSE)</f>
        <v>蔣梅</v>
      </c>
    </row>
    <row r="8892" spans="6:19" hidden="1" x14ac:dyDescent="0.25">
      <c r="F8892" t="s">
        <v>864</v>
      </c>
      <c r="G8892" t="s">
        <v>452</v>
      </c>
      <c r="H8892" t="str">
        <f>VLOOKUP(record[[#This Row],[ProcessSN]],表格2_7[],2,FALSE)</f>
        <v>30-4118-018-6XX</v>
      </c>
      <c r="I8892" t="str">
        <f>VLOOKUP(record[[#This Row],[ProcessSN]],表格2_7[],3,FALSE)</f>
        <v>#07QC</v>
      </c>
      <c r="J8892" t="s">
        <v>589</v>
      </c>
      <c r="K8892" s="195">
        <v>45842.633055555554</v>
      </c>
      <c r="L8892">
        <v>172</v>
      </c>
      <c r="M8892">
        <v>0</v>
      </c>
      <c r="N8892" s="98" t="str">
        <f>IF(record[[#This Row],[Memo]]="Browser:chrome os:android","平板報工",IF(record[[#This Row],[Memo]]=0,"委外",record[[#This Row],[Memo]]))</f>
        <v>平板報工</v>
      </c>
      <c r="O8892" t="s">
        <v>643</v>
      </c>
      <c r="P8892" t="s">
        <v>141</v>
      </c>
      <c r="Q8892" t="s">
        <v>644</v>
      </c>
      <c r="R8892" t="str">
        <f>IFERROR(VLOOKUP(record[[#This Row],[PCUSTID]],廠商[],2,FALSE),"")</f>
        <v/>
      </c>
      <c r="S8892" t="str">
        <f>VLOOKUP(record[[#This Row],[employeeID]],員工[],2,FALSE)</f>
        <v>蔣梅</v>
      </c>
    </row>
    <row r="8893" spans="6:19" hidden="1" x14ac:dyDescent="0.25">
      <c r="F8893" t="s">
        <v>864</v>
      </c>
      <c r="G8893" t="s">
        <v>451</v>
      </c>
      <c r="H8893" t="str">
        <f>VLOOKUP(record[[#This Row],[ProcessSN]],表格2_7[],2,FALSE)</f>
        <v>30-4118-018-6XX</v>
      </c>
      <c r="I8893" t="str">
        <f>VLOOKUP(record[[#This Row],[ProcessSN]],表格2_7[],3,FALSE)</f>
        <v>#07</v>
      </c>
      <c r="J8893" t="s">
        <v>588</v>
      </c>
      <c r="K8893" s="195">
        <v>45842.630277777775</v>
      </c>
      <c r="L8893">
        <v>184</v>
      </c>
      <c r="M8893">
        <v>2</v>
      </c>
      <c r="N8893" s="98" t="str">
        <f>IF(record[[#This Row],[Memo]]="Browser:chrome os:android","平板報工",IF(record[[#This Row],[Memo]]=0,"委外",record[[#This Row],[Memo]]))</f>
        <v/>
      </c>
      <c r="O8893" t="s">
        <v>58</v>
      </c>
      <c r="P8893" t="s">
        <v>101</v>
      </c>
      <c r="Q8893" t="s">
        <v>58</v>
      </c>
      <c r="R8893" t="str">
        <f>IFERROR(VLOOKUP(record[[#This Row],[PCUSTID]],廠商[],2,FALSE),"")</f>
        <v/>
      </c>
      <c r="S8893" t="str">
        <f>VLOOKUP(record[[#This Row],[employeeID]],員工[],2,FALSE)</f>
        <v>陳氏絨</v>
      </c>
    </row>
    <row r="8894" spans="6:19" hidden="1" x14ac:dyDescent="0.25">
      <c r="F8894" t="s">
        <v>864</v>
      </c>
      <c r="G8894" t="s">
        <v>448</v>
      </c>
      <c r="H8894" t="str">
        <f>VLOOKUP(record[[#This Row],[ProcessSN]],表格2_7[],2,FALSE)</f>
        <v>30-4118-018-6XX</v>
      </c>
      <c r="I8894" t="str">
        <f>VLOOKUP(record[[#This Row],[ProcessSN]],表格2_7[],3,FALSE)</f>
        <v>#04</v>
      </c>
      <c r="J8894" t="s">
        <v>588</v>
      </c>
      <c r="K8894" s="195">
        <v>45842.629849537036</v>
      </c>
      <c r="L8894">
        <v>39</v>
      </c>
      <c r="M8894">
        <v>0</v>
      </c>
      <c r="N8894" s="98" t="str">
        <f>IF(record[[#This Row],[Memo]]="Browser:chrome os:android","平板報工",IF(record[[#This Row],[Memo]]=0,"委外",record[[#This Row],[Memo]]))</f>
        <v/>
      </c>
      <c r="O8894" t="s">
        <v>58</v>
      </c>
      <c r="P8894" t="s">
        <v>101</v>
      </c>
      <c r="Q8894" t="s">
        <v>58</v>
      </c>
      <c r="R8894" t="str">
        <f>IFERROR(VLOOKUP(record[[#This Row],[PCUSTID]],廠商[],2,FALSE),"")</f>
        <v/>
      </c>
      <c r="S8894" t="str">
        <f>VLOOKUP(record[[#This Row],[employeeID]],員工[],2,FALSE)</f>
        <v>陳氏絨</v>
      </c>
    </row>
    <row r="8895" spans="6:19" hidden="1" x14ac:dyDescent="0.25">
      <c r="F8895" t="s">
        <v>864</v>
      </c>
      <c r="G8895" t="s">
        <v>450</v>
      </c>
      <c r="H8895" t="str">
        <f>VLOOKUP(record[[#This Row],[ProcessSN]],表格2_7[],2,FALSE)</f>
        <v>30-4118-018-6XX</v>
      </c>
      <c r="I8895" t="str">
        <f>VLOOKUP(record[[#This Row],[ProcessSN]],表格2_7[],3,FALSE)</f>
        <v>#06</v>
      </c>
      <c r="J8895" t="s">
        <v>593</v>
      </c>
      <c r="K8895" s="195">
        <v>45842.626516203702</v>
      </c>
      <c r="L8895">
        <v>115</v>
      </c>
      <c r="M8895">
        <v>6</v>
      </c>
      <c r="N8895" s="98" t="str">
        <f>IF(record[[#This Row],[Memo]]="Browser:chrome os:android","平板報工",IF(record[[#This Row],[Memo]]=0,"委外",record[[#This Row],[Memo]]))</f>
        <v/>
      </c>
      <c r="O8895" t="s">
        <v>58</v>
      </c>
      <c r="P8895" t="s">
        <v>101</v>
      </c>
      <c r="Q8895" t="s">
        <v>58</v>
      </c>
      <c r="R8895" t="str">
        <f>IFERROR(VLOOKUP(record[[#This Row],[PCUSTID]],廠商[],2,FALSE),"")</f>
        <v/>
      </c>
      <c r="S8895" t="str">
        <f>VLOOKUP(record[[#This Row],[employeeID]],員工[],2,FALSE)</f>
        <v>陳氏絨</v>
      </c>
    </row>
    <row r="8896" spans="6:19" hidden="1" x14ac:dyDescent="0.25">
      <c r="F8896" t="s">
        <v>882</v>
      </c>
      <c r="G8896" t="s">
        <v>423</v>
      </c>
      <c r="H8896" t="str">
        <f>VLOOKUP(record[[#This Row],[ProcessSN]],表格2_7[],2,FALSE)</f>
        <v>30-4118-018-600</v>
      </c>
      <c r="I8896" t="str">
        <f>VLOOKUP(record[[#This Row],[ProcessSN]],表格2_7[],3,FALSE)</f>
        <v>#08RCV</v>
      </c>
      <c r="J8896" t="s">
        <v>591</v>
      </c>
      <c r="K8896" s="195">
        <v>45842.603761574072</v>
      </c>
      <c r="L8896">
        <v>159</v>
      </c>
      <c r="M8896">
        <v>0</v>
      </c>
      <c r="N8896" s="98" t="str">
        <f>IF(record[[#This Row],[Memo]]="Browser:chrome os:android","平板報工",IF(record[[#This Row],[Memo]]=0,"委外",record[[#This Row],[Memo]]))</f>
        <v/>
      </c>
      <c r="O8896" t="s">
        <v>58</v>
      </c>
      <c r="P8896" t="s">
        <v>186</v>
      </c>
      <c r="Q8896" t="s">
        <v>58</v>
      </c>
      <c r="R8896" t="str">
        <f>IFERROR(VLOOKUP(record[[#This Row],[PCUSTID]],廠商[],2,FALSE),"")</f>
        <v/>
      </c>
      <c r="S8896" t="str">
        <f>VLOOKUP(record[[#This Row],[employeeID]],員工[],2,FALSE)</f>
        <v>許文姍</v>
      </c>
    </row>
    <row r="8897" spans="6:19" hidden="1" x14ac:dyDescent="0.25">
      <c r="F8897" t="s">
        <v>881</v>
      </c>
      <c r="G8897" t="s">
        <v>398</v>
      </c>
      <c r="H8897" t="str">
        <f>VLOOKUP(record[[#This Row],[ProcessSN]],表格2_7[],2,FALSE)</f>
        <v>30-4118-018-550</v>
      </c>
      <c r="I8897" t="str">
        <f>VLOOKUP(record[[#This Row],[ProcessSN]],表格2_7[],3,FALSE)</f>
        <v>#08RCV</v>
      </c>
      <c r="J8897" t="s">
        <v>591</v>
      </c>
      <c r="K8897" s="195">
        <v>45842.603379629632</v>
      </c>
      <c r="L8897">
        <v>375</v>
      </c>
      <c r="M8897">
        <v>2</v>
      </c>
      <c r="N8897" s="98" t="str">
        <f>IF(record[[#This Row],[Memo]]="Browser:chrome os:android","平板報工",IF(record[[#This Row],[Memo]]=0,"委外",record[[#This Row],[Memo]]))</f>
        <v/>
      </c>
      <c r="O8897" t="s">
        <v>58</v>
      </c>
      <c r="P8897" t="s">
        <v>186</v>
      </c>
      <c r="Q8897" t="s">
        <v>58</v>
      </c>
      <c r="R8897" t="str">
        <f>IFERROR(VLOOKUP(record[[#This Row],[PCUSTID]],廠商[],2,FALSE),"")</f>
        <v/>
      </c>
      <c r="S8897" t="str">
        <f>VLOOKUP(record[[#This Row],[employeeID]],員工[],2,FALSE)</f>
        <v>許文姍</v>
      </c>
    </row>
    <row r="8898" spans="6:19" hidden="1" x14ac:dyDescent="0.25">
      <c r="F8898" t="s">
        <v>884</v>
      </c>
      <c r="G8898" t="s">
        <v>422</v>
      </c>
      <c r="H8898" t="str">
        <f>VLOOKUP(record[[#This Row],[ProcessSN]],表格2_7[],2,FALSE)</f>
        <v>30-4118-018-600</v>
      </c>
      <c r="I8898" t="str">
        <f>VLOOKUP(record[[#This Row],[ProcessSN]],表格2_7[],3,FALSE)</f>
        <v>#08</v>
      </c>
      <c r="J8898" t="s">
        <v>597</v>
      </c>
      <c r="K8898" s="195">
        <v>45842.599537037036</v>
      </c>
      <c r="L8898">
        <v>328</v>
      </c>
      <c r="M8898">
        <v>0</v>
      </c>
      <c r="N8898" s="98" t="str">
        <f>IF(record[[#This Row],[Memo]]="Browser:chrome os:android","平板報工",IF(record[[#This Row],[Memo]]=0,"委外",record[[#This Row],[Memo]]))</f>
        <v/>
      </c>
      <c r="O8898" t="s">
        <v>58</v>
      </c>
      <c r="P8898" t="s">
        <v>186</v>
      </c>
      <c r="Q8898" t="s">
        <v>287</v>
      </c>
      <c r="R8898" t="str">
        <f>IFERROR(VLOOKUP(record[[#This Row],[PCUSTID]],廠商[],2,FALSE),"")</f>
        <v>泉盛</v>
      </c>
      <c r="S8898" t="str">
        <f>VLOOKUP(record[[#This Row],[employeeID]],員工[],2,FALSE)</f>
        <v>許文姍</v>
      </c>
    </row>
    <row r="8899" spans="6:19" hidden="1" x14ac:dyDescent="0.25">
      <c r="F8899" t="s">
        <v>884</v>
      </c>
      <c r="G8899" t="s">
        <v>421</v>
      </c>
      <c r="H8899" t="str">
        <f>VLOOKUP(record[[#This Row],[ProcessSN]],表格2_7[],2,FALSE)</f>
        <v>30-4118-018-600</v>
      </c>
      <c r="I8899" t="str">
        <f>VLOOKUP(record[[#This Row],[ProcessSN]],表格2_7[],3,FALSE)</f>
        <v>#08PICK</v>
      </c>
      <c r="J8899" t="s">
        <v>582</v>
      </c>
      <c r="K8899" s="195">
        <v>45842.599351851852</v>
      </c>
      <c r="L8899">
        <v>328</v>
      </c>
      <c r="M8899">
        <v>0</v>
      </c>
      <c r="N8899" s="98" t="str">
        <f>IF(record[[#This Row],[Memo]]="Browser:chrome os:android","平板報工",IF(record[[#This Row],[Memo]]=0,"委外",record[[#This Row],[Memo]]))</f>
        <v/>
      </c>
      <c r="O8899" t="s">
        <v>58</v>
      </c>
      <c r="P8899" t="s">
        <v>186</v>
      </c>
      <c r="Q8899" t="s">
        <v>58</v>
      </c>
      <c r="R8899" t="str">
        <f>IFERROR(VLOOKUP(record[[#This Row],[PCUSTID]],廠商[],2,FALSE),"")</f>
        <v/>
      </c>
      <c r="S8899" t="str">
        <f>VLOOKUP(record[[#This Row],[employeeID]],員工[],2,FALSE)</f>
        <v>許文姍</v>
      </c>
    </row>
    <row r="8900" spans="6:19" hidden="1" x14ac:dyDescent="0.25">
      <c r="F8900" t="s">
        <v>849</v>
      </c>
      <c r="G8900" t="s">
        <v>469</v>
      </c>
      <c r="H8900" t="str">
        <f>VLOOKUP(record[[#This Row],[ProcessSN]],表格2_7[],2,FALSE)</f>
        <v>30-4118-018-XXX</v>
      </c>
      <c r="I8900" t="str">
        <f>VLOOKUP(record[[#This Row],[ProcessSN]],表格2_7[],3,FALSE)</f>
        <v>#02RCV</v>
      </c>
      <c r="J8900" t="s">
        <v>591</v>
      </c>
      <c r="K8900" s="195">
        <v>45842.483587962961</v>
      </c>
      <c r="L8900">
        <v>504</v>
      </c>
      <c r="M8900">
        <v>0</v>
      </c>
      <c r="N8900" s="98" t="str">
        <f>IF(record[[#This Row],[Memo]]="Browser:chrome os:android","平板報工",IF(record[[#This Row],[Memo]]=0,"委外",record[[#This Row],[Memo]]))</f>
        <v/>
      </c>
      <c r="O8900" t="s">
        <v>58</v>
      </c>
      <c r="P8900" t="s">
        <v>186</v>
      </c>
      <c r="Q8900" t="s">
        <v>58</v>
      </c>
      <c r="R8900" t="str">
        <f>IFERROR(VLOOKUP(record[[#This Row],[PCUSTID]],廠商[],2,FALSE),"")</f>
        <v/>
      </c>
      <c r="S8900" t="str">
        <f>VLOOKUP(record[[#This Row],[employeeID]],員工[],2,FALSE)</f>
        <v>許文姍</v>
      </c>
    </row>
    <row r="8901" spans="6:19" hidden="1" x14ac:dyDescent="0.25">
      <c r="F8901" t="s">
        <v>864</v>
      </c>
      <c r="G8901" t="s">
        <v>452</v>
      </c>
      <c r="H8901" t="str">
        <f>VLOOKUP(record[[#This Row],[ProcessSN]],表格2_7[],2,FALSE)</f>
        <v>30-4118-018-6XX</v>
      </c>
      <c r="I8901" t="str">
        <f>VLOOKUP(record[[#This Row],[ProcessSN]],表格2_7[],3,FALSE)</f>
        <v>#07QC</v>
      </c>
      <c r="J8901" t="s">
        <v>589</v>
      </c>
      <c r="K8901" s="195">
        <v>45842.459444444445</v>
      </c>
      <c r="L8901">
        <v>0</v>
      </c>
      <c r="M8901">
        <v>9</v>
      </c>
      <c r="N8901" s="98" t="str">
        <f>IF(record[[#This Row],[Memo]]="Browser:chrome os:android","平板報工",IF(record[[#This Row],[Memo]]=0,"委外",record[[#This Row],[Memo]]))</f>
        <v>平板報工</v>
      </c>
      <c r="O8901" t="s">
        <v>643</v>
      </c>
      <c r="P8901" t="s">
        <v>141</v>
      </c>
      <c r="Q8901" t="s">
        <v>644</v>
      </c>
      <c r="R8901" t="str">
        <f>IFERROR(VLOOKUP(record[[#This Row],[PCUSTID]],廠商[],2,FALSE),"")</f>
        <v/>
      </c>
      <c r="S8901" t="str">
        <f>VLOOKUP(record[[#This Row],[employeeID]],員工[],2,FALSE)</f>
        <v>蔣梅</v>
      </c>
    </row>
    <row r="8902" spans="6:19" hidden="1" x14ac:dyDescent="0.25">
      <c r="F8902" t="s">
        <v>864</v>
      </c>
      <c r="G8902" t="s">
        <v>452</v>
      </c>
      <c r="H8902" t="str">
        <f>VLOOKUP(record[[#This Row],[ProcessSN]],表格2_7[],2,FALSE)</f>
        <v>30-4118-018-6XX</v>
      </c>
      <c r="I8902" t="str">
        <f>VLOOKUP(record[[#This Row],[ProcessSN]],表格2_7[],3,FALSE)</f>
        <v>#07QC</v>
      </c>
      <c r="J8902" t="s">
        <v>589</v>
      </c>
      <c r="K8902" s="195">
        <v>45842.459166666667</v>
      </c>
      <c r="L8902">
        <v>156</v>
      </c>
      <c r="M8902">
        <v>0</v>
      </c>
      <c r="N8902" s="98" t="str">
        <f>IF(record[[#This Row],[Memo]]="Browser:chrome os:android","平板報工",IF(record[[#This Row],[Memo]]=0,"委外",record[[#This Row],[Memo]]))</f>
        <v>平板報工</v>
      </c>
      <c r="O8902" t="s">
        <v>643</v>
      </c>
      <c r="P8902" t="s">
        <v>141</v>
      </c>
      <c r="Q8902" t="s">
        <v>644</v>
      </c>
      <c r="R8902" t="str">
        <f>IFERROR(VLOOKUP(record[[#This Row],[PCUSTID]],廠商[],2,FALSE),"")</f>
        <v/>
      </c>
      <c r="S8902" t="str">
        <f>VLOOKUP(record[[#This Row],[employeeID]],員工[],2,FALSE)</f>
        <v>蔣梅</v>
      </c>
    </row>
    <row r="8903" spans="6:19" hidden="1" x14ac:dyDescent="0.25">
      <c r="F8903" t="s">
        <v>874</v>
      </c>
      <c r="G8903" t="s">
        <v>401</v>
      </c>
      <c r="H8903" t="str">
        <f>VLOOKUP(record[[#This Row],[ProcessSN]],表格2_7[],2,FALSE)</f>
        <v>30-4118-018-550</v>
      </c>
      <c r="I8903" t="str">
        <f>VLOOKUP(record[[#This Row],[ProcessSN]],表格2_7[],3,FALSE)</f>
        <v>#100OQC</v>
      </c>
      <c r="J8903" t="s">
        <v>599</v>
      </c>
      <c r="K8903" s="195">
        <v>45842.444328703707</v>
      </c>
      <c r="L8903">
        <v>159</v>
      </c>
      <c r="M8903">
        <v>0</v>
      </c>
      <c r="N8903" s="98" t="str">
        <f>IF(record[[#This Row],[Memo]]="Browser:chrome os:android","平板報工",IF(record[[#This Row],[Memo]]=0,"委外",record[[#This Row],[Memo]]))</f>
        <v/>
      </c>
      <c r="O8903" t="s">
        <v>58</v>
      </c>
      <c r="P8903" t="s">
        <v>121</v>
      </c>
      <c r="Q8903" t="s">
        <v>58</v>
      </c>
      <c r="R8903" t="str">
        <f>IFERROR(VLOOKUP(record[[#This Row],[PCUSTID]],廠商[],2,FALSE),"")</f>
        <v/>
      </c>
      <c r="S8903" t="str">
        <f>VLOOKUP(record[[#This Row],[employeeID]],員工[],2,FALSE)</f>
        <v>謝素卿</v>
      </c>
    </row>
    <row r="8904" spans="6:19" hidden="1" x14ac:dyDescent="0.25">
      <c r="F8904" t="s">
        <v>873</v>
      </c>
      <c r="G8904" t="s">
        <v>402</v>
      </c>
      <c r="H8904" t="str">
        <f>VLOOKUP(record[[#This Row],[ProcessSN]],表格2_7[],2,FALSE)</f>
        <v>30-4118-018-550</v>
      </c>
      <c r="I8904" t="str">
        <f>VLOOKUP(record[[#This Row],[ProcessSN]],表格2_7[],3,FALSE)</f>
        <v>#100STOCK</v>
      </c>
      <c r="J8904" t="s">
        <v>592</v>
      </c>
      <c r="K8904" s="195">
        <v>45842.391759259262</v>
      </c>
      <c r="L8904">
        <v>145</v>
      </c>
      <c r="M8904">
        <v>0</v>
      </c>
      <c r="N8904" s="98" t="str">
        <f>IF(record[[#This Row],[Memo]]="Browser:chrome os:android","平板報工",IF(record[[#This Row],[Memo]]=0,"委外",record[[#This Row],[Memo]]))</f>
        <v/>
      </c>
      <c r="O8904" t="s">
        <v>58</v>
      </c>
      <c r="P8904" t="s">
        <v>99</v>
      </c>
      <c r="Q8904" t="s">
        <v>58</v>
      </c>
      <c r="R8904" t="str">
        <f>IFERROR(VLOOKUP(record[[#This Row],[PCUSTID]],廠商[],2,FALSE),"")</f>
        <v/>
      </c>
      <c r="S8904" t="str">
        <f>VLOOKUP(record[[#This Row],[employeeID]],員工[],2,FALSE)</f>
        <v>阮氏河</v>
      </c>
    </row>
    <row r="8905" spans="6:19" hidden="1" x14ac:dyDescent="0.25">
      <c r="F8905" t="s">
        <v>864</v>
      </c>
      <c r="G8905" t="s">
        <v>448</v>
      </c>
      <c r="H8905" t="str">
        <f>VLOOKUP(record[[#This Row],[ProcessSN]],表格2_7[],2,FALSE)</f>
        <v>30-4118-018-6XX</v>
      </c>
      <c r="I8905" t="str">
        <f>VLOOKUP(record[[#This Row],[ProcessSN]],表格2_7[],3,FALSE)</f>
        <v>#04</v>
      </c>
      <c r="J8905" t="s">
        <v>588</v>
      </c>
      <c r="K8905" s="195">
        <v>45842.307696759257</v>
      </c>
      <c r="L8905">
        <v>96</v>
      </c>
      <c r="M8905">
        <v>0</v>
      </c>
      <c r="N8905" s="98" t="str">
        <f>IF(record[[#This Row],[Memo]]="Browser:chrome os:android","平板報工",IF(record[[#This Row],[Memo]]=0,"委外",record[[#This Row],[Memo]]))</f>
        <v/>
      </c>
      <c r="O8905" t="s">
        <v>58</v>
      </c>
      <c r="P8905" t="s">
        <v>135</v>
      </c>
      <c r="Q8905" t="s">
        <v>58</v>
      </c>
      <c r="R8905" t="str">
        <f>IFERROR(VLOOKUP(record[[#This Row],[PCUSTID]],廠商[],2,FALSE),"")</f>
        <v/>
      </c>
      <c r="S8905" t="str">
        <f>VLOOKUP(record[[#This Row],[employeeID]],員工[],2,FALSE)</f>
        <v>阮士文</v>
      </c>
    </row>
    <row r="8906" spans="6:19" hidden="1" x14ac:dyDescent="0.25">
      <c r="F8906" t="s">
        <v>864</v>
      </c>
      <c r="G8906" t="s">
        <v>451</v>
      </c>
      <c r="H8906" t="str">
        <f>VLOOKUP(record[[#This Row],[ProcessSN]],表格2_7[],2,FALSE)</f>
        <v>30-4118-018-6XX</v>
      </c>
      <c r="I8906" t="str">
        <f>VLOOKUP(record[[#This Row],[ProcessSN]],表格2_7[],3,FALSE)</f>
        <v>#07</v>
      </c>
      <c r="J8906" t="s">
        <v>588</v>
      </c>
      <c r="K8906" s="195">
        <v>45841.967453703706</v>
      </c>
      <c r="L8906">
        <v>185</v>
      </c>
      <c r="M8906">
        <v>0</v>
      </c>
      <c r="N8906" s="98" t="str">
        <f>IF(record[[#This Row],[Memo]]="Browser:chrome os:android","平板報工",IF(record[[#This Row],[Memo]]=0,"委外",record[[#This Row],[Memo]]))</f>
        <v/>
      </c>
      <c r="O8906" t="s">
        <v>58</v>
      </c>
      <c r="P8906" t="s">
        <v>89</v>
      </c>
      <c r="Q8906" t="s">
        <v>58</v>
      </c>
      <c r="R8906" t="str">
        <f>IFERROR(VLOOKUP(record[[#This Row],[PCUSTID]],廠商[],2,FALSE),"")</f>
        <v/>
      </c>
      <c r="S8906" t="str">
        <f>VLOOKUP(record[[#This Row],[employeeID]],員工[],2,FALSE)</f>
        <v>李美蓮</v>
      </c>
    </row>
    <row r="8907" spans="6:19" hidden="1" x14ac:dyDescent="0.25">
      <c r="F8907" t="s">
        <v>864</v>
      </c>
      <c r="G8907" t="s">
        <v>450</v>
      </c>
      <c r="H8907" t="str">
        <f>VLOOKUP(record[[#This Row],[ProcessSN]],表格2_7[],2,FALSE)</f>
        <v>30-4118-018-6XX</v>
      </c>
      <c r="I8907" t="str">
        <f>VLOOKUP(record[[#This Row],[ProcessSN]],表格2_7[],3,FALSE)</f>
        <v>#06</v>
      </c>
      <c r="J8907" t="s">
        <v>593</v>
      </c>
      <c r="K8907" s="195">
        <v>45841.967083333337</v>
      </c>
      <c r="L8907">
        <v>110</v>
      </c>
      <c r="M8907">
        <v>0</v>
      </c>
      <c r="N8907" s="98" t="str">
        <f>IF(record[[#This Row],[Memo]]="Browser:chrome os:android","平板報工",IF(record[[#This Row],[Memo]]=0,"委外",record[[#This Row],[Memo]]))</f>
        <v/>
      </c>
      <c r="O8907" t="s">
        <v>58</v>
      </c>
      <c r="P8907" t="s">
        <v>841</v>
      </c>
      <c r="Q8907" t="s">
        <v>58</v>
      </c>
      <c r="R8907" t="str">
        <f>IFERROR(VLOOKUP(record[[#This Row],[PCUSTID]],廠商[],2,FALSE),"")</f>
        <v/>
      </c>
      <c r="S8907" t="str">
        <f>VLOOKUP(record[[#This Row],[employeeID]],員工[],2,FALSE)</f>
        <v>范氏香</v>
      </c>
    </row>
    <row r="8908" spans="6:19" hidden="1" x14ac:dyDescent="0.25">
      <c r="F8908" t="s">
        <v>864</v>
      </c>
      <c r="G8908" t="s">
        <v>449</v>
      </c>
      <c r="H8908" t="str">
        <f>VLOOKUP(record[[#This Row],[ProcessSN]],表格2_7[],2,FALSE)</f>
        <v>30-4118-018-6XX</v>
      </c>
      <c r="I8908" t="str">
        <f>VLOOKUP(record[[#This Row],[ProcessSN]],表格2_7[],3,FALSE)</f>
        <v>#05</v>
      </c>
      <c r="J8908" t="s">
        <v>588</v>
      </c>
      <c r="K8908" s="195">
        <v>45841.965520833335</v>
      </c>
      <c r="L8908">
        <v>225</v>
      </c>
      <c r="M8908">
        <v>0</v>
      </c>
      <c r="N8908" s="98" t="str">
        <f>IF(record[[#This Row],[Memo]]="Browser:chrome os:android","平板報工",IF(record[[#This Row],[Memo]]=0,"委外",record[[#This Row],[Memo]]))</f>
        <v/>
      </c>
      <c r="O8908" t="s">
        <v>58</v>
      </c>
      <c r="P8908" t="s">
        <v>89</v>
      </c>
      <c r="Q8908" t="s">
        <v>58</v>
      </c>
      <c r="R8908" t="str">
        <f>IFERROR(VLOOKUP(record[[#This Row],[PCUSTID]],廠商[],2,FALSE),"")</f>
        <v/>
      </c>
      <c r="S8908" t="str">
        <f>VLOOKUP(record[[#This Row],[employeeID]],員工[],2,FALSE)</f>
        <v>李美蓮</v>
      </c>
    </row>
    <row r="8909" spans="6:19" hidden="1" x14ac:dyDescent="0.25">
      <c r="F8909" t="s">
        <v>879</v>
      </c>
      <c r="G8909" t="s">
        <v>399</v>
      </c>
      <c r="H8909" t="str">
        <f>VLOOKUP(record[[#This Row],[ProcessSN]],表格2_7[],2,FALSE)</f>
        <v>30-4118-018-550</v>
      </c>
      <c r="I8909" t="str">
        <f>VLOOKUP(record[[#This Row],[ProcessSN]],表格2_7[],3,FALSE)</f>
        <v>#08IQC</v>
      </c>
      <c r="J8909" t="s">
        <v>583</v>
      </c>
      <c r="K8909" s="195">
        <v>45841.712511574071</v>
      </c>
      <c r="L8909">
        <v>165</v>
      </c>
      <c r="M8909">
        <v>0</v>
      </c>
      <c r="N8909" s="98" t="str">
        <f>IF(record[[#This Row],[Memo]]="Browser:chrome os:android","平板報工",IF(record[[#This Row],[Memo]]=0,"委外",record[[#This Row],[Memo]]))</f>
        <v/>
      </c>
      <c r="O8909" t="s">
        <v>58</v>
      </c>
      <c r="P8909" t="s">
        <v>109</v>
      </c>
      <c r="Q8909" t="s">
        <v>58</v>
      </c>
      <c r="R8909" t="str">
        <f>IFERROR(VLOOKUP(record[[#This Row],[PCUSTID]],廠商[],2,FALSE),"")</f>
        <v/>
      </c>
      <c r="S8909" t="str">
        <f>VLOOKUP(record[[#This Row],[employeeID]],員工[],2,FALSE)</f>
        <v>裴氏璧鳳</v>
      </c>
    </row>
    <row r="8910" spans="6:19" hidden="1" x14ac:dyDescent="0.25">
      <c r="F8910" t="s">
        <v>864</v>
      </c>
      <c r="G8910" t="s">
        <v>450</v>
      </c>
      <c r="H8910" t="str">
        <f>VLOOKUP(record[[#This Row],[ProcessSN]],表格2_7[],2,FALSE)</f>
        <v>30-4118-018-6XX</v>
      </c>
      <c r="I8910" t="str">
        <f>VLOOKUP(record[[#This Row],[ProcessSN]],表格2_7[],3,FALSE)</f>
        <v>#06</v>
      </c>
      <c r="J8910" t="s">
        <v>593</v>
      </c>
      <c r="K8910" s="195">
        <v>45841.658900462964</v>
      </c>
      <c r="L8910">
        <v>121</v>
      </c>
      <c r="M8910">
        <v>0</v>
      </c>
      <c r="N8910" s="98" t="str">
        <f>IF(record[[#This Row],[Memo]]="Browser:chrome os:android","平板報工",IF(record[[#This Row],[Memo]]=0,"委外",record[[#This Row],[Memo]]))</f>
        <v/>
      </c>
      <c r="O8910" t="s">
        <v>58</v>
      </c>
      <c r="P8910" t="s">
        <v>101</v>
      </c>
      <c r="Q8910" t="s">
        <v>58</v>
      </c>
      <c r="R8910" t="str">
        <f>IFERROR(VLOOKUP(record[[#This Row],[PCUSTID]],廠商[],2,FALSE),"")</f>
        <v/>
      </c>
      <c r="S8910" t="str">
        <f>VLOOKUP(record[[#This Row],[employeeID]],員工[],2,FALSE)</f>
        <v>陳氏絨</v>
      </c>
    </row>
    <row r="8911" spans="6:19" hidden="1" x14ac:dyDescent="0.25">
      <c r="F8911" t="s">
        <v>864</v>
      </c>
      <c r="G8911" t="s">
        <v>448</v>
      </c>
      <c r="H8911" t="str">
        <f>VLOOKUP(record[[#This Row],[ProcessSN]],表格2_7[],2,FALSE)</f>
        <v>30-4118-018-6XX</v>
      </c>
      <c r="I8911" t="str">
        <f>VLOOKUP(record[[#This Row],[ProcessSN]],表格2_7[],3,FALSE)</f>
        <v>#04</v>
      </c>
      <c r="J8911" t="s">
        <v>588</v>
      </c>
      <c r="K8911" s="195">
        <v>45841.656041666669</v>
      </c>
      <c r="L8911">
        <v>95</v>
      </c>
      <c r="M8911">
        <v>0</v>
      </c>
      <c r="N8911" s="98" t="str">
        <f>IF(record[[#This Row],[Memo]]="Browser:chrome os:android","平板報工",IF(record[[#This Row],[Memo]]=0,"委外",record[[#This Row],[Memo]]))</f>
        <v/>
      </c>
      <c r="O8911" t="s">
        <v>58</v>
      </c>
      <c r="P8911" t="s">
        <v>101</v>
      </c>
      <c r="Q8911" t="s">
        <v>58</v>
      </c>
      <c r="R8911" t="str">
        <f>IFERROR(VLOOKUP(record[[#This Row],[PCUSTID]],廠商[],2,FALSE),"")</f>
        <v/>
      </c>
      <c r="S8911" t="str">
        <f>VLOOKUP(record[[#This Row],[employeeID]],員工[],2,FALSE)</f>
        <v>陳氏絨</v>
      </c>
    </row>
    <row r="8912" spans="6:19" hidden="1" x14ac:dyDescent="0.25">
      <c r="F8912" t="s">
        <v>864</v>
      </c>
      <c r="G8912" t="s">
        <v>449</v>
      </c>
      <c r="H8912" t="str">
        <f>VLOOKUP(record[[#This Row],[ProcessSN]],表格2_7[],2,FALSE)</f>
        <v>30-4118-018-6XX</v>
      </c>
      <c r="I8912" t="str">
        <f>VLOOKUP(record[[#This Row],[ProcessSN]],表格2_7[],3,FALSE)</f>
        <v>#05</v>
      </c>
      <c r="J8912" t="s">
        <v>588</v>
      </c>
      <c r="K8912" s="195">
        <v>45841.654791666668</v>
      </c>
      <c r="L8912">
        <v>102</v>
      </c>
      <c r="M8912">
        <v>0</v>
      </c>
      <c r="N8912" s="98" t="str">
        <f>IF(record[[#This Row],[Memo]]="Browser:chrome os:android","平板報工",IF(record[[#This Row],[Memo]]=0,"委外",record[[#This Row],[Memo]]))</f>
        <v/>
      </c>
      <c r="O8912" t="s">
        <v>58</v>
      </c>
      <c r="P8912" t="s">
        <v>101</v>
      </c>
      <c r="Q8912" t="s">
        <v>58</v>
      </c>
      <c r="R8912" t="str">
        <f>IFERROR(VLOOKUP(record[[#This Row],[PCUSTID]],廠商[],2,FALSE),"")</f>
        <v/>
      </c>
      <c r="S8912" t="str">
        <f>VLOOKUP(record[[#This Row],[employeeID]],員工[],2,FALSE)</f>
        <v>陳氏絨</v>
      </c>
    </row>
    <row r="8913" spans="6:19" hidden="1" x14ac:dyDescent="0.25">
      <c r="F8913" t="s">
        <v>866</v>
      </c>
      <c r="G8913" t="s">
        <v>403</v>
      </c>
      <c r="H8913" t="str">
        <f>VLOOKUP(record[[#This Row],[ProcessSN]],表格2_7[],2,FALSE)</f>
        <v>30-4118-018-550</v>
      </c>
      <c r="I8913" t="str">
        <f>VLOOKUP(record[[#This Row],[ProcessSN]],表格2_7[],3,FALSE)</f>
        <v>#100SHIP</v>
      </c>
      <c r="J8913" t="s">
        <v>600</v>
      </c>
      <c r="K8913" s="195">
        <v>45841.443668981483</v>
      </c>
      <c r="L8913">
        <v>40</v>
      </c>
      <c r="M8913">
        <v>0</v>
      </c>
      <c r="N8913" s="98" t="str">
        <f>IF(record[[#This Row],[Memo]]="Browser:chrome os:android","平板報工",IF(record[[#This Row],[Memo]]=0,"委外",record[[#This Row],[Memo]]))</f>
        <v/>
      </c>
      <c r="O8913" t="s">
        <v>58</v>
      </c>
      <c r="P8913" t="s">
        <v>99</v>
      </c>
      <c r="Q8913" t="s">
        <v>58</v>
      </c>
      <c r="R8913" t="str">
        <f>IFERROR(VLOOKUP(record[[#This Row],[PCUSTID]],廠商[],2,FALSE),"")</f>
        <v/>
      </c>
      <c r="S8913" t="str">
        <f>VLOOKUP(record[[#This Row],[employeeID]],員工[],2,FALSE)</f>
        <v>阮氏河</v>
      </c>
    </row>
    <row r="8914" spans="6:19" hidden="1" x14ac:dyDescent="0.25">
      <c r="F8914" t="s">
        <v>874</v>
      </c>
      <c r="G8914" t="s">
        <v>400</v>
      </c>
      <c r="H8914" t="str">
        <f>VLOOKUP(record[[#This Row],[ProcessSN]],表格2_7[],2,FALSE)</f>
        <v>30-4118-018-550</v>
      </c>
      <c r="I8914" t="str">
        <f>VLOOKUP(record[[#This Row],[ProcessSN]],表格2_7[],3,FALSE)</f>
        <v>#100</v>
      </c>
      <c r="J8914" t="s">
        <v>598</v>
      </c>
      <c r="K8914" s="195">
        <v>45841.44153935185</v>
      </c>
      <c r="L8914">
        <v>0</v>
      </c>
      <c r="M8914">
        <v>8</v>
      </c>
      <c r="N8914" s="98" t="str">
        <f>IF(record[[#This Row],[Memo]]="Browser:chrome os:android","平板報工",IF(record[[#This Row],[Memo]]=0,"委外",record[[#This Row],[Memo]]))</f>
        <v>平板報工</v>
      </c>
      <c r="O8914" t="s">
        <v>643</v>
      </c>
      <c r="P8914" t="s">
        <v>141</v>
      </c>
      <c r="Q8914" t="s">
        <v>644</v>
      </c>
      <c r="R8914" t="str">
        <f>IFERROR(VLOOKUP(record[[#This Row],[PCUSTID]],廠商[],2,FALSE),"")</f>
        <v/>
      </c>
      <c r="S8914" t="str">
        <f>VLOOKUP(record[[#This Row],[employeeID]],員工[],2,FALSE)</f>
        <v>蔣梅</v>
      </c>
    </row>
    <row r="8915" spans="6:19" hidden="1" x14ac:dyDescent="0.25">
      <c r="F8915" t="s">
        <v>874</v>
      </c>
      <c r="G8915" t="s">
        <v>400</v>
      </c>
      <c r="H8915" t="str">
        <f>VLOOKUP(record[[#This Row],[ProcessSN]],表格2_7[],2,FALSE)</f>
        <v>30-4118-018-550</v>
      </c>
      <c r="I8915" t="str">
        <f>VLOOKUP(record[[#This Row],[ProcessSN]],表格2_7[],3,FALSE)</f>
        <v>#100</v>
      </c>
      <c r="J8915" t="s">
        <v>598</v>
      </c>
      <c r="K8915" s="195">
        <v>45841.441296296296</v>
      </c>
      <c r="L8915">
        <v>159</v>
      </c>
      <c r="M8915">
        <v>0</v>
      </c>
      <c r="N8915" s="98" t="str">
        <f>IF(record[[#This Row],[Memo]]="Browser:chrome os:android","平板報工",IF(record[[#This Row],[Memo]]=0,"委外",record[[#This Row],[Memo]]))</f>
        <v>平板報工</v>
      </c>
      <c r="O8915" t="s">
        <v>643</v>
      </c>
      <c r="P8915" t="s">
        <v>141</v>
      </c>
      <c r="Q8915" t="s">
        <v>644</v>
      </c>
      <c r="R8915" t="str">
        <f>IFERROR(VLOOKUP(record[[#This Row],[PCUSTID]],廠商[],2,FALSE),"")</f>
        <v/>
      </c>
      <c r="S8915" t="str">
        <f>VLOOKUP(record[[#This Row],[employeeID]],員工[],2,FALSE)</f>
        <v>蔣梅</v>
      </c>
    </row>
    <row r="8916" spans="6:19" hidden="1" x14ac:dyDescent="0.25">
      <c r="F8916" t="s">
        <v>879</v>
      </c>
      <c r="G8916" t="s">
        <v>398</v>
      </c>
      <c r="H8916" t="str">
        <f>VLOOKUP(record[[#This Row],[ProcessSN]],表格2_7[],2,FALSE)</f>
        <v>30-4118-018-550</v>
      </c>
      <c r="I8916" t="str">
        <f>VLOOKUP(record[[#This Row],[ProcessSN]],表格2_7[],3,FALSE)</f>
        <v>#08RCV</v>
      </c>
      <c r="J8916" t="s">
        <v>591</v>
      </c>
      <c r="K8916" s="195">
        <v>45841.431319444448</v>
      </c>
      <c r="L8916">
        <v>165</v>
      </c>
      <c r="M8916">
        <v>0</v>
      </c>
      <c r="N8916" s="98" t="str">
        <f>IF(record[[#This Row],[Memo]]="Browser:chrome os:android","平板報工",IF(record[[#This Row],[Memo]]=0,"委外",record[[#This Row],[Memo]]))</f>
        <v/>
      </c>
      <c r="O8916" t="s">
        <v>58</v>
      </c>
      <c r="P8916" t="s">
        <v>186</v>
      </c>
      <c r="Q8916" t="s">
        <v>58</v>
      </c>
      <c r="R8916" t="str">
        <f>IFERROR(VLOOKUP(record[[#This Row],[PCUSTID]],廠商[],2,FALSE),"")</f>
        <v/>
      </c>
      <c r="S8916" t="str">
        <f>VLOOKUP(record[[#This Row],[employeeID]],員工[],2,FALSE)</f>
        <v>許文姍</v>
      </c>
    </row>
    <row r="8917" spans="6:19" hidden="1" x14ac:dyDescent="0.25">
      <c r="F8917" t="s">
        <v>882</v>
      </c>
      <c r="G8917" t="s">
        <v>422</v>
      </c>
      <c r="H8917" t="str">
        <f>VLOOKUP(record[[#This Row],[ProcessSN]],表格2_7[],2,FALSE)</f>
        <v>30-4118-018-600</v>
      </c>
      <c r="I8917" t="str">
        <f>VLOOKUP(record[[#This Row],[ProcessSN]],表格2_7[],3,FALSE)</f>
        <v>#08</v>
      </c>
      <c r="J8917" t="s">
        <v>597</v>
      </c>
      <c r="K8917" s="195">
        <v>45841.387604166666</v>
      </c>
      <c r="L8917">
        <v>161</v>
      </c>
      <c r="M8917">
        <v>0</v>
      </c>
      <c r="N8917" s="98" t="str">
        <f>IF(record[[#This Row],[Memo]]="Browser:chrome os:android","平板報工",IF(record[[#This Row],[Memo]]=0,"委外",record[[#This Row],[Memo]]))</f>
        <v/>
      </c>
      <c r="O8917" t="s">
        <v>58</v>
      </c>
      <c r="P8917" t="s">
        <v>186</v>
      </c>
      <c r="Q8917" t="s">
        <v>287</v>
      </c>
      <c r="R8917" t="str">
        <f>IFERROR(VLOOKUP(record[[#This Row],[PCUSTID]],廠商[],2,FALSE),"")</f>
        <v>泉盛</v>
      </c>
      <c r="S8917" t="str">
        <f>VLOOKUP(record[[#This Row],[employeeID]],員工[],2,FALSE)</f>
        <v>許文姍</v>
      </c>
    </row>
    <row r="8918" spans="6:19" hidden="1" x14ac:dyDescent="0.25">
      <c r="F8918" t="s">
        <v>882</v>
      </c>
      <c r="G8918" t="s">
        <v>421</v>
      </c>
      <c r="H8918" t="str">
        <f>VLOOKUP(record[[#This Row],[ProcessSN]],表格2_7[],2,FALSE)</f>
        <v>30-4118-018-600</v>
      </c>
      <c r="I8918" t="str">
        <f>VLOOKUP(record[[#This Row],[ProcessSN]],表格2_7[],3,FALSE)</f>
        <v>#08PICK</v>
      </c>
      <c r="J8918" t="s">
        <v>582</v>
      </c>
      <c r="K8918" s="195">
        <v>45841.38113425926</v>
      </c>
      <c r="L8918">
        <v>161</v>
      </c>
      <c r="M8918">
        <v>0</v>
      </c>
      <c r="N8918" s="98" t="str">
        <f>IF(record[[#This Row],[Memo]]="Browser:chrome os:android","平板報工",IF(record[[#This Row],[Memo]]=0,"委外",record[[#This Row],[Memo]]))</f>
        <v/>
      </c>
      <c r="O8918" t="s">
        <v>58</v>
      </c>
      <c r="P8918" t="s">
        <v>113</v>
      </c>
      <c r="Q8918" t="s">
        <v>58</v>
      </c>
      <c r="R8918" t="str">
        <f>IFERROR(VLOOKUP(record[[#This Row],[PCUSTID]],廠商[],2,FALSE),"")</f>
        <v/>
      </c>
      <c r="S8918" t="str">
        <f>VLOOKUP(record[[#This Row],[employeeID]],員工[],2,FALSE)</f>
        <v>王奕蓁</v>
      </c>
    </row>
    <row r="8919" spans="6:19" hidden="1" x14ac:dyDescent="0.25">
      <c r="F8919" t="s">
        <v>864</v>
      </c>
      <c r="G8919" t="s">
        <v>453</v>
      </c>
      <c r="H8919" t="str">
        <f>VLOOKUP(record[[#This Row],[ProcessSN]],表格2_7[],2,FALSE)</f>
        <v>30-4118-018-6XX</v>
      </c>
      <c r="I8919" t="str">
        <f>VLOOKUP(record[[#This Row],[ProcessSN]],表格2_7[],3,FALSE)</f>
        <v>#07STOCK</v>
      </c>
      <c r="J8919" t="s">
        <v>592</v>
      </c>
      <c r="K8919" s="195">
        <v>45841.380706018521</v>
      </c>
      <c r="L8919">
        <v>161</v>
      </c>
      <c r="M8919">
        <v>0</v>
      </c>
      <c r="N8919" s="98" t="str">
        <f>IF(record[[#This Row],[Memo]]="Browser:chrome os:android","平板報工",IF(record[[#This Row],[Memo]]=0,"委外",record[[#This Row],[Memo]]))</f>
        <v/>
      </c>
      <c r="O8919" t="s">
        <v>58</v>
      </c>
      <c r="P8919" t="s">
        <v>113</v>
      </c>
      <c r="Q8919" t="s">
        <v>58</v>
      </c>
      <c r="R8919" t="str">
        <f>IFERROR(VLOOKUP(record[[#This Row],[PCUSTID]],廠商[],2,FALSE),"")</f>
        <v/>
      </c>
      <c r="S8919" t="str">
        <f>VLOOKUP(record[[#This Row],[employeeID]],員工[],2,FALSE)</f>
        <v>王奕蓁</v>
      </c>
    </row>
    <row r="8920" spans="6:19" hidden="1" x14ac:dyDescent="0.25">
      <c r="F8920" t="s">
        <v>864</v>
      </c>
      <c r="G8920" t="s">
        <v>452</v>
      </c>
      <c r="H8920" t="str">
        <f>VLOOKUP(record[[#This Row],[ProcessSN]],表格2_7[],2,FALSE)</f>
        <v>30-4118-018-6XX</v>
      </c>
      <c r="I8920" t="str">
        <f>VLOOKUP(record[[#This Row],[ProcessSN]],表格2_7[],3,FALSE)</f>
        <v>#07QC</v>
      </c>
      <c r="J8920" t="s">
        <v>589</v>
      </c>
      <c r="K8920" s="195">
        <v>45841.367094907408</v>
      </c>
      <c r="L8920">
        <v>0</v>
      </c>
      <c r="M8920">
        <v>4</v>
      </c>
      <c r="N8920" s="98" t="str">
        <f>IF(record[[#This Row],[Memo]]="Browser:chrome os:android","平板報工",IF(record[[#This Row],[Memo]]=0,"委外",record[[#This Row],[Memo]]))</f>
        <v>平板報工</v>
      </c>
      <c r="O8920" t="s">
        <v>643</v>
      </c>
      <c r="P8920" t="s">
        <v>141</v>
      </c>
      <c r="Q8920" t="s">
        <v>644</v>
      </c>
      <c r="R8920" t="str">
        <f>IFERROR(VLOOKUP(record[[#This Row],[PCUSTID]],廠商[],2,FALSE),"")</f>
        <v/>
      </c>
      <c r="S8920" t="str">
        <f>VLOOKUP(record[[#This Row],[employeeID]],員工[],2,FALSE)</f>
        <v>蔣梅</v>
      </c>
    </row>
    <row r="8921" spans="6:19" hidden="1" x14ac:dyDescent="0.25">
      <c r="F8921" t="s">
        <v>864</v>
      </c>
      <c r="G8921" t="s">
        <v>452</v>
      </c>
      <c r="H8921" t="str">
        <f>VLOOKUP(record[[#This Row],[ProcessSN]],表格2_7[],2,FALSE)</f>
        <v>30-4118-018-6XX</v>
      </c>
      <c r="I8921" t="str">
        <f>VLOOKUP(record[[#This Row],[ProcessSN]],表格2_7[],3,FALSE)</f>
        <v>#07QC</v>
      </c>
      <c r="J8921" t="s">
        <v>589</v>
      </c>
      <c r="K8921" s="195">
        <v>45841.366863425923</v>
      </c>
      <c r="L8921">
        <v>161</v>
      </c>
      <c r="M8921">
        <v>0</v>
      </c>
      <c r="N8921" s="98" t="str">
        <f>IF(record[[#This Row],[Memo]]="Browser:chrome os:android","平板報工",IF(record[[#This Row],[Memo]]=0,"委外",record[[#This Row],[Memo]]))</f>
        <v>平板報工</v>
      </c>
      <c r="O8921" t="s">
        <v>643</v>
      </c>
      <c r="P8921" t="s">
        <v>141</v>
      </c>
      <c r="Q8921" t="s">
        <v>644</v>
      </c>
      <c r="R8921" t="str">
        <f>IFERROR(VLOOKUP(record[[#This Row],[PCUSTID]],廠商[],2,FALSE),"")</f>
        <v/>
      </c>
      <c r="S8921" t="str">
        <f>VLOOKUP(record[[#This Row],[employeeID]],員工[],2,FALSE)</f>
        <v>蔣梅</v>
      </c>
    </row>
    <row r="8922" spans="6:19" hidden="1" x14ac:dyDescent="0.25">
      <c r="F8922" t="s">
        <v>869</v>
      </c>
      <c r="G8922" t="s">
        <v>402</v>
      </c>
      <c r="H8922" t="str">
        <f>VLOOKUP(record[[#This Row],[ProcessSN]],表格2_7[],2,FALSE)</f>
        <v>30-4118-018-550</v>
      </c>
      <c r="I8922" t="str">
        <f>VLOOKUP(record[[#This Row],[ProcessSN]],表格2_7[],3,FALSE)</f>
        <v>#100STOCK</v>
      </c>
      <c r="J8922" t="s">
        <v>592</v>
      </c>
      <c r="K8922" s="195">
        <v>45841.350254629629</v>
      </c>
      <c r="L8922">
        <v>315</v>
      </c>
      <c r="M8922">
        <v>0</v>
      </c>
      <c r="N8922" s="98" t="str">
        <f>IF(record[[#This Row],[Memo]]="Browser:chrome os:android","平板報工",IF(record[[#This Row],[Memo]]=0,"委外",record[[#This Row],[Memo]]))</f>
        <v/>
      </c>
      <c r="O8922" t="s">
        <v>58</v>
      </c>
      <c r="P8922" t="s">
        <v>99</v>
      </c>
      <c r="Q8922" t="s">
        <v>58</v>
      </c>
      <c r="R8922" t="str">
        <f>IFERROR(VLOOKUP(record[[#This Row],[PCUSTID]],廠商[],2,FALSE),"")</f>
        <v/>
      </c>
      <c r="S8922" t="str">
        <f>VLOOKUP(record[[#This Row],[employeeID]],員工[],2,FALSE)</f>
        <v>阮氏河</v>
      </c>
    </row>
    <row r="8923" spans="6:19" hidden="1" x14ac:dyDescent="0.25">
      <c r="F8923" t="s">
        <v>864</v>
      </c>
      <c r="G8923" t="s">
        <v>448</v>
      </c>
      <c r="H8923" t="str">
        <f>VLOOKUP(record[[#This Row],[ProcessSN]],表格2_7[],2,FALSE)</f>
        <v>30-4118-018-6XX</v>
      </c>
      <c r="I8923" t="str">
        <f>VLOOKUP(record[[#This Row],[ProcessSN]],表格2_7[],3,FALSE)</f>
        <v>#04</v>
      </c>
      <c r="J8923" t="s">
        <v>588</v>
      </c>
      <c r="K8923" s="195">
        <v>45841.312442129631</v>
      </c>
      <c r="L8923">
        <v>97</v>
      </c>
      <c r="M8923">
        <v>7</v>
      </c>
      <c r="N8923" s="98" t="str">
        <f>IF(record[[#This Row],[Memo]]="Browser:chrome os:android","平板報工",IF(record[[#This Row],[Memo]]=0,"委外",record[[#This Row],[Memo]]))</f>
        <v/>
      </c>
      <c r="O8923" t="s">
        <v>58</v>
      </c>
      <c r="P8923" t="s">
        <v>135</v>
      </c>
      <c r="Q8923" t="s">
        <v>58</v>
      </c>
      <c r="R8923" t="str">
        <f>IFERROR(VLOOKUP(record[[#This Row],[PCUSTID]],廠商[],2,FALSE),"")</f>
        <v/>
      </c>
      <c r="S8923" t="str">
        <f>VLOOKUP(record[[#This Row],[employeeID]],員工[],2,FALSE)</f>
        <v>阮士文</v>
      </c>
    </row>
    <row r="8924" spans="6:19" hidden="1" x14ac:dyDescent="0.25">
      <c r="F8924" t="s">
        <v>864</v>
      </c>
      <c r="G8924" t="s">
        <v>451</v>
      </c>
      <c r="H8924" t="str">
        <f>VLOOKUP(record[[#This Row],[ProcessSN]],表格2_7[],2,FALSE)</f>
        <v>30-4118-018-6XX</v>
      </c>
      <c r="I8924" t="str">
        <f>VLOOKUP(record[[#This Row],[ProcessSN]],表格2_7[],3,FALSE)</f>
        <v>#07</v>
      </c>
      <c r="J8924" t="s">
        <v>588</v>
      </c>
      <c r="K8924" s="195">
        <v>45840.972303240742</v>
      </c>
      <c r="L8924">
        <v>35</v>
      </c>
      <c r="M8924">
        <v>0</v>
      </c>
      <c r="N8924" s="98" t="str">
        <f>IF(record[[#This Row],[Memo]]="Browser:chrome os:android","平板報工",IF(record[[#This Row],[Memo]]=0,"委外",record[[#This Row],[Memo]]))</f>
        <v/>
      </c>
      <c r="O8924" t="s">
        <v>58</v>
      </c>
      <c r="P8924" t="s">
        <v>89</v>
      </c>
      <c r="Q8924" t="s">
        <v>58</v>
      </c>
      <c r="R8924" t="str">
        <f>IFERROR(VLOOKUP(record[[#This Row],[PCUSTID]],廠商[],2,FALSE),"")</f>
        <v/>
      </c>
      <c r="S8924" t="str">
        <f>VLOOKUP(record[[#This Row],[employeeID]],員工[],2,FALSE)</f>
        <v>李美蓮</v>
      </c>
    </row>
    <row r="8925" spans="6:19" hidden="1" x14ac:dyDescent="0.25">
      <c r="F8925" t="s">
        <v>873</v>
      </c>
      <c r="G8925" t="s">
        <v>401</v>
      </c>
      <c r="H8925" t="str">
        <f>VLOOKUP(record[[#This Row],[ProcessSN]],表格2_7[],2,FALSE)</f>
        <v>30-4118-018-550</v>
      </c>
      <c r="I8925" t="str">
        <f>VLOOKUP(record[[#This Row],[ProcessSN]],表格2_7[],3,FALSE)</f>
        <v>#100OQC</v>
      </c>
      <c r="J8925" t="s">
        <v>599</v>
      </c>
      <c r="K8925" s="195">
        <v>45840.749097222222</v>
      </c>
      <c r="L8925">
        <v>145</v>
      </c>
      <c r="M8925">
        <v>0</v>
      </c>
      <c r="N8925" s="98" t="str">
        <f>IF(record[[#This Row],[Memo]]="Browser:chrome os:android","平板報工",IF(record[[#This Row],[Memo]]=0,"委外",record[[#This Row],[Memo]]))</f>
        <v/>
      </c>
      <c r="O8925" t="s">
        <v>58</v>
      </c>
      <c r="P8925" t="s">
        <v>121</v>
      </c>
      <c r="Q8925" t="s">
        <v>58</v>
      </c>
      <c r="R8925" t="str">
        <f>IFERROR(VLOOKUP(record[[#This Row],[PCUSTID]],廠商[],2,FALSE),"")</f>
        <v/>
      </c>
      <c r="S8925" t="str">
        <f>VLOOKUP(record[[#This Row],[employeeID]],員工[],2,FALSE)</f>
        <v>謝素卿</v>
      </c>
    </row>
    <row r="8926" spans="6:19" hidden="1" x14ac:dyDescent="0.25">
      <c r="F8926" t="s">
        <v>874</v>
      </c>
      <c r="G8926" t="s">
        <v>399</v>
      </c>
      <c r="H8926" t="str">
        <f>VLOOKUP(record[[#This Row],[ProcessSN]],表格2_7[],2,FALSE)</f>
        <v>30-4118-018-550</v>
      </c>
      <c r="I8926" t="str">
        <f>VLOOKUP(record[[#This Row],[ProcessSN]],表格2_7[],3,FALSE)</f>
        <v>#08IQC</v>
      </c>
      <c r="J8926" t="s">
        <v>583</v>
      </c>
      <c r="K8926" s="195">
        <v>45840.725370370368</v>
      </c>
      <c r="L8926">
        <v>167</v>
      </c>
      <c r="M8926">
        <v>0</v>
      </c>
      <c r="N8926" s="98" t="str">
        <f>IF(record[[#This Row],[Memo]]="Browser:chrome os:android","平板報工",IF(record[[#This Row],[Memo]]=0,"委外",record[[#This Row],[Memo]]))</f>
        <v/>
      </c>
      <c r="O8926" t="s">
        <v>58</v>
      </c>
      <c r="P8926" t="s">
        <v>109</v>
      </c>
      <c r="Q8926" t="s">
        <v>58</v>
      </c>
      <c r="R8926" t="str">
        <f>IFERROR(VLOOKUP(record[[#This Row],[PCUSTID]],廠商[],2,FALSE),"")</f>
        <v/>
      </c>
      <c r="S8926" t="str">
        <f>VLOOKUP(record[[#This Row],[employeeID]],員工[],2,FALSE)</f>
        <v>裴氏璧鳳</v>
      </c>
    </row>
    <row r="8927" spans="6:19" hidden="1" x14ac:dyDescent="0.25">
      <c r="F8927" t="s">
        <v>849</v>
      </c>
      <c r="G8927" t="s">
        <v>470</v>
      </c>
      <c r="H8927" t="str">
        <f>VLOOKUP(record[[#This Row],[ProcessSN]],表格2_7[],2,FALSE)</f>
        <v>30-4118-018-XXX</v>
      </c>
      <c r="I8927" t="str">
        <f>VLOOKUP(record[[#This Row],[ProcessSN]],表格2_7[],3,FALSE)</f>
        <v>#02IQC</v>
      </c>
      <c r="J8927" t="s">
        <v>583</v>
      </c>
      <c r="K8927" s="195">
        <v>45840.708229166667</v>
      </c>
      <c r="L8927">
        <v>840</v>
      </c>
      <c r="M8927">
        <v>0</v>
      </c>
      <c r="N8927" s="98" t="str">
        <f>IF(record[[#This Row],[Memo]]="Browser:chrome os:android","平板報工",IF(record[[#This Row],[Memo]]=0,"委外",record[[#This Row],[Memo]]))</f>
        <v/>
      </c>
      <c r="O8927" t="s">
        <v>58</v>
      </c>
      <c r="P8927" t="s">
        <v>172</v>
      </c>
      <c r="Q8927" t="s">
        <v>58</v>
      </c>
      <c r="R8927" t="str">
        <f>IFERROR(VLOOKUP(record[[#This Row],[PCUSTID]],廠商[],2,FALSE),"")</f>
        <v/>
      </c>
      <c r="S8927" t="str">
        <f>VLOOKUP(record[[#This Row],[employeeID]],員工[],2,FALSE)</f>
        <v>李采玲</v>
      </c>
    </row>
    <row r="8928" spans="6:19" hidden="1" x14ac:dyDescent="0.25">
      <c r="F8928" t="s">
        <v>594</v>
      </c>
      <c r="G8928" t="s">
        <v>420</v>
      </c>
      <c r="H8928" t="str">
        <f>VLOOKUP(record[[#This Row],[ProcessSN]],表格2_7[],2,FALSE)</f>
        <v>30-4118-018-5XX</v>
      </c>
      <c r="I8928" t="str">
        <f>VLOOKUP(record[[#This Row],[ProcessSN]],表格2_7[],3,FALSE)</f>
        <v>#07STOCK</v>
      </c>
      <c r="J8928" t="s">
        <v>592</v>
      </c>
      <c r="K8928" s="195">
        <v>45840.691550925927</v>
      </c>
      <c r="L8928">
        <v>2</v>
      </c>
      <c r="M8928">
        <v>0</v>
      </c>
      <c r="N8928" s="98" t="str">
        <f>IF(record[[#This Row],[Memo]]="Browser:chrome os:android","平板報工",IF(record[[#This Row],[Memo]]=0,"委外",record[[#This Row],[Memo]]))</f>
        <v/>
      </c>
      <c r="O8928" t="s">
        <v>58</v>
      </c>
      <c r="P8928" t="s">
        <v>113</v>
      </c>
      <c r="Q8928" t="s">
        <v>58</v>
      </c>
      <c r="R8928" t="str">
        <f>IFERROR(VLOOKUP(record[[#This Row],[PCUSTID]],廠商[],2,FALSE),"")</f>
        <v/>
      </c>
      <c r="S8928" t="str">
        <f>VLOOKUP(record[[#This Row],[employeeID]],員工[],2,FALSE)</f>
        <v>王奕蓁</v>
      </c>
    </row>
    <row r="8929" spans="6:19" hidden="1" x14ac:dyDescent="0.25">
      <c r="F8929" t="s">
        <v>854</v>
      </c>
      <c r="G8929" t="s">
        <v>420</v>
      </c>
      <c r="H8929" t="str">
        <f>VLOOKUP(record[[#This Row],[ProcessSN]],表格2_7[],2,FALSE)</f>
        <v>30-4118-018-5XX</v>
      </c>
      <c r="I8929" t="str">
        <f>VLOOKUP(record[[#This Row],[ProcessSN]],表格2_7[],3,FALSE)</f>
        <v>#07STOCK</v>
      </c>
      <c r="J8929" t="s">
        <v>592</v>
      </c>
      <c r="K8929" s="195">
        <v>45840.691423611112</v>
      </c>
      <c r="L8929">
        <v>7</v>
      </c>
      <c r="M8929">
        <v>0</v>
      </c>
      <c r="N8929" s="98" t="str">
        <f>IF(record[[#This Row],[Memo]]="Browser:chrome os:android","平板報工",IF(record[[#This Row],[Memo]]=0,"委外",record[[#This Row],[Memo]]))</f>
        <v/>
      </c>
      <c r="O8929" t="s">
        <v>58</v>
      </c>
      <c r="P8929" t="s">
        <v>113</v>
      </c>
      <c r="Q8929" t="s">
        <v>58</v>
      </c>
      <c r="R8929" t="str">
        <f>IFERROR(VLOOKUP(record[[#This Row],[PCUSTID]],廠商[],2,FALSE),"")</f>
        <v/>
      </c>
      <c r="S8929" t="str">
        <f>VLOOKUP(record[[#This Row],[employeeID]],員工[],2,FALSE)</f>
        <v>王奕蓁</v>
      </c>
    </row>
    <row r="8930" spans="6:19" hidden="1" x14ac:dyDescent="0.25">
      <c r="F8930" t="s">
        <v>854</v>
      </c>
      <c r="G8930" t="s">
        <v>419</v>
      </c>
      <c r="H8930" t="str">
        <f>VLOOKUP(record[[#This Row],[ProcessSN]],表格2_7[],2,FALSE)</f>
        <v>30-4118-018-5XX</v>
      </c>
      <c r="I8930" t="str">
        <f>VLOOKUP(record[[#This Row],[ProcessSN]],表格2_7[],3,FALSE)</f>
        <v>#07QC</v>
      </c>
      <c r="J8930" t="s">
        <v>589</v>
      </c>
      <c r="K8930" s="195">
        <v>45840.691342592596</v>
      </c>
      <c r="L8930">
        <v>0</v>
      </c>
      <c r="M8930">
        <v>31</v>
      </c>
      <c r="N8930" s="98" t="str">
        <f>IF(record[[#This Row],[Memo]]="Browser:chrome os:android","平板報工",IF(record[[#This Row],[Memo]]=0,"委外",record[[#This Row],[Memo]]))</f>
        <v/>
      </c>
      <c r="O8930" t="s">
        <v>58</v>
      </c>
      <c r="P8930" t="s">
        <v>113</v>
      </c>
      <c r="Q8930" t="s">
        <v>58</v>
      </c>
      <c r="R8930" t="str">
        <f>IFERROR(VLOOKUP(record[[#This Row],[PCUSTID]],廠商[],2,FALSE),"")</f>
        <v/>
      </c>
      <c r="S8930" t="str">
        <f>VLOOKUP(record[[#This Row],[employeeID]],員工[],2,FALSE)</f>
        <v>王奕蓁</v>
      </c>
    </row>
    <row r="8931" spans="6:19" hidden="1" x14ac:dyDescent="0.25">
      <c r="F8931" t="s">
        <v>854</v>
      </c>
      <c r="G8931" t="s">
        <v>419</v>
      </c>
      <c r="H8931" t="str">
        <f>VLOOKUP(record[[#This Row],[ProcessSN]],表格2_7[],2,FALSE)</f>
        <v>30-4118-018-5XX</v>
      </c>
      <c r="I8931" t="str">
        <f>VLOOKUP(record[[#This Row],[ProcessSN]],表格2_7[],3,FALSE)</f>
        <v>#07QC</v>
      </c>
      <c r="J8931" t="s">
        <v>589</v>
      </c>
      <c r="K8931" s="195">
        <v>45840.690775462965</v>
      </c>
      <c r="L8931">
        <v>7</v>
      </c>
      <c r="M8931">
        <v>0</v>
      </c>
      <c r="N8931" s="98" t="str">
        <f>IF(record[[#This Row],[Memo]]="Browser:chrome os:android","平板報工",IF(record[[#This Row],[Memo]]=0,"委外",record[[#This Row],[Memo]]))</f>
        <v/>
      </c>
      <c r="O8931" t="s">
        <v>58</v>
      </c>
      <c r="P8931" t="s">
        <v>113</v>
      </c>
      <c r="Q8931" t="s">
        <v>58</v>
      </c>
      <c r="R8931" t="str">
        <f>IFERROR(VLOOKUP(record[[#This Row],[PCUSTID]],廠商[],2,FALSE),"")</f>
        <v/>
      </c>
      <c r="S8931" t="str">
        <f>VLOOKUP(record[[#This Row],[employeeID]],員工[],2,FALSE)</f>
        <v>王奕蓁</v>
      </c>
    </row>
    <row r="8932" spans="6:19" hidden="1" x14ac:dyDescent="0.25">
      <c r="F8932" t="s">
        <v>594</v>
      </c>
      <c r="G8932" t="s">
        <v>419</v>
      </c>
      <c r="H8932" t="str">
        <f>VLOOKUP(record[[#This Row],[ProcessSN]],表格2_7[],2,FALSE)</f>
        <v>30-4118-018-5XX</v>
      </c>
      <c r="I8932" t="str">
        <f>VLOOKUP(record[[#This Row],[ProcessSN]],表格2_7[],3,FALSE)</f>
        <v>#07QC</v>
      </c>
      <c r="J8932" t="s">
        <v>589</v>
      </c>
      <c r="K8932" s="195">
        <v>45840.690555555557</v>
      </c>
      <c r="L8932">
        <v>2</v>
      </c>
      <c r="M8932">
        <v>0</v>
      </c>
      <c r="N8932" s="98" t="str">
        <f>IF(record[[#This Row],[Memo]]="Browser:chrome os:android","平板報工",IF(record[[#This Row],[Memo]]=0,"委外",record[[#This Row],[Memo]]))</f>
        <v/>
      </c>
      <c r="O8932" t="s">
        <v>58</v>
      </c>
      <c r="P8932" t="s">
        <v>113</v>
      </c>
      <c r="Q8932" t="s">
        <v>58</v>
      </c>
      <c r="R8932" t="str">
        <f>IFERROR(VLOOKUP(record[[#This Row],[PCUSTID]],廠商[],2,FALSE),"")</f>
        <v/>
      </c>
      <c r="S8932" t="str">
        <f>VLOOKUP(record[[#This Row],[employeeID]],員工[],2,FALSE)</f>
        <v>王奕蓁</v>
      </c>
    </row>
    <row r="8933" spans="6:19" hidden="1" x14ac:dyDescent="0.25">
      <c r="F8933" t="s">
        <v>854</v>
      </c>
      <c r="G8933" t="s">
        <v>418</v>
      </c>
      <c r="H8933" t="str">
        <f>VLOOKUP(record[[#This Row],[ProcessSN]],表格2_7[],2,FALSE)</f>
        <v>30-4118-018-5XX</v>
      </c>
      <c r="I8933" t="str">
        <f>VLOOKUP(record[[#This Row],[ProcessSN]],表格2_7[],3,FALSE)</f>
        <v>#07</v>
      </c>
      <c r="J8933" t="s">
        <v>588</v>
      </c>
      <c r="K8933" s="195">
        <v>45840.688773148147</v>
      </c>
      <c r="L8933">
        <v>38</v>
      </c>
      <c r="M8933">
        <v>0</v>
      </c>
      <c r="N8933" s="98" t="str">
        <f>IF(record[[#This Row],[Memo]]="Browser:chrome os:android","平板報工",IF(record[[#This Row],[Memo]]=0,"委外",record[[#This Row],[Memo]]))</f>
        <v/>
      </c>
      <c r="O8933" t="s">
        <v>58</v>
      </c>
      <c r="P8933" t="s">
        <v>113</v>
      </c>
      <c r="Q8933" t="s">
        <v>58</v>
      </c>
      <c r="R8933" t="str">
        <f>IFERROR(VLOOKUP(record[[#This Row],[PCUSTID]],廠商[],2,FALSE),"")</f>
        <v/>
      </c>
      <c r="S8933" t="str">
        <f>VLOOKUP(record[[#This Row],[employeeID]],員工[],2,FALSE)</f>
        <v>王奕蓁</v>
      </c>
    </row>
    <row r="8934" spans="6:19" hidden="1" x14ac:dyDescent="0.25">
      <c r="F8934" t="s">
        <v>854</v>
      </c>
      <c r="G8934" t="s">
        <v>417</v>
      </c>
      <c r="H8934" t="str">
        <f>VLOOKUP(record[[#This Row],[ProcessSN]],表格2_7[],2,FALSE)</f>
        <v>30-4118-018-5XX</v>
      </c>
      <c r="I8934" t="str">
        <f>VLOOKUP(record[[#This Row],[ProcessSN]],表格2_7[],3,FALSE)</f>
        <v>#06</v>
      </c>
      <c r="J8934" t="s">
        <v>593</v>
      </c>
      <c r="K8934" s="195">
        <v>45840.688668981478</v>
      </c>
      <c r="L8934">
        <v>2</v>
      </c>
      <c r="M8934">
        <v>0</v>
      </c>
      <c r="N8934" s="98" t="str">
        <f>IF(record[[#This Row],[Memo]]="Browser:chrome os:android","平板報工",IF(record[[#This Row],[Memo]]=0,"委外",record[[#This Row],[Memo]]))</f>
        <v/>
      </c>
      <c r="O8934" t="s">
        <v>58</v>
      </c>
      <c r="P8934" t="s">
        <v>113</v>
      </c>
      <c r="Q8934" t="s">
        <v>58</v>
      </c>
      <c r="R8934" t="str">
        <f>IFERROR(VLOOKUP(record[[#This Row],[PCUSTID]],廠商[],2,FALSE),"")</f>
        <v/>
      </c>
      <c r="S8934" t="str">
        <f>VLOOKUP(record[[#This Row],[employeeID]],員工[],2,FALSE)</f>
        <v>王奕蓁</v>
      </c>
    </row>
    <row r="8935" spans="6:19" hidden="1" x14ac:dyDescent="0.25">
      <c r="F8935" t="s">
        <v>854</v>
      </c>
      <c r="G8935" t="s">
        <v>416</v>
      </c>
      <c r="H8935" t="str">
        <f>VLOOKUP(record[[#This Row],[ProcessSN]],表格2_7[],2,FALSE)</f>
        <v>30-4118-018-5XX</v>
      </c>
      <c r="I8935" t="str">
        <f>VLOOKUP(record[[#This Row],[ProcessSN]],表格2_7[],3,FALSE)</f>
        <v>#05</v>
      </c>
      <c r="J8935" t="s">
        <v>588</v>
      </c>
      <c r="K8935" s="195">
        <v>45840.688564814816</v>
      </c>
      <c r="L8935">
        <v>2</v>
      </c>
      <c r="M8935">
        <v>0</v>
      </c>
      <c r="N8935" s="98" t="str">
        <f>IF(record[[#This Row],[Memo]]="Browser:chrome os:android","平板報工",IF(record[[#This Row],[Memo]]=0,"委外",record[[#This Row],[Memo]]))</f>
        <v/>
      </c>
      <c r="O8935" t="s">
        <v>58</v>
      </c>
      <c r="P8935" t="s">
        <v>113</v>
      </c>
      <c r="Q8935" t="s">
        <v>58</v>
      </c>
      <c r="R8935" t="str">
        <f>IFERROR(VLOOKUP(record[[#This Row],[PCUSTID]],廠商[],2,FALSE),"")</f>
        <v/>
      </c>
      <c r="S8935" t="str">
        <f>VLOOKUP(record[[#This Row],[employeeID]],員工[],2,FALSE)</f>
        <v>王奕蓁</v>
      </c>
    </row>
    <row r="8936" spans="6:19" hidden="1" x14ac:dyDescent="0.25">
      <c r="F8936" t="s">
        <v>854</v>
      </c>
      <c r="G8936" t="s">
        <v>415</v>
      </c>
      <c r="H8936" t="str">
        <f>VLOOKUP(record[[#This Row],[ProcessSN]],表格2_7[],2,FALSE)</f>
        <v>30-4118-018-5XX</v>
      </c>
      <c r="I8936" t="str">
        <f>VLOOKUP(record[[#This Row],[ProcessSN]],表格2_7[],3,FALSE)</f>
        <v>#04</v>
      </c>
      <c r="J8936" t="s">
        <v>588</v>
      </c>
      <c r="K8936" s="195">
        <v>45840.688472222224</v>
      </c>
      <c r="L8936">
        <v>2</v>
      </c>
      <c r="M8936">
        <v>0</v>
      </c>
      <c r="N8936" s="98" t="str">
        <f>IF(record[[#This Row],[Memo]]="Browser:chrome os:android","平板報工",IF(record[[#This Row],[Memo]]=0,"委外",record[[#This Row],[Memo]]))</f>
        <v/>
      </c>
      <c r="O8936" t="s">
        <v>58</v>
      </c>
      <c r="P8936" t="s">
        <v>113</v>
      </c>
      <c r="Q8936" t="s">
        <v>58</v>
      </c>
      <c r="R8936" t="str">
        <f>IFERROR(VLOOKUP(record[[#This Row],[PCUSTID]],廠商[],2,FALSE),"")</f>
        <v/>
      </c>
      <c r="S8936" t="str">
        <f>VLOOKUP(record[[#This Row],[employeeID]],員工[],2,FALSE)</f>
        <v>王奕蓁</v>
      </c>
    </row>
    <row r="8937" spans="6:19" hidden="1" x14ac:dyDescent="0.25">
      <c r="F8937" t="s">
        <v>854</v>
      </c>
      <c r="G8937" t="s">
        <v>414</v>
      </c>
      <c r="H8937" t="str">
        <f>VLOOKUP(record[[#This Row],[ProcessSN]],表格2_7[],2,FALSE)</f>
        <v>30-4118-018-5XX</v>
      </c>
      <c r="I8937" t="str">
        <f>VLOOKUP(record[[#This Row],[ProcessSN]],表格2_7[],3,FALSE)</f>
        <v>#03</v>
      </c>
      <c r="J8937" t="s">
        <v>588</v>
      </c>
      <c r="K8937" s="195">
        <v>45840.688391203701</v>
      </c>
      <c r="L8937">
        <v>2</v>
      </c>
      <c r="M8937">
        <v>0</v>
      </c>
      <c r="N8937" s="98" t="str">
        <f>IF(record[[#This Row],[Memo]]="Browser:chrome os:android","平板報工",IF(record[[#This Row],[Memo]]=0,"委外",record[[#This Row],[Memo]]))</f>
        <v/>
      </c>
      <c r="O8937" t="s">
        <v>58</v>
      </c>
      <c r="P8937" t="s">
        <v>113</v>
      </c>
      <c r="Q8937" t="s">
        <v>58</v>
      </c>
      <c r="R8937" t="str">
        <f>IFERROR(VLOOKUP(record[[#This Row],[PCUSTID]],廠商[],2,FALSE),"")</f>
        <v/>
      </c>
      <c r="S8937" t="str">
        <f>VLOOKUP(record[[#This Row],[employeeID]],員工[],2,FALSE)</f>
        <v>王奕蓁</v>
      </c>
    </row>
    <row r="8938" spans="6:19" hidden="1" x14ac:dyDescent="0.25">
      <c r="F8938" t="s">
        <v>864</v>
      </c>
      <c r="G8938" t="s">
        <v>451</v>
      </c>
      <c r="H8938" t="str">
        <f>VLOOKUP(record[[#This Row],[ProcessSN]],表格2_7[],2,FALSE)</f>
        <v>30-4118-018-6XX</v>
      </c>
      <c r="I8938" t="str">
        <f>VLOOKUP(record[[#This Row],[ProcessSN]],表格2_7[],3,FALSE)</f>
        <v>#07</v>
      </c>
      <c r="J8938" t="s">
        <v>588</v>
      </c>
      <c r="K8938" s="195">
        <v>45840.649641203701</v>
      </c>
      <c r="L8938">
        <v>130</v>
      </c>
      <c r="M8938">
        <v>2</v>
      </c>
      <c r="N8938" s="98" t="str">
        <f>IF(record[[#This Row],[Memo]]="Browser:chrome os:android","平板報工",IF(record[[#This Row],[Memo]]=0,"委外",record[[#This Row],[Memo]]))</f>
        <v/>
      </c>
      <c r="O8938" t="s">
        <v>58</v>
      </c>
      <c r="P8938" t="s">
        <v>101</v>
      </c>
      <c r="Q8938" t="s">
        <v>58</v>
      </c>
      <c r="R8938" t="str">
        <f>IFERROR(VLOOKUP(record[[#This Row],[PCUSTID]],廠商[],2,FALSE),"")</f>
        <v/>
      </c>
      <c r="S8938" t="str">
        <f>VLOOKUP(record[[#This Row],[employeeID]],員工[],2,FALSE)</f>
        <v>陳氏絨</v>
      </c>
    </row>
    <row r="8939" spans="6:19" hidden="1" x14ac:dyDescent="0.25">
      <c r="F8939" t="s">
        <v>864</v>
      </c>
      <c r="G8939" t="s">
        <v>450</v>
      </c>
      <c r="H8939" t="str">
        <f>VLOOKUP(record[[#This Row],[ProcessSN]],表格2_7[],2,FALSE)</f>
        <v>30-4118-018-6XX</v>
      </c>
      <c r="I8939" t="str">
        <f>VLOOKUP(record[[#This Row],[ProcessSN]],表格2_7[],3,FALSE)</f>
        <v>#06</v>
      </c>
      <c r="J8939" t="s">
        <v>593</v>
      </c>
      <c r="K8939" s="195">
        <v>45840.64943287037</v>
      </c>
      <c r="L8939">
        <v>120</v>
      </c>
      <c r="M8939">
        <v>1</v>
      </c>
      <c r="N8939" s="98" t="str">
        <f>IF(record[[#This Row],[Memo]]="Browser:chrome os:android","平板報工",IF(record[[#This Row],[Memo]]=0,"委外",record[[#This Row],[Memo]]))</f>
        <v/>
      </c>
      <c r="O8939" t="s">
        <v>58</v>
      </c>
      <c r="P8939" t="s">
        <v>101</v>
      </c>
      <c r="Q8939" t="s">
        <v>58</v>
      </c>
      <c r="R8939" t="str">
        <f>IFERROR(VLOOKUP(record[[#This Row],[PCUSTID]],廠商[],2,FALSE),"")</f>
        <v/>
      </c>
      <c r="S8939" t="str">
        <f>VLOOKUP(record[[#This Row],[employeeID]],員工[],2,FALSE)</f>
        <v>陳氏絨</v>
      </c>
    </row>
    <row r="8940" spans="6:19" hidden="1" x14ac:dyDescent="0.25">
      <c r="F8940" t="s">
        <v>864</v>
      </c>
      <c r="G8940" t="s">
        <v>448</v>
      </c>
      <c r="H8940" t="str">
        <f>VLOOKUP(record[[#This Row],[ProcessSN]],表格2_7[],2,FALSE)</f>
        <v>30-4118-018-6XX</v>
      </c>
      <c r="I8940" t="str">
        <f>VLOOKUP(record[[#This Row],[ProcessSN]],表格2_7[],3,FALSE)</f>
        <v>#04</v>
      </c>
      <c r="J8940" t="s">
        <v>588</v>
      </c>
      <c r="K8940" s="195">
        <v>45840.649050925924</v>
      </c>
      <c r="L8940">
        <v>75</v>
      </c>
      <c r="M8940">
        <v>2</v>
      </c>
      <c r="N8940" s="98" t="str">
        <f>IF(record[[#This Row],[Memo]]="Browser:chrome os:android","平板報工",IF(record[[#This Row],[Memo]]=0,"委外",record[[#This Row],[Memo]]))</f>
        <v/>
      </c>
      <c r="O8940" t="s">
        <v>58</v>
      </c>
      <c r="P8940" t="s">
        <v>101</v>
      </c>
      <c r="Q8940" t="s">
        <v>58</v>
      </c>
      <c r="R8940" t="str">
        <f>IFERROR(VLOOKUP(record[[#This Row],[PCUSTID]],廠商[],2,FALSE),"")</f>
        <v/>
      </c>
      <c r="S8940" t="str">
        <f>VLOOKUP(record[[#This Row],[employeeID]],員工[],2,FALSE)</f>
        <v>陳氏絨</v>
      </c>
    </row>
    <row r="8941" spans="6:19" hidden="1" x14ac:dyDescent="0.25">
      <c r="F8941" t="s">
        <v>864</v>
      </c>
      <c r="G8941" t="s">
        <v>447</v>
      </c>
      <c r="H8941" t="str">
        <f>VLOOKUP(record[[#This Row],[ProcessSN]],表格2_7[],2,FALSE)</f>
        <v>30-4118-018-6XX</v>
      </c>
      <c r="I8941" t="str">
        <f>VLOOKUP(record[[#This Row],[ProcessSN]],表格2_7[],3,FALSE)</f>
        <v>#03</v>
      </c>
      <c r="J8941" t="s">
        <v>588</v>
      </c>
      <c r="K8941" s="195">
        <v>45840.648009259261</v>
      </c>
      <c r="L8941">
        <v>72</v>
      </c>
      <c r="M8941">
        <v>0</v>
      </c>
      <c r="N8941" s="98" t="str">
        <f>IF(record[[#This Row],[Memo]]="Browser:chrome os:android","平板報工",IF(record[[#This Row],[Memo]]=0,"委外",record[[#This Row],[Memo]]))</f>
        <v/>
      </c>
      <c r="O8941" t="s">
        <v>58</v>
      </c>
      <c r="P8941" t="s">
        <v>101</v>
      </c>
      <c r="Q8941" t="s">
        <v>58</v>
      </c>
      <c r="R8941" t="str">
        <f>IFERROR(VLOOKUP(record[[#This Row],[PCUSTID]],廠商[],2,FALSE),"")</f>
        <v/>
      </c>
      <c r="S8941" t="str">
        <f>VLOOKUP(record[[#This Row],[employeeID]],員工[],2,FALSE)</f>
        <v>陳氏絨</v>
      </c>
    </row>
    <row r="8942" spans="6:19" hidden="1" x14ac:dyDescent="0.25">
      <c r="F8942" t="s">
        <v>864</v>
      </c>
      <c r="G8942" t="s">
        <v>449</v>
      </c>
      <c r="H8942" t="str">
        <f>VLOOKUP(record[[#This Row],[ProcessSN]],表格2_7[],2,FALSE)</f>
        <v>30-4118-018-6XX</v>
      </c>
      <c r="I8942" t="str">
        <f>VLOOKUP(record[[#This Row],[ProcessSN]],表格2_7[],3,FALSE)</f>
        <v>#05</v>
      </c>
      <c r="J8942" t="s">
        <v>588</v>
      </c>
      <c r="K8942" s="195">
        <v>45840.646620370368</v>
      </c>
      <c r="L8942">
        <v>46</v>
      </c>
      <c r="M8942">
        <v>0</v>
      </c>
      <c r="N8942" s="98" t="str">
        <f>IF(record[[#This Row],[Memo]]="Browser:chrome os:android","平板報工",IF(record[[#This Row],[Memo]]=0,"委外",record[[#This Row],[Memo]]))</f>
        <v/>
      </c>
      <c r="O8942" t="s">
        <v>58</v>
      </c>
      <c r="P8942" t="s">
        <v>101</v>
      </c>
      <c r="Q8942" t="s">
        <v>58</v>
      </c>
      <c r="R8942" t="str">
        <f>IFERROR(VLOOKUP(record[[#This Row],[PCUSTID]],廠商[],2,FALSE),"")</f>
        <v/>
      </c>
      <c r="S8942" t="str">
        <f>VLOOKUP(record[[#This Row],[employeeID]],員工[],2,FALSE)</f>
        <v>陳氏絨</v>
      </c>
    </row>
    <row r="8943" spans="6:19" hidden="1" x14ac:dyDescent="0.25">
      <c r="F8943" t="s">
        <v>874</v>
      </c>
      <c r="G8943" t="s">
        <v>398</v>
      </c>
      <c r="H8943" t="str">
        <f>VLOOKUP(record[[#This Row],[ProcessSN]],表格2_7[],2,FALSE)</f>
        <v>30-4118-018-550</v>
      </c>
      <c r="I8943" t="str">
        <f>VLOOKUP(record[[#This Row],[ProcessSN]],表格2_7[],3,FALSE)</f>
        <v>#08RCV</v>
      </c>
      <c r="J8943" t="s">
        <v>591</v>
      </c>
      <c r="K8943" s="195">
        <v>45840.634467592594</v>
      </c>
      <c r="L8943">
        <v>25</v>
      </c>
      <c r="M8943">
        <v>0</v>
      </c>
      <c r="N8943" s="98" t="str">
        <f>IF(record[[#This Row],[Memo]]="Browser:chrome os:android","平板報工",IF(record[[#This Row],[Memo]]=0,"委外",record[[#This Row],[Memo]]))</f>
        <v/>
      </c>
      <c r="O8943" t="s">
        <v>58</v>
      </c>
      <c r="P8943" t="s">
        <v>113</v>
      </c>
      <c r="Q8943" t="s">
        <v>58</v>
      </c>
      <c r="R8943" t="str">
        <f>IFERROR(VLOOKUP(record[[#This Row],[PCUSTID]],廠商[],2,FALSE),"")</f>
        <v/>
      </c>
      <c r="S8943" t="str">
        <f>VLOOKUP(record[[#This Row],[employeeID]],員工[],2,FALSE)</f>
        <v>王奕蓁</v>
      </c>
    </row>
    <row r="8944" spans="6:19" hidden="1" x14ac:dyDescent="0.25">
      <c r="F8944" t="s">
        <v>874</v>
      </c>
      <c r="G8944" t="s">
        <v>398</v>
      </c>
      <c r="H8944" t="str">
        <f>VLOOKUP(record[[#This Row],[ProcessSN]],表格2_7[],2,FALSE)</f>
        <v>30-4118-018-550</v>
      </c>
      <c r="I8944" t="str">
        <f>VLOOKUP(record[[#This Row],[ProcessSN]],表格2_7[],3,FALSE)</f>
        <v>#08RCV</v>
      </c>
      <c r="J8944" t="s">
        <v>591</v>
      </c>
      <c r="K8944" s="195">
        <v>45840.634155092594</v>
      </c>
      <c r="L8944">
        <v>142</v>
      </c>
      <c r="M8944">
        <v>0</v>
      </c>
      <c r="N8944" s="98" t="str">
        <f>IF(record[[#This Row],[Memo]]="Browser:chrome os:android","平板報工",IF(record[[#This Row],[Memo]]=0,"委外",record[[#This Row],[Memo]]))</f>
        <v/>
      </c>
      <c r="O8944" t="s">
        <v>58</v>
      </c>
      <c r="P8944" t="s">
        <v>113</v>
      </c>
      <c r="Q8944" t="s">
        <v>58</v>
      </c>
      <c r="R8944" t="str">
        <f>IFERROR(VLOOKUP(record[[#This Row],[PCUSTID]],廠商[],2,FALSE),"")</f>
        <v/>
      </c>
      <c r="S8944" t="str">
        <f>VLOOKUP(record[[#This Row],[employeeID]],員工[],2,FALSE)</f>
        <v>王奕蓁</v>
      </c>
    </row>
    <row r="8945" spans="6:19" hidden="1" x14ac:dyDescent="0.25">
      <c r="F8945" t="s">
        <v>873</v>
      </c>
      <c r="G8945" t="s">
        <v>400</v>
      </c>
      <c r="H8945" t="str">
        <f>VLOOKUP(record[[#This Row],[ProcessSN]],表格2_7[],2,FALSE)</f>
        <v>30-4118-018-550</v>
      </c>
      <c r="I8945" t="str">
        <f>VLOOKUP(record[[#This Row],[ProcessSN]],表格2_7[],3,FALSE)</f>
        <v>#100</v>
      </c>
      <c r="J8945" t="s">
        <v>598</v>
      </c>
      <c r="K8945" s="195">
        <v>45840.591400462959</v>
      </c>
      <c r="L8945">
        <v>0</v>
      </c>
      <c r="M8945">
        <v>14</v>
      </c>
      <c r="N8945" s="98" t="str">
        <f>IF(record[[#This Row],[Memo]]="Browser:chrome os:android","平板報工",IF(record[[#This Row],[Memo]]=0,"委外",record[[#This Row],[Memo]]))</f>
        <v>平板報工</v>
      </c>
      <c r="O8945" t="s">
        <v>643</v>
      </c>
      <c r="P8945" t="s">
        <v>141</v>
      </c>
      <c r="Q8945" t="s">
        <v>644</v>
      </c>
      <c r="R8945" t="str">
        <f>IFERROR(VLOOKUP(record[[#This Row],[PCUSTID]],廠商[],2,FALSE),"")</f>
        <v/>
      </c>
      <c r="S8945" t="str">
        <f>VLOOKUP(record[[#This Row],[employeeID]],員工[],2,FALSE)</f>
        <v>蔣梅</v>
      </c>
    </row>
    <row r="8946" spans="6:19" hidden="1" x14ac:dyDescent="0.25">
      <c r="F8946" t="s">
        <v>873</v>
      </c>
      <c r="G8946" t="s">
        <v>400</v>
      </c>
      <c r="H8946" t="str">
        <f>VLOOKUP(record[[#This Row],[ProcessSN]],表格2_7[],2,FALSE)</f>
        <v>30-4118-018-550</v>
      </c>
      <c r="I8946" t="str">
        <f>VLOOKUP(record[[#This Row],[ProcessSN]],表格2_7[],3,FALSE)</f>
        <v>#100</v>
      </c>
      <c r="J8946" t="s">
        <v>598</v>
      </c>
      <c r="K8946" s="195">
        <v>45840.591168981482</v>
      </c>
      <c r="L8946">
        <v>145</v>
      </c>
      <c r="M8946">
        <v>0</v>
      </c>
      <c r="N8946" s="98" t="str">
        <f>IF(record[[#This Row],[Memo]]="Browser:chrome os:android","平板報工",IF(record[[#This Row],[Memo]]=0,"委外",record[[#This Row],[Memo]]))</f>
        <v>平板報工</v>
      </c>
      <c r="O8946" t="s">
        <v>643</v>
      </c>
      <c r="P8946" t="s">
        <v>141</v>
      </c>
      <c r="Q8946" t="s">
        <v>644</v>
      </c>
      <c r="R8946" t="str">
        <f>IFERROR(VLOOKUP(record[[#This Row],[PCUSTID]],廠商[],2,FALSE),"")</f>
        <v/>
      </c>
      <c r="S8946" t="str">
        <f>VLOOKUP(record[[#This Row],[employeeID]],員工[],2,FALSE)</f>
        <v>蔣梅</v>
      </c>
    </row>
    <row r="8947" spans="6:19" hidden="1" x14ac:dyDescent="0.25">
      <c r="F8947" t="s">
        <v>849</v>
      </c>
      <c r="G8947" t="s">
        <v>469</v>
      </c>
      <c r="H8947" t="str">
        <f>VLOOKUP(record[[#This Row],[ProcessSN]],表格2_7[],2,FALSE)</f>
        <v>30-4118-018-XXX</v>
      </c>
      <c r="I8947" t="str">
        <f>VLOOKUP(record[[#This Row],[ProcessSN]],表格2_7[],3,FALSE)</f>
        <v>#02RCV</v>
      </c>
      <c r="J8947" t="s">
        <v>591</v>
      </c>
      <c r="K8947" s="195">
        <v>45840.483680555553</v>
      </c>
      <c r="L8947">
        <v>840</v>
      </c>
      <c r="M8947">
        <v>0</v>
      </c>
      <c r="N8947" s="98" t="str">
        <f>IF(record[[#This Row],[Memo]]="Browser:chrome os:android","平板報工",IF(record[[#This Row],[Memo]]=0,"委外",record[[#This Row],[Memo]]))</f>
        <v/>
      </c>
      <c r="O8947" t="s">
        <v>58</v>
      </c>
      <c r="P8947" t="s">
        <v>113</v>
      </c>
      <c r="Q8947" t="s">
        <v>58</v>
      </c>
      <c r="R8947" t="str">
        <f>IFERROR(VLOOKUP(record[[#This Row],[PCUSTID]],廠商[],2,FALSE),"")</f>
        <v/>
      </c>
      <c r="S8947" t="str">
        <f>VLOOKUP(record[[#This Row],[employeeID]],員工[],2,FALSE)</f>
        <v>王奕蓁</v>
      </c>
    </row>
    <row r="8948" spans="6:19" hidden="1" x14ac:dyDescent="0.25">
      <c r="F8948" t="s">
        <v>854</v>
      </c>
      <c r="G8948" t="s">
        <v>420</v>
      </c>
      <c r="H8948" t="str">
        <f>VLOOKUP(record[[#This Row],[ProcessSN]],表格2_7[],2,FALSE)</f>
        <v>30-4118-018-5XX</v>
      </c>
      <c r="I8948" t="str">
        <f>VLOOKUP(record[[#This Row],[ProcessSN]],表格2_7[],3,FALSE)</f>
        <v>#07STOCK</v>
      </c>
      <c r="J8948" t="s">
        <v>592</v>
      </c>
      <c r="K8948" s="195">
        <v>45840.481793981482</v>
      </c>
      <c r="L8948">
        <v>367</v>
      </c>
      <c r="M8948">
        <v>0</v>
      </c>
      <c r="N8948" s="98" t="str">
        <f>IF(record[[#This Row],[Memo]]="Browser:chrome os:android","平板報工",IF(record[[#This Row],[Memo]]=0,"委外",record[[#This Row],[Memo]]))</f>
        <v/>
      </c>
      <c r="O8948" t="s">
        <v>58</v>
      </c>
      <c r="P8948" t="s">
        <v>113</v>
      </c>
      <c r="Q8948" t="s">
        <v>58</v>
      </c>
      <c r="R8948" t="str">
        <f>IFERROR(VLOOKUP(record[[#This Row],[PCUSTID]],廠商[],2,FALSE),"")</f>
        <v/>
      </c>
      <c r="S8948" t="str">
        <f>VLOOKUP(record[[#This Row],[employeeID]],員工[],2,FALSE)</f>
        <v>王奕蓁</v>
      </c>
    </row>
    <row r="8949" spans="6:19" hidden="1" x14ac:dyDescent="0.25">
      <c r="F8949" t="s">
        <v>778</v>
      </c>
      <c r="G8949" t="s">
        <v>420</v>
      </c>
      <c r="H8949" t="str">
        <f>VLOOKUP(record[[#This Row],[ProcessSN]],表格2_7[],2,FALSE)</f>
        <v>30-4118-018-5XX</v>
      </c>
      <c r="I8949" t="str">
        <f>VLOOKUP(record[[#This Row],[ProcessSN]],表格2_7[],3,FALSE)</f>
        <v>#07STOCK</v>
      </c>
      <c r="J8949" t="s">
        <v>592</v>
      </c>
      <c r="K8949" s="195">
        <v>45840.48164351852</v>
      </c>
      <c r="L8949">
        <v>1</v>
      </c>
      <c r="M8949">
        <v>0</v>
      </c>
      <c r="N8949" s="98" t="str">
        <f>IF(record[[#This Row],[Memo]]="Browser:chrome os:android","平板報工",IF(record[[#This Row],[Memo]]=0,"委外",record[[#This Row],[Memo]]))</f>
        <v/>
      </c>
      <c r="O8949" t="s">
        <v>58</v>
      </c>
      <c r="P8949" t="s">
        <v>113</v>
      </c>
      <c r="Q8949" t="s">
        <v>58</v>
      </c>
      <c r="R8949" t="str">
        <f>IFERROR(VLOOKUP(record[[#This Row],[PCUSTID]],廠商[],2,FALSE),"")</f>
        <v/>
      </c>
      <c r="S8949" t="str">
        <f>VLOOKUP(record[[#This Row],[employeeID]],員工[],2,FALSE)</f>
        <v>王奕蓁</v>
      </c>
    </row>
    <row r="8950" spans="6:19" hidden="1" x14ac:dyDescent="0.25">
      <c r="F8950" t="s">
        <v>881</v>
      </c>
      <c r="G8950" t="s">
        <v>397</v>
      </c>
      <c r="H8950" t="str">
        <f>VLOOKUP(record[[#This Row],[ProcessSN]],表格2_7[],2,FALSE)</f>
        <v>30-4118-018-550</v>
      </c>
      <c r="I8950" t="str">
        <f>VLOOKUP(record[[#This Row],[ProcessSN]],表格2_7[],3,FALSE)</f>
        <v>#08</v>
      </c>
      <c r="J8950" t="s">
        <v>597</v>
      </c>
      <c r="K8950" s="195">
        <v>45840.47457175926</v>
      </c>
      <c r="L8950">
        <v>377</v>
      </c>
      <c r="M8950">
        <v>0</v>
      </c>
      <c r="N8950" s="98" t="str">
        <f>IF(record[[#This Row],[Memo]]="Browser:chrome os:android","平板報工",IF(record[[#This Row],[Memo]]=0,"委外",record[[#This Row],[Memo]]))</f>
        <v/>
      </c>
      <c r="O8950" t="s">
        <v>58</v>
      </c>
      <c r="P8950" t="s">
        <v>113</v>
      </c>
      <c r="Q8950" t="s">
        <v>287</v>
      </c>
      <c r="R8950" t="str">
        <f>IFERROR(VLOOKUP(record[[#This Row],[PCUSTID]],廠商[],2,FALSE),"")</f>
        <v>泉盛</v>
      </c>
      <c r="S8950" t="str">
        <f>VLOOKUP(record[[#This Row],[employeeID]],員工[],2,FALSE)</f>
        <v>王奕蓁</v>
      </c>
    </row>
    <row r="8951" spans="6:19" hidden="1" x14ac:dyDescent="0.25">
      <c r="F8951" t="s">
        <v>881</v>
      </c>
      <c r="G8951" t="s">
        <v>396</v>
      </c>
      <c r="H8951" t="str">
        <f>VLOOKUP(record[[#This Row],[ProcessSN]],表格2_7[],2,FALSE)</f>
        <v>30-4118-018-550</v>
      </c>
      <c r="I8951" t="str">
        <f>VLOOKUP(record[[#This Row],[ProcessSN]],表格2_7[],3,FALSE)</f>
        <v>#08PICK</v>
      </c>
      <c r="J8951" t="s">
        <v>582</v>
      </c>
      <c r="K8951" s="195">
        <v>45840.474120370367</v>
      </c>
      <c r="L8951">
        <v>377</v>
      </c>
      <c r="M8951">
        <v>0</v>
      </c>
      <c r="N8951" s="98" t="str">
        <f>IF(record[[#This Row],[Memo]]="Browser:chrome os:android","平板報工",IF(record[[#This Row],[Memo]]=0,"委外",record[[#This Row],[Memo]]))</f>
        <v/>
      </c>
      <c r="O8951" t="s">
        <v>58</v>
      </c>
      <c r="P8951" t="s">
        <v>113</v>
      </c>
      <c r="Q8951" t="s">
        <v>58</v>
      </c>
      <c r="R8951" t="str">
        <f>IFERROR(VLOOKUP(record[[#This Row],[PCUSTID]],廠商[],2,FALSE),"")</f>
        <v/>
      </c>
      <c r="S8951" t="str">
        <f>VLOOKUP(record[[#This Row],[employeeID]],員工[],2,FALSE)</f>
        <v>王奕蓁</v>
      </c>
    </row>
    <row r="8952" spans="6:19" hidden="1" x14ac:dyDescent="0.25">
      <c r="F8952" t="s">
        <v>854</v>
      </c>
      <c r="G8952" t="s">
        <v>419</v>
      </c>
      <c r="H8952" t="str">
        <f>VLOOKUP(record[[#This Row],[ProcessSN]],表格2_7[],2,FALSE)</f>
        <v>30-4118-018-5XX</v>
      </c>
      <c r="I8952" t="str">
        <f>VLOOKUP(record[[#This Row],[ProcessSN]],表格2_7[],3,FALSE)</f>
        <v>#07QC</v>
      </c>
      <c r="J8952" t="s">
        <v>589</v>
      </c>
      <c r="K8952" s="195">
        <v>45840.42591435185</v>
      </c>
      <c r="L8952">
        <v>367</v>
      </c>
      <c r="M8952">
        <v>0</v>
      </c>
      <c r="N8952" s="98" t="str">
        <f>IF(record[[#This Row],[Memo]]="Browser:chrome os:android","平板報工",IF(record[[#This Row],[Memo]]=0,"委外",record[[#This Row],[Memo]]))</f>
        <v>平板報工</v>
      </c>
      <c r="O8952" t="s">
        <v>643</v>
      </c>
      <c r="P8952" t="s">
        <v>141</v>
      </c>
      <c r="Q8952" t="s">
        <v>644</v>
      </c>
      <c r="R8952" t="str">
        <f>IFERROR(VLOOKUP(record[[#This Row],[PCUSTID]],廠商[],2,FALSE),"")</f>
        <v/>
      </c>
      <c r="S8952" t="str">
        <f>VLOOKUP(record[[#This Row],[employeeID]],員工[],2,FALSE)</f>
        <v>蔣梅</v>
      </c>
    </row>
    <row r="8953" spans="6:19" hidden="1" x14ac:dyDescent="0.25">
      <c r="F8953" t="s">
        <v>778</v>
      </c>
      <c r="G8953" t="s">
        <v>419</v>
      </c>
      <c r="H8953" t="str">
        <f>VLOOKUP(record[[#This Row],[ProcessSN]],表格2_7[],2,FALSE)</f>
        <v>30-4118-018-5XX</v>
      </c>
      <c r="I8953" t="str">
        <f>VLOOKUP(record[[#This Row],[ProcessSN]],表格2_7[],3,FALSE)</f>
        <v>#07QC</v>
      </c>
      <c r="J8953" t="s">
        <v>589</v>
      </c>
      <c r="K8953" s="195">
        <v>45840.415844907409</v>
      </c>
      <c r="L8953">
        <v>1</v>
      </c>
      <c r="M8953">
        <v>0</v>
      </c>
      <c r="N8953" s="98" t="str">
        <f>IF(record[[#This Row],[Memo]]="Browser:chrome os:android","平板報工",IF(record[[#This Row],[Memo]]=0,"委外",record[[#This Row],[Memo]]))</f>
        <v>平板報工</v>
      </c>
      <c r="O8953" t="s">
        <v>643</v>
      </c>
      <c r="P8953" t="s">
        <v>141</v>
      </c>
      <c r="Q8953" t="s">
        <v>644</v>
      </c>
      <c r="R8953" t="str">
        <f>IFERROR(VLOOKUP(record[[#This Row],[PCUSTID]],廠商[],2,FALSE),"")</f>
        <v/>
      </c>
      <c r="S8953" t="str">
        <f>VLOOKUP(record[[#This Row],[employeeID]],員工[],2,FALSE)</f>
        <v>蔣梅</v>
      </c>
    </row>
    <row r="8954" spans="6:19" hidden="1" x14ac:dyDescent="0.25">
      <c r="F8954" t="s">
        <v>869</v>
      </c>
      <c r="G8954" t="s">
        <v>401</v>
      </c>
      <c r="H8954" t="str">
        <f>VLOOKUP(record[[#This Row],[ProcessSN]],表格2_7[],2,FALSE)</f>
        <v>30-4118-018-550</v>
      </c>
      <c r="I8954" t="str">
        <f>VLOOKUP(record[[#This Row],[ProcessSN]],表格2_7[],3,FALSE)</f>
        <v>#100OQC</v>
      </c>
      <c r="J8954" t="s">
        <v>599</v>
      </c>
      <c r="K8954" s="195">
        <v>45840.346168981479</v>
      </c>
      <c r="L8954">
        <v>315</v>
      </c>
      <c r="M8954">
        <v>0</v>
      </c>
      <c r="N8954" s="98" t="str">
        <f>IF(record[[#This Row],[Memo]]="Browser:chrome os:android","平板報工",IF(record[[#This Row],[Memo]]=0,"委外",record[[#This Row],[Memo]]))</f>
        <v/>
      </c>
      <c r="O8954" t="s">
        <v>58</v>
      </c>
      <c r="P8954" t="s">
        <v>121</v>
      </c>
      <c r="Q8954" t="s">
        <v>58</v>
      </c>
      <c r="R8954" t="str">
        <f>IFERROR(VLOOKUP(record[[#This Row],[PCUSTID]],廠商[],2,FALSE),"")</f>
        <v/>
      </c>
      <c r="S8954" t="str">
        <f>VLOOKUP(record[[#This Row],[employeeID]],員工[],2,FALSE)</f>
        <v>謝素卿</v>
      </c>
    </row>
    <row r="8955" spans="6:19" hidden="1" x14ac:dyDescent="0.25">
      <c r="F8955" t="s">
        <v>864</v>
      </c>
      <c r="G8955" t="s">
        <v>448</v>
      </c>
      <c r="H8955" t="str">
        <f>VLOOKUP(record[[#This Row],[ProcessSN]],表格2_7[],2,FALSE)</f>
        <v>30-4118-018-6XX</v>
      </c>
      <c r="I8955" t="str">
        <f>VLOOKUP(record[[#This Row],[ProcessSN]],表格2_7[],3,FALSE)</f>
        <v>#04</v>
      </c>
      <c r="J8955" t="s">
        <v>588</v>
      </c>
      <c r="K8955" s="195">
        <v>45840.307187500002</v>
      </c>
      <c r="L8955">
        <v>76</v>
      </c>
      <c r="M8955">
        <v>0</v>
      </c>
      <c r="N8955" s="98" t="str">
        <f>IF(record[[#This Row],[Memo]]="Browser:chrome os:android","平板報工",IF(record[[#This Row],[Memo]]=0,"委外",record[[#This Row],[Memo]]))</f>
        <v/>
      </c>
      <c r="O8955" t="s">
        <v>58</v>
      </c>
      <c r="P8955" t="s">
        <v>135</v>
      </c>
      <c r="Q8955" t="s">
        <v>58</v>
      </c>
      <c r="R8955" t="str">
        <f>IFERROR(VLOOKUP(record[[#This Row],[PCUSTID]],廠商[],2,FALSE),"")</f>
        <v/>
      </c>
      <c r="S8955" t="str">
        <f>VLOOKUP(record[[#This Row],[employeeID]],員工[],2,FALSE)</f>
        <v>阮士文</v>
      </c>
    </row>
    <row r="8956" spans="6:19" hidden="1" x14ac:dyDescent="0.25">
      <c r="F8956" t="s">
        <v>864</v>
      </c>
      <c r="G8956" t="s">
        <v>449</v>
      </c>
      <c r="H8956" t="str">
        <f>VLOOKUP(record[[#This Row],[ProcessSN]],表格2_7[],2,FALSE)</f>
        <v>30-4118-018-6XX</v>
      </c>
      <c r="I8956" t="str">
        <f>VLOOKUP(record[[#This Row],[ProcessSN]],表格2_7[],3,FALSE)</f>
        <v>#05</v>
      </c>
      <c r="J8956" t="s">
        <v>588</v>
      </c>
      <c r="K8956" s="195">
        <v>45839.985868055555</v>
      </c>
      <c r="L8956">
        <v>215</v>
      </c>
      <c r="M8956">
        <v>1</v>
      </c>
      <c r="N8956" s="98" t="str">
        <f>IF(record[[#This Row],[Memo]]="Browser:chrome os:android","平板報工",IF(record[[#This Row],[Memo]]=0,"委外",record[[#This Row],[Memo]]))</f>
        <v/>
      </c>
      <c r="O8956" t="s">
        <v>58</v>
      </c>
      <c r="P8956" t="s">
        <v>127</v>
      </c>
      <c r="Q8956" t="s">
        <v>58</v>
      </c>
      <c r="R8956" t="str">
        <f>IFERROR(VLOOKUP(record[[#This Row],[PCUSTID]],廠商[],2,FALSE),"")</f>
        <v/>
      </c>
      <c r="S8956" t="str">
        <f>VLOOKUP(record[[#This Row],[employeeID]],員工[],2,FALSE)</f>
        <v>潘雪梅</v>
      </c>
    </row>
    <row r="8957" spans="6:19" hidden="1" x14ac:dyDescent="0.25">
      <c r="F8957" t="s">
        <v>854</v>
      </c>
      <c r="G8957" t="s">
        <v>418</v>
      </c>
      <c r="H8957" t="str">
        <f>VLOOKUP(record[[#This Row],[ProcessSN]],表格2_7[],2,FALSE)</f>
        <v>30-4118-018-5XX</v>
      </c>
      <c r="I8957" t="str">
        <f>VLOOKUP(record[[#This Row],[ProcessSN]],表格2_7[],3,FALSE)</f>
        <v>#07</v>
      </c>
      <c r="J8957" t="s">
        <v>588</v>
      </c>
      <c r="K8957" s="195">
        <v>45839.985462962963</v>
      </c>
      <c r="L8957">
        <v>127</v>
      </c>
      <c r="M8957">
        <v>0</v>
      </c>
      <c r="N8957" s="98" t="str">
        <f>IF(record[[#This Row],[Memo]]="Browser:chrome os:android","平板報工",IF(record[[#This Row],[Memo]]=0,"委外",record[[#This Row],[Memo]]))</f>
        <v/>
      </c>
      <c r="O8957" t="s">
        <v>58</v>
      </c>
      <c r="P8957" t="s">
        <v>89</v>
      </c>
      <c r="Q8957" t="s">
        <v>58</v>
      </c>
      <c r="R8957" t="str">
        <f>IFERROR(VLOOKUP(record[[#This Row],[PCUSTID]],廠商[],2,FALSE),"")</f>
        <v/>
      </c>
      <c r="S8957" t="str">
        <f>VLOOKUP(record[[#This Row],[employeeID]],員工[],2,FALSE)</f>
        <v>李美蓮</v>
      </c>
    </row>
    <row r="8958" spans="6:19" hidden="1" x14ac:dyDescent="0.25">
      <c r="F8958" t="s">
        <v>864</v>
      </c>
      <c r="G8958" t="s">
        <v>448</v>
      </c>
      <c r="H8958" t="str">
        <f>VLOOKUP(record[[#This Row],[ProcessSN]],表格2_7[],2,FALSE)</f>
        <v>30-4118-018-6XX</v>
      </c>
      <c r="I8958" t="str">
        <f>VLOOKUP(record[[#This Row],[ProcessSN]],表格2_7[],3,FALSE)</f>
        <v>#04</v>
      </c>
      <c r="J8958" t="s">
        <v>588</v>
      </c>
      <c r="K8958" s="195">
        <v>45839.985081018516</v>
      </c>
      <c r="L8958">
        <v>90</v>
      </c>
      <c r="M8958">
        <v>0</v>
      </c>
      <c r="N8958" s="98" t="str">
        <f>IF(record[[#This Row],[Memo]]="Browser:chrome os:android","平板報工",IF(record[[#This Row],[Memo]]=0,"委外",record[[#This Row],[Memo]]))</f>
        <v/>
      </c>
      <c r="O8958" t="s">
        <v>58</v>
      </c>
      <c r="P8958" t="s">
        <v>89</v>
      </c>
      <c r="Q8958" t="s">
        <v>58</v>
      </c>
      <c r="R8958" t="str">
        <f>IFERROR(VLOOKUP(record[[#This Row],[PCUSTID]],廠商[],2,FALSE),"")</f>
        <v/>
      </c>
      <c r="S8958" t="str">
        <f>VLOOKUP(record[[#This Row],[employeeID]],員工[],2,FALSE)</f>
        <v>李美蓮</v>
      </c>
    </row>
    <row r="8959" spans="6:19" hidden="1" x14ac:dyDescent="0.25">
      <c r="F8959" t="s">
        <v>873</v>
      </c>
      <c r="G8959" t="s">
        <v>399</v>
      </c>
      <c r="H8959" t="str">
        <f>VLOOKUP(record[[#This Row],[ProcessSN]],表格2_7[],2,FALSE)</f>
        <v>30-4118-018-550</v>
      </c>
      <c r="I8959" t="str">
        <f>VLOOKUP(record[[#This Row],[ProcessSN]],表格2_7[],3,FALSE)</f>
        <v>#08IQC</v>
      </c>
      <c r="J8959" t="s">
        <v>583</v>
      </c>
      <c r="K8959" s="195">
        <v>45839.811053240737</v>
      </c>
      <c r="L8959">
        <v>159</v>
      </c>
      <c r="M8959">
        <v>0</v>
      </c>
      <c r="N8959" s="98" t="str">
        <f>IF(record[[#This Row],[Memo]]="Browser:chrome os:android","平板報工",IF(record[[#This Row],[Memo]]=0,"委外",record[[#This Row],[Memo]]))</f>
        <v/>
      </c>
      <c r="O8959" t="s">
        <v>58</v>
      </c>
      <c r="P8959" t="s">
        <v>109</v>
      </c>
      <c r="Q8959" t="s">
        <v>58</v>
      </c>
      <c r="R8959" t="str">
        <f>IFERROR(VLOOKUP(record[[#This Row],[PCUSTID]],廠商[],2,FALSE),"")</f>
        <v/>
      </c>
      <c r="S8959" t="str">
        <f>VLOOKUP(record[[#This Row],[employeeID]],員工[],2,FALSE)</f>
        <v>裴氏璧鳳</v>
      </c>
    </row>
    <row r="8960" spans="6:19" hidden="1" x14ac:dyDescent="0.25">
      <c r="F8960" t="s">
        <v>873</v>
      </c>
      <c r="G8960" t="s">
        <v>398</v>
      </c>
      <c r="H8960" t="str">
        <f>VLOOKUP(record[[#This Row],[ProcessSN]],表格2_7[],2,FALSE)</f>
        <v>30-4118-018-550</v>
      </c>
      <c r="I8960" t="str">
        <f>VLOOKUP(record[[#This Row],[ProcessSN]],表格2_7[],3,FALSE)</f>
        <v>#08RCV</v>
      </c>
      <c r="J8960" t="s">
        <v>591</v>
      </c>
      <c r="K8960" s="195">
        <v>45839.652604166666</v>
      </c>
      <c r="L8960">
        <v>159</v>
      </c>
      <c r="M8960">
        <v>0</v>
      </c>
      <c r="N8960" s="98" t="str">
        <f>IF(record[[#This Row],[Memo]]="Browser:chrome os:android","平板報工",IF(record[[#This Row],[Memo]]=0,"委外",record[[#This Row],[Memo]]))</f>
        <v/>
      </c>
      <c r="O8960" t="s">
        <v>58</v>
      </c>
      <c r="P8960" t="s">
        <v>186</v>
      </c>
      <c r="Q8960" t="s">
        <v>58</v>
      </c>
      <c r="R8960" t="str">
        <f>IFERROR(VLOOKUP(record[[#This Row],[PCUSTID]],廠商[],2,FALSE),"")</f>
        <v/>
      </c>
      <c r="S8960" t="str">
        <f>VLOOKUP(record[[#This Row],[employeeID]],員工[],2,FALSE)</f>
        <v>許文姍</v>
      </c>
    </row>
    <row r="8961" spans="6:19" hidden="1" x14ac:dyDescent="0.25">
      <c r="F8961" t="s">
        <v>864</v>
      </c>
      <c r="G8961" t="s">
        <v>450</v>
      </c>
      <c r="H8961" t="str">
        <f>VLOOKUP(record[[#This Row],[ProcessSN]],表格2_7[],2,FALSE)</f>
        <v>30-4118-018-6XX</v>
      </c>
      <c r="I8961" t="str">
        <f>VLOOKUP(record[[#This Row],[ProcessSN]],表格2_7[],3,FALSE)</f>
        <v>#06</v>
      </c>
      <c r="J8961" t="s">
        <v>593</v>
      </c>
      <c r="K8961" s="195">
        <v>45839.638275462959</v>
      </c>
      <c r="L8961">
        <v>95</v>
      </c>
      <c r="M8961">
        <v>0</v>
      </c>
      <c r="N8961" s="98" t="str">
        <f>IF(record[[#This Row],[Memo]]="Browser:chrome os:android","平板報工",IF(record[[#This Row],[Memo]]=0,"委外",record[[#This Row],[Memo]]))</f>
        <v/>
      </c>
      <c r="O8961" t="s">
        <v>58</v>
      </c>
      <c r="P8961" t="s">
        <v>101</v>
      </c>
      <c r="Q8961" t="s">
        <v>58</v>
      </c>
      <c r="R8961" t="str">
        <f>IFERROR(VLOOKUP(record[[#This Row],[PCUSTID]],廠商[],2,FALSE),"")</f>
        <v/>
      </c>
      <c r="S8961" t="str">
        <f>VLOOKUP(record[[#This Row],[employeeID]],員工[],2,FALSE)</f>
        <v>陳氏絨</v>
      </c>
    </row>
    <row r="8962" spans="6:19" hidden="1" x14ac:dyDescent="0.25">
      <c r="F8962" t="s">
        <v>864</v>
      </c>
      <c r="G8962" t="s">
        <v>448</v>
      </c>
      <c r="H8962" t="str">
        <f>VLOOKUP(record[[#This Row],[ProcessSN]],表格2_7[],2,FALSE)</f>
        <v>30-4118-018-6XX</v>
      </c>
      <c r="I8962" t="str">
        <f>VLOOKUP(record[[#This Row],[ProcessSN]],表格2_7[],3,FALSE)</f>
        <v>#04</v>
      </c>
      <c r="J8962" t="s">
        <v>588</v>
      </c>
      <c r="K8962" s="195">
        <v>45839.635138888887</v>
      </c>
      <c r="L8962">
        <v>85</v>
      </c>
      <c r="M8962">
        <v>1</v>
      </c>
      <c r="N8962" s="98" t="str">
        <f>IF(record[[#This Row],[Memo]]="Browser:chrome os:android","平板報工",IF(record[[#This Row],[Memo]]=0,"委外",record[[#This Row],[Memo]]))</f>
        <v/>
      </c>
      <c r="O8962" t="s">
        <v>58</v>
      </c>
      <c r="P8962" t="s">
        <v>101</v>
      </c>
      <c r="Q8962" t="s">
        <v>58</v>
      </c>
      <c r="R8962" t="str">
        <f>IFERROR(VLOOKUP(record[[#This Row],[PCUSTID]],廠商[],2,FALSE),"")</f>
        <v/>
      </c>
      <c r="S8962" t="str">
        <f>VLOOKUP(record[[#This Row],[employeeID]],員工[],2,FALSE)</f>
        <v>陳氏絨</v>
      </c>
    </row>
    <row r="8963" spans="6:19" hidden="1" x14ac:dyDescent="0.25">
      <c r="F8963" t="s">
        <v>778</v>
      </c>
      <c r="G8963" t="s">
        <v>418</v>
      </c>
      <c r="H8963" t="str">
        <f>VLOOKUP(record[[#This Row],[ProcessSN]],表格2_7[],2,FALSE)</f>
        <v>30-4118-018-5XX</v>
      </c>
      <c r="I8963" t="str">
        <f>VLOOKUP(record[[#This Row],[ProcessSN]],表格2_7[],3,FALSE)</f>
        <v>#07</v>
      </c>
      <c r="J8963" t="s">
        <v>588</v>
      </c>
      <c r="K8963" s="195">
        <v>45839.634791666664</v>
      </c>
      <c r="L8963">
        <v>1</v>
      </c>
      <c r="M8963">
        <v>0</v>
      </c>
      <c r="N8963" s="98" t="str">
        <f>IF(record[[#This Row],[Memo]]="Browser:chrome os:android","平板報工",IF(record[[#This Row],[Memo]]=0,"委外",record[[#This Row],[Memo]]))</f>
        <v/>
      </c>
      <c r="O8963" t="s">
        <v>58</v>
      </c>
      <c r="P8963" t="s">
        <v>101</v>
      </c>
      <c r="Q8963" t="s">
        <v>58</v>
      </c>
      <c r="R8963" t="str">
        <f>IFERROR(VLOOKUP(record[[#This Row],[PCUSTID]],廠商[],2,FALSE),"")</f>
        <v/>
      </c>
      <c r="S8963" t="str">
        <f>VLOOKUP(record[[#This Row],[employeeID]],員工[],2,FALSE)</f>
        <v>陳氏絨</v>
      </c>
    </row>
    <row r="8964" spans="6:19" hidden="1" x14ac:dyDescent="0.25">
      <c r="F8964" t="s">
        <v>854</v>
      </c>
      <c r="G8964" t="s">
        <v>418</v>
      </c>
      <c r="H8964" t="str">
        <f>VLOOKUP(record[[#This Row],[ProcessSN]],表格2_7[],2,FALSE)</f>
        <v>30-4118-018-5XX</v>
      </c>
      <c r="I8964" t="str">
        <f>VLOOKUP(record[[#This Row],[ProcessSN]],表格2_7[],3,FALSE)</f>
        <v>#07</v>
      </c>
      <c r="J8964" t="s">
        <v>588</v>
      </c>
      <c r="K8964" s="195">
        <v>45839.634525462963</v>
      </c>
      <c r="L8964">
        <v>184</v>
      </c>
      <c r="M8964">
        <v>0</v>
      </c>
      <c r="N8964" s="98" t="str">
        <f>IF(record[[#This Row],[Memo]]="Browser:chrome os:android","平板報工",IF(record[[#This Row],[Memo]]=0,"委外",record[[#This Row],[Memo]]))</f>
        <v/>
      </c>
      <c r="O8964" t="s">
        <v>58</v>
      </c>
      <c r="P8964" t="s">
        <v>101</v>
      </c>
      <c r="Q8964" t="s">
        <v>58</v>
      </c>
      <c r="R8964" t="str">
        <f>IFERROR(VLOOKUP(record[[#This Row],[PCUSTID]],廠商[],2,FALSE),"")</f>
        <v/>
      </c>
      <c r="S8964" t="str">
        <f>VLOOKUP(record[[#This Row],[employeeID]],員工[],2,FALSE)</f>
        <v>陳氏絨</v>
      </c>
    </row>
    <row r="8965" spans="6:19" hidden="1" x14ac:dyDescent="0.25">
      <c r="F8965" t="s">
        <v>864</v>
      </c>
      <c r="G8965" t="s">
        <v>447</v>
      </c>
      <c r="H8965" t="str">
        <f>VLOOKUP(record[[#This Row],[ProcessSN]],表格2_7[],2,FALSE)</f>
        <v>30-4118-018-6XX</v>
      </c>
      <c r="I8965" t="str">
        <f>VLOOKUP(record[[#This Row],[ProcessSN]],表格2_7[],3,FALSE)</f>
        <v>#03</v>
      </c>
      <c r="J8965" t="s">
        <v>588</v>
      </c>
      <c r="K8965" s="195">
        <v>45839.633518518516</v>
      </c>
      <c r="L8965">
        <v>256</v>
      </c>
      <c r="M8965">
        <v>0</v>
      </c>
      <c r="N8965" s="98" t="str">
        <f>IF(record[[#This Row],[Memo]]="Browser:chrome os:android","平板報工",IF(record[[#This Row],[Memo]]=0,"委外",record[[#This Row],[Memo]]))</f>
        <v/>
      </c>
      <c r="O8965" t="s">
        <v>58</v>
      </c>
      <c r="P8965" t="s">
        <v>101</v>
      </c>
      <c r="Q8965" t="s">
        <v>58</v>
      </c>
      <c r="R8965" t="str">
        <f>IFERROR(VLOOKUP(record[[#This Row],[PCUSTID]],廠商[],2,FALSE),"")</f>
        <v/>
      </c>
      <c r="S8965" t="str">
        <f>VLOOKUP(record[[#This Row],[employeeID]],員工[],2,FALSE)</f>
        <v>陳氏絨</v>
      </c>
    </row>
    <row r="8966" spans="6:19" hidden="1" x14ac:dyDescent="0.25">
      <c r="F8966" t="s">
        <v>864</v>
      </c>
      <c r="G8966" t="s">
        <v>449</v>
      </c>
      <c r="H8966" t="str">
        <f>VLOOKUP(record[[#This Row],[ProcessSN]],表格2_7[],2,FALSE)</f>
        <v>30-4118-018-6XX</v>
      </c>
      <c r="I8966" t="str">
        <f>VLOOKUP(record[[#This Row],[ProcessSN]],表格2_7[],3,FALSE)</f>
        <v>#05</v>
      </c>
      <c r="J8966" t="s">
        <v>588</v>
      </c>
      <c r="K8966" s="195">
        <v>45839.632847222223</v>
      </c>
      <c r="L8966">
        <v>177</v>
      </c>
      <c r="M8966">
        <v>5</v>
      </c>
      <c r="N8966" s="98" t="str">
        <f>IF(record[[#This Row],[Memo]]="Browser:chrome os:android","平板報工",IF(record[[#This Row],[Memo]]=0,"委外",record[[#This Row],[Memo]]))</f>
        <v/>
      </c>
      <c r="O8966" t="s">
        <v>58</v>
      </c>
      <c r="P8966" t="s">
        <v>101</v>
      </c>
      <c r="Q8966" t="s">
        <v>58</v>
      </c>
      <c r="R8966" t="str">
        <f>IFERROR(VLOOKUP(record[[#This Row],[PCUSTID]],廠商[],2,FALSE),"")</f>
        <v/>
      </c>
      <c r="S8966" t="str">
        <f>VLOOKUP(record[[#This Row],[employeeID]],員工[],2,FALSE)</f>
        <v>陳氏絨</v>
      </c>
    </row>
    <row r="8967" spans="6:19" hidden="1" x14ac:dyDescent="0.25">
      <c r="F8967" t="s">
        <v>879</v>
      </c>
      <c r="G8967" t="s">
        <v>397</v>
      </c>
      <c r="H8967" t="str">
        <f>VLOOKUP(record[[#This Row],[ProcessSN]],表格2_7[],2,FALSE)</f>
        <v>30-4118-018-550</v>
      </c>
      <c r="I8967" t="str">
        <f>VLOOKUP(record[[#This Row],[ProcessSN]],表格2_7[],3,FALSE)</f>
        <v>#08</v>
      </c>
      <c r="J8967" t="s">
        <v>597</v>
      </c>
      <c r="K8967" s="195">
        <v>45839.602037037039</v>
      </c>
      <c r="L8967">
        <v>165</v>
      </c>
      <c r="M8967">
        <v>0</v>
      </c>
      <c r="N8967" s="98" t="str">
        <f>IF(record[[#This Row],[Memo]]="Browser:chrome os:android","平板報工",IF(record[[#This Row],[Memo]]=0,"委外",record[[#This Row],[Memo]]))</f>
        <v/>
      </c>
      <c r="O8967" t="s">
        <v>58</v>
      </c>
      <c r="P8967" t="s">
        <v>186</v>
      </c>
      <c r="Q8967" t="s">
        <v>287</v>
      </c>
      <c r="R8967" t="str">
        <f>IFERROR(VLOOKUP(record[[#This Row],[PCUSTID]],廠商[],2,FALSE),"")</f>
        <v>泉盛</v>
      </c>
      <c r="S8967" t="str">
        <f>VLOOKUP(record[[#This Row],[employeeID]],員工[],2,FALSE)</f>
        <v>許文姍</v>
      </c>
    </row>
    <row r="8968" spans="6:19" hidden="1" x14ac:dyDescent="0.25">
      <c r="F8968" t="s">
        <v>864</v>
      </c>
      <c r="G8968" t="s">
        <v>449</v>
      </c>
      <c r="H8968" t="str">
        <f>VLOOKUP(record[[#This Row],[ProcessSN]],表格2_7[],2,FALSE)</f>
        <v>30-4118-018-6XX</v>
      </c>
      <c r="I8968" t="str">
        <f>VLOOKUP(record[[#This Row],[ProcessSN]],表格2_7[],3,FALSE)</f>
        <v>#05</v>
      </c>
      <c r="J8968" t="s">
        <v>588</v>
      </c>
      <c r="K8968" s="195">
        <v>45839.393888888888</v>
      </c>
      <c r="L8968">
        <v>0</v>
      </c>
      <c r="M8968">
        <v>19</v>
      </c>
      <c r="N8968" s="98" t="str">
        <f>IF(record[[#This Row],[Memo]]="Browser:chrome os:android","平板報工",IF(record[[#This Row],[Memo]]=0,"委外",record[[#This Row],[Memo]]))</f>
        <v/>
      </c>
      <c r="O8968" t="s">
        <v>58</v>
      </c>
      <c r="P8968" t="s">
        <v>101</v>
      </c>
      <c r="Q8968" t="s">
        <v>58</v>
      </c>
      <c r="R8968" t="str">
        <f>IFERROR(VLOOKUP(record[[#This Row],[PCUSTID]],廠商[],2,FALSE),"")</f>
        <v/>
      </c>
      <c r="S8968" t="str">
        <f>VLOOKUP(record[[#This Row],[employeeID]],員工[],2,FALSE)</f>
        <v>陳氏絨</v>
      </c>
    </row>
    <row r="8969" spans="6:19" hidden="1" x14ac:dyDescent="0.25">
      <c r="F8969" t="s">
        <v>849</v>
      </c>
      <c r="G8969" t="s">
        <v>470</v>
      </c>
      <c r="H8969" t="str">
        <f>VLOOKUP(record[[#This Row],[ProcessSN]],表格2_7[],2,FALSE)</f>
        <v>30-4118-018-XXX</v>
      </c>
      <c r="I8969" t="str">
        <f>VLOOKUP(record[[#This Row],[ProcessSN]],表格2_7[],3,FALSE)</f>
        <v>#02IQC</v>
      </c>
      <c r="J8969" t="s">
        <v>583</v>
      </c>
      <c r="K8969" s="195">
        <v>45839.378564814811</v>
      </c>
      <c r="L8969">
        <v>1343</v>
      </c>
      <c r="M8969">
        <v>0</v>
      </c>
      <c r="N8969" s="98" t="str">
        <f>IF(record[[#This Row],[Memo]]="Browser:chrome os:android","平板報工",IF(record[[#This Row],[Memo]]=0,"委外",record[[#This Row],[Memo]]))</f>
        <v/>
      </c>
      <c r="O8969" t="s">
        <v>58</v>
      </c>
      <c r="P8969" t="s">
        <v>109</v>
      </c>
      <c r="Q8969" t="s">
        <v>58</v>
      </c>
      <c r="R8969" t="str">
        <f>IFERROR(VLOOKUP(record[[#This Row],[PCUSTID]],廠商[],2,FALSE),"")</f>
        <v/>
      </c>
      <c r="S8969" t="str">
        <f>VLOOKUP(record[[#This Row],[employeeID]],員工[],2,FALSE)</f>
        <v>裴氏璧鳳</v>
      </c>
    </row>
    <row r="8970" spans="6:19" hidden="1" x14ac:dyDescent="0.25">
      <c r="F8970" t="s">
        <v>879</v>
      </c>
      <c r="G8970" t="s">
        <v>396</v>
      </c>
      <c r="H8970" t="str">
        <f>VLOOKUP(record[[#This Row],[ProcessSN]],表格2_7[],2,FALSE)</f>
        <v>30-4118-018-550</v>
      </c>
      <c r="I8970" t="str">
        <f>VLOOKUP(record[[#This Row],[ProcessSN]],表格2_7[],3,FALSE)</f>
        <v>#08PICK</v>
      </c>
      <c r="J8970" t="s">
        <v>582</v>
      </c>
      <c r="K8970" s="195">
        <v>45839.373055555552</v>
      </c>
      <c r="L8970">
        <v>165</v>
      </c>
      <c r="M8970">
        <v>0</v>
      </c>
      <c r="N8970" s="98" t="str">
        <f>IF(record[[#This Row],[Memo]]="Browser:chrome os:android","平板報工",IF(record[[#This Row],[Memo]]=0,"委外",record[[#This Row],[Memo]]))</f>
        <v/>
      </c>
      <c r="O8970" t="s">
        <v>58</v>
      </c>
      <c r="P8970" t="s">
        <v>113</v>
      </c>
      <c r="Q8970" t="s">
        <v>58</v>
      </c>
      <c r="R8970" t="str">
        <f>IFERROR(VLOOKUP(record[[#This Row],[PCUSTID]],廠商[],2,FALSE),"")</f>
        <v/>
      </c>
      <c r="S8970" t="str">
        <f>VLOOKUP(record[[#This Row],[employeeID]],員工[],2,FALSE)</f>
        <v>王奕蓁</v>
      </c>
    </row>
    <row r="8971" spans="6:19" hidden="1" x14ac:dyDescent="0.25">
      <c r="F8971" t="s">
        <v>854</v>
      </c>
      <c r="G8971" t="s">
        <v>420</v>
      </c>
      <c r="H8971" t="str">
        <f>VLOOKUP(record[[#This Row],[ProcessSN]],表格2_7[],2,FALSE)</f>
        <v>30-4118-018-5XX</v>
      </c>
      <c r="I8971" t="str">
        <f>VLOOKUP(record[[#This Row],[ProcessSN]],表格2_7[],3,FALSE)</f>
        <v>#07STOCK</v>
      </c>
      <c r="J8971" t="s">
        <v>592</v>
      </c>
      <c r="K8971" s="195">
        <v>45839.372418981482</v>
      </c>
      <c r="L8971">
        <v>165</v>
      </c>
      <c r="M8971">
        <v>0</v>
      </c>
      <c r="N8971" s="98" t="str">
        <f>IF(record[[#This Row],[Memo]]="Browser:chrome os:android","平板報工",IF(record[[#This Row],[Memo]]=0,"委外",record[[#This Row],[Memo]]))</f>
        <v/>
      </c>
      <c r="O8971" t="s">
        <v>58</v>
      </c>
      <c r="P8971" t="s">
        <v>113</v>
      </c>
      <c r="Q8971" t="s">
        <v>58</v>
      </c>
      <c r="R8971" t="str">
        <f>IFERROR(VLOOKUP(record[[#This Row],[PCUSTID]],廠商[],2,FALSE),"")</f>
        <v/>
      </c>
      <c r="S8971" t="str">
        <f>VLOOKUP(record[[#This Row],[employeeID]],員工[],2,FALSE)</f>
        <v>王奕蓁</v>
      </c>
    </row>
    <row r="8972" spans="6:19" hidden="1" x14ac:dyDescent="0.25">
      <c r="F8972" t="s">
        <v>854</v>
      </c>
      <c r="G8972" t="s">
        <v>419</v>
      </c>
      <c r="H8972" t="str">
        <f>VLOOKUP(record[[#This Row],[ProcessSN]],表格2_7[],2,FALSE)</f>
        <v>30-4118-018-5XX</v>
      </c>
      <c r="I8972" t="str">
        <f>VLOOKUP(record[[#This Row],[ProcessSN]],表格2_7[],3,FALSE)</f>
        <v>#07QC</v>
      </c>
      <c r="J8972" t="s">
        <v>589</v>
      </c>
      <c r="K8972" s="195">
        <v>45839.368391203701</v>
      </c>
      <c r="L8972">
        <v>0</v>
      </c>
      <c r="M8972">
        <v>1</v>
      </c>
      <c r="N8972" s="98" t="str">
        <f>IF(record[[#This Row],[Memo]]="Browser:chrome os:android","平板報工",IF(record[[#This Row],[Memo]]=0,"委外",record[[#This Row],[Memo]]))</f>
        <v>平板報工</v>
      </c>
      <c r="O8972" t="s">
        <v>643</v>
      </c>
      <c r="P8972" t="s">
        <v>141</v>
      </c>
      <c r="Q8972" t="s">
        <v>644</v>
      </c>
      <c r="R8972" t="str">
        <f>IFERROR(VLOOKUP(record[[#This Row],[PCUSTID]],廠商[],2,FALSE),"")</f>
        <v/>
      </c>
      <c r="S8972" t="str">
        <f>VLOOKUP(record[[#This Row],[employeeID]],員工[],2,FALSE)</f>
        <v>蔣梅</v>
      </c>
    </row>
    <row r="8973" spans="6:19" hidden="1" x14ac:dyDescent="0.25">
      <c r="F8973" t="s">
        <v>854</v>
      </c>
      <c r="G8973" t="s">
        <v>419</v>
      </c>
      <c r="H8973" t="str">
        <f>VLOOKUP(record[[#This Row],[ProcessSN]],表格2_7[],2,FALSE)</f>
        <v>30-4118-018-5XX</v>
      </c>
      <c r="I8973" t="str">
        <f>VLOOKUP(record[[#This Row],[ProcessSN]],表格2_7[],3,FALSE)</f>
        <v>#07QC</v>
      </c>
      <c r="J8973" t="s">
        <v>589</v>
      </c>
      <c r="K8973" s="195">
        <v>45839.368171296293</v>
      </c>
      <c r="L8973">
        <v>165</v>
      </c>
      <c r="M8973">
        <v>0</v>
      </c>
      <c r="N8973" s="98" t="str">
        <f>IF(record[[#This Row],[Memo]]="Browser:chrome os:android","平板報工",IF(record[[#This Row],[Memo]]=0,"委外",record[[#This Row],[Memo]]))</f>
        <v>平板報工</v>
      </c>
      <c r="O8973" t="s">
        <v>643</v>
      </c>
      <c r="P8973" t="s">
        <v>141</v>
      </c>
      <c r="Q8973" t="s">
        <v>644</v>
      </c>
      <c r="R8973" t="str">
        <f>IFERROR(VLOOKUP(record[[#This Row],[PCUSTID]],廠商[],2,FALSE),"")</f>
        <v/>
      </c>
      <c r="S8973" t="str">
        <f>VLOOKUP(record[[#This Row],[employeeID]],員工[],2,FALSE)</f>
        <v>蔣梅</v>
      </c>
    </row>
    <row r="8974" spans="6:19" hidden="1" x14ac:dyDescent="0.25">
      <c r="F8974" t="s">
        <v>864</v>
      </c>
      <c r="G8974" t="s">
        <v>448</v>
      </c>
      <c r="H8974" t="str">
        <f>VLOOKUP(record[[#This Row],[ProcessSN]],表格2_7[],2,FALSE)</f>
        <v>30-4118-018-6XX</v>
      </c>
      <c r="I8974" t="str">
        <f>VLOOKUP(record[[#This Row],[ProcessSN]],表格2_7[],3,FALSE)</f>
        <v>#04</v>
      </c>
      <c r="J8974" t="s">
        <v>588</v>
      </c>
      <c r="K8974" s="195">
        <v>45839.319976851853</v>
      </c>
      <c r="L8974">
        <v>67</v>
      </c>
      <c r="M8974">
        <v>0</v>
      </c>
      <c r="N8974" s="98" t="str">
        <f>IF(record[[#This Row],[Memo]]="Browser:chrome os:android","平板報工",IF(record[[#This Row],[Memo]]=0,"委外",record[[#This Row],[Memo]]))</f>
        <v/>
      </c>
      <c r="O8974" t="s">
        <v>58</v>
      </c>
      <c r="P8974" t="s">
        <v>135</v>
      </c>
      <c r="Q8974" t="s">
        <v>58</v>
      </c>
      <c r="R8974" t="str">
        <f>IFERROR(VLOOKUP(record[[#This Row],[PCUSTID]],廠商[],2,FALSE),"")</f>
        <v/>
      </c>
      <c r="S8974" t="str">
        <f>VLOOKUP(record[[#This Row],[employeeID]],員工[],2,FALSE)</f>
        <v>阮士文</v>
      </c>
    </row>
    <row r="8975" spans="6:19" hidden="1" x14ac:dyDescent="0.25">
      <c r="F8975" t="s">
        <v>854</v>
      </c>
      <c r="G8975" t="s">
        <v>418</v>
      </c>
      <c r="H8975" t="str">
        <f>VLOOKUP(record[[#This Row],[ProcessSN]],表格2_7[],2,FALSE)</f>
        <v>30-4118-018-5XX</v>
      </c>
      <c r="I8975" t="str">
        <f>VLOOKUP(record[[#This Row],[ProcessSN]],表格2_7[],3,FALSE)</f>
        <v>#07</v>
      </c>
      <c r="J8975" t="s">
        <v>588</v>
      </c>
      <c r="K8975" s="195">
        <v>45839.319710648146</v>
      </c>
      <c r="L8975">
        <v>121</v>
      </c>
      <c r="M8975">
        <v>0</v>
      </c>
      <c r="N8975" s="98" t="str">
        <f>IF(record[[#This Row],[Memo]]="Browser:chrome os:android","平板報工",IF(record[[#This Row],[Memo]]=0,"委外",record[[#This Row],[Memo]]))</f>
        <v/>
      </c>
      <c r="O8975" t="s">
        <v>58</v>
      </c>
      <c r="P8975" t="s">
        <v>135</v>
      </c>
      <c r="Q8975" t="s">
        <v>58</v>
      </c>
      <c r="R8975" t="str">
        <f>IFERROR(VLOOKUP(record[[#This Row],[PCUSTID]],廠商[],2,FALSE),"")</f>
        <v/>
      </c>
      <c r="S8975" t="str">
        <f>VLOOKUP(record[[#This Row],[employeeID]],員工[],2,FALSE)</f>
        <v>阮士文</v>
      </c>
    </row>
    <row r="8976" spans="6:19" hidden="1" x14ac:dyDescent="0.25">
      <c r="F8976" t="s">
        <v>854</v>
      </c>
      <c r="G8976" t="s">
        <v>417</v>
      </c>
      <c r="H8976" t="str">
        <f>VLOOKUP(record[[#This Row],[ProcessSN]],表格2_7[],2,FALSE)</f>
        <v>30-4118-018-5XX</v>
      </c>
      <c r="I8976" t="str">
        <f>VLOOKUP(record[[#This Row],[ProcessSN]],表格2_7[],3,FALSE)</f>
        <v>#06</v>
      </c>
      <c r="J8976" t="s">
        <v>593</v>
      </c>
      <c r="K8976" s="195">
        <v>45838.67528935185</v>
      </c>
      <c r="L8976">
        <v>57</v>
      </c>
      <c r="M8976">
        <v>0</v>
      </c>
      <c r="N8976" s="98" t="str">
        <f>IF(record[[#This Row],[Memo]]="Browser:chrome os:android","平板報工",IF(record[[#This Row],[Memo]]=0,"委外",record[[#This Row],[Memo]]))</f>
        <v/>
      </c>
      <c r="O8976" t="s">
        <v>58</v>
      </c>
      <c r="P8976" t="s">
        <v>101</v>
      </c>
      <c r="Q8976" t="s">
        <v>58</v>
      </c>
      <c r="R8976" t="str">
        <f>IFERROR(VLOOKUP(record[[#This Row],[PCUSTID]],廠商[],2,FALSE),"")</f>
        <v/>
      </c>
      <c r="S8976" t="str">
        <f>VLOOKUP(record[[#This Row],[employeeID]],員工[],2,FALSE)</f>
        <v>陳氏絨</v>
      </c>
    </row>
    <row r="8977" spans="6:19" hidden="1" x14ac:dyDescent="0.25">
      <c r="F8977" t="s">
        <v>778</v>
      </c>
      <c r="G8977" t="s">
        <v>417</v>
      </c>
      <c r="H8977" t="str">
        <f>VLOOKUP(record[[#This Row],[ProcessSN]],表格2_7[],2,FALSE)</f>
        <v>30-4118-018-5XX</v>
      </c>
      <c r="I8977" t="str">
        <f>VLOOKUP(record[[#This Row],[ProcessSN]],表格2_7[],3,FALSE)</f>
        <v>#06</v>
      </c>
      <c r="J8977" t="s">
        <v>593</v>
      </c>
      <c r="K8977" s="195">
        <v>45838.666168981479</v>
      </c>
      <c r="L8977">
        <v>1</v>
      </c>
      <c r="M8977">
        <v>0</v>
      </c>
      <c r="N8977" s="98" t="str">
        <f>IF(record[[#This Row],[Memo]]="Browser:chrome os:android","平板報工",IF(record[[#This Row],[Memo]]=0,"委外",record[[#This Row],[Memo]]))</f>
        <v/>
      </c>
      <c r="O8977" t="s">
        <v>58</v>
      </c>
      <c r="P8977" t="s">
        <v>101</v>
      </c>
      <c r="Q8977" t="s">
        <v>58</v>
      </c>
      <c r="R8977" t="str">
        <f>IFERROR(VLOOKUP(record[[#This Row],[PCUSTID]],廠商[],2,FALSE),"")</f>
        <v/>
      </c>
      <c r="S8977" t="str">
        <f>VLOOKUP(record[[#This Row],[employeeID]],員工[],2,FALSE)</f>
        <v>陳氏絨</v>
      </c>
    </row>
    <row r="8978" spans="6:19" hidden="1" x14ac:dyDescent="0.25">
      <c r="F8978" t="s">
        <v>864</v>
      </c>
      <c r="G8978" t="s">
        <v>448</v>
      </c>
      <c r="H8978" t="str">
        <f>VLOOKUP(record[[#This Row],[ProcessSN]],表格2_7[],2,FALSE)</f>
        <v>30-4118-018-6XX</v>
      </c>
      <c r="I8978" t="str">
        <f>VLOOKUP(record[[#This Row],[ProcessSN]],表格2_7[],3,FALSE)</f>
        <v>#04</v>
      </c>
      <c r="J8978" t="s">
        <v>588</v>
      </c>
      <c r="K8978" s="195">
        <v>45838.659108796295</v>
      </c>
      <c r="L8978">
        <v>90</v>
      </c>
      <c r="M8978">
        <v>1</v>
      </c>
      <c r="N8978" s="98" t="str">
        <f>IF(record[[#This Row],[Memo]]="Browser:chrome os:android","平板報工",IF(record[[#This Row],[Memo]]=0,"委外",record[[#This Row],[Memo]]))</f>
        <v/>
      </c>
      <c r="O8978" t="s">
        <v>58</v>
      </c>
      <c r="P8978" t="s">
        <v>101</v>
      </c>
      <c r="Q8978" t="s">
        <v>58</v>
      </c>
      <c r="R8978" t="str">
        <f>IFERROR(VLOOKUP(record[[#This Row],[PCUSTID]],廠商[],2,FALSE),"")</f>
        <v/>
      </c>
      <c r="S8978" t="str">
        <f>VLOOKUP(record[[#This Row],[employeeID]],員工[],2,FALSE)</f>
        <v>陳氏絨</v>
      </c>
    </row>
    <row r="8979" spans="6:19" hidden="1" x14ac:dyDescent="0.25">
      <c r="F8979" t="s">
        <v>854</v>
      </c>
      <c r="G8979" t="s">
        <v>418</v>
      </c>
      <c r="H8979" t="str">
        <f>VLOOKUP(record[[#This Row],[ProcessSN]],表格2_7[],2,FALSE)</f>
        <v>30-4118-018-5XX</v>
      </c>
      <c r="I8979" t="str">
        <f>VLOOKUP(record[[#This Row],[ProcessSN]],表格2_7[],3,FALSE)</f>
        <v>#07</v>
      </c>
      <c r="J8979" t="s">
        <v>588</v>
      </c>
      <c r="K8979" s="195">
        <v>45838.658807870372</v>
      </c>
      <c r="L8979">
        <v>101</v>
      </c>
      <c r="M8979">
        <v>0</v>
      </c>
      <c r="N8979" s="98" t="str">
        <f>IF(record[[#This Row],[Memo]]="Browser:chrome os:android","平板報工",IF(record[[#This Row],[Memo]]=0,"委外",record[[#This Row],[Memo]]))</f>
        <v/>
      </c>
      <c r="O8979" t="s">
        <v>58</v>
      </c>
      <c r="P8979" t="s">
        <v>101</v>
      </c>
      <c r="Q8979" t="s">
        <v>58</v>
      </c>
      <c r="R8979" t="str">
        <f>IFERROR(VLOOKUP(record[[#This Row],[PCUSTID]],廠商[],2,FALSE),"")</f>
        <v/>
      </c>
      <c r="S8979" t="str">
        <f>VLOOKUP(record[[#This Row],[employeeID]],員工[],2,FALSE)</f>
        <v>陳氏絨</v>
      </c>
    </row>
    <row r="8980" spans="6:19" hidden="1" x14ac:dyDescent="0.25">
      <c r="F8980" t="s">
        <v>877</v>
      </c>
      <c r="G8980" t="s">
        <v>413</v>
      </c>
      <c r="H8980" t="str">
        <f>VLOOKUP(record[[#This Row],[ProcessSN]],表格2_7[],2,FALSE)</f>
        <v>30-4118-018-5XX</v>
      </c>
      <c r="I8980" t="str">
        <f>VLOOKUP(record[[#This Row],[ProcessSN]],表格2_7[],3,FALSE)</f>
        <v>#03GIVE</v>
      </c>
      <c r="J8980" t="s">
        <v>587</v>
      </c>
      <c r="K8980" s="195">
        <v>45838.487037037034</v>
      </c>
      <c r="L8980">
        <v>1199</v>
      </c>
      <c r="M8980">
        <v>0</v>
      </c>
      <c r="N8980" s="98" t="str">
        <f>IF(record[[#This Row],[Memo]]="Browser:chrome os:android","平板報工",IF(record[[#This Row],[Memo]]=0,"委外",record[[#This Row],[Memo]]))</f>
        <v/>
      </c>
      <c r="O8980" t="s">
        <v>58</v>
      </c>
      <c r="P8980" t="s">
        <v>208</v>
      </c>
      <c r="Q8980" t="s">
        <v>58</v>
      </c>
      <c r="R8980" t="str">
        <f>IFERROR(VLOOKUP(record[[#This Row],[PCUSTID]],廠商[],2,FALSE),"")</f>
        <v/>
      </c>
      <c r="S8980" t="str">
        <f>VLOOKUP(record[[#This Row],[employeeID]],員工[],2,FALSE)</f>
        <v>陳治宏</v>
      </c>
    </row>
    <row r="8981" spans="6:19" hidden="1" x14ac:dyDescent="0.25">
      <c r="F8981" t="s">
        <v>875</v>
      </c>
      <c r="G8981" t="s">
        <v>446</v>
      </c>
      <c r="H8981" t="str">
        <f>VLOOKUP(record[[#This Row],[ProcessSN]],表格2_7[],2,FALSE)</f>
        <v>30-4118-018-6XX</v>
      </c>
      <c r="I8981" t="str">
        <f>VLOOKUP(record[[#This Row],[ProcessSN]],表格2_7[],3,FALSE)</f>
        <v>#03GIVE</v>
      </c>
      <c r="J8981" t="s">
        <v>587</v>
      </c>
      <c r="K8981" s="195">
        <v>45838.486875000002</v>
      </c>
      <c r="L8981">
        <v>1000</v>
      </c>
      <c r="M8981">
        <v>0</v>
      </c>
      <c r="N8981" s="98" t="str">
        <f>IF(record[[#This Row],[Memo]]="Browser:chrome os:android","平板報工",IF(record[[#This Row],[Memo]]=0,"委外",record[[#This Row],[Memo]]))</f>
        <v/>
      </c>
      <c r="O8981" t="s">
        <v>58</v>
      </c>
      <c r="P8981" t="s">
        <v>208</v>
      </c>
      <c r="Q8981" t="s">
        <v>58</v>
      </c>
      <c r="R8981" t="str">
        <f>IFERROR(VLOOKUP(record[[#This Row],[PCUSTID]],廠商[],2,FALSE),"")</f>
        <v/>
      </c>
      <c r="S8981" t="str">
        <f>VLOOKUP(record[[#This Row],[employeeID]],員工[],2,FALSE)</f>
        <v>陳治宏</v>
      </c>
    </row>
    <row r="8982" spans="6:19" hidden="1" x14ac:dyDescent="0.25">
      <c r="F8982" t="s">
        <v>849</v>
      </c>
      <c r="G8982" t="s">
        <v>469</v>
      </c>
      <c r="H8982" t="str">
        <f>VLOOKUP(record[[#This Row],[ProcessSN]],表格2_7[],2,FALSE)</f>
        <v>30-4118-018-XXX</v>
      </c>
      <c r="I8982" t="str">
        <f>VLOOKUP(record[[#This Row],[ProcessSN]],表格2_7[],3,FALSE)</f>
        <v>#02RCV</v>
      </c>
      <c r="J8982" t="s">
        <v>591</v>
      </c>
      <c r="K8982" s="195">
        <v>45838.467870370368</v>
      </c>
      <c r="L8982">
        <v>1343</v>
      </c>
      <c r="M8982">
        <v>0</v>
      </c>
      <c r="N8982" s="98" t="str">
        <f>IF(record[[#This Row],[Memo]]="Browser:chrome os:android","平板報工",IF(record[[#This Row],[Memo]]=0,"委外",record[[#This Row],[Memo]]))</f>
        <v/>
      </c>
      <c r="O8982" t="s">
        <v>58</v>
      </c>
      <c r="P8982" t="s">
        <v>186</v>
      </c>
      <c r="Q8982" t="s">
        <v>58</v>
      </c>
      <c r="R8982" t="str">
        <f>IFERROR(VLOOKUP(record[[#This Row],[PCUSTID]],廠商[],2,FALSE),"")</f>
        <v/>
      </c>
      <c r="S8982" t="str">
        <f>VLOOKUP(record[[#This Row],[employeeID]],員工[],2,FALSE)</f>
        <v>許文姍</v>
      </c>
    </row>
    <row r="8983" spans="6:19" hidden="1" x14ac:dyDescent="0.25">
      <c r="F8983" t="s">
        <v>877</v>
      </c>
      <c r="G8983" t="s">
        <v>412</v>
      </c>
      <c r="H8983" t="str">
        <f>VLOOKUP(record[[#This Row],[ProcessSN]],表格2_7[],2,FALSE)</f>
        <v>30-4118-018-5XX</v>
      </c>
      <c r="I8983" t="str">
        <f>VLOOKUP(record[[#This Row],[ProcessSN]],表格2_7[],3,FALSE)</f>
        <v>#03PICK</v>
      </c>
      <c r="J8983" t="s">
        <v>582</v>
      </c>
      <c r="K8983" s="195">
        <v>45838.463622685187</v>
      </c>
      <c r="L8983">
        <v>1199</v>
      </c>
      <c r="M8983">
        <v>0</v>
      </c>
      <c r="N8983" s="98" t="str">
        <f>IF(record[[#This Row],[Memo]]="Browser:chrome os:android","平板報工",IF(record[[#This Row],[Memo]]=0,"委外",record[[#This Row],[Memo]]))</f>
        <v/>
      </c>
      <c r="O8983" t="s">
        <v>58</v>
      </c>
      <c r="P8983" t="s">
        <v>113</v>
      </c>
      <c r="Q8983" t="s">
        <v>58</v>
      </c>
      <c r="R8983" t="str">
        <f>IFERROR(VLOOKUP(record[[#This Row],[PCUSTID]],廠商[],2,FALSE),"")</f>
        <v/>
      </c>
      <c r="S8983" t="str">
        <f>VLOOKUP(record[[#This Row],[employeeID]],員工[],2,FALSE)</f>
        <v>王奕蓁</v>
      </c>
    </row>
    <row r="8984" spans="6:19" hidden="1" x14ac:dyDescent="0.25">
      <c r="F8984" t="s">
        <v>875</v>
      </c>
      <c r="G8984" t="s">
        <v>445</v>
      </c>
      <c r="H8984" t="str">
        <f>VLOOKUP(record[[#This Row],[ProcessSN]],表格2_7[],2,FALSE)</f>
        <v>30-4118-018-6XX</v>
      </c>
      <c r="I8984" t="str">
        <f>VLOOKUP(record[[#This Row],[ProcessSN]],表格2_7[],3,FALSE)</f>
        <v>#03PICK</v>
      </c>
      <c r="J8984" t="s">
        <v>582</v>
      </c>
      <c r="K8984" s="195">
        <v>45838.451180555552</v>
      </c>
      <c r="L8984">
        <v>1000</v>
      </c>
      <c r="M8984">
        <v>0</v>
      </c>
      <c r="N8984" s="98" t="str">
        <f>IF(record[[#This Row],[Memo]]="Browser:chrome os:android","平板報工",IF(record[[#This Row],[Memo]]=0,"委外",record[[#This Row],[Memo]]))</f>
        <v/>
      </c>
      <c r="O8984" t="s">
        <v>58</v>
      </c>
      <c r="P8984" t="s">
        <v>113</v>
      </c>
      <c r="Q8984" t="s">
        <v>58</v>
      </c>
      <c r="R8984" t="str">
        <f>IFERROR(VLOOKUP(record[[#This Row],[PCUSTID]],廠商[],2,FALSE),"")</f>
        <v/>
      </c>
      <c r="S8984" t="str">
        <f>VLOOKUP(record[[#This Row],[employeeID]],員工[],2,FALSE)</f>
        <v>王奕蓁</v>
      </c>
    </row>
    <row r="8985" spans="6:19" hidden="1" x14ac:dyDescent="0.25">
      <c r="F8985" t="s">
        <v>854</v>
      </c>
      <c r="G8985" t="s">
        <v>420</v>
      </c>
      <c r="H8985" t="str">
        <f>VLOOKUP(record[[#This Row],[ProcessSN]],表格2_7[],2,FALSE)</f>
        <v>30-4118-018-5XX</v>
      </c>
      <c r="I8985" t="str">
        <f>VLOOKUP(record[[#This Row],[ProcessSN]],表格2_7[],3,FALSE)</f>
        <v>#07STOCK</v>
      </c>
      <c r="J8985" t="s">
        <v>592</v>
      </c>
      <c r="K8985" s="195">
        <v>45838.41678240741</v>
      </c>
      <c r="L8985">
        <v>326</v>
      </c>
      <c r="M8985">
        <v>0</v>
      </c>
      <c r="N8985" s="98" t="str">
        <f>IF(record[[#This Row],[Memo]]="Browser:chrome os:android","平板報工",IF(record[[#This Row],[Memo]]=0,"委外",record[[#This Row],[Memo]]))</f>
        <v/>
      </c>
      <c r="O8985" t="s">
        <v>58</v>
      </c>
      <c r="P8985" t="s">
        <v>65</v>
      </c>
      <c r="Q8985" t="s">
        <v>58</v>
      </c>
      <c r="R8985" t="str">
        <f>IFERROR(VLOOKUP(record[[#This Row],[PCUSTID]],廠商[],2,FALSE),"")</f>
        <v/>
      </c>
      <c r="S8985" t="str">
        <f>VLOOKUP(record[[#This Row],[employeeID]],員工[],2,FALSE)</f>
        <v>蘇進昌</v>
      </c>
    </row>
    <row r="8986" spans="6:19" hidden="1" x14ac:dyDescent="0.25">
      <c r="F8986" t="s">
        <v>874</v>
      </c>
      <c r="G8986" t="s">
        <v>397</v>
      </c>
      <c r="H8986" t="str">
        <f>VLOOKUP(record[[#This Row],[ProcessSN]],表格2_7[],2,FALSE)</f>
        <v>30-4118-018-550</v>
      </c>
      <c r="I8986" t="str">
        <f>VLOOKUP(record[[#This Row],[ProcessSN]],表格2_7[],3,FALSE)</f>
        <v>#08</v>
      </c>
      <c r="J8986" t="s">
        <v>597</v>
      </c>
      <c r="K8986" s="195">
        <v>45838.416203703702</v>
      </c>
      <c r="L8986">
        <v>167</v>
      </c>
      <c r="M8986">
        <v>0</v>
      </c>
      <c r="N8986" s="98" t="str">
        <f>IF(record[[#This Row],[Memo]]="Browser:chrome os:android","平板報工",IF(record[[#This Row],[Memo]]=0,"委外",record[[#This Row],[Memo]]))</f>
        <v/>
      </c>
      <c r="O8986" t="s">
        <v>58</v>
      </c>
      <c r="P8986" t="s">
        <v>186</v>
      </c>
      <c r="Q8986" t="s">
        <v>287</v>
      </c>
      <c r="R8986" t="str">
        <f>IFERROR(VLOOKUP(record[[#This Row],[PCUSTID]],廠商[],2,FALSE),"")</f>
        <v>泉盛</v>
      </c>
      <c r="S8986" t="str">
        <f>VLOOKUP(record[[#This Row],[employeeID]],員工[],2,FALSE)</f>
        <v>許文姍</v>
      </c>
    </row>
    <row r="8987" spans="6:19" hidden="1" x14ac:dyDescent="0.25">
      <c r="F8987" t="s">
        <v>874</v>
      </c>
      <c r="G8987" t="s">
        <v>396</v>
      </c>
      <c r="H8987" t="str">
        <f>VLOOKUP(record[[#This Row],[ProcessSN]],表格2_7[],2,FALSE)</f>
        <v>30-4118-018-550</v>
      </c>
      <c r="I8987" t="str">
        <f>VLOOKUP(record[[#This Row],[ProcessSN]],表格2_7[],3,FALSE)</f>
        <v>#08PICK</v>
      </c>
      <c r="J8987" t="s">
        <v>582</v>
      </c>
      <c r="K8987" s="195">
        <v>45838.41609953704</v>
      </c>
      <c r="L8987">
        <v>167</v>
      </c>
      <c r="M8987">
        <v>0</v>
      </c>
      <c r="N8987" s="98" t="str">
        <f>IF(record[[#This Row],[Memo]]="Browser:chrome os:android","平板報工",IF(record[[#This Row],[Memo]]=0,"委外",record[[#This Row],[Memo]]))</f>
        <v/>
      </c>
      <c r="O8987" t="s">
        <v>58</v>
      </c>
      <c r="P8987" t="s">
        <v>65</v>
      </c>
      <c r="Q8987" t="s">
        <v>58</v>
      </c>
      <c r="R8987" t="str">
        <f>IFERROR(VLOOKUP(record[[#This Row],[PCUSTID]],廠商[],2,FALSE),"")</f>
        <v/>
      </c>
      <c r="S8987" t="str">
        <f>VLOOKUP(record[[#This Row],[employeeID]],員工[],2,FALSE)</f>
        <v>蘇進昌</v>
      </c>
    </row>
    <row r="8988" spans="6:19" hidden="1" x14ac:dyDescent="0.25">
      <c r="F8988" t="s">
        <v>854</v>
      </c>
      <c r="G8988" t="s">
        <v>419</v>
      </c>
      <c r="H8988" t="str">
        <f>VLOOKUP(record[[#This Row],[ProcessSN]],表格2_7[],2,FALSE)</f>
        <v>30-4118-018-5XX</v>
      </c>
      <c r="I8988" t="str">
        <f>VLOOKUP(record[[#This Row],[ProcessSN]],表格2_7[],3,FALSE)</f>
        <v>#07QC</v>
      </c>
      <c r="J8988" t="s">
        <v>589</v>
      </c>
      <c r="K8988" s="195">
        <v>45838.365185185183</v>
      </c>
      <c r="L8988">
        <v>0</v>
      </c>
      <c r="M8988">
        <v>1</v>
      </c>
      <c r="N8988" s="98" t="str">
        <f>IF(record[[#This Row],[Memo]]="Browser:chrome os:android","平板報工",IF(record[[#This Row],[Memo]]=0,"委外",record[[#This Row],[Memo]]))</f>
        <v>平板報工</v>
      </c>
      <c r="O8988" t="s">
        <v>643</v>
      </c>
      <c r="P8988" t="s">
        <v>141</v>
      </c>
      <c r="Q8988" t="s">
        <v>644</v>
      </c>
      <c r="R8988" t="str">
        <f>IFERROR(VLOOKUP(record[[#This Row],[PCUSTID]],廠商[],2,FALSE),"")</f>
        <v/>
      </c>
      <c r="S8988" t="str">
        <f>VLOOKUP(record[[#This Row],[employeeID]],員工[],2,FALSE)</f>
        <v>蔣梅</v>
      </c>
    </row>
    <row r="8989" spans="6:19" hidden="1" x14ac:dyDescent="0.25">
      <c r="F8989" t="s">
        <v>854</v>
      </c>
      <c r="G8989" t="s">
        <v>419</v>
      </c>
      <c r="H8989" t="str">
        <f>VLOOKUP(record[[#This Row],[ProcessSN]],表格2_7[],2,FALSE)</f>
        <v>30-4118-018-5XX</v>
      </c>
      <c r="I8989" t="str">
        <f>VLOOKUP(record[[#This Row],[ProcessSN]],表格2_7[],3,FALSE)</f>
        <v>#07QC</v>
      </c>
      <c r="J8989" t="s">
        <v>589</v>
      </c>
      <c r="K8989" s="195">
        <v>45838.364953703705</v>
      </c>
      <c r="L8989">
        <v>167</v>
      </c>
      <c r="M8989">
        <v>0</v>
      </c>
      <c r="N8989" s="98" t="str">
        <f>IF(record[[#This Row],[Memo]]="Browser:chrome os:android","平板報工",IF(record[[#This Row],[Memo]]=0,"委外",record[[#This Row],[Memo]]))</f>
        <v>平板報工</v>
      </c>
      <c r="O8989" t="s">
        <v>643</v>
      </c>
      <c r="P8989" t="s">
        <v>141</v>
      </c>
      <c r="Q8989" t="s">
        <v>644</v>
      </c>
      <c r="R8989" t="str">
        <f>IFERROR(VLOOKUP(record[[#This Row],[PCUSTID]],廠商[],2,FALSE),"")</f>
        <v/>
      </c>
      <c r="S8989" t="str">
        <f>VLOOKUP(record[[#This Row],[employeeID]],員工[],2,FALSE)</f>
        <v>蔣梅</v>
      </c>
    </row>
    <row r="8990" spans="6:19" hidden="1" x14ac:dyDescent="0.25">
      <c r="F8990" t="s">
        <v>864</v>
      </c>
      <c r="G8990" t="s">
        <v>448</v>
      </c>
      <c r="H8990" t="str">
        <f>VLOOKUP(record[[#This Row],[ProcessSN]],表格2_7[],2,FALSE)</f>
        <v>30-4118-018-6XX</v>
      </c>
      <c r="I8990" t="str">
        <f>VLOOKUP(record[[#This Row],[ProcessSN]],表格2_7[],3,FALSE)</f>
        <v>#04</v>
      </c>
      <c r="J8990" t="s">
        <v>588</v>
      </c>
      <c r="K8990" s="195">
        <v>45836.309108796297</v>
      </c>
      <c r="L8990">
        <v>86</v>
      </c>
      <c r="M8990">
        <v>0</v>
      </c>
      <c r="N8990" s="98" t="str">
        <f>IF(record[[#This Row],[Memo]]="Browser:chrome os:android","平板報工",IF(record[[#This Row],[Memo]]=0,"委外",record[[#This Row],[Memo]]))</f>
        <v/>
      </c>
      <c r="O8990" t="s">
        <v>58</v>
      </c>
      <c r="P8990" t="s">
        <v>135</v>
      </c>
      <c r="Q8990" t="s">
        <v>58</v>
      </c>
      <c r="R8990" t="str">
        <f>IFERROR(VLOOKUP(record[[#This Row],[PCUSTID]],廠商[],2,FALSE),"")</f>
        <v/>
      </c>
      <c r="S8990" t="str">
        <f>VLOOKUP(record[[#This Row],[employeeID]],員工[],2,FALSE)</f>
        <v>阮士文</v>
      </c>
    </row>
    <row r="8991" spans="6:19" hidden="1" x14ac:dyDescent="0.25">
      <c r="F8991" t="s">
        <v>864</v>
      </c>
      <c r="G8991" t="s">
        <v>448</v>
      </c>
      <c r="H8991" t="str">
        <f>VLOOKUP(record[[#This Row],[ProcessSN]],表格2_7[],2,FALSE)</f>
        <v>30-4118-018-6XX</v>
      </c>
      <c r="I8991" t="str">
        <f>VLOOKUP(record[[#This Row],[ProcessSN]],表格2_7[],3,FALSE)</f>
        <v>#04</v>
      </c>
      <c r="J8991" t="s">
        <v>588</v>
      </c>
      <c r="K8991" s="195">
        <v>45835.973368055558</v>
      </c>
      <c r="L8991">
        <v>87</v>
      </c>
      <c r="M8991">
        <v>0</v>
      </c>
      <c r="N8991" s="98" t="str">
        <f>IF(record[[#This Row],[Memo]]="Browser:chrome os:android","平板報工",IF(record[[#This Row],[Memo]]=0,"委外",record[[#This Row],[Memo]]))</f>
        <v/>
      </c>
      <c r="O8991" t="s">
        <v>58</v>
      </c>
      <c r="P8991" t="s">
        <v>89</v>
      </c>
      <c r="Q8991" t="s">
        <v>58</v>
      </c>
      <c r="R8991" t="str">
        <f>IFERROR(VLOOKUP(record[[#This Row],[PCUSTID]],廠商[],2,FALSE),"")</f>
        <v/>
      </c>
      <c r="S8991" t="str">
        <f>VLOOKUP(record[[#This Row],[employeeID]],員工[],2,FALSE)</f>
        <v>李美蓮</v>
      </c>
    </row>
    <row r="8992" spans="6:19" hidden="1" x14ac:dyDescent="0.25">
      <c r="F8992" t="s">
        <v>854</v>
      </c>
      <c r="G8992" t="s">
        <v>418</v>
      </c>
      <c r="H8992" t="str">
        <f>VLOOKUP(record[[#This Row],[ProcessSN]],表格2_7[],2,FALSE)</f>
        <v>30-4118-018-5XX</v>
      </c>
      <c r="I8992" t="str">
        <f>VLOOKUP(record[[#This Row],[ProcessSN]],表格2_7[],3,FALSE)</f>
        <v>#07</v>
      </c>
      <c r="J8992" t="s">
        <v>588</v>
      </c>
      <c r="K8992" s="195">
        <v>45835.972986111112</v>
      </c>
      <c r="L8992">
        <v>144</v>
      </c>
      <c r="M8992">
        <v>0</v>
      </c>
      <c r="N8992" s="98" t="str">
        <f>IF(record[[#This Row],[Memo]]="Browser:chrome os:android","平板報工",IF(record[[#This Row],[Memo]]=0,"委外",record[[#This Row],[Memo]]))</f>
        <v/>
      </c>
      <c r="O8992" t="s">
        <v>58</v>
      </c>
      <c r="P8992" t="s">
        <v>89</v>
      </c>
      <c r="Q8992" t="s">
        <v>58</v>
      </c>
      <c r="R8992" t="str">
        <f>IFERROR(VLOOKUP(record[[#This Row],[PCUSTID]],廠商[],2,FALSE),"")</f>
        <v/>
      </c>
      <c r="S8992" t="str">
        <f>VLOOKUP(record[[#This Row],[employeeID]],員工[],2,FALSE)</f>
        <v>李美蓮</v>
      </c>
    </row>
    <row r="8993" spans="6:19" hidden="1" x14ac:dyDescent="0.25">
      <c r="F8993" t="s">
        <v>864</v>
      </c>
      <c r="G8993" t="s">
        <v>447</v>
      </c>
      <c r="H8993" t="str">
        <f>VLOOKUP(record[[#This Row],[ProcessSN]],表格2_7[],2,FALSE)</f>
        <v>30-4118-018-6XX</v>
      </c>
      <c r="I8993" t="str">
        <f>VLOOKUP(record[[#This Row],[ProcessSN]],表格2_7[],3,FALSE)</f>
        <v>#03</v>
      </c>
      <c r="J8993" t="s">
        <v>588</v>
      </c>
      <c r="K8993" s="195">
        <v>45835.965543981481</v>
      </c>
      <c r="L8993">
        <v>504</v>
      </c>
      <c r="M8993">
        <v>0</v>
      </c>
      <c r="N8993" s="98" t="str">
        <f>IF(record[[#This Row],[Memo]]="Browser:chrome os:android","平板報工",IF(record[[#This Row],[Memo]]=0,"委外",record[[#This Row],[Memo]]))</f>
        <v/>
      </c>
      <c r="O8993" t="s">
        <v>58</v>
      </c>
      <c r="P8993" t="s">
        <v>806</v>
      </c>
      <c r="Q8993" t="s">
        <v>58</v>
      </c>
      <c r="R8993" t="str">
        <f>IFERROR(VLOOKUP(record[[#This Row],[PCUSTID]],廠商[],2,FALSE),"")</f>
        <v/>
      </c>
      <c r="S8993" t="str">
        <f>VLOOKUP(record[[#This Row],[employeeID]],員工[],2,FALSE)</f>
        <v>方思緯</v>
      </c>
    </row>
    <row r="8994" spans="6:19" hidden="1" x14ac:dyDescent="0.25">
      <c r="F8994" t="s">
        <v>849</v>
      </c>
      <c r="G8994" t="s">
        <v>470</v>
      </c>
      <c r="H8994" t="str">
        <f>VLOOKUP(record[[#This Row],[ProcessSN]],表格2_7[],2,FALSE)</f>
        <v>30-4118-018-XXX</v>
      </c>
      <c r="I8994" t="str">
        <f>VLOOKUP(record[[#This Row],[ProcessSN]],表格2_7[],3,FALSE)</f>
        <v>#02IQC</v>
      </c>
      <c r="J8994" t="s">
        <v>583</v>
      </c>
      <c r="K8994" s="195">
        <v>45835.774745370371</v>
      </c>
      <c r="L8994">
        <v>1007</v>
      </c>
      <c r="M8994">
        <v>0</v>
      </c>
      <c r="N8994" s="98" t="str">
        <f>IF(record[[#This Row],[Memo]]="Browser:chrome os:android","平板報工",IF(record[[#This Row],[Memo]]=0,"委外",record[[#This Row],[Memo]]))</f>
        <v/>
      </c>
      <c r="O8994" t="s">
        <v>58</v>
      </c>
      <c r="P8994" t="s">
        <v>109</v>
      </c>
      <c r="Q8994" t="s">
        <v>58</v>
      </c>
      <c r="R8994" t="str">
        <f>IFERROR(VLOOKUP(record[[#This Row],[PCUSTID]],廠商[],2,FALSE),"")</f>
        <v/>
      </c>
      <c r="S8994" t="str">
        <f>VLOOKUP(record[[#This Row],[employeeID]],員工[],2,FALSE)</f>
        <v>裴氏璧鳳</v>
      </c>
    </row>
    <row r="8995" spans="6:19" hidden="1" x14ac:dyDescent="0.25">
      <c r="F8995" t="s">
        <v>854</v>
      </c>
      <c r="G8995" t="s">
        <v>417</v>
      </c>
      <c r="H8995" t="str">
        <f>VLOOKUP(record[[#This Row],[ProcessSN]],表格2_7[],2,FALSE)</f>
        <v>30-4118-018-5XX</v>
      </c>
      <c r="I8995" t="str">
        <f>VLOOKUP(record[[#This Row],[ProcessSN]],表格2_7[],3,FALSE)</f>
        <v>#06</v>
      </c>
      <c r="J8995" t="s">
        <v>593</v>
      </c>
      <c r="K8995" s="195">
        <v>45835.691006944442</v>
      </c>
      <c r="L8995">
        <v>121</v>
      </c>
      <c r="M8995">
        <v>0</v>
      </c>
      <c r="N8995" s="98" t="str">
        <f>IF(record[[#This Row],[Memo]]="Browser:chrome os:android","平板報工",IF(record[[#This Row],[Memo]]=0,"委外",record[[#This Row],[Memo]]))</f>
        <v/>
      </c>
      <c r="O8995" t="s">
        <v>58</v>
      </c>
      <c r="P8995" t="s">
        <v>101</v>
      </c>
      <c r="Q8995" t="s">
        <v>58</v>
      </c>
      <c r="R8995" t="str">
        <f>IFERROR(VLOOKUP(record[[#This Row],[PCUSTID]],廠商[],2,FALSE),"")</f>
        <v/>
      </c>
      <c r="S8995" t="str">
        <f>VLOOKUP(record[[#This Row],[employeeID]],員工[],2,FALSE)</f>
        <v>陳氏絨</v>
      </c>
    </row>
    <row r="8996" spans="6:19" hidden="1" x14ac:dyDescent="0.25">
      <c r="F8996" t="s">
        <v>864</v>
      </c>
      <c r="G8996" t="s">
        <v>448</v>
      </c>
      <c r="H8996" t="str">
        <f>VLOOKUP(record[[#This Row],[ProcessSN]],表格2_7[],2,FALSE)</f>
        <v>30-4118-018-6XX</v>
      </c>
      <c r="I8996" t="str">
        <f>VLOOKUP(record[[#This Row],[ProcessSN]],表格2_7[],3,FALSE)</f>
        <v>#04</v>
      </c>
      <c r="J8996" t="s">
        <v>588</v>
      </c>
      <c r="K8996" s="195">
        <v>45835.686099537037</v>
      </c>
      <c r="L8996">
        <v>0</v>
      </c>
      <c r="M8996">
        <v>6</v>
      </c>
      <c r="N8996" s="98" t="str">
        <f>IF(record[[#This Row],[Memo]]="Browser:chrome os:android","平板報工",IF(record[[#This Row],[Memo]]=0,"委外",record[[#This Row],[Memo]]))</f>
        <v/>
      </c>
      <c r="O8996" t="s">
        <v>58</v>
      </c>
      <c r="P8996" t="s">
        <v>101</v>
      </c>
      <c r="Q8996" t="s">
        <v>58</v>
      </c>
      <c r="R8996" t="str">
        <f>IFERROR(VLOOKUP(record[[#This Row],[PCUSTID]],廠商[],2,FALSE),"")</f>
        <v/>
      </c>
      <c r="S8996" t="str">
        <f>VLOOKUP(record[[#This Row],[employeeID]],員工[],2,FALSE)</f>
        <v>陳氏絨</v>
      </c>
    </row>
    <row r="8997" spans="6:19" hidden="1" x14ac:dyDescent="0.25">
      <c r="F8997" t="s">
        <v>864</v>
      </c>
      <c r="G8997" t="s">
        <v>447</v>
      </c>
      <c r="H8997" t="str">
        <f>VLOOKUP(record[[#This Row],[ProcessSN]],表格2_7[],2,FALSE)</f>
        <v>30-4118-018-6XX</v>
      </c>
      <c r="I8997" t="str">
        <f>VLOOKUP(record[[#This Row],[ProcessSN]],表格2_7[],3,FALSE)</f>
        <v>#03</v>
      </c>
      <c r="J8997" t="s">
        <v>588</v>
      </c>
      <c r="K8997" s="195">
        <v>45835.685347222221</v>
      </c>
      <c r="L8997">
        <v>168</v>
      </c>
      <c r="M8997">
        <v>0</v>
      </c>
      <c r="N8997" s="98" t="str">
        <f>IF(record[[#This Row],[Memo]]="Browser:chrome os:android","平板報工",IF(record[[#This Row],[Memo]]=0,"委外",record[[#This Row],[Memo]]))</f>
        <v/>
      </c>
      <c r="O8997" t="s">
        <v>58</v>
      </c>
      <c r="P8997" t="s">
        <v>101</v>
      </c>
      <c r="Q8997" t="s">
        <v>58</v>
      </c>
      <c r="R8997" t="str">
        <f>IFERROR(VLOOKUP(record[[#This Row],[PCUSTID]],廠商[],2,FALSE),"")</f>
        <v/>
      </c>
      <c r="S8997" t="str">
        <f>VLOOKUP(record[[#This Row],[employeeID]],員工[],2,FALSE)</f>
        <v>陳氏絨</v>
      </c>
    </row>
    <row r="8998" spans="6:19" hidden="1" x14ac:dyDescent="0.25">
      <c r="F8998" t="s">
        <v>873</v>
      </c>
      <c r="G8998" t="s">
        <v>397</v>
      </c>
      <c r="H8998" t="str">
        <f>VLOOKUP(record[[#This Row],[ProcessSN]],表格2_7[],2,FALSE)</f>
        <v>30-4118-018-550</v>
      </c>
      <c r="I8998" t="str">
        <f>VLOOKUP(record[[#This Row],[ProcessSN]],表格2_7[],3,FALSE)</f>
        <v>#08</v>
      </c>
      <c r="J8998" t="s">
        <v>597</v>
      </c>
      <c r="K8998" s="195">
        <v>45835.623182870368</v>
      </c>
      <c r="L8998">
        <v>159</v>
      </c>
      <c r="M8998">
        <v>0</v>
      </c>
      <c r="N8998" s="98" t="str">
        <f>IF(record[[#This Row],[Memo]]="Browser:chrome os:android","平板報工",IF(record[[#This Row],[Memo]]=0,"委外",record[[#This Row],[Memo]]))</f>
        <v/>
      </c>
      <c r="O8998" t="s">
        <v>58</v>
      </c>
      <c r="P8998" t="s">
        <v>186</v>
      </c>
      <c r="Q8998" t="s">
        <v>287</v>
      </c>
      <c r="R8998" t="str">
        <f>IFERROR(VLOOKUP(record[[#This Row],[PCUSTID]],廠商[],2,FALSE),"")</f>
        <v>泉盛</v>
      </c>
      <c r="S8998" t="str">
        <f>VLOOKUP(record[[#This Row],[employeeID]],員工[],2,FALSE)</f>
        <v>許文姍</v>
      </c>
    </row>
    <row r="8999" spans="6:19" hidden="1" x14ac:dyDescent="0.25">
      <c r="F8999" t="s">
        <v>869</v>
      </c>
      <c r="G8999" t="s">
        <v>400</v>
      </c>
      <c r="H8999" t="str">
        <f>VLOOKUP(record[[#This Row],[ProcessSN]],表格2_7[],2,FALSE)</f>
        <v>30-4118-018-550</v>
      </c>
      <c r="I8999" t="str">
        <f>VLOOKUP(record[[#This Row],[ProcessSN]],表格2_7[],3,FALSE)</f>
        <v>#100</v>
      </c>
      <c r="J8999" t="s">
        <v>598</v>
      </c>
      <c r="K8999" s="195">
        <v>45835.500277777777</v>
      </c>
      <c r="L8999">
        <v>0</v>
      </c>
      <c r="M8999">
        <v>7</v>
      </c>
      <c r="N8999" s="98" t="str">
        <f>IF(record[[#This Row],[Memo]]="Browser:chrome os:android","平板報工",IF(record[[#This Row],[Memo]]=0,"委外",record[[#This Row],[Memo]]))</f>
        <v>平板報工</v>
      </c>
      <c r="O8999" t="s">
        <v>643</v>
      </c>
      <c r="P8999" t="s">
        <v>141</v>
      </c>
      <c r="Q8999" t="s">
        <v>644</v>
      </c>
      <c r="R8999" t="str">
        <f>IFERROR(VLOOKUP(record[[#This Row],[PCUSTID]],廠商[],2,FALSE),"")</f>
        <v/>
      </c>
      <c r="S8999" t="str">
        <f>VLOOKUP(record[[#This Row],[employeeID]],員工[],2,FALSE)</f>
        <v>蔣梅</v>
      </c>
    </row>
    <row r="9000" spans="6:19" hidden="1" x14ac:dyDescent="0.25">
      <c r="F9000" t="s">
        <v>869</v>
      </c>
      <c r="G9000" t="s">
        <v>400</v>
      </c>
      <c r="H9000" t="str">
        <f>VLOOKUP(record[[#This Row],[ProcessSN]],表格2_7[],2,FALSE)</f>
        <v>30-4118-018-550</v>
      </c>
      <c r="I9000" t="str">
        <f>VLOOKUP(record[[#This Row],[ProcessSN]],表格2_7[],3,FALSE)</f>
        <v>#100</v>
      </c>
      <c r="J9000" t="s">
        <v>598</v>
      </c>
      <c r="K9000" s="195">
        <v>45835.499976851854</v>
      </c>
      <c r="L9000">
        <v>315</v>
      </c>
      <c r="M9000">
        <v>0</v>
      </c>
      <c r="N9000" s="98" t="str">
        <f>IF(record[[#This Row],[Memo]]="Browser:chrome os:android","平板報工",IF(record[[#This Row],[Memo]]=0,"委外",record[[#This Row],[Memo]]))</f>
        <v>平板報工</v>
      </c>
      <c r="O9000" t="s">
        <v>643</v>
      </c>
      <c r="P9000" t="s">
        <v>141</v>
      </c>
      <c r="Q9000" t="s">
        <v>644</v>
      </c>
      <c r="R9000" t="str">
        <f>IFERROR(VLOOKUP(record[[#This Row],[PCUSTID]],廠商[],2,FALSE),"")</f>
        <v/>
      </c>
      <c r="S9000" t="str">
        <f>VLOOKUP(record[[#This Row],[employeeID]],員工[],2,FALSE)</f>
        <v>蔣梅</v>
      </c>
    </row>
    <row r="9001" spans="6:19" hidden="1" x14ac:dyDescent="0.25">
      <c r="F9001" t="s">
        <v>849</v>
      </c>
      <c r="G9001" t="s">
        <v>469</v>
      </c>
      <c r="H9001" t="str">
        <f>VLOOKUP(record[[#This Row],[ProcessSN]],表格2_7[],2,FALSE)</f>
        <v>30-4118-018-XXX</v>
      </c>
      <c r="I9001" t="str">
        <f>VLOOKUP(record[[#This Row],[ProcessSN]],表格2_7[],3,FALSE)</f>
        <v>#02RCV</v>
      </c>
      <c r="J9001" t="s">
        <v>591</v>
      </c>
      <c r="K9001" s="195">
        <v>45835.490613425929</v>
      </c>
      <c r="L9001">
        <v>1007</v>
      </c>
      <c r="M9001">
        <v>0</v>
      </c>
      <c r="N9001" s="98" t="str">
        <f>IF(record[[#This Row],[Memo]]="Browser:chrome os:android","平板報工",IF(record[[#This Row],[Memo]]=0,"委外",record[[#This Row],[Memo]]))</f>
        <v/>
      </c>
      <c r="O9001" t="s">
        <v>58</v>
      </c>
      <c r="P9001" t="s">
        <v>186</v>
      </c>
      <c r="Q9001" t="s">
        <v>58</v>
      </c>
      <c r="R9001" t="str">
        <f>IFERROR(VLOOKUP(record[[#This Row],[PCUSTID]],廠商[],2,FALSE),"")</f>
        <v/>
      </c>
      <c r="S9001" t="str">
        <f>VLOOKUP(record[[#This Row],[employeeID]],員工[],2,FALSE)</f>
        <v>許文姍</v>
      </c>
    </row>
    <row r="9002" spans="6:19" hidden="1" x14ac:dyDescent="0.25">
      <c r="F9002" t="s">
        <v>849</v>
      </c>
      <c r="G9002" t="s">
        <v>468</v>
      </c>
      <c r="H9002" t="str">
        <f>VLOOKUP(record[[#This Row],[ProcessSN]],表格2_7[],2,FALSE)</f>
        <v>30-4118-018-XXX</v>
      </c>
      <c r="I9002" t="str">
        <f>VLOOKUP(record[[#This Row],[ProcessSN]],表格2_7[],3,FALSE)</f>
        <v>#02</v>
      </c>
      <c r="J9002" t="s">
        <v>590</v>
      </c>
      <c r="K9002" s="195">
        <v>45835.410740740743</v>
      </c>
      <c r="L9002">
        <v>681</v>
      </c>
      <c r="M9002">
        <v>0</v>
      </c>
      <c r="N9002" s="98" t="str">
        <f>IF(record[[#This Row],[Memo]]="Browser:chrome os:android","平板報工",IF(record[[#This Row],[Memo]]=0,"委外",record[[#This Row],[Memo]]))</f>
        <v/>
      </c>
      <c r="O9002" t="s">
        <v>58</v>
      </c>
      <c r="P9002" t="s">
        <v>186</v>
      </c>
      <c r="Q9002" t="s">
        <v>216</v>
      </c>
      <c r="R9002" t="str">
        <f>IFERROR(VLOOKUP(record[[#This Row],[PCUSTID]],廠商[],2,FALSE),"")</f>
        <v>俊杰</v>
      </c>
      <c r="S9002" t="str">
        <f>VLOOKUP(record[[#This Row],[employeeID]],員工[],2,FALSE)</f>
        <v>許文姍</v>
      </c>
    </row>
    <row r="9003" spans="6:19" hidden="1" x14ac:dyDescent="0.25">
      <c r="F9003" t="s">
        <v>873</v>
      </c>
      <c r="G9003" t="s">
        <v>396</v>
      </c>
      <c r="H9003" t="str">
        <f>VLOOKUP(record[[#This Row],[ProcessSN]],表格2_7[],2,FALSE)</f>
        <v>30-4118-018-550</v>
      </c>
      <c r="I9003" t="str">
        <f>VLOOKUP(record[[#This Row],[ProcessSN]],表格2_7[],3,FALSE)</f>
        <v>#08PICK</v>
      </c>
      <c r="J9003" t="s">
        <v>582</v>
      </c>
      <c r="K9003" s="195">
        <v>45835.368344907409</v>
      </c>
      <c r="L9003">
        <v>159</v>
      </c>
      <c r="M9003">
        <v>0</v>
      </c>
      <c r="N9003" s="98" t="str">
        <f>IF(record[[#This Row],[Memo]]="Browser:chrome os:android","平板報工",IF(record[[#This Row],[Memo]]=0,"委外",record[[#This Row],[Memo]]))</f>
        <v/>
      </c>
      <c r="O9003" t="s">
        <v>58</v>
      </c>
      <c r="P9003" t="s">
        <v>65</v>
      </c>
      <c r="Q9003" t="s">
        <v>58</v>
      </c>
      <c r="R9003" t="str">
        <f>IFERROR(VLOOKUP(record[[#This Row],[PCUSTID]],廠商[],2,FALSE),"")</f>
        <v/>
      </c>
      <c r="S9003" t="str">
        <f>VLOOKUP(record[[#This Row],[employeeID]],員工[],2,FALSE)</f>
        <v>蘇進昌</v>
      </c>
    </row>
    <row r="9004" spans="6:19" hidden="1" x14ac:dyDescent="0.25">
      <c r="F9004" t="s">
        <v>849</v>
      </c>
      <c r="G9004" t="s">
        <v>471</v>
      </c>
      <c r="H9004" t="str">
        <f>VLOOKUP(record[[#This Row],[ProcessSN]],表格2_7[],2,FALSE)</f>
        <v>30-4118-018-XXX</v>
      </c>
      <c r="I9004" t="str">
        <f>VLOOKUP(record[[#This Row],[ProcessSN]],表格2_7[],3,FALSE)</f>
        <v>#02STOCK</v>
      </c>
      <c r="J9004" t="s">
        <v>592</v>
      </c>
      <c r="K9004" s="195">
        <v>45835.367048611108</v>
      </c>
      <c r="L9004">
        <v>503</v>
      </c>
      <c r="M9004">
        <v>0</v>
      </c>
      <c r="N9004" s="98" t="str">
        <f>IF(record[[#This Row],[Memo]]="Browser:chrome os:android","平板報工",IF(record[[#This Row],[Memo]]=0,"委外",record[[#This Row],[Memo]]))</f>
        <v/>
      </c>
      <c r="O9004" t="s">
        <v>58</v>
      </c>
      <c r="P9004" t="s">
        <v>65</v>
      </c>
      <c r="Q9004" t="s">
        <v>58</v>
      </c>
      <c r="R9004" t="str">
        <f>IFERROR(VLOOKUP(record[[#This Row],[PCUSTID]],廠商[],2,FALSE),"")</f>
        <v/>
      </c>
      <c r="S9004" t="str">
        <f>VLOOKUP(record[[#This Row],[employeeID]],員工[],2,FALSE)</f>
        <v>蘇進昌</v>
      </c>
    </row>
    <row r="9005" spans="6:19" hidden="1" x14ac:dyDescent="0.25">
      <c r="F9005" t="s">
        <v>825</v>
      </c>
      <c r="G9005" t="s">
        <v>471</v>
      </c>
      <c r="H9005" t="str">
        <f>VLOOKUP(record[[#This Row],[ProcessSN]],表格2_7[],2,FALSE)</f>
        <v>30-4118-018-XXX</v>
      </c>
      <c r="I9005" t="str">
        <f>VLOOKUP(record[[#This Row],[ProcessSN]],表格2_7[],3,FALSE)</f>
        <v>#02STOCK</v>
      </c>
      <c r="J9005" t="s">
        <v>592</v>
      </c>
      <c r="K9005" s="195">
        <v>45835.366875</v>
      </c>
      <c r="L9005">
        <v>2199</v>
      </c>
      <c r="M9005">
        <v>0</v>
      </c>
      <c r="N9005" s="98" t="str">
        <f>IF(record[[#This Row],[Memo]]="Browser:chrome os:android","平板報工",IF(record[[#This Row],[Memo]]=0,"委外",record[[#This Row],[Memo]]))</f>
        <v/>
      </c>
      <c r="O9005" t="s">
        <v>58</v>
      </c>
      <c r="P9005" t="s">
        <v>65</v>
      </c>
      <c r="Q9005" t="s">
        <v>58</v>
      </c>
      <c r="R9005" t="str">
        <f>IFERROR(VLOOKUP(record[[#This Row],[PCUSTID]],廠商[],2,FALSE),"")</f>
        <v/>
      </c>
      <c r="S9005" t="str">
        <f>VLOOKUP(record[[#This Row],[employeeID]],員工[],2,FALSE)</f>
        <v>蘇進昌</v>
      </c>
    </row>
    <row r="9006" spans="6:19" hidden="1" x14ac:dyDescent="0.25">
      <c r="F9006" t="s">
        <v>854</v>
      </c>
      <c r="G9006" t="s">
        <v>419</v>
      </c>
      <c r="H9006" t="str">
        <f>VLOOKUP(record[[#This Row],[ProcessSN]],表格2_7[],2,FALSE)</f>
        <v>30-4118-018-5XX</v>
      </c>
      <c r="I9006" t="str">
        <f>VLOOKUP(record[[#This Row],[ProcessSN]],表格2_7[],3,FALSE)</f>
        <v>#07QC</v>
      </c>
      <c r="J9006" t="s">
        <v>589</v>
      </c>
      <c r="K9006" s="195">
        <v>45835.364837962959</v>
      </c>
      <c r="L9006">
        <v>159</v>
      </c>
      <c r="M9006">
        <v>0</v>
      </c>
      <c r="N9006" s="98" t="str">
        <f>IF(record[[#This Row],[Memo]]="Browser:chrome os:android","平板報工",IF(record[[#This Row],[Memo]]=0,"委外",record[[#This Row],[Memo]]))</f>
        <v>平板報工</v>
      </c>
      <c r="O9006" t="s">
        <v>643</v>
      </c>
      <c r="P9006" t="s">
        <v>141</v>
      </c>
      <c r="Q9006" t="s">
        <v>644</v>
      </c>
      <c r="R9006" t="str">
        <f>IFERROR(VLOOKUP(record[[#This Row],[PCUSTID]],廠商[],2,FALSE),"")</f>
        <v/>
      </c>
      <c r="S9006" t="str">
        <f>VLOOKUP(record[[#This Row],[employeeID]],員工[],2,FALSE)</f>
        <v>蔣梅</v>
      </c>
    </row>
    <row r="9007" spans="6:19" hidden="1" x14ac:dyDescent="0.25">
      <c r="F9007" t="s">
        <v>854</v>
      </c>
      <c r="G9007" t="s">
        <v>418</v>
      </c>
      <c r="H9007" t="str">
        <f>VLOOKUP(record[[#This Row],[ProcessSN]],表格2_7[],2,FALSE)</f>
        <v>30-4118-018-5XX</v>
      </c>
      <c r="I9007" t="str">
        <f>VLOOKUP(record[[#This Row],[ProcessSN]],表格2_7[],3,FALSE)</f>
        <v>#07</v>
      </c>
      <c r="J9007" t="s">
        <v>588</v>
      </c>
      <c r="K9007" s="195">
        <v>45835.302291666667</v>
      </c>
      <c r="L9007">
        <v>135</v>
      </c>
      <c r="M9007">
        <v>0</v>
      </c>
      <c r="N9007" s="98" t="str">
        <f>IF(record[[#This Row],[Memo]]="Browser:chrome os:android","平板報工",IF(record[[#This Row],[Memo]]=0,"委外",record[[#This Row],[Memo]]))</f>
        <v/>
      </c>
      <c r="O9007" t="s">
        <v>58</v>
      </c>
      <c r="P9007" t="s">
        <v>135</v>
      </c>
      <c r="Q9007" t="s">
        <v>58</v>
      </c>
      <c r="R9007" t="str">
        <f>IFERROR(VLOOKUP(record[[#This Row],[PCUSTID]],廠商[],2,FALSE),"")</f>
        <v/>
      </c>
      <c r="S9007" t="str">
        <f>VLOOKUP(record[[#This Row],[employeeID]],員工[],2,FALSE)</f>
        <v>阮士文</v>
      </c>
    </row>
    <row r="9008" spans="6:19" hidden="1" x14ac:dyDescent="0.25">
      <c r="F9008" t="s">
        <v>854</v>
      </c>
      <c r="G9008" t="s">
        <v>418</v>
      </c>
      <c r="H9008" t="str">
        <f>VLOOKUP(record[[#This Row],[ProcessSN]],表格2_7[],2,FALSE)</f>
        <v>30-4118-018-5XX</v>
      </c>
      <c r="I9008" t="str">
        <f>VLOOKUP(record[[#This Row],[ProcessSN]],表格2_7[],3,FALSE)</f>
        <v>#07</v>
      </c>
      <c r="J9008" t="s">
        <v>588</v>
      </c>
      <c r="K9008" s="195">
        <v>45834.969953703701</v>
      </c>
      <c r="L9008">
        <v>48</v>
      </c>
      <c r="M9008">
        <v>2</v>
      </c>
      <c r="N9008" s="98" t="str">
        <f>IF(record[[#This Row],[Memo]]="Browser:chrome os:android","平板報工",IF(record[[#This Row],[Memo]]=0,"委外",record[[#This Row],[Memo]]))</f>
        <v/>
      </c>
      <c r="O9008" t="s">
        <v>58</v>
      </c>
      <c r="P9008" t="s">
        <v>89</v>
      </c>
      <c r="Q9008" t="s">
        <v>58</v>
      </c>
      <c r="R9008" t="str">
        <f>IFERROR(VLOOKUP(record[[#This Row],[PCUSTID]],廠商[],2,FALSE),"")</f>
        <v/>
      </c>
      <c r="S9008" t="str">
        <f>VLOOKUP(record[[#This Row],[employeeID]],員工[],2,FALSE)</f>
        <v>李美蓮</v>
      </c>
    </row>
    <row r="9009" spans="6:19" hidden="1" x14ac:dyDescent="0.25">
      <c r="F9009" t="s">
        <v>869</v>
      </c>
      <c r="G9009" t="s">
        <v>399</v>
      </c>
      <c r="H9009" t="str">
        <f>VLOOKUP(record[[#This Row],[ProcessSN]],表格2_7[],2,FALSE)</f>
        <v>30-4118-018-550</v>
      </c>
      <c r="I9009" t="str">
        <f>VLOOKUP(record[[#This Row],[ProcessSN]],表格2_7[],3,FALSE)</f>
        <v>#08IQC</v>
      </c>
      <c r="J9009" t="s">
        <v>583</v>
      </c>
      <c r="K9009" s="195">
        <v>45834.743738425925</v>
      </c>
      <c r="L9009">
        <v>322</v>
      </c>
      <c r="M9009">
        <v>0</v>
      </c>
      <c r="N9009" s="98" t="str">
        <f>IF(record[[#This Row],[Memo]]="Browser:chrome os:android","平板報工",IF(record[[#This Row],[Memo]]=0,"委外",record[[#This Row],[Memo]]))</f>
        <v/>
      </c>
      <c r="O9009" t="s">
        <v>58</v>
      </c>
      <c r="P9009" t="s">
        <v>109</v>
      </c>
      <c r="Q9009" t="s">
        <v>58</v>
      </c>
      <c r="R9009" t="str">
        <f>IFERROR(VLOOKUP(record[[#This Row],[PCUSTID]],廠商[],2,FALSE),"")</f>
        <v/>
      </c>
      <c r="S9009" t="str">
        <f>VLOOKUP(record[[#This Row],[employeeID]],員工[],2,FALSE)</f>
        <v>裴氏璧鳳</v>
      </c>
    </row>
    <row r="9010" spans="6:19" hidden="1" x14ac:dyDescent="0.25">
      <c r="F9010" t="s">
        <v>849</v>
      </c>
      <c r="G9010" t="s">
        <v>467</v>
      </c>
      <c r="H9010" t="str">
        <f>VLOOKUP(record[[#This Row],[ProcessSN]],表格2_7[],2,FALSE)</f>
        <v>30-4118-018-XXX</v>
      </c>
      <c r="I9010" t="str">
        <f>VLOOKUP(record[[#This Row],[ProcessSN]],表格2_7[],3,FALSE)</f>
        <v>#01QC</v>
      </c>
      <c r="J9010" t="s">
        <v>589</v>
      </c>
      <c r="K9010" s="195">
        <v>45834.695717592593</v>
      </c>
      <c r="L9010">
        <v>681</v>
      </c>
      <c r="M9010">
        <v>0</v>
      </c>
      <c r="N9010" s="98" t="str">
        <f>IF(record[[#This Row],[Memo]]="Browser:chrome os:android","平板報工",IF(record[[#This Row],[Memo]]=0,"委外",record[[#This Row],[Memo]]))</f>
        <v>平板報工</v>
      </c>
      <c r="O9010" t="s">
        <v>643</v>
      </c>
      <c r="P9010" t="s">
        <v>99</v>
      </c>
      <c r="Q9010" t="s">
        <v>644</v>
      </c>
      <c r="R9010" t="str">
        <f>IFERROR(VLOOKUP(record[[#This Row],[PCUSTID]],廠商[],2,FALSE),"")</f>
        <v/>
      </c>
      <c r="S9010" t="str">
        <f>VLOOKUP(record[[#This Row],[employeeID]],員工[],2,FALSE)</f>
        <v>阮氏河</v>
      </c>
    </row>
    <row r="9011" spans="6:19" hidden="1" x14ac:dyDescent="0.25">
      <c r="F9011" t="s">
        <v>854</v>
      </c>
      <c r="G9011" t="s">
        <v>417</v>
      </c>
      <c r="H9011" t="str">
        <f>VLOOKUP(record[[#This Row],[ProcessSN]],表格2_7[],2,FALSE)</f>
        <v>30-4118-018-5XX</v>
      </c>
      <c r="I9011" t="str">
        <f>VLOOKUP(record[[#This Row],[ProcessSN]],表格2_7[],3,FALSE)</f>
        <v>#06</v>
      </c>
      <c r="J9011" t="s">
        <v>593</v>
      </c>
      <c r="K9011" s="195">
        <v>45834.655185185184</v>
      </c>
      <c r="L9011">
        <v>120</v>
      </c>
      <c r="M9011">
        <v>1</v>
      </c>
      <c r="N9011" s="98" t="str">
        <f>IF(record[[#This Row],[Memo]]="Browser:chrome os:android","平板報工",IF(record[[#This Row],[Memo]]=0,"委外",record[[#This Row],[Memo]]))</f>
        <v/>
      </c>
      <c r="O9011" t="s">
        <v>58</v>
      </c>
      <c r="P9011" t="s">
        <v>101</v>
      </c>
      <c r="Q9011" t="s">
        <v>58</v>
      </c>
      <c r="R9011" t="str">
        <f>IFERROR(VLOOKUP(record[[#This Row],[PCUSTID]],廠商[],2,FALSE),"")</f>
        <v/>
      </c>
      <c r="S9011" t="str">
        <f>VLOOKUP(record[[#This Row],[employeeID]],員工[],2,FALSE)</f>
        <v>陳氏絨</v>
      </c>
    </row>
    <row r="9012" spans="6:19" hidden="1" x14ac:dyDescent="0.25">
      <c r="F9012" t="s">
        <v>869</v>
      </c>
      <c r="G9012" t="s">
        <v>398</v>
      </c>
      <c r="H9012" t="str">
        <f>VLOOKUP(record[[#This Row],[ProcessSN]],表格2_7[],2,FALSE)</f>
        <v>30-4118-018-550</v>
      </c>
      <c r="I9012" t="str">
        <f>VLOOKUP(record[[#This Row],[ProcessSN]],表格2_7[],3,FALSE)</f>
        <v>#08RCV</v>
      </c>
      <c r="J9012" t="s">
        <v>591</v>
      </c>
      <c r="K9012" s="195">
        <v>45834.609803240739</v>
      </c>
      <c r="L9012">
        <v>322</v>
      </c>
      <c r="M9012">
        <v>0</v>
      </c>
      <c r="N9012" s="98" t="str">
        <f>IF(record[[#This Row],[Memo]]="Browser:chrome os:android","平板報工",IF(record[[#This Row],[Memo]]=0,"委外",record[[#This Row],[Memo]]))</f>
        <v/>
      </c>
      <c r="O9012" t="s">
        <v>58</v>
      </c>
      <c r="P9012" t="s">
        <v>186</v>
      </c>
      <c r="Q9012" t="s">
        <v>58</v>
      </c>
      <c r="R9012" t="str">
        <f>IFERROR(VLOOKUP(record[[#This Row],[PCUSTID]],廠商[],2,FALSE),"")</f>
        <v/>
      </c>
      <c r="S9012" t="str">
        <f>VLOOKUP(record[[#This Row],[employeeID]],員工[],2,FALSE)</f>
        <v>許文姍</v>
      </c>
    </row>
    <row r="9013" spans="6:19" hidden="1" x14ac:dyDescent="0.25">
      <c r="F9013" t="s">
        <v>849</v>
      </c>
      <c r="G9013" t="s">
        <v>468</v>
      </c>
      <c r="H9013" t="str">
        <f>VLOOKUP(record[[#This Row],[ProcessSN]],表格2_7[],2,FALSE)</f>
        <v>30-4118-018-XXX</v>
      </c>
      <c r="I9013" t="str">
        <f>VLOOKUP(record[[#This Row],[ProcessSN]],表格2_7[],3,FALSE)</f>
        <v>#02</v>
      </c>
      <c r="J9013" t="s">
        <v>590</v>
      </c>
      <c r="K9013" s="195">
        <v>45834.377789351849</v>
      </c>
      <c r="L9013">
        <v>1679</v>
      </c>
      <c r="M9013">
        <v>0</v>
      </c>
      <c r="N9013" s="98" t="str">
        <f>IF(record[[#This Row],[Memo]]="Browser:chrome os:android","平板報工",IF(record[[#This Row],[Memo]]=0,"委外",record[[#This Row],[Memo]]))</f>
        <v/>
      </c>
      <c r="O9013" t="s">
        <v>58</v>
      </c>
      <c r="P9013" t="s">
        <v>186</v>
      </c>
      <c r="Q9013" t="s">
        <v>216</v>
      </c>
      <c r="R9013" t="str">
        <f>IFERROR(VLOOKUP(record[[#This Row],[PCUSTID]],廠商[],2,FALSE),"")</f>
        <v>俊杰</v>
      </c>
      <c r="S9013" t="str">
        <f>VLOOKUP(record[[#This Row],[employeeID]],員工[],2,FALSE)</f>
        <v>許文姍</v>
      </c>
    </row>
    <row r="9014" spans="6:19" hidden="1" x14ac:dyDescent="0.25">
      <c r="F9014" t="s">
        <v>830</v>
      </c>
      <c r="G9014" t="s">
        <v>428</v>
      </c>
      <c r="H9014" t="str">
        <f>VLOOKUP(record[[#This Row],[ProcessSN]],表格2_7[],2,FALSE)</f>
        <v>30-4118-018-600</v>
      </c>
      <c r="I9014" t="str">
        <f>VLOOKUP(record[[#This Row],[ProcessSN]],表格2_7[],3,FALSE)</f>
        <v>#100SHIP</v>
      </c>
      <c r="J9014" t="s">
        <v>600</v>
      </c>
      <c r="K9014" s="195">
        <v>45834.370173611111</v>
      </c>
      <c r="L9014">
        <v>46</v>
      </c>
      <c r="M9014">
        <v>0</v>
      </c>
      <c r="N9014" s="98" t="str">
        <f>IF(record[[#This Row],[Memo]]="Browser:chrome os:android","平板報工",IF(record[[#This Row],[Memo]]=0,"委外",record[[#This Row],[Memo]]))</f>
        <v/>
      </c>
      <c r="O9014" t="s">
        <v>58</v>
      </c>
      <c r="P9014" t="s">
        <v>196</v>
      </c>
      <c r="Q9014" t="s">
        <v>58</v>
      </c>
      <c r="R9014" t="str">
        <f>IFERROR(VLOOKUP(record[[#This Row],[PCUSTID]],廠商[],2,FALSE),"")</f>
        <v/>
      </c>
      <c r="S9014" t="str">
        <f>VLOOKUP(record[[#This Row],[employeeID]],員工[],2,FALSE)</f>
        <v>張淑惠</v>
      </c>
    </row>
    <row r="9015" spans="6:19" hidden="1" x14ac:dyDescent="0.25">
      <c r="F9015" t="s">
        <v>822</v>
      </c>
      <c r="G9015" t="s">
        <v>428</v>
      </c>
      <c r="H9015" t="str">
        <f>VLOOKUP(record[[#This Row],[ProcessSN]],表格2_7[],2,FALSE)</f>
        <v>30-4118-018-600</v>
      </c>
      <c r="I9015" t="str">
        <f>VLOOKUP(record[[#This Row],[ProcessSN]],表格2_7[],3,FALSE)</f>
        <v>#100SHIP</v>
      </c>
      <c r="J9015" t="s">
        <v>600</v>
      </c>
      <c r="K9015" s="195">
        <v>45834.369780092595</v>
      </c>
      <c r="L9015">
        <v>164</v>
      </c>
      <c r="M9015">
        <v>0</v>
      </c>
      <c r="N9015" s="98" t="str">
        <f>IF(record[[#This Row],[Memo]]="Browser:chrome os:android","平板報工",IF(record[[#This Row],[Memo]]=0,"委外",record[[#This Row],[Memo]]))</f>
        <v/>
      </c>
      <c r="O9015" t="s">
        <v>58</v>
      </c>
      <c r="P9015" t="s">
        <v>196</v>
      </c>
      <c r="Q9015" t="s">
        <v>58</v>
      </c>
      <c r="R9015" t="str">
        <f>IFERROR(VLOOKUP(record[[#This Row],[PCUSTID]],廠商[],2,FALSE),"")</f>
        <v/>
      </c>
      <c r="S9015" t="str">
        <f>VLOOKUP(record[[#This Row],[employeeID]],員工[],2,FALSE)</f>
        <v>張淑惠</v>
      </c>
    </row>
    <row r="9016" spans="6:19" hidden="1" x14ac:dyDescent="0.25">
      <c r="F9016" t="s">
        <v>820</v>
      </c>
      <c r="G9016" t="s">
        <v>428</v>
      </c>
      <c r="H9016" t="str">
        <f>VLOOKUP(record[[#This Row],[ProcessSN]],表格2_7[],2,FALSE)</f>
        <v>30-4118-018-600</v>
      </c>
      <c r="I9016" t="str">
        <f>VLOOKUP(record[[#This Row],[ProcessSN]],表格2_7[],3,FALSE)</f>
        <v>#100SHIP</v>
      </c>
      <c r="J9016" t="s">
        <v>600</v>
      </c>
      <c r="K9016" s="195">
        <v>45834.369490740741</v>
      </c>
      <c r="L9016">
        <v>89</v>
      </c>
      <c r="M9016">
        <v>0</v>
      </c>
      <c r="N9016" s="98" t="str">
        <f>IF(record[[#This Row],[Memo]]="Browser:chrome os:android","平板報工",IF(record[[#This Row],[Memo]]=0,"委外",record[[#This Row],[Memo]]))</f>
        <v/>
      </c>
      <c r="O9016" t="s">
        <v>58</v>
      </c>
      <c r="P9016" t="s">
        <v>196</v>
      </c>
      <c r="Q9016" t="s">
        <v>58</v>
      </c>
      <c r="R9016" t="str">
        <f>IFERROR(VLOOKUP(record[[#This Row],[PCUSTID]],廠商[],2,FALSE),"")</f>
        <v/>
      </c>
      <c r="S9016" t="str">
        <f>VLOOKUP(record[[#This Row],[employeeID]],員工[],2,FALSE)</f>
        <v>張淑惠</v>
      </c>
    </row>
    <row r="9017" spans="6:19" hidden="1" x14ac:dyDescent="0.25">
      <c r="F9017" t="s">
        <v>818</v>
      </c>
      <c r="G9017" t="s">
        <v>428</v>
      </c>
      <c r="H9017" t="str">
        <f>VLOOKUP(record[[#This Row],[ProcessSN]],表格2_7[],2,FALSE)</f>
        <v>30-4118-018-600</v>
      </c>
      <c r="I9017" t="str">
        <f>VLOOKUP(record[[#This Row],[ProcessSN]],表格2_7[],3,FALSE)</f>
        <v>#100SHIP</v>
      </c>
      <c r="J9017" t="s">
        <v>600</v>
      </c>
      <c r="K9017" s="195">
        <v>45834.369201388887</v>
      </c>
      <c r="L9017">
        <v>17</v>
      </c>
      <c r="M9017">
        <v>0</v>
      </c>
      <c r="N9017" s="98" t="str">
        <f>IF(record[[#This Row],[Memo]]="Browser:chrome os:android","平板報工",IF(record[[#This Row],[Memo]]=0,"委外",record[[#This Row],[Memo]]))</f>
        <v/>
      </c>
      <c r="O9017" t="s">
        <v>58</v>
      </c>
      <c r="P9017" t="s">
        <v>196</v>
      </c>
      <c r="Q9017" t="s">
        <v>58</v>
      </c>
      <c r="R9017" t="str">
        <f>IFERROR(VLOOKUP(record[[#This Row],[PCUSTID]],廠商[],2,FALSE),"")</f>
        <v/>
      </c>
      <c r="S9017" t="str">
        <f>VLOOKUP(record[[#This Row],[employeeID]],員工[],2,FALSE)</f>
        <v>張淑惠</v>
      </c>
    </row>
    <row r="9018" spans="6:19" hidden="1" x14ac:dyDescent="0.25">
      <c r="F9018" t="s">
        <v>810</v>
      </c>
      <c r="G9018" t="s">
        <v>428</v>
      </c>
      <c r="H9018" t="str">
        <f>VLOOKUP(record[[#This Row],[ProcessSN]],表格2_7[],2,FALSE)</f>
        <v>30-4118-018-600</v>
      </c>
      <c r="I9018" t="str">
        <f>VLOOKUP(record[[#This Row],[ProcessSN]],表格2_7[],3,FALSE)</f>
        <v>#100SHIP</v>
      </c>
      <c r="J9018" t="s">
        <v>600</v>
      </c>
      <c r="K9018" s="195">
        <v>45834.3672337963</v>
      </c>
      <c r="L9018">
        <v>3</v>
      </c>
      <c r="M9018">
        <v>0</v>
      </c>
      <c r="N9018" s="98" t="str">
        <f>IF(record[[#This Row],[Memo]]="Browser:chrome os:android","平板報工",IF(record[[#This Row],[Memo]]=0,"委外",record[[#This Row],[Memo]]))</f>
        <v/>
      </c>
      <c r="O9018" t="s">
        <v>58</v>
      </c>
      <c r="P9018" t="s">
        <v>196</v>
      </c>
      <c r="Q9018" t="s">
        <v>58</v>
      </c>
      <c r="R9018" t="str">
        <f>IFERROR(VLOOKUP(record[[#This Row],[PCUSTID]],廠商[],2,FALSE),"")</f>
        <v/>
      </c>
      <c r="S9018" t="str">
        <f>VLOOKUP(record[[#This Row],[employeeID]],員工[],2,FALSE)</f>
        <v>張淑惠</v>
      </c>
    </row>
    <row r="9019" spans="6:19" hidden="1" x14ac:dyDescent="0.25">
      <c r="F9019" t="s">
        <v>854</v>
      </c>
      <c r="G9019" t="s">
        <v>417</v>
      </c>
      <c r="H9019" t="str">
        <f>VLOOKUP(record[[#This Row],[ProcessSN]],表格2_7[],2,FALSE)</f>
        <v>30-4118-018-5XX</v>
      </c>
      <c r="I9019" t="str">
        <f>VLOOKUP(record[[#This Row],[ProcessSN]],表格2_7[],3,FALSE)</f>
        <v>#06</v>
      </c>
      <c r="J9019" t="s">
        <v>593</v>
      </c>
      <c r="K9019" s="195">
        <v>45834.296990740739</v>
      </c>
      <c r="L9019">
        <v>121</v>
      </c>
      <c r="M9019">
        <v>0</v>
      </c>
      <c r="N9019" s="98" t="str">
        <f>IF(record[[#This Row],[Memo]]="Browser:chrome os:android","平板報工",IF(record[[#This Row],[Memo]]=0,"委外",record[[#This Row],[Memo]]))</f>
        <v/>
      </c>
      <c r="O9019" t="s">
        <v>58</v>
      </c>
      <c r="P9019" t="s">
        <v>135</v>
      </c>
      <c r="Q9019" t="s">
        <v>58</v>
      </c>
      <c r="R9019" t="str">
        <f>IFERROR(VLOOKUP(record[[#This Row],[PCUSTID]],廠商[],2,FALSE),"")</f>
        <v/>
      </c>
      <c r="S9019" t="str">
        <f>VLOOKUP(record[[#This Row],[employeeID]],員工[],2,FALSE)</f>
        <v>阮士文</v>
      </c>
    </row>
    <row r="9020" spans="6:19" hidden="1" x14ac:dyDescent="0.25">
      <c r="F9020" t="s">
        <v>854</v>
      </c>
      <c r="G9020" t="s">
        <v>416</v>
      </c>
      <c r="H9020" t="str">
        <f>VLOOKUP(record[[#This Row],[ProcessSN]],表格2_7[],2,FALSE)</f>
        <v>30-4118-018-5XX</v>
      </c>
      <c r="I9020" t="str">
        <f>VLOOKUP(record[[#This Row],[ProcessSN]],表格2_7[],3,FALSE)</f>
        <v>#05</v>
      </c>
      <c r="J9020" t="s">
        <v>588</v>
      </c>
      <c r="K9020" s="195">
        <v>45833.970451388886</v>
      </c>
      <c r="L9020">
        <v>197</v>
      </c>
      <c r="M9020">
        <v>14</v>
      </c>
      <c r="N9020" s="98" t="str">
        <f>IF(record[[#This Row],[Memo]]="Browser:chrome os:android","平板報工",IF(record[[#This Row],[Memo]]=0,"委外",record[[#This Row],[Memo]]))</f>
        <v/>
      </c>
      <c r="O9020" t="s">
        <v>58</v>
      </c>
      <c r="P9020" t="s">
        <v>806</v>
      </c>
      <c r="Q9020" t="s">
        <v>58</v>
      </c>
      <c r="R9020" t="str">
        <f>IFERROR(VLOOKUP(record[[#This Row],[PCUSTID]],廠商[],2,FALSE),"")</f>
        <v/>
      </c>
      <c r="S9020" t="str">
        <f>VLOOKUP(record[[#This Row],[employeeID]],員工[],2,FALSE)</f>
        <v>方思緯</v>
      </c>
    </row>
    <row r="9021" spans="6:19" hidden="1" x14ac:dyDescent="0.25">
      <c r="F9021" t="s">
        <v>854</v>
      </c>
      <c r="G9021" t="s">
        <v>415</v>
      </c>
      <c r="H9021" t="str">
        <f>VLOOKUP(record[[#This Row],[ProcessSN]],表格2_7[],2,FALSE)</f>
        <v>30-4118-018-5XX</v>
      </c>
      <c r="I9021" t="str">
        <f>VLOOKUP(record[[#This Row],[ProcessSN]],表格2_7[],3,FALSE)</f>
        <v>#04</v>
      </c>
      <c r="J9021" t="s">
        <v>588</v>
      </c>
      <c r="K9021" s="195">
        <v>45833.968831018516</v>
      </c>
      <c r="L9021">
        <v>130</v>
      </c>
      <c r="M9021">
        <v>0</v>
      </c>
      <c r="N9021" s="98" t="str">
        <f>IF(record[[#This Row],[Memo]]="Browser:chrome os:android","平板報工",IF(record[[#This Row],[Memo]]=0,"委外",record[[#This Row],[Memo]]))</f>
        <v>補報</v>
      </c>
      <c r="O9021" t="s">
        <v>868</v>
      </c>
      <c r="P9021" t="s">
        <v>119</v>
      </c>
      <c r="Q9021" t="s">
        <v>58</v>
      </c>
      <c r="R9021" t="str">
        <f>IFERROR(VLOOKUP(record[[#This Row],[PCUSTID]],廠商[],2,FALSE),"")</f>
        <v/>
      </c>
      <c r="S9021" t="str">
        <f>VLOOKUP(record[[#This Row],[employeeID]],員工[],2,FALSE)</f>
        <v>廖俊彥</v>
      </c>
    </row>
    <row r="9022" spans="6:19" hidden="1" x14ac:dyDescent="0.25">
      <c r="F9022" t="s">
        <v>849</v>
      </c>
      <c r="G9022" t="s">
        <v>466</v>
      </c>
      <c r="H9022" t="str">
        <f>VLOOKUP(record[[#This Row],[ProcessSN]],表格2_7[],2,FALSE)</f>
        <v>30-4118-018-XXX</v>
      </c>
      <c r="I9022" t="str">
        <f>VLOOKUP(record[[#This Row],[ProcessSN]],表格2_7[],3,FALSE)</f>
        <v>#01-2</v>
      </c>
      <c r="J9022" t="s">
        <v>588</v>
      </c>
      <c r="K9022" s="195">
        <v>45833.967106481483</v>
      </c>
      <c r="L9022">
        <v>628</v>
      </c>
      <c r="M9022">
        <v>41</v>
      </c>
      <c r="N9022" s="98" t="str">
        <f>IF(record[[#This Row],[Memo]]="Browser:chrome os:android","平板報工",IF(record[[#This Row],[Memo]]=0,"委外",record[[#This Row],[Memo]]))</f>
        <v/>
      </c>
      <c r="O9022" t="s">
        <v>58</v>
      </c>
      <c r="P9022" t="s">
        <v>763</v>
      </c>
      <c r="Q9022" t="s">
        <v>58</v>
      </c>
      <c r="R9022" t="str">
        <f>IFERROR(VLOOKUP(record[[#This Row],[PCUSTID]],廠商[],2,FALSE),"")</f>
        <v/>
      </c>
      <c r="S9022" t="str">
        <f>VLOOKUP(record[[#This Row],[employeeID]],員工[],2,FALSE)</f>
        <v>江嘉倫</v>
      </c>
    </row>
    <row r="9023" spans="6:19" hidden="1" x14ac:dyDescent="0.25">
      <c r="F9023" t="s">
        <v>849</v>
      </c>
      <c r="G9023" t="s">
        <v>465</v>
      </c>
      <c r="H9023" t="str">
        <f>VLOOKUP(record[[#This Row],[ProcessSN]],表格2_7[],2,FALSE)</f>
        <v>30-4118-018-XXX</v>
      </c>
      <c r="I9023" t="str">
        <f>VLOOKUP(record[[#This Row],[ProcessSN]],表格2_7[],3,FALSE)</f>
        <v>#01-1</v>
      </c>
      <c r="J9023" t="s">
        <v>588</v>
      </c>
      <c r="K9023" s="195">
        <v>45833.96638888889</v>
      </c>
      <c r="L9023">
        <v>669</v>
      </c>
      <c r="M9023">
        <v>0</v>
      </c>
      <c r="N9023" s="98" t="str">
        <f>IF(record[[#This Row],[Memo]]="Browser:chrome os:android","平板報工",IF(record[[#This Row],[Memo]]=0,"委外",record[[#This Row],[Memo]]))</f>
        <v/>
      </c>
      <c r="O9023" t="s">
        <v>58</v>
      </c>
      <c r="P9023" t="s">
        <v>763</v>
      </c>
      <c r="Q9023" t="s">
        <v>58</v>
      </c>
      <c r="R9023" t="str">
        <f>IFERROR(VLOOKUP(record[[#This Row],[PCUSTID]],廠商[],2,FALSE),"")</f>
        <v/>
      </c>
      <c r="S9023" t="str">
        <f>VLOOKUP(record[[#This Row],[employeeID]],員工[],2,FALSE)</f>
        <v>江嘉倫</v>
      </c>
    </row>
    <row r="9024" spans="6:19" hidden="1" x14ac:dyDescent="0.25">
      <c r="F9024" t="s">
        <v>854</v>
      </c>
      <c r="G9024" t="s">
        <v>417</v>
      </c>
      <c r="H9024" t="str">
        <f>VLOOKUP(record[[#This Row],[ProcessSN]],表格2_7[],2,FALSE)</f>
        <v>30-4118-018-5XX</v>
      </c>
      <c r="I9024" t="str">
        <f>VLOOKUP(record[[#This Row],[ProcessSN]],表格2_7[],3,FALSE)</f>
        <v>#06</v>
      </c>
      <c r="J9024" t="s">
        <v>593</v>
      </c>
      <c r="K9024" s="195">
        <v>45833.963750000003</v>
      </c>
      <c r="L9024">
        <v>121</v>
      </c>
      <c r="M9024">
        <v>0</v>
      </c>
      <c r="N9024" s="98" t="str">
        <f>IF(record[[#This Row],[Memo]]="Browser:chrome os:android","平板報工",IF(record[[#This Row],[Memo]]=0,"委外",record[[#This Row],[Memo]]))</f>
        <v/>
      </c>
      <c r="O9024" t="s">
        <v>58</v>
      </c>
      <c r="P9024" t="s">
        <v>841</v>
      </c>
      <c r="Q9024" t="s">
        <v>58</v>
      </c>
      <c r="R9024" t="str">
        <f>IFERROR(VLOOKUP(record[[#This Row],[PCUSTID]],廠商[],2,FALSE),"")</f>
        <v/>
      </c>
      <c r="S9024" t="str">
        <f>VLOOKUP(record[[#This Row],[employeeID]],員工[],2,FALSE)</f>
        <v>范氏香</v>
      </c>
    </row>
    <row r="9025" spans="6:19" hidden="1" x14ac:dyDescent="0.25">
      <c r="F9025" t="s">
        <v>849</v>
      </c>
      <c r="G9025" t="s">
        <v>467</v>
      </c>
      <c r="H9025" t="str">
        <f>VLOOKUP(record[[#This Row],[ProcessSN]],表格2_7[],2,FALSE)</f>
        <v>30-4118-018-XXX</v>
      </c>
      <c r="I9025" t="str">
        <f>VLOOKUP(record[[#This Row],[ProcessSN]],表格2_7[],3,FALSE)</f>
        <v>#01QC</v>
      </c>
      <c r="J9025" t="s">
        <v>589</v>
      </c>
      <c r="K9025" s="195">
        <v>45833.696504629632</v>
      </c>
      <c r="L9025">
        <v>839</v>
      </c>
      <c r="M9025">
        <v>0</v>
      </c>
      <c r="N9025" s="98" t="str">
        <f>IF(record[[#This Row],[Memo]]="Browser:chrome os:android","平板報工",IF(record[[#This Row],[Memo]]=0,"委外",record[[#This Row],[Memo]]))</f>
        <v>平板報工</v>
      </c>
      <c r="O9025" t="s">
        <v>643</v>
      </c>
      <c r="P9025" t="s">
        <v>182</v>
      </c>
      <c r="Q9025" t="s">
        <v>644</v>
      </c>
      <c r="R9025" t="str">
        <f>IFERROR(VLOOKUP(record[[#This Row],[PCUSTID]],廠商[],2,FALSE),"")</f>
        <v/>
      </c>
      <c r="S9025" t="str">
        <f>VLOOKUP(record[[#This Row],[employeeID]],員工[],2,FALSE)</f>
        <v>梅氏和</v>
      </c>
    </row>
    <row r="9026" spans="6:19" hidden="1" x14ac:dyDescent="0.25">
      <c r="F9026" t="s">
        <v>854</v>
      </c>
      <c r="G9026" t="s">
        <v>417</v>
      </c>
      <c r="H9026" t="str">
        <f>VLOOKUP(record[[#This Row],[ProcessSN]],表格2_7[],2,FALSE)</f>
        <v>30-4118-018-5XX</v>
      </c>
      <c r="I9026" t="str">
        <f>VLOOKUP(record[[#This Row],[ProcessSN]],表格2_7[],3,FALSE)</f>
        <v>#06</v>
      </c>
      <c r="J9026" t="s">
        <v>593</v>
      </c>
      <c r="K9026" s="195">
        <v>45833.684421296297</v>
      </c>
      <c r="L9026">
        <v>115</v>
      </c>
      <c r="M9026">
        <v>0</v>
      </c>
      <c r="N9026" s="98" t="str">
        <f>IF(record[[#This Row],[Memo]]="Browser:chrome os:android","平板報工",IF(record[[#This Row],[Memo]]=0,"委外",record[[#This Row],[Memo]]))</f>
        <v/>
      </c>
      <c r="O9026" t="s">
        <v>58</v>
      </c>
      <c r="P9026" t="s">
        <v>119</v>
      </c>
      <c r="Q9026" t="s">
        <v>58</v>
      </c>
      <c r="R9026" t="str">
        <f>IFERROR(VLOOKUP(record[[#This Row],[PCUSTID]],廠商[],2,FALSE),"")</f>
        <v/>
      </c>
      <c r="S9026" t="str">
        <f>VLOOKUP(record[[#This Row],[employeeID]],員工[],2,FALSE)</f>
        <v>廖俊彥</v>
      </c>
    </row>
    <row r="9027" spans="6:19" hidden="1" x14ac:dyDescent="0.25">
      <c r="F9027" t="s">
        <v>849</v>
      </c>
      <c r="G9027" t="s">
        <v>466</v>
      </c>
      <c r="H9027" t="str">
        <f>VLOOKUP(record[[#This Row],[ProcessSN]],表格2_7[],2,FALSE)</f>
        <v>30-4118-018-XXX</v>
      </c>
      <c r="I9027" t="str">
        <f>VLOOKUP(record[[#This Row],[ProcessSN]],表格2_7[],3,FALSE)</f>
        <v>#01-2</v>
      </c>
      <c r="J9027" t="s">
        <v>588</v>
      </c>
      <c r="K9027" s="195">
        <v>45833.678414351853</v>
      </c>
      <c r="L9027">
        <v>527</v>
      </c>
      <c r="M9027">
        <v>63</v>
      </c>
      <c r="N9027" s="98" t="str">
        <f>IF(record[[#This Row],[Memo]]="Browser:chrome os:android","平板報工",IF(record[[#This Row],[Memo]]=0,"委外",record[[#This Row],[Memo]]))</f>
        <v/>
      </c>
      <c r="O9027" t="s">
        <v>58</v>
      </c>
      <c r="P9027" t="s">
        <v>119</v>
      </c>
      <c r="Q9027" t="s">
        <v>58</v>
      </c>
      <c r="R9027" t="str">
        <f>IFERROR(VLOOKUP(record[[#This Row],[PCUSTID]],廠商[],2,FALSE),"")</f>
        <v/>
      </c>
      <c r="S9027" t="str">
        <f>VLOOKUP(record[[#This Row],[employeeID]],員工[],2,FALSE)</f>
        <v>廖俊彥</v>
      </c>
    </row>
    <row r="9028" spans="6:19" hidden="1" x14ac:dyDescent="0.25">
      <c r="F9028" t="s">
        <v>849</v>
      </c>
      <c r="G9028" t="s">
        <v>465</v>
      </c>
      <c r="H9028" t="str">
        <f>VLOOKUP(record[[#This Row],[ProcessSN]],表格2_7[],2,FALSE)</f>
        <v>30-4118-018-XXX</v>
      </c>
      <c r="I9028" t="str">
        <f>VLOOKUP(record[[#This Row],[ProcessSN]],表格2_7[],3,FALSE)</f>
        <v>#01-1</v>
      </c>
      <c r="J9028" t="s">
        <v>588</v>
      </c>
      <c r="K9028" s="195">
        <v>45833.678240740737</v>
      </c>
      <c r="L9028">
        <v>446</v>
      </c>
      <c r="M9028">
        <v>0</v>
      </c>
      <c r="N9028" s="98" t="str">
        <f>IF(record[[#This Row],[Memo]]="Browser:chrome os:android","平板報工",IF(record[[#This Row],[Memo]]=0,"委外",record[[#This Row],[Memo]]))</f>
        <v/>
      </c>
      <c r="O9028" t="s">
        <v>58</v>
      </c>
      <c r="P9028" t="s">
        <v>119</v>
      </c>
      <c r="Q9028" t="s">
        <v>58</v>
      </c>
      <c r="R9028" t="str">
        <f>IFERROR(VLOOKUP(record[[#This Row],[PCUSTID]],廠商[],2,FALSE),"")</f>
        <v/>
      </c>
      <c r="S9028" t="str">
        <f>VLOOKUP(record[[#This Row],[employeeID]],員工[],2,FALSE)</f>
        <v>廖俊彥</v>
      </c>
    </row>
    <row r="9029" spans="6:19" hidden="1" x14ac:dyDescent="0.25">
      <c r="F9029" t="s">
        <v>854</v>
      </c>
      <c r="G9029" t="s">
        <v>416</v>
      </c>
      <c r="H9029" t="str">
        <f>VLOOKUP(record[[#This Row],[ProcessSN]],表格2_7[],2,FALSE)</f>
        <v>30-4118-018-5XX</v>
      </c>
      <c r="I9029" t="str">
        <f>VLOOKUP(record[[#This Row],[ProcessSN]],表格2_7[],3,FALSE)</f>
        <v>#05</v>
      </c>
      <c r="J9029" t="s">
        <v>588</v>
      </c>
      <c r="K9029" s="195">
        <v>45833.677164351851</v>
      </c>
      <c r="L9029">
        <v>251</v>
      </c>
      <c r="M9029">
        <v>0</v>
      </c>
      <c r="N9029" s="98" t="str">
        <f>IF(record[[#This Row],[Memo]]="Browser:chrome os:android","平板報工",IF(record[[#This Row],[Memo]]=0,"委外",record[[#This Row],[Memo]]))</f>
        <v/>
      </c>
      <c r="O9029" t="s">
        <v>58</v>
      </c>
      <c r="P9029" t="s">
        <v>119</v>
      </c>
      <c r="Q9029" t="s">
        <v>58</v>
      </c>
      <c r="R9029" t="str">
        <f>IFERROR(VLOOKUP(record[[#This Row],[PCUSTID]],廠商[],2,FALSE),"")</f>
        <v/>
      </c>
      <c r="S9029" t="str">
        <f>VLOOKUP(record[[#This Row],[employeeID]],員工[],2,FALSE)</f>
        <v>廖俊彥</v>
      </c>
    </row>
    <row r="9030" spans="6:19" hidden="1" x14ac:dyDescent="0.25">
      <c r="F9030" t="s">
        <v>849</v>
      </c>
      <c r="G9030" t="s">
        <v>467</v>
      </c>
      <c r="H9030" t="str">
        <f>VLOOKUP(record[[#This Row],[ProcessSN]],表格2_7[],2,FALSE)</f>
        <v>30-4118-018-XXX</v>
      </c>
      <c r="I9030" t="str">
        <f>VLOOKUP(record[[#This Row],[ProcessSN]],表格2_7[],3,FALSE)</f>
        <v>#01QC</v>
      </c>
      <c r="J9030" t="s">
        <v>589</v>
      </c>
      <c r="K9030" s="195">
        <v>45833.657326388886</v>
      </c>
      <c r="L9030">
        <v>840</v>
      </c>
      <c r="M9030">
        <v>0</v>
      </c>
      <c r="N9030" s="98" t="str">
        <f>IF(record[[#This Row],[Memo]]="Browser:chrome os:android","平板報工",IF(record[[#This Row],[Memo]]=0,"委外",record[[#This Row],[Memo]]))</f>
        <v>平板報工</v>
      </c>
      <c r="O9030" t="s">
        <v>643</v>
      </c>
      <c r="P9030" t="s">
        <v>182</v>
      </c>
      <c r="Q9030" t="s">
        <v>644</v>
      </c>
      <c r="R9030" t="str">
        <f>IFERROR(VLOOKUP(record[[#This Row],[PCUSTID]],廠商[],2,FALSE),"")</f>
        <v/>
      </c>
      <c r="S9030" t="str">
        <f>VLOOKUP(record[[#This Row],[employeeID]],員工[],2,FALSE)</f>
        <v>梅氏和</v>
      </c>
    </row>
    <row r="9031" spans="6:19" hidden="1" x14ac:dyDescent="0.25">
      <c r="F9031" t="s">
        <v>866</v>
      </c>
      <c r="G9031" t="s">
        <v>403</v>
      </c>
      <c r="H9031" t="str">
        <f>VLOOKUP(record[[#This Row],[ProcessSN]],表格2_7[],2,FALSE)</f>
        <v>30-4118-018-550</v>
      </c>
      <c r="I9031" t="str">
        <f>VLOOKUP(record[[#This Row],[ProcessSN]],表格2_7[],3,FALSE)</f>
        <v>#100SHIP</v>
      </c>
      <c r="J9031" t="s">
        <v>600</v>
      </c>
      <c r="K9031" s="195">
        <v>45833.64502314815</v>
      </c>
      <c r="L9031">
        <v>123</v>
      </c>
      <c r="M9031">
        <v>0</v>
      </c>
      <c r="N9031" s="98" t="str">
        <f>IF(record[[#This Row],[Memo]]="Browser:chrome os:android","平板報工",IF(record[[#This Row],[Memo]]=0,"委外",record[[#This Row],[Memo]]))</f>
        <v/>
      </c>
      <c r="O9031" t="s">
        <v>58</v>
      </c>
      <c r="P9031" t="s">
        <v>196</v>
      </c>
      <c r="Q9031" t="s">
        <v>58</v>
      </c>
      <c r="R9031" t="str">
        <f>IFERROR(VLOOKUP(record[[#This Row],[PCUSTID]],廠商[],2,FALSE),"")</f>
        <v/>
      </c>
      <c r="S9031" t="str">
        <f>VLOOKUP(record[[#This Row],[employeeID]],員工[],2,FALSE)</f>
        <v>張淑惠</v>
      </c>
    </row>
    <row r="9032" spans="6:19" hidden="1" x14ac:dyDescent="0.25">
      <c r="F9032" t="s">
        <v>862</v>
      </c>
      <c r="G9032" t="s">
        <v>403</v>
      </c>
      <c r="H9032" t="str">
        <f>VLOOKUP(record[[#This Row],[ProcessSN]],表格2_7[],2,FALSE)</f>
        <v>30-4118-018-550</v>
      </c>
      <c r="I9032" t="str">
        <f>VLOOKUP(record[[#This Row],[ProcessSN]],表格2_7[],3,FALSE)</f>
        <v>#100SHIP</v>
      </c>
      <c r="J9032" t="s">
        <v>600</v>
      </c>
      <c r="K9032" s="195">
        <v>45833.644687499997</v>
      </c>
      <c r="L9032">
        <v>168</v>
      </c>
      <c r="M9032">
        <v>0</v>
      </c>
      <c r="N9032" s="98" t="str">
        <f>IF(record[[#This Row],[Memo]]="Browser:chrome os:android","平板報工",IF(record[[#This Row],[Memo]]=0,"委外",record[[#This Row],[Memo]]))</f>
        <v/>
      </c>
      <c r="O9032" t="s">
        <v>58</v>
      </c>
      <c r="P9032" t="s">
        <v>196</v>
      </c>
      <c r="Q9032" t="s">
        <v>58</v>
      </c>
      <c r="R9032" t="str">
        <f>IFERROR(VLOOKUP(record[[#This Row],[PCUSTID]],廠商[],2,FALSE),"")</f>
        <v/>
      </c>
      <c r="S9032" t="str">
        <f>VLOOKUP(record[[#This Row],[employeeID]],員工[],2,FALSE)</f>
        <v>張淑惠</v>
      </c>
    </row>
    <row r="9033" spans="6:19" hidden="1" x14ac:dyDescent="0.25">
      <c r="F9033" t="s">
        <v>858</v>
      </c>
      <c r="G9033" t="s">
        <v>403</v>
      </c>
      <c r="H9033" t="str">
        <f>VLOOKUP(record[[#This Row],[ProcessSN]],表格2_7[],2,FALSE)</f>
        <v>30-4118-018-550</v>
      </c>
      <c r="I9033" t="str">
        <f>VLOOKUP(record[[#This Row],[ProcessSN]],表格2_7[],3,FALSE)</f>
        <v>#100SHIP</v>
      </c>
      <c r="J9033" t="s">
        <v>600</v>
      </c>
      <c r="K9033" s="195">
        <v>45833.644375000003</v>
      </c>
      <c r="L9033">
        <v>225</v>
      </c>
      <c r="M9033">
        <v>0</v>
      </c>
      <c r="N9033" s="98" t="str">
        <f>IF(record[[#This Row],[Memo]]="Browser:chrome os:android","平板報工",IF(record[[#This Row],[Memo]]=0,"委外",record[[#This Row],[Memo]]))</f>
        <v/>
      </c>
      <c r="O9033" t="s">
        <v>58</v>
      </c>
      <c r="P9033" t="s">
        <v>196</v>
      </c>
      <c r="Q9033" t="s">
        <v>58</v>
      </c>
      <c r="R9033" t="str">
        <f>IFERROR(VLOOKUP(record[[#This Row],[PCUSTID]],廠商[],2,FALSE),"")</f>
        <v/>
      </c>
      <c r="S9033" t="str">
        <f>VLOOKUP(record[[#This Row],[employeeID]],員工[],2,FALSE)</f>
        <v>張淑惠</v>
      </c>
    </row>
    <row r="9034" spans="6:19" hidden="1" x14ac:dyDescent="0.25">
      <c r="F9034" t="s">
        <v>847</v>
      </c>
      <c r="G9034" t="s">
        <v>403</v>
      </c>
      <c r="H9034" t="str">
        <f>VLOOKUP(record[[#This Row],[ProcessSN]],表格2_7[],2,FALSE)</f>
        <v>30-4118-018-550</v>
      </c>
      <c r="I9034" t="str">
        <f>VLOOKUP(record[[#This Row],[ProcessSN]],表格2_7[],3,FALSE)</f>
        <v>#100SHIP</v>
      </c>
      <c r="J9034" t="s">
        <v>600</v>
      </c>
      <c r="K9034" s="195">
        <v>45833.644016203703</v>
      </c>
      <c r="L9034">
        <v>1</v>
      </c>
      <c r="M9034">
        <v>0</v>
      </c>
      <c r="N9034" s="98" t="str">
        <f>IF(record[[#This Row],[Memo]]="Browser:chrome os:android","平板報工",IF(record[[#This Row],[Memo]]=0,"委外",record[[#This Row],[Memo]]))</f>
        <v/>
      </c>
      <c r="O9034" t="s">
        <v>58</v>
      </c>
      <c r="P9034" t="s">
        <v>196</v>
      </c>
      <c r="Q9034" t="s">
        <v>58</v>
      </c>
      <c r="R9034" t="str">
        <f>IFERROR(VLOOKUP(record[[#This Row],[PCUSTID]],廠商[],2,FALSE),"")</f>
        <v/>
      </c>
      <c r="S9034" t="str">
        <f>VLOOKUP(record[[#This Row],[employeeID]],員工[],2,FALSE)</f>
        <v>張淑惠</v>
      </c>
    </row>
    <row r="9035" spans="6:19" hidden="1" x14ac:dyDescent="0.25">
      <c r="F9035" t="s">
        <v>836</v>
      </c>
      <c r="G9035" t="s">
        <v>403</v>
      </c>
      <c r="H9035" t="str">
        <f>VLOOKUP(record[[#This Row],[ProcessSN]],表格2_7[],2,FALSE)</f>
        <v>30-4118-018-550</v>
      </c>
      <c r="I9035" t="str">
        <f>VLOOKUP(record[[#This Row],[ProcessSN]],表格2_7[],3,FALSE)</f>
        <v>#100SHIP</v>
      </c>
      <c r="J9035" t="s">
        <v>600</v>
      </c>
      <c r="K9035" s="195">
        <v>45833.643055555556</v>
      </c>
      <c r="L9035">
        <v>43</v>
      </c>
      <c r="M9035">
        <v>0</v>
      </c>
      <c r="N9035" s="98" t="str">
        <f>IF(record[[#This Row],[Memo]]="Browser:chrome os:android","平板報工",IF(record[[#This Row],[Memo]]=0,"委外",record[[#This Row],[Memo]]))</f>
        <v/>
      </c>
      <c r="O9035" t="s">
        <v>58</v>
      </c>
      <c r="P9035" t="s">
        <v>196</v>
      </c>
      <c r="Q9035" t="s">
        <v>58</v>
      </c>
      <c r="R9035" t="str">
        <f>IFERROR(VLOOKUP(record[[#This Row],[PCUSTID]],廠商[],2,FALSE),"")</f>
        <v/>
      </c>
      <c r="S9035" t="str">
        <f>VLOOKUP(record[[#This Row],[employeeID]],員工[],2,FALSE)</f>
        <v>張淑惠</v>
      </c>
    </row>
    <row r="9036" spans="6:19" hidden="1" x14ac:dyDescent="0.25">
      <c r="F9036" t="s">
        <v>834</v>
      </c>
      <c r="G9036" t="s">
        <v>403</v>
      </c>
      <c r="H9036" t="str">
        <f>VLOOKUP(record[[#This Row],[ProcessSN]],表格2_7[],2,FALSE)</f>
        <v>30-4118-018-550</v>
      </c>
      <c r="I9036" t="str">
        <f>VLOOKUP(record[[#This Row],[ProcessSN]],表格2_7[],3,FALSE)</f>
        <v>#100SHIP</v>
      </c>
      <c r="J9036" t="s">
        <v>600</v>
      </c>
      <c r="K9036" s="195">
        <v>45833.641886574071</v>
      </c>
      <c r="L9036">
        <v>26</v>
      </c>
      <c r="M9036">
        <v>0</v>
      </c>
      <c r="N9036" s="98" t="str">
        <f>IF(record[[#This Row],[Memo]]="Browser:chrome os:android","平板報工",IF(record[[#This Row],[Memo]]=0,"委外",record[[#This Row],[Memo]]))</f>
        <v/>
      </c>
      <c r="O9036" t="s">
        <v>58</v>
      </c>
      <c r="P9036" t="s">
        <v>196</v>
      </c>
      <c r="Q9036" t="s">
        <v>58</v>
      </c>
      <c r="R9036" t="str">
        <f>IFERROR(VLOOKUP(record[[#This Row],[PCUSTID]],廠商[],2,FALSE),"")</f>
        <v/>
      </c>
      <c r="S9036" t="str">
        <f>VLOOKUP(record[[#This Row],[employeeID]],員工[],2,FALSE)</f>
        <v>張淑惠</v>
      </c>
    </row>
    <row r="9037" spans="6:19" hidden="1" x14ac:dyDescent="0.25">
      <c r="F9037" t="s">
        <v>832</v>
      </c>
      <c r="G9037" t="s">
        <v>403</v>
      </c>
      <c r="H9037" t="str">
        <f>VLOOKUP(record[[#This Row],[ProcessSN]],表格2_7[],2,FALSE)</f>
        <v>30-4118-018-550</v>
      </c>
      <c r="I9037" t="str">
        <f>VLOOKUP(record[[#This Row],[ProcessSN]],表格2_7[],3,FALSE)</f>
        <v>#100SHIP</v>
      </c>
      <c r="J9037" t="s">
        <v>600</v>
      </c>
      <c r="K9037" s="195">
        <v>45833.641516203701</v>
      </c>
      <c r="L9037">
        <v>22</v>
      </c>
      <c r="M9037">
        <v>0</v>
      </c>
      <c r="N9037" s="98" t="str">
        <f>IF(record[[#This Row],[Memo]]="Browser:chrome os:android","平板報工",IF(record[[#This Row],[Memo]]=0,"委外",record[[#This Row],[Memo]]))</f>
        <v/>
      </c>
      <c r="O9037" t="s">
        <v>58</v>
      </c>
      <c r="P9037" t="s">
        <v>196</v>
      </c>
      <c r="Q9037" t="s">
        <v>58</v>
      </c>
      <c r="R9037" t="str">
        <f>IFERROR(VLOOKUP(record[[#This Row],[PCUSTID]],廠商[],2,FALSE),"")</f>
        <v/>
      </c>
      <c r="S9037" t="str">
        <f>VLOOKUP(record[[#This Row],[employeeID]],員工[],2,FALSE)</f>
        <v>張淑惠</v>
      </c>
    </row>
    <row r="9038" spans="6:19" hidden="1" x14ac:dyDescent="0.25">
      <c r="F9038" t="s">
        <v>828</v>
      </c>
      <c r="G9038" t="s">
        <v>403</v>
      </c>
      <c r="H9038" t="str">
        <f>VLOOKUP(record[[#This Row],[ProcessSN]],表格2_7[],2,FALSE)</f>
        <v>30-4118-018-550</v>
      </c>
      <c r="I9038" t="str">
        <f>VLOOKUP(record[[#This Row],[ProcessSN]],表格2_7[],3,FALSE)</f>
        <v>#100SHIP</v>
      </c>
      <c r="J9038" t="s">
        <v>600</v>
      </c>
      <c r="K9038" s="195">
        <v>45833.641250000001</v>
      </c>
      <c r="L9038">
        <v>16</v>
      </c>
      <c r="M9038">
        <v>0</v>
      </c>
      <c r="N9038" s="98" t="str">
        <f>IF(record[[#This Row],[Memo]]="Browser:chrome os:android","平板報工",IF(record[[#This Row],[Memo]]=0,"委外",record[[#This Row],[Memo]]))</f>
        <v/>
      </c>
      <c r="O9038" t="s">
        <v>58</v>
      </c>
      <c r="P9038" t="s">
        <v>196</v>
      </c>
      <c r="Q9038" t="s">
        <v>58</v>
      </c>
      <c r="R9038" t="str">
        <f>IFERROR(VLOOKUP(record[[#This Row],[PCUSTID]],廠商[],2,FALSE),"")</f>
        <v/>
      </c>
      <c r="S9038" t="str">
        <f>VLOOKUP(record[[#This Row],[employeeID]],員工[],2,FALSE)</f>
        <v>張淑惠</v>
      </c>
    </row>
    <row r="9039" spans="6:19" hidden="1" x14ac:dyDescent="0.25">
      <c r="F9039" t="s">
        <v>866</v>
      </c>
      <c r="G9039" t="s">
        <v>402</v>
      </c>
      <c r="H9039" t="str">
        <f>VLOOKUP(record[[#This Row],[ProcessSN]],表格2_7[],2,FALSE)</f>
        <v>30-4118-018-550</v>
      </c>
      <c r="I9039" t="str">
        <f>VLOOKUP(record[[#This Row],[ProcessSN]],表格2_7[],3,FALSE)</f>
        <v>#100STOCK</v>
      </c>
      <c r="J9039" t="s">
        <v>592</v>
      </c>
      <c r="K9039" s="195">
        <v>45833.640208333331</v>
      </c>
      <c r="L9039">
        <v>317</v>
      </c>
      <c r="M9039">
        <v>0</v>
      </c>
      <c r="N9039" s="98" t="str">
        <f>IF(record[[#This Row],[Memo]]="Browser:chrome os:android","平板報工",IF(record[[#This Row],[Memo]]=0,"委外",record[[#This Row],[Memo]]))</f>
        <v/>
      </c>
      <c r="O9039" t="s">
        <v>58</v>
      </c>
      <c r="P9039" t="s">
        <v>196</v>
      </c>
      <c r="Q9039" t="s">
        <v>58</v>
      </c>
      <c r="R9039" t="str">
        <f>IFERROR(VLOOKUP(record[[#This Row],[PCUSTID]],廠商[],2,FALSE),"")</f>
        <v/>
      </c>
      <c r="S9039" t="str">
        <f>VLOOKUP(record[[#This Row],[employeeID]],員工[],2,FALSE)</f>
        <v>張淑惠</v>
      </c>
    </row>
    <row r="9040" spans="6:19" hidden="1" x14ac:dyDescent="0.25">
      <c r="F9040" t="s">
        <v>862</v>
      </c>
      <c r="G9040" t="s">
        <v>402</v>
      </c>
      <c r="H9040" t="str">
        <f>VLOOKUP(record[[#This Row],[ProcessSN]],表格2_7[],2,FALSE)</f>
        <v>30-4118-018-550</v>
      </c>
      <c r="I9040" t="str">
        <f>VLOOKUP(record[[#This Row],[ProcessSN]],表格2_7[],3,FALSE)</f>
        <v>#100STOCK</v>
      </c>
      <c r="J9040" t="s">
        <v>592</v>
      </c>
      <c r="K9040" s="195">
        <v>45833.640081018515</v>
      </c>
      <c r="L9040">
        <v>168</v>
      </c>
      <c r="M9040">
        <v>0</v>
      </c>
      <c r="N9040" s="98" t="str">
        <f>IF(record[[#This Row],[Memo]]="Browser:chrome os:android","平板報工",IF(record[[#This Row],[Memo]]=0,"委外",record[[#This Row],[Memo]]))</f>
        <v/>
      </c>
      <c r="O9040" t="s">
        <v>58</v>
      </c>
      <c r="P9040" t="s">
        <v>196</v>
      </c>
      <c r="Q9040" t="s">
        <v>58</v>
      </c>
      <c r="R9040" t="str">
        <f>IFERROR(VLOOKUP(record[[#This Row],[PCUSTID]],廠商[],2,FALSE),"")</f>
        <v/>
      </c>
      <c r="S9040" t="str">
        <f>VLOOKUP(record[[#This Row],[employeeID]],員工[],2,FALSE)</f>
        <v>張淑惠</v>
      </c>
    </row>
    <row r="9041" spans="6:19" hidden="1" x14ac:dyDescent="0.25">
      <c r="F9041" t="s">
        <v>847</v>
      </c>
      <c r="G9041" t="s">
        <v>402</v>
      </c>
      <c r="H9041" t="str">
        <f>VLOOKUP(record[[#This Row],[ProcessSN]],表格2_7[],2,FALSE)</f>
        <v>30-4118-018-550</v>
      </c>
      <c r="I9041" t="str">
        <f>VLOOKUP(record[[#This Row],[ProcessSN]],表格2_7[],3,FALSE)</f>
        <v>#100STOCK</v>
      </c>
      <c r="J9041" t="s">
        <v>592</v>
      </c>
      <c r="K9041" s="195">
        <v>45833.639907407407</v>
      </c>
      <c r="L9041">
        <v>1</v>
      </c>
      <c r="M9041">
        <v>0</v>
      </c>
      <c r="N9041" s="98" t="str">
        <f>IF(record[[#This Row],[Memo]]="Browser:chrome os:android","平板報工",IF(record[[#This Row],[Memo]]=0,"委外",record[[#This Row],[Memo]]))</f>
        <v/>
      </c>
      <c r="O9041" t="s">
        <v>58</v>
      </c>
      <c r="P9041" t="s">
        <v>196</v>
      </c>
      <c r="Q9041" t="s">
        <v>58</v>
      </c>
      <c r="R9041" t="str">
        <f>IFERROR(VLOOKUP(record[[#This Row],[PCUSTID]],廠商[],2,FALSE),"")</f>
        <v/>
      </c>
      <c r="S9041" t="str">
        <f>VLOOKUP(record[[#This Row],[employeeID]],員工[],2,FALSE)</f>
        <v>張淑惠</v>
      </c>
    </row>
    <row r="9042" spans="6:19" hidden="1" x14ac:dyDescent="0.25">
      <c r="F9042" t="s">
        <v>683</v>
      </c>
      <c r="G9042" t="s">
        <v>359</v>
      </c>
      <c r="H9042" t="str">
        <f>VLOOKUP(record[[#This Row],[ProcessSN]],表格2_7[],2,FALSE)</f>
        <v>30-4118-018-450</v>
      </c>
      <c r="I9042" t="str">
        <f>VLOOKUP(record[[#This Row],[ProcessSN]],表格2_7[],3,FALSE)</f>
        <v>#100</v>
      </c>
      <c r="J9042" t="s">
        <v>598</v>
      </c>
      <c r="K9042" s="195">
        <v>45833.636307870373</v>
      </c>
      <c r="L9042">
        <v>1</v>
      </c>
      <c r="M9042">
        <v>0</v>
      </c>
      <c r="N9042" s="98" t="str">
        <f>IF(record[[#This Row],[Memo]]="Browser:chrome os:android","平板報工",IF(record[[#This Row],[Memo]]=0,"委外",record[[#This Row],[Memo]]))</f>
        <v/>
      </c>
      <c r="O9042" t="s">
        <v>58</v>
      </c>
      <c r="P9042" t="s">
        <v>141</v>
      </c>
      <c r="Q9042" t="s">
        <v>58</v>
      </c>
      <c r="R9042" t="str">
        <f>IFERROR(VLOOKUP(record[[#This Row],[PCUSTID]],廠商[],2,FALSE),"")</f>
        <v/>
      </c>
      <c r="S9042" t="str">
        <f>VLOOKUP(record[[#This Row],[employeeID]],員工[],2,FALSE)</f>
        <v>蔣梅</v>
      </c>
    </row>
    <row r="9043" spans="6:19" hidden="1" x14ac:dyDescent="0.25">
      <c r="F9043" t="s">
        <v>811</v>
      </c>
      <c r="G9043" t="s">
        <v>403</v>
      </c>
      <c r="H9043" t="str">
        <f>VLOOKUP(record[[#This Row],[ProcessSN]],表格2_7[],2,FALSE)</f>
        <v>30-4118-018-550</v>
      </c>
      <c r="I9043" t="str">
        <f>VLOOKUP(record[[#This Row],[ProcessSN]],表格2_7[],3,FALSE)</f>
        <v>#100SHIP</v>
      </c>
      <c r="J9043" t="s">
        <v>600</v>
      </c>
      <c r="K9043" s="195">
        <v>45833.634745370371</v>
      </c>
      <c r="L9043">
        <v>28</v>
      </c>
      <c r="M9043">
        <v>0</v>
      </c>
      <c r="N9043" s="98" t="str">
        <f>IF(record[[#This Row],[Memo]]="Browser:chrome os:android","平板報工",IF(record[[#This Row],[Memo]]=0,"委外",record[[#This Row],[Memo]]))</f>
        <v/>
      </c>
      <c r="O9043" t="s">
        <v>58</v>
      </c>
      <c r="P9043" t="s">
        <v>196</v>
      </c>
      <c r="Q9043" t="s">
        <v>58</v>
      </c>
      <c r="R9043" t="str">
        <f>IFERROR(VLOOKUP(record[[#This Row],[PCUSTID]],廠商[],2,FALSE),"")</f>
        <v/>
      </c>
      <c r="S9043" t="str">
        <f>VLOOKUP(record[[#This Row],[employeeID]],員工[],2,FALSE)</f>
        <v>張淑惠</v>
      </c>
    </row>
    <row r="9044" spans="6:19" hidden="1" x14ac:dyDescent="0.25">
      <c r="F9044" t="s">
        <v>801</v>
      </c>
      <c r="G9044" t="s">
        <v>403</v>
      </c>
      <c r="H9044" t="str">
        <f>VLOOKUP(record[[#This Row],[ProcessSN]],表格2_7[],2,FALSE)</f>
        <v>30-4118-018-550</v>
      </c>
      <c r="I9044" t="str">
        <f>VLOOKUP(record[[#This Row],[ProcessSN]],表格2_7[],3,FALSE)</f>
        <v>#100SHIP</v>
      </c>
      <c r="J9044" t="s">
        <v>600</v>
      </c>
      <c r="K9044" s="195">
        <v>45833.634479166663</v>
      </c>
      <c r="L9044">
        <v>17</v>
      </c>
      <c r="M9044">
        <v>0</v>
      </c>
      <c r="N9044" s="98" t="str">
        <f>IF(record[[#This Row],[Memo]]="Browser:chrome os:android","平板報工",IF(record[[#This Row],[Memo]]=0,"委外",record[[#This Row],[Memo]]))</f>
        <v/>
      </c>
      <c r="O9044" t="s">
        <v>58</v>
      </c>
      <c r="P9044" t="s">
        <v>196</v>
      </c>
      <c r="Q9044" t="s">
        <v>58</v>
      </c>
      <c r="R9044" t="str">
        <f>IFERROR(VLOOKUP(record[[#This Row],[PCUSTID]],廠商[],2,FALSE),"")</f>
        <v/>
      </c>
      <c r="S9044" t="str">
        <f>VLOOKUP(record[[#This Row],[employeeID]],員工[],2,FALSE)</f>
        <v>張淑惠</v>
      </c>
    </row>
    <row r="9045" spans="6:19" hidden="1" x14ac:dyDescent="0.25">
      <c r="F9045" t="s">
        <v>862</v>
      </c>
      <c r="G9045" t="s">
        <v>401</v>
      </c>
      <c r="H9045" t="str">
        <f>VLOOKUP(record[[#This Row],[ProcessSN]],表格2_7[],2,FALSE)</f>
        <v>30-4118-018-550</v>
      </c>
      <c r="I9045" t="str">
        <f>VLOOKUP(record[[#This Row],[ProcessSN]],表格2_7[],3,FALSE)</f>
        <v>#100OQC</v>
      </c>
      <c r="J9045" t="s">
        <v>599</v>
      </c>
      <c r="K9045" s="195">
        <v>45833.634409722225</v>
      </c>
      <c r="L9045">
        <v>168</v>
      </c>
      <c r="M9045">
        <v>0</v>
      </c>
      <c r="N9045" s="98" t="str">
        <f>IF(record[[#This Row],[Memo]]="Browser:chrome os:android","平板報工",IF(record[[#This Row],[Memo]]=0,"委外",record[[#This Row],[Memo]]))</f>
        <v/>
      </c>
      <c r="O9045" t="s">
        <v>58</v>
      </c>
      <c r="P9045" t="s">
        <v>121</v>
      </c>
      <c r="Q9045" t="s">
        <v>58</v>
      </c>
      <c r="R9045" t="str">
        <f>IFERROR(VLOOKUP(record[[#This Row],[PCUSTID]],廠商[],2,FALSE),"")</f>
        <v/>
      </c>
      <c r="S9045" t="str">
        <f>VLOOKUP(record[[#This Row],[employeeID]],員工[],2,FALSE)</f>
        <v>謝素卿</v>
      </c>
    </row>
    <row r="9046" spans="6:19" hidden="1" x14ac:dyDescent="0.25">
      <c r="F9046" t="s">
        <v>866</v>
      </c>
      <c r="G9046" t="s">
        <v>401</v>
      </c>
      <c r="H9046" t="str">
        <f>VLOOKUP(record[[#This Row],[ProcessSN]],表格2_7[],2,FALSE)</f>
        <v>30-4118-018-550</v>
      </c>
      <c r="I9046" t="str">
        <f>VLOOKUP(record[[#This Row],[ProcessSN]],表格2_7[],3,FALSE)</f>
        <v>#100OQC</v>
      </c>
      <c r="J9046" t="s">
        <v>599</v>
      </c>
      <c r="K9046" s="195">
        <v>45833.634270833332</v>
      </c>
      <c r="L9046">
        <v>317</v>
      </c>
      <c r="M9046">
        <v>0</v>
      </c>
      <c r="N9046" s="98" t="str">
        <f>IF(record[[#This Row],[Memo]]="Browser:chrome os:android","平板報工",IF(record[[#This Row],[Memo]]=0,"委外",record[[#This Row],[Memo]]))</f>
        <v/>
      </c>
      <c r="O9046" t="s">
        <v>58</v>
      </c>
      <c r="P9046" t="s">
        <v>121</v>
      </c>
      <c r="Q9046" t="s">
        <v>58</v>
      </c>
      <c r="R9046" t="str">
        <f>IFERROR(VLOOKUP(record[[#This Row],[PCUSTID]],廠商[],2,FALSE),"")</f>
        <v/>
      </c>
      <c r="S9046" t="str">
        <f>VLOOKUP(record[[#This Row],[employeeID]],員工[],2,FALSE)</f>
        <v>謝素卿</v>
      </c>
    </row>
    <row r="9047" spans="6:19" hidden="1" x14ac:dyDescent="0.25">
      <c r="F9047" t="s">
        <v>847</v>
      </c>
      <c r="G9047" t="s">
        <v>401</v>
      </c>
      <c r="H9047" t="str">
        <f>VLOOKUP(record[[#This Row],[ProcessSN]],表格2_7[],2,FALSE)</f>
        <v>30-4118-018-550</v>
      </c>
      <c r="I9047" t="str">
        <f>VLOOKUP(record[[#This Row],[ProcessSN]],表格2_7[],3,FALSE)</f>
        <v>#100OQC</v>
      </c>
      <c r="J9047" t="s">
        <v>599</v>
      </c>
      <c r="K9047" s="195">
        <v>45833.634120370371</v>
      </c>
      <c r="L9047">
        <v>1</v>
      </c>
      <c r="M9047">
        <v>0</v>
      </c>
      <c r="N9047" s="98" t="str">
        <f>IF(record[[#This Row],[Memo]]="Browser:chrome os:android","平板報工",IF(record[[#This Row],[Memo]]=0,"委外",record[[#This Row],[Memo]]))</f>
        <v/>
      </c>
      <c r="O9047" t="s">
        <v>58</v>
      </c>
      <c r="P9047" t="s">
        <v>121</v>
      </c>
      <c r="Q9047" t="s">
        <v>58</v>
      </c>
      <c r="R9047" t="str">
        <f>IFERROR(VLOOKUP(record[[#This Row],[PCUSTID]],廠商[],2,FALSE),"")</f>
        <v/>
      </c>
      <c r="S9047" t="str">
        <f>VLOOKUP(record[[#This Row],[employeeID]],員工[],2,FALSE)</f>
        <v>謝素卿</v>
      </c>
    </row>
    <row r="9048" spans="6:19" hidden="1" x14ac:dyDescent="0.25">
      <c r="F9048" t="s">
        <v>818</v>
      </c>
      <c r="G9048" t="s">
        <v>428</v>
      </c>
      <c r="H9048" t="str">
        <f>VLOOKUP(record[[#This Row],[ProcessSN]],表格2_7[],2,FALSE)</f>
        <v>30-4118-018-600</v>
      </c>
      <c r="I9048" t="str">
        <f>VLOOKUP(record[[#This Row],[ProcessSN]],表格2_7[],3,FALSE)</f>
        <v>#100SHIP</v>
      </c>
      <c r="J9048" t="s">
        <v>600</v>
      </c>
      <c r="K9048" s="195">
        <v>45833.604085648149</v>
      </c>
      <c r="L9048">
        <v>6</v>
      </c>
      <c r="M9048">
        <v>0</v>
      </c>
      <c r="N9048" s="98" t="str">
        <f>IF(record[[#This Row],[Memo]]="Browser:chrome os:android","平板報工",IF(record[[#This Row],[Memo]]=0,"委外",record[[#This Row],[Memo]]))</f>
        <v/>
      </c>
      <c r="O9048" t="s">
        <v>58</v>
      </c>
      <c r="P9048" t="s">
        <v>196</v>
      </c>
      <c r="Q9048" t="s">
        <v>58</v>
      </c>
      <c r="R9048" t="str">
        <f>IFERROR(VLOOKUP(record[[#This Row],[PCUSTID]],廠商[],2,FALSE),"")</f>
        <v/>
      </c>
      <c r="S9048" t="str">
        <f>VLOOKUP(record[[#This Row],[employeeID]],員工[],2,FALSE)</f>
        <v>張淑惠</v>
      </c>
    </row>
    <row r="9049" spans="6:19" hidden="1" x14ac:dyDescent="0.25">
      <c r="F9049" t="s">
        <v>866</v>
      </c>
      <c r="G9049" t="s">
        <v>400</v>
      </c>
      <c r="H9049" t="str">
        <f>VLOOKUP(record[[#This Row],[ProcessSN]],表格2_7[],2,FALSE)</f>
        <v>30-4118-018-550</v>
      </c>
      <c r="I9049" t="str">
        <f>VLOOKUP(record[[#This Row],[ProcessSN]],表格2_7[],3,FALSE)</f>
        <v>#100</v>
      </c>
      <c r="J9049" t="s">
        <v>598</v>
      </c>
      <c r="K9049" s="195">
        <v>45833.596817129626</v>
      </c>
      <c r="L9049">
        <v>0</v>
      </c>
      <c r="M9049">
        <v>9</v>
      </c>
      <c r="N9049" s="98" t="str">
        <f>IF(record[[#This Row],[Memo]]="Browser:chrome os:android","平板報工",IF(record[[#This Row],[Memo]]=0,"委外",record[[#This Row],[Memo]]))</f>
        <v/>
      </c>
      <c r="O9049" t="s">
        <v>58</v>
      </c>
      <c r="P9049" t="s">
        <v>141</v>
      </c>
      <c r="Q9049" t="s">
        <v>58</v>
      </c>
      <c r="R9049" t="str">
        <f>IFERROR(VLOOKUP(record[[#This Row],[PCUSTID]],廠商[],2,FALSE),"")</f>
        <v/>
      </c>
      <c r="S9049" t="str">
        <f>VLOOKUP(record[[#This Row],[employeeID]],員工[],2,FALSE)</f>
        <v>蔣梅</v>
      </c>
    </row>
    <row r="9050" spans="6:19" hidden="1" x14ac:dyDescent="0.25">
      <c r="F9050" t="s">
        <v>862</v>
      </c>
      <c r="G9050" t="s">
        <v>400</v>
      </c>
      <c r="H9050" t="str">
        <f>VLOOKUP(record[[#This Row],[ProcessSN]],表格2_7[],2,FALSE)</f>
        <v>30-4118-018-550</v>
      </c>
      <c r="I9050" t="str">
        <f>VLOOKUP(record[[#This Row],[ProcessSN]],表格2_7[],3,FALSE)</f>
        <v>#100</v>
      </c>
      <c r="J9050" t="s">
        <v>598</v>
      </c>
      <c r="K9050" s="195">
        <v>45833.593958333331</v>
      </c>
      <c r="L9050">
        <v>168</v>
      </c>
      <c r="M9050">
        <v>0</v>
      </c>
      <c r="N9050" s="98" t="str">
        <f>IF(record[[#This Row],[Memo]]="Browser:chrome os:android","平板報工",IF(record[[#This Row],[Memo]]=0,"委外",record[[#This Row],[Memo]]))</f>
        <v>平板報工</v>
      </c>
      <c r="O9050" t="s">
        <v>643</v>
      </c>
      <c r="P9050" t="s">
        <v>141</v>
      </c>
      <c r="Q9050" t="s">
        <v>644</v>
      </c>
      <c r="R9050" t="str">
        <f>IFERROR(VLOOKUP(record[[#This Row],[PCUSTID]],廠商[],2,FALSE),"")</f>
        <v/>
      </c>
      <c r="S9050" t="str">
        <f>VLOOKUP(record[[#This Row],[employeeID]],員工[],2,FALSE)</f>
        <v>蔣梅</v>
      </c>
    </row>
    <row r="9051" spans="6:19" hidden="1" x14ac:dyDescent="0.25">
      <c r="F9051" t="s">
        <v>866</v>
      </c>
      <c r="G9051" t="s">
        <v>400</v>
      </c>
      <c r="H9051" t="str">
        <f>VLOOKUP(record[[#This Row],[ProcessSN]],表格2_7[],2,FALSE)</f>
        <v>30-4118-018-550</v>
      </c>
      <c r="I9051" t="str">
        <f>VLOOKUP(record[[#This Row],[ProcessSN]],表格2_7[],3,FALSE)</f>
        <v>#100</v>
      </c>
      <c r="J9051" t="s">
        <v>598</v>
      </c>
      <c r="K9051" s="195">
        <v>45833.59337962963</v>
      </c>
      <c r="L9051">
        <v>317</v>
      </c>
      <c r="M9051">
        <v>0</v>
      </c>
      <c r="N9051" s="98" t="str">
        <f>IF(record[[#This Row],[Memo]]="Browser:chrome os:android","平板報工",IF(record[[#This Row],[Memo]]=0,"委外",record[[#This Row],[Memo]]))</f>
        <v>平板報工</v>
      </c>
      <c r="O9051" t="s">
        <v>643</v>
      </c>
      <c r="P9051" t="s">
        <v>141</v>
      </c>
      <c r="Q9051" t="s">
        <v>644</v>
      </c>
      <c r="R9051" t="str">
        <f>IFERROR(VLOOKUP(record[[#This Row],[PCUSTID]],廠商[],2,FALSE),"")</f>
        <v/>
      </c>
      <c r="S9051" t="str">
        <f>VLOOKUP(record[[#This Row],[employeeID]],員工[],2,FALSE)</f>
        <v>蔣梅</v>
      </c>
    </row>
    <row r="9052" spans="6:19" hidden="1" x14ac:dyDescent="0.25">
      <c r="F9052" t="s">
        <v>847</v>
      </c>
      <c r="G9052" t="s">
        <v>400</v>
      </c>
      <c r="H9052" t="str">
        <f>VLOOKUP(record[[#This Row],[ProcessSN]],表格2_7[],2,FALSE)</f>
        <v>30-4118-018-550</v>
      </c>
      <c r="I9052" t="str">
        <f>VLOOKUP(record[[#This Row],[ProcessSN]],表格2_7[],3,FALSE)</f>
        <v>#100</v>
      </c>
      <c r="J9052" t="s">
        <v>598</v>
      </c>
      <c r="K9052" s="195">
        <v>45833.591087962966</v>
      </c>
      <c r="L9052">
        <v>1</v>
      </c>
      <c r="M9052">
        <v>0</v>
      </c>
      <c r="N9052" s="98" t="str">
        <f>IF(record[[#This Row],[Memo]]="Browser:chrome os:android","平板報工",IF(record[[#This Row],[Memo]]=0,"委外",record[[#This Row],[Memo]]))</f>
        <v>平板報工</v>
      </c>
      <c r="O9052" t="s">
        <v>643</v>
      </c>
      <c r="P9052" t="s">
        <v>141</v>
      </c>
      <c r="Q9052" t="s">
        <v>644</v>
      </c>
      <c r="R9052" t="str">
        <f>IFERROR(VLOOKUP(record[[#This Row],[PCUSTID]],廠商[],2,FALSE),"")</f>
        <v/>
      </c>
      <c r="S9052" t="str">
        <f>VLOOKUP(record[[#This Row],[employeeID]],員工[],2,FALSE)</f>
        <v>蔣梅</v>
      </c>
    </row>
    <row r="9053" spans="6:19" hidden="1" x14ac:dyDescent="0.25">
      <c r="F9053" t="s">
        <v>683</v>
      </c>
      <c r="G9053" t="s">
        <v>359</v>
      </c>
      <c r="H9053" t="str">
        <f>VLOOKUP(record[[#This Row],[ProcessSN]],表格2_7[],2,FALSE)</f>
        <v>30-4118-018-450</v>
      </c>
      <c r="I9053" t="str">
        <f>VLOOKUP(record[[#This Row],[ProcessSN]],表格2_7[],3,FALSE)</f>
        <v>#100</v>
      </c>
      <c r="J9053" t="s">
        <v>598</v>
      </c>
      <c r="K9053" s="195">
        <v>45833.577106481483</v>
      </c>
      <c r="L9053">
        <v>0</v>
      </c>
      <c r="M9053">
        <v>-1</v>
      </c>
      <c r="N9053" s="98" t="str">
        <f>IF(record[[#This Row],[Memo]]="Browser:chrome os:android","平板報工",IF(record[[#This Row],[Memo]]=0,"委外",record[[#This Row],[Memo]]))</f>
        <v>覆回品</v>
      </c>
      <c r="O9053" t="s">
        <v>664</v>
      </c>
      <c r="P9053" t="s">
        <v>65</v>
      </c>
      <c r="Q9053" t="s">
        <v>58</v>
      </c>
      <c r="R9053" t="str">
        <f>IFERROR(VLOOKUP(record[[#This Row],[PCUSTID]],廠商[],2,FALSE),"")</f>
        <v/>
      </c>
      <c r="S9053" t="str">
        <f>VLOOKUP(record[[#This Row],[employeeID]],員工[],2,FALSE)</f>
        <v>蘇進昌</v>
      </c>
    </row>
    <row r="9054" spans="6:19" hidden="1" x14ac:dyDescent="0.25">
      <c r="F9054" t="s">
        <v>847</v>
      </c>
      <c r="G9054" t="s">
        <v>399</v>
      </c>
      <c r="H9054" t="str">
        <f>VLOOKUP(record[[#This Row],[ProcessSN]],表格2_7[],2,FALSE)</f>
        <v>30-4118-018-550</v>
      </c>
      <c r="I9054" t="str">
        <f>VLOOKUP(record[[#This Row],[ProcessSN]],表格2_7[],3,FALSE)</f>
        <v>#08IQC</v>
      </c>
      <c r="J9054" t="s">
        <v>583</v>
      </c>
      <c r="K9054" s="195">
        <v>45833.567037037035</v>
      </c>
      <c r="L9054">
        <v>1</v>
      </c>
      <c r="M9054">
        <v>0</v>
      </c>
      <c r="N9054" s="98" t="str">
        <f>IF(record[[#This Row],[Memo]]="Browser:chrome os:android","平板報工",IF(record[[#This Row],[Memo]]=0,"委外",record[[#This Row],[Memo]]))</f>
        <v/>
      </c>
      <c r="O9054" t="s">
        <v>58</v>
      </c>
      <c r="P9054" t="s">
        <v>121</v>
      </c>
      <c r="Q9054" t="s">
        <v>58</v>
      </c>
      <c r="R9054" t="str">
        <f>IFERROR(VLOOKUP(record[[#This Row],[PCUSTID]],廠商[],2,FALSE),"")</f>
        <v/>
      </c>
      <c r="S9054" t="str">
        <f>VLOOKUP(record[[#This Row],[employeeID]],員工[],2,FALSE)</f>
        <v>謝素卿</v>
      </c>
    </row>
    <row r="9055" spans="6:19" hidden="1" x14ac:dyDescent="0.25">
      <c r="F9055" t="s">
        <v>866</v>
      </c>
      <c r="G9055" t="s">
        <v>399</v>
      </c>
      <c r="H9055" t="str">
        <f>VLOOKUP(record[[#This Row],[ProcessSN]],表格2_7[],2,FALSE)</f>
        <v>30-4118-018-550</v>
      </c>
      <c r="I9055" t="str">
        <f>VLOOKUP(record[[#This Row],[ProcessSN]],表格2_7[],3,FALSE)</f>
        <v>#08IQC</v>
      </c>
      <c r="J9055" t="s">
        <v>583</v>
      </c>
      <c r="K9055" s="195">
        <v>45833.56689814815</v>
      </c>
      <c r="L9055">
        <v>326</v>
      </c>
      <c r="M9055">
        <v>0</v>
      </c>
      <c r="N9055" s="98" t="str">
        <f>IF(record[[#This Row],[Memo]]="Browser:chrome os:android","平板報工",IF(record[[#This Row],[Memo]]=0,"委外",record[[#This Row],[Memo]]))</f>
        <v/>
      </c>
      <c r="O9055" t="s">
        <v>58</v>
      </c>
      <c r="P9055" t="s">
        <v>121</v>
      </c>
      <c r="Q9055" t="s">
        <v>58</v>
      </c>
      <c r="R9055" t="str">
        <f>IFERROR(VLOOKUP(record[[#This Row],[PCUSTID]],廠商[],2,FALSE),"")</f>
        <v/>
      </c>
      <c r="S9055" t="str">
        <f>VLOOKUP(record[[#This Row],[employeeID]],員工[],2,FALSE)</f>
        <v>謝素卿</v>
      </c>
    </row>
    <row r="9056" spans="6:19" hidden="1" x14ac:dyDescent="0.25">
      <c r="F9056" t="s">
        <v>862</v>
      </c>
      <c r="G9056" t="s">
        <v>399</v>
      </c>
      <c r="H9056" t="str">
        <f>VLOOKUP(record[[#This Row],[ProcessSN]],表格2_7[],2,FALSE)</f>
        <v>30-4118-018-550</v>
      </c>
      <c r="I9056" t="str">
        <f>VLOOKUP(record[[#This Row],[ProcessSN]],表格2_7[],3,FALSE)</f>
        <v>#08IQC</v>
      </c>
      <c r="J9056" t="s">
        <v>583</v>
      </c>
      <c r="K9056" s="195">
        <v>45833.566759259258</v>
      </c>
      <c r="L9056">
        <v>168</v>
      </c>
      <c r="M9056">
        <v>0</v>
      </c>
      <c r="N9056" s="98" t="str">
        <f>IF(record[[#This Row],[Memo]]="Browser:chrome os:android","平板報工",IF(record[[#This Row],[Memo]]=0,"委外",record[[#This Row],[Memo]]))</f>
        <v/>
      </c>
      <c r="O9056" t="s">
        <v>58</v>
      </c>
      <c r="P9056" t="s">
        <v>121</v>
      </c>
      <c r="Q9056" t="s">
        <v>58</v>
      </c>
      <c r="R9056" t="str">
        <f>IFERROR(VLOOKUP(record[[#This Row],[PCUSTID]],廠商[],2,FALSE),"")</f>
        <v/>
      </c>
      <c r="S9056" t="str">
        <f>VLOOKUP(record[[#This Row],[employeeID]],員工[],2,FALSE)</f>
        <v>謝素卿</v>
      </c>
    </row>
    <row r="9057" spans="6:19" hidden="1" x14ac:dyDescent="0.25">
      <c r="F9057" t="s">
        <v>847</v>
      </c>
      <c r="G9057" t="s">
        <v>398</v>
      </c>
      <c r="H9057" t="str">
        <f>VLOOKUP(record[[#This Row],[ProcessSN]],表格2_7[],2,FALSE)</f>
        <v>30-4118-018-550</v>
      </c>
      <c r="I9057" t="str">
        <f>VLOOKUP(record[[#This Row],[ProcessSN]],表格2_7[],3,FALSE)</f>
        <v>#08RCV</v>
      </c>
      <c r="J9057" t="s">
        <v>591</v>
      </c>
      <c r="K9057" s="195">
        <v>45833.466863425929</v>
      </c>
      <c r="L9057">
        <v>1</v>
      </c>
      <c r="M9057">
        <v>0</v>
      </c>
      <c r="N9057" s="98" t="str">
        <f>IF(record[[#This Row],[Memo]]="Browser:chrome os:android","平板報工",IF(record[[#This Row],[Memo]]=0,"委外",record[[#This Row],[Memo]]))</f>
        <v/>
      </c>
      <c r="O9057" t="s">
        <v>58</v>
      </c>
      <c r="P9057" t="s">
        <v>186</v>
      </c>
      <c r="Q9057" t="s">
        <v>58</v>
      </c>
      <c r="R9057" t="str">
        <f>IFERROR(VLOOKUP(record[[#This Row],[PCUSTID]],廠商[],2,FALSE),"")</f>
        <v/>
      </c>
      <c r="S9057" t="str">
        <f>VLOOKUP(record[[#This Row],[employeeID]],員工[],2,FALSE)</f>
        <v>許文姍</v>
      </c>
    </row>
    <row r="9058" spans="6:19" hidden="1" x14ac:dyDescent="0.25">
      <c r="F9058" t="s">
        <v>866</v>
      </c>
      <c r="G9058" t="s">
        <v>398</v>
      </c>
      <c r="H9058" t="str">
        <f>VLOOKUP(record[[#This Row],[ProcessSN]],表格2_7[],2,FALSE)</f>
        <v>30-4118-018-550</v>
      </c>
      <c r="I9058" t="str">
        <f>VLOOKUP(record[[#This Row],[ProcessSN]],表格2_7[],3,FALSE)</f>
        <v>#08RCV</v>
      </c>
      <c r="J9058" t="s">
        <v>591</v>
      </c>
      <c r="K9058" s="195">
        <v>45833.466608796298</v>
      </c>
      <c r="L9058">
        <v>0</v>
      </c>
      <c r="M9058">
        <v>1</v>
      </c>
      <c r="N9058" s="98" t="str">
        <f>IF(record[[#This Row],[Memo]]="Browser:chrome os:android","平板報工",IF(record[[#This Row],[Memo]]=0,"委外",record[[#This Row],[Memo]]))</f>
        <v/>
      </c>
      <c r="O9058" t="s">
        <v>58</v>
      </c>
      <c r="P9058" t="s">
        <v>186</v>
      </c>
      <c r="Q9058" t="s">
        <v>58</v>
      </c>
      <c r="R9058" t="str">
        <f>IFERROR(VLOOKUP(record[[#This Row],[PCUSTID]],廠商[],2,FALSE),"")</f>
        <v/>
      </c>
      <c r="S9058" t="str">
        <f>VLOOKUP(record[[#This Row],[employeeID]],員工[],2,FALSE)</f>
        <v>許文姍</v>
      </c>
    </row>
    <row r="9059" spans="6:19" hidden="1" x14ac:dyDescent="0.25">
      <c r="F9059" t="s">
        <v>866</v>
      </c>
      <c r="G9059" t="s">
        <v>398</v>
      </c>
      <c r="H9059" t="str">
        <f>VLOOKUP(record[[#This Row],[ProcessSN]],表格2_7[],2,FALSE)</f>
        <v>30-4118-018-550</v>
      </c>
      <c r="I9059" t="str">
        <f>VLOOKUP(record[[#This Row],[ProcessSN]],表格2_7[],3,FALSE)</f>
        <v>#08RCV</v>
      </c>
      <c r="J9059" t="s">
        <v>591</v>
      </c>
      <c r="K9059" s="195">
        <v>45833.466458333336</v>
      </c>
      <c r="L9059">
        <v>326</v>
      </c>
      <c r="M9059">
        <v>0</v>
      </c>
      <c r="N9059" s="98" t="str">
        <f>IF(record[[#This Row],[Memo]]="Browser:chrome os:android","平板報工",IF(record[[#This Row],[Memo]]=0,"委外",record[[#This Row],[Memo]]))</f>
        <v/>
      </c>
      <c r="O9059" t="s">
        <v>58</v>
      </c>
      <c r="P9059" t="s">
        <v>186</v>
      </c>
      <c r="Q9059" t="s">
        <v>58</v>
      </c>
      <c r="R9059" t="str">
        <f>IFERROR(VLOOKUP(record[[#This Row],[PCUSTID]],廠商[],2,FALSE),"")</f>
        <v/>
      </c>
      <c r="S9059" t="str">
        <f>VLOOKUP(record[[#This Row],[employeeID]],員工[],2,FALSE)</f>
        <v>許文姍</v>
      </c>
    </row>
    <row r="9060" spans="6:19" hidden="1" x14ac:dyDescent="0.25">
      <c r="F9060" t="s">
        <v>862</v>
      </c>
      <c r="G9060" t="s">
        <v>398</v>
      </c>
      <c r="H9060" t="str">
        <f>VLOOKUP(record[[#This Row],[ProcessSN]],表格2_7[],2,FALSE)</f>
        <v>30-4118-018-550</v>
      </c>
      <c r="I9060" t="str">
        <f>VLOOKUP(record[[#This Row],[ProcessSN]],表格2_7[],3,FALSE)</f>
        <v>#08RCV</v>
      </c>
      <c r="J9060" t="s">
        <v>591</v>
      </c>
      <c r="K9060" s="195">
        <v>45833.465219907404</v>
      </c>
      <c r="L9060">
        <v>168</v>
      </c>
      <c r="M9060">
        <v>0</v>
      </c>
      <c r="N9060" s="98" t="str">
        <f>IF(record[[#This Row],[Memo]]="Browser:chrome os:android","平板報工",IF(record[[#This Row],[Memo]]=0,"委外",record[[#This Row],[Memo]]))</f>
        <v/>
      </c>
      <c r="O9060" t="s">
        <v>58</v>
      </c>
      <c r="P9060" t="s">
        <v>186</v>
      </c>
      <c r="Q9060" t="s">
        <v>58</v>
      </c>
      <c r="R9060" t="str">
        <f>IFERROR(VLOOKUP(record[[#This Row],[PCUSTID]],廠商[],2,FALSE),"")</f>
        <v/>
      </c>
      <c r="S9060" t="str">
        <f>VLOOKUP(record[[#This Row],[employeeID]],員工[],2,FALSE)</f>
        <v>許文姍</v>
      </c>
    </row>
    <row r="9061" spans="6:19" hidden="1" x14ac:dyDescent="0.25">
      <c r="F9061" t="s">
        <v>849</v>
      </c>
      <c r="G9061" t="s">
        <v>468</v>
      </c>
      <c r="H9061" t="str">
        <f>VLOOKUP(record[[#This Row],[ProcessSN]],表格2_7[],2,FALSE)</f>
        <v>30-4118-018-XXX</v>
      </c>
      <c r="I9061" t="str">
        <f>VLOOKUP(record[[#This Row],[ProcessSN]],表格2_7[],3,FALSE)</f>
        <v>#02</v>
      </c>
      <c r="J9061" t="s">
        <v>590</v>
      </c>
      <c r="K9061" s="195">
        <v>45833.358958333331</v>
      </c>
      <c r="L9061">
        <v>839</v>
      </c>
      <c r="M9061">
        <v>0</v>
      </c>
      <c r="N9061" s="98" t="str">
        <f>IF(record[[#This Row],[Memo]]="Browser:chrome os:android","平板報工",IF(record[[#This Row],[Memo]]=0,"委外",record[[#This Row],[Memo]]))</f>
        <v/>
      </c>
      <c r="O9061" t="s">
        <v>58</v>
      </c>
      <c r="P9061" t="s">
        <v>186</v>
      </c>
      <c r="Q9061" t="s">
        <v>216</v>
      </c>
      <c r="R9061" t="str">
        <f>IFERROR(VLOOKUP(record[[#This Row],[PCUSTID]],廠商[],2,FALSE),"")</f>
        <v>俊杰</v>
      </c>
      <c r="S9061" t="str">
        <f>VLOOKUP(record[[#This Row],[employeeID]],員工[],2,FALSE)</f>
        <v>許文姍</v>
      </c>
    </row>
    <row r="9062" spans="6:19" hidden="1" x14ac:dyDescent="0.25">
      <c r="F9062" t="s">
        <v>854</v>
      </c>
      <c r="G9062" t="s">
        <v>417</v>
      </c>
      <c r="H9062" t="str">
        <f>VLOOKUP(record[[#This Row],[ProcessSN]],表格2_7[],2,FALSE)</f>
        <v>30-4118-018-5XX</v>
      </c>
      <c r="I9062" t="str">
        <f>VLOOKUP(record[[#This Row],[ProcessSN]],表格2_7[],3,FALSE)</f>
        <v>#06</v>
      </c>
      <c r="J9062" t="s">
        <v>593</v>
      </c>
      <c r="K9062" s="195">
        <v>45833.296689814815</v>
      </c>
      <c r="L9062">
        <v>121</v>
      </c>
      <c r="M9062">
        <v>0</v>
      </c>
      <c r="N9062" s="98" t="str">
        <f>IF(record[[#This Row],[Memo]]="Browser:chrome os:android","平板報工",IF(record[[#This Row],[Memo]]=0,"委外",record[[#This Row],[Memo]]))</f>
        <v/>
      </c>
      <c r="O9062" t="s">
        <v>58</v>
      </c>
      <c r="P9062" t="s">
        <v>135</v>
      </c>
      <c r="Q9062" t="s">
        <v>58</v>
      </c>
      <c r="R9062" t="str">
        <f>IFERROR(VLOOKUP(record[[#This Row],[PCUSTID]],廠商[],2,FALSE),"")</f>
        <v/>
      </c>
      <c r="S9062" t="str">
        <f>VLOOKUP(record[[#This Row],[employeeID]],員工[],2,FALSE)</f>
        <v>阮士文</v>
      </c>
    </row>
    <row r="9063" spans="6:19" hidden="1" x14ac:dyDescent="0.25">
      <c r="F9063" t="s">
        <v>849</v>
      </c>
      <c r="G9063" t="s">
        <v>466</v>
      </c>
      <c r="H9063" t="str">
        <f>VLOOKUP(record[[#This Row],[ProcessSN]],表格2_7[],2,FALSE)</f>
        <v>30-4118-018-XXX</v>
      </c>
      <c r="I9063" t="str">
        <f>VLOOKUP(record[[#This Row],[ProcessSN]],表格2_7[],3,FALSE)</f>
        <v>#01-2</v>
      </c>
      <c r="J9063" t="s">
        <v>588</v>
      </c>
      <c r="K9063" s="195">
        <v>45833.295601851853</v>
      </c>
      <c r="L9063">
        <v>565</v>
      </c>
      <c r="M9063">
        <v>0</v>
      </c>
      <c r="N9063" s="98" t="str">
        <f>IF(record[[#This Row],[Memo]]="Browser:chrome os:android","平板報工",IF(record[[#This Row],[Memo]]=0,"委外",record[[#This Row],[Memo]]))</f>
        <v/>
      </c>
      <c r="O9063" t="s">
        <v>58</v>
      </c>
      <c r="P9063" t="s">
        <v>135</v>
      </c>
      <c r="Q9063" t="s">
        <v>58</v>
      </c>
      <c r="R9063" t="str">
        <f>IFERROR(VLOOKUP(record[[#This Row],[PCUSTID]],廠商[],2,FALSE),"")</f>
        <v/>
      </c>
      <c r="S9063" t="str">
        <f>VLOOKUP(record[[#This Row],[employeeID]],員工[],2,FALSE)</f>
        <v>阮士文</v>
      </c>
    </row>
    <row r="9064" spans="6:19" hidden="1" x14ac:dyDescent="0.25">
      <c r="F9064" t="s">
        <v>849</v>
      </c>
      <c r="G9064" t="s">
        <v>465</v>
      </c>
      <c r="H9064" t="str">
        <f>VLOOKUP(record[[#This Row],[ProcessSN]],表格2_7[],2,FALSE)</f>
        <v>30-4118-018-XXX</v>
      </c>
      <c r="I9064" t="str">
        <f>VLOOKUP(record[[#This Row],[ProcessSN]],表格2_7[],3,FALSE)</f>
        <v>#01-1</v>
      </c>
      <c r="J9064" t="s">
        <v>588</v>
      </c>
      <c r="K9064" s="195">
        <v>45833.295439814814</v>
      </c>
      <c r="L9064">
        <v>709</v>
      </c>
      <c r="M9064">
        <v>0</v>
      </c>
      <c r="N9064" s="98" t="str">
        <f>IF(record[[#This Row],[Memo]]="Browser:chrome os:android","平板報工",IF(record[[#This Row],[Memo]]=0,"委外",record[[#This Row],[Memo]]))</f>
        <v/>
      </c>
      <c r="O9064" t="s">
        <v>58</v>
      </c>
      <c r="P9064" t="s">
        <v>135</v>
      </c>
      <c r="Q9064" t="s">
        <v>58</v>
      </c>
      <c r="R9064" t="str">
        <f>IFERROR(VLOOKUP(record[[#This Row],[PCUSTID]],廠商[],2,FALSE),"")</f>
        <v/>
      </c>
      <c r="S9064" t="str">
        <f>VLOOKUP(record[[#This Row],[employeeID]],員工[],2,FALSE)</f>
        <v>阮士文</v>
      </c>
    </row>
    <row r="9065" spans="6:19" hidden="1" x14ac:dyDescent="0.25">
      <c r="F9065" t="s">
        <v>854</v>
      </c>
      <c r="G9065" t="s">
        <v>417</v>
      </c>
      <c r="H9065" t="str">
        <f>VLOOKUP(record[[#This Row],[ProcessSN]],表格2_7[],2,FALSE)</f>
        <v>30-4118-018-5XX</v>
      </c>
      <c r="I9065" t="str">
        <f>VLOOKUP(record[[#This Row],[ProcessSN]],表格2_7[],3,FALSE)</f>
        <v>#06</v>
      </c>
      <c r="J9065" t="s">
        <v>593</v>
      </c>
      <c r="K9065" s="195">
        <v>45832.964895833335</v>
      </c>
      <c r="L9065">
        <v>121</v>
      </c>
      <c r="M9065">
        <v>0</v>
      </c>
      <c r="N9065" s="98" t="str">
        <f>IF(record[[#This Row],[Memo]]="Browser:chrome os:android","平板報工",IF(record[[#This Row],[Memo]]=0,"委外",record[[#This Row],[Memo]]))</f>
        <v>平板報工</v>
      </c>
      <c r="O9065" t="s">
        <v>643</v>
      </c>
      <c r="P9065" t="s">
        <v>841</v>
      </c>
      <c r="Q9065" t="s">
        <v>644</v>
      </c>
      <c r="R9065" t="str">
        <f>IFERROR(VLOOKUP(record[[#This Row],[PCUSTID]],廠商[],2,FALSE),"")</f>
        <v/>
      </c>
      <c r="S9065" t="str">
        <f>VLOOKUP(record[[#This Row],[employeeID]],員工[],2,FALSE)</f>
        <v>范氏香</v>
      </c>
    </row>
    <row r="9066" spans="6:19" hidden="1" x14ac:dyDescent="0.25">
      <c r="F9066" t="s">
        <v>849</v>
      </c>
      <c r="G9066" t="s">
        <v>466</v>
      </c>
      <c r="H9066" t="str">
        <f>VLOOKUP(record[[#This Row],[ProcessSN]],表格2_7[],2,FALSE)</f>
        <v>30-4118-018-XXX</v>
      </c>
      <c r="I9066" t="str">
        <f>VLOOKUP(record[[#This Row],[ProcessSN]],表格2_7[],3,FALSE)</f>
        <v>#01-2</v>
      </c>
      <c r="J9066" t="s">
        <v>588</v>
      </c>
      <c r="K9066" s="195">
        <v>45832.961481481485</v>
      </c>
      <c r="L9066">
        <v>587</v>
      </c>
      <c r="M9066">
        <v>0</v>
      </c>
      <c r="N9066" s="98" t="str">
        <f>IF(record[[#This Row],[Memo]]="Browser:chrome os:android","平板報工",IF(record[[#This Row],[Memo]]=0,"委外",record[[#This Row],[Memo]]))</f>
        <v/>
      </c>
      <c r="O9066" t="s">
        <v>58</v>
      </c>
      <c r="P9066" t="s">
        <v>763</v>
      </c>
      <c r="Q9066" t="s">
        <v>58</v>
      </c>
      <c r="R9066" t="str">
        <f>IFERROR(VLOOKUP(record[[#This Row],[PCUSTID]],廠商[],2,FALSE),"")</f>
        <v/>
      </c>
      <c r="S9066" t="str">
        <f>VLOOKUP(record[[#This Row],[employeeID]],員工[],2,FALSE)</f>
        <v>江嘉倫</v>
      </c>
    </row>
    <row r="9067" spans="6:19" hidden="1" x14ac:dyDescent="0.25">
      <c r="F9067" t="s">
        <v>849</v>
      </c>
      <c r="G9067" t="s">
        <v>465</v>
      </c>
      <c r="H9067" t="str">
        <f>VLOOKUP(record[[#This Row],[ProcessSN]],表格2_7[],2,FALSE)</f>
        <v>30-4118-018-XXX</v>
      </c>
      <c r="I9067" t="str">
        <f>VLOOKUP(record[[#This Row],[ProcessSN]],表格2_7[],3,FALSE)</f>
        <v>#01-1</v>
      </c>
      <c r="J9067" t="s">
        <v>588</v>
      </c>
      <c r="K9067" s="195">
        <v>45832.9612037037</v>
      </c>
      <c r="L9067">
        <v>587</v>
      </c>
      <c r="M9067">
        <v>0</v>
      </c>
      <c r="N9067" s="98" t="str">
        <f>IF(record[[#This Row],[Memo]]="Browser:chrome os:android","平板報工",IF(record[[#This Row],[Memo]]=0,"委外",record[[#This Row],[Memo]]))</f>
        <v/>
      </c>
      <c r="O9067" t="s">
        <v>58</v>
      </c>
      <c r="P9067" t="s">
        <v>763</v>
      </c>
      <c r="Q9067" t="s">
        <v>58</v>
      </c>
      <c r="R9067" t="str">
        <f>IFERROR(VLOOKUP(record[[#This Row],[PCUSTID]],廠商[],2,FALSE),"")</f>
        <v/>
      </c>
      <c r="S9067" t="str">
        <f>VLOOKUP(record[[#This Row],[employeeID]],員工[],2,FALSE)</f>
        <v>江嘉倫</v>
      </c>
    </row>
    <row r="9068" spans="6:19" hidden="1" x14ac:dyDescent="0.25">
      <c r="F9068" t="s">
        <v>854</v>
      </c>
      <c r="G9068" t="s">
        <v>416</v>
      </c>
      <c r="H9068" t="str">
        <f>VLOOKUP(record[[#This Row],[ProcessSN]],表格2_7[],2,FALSE)</f>
        <v>30-4118-018-5XX</v>
      </c>
      <c r="I9068" t="str">
        <f>VLOOKUP(record[[#This Row],[ProcessSN]],表格2_7[],3,FALSE)</f>
        <v>#05</v>
      </c>
      <c r="J9068" t="s">
        <v>588</v>
      </c>
      <c r="K9068" s="195">
        <v>45832.960439814815</v>
      </c>
      <c r="L9068">
        <v>249</v>
      </c>
      <c r="M9068">
        <v>0</v>
      </c>
      <c r="N9068" s="98" t="str">
        <f>IF(record[[#This Row],[Memo]]="Browser:chrome os:android","平板報工",IF(record[[#This Row],[Memo]]=0,"委外",record[[#This Row],[Memo]]))</f>
        <v/>
      </c>
      <c r="O9068" t="s">
        <v>58</v>
      </c>
      <c r="P9068" t="s">
        <v>806</v>
      </c>
      <c r="Q9068" t="s">
        <v>58</v>
      </c>
      <c r="R9068" t="str">
        <f>IFERROR(VLOOKUP(record[[#This Row],[PCUSTID]],廠商[],2,FALSE),"")</f>
        <v/>
      </c>
      <c r="S9068" t="str">
        <f>VLOOKUP(record[[#This Row],[employeeID]],員工[],2,FALSE)</f>
        <v>方思緯</v>
      </c>
    </row>
    <row r="9069" spans="6:19" hidden="1" x14ac:dyDescent="0.25">
      <c r="F9069" t="s">
        <v>778</v>
      </c>
      <c r="G9069" t="s">
        <v>416</v>
      </c>
      <c r="H9069" t="str">
        <f>VLOOKUP(record[[#This Row],[ProcessSN]],表格2_7[],2,FALSE)</f>
        <v>30-4118-018-5XX</v>
      </c>
      <c r="I9069" t="str">
        <f>VLOOKUP(record[[#This Row],[ProcessSN]],表格2_7[],3,FALSE)</f>
        <v>#05</v>
      </c>
      <c r="J9069" t="s">
        <v>588</v>
      </c>
      <c r="K9069" s="195">
        <v>45832.743344907409</v>
      </c>
      <c r="L9069">
        <v>1</v>
      </c>
      <c r="M9069">
        <v>0</v>
      </c>
      <c r="N9069" s="98" t="str">
        <f>IF(record[[#This Row],[Memo]]="Browser:chrome os:android","平板報工",IF(record[[#This Row],[Memo]]=0,"委外",record[[#This Row],[Memo]]))</f>
        <v/>
      </c>
      <c r="O9069" t="s">
        <v>58</v>
      </c>
      <c r="P9069" t="s">
        <v>806</v>
      </c>
      <c r="Q9069" t="s">
        <v>58</v>
      </c>
      <c r="R9069" t="str">
        <f>IFERROR(VLOOKUP(record[[#This Row],[PCUSTID]],廠商[],2,FALSE),"")</f>
        <v/>
      </c>
      <c r="S9069" t="str">
        <f>VLOOKUP(record[[#This Row],[employeeID]],員工[],2,FALSE)</f>
        <v>方思緯</v>
      </c>
    </row>
    <row r="9070" spans="6:19" hidden="1" x14ac:dyDescent="0.25">
      <c r="F9070" t="s">
        <v>849</v>
      </c>
      <c r="G9070" t="s">
        <v>470</v>
      </c>
      <c r="H9070" t="str">
        <f>VLOOKUP(record[[#This Row],[ProcessSN]],表格2_7[],2,FALSE)</f>
        <v>30-4118-018-XXX</v>
      </c>
      <c r="I9070" t="str">
        <f>VLOOKUP(record[[#This Row],[ProcessSN]],表格2_7[],3,FALSE)</f>
        <v>#02IQC</v>
      </c>
      <c r="J9070" t="s">
        <v>583</v>
      </c>
      <c r="K9070" s="195">
        <v>45832.732187499998</v>
      </c>
      <c r="L9070">
        <v>167</v>
      </c>
      <c r="M9070">
        <v>0</v>
      </c>
      <c r="N9070" s="98" t="str">
        <f>IF(record[[#This Row],[Memo]]="Browser:chrome os:android","平板報工",IF(record[[#This Row],[Memo]]=0,"委外",record[[#This Row],[Memo]]))</f>
        <v/>
      </c>
      <c r="O9070" t="s">
        <v>58</v>
      </c>
      <c r="P9070" t="s">
        <v>109</v>
      </c>
      <c r="Q9070" t="s">
        <v>58</v>
      </c>
      <c r="R9070" t="str">
        <f>IFERROR(VLOOKUP(record[[#This Row],[PCUSTID]],廠商[],2,FALSE),"")</f>
        <v/>
      </c>
      <c r="S9070" t="str">
        <f>VLOOKUP(record[[#This Row],[employeeID]],員工[],2,FALSE)</f>
        <v>裴氏璧鳳</v>
      </c>
    </row>
    <row r="9071" spans="6:19" hidden="1" x14ac:dyDescent="0.25">
      <c r="F9071" t="s">
        <v>849</v>
      </c>
      <c r="G9071" t="s">
        <v>467</v>
      </c>
      <c r="H9071" t="str">
        <f>VLOOKUP(record[[#This Row],[ProcessSN]],表格2_7[],2,FALSE)</f>
        <v>30-4118-018-XXX</v>
      </c>
      <c r="I9071" t="str">
        <f>VLOOKUP(record[[#This Row],[ProcessSN]],表格2_7[],3,FALSE)</f>
        <v>#01QC</v>
      </c>
      <c r="J9071" t="s">
        <v>589</v>
      </c>
      <c r="K9071" s="195">
        <v>45832.685173611113</v>
      </c>
      <c r="L9071">
        <v>839</v>
      </c>
      <c r="M9071">
        <v>0</v>
      </c>
      <c r="N9071" s="98" t="str">
        <f>IF(record[[#This Row],[Memo]]="Browser:chrome os:android","平板報工",IF(record[[#This Row],[Memo]]=0,"委外",record[[#This Row],[Memo]]))</f>
        <v>平板報工</v>
      </c>
      <c r="O9071" t="s">
        <v>643</v>
      </c>
      <c r="P9071" t="s">
        <v>182</v>
      </c>
      <c r="Q9071" t="s">
        <v>644</v>
      </c>
      <c r="R9071" t="str">
        <f>IFERROR(VLOOKUP(record[[#This Row],[PCUSTID]],廠商[],2,FALSE),"")</f>
        <v/>
      </c>
      <c r="S9071" t="str">
        <f>VLOOKUP(record[[#This Row],[employeeID]],員工[],2,FALSE)</f>
        <v>梅氏和</v>
      </c>
    </row>
    <row r="9072" spans="6:19" hidden="1" x14ac:dyDescent="0.25">
      <c r="F9072" t="s">
        <v>849</v>
      </c>
      <c r="G9072" t="s">
        <v>466</v>
      </c>
      <c r="H9072" t="str">
        <f>VLOOKUP(record[[#This Row],[ProcessSN]],表格2_7[],2,FALSE)</f>
        <v>30-4118-018-XXX</v>
      </c>
      <c r="I9072" t="str">
        <f>VLOOKUP(record[[#This Row],[ProcessSN]],表格2_7[],3,FALSE)</f>
        <v>#01-2</v>
      </c>
      <c r="J9072" t="s">
        <v>588</v>
      </c>
      <c r="K9072" s="195">
        <v>45832.646770833337</v>
      </c>
      <c r="L9072">
        <v>628</v>
      </c>
      <c r="M9072">
        <v>0</v>
      </c>
      <c r="N9072" s="98" t="str">
        <f>IF(record[[#This Row],[Memo]]="Browser:chrome os:android","平板報工",IF(record[[#This Row],[Memo]]=0,"委外",record[[#This Row],[Memo]]))</f>
        <v/>
      </c>
      <c r="O9072" t="s">
        <v>58</v>
      </c>
      <c r="P9072" t="s">
        <v>119</v>
      </c>
      <c r="Q9072" t="s">
        <v>58</v>
      </c>
      <c r="R9072" t="str">
        <f>IFERROR(VLOOKUP(record[[#This Row],[PCUSTID]],廠商[],2,FALSE),"")</f>
        <v/>
      </c>
      <c r="S9072" t="str">
        <f>VLOOKUP(record[[#This Row],[employeeID]],員工[],2,FALSE)</f>
        <v>廖俊彥</v>
      </c>
    </row>
    <row r="9073" spans="6:19" hidden="1" x14ac:dyDescent="0.25">
      <c r="F9073" t="s">
        <v>849</v>
      </c>
      <c r="G9073" t="s">
        <v>465</v>
      </c>
      <c r="H9073" t="str">
        <f>VLOOKUP(record[[#This Row],[ProcessSN]],表格2_7[],2,FALSE)</f>
        <v>30-4118-018-XXX</v>
      </c>
      <c r="I9073" t="str">
        <f>VLOOKUP(record[[#This Row],[ProcessSN]],表格2_7[],3,FALSE)</f>
        <v>#01-1</v>
      </c>
      <c r="J9073" t="s">
        <v>588</v>
      </c>
      <c r="K9073" s="195">
        <v>45832.646631944444</v>
      </c>
      <c r="L9073">
        <v>628</v>
      </c>
      <c r="M9073">
        <v>0</v>
      </c>
      <c r="N9073" s="98" t="str">
        <f>IF(record[[#This Row],[Memo]]="Browser:chrome os:android","平板報工",IF(record[[#This Row],[Memo]]=0,"委外",record[[#This Row],[Memo]]))</f>
        <v/>
      </c>
      <c r="O9073" t="s">
        <v>58</v>
      </c>
      <c r="P9073" t="s">
        <v>119</v>
      </c>
      <c r="Q9073" t="s">
        <v>58</v>
      </c>
      <c r="R9073" t="str">
        <f>IFERROR(VLOOKUP(record[[#This Row],[PCUSTID]],廠商[],2,FALSE),"")</f>
        <v/>
      </c>
      <c r="S9073" t="str">
        <f>VLOOKUP(record[[#This Row],[employeeID]],員工[],2,FALSE)</f>
        <v>廖俊彥</v>
      </c>
    </row>
    <row r="9074" spans="6:19" hidden="1" x14ac:dyDescent="0.25">
      <c r="F9074" t="s">
        <v>854</v>
      </c>
      <c r="G9074" t="s">
        <v>416</v>
      </c>
      <c r="H9074" t="str">
        <f>VLOOKUP(record[[#This Row],[ProcessSN]],表格2_7[],2,FALSE)</f>
        <v>30-4118-018-5XX</v>
      </c>
      <c r="I9074" t="str">
        <f>VLOOKUP(record[[#This Row],[ProcessSN]],表格2_7[],3,FALSE)</f>
        <v>#05</v>
      </c>
      <c r="J9074" t="s">
        <v>588</v>
      </c>
      <c r="K9074" s="195">
        <v>45832.645231481481</v>
      </c>
      <c r="L9074">
        <v>201</v>
      </c>
      <c r="M9074">
        <v>0</v>
      </c>
      <c r="N9074" s="98" t="str">
        <f>IF(record[[#This Row],[Memo]]="Browser:chrome os:android","平板報工",IF(record[[#This Row],[Memo]]=0,"委外",record[[#This Row],[Memo]]))</f>
        <v/>
      </c>
      <c r="O9074" t="s">
        <v>58</v>
      </c>
      <c r="P9074" t="s">
        <v>119</v>
      </c>
      <c r="Q9074" t="s">
        <v>58</v>
      </c>
      <c r="R9074" t="str">
        <f>IFERROR(VLOOKUP(record[[#This Row],[PCUSTID]],廠商[],2,FALSE),"")</f>
        <v/>
      </c>
      <c r="S9074" t="str">
        <f>VLOOKUP(record[[#This Row],[employeeID]],員工[],2,FALSE)</f>
        <v>廖俊彥</v>
      </c>
    </row>
    <row r="9075" spans="6:19" hidden="1" x14ac:dyDescent="0.25">
      <c r="F9075" t="s">
        <v>869</v>
      </c>
      <c r="G9075" t="s">
        <v>397</v>
      </c>
      <c r="H9075" t="str">
        <f>VLOOKUP(record[[#This Row],[ProcessSN]],表格2_7[],2,FALSE)</f>
        <v>30-4118-018-550</v>
      </c>
      <c r="I9075" t="str">
        <f>VLOOKUP(record[[#This Row],[ProcessSN]],表格2_7[],3,FALSE)</f>
        <v>#08</v>
      </c>
      <c r="J9075" t="s">
        <v>597</v>
      </c>
      <c r="K9075" s="195">
        <v>45832.548414351855</v>
      </c>
      <c r="L9075">
        <v>322</v>
      </c>
      <c r="M9075">
        <v>0</v>
      </c>
      <c r="N9075" s="98" t="str">
        <f>IF(record[[#This Row],[Memo]]="Browser:chrome os:android","平板報工",IF(record[[#This Row],[Memo]]=0,"委外",record[[#This Row],[Memo]]))</f>
        <v/>
      </c>
      <c r="O9075" t="s">
        <v>58</v>
      </c>
      <c r="P9075" t="s">
        <v>186</v>
      </c>
      <c r="Q9075" t="s">
        <v>287</v>
      </c>
      <c r="R9075" t="str">
        <f>IFERROR(VLOOKUP(record[[#This Row],[PCUSTID]],廠商[],2,FALSE),"")</f>
        <v>泉盛</v>
      </c>
      <c r="S9075" t="str">
        <f>VLOOKUP(record[[#This Row],[employeeID]],員工[],2,FALSE)</f>
        <v>許文姍</v>
      </c>
    </row>
    <row r="9076" spans="6:19" hidden="1" x14ac:dyDescent="0.25">
      <c r="F9076" t="s">
        <v>849</v>
      </c>
      <c r="G9076" t="s">
        <v>469</v>
      </c>
      <c r="H9076" t="str">
        <f>VLOOKUP(record[[#This Row],[ProcessSN]],表格2_7[],2,FALSE)</f>
        <v>30-4118-018-XXX</v>
      </c>
      <c r="I9076" t="str">
        <f>VLOOKUP(record[[#This Row],[ProcessSN]],表格2_7[],3,FALSE)</f>
        <v>#02RCV</v>
      </c>
      <c r="J9076" t="s">
        <v>591</v>
      </c>
      <c r="K9076" s="195">
        <v>45832.480798611112</v>
      </c>
      <c r="L9076">
        <v>167</v>
      </c>
      <c r="M9076">
        <v>0</v>
      </c>
      <c r="N9076" s="98" t="str">
        <f>IF(record[[#This Row],[Memo]]="Browser:chrome os:android","平板報工",IF(record[[#This Row],[Memo]]=0,"委外",record[[#This Row],[Memo]]))</f>
        <v/>
      </c>
      <c r="O9076" t="s">
        <v>58</v>
      </c>
      <c r="P9076" t="s">
        <v>186</v>
      </c>
      <c r="Q9076" t="s">
        <v>58</v>
      </c>
      <c r="R9076" t="str">
        <f>IFERROR(VLOOKUP(record[[#This Row],[PCUSTID]],廠商[],2,FALSE),"")</f>
        <v/>
      </c>
      <c r="S9076" t="str">
        <f>VLOOKUP(record[[#This Row],[employeeID]],員工[],2,FALSE)</f>
        <v>許文姍</v>
      </c>
    </row>
    <row r="9077" spans="6:19" hidden="1" x14ac:dyDescent="0.25">
      <c r="F9077" t="s">
        <v>810</v>
      </c>
      <c r="G9077" t="s">
        <v>428</v>
      </c>
      <c r="H9077" t="str">
        <f>VLOOKUP(record[[#This Row],[ProcessSN]],表格2_7[],2,FALSE)</f>
        <v>30-4118-018-600</v>
      </c>
      <c r="I9077" t="str">
        <f>VLOOKUP(record[[#This Row],[ProcessSN]],表格2_7[],3,FALSE)</f>
        <v>#100SHIP</v>
      </c>
      <c r="J9077" t="s">
        <v>600</v>
      </c>
      <c r="K9077" s="195">
        <v>45832.454895833333</v>
      </c>
      <c r="L9077">
        <v>1</v>
      </c>
      <c r="M9077">
        <v>0</v>
      </c>
      <c r="N9077" s="98" t="str">
        <f>IF(record[[#This Row],[Memo]]="Browser:chrome os:android","平板報工",IF(record[[#This Row],[Memo]]=0,"委外",record[[#This Row],[Memo]]))</f>
        <v/>
      </c>
      <c r="O9077" t="s">
        <v>58</v>
      </c>
      <c r="P9077" t="s">
        <v>196</v>
      </c>
      <c r="Q9077" t="s">
        <v>58</v>
      </c>
      <c r="R9077" t="str">
        <f>IFERROR(VLOOKUP(record[[#This Row],[PCUSTID]],廠商[],2,FALSE),"")</f>
        <v/>
      </c>
      <c r="S9077" t="str">
        <f>VLOOKUP(record[[#This Row],[employeeID]],員工[],2,FALSE)</f>
        <v>張淑惠</v>
      </c>
    </row>
    <row r="9078" spans="6:19" hidden="1" x14ac:dyDescent="0.25">
      <c r="F9078" t="s">
        <v>801</v>
      </c>
      <c r="G9078" t="s">
        <v>403</v>
      </c>
      <c r="H9078" t="str">
        <f>VLOOKUP(record[[#This Row],[ProcessSN]],表格2_7[],2,FALSE)</f>
        <v>30-4118-018-550</v>
      </c>
      <c r="I9078" t="str">
        <f>VLOOKUP(record[[#This Row],[ProcessSN]],表格2_7[],3,FALSE)</f>
        <v>#100SHIP</v>
      </c>
      <c r="J9078" t="s">
        <v>600</v>
      </c>
      <c r="K9078" s="195">
        <v>45832.454618055555</v>
      </c>
      <c r="L9078">
        <v>15</v>
      </c>
      <c r="M9078">
        <v>0</v>
      </c>
      <c r="N9078" s="98" t="str">
        <f>IF(record[[#This Row],[Memo]]="Browser:chrome os:android","平板報工",IF(record[[#This Row],[Memo]]=0,"委外",record[[#This Row],[Memo]]))</f>
        <v/>
      </c>
      <c r="O9078" t="s">
        <v>58</v>
      </c>
      <c r="P9078" t="s">
        <v>196</v>
      </c>
      <c r="Q9078" t="s">
        <v>58</v>
      </c>
      <c r="R9078" t="str">
        <f>IFERROR(VLOOKUP(record[[#This Row],[PCUSTID]],廠商[],2,FALSE),"")</f>
        <v/>
      </c>
      <c r="S9078" t="str">
        <f>VLOOKUP(record[[#This Row],[employeeID]],員工[],2,FALSE)</f>
        <v>張淑惠</v>
      </c>
    </row>
    <row r="9079" spans="6:19" hidden="1" x14ac:dyDescent="0.25">
      <c r="F9079" t="s">
        <v>854</v>
      </c>
      <c r="G9079" t="s">
        <v>415</v>
      </c>
      <c r="H9079" t="str">
        <f>VLOOKUP(record[[#This Row],[ProcessSN]],表格2_7[],2,FALSE)</f>
        <v>30-4118-018-5XX</v>
      </c>
      <c r="I9079" t="str">
        <f>VLOOKUP(record[[#This Row],[ProcessSN]],表格2_7[],3,FALSE)</f>
        <v>#04</v>
      </c>
      <c r="J9079" t="s">
        <v>588</v>
      </c>
      <c r="K9079" s="195">
        <v>45832.432939814818</v>
      </c>
      <c r="L9079">
        <v>0</v>
      </c>
      <c r="M9079">
        <v>235</v>
      </c>
      <c r="N9079" s="98" t="str">
        <f>IF(record[[#This Row],[Memo]]="Browser:chrome os:android","平板報工",IF(record[[#This Row],[Memo]]=0,"委外",record[[#This Row],[Memo]]))</f>
        <v/>
      </c>
      <c r="O9079" t="s">
        <v>58</v>
      </c>
      <c r="P9079" t="s">
        <v>141</v>
      </c>
      <c r="Q9079" t="s">
        <v>58</v>
      </c>
      <c r="R9079" t="str">
        <f>IFERROR(VLOOKUP(record[[#This Row],[PCUSTID]],廠商[],2,FALSE),"")</f>
        <v/>
      </c>
      <c r="S9079" t="str">
        <f>VLOOKUP(record[[#This Row],[employeeID]],員工[],2,FALSE)</f>
        <v>蔣梅</v>
      </c>
    </row>
    <row r="9080" spans="6:19" hidden="1" x14ac:dyDescent="0.25">
      <c r="F9080" t="s">
        <v>854</v>
      </c>
      <c r="G9080" t="s">
        <v>419</v>
      </c>
      <c r="H9080" t="str">
        <f>VLOOKUP(record[[#This Row],[ProcessSN]],表格2_7[],2,FALSE)</f>
        <v>30-4118-018-5XX</v>
      </c>
      <c r="I9080" t="str">
        <f>VLOOKUP(record[[#This Row],[ProcessSN]],表格2_7[],3,FALSE)</f>
        <v>#07QC</v>
      </c>
      <c r="J9080" t="s">
        <v>589</v>
      </c>
      <c r="K9080" s="195">
        <v>45832.408356481479</v>
      </c>
      <c r="L9080">
        <v>0</v>
      </c>
      <c r="M9080">
        <v>1</v>
      </c>
      <c r="N9080" s="98" t="str">
        <f>IF(record[[#This Row],[Memo]]="Browser:chrome os:android","平板報工",IF(record[[#This Row],[Memo]]=0,"委外",record[[#This Row],[Memo]]))</f>
        <v/>
      </c>
      <c r="O9080" t="s">
        <v>58</v>
      </c>
      <c r="P9080" t="s">
        <v>141</v>
      </c>
      <c r="Q9080" t="s">
        <v>58</v>
      </c>
      <c r="R9080" t="str">
        <f>IFERROR(VLOOKUP(record[[#This Row],[PCUSTID]],廠商[],2,FALSE),"")</f>
        <v/>
      </c>
      <c r="S9080" t="str">
        <f>VLOOKUP(record[[#This Row],[employeeID]],員工[],2,FALSE)</f>
        <v>蔣梅</v>
      </c>
    </row>
    <row r="9081" spans="6:19" hidden="1" x14ac:dyDescent="0.25">
      <c r="F9081" t="s">
        <v>854</v>
      </c>
      <c r="G9081" t="s">
        <v>418</v>
      </c>
      <c r="H9081" t="str">
        <f>VLOOKUP(record[[#This Row],[ProcessSN]],表格2_7[],2,FALSE)</f>
        <v>30-4118-018-5XX</v>
      </c>
      <c r="I9081" t="str">
        <f>VLOOKUP(record[[#This Row],[ProcessSN]],表格2_7[],3,FALSE)</f>
        <v>#07</v>
      </c>
      <c r="J9081" t="s">
        <v>588</v>
      </c>
      <c r="K9081" s="195">
        <v>45832.408182870371</v>
      </c>
      <c r="L9081">
        <v>1</v>
      </c>
      <c r="M9081">
        <v>0</v>
      </c>
      <c r="N9081" s="98" t="str">
        <f>IF(record[[#This Row],[Memo]]="Browser:chrome os:android","平板報工",IF(record[[#This Row],[Memo]]=0,"委外",record[[#This Row],[Memo]]))</f>
        <v>補報</v>
      </c>
      <c r="O9081" t="s">
        <v>868</v>
      </c>
      <c r="P9081" t="s">
        <v>119</v>
      </c>
      <c r="Q9081" t="s">
        <v>58</v>
      </c>
      <c r="R9081" t="str">
        <f>IFERROR(VLOOKUP(record[[#This Row],[PCUSTID]],廠商[],2,FALSE),"")</f>
        <v/>
      </c>
      <c r="S9081" t="str">
        <f>VLOOKUP(record[[#This Row],[employeeID]],員工[],2,FALSE)</f>
        <v>廖俊彥</v>
      </c>
    </row>
    <row r="9082" spans="6:19" hidden="1" x14ac:dyDescent="0.25">
      <c r="F9082" t="s">
        <v>869</v>
      </c>
      <c r="G9082" t="s">
        <v>396</v>
      </c>
      <c r="H9082" t="str">
        <f>VLOOKUP(record[[#This Row],[ProcessSN]],表格2_7[],2,FALSE)</f>
        <v>30-4118-018-550</v>
      </c>
      <c r="I9082" t="str">
        <f>VLOOKUP(record[[#This Row],[ProcessSN]],表格2_7[],3,FALSE)</f>
        <v>#08PICK</v>
      </c>
      <c r="J9082" t="s">
        <v>582</v>
      </c>
      <c r="K9082" s="195">
        <v>45832.405300925922</v>
      </c>
      <c r="L9082">
        <v>322</v>
      </c>
      <c r="M9082">
        <v>0</v>
      </c>
      <c r="N9082" s="98" t="str">
        <f>IF(record[[#This Row],[Memo]]="Browser:chrome os:android","平板報工",IF(record[[#This Row],[Memo]]=0,"委外",record[[#This Row],[Memo]]))</f>
        <v/>
      </c>
      <c r="O9082" t="s">
        <v>58</v>
      </c>
      <c r="P9082" t="s">
        <v>113</v>
      </c>
      <c r="Q9082" t="s">
        <v>58</v>
      </c>
      <c r="R9082" t="str">
        <f>IFERROR(VLOOKUP(record[[#This Row],[PCUSTID]],廠商[],2,FALSE),"")</f>
        <v/>
      </c>
      <c r="S9082" t="str">
        <f>VLOOKUP(record[[#This Row],[employeeID]],員工[],2,FALSE)</f>
        <v>王奕蓁</v>
      </c>
    </row>
    <row r="9083" spans="6:19" hidden="1" x14ac:dyDescent="0.25">
      <c r="F9083" t="s">
        <v>854</v>
      </c>
      <c r="G9083" t="s">
        <v>420</v>
      </c>
      <c r="H9083" t="str">
        <f>VLOOKUP(record[[#This Row],[ProcessSN]],表格2_7[],2,FALSE)</f>
        <v>30-4118-018-5XX</v>
      </c>
      <c r="I9083" t="str">
        <f>VLOOKUP(record[[#This Row],[ProcessSN]],表格2_7[],3,FALSE)</f>
        <v>#07STOCK</v>
      </c>
      <c r="J9083" t="s">
        <v>592</v>
      </c>
      <c r="K9083" s="195">
        <v>45832.402951388889</v>
      </c>
      <c r="L9083">
        <v>322</v>
      </c>
      <c r="M9083">
        <v>0</v>
      </c>
      <c r="N9083" s="98" t="str">
        <f>IF(record[[#This Row],[Memo]]="Browser:chrome os:android","平板報工",IF(record[[#This Row],[Memo]]=0,"委外",record[[#This Row],[Memo]]))</f>
        <v/>
      </c>
      <c r="O9083" t="s">
        <v>58</v>
      </c>
      <c r="P9083" t="s">
        <v>113</v>
      </c>
      <c r="Q9083" t="s">
        <v>58</v>
      </c>
      <c r="R9083" t="str">
        <f>IFERROR(VLOOKUP(record[[#This Row],[PCUSTID]],廠商[],2,FALSE),"")</f>
        <v/>
      </c>
      <c r="S9083" t="str">
        <f>VLOOKUP(record[[#This Row],[employeeID]],員工[],2,FALSE)</f>
        <v>王奕蓁</v>
      </c>
    </row>
    <row r="9084" spans="6:19" hidden="1" x14ac:dyDescent="0.25">
      <c r="F9084" t="s">
        <v>849</v>
      </c>
      <c r="G9084" t="s">
        <v>468</v>
      </c>
      <c r="H9084" t="str">
        <f>VLOOKUP(record[[#This Row],[ProcessSN]],表格2_7[],2,FALSE)</f>
        <v>30-4118-018-XXX</v>
      </c>
      <c r="I9084" t="str">
        <f>VLOOKUP(record[[#This Row],[ProcessSN]],表格2_7[],3,FALSE)</f>
        <v>#02</v>
      </c>
      <c r="J9084" t="s">
        <v>590</v>
      </c>
      <c r="K9084" s="195">
        <v>45832.401041666664</v>
      </c>
      <c r="L9084">
        <v>840</v>
      </c>
      <c r="M9084">
        <v>0</v>
      </c>
      <c r="N9084" s="98" t="str">
        <f>IF(record[[#This Row],[Memo]]="Browser:chrome os:android","平板報工",IF(record[[#This Row],[Memo]]=0,"委外",record[[#This Row],[Memo]]))</f>
        <v/>
      </c>
      <c r="O9084" t="s">
        <v>58</v>
      </c>
      <c r="P9084" t="s">
        <v>186</v>
      </c>
      <c r="Q9084" t="s">
        <v>216</v>
      </c>
      <c r="R9084" t="str">
        <f>IFERROR(VLOOKUP(record[[#This Row],[PCUSTID]],廠商[],2,FALSE),"")</f>
        <v>俊杰</v>
      </c>
      <c r="S9084" t="str">
        <f>VLOOKUP(record[[#This Row],[employeeID]],員工[],2,FALSE)</f>
        <v>許文姍</v>
      </c>
    </row>
    <row r="9085" spans="6:19" hidden="1" x14ac:dyDescent="0.25">
      <c r="F9085" t="s">
        <v>854</v>
      </c>
      <c r="G9085" t="s">
        <v>418</v>
      </c>
      <c r="H9085" t="str">
        <f>VLOOKUP(record[[#This Row],[ProcessSN]],表格2_7[],2,FALSE)</f>
        <v>30-4118-018-5XX</v>
      </c>
      <c r="I9085" t="str">
        <f>VLOOKUP(record[[#This Row],[ProcessSN]],表格2_7[],3,FALSE)</f>
        <v>#07</v>
      </c>
      <c r="J9085" t="s">
        <v>588</v>
      </c>
      <c r="K9085" s="195">
        <v>45832.397210648145</v>
      </c>
      <c r="L9085">
        <v>49</v>
      </c>
      <c r="M9085">
        <v>0</v>
      </c>
      <c r="N9085" s="98" t="str">
        <f>IF(record[[#This Row],[Memo]]="Browser:chrome os:android","平板報工",IF(record[[#This Row],[Memo]]=0,"委外",record[[#This Row],[Memo]]))</f>
        <v/>
      </c>
      <c r="O9085" t="s">
        <v>58</v>
      </c>
      <c r="P9085" t="s">
        <v>65</v>
      </c>
      <c r="Q9085" t="s">
        <v>58</v>
      </c>
      <c r="R9085" t="str">
        <f>IFERROR(VLOOKUP(record[[#This Row],[PCUSTID]],廠商[],2,FALSE),"")</f>
        <v/>
      </c>
      <c r="S9085" t="str">
        <f>VLOOKUP(record[[#This Row],[employeeID]],員工[],2,FALSE)</f>
        <v>蘇進昌</v>
      </c>
    </row>
    <row r="9086" spans="6:19" hidden="1" x14ac:dyDescent="0.25">
      <c r="F9086" t="s">
        <v>854</v>
      </c>
      <c r="G9086" t="s">
        <v>419</v>
      </c>
      <c r="H9086" t="str">
        <f>VLOOKUP(record[[#This Row],[ProcessSN]],表格2_7[],2,FALSE)</f>
        <v>30-4118-018-5XX</v>
      </c>
      <c r="I9086" t="str">
        <f>VLOOKUP(record[[#This Row],[ProcessSN]],表格2_7[],3,FALSE)</f>
        <v>#07QC</v>
      </c>
      <c r="J9086" t="s">
        <v>589</v>
      </c>
      <c r="K9086" s="195">
        <v>45832.394282407404</v>
      </c>
      <c r="L9086">
        <v>322</v>
      </c>
      <c r="M9086">
        <v>0</v>
      </c>
      <c r="N9086" s="98" t="str">
        <f>IF(record[[#This Row],[Memo]]="Browser:chrome os:android","平板報工",IF(record[[#This Row],[Memo]]=0,"委外",record[[#This Row],[Memo]]))</f>
        <v>平板報工</v>
      </c>
      <c r="O9086" t="s">
        <v>643</v>
      </c>
      <c r="P9086" t="s">
        <v>141</v>
      </c>
      <c r="Q9086" t="s">
        <v>644</v>
      </c>
      <c r="R9086" t="str">
        <f>IFERROR(VLOOKUP(record[[#This Row],[PCUSTID]],廠商[],2,FALSE),"")</f>
        <v/>
      </c>
      <c r="S9086" t="str">
        <f>VLOOKUP(record[[#This Row],[employeeID]],員工[],2,FALSE)</f>
        <v>蔣梅</v>
      </c>
    </row>
    <row r="9087" spans="6:19" hidden="1" x14ac:dyDescent="0.25">
      <c r="F9087" t="s">
        <v>849</v>
      </c>
      <c r="G9087" t="s">
        <v>467</v>
      </c>
      <c r="H9087" t="str">
        <f>VLOOKUP(record[[#This Row],[ProcessSN]],表格2_7[],2,FALSE)</f>
        <v>30-4118-018-XXX</v>
      </c>
      <c r="I9087" t="str">
        <f>VLOOKUP(record[[#This Row],[ProcessSN]],表格2_7[],3,FALSE)</f>
        <v>#01QC</v>
      </c>
      <c r="J9087" t="s">
        <v>589</v>
      </c>
      <c r="K9087" s="195">
        <v>45832.393750000003</v>
      </c>
      <c r="L9087">
        <v>840</v>
      </c>
      <c r="M9087">
        <v>0</v>
      </c>
      <c r="N9087" s="98" t="str">
        <f>IF(record[[#This Row],[Memo]]="Browser:chrome os:android","平板報工",IF(record[[#This Row],[Memo]]=0,"委外",record[[#This Row],[Memo]]))</f>
        <v>平板報工</v>
      </c>
      <c r="O9087" t="s">
        <v>643</v>
      </c>
      <c r="P9087" t="s">
        <v>182</v>
      </c>
      <c r="Q9087" t="s">
        <v>644</v>
      </c>
      <c r="R9087" t="str">
        <f>IFERROR(VLOOKUP(record[[#This Row],[PCUSTID]],廠商[],2,FALSE),"")</f>
        <v/>
      </c>
      <c r="S9087" t="str">
        <f>VLOOKUP(record[[#This Row],[employeeID]],員工[],2,FALSE)</f>
        <v>梅氏和</v>
      </c>
    </row>
    <row r="9088" spans="6:19" hidden="1" x14ac:dyDescent="0.25">
      <c r="F9088" t="s">
        <v>854</v>
      </c>
      <c r="G9088" t="s">
        <v>415</v>
      </c>
      <c r="H9088" t="str">
        <f>VLOOKUP(record[[#This Row],[ProcessSN]],表格2_7[],2,FALSE)</f>
        <v>30-4118-018-5XX</v>
      </c>
      <c r="I9088" t="str">
        <f>VLOOKUP(record[[#This Row],[ProcessSN]],表格2_7[],3,FALSE)</f>
        <v>#04</v>
      </c>
      <c r="J9088" t="s">
        <v>588</v>
      </c>
      <c r="K9088" s="195">
        <v>45832.303078703706</v>
      </c>
      <c r="L9088">
        <v>38</v>
      </c>
      <c r="M9088">
        <v>0</v>
      </c>
      <c r="N9088" s="98" t="str">
        <f>IF(record[[#This Row],[Memo]]="Browser:chrome os:android","平板報工",IF(record[[#This Row],[Memo]]=0,"委外",record[[#This Row],[Memo]]))</f>
        <v/>
      </c>
      <c r="O9088" t="s">
        <v>58</v>
      </c>
      <c r="P9088" t="s">
        <v>135</v>
      </c>
      <c r="Q9088" t="s">
        <v>58</v>
      </c>
      <c r="R9088" t="str">
        <f>IFERROR(VLOOKUP(record[[#This Row],[PCUSTID]],廠商[],2,FALSE),"")</f>
        <v/>
      </c>
      <c r="S9088" t="str">
        <f>VLOOKUP(record[[#This Row],[employeeID]],員工[],2,FALSE)</f>
        <v>阮士文</v>
      </c>
    </row>
    <row r="9089" spans="6:19" hidden="1" x14ac:dyDescent="0.25">
      <c r="F9089" t="s">
        <v>849</v>
      </c>
      <c r="G9089" t="s">
        <v>466</v>
      </c>
      <c r="H9089" t="str">
        <f>VLOOKUP(record[[#This Row],[ProcessSN]],表格2_7[],2,FALSE)</f>
        <v>30-4118-018-XXX</v>
      </c>
      <c r="I9089" t="str">
        <f>VLOOKUP(record[[#This Row],[ProcessSN]],表格2_7[],3,FALSE)</f>
        <v>#01-2</v>
      </c>
      <c r="J9089" t="s">
        <v>588</v>
      </c>
      <c r="K9089" s="195">
        <v>45831.983298611114</v>
      </c>
      <c r="L9089">
        <v>504</v>
      </c>
      <c r="M9089">
        <v>0</v>
      </c>
      <c r="N9089" s="98" t="str">
        <f>IF(record[[#This Row],[Memo]]="Browser:chrome os:android","平板報工",IF(record[[#This Row],[Memo]]=0,"委外",record[[#This Row],[Memo]]))</f>
        <v/>
      </c>
      <c r="O9089" t="s">
        <v>58</v>
      </c>
      <c r="P9089" t="s">
        <v>763</v>
      </c>
      <c r="Q9089" t="s">
        <v>58</v>
      </c>
      <c r="R9089" t="str">
        <f>IFERROR(VLOOKUP(record[[#This Row],[PCUSTID]],廠商[],2,FALSE),"")</f>
        <v/>
      </c>
      <c r="S9089" t="str">
        <f>VLOOKUP(record[[#This Row],[employeeID]],員工[],2,FALSE)</f>
        <v>江嘉倫</v>
      </c>
    </row>
    <row r="9090" spans="6:19" hidden="1" x14ac:dyDescent="0.25">
      <c r="F9090" t="s">
        <v>849</v>
      </c>
      <c r="G9090" t="s">
        <v>465</v>
      </c>
      <c r="H9090" t="str">
        <f>VLOOKUP(record[[#This Row],[ProcessSN]],表格2_7[],2,FALSE)</f>
        <v>30-4118-018-XXX</v>
      </c>
      <c r="I9090" t="str">
        <f>VLOOKUP(record[[#This Row],[ProcessSN]],表格2_7[],3,FALSE)</f>
        <v>#01-1</v>
      </c>
      <c r="J9090" t="s">
        <v>588</v>
      </c>
      <c r="K9090" s="195">
        <v>45831.983136574076</v>
      </c>
      <c r="L9090">
        <v>504</v>
      </c>
      <c r="M9090">
        <v>1</v>
      </c>
      <c r="N9090" s="98" t="str">
        <f>IF(record[[#This Row],[Memo]]="Browser:chrome os:android","平板報工",IF(record[[#This Row],[Memo]]=0,"委外",record[[#This Row],[Memo]]))</f>
        <v/>
      </c>
      <c r="O9090" t="s">
        <v>58</v>
      </c>
      <c r="P9090" t="s">
        <v>763</v>
      </c>
      <c r="Q9090" t="s">
        <v>58</v>
      </c>
      <c r="R9090" t="str">
        <f>IFERROR(VLOOKUP(record[[#This Row],[PCUSTID]],廠商[],2,FALSE),"")</f>
        <v/>
      </c>
      <c r="S9090" t="str">
        <f>VLOOKUP(record[[#This Row],[employeeID]],員工[],2,FALSE)</f>
        <v>江嘉倫</v>
      </c>
    </row>
    <row r="9091" spans="6:19" hidden="1" x14ac:dyDescent="0.25">
      <c r="F9091" t="s">
        <v>854</v>
      </c>
      <c r="G9091" t="s">
        <v>415</v>
      </c>
      <c r="H9091" t="str">
        <f>VLOOKUP(record[[#This Row],[ProcessSN]],表格2_7[],2,FALSE)</f>
        <v>30-4118-018-5XX</v>
      </c>
      <c r="I9091" t="str">
        <f>VLOOKUP(record[[#This Row],[ProcessSN]],表格2_7[],3,FALSE)</f>
        <v>#04</v>
      </c>
      <c r="J9091" t="s">
        <v>588</v>
      </c>
      <c r="K9091" s="195">
        <v>45831.98027777778</v>
      </c>
      <c r="L9091">
        <v>48</v>
      </c>
      <c r="M9091">
        <v>0</v>
      </c>
      <c r="N9091" s="98" t="str">
        <f>IF(record[[#This Row],[Memo]]="Browser:chrome os:android","平板報工",IF(record[[#This Row],[Memo]]=0,"委外",record[[#This Row],[Memo]]))</f>
        <v/>
      </c>
      <c r="O9091" t="s">
        <v>58</v>
      </c>
      <c r="P9091" t="s">
        <v>89</v>
      </c>
      <c r="Q9091" t="s">
        <v>58</v>
      </c>
      <c r="R9091" t="str">
        <f>IFERROR(VLOOKUP(record[[#This Row],[PCUSTID]],廠商[],2,FALSE),"")</f>
        <v/>
      </c>
      <c r="S9091" t="str">
        <f>VLOOKUP(record[[#This Row],[employeeID]],員工[],2,FALSE)</f>
        <v>李美蓮</v>
      </c>
    </row>
    <row r="9092" spans="6:19" hidden="1" x14ac:dyDescent="0.25">
      <c r="F9092" t="s">
        <v>854</v>
      </c>
      <c r="G9092" t="s">
        <v>418</v>
      </c>
      <c r="H9092" t="str">
        <f>VLOOKUP(record[[#This Row],[ProcessSN]],表格2_7[],2,FALSE)</f>
        <v>30-4118-018-5XX</v>
      </c>
      <c r="I9092" t="str">
        <f>VLOOKUP(record[[#This Row],[ProcessSN]],表格2_7[],3,FALSE)</f>
        <v>#07</v>
      </c>
      <c r="J9092" t="s">
        <v>588</v>
      </c>
      <c r="K9092" s="195">
        <v>45831.978020833332</v>
      </c>
      <c r="L9092">
        <v>90</v>
      </c>
      <c r="M9092">
        <v>0</v>
      </c>
      <c r="N9092" s="98" t="str">
        <f>IF(record[[#This Row],[Memo]]="Browser:chrome os:android","平板報工",IF(record[[#This Row],[Memo]]=0,"委外",record[[#This Row],[Memo]]))</f>
        <v/>
      </c>
      <c r="O9092" t="s">
        <v>58</v>
      </c>
      <c r="P9092" t="s">
        <v>89</v>
      </c>
      <c r="Q9092" t="s">
        <v>58</v>
      </c>
      <c r="R9092" t="str">
        <f>IFERROR(VLOOKUP(record[[#This Row],[PCUSTID]],廠商[],2,FALSE),"")</f>
        <v/>
      </c>
      <c r="S9092" t="str">
        <f>VLOOKUP(record[[#This Row],[employeeID]],員工[],2,FALSE)</f>
        <v>李美蓮</v>
      </c>
    </row>
    <row r="9093" spans="6:19" hidden="1" x14ac:dyDescent="0.25">
      <c r="F9093" t="s">
        <v>849</v>
      </c>
      <c r="G9093" t="s">
        <v>470</v>
      </c>
      <c r="H9093" t="str">
        <f>VLOOKUP(record[[#This Row],[ProcessSN]],表格2_7[],2,FALSE)</f>
        <v>30-4118-018-XXX</v>
      </c>
      <c r="I9093" t="str">
        <f>VLOOKUP(record[[#This Row],[ProcessSN]],表格2_7[],3,FALSE)</f>
        <v>#02IQC</v>
      </c>
      <c r="J9093" t="s">
        <v>583</v>
      </c>
      <c r="K9093" s="195">
        <v>45831.821423611109</v>
      </c>
      <c r="L9093">
        <v>336</v>
      </c>
      <c r="M9093">
        <v>0</v>
      </c>
      <c r="N9093" s="98" t="str">
        <f>IF(record[[#This Row],[Memo]]="Browser:chrome os:android","平板報工",IF(record[[#This Row],[Memo]]=0,"委外",record[[#This Row],[Memo]]))</f>
        <v/>
      </c>
      <c r="O9093" t="s">
        <v>58</v>
      </c>
      <c r="P9093" t="s">
        <v>109</v>
      </c>
      <c r="Q9093" t="s">
        <v>58</v>
      </c>
      <c r="R9093" t="str">
        <f>IFERROR(VLOOKUP(record[[#This Row],[PCUSTID]],廠商[],2,FALSE),"")</f>
        <v/>
      </c>
      <c r="S9093" t="str">
        <f>VLOOKUP(record[[#This Row],[employeeID]],員工[],2,FALSE)</f>
        <v>裴氏璧鳳</v>
      </c>
    </row>
    <row r="9094" spans="6:19" hidden="1" x14ac:dyDescent="0.25">
      <c r="F9094" t="s">
        <v>825</v>
      </c>
      <c r="G9094" t="s">
        <v>470</v>
      </c>
      <c r="H9094" t="str">
        <f>VLOOKUP(record[[#This Row],[ProcessSN]],表格2_7[],2,FALSE)</f>
        <v>30-4118-018-XXX</v>
      </c>
      <c r="I9094" t="str">
        <f>VLOOKUP(record[[#This Row],[ProcessSN]],表格2_7[],3,FALSE)</f>
        <v>#02IQC</v>
      </c>
      <c r="J9094" t="s">
        <v>583</v>
      </c>
      <c r="K9094" s="195">
        <v>45831.821226851855</v>
      </c>
      <c r="L9094">
        <v>1511</v>
      </c>
      <c r="M9094">
        <v>0</v>
      </c>
      <c r="N9094" s="98" t="str">
        <f>IF(record[[#This Row],[Memo]]="Browser:chrome os:android","平板報工",IF(record[[#This Row],[Memo]]=0,"委外",record[[#This Row],[Memo]]))</f>
        <v/>
      </c>
      <c r="O9094" t="s">
        <v>58</v>
      </c>
      <c r="P9094" t="s">
        <v>109</v>
      </c>
      <c r="Q9094" t="s">
        <v>58</v>
      </c>
      <c r="R9094" t="str">
        <f>IFERROR(VLOOKUP(record[[#This Row],[PCUSTID]],廠商[],2,FALSE),"")</f>
        <v/>
      </c>
      <c r="S9094" t="str">
        <f>VLOOKUP(record[[#This Row],[employeeID]],員工[],2,FALSE)</f>
        <v>裴氏璧鳳</v>
      </c>
    </row>
    <row r="9095" spans="6:19" hidden="1" x14ac:dyDescent="0.25">
      <c r="F9095" t="s">
        <v>864</v>
      </c>
      <c r="G9095" t="s">
        <v>446</v>
      </c>
      <c r="H9095" t="str">
        <f>VLOOKUP(record[[#This Row],[ProcessSN]],表格2_7[],2,FALSE)</f>
        <v>30-4118-018-6XX</v>
      </c>
      <c r="I9095" t="str">
        <f>VLOOKUP(record[[#This Row],[ProcessSN]],表格2_7[],3,FALSE)</f>
        <v>#03GIVE</v>
      </c>
      <c r="J9095" t="s">
        <v>587</v>
      </c>
      <c r="K9095" s="195">
        <v>45831.660439814812</v>
      </c>
      <c r="L9095">
        <v>1000</v>
      </c>
      <c r="M9095">
        <v>0</v>
      </c>
      <c r="N9095" s="98" t="str">
        <f>IF(record[[#This Row],[Memo]]="Browser:chrome os:android","平板報工",IF(record[[#This Row],[Memo]]=0,"委外",record[[#This Row],[Memo]]))</f>
        <v/>
      </c>
      <c r="O9095" t="s">
        <v>58</v>
      </c>
      <c r="P9095" t="s">
        <v>208</v>
      </c>
      <c r="Q9095" t="s">
        <v>58</v>
      </c>
      <c r="R9095" t="str">
        <f>IFERROR(VLOOKUP(record[[#This Row],[PCUSTID]],廠商[],2,FALSE),"")</f>
        <v/>
      </c>
      <c r="S9095" t="str">
        <f>VLOOKUP(record[[#This Row],[employeeID]],員工[],2,FALSE)</f>
        <v>陳治宏</v>
      </c>
    </row>
    <row r="9096" spans="6:19" hidden="1" x14ac:dyDescent="0.25">
      <c r="F9096" t="s">
        <v>849</v>
      </c>
      <c r="G9096" t="s">
        <v>466</v>
      </c>
      <c r="H9096" t="str">
        <f>VLOOKUP(record[[#This Row],[ProcessSN]],表格2_7[],2,FALSE)</f>
        <v>30-4118-018-XXX</v>
      </c>
      <c r="I9096" t="str">
        <f>VLOOKUP(record[[#This Row],[ProcessSN]],表格2_7[],3,FALSE)</f>
        <v>#01-2</v>
      </c>
      <c r="J9096" t="s">
        <v>588</v>
      </c>
      <c r="K9096" s="195">
        <v>45831.647499999999</v>
      </c>
      <c r="L9096">
        <v>600</v>
      </c>
      <c r="M9096">
        <v>0</v>
      </c>
      <c r="N9096" s="98" t="str">
        <f>IF(record[[#This Row],[Memo]]="Browser:chrome os:android","平板報工",IF(record[[#This Row],[Memo]]=0,"委外",record[[#This Row],[Memo]]))</f>
        <v/>
      </c>
      <c r="O9096" t="s">
        <v>58</v>
      </c>
      <c r="P9096" t="s">
        <v>101</v>
      </c>
      <c r="Q9096" t="s">
        <v>58</v>
      </c>
      <c r="R9096" t="str">
        <f>IFERROR(VLOOKUP(record[[#This Row],[PCUSTID]],廠商[],2,FALSE),"")</f>
        <v/>
      </c>
      <c r="S9096" t="str">
        <f>VLOOKUP(record[[#This Row],[employeeID]],員工[],2,FALSE)</f>
        <v>陳氏絨</v>
      </c>
    </row>
    <row r="9097" spans="6:19" hidden="1" x14ac:dyDescent="0.25">
      <c r="F9097" t="s">
        <v>849</v>
      </c>
      <c r="G9097" t="s">
        <v>465</v>
      </c>
      <c r="H9097" t="str">
        <f>VLOOKUP(record[[#This Row],[ProcessSN]],表格2_7[],2,FALSE)</f>
        <v>30-4118-018-XXX</v>
      </c>
      <c r="I9097" t="str">
        <f>VLOOKUP(record[[#This Row],[ProcessSN]],表格2_7[],3,FALSE)</f>
        <v>#01-1</v>
      </c>
      <c r="J9097" t="s">
        <v>588</v>
      </c>
      <c r="K9097" s="195">
        <v>45831.647303240738</v>
      </c>
      <c r="L9097">
        <v>600</v>
      </c>
      <c r="M9097">
        <v>0</v>
      </c>
      <c r="N9097" s="98" t="str">
        <f>IF(record[[#This Row],[Memo]]="Browser:chrome os:android","平板報工",IF(record[[#This Row],[Memo]]=0,"委外",record[[#This Row],[Memo]]))</f>
        <v/>
      </c>
      <c r="O9097" t="s">
        <v>58</v>
      </c>
      <c r="P9097" t="s">
        <v>101</v>
      </c>
      <c r="Q9097" t="s">
        <v>58</v>
      </c>
      <c r="R9097" t="str">
        <f>IFERROR(VLOOKUP(record[[#This Row],[PCUSTID]],廠商[],2,FALSE),"")</f>
        <v/>
      </c>
      <c r="S9097" t="str">
        <f>VLOOKUP(record[[#This Row],[employeeID]],員工[],2,FALSE)</f>
        <v>陳氏絨</v>
      </c>
    </row>
    <row r="9098" spans="6:19" hidden="1" x14ac:dyDescent="0.25">
      <c r="F9098" t="s">
        <v>854</v>
      </c>
      <c r="G9098" t="s">
        <v>418</v>
      </c>
      <c r="H9098" t="str">
        <f>VLOOKUP(record[[#This Row],[ProcessSN]],表格2_7[],2,FALSE)</f>
        <v>30-4118-018-5XX</v>
      </c>
      <c r="I9098" t="str">
        <f>VLOOKUP(record[[#This Row],[ProcessSN]],表格2_7[],3,FALSE)</f>
        <v>#07</v>
      </c>
      <c r="J9098" t="s">
        <v>588</v>
      </c>
      <c r="K9098" s="195">
        <v>45831.631458333337</v>
      </c>
      <c r="L9098">
        <v>130</v>
      </c>
      <c r="M9098">
        <v>0</v>
      </c>
      <c r="N9098" s="98" t="str">
        <f>IF(record[[#This Row],[Memo]]="Browser:chrome os:android","平板報工",IF(record[[#This Row],[Memo]]=0,"委外",record[[#This Row],[Memo]]))</f>
        <v/>
      </c>
      <c r="O9098" t="s">
        <v>58</v>
      </c>
      <c r="P9098" t="s">
        <v>101</v>
      </c>
      <c r="Q9098" t="s">
        <v>58</v>
      </c>
      <c r="R9098" t="str">
        <f>IFERROR(VLOOKUP(record[[#This Row],[PCUSTID]],廠商[],2,FALSE),"")</f>
        <v/>
      </c>
      <c r="S9098" t="str">
        <f>VLOOKUP(record[[#This Row],[employeeID]],員工[],2,FALSE)</f>
        <v>陳氏絨</v>
      </c>
    </row>
    <row r="9099" spans="6:19" hidden="1" x14ac:dyDescent="0.25">
      <c r="F9099" t="s">
        <v>866</v>
      </c>
      <c r="G9099" t="s">
        <v>397</v>
      </c>
      <c r="H9099" t="str">
        <f>VLOOKUP(record[[#This Row],[ProcessSN]],表格2_7[],2,FALSE)</f>
        <v>30-4118-018-550</v>
      </c>
      <c r="I9099" t="str">
        <f>VLOOKUP(record[[#This Row],[ProcessSN]],表格2_7[],3,FALSE)</f>
        <v>#08</v>
      </c>
      <c r="J9099" t="s">
        <v>597</v>
      </c>
      <c r="K9099" s="195">
        <v>45831.58184027778</v>
      </c>
      <c r="L9099">
        <v>327</v>
      </c>
      <c r="M9099">
        <v>0</v>
      </c>
      <c r="N9099" s="98" t="str">
        <f>IF(record[[#This Row],[Memo]]="Browser:chrome os:android","平板報工",IF(record[[#This Row],[Memo]]=0,"委外",record[[#This Row],[Memo]]))</f>
        <v/>
      </c>
      <c r="O9099" t="s">
        <v>58</v>
      </c>
      <c r="P9099" t="s">
        <v>186</v>
      </c>
      <c r="Q9099" t="s">
        <v>287</v>
      </c>
      <c r="R9099" t="str">
        <f>IFERROR(VLOOKUP(record[[#This Row],[PCUSTID]],廠商[],2,FALSE),"")</f>
        <v>泉盛</v>
      </c>
      <c r="S9099" t="str">
        <f>VLOOKUP(record[[#This Row],[employeeID]],員工[],2,FALSE)</f>
        <v>許文姍</v>
      </c>
    </row>
    <row r="9100" spans="6:19" hidden="1" x14ac:dyDescent="0.25">
      <c r="F9100" t="s">
        <v>847</v>
      </c>
      <c r="G9100" t="s">
        <v>397</v>
      </c>
      <c r="H9100" t="str">
        <f>VLOOKUP(record[[#This Row],[ProcessSN]],表格2_7[],2,FALSE)</f>
        <v>30-4118-018-550</v>
      </c>
      <c r="I9100" t="str">
        <f>VLOOKUP(record[[#This Row],[ProcessSN]],表格2_7[],3,FALSE)</f>
        <v>#08</v>
      </c>
      <c r="J9100" t="s">
        <v>597</v>
      </c>
      <c r="K9100" s="195">
        <v>45831.581666666665</v>
      </c>
      <c r="L9100">
        <v>1</v>
      </c>
      <c r="M9100">
        <v>0</v>
      </c>
      <c r="N9100" s="98" t="str">
        <f>IF(record[[#This Row],[Memo]]="Browser:chrome os:android","平板報工",IF(record[[#This Row],[Memo]]=0,"委外",record[[#This Row],[Memo]]))</f>
        <v/>
      </c>
      <c r="O9100" t="s">
        <v>58</v>
      </c>
      <c r="P9100" t="s">
        <v>186</v>
      </c>
      <c r="Q9100" t="s">
        <v>287</v>
      </c>
      <c r="R9100" t="str">
        <f>IFERROR(VLOOKUP(record[[#This Row],[PCUSTID]],廠商[],2,FALSE),"")</f>
        <v>泉盛</v>
      </c>
      <c r="S9100" t="str">
        <f>VLOOKUP(record[[#This Row],[employeeID]],員工[],2,FALSE)</f>
        <v>許文姍</v>
      </c>
    </row>
    <row r="9101" spans="6:19" hidden="1" x14ac:dyDescent="0.25">
      <c r="F9101" t="s">
        <v>849</v>
      </c>
      <c r="G9101" t="s">
        <v>469</v>
      </c>
      <c r="H9101" t="str">
        <f>VLOOKUP(record[[#This Row],[ProcessSN]],表格2_7[],2,FALSE)</f>
        <v>30-4118-018-XXX</v>
      </c>
      <c r="I9101" t="str">
        <f>VLOOKUP(record[[#This Row],[ProcessSN]],表格2_7[],3,FALSE)</f>
        <v>#02RCV</v>
      </c>
      <c r="J9101" t="s">
        <v>591</v>
      </c>
      <c r="K9101" s="195">
        <v>45831.553194444445</v>
      </c>
      <c r="L9101">
        <v>336</v>
      </c>
      <c r="M9101">
        <v>0</v>
      </c>
      <c r="N9101" s="98" t="str">
        <f>IF(record[[#This Row],[Memo]]="Browser:chrome os:android","平板報工",IF(record[[#This Row],[Memo]]=0,"委外",record[[#This Row],[Memo]]))</f>
        <v/>
      </c>
      <c r="O9101" t="s">
        <v>58</v>
      </c>
      <c r="P9101" t="s">
        <v>186</v>
      </c>
      <c r="Q9101" t="s">
        <v>58</v>
      </c>
      <c r="R9101" t="str">
        <f>IFERROR(VLOOKUP(record[[#This Row],[PCUSTID]],廠商[],2,FALSE),"")</f>
        <v/>
      </c>
      <c r="S9101" t="str">
        <f>VLOOKUP(record[[#This Row],[employeeID]],員工[],2,FALSE)</f>
        <v>許文姍</v>
      </c>
    </row>
    <row r="9102" spans="6:19" hidden="1" x14ac:dyDescent="0.25">
      <c r="F9102" t="s">
        <v>825</v>
      </c>
      <c r="G9102" t="s">
        <v>469</v>
      </c>
      <c r="H9102" t="str">
        <f>VLOOKUP(record[[#This Row],[ProcessSN]],表格2_7[],2,FALSE)</f>
        <v>30-4118-018-XXX</v>
      </c>
      <c r="I9102" t="str">
        <f>VLOOKUP(record[[#This Row],[ProcessSN]],表格2_7[],3,FALSE)</f>
        <v>#02RCV</v>
      </c>
      <c r="J9102" t="s">
        <v>591</v>
      </c>
      <c r="K9102" s="195">
        <v>45831.552986111114</v>
      </c>
      <c r="L9102">
        <v>1511</v>
      </c>
      <c r="M9102">
        <v>0</v>
      </c>
      <c r="N9102" s="98" t="str">
        <f>IF(record[[#This Row],[Memo]]="Browser:chrome os:android","平板報工",IF(record[[#This Row],[Memo]]=0,"委外",record[[#This Row],[Memo]]))</f>
        <v/>
      </c>
      <c r="O9102" t="s">
        <v>58</v>
      </c>
      <c r="P9102" t="s">
        <v>186</v>
      </c>
      <c r="Q9102" t="s">
        <v>58</v>
      </c>
      <c r="R9102" t="str">
        <f>IFERROR(VLOOKUP(record[[#This Row],[PCUSTID]],廠商[],2,FALSE),"")</f>
        <v/>
      </c>
      <c r="S9102" t="str">
        <f>VLOOKUP(record[[#This Row],[employeeID]],員工[],2,FALSE)</f>
        <v>許文姍</v>
      </c>
    </row>
    <row r="9103" spans="6:19" hidden="1" x14ac:dyDescent="0.25">
      <c r="F9103" t="s">
        <v>830</v>
      </c>
      <c r="G9103" t="s">
        <v>427</v>
      </c>
      <c r="H9103" t="str">
        <f>VLOOKUP(record[[#This Row],[ProcessSN]],表格2_7[],2,FALSE)</f>
        <v>30-4118-018-600</v>
      </c>
      <c r="I9103" t="str">
        <f>VLOOKUP(record[[#This Row],[ProcessSN]],表格2_7[],3,FALSE)</f>
        <v>#100STOCK</v>
      </c>
      <c r="J9103" t="s">
        <v>592</v>
      </c>
      <c r="K9103" s="195">
        <v>45831.415729166663</v>
      </c>
      <c r="L9103">
        <v>40</v>
      </c>
      <c r="M9103">
        <v>0</v>
      </c>
      <c r="N9103" s="98" t="str">
        <f>IF(record[[#This Row],[Memo]]="Browser:chrome os:android","平板報工",IF(record[[#This Row],[Memo]]=0,"委外",record[[#This Row],[Memo]]))</f>
        <v/>
      </c>
      <c r="O9103" t="s">
        <v>58</v>
      </c>
      <c r="P9103" t="s">
        <v>196</v>
      </c>
      <c r="Q9103" t="s">
        <v>58</v>
      </c>
      <c r="R9103" t="str">
        <f>IFERROR(VLOOKUP(record[[#This Row],[PCUSTID]],廠商[],2,FALSE),"")</f>
        <v/>
      </c>
      <c r="S9103" t="str">
        <f>VLOOKUP(record[[#This Row],[employeeID]],員工[],2,FALSE)</f>
        <v>張淑惠</v>
      </c>
    </row>
    <row r="9104" spans="6:19" hidden="1" x14ac:dyDescent="0.25">
      <c r="F9104" t="s">
        <v>822</v>
      </c>
      <c r="G9104" t="s">
        <v>427</v>
      </c>
      <c r="H9104" t="str">
        <f>VLOOKUP(record[[#This Row],[ProcessSN]],表格2_7[],2,FALSE)</f>
        <v>30-4118-018-600</v>
      </c>
      <c r="I9104" t="str">
        <f>VLOOKUP(record[[#This Row],[ProcessSN]],表格2_7[],3,FALSE)</f>
        <v>#100STOCK</v>
      </c>
      <c r="J9104" t="s">
        <v>592</v>
      </c>
      <c r="K9104" s="195">
        <v>45831.415532407409</v>
      </c>
      <c r="L9104">
        <v>11</v>
      </c>
      <c r="M9104">
        <v>0</v>
      </c>
      <c r="N9104" s="98" t="str">
        <f>IF(record[[#This Row],[Memo]]="Browser:chrome os:android","平板報工",IF(record[[#This Row],[Memo]]=0,"委外",record[[#This Row],[Memo]]))</f>
        <v/>
      </c>
      <c r="O9104" t="s">
        <v>58</v>
      </c>
      <c r="P9104" t="s">
        <v>196</v>
      </c>
      <c r="Q9104" t="s">
        <v>58</v>
      </c>
      <c r="R9104" t="str">
        <f>IFERROR(VLOOKUP(record[[#This Row],[PCUSTID]],廠商[],2,FALSE),"")</f>
        <v/>
      </c>
      <c r="S9104" t="str">
        <f>VLOOKUP(record[[#This Row],[employeeID]],員工[],2,FALSE)</f>
        <v>張淑惠</v>
      </c>
    </row>
    <row r="9105" spans="6:19" hidden="1" x14ac:dyDescent="0.25">
      <c r="F9105" t="s">
        <v>820</v>
      </c>
      <c r="G9105" t="s">
        <v>427</v>
      </c>
      <c r="H9105" t="str">
        <f>VLOOKUP(record[[#This Row],[ProcessSN]],表格2_7[],2,FALSE)</f>
        <v>30-4118-018-600</v>
      </c>
      <c r="I9105" t="str">
        <f>VLOOKUP(record[[#This Row],[ProcessSN]],表格2_7[],3,FALSE)</f>
        <v>#100STOCK</v>
      </c>
      <c r="J9105" t="s">
        <v>592</v>
      </c>
      <c r="K9105" s="195">
        <v>45831.415416666663</v>
      </c>
      <c r="L9105">
        <v>27</v>
      </c>
      <c r="M9105">
        <v>0</v>
      </c>
      <c r="N9105" s="98" t="str">
        <f>IF(record[[#This Row],[Memo]]="Browser:chrome os:android","平板報工",IF(record[[#This Row],[Memo]]=0,"委外",record[[#This Row],[Memo]]))</f>
        <v/>
      </c>
      <c r="O9105" t="s">
        <v>58</v>
      </c>
      <c r="P9105" t="s">
        <v>196</v>
      </c>
      <c r="Q9105" t="s">
        <v>58</v>
      </c>
      <c r="R9105" t="str">
        <f>IFERROR(VLOOKUP(record[[#This Row],[PCUSTID]],廠商[],2,FALSE),"")</f>
        <v/>
      </c>
      <c r="S9105" t="str">
        <f>VLOOKUP(record[[#This Row],[employeeID]],員工[],2,FALSE)</f>
        <v>張淑惠</v>
      </c>
    </row>
    <row r="9106" spans="6:19" hidden="1" x14ac:dyDescent="0.25">
      <c r="F9106" t="s">
        <v>818</v>
      </c>
      <c r="G9106" t="s">
        <v>427</v>
      </c>
      <c r="H9106" t="str">
        <f>VLOOKUP(record[[#This Row],[ProcessSN]],表格2_7[],2,FALSE)</f>
        <v>30-4118-018-600</v>
      </c>
      <c r="I9106" t="str">
        <f>VLOOKUP(record[[#This Row],[ProcessSN]],表格2_7[],3,FALSE)</f>
        <v>#100STOCK</v>
      </c>
      <c r="J9106" t="s">
        <v>592</v>
      </c>
      <c r="K9106" s="195">
        <v>45831.415289351855</v>
      </c>
      <c r="L9106">
        <v>23</v>
      </c>
      <c r="M9106">
        <v>0</v>
      </c>
      <c r="N9106" s="98" t="str">
        <f>IF(record[[#This Row],[Memo]]="Browser:chrome os:android","平板報工",IF(record[[#This Row],[Memo]]=0,"委外",record[[#This Row],[Memo]]))</f>
        <v/>
      </c>
      <c r="O9106" t="s">
        <v>58</v>
      </c>
      <c r="P9106" t="s">
        <v>196</v>
      </c>
      <c r="Q9106" t="s">
        <v>58</v>
      </c>
      <c r="R9106" t="str">
        <f>IFERROR(VLOOKUP(record[[#This Row],[PCUSTID]],廠商[],2,FALSE),"")</f>
        <v/>
      </c>
      <c r="S9106" t="str">
        <f>VLOOKUP(record[[#This Row],[employeeID]],員工[],2,FALSE)</f>
        <v>張淑惠</v>
      </c>
    </row>
    <row r="9107" spans="6:19" hidden="1" x14ac:dyDescent="0.25">
      <c r="F9107" t="s">
        <v>810</v>
      </c>
      <c r="G9107" t="s">
        <v>427</v>
      </c>
      <c r="H9107" t="str">
        <f>VLOOKUP(record[[#This Row],[ProcessSN]],表格2_7[],2,FALSE)</f>
        <v>30-4118-018-600</v>
      </c>
      <c r="I9107" t="str">
        <f>VLOOKUP(record[[#This Row],[ProcessSN]],表格2_7[],3,FALSE)</f>
        <v>#100STOCK</v>
      </c>
      <c r="J9107" t="s">
        <v>592</v>
      </c>
      <c r="K9107" s="195">
        <v>45831.415150462963</v>
      </c>
      <c r="L9107">
        <v>4</v>
      </c>
      <c r="M9107">
        <v>0</v>
      </c>
      <c r="N9107" s="98" t="str">
        <f>IF(record[[#This Row],[Memo]]="Browser:chrome os:android","平板報工",IF(record[[#This Row],[Memo]]=0,"委外",record[[#This Row],[Memo]]))</f>
        <v/>
      </c>
      <c r="O9107" t="s">
        <v>58</v>
      </c>
      <c r="P9107" t="s">
        <v>196</v>
      </c>
      <c r="Q9107" t="s">
        <v>58</v>
      </c>
      <c r="R9107" t="str">
        <f>IFERROR(VLOOKUP(record[[#This Row],[PCUSTID]],廠商[],2,FALSE),"")</f>
        <v/>
      </c>
      <c r="S9107" t="str">
        <f>VLOOKUP(record[[#This Row],[employeeID]],員工[],2,FALSE)</f>
        <v>張淑惠</v>
      </c>
    </row>
    <row r="9108" spans="6:19" hidden="1" x14ac:dyDescent="0.25">
      <c r="F9108" t="s">
        <v>858</v>
      </c>
      <c r="G9108" t="s">
        <v>402</v>
      </c>
      <c r="H9108" t="str">
        <f>VLOOKUP(record[[#This Row],[ProcessSN]],表格2_7[],2,FALSE)</f>
        <v>30-4118-018-550</v>
      </c>
      <c r="I9108" t="str">
        <f>VLOOKUP(record[[#This Row],[ProcessSN]],表格2_7[],3,FALSE)</f>
        <v>#100STOCK</v>
      </c>
      <c r="J9108" t="s">
        <v>592</v>
      </c>
      <c r="K9108" s="195">
        <v>45831.414803240739</v>
      </c>
      <c r="L9108">
        <v>225</v>
      </c>
      <c r="M9108">
        <v>0</v>
      </c>
      <c r="N9108" s="98" t="str">
        <f>IF(record[[#This Row],[Memo]]="Browser:chrome os:android","平板報工",IF(record[[#This Row],[Memo]]=0,"委外",record[[#This Row],[Memo]]))</f>
        <v/>
      </c>
      <c r="O9108" t="s">
        <v>58</v>
      </c>
      <c r="P9108" t="s">
        <v>196</v>
      </c>
      <c r="Q9108" t="s">
        <v>58</v>
      </c>
      <c r="R9108" t="str">
        <f>IFERROR(VLOOKUP(record[[#This Row],[PCUSTID]],廠商[],2,FALSE),"")</f>
        <v/>
      </c>
      <c r="S9108" t="str">
        <f>VLOOKUP(record[[#This Row],[employeeID]],員工[],2,FALSE)</f>
        <v>張淑惠</v>
      </c>
    </row>
    <row r="9109" spans="6:19" hidden="1" x14ac:dyDescent="0.25">
      <c r="F9109" t="s">
        <v>866</v>
      </c>
      <c r="G9109" t="s">
        <v>396</v>
      </c>
      <c r="H9109" t="str">
        <f>VLOOKUP(record[[#This Row],[ProcessSN]],表格2_7[],2,FALSE)</f>
        <v>30-4118-018-550</v>
      </c>
      <c r="I9109" t="str">
        <f>VLOOKUP(record[[#This Row],[ProcessSN]],表格2_7[],3,FALSE)</f>
        <v>#08PICK</v>
      </c>
      <c r="J9109" t="s">
        <v>582</v>
      </c>
      <c r="K9109" s="195">
        <v>45831.412719907406</v>
      </c>
      <c r="L9109">
        <v>327</v>
      </c>
      <c r="M9109">
        <v>0</v>
      </c>
      <c r="N9109" s="98" t="str">
        <f>IF(record[[#This Row],[Memo]]="Browser:chrome os:android","平板報工",IF(record[[#This Row],[Memo]]=0,"委外",record[[#This Row],[Memo]]))</f>
        <v/>
      </c>
      <c r="O9109" t="s">
        <v>58</v>
      </c>
      <c r="P9109" t="s">
        <v>113</v>
      </c>
      <c r="Q9109" t="s">
        <v>58</v>
      </c>
      <c r="R9109" t="str">
        <f>IFERROR(VLOOKUP(record[[#This Row],[PCUSTID]],廠商[],2,FALSE),"")</f>
        <v/>
      </c>
      <c r="S9109" t="str">
        <f>VLOOKUP(record[[#This Row],[employeeID]],員工[],2,FALSE)</f>
        <v>王奕蓁</v>
      </c>
    </row>
    <row r="9110" spans="6:19" hidden="1" x14ac:dyDescent="0.25">
      <c r="F9110" t="s">
        <v>854</v>
      </c>
      <c r="G9110" t="s">
        <v>420</v>
      </c>
      <c r="H9110" t="str">
        <f>VLOOKUP(record[[#This Row],[ProcessSN]],表格2_7[],2,FALSE)</f>
        <v>30-4118-018-5XX</v>
      </c>
      <c r="I9110" t="str">
        <f>VLOOKUP(record[[#This Row],[ProcessSN]],表格2_7[],3,FALSE)</f>
        <v>#07STOCK</v>
      </c>
      <c r="J9110" t="s">
        <v>592</v>
      </c>
      <c r="K9110" s="195">
        <v>45831.412187499998</v>
      </c>
      <c r="L9110">
        <v>327</v>
      </c>
      <c r="M9110">
        <v>0</v>
      </c>
      <c r="N9110" s="98" t="str">
        <f>IF(record[[#This Row],[Memo]]="Browser:chrome os:android","平板報工",IF(record[[#This Row],[Memo]]=0,"委外",record[[#This Row],[Memo]]))</f>
        <v/>
      </c>
      <c r="O9110" t="s">
        <v>58</v>
      </c>
      <c r="P9110" t="s">
        <v>113</v>
      </c>
      <c r="Q9110" t="s">
        <v>58</v>
      </c>
      <c r="R9110" t="str">
        <f>IFERROR(VLOOKUP(record[[#This Row],[PCUSTID]],廠商[],2,FALSE),"")</f>
        <v/>
      </c>
      <c r="S9110" t="str">
        <f>VLOOKUP(record[[#This Row],[employeeID]],員工[],2,FALSE)</f>
        <v>王奕蓁</v>
      </c>
    </row>
    <row r="9111" spans="6:19" hidden="1" x14ac:dyDescent="0.25">
      <c r="F9111" t="s">
        <v>854</v>
      </c>
      <c r="G9111" t="s">
        <v>419</v>
      </c>
      <c r="H9111" t="str">
        <f>VLOOKUP(record[[#This Row],[ProcessSN]],表格2_7[],2,FALSE)</f>
        <v>30-4118-018-5XX</v>
      </c>
      <c r="I9111" t="str">
        <f>VLOOKUP(record[[#This Row],[ProcessSN]],表格2_7[],3,FALSE)</f>
        <v>#07QC</v>
      </c>
      <c r="J9111" t="s">
        <v>589</v>
      </c>
      <c r="K9111" s="195">
        <v>45831.412106481483</v>
      </c>
      <c r="L9111">
        <v>327</v>
      </c>
      <c r="M9111">
        <v>0</v>
      </c>
      <c r="N9111" s="98" t="str">
        <f>IF(record[[#This Row],[Memo]]="Browser:chrome os:android","平板報工",IF(record[[#This Row],[Memo]]=0,"委外",record[[#This Row],[Memo]]))</f>
        <v/>
      </c>
      <c r="O9111" t="s">
        <v>58</v>
      </c>
      <c r="P9111" t="s">
        <v>113</v>
      </c>
      <c r="Q9111" t="s">
        <v>58</v>
      </c>
      <c r="R9111" t="str">
        <f>IFERROR(VLOOKUP(record[[#This Row],[PCUSTID]],廠商[],2,FALSE),"")</f>
        <v/>
      </c>
      <c r="S9111" t="str">
        <f>VLOOKUP(record[[#This Row],[employeeID]],員工[],2,FALSE)</f>
        <v>王奕蓁</v>
      </c>
    </row>
    <row r="9112" spans="6:19" hidden="1" x14ac:dyDescent="0.25">
      <c r="F9112" t="s">
        <v>825</v>
      </c>
      <c r="G9112" t="s">
        <v>471</v>
      </c>
      <c r="H9112" t="str">
        <f>VLOOKUP(record[[#This Row],[ProcessSN]],表格2_7[],2,FALSE)</f>
        <v>30-4118-018-XXX</v>
      </c>
      <c r="I9112" t="str">
        <f>VLOOKUP(record[[#This Row],[ProcessSN]],表格2_7[],3,FALSE)</f>
        <v>#02STOCK</v>
      </c>
      <c r="J9112" t="s">
        <v>592</v>
      </c>
      <c r="K9112" s="195">
        <v>45831.406886574077</v>
      </c>
      <c r="L9112">
        <v>632</v>
      </c>
      <c r="M9112">
        <v>0</v>
      </c>
      <c r="N9112" s="98" t="str">
        <f>IF(record[[#This Row],[Memo]]="Browser:chrome os:android","平板報工",IF(record[[#This Row],[Memo]]=0,"委外",record[[#This Row],[Memo]]))</f>
        <v/>
      </c>
      <c r="O9112" t="s">
        <v>58</v>
      </c>
      <c r="P9112" t="s">
        <v>113</v>
      </c>
      <c r="Q9112" t="s">
        <v>58</v>
      </c>
      <c r="R9112" t="str">
        <f>IFERROR(VLOOKUP(record[[#This Row],[PCUSTID]],廠商[],2,FALSE),"")</f>
        <v/>
      </c>
      <c r="S9112" t="str">
        <f>VLOOKUP(record[[#This Row],[employeeID]],員工[],2,FALSE)</f>
        <v>王奕蓁</v>
      </c>
    </row>
    <row r="9113" spans="6:19" hidden="1" x14ac:dyDescent="0.25">
      <c r="F9113" t="s">
        <v>825</v>
      </c>
      <c r="G9113" t="s">
        <v>471</v>
      </c>
      <c r="H9113" t="str">
        <f>VLOOKUP(record[[#This Row],[ProcessSN]],表格2_7[],2,FALSE)</f>
        <v>30-4118-018-XXX</v>
      </c>
      <c r="I9113" t="str">
        <f>VLOOKUP(record[[#This Row],[ProcessSN]],表格2_7[],3,FALSE)</f>
        <v>#02STOCK</v>
      </c>
      <c r="J9113" t="s">
        <v>592</v>
      </c>
      <c r="K9113" s="195">
        <v>45831.406469907408</v>
      </c>
      <c r="L9113">
        <v>184</v>
      </c>
      <c r="M9113">
        <v>0</v>
      </c>
      <c r="N9113" s="98" t="str">
        <f>IF(record[[#This Row],[Memo]]="Browser:chrome os:android","平板報工",IF(record[[#This Row],[Memo]]=0,"委外",record[[#This Row],[Memo]]))</f>
        <v/>
      </c>
      <c r="O9113" t="s">
        <v>58</v>
      </c>
      <c r="P9113" t="s">
        <v>113</v>
      </c>
      <c r="Q9113" t="s">
        <v>58</v>
      </c>
      <c r="R9113" t="str">
        <f>IFERROR(VLOOKUP(record[[#This Row],[PCUSTID]],廠商[],2,FALSE),"")</f>
        <v/>
      </c>
      <c r="S9113" t="str">
        <f>VLOOKUP(record[[#This Row],[employeeID]],員工[],2,FALSE)</f>
        <v>王奕蓁</v>
      </c>
    </row>
    <row r="9114" spans="6:19" hidden="1" x14ac:dyDescent="0.25">
      <c r="F9114" t="s">
        <v>849</v>
      </c>
      <c r="G9114" t="s">
        <v>468</v>
      </c>
      <c r="H9114" t="str">
        <f>VLOOKUP(record[[#This Row],[ProcessSN]],表格2_7[],2,FALSE)</f>
        <v>30-4118-018-XXX</v>
      </c>
      <c r="I9114" t="str">
        <f>VLOOKUP(record[[#This Row],[ProcessSN]],表格2_7[],3,FALSE)</f>
        <v>#02</v>
      </c>
      <c r="J9114" t="s">
        <v>590</v>
      </c>
      <c r="K9114" s="195">
        <v>45831.38925925926</v>
      </c>
      <c r="L9114">
        <v>670</v>
      </c>
      <c r="M9114">
        <v>0</v>
      </c>
      <c r="N9114" s="98" t="str">
        <f>IF(record[[#This Row],[Memo]]="Browser:chrome os:android","平板報工",IF(record[[#This Row],[Memo]]=0,"委外",record[[#This Row],[Memo]]))</f>
        <v/>
      </c>
      <c r="O9114" t="s">
        <v>58</v>
      </c>
      <c r="P9114" t="s">
        <v>186</v>
      </c>
      <c r="Q9114" t="s">
        <v>216</v>
      </c>
      <c r="R9114" t="str">
        <f>IFERROR(VLOOKUP(record[[#This Row],[PCUSTID]],廠商[],2,FALSE),"")</f>
        <v>俊杰</v>
      </c>
      <c r="S9114" t="str">
        <f>VLOOKUP(record[[#This Row],[employeeID]],員工[],2,FALSE)</f>
        <v>許文姍</v>
      </c>
    </row>
    <row r="9115" spans="6:19" hidden="1" x14ac:dyDescent="0.25">
      <c r="F9115" t="s">
        <v>854</v>
      </c>
      <c r="G9115" t="s">
        <v>419</v>
      </c>
      <c r="H9115" t="str">
        <f>VLOOKUP(record[[#This Row],[ProcessSN]],表格2_7[],2,FALSE)</f>
        <v>30-4118-018-5XX</v>
      </c>
      <c r="I9115" t="str">
        <f>VLOOKUP(record[[#This Row],[ProcessSN]],表格2_7[],3,FALSE)</f>
        <v>#07QC</v>
      </c>
      <c r="J9115" t="s">
        <v>589</v>
      </c>
      <c r="K9115" s="195">
        <v>45831.388819444444</v>
      </c>
      <c r="L9115">
        <v>0</v>
      </c>
      <c r="M9115">
        <v>1</v>
      </c>
      <c r="N9115" s="98" t="str">
        <f>IF(record[[#This Row],[Memo]]="Browser:chrome os:android","平板報工",IF(record[[#This Row],[Memo]]=0,"委外",record[[#This Row],[Memo]]))</f>
        <v>平板報工</v>
      </c>
      <c r="O9115" t="s">
        <v>643</v>
      </c>
      <c r="P9115" t="s">
        <v>141</v>
      </c>
      <c r="Q9115" t="s">
        <v>644</v>
      </c>
      <c r="R9115" t="str">
        <f>IFERROR(VLOOKUP(record[[#This Row],[PCUSTID]],廠商[],2,FALSE),"")</f>
        <v/>
      </c>
      <c r="S9115" t="str">
        <f>VLOOKUP(record[[#This Row],[employeeID]],員工[],2,FALSE)</f>
        <v>蔣梅</v>
      </c>
    </row>
    <row r="9116" spans="6:19" hidden="1" x14ac:dyDescent="0.25">
      <c r="F9116" t="s">
        <v>864</v>
      </c>
      <c r="G9116" t="s">
        <v>445</v>
      </c>
      <c r="H9116" t="str">
        <f>VLOOKUP(record[[#This Row],[ProcessSN]],表格2_7[],2,FALSE)</f>
        <v>30-4118-018-6XX</v>
      </c>
      <c r="I9116" t="str">
        <f>VLOOKUP(record[[#This Row],[ProcessSN]],表格2_7[],3,FALSE)</f>
        <v>#03PICK</v>
      </c>
      <c r="J9116" t="s">
        <v>582</v>
      </c>
      <c r="K9116" s="195">
        <v>45831.38653935185</v>
      </c>
      <c r="L9116">
        <v>1000</v>
      </c>
      <c r="M9116">
        <v>0</v>
      </c>
      <c r="N9116" s="98" t="str">
        <f>IF(record[[#This Row],[Memo]]="Browser:chrome os:android","平板報工",IF(record[[#This Row],[Memo]]=0,"委外",record[[#This Row],[Memo]]))</f>
        <v/>
      </c>
      <c r="O9116" t="s">
        <v>58</v>
      </c>
      <c r="P9116" t="s">
        <v>113</v>
      </c>
      <c r="Q9116" t="s">
        <v>58</v>
      </c>
      <c r="R9116" t="str">
        <f>IFERROR(VLOOKUP(record[[#This Row],[PCUSTID]],廠商[],2,FALSE),"")</f>
        <v/>
      </c>
      <c r="S9116" t="str">
        <f>VLOOKUP(record[[#This Row],[employeeID]],員工[],2,FALSE)</f>
        <v>王奕蓁</v>
      </c>
    </row>
    <row r="9117" spans="6:19" hidden="1" x14ac:dyDescent="0.25">
      <c r="F9117" t="s">
        <v>854</v>
      </c>
      <c r="G9117" t="s">
        <v>415</v>
      </c>
      <c r="H9117" t="str">
        <f>VLOOKUP(record[[#This Row],[ProcessSN]],表格2_7[],2,FALSE)</f>
        <v>30-4118-018-5XX</v>
      </c>
      <c r="I9117" t="str">
        <f>VLOOKUP(record[[#This Row],[ProcessSN]],表格2_7[],3,FALSE)</f>
        <v>#04</v>
      </c>
      <c r="J9117" t="s">
        <v>588</v>
      </c>
      <c r="K9117" s="195">
        <v>45828.952534722222</v>
      </c>
      <c r="L9117">
        <v>128</v>
      </c>
      <c r="M9117">
        <v>0</v>
      </c>
      <c r="N9117" s="98" t="str">
        <f>IF(record[[#This Row],[Memo]]="Browser:chrome os:android","平板報工",IF(record[[#This Row],[Memo]]=0,"委外",record[[#This Row],[Memo]]))</f>
        <v/>
      </c>
      <c r="O9117" t="s">
        <v>58</v>
      </c>
      <c r="P9117" t="s">
        <v>115</v>
      </c>
      <c r="Q9117" t="s">
        <v>58</v>
      </c>
      <c r="R9117" t="str">
        <f>IFERROR(VLOOKUP(record[[#This Row],[PCUSTID]],廠商[],2,FALSE),"")</f>
        <v/>
      </c>
      <c r="S9117" t="str">
        <f>VLOOKUP(record[[#This Row],[employeeID]],員工[],2,FALSE)</f>
        <v>溫智淵</v>
      </c>
    </row>
    <row r="9118" spans="6:19" hidden="1" x14ac:dyDescent="0.25">
      <c r="F9118" t="s">
        <v>854</v>
      </c>
      <c r="G9118" t="s">
        <v>418</v>
      </c>
      <c r="H9118" t="str">
        <f>VLOOKUP(record[[#This Row],[ProcessSN]],表格2_7[],2,FALSE)</f>
        <v>30-4118-018-5XX</v>
      </c>
      <c r="I9118" t="str">
        <f>VLOOKUP(record[[#This Row],[ProcessSN]],表格2_7[],3,FALSE)</f>
        <v>#07</v>
      </c>
      <c r="J9118" t="s">
        <v>588</v>
      </c>
      <c r="K9118" s="195">
        <v>45828.951180555552</v>
      </c>
      <c r="L9118">
        <v>205</v>
      </c>
      <c r="M9118">
        <v>0</v>
      </c>
      <c r="N9118" s="98" t="str">
        <f>IF(record[[#This Row],[Memo]]="Browser:chrome os:android","平板報工",IF(record[[#This Row],[Memo]]=0,"委外",record[[#This Row],[Memo]]))</f>
        <v/>
      </c>
      <c r="O9118" t="s">
        <v>58</v>
      </c>
      <c r="P9118" t="s">
        <v>89</v>
      </c>
      <c r="Q9118" t="s">
        <v>58</v>
      </c>
      <c r="R9118" t="str">
        <f>IFERROR(VLOOKUP(record[[#This Row],[PCUSTID]],廠商[],2,FALSE),"")</f>
        <v/>
      </c>
      <c r="S9118" t="str">
        <f>VLOOKUP(record[[#This Row],[employeeID]],員工[],2,FALSE)</f>
        <v>李美蓮</v>
      </c>
    </row>
    <row r="9119" spans="6:19" hidden="1" x14ac:dyDescent="0.25">
      <c r="F9119" t="s">
        <v>849</v>
      </c>
      <c r="G9119" t="s">
        <v>467</v>
      </c>
      <c r="H9119" t="str">
        <f>VLOOKUP(record[[#This Row],[ProcessSN]],表格2_7[],2,FALSE)</f>
        <v>30-4118-018-XXX</v>
      </c>
      <c r="I9119" t="str">
        <f>VLOOKUP(record[[#This Row],[ProcessSN]],表格2_7[],3,FALSE)</f>
        <v>#01QC</v>
      </c>
      <c r="J9119" t="s">
        <v>589</v>
      </c>
      <c r="K9119" s="195">
        <v>45828.687268518515</v>
      </c>
      <c r="L9119">
        <v>671</v>
      </c>
      <c r="M9119">
        <v>0</v>
      </c>
      <c r="N9119" s="98" t="str">
        <f>IF(record[[#This Row],[Memo]]="Browser:chrome os:android","平板報工",IF(record[[#This Row],[Memo]]=0,"委外",record[[#This Row],[Memo]]))</f>
        <v>平板報工</v>
      </c>
      <c r="O9119" t="s">
        <v>643</v>
      </c>
      <c r="P9119" t="s">
        <v>182</v>
      </c>
      <c r="Q9119" t="s">
        <v>644</v>
      </c>
      <c r="R9119" t="str">
        <f>IFERROR(VLOOKUP(record[[#This Row],[PCUSTID]],廠商[],2,FALSE),"")</f>
        <v/>
      </c>
      <c r="S9119" t="str">
        <f>VLOOKUP(record[[#This Row],[employeeID]],員工[],2,FALSE)</f>
        <v>梅氏和</v>
      </c>
    </row>
    <row r="9120" spans="6:19" hidden="1" x14ac:dyDescent="0.25">
      <c r="F9120" t="s">
        <v>854</v>
      </c>
      <c r="G9120" t="s">
        <v>417</v>
      </c>
      <c r="H9120" t="str">
        <f>VLOOKUP(record[[#This Row],[ProcessSN]],表格2_7[],2,FALSE)</f>
        <v>30-4118-018-5XX</v>
      </c>
      <c r="I9120" t="str">
        <f>VLOOKUP(record[[#This Row],[ProcessSN]],表格2_7[],3,FALSE)</f>
        <v>#06</v>
      </c>
      <c r="J9120" t="s">
        <v>593</v>
      </c>
      <c r="K9120" s="195">
        <v>45828.659907407404</v>
      </c>
      <c r="L9120">
        <v>87</v>
      </c>
      <c r="M9120">
        <v>0</v>
      </c>
      <c r="N9120" s="98" t="str">
        <f>IF(record[[#This Row],[Memo]]="Browser:chrome os:android","平板報工",IF(record[[#This Row],[Memo]]=0,"委外",record[[#This Row],[Memo]]))</f>
        <v/>
      </c>
      <c r="O9120" t="s">
        <v>58</v>
      </c>
      <c r="P9120" t="s">
        <v>119</v>
      </c>
      <c r="Q9120" t="s">
        <v>58</v>
      </c>
      <c r="R9120" t="str">
        <f>IFERROR(VLOOKUP(record[[#This Row],[PCUSTID]],廠商[],2,FALSE),"")</f>
        <v/>
      </c>
      <c r="S9120" t="str">
        <f>VLOOKUP(record[[#This Row],[employeeID]],員工[],2,FALSE)</f>
        <v>廖俊彥</v>
      </c>
    </row>
    <row r="9121" spans="6:19" hidden="1" x14ac:dyDescent="0.25">
      <c r="F9121" t="s">
        <v>854</v>
      </c>
      <c r="G9121" t="s">
        <v>415</v>
      </c>
      <c r="H9121" t="str">
        <f>VLOOKUP(record[[#This Row],[ProcessSN]],表格2_7[],2,FALSE)</f>
        <v>30-4118-018-5XX</v>
      </c>
      <c r="I9121" t="str">
        <f>VLOOKUP(record[[#This Row],[ProcessSN]],表格2_7[],3,FALSE)</f>
        <v>#04</v>
      </c>
      <c r="J9121" t="s">
        <v>588</v>
      </c>
      <c r="K9121" s="195">
        <v>45828.658587962964</v>
      </c>
      <c r="L9121">
        <v>130</v>
      </c>
      <c r="M9121">
        <v>3</v>
      </c>
      <c r="N9121" s="98" t="str">
        <f>IF(record[[#This Row],[Memo]]="Browser:chrome os:android","平板報工",IF(record[[#This Row],[Memo]]=0,"委外",record[[#This Row],[Memo]]))</f>
        <v/>
      </c>
      <c r="O9121" t="s">
        <v>58</v>
      </c>
      <c r="P9121" t="s">
        <v>119</v>
      </c>
      <c r="Q9121" t="s">
        <v>58</v>
      </c>
      <c r="R9121" t="str">
        <f>IFERROR(VLOOKUP(record[[#This Row],[PCUSTID]],廠商[],2,FALSE),"")</f>
        <v/>
      </c>
      <c r="S9121" t="str">
        <f>VLOOKUP(record[[#This Row],[employeeID]],員工[],2,FALSE)</f>
        <v>廖俊彥</v>
      </c>
    </row>
    <row r="9122" spans="6:19" hidden="1" x14ac:dyDescent="0.25">
      <c r="F9122" t="s">
        <v>862</v>
      </c>
      <c r="G9122" t="s">
        <v>397</v>
      </c>
      <c r="H9122" t="str">
        <f>VLOOKUP(record[[#This Row],[ProcessSN]],表格2_7[],2,FALSE)</f>
        <v>30-4118-018-550</v>
      </c>
      <c r="I9122" t="str">
        <f>VLOOKUP(record[[#This Row],[ProcessSN]],表格2_7[],3,FALSE)</f>
        <v>#08</v>
      </c>
      <c r="J9122" t="s">
        <v>597</v>
      </c>
      <c r="K9122" s="195">
        <v>45828.658483796295</v>
      </c>
      <c r="L9122">
        <v>168</v>
      </c>
      <c r="M9122">
        <v>0</v>
      </c>
      <c r="N9122" s="98" t="str">
        <f>IF(record[[#This Row],[Memo]]="Browser:chrome os:android","平板報工",IF(record[[#This Row],[Memo]]=0,"委外",record[[#This Row],[Memo]]))</f>
        <v/>
      </c>
      <c r="O9122" t="s">
        <v>58</v>
      </c>
      <c r="P9122" t="s">
        <v>186</v>
      </c>
      <c r="Q9122" t="s">
        <v>287</v>
      </c>
      <c r="R9122" t="str">
        <f>IFERROR(VLOOKUP(record[[#This Row],[PCUSTID]],廠商[],2,FALSE),"")</f>
        <v>泉盛</v>
      </c>
      <c r="S9122" t="str">
        <f>VLOOKUP(record[[#This Row],[employeeID]],員工[],2,FALSE)</f>
        <v>許文姍</v>
      </c>
    </row>
    <row r="9123" spans="6:19" hidden="1" x14ac:dyDescent="0.25">
      <c r="F9123" t="s">
        <v>854</v>
      </c>
      <c r="G9123" t="s">
        <v>418</v>
      </c>
      <c r="H9123" t="str">
        <f>VLOOKUP(record[[#This Row],[ProcessSN]],表格2_7[],2,FALSE)</f>
        <v>30-4118-018-5XX</v>
      </c>
      <c r="I9123" t="str">
        <f>VLOOKUP(record[[#This Row],[ProcessSN]],表格2_7[],3,FALSE)</f>
        <v>#07</v>
      </c>
      <c r="J9123" t="s">
        <v>588</v>
      </c>
      <c r="K9123" s="195">
        <v>45828.658356481479</v>
      </c>
      <c r="L9123">
        <v>144</v>
      </c>
      <c r="M9123">
        <v>0</v>
      </c>
      <c r="N9123" s="98" t="str">
        <f>IF(record[[#This Row],[Memo]]="Browser:chrome os:android","平板報工",IF(record[[#This Row],[Memo]]=0,"委外",record[[#This Row],[Memo]]))</f>
        <v/>
      </c>
      <c r="O9123" t="s">
        <v>58</v>
      </c>
      <c r="P9123" t="s">
        <v>119</v>
      </c>
      <c r="Q9123" t="s">
        <v>58</v>
      </c>
      <c r="R9123" t="str">
        <f>IFERROR(VLOOKUP(record[[#This Row],[PCUSTID]],廠商[],2,FALSE),"")</f>
        <v/>
      </c>
      <c r="S9123" t="str">
        <f>VLOOKUP(record[[#This Row],[employeeID]],員工[],2,FALSE)</f>
        <v>廖俊彥</v>
      </c>
    </row>
    <row r="9124" spans="6:19" hidden="1" x14ac:dyDescent="0.25">
      <c r="F9124" t="s">
        <v>849</v>
      </c>
      <c r="G9124" t="s">
        <v>466</v>
      </c>
      <c r="H9124" t="str">
        <f>VLOOKUP(record[[#This Row],[ProcessSN]],表格2_7[],2,FALSE)</f>
        <v>30-4118-018-XXX</v>
      </c>
      <c r="I9124" t="str">
        <f>VLOOKUP(record[[#This Row],[ProcessSN]],表格2_7[],3,FALSE)</f>
        <v>#01-2</v>
      </c>
      <c r="J9124" t="s">
        <v>588</v>
      </c>
      <c r="K9124" s="195">
        <v>45828.658043981479</v>
      </c>
      <c r="L9124">
        <v>539</v>
      </c>
      <c r="M9124">
        <v>0</v>
      </c>
      <c r="N9124" s="98" t="str">
        <f>IF(record[[#This Row],[Memo]]="Browser:chrome os:android","平板報工",IF(record[[#This Row],[Memo]]=0,"委外",record[[#This Row],[Memo]]))</f>
        <v/>
      </c>
      <c r="O9124" t="s">
        <v>58</v>
      </c>
      <c r="P9124" t="s">
        <v>119</v>
      </c>
      <c r="Q9124" t="s">
        <v>58</v>
      </c>
      <c r="R9124" t="str">
        <f>IFERROR(VLOOKUP(record[[#This Row],[PCUSTID]],廠商[],2,FALSE),"")</f>
        <v/>
      </c>
      <c r="S9124" t="str">
        <f>VLOOKUP(record[[#This Row],[employeeID]],員工[],2,FALSE)</f>
        <v>廖俊彥</v>
      </c>
    </row>
    <row r="9125" spans="6:19" hidden="1" x14ac:dyDescent="0.25">
      <c r="F9125" t="s">
        <v>849</v>
      </c>
      <c r="G9125" t="s">
        <v>465</v>
      </c>
      <c r="H9125" t="str">
        <f>VLOOKUP(record[[#This Row],[ProcessSN]],表格2_7[],2,FALSE)</f>
        <v>30-4118-018-XXX</v>
      </c>
      <c r="I9125" t="str">
        <f>VLOOKUP(record[[#This Row],[ProcessSN]],表格2_7[],3,FALSE)</f>
        <v>#01-1</v>
      </c>
      <c r="J9125" t="s">
        <v>588</v>
      </c>
      <c r="K9125" s="195">
        <v>45828.65792824074</v>
      </c>
      <c r="L9125">
        <v>539</v>
      </c>
      <c r="M9125">
        <v>0</v>
      </c>
      <c r="N9125" s="98" t="str">
        <f>IF(record[[#This Row],[Memo]]="Browser:chrome os:android","平板報工",IF(record[[#This Row],[Memo]]=0,"委外",record[[#This Row],[Memo]]))</f>
        <v/>
      </c>
      <c r="O9125" t="s">
        <v>58</v>
      </c>
      <c r="P9125" t="s">
        <v>119</v>
      </c>
      <c r="Q9125" t="s">
        <v>58</v>
      </c>
      <c r="R9125" t="str">
        <f>IFERROR(VLOOKUP(record[[#This Row],[PCUSTID]],廠商[],2,FALSE),"")</f>
        <v/>
      </c>
      <c r="S9125" t="str">
        <f>VLOOKUP(record[[#This Row],[employeeID]],員工[],2,FALSE)</f>
        <v>廖俊彥</v>
      </c>
    </row>
    <row r="9126" spans="6:19" hidden="1" x14ac:dyDescent="0.25">
      <c r="F9126" t="s">
        <v>825</v>
      </c>
      <c r="G9126" t="s">
        <v>470</v>
      </c>
      <c r="H9126" t="str">
        <f>VLOOKUP(record[[#This Row],[ProcessSN]],表格2_7[],2,FALSE)</f>
        <v>30-4118-018-XXX</v>
      </c>
      <c r="I9126" t="str">
        <f>VLOOKUP(record[[#This Row],[ProcessSN]],表格2_7[],3,FALSE)</f>
        <v>#02IQC</v>
      </c>
      <c r="J9126" t="s">
        <v>583</v>
      </c>
      <c r="K9126" s="195">
        <v>45828.615300925929</v>
      </c>
      <c r="L9126">
        <v>832</v>
      </c>
      <c r="M9126">
        <v>0</v>
      </c>
      <c r="N9126" s="98" t="str">
        <f>IF(record[[#This Row],[Memo]]="Browser:chrome os:android","平板報工",IF(record[[#This Row],[Memo]]=0,"委外",record[[#This Row],[Memo]]))</f>
        <v/>
      </c>
      <c r="O9126" t="s">
        <v>58</v>
      </c>
      <c r="P9126" t="s">
        <v>109</v>
      </c>
      <c r="Q9126" t="s">
        <v>58</v>
      </c>
      <c r="R9126" t="str">
        <f>IFERROR(VLOOKUP(record[[#This Row],[PCUSTID]],廠商[],2,FALSE),"")</f>
        <v/>
      </c>
      <c r="S9126" t="str">
        <f>VLOOKUP(record[[#This Row],[employeeID]],員工[],2,FALSE)</f>
        <v>裴氏璧鳳</v>
      </c>
    </row>
    <row r="9127" spans="6:19" hidden="1" x14ac:dyDescent="0.25">
      <c r="F9127" t="s">
        <v>862</v>
      </c>
      <c r="G9127" t="s">
        <v>396</v>
      </c>
      <c r="H9127" t="str">
        <f>VLOOKUP(record[[#This Row],[ProcessSN]],表格2_7[],2,FALSE)</f>
        <v>30-4118-018-550</v>
      </c>
      <c r="I9127" t="str">
        <f>VLOOKUP(record[[#This Row],[ProcessSN]],表格2_7[],3,FALSE)</f>
        <v>#08PICK</v>
      </c>
      <c r="J9127" t="s">
        <v>582</v>
      </c>
      <c r="K9127" s="195">
        <v>45828.569178240738</v>
      </c>
      <c r="L9127">
        <v>168</v>
      </c>
      <c r="M9127">
        <v>0</v>
      </c>
      <c r="N9127" s="98" t="str">
        <f>IF(record[[#This Row],[Memo]]="Browser:chrome os:android","平板報工",IF(record[[#This Row],[Memo]]=0,"委外",record[[#This Row],[Memo]]))</f>
        <v/>
      </c>
      <c r="O9127" t="s">
        <v>58</v>
      </c>
      <c r="P9127" t="s">
        <v>113</v>
      </c>
      <c r="Q9127" t="s">
        <v>58</v>
      </c>
      <c r="R9127" t="str">
        <f>IFERROR(VLOOKUP(record[[#This Row],[PCUSTID]],廠商[],2,FALSE),"")</f>
        <v/>
      </c>
      <c r="S9127" t="str">
        <f>VLOOKUP(record[[#This Row],[employeeID]],員工[],2,FALSE)</f>
        <v>王奕蓁</v>
      </c>
    </row>
    <row r="9128" spans="6:19" hidden="1" x14ac:dyDescent="0.25">
      <c r="F9128" t="s">
        <v>854</v>
      </c>
      <c r="G9128" t="s">
        <v>420</v>
      </c>
      <c r="H9128" t="str">
        <f>VLOOKUP(record[[#This Row],[ProcessSN]],表格2_7[],2,FALSE)</f>
        <v>30-4118-018-5XX</v>
      </c>
      <c r="I9128" t="str">
        <f>VLOOKUP(record[[#This Row],[ProcessSN]],表格2_7[],3,FALSE)</f>
        <v>#07STOCK</v>
      </c>
      <c r="J9128" t="s">
        <v>592</v>
      </c>
      <c r="K9128" s="195">
        <v>45828.568564814814</v>
      </c>
      <c r="L9128">
        <v>168</v>
      </c>
      <c r="M9128">
        <v>0</v>
      </c>
      <c r="N9128" s="98" t="str">
        <f>IF(record[[#This Row],[Memo]]="Browser:chrome os:android","平板報工",IF(record[[#This Row],[Memo]]=0,"委外",record[[#This Row],[Memo]]))</f>
        <v/>
      </c>
      <c r="O9128" t="s">
        <v>58</v>
      </c>
      <c r="P9128" t="s">
        <v>113</v>
      </c>
      <c r="Q9128" t="s">
        <v>58</v>
      </c>
      <c r="R9128" t="str">
        <f>IFERROR(VLOOKUP(record[[#This Row],[PCUSTID]],廠商[],2,FALSE),"")</f>
        <v/>
      </c>
      <c r="S9128" t="str">
        <f>VLOOKUP(record[[#This Row],[employeeID]],員工[],2,FALSE)</f>
        <v>王奕蓁</v>
      </c>
    </row>
    <row r="9129" spans="6:19" hidden="1" x14ac:dyDescent="0.25">
      <c r="F9129" t="s">
        <v>825</v>
      </c>
      <c r="G9129" t="s">
        <v>469</v>
      </c>
      <c r="H9129" t="str">
        <f>VLOOKUP(record[[#This Row],[ProcessSN]],表格2_7[],2,FALSE)</f>
        <v>30-4118-018-XXX</v>
      </c>
      <c r="I9129" t="str">
        <f>VLOOKUP(record[[#This Row],[ProcessSN]],表格2_7[],3,FALSE)</f>
        <v>#02RCV</v>
      </c>
      <c r="J9129" t="s">
        <v>591</v>
      </c>
      <c r="K9129" s="195">
        <v>45828.465486111112</v>
      </c>
      <c r="L9129">
        <v>832</v>
      </c>
      <c r="M9129">
        <v>0</v>
      </c>
      <c r="N9129" s="98" t="str">
        <f>IF(record[[#This Row],[Memo]]="Browser:chrome os:android","平板報工",IF(record[[#This Row],[Memo]]=0,"委外",record[[#This Row],[Memo]]))</f>
        <v/>
      </c>
      <c r="O9129" t="s">
        <v>58</v>
      </c>
      <c r="P9129" t="s">
        <v>186</v>
      </c>
      <c r="Q9129" t="s">
        <v>58</v>
      </c>
      <c r="R9129" t="str">
        <f>IFERROR(VLOOKUP(record[[#This Row],[PCUSTID]],廠商[],2,FALSE),"")</f>
        <v/>
      </c>
      <c r="S9129" t="str">
        <f>VLOOKUP(record[[#This Row],[employeeID]],員工[],2,FALSE)</f>
        <v>許文姍</v>
      </c>
    </row>
    <row r="9130" spans="6:19" hidden="1" x14ac:dyDescent="0.25">
      <c r="F9130" t="s">
        <v>854</v>
      </c>
      <c r="G9130" t="s">
        <v>419</v>
      </c>
      <c r="H9130" t="str">
        <f>VLOOKUP(record[[#This Row],[ProcessSN]],表格2_7[],2,FALSE)</f>
        <v>30-4118-018-5XX</v>
      </c>
      <c r="I9130" t="str">
        <f>VLOOKUP(record[[#This Row],[ProcessSN]],表格2_7[],3,FALSE)</f>
        <v>#07QC</v>
      </c>
      <c r="J9130" t="s">
        <v>589</v>
      </c>
      <c r="K9130" s="195">
        <v>45828.386412037034</v>
      </c>
      <c r="L9130">
        <v>168</v>
      </c>
      <c r="M9130">
        <v>0</v>
      </c>
      <c r="N9130" s="98" t="str">
        <f>IF(record[[#This Row],[Memo]]="Browser:chrome os:android","平板報工",IF(record[[#This Row],[Memo]]=0,"委外",record[[#This Row],[Memo]]))</f>
        <v>平板報工</v>
      </c>
      <c r="O9130" t="s">
        <v>643</v>
      </c>
      <c r="P9130" t="s">
        <v>141</v>
      </c>
      <c r="Q9130" t="s">
        <v>644</v>
      </c>
      <c r="R9130" t="str">
        <f>IFERROR(VLOOKUP(record[[#This Row],[PCUSTID]],廠商[],2,FALSE),"")</f>
        <v/>
      </c>
      <c r="S9130" t="str">
        <f>VLOOKUP(record[[#This Row],[employeeID]],員工[],2,FALSE)</f>
        <v>蔣梅</v>
      </c>
    </row>
    <row r="9131" spans="6:19" hidden="1" x14ac:dyDescent="0.25">
      <c r="F9131" t="s">
        <v>847</v>
      </c>
      <c r="G9131" t="s">
        <v>398</v>
      </c>
      <c r="H9131" t="str">
        <f>VLOOKUP(record[[#This Row],[ProcessSN]],表格2_7[],2,FALSE)</f>
        <v>30-4118-018-550</v>
      </c>
      <c r="I9131" t="str">
        <f>VLOOKUP(record[[#This Row],[ProcessSN]],表格2_7[],3,FALSE)</f>
        <v>#08RCV</v>
      </c>
      <c r="J9131" t="s">
        <v>591</v>
      </c>
      <c r="K9131" s="195">
        <v>45828.384143518517</v>
      </c>
      <c r="L9131">
        <v>0</v>
      </c>
      <c r="M9131">
        <v>-1</v>
      </c>
      <c r="N9131" s="98" t="str">
        <f>IF(record[[#This Row],[Memo]]="Browser:chrome os:android","平板報工",IF(record[[#This Row],[Memo]]=0,"委外",record[[#This Row],[Memo]]))</f>
        <v>覆回退陽極</v>
      </c>
      <c r="O9131" t="s">
        <v>860</v>
      </c>
      <c r="P9131" t="s">
        <v>65</v>
      </c>
      <c r="Q9131" t="s">
        <v>58</v>
      </c>
      <c r="R9131" t="str">
        <f>IFERROR(VLOOKUP(record[[#This Row],[PCUSTID]],廠商[],2,FALSE),"")</f>
        <v/>
      </c>
      <c r="S9131" t="str">
        <f>VLOOKUP(record[[#This Row],[employeeID]],員工[],2,FALSE)</f>
        <v>蘇進昌</v>
      </c>
    </row>
    <row r="9132" spans="6:19" hidden="1" x14ac:dyDescent="0.25">
      <c r="F9132" t="s">
        <v>847</v>
      </c>
      <c r="G9132" t="s">
        <v>397</v>
      </c>
      <c r="H9132" t="str">
        <f>VLOOKUP(record[[#This Row],[ProcessSN]],表格2_7[],2,FALSE)</f>
        <v>30-4118-018-550</v>
      </c>
      <c r="I9132" t="str">
        <f>VLOOKUP(record[[#This Row],[ProcessSN]],表格2_7[],3,FALSE)</f>
        <v>#08</v>
      </c>
      <c r="J9132" t="s">
        <v>597</v>
      </c>
      <c r="K9132" s="195">
        <v>45828.384143518517</v>
      </c>
      <c r="L9132">
        <v>-1</v>
      </c>
      <c r="M9132">
        <v>0</v>
      </c>
      <c r="N9132" s="98" t="str">
        <f>IF(record[[#This Row],[Memo]]="Browser:chrome os:android","平板報工",IF(record[[#This Row],[Memo]]=0,"委外",record[[#This Row],[Memo]]))</f>
        <v>覆回退陽極</v>
      </c>
      <c r="O9132" t="s">
        <v>860</v>
      </c>
      <c r="P9132" t="s">
        <v>65</v>
      </c>
      <c r="Q9132" t="s">
        <v>287</v>
      </c>
      <c r="R9132" t="str">
        <f>IFERROR(VLOOKUP(record[[#This Row],[PCUSTID]],廠商[],2,FALSE),"")</f>
        <v>泉盛</v>
      </c>
      <c r="S9132" t="str">
        <f>VLOOKUP(record[[#This Row],[employeeID]],員工[],2,FALSE)</f>
        <v>蘇進昌</v>
      </c>
    </row>
    <row r="9133" spans="6:19" hidden="1" x14ac:dyDescent="0.25">
      <c r="F9133" t="s">
        <v>849</v>
      </c>
      <c r="G9133" t="s">
        <v>468</v>
      </c>
      <c r="H9133" t="str">
        <f>VLOOKUP(record[[#This Row],[ProcessSN]],表格2_7[],2,FALSE)</f>
        <v>30-4118-018-XXX</v>
      </c>
      <c r="I9133" t="str">
        <f>VLOOKUP(record[[#This Row],[ProcessSN]],表格2_7[],3,FALSE)</f>
        <v>#02</v>
      </c>
      <c r="J9133" t="s">
        <v>590</v>
      </c>
      <c r="K9133" s="195">
        <v>45828.373425925929</v>
      </c>
      <c r="L9133">
        <v>504</v>
      </c>
      <c r="M9133">
        <v>0</v>
      </c>
      <c r="N9133" s="98" t="str">
        <f>IF(record[[#This Row],[Memo]]="Browser:chrome os:android","平板報工",IF(record[[#This Row],[Memo]]=0,"委外",record[[#This Row],[Memo]]))</f>
        <v/>
      </c>
      <c r="O9133" t="s">
        <v>58</v>
      </c>
      <c r="P9133" t="s">
        <v>186</v>
      </c>
      <c r="Q9133" t="s">
        <v>216</v>
      </c>
      <c r="R9133" t="str">
        <f>IFERROR(VLOOKUP(record[[#This Row],[PCUSTID]],廠商[],2,FALSE),"")</f>
        <v>俊杰</v>
      </c>
      <c r="S9133" t="str">
        <f>VLOOKUP(record[[#This Row],[employeeID]],員工[],2,FALSE)</f>
        <v>許文姍</v>
      </c>
    </row>
    <row r="9134" spans="6:19" hidden="1" x14ac:dyDescent="0.25">
      <c r="F9134" t="s">
        <v>825</v>
      </c>
      <c r="G9134" t="s">
        <v>468</v>
      </c>
      <c r="H9134" t="str">
        <f>VLOOKUP(record[[#This Row],[ProcessSN]],表格2_7[],2,FALSE)</f>
        <v>30-4118-018-XXX</v>
      </c>
      <c r="I9134" t="str">
        <f>VLOOKUP(record[[#This Row],[ProcessSN]],表格2_7[],3,FALSE)</f>
        <v>#02</v>
      </c>
      <c r="J9134" t="s">
        <v>590</v>
      </c>
      <c r="K9134" s="195">
        <v>45828.373206018521</v>
      </c>
      <c r="L9134">
        <v>168</v>
      </c>
      <c r="M9134">
        <v>0</v>
      </c>
      <c r="N9134" s="98" t="str">
        <f>IF(record[[#This Row],[Memo]]="Browser:chrome os:android","平板報工",IF(record[[#This Row],[Memo]]=0,"委外",record[[#This Row],[Memo]]))</f>
        <v/>
      </c>
      <c r="O9134" t="s">
        <v>58</v>
      </c>
      <c r="P9134" t="s">
        <v>186</v>
      </c>
      <c r="Q9134" t="s">
        <v>216</v>
      </c>
      <c r="R9134" t="str">
        <f>IFERROR(VLOOKUP(record[[#This Row],[PCUSTID]],廠商[],2,FALSE),"")</f>
        <v>俊杰</v>
      </c>
      <c r="S9134" t="str">
        <f>VLOOKUP(record[[#This Row],[employeeID]],員工[],2,FALSE)</f>
        <v>許文姍</v>
      </c>
    </row>
    <row r="9135" spans="6:19" hidden="1" x14ac:dyDescent="0.25">
      <c r="F9135" t="s">
        <v>849</v>
      </c>
      <c r="G9135" t="s">
        <v>467</v>
      </c>
      <c r="H9135" t="str">
        <f>VLOOKUP(record[[#This Row],[ProcessSN]],表格2_7[],2,FALSE)</f>
        <v>30-4118-018-XXX</v>
      </c>
      <c r="I9135" t="str">
        <f>VLOOKUP(record[[#This Row],[ProcessSN]],表格2_7[],3,FALSE)</f>
        <v>#01QC</v>
      </c>
      <c r="J9135" t="s">
        <v>589</v>
      </c>
      <c r="K9135" s="195">
        <v>45828.358287037037</v>
      </c>
      <c r="L9135">
        <v>168</v>
      </c>
      <c r="M9135">
        <v>0</v>
      </c>
      <c r="N9135" s="98" t="str">
        <f>IF(record[[#This Row],[Memo]]="Browser:chrome os:android","平板報工",IF(record[[#This Row],[Memo]]=0,"委外",record[[#This Row],[Memo]]))</f>
        <v/>
      </c>
      <c r="O9135" t="s">
        <v>58</v>
      </c>
      <c r="P9135" t="s">
        <v>186</v>
      </c>
      <c r="Q9135" t="s">
        <v>58</v>
      </c>
      <c r="R9135" t="str">
        <f>IFERROR(VLOOKUP(record[[#This Row],[PCUSTID]],廠商[],2,FALSE),"")</f>
        <v/>
      </c>
      <c r="S9135" t="str">
        <f>VLOOKUP(record[[#This Row],[employeeID]],員工[],2,FALSE)</f>
        <v>許文姍</v>
      </c>
    </row>
    <row r="9136" spans="6:19" hidden="1" x14ac:dyDescent="0.25">
      <c r="F9136" t="s">
        <v>854</v>
      </c>
      <c r="G9136" t="s">
        <v>417</v>
      </c>
      <c r="H9136" t="str">
        <f>VLOOKUP(record[[#This Row],[ProcessSN]],表格2_7[],2,FALSE)</f>
        <v>30-4118-018-5XX</v>
      </c>
      <c r="I9136" t="str">
        <f>VLOOKUP(record[[#This Row],[ProcessSN]],表格2_7[],3,FALSE)</f>
        <v>#06</v>
      </c>
      <c r="J9136" t="s">
        <v>593</v>
      </c>
      <c r="K9136" s="195">
        <v>45828.316168981481</v>
      </c>
      <c r="L9136">
        <v>121</v>
      </c>
      <c r="M9136">
        <v>0</v>
      </c>
      <c r="N9136" s="98" t="str">
        <f>IF(record[[#This Row],[Memo]]="Browser:chrome os:android","平板報工",IF(record[[#This Row],[Memo]]=0,"委外",record[[#This Row],[Memo]]))</f>
        <v/>
      </c>
      <c r="O9136" t="s">
        <v>58</v>
      </c>
      <c r="P9136" t="s">
        <v>135</v>
      </c>
      <c r="Q9136" t="s">
        <v>58</v>
      </c>
      <c r="R9136" t="str">
        <f>IFERROR(VLOOKUP(record[[#This Row],[PCUSTID]],廠商[],2,FALSE),"")</f>
        <v/>
      </c>
      <c r="S9136" t="str">
        <f>VLOOKUP(record[[#This Row],[employeeID]],員工[],2,FALSE)</f>
        <v>阮士文</v>
      </c>
    </row>
    <row r="9137" spans="6:19" hidden="1" x14ac:dyDescent="0.25">
      <c r="F9137" t="s">
        <v>854</v>
      </c>
      <c r="G9137" t="s">
        <v>415</v>
      </c>
      <c r="H9137" t="str">
        <f>VLOOKUP(record[[#This Row],[ProcessSN]],表格2_7[],2,FALSE)</f>
        <v>30-4118-018-5XX</v>
      </c>
      <c r="I9137" t="str">
        <f>VLOOKUP(record[[#This Row],[ProcessSN]],表格2_7[],3,FALSE)</f>
        <v>#04</v>
      </c>
      <c r="J9137" t="s">
        <v>588</v>
      </c>
      <c r="K9137" s="195">
        <v>45828.313425925924</v>
      </c>
      <c r="L9137">
        <v>127</v>
      </c>
      <c r="M9137">
        <v>0</v>
      </c>
      <c r="N9137" s="98" t="str">
        <f>IF(record[[#This Row],[Memo]]="Browser:chrome os:android","平板報工",IF(record[[#This Row],[Memo]]=0,"委外",record[[#This Row],[Memo]]))</f>
        <v/>
      </c>
      <c r="O9137" t="s">
        <v>58</v>
      </c>
      <c r="P9137" t="s">
        <v>135</v>
      </c>
      <c r="Q9137" t="s">
        <v>58</v>
      </c>
      <c r="R9137" t="str">
        <f>IFERROR(VLOOKUP(record[[#This Row],[PCUSTID]],廠商[],2,FALSE),"")</f>
        <v/>
      </c>
      <c r="S9137" t="str">
        <f>VLOOKUP(record[[#This Row],[employeeID]],員工[],2,FALSE)</f>
        <v>阮士文</v>
      </c>
    </row>
    <row r="9138" spans="6:19" hidden="1" x14ac:dyDescent="0.25">
      <c r="F9138" t="s">
        <v>854</v>
      </c>
      <c r="G9138" t="s">
        <v>417</v>
      </c>
      <c r="H9138" t="str">
        <f>VLOOKUP(record[[#This Row],[ProcessSN]],表格2_7[],2,FALSE)</f>
        <v>30-4118-018-5XX</v>
      </c>
      <c r="I9138" t="str">
        <f>VLOOKUP(record[[#This Row],[ProcessSN]],表格2_7[],3,FALSE)</f>
        <v>#06</v>
      </c>
      <c r="J9138" t="s">
        <v>593</v>
      </c>
      <c r="K9138" s="195">
        <v>45827.971597222226</v>
      </c>
      <c r="L9138">
        <v>121</v>
      </c>
      <c r="M9138">
        <v>0</v>
      </c>
      <c r="N9138" s="98" t="str">
        <f>IF(record[[#This Row],[Memo]]="Browser:chrome os:android","平板報工",IF(record[[#This Row],[Memo]]=0,"委外",record[[#This Row],[Memo]]))</f>
        <v/>
      </c>
      <c r="O9138" t="s">
        <v>58</v>
      </c>
      <c r="P9138" t="s">
        <v>841</v>
      </c>
      <c r="Q9138" t="s">
        <v>58</v>
      </c>
      <c r="R9138" t="str">
        <f>IFERROR(VLOOKUP(record[[#This Row],[PCUSTID]],廠商[],2,FALSE),"")</f>
        <v/>
      </c>
      <c r="S9138" t="str">
        <f>VLOOKUP(record[[#This Row],[employeeID]],員工[],2,FALSE)</f>
        <v>范氏香</v>
      </c>
    </row>
    <row r="9139" spans="6:19" hidden="1" x14ac:dyDescent="0.25">
      <c r="F9139" t="s">
        <v>854</v>
      </c>
      <c r="G9139" t="s">
        <v>415</v>
      </c>
      <c r="H9139" t="str">
        <f>VLOOKUP(record[[#This Row],[ProcessSN]],表格2_7[],2,FALSE)</f>
        <v>30-4118-018-5XX</v>
      </c>
      <c r="I9139" t="str">
        <f>VLOOKUP(record[[#This Row],[ProcessSN]],表格2_7[],3,FALSE)</f>
        <v>#04</v>
      </c>
      <c r="J9139" t="s">
        <v>588</v>
      </c>
      <c r="K9139" s="195">
        <v>45827.968831018516</v>
      </c>
      <c r="L9139">
        <v>111</v>
      </c>
      <c r="M9139">
        <v>0</v>
      </c>
      <c r="N9139" s="98" t="str">
        <f>IF(record[[#This Row],[Memo]]="Browser:chrome os:android","平板報工",IF(record[[#This Row],[Memo]]=0,"委外",record[[#This Row],[Memo]]))</f>
        <v/>
      </c>
      <c r="O9139" t="s">
        <v>58</v>
      </c>
      <c r="P9139" t="s">
        <v>115</v>
      </c>
      <c r="Q9139" t="s">
        <v>58</v>
      </c>
      <c r="R9139" t="str">
        <f>IFERROR(VLOOKUP(record[[#This Row],[PCUSTID]],廠商[],2,FALSE),"")</f>
        <v/>
      </c>
      <c r="S9139" t="str">
        <f>VLOOKUP(record[[#This Row],[employeeID]],員工[],2,FALSE)</f>
        <v>溫智淵</v>
      </c>
    </row>
    <row r="9140" spans="6:19" hidden="1" x14ac:dyDescent="0.25">
      <c r="F9140" t="s">
        <v>854</v>
      </c>
      <c r="G9140" t="s">
        <v>418</v>
      </c>
      <c r="H9140" t="str">
        <f>VLOOKUP(record[[#This Row],[ProcessSN]],表格2_7[],2,FALSE)</f>
        <v>30-4118-018-5XX</v>
      </c>
      <c r="I9140" t="str">
        <f>VLOOKUP(record[[#This Row],[ProcessSN]],表格2_7[],3,FALSE)</f>
        <v>#07</v>
      </c>
      <c r="J9140" t="s">
        <v>588</v>
      </c>
      <c r="K9140" s="195">
        <v>45827.967152777775</v>
      </c>
      <c r="L9140">
        <v>200</v>
      </c>
      <c r="M9140">
        <v>0</v>
      </c>
      <c r="N9140" s="98" t="str">
        <f>IF(record[[#This Row],[Memo]]="Browser:chrome os:android","平板報工",IF(record[[#This Row],[Memo]]=0,"委外",record[[#This Row],[Memo]]))</f>
        <v/>
      </c>
      <c r="O9140" t="s">
        <v>58</v>
      </c>
      <c r="P9140" t="s">
        <v>89</v>
      </c>
      <c r="Q9140" t="s">
        <v>58</v>
      </c>
      <c r="R9140" t="str">
        <f>IFERROR(VLOOKUP(record[[#This Row],[PCUSTID]],廠商[],2,FALSE),"")</f>
        <v/>
      </c>
      <c r="S9140" t="str">
        <f>VLOOKUP(record[[#This Row],[employeeID]],員工[],2,FALSE)</f>
        <v>李美蓮</v>
      </c>
    </row>
    <row r="9141" spans="6:19" hidden="1" x14ac:dyDescent="0.25">
      <c r="F9141" t="s">
        <v>810</v>
      </c>
      <c r="G9141" t="s">
        <v>426</v>
      </c>
      <c r="H9141" t="str">
        <f>VLOOKUP(record[[#This Row],[ProcessSN]],表格2_7[],2,FALSE)</f>
        <v>30-4118-018-600</v>
      </c>
      <c r="I9141" t="str">
        <f>VLOOKUP(record[[#This Row],[ProcessSN]],表格2_7[],3,FALSE)</f>
        <v>#100OQC</v>
      </c>
      <c r="J9141" t="s">
        <v>599</v>
      </c>
      <c r="K9141" s="195">
        <v>45827.702187499999</v>
      </c>
      <c r="L9141">
        <v>4</v>
      </c>
      <c r="M9141">
        <v>0</v>
      </c>
      <c r="N9141" s="98" t="str">
        <f>IF(record[[#This Row],[Memo]]="Browser:chrome os:android","平板報工",IF(record[[#This Row],[Memo]]=0,"委外",record[[#This Row],[Memo]]))</f>
        <v/>
      </c>
      <c r="O9141" t="s">
        <v>58</v>
      </c>
      <c r="P9141" t="s">
        <v>121</v>
      </c>
      <c r="Q9141" t="s">
        <v>58</v>
      </c>
      <c r="R9141" t="str">
        <f>IFERROR(VLOOKUP(record[[#This Row],[PCUSTID]],廠商[],2,FALSE),"")</f>
        <v/>
      </c>
      <c r="S9141" t="str">
        <f>VLOOKUP(record[[#This Row],[employeeID]],員工[],2,FALSE)</f>
        <v>謝素卿</v>
      </c>
    </row>
    <row r="9142" spans="6:19" hidden="1" x14ac:dyDescent="0.25">
      <c r="F9142" t="s">
        <v>818</v>
      </c>
      <c r="G9142" t="s">
        <v>426</v>
      </c>
      <c r="H9142" t="str">
        <f>VLOOKUP(record[[#This Row],[ProcessSN]],表格2_7[],2,FALSE)</f>
        <v>30-4118-018-600</v>
      </c>
      <c r="I9142" t="str">
        <f>VLOOKUP(record[[#This Row],[ProcessSN]],表格2_7[],3,FALSE)</f>
        <v>#100OQC</v>
      </c>
      <c r="J9142" t="s">
        <v>599</v>
      </c>
      <c r="K9142" s="195">
        <v>45827.702002314814</v>
      </c>
      <c r="L9142">
        <v>23</v>
      </c>
      <c r="M9142">
        <v>0</v>
      </c>
      <c r="N9142" s="98" t="str">
        <f>IF(record[[#This Row],[Memo]]="Browser:chrome os:android","平板報工",IF(record[[#This Row],[Memo]]=0,"委外",record[[#This Row],[Memo]]))</f>
        <v/>
      </c>
      <c r="O9142" t="s">
        <v>58</v>
      </c>
      <c r="P9142" t="s">
        <v>121</v>
      </c>
      <c r="Q9142" t="s">
        <v>58</v>
      </c>
      <c r="R9142" t="str">
        <f>IFERROR(VLOOKUP(record[[#This Row],[PCUSTID]],廠商[],2,FALSE),"")</f>
        <v/>
      </c>
      <c r="S9142" t="str">
        <f>VLOOKUP(record[[#This Row],[employeeID]],員工[],2,FALSE)</f>
        <v>謝素卿</v>
      </c>
    </row>
    <row r="9143" spans="6:19" hidden="1" x14ac:dyDescent="0.25">
      <c r="F9143" t="s">
        <v>820</v>
      </c>
      <c r="G9143" t="s">
        <v>426</v>
      </c>
      <c r="H9143" t="str">
        <f>VLOOKUP(record[[#This Row],[ProcessSN]],表格2_7[],2,FALSE)</f>
        <v>30-4118-018-600</v>
      </c>
      <c r="I9143" t="str">
        <f>VLOOKUP(record[[#This Row],[ProcessSN]],表格2_7[],3,FALSE)</f>
        <v>#100OQC</v>
      </c>
      <c r="J9143" t="s">
        <v>599</v>
      </c>
      <c r="K9143" s="195">
        <v>45827.701863425929</v>
      </c>
      <c r="L9143">
        <v>27</v>
      </c>
      <c r="M9143">
        <v>0</v>
      </c>
      <c r="N9143" s="98" t="str">
        <f>IF(record[[#This Row],[Memo]]="Browser:chrome os:android","平板報工",IF(record[[#This Row],[Memo]]=0,"委外",record[[#This Row],[Memo]]))</f>
        <v/>
      </c>
      <c r="O9143" t="s">
        <v>58</v>
      </c>
      <c r="P9143" t="s">
        <v>121</v>
      </c>
      <c r="Q9143" t="s">
        <v>58</v>
      </c>
      <c r="R9143" t="str">
        <f>IFERROR(VLOOKUP(record[[#This Row],[PCUSTID]],廠商[],2,FALSE),"")</f>
        <v/>
      </c>
      <c r="S9143" t="str">
        <f>VLOOKUP(record[[#This Row],[employeeID]],員工[],2,FALSE)</f>
        <v>謝素卿</v>
      </c>
    </row>
    <row r="9144" spans="6:19" hidden="1" x14ac:dyDescent="0.25">
      <c r="F9144" t="s">
        <v>822</v>
      </c>
      <c r="G9144" t="s">
        <v>426</v>
      </c>
      <c r="H9144" t="str">
        <f>VLOOKUP(record[[#This Row],[ProcessSN]],表格2_7[],2,FALSE)</f>
        <v>30-4118-018-600</v>
      </c>
      <c r="I9144" t="str">
        <f>VLOOKUP(record[[#This Row],[ProcessSN]],表格2_7[],3,FALSE)</f>
        <v>#100OQC</v>
      </c>
      <c r="J9144" t="s">
        <v>599</v>
      </c>
      <c r="K9144" s="195">
        <v>45827.701701388891</v>
      </c>
      <c r="L9144">
        <v>11</v>
      </c>
      <c r="M9144">
        <v>0</v>
      </c>
      <c r="N9144" s="98" t="str">
        <f>IF(record[[#This Row],[Memo]]="Browser:chrome os:android","平板報工",IF(record[[#This Row],[Memo]]=0,"委外",record[[#This Row],[Memo]]))</f>
        <v/>
      </c>
      <c r="O9144" t="s">
        <v>58</v>
      </c>
      <c r="P9144" t="s">
        <v>121</v>
      </c>
      <c r="Q9144" t="s">
        <v>58</v>
      </c>
      <c r="R9144" t="str">
        <f>IFERROR(VLOOKUP(record[[#This Row],[PCUSTID]],廠商[],2,FALSE),"")</f>
        <v/>
      </c>
      <c r="S9144" t="str">
        <f>VLOOKUP(record[[#This Row],[employeeID]],員工[],2,FALSE)</f>
        <v>謝素卿</v>
      </c>
    </row>
    <row r="9145" spans="6:19" hidden="1" x14ac:dyDescent="0.25">
      <c r="F9145" t="s">
        <v>830</v>
      </c>
      <c r="G9145" t="s">
        <v>426</v>
      </c>
      <c r="H9145" t="str">
        <f>VLOOKUP(record[[#This Row],[ProcessSN]],表格2_7[],2,FALSE)</f>
        <v>30-4118-018-600</v>
      </c>
      <c r="I9145" t="str">
        <f>VLOOKUP(record[[#This Row],[ProcessSN]],表格2_7[],3,FALSE)</f>
        <v>#100OQC</v>
      </c>
      <c r="J9145" t="s">
        <v>599</v>
      </c>
      <c r="K9145" s="195">
        <v>45827.701550925929</v>
      </c>
      <c r="L9145">
        <v>40</v>
      </c>
      <c r="M9145">
        <v>0</v>
      </c>
      <c r="N9145" s="98" t="str">
        <f>IF(record[[#This Row],[Memo]]="Browser:chrome os:android","平板報工",IF(record[[#This Row],[Memo]]=0,"委外",record[[#This Row],[Memo]]))</f>
        <v/>
      </c>
      <c r="O9145" t="s">
        <v>58</v>
      </c>
      <c r="P9145" t="s">
        <v>121</v>
      </c>
      <c r="Q9145" t="s">
        <v>58</v>
      </c>
      <c r="R9145" t="str">
        <f>IFERROR(VLOOKUP(record[[#This Row],[PCUSTID]],廠商[],2,FALSE),"")</f>
        <v/>
      </c>
      <c r="S9145" t="str">
        <f>VLOOKUP(record[[#This Row],[employeeID]],員工[],2,FALSE)</f>
        <v>謝素卿</v>
      </c>
    </row>
    <row r="9146" spans="6:19" hidden="1" x14ac:dyDescent="0.25">
      <c r="F9146" t="s">
        <v>858</v>
      </c>
      <c r="G9146" t="s">
        <v>401</v>
      </c>
      <c r="H9146" t="str">
        <f>VLOOKUP(record[[#This Row],[ProcessSN]],表格2_7[],2,FALSE)</f>
        <v>30-4118-018-550</v>
      </c>
      <c r="I9146" t="str">
        <f>VLOOKUP(record[[#This Row],[ProcessSN]],表格2_7[],3,FALSE)</f>
        <v>#100OQC</v>
      </c>
      <c r="J9146" t="s">
        <v>599</v>
      </c>
      <c r="K9146" s="195">
        <v>45827.70140046296</v>
      </c>
      <c r="L9146">
        <v>225</v>
      </c>
      <c r="M9146">
        <v>0</v>
      </c>
      <c r="N9146" s="98" t="str">
        <f>IF(record[[#This Row],[Memo]]="Browser:chrome os:android","平板報工",IF(record[[#This Row],[Memo]]=0,"委外",record[[#This Row],[Memo]]))</f>
        <v/>
      </c>
      <c r="O9146" t="s">
        <v>58</v>
      </c>
      <c r="P9146" t="s">
        <v>121</v>
      </c>
      <c r="Q9146" t="s">
        <v>58</v>
      </c>
      <c r="R9146" t="str">
        <f>IFERROR(VLOOKUP(record[[#This Row],[PCUSTID]],廠商[],2,FALSE),"")</f>
        <v/>
      </c>
      <c r="S9146" t="str">
        <f>VLOOKUP(record[[#This Row],[employeeID]],員工[],2,FALSE)</f>
        <v>謝素卿</v>
      </c>
    </row>
    <row r="9147" spans="6:19" hidden="1" x14ac:dyDescent="0.25">
      <c r="F9147" t="s">
        <v>849</v>
      </c>
      <c r="G9147" t="s">
        <v>466</v>
      </c>
      <c r="H9147" t="str">
        <f>VLOOKUP(record[[#This Row],[ProcessSN]],表格2_7[],2,FALSE)</f>
        <v>30-4118-018-XXX</v>
      </c>
      <c r="I9147" t="str">
        <f>VLOOKUP(record[[#This Row],[ProcessSN]],表格2_7[],3,FALSE)</f>
        <v>#01-2</v>
      </c>
      <c r="J9147" t="s">
        <v>588</v>
      </c>
      <c r="K9147" s="195">
        <v>45827.698912037034</v>
      </c>
      <c r="L9147">
        <v>228</v>
      </c>
      <c r="M9147">
        <v>0</v>
      </c>
      <c r="N9147" s="98" t="str">
        <f>IF(record[[#This Row],[Memo]]="Browser:chrome os:android","平板報工",IF(record[[#This Row],[Memo]]=0,"委外",record[[#This Row],[Memo]]))</f>
        <v/>
      </c>
      <c r="O9147" t="s">
        <v>58</v>
      </c>
      <c r="P9147" t="s">
        <v>119</v>
      </c>
      <c r="Q9147" t="s">
        <v>58</v>
      </c>
      <c r="R9147" t="str">
        <f>IFERROR(VLOOKUP(record[[#This Row],[PCUSTID]],廠商[],2,FALSE),"")</f>
        <v/>
      </c>
      <c r="S9147" t="str">
        <f>VLOOKUP(record[[#This Row],[employeeID]],員工[],2,FALSE)</f>
        <v>廖俊彥</v>
      </c>
    </row>
    <row r="9148" spans="6:19" hidden="1" x14ac:dyDescent="0.25">
      <c r="F9148" t="s">
        <v>849</v>
      </c>
      <c r="G9148" t="s">
        <v>465</v>
      </c>
      <c r="H9148" t="str">
        <f>VLOOKUP(record[[#This Row],[ProcessSN]],表格2_7[],2,FALSE)</f>
        <v>30-4118-018-XXX</v>
      </c>
      <c r="I9148" t="str">
        <f>VLOOKUP(record[[#This Row],[ProcessSN]],表格2_7[],3,FALSE)</f>
        <v>#01-1</v>
      </c>
      <c r="J9148" t="s">
        <v>588</v>
      </c>
      <c r="K9148" s="195">
        <v>45827.698761574073</v>
      </c>
      <c r="L9148">
        <v>228</v>
      </c>
      <c r="M9148">
        <v>1</v>
      </c>
      <c r="N9148" s="98" t="str">
        <f>IF(record[[#This Row],[Memo]]="Browser:chrome os:android","平板報工",IF(record[[#This Row],[Memo]]=0,"委外",record[[#This Row],[Memo]]))</f>
        <v/>
      </c>
      <c r="O9148" t="s">
        <v>58</v>
      </c>
      <c r="P9148" t="s">
        <v>119</v>
      </c>
      <c r="Q9148" t="s">
        <v>58</v>
      </c>
      <c r="R9148" t="str">
        <f>IFERROR(VLOOKUP(record[[#This Row],[PCUSTID]],廠商[],2,FALSE),"")</f>
        <v/>
      </c>
      <c r="S9148" t="str">
        <f>VLOOKUP(record[[#This Row],[employeeID]],員工[],2,FALSE)</f>
        <v>廖俊彥</v>
      </c>
    </row>
    <row r="9149" spans="6:19" hidden="1" x14ac:dyDescent="0.25">
      <c r="F9149" t="s">
        <v>854</v>
      </c>
      <c r="G9149" t="s">
        <v>417</v>
      </c>
      <c r="H9149" t="str">
        <f>VLOOKUP(record[[#This Row],[ProcessSN]],表格2_7[],2,FALSE)</f>
        <v>30-4118-018-5XX</v>
      </c>
      <c r="I9149" t="str">
        <f>VLOOKUP(record[[#This Row],[ProcessSN]],表格2_7[],3,FALSE)</f>
        <v>#06</v>
      </c>
      <c r="J9149" t="s">
        <v>593</v>
      </c>
      <c r="K9149" s="195">
        <v>45827.698101851849</v>
      </c>
      <c r="L9149">
        <v>8</v>
      </c>
      <c r="M9149">
        <v>1</v>
      </c>
      <c r="N9149" s="98" t="str">
        <f>IF(record[[#This Row],[Memo]]="Browser:chrome os:android","平板報工",IF(record[[#This Row],[Memo]]=0,"委外",record[[#This Row],[Memo]]))</f>
        <v/>
      </c>
      <c r="O9149" t="s">
        <v>58</v>
      </c>
      <c r="P9149" t="s">
        <v>119</v>
      </c>
      <c r="Q9149" t="s">
        <v>58</v>
      </c>
      <c r="R9149" t="str">
        <f>IFERROR(VLOOKUP(record[[#This Row],[PCUSTID]],廠商[],2,FALSE),"")</f>
        <v/>
      </c>
      <c r="S9149" t="str">
        <f>VLOOKUP(record[[#This Row],[employeeID]],員工[],2,FALSE)</f>
        <v>廖俊彥</v>
      </c>
    </row>
    <row r="9150" spans="6:19" hidden="1" x14ac:dyDescent="0.25">
      <c r="F9150" t="s">
        <v>854</v>
      </c>
      <c r="G9150" t="s">
        <v>416</v>
      </c>
      <c r="H9150" t="str">
        <f>VLOOKUP(record[[#This Row],[ProcessSN]],表格2_7[],2,FALSE)</f>
        <v>30-4118-018-5XX</v>
      </c>
      <c r="I9150" t="str">
        <f>VLOOKUP(record[[#This Row],[ProcessSN]],表格2_7[],3,FALSE)</f>
        <v>#05</v>
      </c>
      <c r="J9150" t="s">
        <v>588</v>
      </c>
      <c r="K9150" s="195">
        <v>45827.697916666664</v>
      </c>
      <c r="L9150">
        <v>223</v>
      </c>
      <c r="M9150">
        <v>0</v>
      </c>
      <c r="N9150" s="98" t="str">
        <f>IF(record[[#This Row],[Memo]]="Browser:chrome os:android","平板報工",IF(record[[#This Row],[Memo]]=0,"委外",record[[#This Row],[Memo]]))</f>
        <v/>
      </c>
      <c r="O9150" t="s">
        <v>58</v>
      </c>
      <c r="P9150" t="s">
        <v>119</v>
      </c>
      <c r="Q9150" t="s">
        <v>58</v>
      </c>
      <c r="R9150" t="str">
        <f>IFERROR(VLOOKUP(record[[#This Row],[PCUSTID]],廠商[],2,FALSE),"")</f>
        <v/>
      </c>
      <c r="S9150" t="str">
        <f>VLOOKUP(record[[#This Row],[employeeID]],員工[],2,FALSE)</f>
        <v>廖俊彥</v>
      </c>
    </row>
    <row r="9151" spans="6:19" hidden="1" x14ac:dyDescent="0.25">
      <c r="F9151" t="s">
        <v>778</v>
      </c>
      <c r="G9151" t="s">
        <v>415</v>
      </c>
      <c r="H9151" t="str">
        <f>VLOOKUP(record[[#This Row],[ProcessSN]],表格2_7[],2,FALSE)</f>
        <v>30-4118-018-5XX</v>
      </c>
      <c r="I9151" t="str">
        <f>VLOOKUP(record[[#This Row],[ProcessSN]],表格2_7[],3,FALSE)</f>
        <v>#04</v>
      </c>
      <c r="J9151" t="s">
        <v>588</v>
      </c>
      <c r="K9151" s="195">
        <v>45827.697685185187</v>
      </c>
      <c r="L9151">
        <v>1</v>
      </c>
      <c r="M9151">
        <v>0</v>
      </c>
      <c r="N9151" s="98" t="str">
        <f>IF(record[[#This Row],[Memo]]="Browser:chrome os:android","平板報工",IF(record[[#This Row],[Memo]]=0,"委外",record[[#This Row],[Memo]]))</f>
        <v/>
      </c>
      <c r="O9151" t="s">
        <v>58</v>
      </c>
      <c r="P9151" t="s">
        <v>119</v>
      </c>
      <c r="Q9151" t="s">
        <v>58</v>
      </c>
      <c r="R9151" t="str">
        <f>IFERROR(VLOOKUP(record[[#This Row],[PCUSTID]],廠商[],2,FALSE),"")</f>
        <v/>
      </c>
      <c r="S9151" t="str">
        <f>VLOOKUP(record[[#This Row],[employeeID]],員工[],2,FALSE)</f>
        <v>廖俊彥</v>
      </c>
    </row>
    <row r="9152" spans="6:19" hidden="1" x14ac:dyDescent="0.25">
      <c r="F9152" t="s">
        <v>854</v>
      </c>
      <c r="G9152" t="s">
        <v>415</v>
      </c>
      <c r="H9152" t="str">
        <f>VLOOKUP(record[[#This Row],[ProcessSN]],表格2_7[],2,FALSE)</f>
        <v>30-4118-018-5XX</v>
      </c>
      <c r="I9152" t="str">
        <f>VLOOKUP(record[[#This Row],[ProcessSN]],表格2_7[],3,FALSE)</f>
        <v>#04</v>
      </c>
      <c r="J9152" t="s">
        <v>588</v>
      </c>
      <c r="K9152" s="195">
        <v>45827.697534722225</v>
      </c>
      <c r="L9152">
        <v>116</v>
      </c>
      <c r="M9152">
        <v>7</v>
      </c>
      <c r="N9152" s="98" t="str">
        <f>IF(record[[#This Row],[Memo]]="Browser:chrome os:android","平板報工",IF(record[[#This Row],[Memo]]=0,"委外",record[[#This Row],[Memo]]))</f>
        <v/>
      </c>
      <c r="O9152" t="s">
        <v>58</v>
      </c>
      <c r="P9152" t="s">
        <v>119</v>
      </c>
      <c r="Q9152" t="s">
        <v>58</v>
      </c>
      <c r="R9152" t="str">
        <f>IFERROR(VLOOKUP(record[[#This Row],[PCUSTID]],廠商[],2,FALSE),"")</f>
        <v/>
      </c>
      <c r="S9152" t="str">
        <f>VLOOKUP(record[[#This Row],[employeeID]],員工[],2,FALSE)</f>
        <v>廖俊彥</v>
      </c>
    </row>
    <row r="9153" spans="6:19" hidden="1" x14ac:dyDescent="0.25">
      <c r="F9153" t="s">
        <v>854</v>
      </c>
      <c r="G9153" t="s">
        <v>414</v>
      </c>
      <c r="H9153" t="str">
        <f>VLOOKUP(record[[#This Row],[ProcessSN]],表格2_7[],2,FALSE)</f>
        <v>30-4118-018-5XX</v>
      </c>
      <c r="I9153" t="str">
        <f>VLOOKUP(record[[#This Row],[ProcessSN]],表格2_7[],3,FALSE)</f>
        <v>#03</v>
      </c>
      <c r="J9153" t="s">
        <v>588</v>
      </c>
      <c r="K9153" s="195">
        <v>45827.697291666664</v>
      </c>
      <c r="L9153">
        <v>295</v>
      </c>
      <c r="M9153">
        <v>0</v>
      </c>
      <c r="N9153" s="98" t="str">
        <f>IF(record[[#This Row],[Memo]]="Browser:chrome os:android","平板報工",IF(record[[#This Row],[Memo]]=0,"委外",record[[#This Row],[Memo]]))</f>
        <v/>
      </c>
      <c r="O9153" t="s">
        <v>58</v>
      </c>
      <c r="P9153" t="s">
        <v>119</v>
      </c>
      <c r="Q9153" t="s">
        <v>58</v>
      </c>
      <c r="R9153" t="str">
        <f>IFERROR(VLOOKUP(record[[#This Row],[PCUSTID]],廠商[],2,FALSE),"")</f>
        <v/>
      </c>
      <c r="S9153" t="str">
        <f>VLOOKUP(record[[#This Row],[employeeID]],員工[],2,FALSE)</f>
        <v>廖俊彥</v>
      </c>
    </row>
    <row r="9154" spans="6:19" hidden="1" x14ac:dyDescent="0.25">
      <c r="F9154" t="s">
        <v>810</v>
      </c>
      <c r="G9154" t="s">
        <v>425</v>
      </c>
      <c r="H9154" t="str">
        <f>VLOOKUP(record[[#This Row],[ProcessSN]],表格2_7[],2,FALSE)</f>
        <v>30-4118-018-600</v>
      </c>
      <c r="I9154" t="str">
        <f>VLOOKUP(record[[#This Row],[ProcessSN]],表格2_7[],3,FALSE)</f>
        <v>#100</v>
      </c>
      <c r="J9154" t="s">
        <v>598</v>
      </c>
      <c r="K9154" s="195">
        <v>45827.648726851854</v>
      </c>
      <c r="L9154">
        <v>4</v>
      </c>
      <c r="M9154">
        <v>0</v>
      </c>
      <c r="N9154" s="98" t="str">
        <f>IF(record[[#This Row],[Memo]]="Browser:chrome os:android","平板報工",IF(record[[#This Row],[Memo]]=0,"委外",record[[#This Row],[Memo]]))</f>
        <v>平板報工</v>
      </c>
      <c r="O9154" t="s">
        <v>643</v>
      </c>
      <c r="P9154" t="s">
        <v>141</v>
      </c>
      <c r="Q9154" t="s">
        <v>644</v>
      </c>
      <c r="R9154" t="str">
        <f>IFERROR(VLOOKUP(record[[#This Row],[PCUSTID]],廠商[],2,FALSE),"")</f>
        <v/>
      </c>
      <c r="S9154" t="str">
        <f>VLOOKUP(record[[#This Row],[employeeID]],員工[],2,FALSE)</f>
        <v>蔣梅</v>
      </c>
    </row>
    <row r="9155" spans="6:19" hidden="1" x14ac:dyDescent="0.25">
      <c r="F9155" t="s">
        <v>818</v>
      </c>
      <c r="G9155" t="s">
        <v>425</v>
      </c>
      <c r="H9155" t="str">
        <f>VLOOKUP(record[[#This Row],[ProcessSN]],表格2_7[],2,FALSE)</f>
        <v>30-4118-018-600</v>
      </c>
      <c r="I9155" t="str">
        <f>VLOOKUP(record[[#This Row],[ProcessSN]],表格2_7[],3,FALSE)</f>
        <v>#100</v>
      </c>
      <c r="J9155" t="s">
        <v>598</v>
      </c>
      <c r="K9155" s="195">
        <v>45827.648506944446</v>
      </c>
      <c r="L9155">
        <v>23</v>
      </c>
      <c r="M9155">
        <v>0</v>
      </c>
      <c r="N9155" s="98" t="str">
        <f>IF(record[[#This Row],[Memo]]="Browser:chrome os:android","平板報工",IF(record[[#This Row],[Memo]]=0,"委外",record[[#This Row],[Memo]]))</f>
        <v>平板報工</v>
      </c>
      <c r="O9155" t="s">
        <v>643</v>
      </c>
      <c r="P9155" t="s">
        <v>141</v>
      </c>
      <c r="Q9155" t="s">
        <v>644</v>
      </c>
      <c r="R9155" t="str">
        <f>IFERROR(VLOOKUP(record[[#This Row],[PCUSTID]],廠商[],2,FALSE),"")</f>
        <v/>
      </c>
      <c r="S9155" t="str">
        <f>VLOOKUP(record[[#This Row],[employeeID]],員工[],2,FALSE)</f>
        <v>蔣梅</v>
      </c>
    </row>
    <row r="9156" spans="6:19" hidden="1" x14ac:dyDescent="0.25">
      <c r="F9156" t="s">
        <v>820</v>
      </c>
      <c r="G9156" t="s">
        <v>425</v>
      </c>
      <c r="H9156" t="str">
        <f>VLOOKUP(record[[#This Row],[ProcessSN]],表格2_7[],2,FALSE)</f>
        <v>30-4118-018-600</v>
      </c>
      <c r="I9156" t="str">
        <f>VLOOKUP(record[[#This Row],[ProcessSN]],表格2_7[],3,FALSE)</f>
        <v>#100</v>
      </c>
      <c r="J9156" t="s">
        <v>598</v>
      </c>
      <c r="K9156" s="195">
        <v>45827.648252314815</v>
      </c>
      <c r="L9156">
        <v>27</v>
      </c>
      <c r="M9156">
        <v>0</v>
      </c>
      <c r="N9156" s="98" t="str">
        <f>IF(record[[#This Row],[Memo]]="Browser:chrome os:android","平板報工",IF(record[[#This Row],[Memo]]=0,"委外",record[[#This Row],[Memo]]))</f>
        <v>平板報工</v>
      </c>
      <c r="O9156" t="s">
        <v>643</v>
      </c>
      <c r="P9156" t="s">
        <v>141</v>
      </c>
      <c r="Q9156" t="s">
        <v>644</v>
      </c>
      <c r="R9156" t="str">
        <f>IFERROR(VLOOKUP(record[[#This Row],[PCUSTID]],廠商[],2,FALSE),"")</f>
        <v/>
      </c>
      <c r="S9156" t="str">
        <f>VLOOKUP(record[[#This Row],[employeeID]],員工[],2,FALSE)</f>
        <v>蔣梅</v>
      </c>
    </row>
    <row r="9157" spans="6:19" hidden="1" x14ac:dyDescent="0.25">
      <c r="F9157" t="s">
        <v>822</v>
      </c>
      <c r="G9157" t="s">
        <v>425</v>
      </c>
      <c r="H9157" t="str">
        <f>VLOOKUP(record[[#This Row],[ProcessSN]],表格2_7[],2,FALSE)</f>
        <v>30-4118-018-600</v>
      </c>
      <c r="I9157" t="str">
        <f>VLOOKUP(record[[#This Row],[ProcessSN]],表格2_7[],3,FALSE)</f>
        <v>#100</v>
      </c>
      <c r="J9157" t="s">
        <v>598</v>
      </c>
      <c r="K9157" s="195">
        <v>45827.647974537038</v>
      </c>
      <c r="L9157">
        <v>11</v>
      </c>
      <c r="M9157">
        <v>0</v>
      </c>
      <c r="N9157" s="98" t="str">
        <f>IF(record[[#This Row],[Memo]]="Browser:chrome os:android","平板報工",IF(record[[#This Row],[Memo]]=0,"委外",record[[#This Row],[Memo]]))</f>
        <v>平板報工</v>
      </c>
      <c r="O9157" t="s">
        <v>643</v>
      </c>
      <c r="P9157" t="s">
        <v>141</v>
      </c>
      <c r="Q9157" t="s">
        <v>644</v>
      </c>
      <c r="R9157" t="str">
        <f>IFERROR(VLOOKUP(record[[#This Row],[PCUSTID]],廠商[],2,FALSE),"")</f>
        <v/>
      </c>
      <c r="S9157" t="str">
        <f>VLOOKUP(record[[#This Row],[employeeID]],員工[],2,FALSE)</f>
        <v>蔣梅</v>
      </c>
    </row>
    <row r="9158" spans="6:19" hidden="1" x14ac:dyDescent="0.25">
      <c r="F9158" t="s">
        <v>830</v>
      </c>
      <c r="G9158" t="s">
        <v>425</v>
      </c>
      <c r="H9158" t="str">
        <f>VLOOKUP(record[[#This Row],[ProcessSN]],表格2_7[],2,FALSE)</f>
        <v>30-4118-018-600</v>
      </c>
      <c r="I9158" t="str">
        <f>VLOOKUP(record[[#This Row],[ProcessSN]],表格2_7[],3,FALSE)</f>
        <v>#100</v>
      </c>
      <c r="J9158" t="s">
        <v>598</v>
      </c>
      <c r="K9158" s="195">
        <v>45827.647696759261</v>
      </c>
      <c r="L9158">
        <v>40</v>
      </c>
      <c r="M9158">
        <v>0</v>
      </c>
      <c r="N9158" s="98" t="str">
        <f>IF(record[[#This Row],[Memo]]="Browser:chrome os:android","平板報工",IF(record[[#This Row],[Memo]]=0,"委外",record[[#This Row],[Memo]]))</f>
        <v>平板報工</v>
      </c>
      <c r="O9158" t="s">
        <v>643</v>
      </c>
      <c r="P9158" t="s">
        <v>141</v>
      </c>
      <c r="Q9158" t="s">
        <v>644</v>
      </c>
      <c r="R9158" t="str">
        <f>IFERROR(VLOOKUP(record[[#This Row],[PCUSTID]],廠商[],2,FALSE),"")</f>
        <v/>
      </c>
      <c r="S9158" t="str">
        <f>VLOOKUP(record[[#This Row],[employeeID]],員工[],2,FALSE)</f>
        <v>蔣梅</v>
      </c>
    </row>
    <row r="9159" spans="6:19" hidden="1" x14ac:dyDescent="0.25">
      <c r="F9159" t="s">
        <v>858</v>
      </c>
      <c r="G9159" t="s">
        <v>400</v>
      </c>
      <c r="H9159" t="str">
        <f>VLOOKUP(record[[#This Row],[ProcessSN]],表格2_7[],2,FALSE)</f>
        <v>30-4118-018-550</v>
      </c>
      <c r="I9159" t="str">
        <f>VLOOKUP(record[[#This Row],[ProcessSN]],表格2_7[],3,FALSE)</f>
        <v>#100</v>
      </c>
      <c r="J9159" t="s">
        <v>598</v>
      </c>
      <c r="K9159" s="195">
        <v>45827.646574074075</v>
      </c>
      <c r="L9159">
        <v>0</v>
      </c>
      <c r="M9159">
        <v>2</v>
      </c>
      <c r="N9159" s="98" t="str">
        <f>IF(record[[#This Row],[Memo]]="Browser:chrome os:android","平板報工",IF(record[[#This Row],[Memo]]=0,"委外",record[[#This Row],[Memo]]))</f>
        <v>平板報工</v>
      </c>
      <c r="O9159" t="s">
        <v>643</v>
      </c>
      <c r="P9159" t="s">
        <v>141</v>
      </c>
      <c r="Q9159" t="s">
        <v>644</v>
      </c>
      <c r="R9159" t="str">
        <f>IFERROR(VLOOKUP(record[[#This Row],[PCUSTID]],廠商[],2,FALSE),"")</f>
        <v/>
      </c>
      <c r="S9159" t="str">
        <f>VLOOKUP(record[[#This Row],[employeeID]],員工[],2,FALSE)</f>
        <v>蔣梅</v>
      </c>
    </row>
    <row r="9160" spans="6:19" hidden="1" x14ac:dyDescent="0.25">
      <c r="F9160" t="s">
        <v>858</v>
      </c>
      <c r="G9160" t="s">
        <v>400</v>
      </c>
      <c r="H9160" t="str">
        <f>VLOOKUP(record[[#This Row],[ProcessSN]],表格2_7[],2,FALSE)</f>
        <v>30-4118-018-550</v>
      </c>
      <c r="I9160" t="str">
        <f>VLOOKUP(record[[#This Row],[ProcessSN]],表格2_7[],3,FALSE)</f>
        <v>#100</v>
      </c>
      <c r="J9160" t="s">
        <v>598</v>
      </c>
      <c r="K9160" s="195">
        <v>45827.646365740744</v>
      </c>
      <c r="L9160">
        <v>225</v>
      </c>
      <c r="M9160">
        <v>0</v>
      </c>
      <c r="N9160" s="98" t="str">
        <f>IF(record[[#This Row],[Memo]]="Browser:chrome os:android","平板報工",IF(record[[#This Row],[Memo]]=0,"委外",record[[#This Row],[Memo]]))</f>
        <v>平板報工</v>
      </c>
      <c r="O9160" t="s">
        <v>643</v>
      </c>
      <c r="P9160" t="s">
        <v>141</v>
      </c>
      <c r="Q9160" t="s">
        <v>644</v>
      </c>
      <c r="R9160" t="str">
        <f>IFERROR(VLOOKUP(record[[#This Row],[PCUSTID]],廠商[],2,FALSE),"")</f>
        <v/>
      </c>
      <c r="S9160" t="str">
        <f>VLOOKUP(record[[#This Row],[employeeID]],員工[],2,FALSE)</f>
        <v>蔣梅</v>
      </c>
    </row>
    <row r="9161" spans="6:19" hidden="1" x14ac:dyDescent="0.25">
      <c r="F9161" t="s">
        <v>830</v>
      </c>
      <c r="G9161" t="s">
        <v>423</v>
      </c>
      <c r="H9161" t="str">
        <f>VLOOKUP(record[[#This Row],[ProcessSN]],表格2_7[],2,FALSE)</f>
        <v>30-4118-018-600</v>
      </c>
      <c r="I9161" t="str">
        <f>VLOOKUP(record[[#This Row],[ProcessSN]],表格2_7[],3,FALSE)</f>
        <v>#08RCV</v>
      </c>
      <c r="J9161" t="s">
        <v>591</v>
      </c>
      <c r="K9161" s="195">
        <v>45827.576215277775</v>
      </c>
      <c r="L9161">
        <v>40</v>
      </c>
      <c r="M9161">
        <v>-40</v>
      </c>
      <c r="N9161" s="98" t="str">
        <f>IF(record[[#This Row],[Memo]]="Browser:chrome os:android","平板報工",IF(record[[#This Row],[Memo]]=0,"委外",record[[#This Row],[Memo]]))</f>
        <v>覆回品</v>
      </c>
      <c r="O9161" t="s">
        <v>664</v>
      </c>
      <c r="P9161" t="s">
        <v>65</v>
      </c>
      <c r="Q9161" t="s">
        <v>58</v>
      </c>
      <c r="R9161" t="str">
        <f>IFERROR(VLOOKUP(record[[#This Row],[PCUSTID]],廠商[],2,FALSE),"")</f>
        <v/>
      </c>
      <c r="S9161" t="str">
        <f>VLOOKUP(record[[#This Row],[employeeID]],員工[],2,FALSE)</f>
        <v>蘇進昌</v>
      </c>
    </row>
    <row r="9162" spans="6:19" hidden="1" x14ac:dyDescent="0.25">
      <c r="F9162" t="s">
        <v>830</v>
      </c>
      <c r="G9162" t="s">
        <v>424</v>
      </c>
      <c r="H9162" t="str">
        <f>VLOOKUP(record[[#This Row],[ProcessSN]],表格2_7[],2,FALSE)</f>
        <v>30-4118-018-600</v>
      </c>
      <c r="I9162" t="str">
        <f>VLOOKUP(record[[#This Row],[ProcessSN]],表格2_7[],3,FALSE)</f>
        <v>#08IQC</v>
      </c>
      <c r="J9162" t="s">
        <v>583</v>
      </c>
      <c r="K9162" s="195">
        <v>45827.576215277775</v>
      </c>
      <c r="L9162">
        <v>40</v>
      </c>
      <c r="M9162">
        <v>0</v>
      </c>
      <c r="N9162" s="98" t="str">
        <f>IF(record[[#This Row],[Memo]]="Browser:chrome os:android","平板報工",IF(record[[#This Row],[Memo]]=0,"委外",record[[#This Row],[Memo]]))</f>
        <v>覆回品</v>
      </c>
      <c r="O9162" t="s">
        <v>664</v>
      </c>
      <c r="P9162" t="s">
        <v>65</v>
      </c>
      <c r="Q9162" t="s">
        <v>58</v>
      </c>
      <c r="R9162" t="str">
        <f>IFERROR(VLOOKUP(record[[#This Row],[PCUSTID]],廠商[],2,FALSE),"")</f>
        <v/>
      </c>
      <c r="S9162" t="str">
        <f>VLOOKUP(record[[#This Row],[employeeID]],員工[],2,FALSE)</f>
        <v>蘇進昌</v>
      </c>
    </row>
    <row r="9163" spans="6:19" hidden="1" x14ac:dyDescent="0.25">
      <c r="F9163" t="s">
        <v>822</v>
      </c>
      <c r="G9163" t="s">
        <v>423</v>
      </c>
      <c r="H9163" t="str">
        <f>VLOOKUP(record[[#This Row],[ProcessSN]],表格2_7[],2,FALSE)</f>
        <v>30-4118-018-600</v>
      </c>
      <c r="I9163" t="str">
        <f>VLOOKUP(record[[#This Row],[ProcessSN]],表格2_7[],3,FALSE)</f>
        <v>#08RCV</v>
      </c>
      <c r="J9163" t="s">
        <v>591</v>
      </c>
      <c r="K9163" s="195">
        <v>45827.575914351852</v>
      </c>
      <c r="L9163">
        <v>11</v>
      </c>
      <c r="M9163">
        <v>-11</v>
      </c>
      <c r="N9163" s="98" t="str">
        <f>IF(record[[#This Row],[Memo]]="Browser:chrome os:android","平板報工",IF(record[[#This Row],[Memo]]=0,"委外",record[[#This Row],[Memo]]))</f>
        <v>覆回品</v>
      </c>
      <c r="O9163" t="s">
        <v>664</v>
      </c>
      <c r="P9163" t="s">
        <v>65</v>
      </c>
      <c r="Q9163" t="s">
        <v>58</v>
      </c>
      <c r="R9163" t="str">
        <f>IFERROR(VLOOKUP(record[[#This Row],[PCUSTID]],廠商[],2,FALSE),"")</f>
        <v/>
      </c>
      <c r="S9163" t="str">
        <f>VLOOKUP(record[[#This Row],[employeeID]],員工[],2,FALSE)</f>
        <v>蘇進昌</v>
      </c>
    </row>
    <row r="9164" spans="6:19" hidden="1" x14ac:dyDescent="0.25">
      <c r="F9164" t="s">
        <v>822</v>
      </c>
      <c r="G9164" t="s">
        <v>424</v>
      </c>
      <c r="H9164" t="str">
        <f>VLOOKUP(record[[#This Row],[ProcessSN]],表格2_7[],2,FALSE)</f>
        <v>30-4118-018-600</v>
      </c>
      <c r="I9164" t="str">
        <f>VLOOKUP(record[[#This Row],[ProcessSN]],表格2_7[],3,FALSE)</f>
        <v>#08IQC</v>
      </c>
      <c r="J9164" t="s">
        <v>583</v>
      </c>
      <c r="K9164" s="195">
        <v>45827.575914351852</v>
      </c>
      <c r="L9164">
        <v>11</v>
      </c>
      <c r="M9164">
        <v>0</v>
      </c>
      <c r="N9164" s="98" t="str">
        <f>IF(record[[#This Row],[Memo]]="Browser:chrome os:android","平板報工",IF(record[[#This Row],[Memo]]=0,"委外",record[[#This Row],[Memo]]))</f>
        <v>覆回品</v>
      </c>
      <c r="O9164" t="s">
        <v>664</v>
      </c>
      <c r="P9164" t="s">
        <v>65</v>
      </c>
      <c r="Q9164" t="s">
        <v>58</v>
      </c>
      <c r="R9164" t="str">
        <f>IFERROR(VLOOKUP(record[[#This Row],[PCUSTID]],廠商[],2,FALSE),"")</f>
        <v/>
      </c>
      <c r="S9164" t="str">
        <f>VLOOKUP(record[[#This Row],[employeeID]],員工[],2,FALSE)</f>
        <v>蘇進昌</v>
      </c>
    </row>
    <row r="9165" spans="6:19" hidden="1" x14ac:dyDescent="0.25">
      <c r="F9165" t="s">
        <v>858</v>
      </c>
      <c r="G9165" t="s">
        <v>399</v>
      </c>
      <c r="H9165" t="str">
        <f>VLOOKUP(record[[#This Row],[ProcessSN]],表格2_7[],2,FALSE)</f>
        <v>30-4118-018-550</v>
      </c>
      <c r="I9165" t="str">
        <f>VLOOKUP(record[[#This Row],[ProcessSN]],表格2_7[],3,FALSE)</f>
        <v>#08IQC</v>
      </c>
      <c r="J9165" t="s">
        <v>583</v>
      </c>
      <c r="K9165" s="195">
        <v>45827.561863425923</v>
      </c>
      <c r="L9165">
        <v>227</v>
      </c>
      <c r="M9165">
        <v>0</v>
      </c>
      <c r="N9165" s="98" t="str">
        <f>IF(record[[#This Row],[Memo]]="Browser:chrome os:android","平板報工",IF(record[[#This Row],[Memo]]=0,"委外",record[[#This Row],[Memo]]))</f>
        <v/>
      </c>
      <c r="O9165" t="s">
        <v>58</v>
      </c>
      <c r="P9165" t="s">
        <v>121</v>
      </c>
      <c r="Q9165" t="s">
        <v>58</v>
      </c>
      <c r="R9165" t="str">
        <f>IFERROR(VLOOKUP(record[[#This Row],[PCUSTID]],廠商[],2,FALSE),"")</f>
        <v/>
      </c>
      <c r="S9165" t="str">
        <f>VLOOKUP(record[[#This Row],[employeeID]],員工[],2,FALSE)</f>
        <v>謝素卿</v>
      </c>
    </row>
    <row r="9166" spans="6:19" hidden="1" x14ac:dyDescent="0.25">
      <c r="F9166" t="s">
        <v>858</v>
      </c>
      <c r="G9166" t="s">
        <v>398</v>
      </c>
      <c r="H9166" t="str">
        <f>VLOOKUP(record[[#This Row],[ProcessSN]],表格2_7[],2,FALSE)</f>
        <v>30-4118-018-550</v>
      </c>
      <c r="I9166" t="str">
        <f>VLOOKUP(record[[#This Row],[ProcessSN]],表格2_7[],3,FALSE)</f>
        <v>#08RCV</v>
      </c>
      <c r="J9166" t="s">
        <v>591</v>
      </c>
      <c r="K9166" s="195">
        <v>45827.560081018521</v>
      </c>
      <c r="L9166">
        <v>227</v>
      </c>
      <c r="M9166">
        <v>0</v>
      </c>
      <c r="N9166" s="98" t="str">
        <f>IF(record[[#This Row],[Memo]]="Browser:chrome os:android","平板報工",IF(record[[#This Row],[Memo]]=0,"委外",record[[#This Row],[Memo]]))</f>
        <v/>
      </c>
      <c r="O9166" t="s">
        <v>58</v>
      </c>
      <c r="P9166" t="s">
        <v>186</v>
      </c>
      <c r="Q9166" t="s">
        <v>58</v>
      </c>
      <c r="R9166" t="str">
        <f>IFERROR(VLOOKUP(record[[#This Row],[PCUSTID]],廠商[],2,FALSE),"")</f>
        <v/>
      </c>
      <c r="S9166" t="str">
        <f>VLOOKUP(record[[#This Row],[employeeID]],員工[],2,FALSE)</f>
        <v>許文姍</v>
      </c>
    </row>
    <row r="9167" spans="6:19" hidden="1" x14ac:dyDescent="0.25">
      <c r="F9167" t="s">
        <v>801</v>
      </c>
      <c r="G9167" t="s">
        <v>403</v>
      </c>
      <c r="H9167" t="str">
        <f>VLOOKUP(record[[#This Row],[ProcessSN]],表格2_7[],2,FALSE)</f>
        <v>30-4118-018-550</v>
      </c>
      <c r="I9167" t="str">
        <f>VLOOKUP(record[[#This Row],[ProcessSN]],表格2_7[],3,FALSE)</f>
        <v>#100SHIP</v>
      </c>
      <c r="J9167" t="s">
        <v>600</v>
      </c>
      <c r="K9167" s="195">
        <v>45827.558194444442</v>
      </c>
      <c r="L9167">
        <v>5</v>
      </c>
      <c r="M9167">
        <v>0</v>
      </c>
      <c r="N9167" s="98" t="str">
        <f>IF(record[[#This Row],[Memo]]="Browser:chrome os:android","平板報工",IF(record[[#This Row],[Memo]]=0,"委外",record[[#This Row],[Memo]]))</f>
        <v/>
      </c>
      <c r="O9167" t="s">
        <v>58</v>
      </c>
      <c r="P9167" t="s">
        <v>196</v>
      </c>
      <c r="Q9167" t="s">
        <v>58</v>
      </c>
      <c r="R9167" t="str">
        <f>IFERROR(VLOOKUP(record[[#This Row],[PCUSTID]],廠商[],2,FALSE),"")</f>
        <v/>
      </c>
      <c r="S9167" t="str">
        <f>VLOOKUP(record[[#This Row],[employeeID]],員工[],2,FALSE)</f>
        <v>張淑惠</v>
      </c>
    </row>
    <row r="9168" spans="6:19" hidden="1" x14ac:dyDescent="0.25">
      <c r="F9168" t="s">
        <v>797</v>
      </c>
      <c r="G9168" t="s">
        <v>403</v>
      </c>
      <c r="H9168" t="str">
        <f>VLOOKUP(record[[#This Row],[ProcessSN]],表格2_7[],2,FALSE)</f>
        <v>30-4118-018-550</v>
      </c>
      <c r="I9168" t="str">
        <f>VLOOKUP(record[[#This Row],[ProcessSN]],表格2_7[],3,FALSE)</f>
        <v>#100SHIP</v>
      </c>
      <c r="J9168" t="s">
        <v>600</v>
      </c>
      <c r="K9168" s="195">
        <v>45827.557835648149</v>
      </c>
      <c r="L9168">
        <v>38</v>
      </c>
      <c r="M9168">
        <v>0</v>
      </c>
      <c r="N9168" s="98" t="str">
        <f>IF(record[[#This Row],[Memo]]="Browser:chrome os:android","平板報工",IF(record[[#This Row],[Memo]]=0,"委外",record[[#This Row],[Memo]]))</f>
        <v/>
      </c>
      <c r="O9168" t="s">
        <v>58</v>
      </c>
      <c r="P9168" t="s">
        <v>196</v>
      </c>
      <c r="Q9168" t="s">
        <v>58</v>
      </c>
      <c r="R9168" t="str">
        <f>IFERROR(VLOOKUP(record[[#This Row],[PCUSTID]],廠商[],2,FALSE),"")</f>
        <v/>
      </c>
      <c r="S9168" t="str">
        <f>VLOOKUP(record[[#This Row],[employeeID]],員工[],2,FALSE)</f>
        <v>張淑惠</v>
      </c>
    </row>
    <row r="9169" spans="6:19" hidden="1" x14ac:dyDescent="0.25">
      <c r="F9169" t="s">
        <v>784</v>
      </c>
      <c r="G9169" t="s">
        <v>403</v>
      </c>
      <c r="H9169" t="str">
        <f>VLOOKUP(record[[#This Row],[ProcessSN]],表格2_7[],2,FALSE)</f>
        <v>30-4118-018-550</v>
      </c>
      <c r="I9169" t="str">
        <f>VLOOKUP(record[[#This Row],[ProcessSN]],表格2_7[],3,FALSE)</f>
        <v>#100SHIP</v>
      </c>
      <c r="J9169" t="s">
        <v>600</v>
      </c>
      <c r="K9169" s="195">
        <v>45827.557349537034</v>
      </c>
      <c r="L9169">
        <v>21</v>
      </c>
      <c r="M9169">
        <v>0</v>
      </c>
      <c r="N9169" s="98" t="str">
        <f>IF(record[[#This Row],[Memo]]="Browser:chrome os:android","平板報工",IF(record[[#This Row],[Memo]]=0,"委外",record[[#This Row],[Memo]]))</f>
        <v/>
      </c>
      <c r="O9169" t="s">
        <v>58</v>
      </c>
      <c r="P9169" t="s">
        <v>196</v>
      </c>
      <c r="Q9169" t="s">
        <v>58</v>
      </c>
      <c r="R9169" t="str">
        <f>IFERROR(VLOOKUP(record[[#This Row],[PCUSTID]],廠商[],2,FALSE),"")</f>
        <v/>
      </c>
      <c r="S9169" t="str">
        <f>VLOOKUP(record[[#This Row],[employeeID]],員工[],2,FALSE)</f>
        <v>張淑惠</v>
      </c>
    </row>
    <row r="9170" spans="6:19" hidden="1" x14ac:dyDescent="0.25">
      <c r="F9170" t="s">
        <v>784</v>
      </c>
      <c r="G9170" t="s">
        <v>402</v>
      </c>
      <c r="H9170" t="str">
        <f>VLOOKUP(record[[#This Row],[ProcessSN]],表格2_7[],2,FALSE)</f>
        <v>30-4118-018-550</v>
      </c>
      <c r="I9170" t="str">
        <f>VLOOKUP(record[[#This Row],[ProcessSN]],表格2_7[],3,FALSE)</f>
        <v>#100STOCK</v>
      </c>
      <c r="J9170" t="s">
        <v>592</v>
      </c>
      <c r="K9170" s="195">
        <v>45827.554548611108</v>
      </c>
      <c r="L9170">
        <v>21</v>
      </c>
      <c r="M9170">
        <v>0</v>
      </c>
      <c r="N9170" s="98" t="str">
        <f>IF(record[[#This Row],[Memo]]="Browser:chrome os:android","平板報工",IF(record[[#This Row],[Memo]]=0,"委外",record[[#This Row],[Memo]]))</f>
        <v/>
      </c>
      <c r="O9170" t="s">
        <v>58</v>
      </c>
      <c r="P9170" t="s">
        <v>196</v>
      </c>
      <c r="Q9170" t="s">
        <v>58</v>
      </c>
      <c r="R9170" t="str">
        <f>IFERROR(VLOOKUP(record[[#This Row],[PCUSTID]],廠商[],2,FALSE),"")</f>
        <v/>
      </c>
      <c r="S9170" t="str">
        <f>VLOOKUP(record[[#This Row],[employeeID]],員工[],2,FALSE)</f>
        <v>張淑惠</v>
      </c>
    </row>
    <row r="9171" spans="6:19" hidden="1" x14ac:dyDescent="0.25">
      <c r="F9171" t="s">
        <v>836</v>
      </c>
      <c r="G9171" t="s">
        <v>402</v>
      </c>
      <c r="H9171" t="str">
        <f>VLOOKUP(record[[#This Row],[ProcessSN]],表格2_7[],2,FALSE)</f>
        <v>30-4118-018-550</v>
      </c>
      <c r="I9171" t="str">
        <f>VLOOKUP(record[[#This Row],[ProcessSN]],表格2_7[],3,FALSE)</f>
        <v>#100STOCK</v>
      </c>
      <c r="J9171" t="s">
        <v>592</v>
      </c>
      <c r="K9171" s="195">
        <v>45827.553981481484</v>
      </c>
      <c r="L9171">
        <v>43</v>
      </c>
      <c r="M9171">
        <v>0</v>
      </c>
      <c r="N9171" s="98" t="str">
        <f>IF(record[[#This Row],[Memo]]="Browser:chrome os:android","平板報工",IF(record[[#This Row],[Memo]]=0,"委外",record[[#This Row],[Memo]]))</f>
        <v/>
      </c>
      <c r="O9171" t="s">
        <v>58</v>
      </c>
      <c r="P9171" t="s">
        <v>196</v>
      </c>
      <c r="Q9171" t="s">
        <v>58</v>
      </c>
      <c r="R9171" t="str">
        <f>IFERROR(VLOOKUP(record[[#This Row],[PCUSTID]],廠商[],2,FALSE),"")</f>
        <v/>
      </c>
      <c r="S9171" t="str">
        <f>VLOOKUP(record[[#This Row],[employeeID]],員工[],2,FALSE)</f>
        <v>張淑惠</v>
      </c>
    </row>
    <row r="9172" spans="6:19" hidden="1" x14ac:dyDescent="0.25">
      <c r="F9172" t="s">
        <v>834</v>
      </c>
      <c r="G9172" t="s">
        <v>402</v>
      </c>
      <c r="H9172" t="str">
        <f>VLOOKUP(record[[#This Row],[ProcessSN]],表格2_7[],2,FALSE)</f>
        <v>30-4118-018-550</v>
      </c>
      <c r="I9172" t="str">
        <f>VLOOKUP(record[[#This Row],[ProcessSN]],表格2_7[],3,FALSE)</f>
        <v>#100STOCK</v>
      </c>
      <c r="J9172" t="s">
        <v>592</v>
      </c>
      <c r="K9172" s="195">
        <v>45827.553854166668</v>
      </c>
      <c r="L9172">
        <v>26</v>
      </c>
      <c r="M9172">
        <v>0</v>
      </c>
      <c r="N9172" s="98" t="str">
        <f>IF(record[[#This Row],[Memo]]="Browser:chrome os:android","平板報工",IF(record[[#This Row],[Memo]]=0,"委外",record[[#This Row],[Memo]]))</f>
        <v/>
      </c>
      <c r="O9172" t="s">
        <v>58</v>
      </c>
      <c r="P9172" t="s">
        <v>196</v>
      </c>
      <c r="Q9172" t="s">
        <v>58</v>
      </c>
      <c r="R9172" t="str">
        <f>IFERROR(VLOOKUP(record[[#This Row],[PCUSTID]],廠商[],2,FALSE),"")</f>
        <v/>
      </c>
      <c r="S9172" t="str">
        <f>VLOOKUP(record[[#This Row],[employeeID]],員工[],2,FALSE)</f>
        <v>張淑惠</v>
      </c>
    </row>
    <row r="9173" spans="6:19" hidden="1" x14ac:dyDescent="0.25">
      <c r="F9173" t="s">
        <v>832</v>
      </c>
      <c r="G9173" t="s">
        <v>402</v>
      </c>
      <c r="H9173" t="str">
        <f>VLOOKUP(record[[#This Row],[ProcessSN]],表格2_7[],2,FALSE)</f>
        <v>30-4118-018-550</v>
      </c>
      <c r="I9173" t="str">
        <f>VLOOKUP(record[[#This Row],[ProcessSN]],表格2_7[],3,FALSE)</f>
        <v>#100STOCK</v>
      </c>
      <c r="J9173" t="s">
        <v>592</v>
      </c>
      <c r="K9173" s="195">
        <v>45827.553726851853</v>
      </c>
      <c r="L9173">
        <v>22</v>
      </c>
      <c r="M9173">
        <v>0</v>
      </c>
      <c r="N9173" s="98" t="str">
        <f>IF(record[[#This Row],[Memo]]="Browser:chrome os:android","平板報工",IF(record[[#This Row],[Memo]]=0,"委外",record[[#This Row],[Memo]]))</f>
        <v/>
      </c>
      <c r="O9173" t="s">
        <v>58</v>
      </c>
      <c r="P9173" t="s">
        <v>196</v>
      </c>
      <c r="Q9173" t="s">
        <v>58</v>
      </c>
      <c r="R9173" t="str">
        <f>IFERROR(VLOOKUP(record[[#This Row],[PCUSTID]],廠商[],2,FALSE),"")</f>
        <v/>
      </c>
      <c r="S9173" t="str">
        <f>VLOOKUP(record[[#This Row],[employeeID]],員工[],2,FALSE)</f>
        <v>張淑惠</v>
      </c>
    </row>
    <row r="9174" spans="6:19" hidden="1" x14ac:dyDescent="0.25">
      <c r="F9174" t="s">
        <v>828</v>
      </c>
      <c r="G9174" t="s">
        <v>402</v>
      </c>
      <c r="H9174" t="str">
        <f>VLOOKUP(record[[#This Row],[ProcessSN]],表格2_7[],2,FALSE)</f>
        <v>30-4118-018-550</v>
      </c>
      <c r="I9174" t="str">
        <f>VLOOKUP(record[[#This Row],[ProcessSN]],表格2_7[],3,FALSE)</f>
        <v>#100STOCK</v>
      </c>
      <c r="J9174" t="s">
        <v>592</v>
      </c>
      <c r="K9174" s="195">
        <v>45827.553611111114</v>
      </c>
      <c r="L9174">
        <v>16</v>
      </c>
      <c r="M9174">
        <v>0</v>
      </c>
      <c r="N9174" s="98" t="str">
        <f>IF(record[[#This Row],[Memo]]="Browser:chrome os:android","平板報工",IF(record[[#This Row],[Memo]]=0,"委外",record[[#This Row],[Memo]]))</f>
        <v/>
      </c>
      <c r="O9174" t="s">
        <v>58</v>
      </c>
      <c r="P9174" t="s">
        <v>196</v>
      </c>
      <c r="Q9174" t="s">
        <v>58</v>
      </c>
      <c r="R9174" t="str">
        <f>IFERROR(VLOOKUP(record[[#This Row],[PCUSTID]],廠商[],2,FALSE),"")</f>
        <v/>
      </c>
      <c r="S9174" t="str">
        <f>VLOOKUP(record[[#This Row],[employeeID]],員工[],2,FALSE)</f>
        <v>張淑惠</v>
      </c>
    </row>
    <row r="9175" spans="6:19" hidden="1" x14ac:dyDescent="0.25">
      <c r="F9175" t="s">
        <v>811</v>
      </c>
      <c r="G9175" t="s">
        <v>402</v>
      </c>
      <c r="H9175" t="str">
        <f>VLOOKUP(record[[#This Row],[ProcessSN]],表格2_7[],2,FALSE)</f>
        <v>30-4118-018-550</v>
      </c>
      <c r="I9175" t="str">
        <f>VLOOKUP(record[[#This Row],[ProcessSN]],表格2_7[],3,FALSE)</f>
        <v>#100STOCK</v>
      </c>
      <c r="J9175" t="s">
        <v>592</v>
      </c>
      <c r="K9175" s="195">
        <v>45827.553495370368</v>
      </c>
      <c r="L9175">
        <v>28</v>
      </c>
      <c r="M9175">
        <v>0</v>
      </c>
      <c r="N9175" s="98" t="str">
        <f>IF(record[[#This Row],[Memo]]="Browser:chrome os:android","平板報工",IF(record[[#This Row],[Memo]]=0,"委外",record[[#This Row],[Memo]]))</f>
        <v/>
      </c>
      <c r="O9175" t="s">
        <v>58</v>
      </c>
      <c r="P9175" t="s">
        <v>196</v>
      </c>
      <c r="Q9175" t="s">
        <v>58</v>
      </c>
      <c r="R9175" t="str">
        <f>IFERROR(VLOOKUP(record[[#This Row],[PCUSTID]],廠商[],2,FALSE),"")</f>
        <v/>
      </c>
      <c r="S9175" t="str">
        <f>VLOOKUP(record[[#This Row],[employeeID]],員工[],2,FALSE)</f>
        <v>張淑惠</v>
      </c>
    </row>
    <row r="9176" spans="6:19" hidden="1" x14ac:dyDescent="0.25">
      <c r="F9176" t="s">
        <v>801</v>
      </c>
      <c r="G9176" t="s">
        <v>402</v>
      </c>
      <c r="H9176" t="str">
        <f>VLOOKUP(record[[#This Row],[ProcessSN]],表格2_7[],2,FALSE)</f>
        <v>30-4118-018-550</v>
      </c>
      <c r="I9176" t="str">
        <f>VLOOKUP(record[[#This Row],[ProcessSN]],表格2_7[],3,FALSE)</f>
        <v>#100STOCK</v>
      </c>
      <c r="J9176" t="s">
        <v>592</v>
      </c>
      <c r="K9176" s="195">
        <v>45827.553368055553</v>
      </c>
      <c r="L9176">
        <v>37</v>
      </c>
      <c r="M9176">
        <v>0</v>
      </c>
      <c r="N9176" s="98" t="str">
        <f>IF(record[[#This Row],[Memo]]="Browser:chrome os:android","平板報工",IF(record[[#This Row],[Memo]]=0,"委外",record[[#This Row],[Memo]]))</f>
        <v/>
      </c>
      <c r="O9176" t="s">
        <v>58</v>
      </c>
      <c r="P9176" t="s">
        <v>196</v>
      </c>
      <c r="Q9176" t="s">
        <v>58</v>
      </c>
      <c r="R9176" t="str">
        <f>IFERROR(VLOOKUP(record[[#This Row],[PCUSTID]],廠商[],2,FALSE),"")</f>
        <v/>
      </c>
      <c r="S9176" t="str">
        <f>VLOOKUP(record[[#This Row],[employeeID]],員工[],2,FALSE)</f>
        <v>張淑惠</v>
      </c>
    </row>
    <row r="9177" spans="6:19" hidden="1" x14ac:dyDescent="0.25">
      <c r="F9177" t="s">
        <v>797</v>
      </c>
      <c r="G9177" t="s">
        <v>402</v>
      </c>
      <c r="H9177" t="str">
        <f>VLOOKUP(record[[#This Row],[ProcessSN]],表格2_7[],2,FALSE)</f>
        <v>30-4118-018-550</v>
      </c>
      <c r="I9177" t="str">
        <f>VLOOKUP(record[[#This Row],[ProcessSN]],表格2_7[],3,FALSE)</f>
        <v>#100STOCK</v>
      </c>
      <c r="J9177" t="s">
        <v>592</v>
      </c>
      <c r="K9177" s="195">
        <v>45827.553240740737</v>
      </c>
      <c r="L9177">
        <v>38</v>
      </c>
      <c r="M9177">
        <v>0</v>
      </c>
      <c r="N9177" s="98" t="str">
        <f>IF(record[[#This Row],[Memo]]="Browser:chrome os:android","平板報工",IF(record[[#This Row],[Memo]]=0,"委外",record[[#This Row],[Memo]]))</f>
        <v/>
      </c>
      <c r="O9177" t="s">
        <v>58</v>
      </c>
      <c r="P9177" t="s">
        <v>196</v>
      </c>
      <c r="Q9177" t="s">
        <v>58</v>
      </c>
      <c r="R9177" t="str">
        <f>IFERROR(VLOOKUP(record[[#This Row],[PCUSTID]],廠商[],2,FALSE),"")</f>
        <v/>
      </c>
      <c r="S9177" t="str">
        <f>VLOOKUP(record[[#This Row],[employeeID]],員工[],2,FALSE)</f>
        <v>張淑惠</v>
      </c>
    </row>
    <row r="9178" spans="6:19" hidden="1" x14ac:dyDescent="0.25">
      <c r="F9178" t="s">
        <v>820</v>
      </c>
      <c r="G9178" t="s">
        <v>423</v>
      </c>
      <c r="H9178" t="str">
        <f>VLOOKUP(record[[#This Row],[ProcessSN]],表格2_7[],2,FALSE)</f>
        <v>30-4118-018-600</v>
      </c>
      <c r="I9178" t="str">
        <f>VLOOKUP(record[[#This Row],[ProcessSN]],表格2_7[],3,FALSE)</f>
        <v>#08RCV</v>
      </c>
      <c r="J9178" t="s">
        <v>591</v>
      </c>
      <c r="K9178" s="195">
        <v>45827.543564814812</v>
      </c>
      <c r="L9178">
        <v>27</v>
      </c>
      <c r="M9178">
        <v>-27</v>
      </c>
      <c r="N9178" s="98" t="str">
        <f>IF(record[[#This Row],[Memo]]="Browser:chrome os:android","平板報工",IF(record[[#This Row],[Memo]]=0,"委外",record[[#This Row],[Memo]]))</f>
        <v>覆回品</v>
      </c>
      <c r="O9178" t="s">
        <v>664</v>
      </c>
      <c r="P9178" t="s">
        <v>65</v>
      </c>
      <c r="Q9178" t="s">
        <v>58</v>
      </c>
      <c r="R9178" t="str">
        <f>IFERROR(VLOOKUP(record[[#This Row],[PCUSTID]],廠商[],2,FALSE),"")</f>
        <v/>
      </c>
      <c r="S9178" t="str">
        <f>VLOOKUP(record[[#This Row],[employeeID]],員工[],2,FALSE)</f>
        <v>蘇進昌</v>
      </c>
    </row>
    <row r="9179" spans="6:19" hidden="1" x14ac:dyDescent="0.25">
      <c r="F9179" t="s">
        <v>820</v>
      </c>
      <c r="G9179" t="s">
        <v>424</v>
      </c>
      <c r="H9179" t="str">
        <f>VLOOKUP(record[[#This Row],[ProcessSN]],表格2_7[],2,FALSE)</f>
        <v>30-4118-018-600</v>
      </c>
      <c r="I9179" t="str">
        <f>VLOOKUP(record[[#This Row],[ProcessSN]],表格2_7[],3,FALSE)</f>
        <v>#08IQC</v>
      </c>
      <c r="J9179" t="s">
        <v>583</v>
      </c>
      <c r="K9179" s="195">
        <v>45827.543564814812</v>
      </c>
      <c r="L9179">
        <v>27</v>
      </c>
      <c r="M9179">
        <v>0</v>
      </c>
      <c r="N9179" s="98" t="str">
        <f>IF(record[[#This Row],[Memo]]="Browser:chrome os:android","平板報工",IF(record[[#This Row],[Memo]]=0,"委外",record[[#This Row],[Memo]]))</f>
        <v>覆回品</v>
      </c>
      <c r="O9179" t="s">
        <v>664</v>
      </c>
      <c r="P9179" t="s">
        <v>65</v>
      </c>
      <c r="Q9179" t="s">
        <v>58</v>
      </c>
      <c r="R9179" t="str">
        <f>IFERROR(VLOOKUP(record[[#This Row],[PCUSTID]],廠商[],2,FALSE),"")</f>
        <v/>
      </c>
      <c r="S9179" t="str">
        <f>VLOOKUP(record[[#This Row],[employeeID]],員工[],2,FALSE)</f>
        <v>蘇進昌</v>
      </c>
    </row>
    <row r="9180" spans="6:19" hidden="1" x14ac:dyDescent="0.25">
      <c r="F9180" t="s">
        <v>834</v>
      </c>
      <c r="G9180" t="s">
        <v>401</v>
      </c>
      <c r="H9180" t="str">
        <f>VLOOKUP(record[[#This Row],[ProcessSN]],表格2_7[],2,FALSE)</f>
        <v>30-4118-018-550</v>
      </c>
      <c r="I9180" t="str">
        <f>VLOOKUP(record[[#This Row],[ProcessSN]],表格2_7[],3,FALSE)</f>
        <v>#100OQC</v>
      </c>
      <c r="J9180" t="s">
        <v>599</v>
      </c>
      <c r="K9180" s="195">
        <v>45827.517500000002</v>
      </c>
      <c r="L9180">
        <v>26</v>
      </c>
      <c r="M9180">
        <v>0</v>
      </c>
      <c r="N9180" s="98" t="str">
        <f>IF(record[[#This Row],[Memo]]="Browser:chrome os:android","平板報工",IF(record[[#This Row],[Memo]]=0,"委外",record[[#This Row],[Memo]]))</f>
        <v/>
      </c>
      <c r="O9180" t="s">
        <v>58</v>
      </c>
      <c r="P9180" t="s">
        <v>121</v>
      </c>
      <c r="Q9180" t="s">
        <v>58</v>
      </c>
      <c r="R9180" t="str">
        <f>IFERROR(VLOOKUP(record[[#This Row],[PCUSTID]],廠商[],2,FALSE),"")</f>
        <v/>
      </c>
      <c r="S9180" t="str">
        <f>VLOOKUP(record[[#This Row],[employeeID]],員工[],2,FALSE)</f>
        <v>謝素卿</v>
      </c>
    </row>
    <row r="9181" spans="6:19" hidden="1" x14ac:dyDescent="0.25">
      <c r="F9181" t="s">
        <v>811</v>
      </c>
      <c r="G9181" t="s">
        <v>401</v>
      </c>
      <c r="H9181" t="str">
        <f>VLOOKUP(record[[#This Row],[ProcessSN]],表格2_7[],2,FALSE)</f>
        <v>30-4118-018-550</v>
      </c>
      <c r="I9181" t="str">
        <f>VLOOKUP(record[[#This Row],[ProcessSN]],表格2_7[],3,FALSE)</f>
        <v>#100OQC</v>
      </c>
      <c r="J9181" t="s">
        <v>599</v>
      </c>
      <c r="K9181" s="195">
        <v>45827.517361111109</v>
      </c>
      <c r="L9181">
        <v>28</v>
      </c>
      <c r="M9181">
        <v>0</v>
      </c>
      <c r="N9181" s="98" t="str">
        <f>IF(record[[#This Row],[Memo]]="Browser:chrome os:android","平板報工",IF(record[[#This Row],[Memo]]=0,"委外",record[[#This Row],[Memo]]))</f>
        <v/>
      </c>
      <c r="O9181" t="s">
        <v>58</v>
      </c>
      <c r="P9181" t="s">
        <v>121</v>
      </c>
      <c r="Q9181" t="s">
        <v>58</v>
      </c>
      <c r="R9181" t="str">
        <f>IFERROR(VLOOKUP(record[[#This Row],[PCUSTID]],廠商[],2,FALSE),"")</f>
        <v/>
      </c>
      <c r="S9181" t="str">
        <f>VLOOKUP(record[[#This Row],[employeeID]],員工[],2,FALSE)</f>
        <v>謝素卿</v>
      </c>
    </row>
    <row r="9182" spans="6:19" hidden="1" x14ac:dyDescent="0.25">
      <c r="F9182" t="s">
        <v>801</v>
      </c>
      <c r="G9182" t="s">
        <v>401</v>
      </c>
      <c r="H9182" t="str">
        <f>VLOOKUP(record[[#This Row],[ProcessSN]],表格2_7[],2,FALSE)</f>
        <v>30-4118-018-550</v>
      </c>
      <c r="I9182" t="str">
        <f>VLOOKUP(record[[#This Row],[ProcessSN]],表格2_7[],3,FALSE)</f>
        <v>#100OQC</v>
      </c>
      <c r="J9182" t="s">
        <v>599</v>
      </c>
      <c r="K9182" s="195">
        <v>45827.517233796294</v>
      </c>
      <c r="L9182">
        <v>37</v>
      </c>
      <c r="M9182">
        <v>0</v>
      </c>
      <c r="N9182" s="98" t="str">
        <f>IF(record[[#This Row],[Memo]]="Browser:chrome os:android","平板報工",IF(record[[#This Row],[Memo]]=0,"委外",record[[#This Row],[Memo]]))</f>
        <v/>
      </c>
      <c r="O9182" t="s">
        <v>58</v>
      </c>
      <c r="P9182" t="s">
        <v>121</v>
      </c>
      <c r="Q9182" t="s">
        <v>58</v>
      </c>
      <c r="R9182" t="str">
        <f>IFERROR(VLOOKUP(record[[#This Row],[PCUSTID]],廠商[],2,FALSE),"")</f>
        <v/>
      </c>
      <c r="S9182" t="str">
        <f>VLOOKUP(record[[#This Row],[employeeID]],員工[],2,FALSE)</f>
        <v>謝素卿</v>
      </c>
    </row>
    <row r="9183" spans="6:19" hidden="1" x14ac:dyDescent="0.25">
      <c r="F9183" t="s">
        <v>836</v>
      </c>
      <c r="G9183" t="s">
        <v>401</v>
      </c>
      <c r="H9183" t="str">
        <f>VLOOKUP(record[[#This Row],[ProcessSN]],表格2_7[],2,FALSE)</f>
        <v>30-4118-018-550</v>
      </c>
      <c r="I9183" t="str">
        <f>VLOOKUP(record[[#This Row],[ProcessSN]],表格2_7[],3,FALSE)</f>
        <v>#100OQC</v>
      </c>
      <c r="J9183" t="s">
        <v>599</v>
      </c>
      <c r="K9183" s="195">
        <v>45827.517106481479</v>
      </c>
      <c r="L9183">
        <v>43</v>
      </c>
      <c r="M9183">
        <v>0</v>
      </c>
      <c r="N9183" s="98" t="str">
        <f>IF(record[[#This Row],[Memo]]="Browser:chrome os:android","平板報工",IF(record[[#This Row],[Memo]]=0,"委外",record[[#This Row],[Memo]]))</f>
        <v/>
      </c>
      <c r="O9183" t="s">
        <v>58</v>
      </c>
      <c r="P9183" t="s">
        <v>121</v>
      </c>
      <c r="Q9183" t="s">
        <v>58</v>
      </c>
      <c r="R9183" t="str">
        <f>IFERROR(VLOOKUP(record[[#This Row],[PCUSTID]],廠商[],2,FALSE),"")</f>
        <v/>
      </c>
      <c r="S9183" t="str">
        <f>VLOOKUP(record[[#This Row],[employeeID]],員工[],2,FALSE)</f>
        <v>謝素卿</v>
      </c>
    </row>
    <row r="9184" spans="6:19" hidden="1" x14ac:dyDescent="0.25">
      <c r="F9184" t="s">
        <v>832</v>
      </c>
      <c r="G9184" t="s">
        <v>401</v>
      </c>
      <c r="H9184" t="str">
        <f>VLOOKUP(record[[#This Row],[ProcessSN]],表格2_7[],2,FALSE)</f>
        <v>30-4118-018-550</v>
      </c>
      <c r="I9184" t="str">
        <f>VLOOKUP(record[[#This Row],[ProcessSN]],表格2_7[],3,FALSE)</f>
        <v>#100OQC</v>
      </c>
      <c r="J9184" t="s">
        <v>599</v>
      </c>
      <c r="K9184" s="195">
        <v>45827.516967592594</v>
      </c>
      <c r="L9184">
        <v>22</v>
      </c>
      <c r="M9184">
        <v>0</v>
      </c>
      <c r="N9184" s="98" t="str">
        <f>IF(record[[#This Row],[Memo]]="Browser:chrome os:android","平板報工",IF(record[[#This Row],[Memo]]=0,"委外",record[[#This Row],[Memo]]))</f>
        <v/>
      </c>
      <c r="O9184" t="s">
        <v>58</v>
      </c>
      <c r="P9184" t="s">
        <v>121</v>
      </c>
      <c r="Q9184" t="s">
        <v>58</v>
      </c>
      <c r="R9184" t="str">
        <f>IFERROR(VLOOKUP(record[[#This Row],[PCUSTID]],廠商[],2,FALSE),"")</f>
        <v/>
      </c>
      <c r="S9184" t="str">
        <f>VLOOKUP(record[[#This Row],[employeeID]],員工[],2,FALSE)</f>
        <v>謝素卿</v>
      </c>
    </row>
    <row r="9185" spans="6:19" hidden="1" x14ac:dyDescent="0.25">
      <c r="F9185" t="s">
        <v>828</v>
      </c>
      <c r="G9185" t="s">
        <v>401</v>
      </c>
      <c r="H9185" t="str">
        <f>VLOOKUP(record[[#This Row],[ProcessSN]],表格2_7[],2,FALSE)</f>
        <v>30-4118-018-550</v>
      </c>
      <c r="I9185" t="str">
        <f>VLOOKUP(record[[#This Row],[ProcessSN]],表格2_7[],3,FALSE)</f>
        <v>#100OQC</v>
      </c>
      <c r="J9185" t="s">
        <v>599</v>
      </c>
      <c r="K9185" s="195">
        <v>45827.516851851855</v>
      </c>
      <c r="L9185">
        <v>16</v>
      </c>
      <c r="M9185">
        <v>0</v>
      </c>
      <c r="N9185" s="98" t="str">
        <f>IF(record[[#This Row],[Memo]]="Browser:chrome os:android","平板報工",IF(record[[#This Row],[Memo]]=0,"委外",record[[#This Row],[Memo]]))</f>
        <v/>
      </c>
      <c r="O9185" t="s">
        <v>58</v>
      </c>
      <c r="P9185" t="s">
        <v>121</v>
      </c>
      <c r="Q9185" t="s">
        <v>58</v>
      </c>
      <c r="R9185" t="str">
        <f>IFERROR(VLOOKUP(record[[#This Row],[PCUSTID]],廠商[],2,FALSE),"")</f>
        <v/>
      </c>
      <c r="S9185" t="str">
        <f>VLOOKUP(record[[#This Row],[employeeID]],員工[],2,FALSE)</f>
        <v>謝素卿</v>
      </c>
    </row>
    <row r="9186" spans="6:19" hidden="1" x14ac:dyDescent="0.25">
      <c r="F9186" t="s">
        <v>784</v>
      </c>
      <c r="G9186" t="s">
        <v>401</v>
      </c>
      <c r="H9186" t="str">
        <f>VLOOKUP(record[[#This Row],[ProcessSN]],表格2_7[],2,FALSE)</f>
        <v>30-4118-018-550</v>
      </c>
      <c r="I9186" t="str">
        <f>VLOOKUP(record[[#This Row],[ProcessSN]],表格2_7[],3,FALSE)</f>
        <v>#100OQC</v>
      </c>
      <c r="J9186" t="s">
        <v>599</v>
      </c>
      <c r="K9186" s="195">
        <v>45827.516712962963</v>
      </c>
      <c r="L9186">
        <v>21</v>
      </c>
      <c r="M9186">
        <v>0</v>
      </c>
      <c r="N9186" s="98" t="str">
        <f>IF(record[[#This Row],[Memo]]="Browser:chrome os:android","平板報工",IF(record[[#This Row],[Memo]]=0,"委外",record[[#This Row],[Memo]]))</f>
        <v/>
      </c>
      <c r="O9186" t="s">
        <v>58</v>
      </c>
      <c r="P9186" t="s">
        <v>121</v>
      </c>
      <c r="Q9186" t="s">
        <v>58</v>
      </c>
      <c r="R9186" t="str">
        <f>IFERROR(VLOOKUP(record[[#This Row],[PCUSTID]],廠商[],2,FALSE),"")</f>
        <v/>
      </c>
      <c r="S9186" t="str">
        <f>VLOOKUP(record[[#This Row],[employeeID]],員工[],2,FALSE)</f>
        <v>謝素卿</v>
      </c>
    </row>
    <row r="9187" spans="6:19" hidden="1" x14ac:dyDescent="0.25">
      <c r="F9187" t="s">
        <v>797</v>
      </c>
      <c r="G9187" t="s">
        <v>401</v>
      </c>
      <c r="H9187" t="str">
        <f>VLOOKUP(record[[#This Row],[ProcessSN]],表格2_7[],2,FALSE)</f>
        <v>30-4118-018-550</v>
      </c>
      <c r="I9187" t="str">
        <f>VLOOKUP(record[[#This Row],[ProcessSN]],表格2_7[],3,FALSE)</f>
        <v>#100OQC</v>
      </c>
      <c r="J9187" t="s">
        <v>599</v>
      </c>
      <c r="K9187" s="195">
        <v>45827.516585648147</v>
      </c>
      <c r="L9187">
        <v>38</v>
      </c>
      <c r="M9187">
        <v>0</v>
      </c>
      <c r="N9187" s="98" t="str">
        <f>IF(record[[#This Row],[Memo]]="Browser:chrome os:android","平板報工",IF(record[[#This Row],[Memo]]=0,"委外",record[[#This Row],[Memo]]))</f>
        <v/>
      </c>
      <c r="O9187" t="s">
        <v>58</v>
      </c>
      <c r="P9187" t="s">
        <v>121</v>
      </c>
      <c r="Q9187" t="s">
        <v>58</v>
      </c>
      <c r="R9187" t="str">
        <f>IFERROR(VLOOKUP(record[[#This Row],[PCUSTID]],廠商[],2,FALSE),"")</f>
        <v/>
      </c>
      <c r="S9187" t="str">
        <f>VLOOKUP(record[[#This Row],[employeeID]],員工[],2,FALSE)</f>
        <v>謝素卿</v>
      </c>
    </row>
    <row r="9188" spans="6:19" hidden="1" x14ac:dyDescent="0.25">
      <c r="F9188" t="s">
        <v>847</v>
      </c>
      <c r="G9188" t="s">
        <v>403</v>
      </c>
      <c r="H9188" t="str">
        <f>VLOOKUP(record[[#This Row],[ProcessSN]],表格2_7[],2,FALSE)</f>
        <v>30-4118-018-550</v>
      </c>
      <c r="I9188" t="str">
        <f>VLOOKUP(record[[#This Row],[ProcessSN]],表格2_7[],3,FALSE)</f>
        <v>#100SHIP</v>
      </c>
      <c r="J9188" t="s">
        <v>600</v>
      </c>
      <c r="K9188" s="195">
        <v>45827.487812500003</v>
      </c>
      <c r="L9188">
        <v>176</v>
      </c>
      <c r="M9188">
        <v>0</v>
      </c>
      <c r="N9188" s="98" t="str">
        <f>IF(record[[#This Row],[Memo]]="Browser:chrome os:android","平板報工",IF(record[[#This Row],[Memo]]=0,"委外",record[[#This Row],[Memo]]))</f>
        <v/>
      </c>
      <c r="O9188" t="s">
        <v>58</v>
      </c>
      <c r="P9188" t="s">
        <v>196</v>
      </c>
      <c r="Q9188" t="s">
        <v>58</v>
      </c>
      <c r="R9188" t="str">
        <f>IFERROR(VLOOKUP(record[[#This Row],[PCUSTID]],廠商[],2,FALSE),"")</f>
        <v/>
      </c>
      <c r="S9188" t="str">
        <f>VLOOKUP(record[[#This Row],[employeeID]],員工[],2,FALSE)</f>
        <v>張淑惠</v>
      </c>
    </row>
    <row r="9189" spans="6:19" hidden="1" x14ac:dyDescent="0.25">
      <c r="F9189" t="s">
        <v>840</v>
      </c>
      <c r="G9189" t="s">
        <v>403</v>
      </c>
      <c r="H9189" t="str">
        <f>VLOOKUP(record[[#This Row],[ProcessSN]],表格2_7[],2,FALSE)</f>
        <v>30-4118-018-550</v>
      </c>
      <c r="I9189" t="str">
        <f>VLOOKUP(record[[#This Row],[ProcessSN]],表格2_7[],3,FALSE)</f>
        <v>#100SHIP</v>
      </c>
      <c r="J9189" t="s">
        <v>600</v>
      </c>
      <c r="K9189" s="195">
        <v>45827.487430555557</v>
      </c>
      <c r="L9189">
        <v>164</v>
      </c>
      <c r="M9189">
        <v>0</v>
      </c>
      <c r="N9189" s="98" t="str">
        <f>IF(record[[#This Row],[Memo]]="Browser:chrome os:android","平板報工",IF(record[[#This Row],[Memo]]=0,"委外",record[[#This Row],[Memo]]))</f>
        <v/>
      </c>
      <c r="O9189" t="s">
        <v>58</v>
      </c>
      <c r="P9189" t="s">
        <v>196</v>
      </c>
      <c r="Q9189" t="s">
        <v>58</v>
      </c>
      <c r="R9189" t="str">
        <f>IFERROR(VLOOKUP(record[[#This Row],[PCUSTID]],廠商[],2,FALSE),"")</f>
        <v/>
      </c>
      <c r="S9189" t="str">
        <f>VLOOKUP(record[[#This Row],[employeeID]],員工[],2,FALSE)</f>
        <v>張淑惠</v>
      </c>
    </row>
    <row r="9190" spans="6:19" hidden="1" x14ac:dyDescent="0.25">
      <c r="F9190" t="s">
        <v>832</v>
      </c>
      <c r="G9190" t="s">
        <v>403</v>
      </c>
      <c r="H9190" t="str">
        <f>VLOOKUP(record[[#This Row],[ProcessSN]],表格2_7[],2,FALSE)</f>
        <v>30-4118-018-550</v>
      </c>
      <c r="I9190" t="str">
        <f>VLOOKUP(record[[#This Row],[ProcessSN]],表格2_7[],3,FALSE)</f>
        <v>#100SHIP</v>
      </c>
      <c r="J9190" t="s">
        <v>600</v>
      </c>
      <c r="K9190" s="195">
        <v>45827.487210648149</v>
      </c>
      <c r="L9190">
        <v>56</v>
      </c>
      <c r="M9190">
        <v>0</v>
      </c>
      <c r="N9190" s="98" t="str">
        <f>IF(record[[#This Row],[Memo]]="Browser:chrome os:android","平板報工",IF(record[[#This Row],[Memo]]=0,"委外",record[[#This Row],[Memo]]))</f>
        <v/>
      </c>
      <c r="O9190" t="s">
        <v>58</v>
      </c>
      <c r="P9190" t="s">
        <v>196</v>
      </c>
      <c r="Q9190" t="s">
        <v>58</v>
      </c>
      <c r="R9190" t="str">
        <f>IFERROR(VLOOKUP(record[[#This Row],[PCUSTID]],廠商[],2,FALSE),"")</f>
        <v/>
      </c>
      <c r="S9190" t="str">
        <f>VLOOKUP(record[[#This Row],[employeeID]],員工[],2,FALSE)</f>
        <v>張淑惠</v>
      </c>
    </row>
    <row r="9191" spans="6:19" hidden="1" x14ac:dyDescent="0.25">
      <c r="F9191" t="s">
        <v>834</v>
      </c>
      <c r="G9191" t="s">
        <v>400</v>
      </c>
      <c r="H9191" t="str">
        <f>VLOOKUP(record[[#This Row],[ProcessSN]],表格2_7[],2,FALSE)</f>
        <v>30-4118-018-550</v>
      </c>
      <c r="I9191" t="str">
        <f>VLOOKUP(record[[#This Row],[ProcessSN]],表格2_7[],3,FALSE)</f>
        <v>#100</v>
      </c>
      <c r="J9191" t="s">
        <v>598</v>
      </c>
      <c r="K9191" s="195">
        <v>45827.465555555558</v>
      </c>
      <c r="L9191">
        <v>26</v>
      </c>
      <c r="M9191">
        <v>0</v>
      </c>
      <c r="N9191" s="98" t="str">
        <f>IF(record[[#This Row],[Memo]]="Browser:chrome os:android","平板報工",IF(record[[#This Row],[Memo]]=0,"委外",record[[#This Row],[Memo]]))</f>
        <v/>
      </c>
      <c r="O9191" t="s">
        <v>58</v>
      </c>
      <c r="P9191" t="s">
        <v>141</v>
      </c>
      <c r="Q9191" t="s">
        <v>58</v>
      </c>
      <c r="R9191" t="str">
        <f>IFERROR(VLOOKUP(record[[#This Row],[PCUSTID]],廠商[],2,FALSE),"")</f>
        <v/>
      </c>
      <c r="S9191" t="str">
        <f>VLOOKUP(record[[#This Row],[employeeID]],員工[],2,FALSE)</f>
        <v>蔣梅</v>
      </c>
    </row>
    <row r="9192" spans="6:19" hidden="1" x14ac:dyDescent="0.25">
      <c r="F9192" t="s">
        <v>811</v>
      </c>
      <c r="G9192" t="s">
        <v>400</v>
      </c>
      <c r="H9192" t="str">
        <f>VLOOKUP(record[[#This Row],[ProcessSN]],表格2_7[],2,FALSE)</f>
        <v>30-4118-018-550</v>
      </c>
      <c r="I9192" t="str">
        <f>VLOOKUP(record[[#This Row],[ProcessSN]],表格2_7[],3,FALSE)</f>
        <v>#100</v>
      </c>
      <c r="J9192" t="s">
        <v>598</v>
      </c>
      <c r="K9192" s="195">
        <v>45827.45689814815</v>
      </c>
      <c r="L9192">
        <v>28</v>
      </c>
      <c r="M9192">
        <v>0</v>
      </c>
      <c r="N9192" s="98" t="str">
        <f>IF(record[[#This Row],[Memo]]="Browser:chrome os:android","平板報工",IF(record[[#This Row],[Memo]]=0,"委外",record[[#This Row],[Memo]]))</f>
        <v/>
      </c>
      <c r="O9192" t="s">
        <v>58</v>
      </c>
      <c r="P9192" t="s">
        <v>141</v>
      </c>
      <c r="Q9192" t="s">
        <v>58</v>
      </c>
      <c r="R9192" t="str">
        <f>IFERROR(VLOOKUP(record[[#This Row],[PCUSTID]],廠商[],2,FALSE),"")</f>
        <v/>
      </c>
      <c r="S9192" t="str">
        <f>VLOOKUP(record[[#This Row],[employeeID]],員工[],2,FALSE)</f>
        <v>蔣梅</v>
      </c>
    </row>
    <row r="9193" spans="6:19" hidden="1" x14ac:dyDescent="0.25">
      <c r="F9193" t="s">
        <v>801</v>
      </c>
      <c r="G9193" t="s">
        <v>400</v>
      </c>
      <c r="H9193" t="str">
        <f>VLOOKUP(record[[#This Row],[ProcessSN]],表格2_7[],2,FALSE)</f>
        <v>30-4118-018-550</v>
      </c>
      <c r="I9193" t="str">
        <f>VLOOKUP(record[[#This Row],[ProcessSN]],表格2_7[],3,FALSE)</f>
        <v>#100</v>
      </c>
      <c r="J9193" t="s">
        <v>598</v>
      </c>
      <c r="K9193" s="195">
        <v>45827.456666666665</v>
      </c>
      <c r="L9193">
        <v>37</v>
      </c>
      <c r="M9193">
        <v>0</v>
      </c>
      <c r="N9193" s="98" t="str">
        <f>IF(record[[#This Row],[Memo]]="Browser:chrome os:android","平板報工",IF(record[[#This Row],[Memo]]=0,"委外",record[[#This Row],[Memo]]))</f>
        <v/>
      </c>
      <c r="O9193" t="s">
        <v>58</v>
      </c>
      <c r="P9193" t="s">
        <v>141</v>
      </c>
      <c r="Q9193" t="s">
        <v>58</v>
      </c>
      <c r="R9193" t="str">
        <f>IFERROR(VLOOKUP(record[[#This Row],[PCUSTID]],廠商[],2,FALSE),"")</f>
        <v/>
      </c>
      <c r="S9193" t="str">
        <f>VLOOKUP(record[[#This Row],[employeeID]],員工[],2,FALSE)</f>
        <v>蔣梅</v>
      </c>
    </row>
    <row r="9194" spans="6:19" hidden="1" x14ac:dyDescent="0.25">
      <c r="F9194" t="s">
        <v>836</v>
      </c>
      <c r="G9194" t="s">
        <v>400</v>
      </c>
      <c r="H9194" t="str">
        <f>VLOOKUP(record[[#This Row],[ProcessSN]],表格2_7[],2,FALSE)</f>
        <v>30-4118-018-550</v>
      </c>
      <c r="I9194" t="str">
        <f>VLOOKUP(record[[#This Row],[ProcessSN]],表格2_7[],3,FALSE)</f>
        <v>#100</v>
      </c>
      <c r="J9194" t="s">
        <v>598</v>
      </c>
      <c r="K9194" s="195">
        <v>45827.456388888888</v>
      </c>
      <c r="L9194">
        <v>43</v>
      </c>
      <c r="M9194">
        <v>0</v>
      </c>
      <c r="N9194" s="98" t="str">
        <f>IF(record[[#This Row],[Memo]]="Browser:chrome os:android","平板報工",IF(record[[#This Row],[Memo]]=0,"委外",record[[#This Row],[Memo]]))</f>
        <v/>
      </c>
      <c r="O9194" t="s">
        <v>58</v>
      </c>
      <c r="P9194" t="s">
        <v>141</v>
      </c>
      <c r="Q9194" t="s">
        <v>58</v>
      </c>
      <c r="R9194" t="str">
        <f>IFERROR(VLOOKUP(record[[#This Row],[PCUSTID]],廠商[],2,FALSE),"")</f>
        <v/>
      </c>
      <c r="S9194" t="str">
        <f>VLOOKUP(record[[#This Row],[employeeID]],員工[],2,FALSE)</f>
        <v>蔣梅</v>
      </c>
    </row>
    <row r="9195" spans="6:19" hidden="1" x14ac:dyDescent="0.25">
      <c r="F9195" t="s">
        <v>832</v>
      </c>
      <c r="G9195" t="s">
        <v>400</v>
      </c>
      <c r="H9195" t="str">
        <f>VLOOKUP(record[[#This Row],[ProcessSN]],表格2_7[],2,FALSE)</f>
        <v>30-4118-018-550</v>
      </c>
      <c r="I9195" t="str">
        <f>VLOOKUP(record[[#This Row],[ProcessSN]],表格2_7[],3,FALSE)</f>
        <v>#100</v>
      </c>
      <c r="J9195" t="s">
        <v>598</v>
      </c>
      <c r="K9195" s="195">
        <v>45827.456122685187</v>
      </c>
      <c r="L9195">
        <v>22</v>
      </c>
      <c r="M9195">
        <v>0</v>
      </c>
      <c r="N9195" s="98" t="str">
        <f>IF(record[[#This Row],[Memo]]="Browser:chrome os:android","平板報工",IF(record[[#This Row],[Memo]]=0,"委外",record[[#This Row],[Memo]]))</f>
        <v/>
      </c>
      <c r="O9195" t="s">
        <v>58</v>
      </c>
      <c r="P9195" t="s">
        <v>141</v>
      </c>
      <c r="Q9195" t="s">
        <v>58</v>
      </c>
      <c r="R9195" t="str">
        <f>IFERROR(VLOOKUP(record[[#This Row],[PCUSTID]],廠商[],2,FALSE),"")</f>
        <v/>
      </c>
      <c r="S9195" t="str">
        <f>VLOOKUP(record[[#This Row],[employeeID]],員工[],2,FALSE)</f>
        <v>蔣梅</v>
      </c>
    </row>
    <row r="9196" spans="6:19" hidden="1" x14ac:dyDescent="0.25">
      <c r="F9196" t="s">
        <v>818</v>
      </c>
      <c r="G9196" t="s">
        <v>425</v>
      </c>
      <c r="H9196" t="str">
        <f>VLOOKUP(record[[#This Row],[ProcessSN]],表格2_7[],2,FALSE)</f>
        <v>30-4118-018-600</v>
      </c>
      <c r="I9196" t="str">
        <f>VLOOKUP(record[[#This Row],[ProcessSN]],表格2_7[],3,FALSE)</f>
        <v>#100</v>
      </c>
      <c r="J9196" t="s">
        <v>598</v>
      </c>
      <c r="K9196" s="195">
        <v>45827.456111111111</v>
      </c>
      <c r="L9196">
        <v>0</v>
      </c>
      <c r="M9196">
        <v>-23</v>
      </c>
      <c r="N9196" s="98" t="str">
        <f>IF(record[[#This Row],[Memo]]="Browser:chrome os:android","平板報工",IF(record[[#This Row],[Memo]]=0,"委外",record[[#This Row],[Memo]]))</f>
        <v>覆回品</v>
      </c>
      <c r="O9196" t="s">
        <v>664</v>
      </c>
      <c r="P9196" t="s">
        <v>65</v>
      </c>
      <c r="Q9196" t="s">
        <v>644</v>
      </c>
      <c r="R9196" t="str">
        <f>IFERROR(VLOOKUP(record[[#This Row],[PCUSTID]],廠商[],2,FALSE),"")</f>
        <v/>
      </c>
      <c r="S9196" t="str">
        <f>VLOOKUP(record[[#This Row],[employeeID]],員工[],2,FALSE)</f>
        <v>蘇進昌</v>
      </c>
    </row>
    <row r="9197" spans="6:19" hidden="1" x14ac:dyDescent="0.25">
      <c r="F9197" t="s">
        <v>832</v>
      </c>
      <c r="G9197" t="s">
        <v>399</v>
      </c>
      <c r="H9197" t="str">
        <f>VLOOKUP(record[[#This Row],[ProcessSN]],表格2_7[],2,FALSE)</f>
        <v>30-4118-018-550</v>
      </c>
      <c r="I9197" t="str">
        <f>VLOOKUP(record[[#This Row],[ProcessSN]],表格2_7[],3,FALSE)</f>
        <v>#08IQC</v>
      </c>
      <c r="J9197" t="s">
        <v>583</v>
      </c>
      <c r="K9197" s="195">
        <v>45827.455717592595</v>
      </c>
      <c r="L9197">
        <v>22</v>
      </c>
      <c r="M9197">
        <v>0</v>
      </c>
      <c r="N9197" s="98" t="str">
        <f>IF(record[[#This Row],[Memo]]="Browser:chrome os:android","平板報工",IF(record[[#This Row],[Memo]]=0,"委外",record[[#This Row],[Memo]]))</f>
        <v>覆回品 補</v>
      </c>
      <c r="O9197" t="s">
        <v>859</v>
      </c>
      <c r="P9197" t="s">
        <v>141</v>
      </c>
      <c r="Q9197" t="s">
        <v>58</v>
      </c>
      <c r="R9197" t="str">
        <f>IFERROR(VLOOKUP(record[[#This Row],[PCUSTID]],廠商[],2,FALSE),"")</f>
        <v/>
      </c>
      <c r="S9197" t="str">
        <f>VLOOKUP(record[[#This Row],[employeeID]],員工[],2,FALSE)</f>
        <v>蔣梅</v>
      </c>
    </row>
    <row r="9198" spans="6:19" hidden="1" x14ac:dyDescent="0.25">
      <c r="F9198" t="s">
        <v>828</v>
      </c>
      <c r="G9198" t="s">
        <v>400</v>
      </c>
      <c r="H9198" t="str">
        <f>VLOOKUP(record[[#This Row],[ProcessSN]],表格2_7[],2,FALSE)</f>
        <v>30-4118-018-550</v>
      </c>
      <c r="I9198" t="str">
        <f>VLOOKUP(record[[#This Row],[ProcessSN]],表格2_7[],3,FALSE)</f>
        <v>#100</v>
      </c>
      <c r="J9198" t="s">
        <v>598</v>
      </c>
      <c r="K9198" s="195">
        <v>45827.45453703704</v>
      </c>
      <c r="L9198">
        <v>16</v>
      </c>
      <c r="M9198">
        <v>0</v>
      </c>
      <c r="N9198" s="98" t="str">
        <f>IF(record[[#This Row],[Memo]]="Browser:chrome os:android","平板報工",IF(record[[#This Row],[Memo]]=0,"委外",record[[#This Row],[Memo]]))</f>
        <v/>
      </c>
      <c r="O9198" t="s">
        <v>58</v>
      </c>
      <c r="P9198" t="s">
        <v>141</v>
      </c>
      <c r="Q9198" t="s">
        <v>58</v>
      </c>
      <c r="R9198" t="str">
        <f>IFERROR(VLOOKUP(record[[#This Row],[PCUSTID]],廠商[],2,FALSE),"")</f>
        <v/>
      </c>
      <c r="S9198" t="str">
        <f>VLOOKUP(record[[#This Row],[employeeID]],員工[],2,FALSE)</f>
        <v>蔣梅</v>
      </c>
    </row>
    <row r="9199" spans="6:19" hidden="1" x14ac:dyDescent="0.25">
      <c r="F9199" t="s">
        <v>784</v>
      </c>
      <c r="G9199" t="s">
        <v>400</v>
      </c>
      <c r="H9199" t="str">
        <f>VLOOKUP(record[[#This Row],[ProcessSN]],表格2_7[],2,FALSE)</f>
        <v>30-4118-018-550</v>
      </c>
      <c r="I9199" t="str">
        <f>VLOOKUP(record[[#This Row],[ProcessSN]],表格2_7[],3,FALSE)</f>
        <v>#100</v>
      </c>
      <c r="J9199" t="s">
        <v>598</v>
      </c>
      <c r="K9199" s="195">
        <v>45827.454317129632</v>
      </c>
      <c r="L9199">
        <v>21</v>
      </c>
      <c r="M9199">
        <v>0</v>
      </c>
      <c r="N9199" s="98" t="str">
        <f>IF(record[[#This Row],[Memo]]="Browser:chrome os:android","平板報工",IF(record[[#This Row],[Memo]]=0,"委外",record[[#This Row],[Memo]]))</f>
        <v/>
      </c>
      <c r="O9199" t="s">
        <v>58</v>
      </c>
      <c r="P9199" t="s">
        <v>141</v>
      </c>
      <c r="Q9199" t="s">
        <v>58</v>
      </c>
      <c r="R9199" t="str">
        <f>IFERROR(VLOOKUP(record[[#This Row],[PCUSTID]],廠商[],2,FALSE),"")</f>
        <v/>
      </c>
      <c r="S9199" t="str">
        <f>VLOOKUP(record[[#This Row],[employeeID]],員工[],2,FALSE)</f>
        <v>蔣梅</v>
      </c>
    </row>
    <row r="9200" spans="6:19" hidden="1" x14ac:dyDescent="0.25">
      <c r="F9200" t="s">
        <v>797</v>
      </c>
      <c r="G9200" t="s">
        <v>400</v>
      </c>
      <c r="H9200" t="str">
        <f>VLOOKUP(record[[#This Row],[ProcessSN]],表格2_7[],2,FALSE)</f>
        <v>30-4118-018-550</v>
      </c>
      <c r="I9200" t="str">
        <f>VLOOKUP(record[[#This Row],[ProcessSN]],表格2_7[],3,FALSE)</f>
        <v>#100</v>
      </c>
      <c r="J9200" t="s">
        <v>598</v>
      </c>
      <c r="K9200" s="195">
        <v>45827.45412037037</v>
      </c>
      <c r="L9200">
        <v>38</v>
      </c>
      <c r="M9200">
        <v>0</v>
      </c>
      <c r="N9200" s="98" t="str">
        <f>IF(record[[#This Row],[Memo]]="Browser:chrome os:android","平板報工",IF(record[[#This Row],[Memo]]=0,"委外",record[[#This Row],[Memo]]))</f>
        <v/>
      </c>
      <c r="O9200" t="s">
        <v>58</v>
      </c>
      <c r="P9200" t="s">
        <v>141</v>
      </c>
      <c r="Q9200" t="s">
        <v>58</v>
      </c>
      <c r="R9200" t="str">
        <f>IFERROR(VLOOKUP(record[[#This Row],[PCUSTID]],廠商[],2,FALSE),"")</f>
        <v/>
      </c>
      <c r="S9200" t="str">
        <f>VLOOKUP(record[[#This Row],[employeeID]],員工[],2,FALSE)</f>
        <v>蔣梅</v>
      </c>
    </row>
    <row r="9201" spans="6:19" hidden="1" x14ac:dyDescent="0.25">
      <c r="F9201" t="s">
        <v>810</v>
      </c>
      <c r="G9201" t="s">
        <v>423</v>
      </c>
      <c r="H9201" t="str">
        <f>VLOOKUP(record[[#This Row],[ProcessSN]],表格2_7[],2,FALSE)</f>
        <v>30-4118-018-600</v>
      </c>
      <c r="I9201" t="str">
        <f>VLOOKUP(record[[#This Row],[ProcessSN]],表格2_7[],3,FALSE)</f>
        <v>#08RCV</v>
      </c>
      <c r="J9201" t="s">
        <v>591</v>
      </c>
      <c r="K9201" s="195">
        <v>45827.445648148147</v>
      </c>
      <c r="L9201">
        <v>4</v>
      </c>
      <c r="M9201">
        <v>-4</v>
      </c>
      <c r="N9201" s="98" t="str">
        <f>IF(record[[#This Row],[Memo]]="Browser:chrome os:android","平板報工",IF(record[[#This Row],[Memo]]=0,"委外",record[[#This Row],[Memo]]))</f>
        <v>覆回品</v>
      </c>
      <c r="O9201" t="s">
        <v>664</v>
      </c>
      <c r="P9201" t="s">
        <v>65</v>
      </c>
      <c r="Q9201" t="s">
        <v>58</v>
      </c>
      <c r="R9201" t="str">
        <f>IFERROR(VLOOKUP(record[[#This Row],[PCUSTID]],廠商[],2,FALSE),"")</f>
        <v/>
      </c>
      <c r="S9201" t="str">
        <f>VLOOKUP(record[[#This Row],[employeeID]],員工[],2,FALSE)</f>
        <v>蘇進昌</v>
      </c>
    </row>
    <row r="9202" spans="6:19" hidden="1" x14ac:dyDescent="0.25">
      <c r="F9202" t="s">
        <v>810</v>
      </c>
      <c r="G9202" t="s">
        <v>424</v>
      </c>
      <c r="H9202" t="str">
        <f>VLOOKUP(record[[#This Row],[ProcessSN]],表格2_7[],2,FALSE)</f>
        <v>30-4118-018-600</v>
      </c>
      <c r="I9202" t="str">
        <f>VLOOKUP(record[[#This Row],[ProcessSN]],表格2_7[],3,FALSE)</f>
        <v>#08IQC</v>
      </c>
      <c r="J9202" t="s">
        <v>583</v>
      </c>
      <c r="K9202" s="195">
        <v>45827.445648148147</v>
      </c>
      <c r="L9202">
        <v>4</v>
      </c>
      <c r="M9202">
        <v>0</v>
      </c>
      <c r="N9202" s="98" t="str">
        <f>IF(record[[#This Row],[Memo]]="Browser:chrome os:android","平板報工",IF(record[[#This Row],[Memo]]=0,"委外",record[[#This Row],[Memo]]))</f>
        <v>覆回品</v>
      </c>
      <c r="O9202" t="s">
        <v>664</v>
      </c>
      <c r="P9202" t="s">
        <v>65</v>
      </c>
      <c r="Q9202" t="s">
        <v>58</v>
      </c>
      <c r="R9202" t="str">
        <f>IFERROR(VLOOKUP(record[[#This Row],[PCUSTID]],廠商[],2,FALSE),"")</f>
        <v/>
      </c>
      <c r="S9202" t="str">
        <f>VLOOKUP(record[[#This Row],[employeeID]],員工[],2,FALSE)</f>
        <v>蘇進昌</v>
      </c>
    </row>
    <row r="9203" spans="6:19" hidden="1" x14ac:dyDescent="0.25">
      <c r="F9203" t="s">
        <v>811</v>
      </c>
      <c r="G9203" t="s">
        <v>398</v>
      </c>
      <c r="H9203" t="str">
        <f>VLOOKUP(record[[#This Row],[ProcessSN]],表格2_7[],2,FALSE)</f>
        <v>30-4118-018-550</v>
      </c>
      <c r="I9203" t="str">
        <f>VLOOKUP(record[[#This Row],[ProcessSN]],表格2_7[],3,FALSE)</f>
        <v>#08RCV</v>
      </c>
      <c r="J9203" t="s">
        <v>591</v>
      </c>
      <c r="K9203" s="195">
        <v>45827.361863425926</v>
      </c>
      <c r="L9203">
        <v>28</v>
      </c>
      <c r="M9203">
        <v>-28</v>
      </c>
      <c r="N9203" s="98" t="str">
        <f>IF(record[[#This Row],[Memo]]="Browser:chrome os:android","平板報工",IF(record[[#This Row],[Memo]]=0,"委外",record[[#This Row],[Memo]]))</f>
        <v>覆回品</v>
      </c>
      <c r="O9203" t="s">
        <v>664</v>
      </c>
      <c r="P9203" t="s">
        <v>65</v>
      </c>
      <c r="Q9203" t="s">
        <v>58</v>
      </c>
      <c r="R9203" t="str">
        <f>IFERROR(VLOOKUP(record[[#This Row],[PCUSTID]],廠商[],2,FALSE),"")</f>
        <v/>
      </c>
      <c r="S9203" t="str">
        <f>VLOOKUP(record[[#This Row],[employeeID]],員工[],2,FALSE)</f>
        <v>蘇進昌</v>
      </c>
    </row>
    <row r="9204" spans="6:19" hidden="1" x14ac:dyDescent="0.25">
      <c r="F9204" t="s">
        <v>811</v>
      </c>
      <c r="G9204" t="s">
        <v>399</v>
      </c>
      <c r="H9204" t="str">
        <f>VLOOKUP(record[[#This Row],[ProcessSN]],表格2_7[],2,FALSE)</f>
        <v>30-4118-018-550</v>
      </c>
      <c r="I9204" t="str">
        <f>VLOOKUP(record[[#This Row],[ProcessSN]],表格2_7[],3,FALSE)</f>
        <v>#08IQC</v>
      </c>
      <c r="J9204" t="s">
        <v>583</v>
      </c>
      <c r="K9204" s="195">
        <v>45827.361863425926</v>
      </c>
      <c r="L9204">
        <v>28</v>
      </c>
      <c r="M9204">
        <v>0</v>
      </c>
      <c r="N9204" s="98" t="str">
        <f>IF(record[[#This Row],[Memo]]="Browser:chrome os:android","平板報工",IF(record[[#This Row],[Memo]]=0,"委外",record[[#This Row],[Memo]]))</f>
        <v>覆回品</v>
      </c>
      <c r="O9204" t="s">
        <v>664</v>
      </c>
      <c r="P9204" t="s">
        <v>65</v>
      </c>
      <c r="Q9204" t="s">
        <v>58</v>
      </c>
      <c r="R9204" t="str">
        <f>IFERROR(VLOOKUP(record[[#This Row],[PCUSTID]],廠商[],2,FALSE),"")</f>
        <v/>
      </c>
      <c r="S9204" t="str">
        <f>VLOOKUP(record[[#This Row],[employeeID]],員工[],2,FALSE)</f>
        <v>蘇進昌</v>
      </c>
    </row>
    <row r="9205" spans="6:19" hidden="1" x14ac:dyDescent="0.25">
      <c r="F9205" t="s">
        <v>830</v>
      </c>
      <c r="G9205" t="s">
        <v>427</v>
      </c>
      <c r="H9205" t="str">
        <f>VLOOKUP(record[[#This Row],[ProcessSN]],表格2_7[],2,FALSE)</f>
        <v>30-4118-018-600</v>
      </c>
      <c r="I9205" t="str">
        <f>VLOOKUP(record[[#This Row],[ProcessSN]],表格2_7[],3,FALSE)</f>
        <v>#100STOCK</v>
      </c>
      <c r="J9205" t="s">
        <v>592</v>
      </c>
      <c r="K9205" s="195">
        <v>45827.355798611112</v>
      </c>
      <c r="L9205">
        <v>221</v>
      </c>
      <c r="M9205">
        <v>0</v>
      </c>
      <c r="N9205" s="98" t="str">
        <f>IF(record[[#This Row],[Memo]]="Browser:chrome os:android","平板報工",IF(record[[#This Row],[Memo]]=0,"委外",record[[#This Row],[Memo]]))</f>
        <v/>
      </c>
      <c r="O9205" t="s">
        <v>58</v>
      </c>
      <c r="P9205" t="s">
        <v>196</v>
      </c>
      <c r="Q9205" t="s">
        <v>58</v>
      </c>
      <c r="R9205" t="str">
        <f>IFERROR(VLOOKUP(record[[#This Row],[PCUSTID]],廠商[],2,FALSE),"")</f>
        <v/>
      </c>
      <c r="S9205" t="str">
        <f>VLOOKUP(record[[#This Row],[employeeID]],員工[],2,FALSE)</f>
        <v>張淑惠</v>
      </c>
    </row>
    <row r="9206" spans="6:19" hidden="1" x14ac:dyDescent="0.25">
      <c r="F9206" t="s">
        <v>822</v>
      </c>
      <c r="G9206" t="s">
        <v>427</v>
      </c>
      <c r="H9206" t="str">
        <f>VLOOKUP(record[[#This Row],[ProcessSN]],表格2_7[],2,FALSE)</f>
        <v>30-4118-018-600</v>
      </c>
      <c r="I9206" t="str">
        <f>VLOOKUP(record[[#This Row],[ProcessSN]],表格2_7[],3,FALSE)</f>
        <v>#100STOCK</v>
      </c>
      <c r="J9206" t="s">
        <v>592</v>
      </c>
      <c r="K9206" s="195">
        <v>45827.35564814815</v>
      </c>
      <c r="L9206">
        <v>153</v>
      </c>
      <c r="M9206">
        <v>0</v>
      </c>
      <c r="N9206" s="98" t="str">
        <f>IF(record[[#This Row],[Memo]]="Browser:chrome os:android","平板報工",IF(record[[#This Row],[Memo]]=0,"委外",record[[#This Row],[Memo]]))</f>
        <v/>
      </c>
      <c r="O9206" t="s">
        <v>58</v>
      </c>
      <c r="P9206" t="s">
        <v>196</v>
      </c>
      <c r="Q9206" t="s">
        <v>58</v>
      </c>
      <c r="R9206" t="str">
        <f>IFERROR(VLOOKUP(record[[#This Row],[PCUSTID]],廠商[],2,FALSE),"")</f>
        <v/>
      </c>
      <c r="S9206" t="str">
        <f>VLOOKUP(record[[#This Row],[employeeID]],員工[],2,FALSE)</f>
        <v>張淑惠</v>
      </c>
    </row>
    <row r="9207" spans="6:19" hidden="1" x14ac:dyDescent="0.25">
      <c r="F9207" t="s">
        <v>834</v>
      </c>
      <c r="G9207" t="s">
        <v>398</v>
      </c>
      <c r="H9207" t="str">
        <f>VLOOKUP(record[[#This Row],[ProcessSN]],表格2_7[],2,FALSE)</f>
        <v>30-4118-018-550</v>
      </c>
      <c r="I9207" t="str">
        <f>VLOOKUP(record[[#This Row],[ProcessSN]],表格2_7[],3,FALSE)</f>
        <v>#08RCV</v>
      </c>
      <c r="J9207" t="s">
        <v>591</v>
      </c>
      <c r="K9207" s="195">
        <v>45827.347546296296</v>
      </c>
      <c r="L9207">
        <v>26</v>
      </c>
      <c r="M9207">
        <v>-26</v>
      </c>
      <c r="N9207" s="98" t="str">
        <f>IF(record[[#This Row],[Memo]]="Browser:chrome os:android","平板報工",IF(record[[#This Row],[Memo]]=0,"委外",record[[#This Row],[Memo]]))</f>
        <v>覆回品</v>
      </c>
      <c r="O9207" t="s">
        <v>664</v>
      </c>
      <c r="P9207" t="s">
        <v>65</v>
      </c>
      <c r="Q9207" t="s">
        <v>58</v>
      </c>
      <c r="R9207" t="str">
        <f>IFERROR(VLOOKUP(record[[#This Row],[PCUSTID]],廠商[],2,FALSE),"")</f>
        <v/>
      </c>
      <c r="S9207" t="str">
        <f>VLOOKUP(record[[#This Row],[employeeID]],員工[],2,FALSE)</f>
        <v>蘇進昌</v>
      </c>
    </row>
    <row r="9208" spans="6:19" hidden="1" x14ac:dyDescent="0.25">
      <c r="F9208" t="s">
        <v>834</v>
      </c>
      <c r="G9208" t="s">
        <v>399</v>
      </c>
      <c r="H9208" t="str">
        <f>VLOOKUP(record[[#This Row],[ProcessSN]],表格2_7[],2,FALSE)</f>
        <v>30-4118-018-550</v>
      </c>
      <c r="I9208" t="str">
        <f>VLOOKUP(record[[#This Row],[ProcessSN]],表格2_7[],3,FALSE)</f>
        <v>#08IQC</v>
      </c>
      <c r="J9208" t="s">
        <v>583</v>
      </c>
      <c r="K9208" s="195">
        <v>45827.347546296296</v>
      </c>
      <c r="L9208">
        <v>26</v>
      </c>
      <c r="M9208">
        <v>0</v>
      </c>
      <c r="N9208" s="98" t="str">
        <f>IF(record[[#This Row],[Memo]]="Browser:chrome os:android","平板報工",IF(record[[#This Row],[Memo]]=0,"委外",record[[#This Row],[Memo]]))</f>
        <v>覆回品</v>
      </c>
      <c r="O9208" t="s">
        <v>664</v>
      </c>
      <c r="P9208" t="s">
        <v>65</v>
      </c>
      <c r="Q9208" t="s">
        <v>58</v>
      </c>
      <c r="R9208" t="str">
        <f>IFERROR(VLOOKUP(record[[#This Row],[PCUSTID]],廠商[],2,FALSE),"")</f>
        <v/>
      </c>
      <c r="S9208" t="str">
        <f>VLOOKUP(record[[#This Row],[employeeID]],員工[],2,FALSE)</f>
        <v>蘇進昌</v>
      </c>
    </row>
    <row r="9209" spans="6:19" hidden="1" x14ac:dyDescent="0.25">
      <c r="F9209" t="s">
        <v>836</v>
      </c>
      <c r="G9209" t="s">
        <v>398</v>
      </c>
      <c r="H9209" t="str">
        <f>VLOOKUP(record[[#This Row],[ProcessSN]],表格2_7[],2,FALSE)</f>
        <v>30-4118-018-550</v>
      </c>
      <c r="I9209" t="str">
        <f>VLOOKUP(record[[#This Row],[ProcessSN]],表格2_7[],3,FALSE)</f>
        <v>#08RCV</v>
      </c>
      <c r="J9209" t="s">
        <v>591</v>
      </c>
      <c r="K9209" s="195">
        <v>45827.345462962963</v>
      </c>
      <c r="L9209">
        <v>43</v>
      </c>
      <c r="M9209">
        <v>-43</v>
      </c>
      <c r="N9209" s="98" t="str">
        <f>IF(record[[#This Row],[Memo]]="Browser:chrome os:android","平板報工",IF(record[[#This Row],[Memo]]=0,"委外",record[[#This Row],[Memo]]))</f>
        <v>覆回品</v>
      </c>
      <c r="O9209" t="s">
        <v>664</v>
      </c>
      <c r="P9209" t="s">
        <v>65</v>
      </c>
      <c r="Q9209" t="s">
        <v>58</v>
      </c>
      <c r="R9209" t="str">
        <f>IFERROR(VLOOKUP(record[[#This Row],[PCUSTID]],廠商[],2,FALSE),"")</f>
        <v/>
      </c>
      <c r="S9209" t="str">
        <f>VLOOKUP(record[[#This Row],[employeeID]],員工[],2,FALSE)</f>
        <v>蘇進昌</v>
      </c>
    </row>
    <row r="9210" spans="6:19" hidden="1" x14ac:dyDescent="0.25">
      <c r="F9210" t="s">
        <v>836</v>
      </c>
      <c r="G9210" t="s">
        <v>399</v>
      </c>
      <c r="H9210" t="str">
        <f>VLOOKUP(record[[#This Row],[ProcessSN]],表格2_7[],2,FALSE)</f>
        <v>30-4118-018-550</v>
      </c>
      <c r="I9210" t="str">
        <f>VLOOKUP(record[[#This Row],[ProcessSN]],表格2_7[],3,FALSE)</f>
        <v>#08IQC</v>
      </c>
      <c r="J9210" t="s">
        <v>583</v>
      </c>
      <c r="K9210" s="195">
        <v>45827.345462962963</v>
      </c>
      <c r="L9210">
        <v>43</v>
      </c>
      <c r="M9210">
        <v>0</v>
      </c>
      <c r="N9210" s="98" t="str">
        <f>IF(record[[#This Row],[Memo]]="Browser:chrome os:android","平板報工",IF(record[[#This Row],[Memo]]=0,"委外",record[[#This Row],[Memo]]))</f>
        <v>覆回品</v>
      </c>
      <c r="O9210" t="s">
        <v>664</v>
      </c>
      <c r="P9210" t="s">
        <v>65</v>
      </c>
      <c r="Q9210" t="s">
        <v>58</v>
      </c>
      <c r="R9210" t="str">
        <f>IFERROR(VLOOKUP(record[[#This Row],[PCUSTID]],廠商[],2,FALSE),"")</f>
        <v/>
      </c>
      <c r="S9210" t="str">
        <f>VLOOKUP(record[[#This Row],[employeeID]],員工[],2,FALSE)</f>
        <v>蘇進昌</v>
      </c>
    </row>
    <row r="9211" spans="6:19" hidden="1" x14ac:dyDescent="0.25">
      <c r="F9211" t="s">
        <v>797</v>
      </c>
      <c r="G9211" t="s">
        <v>398</v>
      </c>
      <c r="H9211" t="str">
        <f>VLOOKUP(record[[#This Row],[ProcessSN]],表格2_7[],2,FALSE)</f>
        <v>30-4118-018-550</v>
      </c>
      <c r="I9211" t="str">
        <f>VLOOKUP(record[[#This Row],[ProcessSN]],表格2_7[],3,FALSE)</f>
        <v>#08RCV</v>
      </c>
      <c r="J9211" t="s">
        <v>591</v>
      </c>
      <c r="K9211" s="195">
        <v>45827.344363425924</v>
      </c>
      <c r="L9211">
        <v>38</v>
      </c>
      <c r="M9211">
        <v>-38</v>
      </c>
      <c r="N9211" s="98" t="str">
        <f>IF(record[[#This Row],[Memo]]="Browser:chrome os:android","平板報工",IF(record[[#This Row],[Memo]]=0,"委外",record[[#This Row],[Memo]]))</f>
        <v>覆回品</v>
      </c>
      <c r="O9211" t="s">
        <v>664</v>
      </c>
      <c r="P9211" t="s">
        <v>65</v>
      </c>
      <c r="Q9211" t="s">
        <v>58</v>
      </c>
      <c r="R9211" t="str">
        <f>IFERROR(VLOOKUP(record[[#This Row],[PCUSTID]],廠商[],2,FALSE),"")</f>
        <v/>
      </c>
      <c r="S9211" t="str">
        <f>VLOOKUP(record[[#This Row],[employeeID]],員工[],2,FALSE)</f>
        <v>蘇進昌</v>
      </c>
    </row>
    <row r="9212" spans="6:19" hidden="1" x14ac:dyDescent="0.25">
      <c r="F9212" t="s">
        <v>797</v>
      </c>
      <c r="G9212" t="s">
        <v>399</v>
      </c>
      <c r="H9212" t="str">
        <f>VLOOKUP(record[[#This Row],[ProcessSN]],表格2_7[],2,FALSE)</f>
        <v>30-4118-018-550</v>
      </c>
      <c r="I9212" t="str">
        <f>VLOOKUP(record[[#This Row],[ProcessSN]],表格2_7[],3,FALSE)</f>
        <v>#08IQC</v>
      </c>
      <c r="J9212" t="s">
        <v>583</v>
      </c>
      <c r="K9212" s="195">
        <v>45827.344363425924</v>
      </c>
      <c r="L9212">
        <v>38</v>
      </c>
      <c r="M9212">
        <v>0</v>
      </c>
      <c r="N9212" s="98" t="str">
        <f>IF(record[[#This Row],[Memo]]="Browser:chrome os:android","平板報工",IF(record[[#This Row],[Memo]]=0,"委外",record[[#This Row],[Memo]]))</f>
        <v>覆回品</v>
      </c>
      <c r="O9212" t="s">
        <v>664</v>
      </c>
      <c r="P9212" t="s">
        <v>65</v>
      </c>
      <c r="Q9212" t="s">
        <v>58</v>
      </c>
      <c r="R9212" t="str">
        <f>IFERROR(VLOOKUP(record[[#This Row],[PCUSTID]],廠商[],2,FALSE),"")</f>
        <v/>
      </c>
      <c r="S9212" t="str">
        <f>VLOOKUP(record[[#This Row],[employeeID]],員工[],2,FALSE)</f>
        <v>蘇進昌</v>
      </c>
    </row>
    <row r="9213" spans="6:19" hidden="1" x14ac:dyDescent="0.25">
      <c r="F9213" t="s">
        <v>832</v>
      </c>
      <c r="G9213" t="s">
        <v>398</v>
      </c>
      <c r="H9213" t="str">
        <f>VLOOKUP(record[[#This Row],[ProcessSN]],表格2_7[],2,FALSE)</f>
        <v>30-4118-018-550</v>
      </c>
      <c r="I9213" t="str">
        <f>VLOOKUP(record[[#This Row],[ProcessSN]],表格2_7[],3,FALSE)</f>
        <v>#08RCV</v>
      </c>
      <c r="J9213" t="s">
        <v>591</v>
      </c>
      <c r="K9213" s="195">
        <v>45827.342905092592</v>
      </c>
      <c r="L9213">
        <v>22</v>
      </c>
      <c r="M9213">
        <v>-22</v>
      </c>
      <c r="N9213" s="98" t="str">
        <f>IF(record[[#This Row],[Memo]]="Browser:chrome os:android","平板報工",IF(record[[#This Row],[Memo]]=0,"委外",record[[#This Row],[Memo]]))</f>
        <v>覆回品</v>
      </c>
      <c r="O9213" t="s">
        <v>664</v>
      </c>
      <c r="P9213" t="s">
        <v>65</v>
      </c>
      <c r="Q9213" t="s">
        <v>58</v>
      </c>
      <c r="R9213" t="str">
        <f>IFERROR(VLOOKUP(record[[#This Row],[PCUSTID]],廠商[],2,FALSE),"")</f>
        <v/>
      </c>
      <c r="S9213" t="str">
        <f>VLOOKUP(record[[#This Row],[employeeID]],員工[],2,FALSE)</f>
        <v>蘇進昌</v>
      </c>
    </row>
    <row r="9214" spans="6:19" hidden="1" x14ac:dyDescent="0.25">
      <c r="F9214" t="s">
        <v>801</v>
      </c>
      <c r="G9214" t="s">
        <v>398</v>
      </c>
      <c r="H9214" t="str">
        <f>VLOOKUP(record[[#This Row],[ProcessSN]],表格2_7[],2,FALSE)</f>
        <v>30-4118-018-550</v>
      </c>
      <c r="I9214" t="str">
        <f>VLOOKUP(record[[#This Row],[ProcessSN]],表格2_7[],3,FALSE)</f>
        <v>#08RCV</v>
      </c>
      <c r="J9214" t="s">
        <v>591</v>
      </c>
      <c r="K9214" s="195">
        <v>45827.34101851852</v>
      </c>
      <c r="L9214">
        <v>37</v>
      </c>
      <c r="M9214">
        <v>-37</v>
      </c>
      <c r="N9214" s="98" t="str">
        <f>IF(record[[#This Row],[Memo]]="Browser:chrome os:android","平板報工",IF(record[[#This Row],[Memo]]=0,"委外",record[[#This Row],[Memo]]))</f>
        <v>覆回品</v>
      </c>
      <c r="O9214" t="s">
        <v>664</v>
      </c>
      <c r="P9214" t="s">
        <v>65</v>
      </c>
      <c r="Q9214" t="s">
        <v>58</v>
      </c>
      <c r="R9214" t="str">
        <f>IFERROR(VLOOKUP(record[[#This Row],[PCUSTID]],廠商[],2,FALSE),"")</f>
        <v/>
      </c>
      <c r="S9214" t="str">
        <f>VLOOKUP(record[[#This Row],[employeeID]],員工[],2,FALSE)</f>
        <v>蘇進昌</v>
      </c>
    </row>
    <row r="9215" spans="6:19" hidden="1" x14ac:dyDescent="0.25">
      <c r="F9215" t="s">
        <v>801</v>
      </c>
      <c r="G9215" t="s">
        <v>399</v>
      </c>
      <c r="H9215" t="str">
        <f>VLOOKUP(record[[#This Row],[ProcessSN]],表格2_7[],2,FALSE)</f>
        <v>30-4118-018-550</v>
      </c>
      <c r="I9215" t="str">
        <f>VLOOKUP(record[[#This Row],[ProcessSN]],表格2_7[],3,FALSE)</f>
        <v>#08IQC</v>
      </c>
      <c r="J9215" t="s">
        <v>583</v>
      </c>
      <c r="K9215" s="195">
        <v>45827.34101851852</v>
      </c>
      <c r="L9215">
        <v>37</v>
      </c>
      <c r="M9215">
        <v>0</v>
      </c>
      <c r="N9215" s="98" t="str">
        <f>IF(record[[#This Row],[Memo]]="Browser:chrome os:android","平板報工",IF(record[[#This Row],[Memo]]=0,"委外",record[[#This Row],[Memo]]))</f>
        <v>覆回品</v>
      </c>
      <c r="O9215" t="s">
        <v>664</v>
      </c>
      <c r="P9215" t="s">
        <v>65</v>
      </c>
      <c r="Q9215" t="s">
        <v>58</v>
      </c>
      <c r="R9215" t="str">
        <f>IFERROR(VLOOKUP(record[[#This Row],[PCUSTID]],廠商[],2,FALSE),"")</f>
        <v/>
      </c>
      <c r="S9215" t="str">
        <f>VLOOKUP(record[[#This Row],[employeeID]],員工[],2,FALSE)</f>
        <v>蘇進昌</v>
      </c>
    </row>
    <row r="9216" spans="6:19" hidden="1" x14ac:dyDescent="0.25">
      <c r="F9216" t="s">
        <v>784</v>
      </c>
      <c r="G9216" t="s">
        <v>398</v>
      </c>
      <c r="H9216" t="str">
        <f>VLOOKUP(record[[#This Row],[ProcessSN]],表格2_7[],2,FALSE)</f>
        <v>30-4118-018-550</v>
      </c>
      <c r="I9216" t="str">
        <f>VLOOKUP(record[[#This Row],[ProcessSN]],表格2_7[],3,FALSE)</f>
        <v>#08RCV</v>
      </c>
      <c r="J9216" t="s">
        <v>591</v>
      </c>
      <c r="K9216" s="195">
        <v>45827.340775462966</v>
      </c>
      <c r="L9216">
        <v>21</v>
      </c>
      <c r="M9216">
        <v>-21</v>
      </c>
      <c r="N9216" s="98" t="str">
        <f>IF(record[[#This Row],[Memo]]="Browser:chrome os:android","平板報工",IF(record[[#This Row],[Memo]]=0,"委外",record[[#This Row],[Memo]]))</f>
        <v>覆回品</v>
      </c>
      <c r="O9216" t="s">
        <v>664</v>
      </c>
      <c r="P9216" t="s">
        <v>65</v>
      </c>
      <c r="Q9216" t="s">
        <v>58</v>
      </c>
      <c r="R9216" t="str">
        <f>IFERROR(VLOOKUP(record[[#This Row],[PCUSTID]],廠商[],2,FALSE),"")</f>
        <v/>
      </c>
      <c r="S9216" t="str">
        <f>VLOOKUP(record[[#This Row],[employeeID]],員工[],2,FALSE)</f>
        <v>蘇進昌</v>
      </c>
    </row>
    <row r="9217" spans="6:19" hidden="1" x14ac:dyDescent="0.25">
      <c r="F9217" t="s">
        <v>784</v>
      </c>
      <c r="G9217" t="s">
        <v>399</v>
      </c>
      <c r="H9217" t="str">
        <f>VLOOKUP(record[[#This Row],[ProcessSN]],表格2_7[],2,FALSE)</f>
        <v>30-4118-018-550</v>
      </c>
      <c r="I9217" t="str">
        <f>VLOOKUP(record[[#This Row],[ProcessSN]],表格2_7[],3,FALSE)</f>
        <v>#08IQC</v>
      </c>
      <c r="J9217" t="s">
        <v>583</v>
      </c>
      <c r="K9217" s="195">
        <v>45827.340775462966</v>
      </c>
      <c r="L9217">
        <v>21</v>
      </c>
      <c r="M9217">
        <v>0</v>
      </c>
      <c r="N9217" s="98" t="str">
        <f>IF(record[[#This Row],[Memo]]="Browser:chrome os:android","平板報工",IF(record[[#This Row],[Memo]]=0,"委外",record[[#This Row],[Memo]]))</f>
        <v>覆回品</v>
      </c>
      <c r="O9217" t="s">
        <v>664</v>
      </c>
      <c r="P9217" t="s">
        <v>65</v>
      </c>
      <c r="Q9217" t="s">
        <v>58</v>
      </c>
      <c r="R9217" t="str">
        <f>IFERROR(VLOOKUP(record[[#This Row],[PCUSTID]],廠商[],2,FALSE),"")</f>
        <v/>
      </c>
      <c r="S9217" t="str">
        <f>VLOOKUP(record[[#This Row],[employeeID]],員工[],2,FALSE)</f>
        <v>蘇進昌</v>
      </c>
    </row>
    <row r="9218" spans="6:19" hidden="1" x14ac:dyDescent="0.25">
      <c r="F9218" t="s">
        <v>828</v>
      </c>
      <c r="G9218" t="s">
        <v>398</v>
      </c>
      <c r="H9218" t="str">
        <f>VLOOKUP(record[[#This Row],[ProcessSN]],表格2_7[],2,FALSE)</f>
        <v>30-4118-018-550</v>
      </c>
      <c r="I9218" t="str">
        <f>VLOOKUP(record[[#This Row],[ProcessSN]],表格2_7[],3,FALSE)</f>
        <v>#08RCV</v>
      </c>
      <c r="J9218" t="s">
        <v>591</v>
      </c>
      <c r="K9218" s="195">
        <v>45827.335370370369</v>
      </c>
      <c r="L9218">
        <v>16</v>
      </c>
      <c r="M9218">
        <v>-16</v>
      </c>
      <c r="N9218" s="98" t="str">
        <f>IF(record[[#This Row],[Memo]]="Browser:chrome os:android","平板報工",IF(record[[#This Row],[Memo]]=0,"委外",record[[#This Row],[Memo]]))</f>
        <v>覆回品</v>
      </c>
      <c r="O9218" t="s">
        <v>664</v>
      </c>
      <c r="P9218" t="s">
        <v>65</v>
      </c>
      <c r="Q9218" t="s">
        <v>58</v>
      </c>
      <c r="R9218" t="str">
        <f>IFERROR(VLOOKUP(record[[#This Row],[PCUSTID]],廠商[],2,FALSE),"")</f>
        <v/>
      </c>
      <c r="S9218" t="str">
        <f>VLOOKUP(record[[#This Row],[employeeID]],員工[],2,FALSE)</f>
        <v>蘇進昌</v>
      </c>
    </row>
    <row r="9219" spans="6:19" hidden="1" x14ac:dyDescent="0.25">
      <c r="F9219" t="s">
        <v>828</v>
      </c>
      <c r="G9219" t="s">
        <v>399</v>
      </c>
      <c r="H9219" t="str">
        <f>VLOOKUP(record[[#This Row],[ProcessSN]],表格2_7[],2,FALSE)</f>
        <v>30-4118-018-550</v>
      </c>
      <c r="I9219" t="str">
        <f>VLOOKUP(record[[#This Row],[ProcessSN]],表格2_7[],3,FALSE)</f>
        <v>#08IQC</v>
      </c>
      <c r="J9219" t="s">
        <v>583</v>
      </c>
      <c r="K9219" s="195">
        <v>45827.335370370369</v>
      </c>
      <c r="L9219">
        <v>16</v>
      </c>
      <c r="M9219">
        <v>0</v>
      </c>
      <c r="N9219" s="98" t="str">
        <f>IF(record[[#This Row],[Memo]]="Browser:chrome os:android","平板報工",IF(record[[#This Row],[Memo]]=0,"委外",record[[#This Row],[Memo]]))</f>
        <v>覆回品</v>
      </c>
      <c r="O9219" t="s">
        <v>664</v>
      </c>
      <c r="P9219" t="s">
        <v>65</v>
      </c>
      <c r="Q9219" t="s">
        <v>58</v>
      </c>
      <c r="R9219" t="str">
        <f>IFERROR(VLOOKUP(record[[#This Row],[PCUSTID]],廠商[],2,FALSE),"")</f>
        <v/>
      </c>
      <c r="S9219" t="str">
        <f>VLOOKUP(record[[#This Row],[employeeID]],員工[],2,FALSE)</f>
        <v>蘇進昌</v>
      </c>
    </row>
    <row r="9220" spans="6:19" hidden="1" x14ac:dyDescent="0.25">
      <c r="F9220" t="s">
        <v>854</v>
      </c>
      <c r="G9220" t="s">
        <v>417</v>
      </c>
      <c r="H9220" t="str">
        <f>VLOOKUP(record[[#This Row],[ProcessSN]],表格2_7[],2,FALSE)</f>
        <v>30-4118-018-5XX</v>
      </c>
      <c r="I9220" t="str">
        <f>VLOOKUP(record[[#This Row],[ProcessSN]],表格2_7[],3,FALSE)</f>
        <v>#06</v>
      </c>
      <c r="J9220" t="s">
        <v>593</v>
      </c>
      <c r="K9220" s="195">
        <v>45827.307129629633</v>
      </c>
      <c r="L9220">
        <v>121</v>
      </c>
      <c r="M9220">
        <v>0</v>
      </c>
      <c r="N9220" s="98" t="str">
        <f>IF(record[[#This Row],[Memo]]="Browser:chrome os:android","平板報工",IF(record[[#This Row],[Memo]]=0,"委外",record[[#This Row],[Memo]]))</f>
        <v/>
      </c>
      <c r="O9220" t="s">
        <v>58</v>
      </c>
      <c r="P9220" t="s">
        <v>135</v>
      </c>
      <c r="Q9220" t="s">
        <v>58</v>
      </c>
      <c r="R9220" t="str">
        <f>IFERROR(VLOOKUP(record[[#This Row],[PCUSTID]],廠商[],2,FALSE),"")</f>
        <v/>
      </c>
      <c r="S9220" t="str">
        <f>VLOOKUP(record[[#This Row],[employeeID]],員工[],2,FALSE)</f>
        <v>阮士文</v>
      </c>
    </row>
    <row r="9221" spans="6:19" hidden="1" x14ac:dyDescent="0.25">
      <c r="F9221" t="s">
        <v>854</v>
      </c>
      <c r="G9221" t="s">
        <v>415</v>
      </c>
      <c r="H9221" t="str">
        <f>VLOOKUP(record[[#This Row],[ProcessSN]],表格2_7[],2,FALSE)</f>
        <v>30-4118-018-5XX</v>
      </c>
      <c r="I9221" t="str">
        <f>VLOOKUP(record[[#This Row],[ProcessSN]],表格2_7[],3,FALSE)</f>
        <v>#04</v>
      </c>
      <c r="J9221" t="s">
        <v>588</v>
      </c>
      <c r="K9221" s="195">
        <v>45827.304409722223</v>
      </c>
      <c r="L9221">
        <v>133</v>
      </c>
      <c r="M9221">
        <v>1</v>
      </c>
      <c r="N9221" s="98" t="str">
        <f>IF(record[[#This Row],[Memo]]="Browser:chrome os:android","平板報工",IF(record[[#This Row],[Memo]]=0,"委外",record[[#This Row],[Memo]]))</f>
        <v/>
      </c>
      <c r="O9221" t="s">
        <v>58</v>
      </c>
      <c r="P9221" t="s">
        <v>135</v>
      </c>
      <c r="Q9221" t="s">
        <v>58</v>
      </c>
      <c r="R9221" t="str">
        <f>IFERROR(VLOOKUP(record[[#This Row],[PCUSTID]],廠商[],2,FALSE),"")</f>
        <v/>
      </c>
      <c r="S9221" t="str">
        <f>VLOOKUP(record[[#This Row],[employeeID]],員工[],2,FALSE)</f>
        <v>阮士文</v>
      </c>
    </row>
    <row r="9222" spans="6:19" hidden="1" x14ac:dyDescent="0.25">
      <c r="F9222" t="s">
        <v>854</v>
      </c>
      <c r="G9222" t="s">
        <v>417</v>
      </c>
      <c r="H9222" t="str">
        <f>VLOOKUP(record[[#This Row],[ProcessSN]],表格2_7[],2,FALSE)</f>
        <v>30-4118-018-5XX</v>
      </c>
      <c r="I9222" t="str">
        <f>VLOOKUP(record[[#This Row],[ProcessSN]],表格2_7[],3,FALSE)</f>
        <v>#06</v>
      </c>
      <c r="J9222" t="s">
        <v>593</v>
      </c>
      <c r="K9222" s="195">
        <v>45826.963923611111</v>
      </c>
      <c r="L9222">
        <v>121</v>
      </c>
      <c r="M9222">
        <v>0</v>
      </c>
      <c r="N9222" s="98" t="str">
        <f>IF(record[[#This Row],[Memo]]="Browser:chrome os:android","平板報工",IF(record[[#This Row],[Memo]]=0,"委外",record[[#This Row],[Memo]]))</f>
        <v/>
      </c>
      <c r="O9222" t="s">
        <v>58</v>
      </c>
      <c r="P9222" t="s">
        <v>176</v>
      </c>
      <c r="Q9222" t="s">
        <v>58</v>
      </c>
      <c r="R9222" t="str">
        <f>IFERROR(VLOOKUP(record[[#This Row],[PCUSTID]],廠商[],2,FALSE),"")</f>
        <v/>
      </c>
      <c r="S9222" t="str">
        <f>VLOOKUP(record[[#This Row],[employeeID]],員工[],2,FALSE)</f>
        <v>郭政雄</v>
      </c>
    </row>
    <row r="9223" spans="6:19" hidden="1" x14ac:dyDescent="0.25">
      <c r="F9223" t="s">
        <v>854</v>
      </c>
      <c r="G9223" t="s">
        <v>415</v>
      </c>
      <c r="H9223" t="str">
        <f>VLOOKUP(record[[#This Row],[ProcessSN]],表格2_7[],2,FALSE)</f>
        <v>30-4118-018-5XX</v>
      </c>
      <c r="I9223" t="str">
        <f>VLOOKUP(record[[#This Row],[ProcessSN]],表格2_7[],3,FALSE)</f>
        <v>#04</v>
      </c>
      <c r="J9223" t="s">
        <v>588</v>
      </c>
      <c r="K9223" s="195">
        <v>45826.959988425922</v>
      </c>
      <c r="L9223">
        <v>130</v>
      </c>
      <c r="M9223">
        <v>0</v>
      </c>
      <c r="N9223" s="98" t="str">
        <f>IF(record[[#This Row],[Memo]]="Browser:chrome os:android","平板報工",IF(record[[#This Row],[Memo]]=0,"委外",record[[#This Row],[Memo]]))</f>
        <v/>
      </c>
      <c r="O9223" t="s">
        <v>58</v>
      </c>
      <c r="P9223" t="s">
        <v>89</v>
      </c>
      <c r="Q9223" t="s">
        <v>58</v>
      </c>
      <c r="R9223" t="str">
        <f>IFERROR(VLOOKUP(record[[#This Row],[PCUSTID]],廠商[],2,FALSE),"")</f>
        <v/>
      </c>
      <c r="S9223" t="str">
        <f>VLOOKUP(record[[#This Row],[employeeID]],員工[],2,FALSE)</f>
        <v>李美蓮</v>
      </c>
    </row>
    <row r="9224" spans="6:19" hidden="1" x14ac:dyDescent="0.25">
      <c r="F9224" t="s">
        <v>825</v>
      </c>
      <c r="G9224" t="s">
        <v>470</v>
      </c>
      <c r="H9224" t="str">
        <f>VLOOKUP(record[[#This Row],[ProcessSN]],表格2_7[],2,FALSE)</f>
        <v>30-4118-018-XXX</v>
      </c>
      <c r="I9224" t="str">
        <f>VLOOKUP(record[[#This Row],[ProcessSN]],表格2_7[],3,FALSE)</f>
        <v>#02IQC</v>
      </c>
      <c r="J9224" t="s">
        <v>583</v>
      </c>
      <c r="K9224" s="195">
        <v>45826.802488425928</v>
      </c>
      <c r="L9224">
        <v>672</v>
      </c>
      <c r="M9224">
        <v>0</v>
      </c>
      <c r="N9224" s="98" t="str">
        <f>IF(record[[#This Row],[Memo]]="Browser:chrome os:android","平板報工",IF(record[[#This Row],[Memo]]=0,"委外",record[[#This Row],[Memo]]))</f>
        <v/>
      </c>
      <c r="O9224" t="s">
        <v>58</v>
      </c>
      <c r="P9224" t="s">
        <v>121</v>
      </c>
      <c r="Q9224" t="s">
        <v>58</v>
      </c>
      <c r="R9224" t="str">
        <f>IFERROR(VLOOKUP(record[[#This Row],[PCUSTID]],廠商[],2,FALSE),"")</f>
        <v/>
      </c>
      <c r="S9224" t="str">
        <f>VLOOKUP(record[[#This Row],[employeeID]],員工[],2,FALSE)</f>
        <v>謝素卿</v>
      </c>
    </row>
    <row r="9225" spans="6:19" hidden="1" x14ac:dyDescent="0.25">
      <c r="F9225" t="s">
        <v>822</v>
      </c>
      <c r="G9225" t="s">
        <v>426</v>
      </c>
      <c r="H9225" t="str">
        <f>VLOOKUP(record[[#This Row],[ProcessSN]],表格2_7[],2,FALSE)</f>
        <v>30-4118-018-600</v>
      </c>
      <c r="I9225" t="str">
        <f>VLOOKUP(record[[#This Row],[ProcessSN]],表格2_7[],3,FALSE)</f>
        <v>#100OQC</v>
      </c>
      <c r="J9225" t="s">
        <v>599</v>
      </c>
      <c r="K9225" s="195">
        <v>45826.799502314818</v>
      </c>
      <c r="L9225">
        <v>153</v>
      </c>
      <c r="M9225">
        <v>0</v>
      </c>
      <c r="N9225" s="98" t="str">
        <f>IF(record[[#This Row],[Memo]]="Browser:chrome os:android","平板報工",IF(record[[#This Row],[Memo]]=0,"委外",record[[#This Row],[Memo]]))</f>
        <v/>
      </c>
      <c r="O9225" t="s">
        <v>58</v>
      </c>
      <c r="P9225" t="s">
        <v>121</v>
      </c>
      <c r="Q9225" t="s">
        <v>58</v>
      </c>
      <c r="R9225" t="str">
        <f>IFERROR(VLOOKUP(record[[#This Row],[PCUSTID]],廠商[],2,FALSE),"")</f>
        <v/>
      </c>
      <c r="S9225" t="str">
        <f>VLOOKUP(record[[#This Row],[employeeID]],員工[],2,FALSE)</f>
        <v>謝素卿</v>
      </c>
    </row>
    <row r="9226" spans="6:19" hidden="1" x14ac:dyDescent="0.25">
      <c r="F9226" t="s">
        <v>830</v>
      </c>
      <c r="G9226" t="s">
        <v>426</v>
      </c>
      <c r="H9226" t="str">
        <f>VLOOKUP(record[[#This Row],[ProcessSN]],表格2_7[],2,FALSE)</f>
        <v>30-4118-018-600</v>
      </c>
      <c r="I9226" t="str">
        <f>VLOOKUP(record[[#This Row],[ProcessSN]],表格2_7[],3,FALSE)</f>
        <v>#100OQC</v>
      </c>
      <c r="J9226" t="s">
        <v>599</v>
      </c>
      <c r="K9226" s="195">
        <v>45826.799375000002</v>
      </c>
      <c r="L9226">
        <v>221</v>
      </c>
      <c r="M9226">
        <v>0</v>
      </c>
      <c r="N9226" s="98" t="str">
        <f>IF(record[[#This Row],[Memo]]="Browser:chrome os:android","平板報工",IF(record[[#This Row],[Memo]]=0,"委外",record[[#This Row],[Memo]]))</f>
        <v/>
      </c>
      <c r="O9226" t="s">
        <v>58</v>
      </c>
      <c r="P9226" t="s">
        <v>121</v>
      </c>
      <c r="Q9226" t="s">
        <v>58</v>
      </c>
      <c r="R9226" t="str">
        <f>IFERROR(VLOOKUP(record[[#This Row],[PCUSTID]],廠商[],2,FALSE),"")</f>
        <v/>
      </c>
      <c r="S9226" t="str">
        <f>VLOOKUP(record[[#This Row],[employeeID]],員工[],2,FALSE)</f>
        <v>謝素卿</v>
      </c>
    </row>
    <row r="9227" spans="6:19" hidden="1" x14ac:dyDescent="0.25">
      <c r="F9227" t="s">
        <v>854</v>
      </c>
      <c r="G9227" t="s">
        <v>414</v>
      </c>
      <c r="H9227" t="str">
        <f>VLOOKUP(record[[#This Row],[ProcessSN]],表格2_7[],2,FALSE)</f>
        <v>30-4118-018-5XX</v>
      </c>
      <c r="I9227" t="str">
        <f>VLOOKUP(record[[#This Row],[ProcessSN]],表格2_7[],3,FALSE)</f>
        <v>#03</v>
      </c>
      <c r="J9227" t="s">
        <v>588</v>
      </c>
      <c r="K9227" s="195">
        <v>45826.769756944443</v>
      </c>
      <c r="L9227">
        <v>111</v>
      </c>
      <c r="M9227">
        <v>0</v>
      </c>
      <c r="N9227" s="98" t="str">
        <f>IF(record[[#This Row],[Memo]]="Browser:chrome os:android","平板報工",IF(record[[#This Row],[Memo]]=0,"委外",record[[#This Row],[Memo]]))</f>
        <v/>
      </c>
      <c r="O9227" t="s">
        <v>58</v>
      </c>
      <c r="P9227" t="s">
        <v>806</v>
      </c>
      <c r="Q9227" t="s">
        <v>58</v>
      </c>
      <c r="R9227" t="str">
        <f>IFERROR(VLOOKUP(record[[#This Row],[PCUSTID]],廠商[],2,FALSE),"")</f>
        <v/>
      </c>
      <c r="S9227" t="str">
        <f>VLOOKUP(record[[#This Row],[employeeID]],員工[],2,FALSE)</f>
        <v>方思緯</v>
      </c>
    </row>
    <row r="9228" spans="6:19" hidden="1" x14ac:dyDescent="0.25">
      <c r="F9228" t="s">
        <v>778</v>
      </c>
      <c r="G9228" t="s">
        <v>414</v>
      </c>
      <c r="H9228" t="str">
        <f>VLOOKUP(record[[#This Row],[ProcessSN]],表格2_7[],2,FALSE)</f>
        <v>30-4118-018-5XX</v>
      </c>
      <c r="I9228" t="str">
        <f>VLOOKUP(record[[#This Row],[ProcessSN]],表格2_7[],3,FALSE)</f>
        <v>#03</v>
      </c>
      <c r="J9228" t="s">
        <v>588</v>
      </c>
      <c r="K9228" s="195">
        <v>45826.685752314814</v>
      </c>
      <c r="L9228">
        <v>1</v>
      </c>
      <c r="M9228">
        <v>0</v>
      </c>
      <c r="N9228" s="98" t="str">
        <f>IF(record[[#This Row],[Memo]]="Browser:chrome os:android","平板報工",IF(record[[#This Row],[Memo]]=0,"委外",record[[#This Row],[Memo]]))</f>
        <v/>
      </c>
      <c r="O9228" t="s">
        <v>58</v>
      </c>
      <c r="P9228" t="s">
        <v>119</v>
      </c>
      <c r="Q9228" t="s">
        <v>58</v>
      </c>
      <c r="R9228" t="str">
        <f>IFERROR(VLOOKUP(record[[#This Row],[PCUSTID]],廠商[],2,FALSE),"")</f>
        <v/>
      </c>
      <c r="S9228" t="str">
        <f>VLOOKUP(record[[#This Row],[employeeID]],員工[],2,FALSE)</f>
        <v>廖俊彥</v>
      </c>
    </row>
    <row r="9229" spans="6:19" hidden="1" x14ac:dyDescent="0.25">
      <c r="F9229" t="s">
        <v>854</v>
      </c>
      <c r="G9229" t="s">
        <v>417</v>
      </c>
      <c r="H9229" t="str">
        <f>VLOOKUP(record[[#This Row],[ProcessSN]],表格2_7[],2,FALSE)</f>
        <v>30-4118-018-5XX</v>
      </c>
      <c r="I9229" t="str">
        <f>VLOOKUP(record[[#This Row],[ProcessSN]],表格2_7[],3,FALSE)</f>
        <v>#06</v>
      </c>
      <c r="J9229" t="s">
        <v>593</v>
      </c>
      <c r="K9229" s="195">
        <v>45826.685208333336</v>
      </c>
      <c r="L9229">
        <v>100</v>
      </c>
      <c r="M9229">
        <v>0</v>
      </c>
      <c r="N9229" s="98" t="str">
        <f>IF(record[[#This Row],[Memo]]="Browser:chrome os:android","平板報工",IF(record[[#This Row],[Memo]]=0,"委外",record[[#This Row],[Memo]]))</f>
        <v/>
      </c>
      <c r="O9229" t="s">
        <v>58</v>
      </c>
      <c r="P9229" t="s">
        <v>119</v>
      </c>
      <c r="Q9229" t="s">
        <v>58</v>
      </c>
      <c r="R9229" t="str">
        <f>IFERROR(VLOOKUP(record[[#This Row],[PCUSTID]],廠商[],2,FALSE),"")</f>
        <v/>
      </c>
      <c r="S9229" t="str">
        <f>VLOOKUP(record[[#This Row],[employeeID]],員工[],2,FALSE)</f>
        <v>廖俊彥</v>
      </c>
    </row>
    <row r="9230" spans="6:19" hidden="1" x14ac:dyDescent="0.25">
      <c r="F9230" t="s">
        <v>854</v>
      </c>
      <c r="G9230" t="s">
        <v>416</v>
      </c>
      <c r="H9230" t="str">
        <f>VLOOKUP(record[[#This Row],[ProcessSN]],表格2_7[],2,FALSE)</f>
        <v>30-4118-018-5XX</v>
      </c>
      <c r="I9230" t="str">
        <f>VLOOKUP(record[[#This Row],[ProcessSN]],表格2_7[],3,FALSE)</f>
        <v>#05</v>
      </c>
      <c r="J9230" t="s">
        <v>588</v>
      </c>
      <c r="K9230" s="195">
        <v>45826.684999999998</v>
      </c>
      <c r="L9230">
        <v>270</v>
      </c>
      <c r="M9230">
        <v>0</v>
      </c>
      <c r="N9230" s="98" t="str">
        <f>IF(record[[#This Row],[Memo]]="Browser:chrome os:android","平板報工",IF(record[[#This Row],[Memo]]=0,"委外",record[[#This Row],[Memo]]))</f>
        <v/>
      </c>
      <c r="O9230" t="s">
        <v>58</v>
      </c>
      <c r="P9230" t="s">
        <v>119</v>
      </c>
      <c r="Q9230" t="s">
        <v>58</v>
      </c>
      <c r="R9230" t="str">
        <f>IFERROR(VLOOKUP(record[[#This Row],[PCUSTID]],廠商[],2,FALSE),"")</f>
        <v/>
      </c>
      <c r="S9230" t="str">
        <f>VLOOKUP(record[[#This Row],[employeeID]],員工[],2,FALSE)</f>
        <v>廖俊彥</v>
      </c>
    </row>
    <row r="9231" spans="6:19" hidden="1" x14ac:dyDescent="0.25">
      <c r="F9231" t="s">
        <v>854</v>
      </c>
      <c r="G9231" t="s">
        <v>415</v>
      </c>
      <c r="H9231" t="str">
        <f>VLOOKUP(record[[#This Row],[ProcessSN]],表格2_7[],2,FALSE)</f>
        <v>30-4118-018-5XX</v>
      </c>
      <c r="I9231" t="str">
        <f>VLOOKUP(record[[#This Row],[ProcessSN]],表格2_7[],3,FALSE)</f>
        <v>#04</v>
      </c>
      <c r="J9231" t="s">
        <v>588</v>
      </c>
      <c r="K9231" s="195">
        <v>45826.684756944444</v>
      </c>
      <c r="L9231">
        <v>123</v>
      </c>
      <c r="M9231">
        <v>7</v>
      </c>
      <c r="N9231" s="98" t="str">
        <f>IF(record[[#This Row],[Memo]]="Browser:chrome os:android","平板報工",IF(record[[#This Row],[Memo]]=0,"委外",record[[#This Row],[Memo]]))</f>
        <v/>
      </c>
      <c r="O9231" t="s">
        <v>58</v>
      </c>
      <c r="P9231" t="s">
        <v>119</v>
      </c>
      <c r="Q9231" t="s">
        <v>58</v>
      </c>
      <c r="R9231" t="str">
        <f>IFERROR(VLOOKUP(record[[#This Row],[PCUSTID]],廠商[],2,FALSE),"")</f>
        <v/>
      </c>
      <c r="S9231" t="str">
        <f>VLOOKUP(record[[#This Row],[employeeID]],員工[],2,FALSE)</f>
        <v>廖俊彥</v>
      </c>
    </row>
    <row r="9232" spans="6:19" hidden="1" x14ac:dyDescent="0.25">
      <c r="F9232" t="s">
        <v>854</v>
      </c>
      <c r="G9232" t="s">
        <v>414</v>
      </c>
      <c r="H9232" t="str">
        <f>VLOOKUP(record[[#This Row],[ProcessSN]],表格2_7[],2,FALSE)</f>
        <v>30-4118-018-5XX</v>
      </c>
      <c r="I9232" t="str">
        <f>VLOOKUP(record[[#This Row],[ProcessSN]],表格2_7[],3,FALSE)</f>
        <v>#03</v>
      </c>
      <c r="J9232" t="s">
        <v>588</v>
      </c>
      <c r="K9232" s="195">
        <v>45826.683680555558</v>
      </c>
      <c r="L9232">
        <v>521</v>
      </c>
      <c r="M9232">
        <v>0</v>
      </c>
      <c r="N9232" s="98" t="str">
        <f>IF(record[[#This Row],[Memo]]="Browser:chrome os:android","平板報工",IF(record[[#This Row],[Memo]]=0,"委外",record[[#This Row],[Memo]]))</f>
        <v/>
      </c>
      <c r="O9232" t="s">
        <v>58</v>
      </c>
      <c r="P9232" t="s">
        <v>119</v>
      </c>
      <c r="Q9232" t="s">
        <v>58</v>
      </c>
      <c r="R9232" t="str">
        <f>IFERROR(VLOOKUP(record[[#This Row],[PCUSTID]],廠商[],2,FALSE),"")</f>
        <v/>
      </c>
      <c r="S9232" t="str">
        <f>VLOOKUP(record[[#This Row],[employeeID]],員工[],2,FALSE)</f>
        <v>廖俊彥</v>
      </c>
    </row>
    <row r="9233" spans="6:19" hidden="1" x14ac:dyDescent="0.25">
      <c r="F9233" t="s">
        <v>849</v>
      </c>
      <c r="G9233" t="s">
        <v>467</v>
      </c>
      <c r="H9233" t="str">
        <f>VLOOKUP(record[[#This Row],[ProcessSN]],表格2_7[],2,FALSE)</f>
        <v>30-4118-018-XXX</v>
      </c>
      <c r="I9233" t="str">
        <f>VLOOKUP(record[[#This Row],[ProcessSN]],表格2_7[],3,FALSE)</f>
        <v>#01QC</v>
      </c>
      <c r="J9233" t="s">
        <v>589</v>
      </c>
      <c r="K9233" s="195">
        <v>45826.677476851852</v>
      </c>
      <c r="L9233">
        <v>336</v>
      </c>
      <c r="M9233">
        <v>0</v>
      </c>
      <c r="N9233" s="98" t="str">
        <f>IF(record[[#This Row],[Memo]]="Browser:chrome os:android","平板報工",IF(record[[#This Row],[Memo]]=0,"委外",record[[#This Row],[Memo]]))</f>
        <v>平板報工</v>
      </c>
      <c r="O9233" t="s">
        <v>643</v>
      </c>
      <c r="P9233" t="s">
        <v>182</v>
      </c>
      <c r="Q9233" t="s">
        <v>644</v>
      </c>
      <c r="R9233" t="str">
        <f>IFERROR(VLOOKUP(record[[#This Row],[PCUSTID]],廠商[],2,FALSE),"")</f>
        <v/>
      </c>
      <c r="S9233" t="str">
        <f>VLOOKUP(record[[#This Row],[employeeID]],員工[],2,FALSE)</f>
        <v>梅氏和</v>
      </c>
    </row>
    <row r="9234" spans="6:19" hidden="1" x14ac:dyDescent="0.25">
      <c r="F9234" t="s">
        <v>825</v>
      </c>
      <c r="G9234" t="s">
        <v>467</v>
      </c>
      <c r="H9234" t="str">
        <f>VLOOKUP(record[[#This Row],[ProcessSN]],表格2_7[],2,FALSE)</f>
        <v>30-4118-018-XXX</v>
      </c>
      <c r="I9234" t="str">
        <f>VLOOKUP(record[[#This Row],[ProcessSN]],表格2_7[],3,FALSE)</f>
        <v>#01QC</v>
      </c>
      <c r="J9234" t="s">
        <v>589</v>
      </c>
      <c r="K9234" s="195">
        <v>45826.677164351851</v>
      </c>
      <c r="L9234">
        <v>168</v>
      </c>
      <c r="M9234">
        <v>0</v>
      </c>
      <c r="N9234" s="98" t="str">
        <f>IF(record[[#This Row],[Memo]]="Browser:chrome os:android","平板報工",IF(record[[#This Row],[Memo]]=0,"委外",record[[#This Row],[Memo]]))</f>
        <v>平板報工</v>
      </c>
      <c r="O9234" t="s">
        <v>643</v>
      </c>
      <c r="P9234" t="s">
        <v>182</v>
      </c>
      <c r="Q9234" t="s">
        <v>644</v>
      </c>
      <c r="R9234" t="str">
        <f>IFERROR(VLOOKUP(record[[#This Row],[PCUSTID]],廠商[],2,FALSE),"")</f>
        <v/>
      </c>
      <c r="S9234" t="str">
        <f>VLOOKUP(record[[#This Row],[employeeID]],員工[],2,FALSE)</f>
        <v>梅氏和</v>
      </c>
    </row>
    <row r="9235" spans="6:19" hidden="1" x14ac:dyDescent="0.25">
      <c r="F9235" t="s">
        <v>836</v>
      </c>
      <c r="G9235" t="s">
        <v>403</v>
      </c>
      <c r="H9235" t="str">
        <f>VLOOKUP(record[[#This Row],[ProcessSN]],表格2_7[],2,FALSE)</f>
        <v>30-4118-018-550</v>
      </c>
      <c r="I9235" t="str">
        <f>VLOOKUP(record[[#This Row],[ProcessSN]],表格2_7[],3,FALSE)</f>
        <v>#100SHIP</v>
      </c>
      <c r="J9235" t="s">
        <v>600</v>
      </c>
      <c r="K9235" s="195">
        <v>45826.614629629628</v>
      </c>
      <c r="L9235">
        <v>337</v>
      </c>
      <c r="M9235">
        <v>0</v>
      </c>
      <c r="N9235" s="98" t="str">
        <f>IF(record[[#This Row],[Memo]]="Browser:chrome os:android","平板報工",IF(record[[#This Row],[Memo]]=0,"委外",record[[#This Row],[Memo]]))</f>
        <v/>
      </c>
      <c r="O9235" t="s">
        <v>58</v>
      </c>
      <c r="P9235" t="s">
        <v>196</v>
      </c>
      <c r="Q9235" t="s">
        <v>58</v>
      </c>
      <c r="R9235" t="str">
        <f>IFERROR(VLOOKUP(record[[#This Row],[PCUSTID]],廠商[],2,FALSE),"")</f>
        <v/>
      </c>
      <c r="S9235" t="str">
        <f>VLOOKUP(record[[#This Row],[employeeID]],員工[],2,FALSE)</f>
        <v>張淑惠</v>
      </c>
    </row>
    <row r="9236" spans="6:19" hidden="1" x14ac:dyDescent="0.25">
      <c r="F9236" t="s">
        <v>834</v>
      </c>
      <c r="G9236" t="s">
        <v>403</v>
      </c>
      <c r="H9236" t="str">
        <f>VLOOKUP(record[[#This Row],[ProcessSN]],表格2_7[],2,FALSE)</f>
        <v>30-4118-018-550</v>
      </c>
      <c r="I9236" t="str">
        <f>VLOOKUP(record[[#This Row],[ProcessSN]],表格2_7[],3,FALSE)</f>
        <v>#100SHIP</v>
      </c>
      <c r="J9236" t="s">
        <v>600</v>
      </c>
      <c r="K9236" s="195">
        <v>45826.614328703705</v>
      </c>
      <c r="L9236">
        <v>132</v>
      </c>
      <c r="M9236">
        <v>0</v>
      </c>
      <c r="N9236" s="98" t="str">
        <f>IF(record[[#This Row],[Memo]]="Browser:chrome os:android","平板報工",IF(record[[#This Row],[Memo]]=0,"委外",record[[#This Row],[Memo]]))</f>
        <v/>
      </c>
      <c r="O9236" t="s">
        <v>58</v>
      </c>
      <c r="P9236" t="s">
        <v>196</v>
      </c>
      <c r="Q9236" t="s">
        <v>58</v>
      </c>
      <c r="R9236" t="str">
        <f>IFERROR(VLOOKUP(record[[#This Row],[PCUSTID]],廠商[],2,FALSE),"")</f>
        <v/>
      </c>
      <c r="S9236" t="str">
        <f>VLOOKUP(record[[#This Row],[employeeID]],員工[],2,FALSE)</f>
        <v>張淑惠</v>
      </c>
    </row>
    <row r="9237" spans="6:19" hidden="1" x14ac:dyDescent="0.25">
      <c r="F9237" t="s">
        <v>832</v>
      </c>
      <c r="G9237" t="s">
        <v>403</v>
      </c>
      <c r="H9237" t="str">
        <f>VLOOKUP(record[[#This Row],[ProcessSN]],表格2_7[],2,FALSE)</f>
        <v>30-4118-018-550</v>
      </c>
      <c r="I9237" t="str">
        <f>VLOOKUP(record[[#This Row],[ProcessSN]],表格2_7[],3,FALSE)</f>
        <v>#100SHIP</v>
      </c>
      <c r="J9237" t="s">
        <v>600</v>
      </c>
      <c r="K9237" s="195">
        <v>45826.614027777781</v>
      </c>
      <c r="L9237">
        <v>150</v>
      </c>
      <c r="M9237">
        <v>0</v>
      </c>
      <c r="N9237" s="98" t="str">
        <f>IF(record[[#This Row],[Memo]]="Browser:chrome os:android","平板報工",IF(record[[#This Row],[Memo]]=0,"委外",record[[#This Row],[Memo]]))</f>
        <v/>
      </c>
      <c r="O9237" t="s">
        <v>58</v>
      </c>
      <c r="P9237" t="s">
        <v>196</v>
      </c>
      <c r="Q9237" t="s">
        <v>58</v>
      </c>
      <c r="R9237" t="str">
        <f>IFERROR(VLOOKUP(record[[#This Row],[PCUSTID]],廠商[],2,FALSE),"")</f>
        <v/>
      </c>
      <c r="S9237" t="str">
        <f>VLOOKUP(record[[#This Row],[employeeID]],員工[],2,FALSE)</f>
        <v>張淑惠</v>
      </c>
    </row>
    <row r="9238" spans="6:19" hidden="1" x14ac:dyDescent="0.25">
      <c r="F9238" t="s">
        <v>836</v>
      </c>
      <c r="G9238" t="s">
        <v>402</v>
      </c>
      <c r="H9238" t="str">
        <f>VLOOKUP(record[[#This Row],[ProcessSN]],表格2_7[],2,FALSE)</f>
        <v>30-4118-018-550</v>
      </c>
      <c r="I9238" t="str">
        <f>VLOOKUP(record[[#This Row],[ProcessSN]],表格2_7[],3,FALSE)</f>
        <v>#100STOCK</v>
      </c>
      <c r="J9238" t="s">
        <v>592</v>
      </c>
      <c r="K9238" s="195">
        <v>45826.61310185185</v>
      </c>
      <c r="L9238">
        <v>283</v>
      </c>
      <c r="M9238">
        <v>0</v>
      </c>
      <c r="N9238" s="98" t="str">
        <f>IF(record[[#This Row],[Memo]]="Browser:chrome os:android","平板報工",IF(record[[#This Row],[Memo]]=0,"委外",record[[#This Row],[Memo]]))</f>
        <v/>
      </c>
      <c r="O9238" t="s">
        <v>58</v>
      </c>
      <c r="P9238" t="s">
        <v>196</v>
      </c>
      <c r="Q9238" t="s">
        <v>58</v>
      </c>
      <c r="R9238" t="str">
        <f>IFERROR(VLOOKUP(record[[#This Row],[PCUSTID]],廠商[],2,FALSE),"")</f>
        <v/>
      </c>
      <c r="S9238" t="str">
        <f>VLOOKUP(record[[#This Row],[employeeID]],員工[],2,FALSE)</f>
        <v>張淑惠</v>
      </c>
    </row>
    <row r="9239" spans="6:19" hidden="1" x14ac:dyDescent="0.25">
      <c r="F9239" t="s">
        <v>834</v>
      </c>
      <c r="G9239" t="s">
        <v>402</v>
      </c>
      <c r="H9239" t="str">
        <f>VLOOKUP(record[[#This Row],[ProcessSN]],表格2_7[],2,FALSE)</f>
        <v>30-4118-018-550</v>
      </c>
      <c r="I9239" t="str">
        <f>VLOOKUP(record[[#This Row],[ProcessSN]],表格2_7[],3,FALSE)</f>
        <v>#100STOCK</v>
      </c>
      <c r="J9239" t="s">
        <v>592</v>
      </c>
      <c r="K9239" s="195">
        <v>45826.612962962965</v>
      </c>
      <c r="L9239">
        <v>132</v>
      </c>
      <c r="M9239">
        <v>0</v>
      </c>
      <c r="N9239" s="98" t="str">
        <f>IF(record[[#This Row],[Memo]]="Browser:chrome os:android","平板報工",IF(record[[#This Row],[Memo]]=0,"委外",record[[#This Row],[Memo]]))</f>
        <v/>
      </c>
      <c r="O9239" t="s">
        <v>58</v>
      </c>
      <c r="P9239" t="s">
        <v>196</v>
      </c>
      <c r="Q9239" t="s">
        <v>58</v>
      </c>
      <c r="R9239" t="str">
        <f>IFERROR(VLOOKUP(record[[#This Row],[PCUSTID]],廠商[],2,FALSE),"")</f>
        <v/>
      </c>
      <c r="S9239" t="str">
        <f>VLOOKUP(record[[#This Row],[employeeID]],員工[],2,FALSE)</f>
        <v>張淑惠</v>
      </c>
    </row>
    <row r="9240" spans="6:19" hidden="1" x14ac:dyDescent="0.25">
      <c r="F9240" t="s">
        <v>832</v>
      </c>
      <c r="G9240" t="s">
        <v>402</v>
      </c>
      <c r="H9240" t="str">
        <f>VLOOKUP(record[[#This Row],[ProcessSN]],表格2_7[],2,FALSE)</f>
        <v>30-4118-018-550</v>
      </c>
      <c r="I9240" t="str">
        <f>VLOOKUP(record[[#This Row],[ProcessSN]],表格2_7[],3,FALSE)</f>
        <v>#100STOCK</v>
      </c>
      <c r="J9240" t="s">
        <v>592</v>
      </c>
      <c r="K9240" s="195">
        <v>45826.612824074073</v>
      </c>
      <c r="L9240">
        <v>206</v>
      </c>
      <c r="M9240">
        <v>0</v>
      </c>
      <c r="N9240" s="98" t="str">
        <f>IF(record[[#This Row],[Memo]]="Browser:chrome os:android","平板報工",IF(record[[#This Row],[Memo]]=0,"委外",record[[#This Row],[Memo]]))</f>
        <v/>
      </c>
      <c r="O9240" t="s">
        <v>58</v>
      </c>
      <c r="P9240" t="s">
        <v>196</v>
      </c>
      <c r="Q9240" t="s">
        <v>58</v>
      </c>
      <c r="R9240" t="str">
        <f>IFERROR(VLOOKUP(record[[#This Row],[PCUSTID]],廠商[],2,FALSE),"")</f>
        <v/>
      </c>
      <c r="S9240" t="str">
        <f>VLOOKUP(record[[#This Row],[employeeID]],員工[],2,FALSE)</f>
        <v>張淑惠</v>
      </c>
    </row>
    <row r="9241" spans="6:19" hidden="1" x14ac:dyDescent="0.25">
      <c r="F9241" t="s">
        <v>834</v>
      </c>
      <c r="G9241" t="s">
        <v>401</v>
      </c>
      <c r="H9241" t="str">
        <f>VLOOKUP(record[[#This Row],[ProcessSN]],表格2_7[],2,FALSE)</f>
        <v>30-4118-018-550</v>
      </c>
      <c r="I9241" t="str">
        <f>VLOOKUP(record[[#This Row],[ProcessSN]],表格2_7[],3,FALSE)</f>
        <v>#100OQC</v>
      </c>
      <c r="J9241" t="s">
        <v>599</v>
      </c>
      <c r="K9241" s="195">
        <v>45826.599756944444</v>
      </c>
      <c r="L9241">
        <v>132</v>
      </c>
      <c r="M9241">
        <v>0</v>
      </c>
      <c r="N9241" s="98" t="str">
        <f>IF(record[[#This Row],[Memo]]="Browser:chrome os:android","平板報工",IF(record[[#This Row],[Memo]]=0,"委外",record[[#This Row],[Memo]]))</f>
        <v/>
      </c>
      <c r="O9241" t="s">
        <v>58</v>
      </c>
      <c r="P9241" t="s">
        <v>121</v>
      </c>
      <c r="Q9241" t="s">
        <v>58</v>
      </c>
      <c r="R9241" t="str">
        <f>IFERROR(VLOOKUP(record[[#This Row],[PCUSTID]],廠商[],2,FALSE),"")</f>
        <v/>
      </c>
      <c r="S9241" t="str">
        <f>VLOOKUP(record[[#This Row],[employeeID]],員工[],2,FALSE)</f>
        <v>謝素卿</v>
      </c>
    </row>
    <row r="9242" spans="6:19" hidden="1" x14ac:dyDescent="0.25">
      <c r="F9242" t="s">
        <v>836</v>
      </c>
      <c r="G9242" t="s">
        <v>401</v>
      </c>
      <c r="H9242" t="str">
        <f>VLOOKUP(record[[#This Row],[ProcessSN]],表格2_7[],2,FALSE)</f>
        <v>30-4118-018-550</v>
      </c>
      <c r="I9242" t="str">
        <f>VLOOKUP(record[[#This Row],[ProcessSN]],表格2_7[],3,FALSE)</f>
        <v>#100OQC</v>
      </c>
      <c r="J9242" t="s">
        <v>599</v>
      </c>
      <c r="K9242" s="195">
        <v>45826.599606481483</v>
      </c>
      <c r="L9242">
        <v>283</v>
      </c>
      <c r="M9242">
        <v>0</v>
      </c>
      <c r="N9242" s="98" t="str">
        <f>IF(record[[#This Row],[Memo]]="Browser:chrome os:android","平板報工",IF(record[[#This Row],[Memo]]=0,"委外",record[[#This Row],[Memo]]))</f>
        <v/>
      </c>
      <c r="O9242" t="s">
        <v>58</v>
      </c>
      <c r="P9242" t="s">
        <v>121</v>
      </c>
      <c r="Q9242" t="s">
        <v>58</v>
      </c>
      <c r="R9242" t="str">
        <f>IFERROR(VLOOKUP(record[[#This Row],[PCUSTID]],廠商[],2,FALSE),"")</f>
        <v/>
      </c>
      <c r="S9242" t="str">
        <f>VLOOKUP(record[[#This Row],[employeeID]],員工[],2,FALSE)</f>
        <v>謝素卿</v>
      </c>
    </row>
    <row r="9243" spans="6:19" hidden="1" x14ac:dyDescent="0.25">
      <c r="F9243" t="s">
        <v>832</v>
      </c>
      <c r="G9243" t="s">
        <v>401</v>
      </c>
      <c r="H9243" t="str">
        <f>VLOOKUP(record[[#This Row],[ProcessSN]],表格2_7[],2,FALSE)</f>
        <v>30-4118-018-550</v>
      </c>
      <c r="I9243" t="str">
        <f>VLOOKUP(record[[#This Row],[ProcessSN]],表格2_7[],3,FALSE)</f>
        <v>#100OQC</v>
      </c>
      <c r="J9243" t="s">
        <v>599</v>
      </c>
      <c r="K9243" s="195">
        <v>45826.59915509259</v>
      </c>
      <c r="L9243">
        <v>206</v>
      </c>
      <c r="M9243">
        <v>0</v>
      </c>
      <c r="N9243" s="98" t="str">
        <f>IF(record[[#This Row],[Memo]]="Browser:chrome os:android","平板報工",IF(record[[#This Row],[Memo]]=0,"委外",record[[#This Row],[Memo]]))</f>
        <v/>
      </c>
      <c r="O9243" t="s">
        <v>58</v>
      </c>
      <c r="P9243" t="s">
        <v>121</v>
      </c>
      <c r="Q9243" t="s">
        <v>58</v>
      </c>
      <c r="R9243" t="str">
        <f>IFERROR(VLOOKUP(record[[#This Row],[PCUSTID]],廠商[],2,FALSE),"")</f>
        <v/>
      </c>
      <c r="S9243" t="str">
        <f>VLOOKUP(record[[#This Row],[employeeID]],員工[],2,FALSE)</f>
        <v>謝素卿</v>
      </c>
    </row>
    <row r="9244" spans="6:19" hidden="1" x14ac:dyDescent="0.25">
      <c r="F9244" t="s">
        <v>825</v>
      </c>
      <c r="G9244" t="s">
        <v>471</v>
      </c>
      <c r="H9244" t="str">
        <f>VLOOKUP(record[[#This Row],[ProcessSN]],表格2_7[],2,FALSE)</f>
        <v>30-4118-018-XXX</v>
      </c>
      <c r="I9244" t="str">
        <f>VLOOKUP(record[[#This Row],[ProcessSN]],表格2_7[],3,FALSE)</f>
        <v>#02STOCK</v>
      </c>
      <c r="J9244" t="s">
        <v>592</v>
      </c>
      <c r="K9244" s="195">
        <v>45826.484525462962</v>
      </c>
      <c r="L9244">
        <v>840</v>
      </c>
      <c r="M9244">
        <v>0</v>
      </c>
      <c r="N9244" s="98" t="str">
        <f>IF(record[[#This Row],[Memo]]="Browser:chrome os:android","平板報工",IF(record[[#This Row],[Memo]]=0,"委外",record[[#This Row],[Memo]]))</f>
        <v/>
      </c>
      <c r="O9244" t="s">
        <v>58</v>
      </c>
      <c r="P9244" t="s">
        <v>208</v>
      </c>
      <c r="Q9244" t="s">
        <v>58</v>
      </c>
      <c r="R9244" t="str">
        <f>IFERROR(VLOOKUP(record[[#This Row],[PCUSTID]],廠商[],2,FALSE),"")</f>
        <v/>
      </c>
      <c r="S9244" t="str">
        <f>VLOOKUP(record[[#This Row],[employeeID]],員工[],2,FALSE)</f>
        <v>陳治宏</v>
      </c>
    </row>
    <row r="9245" spans="6:19" hidden="1" x14ac:dyDescent="0.25">
      <c r="F9245" t="s">
        <v>825</v>
      </c>
      <c r="G9245" t="s">
        <v>469</v>
      </c>
      <c r="H9245" t="str">
        <f>VLOOKUP(record[[#This Row],[ProcessSN]],表格2_7[],2,FALSE)</f>
        <v>30-4118-018-XXX</v>
      </c>
      <c r="I9245" t="str">
        <f>VLOOKUP(record[[#This Row],[ProcessSN]],表格2_7[],3,FALSE)</f>
        <v>#02RCV</v>
      </c>
      <c r="J9245" t="s">
        <v>591</v>
      </c>
      <c r="K9245" s="195">
        <v>45826.432500000003</v>
      </c>
      <c r="L9245">
        <v>672</v>
      </c>
      <c r="M9245">
        <v>0</v>
      </c>
      <c r="N9245" s="98" t="str">
        <f>IF(record[[#This Row],[Memo]]="Browser:chrome os:android","平板報工",IF(record[[#This Row],[Memo]]=0,"委外",record[[#This Row],[Memo]]))</f>
        <v/>
      </c>
      <c r="O9245" t="s">
        <v>58</v>
      </c>
      <c r="P9245" t="s">
        <v>186</v>
      </c>
      <c r="Q9245" t="s">
        <v>58</v>
      </c>
      <c r="R9245" t="str">
        <f>IFERROR(VLOOKUP(record[[#This Row],[PCUSTID]],廠商[],2,FALSE),"")</f>
        <v/>
      </c>
      <c r="S9245" t="str">
        <f>VLOOKUP(record[[#This Row],[employeeID]],員工[],2,FALSE)</f>
        <v>許文姍</v>
      </c>
    </row>
    <row r="9246" spans="6:19" hidden="1" x14ac:dyDescent="0.25">
      <c r="F9246" t="s">
        <v>847</v>
      </c>
      <c r="G9246" t="s">
        <v>402</v>
      </c>
      <c r="H9246" t="str">
        <f>VLOOKUP(record[[#This Row],[ProcessSN]],表格2_7[],2,FALSE)</f>
        <v>30-4118-018-550</v>
      </c>
      <c r="I9246" t="str">
        <f>VLOOKUP(record[[#This Row],[ProcessSN]],表格2_7[],3,FALSE)</f>
        <v>#100STOCK</v>
      </c>
      <c r="J9246" t="s">
        <v>592</v>
      </c>
      <c r="K9246" s="195">
        <v>45826.398472222223</v>
      </c>
      <c r="L9246">
        <v>176</v>
      </c>
      <c r="M9246">
        <v>0</v>
      </c>
      <c r="N9246" s="98" t="str">
        <f>IF(record[[#This Row],[Memo]]="Browser:chrome os:android","平板報工",IF(record[[#This Row],[Memo]]=0,"委外",record[[#This Row],[Memo]]))</f>
        <v/>
      </c>
      <c r="O9246" t="s">
        <v>58</v>
      </c>
      <c r="P9246" t="s">
        <v>196</v>
      </c>
      <c r="Q9246" t="s">
        <v>58</v>
      </c>
      <c r="R9246" t="str">
        <f>IFERROR(VLOOKUP(record[[#This Row],[PCUSTID]],廠商[],2,FALSE),"")</f>
        <v/>
      </c>
      <c r="S9246" t="str">
        <f>VLOOKUP(record[[#This Row],[employeeID]],員工[],2,FALSE)</f>
        <v>張淑惠</v>
      </c>
    </row>
    <row r="9247" spans="6:19" hidden="1" x14ac:dyDescent="0.25">
      <c r="F9247" t="s">
        <v>840</v>
      </c>
      <c r="G9247" t="s">
        <v>402</v>
      </c>
      <c r="H9247" t="str">
        <f>VLOOKUP(record[[#This Row],[ProcessSN]],表格2_7[],2,FALSE)</f>
        <v>30-4118-018-550</v>
      </c>
      <c r="I9247" t="str">
        <f>VLOOKUP(record[[#This Row],[ProcessSN]],表格2_7[],3,FALSE)</f>
        <v>#100STOCK</v>
      </c>
      <c r="J9247" t="s">
        <v>592</v>
      </c>
      <c r="K9247" s="195">
        <v>45826.398298611108</v>
      </c>
      <c r="L9247">
        <v>164</v>
      </c>
      <c r="M9247">
        <v>0</v>
      </c>
      <c r="N9247" s="98" t="str">
        <f>IF(record[[#This Row],[Memo]]="Browser:chrome os:android","平板報工",IF(record[[#This Row],[Memo]]=0,"委外",record[[#This Row],[Memo]]))</f>
        <v/>
      </c>
      <c r="O9247" t="s">
        <v>58</v>
      </c>
      <c r="P9247" t="s">
        <v>196</v>
      </c>
      <c r="Q9247" t="s">
        <v>58</v>
      </c>
      <c r="R9247" t="str">
        <f>IFERROR(VLOOKUP(record[[#This Row],[PCUSTID]],廠商[],2,FALSE),"")</f>
        <v/>
      </c>
      <c r="S9247" t="str">
        <f>VLOOKUP(record[[#This Row],[employeeID]],員工[],2,FALSE)</f>
        <v>張淑惠</v>
      </c>
    </row>
    <row r="9248" spans="6:19" hidden="1" x14ac:dyDescent="0.25">
      <c r="F9248" t="s">
        <v>854</v>
      </c>
      <c r="G9248" t="s">
        <v>413</v>
      </c>
      <c r="H9248" t="str">
        <f>VLOOKUP(record[[#This Row],[ProcessSN]],表格2_7[],2,FALSE)</f>
        <v>30-4118-018-5XX</v>
      </c>
      <c r="I9248" t="str">
        <f>VLOOKUP(record[[#This Row],[ProcessSN]],表格2_7[],3,FALSE)</f>
        <v>#03GIVE</v>
      </c>
      <c r="J9248" t="s">
        <v>587</v>
      </c>
      <c r="K9248" s="195">
        <v>45826.367905092593</v>
      </c>
      <c r="L9248">
        <v>656</v>
      </c>
      <c r="M9248">
        <v>0</v>
      </c>
      <c r="N9248" s="98" t="str">
        <f>IF(record[[#This Row],[Memo]]="Browser:chrome os:android","平板報工",IF(record[[#This Row],[Memo]]=0,"委外",record[[#This Row],[Memo]]))</f>
        <v/>
      </c>
      <c r="O9248" t="s">
        <v>58</v>
      </c>
      <c r="P9248" t="s">
        <v>208</v>
      </c>
      <c r="Q9248" t="s">
        <v>58</v>
      </c>
      <c r="R9248" t="str">
        <f>IFERROR(VLOOKUP(record[[#This Row],[PCUSTID]],廠商[],2,FALSE),"")</f>
        <v/>
      </c>
      <c r="S9248" t="str">
        <f>VLOOKUP(record[[#This Row],[employeeID]],員工[],2,FALSE)</f>
        <v>陳治宏</v>
      </c>
    </row>
    <row r="9249" spans="6:19" hidden="1" x14ac:dyDescent="0.25">
      <c r="F9249" t="s">
        <v>854</v>
      </c>
      <c r="G9249" t="s">
        <v>415</v>
      </c>
      <c r="H9249" t="str">
        <f>VLOOKUP(record[[#This Row],[ProcessSN]],表格2_7[],2,FALSE)</f>
        <v>30-4118-018-5XX</v>
      </c>
      <c r="I9249" t="str">
        <f>VLOOKUP(record[[#This Row],[ProcessSN]],表格2_7[],3,FALSE)</f>
        <v>#04</v>
      </c>
      <c r="J9249" t="s">
        <v>588</v>
      </c>
      <c r="K9249" s="195">
        <v>45826.318240740744</v>
      </c>
      <c r="L9249">
        <v>111</v>
      </c>
      <c r="M9249">
        <v>0</v>
      </c>
      <c r="N9249" s="98" t="str">
        <f>IF(record[[#This Row],[Memo]]="Browser:chrome os:android","平板報工",IF(record[[#This Row],[Memo]]=0,"委外",record[[#This Row],[Memo]]))</f>
        <v/>
      </c>
      <c r="O9249" t="s">
        <v>58</v>
      </c>
      <c r="P9249" t="s">
        <v>135</v>
      </c>
      <c r="Q9249" t="s">
        <v>58</v>
      </c>
      <c r="R9249" t="str">
        <f>IFERROR(VLOOKUP(record[[#This Row],[PCUSTID]],廠商[],2,FALSE),"")</f>
        <v/>
      </c>
      <c r="S9249" t="str">
        <f>VLOOKUP(record[[#This Row],[employeeID]],員工[],2,FALSE)</f>
        <v>阮士文</v>
      </c>
    </row>
    <row r="9250" spans="6:19" hidden="1" x14ac:dyDescent="0.25">
      <c r="F9250" t="s">
        <v>849</v>
      </c>
      <c r="G9250" t="s">
        <v>466</v>
      </c>
      <c r="H9250" t="str">
        <f>VLOOKUP(record[[#This Row],[ProcessSN]],表格2_7[],2,FALSE)</f>
        <v>30-4118-018-XXX</v>
      </c>
      <c r="I9250" t="str">
        <f>VLOOKUP(record[[#This Row],[ProcessSN]],表格2_7[],3,FALSE)</f>
        <v>#01-2</v>
      </c>
      <c r="J9250" t="s">
        <v>588</v>
      </c>
      <c r="K9250" s="195">
        <v>45826.31795138889</v>
      </c>
      <c r="L9250">
        <v>408</v>
      </c>
      <c r="M9250">
        <v>0</v>
      </c>
      <c r="N9250" s="98" t="str">
        <f>IF(record[[#This Row],[Memo]]="Browser:chrome os:android","平板報工",IF(record[[#This Row],[Memo]]=0,"委外",record[[#This Row],[Memo]]))</f>
        <v/>
      </c>
      <c r="O9250" t="s">
        <v>58</v>
      </c>
      <c r="P9250" t="s">
        <v>135</v>
      </c>
      <c r="Q9250" t="s">
        <v>58</v>
      </c>
      <c r="R9250" t="str">
        <f>IFERROR(VLOOKUP(record[[#This Row],[PCUSTID]],廠商[],2,FALSE),"")</f>
        <v/>
      </c>
      <c r="S9250" t="str">
        <f>VLOOKUP(record[[#This Row],[employeeID]],員工[],2,FALSE)</f>
        <v>阮士文</v>
      </c>
    </row>
    <row r="9251" spans="6:19" hidden="1" x14ac:dyDescent="0.25">
      <c r="F9251" t="s">
        <v>825</v>
      </c>
      <c r="G9251" t="s">
        <v>466</v>
      </c>
      <c r="H9251" t="str">
        <f>VLOOKUP(record[[#This Row],[ProcessSN]],表格2_7[],2,FALSE)</f>
        <v>30-4118-018-XXX</v>
      </c>
      <c r="I9251" t="str">
        <f>VLOOKUP(record[[#This Row],[ProcessSN]],表格2_7[],3,FALSE)</f>
        <v>#01-2</v>
      </c>
      <c r="J9251" t="s">
        <v>588</v>
      </c>
      <c r="K9251" s="195">
        <v>45826.317789351851</v>
      </c>
      <c r="L9251">
        <v>46</v>
      </c>
      <c r="M9251">
        <v>0</v>
      </c>
      <c r="N9251" s="98" t="str">
        <f>IF(record[[#This Row],[Memo]]="Browser:chrome os:android","平板報工",IF(record[[#This Row],[Memo]]=0,"委外",record[[#This Row],[Memo]]))</f>
        <v/>
      </c>
      <c r="O9251" t="s">
        <v>58</v>
      </c>
      <c r="P9251" t="s">
        <v>135</v>
      </c>
      <c r="Q9251" t="s">
        <v>58</v>
      </c>
      <c r="R9251" t="str">
        <f>IFERROR(VLOOKUP(record[[#This Row],[PCUSTID]],廠商[],2,FALSE),"")</f>
        <v/>
      </c>
      <c r="S9251" t="str">
        <f>VLOOKUP(record[[#This Row],[employeeID]],員工[],2,FALSE)</f>
        <v>阮士文</v>
      </c>
    </row>
    <row r="9252" spans="6:19" hidden="1" x14ac:dyDescent="0.25">
      <c r="F9252" t="s">
        <v>847</v>
      </c>
      <c r="G9252" t="s">
        <v>401</v>
      </c>
      <c r="H9252" t="str">
        <f>VLOOKUP(record[[#This Row],[ProcessSN]],表格2_7[],2,FALSE)</f>
        <v>30-4118-018-550</v>
      </c>
      <c r="I9252" t="str">
        <f>VLOOKUP(record[[#This Row],[ProcessSN]],表格2_7[],3,FALSE)</f>
        <v>#100OQC</v>
      </c>
      <c r="J9252" t="s">
        <v>599</v>
      </c>
      <c r="K9252" s="195">
        <v>45826.316261574073</v>
      </c>
      <c r="L9252">
        <v>176</v>
      </c>
      <c r="M9252">
        <v>0</v>
      </c>
      <c r="N9252" s="98" t="str">
        <f>IF(record[[#This Row],[Memo]]="Browser:chrome os:android","平板報工",IF(record[[#This Row],[Memo]]=0,"委外",record[[#This Row],[Memo]]))</f>
        <v/>
      </c>
      <c r="O9252" t="s">
        <v>58</v>
      </c>
      <c r="P9252" t="s">
        <v>121</v>
      </c>
      <c r="Q9252" t="s">
        <v>58</v>
      </c>
      <c r="R9252" t="str">
        <f>IFERROR(VLOOKUP(record[[#This Row],[PCUSTID]],廠商[],2,FALSE),"")</f>
        <v/>
      </c>
      <c r="S9252" t="str">
        <f>VLOOKUP(record[[#This Row],[employeeID]],員工[],2,FALSE)</f>
        <v>謝素卿</v>
      </c>
    </row>
    <row r="9253" spans="6:19" hidden="1" x14ac:dyDescent="0.25">
      <c r="F9253" t="s">
        <v>840</v>
      </c>
      <c r="G9253" t="s">
        <v>401</v>
      </c>
      <c r="H9253" t="str">
        <f>VLOOKUP(record[[#This Row],[ProcessSN]],表格2_7[],2,FALSE)</f>
        <v>30-4118-018-550</v>
      </c>
      <c r="I9253" t="str">
        <f>VLOOKUP(record[[#This Row],[ProcessSN]],表格2_7[],3,FALSE)</f>
        <v>#100OQC</v>
      </c>
      <c r="J9253" t="s">
        <v>599</v>
      </c>
      <c r="K9253" s="195">
        <v>45826.316087962965</v>
      </c>
      <c r="L9253">
        <v>164</v>
      </c>
      <c r="M9253">
        <v>0</v>
      </c>
      <c r="N9253" s="98" t="str">
        <f>IF(record[[#This Row],[Memo]]="Browser:chrome os:android","平板報工",IF(record[[#This Row],[Memo]]=0,"委外",record[[#This Row],[Memo]]))</f>
        <v/>
      </c>
      <c r="O9253" t="s">
        <v>58</v>
      </c>
      <c r="P9253" t="s">
        <v>121</v>
      </c>
      <c r="Q9253" t="s">
        <v>58</v>
      </c>
      <c r="R9253" t="str">
        <f>IFERROR(VLOOKUP(record[[#This Row],[PCUSTID]],廠商[],2,FALSE),"")</f>
        <v/>
      </c>
      <c r="S9253" t="str">
        <f>VLOOKUP(record[[#This Row],[employeeID]],員工[],2,FALSE)</f>
        <v>謝素卿</v>
      </c>
    </row>
    <row r="9254" spans="6:19" hidden="1" x14ac:dyDescent="0.25">
      <c r="F9254" t="s">
        <v>854</v>
      </c>
      <c r="G9254" t="s">
        <v>417</v>
      </c>
      <c r="H9254" t="str">
        <f>VLOOKUP(record[[#This Row],[ProcessSN]],表格2_7[],2,FALSE)</f>
        <v>30-4118-018-5XX</v>
      </c>
      <c r="I9254" t="str">
        <f>VLOOKUP(record[[#This Row],[ProcessSN]],表格2_7[],3,FALSE)</f>
        <v>#06</v>
      </c>
      <c r="J9254" t="s">
        <v>593</v>
      </c>
      <c r="K9254" s="195">
        <v>45825.967442129629</v>
      </c>
      <c r="L9254">
        <v>105</v>
      </c>
      <c r="M9254">
        <v>0</v>
      </c>
      <c r="N9254" s="98" t="str">
        <f>IF(record[[#This Row],[Memo]]="Browser:chrome os:android","平板報工",IF(record[[#This Row],[Memo]]=0,"委外",record[[#This Row],[Memo]]))</f>
        <v/>
      </c>
      <c r="O9254" t="s">
        <v>58</v>
      </c>
      <c r="P9254" t="s">
        <v>149</v>
      </c>
      <c r="Q9254" t="s">
        <v>58</v>
      </c>
      <c r="R9254" t="str">
        <f>IFERROR(VLOOKUP(record[[#This Row],[PCUSTID]],廠商[],2,FALSE),"")</f>
        <v/>
      </c>
      <c r="S9254" t="str">
        <f>VLOOKUP(record[[#This Row],[employeeID]],員工[],2,FALSE)</f>
        <v>阮淑蓉</v>
      </c>
    </row>
    <row r="9255" spans="6:19" hidden="1" x14ac:dyDescent="0.25">
      <c r="F9255" t="s">
        <v>854</v>
      </c>
      <c r="G9255" t="s">
        <v>416</v>
      </c>
      <c r="H9255" t="str">
        <f>VLOOKUP(record[[#This Row],[ProcessSN]],表格2_7[],2,FALSE)</f>
        <v>30-4118-018-5XX</v>
      </c>
      <c r="I9255" t="str">
        <f>VLOOKUP(record[[#This Row],[ProcessSN]],表格2_7[],3,FALSE)</f>
        <v>#05</v>
      </c>
      <c r="J9255" t="s">
        <v>588</v>
      </c>
      <c r="K9255" s="195">
        <v>45825.958483796298</v>
      </c>
      <c r="L9255">
        <v>208</v>
      </c>
      <c r="M9255">
        <v>0</v>
      </c>
      <c r="N9255" s="98" t="str">
        <f>IF(record[[#This Row],[Memo]]="Browser:chrome os:android","平板報工",IF(record[[#This Row],[Memo]]=0,"委外",record[[#This Row],[Memo]]))</f>
        <v/>
      </c>
      <c r="O9255" t="s">
        <v>58</v>
      </c>
      <c r="P9255" t="s">
        <v>89</v>
      </c>
      <c r="Q9255" t="s">
        <v>58</v>
      </c>
      <c r="R9255" t="str">
        <f>IFERROR(VLOOKUP(record[[#This Row],[PCUSTID]],廠商[],2,FALSE),"")</f>
        <v/>
      </c>
      <c r="S9255" t="str">
        <f>VLOOKUP(record[[#This Row],[employeeID]],員工[],2,FALSE)</f>
        <v>李美蓮</v>
      </c>
    </row>
    <row r="9256" spans="6:19" hidden="1" x14ac:dyDescent="0.25">
      <c r="F9256" t="s">
        <v>854</v>
      </c>
      <c r="G9256" t="s">
        <v>414</v>
      </c>
      <c r="H9256" t="str">
        <f>VLOOKUP(record[[#This Row],[ProcessSN]],表格2_7[],2,FALSE)</f>
        <v>30-4118-018-5XX</v>
      </c>
      <c r="I9256" t="str">
        <f>VLOOKUP(record[[#This Row],[ProcessSN]],表格2_7[],3,FALSE)</f>
        <v>#03</v>
      </c>
      <c r="J9256" t="s">
        <v>588</v>
      </c>
      <c r="K9256" s="195">
        <v>45825.918333333335</v>
      </c>
      <c r="L9256">
        <v>231</v>
      </c>
      <c r="M9256">
        <v>0</v>
      </c>
      <c r="N9256" s="98" t="str">
        <f>IF(record[[#This Row],[Memo]]="Browser:chrome os:android","平板報工",IF(record[[#This Row],[Memo]]=0,"委外",record[[#This Row],[Memo]]))</f>
        <v/>
      </c>
      <c r="O9256" t="s">
        <v>58</v>
      </c>
      <c r="P9256" t="s">
        <v>806</v>
      </c>
      <c r="Q9256" t="s">
        <v>58</v>
      </c>
      <c r="R9256" t="str">
        <f>IFERROR(VLOOKUP(record[[#This Row],[PCUSTID]],廠商[],2,FALSE),"")</f>
        <v/>
      </c>
      <c r="S9256" t="str">
        <f>VLOOKUP(record[[#This Row],[employeeID]],員工[],2,FALSE)</f>
        <v>方思緯</v>
      </c>
    </row>
    <row r="9257" spans="6:19" hidden="1" x14ac:dyDescent="0.25">
      <c r="F9257" t="s">
        <v>825</v>
      </c>
      <c r="G9257" t="s">
        <v>470</v>
      </c>
      <c r="H9257" t="str">
        <f>VLOOKUP(record[[#This Row],[ProcessSN]],表格2_7[],2,FALSE)</f>
        <v>30-4118-018-XXX</v>
      </c>
      <c r="I9257" t="str">
        <f>VLOOKUP(record[[#This Row],[ProcessSN]],表格2_7[],3,FALSE)</f>
        <v>#02IQC</v>
      </c>
      <c r="J9257" t="s">
        <v>583</v>
      </c>
      <c r="K9257" s="195">
        <v>45825.803703703707</v>
      </c>
      <c r="L9257">
        <v>840</v>
      </c>
      <c r="M9257">
        <v>0</v>
      </c>
      <c r="N9257" s="98" t="str">
        <f>IF(record[[#This Row],[Memo]]="Browser:chrome os:android","平板報工",IF(record[[#This Row],[Memo]]=0,"委外",record[[#This Row],[Memo]]))</f>
        <v/>
      </c>
      <c r="O9257" t="s">
        <v>58</v>
      </c>
      <c r="P9257" t="s">
        <v>121</v>
      </c>
      <c r="Q9257" t="s">
        <v>58</v>
      </c>
      <c r="R9257" t="str">
        <f>IFERROR(VLOOKUP(record[[#This Row],[PCUSTID]],廠商[],2,FALSE),"")</f>
        <v/>
      </c>
      <c r="S9257" t="str">
        <f>VLOOKUP(record[[#This Row],[employeeID]],員工[],2,FALSE)</f>
        <v>謝素卿</v>
      </c>
    </row>
    <row r="9258" spans="6:19" hidden="1" x14ac:dyDescent="0.25">
      <c r="F9258" t="s">
        <v>854</v>
      </c>
      <c r="G9258" t="s">
        <v>417</v>
      </c>
      <c r="H9258" t="str">
        <f>VLOOKUP(record[[#This Row],[ProcessSN]],表格2_7[],2,FALSE)</f>
        <v>30-4118-018-5XX</v>
      </c>
      <c r="I9258" t="str">
        <f>VLOOKUP(record[[#This Row],[ProcessSN]],表格2_7[],3,FALSE)</f>
        <v>#06</v>
      </c>
      <c r="J9258" t="s">
        <v>593</v>
      </c>
      <c r="K9258" s="195">
        <v>45825.684629629628</v>
      </c>
      <c r="L9258">
        <v>36</v>
      </c>
      <c r="M9258">
        <v>0</v>
      </c>
      <c r="N9258" s="98" t="str">
        <f>IF(record[[#This Row],[Memo]]="Browser:chrome os:android","平板報工",IF(record[[#This Row],[Memo]]=0,"委外",record[[#This Row],[Memo]]))</f>
        <v/>
      </c>
      <c r="O9258" t="s">
        <v>58</v>
      </c>
      <c r="P9258" t="s">
        <v>101</v>
      </c>
      <c r="Q9258" t="s">
        <v>58</v>
      </c>
      <c r="R9258" t="str">
        <f>IFERROR(VLOOKUP(record[[#This Row],[PCUSTID]],廠商[],2,FALSE),"")</f>
        <v/>
      </c>
      <c r="S9258" t="str">
        <f>VLOOKUP(record[[#This Row],[employeeID]],員工[],2,FALSE)</f>
        <v>陳氏絨</v>
      </c>
    </row>
    <row r="9259" spans="6:19" hidden="1" x14ac:dyDescent="0.25">
      <c r="F9259" t="s">
        <v>854</v>
      </c>
      <c r="G9259" t="s">
        <v>414</v>
      </c>
      <c r="H9259" t="str">
        <f>VLOOKUP(record[[#This Row],[ProcessSN]],表格2_7[],2,FALSE)</f>
        <v>30-4118-018-5XX</v>
      </c>
      <c r="I9259" t="str">
        <f>VLOOKUP(record[[#This Row],[ProcessSN]],表格2_7[],3,FALSE)</f>
        <v>#03</v>
      </c>
      <c r="J9259" t="s">
        <v>588</v>
      </c>
      <c r="K9259" s="195">
        <v>45825.676620370374</v>
      </c>
      <c r="L9259">
        <v>504</v>
      </c>
      <c r="M9259">
        <v>0</v>
      </c>
      <c r="N9259" s="98" t="str">
        <f>IF(record[[#This Row],[Memo]]="Browser:chrome os:android","平板報工",IF(record[[#This Row],[Memo]]=0,"委外",record[[#This Row],[Memo]]))</f>
        <v/>
      </c>
      <c r="O9259" t="s">
        <v>58</v>
      </c>
      <c r="P9259" t="s">
        <v>101</v>
      </c>
      <c r="Q9259" t="s">
        <v>58</v>
      </c>
      <c r="R9259" t="str">
        <f>IFERROR(VLOOKUP(record[[#This Row],[PCUSTID]],廠商[],2,FALSE),"")</f>
        <v/>
      </c>
      <c r="S9259" t="str">
        <f>VLOOKUP(record[[#This Row],[employeeID]],員工[],2,FALSE)</f>
        <v>陳氏絨</v>
      </c>
    </row>
    <row r="9260" spans="6:19" hidden="1" x14ac:dyDescent="0.25">
      <c r="F9260" t="s">
        <v>854</v>
      </c>
      <c r="G9260" t="s">
        <v>416</v>
      </c>
      <c r="H9260" t="str">
        <f>VLOOKUP(record[[#This Row],[ProcessSN]],表格2_7[],2,FALSE)</f>
        <v>30-4118-018-5XX</v>
      </c>
      <c r="I9260" t="str">
        <f>VLOOKUP(record[[#This Row],[ProcessSN]],表格2_7[],3,FALSE)</f>
        <v>#05</v>
      </c>
      <c r="J9260" t="s">
        <v>588</v>
      </c>
      <c r="K9260" s="195">
        <v>45825.675254629627</v>
      </c>
      <c r="L9260">
        <v>120</v>
      </c>
      <c r="M9260">
        <v>0</v>
      </c>
      <c r="N9260" s="98" t="str">
        <f>IF(record[[#This Row],[Memo]]="Browser:chrome os:android","平板報工",IF(record[[#This Row],[Memo]]=0,"委外",record[[#This Row],[Memo]]))</f>
        <v/>
      </c>
      <c r="O9260" t="s">
        <v>58</v>
      </c>
      <c r="P9260" t="s">
        <v>101</v>
      </c>
      <c r="Q9260" t="s">
        <v>58</v>
      </c>
      <c r="R9260" t="str">
        <f>IFERROR(VLOOKUP(record[[#This Row],[PCUSTID]],廠商[],2,FALSE),"")</f>
        <v/>
      </c>
      <c r="S9260" t="str">
        <f>VLOOKUP(record[[#This Row],[employeeID]],員工[],2,FALSE)</f>
        <v>陳氏絨</v>
      </c>
    </row>
    <row r="9261" spans="6:19" hidden="1" x14ac:dyDescent="0.25">
      <c r="F9261" t="s">
        <v>854</v>
      </c>
      <c r="G9261" t="s">
        <v>415</v>
      </c>
      <c r="H9261" t="str">
        <f>VLOOKUP(record[[#This Row],[ProcessSN]],表格2_7[],2,FALSE)</f>
        <v>30-4118-018-5XX</v>
      </c>
      <c r="I9261" t="str">
        <f>VLOOKUP(record[[#This Row],[ProcessSN]],表格2_7[],3,FALSE)</f>
        <v>#04</v>
      </c>
      <c r="J9261" t="s">
        <v>588</v>
      </c>
      <c r="K9261" s="195">
        <v>45825.674629629626</v>
      </c>
      <c r="L9261">
        <v>110</v>
      </c>
      <c r="M9261">
        <v>6</v>
      </c>
      <c r="N9261" s="98" t="str">
        <f>IF(record[[#This Row],[Memo]]="Browser:chrome os:android","平板報工",IF(record[[#This Row],[Memo]]=0,"委外",record[[#This Row],[Memo]]))</f>
        <v/>
      </c>
      <c r="O9261" t="s">
        <v>58</v>
      </c>
      <c r="P9261" t="s">
        <v>101</v>
      </c>
      <c r="Q9261" t="s">
        <v>58</v>
      </c>
      <c r="R9261" t="str">
        <f>IFERROR(VLOOKUP(record[[#This Row],[PCUSTID]],廠商[],2,FALSE),"")</f>
        <v/>
      </c>
      <c r="S9261" t="str">
        <f>VLOOKUP(record[[#This Row],[employeeID]],員工[],2,FALSE)</f>
        <v>陳氏絨</v>
      </c>
    </row>
    <row r="9262" spans="6:19" hidden="1" x14ac:dyDescent="0.25">
      <c r="F9262" t="s">
        <v>858</v>
      </c>
      <c r="G9262" t="s">
        <v>397</v>
      </c>
      <c r="H9262" t="str">
        <f>VLOOKUP(record[[#This Row],[ProcessSN]],表格2_7[],2,FALSE)</f>
        <v>30-4118-018-550</v>
      </c>
      <c r="I9262" t="str">
        <f>VLOOKUP(record[[#This Row],[ProcessSN]],表格2_7[],3,FALSE)</f>
        <v>#08</v>
      </c>
      <c r="J9262" t="s">
        <v>597</v>
      </c>
      <c r="K9262" s="195">
        <v>45825.587731481479</v>
      </c>
      <c r="L9262">
        <v>227</v>
      </c>
      <c r="M9262">
        <v>0</v>
      </c>
      <c r="N9262" s="98" t="str">
        <f>IF(record[[#This Row],[Memo]]="Browser:chrome os:android","平板報工",IF(record[[#This Row],[Memo]]=0,"委外",record[[#This Row],[Memo]]))</f>
        <v/>
      </c>
      <c r="O9262" t="s">
        <v>58</v>
      </c>
      <c r="P9262" t="s">
        <v>186</v>
      </c>
      <c r="Q9262" t="s">
        <v>287</v>
      </c>
      <c r="R9262" t="str">
        <f>IFERROR(VLOOKUP(record[[#This Row],[PCUSTID]],廠商[],2,FALSE),"")</f>
        <v>泉盛</v>
      </c>
      <c r="S9262" t="str">
        <f>VLOOKUP(record[[#This Row],[employeeID]],員工[],2,FALSE)</f>
        <v>許文姍</v>
      </c>
    </row>
    <row r="9263" spans="6:19" hidden="1" x14ac:dyDescent="0.25">
      <c r="F9263" t="s">
        <v>832</v>
      </c>
      <c r="G9263" t="s">
        <v>398</v>
      </c>
      <c r="H9263" t="str">
        <f>VLOOKUP(record[[#This Row],[ProcessSN]],表格2_7[],2,FALSE)</f>
        <v>30-4118-018-550</v>
      </c>
      <c r="I9263" t="str">
        <f>VLOOKUP(record[[#This Row],[ProcessSN]],表格2_7[],3,FALSE)</f>
        <v>#08RCV</v>
      </c>
      <c r="J9263" t="s">
        <v>591</v>
      </c>
      <c r="K9263" s="195">
        <v>45825.551238425927</v>
      </c>
      <c r="L9263">
        <v>0</v>
      </c>
      <c r="M9263">
        <v>22</v>
      </c>
      <c r="N9263" s="98" t="str">
        <f>IF(record[[#This Row],[Memo]]="Browser:chrome os:android","平板報工",IF(record[[#This Row],[Memo]]=0,"委外",record[[#This Row],[Memo]]))</f>
        <v/>
      </c>
      <c r="O9263" t="s">
        <v>58</v>
      </c>
      <c r="P9263" t="s">
        <v>186</v>
      </c>
      <c r="Q9263" t="s">
        <v>58</v>
      </c>
      <c r="R9263" t="str">
        <f>IFERROR(VLOOKUP(record[[#This Row],[PCUSTID]],廠商[],2,FALSE),"")</f>
        <v/>
      </c>
      <c r="S9263" t="str">
        <f>VLOOKUP(record[[#This Row],[employeeID]],員工[],2,FALSE)</f>
        <v>許文姍</v>
      </c>
    </row>
    <row r="9264" spans="6:19" hidden="1" x14ac:dyDescent="0.25">
      <c r="F9264" t="s">
        <v>858</v>
      </c>
      <c r="G9264" t="s">
        <v>396</v>
      </c>
      <c r="H9264" t="str">
        <f>VLOOKUP(record[[#This Row],[ProcessSN]],表格2_7[],2,FALSE)</f>
        <v>30-4118-018-550</v>
      </c>
      <c r="I9264" t="str">
        <f>VLOOKUP(record[[#This Row],[ProcessSN]],表格2_7[],3,FALSE)</f>
        <v>#08PICK</v>
      </c>
      <c r="J9264" t="s">
        <v>582</v>
      </c>
      <c r="K9264" s="195">
        <v>45825.484907407408</v>
      </c>
      <c r="L9264">
        <v>227</v>
      </c>
      <c r="M9264">
        <v>0</v>
      </c>
      <c r="N9264" s="98" t="str">
        <f>IF(record[[#This Row],[Memo]]="Browser:chrome os:android","平板報工",IF(record[[#This Row],[Memo]]=0,"委外",record[[#This Row],[Memo]]))</f>
        <v/>
      </c>
      <c r="O9264" t="s">
        <v>58</v>
      </c>
      <c r="P9264" t="s">
        <v>113</v>
      </c>
      <c r="Q9264" t="s">
        <v>58</v>
      </c>
      <c r="R9264" t="str">
        <f>IFERROR(VLOOKUP(record[[#This Row],[PCUSTID]],廠商[],2,FALSE),"")</f>
        <v/>
      </c>
      <c r="S9264" t="str">
        <f>VLOOKUP(record[[#This Row],[employeeID]],員工[],2,FALSE)</f>
        <v>王奕蓁</v>
      </c>
    </row>
    <row r="9265" spans="6:19" hidden="1" x14ac:dyDescent="0.25">
      <c r="F9265" t="s">
        <v>778</v>
      </c>
      <c r="G9265" t="s">
        <v>420</v>
      </c>
      <c r="H9265" t="str">
        <f>VLOOKUP(record[[#This Row],[ProcessSN]],表格2_7[],2,FALSE)</f>
        <v>30-4118-018-5XX</v>
      </c>
      <c r="I9265" t="str">
        <f>VLOOKUP(record[[#This Row],[ProcessSN]],表格2_7[],3,FALSE)</f>
        <v>#07STOCK</v>
      </c>
      <c r="J9265" t="s">
        <v>592</v>
      </c>
      <c r="K9265" s="195">
        <v>45825.482905092591</v>
      </c>
      <c r="L9265">
        <v>5</v>
      </c>
      <c r="M9265">
        <v>0</v>
      </c>
      <c r="N9265" s="98" t="str">
        <f>IF(record[[#This Row],[Memo]]="Browser:chrome os:android","平板報工",IF(record[[#This Row],[Memo]]=0,"委外",record[[#This Row],[Memo]]))</f>
        <v/>
      </c>
      <c r="O9265" t="s">
        <v>58</v>
      </c>
      <c r="P9265" t="s">
        <v>113</v>
      </c>
      <c r="Q9265" t="s">
        <v>58</v>
      </c>
      <c r="R9265" t="str">
        <f>IFERROR(VLOOKUP(record[[#This Row],[PCUSTID]],廠商[],2,FALSE),"")</f>
        <v/>
      </c>
      <c r="S9265" t="str">
        <f>VLOOKUP(record[[#This Row],[employeeID]],員工[],2,FALSE)</f>
        <v>王奕蓁</v>
      </c>
    </row>
    <row r="9266" spans="6:19" hidden="1" x14ac:dyDescent="0.25">
      <c r="F9266" t="s">
        <v>834</v>
      </c>
      <c r="G9266" t="s">
        <v>398</v>
      </c>
      <c r="H9266" t="str">
        <f>VLOOKUP(record[[#This Row],[ProcessSN]],表格2_7[],2,FALSE)</f>
        <v>30-4118-018-550</v>
      </c>
      <c r="I9266" t="str">
        <f>VLOOKUP(record[[#This Row],[ProcessSN]],表格2_7[],3,FALSE)</f>
        <v>#08RCV</v>
      </c>
      <c r="J9266" t="s">
        <v>591</v>
      </c>
      <c r="K9266" s="195">
        <v>45825.471782407411</v>
      </c>
      <c r="L9266">
        <v>0</v>
      </c>
      <c r="M9266">
        <v>37</v>
      </c>
      <c r="N9266" s="98" t="str">
        <f>IF(record[[#This Row],[Memo]]="Browser:chrome os:android","平板報工",IF(record[[#This Row],[Memo]]=0,"委外",record[[#This Row],[Memo]]))</f>
        <v/>
      </c>
      <c r="O9266" t="s">
        <v>58</v>
      </c>
      <c r="P9266" t="s">
        <v>186</v>
      </c>
      <c r="Q9266" t="s">
        <v>58</v>
      </c>
      <c r="R9266" t="str">
        <f>IFERROR(VLOOKUP(record[[#This Row],[PCUSTID]],廠商[],2,FALSE),"")</f>
        <v/>
      </c>
      <c r="S9266" t="str">
        <f>VLOOKUP(record[[#This Row],[employeeID]],員工[],2,FALSE)</f>
        <v>許文姍</v>
      </c>
    </row>
    <row r="9267" spans="6:19" hidden="1" x14ac:dyDescent="0.25">
      <c r="F9267" t="s">
        <v>820</v>
      </c>
      <c r="G9267" t="s">
        <v>428</v>
      </c>
      <c r="H9267" t="str">
        <f>VLOOKUP(record[[#This Row],[ProcessSN]],表格2_7[],2,FALSE)</f>
        <v>30-4118-018-600</v>
      </c>
      <c r="I9267" t="str">
        <f>VLOOKUP(record[[#This Row],[ProcessSN]],表格2_7[],3,FALSE)</f>
        <v>#100SHIP</v>
      </c>
      <c r="J9267" t="s">
        <v>600</v>
      </c>
      <c r="K9267" s="195">
        <v>45825.460821759261</v>
      </c>
      <c r="L9267">
        <v>35</v>
      </c>
      <c r="M9267">
        <v>0</v>
      </c>
      <c r="N9267" s="98" t="str">
        <f>IF(record[[#This Row],[Memo]]="Browser:chrome os:android","平板報工",IF(record[[#This Row],[Memo]]=0,"委外",record[[#This Row],[Memo]]))</f>
        <v/>
      </c>
      <c r="O9267" t="s">
        <v>58</v>
      </c>
      <c r="P9267" t="s">
        <v>196</v>
      </c>
      <c r="Q9267" t="s">
        <v>58</v>
      </c>
      <c r="R9267" t="str">
        <f>IFERROR(VLOOKUP(record[[#This Row],[PCUSTID]],廠商[],2,FALSE),"")</f>
        <v/>
      </c>
      <c r="S9267" t="str">
        <f>VLOOKUP(record[[#This Row],[employeeID]],員工[],2,FALSE)</f>
        <v>張淑惠</v>
      </c>
    </row>
    <row r="9268" spans="6:19" hidden="1" x14ac:dyDescent="0.25">
      <c r="F9268" t="s">
        <v>825</v>
      </c>
      <c r="G9268" t="s">
        <v>469</v>
      </c>
      <c r="H9268" t="str">
        <f>VLOOKUP(record[[#This Row],[ProcessSN]],表格2_7[],2,FALSE)</f>
        <v>30-4118-018-XXX</v>
      </c>
      <c r="I9268" t="str">
        <f>VLOOKUP(record[[#This Row],[ProcessSN]],表格2_7[],3,FALSE)</f>
        <v>#02RCV</v>
      </c>
      <c r="J9268" t="s">
        <v>591</v>
      </c>
      <c r="K9268" s="195">
        <v>45825.412037037036</v>
      </c>
      <c r="L9268">
        <v>840</v>
      </c>
      <c r="M9268">
        <v>0</v>
      </c>
      <c r="N9268" s="98" t="str">
        <f>IF(record[[#This Row],[Memo]]="Browser:chrome os:android","平板報工",IF(record[[#This Row],[Memo]]=0,"委外",record[[#This Row],[Memo]]))</f>
        <v/>
      </c>
      <c r="O9268" t="s">
        <v>58</v>
      </c>
      <c r="P9268" t="s">
        <v>186</v>
      </c>
      <c r="Q9268" t="s">
        <v>58</v>
      </c>
      <c r="R9268" t="str">
        <f>IFERROR(VLOOKUP(record[[#This Row],[PCUSTID]],廠商[],2,FALSE),"")</f>
        <v/>
      </c>
      <c r="S9268" t="str">
        <f>VLOOKUP(record[[#This Row],[employeeID]],員工[],2,FALSE)</f>
        <v>許文姍</v>
      </c>
    </row>
    <row r="9269" spans="6:19" hidden="1" x14ac:dyDescent="0.25">
      <c r="F9269" t="s">
        <v>825</v>
      </c>
      <c r="G9269" t="s">
        <v>471</v>
      </c>
      <c r="H9269" t="str">
        <f>VLOOKUP(record[[#This Row],[ProcessSN]],表格2_7[],2,FALSE)</f>
        <v>30-4118-018-XXX</v>
      </c>
      <c r="I9269" t="str">
        <f>VLOOKUP(record[[#This Row],[ProcessSN]],表格2_7[],3,FALSE)</f>
        <v>#02STOCK</v>
      </c>
      <c r="J9269" t="s">
        <v>592</v>
      </c>
      <c r="K9269" s="195">
        <v>45825.398009259261</v>
      </c>
      <c r="L9269">
        <v>672</v>
      </c>
      <c r="M9269">
        <v>0</v>
      </c>
      <c r="N9269" s="98" t="str">
        <f>IF(record[[#This Row],[Memo]]="Browser:chrome os:android","平板報工",IF(record[[#This Row],[Memo]]=0,"委外",record[[#This Row],[Memo]]))</f>
        <v/>
      </c>
      <c r="O9269" t="s">
        <v>58</v>
      </c>
      <c r="P9269" t="s">
        <v>208</v>
      </c>
      <c r="Q9269" t="s">
        <v>58</v>
      </c>
      <c r="R9269" t="str">
        <f>IFERROR(VLOOKUP(record[[#This Row],[PCUSTID]],廠商[],2,FALSE),"")</f>
        <v/>
      </c>
      <c r="S9269" t="str">
        <f>VLOOKUP(record[[#This Row],[employeeID]],員工[],2,FALSE)</f>
        <v>陳治宏</v>
      </c>
    </row>
    <row r="9270" spans="6:19" hidden="1" x14ac:dyDescent="0.25">
      <c r="F9270" t="s">
        <v>825</v>
      </c>
      <c r="G9270" t="s">
        <v>468</v>
      </c>
      <c r="H9270" t="str">
        <f>VLOOKUP(record[[#This Row],[ProcessSN]],表格2_7[],2,FALSE)</f>
        <v>30-4118-018-XXX</v>
      </c>
      <c r="I9270" t="str">
        <f>VLOOKUP(record[[#This Row],[ProcessSN]],表格2_7[],3,FALSE)</f>
        <v>#02</v>
      </c>
      <c r="J9270" t="s">
        <v>590</v>
      </c>
      <c r="K9270" s="195">
        <v>45825.386412037034</v>
      </c>
      <c r="L9270">
        <v>328</v>
      </c>
      <c r="M9270">
        <v>0</v>
      </c>
      <c r="N9270" s="98" t="str">
        <f>IF(record[[#This Row],[Memo]]="Browser:chrome os:android","平板報工",IF(record[[#This Row],[Memo]]=0,"委外",record[[#This Row],[Memo]]))</f>
        <v/>
      </c>
      <c r="O9270" t="s">
        <v>58</v>
      </c>
      <c r="P9270" t="s">
        <v>186</v>
      </c>
      <c r="Q9270" t="s">
        <v>216</v>
      </c>
      <c r="R9270" t="str">
        <f>IFERROR(VLOOKUP(record[[#This Row],[PCUSTID]],廠商[],2,FALSE),"")</f>
        <v>俊杰</v>
      </c>
      <c r="S9270" t="str">
        <f>VLOOKUP(record[[#This Row],[employeeID]],員工[],2,FALSE)</f>
        <v>許文姍</v>
      </c>
    </row>
    <row r="9271" spans="6:19" hidden="1" x14ac:dyDescent="0.25">
      <c r="F9271" t="s">
        <v>825</v>
      </c>
      <c r="G9271" t="s">
        <v>467</v>
      </c>
      <c r="H9271" t="str">
        <f>VLOOKUP(record[[#This Row],[ProcessSN]],表格2_7[],2,FALSE)</f>
        <v>30-4118-018-XXX</v>
      </c>
      <c r="I9271" t="str">
        <f>VLOOKUP(record[[#This Row],[ProcessSN]],表格2_7[],3,FALSE)</f>
        <v>#01QC</v>
      </c>
      <c r="J9271" t="s">
        <v>589</v>
      </c>
      <c r="K9271" s="195">
        <v>45825.386319444442</v>
      </c>
      <c r="L9271">
        <v>328</v>
      </c>
      <c r="M9271">
        <v>0</v>
      </c>
      <c r="N9271" s="98" t="str">
        <f>IF(record[[#This Row],[Memo]]="Browser:chrome os:android","平板報工",IF(record[[#This Row],[Memo]]=0,"委外",record[[#This Row],[Memo]]))</f>
        <v/>
      </c>
      <c r="O9271" t="s">
        <v>58</v>
      </c>
      <c r="P9271" t="s">
        <v>186</v>
      </c>
      <c r="Q9271" t="s">
        <v>58</v>
      </c>
      <c r="R9271" t="str">
        <f>IFERROR(VLOOKUP(record[[#This Row],[PCUSTID]],廠商[],2,FALSE),"")</f>
        <v/>
      </c>
      <c r="S9271" t="str">
        <f>VLOOKUP(record[[#This Row],[employeeID]],員工[],2,FALSE)</f>
        <v>許文姍</v>
      </c>
    </row>
    <row r="9272" spans="6:19" hidden="1" x14ac:dyDescent="0.25">
      <c r="F9272" t="s">
        <v>854</v>
      </c>
      <c r="G9272" t="s">
        <v>413</v>
      </c>
      <c r="H9272" t="str">
        <f>VLOOKUP(record[[#This Row],[ProcessSN]],表格2_7[],2,FALSE)</f>
        <v>30-4118-018-5XX</v>
      </c>
      <c r="I9272" t="str">
        <f>VLOOKUP(record[[#This Row],[ProcessSN]],表格2_7[],3,FALSE)</f>
        <v>#03GIVE</v>
      </c>
      <c r="J9272" t="s">
        <v>587</v>
      </c>
      <c r="K9272" s="195">
        <v>45825.334641203706</v>
      </c>
      <c r="L9272">
        <v>672</v>
      </c>
      <c r="M9272">
        <v>0</v>
      </c>
      <c r="N9272" s="98" t="str">
        <f>IF(record[[#This Row],[Memo]]="Browser:chrome os:android","平板報工",IF(record[[#This Row],[Memo]]=0,"委外",record[[#This Row],[Memo]]))</f>
        <v/>
      </c>
      <c r="O9272" t="s">
        <v>58</v>
      </c>
      <c r="P9272" t="s">
        <v>208</v>
      </c>
      <c r="Q9272" t="s">
        <v>58</v>
      </c>
      <c r="R9272" t="str">
        <f>IFERROR(VLOOKUP(record[[#This Row],[PCUSTID]],廠商[],2,FALSE),"")</f>
        <v/>
      </c>
      <c r="S9272" t="str">
        <f>VLOOKUP(record[[#This Row],[employeeID]],員工[],2,FALSE)</f>
        <v>陳治宏</v>
      </c>
    </row>
    <row r="9273" spans="6:19" hidden="1" x14ac:dyDescent="0.25">
      <c r="F9273" t="s">
        <v>854</v>
      </c>
      <c r="G9273" t="s">
        <v>415</v>
      </c>
      <c r="H9273" t="str">
        <f>VLOOKUP(record[[#This Row],[ProcessSN]],表格2_7[],2,FALSE)</f>
        <v>30-4118-018-5XX</v>
      </c>
      <c r="I9273" t="str">
        <f>VLOOKUP(record[[#This Row],[ProcessSN]],表格2_7[],3,FALSE)</f>
        <v>#04</v>
      </c>
      <c r="J9273" t="s">
        <v>588</v>
      </c>
      <c r="K9273" s="195">
        <v>45825.318032407406</v>
      </c>
      <c r="L9273">
        <v>138</v>
      </c>
      <c r="M9273">
        <v>2</v>
      </c>
      <c r="N9273" s="98" t="str">
        <f>IF(record[[#This Row],[Memo]]="Browser:chrome os:android","平板報工",IF(record[[#This Row],[Memo]]=0,"委外",record[[#This Row],[Memo]]))</f>
        <v/>
      </c>
      <c r="O9273" t="s">
        <v>58</v>
      </c>
      <c r="P9273" t="s">
        <v>135</v>
      </c>
      <c r="Q9273" t="s">
        <v>58</v>
      </c>
      <c r="R9273" t="str">
        <f>IFERROR(VLOOKUP(record[[#This Row],[PCUSTID]],廠商[],2,FALSE),"")</f>
        <v/>
      </c>
      <c r="S9273" t="str">
        <f>VLOOKUP(record[[#This Row],[employeeID]],員工[],2,FALSE)</f>
        <v>阮士文</v>
      </c>
    </row>
    <row r="9274" spans="6:19" hidden="1" x14ac:dyDescent="0.25">
      <c r="F9274" t="s">
        <v>854</v>
      </c>
      <c r="G9274" t="s">
        <v>415</v>
      </c>
      <c r="H9274" t="str">
        <f>VLOOKUP(record[[#This Row],[ProcessSN]],表格2_7[],2,FALSE)</f>
        <v>30-4118-018-5XX</v>
      </c>
      <c r="I9274" t="str">
        <f>VLOOKUP(record[[#This Row],[ProcessSN]],表格2_7[],3,FALSE)</f>
        <v>#04</v>
      </c>
      <c r="J9274" t="s">
        <v>588</v>
      </c>
      <c r="K9274" s="195">
        <v>45824.982430555552</v>
      </c>
      <c r="L9274">
        <v>60</v>
      </c>
      <c r="M9274">
        <v>0</v>
      </c>
      <c r="N9274" s="98" t="str">
        <f>IF(record[[#This Row],[Memo]]="Browser:chrome os:android","平板報工",IF(record[[#This Row],[Memo]]=0,"委外",record[[#This Row],[Memo]]))</f>
        <v/>
      </c>
      <c r="O9274" t="s">
        <v>58</v>
      </c>
      <c r="P9274" t="s">
        <v>89</v>
      </c>
      <c r="Q9274" t="s">
        <v>58</v>
      </c>
      <c r="R9274" t="str">
        <f>IFERROR(VLOOKUP(record[[#This Row],[PCUSTID]],廠商[],2,FALSE),"")</f>
        <v/>
      </c>
      <c r="S9274" t="str">
        <f>VLOOKUP(record[[#This Row],[employeeID]],員工[],2,FALSE)</f>
        <v>李美蓮</v>
      </c>
    </row>
    <row r="9275" spans="6:19" hidden="1" x14ac:dyDescent="0.25">
      <c r="F9275" t="s">
        <v>854</v>
      </c>
      <c r="G9275" t="s">
        <v>414</v>
      </c>
      <c r="H9275" t="str">
        <f>VLOOKUP(record[[#This Row],[ProcessSN]],表格2_7[],2,FALSE)</f>
        <v>30-4118-018-5XX</v>
      </c>
      <c r="I9275" t="str">
        <f>VLOOKUP(record[[#This Row],[ProcessSN]],表格2_7[],3,FALSE)</f>
        <v>#03</v>
      </c>
      <c r="J9275" t="s">
        <v>588</v>
      </c>
      <c r="K9275" s="195">
        <v>45824.981446759259</v>
      </c>
      <c r="L9275">
        <v>168</v>
      </c>
      <c r="M9275">
        <v>0</v>
      </c>
      <c r="N9275" s="98" t="str">
        <f>IF(record[[#This Row],[Memo]]="Browser:chrome os:android","平板報工",IF(record[[#This Row],[Memo]]=0,"委外",record[[#This Row],[Memo]]))</f>
        <v/>
      </c>
      <c r="O9275" t="s">
        <v>58</v>
      </c>
      <c r="P9275" t="s">
        <v>806</v>
      </c>
      <c r="Q9275" t="s">
        <v>58</v>
      </c>
      <c r="R9275" t="str">
        <f>IFERROR(VLOOKUP(record[[#This Row],[PCUSTID]],廠商[],2,FALSE),"")</f>
        <v/>
      </c>
      <c r="S9275" t="str">
        <f>VLOOKUP(record[[#This Row],[employeeID]],員工[],2,FALSE)</f>
        <v>方思緯</v>
      </c>
    </row>
    <row r="9276" spans="6:19" hidden="1" x14ac:dyDescent="0.25">
      <c r="F9276" t="s">
        <v>825</v>
      </c>
      <c r="G9276" t="s">
        <v>470</v>
      </c>
      <c r="H9276" t="str">
        <f>VLOOKUP(record[[#This Row],[ProcessSN]],表格2_7[],2,FALSE)</f>
        <v>30-4118-018-XXX</v>
      </c>
      <c r="I9276" t="str">
        <f>VLOOKUP(record[[#This Row],[ProcessSN]],表格2_7[],3,FALSE)</f>
        <v>#02IQC</v>
      </c>
      <c r="J9276" t="s">
        <v>583</v>
      </c>
      <c r="K9276" s="195">
        <v>45824.718101851853</v>
      </c>
      <c r="L9276">
        <v>672</v>
      </c>
      <c r="M9276">
        <v>0</v>
      </c>
      <c r="N9276" s="98" t="str">
        <f>IF(record[[#This Row],[Memo]]="Browser:chrome os:android","平板報工",IF(record[[#This Row],[Memo]]=0,"委外",record[[#This Row],[Memo]]))</f>
        <v/>
      </c>
      <c r="O9276" t="s">
        <v>58</v>
      </c>
      <c r="P9276" t="s">
        <v>105</v>
      </c>
      <c r="Q9276" t="s">
        <v>58</v>
      </c>
      <c r="R9276" t="str">
        <f>IFERROR(VLOOKUP(record[[#This Row],[PCUSTID]],廠商[],2,FALSE),"")</f>
        <v/>
      </c>
      <c r="S9276" t="str">
        <f>VLOOKUP(record[[#This Row],[employeeID]],員工[],2,FALSE)</f>
        <v>盧詣函</v>
      </c>
    </row>
    <row r="9277" spans="6:19" hidden="1" x14ac:dyDescent="0.25">
      <c r="F9277" t="s">
        <v>778</v>
      </c>
      <c r="G9277" t="s">
        <v>419</v>
      </c>
      <c r="H9277" t="str">
        <f>VLOOKUP(record[[#This Row],[ProcessSN]],表格2_7[],2,FALSE)</f>
        <v>30-4118-018-5XX</v>
      </c>
      <c r="I9277" t="str">
        <f>VLOOKUP(record[[#This Row],[ProcessSN]],表格2_7[],3,FALSE)</f>
        <v>#07QC</v>
      </c>
      <c r="J9277" t="s">
        <v>589</v>
      </c>
      <c r="K9277" s="195">
        <v>45824.68513888889</v>
      </c>
      <c r="L9277">
        <v>3</v>
      </c>
      <c r="M9277">
        <v>0</v>
      </c>
      <c r="N9277" s="98" t="str">
        <f>IF(record[[#This Row],[Memo]]="Browser:chrome os:android","平板報工",IF(record[[#This Row],[Memo]]=0,"委外",record[[#This Row],[Memo]]))</f>
        <v/>
      </c>
      <c r="O9277" t="s">
        <v>58</v>
      </c>
      <c r="P9277" t="s">
        <v>141</v>
      </c>
      <c r="Q9277" t="s">
        <v>58</v>
      </c>
      <c r="R9277" t="str">
        <f>IFERROR(VLOOKUP(record[[#This Row],[PCUSTID]],廠商[],2,FALSE),"")</f>
        <v/>
      </c>
      <c r="S9277" t="str">
        <f>VLOOKUP(record[[#This Row],[employeeID]],員工[],2,FALSE)</f>
        <v>蔣梅</v>
      </c>
    </row>
    <row r="9278" spans="6:19" hidden="1" x14ac:dyDescent="0.25">
      <c r="F9278" t="s">
        <v>825</v>
      </c>
      <c r="G9278" t="s">
        <v>466</v>
      </c>
      <c r="H9278" t="str">
        <f>VLOOKUP(record[[#This Row],[ProcessSN]],表格2_7[],2,FALSE)</f>
        <v>30-4118-018-XXX</v>
      </c>
      <c r="I9278" t="str">
        <f>VLOOKUP(record[[#This Row],[ProcessSN]],表格2_7[],3,FALSE)</f>
        <v>#01-2</v>
      </c>
      <c r="J9278" t="s">
        <v>588</v>
      </c>
      <c r="K9278" s="195">
        <v>45824.673680555556</v>
      </c>
      <c r="L9278">
        <v>450</v>
      </c>
      <c r="M9278">
        <v>0</v>
      </c>
      <c r="N9278" s="98" t="str">
        <f>IF(record[[#This Row],[Memo]]="Browser:chrome os:android","平板報工",IF(record[[#This Row],[Memo]]=0,"委外",record[[#This Row],[Memo]]))</f>
        <v/>
      </c>
      <c r="O9278" t="s">
        <v>58</v>
      </c>
      <c r="P9278" t="s">
        <v>101</v>
      </c>
      <c r="Q9278" t="s">
        <v>58</v>
      </c>
      <c r="R9278" t="str">
        <f>IFERROR(VLOOKUP(record[[#This Row],[PCUSTID]],廠商[],2,FALSE),"")</f>
        <v/>
      </c>
      <c r="S9278" t="str">
        <f>VLOOKUP(record[[#This Row],[employeeID]],員工[],2,FALSE)</f>
        <v>陳氏絨</v>
      </c>
    </row>
    <row r="9279" spans="6:19" hidden="1" x14ac:dyDescent="0.25">
      <c r="F9279" t="s">
        <v>854</v>
      </c>
      <c r="G9279" t="s">
        <v>414</v>
      </c>
      <c r="H9279" t="str">
        <f>VLOOKUP(record[[#This Row],[ProcessSN]],表格2_7[],2,FALSE)</f>
        <v>30-4118-018-5XX</v>
      </c>
      <c r="I9279" t="str">
        <f>VLOOKUP(record[[#This Row],[ProcessSN]],表格2_7[],3,FALSE)</f>
        <v>#03</v>
      </c>
      <c r="J9279" t="s">
        <v>588</v>
      </c>
      <c r="K9279" s="195">
        <v>45824.673229166663</v>
      </c>
      <c r="L9279">
        <v>168</v>
      </c>
      <c r="M9279">
        <v>0</v>
      </c>
      <c r="N9279" s="98" t="str">
        <f>IF(record[[#This Row],[Memo]]="Browser:chrome os:android","平板報工",IF(record[[#This Row],[Memo]]=0,"委外",record[[#This Row],[Memo]]))</f>
        <v/>
      </c>
      <c r="O9279" t="s">
        <v>58</v>
      </c>
      <c r="P9279" t="s">
        <v>101</v>
      </c>
      <c r="Q9279" t="s">
        <v>58</v>
      </c>
      <c r="R9279" t="str">
        <f>IFERROR(VLOOKUP(record[[#This Row],[PCUSTID]],廠商[],2,FALSE),"")</f>
        <v/>
      </c>
      <c r="S9279" t="str">
        <f>VLOOKUP(record[[#This Row],[employeeID]],員工[],2,FALSE)</f>
        <v>陳氏絨</v>
      </c>
    </row>
    <row r="9280" spans="6:19" hidden="1" x14ac:dyDescent="0.25">
      <c r="F9280" t="s">
        <v>847</v>
      </c>
      <c r="G9280" t="s">
        <v>400</v>
      </c>
      <c r="H9280" t="str">
        <f>VLOOKUP(record[[#This Row],[ProcessSN]],表格2_7[],2,FALSE)</f>
        <v>30-4118-018-550</v>
      </c>
      <c r="I9280" t="str">
        <f>VLOOKUP(record[[#This Row],[ProcessSN]],表格2_7[],3,FALSE)</f>
        <v>#100</v>
      </c>
      <c r="J9280" t="s">
        <v>598</v>
      </c>
      <c r="K9280" s="195">
        <v>45824.66306712963</v>
      </c>
      <c r="L9280">
        <v>176</v>
      </c>
      <c r="M9280">
        <v>0</v>
      </c>
      <c r="N9280" s="98" t="str">
        <f>IF(record[[#This Row],[Memo]]="Browser:chrome os:android","平板報工",IF(record[[#This Row],[Memo]]=0,"委外",record[[#This Row],[Memo]]))</f>
        <v>平板報工</v>
      </c>
      <c r="O9280" t="s">
        <v>643</v>
      </c>
      <c r="P9280" t="s">
        <v>141</v>
      </c>
      <c r="Q9280" t="s">
        <v>644</v>
      </c>
      <c r="R9280" t="str">
        <f>IFERROR(VLOOKUP(record[[#This Row],[PCUSTID]],廠商[],2,FALSE),"")</f>
        <v/>
      </c>
      <c r="S9280" t="str">
        <f>VLOOKUP(record[[#This Row],[employeeID]],員工[],2,FALSE)</f>
        <v>蔣梅</v>
      </c>
    </row>
    <row r="9281" spans="6:19" hidden="1" x14ac:dyDescent="0.25">
      <c r="F9281" t="s">
        <v>840</v>
      </c>
      <c r="G9281" t="s">
        <v>400</v>
      </c>
      <c r="H9281" t="str">
        <f>VLOOKUP(record[[#This Row],[ProcessSN]],表格2_7[],2,FALSE)</f>
        <v>30-4118-018-550</v>
      </c>
      <c r="I9281" t="str">
        <f>VLOOKUP(record[[#This Row],[ProcessSN]],表格2_7[],3,FALSE)</f>
        <v>#100</v>
      </c>
      <c r="J9281" t="s">
        <v>598</v>
      </c>
      <c r="K9281" s="195">
        <v>45824.662569444445</v>
      </c>
      <c r="L9281">
        <v>164</v>
      </c>
      <c r="M9281">
        <v>0</v>
      </c>
      <c r="N9281" s="98" t="str">
        <f>IF(record[[#This Row],[Memo]]="Browser:chrome os:android","平板報工",IF(record[[#This Row],[Memo]]=0,"委外",record[[#This Row],[Memo]]))</f>
        <v>平板報工</v>
      </c>
      <c r="O9281" t="s">
        <v>643</v>
      </c>
      <c r="P9281" t="s">
        <v>141</v>
      </c>
      <c r="Q9281" t="s">
        <v>644</v>
      </c>
      <c r="R9281" t="str">
        <f>IFERROR(VLOOKUP(record[[#This Row],[PCUSTID]],廠商[],2,FALSE),"")</f>
        <v/>
      </c>
      <c r="S9281" t="str">
        <f>VLOOKUP(record[[#This Row],[employeeID]],員工[],2,FALSE)</f>
        <v>蔣梅</v>
      </c>
    </row>
    <row r="9282" spans="6:19" hidden="1" x14ac:dyDescent="0.25">
      <c r="F9282" t="s">
        <v>825</v>
      </c>
      <c r="G9282" t="s">
        <v>471</v>
      </c>
      <c r="H9282" t="str">
        <f>VLOOKUP(record[[#This Row],[ProcessSN]],表格2_7[],2,FALSE)</f>
        <v>30-4118-018-XXX</v>
      </c>
      <c r="I9282" t="str">
        <f>VLOOKUP(record[[#This Row],[ProcessSN]],表格2_7[],3,FALSE)</f>
        <v>#02STOCK</v>
      </c>
      <c r="J9282" t="s">
        <v>592</v>
      </c>
      <c r="K9282" s="195">
        <v>45824.657442129632</v>
      </c>
      <c r="L9282">
        <v>672</v>
      </c>
      <c r="M9282">
        <v>0</v>
      </c>
      <c r="N9282" s="98" t="str">
        <f>IF(record[[#This Row],[Memo]]="Browser:chrome os:android","平板報工",IF(record[[#This Row],[Memo]]=0,"委外",record[[#This Row],[Memo]]))</f>
        <v/>
      </c>
      <c r="O9282" t="s">
        <v>58</v>
      </c>
      <c r="P9282" t="s">
        <v>208</v>
      </c>
      <c r="Q9282" t="s">
        <v>58</v>
      </c>
      <c r="R9282" t="str">
        <f>IFERROR(VLOOKUP(record[[#This Row],[PCUSTID]],廠商[],2,FALSE),"")</f>
        <v/>
      </c>
      <c r="S9282" t="str">
        <f>VLOOKUP(record[[#This Row],[employeeID]],員工[],2,FALSE)</f>
        <v>陳治宏</v>
      </c>
    </row>
    <row r="9283" spans="6:19" hidden="1" x14ac:dyDescent="0.25">
      <c r="F9283" t="s">
        <v>854</v>
      </c>
      <c r="G9283" t="s">
        <v>413</v>
      </c>
      <c r="H9283" t="str">
        <f>VLOOKUP(record[[#This Row],[ProcessSN]],表格2_7[],2,FALSE)</f>
        <v>30-4118-018-5XX</v>
      </c>
      <c r="I9283" t="str">
        <f>VLOOKUP(record[[#This Row],[ProcessSN]],表格2_7[],3,FALSE)</f>
        <v>#03GIVE</v>
      </c>
      <c r="J9283" t="s">
        <v>587</v>
      </c>
      <c r="K9283" s="195">
        <v>45824.647662037038</v>
      </c>
      <c r="L9283">
        <v>672</v>
      </c>
      <c r="M9283">
        <v>0</v>
      </c>
      <c r="N9283" s="98" t="str">
        <f>IF(record[[#This Row],[Memo]]="Browser:chrome os:android","平板報工",IF(record[[#This Row],[Memo]]=0,"委外",record[[#This Row],[Memo]]))</f>
        <v/>
      </c>
      <c r="O9283" t="s">
        <v>58</v>
      </c>
      <c r="P9283" t="s">
        <v>208</v>
      </c>
      <c r="Q9283" t="s">
        <v>58</v>
      </c>
      <c r="R9283" t="str">
        <f>IFERROR(VLOOKUP(record[[#This Row],[PCUSTID]],廠商[],2,FALSE),"")</f>
        <v/>
      </c>
      <c r="S9283" t="str">
        <f>VLOOKUP(record[[#This Row],[employeeID]],員工[],2,FALSE)</f>
        <v>陳治宏</v>
      </c>
    </row>
    <row r="9284" spans="6:19" hidden="1" x14ac:dyDescent="0.25">
      <c r="F9284" t="s">
        <v>855</v>
      </c>
      <c r="G9284" t="s">
        <v>420</v>
      </c>
      <c r="H9284" t="str">
        <f>VLOOKUP(record[[#This Row],[ProcessSN]],表格2_7[],2,FALSE)</f>
        <v>30-4118-018-5XX</v>
      </c>
      <c r="I9284" t="str">
        <f>VLOOKUP(record[[#This Row],[ProcessSN]],表格2_7[],3,FALSE)</f>
        <v>#07STOCK</v>
      </c>
      <c r="J9284" t="s">
        <v>592</v>
      </c>
      <c r="K9284" s="195">
        <v>45824.638078703705</v>
      </c>
      <c r="L9284">
        <v>222</v>
      </c>
      <c r="M9284">
        <v>0</v>
      </c>
      <c r="N9284" s="98" t="str">
        <f>IF(record[[#This Row],[Memo]]="Browser:chrome os:android","平板報工",IF(record[[#This Row],[Memo]]=0,"委外",record[[#This Row],[Memo]]))</f>
        <v/>
      </c>
      <c r="O9284" t="s">
        <v>58</v>
      </c>
      <c r="P9284" t="s">
        <v>113</v>
      </c>
      <c r="Q9284" t="s">
        <v>58</v>
      </c>
      <c r="R9284" t="str">
        <f>IFERROR(VLOOKUP(record[[#This Row],[PCUSTID]],廠商[],2,FALSE),"")</f>
        <v/>
      </c>
      <c r="S9284" t="str">
        <f>VLOOKUP(record[[#This Row],[employeeID]],員工[],2,FALSE)</f>
        <v>王奕蓁</v>
      </c>
    </row>
    <row r="9285" spans="6:19" hidden="1" x14ac:dyDescent="0.25">
      <c r="F9285" t="s">
        <v>855</v>
      </c>
      <c r="G9285" t="s">
        <v>419</v>
      </c>
      <c r="H9285" t="str">
        <f>VLOOKUP(record[[#This Row],[ProcessSN]],表格2_7[],2,FALSE)</f>
        <v>30-4118-018-5XX</v>
      </c>
      <c r="I9285" t="str">
        <f>VLOOKUP(record[[#This Row],[ProcessSN]],表格2_7[],3,FALSE)</f>
        <v>#07QC</v>
      </c>
      <c r="J9285" t="s">
        <v>589</v>
      </c>
      <c r="K9285" s="195">
        <v>45824.638009259259</v>
      </c>
      <c r="L9285">
        <v>222</v>
      </c>
      <c r="M9285">
        <v>0</v>
      </c>
      <c r="N9285" s="98" t="str">
        <f>IF(record[[#This Row],[Memo]]="Browser:chrome os:android","平板報工",IF(record[[#This Row],[Memo]]=0,"委外",record[[#This Row],[Memo]]))</f>
        <v/>
      </c>
      <c r="O9285" t="s">
        <v>58</v>
      </c>
      <c r="P9285" t="s">
        <v>113</v>
      </c>
      <c r="Q9285" t="s">
        <v>58</v>
      </c>
      <c r="R9285" t="str">
        <f>IFERROR(VLOOKUP(record[[#This Row],[PCUSTID]],廠商[],2,FALSE),"")</f>
        <v/>
      </c>
      <c r="S9285" t="str">
        <f>VLOOKUP(record[[#This Row],[employeeID]],員工[],2,FALSE)</f>
        <v>王奕蓁</v>
      </c>
    </row>
    <row r="9286" spans="6:19" hidden="1" x14ac:dyDescent="0.25">
      <c r="F9286" t="s">
        <v>855</v>
      </c>
      <c r="G9286" t="s">
        <v>418</v>
      </c>
      <c r="H9286" t="str">
        <f>VLOOKUP(record[[#This Row],[ProcessSN]],表格2_7[],2,FALSE)</f>
        <v>30-4118-018-5XX</v>
      </c>
      <c r="I9286" t="str">
        <f>VLOOKUP(record[[#This Row],[ProcessSN]],表格2_7[],3,FALSE)</f>
        <v>#07</v>
      </c>
      <c r="J9286" t="s">
        <v>588</v>
      </c>
      <c r="K9286" s="195">
        <v>45824.637928240743</v>
      </c>
      <c r="L9286">
        <v>222</v>
      </c>
      <c r="M9286">
        <v>0</v>
      </c>
      <c r="N9286" s="98" t="str">
        <f>IF(record[[#This Row],[Memo]]="Browser:chrome os:android","平板報工",IF(record[[#This Row],[Memo]]=0,"委外",record[[#This Row],[Memo]]))</f>
        <v/>
      </c>
      <c r="O9286" t="s">
        <v>58</v>
      </c>
      <c r="P9286" t="s">
        <v>113</v>
      </c>
      <c r="Q9286" t="s">
        <v>58</v>
      </c>
      <c r="R9286" t="str">
        <f>IFERROR(VLOOKUP(record[[#This Row],[PCUSTID]],廠商[],2,FALSE),"")</f>
        <v/>
      </c>
      <c r="S9286" t="str">
        <f>VLOOKUP(record[[#This Row],[employeeID]],員工[],2,FALSE)</f>
        <v>王奕蓁</v>
      </c>
    </row>
    <row r="9287" spans="6:19" hidden="1" x14ac:dyDescent="0.25">
      <c r="F9287" t="s">
        <v>855</v>
      </c>
      <c r="G9287" t="s">
        <v>417</v>
      </c>
      <c r="H9287" t="str">
        <f>VLOOKUP(record[[#This Row],[ProcessSN]],表格2_7[],2,FALSE)</f>
        <v>30-4118-018-5XX</v>
      </c>
      <c r="I9287" t="str">
        <f>VLOOKUP(record[[#This Row],[ProcessSN]],表格2_7[],3,FALSE)</f>
        <v>#06</v>
      </c>
      <c r="J9287" t="s">
        <v>593</v>
      </c>
      <c r="K9287" s="195">
        <v>45824.63784722222</v>
      </c>
      <c r="L9287">
        <v>222</v>
      </c>
      <c r="M9287">
        <v>0</v>
      </c>
      <c r="N9287" s="98" t="str">
        <f>IF(record[[#This Row],[Memo]]="Browser:chrome os:android","平板報工",IF(record[[#This Row],[Memo]]=0,"委外",record[[#This Row],[Memo]]))</f>
        <v/>
      </c>
      <c r="O9287" t="s">
        <v>58</v>
      </c>
      <c r="P9287" t="s">
        <v>113</v>
      </c>
      <c r="Q9287" t="s">
        <v>58</v>
      </c>
      <c r="R9287" t="str">
        <f>IFERROR(VLOOKUP(record[[#This Row],[PCUSTID]],廠商[],2,FALSE),"")</f>
        <v/>
      </c>
      <c r="S9287" t="str">
        <f>VLOOKUP(record[[#This Row],[employeeID]],員工[],2,FALSE)</f>
        <v>王奕蓁</v>
      </c>
    </row>
    <row r="9288" spans="6:19" hidden="1" x14ac:dyDescent="0.25">
      <c r="F9288" t="s">
        <v>855</v>
      </c>
      <c r="G9288" t="s">
        <v>416</v>
      </c>
      <c r="H9288" t="str">
        <f>VLOOKUP(record[[#This Row],[ProcessSN]],表格2_7[],2,FALSE)</f>
        <v>30-4118-018-5XX</v>
      </c>
      <c r="I9288" t="str">
        <f>VLOOKUP(record[[#This Row],[ProcessSN]],表格2_7[],3,FALSE)</f>
        <v>#05</v>
      </c>
      <c r="J9288" t="s">
        <v>588</v>
      </c>
      <c r="K9288" s="195">
        <v>45824.637766203705</v>
      </c>
      <c r="L9288">
        <v>222</v>
      </c>
      <c r="M9288">
        <v>0</v>
      </c>
      <c r="N9288" s="98" t="str">
        <f>IF(record[[#This Row],[Memo]]="Browser:chrome os:android","平板報工",IF(record[[#This Row],[Memo]]=0,"委外",record[[#This Row],[Memo]]))</f>
        <v/>
      </c>
      <c r="O9288" t="s">
        <v>58</v>
      </c>
      <c r="P9288" t="s">
        <v>113</v>
      </c>
      <c r="Q9288" t="s">
        <v>58</v>
      </c>
      <c r="R9288" t="str">
        <f>IFERROR(VLOOKUP(record[[#This Row],[PCUSTID]],廠商[],2,FALSE),"")</f>
        <v/>
      </c>
      <c r="S9288" t="str">
        <f>VLOOKUP(record[[#This Row],[employeeID]],員工[],2,FALSE)</f>
        <v>王奕蓁</v>
      </c>
    </row>
    <row r="9289" spans="6:19" hidden="1" x14ac:dyDescent="0.25">
      <c r="F9289" t="s">
        <v>855</v>
      </c>
      <c r="G9289" t="s">
        <v>415</v>
      </c>
      <c r="H9289" t="str">
        <f>VLOOKUP(record[[#This Row],[ProcessSN]],表格2_7[],2,FALSE)</f>
        <v>30-4118-018-5XX</v>
      </c>
      <c r="I9289" t="str">
        <f>VLOOKUP(record[[#This Row],[ProcessSN]],表格2_7[],3,FALSE)</f>
        <v>#04</v>
      </c>
      <c r="J9289" t="s">
        <v>588</v>
      </c>
      <c r="K9289" s="195">
        <v>45824.637696759259</v>
      </c>
      <c r="L9289">
        <v>222</v>
      </c>
      <c r="M9289">
        <v>0</v>
      </c>
      <c r="N9289" s="98" t="str">
        <f>IF(record[[#This Row],[Memo]]="Browser:chrome os:android","平板報工",IF(record[[#This Row],[Memo]]=0,"委外",record[[#This Row],[Memo]]))</f>
        <v/>
      </c>
      <c r="O9289" t="s">
        <v>58</v>
      </c>
      <c r="P9289" t="s">
        <v>113</v>
      </c>
      <c r="Q9289" t="s">
        <v>58</v>
      </c>
      <c r="R9289" t="str">
        <f>IFERROR(VLOOKUP(record[[#This Row],[PCUSTID]],廠商[],2,FALSE),"")</f>
        <v/>
      </c>
      <c r="S9289" t="str">
        <f>VLOOKUP(record[[#This Row],[employeeID]],員工[],2,FALSE)</f>
        <v>王奕蓁</v>
      </c>
    </row>
    <row r="9290" spans="6:19" hidden="1" x14ac:dyDescent="0.25">
      <c r="F9290" t="s">
        <v>855</v>
      </c>
      <c r="G9290" t="s">
        <v>414</v>
      </c>
      <c r="H9290" t="str">
        <f>VLOOKUP(record[[#This Row],[ProcessSN]],表格2_7[],2,FALSE)</f>
        <v>30-4118-018-5XX</v>
      </c>
      <c r="I9290" t="str">
        <f>VLOOKUP(record[[#This Row],[ProcessSN]],表格2_7[],3,FALSE)</f>
        <v>#03</v>
      </c>
      <c r="J9290" t="s">
        <v>588</v>
      </c>
      <c r="K9290" s="195">
        <v>45824.637627314813</v>
      </c>
      <c r="L9290">
        <v>222</v>
      </c>
      <c r="M9290">
        <v>0</v>
      </c>
      <c r="N9290" s="98" t="str">
        <f>IF(record[[#This Row],[Memo]]="Browser:chrome os:android","平板報工",IF(record[[#This Row],[Memo]]=0,"委外",record[[#This Row],[Memo]]))</f>
        <v/>
      </c>
      <c r="O9290" t="s">
        <v>58</v>
      </c>
      <c r="P9290" t="s">
        <v>113</v>
      </c>
      <c r="Q9290" t="s">
        <v>58</v>
      </c>
      <c r="R9290" t="str">
        <f>IFERROR(VLOOKUP(record[[#This Row],[PCUSTID]],廠商[],2,FALSE),"")</f>
        <v/>
      </c>
      <c r="S9290" t="str">
        <f>VLOOKUP(record[[#This Row],[employeeID]],員工[],2,FALSE)</f>
        <v>王奕蓁</v>
      </c>
    </row>
    <row r="9291" spans="6:19" hidden="1" x14ac:dyDescent="0.25">
      <c r="F9291" t="s">
        <v>855</v>
      </c>
      <c r="G9291" t="s">
        <v>413</v>
      </c>
      <c r="H9291" t="str">
        <f>VLOOKUP(record[[#This Row],[ProcessSN]],表格2_7[],2,FALSE)</f>
        <v>30-4118-018-5XX</v>
      </c>
      <c r="I9291" t="str">
        <f>VLOOKUP(record[[#This Row],[ProcessSN]],表格2_7[],3,FALSE)</f>
        <v>#03GIVE</v>
      </c>
      <c r="J9291" t="s">
        <v>587</v>
      </c>
      <c r="K9291" s="195">
        <v>45824.637546296297</v>
      </c>
      <c r="L9291">
        <v>222</v>
      </c>
      <c r="M9291">
        <v>0</v>
      </c>
      <c r="N9291" s="98" t="str">
        <f>IF(record[[#This Row],[Memo]]="Browser:chrome os:android","平板報工",IF(record[[#This Row],[Memo]]=0,"委外",record[[#This Row],[Memo]]))</f>
        <v/>
      </c>
      <c r="O9291" t="s">
        <v>58</v>
      </c>
      <c r="P9291" t="s">
        <v>113</v>
      </c>
      <c r="Q9291" t="s">
        <v>58</v>
      </c>
      <c r="R9291" t="str">
        <f>IFERROR(VLOOKUP(record[[#This Row],[PCUSTID]],廠商[],2,FALSE),"")</f>
        <v/>
      </c>
      <c r="S9291" t="str">
        <f>VLOOKUP(record[[#This Row],[employeeID]],員工[],2,FALSE)</f>
        <v>王奕蓁</v>
      </c>
    </row>
    <row r="9292" spans="6:19" hidden="1" x14ac:dyDescent="0.25">
      <c r="F9292" t="s">
        <v>855</v>
      </c>
      <c r="G9292" t="s">
        <v>412</v>
      </c>
      <c r="H9292" t="str">
        <f>VLOOKUP(record[[#This Row],[ProcessSN]],表格2_7[],2,FALSE)</f>
        <v>30-4118-018-5XX</v>
      </c>
      <c r="I9292" t="str">
        <f>VLOOKUP(record[[#This Row],[ProcessSN]],表格2_7[],3,FALSE)</f>
        <v>#03PICK</v>
      </c>
      <c r="J9292" t="s">
        <v>582</v>
      </c>
      <c r="K9292" s="195">
        <v>45824.637465277781</v>
      </c>
      <c r="L9292">
        <v>222</v>
      </c>
      <c r="M9292">
        <v>0</v>
      </c>
      <c r="N9292" s="98" t="str">
        <f>IF(record[[#This Row],[Memo]]="Browser:chrome os:android","平板報工",IF(record[[#This Row],[Memo]]=0,"委外",record[[#This Row],[Memo]]))</f>
        <v/>
      </c>
      <c r="O9292" t="s">
        <v>58</v>
      </c>
      <c r="P9292" t="s">
        <v>113</v>
      </c>
      <c r="Q9292" t="s">
        <v>58</v>
      </c>
      <c r="R9292" t="str">
        <f>IFERROR(VLOOKUP(record[[#This Row],[PCUSTID]],廠商[],2,FALSE),"")</f>
        <v/>
      </c>
      <c r="S9292" t="str">
        <f>VLOOKUP(record[[#This Row],[employeeID]],員工[],2,FALSE)</f>
        <v>王奕蓁</v>
      </c>
    </row>
    <row r="9293" spans="6:19" hidden="1" x14ac:dyDescent="0.25">
      <c r="F9293" t="s">
        <v>822</v>
      </c>
      <c r="G9293" t="s">
        <v>425</v>
      </c>
      <c r="H9293" t="str">
        <f>VLOOKUP(record[[#This Row],[ProcessSN]],表格2_7[],2,FALSE)</f>
        <v>30-4118-018-600</v>
      </c>
      <c r="I9293" t="str">
        <f>VLOOKUP(record[[#This Row],[ProcessSN]],表格2_7[],3,FALSE)</f>
        <v>#100</v>
      </c>
      <c r="J9293" t="s">
        <v>598</v>
      </c>
      <c r="K9293" s="195">
        <v>45824.570821759262</v>
      </c>
      <c r="L9293">
        <v>153</v>
      </c>
      <c r="M9293">
        <v>0</v>
      </c>
      <c r="N9293" s="98" t="str">
        <f>IF(record[[#This Row],[Memo]]="Browser:chrome os:android","平板報工",IF(record[[#This Row],[Memo]]=0,"委外",record[[#This Row],[Memo]]))</f>
        <v>平板報工</v>
      </c>
      <c r="O9293" t="s">
        <v>643</v>
      </c>
      <c r="P9293" t="s">
        <v>141</v>
      </c>
      <c r="Q9293" t="s">
        <v>644</v>
      </c>
      <c r="R9293" t="str">
        <f>IFERROR(VLOOKUP(record[[#This Row],[PCUSTID]],廠商[],2,FALSE),"")</f>
        <v/>
      </c>
      <c r="S9293" t="str">
        <f>VLOOKUP(record[[#This Row],[employeeID]],員工[],2,FALSE)</f>
        <v>蔣梅</v>
      </c>
    </row>
    <row r="9294" spans="6:19" hidden="1" x14ac:dyDescent="0.25">
      <c r="F9294" t="s">
        <v>778</v>
      </c>
      <c r="G9294" t="s">
        <v>419</v>
      </c>
      <c r="H9294" t="str">
        <f>VLOOKUP(record[[#This Row],[ProcessSN]],表格2_7[],2,FALSE)</f>
        <v>30-4118-018-5XX</v>
      </c>
      <c r="I9294" t="str">
        <f>VLOOKUP(record[[#This Row],[ProcessSN]],表格2_7[],3,FALSE)</f>
        <v>#07QC</v>
      </c>
      <c r="J9294" t="s">
        <v>589</v>
      </c>
      <c r="K9294" s="195">
        <v>45824.467546296299</v>
      </c>
      <c r="L9294">
        <v>2</v>
      </c>
      <c r="M9294">
        <v>0</v>
      </c>
      <c r="N9294" s="98" t="str">
        <f>IF(record[[#This Row],[Memo]]="Browser:chrome os:android","平板報工",IF(record[[#This Row],[Memo]]=0,"委外",record[[#This Row],[Memo]]))</f>
        <v>平板報工</v>
      </c>
      <c r="O9294" t="s">
        <v>643</v>
      </c>
      <c r="P9294" t="s">
        <v>141</v>
      </c>
      <c r="Q9294" t="s">
        <v>644</v>
      </c>
      <c r="R9294" t="str">
        <f>IFERROR(VLOOKUP(record[[#This Row],[PCUSTID]],廠商[],2,FALSE),"")</f>
        <v/>
      </c>
      <c r="S9294" t="str">
        <f>VLOOKUP(record[[#This Row],[employeeID]],員工[],2,FALSE)</f>
        <v>蔣梅</v>
      </c>
    </row>
    <row r="9295" spans="6:19" hidden="1" x14ac:dyDescent="0.25">
      <c r="F9295" t="s">
        <v>825</v>
      </c>
      <c r="G9295" t="s">
        <v>469</v>
      </c>
      <c r="H9295" t="str">
        <f>VLOOKUP(record[[#This Row],[ProcessSN]],表格2_7[],2,FALSE)</f>
        <v>30-4118-018-XXX</v>
      </c>
      <c r="I9295" t="str">
        <f>VLOOKUP(record[[#This Row],[ProcessSN]],表格2_7[],3,FALSE)</f>
        <v>#02RCV</v>
      </c>
      <c r="J9295" t="s">
        <v>591</v>
      </c>
      <c r="K9295" s="195">
        <v>45824.459837962961</v>
      </c>
      <c r="L9295">
        <v>672</v>
      </c>
      <c r="M9295">
        <v>0</v>
      </c>
      <c r="N9295" s="98" t="str">
        <f>IF(record[[#This Row],[Memo]]="Browser:chrome os:android","平板報工",IF(record[[#This Row],[Memo]]=0,"委外",record[[#This Row],[Memo]]))</f>
        <v/>
      </c>
      <c r="O9295" t="s">
        <v>58</v>
      </c>
      <c r="P9295" t="s">
        <v>113</v>
      </c>
      <c r="Q9295" t="s">
        <v>58</v>
      </c>
      <c r="R9295" t="str">
        <f>IFERROR(VLOOKUP(record[[#This Row],[PCUSTID]],廠商[],2,FALSE),"")</f>
        <v/>
      </c>
      <c r="S9295" t="str">
        <f>VLOOKUP(record[[#This Row],[employeeID]],員工[],2,FALSE)</f>
        <v>王奕蓁</v>
      </c>
    </row>
    <row r="9296" spans="6:19" hidden="1" x14ac:dyDescent="0.25">
      <c r="F9296" t="s">
        <v>825</v>
      </c>
      <c r="G9296" t="s">
        <v>468</v>
      </c>
      <c r="H9296" t="str">
        <f>VLOOKUP(record[[#This Row],[ProcessSN]],表格2_7[],2,FALSE)</f>
        <v>30-4118-018-XXX</v>
      </c>
      <c r="I9296" t="str">
        <f>VLOOKUP(record[[#This Row],[ProcessSN]],表格2_7[],3,FALSE)</f>
        <v>#02</v>
      </c>
      <c r="J9296" t="s">
        <v>590</v>
      </c>
      <c r="K9296" s="195">
        <v>45824.379502314812</v>
      </c>
      <c r="L9296">
        <v>1176</v>
      </c>
      <c r="M9296">
        <v>0</v>
      </c>
      <c r="N9296" s="98" t="str">
        <f>IF(record[[#This Row],[Memo]]="Browser:chrome os:android","平板報工",IF(record[[#This Row],[Memo]]=0,"委外",record[[#This Row],[Memo]]))</f>
        <v>委外</v>
      </c>
      <c r="P9296" t="s">
        <v>113</v>
      </c>
      <c r="Q9296" t="s">
        <v>216</v>
      </c>
      <c r="R9296" t="str">
        <f>IFERROR(VLOOKUP(record[[#This Row],[PCUSTID]],廠商[],2,FALSE),"")</f>
        <v>俊杰</v>
      </c>
      <c r="S9296" t="str">
        <f>VLOOKUP(record[[#This Row],[employeeID]],員工[],2,FALSE)</f>
        <v>王奕蓁</v>
      </c>
    </row>
    <row r="9297" spans="6:19" hidden="1" x14ac:dyDescent="0.25">
      <c r="F9297" t="s">
        <v>825</v>
      </c>
      <c r="G9297" t="s">
        <v>467</v>
      </c>
      <c r="H9297" t="str">
        <f>VLOOKUP(record[[#This Row],[ProcessSN]],表格2_7[],2,FALSE)</f>
        <v>30-4118-018-XXX</v>
      </c>
      <c r="I9297" t="str">
        <f>VLOOKUP(record[[#This Row],[ProcessSN]],表格2_7[],3,FALSE)</f>
        <v>#01QC</v>
      </c>
      <c r="J9297" t="s">
        <v>589</v>
      </c>
      <c r="K9297" s="195">
        <v>45824.373055555552</v>
      </c>
      <c r="L9297">
        <v>672</v>
      </c>
      <c r="M9297">
        <v>0</v>
      </c>
      <c r="N9297" s="98" t="str">
        <f>IF(record[[#This Row],[Memo]]="Browser:chrome os:android","平板報工",IF(record[[#This Row],[Memo]]=0,"委外",record[[#This Row],[Memo]]))</f>
        <v/>
      </c>
      <c r="O9297" t="s">
        <v>58</v>
      </c>
      <c r="P9297" t="s">
        <v>113</v>
      </c>
      <c r="Q9297" t="s">
        <v>58</v>
      </c>
      <c r="R9297" t="str">
        <f>IFERROR(VLOOKUP(record[[#This Row],[PCUSTID]],廠商[],2,FALSE),"")</f>
        <v/>
      </c>
      <c r="S9297" t="str">
        <f>VLOOKUP(record[[#This Row],[employeeID]],員工[],2,FALSE)</f>
        <v>王奕蓁</v>
      </c>
    </row>
    <row r="9298" spans="6:19" hidden="1" x14ac:dyDescent="0.25">
      <c r="F9298" t="s">
        <v>778</v>
      </c>
      <c r="G9298" t="s">
        <v>413</v>
      </c>
      <c r="H9298" t="str">
        <f>VLOOKUP(record[[#This Row],[ProcessSN]],表格2_7[],2,FALSE)</f>
        <v>30-4118-018-5XX</v>
      </c>
      <c r="I9298" t="str">
        <f>VLOOKUP(record[[#This Row],[ProcessSN]],表格2_7[],3,FALSE)</f>
        <v>#03GIVE</v>
      </c>
      <c r="J9298" t="s">
        <v>587</v>
      </c>
      <c r="K9298" s="195">
        <v>45824.344178240739</v>
      </c>
      <c r="L9298">
        <v>1</v>
      </c>
      <c r="M9298">
        <v>0</v>
      </c>
      <c r="N9298" s="98" t="str">
        <f>IF(record[[#This Row],[Memo]]="Browser:chrome os:android","平板報工",IF(record[[#This Row],[Memo]]=0,"委外",record[[#This Row],[Memo]]))</f>
        <v/>
      </c>
      <c r="O9298" t="s">
        <v>58</v>
      </c>
      <c r="P9298" t="s">
        <v>208</v>
      </c>
      <c r="Q9298" t="s">
        <v>58</v>
      </c>
      <c r="R9298" t="str">
        <f>IFERROR(VLOOKUP(record[[#This Row],[PCUSTID]],廠商[],2,FALSE),"")</f>
        <v/>
      </c>
      <c r="S9298" t="str">
        <f>VLOOKUP(record[[#This Row],[employeeID]],員工[],2,FALSE)</f>
        <v>陳治宏</v>
      </c>
    </row>
    <row r="9299" spans="6:19" hidden="1" x14ac:dyDescent="0.25">
      <c r="F9299" t="s">
        <v>849</v>
      </c>
      <c r="G9299" t="s">
        <v>465</v>
      </c>
      <c r="H9299" t="str">
        <f>VLOOKUP(record[[#This Row],[ProcessSN]],表格2_7[],2,FALSE)</f>
        <v>30-4118-018-XXX</v>
      </c>
      <c r="I9299" t="str">
        <f>VLOOKUP(record[[#This Row],[ProcessSN]],表格2_7[],3,FALSE)</f>
        <v>#01-1</v>
      </c>
      <c r="J9299" t="s">
        <v>588</v>
      </c>
      <c r="K9299" s="195">
        <v>45822.300833333335</v>
      </c>
      <c r="L9299">
        <v>408</v>
      </c>
      <c r="M9299">
        <v>0</v>
      </c>
      <c r="N9299" s="98" t="str">
        <f>IF(record[[#This Row],[Memo]]="Browser:chrome os:android","平板報工",IF(record[[#This Row],[Memo]]=0,"委外",record[[#This Row],[Memo]]))</f>
        <v/>
      </c>
      <c r="O9299" t="s">
        <v>58</v>
      </c>
      <c r="P9299" t="s">
        <v>135</v>
      </c>
      <c r="Q9299" t="s">
        <v>58</v>
      </c>
      <c r="R9299" t="str">
        <f>IFERROR(VLOOKUP(record[[#This Row],[PCUSTID]],廠商[],2,FALSE),"")</f>
        <v/>
      </c>
      <c r="S9299" t="str">
        <f>VLOOKUP(record[[#This Row],[employeeID]],員工[],2,FALSE)</f>
        <v>阮士文</v>
      </c>
    </row>
    <row r="9300" spans="6:19" hidden="1" x14ac:dyDescent="0.25">
      <c r="F9300" t="s">
        <v>825</v>
      </c>
      <c r="G9300" t="s">
        <v>465</v>
      </c>
      <c r="H9300" t="str">
        <f>VLOOKUP(record[[#This Row],[ProcessSN]],表格2_7[],2,FALSE)</f>
        <v>30-4118-018-XXX</v>
      </c>
      <c r="I9300" t="str">
        <f>VLOOKUP(record[[#This Row],[ProcessSN]],表格2_7[],3,FALSE)</f>
        <v>#01-1</v>
      </c>
      <c r="J9300" t="s">
        <v>588</v>
      </c>
      <c r="K9300" s="195">
        <v>45822.300659722219</v>
      </c>
      <c r="L9300">
        <v>392</v>
      </c>
      <c r="M9300">
        <v>0</v>
      </c>
      <c r="N9300" s="98" t="str">
        <f>IF(record[[#This Row],[Memo]]="Browser:chrome os:android","平板報工",IF(record[[#This Row],[Memo]]=0,"委外",record[[#This Row],[Memo]]))</f>
        <v/>
      </c>
      <c r="O9300" t="s">
        <v>58</v>
      </c>
      <c r="P9300" t="s">
        <v>135</v>
      </c>
      <c r="Q9300" t="s">
        <v>58</v>
      </c>
      <c r="R9300" t="str">
        <f>IFERROR(VLOOKUP(record[[#This Row],[PCUSTID]],廠商[],2,FALSE),"")</f>
        <v/>
      </c>
      <c r="S9300" t="str">
        <f>VLOOKUP(record[[#This Row],[employeeID]],員工[],2,FALSE)</f>
        <v>阮士文</v>
      </c>
    </row>
    <row r="9301" spans="6:19" hidden="1" x14ac:dyDescent="0.25">
      <c r="F9301" t="s">
        <v>825</v>
      </c>
      <c r="G9301" t="s">
        <v>466</v>
      </c>
      <c r="H9301" t="str">
        <f>VLOOKUP(record[[#This Row],[ProcessSN]],表格2_7[],2,FALSE)</f>
        <v>30-4118-018-XXX</v>
      </c>
      <c r="I9301" t="str">
        <f>VLOOKUP(record[[#This Row],[ProcessSN]],表格2_7[],3,FALSE)</f>
        <v>#01-2</v>
      </c>
      <c r="J9301" t="s">
        <v>588</v>
      </c>
      <c r="K9301" s="195">
        <v>45821.960706018515</v>
      </c>
      <c r="L9301">
        <v>600</v>
      </c>
      <c r="M9301">
        <v>0</v>
      </c>
      <c r="N9301" s="98" t="str">
        <f>IF(record[[#This Row],[Memo]]="Browser:chrome os:android","平板報工",IF(record[[#This Row],[Memo]]=0,"委外",record[[#This Row],[Memo]]))</f>
        <v/>
      </c>
      <c r="O9301" t="s">
        <v>58</v>
      </c>
      <c r="P9301" t="s">
        <v>133</v>
      </c>
      <c r="Q9301" t="s">
        <v>58</v>
      </c>
      <c r="R9301" t="str">
        <f>IFERROR(VLOOKUP(record[[#This Row],[PCUSTID]],廠商[],2,FALSE),"")</f>
        <v/>
      </c>
      <c r="S9301" t="str">
        <f>VLOOKUP(record[[#This Row],[employeeID]],員工[],2,FALSE)</f>
        <v>黎長維</v>
      </c>
    </row>
    <row r="9302" spans="6:19" hidden="1" x14ac:dyDescent="0.25">
      <c r="F9302" t="s">
        <v>825</v>
      </c>
      <c r="G9302" t="s">
        <v>465</v>
      </c>
      <c r="H9302" t="str">
        <f>VLOOKUP(record[[#This Row],[ProcessSN]],表格2_7[],2,FALSE)</f>
        <v>30-4118-018-XXX</v>
      </c>
      <c r="I9302" t="str">
        <f>VLOOKUP(record[[#This Row],[ProcessSN]],表格2_7[],3,FALSE)</f>
        <v>#01-1</v>
      </c>
      <c r="J9302" t="s">
        <v>588</v>
      </c>
      <c r="K9302" s="195">
        <v>45821.96025462963</v>
      </c>
      <c r="L9302">
        <v>272</v>
      </c>
      <c r="M9302">
        <v>0</v>
      </c>
      <c r="N9302" s="98" t="str">
        <f>IF(record[[#This Row],[Memo]]="Browser:chrome os:android","平板報工",IF(record[[#This Row],[Memo]]=0,"委外",record[[#This Row],[Memo]]))</f>
        <v/>
      </c>
      <c r="O9302" t="s">
        <v>58</v>
      </c>
      <c r="P9302" t="s">
        <v>133</v>
      </c>
      <c r="Q9302" t="s">
        <v>58</v>
      </c>
      <c r="R9302" t="str">
        <f>IFERROR(VLOOKUP(record[[#This Row],[PCUSTID]],廠商[],2,FALSE),"")</f>
        <v/>
      </c>
      <c r="S9302" t="str">
        <f>VLOOKUP(record[[#This Row],[employeeID]],員工[],2,FALSE)</f>
        <v>黎長維</v>
      </c>
    </row>
    <row r="9303" spans="6:19" hidden="1" x14ac:dyDescent="0.25">
      <c r="F9303" t="s">
        <v>825</v>
      </c>
      <c r="G9303" t="s">
        <v>470</v>
      </c>
      <c r="H9303" t="str">
        <f>VLOOKUP(record[[#This Row],[ProcessSN]],表格2_7[],2,FALSE)</f>
        <v>30-4118-018-XXX</v>
      </c>
      <c r="I9303" t="str">
        <f>VLOOKUP(record[[#This Row],[ProcessSN]],表格2_7[],3,FALSE)</f>
        <v>#02IQC</v>
      </c>
      <c r="J9303" t="s">
        <v>583</v>
      </c>
      <c r="K9303" s="195">
        <v>45821.765555555554</v>
      </c>
      <c r="L9303">
        <v>672</v>
      </c>
      <c r="M9303">
        <v>0</v>
      </c>
      <c r="N9303" s="98" t="str">
        <f>IF(record[[#This Row],[Memo]]="Browser:chrome os:android","平板報工",IF(record[[#This Row],[Memo]]=0,"委外",record[[#This Row],[Memo]]))</f>
        <v/>
      </c>
      <c r="O9303" t="s">
        <v>58</v>
      </c>
      <c r="P9303" t="s">
        <v>172</v>
      </c>
      <c r="Q9303" t="s">
        <v>58</v>
      </c>
      <c r="R9303" t="str">
        <f>IFERROR(VLOOKUP(record[[#This Row],[PCUSTID]],廠商[],2,FALSE),"")</f>
        <v/>
      </c>
      <c r="S9303" t="str">
        <f>VLOOKUP(record[[#This Row],[employeeID]],員工[],2,FALSE)</f>
        <v>李采玲</v>
      </c>
    </row>
    <row r="9304" spans="6:19" hidden="1" x14ac:dyDescent="0.25">
      <c r="F9304" t="s">
        <v>847</v>
      </c>
      <c r="G9304" t="s">
        <v>399</v>
      </c>
      <c r="H9304" t="str">
        <f>VLOOKUP(record[[#This Row],[ProcessSN]],表格2_7[],2,FALSE)</f>
        <v>30-4118-018-550</v>
      </c>
      <c r="I9304" t="str">
        <f>VLOOKUP(record[[#This Row],[ProcessSN]],表格2_7[],3,FALSE)</f>
        <v>#08IQC</v>
      </c>
      <c r="J9304" t="s">
        <v>583</v>
      </c>
      <c r="K9304" s="195">
        <v>45821.747175925928</v>
      </c>
      <c r="L9304">
        <v>176</v>
      </c>
      <c r="M9304">
        <v>0</v>
      </c>
      <c r="N9304" s="98" t="str">
        <f>IF(record[[#This Row],[Memo]]="Browser:chrome os:android","平板報工",IF(record[[#This Row],[Memo]]=0,"委外",record[[#This Row],[Memo]]))</f>
        <v/>
      </c>
      <c r="O9304" t="s">
        <v>58</v>
      </c>
      <c r="P9304" t="s">
        <v>172</v>
      </c>
      <c r="Q9304" t="s">
        <v>58</v>
      </c>
      <c r="R9304" t="str">
        <f>IFERROR(VLOOKUP(record[[#This Row],[PCUSTID]],廠商[],2,FALSE),"")</f>
        <v/>
      </c>
      <c r="S9304" t="str">
        <f>VLOOKUP(record[[#This Row],[employeeID]],員工[],2,FALSE)</f>
        <v>李采玲</v>
      </c>
    </row>
    <row r="9305" spans="6:19" hidden="1" x14ac:dyDescent="0.25">
      <c r="F9305" t="s">
        <v>840</v>
      </c>
      <c r="G9305" t="s">
        <v>399</v>
      </c>
      <c r="H9305" t="str">
        <f>VLOOKUP(record[[#This Row],[ProcessSN]],表格2_7[],2,FALSE)</f>
        <v>30-4118-018-550</v>
      </c>
      <c r="I9305" t="str">
        <f>VLOOKUP(record[[#This Row],[ProcessSN]],表格2_7[],3,FALSE)</f>
        <v>#08IQC</v>
      </c>
      <c r="J9305" t="s">
        <v>583</v>
      </c>
      <c r="K9305" s="195">
        <v>45821.747071759259</v>
      </c>
      <c r="L9305">
        <v>164</v>
      </c>
      <c r="M9305">
        <v>0</v>
      </c>
      <c r="N9305" s="98" t="str">
        <f>IF(record[[#This Row],[Memo]]="Browser:chrome os:android","平板報工",IF(record[[#This Row],[Memo]]=0,"委外",record[[#This Row],[Memo]]))</f>
        <v/>
      </c>
      <c r="O9305" t="s">
        <v>58</v>
      </c>
      <c r="P9305" t="s">
        <v>172</v>
      </c>
      <c r="Q9305" t="s">
        <v>58</v>
      </c>
      <c r="R9305" t="str">
        <f>IFERROR(VLOOKUP(record[[#This Row],[PCUSTID]],廠商[],2,FALSE),"")</f>
        <v/>
      </c>
      <c r="S9305" t="str">
        <f>VLOOKUP(record[[#This Row],[employeeID]],員工[],2,FALSE)</f>
        <v>李采玲</v>
      </c>
    </row>
    <row r="9306" spans="6:19" hidden="1" x14ac:dyDescent="0.25">
      <c r="F9306" t="s">
        <v>834</v>
      </c>
      <c r="G9306" t="s">
        <v>400</v>
      </c>
      <c r="H9306" t="str">
        <f>VLOOKUP(record[[#This Row],[ProcessSN]],表格2_7[],2,FALSE)</f>
        <v>30-4118-018-550</v>
      </c>
      <c r="I9306" t="str">
        <f>VLOOKUP(record[[#This Row],[ProcessSN]],表格2_7[],3,FALSE)</f>
        <v>#100</v>
      </c>
      <c r="J9306" t="s">
        <v>598</v>
      </c>
      <c r="K9306" s="195">
        <v>45821.698807870373</v>
      </c>
      <c r="L9306">
        <v>132</v>
      </c>
      <c r="M9306">
        <v>0</v>
      </c>
      <c r="N9306" s="98" t="str">
        <f>IF(record[[#This Row],[Memo]]="Browser:chrome os:android","平板報工",IF(record[[#This Row],[Memo]]=0,"委外",record[[#This Row],[Memo]]))</f>
        <v>平板報工</v>
      </c>
      <c r="O9306" t="s">
        <v>643</v>
      </c>
      <c r="P9306" t="s">
        <v>141</v>
      </c>
      <c r="Q9306" t="s">
        <v>644</v>
      </c>
      <c r="R9306" t="str">
        <f>IFERROR(VLOOKUP(record[[#This Row],[PCUSTID]],廠商[],2,FALSE),"")</f>
        <v/>
      </c>
      <c r="S9306" t="str">
        <f>VLOOKUP(record[[#This Row],[employeeID]],員工[],2,FALSE)</f>
        <v>蔣梅</v>
      </c>
    </row>
    <row r="9307" spans="6:19" hidden="1" x14ac:dyDescent="0.25">
      <c r="F9307" t="s">
        <v>836</v>
      </c>
      <c r="G9307" t="s">
        <v>400</v>
      </c>
      <c r="H9307" t="str">
        <f>VLOOKUP(record[[#This Row],[ProcessSN]],表格2_7[],2,FALSE)</f>
        <v>30-4118-018-550</v>
      </c>
      <c r="I9307" t="str">
        <f>VLOOKUP(record[[#This Row],[ProcessSN]],表格2_7[],3,FALSE)</f>
        <v>#100</v>
      </c>
      <c r="J9307" t="s">
        <v>598</v>
      </c>
      <c r="K9307" s="195">
        <v>45821.697418981479</v>
      </c>
      <c r="L9307">
        <v>283</v>
      </c>
      <c r="M9307">
        <v>0</v>
      </c>
      <c r="N9307" s="98" t="str">
        <f>IF(record[[#This Row],[Memo]]="Browser:chrome os:android","平板報工",IF(record[[#This Row],[Memo]]=0,"委外",record[[#This Row],[Memo]]))</f>
        <v>平板報工</v>
      </c>
      <c r="O9307" t="s">
        <v>643</v>
      </c>
      <c r="P9307" t="s">
        <v>141</v>
      </c>
      <c r="Q9307" t="s">
        <v>644</v>
      </c>
      <c r="R9307" t="str">
        <f>IFERROR(VLOOKUP(record[[#This Row],[PCUSTID]],廠商[],2,FALSE),"")</f>
        <v/>
      </c>
      <c r="S9307" t="str">
        <f>VLOOKUP(record[[#This Row],[employeeID]],員工[],2,FALSE)</f>
        <v>蔣梅</v>
      </c>
    </row>
    <row r="9308" spans="6:19" hidden="1" x14ac:dyDescent="0.25">
      <c r="F9308" t="s">
        <v>836</v>
      </c>
      <c r="G9308" t="s">
        <v>400</v>
      </c>
      <c r="H9308" t="str">
        <f>VLOOKUP(record[[#This Row],[ProcessSN]],表格2_7[],2,FALSE)</f>
        <v>30-4118-018-550</v>
      </c>
      <c r="I9308" t="str">
        <f>VLOOKUP(record[[#This Row],[ProcessSN]],表格2_7[],3,FALSE)</f>
        <v>#100</v>
      </c>
      <c r="J9308" t="s">
        <v>598</v>
      </c>
      <c r="K9308" s="195">
        <v>45821.696539351855</v>
      </c>
      <c r="L9308">
        <v>0</v>
      </c>
      <c r="M9308">
        <v>7</v>
      </c>
      <c r="N9308" s="98" t="str">
        <f>IF(record[[#This Row],[Memo]]="Browser:chrome os:android","平板報工",IF(record[[#This Row],[Memo]]=0,"委外",record[[#This Row],[Memo]]))</f>
        <v>平板報工</v>
      </c>
      <c r="O9308" t="s">
        <v>643</v>
      </c>
      <c r="P9308" t="s">
        <v>141</v>
      </c>
      <c r="Q9308" t="s">
        <v>644</v>
      </c>
      <c r="R9308" t="str">
        <f>IFERROR(VLOOKUP(record[[#This Row],[PCUSTID]],廠商[],2,FALSE),"")</f>
        <v/>
      </c>
      <c r="S9308" t="str">
        <f>VLOOKUP(record[[#This Row],[employeeID]],員工[],2,FALSE)</f>
        <v>蔣梅</v>
      </c>
    </row>
    <row r="9309" spans="6:19" hidden="1" x14ac:dyDescent="0.25">
      <c r="F9309" t="s">
        <v>832</v>
      </c>
      <c r="G9309" t="s">
        <v>400</v>
      </c>
      <c r="H9309" t="str">
        <f>VLOOKUP(record[[#This Row],[ProcessSN]],表格2_7[],2,FALSE)</f>
        <v>30-4118-018-550</v>
      </c>
      <c r="I9309" t="str">
        <f>VLOOKUP(record[[#This Row],[ProcessSN]],表格2_7[],3,FALSE)</f>
        <v>#100</v>
      </c>
      <c r="J9309" t="s">
        <v>598</v>
      </c>
      <c r="K9309" s="195">
        <v>45821.696111111109</v>
      </c>
      <c r="L9309">
        <v>206</v>
      </c>
      <c r="M9309">
        <v>0</v>
      </c>
      <c r="N9309" s="98" t="str">
        <f>IF(record[[#This Row],[Memo]]="Browser:chrome os:android","平板報工",IF(record[[#This Row],[Memo]]=0,"委外",record[[#This Row],[Memo]]))</f>
        <v>平板報工</v>
      </c>
      <c r="O9309" t="s">
        <v>643</v>
      </c>
      <c r="P9309" t="s">
        <v>141</v>
      </c>
      <c r="Q9309" t="s">
        <v>644</v>
      </c>
      <c r="R9309" t="str">
        <f>IFERROR(VLOOKUP(record[[#This Row],[PCUSTID]],廠商[],2,FALSE),"")</f>
        <v/>
      </c>
      <c r="S9309" t="str">
        <f>VLOOKUP(record[[#This Row],[employeeID]],員工[],2,FALSE)</f>
        <v>蔣梅</v>
      </c>
    </row>
    <row r="9310" spans="6:19" hidden="1" x14ac:dyDescent="0.25">
      <c r="F9310" t="s">
        <v>830</v>
      </c>
      <c r="G9310" t="s">
        <v>425</v>
      </c>
      <c r="H9310" t="str">
        <f>VLOOKUP(record[[#This Row],[ProcessSN]],表格2_7[],2,FALSE)</f>
        <v>30-4118-018-600</v>
      </c>
      <c r="I9310" t="str">
        <f>VLOOKUP(record[[#This Row],[ProcessSN]],表格2_7[],3,FALSE)</f>
        <v>#100</v>
      </c>
      <c r="J9310" t="s">
        <v>598</v>
      </c>
      <c r="K9310" s="195">
        <v>45821.694756944446</v>
      </c>
      <c r="L9310">
        <v>221</v>
      </c>
      <c r="M9310">
        <v>0</v>
      </c>
      <c r="N9310" s="98" t="str">
        <f>IF(record[[#This Row],[Memo]]="Browser:chrome os:android","平板報工",IF(record[[#This Row],[Memo]]=0,"委外",record[[#This Row],[Memo]]))</f>
        <v>平板報工</v>
      </c>
      <c r="O9310" t="s">
        <v>643</v>
      </c>
      <c r="P9310" t="s">
        <v>141</v>
      </c>
      <c r="Q9310" t="s">
        <v>644</v>
      </c>
      <c r="R9310" t="str">
        <f>IFERROR(VLOOKUP(record[[#This Row],[PCUSTID]],廠商[],2,FALSE),"")</f>
        <v/>
      </c>
      <c r="S9310" t="str">
        <f>VLOOKUP(record[[#This Row],[employeeID]],員工[],2,FALSE)</f>
        <v>蔣梅</v>
      </c>
    </row>
    <row r="9311" spans="6:19" hidden="1" x14ac:dyDescent="0.25">
      <c r="F9311" t="s">
        <v>854</v>
      </c>
      <c r="G9311" t="s">
        <v>412</v>
      </c>
      <c r="H9311" t="str">
        <f>VLOOKUP(record[[#This Row],[ProcessSN]],表格2_7[],2,FALSE)</f>
        <v>30-4118-018-5XX</v>
      </c>
      <c r="I9311" t="str">
        <f>VLOOKUP(record[[#This Row],[ProcessSN]],表格2_7[],3,FALSE)</f>
        <v>#03PICK</v>
      </c>
      <c r="J9311" t="s">
        <v>582</v>
      </c>
      <c r="K9311" s="195">
        <v>45821.682928240742</v>
      </c>
      <c r="L9311">
        <v>2000</v>
      </c>
      <c r="M9311">
        <v>0</v>
      </c>
      <c r="N9311" s="98" t="str">
        <f>IF(record[[#This Row],[Memo]]="Browser:chrome os:android","平板報工",IF(record[[#This Row],[Memo]]=0,"委外",record[[#This Row],[Memo]]))</f>
        <v/>
      </c>
      <c r="O9311" t="s">
        <v>58</v>
      </c>
      <c r="P9311" t="s">
        <v>113</v>
      </c>
      <c r="Q9311" t="s">
        <v>58</v>
      </c>
      <c r="R9311" t="str">
        <f>IFERROR(VLOOKUP(record[[#This Row],[PCUSTID]],廠商[],2,FALSE),"")</f>
        <v/>
      </c>
      <c r="S9311" t="str">
        <f>VLOOKUP(record[[#This Row],[employeeID]],員工[],2,FALSE)</f>
        <v>王奕蓁</v>
      </c>
    </row>
    <row r="9312" spans="6:19" hidden="1" x14ac:dyDescent="0.25">
      <c r="F9312" t="s">
        <v>825</v>
      </c>
      <c r="G9312" t="s">
        <v>467</v>
      </c>
      <c r="H9312" t="str">
        <f>VLOOKUP(record[[#This Row],[ProcessSN]],表格2_7[],2,FALSE)</f>
        <v>30-4118-018-XXX</v>
      </c>
      <c r="I9312" t="str">
        <f>VLOOKUP(record[[#This Row],[ProcessSN]],表格2_7[],3,FALSE)</f>
        <v>#01QC</v>
      </c>
      <c r="J9312" t="s">
        <v>589</v>
      </c>
      <c r="K9312" s="195">
        <v>45821.676122685189</v>
      </c>
      <c r="L9312">
        <v>504</v>
      </c>
      <c r="M9312">
        <v>0</v>
      </c>
      <c r="N9312" s="98" t="str">
        <f>IF(record[[#This Row],[Memo]]="Browser:chrome os:android","平板報工",IF(record[[#This Row],[Memo]]=0,"委外",record[[#This Row],[Memo]]))</f>
        <v>平板報工</v>
      </c>
      <c r="O9312" t="s">
        <v>643</v>
      </c>
      <c r="P9312" t="s">
        <v>182</v>
      </c>
      <c r="Q9312" t="s">
        <v>644</v>
      </c>
      <c r="R9312" t="str">
        <f>IFERROR(VLOOKUP(record[[#This Row],[PCUSTID]],廠商[],2,FALSE),"")</f>
        <v/>
      </c>
      <c r="S9312" t="str">
        <f>VLOOKUP(record[[#This Row],[employeeID]],員工[],2,FALSE)</f>
        <v>梅氏和</v>
      </c>
    </row>
    <row r="9313" spans="6:19" hidden="1" x14ac:dyDescent="0.25">
      <c r="F9313" t="s">
        <v>825</v>
      </c>
      <c r="G9313" t="s">
        <v>466</v>
      </c>
      <c r="H9313" t="str">
        <f>VLOOKUP(record[[#This Row],[ProcessSN]],表格2_7[],2,FALSE)</f>
        <v>30-4118-018-XXX</v>
      </c>
      <c r="I9313" t="str">
        <f>VLOOKUP(record[[#This Row],[ProcessSN]],表格2_7[],3,FALSE)</f>
        <v>#01-2</v>
      </c>
      <c r="J9313" t="s">
        <v>588</v>
      </c>
      <c r="K9313" s="195">
        <v>45821.652060185188</v>
      </c>
      <c r="L9313">
        <v>528</v>
      </c>
      <c r="M9313">
        <v>0</v>
      </c>
      <c r="N9313" s="98" t="str">
        <f>IF(record[[#This Row],[Memo]]="Browser:chrome os:android","平板報工",IF(record[[#This Row],[Memo]]=0,"委外",record[[#This Row],[Memo]]))</f>
        <v/>
      </c>
      <c r="O9313" t="s">
        <v>58</v>
      </c>
      <c r="P9313" t="s">
        <v>101</v>
      </c>
      <c r="Q9313" t="s">
        <v>58</v>
      </c>
      <c r="R9313" t="str">
        <f>IFERROR(VLOOKUP(record[[#This Row],[PCUSTID]],廠商[],2,FALSE),"")</f>
        <v/>
      </c>
      <c r="S9313" t="str">
        <f>VLOOKUP(record[[#This Row],[employeeID]],員工[],2,FALSE)</f>
        <v>陳氏絨</v>
      </c>
    </row>
    <row r="9314" spans="6:19" hidden="1" x14ac:dyDescent="0.25">
      <c r="F9314" t="s">
        <v>825</v>
      </c>
      <c r="G9314" t="s">
        <v>465</v>
      </c>
      <c r="H9314" t="str">
        <f>VLOOKUP(record[[#This Row],[ProcessSN]],表格2_7[],2,FALSE)</f>
        <v>30-4118-018-XXX</v>
      </c>
      <c r="I9314" t="str">
        <f>VLOOKUP(record[[#This Row],[ProcessSN]],表格2_7[],3,FALSE)</f>
        <v>#01-1</v>
      </c>
      <c r="J9314" t="s">
        <v>588</v>
      </c>
      <c r="K9314" s="195">
        <v>45821.65179398148</v>
      </c>
      <c r="L9314">
        <v>556</v>
      </c>
      <c r="M9314">
        <v>0</v>
      </c>
      <c r="N9314" s="98" t="str">
        <f>IF(record[[#This Row],[Memo]]="Browser:chrome os:android","平板報工",IF(record[[#This Row],[Memo]]=0,"委外",record[[#This Row],[Memo]]))</f>
        <v/>
      </c>
      <c r="O9314" t="s">
        <v>58</v>
      </c>
      <c r="P9314" t="s">
        <v>101</v>
      </c>
      <c r="Q9314" t="s">
        <v>58</v>
      </c>
      <c r="R9314" t="str">
        <f>IFERROR(VLOOKUP(record[[#This Row],[PCUSTID]],廠商[],2,FALSE),"")</f>
        <v/>
      </c>
      <c r="S9314" t="str">
        <f>VLOOKUP(record[[#This Row],[employeeID]],員工[],2,FALSE)</f>
        <v>陳氏絨</v>
      </c>
    </row>
    <row r="9315" spans="6:19" hidden="1" x14ac:dyDescent="0.25">
      <c r="F9315" t="s">
        <v>847</v>
      </c>
      <c r="G9315" t="s">
        <v>398</v>
      </c>
      <c r="H9315" t="str">
        <f>VLOOKUP(record[[#This Row],[ProcessSN]],表格2_7[],2,FALSE)</f>
        <v>30-4118-018-550</v>
      </c>
      <c r="I9315" t="str">
        <f>VLOOKUP(record[[#This Row],[ProcessSN]],表格2_7[],3,FALSE)</f>
        <v>#08RCV</v>
      </c>
      <c r="J9315" t="s">
        <v>591</v>
      </c>
      <c r="K9315" s="195">
        <v>45821.634143518517</v>
      </c>
      <c r="L9315">
        <v>0</v>
      </c>
      <c r="M9315">
        <v>68</v>
      </c>
      <c r="N9315" s="98" t="str">
        <f>IF(record[[#This Row],[Memo]]="Browser:chrome os:android","平板報工",IF(record[[#This Row],[Memo]]=0,"委外",record[[#This Row],[Memo]]))</f>
        <v/>
      </c>
      <c r="O9315" t="s">
        <v>58</v>
      </c>
      <c r="P9315" t="s">
        <v>186</v>
      </c>
      <c r="Q9315" t="s">
        <v>58</v>
      </c>
      <c r="R9315" t="str">
        <f>IFERROR(VLOOKUP(record[[#This Row],[PCUSTID]],廠商[],2,FALSE),"")</f>
        <v/>
      </c>
      <c r="S9315" t="str">
        <f>VLOOKUP(record[[#This Row],[employeeID]],員工[],2,FALSE)</f>
        <v>許文姍</v>
      </c>
    </row>
    <row r="9316" spans="6:19" hidden="1" x14ac:dyDescent="0.25">
      <c r="F9316" t="s">
        <v>847</v>
      </c>
      <c r="G9316" t="s">
        <v>398</v>
      </c>
      <c r="H9316" t="str">
        <f>VLOOKUP(record[[#This Row],[ProcessSN]],表格2_7[],2,FALSE)</f>
        <v>30-4118-018-550</v>
      </c>
      <c r="I9316" t="str">
        <f>VLOOKUP(record[[#This Row],[ProcessSN]],表格2_7[],3,FALSE)</f>
        <v>#08RCV</v>
      </c>
      <c r="J9316" t="s">
        <v>591</v>
      </c>
      <c r="K9316" s="195">
        <v>45821.633518518516</v>
      </c>
      <c r="L9316">
        <v>176</v>
      </c>
      <c r="M9316">
        <v>0</v>
      </c>
      <c r="N9316" s="98" t="str">
        <f>IF(record[[#This Row],[Memo]]="Browser:chrome os:android","平板報工",IF(record[[#This Row],[Memo]]=0,"委外",record[[#This Row],[Memo]]))</f>
        <v/>
      </c>
      <c r="O9316" t="s">
        <v>58</v>
      </c>
      <c r="P9316" t="s">
        <v>186</v>
      </c>
      <c r="Q9316" t="s">
        <v>58</v>
      </c>
      <c r="R9316" t="str">
        <f>IFERROR(VLOOKUP(record[[#This Row],[PCUSTID]],廠商[],2,FALSE),"")</f>
        <v/>
      </c>
      <c r="S9316" t="str">
        <f>VLOOKUP(record[[#This Row],[employeeID]],員工[],2,FALSE)</f>
        <v>許文姍</v>
      </c>
    </row>
    <row r="9317" spans="6:19" hidden="1" x14ac:dyDescent="0.25">
      <c r="F9317" t="s">
        <v>840</v>
      </c>
      <c r="G9317" t="s">
        <v>398</v>
      </c>
      <c r="H9317" t="str">
        <f>VLOOKUP(record[[#This Row],[ProcessSN]],表格2_7[],2,FALSE)</f>
        <v>30-4118-018-550</v>
      </c>
      <c r="I9317" t="str">
        <f>VLOOKUP(record[[#This Row],[ProcessSN]],表格2_7[],3,FALSE)</f>
        <v>#08RCV</v>
      </c>
      <c r="J9317" t="s">
        <v>591</v>
      </c>
      <c r="K9317" s="195">
        <v>45821.633171296293</v>
      </c>
      <c r="L9317">
        <v>164</v>
      </c>
      <c r="M9317">
        <v>0</v>
      </c>
      <c r="N9317" s="98" t="str">
        <f>IF(record[[#This Row],[Memo]]="Browser:chrome os:android","平板報工",IF(record[[#This Row],[Memo]]=0,"委外",record[[#This Row],[Memo]]))</f>
        <v/>
      </c>
      <c r="O9317" t="s">
        <v>58</v>
      </c>
      <c r="P9317" t="s">
        <v>186</v>
      </c>
      <c r="Q9317" t="s">
        <v>58</v>
      </c>
      <c r="R9317" t="str">
        <f>IFERROR(VLOOKUP(record[[#This Row],[PCUSTID]],廠商[],2,FALSE),"")</f>
        <v/>
      </c>
      <c r="S9317" t="str">
        <f>VLOOKUP(record[[#This Row],[employeeID]],員工[],2,FALSE)</f>
        <v>許文姍</v>
      </c>
    </row>
    <row r="9318" spans="6:19" hidden="1" x14ac:dyDescent="0.25">
      <c r="F9318" t="s">
        <v>820</v>
      </c>
      <c r="G9318" t="s">
        <v>428</v>
      </c>
      <c r="H9318" t="str">
        <f>VLOOKUP(record[[#This Row],[ProcessSN]],表格2_7[],2,FALSE)</f>
        <v>30-4118-018-600</v>
      </c>
      <c r="I9318" t="str">
        <f>VLOOKUP(record[[#This Row],[ProcessSN]],表格2_7[],3,FALSE)</f>
        <v>#100SHIP</v>
      </c>
      <c r="J9318" t="s">
        <v>600</v>
      </c>
      <c r="K9318" s="195">
        <v>45821.582928240743</v>
      </c>
      <c r="L9318">
        <v>2</v>
      </c>
      <c r="M9318">
        <v>0</v>
      </c>
      <c r="N9318" s="98" t="str">
        <f>IF(record[[#This Row],[Memo]]="Browser:chrome os:android","平板報工",IF(record[[#This Row],[Memo]]=0,"委外",record[[#This Row],[Memo]]))</f>
        <v/>
      </c>
      <c r="O9318" t="s">
        <v>58</v>
      </c>
      <c r="P9318" t="s">
        <v>186</v>
      </c>
      <c r="Q9318" t="s">
        <v>58</v>
      </c>
      <c r="R9318" t="str">
        <f>IFERROR(VLOOKUP(record[[#This Row],[PCUSTID]],廠商[],2,FALSE),"")</f>
        <v/>
      </c>
      <c r="S9318" t="str">
        <f>VLOOKUP(record[[#This Row],[employeeID]],員工[],2,FALSE)</f>
        <v>許文姍</v>
      </c>
    </row>
    <row r="9319" spans="6:19" hidden="1" x14ac:dyDescent="0.25">
      <c r="F9319" t="s">
        <v>836</v>
      </c>
      <c r="G9319" t="s">
        <v>403</v>
      </c>
      <c r="H9319" t="str">
        <f>VLOOKUP(record[[#This Row],[ProcessSN]],表格2_7[],2,FALSE)</f>
        <v>30-4118-018-550</v>
      </c>
      <c r="I9319" t="str">
        <f>VLOOKUP(record[[#This Row],[ProcessSN]],表格2_7[],3,FALSE)</f>
        <v>#100SHIP</v>
      </c>
      <c r="J9319" t="s">
        <v>600</v>
      </c>
      <c r="K9319" s="195">
        <v>45821.582615740743</v>
      </c>
      <c r="L9319">
        <v>66</v>
      </c>
      <c r="M9319">
        <v>0</v>
      </c>
      <c r="N9319" s="98" t="str">
        <f>IF(record[[#This Row],[Memo]]="Browser:chrome os:android","平板報工",IF(record[[#This Row],[Memo]]=0,"委外",record[[#This Row],[Memo]]))</f>
        <v/>
      </c>
      <c r="O9319" t="s">
        <v>58</v>
      </c>
      <c r="P9319" t="s">
        <v>186</v>
      </c>
      <c r="Q9319" t="s">
        <v>58</v>
      </c>
      <c r="R9319" t="str">
        <f>IFERROR(VLOOKUP(record[[#This Row],[PCUSTID]],廠商[],2,FALSE),"")</f>
        <v/>
      </c>
      <c r="S9319" t="str">
        <f>VLOOKUP(record[[#This Row],[employeeID]],員工[],2,FALSE)</f>
        <v>許文姍</v>
      </c>
    </row>
    <row r="9320" spans="6:19" hidden="1" x14ac:dyDescent="0.25">
      <c r="F9320" t="s">
        <v>836</v>
      </c>
      <c r="G9320" t="s">
        <v>402</v>
      </c>
      <c r="H9320" t="str">
        <f>VLOOKUP(record[[#This Row],[ProcessSN]],表格2_7[],2,FALSE)</f>
        <v>30-4118-018-550</v>
      </c>
      <c r="I9320" t="str">
        <f>VLOOKUP(record[[#This Row],[ProcessSN]],表格2_7[],3,FALSE)</f>
        <v>#100STOCK</v>
      </c>
      <c r="J9320" t="s">
        <v>592</v>
      </c>
      <c r="K9320" s="195">
        <v>45821.582453703704</v>
      </c>
      <c r="L9320">
        <v>120</v>
      </c>
      <c r="M9320">
        <v>0</v>
      </c>
      <c r="N9320" s="98" t="str">
        <f>IF(record[[#This Row],[Memo]]="Browser:chrome os:android","平板報工",IF(record[[#This Row],[Memo]]=0,"委外",record[[#This Row],[Memo]]))</f>
        <v/>
      </c>
      <c r="O9320" t="s">
        <v>58</v>
      </c>
      <c r="P9320" t="s">
        <v>186</v>
      </c>
      <c r="Q9320" t="s">
        <v>58</v>
      </c>
      <c r="R9320" t="str">
        <f>IFERROR(VLOOKUP(record[[#This Row],[PCUSTID]],廠商[],2,FALSE),"")</f>
        <v/>
      </c>
      <c r="S9320" t="str">
        <f>VLOOKUP(record[[#This Row],[employeeID]],員工[],2,FALSE)</f>
        <v>許文姍</v>
      </c>
    </row>
    <row r="9321" spans="6:19" hidden="1" x14ac:dyDescent="0.25">
      <c r="F9321" t="s">
        <v>834</v>
      </c>
      <c r="G9321" t="s">
        <v>403</v>
      </c>
      <c r="H9321" t="str">
        <f>VLOOKUP(record[[#This Row],[ProcessSN]],表格2_7[],2,FALSE)</f>
        <v>30-4118-018-550</v>
      </c>
      <c r="I9321" t="str">
        <f>VLOOKUP(record[[#This Row],[ProcessSN]],表格2_7[],3,FALSE)</f>
        <v>#100SHIP</v>
      </c>
      <c r="J9321" t="s">
        <v>600</v>
      </c>
      <c r="K9321" s="195">
        <v>45821.580648148149</v>
      </c>
      <c r="L9321">
        <v>150</v>
      </c>
      <c r="M9321">
        <v>0</v>
      </c>
      <c r="N9321" s="98" t="str">
        <f>IF(record[[#This Row],[Memo]]="Browser:chrome os:android","平板報工",IF(record[[#This Row],[Memo]]=0,"委外",record[[#This Row],[Memo]]))</f>
        <v/>
      </c>
      <c r="O9321" t="s">
        <v>58</v>
      </c>
      <c r="P9321" t="s">
        <v>186</v>
      </c>
      <c r="Q9321" t="s">
        <v>58</v>
      </c>
      <c r="R9321" t="str">
        <f>IFERROR(VLOOKUP(record[[#This Row],[PCUSTID]],廠商[],2,FALSE),"")</f>
        <v/>
      </c>
      <c r="S9321" t="str">
        <f>VLOOKUP(record[[#This Row],[employeeID]],員工[],2,FALSE)</f>
        <v>許文姍</v>
      </c>
    </row>
    <row r="9322" spans="6:19" hidden="1" x14ac:dyDescent="0.25">
      <c r="F9322" t="s">
        <v>825</v>
      </c>
      <c r="G9322" t="s">
        <v>469</v>
      </c>
      <c r="H9322" t="str">
        <f>VLOOKUP(record[[#This Row],[ProcessSN]],表格2_7[],2,FALSE)</f>
        <v>30-4118-018-XXX</v>
      </c>
      <c r="I9322" t="str">
        <f>VLOOKUP(record[[#This Row],[ProcessSN]],表格2_7[],3,FALSE)</f>
        <v>#02RCV</v>
      </c>
      <c r="J9322" t="s">
        <v>591</v>
      </c>
      <c r="K9322" s="195">
        <v>45821.462465277778</v>
      </c>
      <c r="L9322">
        <v>672</v>
      </c>
      <c r="M9322">
        <v>0</v>
      </c>
      <c r="N9322" s="98" t="str">
        <f>IF(record[[#This Row],[Memo]]="Browser:chrome os:android","平板報工",IF(record[[#This Row],[Memo]]=0,"委外",record[[#This Row],[Memo]]))</f>
        <v/>
      </c>
      <c r="O9322" t="s">
        <v>58</v>
      </c>
      <c r="P9322" t="s">
        <v>186</v>
      </c>
      <c r="Q9322" t="s">
        <v>58</v>
      </c>
      <c r="R9322" t="str">
        <f>IFERROR(VLOOKUP(record[[#This Row],[PCUSTID]],廠商[],2,FALSE),"")</f>
        <v/>
      </c>
      <c r="S9322" t="str">
        <f>VLOOKUP(record[[#This Row],[employeeID]],員工[],2,FALSE)</f>
        <v>許文姍</v>
      </c>
    </row>
    <row r="9323" spans="6:19" hidden="1" x14ac:dyDescent="0.25">
      <c r="F9323" t="s">
        <v>825</v>
      </c>
      <c r="G9323" t="s">
        <v>468</v>
      </c>
      <c r="H9323" t="str">
        <f>VLOOKUP(record[[#This Row],[ProcessSN]],表格2_7[],2,FALSE)</f>
        <v>30-4118-018-XXX</v>
      </c>
      <c r="I9323" t="str">
        <f>VLOOKUP(record[[#This Row],[ProcessSN]],表格2_7[],3,FALSE)</f>
        <v>#02</v>
      </c>
      <c r="J9323" t="s">
        <v>590</v>
      </c>
      <c r="K9323" s="195">
        <v>45821.401446759257</v>
      </c>
      <c r="L9323">
        <v>1511</v>
      </c>
      <c r="M9323">
        <v>0</v>
      </c>
      <c r="N9323" s="98" t="str">
        <f>IF(record[[#This Row],[Memo]]="Browser:chrome os:android","平板報工",IF(record[[#This Row],[Memo]]=0,"委外",record[[#This Row],[Memo]]))</f>
        <v>委外</v>
      </c>
      <c r="P9323" t="s">
        <v>186</v>
      </c>
      <c r="Q9323" t="s">
        <v>216</v>
      </c>
      <c r="R9323" t="str">
        <f>IFERROR(VLOOKUP(record[[#This Row],[PCUSTID]],廠商[],2,FALSE),"")</f>
        <v>俊杰</v>
      </c>
      <c r="S9323" t="str">
        <f>VLOOKUP(record[[#This Row],[employeeID]],員工[],2,FALSE)</f>
        <v>許文姍</v>
      </c>
    </row>
    <row r="9324" spans="6:19" hidden="1" x14ac:dyDescent="0.25">
      <c r="F9324" t="s">
        <v>825</v>
      </c>
      <c r="G9324" t="s">
        <v>467</v>
      </c>
      <c r="H9324" t="str">
        <f>VLOOKUP(record[[#This Row],[ProcessSN]],表格2_7[],2,FALSE)</f>
        <v>30-4118-018-XXX</v>
      </c>
      <c r="I9324" t="str">
        <f>VLOOKUP(record[[#This Row],[ProcessSN]],表格2_7[],3,FALSE)</f>
        <v>#01QC</v>
      </c>
      <c r="J9324" t="s">
        <v>589</v>
      </c>
      <c r="K9324" s="195">
        <v>45821.401354166665</v>
      </c>
      <c r="L9324">
        <v>1511</v>
      </c>
      <c r="M9324">
        <v>0</v>
      </c>
      <c r="N9324" s="98" t="str">
        <f>IF(record[[#This Row],[Memo]]="Browser:chrome os:android","平板報工",IF(record[[#This Row],[Memo]]=0,"委外",record[[#This Row],[Memo]]))</f>
        <v/>
      </c>
      <c r="O9324" t="s">
        <v>58</v>
      </c>
      <c r="P9324" t="s">
        <v>186</v>
      </c>
      <c r="Q9324" t="s">
        <v>58</v>
      </c>
      <c r="R9324" t="str">
        <f>IFERROR(VLOOKUP(record[[#This Row],[PCUSTID]],廠商[],2,FALSE),"")</f>
        <v/>
      </c>
      <c r="S9324" t="str">
        <f>VLOOKUP(record[[#This Row],[employeeID]],員工[],2,FALSE)</f>
        <v>許文姍</v>
      </c>
    </row>
    <row r="9325" spans="6:19" hidden="1" x14ac:dyDescent="0.25">
      <c r="F9325" t="s">
        <v>849</v>
      </c>
      <c r="G9325" t="s">
        <v>464</v>
      </c>
      <c r="H9325" t="str">
        <f>VLOOKUP(record[[#This Row],[ProcessSN]],表格2_7[],2,FALSE)</f>
        <v>30-4118-018-XXX</v>
      </c>
      <c r="I9325" t="str">
        <f>VLOOKUP(record[[#This Row],[ProcessSN]],表格2_7[],3,FALSE)</f>
        <v>#01GIVE</v>
      </c>
      <c r="J9325" t="s">
        <v>587</v>
      </c>
      <c r="K9325" s="195">
        <v>45821.340138888889</v>
      </c>
      <c r="L9325">
        <v>5320</v>
      </c>
      <c r="M9325">
        <v>0</v>
      </c>
      <c r="N9325" s="98" t="str">
        <f>IF(record[[#This Row],[Memo]]="Browser:chrome os:android","平板報工",IF(record[[#This Row],[Memo]]=0,"委外",record[[#This Row],[Memo]]))</f>
        <v/>
      </c>
      <c r="O9325" t="s">
        <v>58</v>
      </c>
      <c r="P9325" t="s">
        <v>208</v>
      </c>
      <c r="Q9325" t="s">
        <v>58</v>
      </c>
      <c r="R9325" t="str">
        <f>IFERROR(VLOOKUP(record[[#This Row],[PCUSTID]],廠商[],2,FALSE),"")</f>
        <v/>
      </c>
      <c r="S9325" t="str">
        <f>VLOOKUP(record[[#This Row],[employeeID]],員工[],2,FALSE)</f>
        <v>陳治宏</v>
      </c>
    </row>
    <row r="9326" spans="6:19" hidden="1" x14ac:dyDescent="0.25">
      <c r="F9326" t="s">
        <v>825</v>
      </c>
      <c r="G9326" t="s">
        <v>466</v>
      </c>
      <c r="H9326" t="str">
        <f>VLOOKUP(record[[#This Row],[ProcessSN]],表格2_7[],2,FALSE)</f>
        <v>30-4118-018-XXX</v>
      </c>
      <c r="I9326" t="str">
        <f>VLOOKUP(record[[#This Row],[ProcessSN]],表格2_7[],3,FALSE)</f>
        <v>#01-2</v>
      </c>
      <c r="J9326" t="s">
        <v>588</v>
      </c>
      <c r="K9326" s="195">
        <v>45821.313969907409</v>
      </c>
      <c r="L9326">
        <v>493</v>
      </c>
      <c r="M9326">
        <v>0</v>
      </c>
      <c r="N9326" s="98" t="str">
        <f>IF(record[[#This Row],[Memo]]="Browser:chrome os:android","平板報工",IF(record[[#This Row],[Memo]]=0,"委外",record[[#This Row],[Memo]]))</f>
        <v/>
      </c>
      <c r="O9326" t="s">
        <v>58</v>
      </c>
      <c r="P9326" t="s">
        <v>135</v>
      </c>
      <c r="Q9326" t="s">
        <v>58</v>
      </c>
      <c r="R9326" t="str">
        <f>IFERROR(VLOOKUP(record[[#This Row],[PCUSTID]],廠商[],2,FALSE),"")</f>
        <v/>
      </c>
      <c r="S9326" t="str">
        <f>VLOOKUP(record[[#This Row],[employeeID]],員工[],2,FALSE)</f>
        <v>阮士文</v>
      </c>
    </row>
    <row r="9327" spans="6:19" hidden="1" x14ac:dyDescent="0.25">
      <c r="F9327" t="s">
        <v>825</v>
      </c>
      <c r="G9327" t="s">
        <v>466</v>
      </c>
      <c r="H9327" t="str">
        <f>VLOOKUP(record[[#This Row],[ProcessSN]],表格2_7[],2,FALSE)</f>
        <v>30-4118-018-XXX</v>
      </c>
      <c r="I9327" t="str">
        <f>VLOOKUP(record[[#This Row],[ProcessSN]],表格2_7[],3,FALSE)</f>
        <v>#01-2</v>
      </c>
      <c r="J9327" t="s">
        <v>588</v>
      </c>
      <c r="K9327" s="195">
        <v>45820.952210648145</v>
      </c>
      <c r="L9327">
        <v>587</v>
      </c>
      <c r="M9327">
        <v>0</v>
      </c>
      <c r="N9327" s="98" t="str">
        <f>IF(record[[#This Row],[Memo]]="Browser:chrome os:android","平板報工",IF(record[[#This Row],[Memo]]=0,"委外",record[[#This Row],[Memo]]))</f>
        <v/>
      </c>
      <c r="O9327" t="s">
        <v>58</v>
      </c>
      <c r="P9327" t="s">
        <v>133</v>
      </c>
      <c r="Q9327" t="s">
        <v>58</v>
      </c>
      <c r="R9327" t="str">
        <f>IFERROR(VLOOKUP(record[[#This Row],[PCUSTID]],廠商[],2,FALSE),"")</f>
        <v/>
      </c>
      <c r="S9327" t="str">
        <f>VLOOKUP(record[[#This Row],[employeeID]],員工[],2,FALSE)</f>
        <v>黎長維</v>
      </c>
    </row>
    <row r="9328" spans="6:19" hidden="1" x14ac:dyDescent="0.25">
      <c r="F9328" t="s">
        <v>825</v>
      </c>
      <c r="G9328" t="s">
        <v>465</v>
      </c>
      <c r="H9328" t="str">
        <f>VLOOKUP(record[[#This Row],[ProcessSN]],表格2_7[],2,FALSE)</f>
        <v>30-4118-018-XXX</v>
      </c>
      <c r="I9328" t="str">
        <f>VLOOKUP(record[[#This Row],[ProcessSN]],表格2_7[],3,FALSE)</f>
        <v>#01-1</v>
      </c>
      <c r="J9328" t="s">
        <v>588</v>
      </c>
      <c r="K9328" s="195">
        <v>45820.951805555553</v>
      </c>
      <c r="L9328">
        <v>272</v>
      </c>
      <c r="M9328">
        <v>0</v>
      </c>
      <c r="N9328" s="98" t="str">
        <f>IF(record[[#This Row],[Memo]]="Browser:chrome os:android","平板報工",IF(record[[#This Row],[Memo]]=0,"委外",record[[#This Row],[Memo]]))</f>
        <v/>
      </c>
      <c r="O9328" t="s">
        <v>58</v>
      </c>
      <c r="P9328" t="s">
        <v>133</v>
      </c>
      <c r="Q9328" t="s">
        <v>58</v>
      </c>
      <c r="R9328" t="str">
        <f>IFERROR(VLOOKUP(record[[#This Row],[PCUSTID]],廠商[],2,FALSE),"")</f>
        <v/>
      </c>
      <c r="S9328" t="str">
        <f>VLOOKUP(record[[#This Row],[employeeID]],員工[],2,FALSE)</f>
        <v>黎長維</v>
      </c>
    </row>
    <row r="9329" spans="6:19" hidden="1" x14ac:dyDescent="0.25">
      <c r="F9329" t="s">
        <v>849</v>
      </c>
      <c r="G9329" t="s">
        <v>463</v>
      </c>
      <c r="H9329" t="str">
        <f>VLOOKUP(record[[#This Row],[ProcessSN]],表格2_7[],2,FALSE)</f>
        <v>30-4118-018-XXX</v>
      </c>
      <c r="I9329" t="str">
        <f>VLOOKUP(record[[#This Row],[ProcessSN]],表格2_7[],3,FALSE)</f>
        <v>#00IQC</v>
      </c>
      <c r="J9329" t="s">
        <v>583</v>
      </c>
      <c r="K9329" s="195">
        <v>45820.725243055553</v>
      </c>
      <c r="L9329">
        <v>5320</v>
      </c>
      <c r="M9329">
        <v>0</v>
      </c>
      <c r="N9329" s="98" t="str">
        <f>IF(record[[#This Row],[Memo]]="Browser:chrome os:android","平板報工",IF(record[[#This Row],[Memo]]=0,"委外",record[[#This Row],[Memo]]))</f>
        <v/>
      </c>
      <c r="O9329" t="s">
        <v>58</v>
      </c>
      <c r="P9329" t="s">
        <v>109</v>
      </c>
      <c r="Q9329" t="s">
        <v>58</v>
      </c>
      <c r="R9329" t="str">
        <f>IFERROR(VLOOKUP(record[[#This Row],[PCUSTID]],廠商[],2,FALSE),"")</f>
        <v/>
      </c>
      <c r="S9329" t="str">
        <f>VLOOKUP(record[[#This Row],[employeeID]],員工[],2,FALSE)</f>
        <v>裴氏璧鳳</v>
      </c>
    </row>
    <row r="9330" spans="6:19" hidden="1" x14ac:dyDescent="0.25">
      <c r="F9330" t="s">
        <v>836</v>
      </c>
      <c r="G9330" t="s">
        <v>401</v>
      </c>
      <c r="H9330" t="str">
        <f>VLOOKUP(record[[#This Row],[ProcessSN]],表格2_7[],2,FALSE)</f>
        <v>30-4118-018-550</v>
      </c>
      <c r="I9330" t="str">
        <f>VLOOKUP(record[[#This Row],[ProcessSN]],表格2_7[],3,FALSE)</f>
        <v>#100OQC</v>
      </c>
      <c r="J9330" t="s">
        <v>599</v>
      </c>
      <c r="K9330" s="195">
        <v>45820.712187500001</v>
      </c>
      <c r="L9330">
        <v>120</v>
      </c>
      <c r="M9330">
        <v>0</v>
      </c>
      <c r="N9330" s="98" t="str">
        <f>IF(record[[#This Row],[Memo]]="Browser:chrome os:android","平板報工",IF(record[[#This Row],[Memo]]=0,"委外",record[[#This Row],[Memo]]))</f>
        <v/>
      </c>
      <c r="O9330" t="s">
        <v>58</v>
      </c>
      <c r="P9330" t="s">
        <v>121</v>
      </c>
      <c r="Q9330" t="s">
        <v>58</v>
      </c>
      <c r="R9330" t="str">
        <f>IFERROR(VLOOKUP(record[[#This Row],[PCUSTID]],廠商[],2,FALSE),"")</f>
        <v/>
      </c>
      <c r="S9330" t="str">
        <f>VLOOKUP(record[[#This Row],[employeeID]],員工[],2,FALSE)</f>
        <v>謝素卿</v>
      </c>
    </row>
    <row r="9331" spans="6:19" hidden="1" x14ac:dyDescent="0.25">
      <c r="F9331" t="s">
        <v>836</v>
      </c>
      <c r="G9331" t="s">
        <v>400</v>
      </c>
      <c r="H9331" t="str">
        <f>VLOOKUP(record[[#This Row],[ProcessSN]],表格2_7[],2,FALSE)</f>
        <v>30-4118-018-550</v>
      </c>
      <c r="I9331" t="str">
        <f>VLOOKUP(record[[#This Row],[ProcessSN]],表格2_7[],3,FALSE)</f>
        <v>#100</v>
      </c>
      <c r="J9331" t="s">
        <v>598</v>
      </c>
      <c r="K9331" s="195">
        <v>45820.684201388889</v>
      </c>
      <c r="L9331">
        <v>120</v>
      </c>
      <c r="M9331">
        <v>0</v>
      </c>
      <c r="N9331" s="98" t="str">
        <f>IF(record[[#This Row],[Memo]]="Browser:chrome os:android","平板報工",IF(record[[#This Row],[Memo]]=0,"委外",record[[#This Row],[Memo]]))</f>
        <v>平板報工</v>
      </c>
      <c r="O9331" t="s">
        <v>643</v>
      </c>
      <c r="P9331" t="s">
        <v>99</v>
      </c>
      <c r="Q9331" t="s">
        <v>644</v>
      </c>
      <c r="R9331" t="str">
        <f>IFERROR(VLOOKUP(record[[#This Row],[PCUSTID]],廠商[],2,FALSE),"")</f>
        <v/>
      </c>
      <c r="S9331" t="str">
        <f>VLOOKUP(record[[#This Row],[employeeID]],員工[],2,FALSE)</f>
        <v>阮氏河</v>
      </c>
    </row>
    <row r="9332" spans="6:19" hidden="1" x14ac:dyDescent="0.25">
      <c r="F9332" t="s">
        <v>825</v>
      </c>
      <c r="G9332" t="s">
        <v>466</v>
      </c>
      <c r="H9332" t="str">
        <f>VLOOKUP(record[[#This Row],[ProcessSN]],表格2_7[],2,FALSE)</f>
        <v>30-4118-018-XXX</v>
      </c>
      <c r="I9332" t="str">
        <f>VLOOKUP(record[[#This Row],[ProcessSN]],表格2_7[],3,FALSE)</f>
        <v>#01-2</v>
      </c>
      <c r="J9332" t="s">
        <v>588</v>
      </c>
      <c r="K9332" s="195">
        <v>45820.667847222219</v>
      </c>
      <c r="L9332">
        <v>431</v>
      </c>
      <c r="M9332">
        <v>0</v>
      </c>
      <c r="N9332" s="98" t="str">
        <f>IF(record[[#This Row],[Memo]]="Browser:chrome os:android","平板報工",IF(record[[#This Row],[Memo]]=0,"委外",record[[#This Row],[Memo]]))</f>
        <v/>
      </c>
      <c r="O9332" t="s">
        <v>58</v>
      </c>
      <c r="P9332" t="s">
        <v>101</v>
      </c>
      <c r="Q9332" t="s">
        <v>58</v>
      </c>
      <c r="R9332" t="str">
        <f>IFERROR(VLOOKUP(record[[#This Row],[PCUSTID]],廠商[],2,FALSE),"")</f>
        <v/>
      </c>
      <c r="S9332" t="str">
        <f>VLOOKUP(record[[#This Row],[employeeID]],員工[],2,FALSE)</f>
        <v>陳氏絨</v>
      </c>
    </row>
    <row r="9333" spans="6:19" hidden="1" x14ac:dyDescent="0.25">
      <c r="F9333" t="s">
        <v>825</v>
      </c>
      <c r="G9333" t="s">
        <v>465</v>
      </c>
      <c r="H9333" t="str">
        <f>VLOOKUP(record[[#This Row],[ProcessSN]],表格2_7[],2,FALSE)</f>
        <v>30-4118-018-XXX</v>
      </c>
      <c r="I9333" t="str">
        <f>VLOOKUP(record[[#This Row],[ProcessSN]],表格2_7[],3,FALSE)</f>
        <v>#01-1</v>
      </c>
      <c r="J9333" t="s">
        <v>588</v>
      </c>
      <c r="K9333" s="195">
        <v>45820.666620370372</v>
      </c>
      <c r="L9333">
        <v>648</v>
      </c>
      <c r="M9333">
        <v>0</v>
      </c>
      <c r="N9333" s="98" t="str">
        <f>IF(record[[#This Row],[Memo]]="Browser:chrome os:android","平板報工",IF(record[[#This Row],[Memo]]=0,"委外",record[[#This Row],[Memo]]))</f>
        <v/>
      </c>
      <c r="O9333" t="s">
        <v>58</v>
      </c>
      <c r="P9333" t="s">
        <v>101</v>
      </c>
      <c r="Q9333" t="s">
        <v>58</v>
      </c>
      <c r="R9333" t="str">
        <f>IFERROR(VLOOKUP(record[[#This Row],[PCUSTID]],廠商[],2,FALSE),"")</f>
        <v/>
      </c>
      <c r="S9333" t="str">
        <f>VLOOKUP(record[[#This Row],[employeeID]],員工[],2,FALSE)</f>
        <v>陳氏絨</v>
      </c>
    </row>
    <row r="9334" spans="6:19" hidden="1" x14ac:dyDescent="0.25">
      <c r="F9334" t="s">
        <v>849</v>
      </c>
      <c r="G9334" t="s">
        <v>462</v>
      </c>
      <c r="H9334" t="str">
        <f>VLOOKUP(record[[#This Row],[ProcessSN]],表格2_7[],2,FALSE)</f>
        <v>30-4118-018-XXX</v>
      </c>
      <c r="I9334" t="str">
        <f>VLOOKUP(record[[#This Row],[ProcessSN]],表格2_7[],3,FALSE)</f>
        <v>#00PICK</v>
      </c>
      <c r="J9334" t="s">
        <v>582</v>
      </c>
      <c r="K9334" s="195">
        <v>45820.658773148149</v>
      </c>
      <c r="L9334">
        <v>5320</v>
      </c>
      <c r="M9334">
        <v>0</v>
      </c>
      <c r="N9334" s="98" t="str">
        <f>IF(record[[#This Row],[Memo]]="Browser:chrome os:android","平板報工",IF(record[[#This Row],[Memo]]=0,"委外",record[[#This Row],[Memo]]))</f>
        <v/>
      </c>
      <c r="O9334" t="s">
        <v>58</v>
      </c>
      <c r="P9334" t="s">
        <v>113</v>
      </c>
      <c r="Q9334" t="s">
        <v>58</v>
      </c>
      <c r="R9334" t="str">
        <f>IFERROR(VLOOKUP(record[[#This Row],[PCUSTID]],廠商[],2,FALSE),"")</f>
        <v/>
      </c>
      <c r="S9334" t="str">
        <f>VLOOKUP(record[[#This Row],[employeeID]],員工[],2,FALSE)</f>
        <v>王奕蓁</v>
      </c>
    </row>
    <row r="9335" spans="6:19" hidden="1" x14ac:dyDescent="0.25">
      <c r="F9335" t="s">
        <v>820</v>
      </c>
      <c r="G9335" t="s">
        <v>428</v>
      </c>
      <c r="H9335" t="str">
        <f>VLOOKUP(record[[#This Row],[ProcessSN]],表格2_7[],2,FALSE)</f>
        <v>30-4118-018-600</v>
      </c>
      <c r="I9335" t="str">
        <f>VLOOKUP(record[[#This Row],[ProcessSN]],表格2_7[],3,FALSE)</f>
        <v>#100SHIP</v>
      </c>
      <c r="J9335" t="s">
        <v>600</v>
      </c>
      <c r="K9335" s="195">
        <v>45820.566990740743</v>
      </c>
      <c r="L9335">
        <v>1</v>
      </c>
      <c r="M9335">
        <v>0</v>
      </c>
      <c r="N9335" s="98" t="str">
        <f>IF(record[[#This Row],[Memo]]="Browser:chrome os:android","平板報工",IF(record[[#This Row],[Memo]]=0,"委外",record[[#This Row],[Memo]]))</f>
        <v/>
      </c>
      <c r="O9335" t="s">
        <v>58</v>
      </c>
      <c r="P9335" t="s">
        <v>186</v>
      </c>
      <c r="Q9335" t="s">
        <v>58</v>
      </c>
      <c r="R9335" t="str">
        <f>IFERROR(VLOOKUP(record[[#This Row],[PCUSTID]],廠商[],2,FALSE),"")</f>
        <v/>
      </c>
      <c r="S9335" t="str">
        <f>VLOOKUP(record[[#This Row],[employeeID]],員工[],2,FALSE)</f>
        <v>許文姍</v>
      </c>
    </row>
    <row r="9336" spans="6:19" hidden="1" x14ac:dyDescent="0.25">
      <c r="F9336" t="s">
        <v>818</v>
      </c>
      <c r="G9336" t="s">
        <v>428</v>
      </c>
      <c r="H9336" t="str">
        <f>VLOOKUP(record[[#This Row],[ProcessSN]],表格2_7[],2,FALSE)</f>
        <v>30-4118-018-600</v>
      </c>
      <c r="I9336" t="str">
        <f>VLOOKUP(record[[#This Row],[ProcessSN]],表格2_7[],3,FALSE)</f>
        <v>#100SHIP</v>
      </c>
      <c r="J9336" t="s">
        <v>600</v>
      </c>
      <c r="K9336" s="195">
        <v>45820.566712962966</v>
      </c>
      <c r="L9336">
        <v>11</v>
      </c>
      <c r="M9336">
        <v>0</v>
      </c>
      <c r="N9336" s="98" t="str">
        <f>IF(record[[#This Row],[Memo]]="Browser:chrome os:android","平板報工",IF(record[[#This Row],[Memo]]=0,"委外",record[[#This Row],[Memo]]))</f>
        <v/>
      </c>
      <c r="O9336" t="s">
        <v>58</v>
      </c>
      <c r="P9336" t="s">
        <v>186</v>
      </c>
      <c r="Q9336" t="s">
        <v>58</v>
      </c>
      <c r="R9336" t="str">
        <f>IFERROR(VLOOKUP(record[[#This Row],[PCUSTID]],廠商[],2,FALSE),"")</f>
        <v/>
      </c>
      <c r="S9336" t="str">
        <f>VLOOKUP(record[[#This Row],[employeeID]],員工[],2,FALSE)</f>
        <v>許文姍</v>
      </c>
    </row>
    <row r="9337" spans="6:19" hidden="1" x14ac:dyDescent="0.25">
      <c r="F9337" t="s">
        <v>834</v>
      </c>
      <c r="G9337" t="s">
        <v>403</v>
      </c>
      <c r="H9337" t="str">
        <f>VLOOKUP(record[[#This Row],[ProcessSN]],表格2_7[],2,FALSE)</f>
        <v>30-4118-018-550</v>
      </c>
      <c r="I9337" t="str">
        <f>VLOOKUP(record[[#This Row],[ProcessSN]],表格2_7[],3,FALSE)</f>
        <v>#100SHIP</v>
      </c>
      <c r="J9337" t="s">
        <v>600</v>
      </c>
      <c r="K9337" s="195">
        <v>45820.566319444442</v>
      </c>
      <c r="L9337">
        <v>17</v>
      </c>
      <c r="M9337">
        <v>0</v>
      </c>
      <c r="N9337" s="98" t="str">
        <f>IF(record[[#This Row],[Memo]]="Browser:chrome os:android","平板報工",IF(record[[#This Row],[Memo]]=0,"委外",record[[#This Row],[Memo]]))</f>
        <v/>
      </c>
      <c r="O9337" t="s">
        <v>58</v>
      </c>
      <c r="P9337" t="s">
        <v>186</v>
      </c>
      <c r="Q9337" t="s">
        <v>58</v>
      </c>
      <c r="R9337" t="str">
        <f>IFERROR(VLOOKUP(record[[#This Row],[PCUSTID]],廠商[],2,FALSE),"")</f>
        <v/>
      </c>
      <c r="S9337" t="str">
        <f>VLOOKUP(record[[#This Row],[employeeID]],員工[],2,FALSE)</f>
        <v>許文姍</v>
      </c>
    </row>
    <row r="9338" spans="6:19" hidden="1" x14ac:dyDescent="0.25">
      <c r="F9338" t="s">
        <v>834</v>
      </c>
      <c r="G9338" t="s">
        <v>402</v>
      </c>
      <c r="H9338" t="str">
        <f>VLOOKUP(record[[#This Row],[ProcessSN]],表格2_7[],2,FALSE)</f>
        <v>30-4118-018-550</v>
      </c>
      <c r="I9338" t="str">
        <f>VLOOKUP(record[[#This Row],[ProcessSN]],表格2_7[],3,FALSE)</f>
        <v>#100STOCK</v>
      </c>
      <c r="J9338" t="s">
        <v>592</v>
      </c>
      <c r="K9338" s="195">
        <v>45820.566180555557</v>
      </c>
      <c r="L9338">
        <v>167</v>
      </c>
      <c r="M9338">
        <v>0</v>
      </c>
      <c r="N9338" s="98" t="str">
        <f>IF(record[[#This Row],[Memo]]="Browser:chrome os:android","平板報工",IF(record[[#This Row],[Memo]]=0,"委外",record[[#This Row],[Memo]]))</f>
        <v/>
      </c>
      <c r="O9338" t="s">
        <v>58</v>
      </c>
      <c r="P9338" t="s">
        <v>186</v>
      </c>
      <c r="Q9338" t="s">
        <v>58</v>
      </c>
      <c r="R9338" t="str">
        <f>IFERROR(VLOOKUP(record[[#This Row],[PCUSTID]],廠商[],2,FALSE),"")</f>
        <v/>
      </c>
      <c r="S9338" t="str">
        <f>VLOOKUP(record[[#This Row],[employeeID]],員工[],2,FALSE)</f>
        <v>許文姍</v>
      </c>
    </row>
    <row r="9339" spans="6:19" hidden="1" x14ac:dyDescent="0.25">
      <c r="F9339" t="s">
        <v>828</v>
      </c>
      <c r="G9339" t="s">
        <v>403</v>
      </c>
      <c r="H9339" t="str">
        <f>VLOOKUP(record[[#This Row],[ProcessSN]],表格2_7[],2,FALSE)</f>
        <v>30-4118-018-550</v>
      </c>
      <c r="I9339" t="str">
        <f>VLOOKUP(record[[#This Row],[ProcessSN]],表格2_7[],3,FALSE)</f>
        <v>#100SHIP</v>
      </c>
      <c r="J9339" t="s">
        <v>600</v>
      </c>
      <c r="K9339" s="195">
        <v>45820.56523148148</v>
      </c>
      <c r="L9339">
        <v>11</v>
      </c>
      <c r="M9339">
        <v>0</v>
      </c>
      <c r="N9339" s="98" t="str">
        <f>IF(record[[#This Row],[Memo]]="Browser:chrome os:android","平板報工",IF(record[[#This Row],[Memo]]=0,"委外",record[[#This Row],[Memo]]))</f>
        <v/>
      </c>
      <c r="O9339" t="s">
        <v>58</v>
      </c>
      <c r="P9339" t="s">
        <v>186</v>
      </c>
      <c r="Q9339" t="s">
        <v>58</v>
      </c>
      <c r="R9339" t="str">
        <f>IFERROR(VLOOKUP(record[[#This Row],[PCUSTID]],廠商[],2,FALSE),"")</f>
        <v/>
      </c>
      <c r="S9339" t="str">
        <f>VLOOKUP(record[[#This Row],[employeeID]],員工[],2,FALSE)</f>
        <v>許文姍</v>
      </c>
    </row>
    <row r="9340" spans="6:19" hidden="1" x14ac:dyDescent="0.25">
      <c r="F9340" t="s">
        <v>825</v>
      </c>
      <c r="G9340" t="s">
        <v>468</v>
      </c>
      <c r="H9340" t="str">
        <f>VLOOKUP(record[[#This Row],[ProcessSN]],表格2_7[],2,FALSE)</f>
        <v>30-4118-018-XXX</v>
      </c>
      <c r="I9340" t="str">
        <f>VLOOKUP(record[[#This Row],[ProcessSN]],表格2_7[],3,FALSE)</f>
        <v>#02</v>
      </c>
      <c r="J9340" t="s">
        <v>590</v>
      </c>
      <c r="K9340" s="195">
        <v>45820.386793981481</v>
      </c>
      <c r="L9340">
        <v>1008</v>
      </c>
      <c r="M9340">
        <v>0</v>
      </c>
      <c r="N9340" s="98" t="str">
        <f>IF(record[[#This Row],[Memo]]="Browser:chrome os:android","平板報工",IF(record[[#This Row],[Memo]]=0,"委外",record[[#This Row],[Memo]]))</f>
        <v>委外</v>
      </c>
      <c r="P9340" t="s">
        <v>186</v>
      </c>
      <c r="Q9340" t="s">
        <v>216</v>
      </c>
      <c r="R9340" t="str">
        <f>IFERROR(VLOOKUP(record[[#This Row],[PCUSTID]],廠商[],2,FALSE),"")</f>
        <v>俊杰</v>
      </c>
      <c r="S9340" t="str">
        <f>VLOOKUP(record[[#This Row],[employeeID]],員工[],2,FALSE)</f>
        <v>許文姍</v>
      </c>
    </row>
    <row r="9341" spans="6:19" hidden="1" x14ac:dyDescent="0.25">
      <c r="F9341" t="s">
        <v>825</v>
      </c>
      <c r="G9341" t="s">
        <v>467</v>
      </c>
      <c r="H9341" t="str">
        <f>VLOOKUP(record[[#This Row],[ProcessSN]],表格2_7[],2,FALSE)</f>
        <v>30-4118-018-XXX</v>
      </c>
      <c r="I9341" t="str">
        <f>VLOOKUP(record[[#This Row],[ProcessSN]],表格2_7[],3,FALSE)</f>
        <v>#01QC</v>
      </c>
      <c r="J9341" t="s">
        <v>589</v>
      </c>
      <c r="K9341" s="195">
        <v>45820.386481481481</v>
      </c>
      <c r="L9341">
        <v>1008</v>
      </c>
      <c r="M9341">
        <v>0</v>
      </c>
      <c r="N9341" s="98" t="str">
        <f>IF(record[[#This Row],[Memo]]="Browser:chrome os:android","平板報工",IF(record[[#This Row],[Memo]]=0,"委外",record[[#This Row],[Memo]]))</f>
        <v/>
      </c>
      <c r="O9341" t="s">
        <v>58</v>
      </c>
      <c r="P9341" t="s">
        <v>186</v>
      </c>
      <c r="Q9341" t="s">
        <v>58</v>
      </c>
      <c r="R9341" t="str">
        <f>IFERROR(VLOOKUP(record[[#This Row],[PCUSTID]],廠商[],2,FALSE),"")</f>
        <v/>
      </c>
      <c r="S9341" t="str">
        <f>VLOOKUP(record[[#This Row],[employeeID]],員工[],2,FALSE)</f>
        <v>許文姍</v>
      </c>
    </row>
    <row r="9342" spans="6:19" hidden="1" x14ac:dyDescent="0.25">
      <c r="F9342" t="s">
        <v>825</v>
      </c>
      <c r="G9342" t="s">
        <v>468</v>
      </c>
      <c r="H9342" t="str">
        <f>VLOOKUP(record[[#This Row],[ProcessSN]],表格2_7[],2,FALSE)</f>
        <v>30-4118-018-XXX</v>
      </c>
      <c r="I9342" t="str">
        <f>VLOOKUP(record[[#This Row],[ProcessSN]],表格2_7[],3,FALSE)</f>
        <v>#02</v>
      </c>
      <c r="J9342" t="s">
        <v>590</v>
      </c>
      <c r="K9342" s="195">
        <v>45820.363993055558</v>
      </c>
      <c r="L9342">
        <v>1008</v>
      </c>
      <c r="M9342">
        <v>0</v>
      </c>
      <c r="N9342" s="98" t="str">
        <f>IF(record[[#This Row],[Memo]]="Browser:chrome os:android","平板報工",IF(record[[#This Row],[Memo]]=0,"委外",record[[#This Row],[Memo]]))</f>
        <v>委外</v>
      </c>
      <c r="P9342" t="s">
        <v>186</v>
      </c>
      <c r="Q9342" t="s">
        <v>216</v>
      </c>
      <c r="R9342" t="str">
        <f>IFERROR(VLOOKUP(record[[#This Row],[PCUSTID]],廠商[],2,FALSE),"")</f>
        <v>俊杰</v>
      </c>
      <c r="S9342" t="str">
        <f>VLOOKUP(record[[#This Row],[employeeID]],員工[],2,FALSE)</f>
        <v>許文姍</v>
      </c>
    </row>
    <row r="9343" spans="6:19" hidden="1" x14ac:dyDescent="0.25">
      <c r="F9343" t="s">
        <v>834</v>
      </c>
      <c r="G9343" t="s">
        <v>401</v>
      </c>
      <c r="H9343" t="str">
        <f>VLOOKUP(record[[#This Row],[ProcessSN]],表格2_7[],2,FALSE)</f>
        <v>30-4118-018-550</v>
      </c>
      <c r="I9343" t="str">
        <f>VLOOKUP(record[[#This Row],[ProcessSN]],表格2_7[],3,FALSE)</f>
        <v>#100OQC</v>
      </c>
      <c r="J9343" t="s">
        <v>599</v>
      </c>
      <c r="K9343" s="195">
        <v>45820.36</v>
      </c>
      <c r="L9343">
        <v>167</v>
      </c>
      <c r="M9343">
        <v>0</v>
      </c>
      <c r="N9343" s="98" t="str">
        <f>IF(record[[#This Row],[Memo]]="Browser:chrome os:android","平板報工",IF(record[[#This Row],[Memo]]=0,"委外",record[[#This Row],[Memo]]))</f>
        <v/>
      </c>
      <c r="O9343" t="s">
        <v>58</v>
      </c>
      <c r="P9343" t="s">
        <v>121</v>
      </c>
      <c r="Q9343" t="s">
        <v>58</v>
      </c>
      <c r="R9343" t="str">
        <f>IFERROR(VLOOKUP(record[[#This Row],[PCUSTID]],廠商[],2,FALSE),"")</f>
        <v/>
      </c>
      <c r="S9343" t="str">
        <f>VLOOKUP(record[[#This Row],[employeeID]],員工[],2,FALSE)</f>
        <v>謝素卿</v>
      </c>
    </row>
    <row r="9344" spans="6:19" hidden="1" x14ac:dyDescent="0.25">
      <c r="F9344" t="s">
        <v>825</v>
      </c>
      <c r="G9344" t="s">
        <v>466</v>
      </c>
      <c r="H9344" t="str">
        <f>VLOOKUP(record[[#This Row],[ProcessSN]],表格2_7[],2,FALSE)</f>
        <v>30-4118-018-XXX</v>
      </c>
      <c r="I9344" t="str">
        <f>VLOOKUP(record[[#This Row],[ProcessSN]],表格2_7[],3,FALSE)</f>
        <v>#01-2</v>
      </c>
      <c r="J9344" t="s">
        <v>588</v>
      </c>
      <c r="K9344" s="195">
        <v>45820.304606481484</v>
      </c>
      <c r="L9344">
        <v>469</v>
      </c>
      <c r="M9344">
        <v>0</v>
      </c>
      <c r="N9344" s="98" t="str">
        <f>IF(record[[#This Row],[Memo]]="Browser:chrome os:android","平板報工",IF(record[[#This Row],[Memo]]=0,"委外",record[[#This Row],[Memo]]))</f>
        <v/>
      </c>
      <c r="O9344" t="s">
        <v>58</v>
      </c>
      <c r="P9344" t="s">
        <v>135</v>
      </c>
      <c r="Q9344" t="s">
        <v>58</v>
      </c>
      <c r="R9344" t="str">
        <f>IFERROR(VLOOKUP(record[[#This Row],[PCUSTID]],廠商[],2,FALSE),"")</f>
        <v/>
      </c>
      <c r="S9344" t="str">
        <f>VLOOKUP(record[[#This Row],[employeeID]],員工[],2,FALSE)</f>
        <v>阮士文</v>
      </c>
    </row>
    <row r="9345" spans="6:19" hidden="1" x14ac:dyDescent="0.25">
      <c r="F9345" t="s">
        <v>825</v>
      </c>
      <c r="G9345" t="s">
        <v>466</v>
      </c>
      <c r="H9345" t="str">
        <f>VLOOKUP(record[[#This Row],[ProcessSN]],表格2_7[],2,FALSE)</f>
        <v>30-4118-018-XXX</v>
      </c>
      <c r="I9345" t="str">
        <f>VLOOKUP(record[[#This Row],[ProcessSN]],表格2_7[],3,FALSE)</f>
        <v>#01-2</v>
      </c>
      <c r="J9345" t="s">
        <v>588</v>
      </c>
      <c r="K9345" s="195">
        <v>45819.974421296298</v>
      </c>
      <c r="L9345">
        <v>587</v>
      </c>
      <c r="M9345">
        <v>0</v>
      </c>
      <c r="N9345" s="98" t="str">
        <f>IF(record[[#This Row],[Memo]]="Browser:chrome os:android","平板報工",IF(record[[#This Row],[Memo]]=0,"委外",record[[#This Row],[Memo]]))</f>
        <v/>
      </c>
      <c r="O9345" t="s">
        <v>58</v>
      </c>
      <c r="P9345" t="s">
        <v>133</v>
      </c>
      <c r="Q9345" t="s">
        <v>58</v>
      </c>
      <c r="R9345" t="str">
        <f>IFERROR(VLOOKUP(record[[#This Row],[PCUSTID]],廠商[],2,FALSE),"")</f>
        <v/>
      </c>
      <c r="S9345" t="str">
        <f>VLOOKUP(record[[#This Row],[employeeID]],員工[],2,FALSE)</f>
        <v>黎長維</v>
      </c>
    </row>
    <row r="9346" spans="6:19" hidden="1" x14ac:dyDescent="0.25">
      <c r="F9346" t="s">
        <v>836</v>
      </c>
      <c r="G9346" t="s">
        <v>399</v>
      </c>
      <c r="H9346" t="str">
        <f>VLOOKUP(record[[#This Row],[ProcessSN]],表格2_7[],2,FALSE)</f>
        <v>30-4118-018-550</v>
      </c>
      <c r="I9346" t="str">
        <f>VLOOKUP(record[[#This Row],[ProcessSN]],表格2_7[],3,FALSE)</f>
        <v>#08IQC</v>
      </c>
      <c r="J9346" t="s">
        <v>583</v>
      </c>
      <c r="K9346" s="195">
        <v>45819.749571759261</v>
      </c>
      <c r="L9346">
        <v>410</v>
      </c>
      <c r="M9346">
        <v>0</v>
      </c>
      <c r="N9346" s="98" t="str">
        <f>IF(record[[#This Row],[Memo]]="Browser:chrome os:android","平板報工",IF(record[[#This Row],[Memo]]=0,"委外",record[[#This Row],[Memo]]))</f>
        <v/>
      </c>
      <c r="O9346" t="s">
        <v>58</v>
      </c>
      <c r="P9346" t="s">
        <v>121</v>
      </c>
      <c r="Q9346" t="s">
        <v>58</v>
      </c>
      <c r="R9346" t="str">
        <f>IFERROR(VLOOKUP(record[[#This Row],[PCUSTID]],廠商[],2,FALSE),"")</f>
        <v/>
      </c>
      <c r="S9346" t="str">
        <f>VLOOKUP(record[[#This Row],[employeeID]],員工[],2,FALSE)</f>
        <v>謝素卿</v>
      </c>
    </row>
    <row r="9347" spans="6:19" hidden="1" x14ac:dyDescent="0.25">
      <c r="F9347" t="s">
        <v>834</v>
      </c>
      <c r="G9347" t="s">
        <v>400</v>
      </c>
      <c r="H9347" t="str">
        <f>VLOOKUP(record[[#This Row],[ProcessSN]],表格2_7[],2,FALSE)</f>
        <v>30-4118-018-550</v>
      </c>
      <c r="I9347" t="str">
        <f>VLOOKUP(record[[#This Row],[ProcessSN]],表格2_7[],3,FALSE)</f>
        <v>#100</v>
      </c>
      <c r="J9347" t="s">
        <v>598</v>
      </c>
      <c r="K9347" s="195">
        <v>45819.701689814814</v>
      </c>
      <c r="L9347">
        <v>167</v>
      </c>
      <c r="M9347">
        <v>0</v>
      </c>
      <c r="N9347" s="98" t="str">
        <f>IF(record[[#This Row],[Memo]]="Browser:chrome os:android","平板報工",IF(record[[#This Row],[Memo]]=0,"委外",record[[#This Row],[Memo]]))</f>
        <v>平板報工</v>
      </c>
      <c r="O9347" t="s">
        <v>643</v>
      </c>
      <c r="P9347" t="s">
        <v>141</v>
      </c>
      <c r="Q9347" t="s">
        <v>644</v>
      </c>
      <c r="R9347" t="str">
        <f>IFERROR(VLOOKUP(record[[#This Row],[PCUSTID]],廠商[],2,FALSE),"")</f>
        <v/>
      </c>
      <c r="S9347" t="str">
        <f>VLOOKUP(record[[#This Row],[employeeID]],員工[],2,FALSE)</f>
        <v>蔣梅</v>
      </c>
    </row>
    <row r="9348" spans="6:19" hidden="1" x14ac:dyDescent="0.25">
      <c r="F9348" t="s">
        <v>778</v>
      </c>
      <c r="G9348" t="s">
        <v>420</v>
      </c>
      <c r="H9348" t="str">
        <f>VLOOKUP(record[[#This Row],[ProcessSN]],表格2_7[],2,FALSE)</f>
        <v>30-4118-018-5XX</v>
      </c>
      <c r="I9348" t="str">
        <f>VLOOKUP(record[[#This Row],[ProcessSN]],表格2_7[],3,FALSE)</f>
        <v>#07STOCK</v>
      </c>
      <c r="J9348" t="s">
        <v>592</v>
      </c>
      <c r="K9348" s="195">
        <v>45819.681759259256</v>
      </c>
      <c r="L9348">
        <v>244</v>
      </c>
      <c r="M9348">
        <v>0</v>
      </c>
      <c r="N9348" s="98" t="str">
        <f>IF(record[[#This Row],[Memo]]="Browser:chrome os:android","平板報工",IF(record[[#This Row],[Memo]]=0,"委外",record[[#This Row],[Memo]]))</f>
        <v/>
      </c>
      <c r="O9348" t="s">
        <v>58</v>
      </c>
      <c r="P9348" t="s">
        <v>113</v>
      </c>
      <c r="Q9348" t="s">
        <v>58</v>
      </c>
      <c r="R9348" t="str">
        <f>IFERROR(VLOOKUP(record[[#This Row],[PCUSTID]],廠商[],2,FALSE),"")</f>
        <v/>
      </c>
      <c r="S9348" t="str">
        <f>VLOOKUP(record[[#This Row],[employeeID]],員工[],2,FALSE)</f>
        <v>王奕蓁</v>
      </c>
    </row>
    <row r="9349" spans="6:19" hidden="1" x14ac:dyDescent="0.25">
      <c r="F9349" t="s">
        <v>825</v>
      </c>
      <c r="G9349" t="s">
        <v>467</v>
      </c>
      <c r="H9349" t="str">
        <f>VLOOKUP(record[[#This Row],[ProcessSN]],表格2_7[],2,FALSE)</f>
        <v>30-4118-018-XXX</v>
      </c>
      <c r="I9349" t="str">
        <f>VLOOKUP(record[[#This Row],[ProcessSN]],表格2_7[],3,FALSE)</f>
        <v>#01QC</v>
      </c>
      <c r="J9349" t="s">
        <v>589</v>
      </c>
      <c r="K9349" s="195">
        <v>45819.67627314815</v>
      </c>
      <c r="L9349">
        <v>1008</v>
      </c>
      <c r="M9349">
        <v>0</v>
      </c>
      <c r="N9349" s="98" t="str">
        <f>IF(record[[#This Row],[Memo]]="Browser:chrome os:android","平板報工",IF(record[[#This Row],[Memo]]=0,"委外",record[[#This Row],[Memo]]))</f>
        <v>平板報工</v>
      </c>
      <c r="O9349" t="s">
        <v>643</v>
      </c>
      <c r="P9349" t="s">
        <v>182</v>
      </c>
      <c r="Q9349" t="s">
        <v>644</v>
      </c>
      <c r="R9349" t="str">
        <f>IFERROR(VLOOKUP(record[[#This Row],[PCUSTID]],廠商[],2,FALSE),"")</f>
        <v/>
      </c>
      <c r="S9349" t="str">
        <f>VLOOKUP(record[[#This Row],[employeeID]],員工[],2,FALSE)</f>
        <v>梅氏和</v>
      </c>
    </row>
    <row r="9350" spans="6:19" hidden="1" x14ac:dyDescent="0.25">
      <c r="F9350" t="s">
        <v>825</v>
      </c>
      <c r="G9350" t="s">
        <v>466</v>
      </c>
      <c r="H9350" t="str">
        <f>VLOOKUP(record[[#This Row],[ProcessSN]],表格2_7[],2,FALSE)</f>
        <v>30-4118-018-XXX</v>
      </c>
      <c r="I9350" t="str">
        <f>VLOOKUP(record[[#This Row],[ProcessSN]],表格2_7[],3,FALSE)</f>
        <v>#01-2</v>
      </c>
      <c r="J9350" t="s">
        <v>588</v>
      </c>
      <c r="K9350" s="195">
        <v>45819.661678240744</v>
      </c>
      <c r="L9350">
        <v>168</v>
      </c>
      <c r="M9350">
        <v>0</v>
      </c>
      <c r="N9350" s="98" t="str">
        <f>IF(record[[#This Row],[Memo]]="Browser:chrome os:android","平板報工",IF(record[[#This Row],[Memo]]=0,"委外",record[[#This Row],[Memo]]))</f>
        <v/>
      </c>
      <c r="O9350" t="s">
        <v>58</v>
      </c>
      <c r="P9350" t="s">
        <v>119</v>
      </c>
      <c r="Q9350" t="s">
        <v>58</v>
      </c>
      <c r="R9350" t="str">
        <f>IFERROR(VLOOKUP(record[[#This Row],[PCUSTID]],廠商[],2,FALSE),"")</f>
        <v/>
      </c>
      <c r="S9350" t="str">
        <f>VLOOKUP(record[[#This Row],[employeeID]],員工[],2,FALSE)</f>
        <v>廖俊彥</v>
      </c>
    </row>
    <row r="9351" spans="6:19" hidden="1" x14ac:dyDescent="0.25">
      <c r="F9351" t="s">
        <v>825</v>
      </c>
      <c r="G9351" t="s">
        <v>465</v>
      </c>
      <c r="H9351" t="str">
        <f>VLOOKUP(record[[#This Row],[ProcessSN]],表格2_7[],2,FALSE)</f>
        <v>30-4118-018-XXX</v>
      </c>
      <c r="I9351" t="str">
        <f>VLOOKUP(record[[#This Row],[ProcessSN]],表格2_7[],3,FALSE)</f>
        <v>#01-1</v>
      </c>
      <c r="J9351" t="s">
        <v>588</v>
      </c>
      <c r="K9351" s="195">
        <v>45819.661539351851</v>
      </c>
      <c r="L9351">
        <v>707</v>
      </c>
      <c r="M9351">
        <v>0</v>
      </c>
      <c r="N9351" s="98" t="str">
        <f>IF(record[[#This Row],[Memo]]="Browser:chrome os:android","平板報工",IF(record[[#This Row],[Memo]]=0,"委外",record[[#This Row],[Memo]]))</f>
        <v/>
      </c>
      <c r="O9351" t="s">
        <v>58</v>
      </c>
      <c r="P9351" t="s">
        <v>119</v>
      </c>
      <c r="Q9351" t="s">
        <v>58</v>
      </c>
      <c r="R9351" t="str">
        <f>IFERROR(VLOOKUP(record[[#This Row],[PCUSTID]],廠商[],2,FALSE),"")</f>
        <v/>
      </c>
      <c r="S9351" t="str">
        <f>VLOOKUP(record[[#This Row],[employeeID]],員工[],2,FALSE)</f>
        <v>廖俊彥</v>
      </c>
    </row>
    <row r="9352" spans="6:19" hidden="1" x14ac:dyDescent="0.25">
      <c r="F9352" t="s">
        <v>836</v>
      </c>
      <c r="G9352" t="s">
        <v>398</v>
      </c>
      <c r="H9352" t="str">
        <f>VLOOKUP(record[[#This Row],[ProcessSN]],表格2_7[],2,FALSE)</f>
        <v>30-4118-018-550</v>
      </c>
      <c r="I9352" t="str">
        <f>VLOOKUP(record[[#This Row],[ProcessSN]],表格2_7[],3,FALSE)</f>
        <v>#08RCV</v>
      </c>
      <c r="J9352" t="s">
        <v>591</v>
      </c>
      <c r="K9352" s="195">
        <v>45819.637129629627</v>
      </c>
      <c r="L9352">
        <v>0</v>
      </c>
      <c r="M9352">
        <v>43</v>
      </c>
      <c r="N9352" s="98" t="str">
        <f>IF(record[[#This Row],[Memo]]="Browser:chrome os:android","平板報工",IF(record[[#This Row],[Memo]]=0,"委外",record[[#This Row],[Memo]]))</f>
        <v/>
      </c>
      <c r="O9352" t="s">
        <v>58</v>
      </c>
      <c r="P9352" t="s">
        <v>186</v>
      </c>
      <c r="Q9352" t="s">
        <v>58</v>
      </c>
      <c r="R9352" t="str">
        <f>IFERROR(VLOOKUP(record[[#This Row],[PCUSTID]],廠商[],2,FALSE),"")</f>
        <v/>
      </c>
      <c r="S9352" t="str">
        <f>VLOOKUP(record[[#This Row],[employeeID]],員工[],2,FALSE)</f>
        <v>許文姍</v>
      </c>
    </row>
    <row r="9353" spans="6:19" hidden="1" x14ac:dyDescent="0.25">
      <c r="F9353" t="s">
        <v>836</v>
      </c>
      <c r="G9353" t="s">
        <v>398</v>
      </c>
      <c r="H9353" t="str">
        <f>VLOOKUP(record[[#This Row],[ProcessSN]],表格2_7[],2,FALSE)</f>
        <v>30-4118-018-550</v>
      </c>
      <c r="I9353" t="str">
        <f>VLOOKUP(record[[#This Row],[ProcessSN]],表格2_7[],3,FALSE)</f>
        <v>#08RCV</v>
      </c>
      <c r="J9353" t="s">
        <v>591</v>
      </c>
      <c r="K9353" s="195">
        <v>45819.636863425927</v>
      </c>
      <c r="L9353">
        <v>410</v>
      </c>
      <c r="M9353">
        <v>0</v>
      </c>
      <c r="N9353" s="98" t="str">
        <f>IF(record[[#This Row],[Memo]]="Browser:chrome os:android","平板報工",IF(record[[#This Row],[Memo]]=0,"委外",record[[#This Row],[Memo]]))</f>
        <v/>
      </c>
      <c r="O9353" t="s">
        <v>58</v>
      </c>
      <c r="P9353" t="s">
        <v>186</v>
      </c>
      <c r="Q9353" t="s">
        <v>58</v>
      </c>
      <c r="R9353" t="str">
        <f>IFERROR(VLOOKUP(record[[#This Row],[PCUSTID]],廠商[],2,FALSE),"")</f>
        <v/>
      </c>
      <c r="S9353" t="str">
        <f>VLOOKUP(record[[#This Row],[employeeID]],員工[],2,FALSE)</f>
        <v>許文姍</v>
      </c>
    </row>
    <row r="9354" spans="6:19" hidden="1" x14ac:dyDescent="0.25">
      <c r="F9354" t="s">
        <v>847</v>
      </c>
      <c r="G9354" t="s">
        <v>397</v>
      </c>
      <c r="H9354" t="str">
        <f>VLOOKUP(record[[#This Row],[ProcessSN]],表格2_7[],2,FALSE)</f>
        <v>30-4118-018-550</v>
      </c>
      <c r="I9354" t="str">
        <f>VLOOKUP(record[[#This Row],[ProcessSN]],表格2_7[],3,FALSE)</f>
        <v>#08</v>
      </c>
      <c r="J9354" t="s">
        <v>597</v>
      </c>
      <c r="K9354" s="195">
        <v>45819.630462962959</v>
      </c>
      <c r="L9354">
        <v>244</v>
      </c>
      <c r="M9354">
        <v>0</v>
      </c>
      <c r="N9354" s="98" t="str">
        <f>IF(record[[#This Row],[Memo]]="Browser:chrome os:android","平板報工",IF(record[[#This Row],[Memo]]=0,"委外",record[[#This Row],[Memo]]))</f>
        <v>委外</v>
      </c>
      <c r="P9354" t="s">
        <v>186</v>
      </c>
      <c r="Q9354" t="s">
        <v>287</v>
      </c>
      <c r="R9354" t="str">
        <f>IFERROR(VLOOKUP(record[[#This Row],[PCUSTID]],廠商[],2,FALSE),"")</f>
        <v>泉盛</v>
      </c>
      <c r="S9354" t="str">
        <f>VLOOKUP(record[[#This Row],[employeeID]],員工[],2,FALSE)</f>
        <v>許文姍</v>
      </c>
    </row>
    <row r="9355" spans="6:19" hidden="1" x14ac:dyDescent="0.25">
      <c r="F9355" t="s">
        <v>847</v>
      </c>
      <c r="G9355" t="s">
        <v>396</v>
      </c>
      <c r="H9355" t="str">
        <f>VLOOKUP(record[[#This Row],[ProcessSN]],表格2_7[],2,FALSE)</f>
        <v>30-4118-018-550</v>
      </c>
      <c r="I9355" t="str">
        <f>VLOOKUP(record[[#This Row],[ProcessSN]],表格2_7[],3,FALSE)</f>
        <v>#08PICK</v>
      </c>
      <c r="J9355" t="s">
        <v>582</v>
      </c>
      <c r="K9355" s="195">
        <v>45819.630347222221</v>
      </c>
      <c r="L9355">
        <v>244</v>
      </c>
      <c r="M9355">
        <v>0</v>
      </c>
      <c r="N9355" s="98" t="str">
        <f>IF(record[[#This Row],[Memo]]="Browser:chrome os:android","平板報工",IF(record[[#This Row],[Memo]]=0,"委外",record[[#This Row],[Memo]]))</f>
        <v/>
      </c>
      <c r="O9355" t="s">
        <v>58</v>
      </c>
      <c r="P9355" t="s">
        <v>186</v>
      </c>
      <c r="Q9355" t="s">
        <v>58</v>
      </c>
      <c r="R9355" t="str">
        <f>IFERROR(VLOOKUP(record[[#This Row],[PCUSTID]],廠商[],2,FALSE),"")</f>
        <v/>
      </c>
      <c r="S9355" t="str">
        <f>VLOOKUP(record[[#This Row],[employeeID]],員工[],2,FALSE)</f>
        <v>許文姍</v>
      </c>
    </row>
    <row r="9356" spans="6:19" hidden="1" x14ac:dyDescent="0.25">
      <c r="F9356" t="s">
        <v>778</v>
      </c>
      <c r="G9356" t="s">
        <v>419</v>
      </c>
      <c r="H9356" t="str">
        <f>VLOOKUP(record[[#This Row],[ProcessSN]],表格2_7[],2,FALSE)</f>
        <v>30-4118-018-5XX</v>
      </c>
      <c r="I9356" t="str">
        <f>VLOOKUP(record[[#This Row],[ProcessSN]],表格2_7[],3,FALSE)</f>
        <v>#07QC</v>
      </c>
      <c r="J9356" t="s">
        <v>589</v>
      </c>
      <c r="K9356" s="195">
        <v>45819.573333333334</v>
      </c>
      <c r="L9356">
        <v>0</v>
      </c>
      <c r="M9356">
        <v>1</v>
      </c>
      <c r="N9356" s="98" t="str">
        <f>IF(record[[#This Row],[Memo]]="Browser:chrome os:android","平板報工",IF(record[[#This Row],[Memo]]=0,"委外",record[[#This Row],[Memo]]))</f>
        <v/>
      </c>
      <c r="O9356" t="s">
        <v>58</v>
      </c>
      <c r="P9356" t="s">
        <v>141</v>
      </c>
      <c r="Q9356" t="s">
        <v>58</v>
      </c>
      <c r="R9356" t="str">
        <f>IFERROR(VLOOKUP(record[[#This Row],[PCUSTID]],廠商[],2,FALSE),"")</f>
        <v/>
      </c>
      <c r="S9356" t="str">
        <f>VLOOKUP(record[[#This Row],[employeeID]],員工[],2,FALSE)</f>
        <v>蔣梅</v>
      </c>
    </row>
    <row r="9357" spans="6:19" hidden="1" x14ac:dyDescent="0.25">
      <c r="F9357" t="s">
        <v>847</v>
      </c>
      <c r="G9357" t="s">
        <v>412</v>
      </c>
      <c r="H9357" t="str">
        <f>VLOOKUP(record[[#This Row],[ProcessSN]],表格2_7[],2,FALSE)</f>
        <v>30-4118-018-5XX</v>
      </c>
      <c r="I9357" t="str">
        <f>VLOOKUP(record[[#This Row],[ProcessSN]],表格2_7[],3,FALSE)</f>
        <v>#03PICK</v>
      </c>
      <c r="J9357" t="s">
        <v>582</v>
      </c>
      <c r="K9357" s="195">
        <v>45819.572326388887</v>
      </c>
      <c r="L9357">
        <v>244</v>
      </c>
      <c r="M9357">
        <v>0</v>
      </c>
      <c r="N9357" s="98" t="str">
        <f>IF(record[[#This Row],[Memo]]="Browser:chrome os:android","平板報工",IF(record[[#This Row],[Memo]]=0,"委外",record[[#This Row],[Memo]]))</f>
        <v/>
      </c>
      <c r="O9357" t="s">
        <v>58</v>
      </c>
      <c r="P9357" t="s">
        <v>113</v>
      </c>
      <c r="Q9357" t="s">
        <v>58</v>
      </c>
      <c r="R9357" t="str">
        <f>IFERROR(VLOOKUP(record[[#This Row],[PCUSTID]],廠商[],2,FALSE),"")</f>
        <v/>
      </c>
      <c r="S9357" t="str">
        <f>VLOOKUP(record[[#This Row],[employeeID]],員工[],2,FALSE)</f>
        <v>王奕蓁</v>
      </c>
    </row>
    <row r="9358" spans="6:19" hidden="1" x14ac:dyDescent="0.25">
      <c r="F9358" t="s">
        <v>818</v>
      </c>
      <c r="G9358" t="s">
        <v>428</v>
      </c>
      <c r="H9358" t="str">
        <f>VLOOKUP(record[[#This Row],[ProcessSN]],表格2_7[],2,FALSE)</f>
        <v>30-4118-018-600</v>
      </c>
      <c r="I9358" t="str">
        <f>VLOOKUP(record[[#This Row],[ProcessSN]],表格2_7[],3,FALSE)</f>
        <v>#100SHIP</v>
      </c>
      <c r="J9358" t="s">
        <v>600</v>
      </c>
      <c r="K9358" s="195">
        <v>45819.570891203701</v>
      </c>
      <c r="L9358">
        <v>9</v>
      </c>
      <c r="M9358">
        <v>0</v>
      </c>
      <c r="N9358" s="98" t="str">
        <f>IF(record[[#This Row],[Memo]]="Browser:chrome os:android","平板報工",IF(record[[#This Row],[Memo]]=0,"委外",record[[#This Row],[Memo]]))</f>
        <v/>
      </c>
      <c r="O9358" t="s">
        <v>58</v>
      </c>
      <c r="P9358" t="s">
        <v>186</v>
      </c>
      <c r="Q9358" t="s">
        <v>58</v>
      </c>
      <c r="R9358" t="str">
        <f>IFERROR(VLOOKUP(record[[#This Row],[PCUSTID]],廠商[],2,FALSE),"")</f>
        <v/>
      </c>
      <c r="S9358" t="str">
        <f>VLOOKUP(record[[#This Row],[employeeID]],員工[],2,FALSE)</f>
        <v>許文姍</v>
      </c>
    </row>
    <row r="9359" spans="6:19" hidden="1" x14ac:dyDescent="0.25">
      <c r="F9359" t="s">
        <v>778</v>
      </c>
      <c r="G9359" t="s">
        <v>419</v>
      </c>
      <c r="H9359" t="str">
        <f>VLOOKUP(record[[#This Row],[ProcessSN]],表格2_7[],2,FALSE)</f>
        <v>30-4118-018-5XX</v>
      </c>
      <c r="I9359" t="str">
        <f>VLOOKUP(record[[#This Row],[ProcessSN]],表格2_7[],3,FALSE)</f>
        <v>#07QC</v>
      </c>
      <c r="J9359" t="s">
        <v>589</v>
      </c>
      <c r="K9359" s="195">
        <v>45819.561782407407</v>
      </c>
      <c r="L9359">
        <v>0</v>
      </c>
      <c r="M9359">
        <v>4</v>
      </c>
      <c r="N9359" s="98" t="str">
        <f>IF(record[[#This Row],[Memo]]="Browser:chrome os:android","平板報工",IF(record[[#This Row],[Memo]]=0,"委外",record[[#This Row],[Memo]]))</f>
        <v>平板報工</v>
      </c>
      <c r="O9359" t="s">
        <v>643</v>
      </c>
      <c r="P9359" t="s">
        <v>141</v>
      </c>
      <c r="Q9359" t="s">
        <v>644</v>
      </c>
      <c r="R9359" t="str">
        <f>IFERROR(VLOOKUP(record[[#This Row],[PCUSTID]],廠商[],2,FALSE),"")</f>
        <v/>
      </c>
      <c r="S9359" t="str">
        <f>VLOOKUP(record[[#This Row],[employeeID]],員工[],2,FALSE)</f>
        <v>蔣梅</v>
      </c>
    </row>
    <row r="9360" spans="6:19" hidden="1" x14ac:dyDescent="0.25">
      <c r="F9360" t="s">
        <v>778</v>
      </c>
      <c r="G9360" t="s">
        <v>419</v>
      </c>
      <c r="H9360" t="str">
        <f>VLOOKUP(record[[#This Row],[ProcessSN]],表格2_7[],2,FALSE)</f>
        <v>30-4118-018-5XX</v>
      </c>
      <c r="I9360" t="str">
        <f>VLOOKUP(record[[#This Row],[ProcessSN]],表格2_7[],3,FALSE)</f>
        <v>#07QC</v>
      </c>
      <c r="J9360" t="s">
        <v>589</v>
      </c>
      <c r="K9360" s="195">
        <v>45819.561226851853</v>
      </c>
      <c r="L9360">
        <v>244</v>
      </c>
      <c r="M9360">
        <v>0</v>
      </c>
      <c r="N9360" s="98" t="str">
        <f>IF(record[[#This Row],[Memo]]="Browser:chrome os:android","平板報工",IF(record[[#This Row],[Memo]]=0,"委外",record[[#This Row],[Memo]]))</f>
        <v>平板報工</v>
      </c>
      <c r="O9360" t="s">
        <v>643</v>
      </c>
      <c r="P9360" t="s">
        <v>141</v>
      </c>
      <c r="Q9360" t="s">
        <v>644</v>
      </c>
      <c r="R9360" t="str">
        <f>IFERROR(VLOOKUP(record[[#This Row],[PCUSTID]],廠商[],2,FALSE),"")</f>
        <v/>
      </c>
      <c r="S9360" t="str">
        <f>VLOOKUP(record[[#This Row],[employeeID]],員工[],2,FALSE)</f>
        <v>蔣梅</v>
      </c>
    </row>
    <row r="9361" spans="6:19" hidden="1" x14ac:dyDescent="0.25">
      <c r="F9361" t="s">
        <v>778</v>
      </c>
      <c r="G9361" t="s">
        <v>418</v>
      </c>
      <c r="H9361" t="str">
        <f>VLOOKUP(record[[#This Row],[ProcessSN]],表格2_7[],2,FALSE)</f>
        <v>30-4118-018-5XX</v>
      </c>
      <c r="I9361" t="str">
        <f>VLOOKUP(record[[#This Row],[ProcessSN]],表格2_7[],3,FALSE)</f>
        <v>#07</v>
      </c>
      <c r="J9361" t="s">
        <v>588</v>
      </c>
      <c r="K9361" s="195">
        <v>45819.465868055559</v>
      </c>
      <c r="L9361">
        <v>206</v>
      </c>
      <c r="M9361">
        <v>0</v>
      </c>
      <c r="N9361" s="98" t="str">
        <f>IF(record[[#This Row],[Memo]]="Browser:chrome os:android","平板報工",IF(record[[#This Row],[Memo]]=0,"委外",record[[#This Row],[Memo]]))</f>
        <v/>
      </c>
      <c r="O9361" t="s">
        <v>58</v>
      </c>
      <c r="P9361" t="s">
        <v>119</v>
      </c>
      <c r="Q9361" t="s">
        <v>58</v>
      </c>
      <c r="R9361" t="str">
        <f>IFERROR(VLOOKUP(record[[#This Row],[PCUSTID]],廠商[],2,FALSE),"")</f>
        <v/>
      </c>
      <c r="S9361" t="str">
        <f>VLOOKUP(record[[#This Row],[employeeID]],員工[],2,FALSE)</f>
        <v>廖俊彥</v>
      </c>
    </row>
    <row r="9362" spans="6:19" hidden="1" x14ac:dyDescent="0.25">
      <c r="F9362" t="s">
        <v>825</v>
      </c>
      <c r="G9362" t="s">
        <v>466</v>
      </c>
      <c r="H9362" t="str">
        <f>VLOOKUP(record[[#This Row],[ProcessSN]],表格2_7[],2,FALSE)</f>
        <v>30-4118-018-XXX</v>
      </c>
      <c r="I9362" t="str">
        <f>VLOOKUP(record[[#This Row],[ProcessSN]],表格2_7[],3,FALSE)</f>
        <v>#01-2</v>
      </c>
      <c r="J9362" t="s">
        <v>588</v>
      </c>
      <c r="K9362" s="195">
        <v>45819.303113425929</v>
      </c>
      <c r="L9362">
        <v>432</v>
      </c>
      <c r="M9362">
        <v>0</v>
      </c>
      <c r="N9362" s="98" t="str">
        <f>IF(record[[#This Row],[Memo]]="Browser:chrome os:android","平板報工",IF(record[[#This Row],[Memo]]=0,"委外",record[[#This Row],[Memo]]))</f>
        <v/>
      </c>
      <c r="O9362" t="s">
        <v>58</v>
      </c>
      <c r="P9362" t="s">
        <v>135</v>
      </c>
      <c r="Q9362" t="s">
        <v>58</v>
      </c>
      <c r="R9362" t="str">
        <f>IFERROR(VLOOKUP(record[[#This Row],[PCUSTID]],廠商[],2,FALSE),"")</f>
        <v/>
      </c>
      <c r="S9362" t="str">
        <f>VLOOKUP(record[[#This Row],[employeeID]],員工[],2,FALSE)</f>
        <v>阮士文</v>
      </c>
    </row>
    <row r="9363" spans="6:19" hidden="1" x14ac:dyDescent="0.25">
      <c r="F9363" t="s">
        <v>825</v>
      </c>
      <c r="G9363" t="s">
        <v>466</v>
      </c>
      <c r="H9363" t="str">
        <f>VLOOKUP(record[[#This Row],[ProcessSN]],表格2_7[],2,FALSE)</f>
        <v>30-4118-018-XXX</v>
      </c>
      <c r="I9363" t="str">
        <f>VLOOKUP(record[[#This Row],[ProcessSN]],表格2_7[],3,FALSE)</f>
        <v>#01-2</v>
      </c>
      <c r="J9363" t="s">
        <v>588</v>
      </c>
      <c r="K9363" s="195">
        <v>45818.958599537036</v>
      </c>
      <c r="L9363">
        <v>408</v>
      </c>
      <c r="M9363">
        <v>0</v>
      </c>
      <c r="N9363" s="98" t="str">
        <f>IF(record[[#This Row],[Memo]]="Browser:chrome os:android","平板報工",IF(record[[#This Row],[Memo]]=0,"委外",record[[#This Row],[Memo]]))</f>
        <v/>
      </c>
      <c r="O9363" t="s">
        <v>58</v>
      </c>
      <c r="P9363" t="s">
        <v>89</v>
      </c>
      <c r="Q9363" t="s">
        <v>58</v>
      </c>
      <c r="R9363" t="str">
        <f>IFERROR(VLOOKUP(record[[#This Row],[PCUSTID]],廠商[],2,FALSE),"")</f>
        <v/>
      </c>
      <c r="S9363" t="str">
        <f>VLOOKUP(record[[#This Row],[employeeID]],員工[],2,FALSE)</f>
        <v>李美蓮</v>
      </c>
    </row>
    <row r="9364" spans="6:19" hidden="1" x14ac:dyDescent="0.25">
      <c r="F9364" t="s">
        <v>825</v>
      </c>
      <c r="G9364" t="s">
        <v>465</v>
      </c>
      <c r="H9364" t="str">
        <f>VLOOKUP(record[[#This Row],[ProcessSN]],表格2_7[],2,FALSE)</f>
        <v>30-4118-018-XXX</v>
      </c>
      <c r="I9364" t="str">
        <f>VLOOKUP(record[[#This Row],[ProcessSN]],表格2_7[],3,FALSE)</f>
        <v>#01-1</v>
      </c>
      <c r="J9364" t="s">
        <v>588</v>
      </c>
      <c r="K9364" s="195">
        <v>45818.958020833335</v>
      </c>
      <c r="L9364">
        <v>642</v>
      </c>
      <c r="M9364">
        <v>1</v>
      </c>
      <c r="N9364" s="98" t="str">
        <f>IF(record[[#This Row],[Memo]]="Browser:chrome os:android","平板報工",IF(record[[#This Row],[Memo]]=0,"委外",record[[#This Row],[Memo]]))</f>
        <v/>
      </c>
      <c r="O9364" t="s">
        <v>58</v>
      </c>
      <c r="P9364" t="s">
        <v>127</v>
      </c>
      <c r="Q9364" t="s">
        <v>58</v>
      </c>
      <c r="R9364" t="str">
        <f>IFERROR(VLOOKUP(record[[#This Row],[PCUSTID]],廠商[],2,FALSE),"")</f>
        <v/>
      </c>
      <c r="S9364" t="str">
        <f>VLOOKUP(record[[#This Row],[employeeID]],員工[],2,FALSE)</f>
        <v>潘雪梅</v>
      </c>
    </row>
    <row r="9365" spans="6:19" hidden="1" x14ac:dyDescent="0.25">
      <c r="F9365" t="s">
        <v>830</v>
      </c>
      <c r="G9365" t="s">
        <v>424</v>
      </c>
      <c r="H9365" t="str">
        <f>VLOOKUP(record[[#This Row],[ProcessSN]],表格2_7[],2,FALSE)</f>
        <v>30-4118-018-600</v>
      </c>
      <c r="I9365" t="str">
        <f>VLOOKUP(record[[#This Row],[ProcessSN]],表格2_7[],3,FALSE)</f>
        <v>#08IQC</v>
      </c>
      <c r="J9365" t="s">
        <v>583</v>
      </c>
      <c r="K9365" s="195">
        <v>45818.790949074071</v>
      </c>
      <c r="L9365">
        <v>17</v>
      </c>
      <c r="M9365">
        <v>0</v>
      </c>
      <c r="N9365" s="98" t="str">
        <f>IF(record[[#This Row],[Memo]]="Browser:chrome os:android","平板報工",IF(record[[#This Row],[Memo]]=0,"委外",record[[#This Row],[Memo]]))</f>
        <v/>
      </c>
      <c r="O9365" t="s">
        <v>58</v>
      </c>
      <c r="P9365" t="s">
        <v>172</v>
      </c>
      <c r="Q9365" t="s">
        <v>58</v>
      </c>
      <c r="R9365" t="str">
        <f>IFERROR(VLOOKUP(record[[#This Row],[PCUSTID]],廠商[],2,FALSE),"")</f>
        <v/>
      </c>
      <c r="S9365" t="str">
        <f>VLOOKUP(record[[#This Row],[employeeID]],員工[],2,FALSE)</f>
        <v>李采玲</v>
      </c>
    </row>
    <row r="9366" spans="6:19" hidden="1" x14ac:dyDescent="0.25">
      <c r="F9366" t="s">
        <v>834</v>
      </c>
      <c r="G9366" t="s">
        <v>399</v>
      </c>
      <c r="H9366" t="str">
        <f>VLOOKUP(record[[#This Row],[ProcessSN]],表格2_7[],2,FALSE)</f>
        <v>30-4118-018-550</v>
      </c>
      <c r="I9366" t="str">
        <f>VLOOKUP(record[[#This Row],[ProcessSN]],表格2_7[],3,FALSE)</f>
        <v>#08IQC</v>
      </c>
      <c r="J9366" t="s">
        <v>583</v>
      </c>
      <c r="K9366" s="195">
        <v>45818.783252314817</v>
      </c>
      <c r="L9366">
        <v>299</v>
      </c>
      <c r="M9366">
        <v>0</v>
      </c>
      <c r="N9366" s="98" t="str">
        <f>IF(record[[#This Row],[Memo]]="Browser:chrome os:android","平板報工",IF(record[[#This Row],[Memo]]=0,"委外",record[[#This Row],[Memo]]))</f>
        <v/>
      </c>
      <c r="O9366" t="s">
        <v>58</v>
      </c>
      <c r="P9366" t="s">
        <v>172</v>
      </c>
      <c r="Q9366" t="s">
        <v>58</v>
      </c>
      <c r="R9366" t="str">
        <f>IFERROR(VLOOKUP(record[[#This Row],[PCUSTID]],廠商[],2,FALSE),"")</f>
        <v/>
      </c>
      <c r="S9366" t="str">
        <f>VLOOKUP(record[[#This Row],[employeeID]],員工[],2,FALSE)</f>
        <v>李采玲</v>
      </c>
    </row>
    <row r="9367" spans="6:19" hidden="1" x14ac:dyDescent="0.25">
      <c r="F9367" t="s">
        <v>830</v>
      </c>
      <c r="G9367" t="s">
        <v>423</v>
      </c>
      <c r="H9367" t="str">
        <f>VLOOKUP(record[[#This Row],[ProcessSN]],表格2_7[],2,FALSE)</f>
        <v>30-4118-018-600</v>
      </c>
      <c r="I9367" t="str">
        <f>VLOOKUP(record[[#This Row],[ProcessSN]],表格2_7[],3,FALSE)</f>
        <v>#08RCV</v>
      </c>
      <c r="J9367" t="s">
        <v>591</v>
      </c>
      <c r="K9367" s="195">
        <v>45818.652199074073</v>
      </c>
      <c r="L9367">
        <v>0</v>
      </c>
      <c r="M9367">
        <v>17</v>
      </c>
      <c r="N9367" s="98" t="str">
        <f>IF(record[[#This Row],[Memo]]="Browser:chrome os:android","平板報工",IF(record[[#This Row],[Memo]]=0,"委外",record[[#This Row],[Memo]]))</f>
        <v/>
      </c>
      <c r="O9367" t="s">
        <v>58</v>
      </c>
      <c r="P9367" t="s">
        <v>186</v>
      </c>
      <c r="Q9367" t="s">
        <v>58</v>
      </c>
      <c r="R9367" t="str">
        <f>IFERROR(VLOOKUP(record[[#This Row],[PCUSTID]],廠商[],2,FALSE),"")</f>
        <v/>
      </c>
      <c r="S9367" t="str">
        <f>VLOOKUP(record[[#This Row],[employeeID]],員工[],2,FALSE)</f>
        <v>許文姍</v>
      </c>
    </row>
    <row r="9368" spans="6:19" hidden="1" x14ac:dyDescent="0.25">
      <c r="F9368" t="s">
        <v>830</v>
      </c>
      <c r="G9368" t="s">
        <v>423</v>
      </c>
      <c r="H9368" t="str">
        <f>VLOOKUP(record[[#This Row],[ProcessSN]],表格2_7[],2,FALSE)</f>
        <v>30-4118-018-600</v>
      </c>
      <c r="I9368" t="str">
        <f>VLOOKUP(record[[#This Row],[ProcessSN]],表格2_7[],3,FALSE)</f>
        <v>#08RCV</v>
      </c>
      <c r="J9368" t="s">
        <v>591</v>
      </c>
      <c r="K9368" s="195">
        <v>45818.651944444442</v>
      </c>
      <c r="L9368">
        <v>17</v>
      </c>
      <c r="M9368">
        <v>0</v>
      </c>
      <c r="N9368" s="98" t="str">
        <f>IF(record[[#This Row],[Memo]]="Browser:chrome os:android","平板報工",IF(record[[#This Row],[Memo]]=0,"委外",record[[#This Row],[Memo]]))</f>
        <v/>
      </c>
      <c r="O9368" t="s">
        <v>58</v>
      </c>
      <c r="P9368" t="s">
        <v>186</v>
      </c>
      <c r="Q9368" t="s">
        <v>58</v>
      </c>
      <c r="R9368" t="str">
        <f>IFERROR(VLOOKUP(record[[#This Row],[PCUSTID]],廠商[],2,FALSE),"")</f>
        <v/>
      </c>
      <c r="S9368" t="str">
        <f>VLOOKUP(record[[#This Row],[employeeID]],員工[],2,FALSE)</f>
        <v>許文姍</v>
      </c>
    </row>
    <row r="9369" spans="6:19" hidden="1" x14ac:dyDescent="0.25">
      <c r="F9369" t="s">
        <v>834</v>
      </c>
      <c r="G9369" t="s">
        <v>398</v>
      </c>
      <c r="H9369" t="str">
        <f>VLOOKUP(record[[#This Row],[ProcessSN]],表格2_7[],2,FALSE)</f>
        <v>30-4118-018-550</v>
      </c>
      <c r="I9369" t="str">
        <f>VLOOKUP(record[[#This Row],[ProcessSN]],表格2_7[],3,FALSE)</f>
        <v>#08RCV</v>
      </c>
      <c r="J9369" t="s">
        <v>591</v>
      </c>
      <c r="K9369" s="195">
        <v>45818.651261574072</v>
      </c>
      <c r="L9369">
        <v>299</v>
      </c>
      <c r="M9369">
        <v>0</v>
      </c>
      <c r="N9369" s="98" t="str">
        <f>IF(record[[#This Row],[Memo]]="Browser:chrome os:android","平板報工",IF(record[[#This Row],[Memo]]=0,"委外",record[[#This Row],[Memo]]))</f>
        <v/>
      </c>
      <c r="O9369" t="s">
        <v>58</v>
      </c>
      <c r="P9369" t="s">
        <v>186</v>
      </c>
      <c r="Q9369" t="s">
        <v>58</v>
      </c>
      <c r="R9369" t="str">
        <f>IFERROR(VLOOKUP(record[[#This Row],[PCUSTID]],廠商[],2,FALSE),"")</f>
        <v/>
      </c>
      <c r="S9369" t="str">
        <f>VLOOKUP(record[[#This Row],[employeeID]],員工[],2,FALSE)</f>
        <v>許文姍</v>
      </c>
    </row>
    <row r="9370" spans="6:19" hidden="1" x14ac:dyDescent="0.25">
      <c r="F9370" t="s">
        <v>825</v>
      </c>
      <c r="G9370" t="s">
        <v>465</v>
      </c>
      <c r="H9370" t="str">
        <f>VLOOKUP(record[[#This Row],[ProcessSN]],表格2_7[],2,FALSE)</f>
        <v>30-4118-018-XXX</v>
      </c>
      <c r="I9370" t="str">
        <f>VLOOKUP(record[[#This Row],[ProcessSN]],表格2_7[],3,FALSE)</f>
        <v>#01-1</v>
      </c>
      <c r="J9370" t="s">
        <v>588</v>
      </c>
      <c r="K9370" s="195">
        <v>45818.638680555552</v>
      </c>
      <c r="L9370">
        <v>702</v>
      </c>
      <c r="M9370">
        <v>0</v>
      </c>
      <c r="N9370" s="98" t="str">
        <f>IF(record[[#This Row],[Memo]]="Browser:chrome os:android","平板報工",IF(record[[#This Row],[Memo]]=0,"委外",record[[#This Row],[Memo]]))</f>
        <v/>
      </c>
      <c r="O9370" t="s">
        <v>58</v>
      </c>
      <c r="P9370" t="s">
        <v>119</v>
      </c>
      <c r="Q9370" t="s">
        <v>58</v>
      </c>
      <c r="R9370" t="str">
        <f>IFERROR(VLOOKUP(record[[#This Row],[PCUSTID]],廠商[],2,FALSE),"")</f>
        <v/>
      </c>
      <c r="S9370" t="str">
        <f>VLOOKUP(record[[#This Row],[employeeID]],員工[],2,FALSE)</f>
        <v>廖俊彥</v>
      </c>
    </row>
    <row r="9371" spans="6:19" hidden="1" x14ac:dyDescent="0.25">
      <c r="F9371" t="s">
        <v>818</v>
      </c>
      <c r="G9371" t="s">
        <v>428</v>
      </c>
      <c r="H9371" t="str">
        <f>VLOOKUP(record[[#This Row],[ProcessSN]],表格2_7[],2,FALSE)</f>
        <v>30-4118-018-600</v>
      </c>
      <c r="I9371" t="str">
        <f>VLOOKUP(record[[#This Row],[ProcessSN]],表格2_7[],3,FALSE)</f>
        <v>#100SHIP</v>
      </c>
      <c r="J9371" t="s">
        <v>600</v>
      </c>
      <c r="K9371" s="195">
        <v>45818.589722222219</v>
      </c>
      <c r="L9371">
        <v>44</v>
      </c>
      <c r="M9371">
        <v>0</v>
      </c>
      <c r="N9371" s="98" t="str">
        <f>IF(record[[#This Row],[Memo]]="Browser:chrome os:android","平板報工",IF(record[[#This Row],[Memo]]=0,"委外",record[[#This Row],[Memo]]))</f>
        <v/>
      </c>
      <c r="O9371" t="s">
        <v>58</v>
      </c>
      <c r="P9371" t="s">
        <v>186</v>
      </c>
      <c r="Q9371" t="s">
        <v>58</v>
      </c>
      <c r="R9371" t="str">
        <f>IFERROR(VLOOKUP(record[[#This Row],[PCUSTID]],廠商[],2,FALSE),"")</f>
        <v/>
      </c>
      <c r="S9371" t="str">
        <f>VLOOKUP(record[[#This Row],[employeeID]],員工[],2,FALSE)</f>
        <v>許文姍</v>
      </c>
    </row>
    <row r="9372" spans="6:19" hidden="1" x14ac:dyDescent="0.25">
      <c r="F9372" t="s">
        <v>778</v>
      </c>
      <c r="G9372" t="s">
        <v>418</v>
      </c>
      <c r="H9372" t="str">
        <f>VLOOKUP(record[[#This Row],[ProcessSN]],表格2_7[],2,FALSE)</f>
        <v>30-4118-018-5XX</v>
      </c>
      <c r="I9372" t="str">
        <f>VLOOKUP(record[[#This Row],[ProcessSN]],表格2_7[],3,FALSE)</f>
        <v>#07</v>
      </c>
      <c r="J9372" t="s">
        <v>588</v>
      </c>
      <c r="K9372" s="195">
        <v>45818.572187500002</v>
      </c>
      <c r="L9372">
        <v>43</v>
      </c>
      <c r="M9372">
        <v>0</v>
      </c>
      <c r="N9372" s="98" t="str">
        <f>IF(record[[#This Row],[Memo]]="Browser:chrome os:android","平板報工",IF(record[[#This Row],[Memo]]=0,"委外",record[[#This Row],[Memo]]))</f>
        <v/>
      </c>
      <c r="O9372" t="s">
        <v>58</v>
      </c>
      <c r="P9372" t="s">
        <v>119</v>
      </c>
      <c r="Q9372" t="s">
        <v>58</v>
      </c>
      <c r="R9372" t="str">
        <f>IFERROR(VLOOKUP(record[[#This Row],[PCUSTID]],廠商[],2,FALSE),"")</f>
        <v/>
      </c>
      <c r="S9372" t="str">
        <f>VLOOKUP(record[[#This Row],[employeeID]],員工[],2,FALSE)</f>
        <v>廖俊彥</v>
      </c>
    </row>
    <row r="9373" spans="6:19" hidden="1" x14ac:dyDescent="0.25">
      <c r="F9373" t="s">
        <v>840</v>
      </c>
      <c r="G9373" t="s">
        <v>397</v>
      </c>
      <c r="H9373" t="str">
        <f>VLOOKUP(record[[#This Row],[ProcessSN]],表格2_7[],2,FALSE)</f>
        <v>30-4118-018-550</v>
      </c>
      <c r="I9373" t="str">
        <f>VLOOKUP(record[[#This Row],[ProcessSN]],表格2_7[],3,FALSE)</f>
        <v>#08</v>
      </c>
      <c r="J9373" t="s">
        <v>597</v>
      </c>
      <c r="K9373" s="195">
        <v>45818.567187499997</v>
      </c>
      <c r="L9373">
        <v>164</v>
      </c>
      <c r="M9373">
        <v>0</v>
      </c>
      <c r="N9373" s="98" t="str">
        <f>IF(record[[#This Row],[Memo]]="Browser:chrome os:android","平板報工",IF(record[[#This Row],[Memo]]=0,"委外",record[[#This Row],[Memo]]))</f>
        <v>委外</v>
      </c>
      <c r="P9373" t="s">
        <v>186</v>
      </c>
      <c r="Q9373" t="s">
        <v>287</v>
      </c>
      <c r="R9373" t="str">
        <f>IFERROR(VLOOKUP(record[[#This Row],[PCUSTID]],廠商[],2,FALSE),"")</f>
        <v>泉盛</v>
      </c>
      <c r="S9373" t="str">
        <f>VLOOKUP(record[[#This Row],[employeeID]],員工[],2,FALSE)</f>
        <v>許文姍</v>
      </c>
    </row>
    <row r="9374" spans="6:19" hidden="1" x14ac:dyDescent="0.25">
      <c r="F9374" t="s">
        <v>840</v>
      </c>
      <c r="G9374" t="s">
        <v>396</v>
      </c>
      <c r="H9374" t="str">
        <f>VLOOKUP(record[[#This Row],[ProcessSN]],表格2_7[],2,FALSE)</f>
        <v>30-4118-018-550</v>
      </c>
      <c r="I9374" t="str">
        <f>VLOOKUP(record[[#This Row],[ProcessSN]],表格2_7[],3,FALSE)</f>
        <v>#08PICK</v>
      </c>
      <c r="J9374" t="s">
        <v>582</v>
      </c>
      <c r="K9374" s="195">
        <v>45818.561469907407</v>
      </c>
      <c r="L9374">
        <v>164</v>
      </c>
      <c r="M9374">
        <v>0</v>
      </c>
      <c r="N9374" s="98" t="str">
        <f>IF(record[[#This Row],[Memo]]="Browser:chrome os:android","平板報工",IF(record[[#This Row],[Memo]]=0,"委外",record[[#This Row],[Memo]]))</f>
        <v/>
      </c>
      <c r="O9374" t="s">
        <v>58</v>
      </c>
      <c r="P9374" t="s">
        <v>113</v>
      </c>
      <c r="Q9374" t="s">
        <v>58</v>
      </c>
      <c r="R9374" t="str">
        <f>IFERROR(VLOOKUP(record[[#This Row],[PCUSTID]],廠商[],2,FALSE),"")</f>
        <v/>
      </c>
      <c r="S9374" t="str">
        <f>VLOOKUP(record[[#This Row],[employeeID]],員工[],2,FALSE)</f>
        <v>王奕蓁</v>
      </c>
    </row>
    <row r="9375" spans="6:19" hidden="1" x14ac:dyDescent="0.25">
      <c r="F9375" t="s">
        <v>778</v>
      </c>
      <c r="G9375" t="s">
        <v>420</v>
      </c>
      <c r="H9375" t="str">
        <f>VLOOKUP(record[[#This Row],[ProcessSN]],表格2_7[],2,FALSE)</f>
        <v>30-4118-018-5XX</v>
      </c>
      <c r="I9375" t="str">
        <f>VLOOKUP(record[[#This Row],[ProcessSN]],表格2_7[],3,FALSE)</f>
        <v>#07STOCK</v>
      </c>
      <c r="J9375" t="s">
        <v>592</v>
      </c>
      <c r="K9375" s="195">
        <v>45818.560949074075</v>
      </c>
      <c r="L9375">
        <v>164</v>
      </c>
      <c r="M9375">
        <v>0</v>
      </c>
      <c r="N9375" s="98" t="str">
        <f>IF(record[[#This Row],[Memo]]="Browser:chrome os:android","平板報工",IF(record[[#This Row],[Memo]]=0,"委外",record[[#This Row],[Memo]]))</f>
        <v/>
      </c>
      <c r="O9375" t="s">
        <v>58</v>
      </c>
      <c r="P9375" t="s">
        <v>113</v>
      </c>
      <c r="Q9375" t="s">
        <v>58</v>
      </c>
      <c r="R9375" t="str">
        <f>IFERROR(VLOOKUP(record[[#This Row],[PCUSTID]],廠商[],2,FALSE),"")</f>
        <v/>
      </c>
      <c r="S9375" t="str">
        <f>VLOOKUP(record[[#This Row],[employeeID]],員工[],2,FALSE)</f>
        <v>王奕蓁</v>
      </c>
    </row>
    <row r="9376" spans="6:19" hidden="1" x14ac:dyDescent="0.25">
      <c r="F9376" t="s">
        <v>778</v>
      </c>
      <c r="G9376" t="s">
        <v>419</v>
      </c>
      <c r="H9376" t="str">
        <f>VLOOKUP(record[[#This Row],[ProcessSN]],表格2_7[],2,FALSE)</f>
        <v>30-4118-018-5XX</v>
      </c>
      <c r="I9376" t="str">
        <f>VLOOKUP(record[[#This Row],[ProcessSN]],表格2_7[],3,FALSE)</f>
        <v>#07QC</v>
      </c>
      <c r="J9376" t="s">
        <v>589</v>
      </c>
      <c r="K9376" s="195">
        <v>45818.372881944444</v>
      </c>
      <c r="L9376">
        <v>0</v>
      </c>
      <c r="M9376">
        <v>2</v>
      </c>
      <c r="N9376" s="98" t="str">
        <f>IF(record[[#This Row],[Memo]]="Browser:chrome os:android","平板報工",IF(record[[#This Row],[Memo]]=0,"委外",record[[#This Row],[Memo]]))</f>
        <v>平板報工</v>
      </c>
      <c r="O9376" t="s">
        <v>643</v>
      </c>
      <c r="P9376" t="s">
        <v>141</v>
      </c>
      <c r="Q9376" t="s">
        <v>644</v>
      </c>
      <c r="R9376" t="str">
        <f>IFERROR(VLOOKUP(record[[#This Row],[PCUSTID]],廠商[],2,FALSE),"")</f>
        <v/>
      </c>
      <c r="S9376" t="str">
        <f>VLOOKUP(record[[#This Row],[employeeID]],員工[],2,FALSE)</f>
        <v>蔣梅</v>
      </c>
    </row>
    <row r="9377" spans="6:19" hidden="1" x14ac:dyDescent="0.25">
      <c r="F9377" t="s">
        <v>778</v>
      </c>
      <c r="G9377" t="s">
        <v>419</v>
      </c>
      <c r="H9377" t="str">
        <f>VLOOKUP(record[[#This Row],[ProcessSN]],表格2_7[],2,FALSE)</f>
        <v>30-4118-018-5XX</v>
      </c>
      <c r="I9377" t="str">
        <f>VLOOKUP(record[[#This Row],[ProcessSN]],表格2_7[],3,FALSE)</f>
        <v>#07QC</v>
      </c>
      <c r="J9377" t="s">
        <v>589</v>
      </c>
      <c r="K9377" s="195">
        <v>45818.372604166667</v>
      </c>
      <c r="L9377">
        <v>164</v>
      </c>
      <c r="M9377">
        <v>0</v>
      </c>
      <c r="N9377" s="98" t="str">
        <f>IF(record[[#This Row],[Memo]]="Browser:chrome os:android","平板報工",IF(record[[#This Row],[Memo]]=0,"委外",record[[#This Row],[Memo]]))</f>
        <v>平板報工</v>
      </c>
      <c r="O9377" t="s">
        <v>643</v>
      </c>
      <c r="P9377" t="s">
        <v>141</v>
      </c>
      <c r="Q9377" t="s">
        <v>644</v>
      </c>
      <c r="R9377" t="str">
        <f>IFERROR(VLOOKUP(record[[#This Row],[PCUSTID]],廠商[],2,FALSE),"")</f>
        <v/>
      </c>
      <c r="S9377" t="str">
        <f>VLOOKUP(record[[#This Row],[employeeID]],員工[],2,FALSE)</f>
        <v>蔣梅</v>
      </c>
    </row>
    <row r="9378" spans="6:19" hidden="1" x14ac:dyDescent="0.25">
      <c r="F9378" t="s">
        <v>825</v>
      </c>
      <c r="G9378" t="s">
        <v>465</v>
      </c>
      <c r="H9378" t="str">
        <f>VLOOKUP(record[[#This Row],[ProcessSN]],表格2_7[],2,FALSE)</f>
        <v>30-4118-018-XXX</v>
      </c>
      <c r="I9378" t="str">
        <f>VLOOKUP(record[[#This Row],[ProcessSN]],表格2_7[],3,FALSE)</f>
        <v>#01-1</v>
      </c>
      <c r="J9378" t="s">
        <v>588</v>
      </c>
      <c r="K9378" s="195">
        <v>45817.9846412037</v>
      </c>
      <c r="L9378">
        <v>715</v>
      </c>
      <c r="M9378">
        <v>0</v>
      </c>
      <c r="N9378" s="98" t="str">
        <f>IF(record[[#This Row],[Memo]]="Browser:chrome os:android","平板報工",IF(record[[#This Row],[Memo]]=0,"委外",record[[#This Row],[Memo]]))</f>
        <v/>
      </c>
      <c r="O9378" t="s">
        <v>58</v>
      </c>
      <c r="P9378" t="s">
        <v>89</v>
      </c>
      <c r="Q9378" t="s">
        <v>58</v>
      </c>
      <c r="R9378" t="str">
        <f>IFERROR(VLOOKUP(record[[#This Row],[PCUSTID]],廠商[],2,FALSE),"")</f>
        <v/>
      </c>
      <c r="S9378" t="str">
        <f>VLOOKUP(record[[#This Row],[employeeID]],員工[],2,FALSE)</f>
        <v>李美蓮</v>
      </c>
    </row>
    <row r="9379" spans="6:19" hidden="1" x14ac:dyDescent="0.25">
      <c r="F9379" t="s">
        <v>830</v>
      </c>
      <c r="G9379" t="s">
        <v>424</v>
      </c>
      <c r="H9379" t="str">
        <f>VLOOKUP(record[[#This Row],[ProcessSN]],表格2_7[],2,FALSE)</f>
        <v>30-4118-018-600</v>
      </c>
      <c r="I9379" t="str">
        <f>VLOOKUP(record[[#This Row],[ProcessSN]],表格2_7[],3,FALSE)</f>
        <v>#08IQC</v>
      </c>
      <c r="J9379" t="s">
        <v>583</v>
      </c>
      <c r="K9379" s="195">
        <v>45817.860312500001</v>
      </c>
      <c r="L9379">
        <v>204</v>
      </c>
      <c r="M9379">
        <v>0</v>
      </c>
      <c r="N9379" s="98" t="str">
        <f>IF(record[[#This Row],[Memo]]="Browser:chrome os:android","平板報工",IF(record[[#This Row],[Memo]]=0,"委外",record[[#This Row],[Memo]]))</f>
        <v/>
      </c>
      <c r="O9379" t="s">
        <v>58</v>
      </c>
      <c r="P9379" t="s">
        <v>172</v>
      </c>
      <c r="Q9379" t="s">
        <v>58</v>
      </c>
      <c r="R9379" t="str">
        <f>IFERROR(VLOOKUP(record[[#This Row],[PCUSTID]],廠商[],2,FALSE),"")</f>
        <v/>
      </c>
      <c r="S9379" t="str">
        <f>VLOOKUP(record[[#This Row],[employeeID]],員工[],2,FALSE)</f>
        <v>李采玲</v>
      </c>
    </row>
    <row r="9380" spans="6:19" hidden="1" x14ac:dyDescent="0.25">
      <c r="F9380" t="s">
        <v>832</v>
      </c>
      <c r="G9380" t="s">
        <v>399</v>
      </c>
      <c r="H9380" t="str">
        <f>VLOOKUP(record[[#This Row],[ProcessSN]],表格2_7[],2,FALSE)</f>
        <v>30-4118-018-550</v>
      </c>
      <c r="I9380" t="str">
        <f>VLOOKUP(record[[#This Row],[ProcessSN]],表格2_7[],3,FALSE)</f>
        <v>#08IQC</v>
      </c>
      <c r="J9380" t="s">
        <v>583</v>
      </c>
      <c r="K9380" s="195">
        <v>45817.8594212963</v>
      </c>
      <c r="L9380">
        <v>206</v>
      </c>
      <c r="M9380">
        <v>0</v>
      </c>
      <c r="N9380" s="98" t="str">
        <f>IF(record[[#This Row],[Memo]]="Browser:chrome os:android","平板報工",IF(record[[#This Row],[Memo]]=0,"委外",record[[#This Row],[Memo]]))</f>
        <v/>
      </c>
      <c r="O9380" t="s">
        <v>58</v>
      </c>
      <c r="P9380" t="s">
        <v>172</v>
      </c>
      <c r="Q9380" t="s">
        <v>58</v>
      </c>
      <c r="R9380" t="str">
        <f>IFERROR(VLOOKUP(record[[#This Row],[PCUSTID]],廠商[],2,FALSE),"")</f>
        <v/>
      </c>
      <c r="S9380" t="str">
        <f>VLOOKUP(record[[#This Row],[employeeID]],員工[],2,FALSE)</f>
        <v>李采玲</v>
      </c>
    </row>
    <row r="9381" spans="6:19" hidden="1" x14ac:dyDescent="0.25">
      <c r="F9381" t="s">
        <v>828</v>
      </c>
      <c r="G9381" t="s">
        <v>402</v>
      </c>
      <c r="H9381" t="str">
        <f>VLOOKUP(record[[#This Row],[ProcessSN]],表格2_7[],2,FALSE)</f>
        <v>30-4118-018-550</v>
      </c>
      <c r="I9381" t="str">
        <f>VLOOKUP(record[[#This Row],[ProcessSN]],表格2_7[],3,FALSE)</f>
        <v>#100STOCK</v>
      </c>
      <c r="J9381" t="s">
        <v>592</v>
      </c>
      <c r="K9381" s="195">
        <v>45817.725949074076</v>
      </c>
      <c r="L9381">
        <v>1</v>
      </c>
      <c r="M9381">
        <v>0</v>
      </c>
      <c r="N9381" s="98" t="str">
        <f>IF(record[[#This Row],[Memo]]="Browser:chrome os:android","平板報工",IF(record[[#This Row],[Memo]]=0,"委外",record[[#This Row],[Memo]]))</f>
        <v/>
      </c>
      <c r="O9381" t="s">
        <v>58</v>
      </c>
      <c r="P9381" t="s">
        <v>113</v>
      </c>
      <c r="Q9381" t="s">
        <v>58</v>
      </c>
      <c r="R9381" t="str">
        <f>IFERROR(VLOOKUP(record[[#This Row],[PCUSTID]],廠商[],2,FALSE),"")</f>
        <v/>
      </c>
      <c r="S9381" t="str">
        <f>VLOOKUP(record[[#This Row],[employeeID]],員工[],2,FALSE)</f>
        <v>王奕蓁</v>
      </c>
    </row>
    <row r="9382" spans="6:19" hidden="1" x14ac:dyDescent="0.25">
      <c r="F9382" t="s">
        <v>811</v>
      </c>
      <c r="G9382" t="s">
        <v>403</v>
      </c>
      <c r="H9382" t="str">
        <f>VLOOKUP(record[[#This Row],[ProcessSN]],表格2_7[],2,FALSE)</f>
        <v>30-4118-018-550</v>
      </c>
      <c r="I9382" t="str">
        <f>VLOOKUP(record[[#This Row],[ProcessSN]],表格2_7[],3,FALSE)</f>
        <v>#100SHIP</v>
      </c>
      <c r="J9382" t="s">
        <v>600</v>
      </c>
      <c r="K9382" s="195">
        <v>45817.724780092591</v>
      </c>
      <c r="L9382">
        <v>23</v>
      </c>
      <c r="M9382">
        <v>0</v>
      </c>
      <c r="N9382" s="98" t="str">
        <f>IF(record[[#This Row],[Memo]]="Browser:chrome os:android","平板報工",IF(record[[#This Row],[Memo]]=0,"委外",record[[#This Row],[Memo]]))</f>
        <v>6/5出貨</v>
      </c>
      <c r="O9382" t="s">
        <v>837</v>
      </c>
      <c r="P9382" t="s">
        <v>113</v>
      </c>
      <c r="Q9382" t="s">
        <v>58</v>
      </c>
      <c r="R9382" t="str">
        <f>IFERROR(VLOOKUP(record[[#This Row],[PCUSTID]],廠商[],2,FALSE),"")</f>
        <v/>
      </c>
      <c r="S9382" t="str">
        <f>VLOOKUP(record[[#This Row],[employeeID]],員工[],2,FALSE)</f>
        <v>王奕蓁</v>
      </c>
    </row>
    <row r="9383" spans="6:19" hidden="1" x14ac:dyDescent="0.25">
      <c r="F9383" t="s">
        <v>830</v>
      </c>
      <c r="G9383" t="s">
        <v>423</v>
      </c>
      <c r="H9383" t="str">
        <f>VLOOKUP(record[[#This Row],[ProcessSN]],表格2_7[],2,FALSE)</f>
        <v>30-4118-018-600</v>
      </c>
      <c r="I9383" t="str">
        <f>VLOOKUP(record[[#This Row],[ProcessSN]],表格2_7[],3,FALSE)</f>
        <v>#08RCV</v>
      </c>
      <c r="J9383" t="s">
        <v>591</v>
      </c>
      <c r="K9383" s="195">
        <v>45817.659548611111</v>
      </c>
      <c r="L9383">
        <v>0</v>
      </c>
      <c r="M9383">
        <v>23</v>
      </c>
      <c r="N9383" s="98" t="str">
        <f>IF(record[[#This Row],[Memo]]="Browser:chrome os:android","平板報工",IF(record[[#This Row],[Memo]]=0,"委外",record[[#This Row],[Memo]]))</f>
        <v/>
      </c>
      <c r="O9383" t="s">
        <v>58</v>
      </c>
      <c r="P9383" t="s">
        <v>113</v>
      </c>
      <c r="Q9383" t="s">
        <v>58</v>
      </c>
      <c r="R9383" t="str">
        <f>IFERROR(VLOOKUP(record[[#This Row],[PCUSTID]],廠商[],2,FALSE),"")</f>
        <v/>
      </c>
      <c r="S9383" t="str">
        <f>VLOOKUP(record[[#This Row],[employeeID]],員工[],2,FALSE)</f>
        <v>王奕蓁</v>
      </c>
    </row>
    <row r="9384" spans="6:19" hidden="1" x14ac:dyDescent="0.25">
      <c r="F9384" t="s">
        <v>830</v>
      </c>
      <c r="G9384" t="s">
        <v>423</v>
      </c>
      <c r="H9384" t="str">
        <f>VLOOKUP(record[[#This Row],[ProcessSN]],表格2_7[],2,FALSE)</f>
        <v>30-4118-018-600</v>
      </c>
      <c r="I9384" t="str">
        <f>VLOOKUP(record[[#This Row],[ProcessSN]],表格2_7[],3,FALSE)</f>
        <v>#08RCV</v>
      </c>
      <c r="J9384" t="s">
        <v>591</v>
      </c>
      <c r="K9384" s="195">
        <v>45817.659305555557</v>
      </c>
      <c r="L9384">
        <v>204</v>
      </c>
      <c r="M9384">
        <v>0</v>
      </c>
      <c r="N9384" s="98" t="str">
        <f>IF(record[[#This Row],[Memo]]="Browser:chrome os:android","平板報工",IF(record[[#This Row],[Memo]]=0,"委外",record[[#This Row],[Memo]]))</f>
        <v/>
      </c>
      <c r="O9384" t="s">
        <v>58</v>
      </c>
      <c r="P9384" t="s">
        <v>113</v>
      </c>
      <c r="Q9384" t="s">
        <v>58</v>
      </c>
      <c r="R9384" t="str">
        <f>IFERROR(VLOOKUP(record[[#This Row],[PCUSTID]],廠商[],2,FALSE),"")</f>
        <v/>
      </c>
      <c r="S9384" t="str">
        <f>VLOOKUP(record[[#This Row],[employeeID]],員工[],2,FALSE)</f>
        <v>王奕蓁</v>
      </c>
    </row>
    <row r="9385" spans="6:19" hidden="1" x14ac:dyDescent="0.25">
      <c r="F9385" t="s">
        <v>832</v>
      </c>
      <c r="G9385" t="s">
        <v>398</v>
      </c>
      <c r="H9385" t="str">
        <f>VLOOKUP(record[[#This Row],[ProcessSN]],表格2_7[],2,FALSE)</f>
        <v>30-4118-018-550</v>
      </c>
      <c r="I9385" t="str">
        <f>VLOOKUP(record[[#This Row],[ProcessSN]],表格2_7[],3,FALSE)</f>
        <v>#08RCV</v>
      </c>
      <c r="J9385" t="s">
        <v>591</v>
      </c>
      <c r="K9385" s="195">
        <v>45817.658912037034</v>
      </c>
      <c r="L9385">
        <v>206</v>
      </c>
      <c r="M9385">
        <v>0</v>
      </c>
      <c r="N9385" s="98" t="str">
        <f>IF(record[[#This Row],[Memo]]="Browser:chrome os:android","平板報工",IF(record[[#This Row],[Memo]]=0,"委外",record[[#This Row],[Memo]]))</f>
        <v/>
      </c>
      <c r="O9385" t="s">
        <v>58</v>
      </c>
      <c r="P9385" t="s">
        <v>113</v>
      </c>
      <c r="Q9385" t="s">
        <v>58</v>
      </c>
      <c r="R9385" t="str">
        <f>IFERROR(VLOOKUP(record[[#This Row],[PCUSTID]],廠商[],2,FALSE),"")</f>
        <v/>
      </c>
      <c r="S9385" t="str">
        <f>VLOOKUP(record[[#This Row],[employeeID]],員工[],2,FALSE)</f>
        <v>王奕蓁</v>
      </c>
    </row>
    <row r="9386" spans="6:19" hidden="1" x14ac:dyDescent="0.25">
      <c r="F9386" t="s">
        <v>778</v>
      </c>
      <c r="G9386" t="s">
        <v>418</v>
      </c>
      <c r="H9386" t="str">
        <f>VLOOKUP(record[[#This Row],[ProcessSN]],表格2_7[],2,FALSE)</f>
        <v>30-4118-018-5XX</v>
      </c>
      <c r="I9386" t="str">
        <f>VLOOKUP(record[[#This Row],[ProcessSN]],表格2_7[],3,FALSE)</f>
        <v>#07</v>
      </c>
      <c r="J9386" t="s">
        <v>588</v>
      </c>
      <c r="K9386" s="195">
        <v>45817.645844907405</v>
      </c>
      <c r="L9386">
        <v>220</v>
      </c>
      <c r="M9386">
        <v>0</v>
      </c>
      <c r="N9386" s="98" t="str">
        <f>IF(record[[#This Row],[Memo]]="Browser:chrome os:android","平板報工",IF(record[[#This Row],[Memo]]=0,"委外",record[[#This Row],[Memo]]))</f>
        <v/>
      </c>
      <c r="O9386" t="s">
        <v>58</v>
      </c>
      <c r="P9386" t="s">
        <v>119</v>
      </c>
      <c r="Q9386" t="s">
        <v>58</v>
      </c>
      <c r="R9386" t="str">
        <f>IFERROR(VLOOKUP(record[[#This Row],[PCUSTID]],廠商[],2,FALSE),"")</f>
        <v/>
      </c>
      <c r="S9386" t="str">
        <f>VLOOKUP(record[[#This Row],[employeeID]],員工[],2,FALSE)</f>
        <v>廖俊彥</v>
      </c>
    </row>
    <row r="9387" spans="6:19" hidden="1" x14ac:dyDescent="0.25">
      <c r="F9387" t="s">
        <v>836</v>
      </c>
      <c r="G9387" t="s">
        <v>397</v>
      </c>
      <c r="H9387" t="str">
        <f>VLOOKUP(record[[#This Row],[ProcessSN]],表格2_7[],2,FALSE)</f>
        <v>30-4118-018-550</v>
      </c>
      <c r="I9387" t="str">
        <f>VLOOKUP(record[[#This Row],[ProcessSN]],表格2_7[],3,FALSE)</f>
        <v>#08</v>
      </c>
      <c r="J9387" t="s">
        <v>597</v>
      </c>
      <c r="K9387" s="195">
        <v>45817.43172453704</v>
      </c>
      <c r="L9387">
        <v>453</v>
      </c>
      <c r="M9387">
        <v>0</v>
      </c>
      <c r="N9387" s="98" t="str">
        <f>IF(record[[#This Row],[Memo]]="Browser:chrome os:android","平板報工",IF(record[[#This Row],[Memo]]=0,"委外",record[[#This Row],[Memo]]))</f>
        <v>委外</v>
      </c>
      <c r="P9387" t="s">
        <v>113</v>
      </c>
      <c r="Q9387" t="s">
        <v>287</v>
      </c>
      <c r="R9387" t="str">
        <f>IFERROR(VLOOKUP(record[[#This Row],[PCUSTID]],廠商[],2,FALSE),"")</f>
        <v>泉盛</v>
      </c>
      <c r="S9387" t="str">
        <f>VLOOKUP(record[[#This Row],[employeeID]],員工[],2,FALSE)</f>
        <v>王奕蓁</v>
      </c>
    </row>
    <row r="9388" spans="6:19" hidden="1" x14ac:dyDescent="0.25">
      <c r="F9388" t="s">
        <v>836</v>
      </c>
      <c r="G9388" t="s">
        <v>396</v>
      </c>
      <c r="H9388" t="str">
        <f>VLOOKUP(record[[#This Row],[ProcessSN]],表格2_7[],2,FALSE)</f>
        <v>30-4118-018-550</v>
      </c>
      <c r="I9388" t="str">
        <f>VLOOKUP(record[[#This Row],[ProcessSN]],表格2_7[],3,FALSE)</f>
        <v>#08PICK</v>
      </c>
      <c r="J9388" t="s">
        <v>582</v>
      </c>
      <c r="K9388" s="195">
        <v>45817.431539351855</v>
      </c>
      <c r="L9388">
        <v>453</v>
      </c>
      <c r="M9388">
        <v>0</v>
      </c>
      <c r="N9388" s="98" t="str">
        <f>IF(record[[#This Row],[Memo]]="Browser:chrome os:android","平板報工",IF(record[[#This Row],[Memo]]=0,"委外",record[[#This Row],[Memo]]))</f>
        <v/>
      </c>
      <c r="O9388" t="s">
        <v>58</v>
      </c>
      <c r="P9388" t="s">
        <v>113</v>
      </c>
      <c r="Q9388" t="s">
        <v>58</v>
      </c>
      <c r="R9388" t="str">
        <f>IFERROR(VLOOKUP(record[[#This Row],[PCUSTID]],廠商[],2,FALSE),"")</f>
        <v/>
      </c>
      <c r="S9388" t="str">
        <f>VLOOKUP(record[[#This Row],[employeeID]],員工[],2,FALSE)</f>
        <v>王奕蓁</v>
      </c>
    </row>
    <row r="9389" spans="6:19" hidden="1" x14ac:dyDescent="0.25">
      <c r="F9389" t="s">
        <v>778</v>
      </c>
      <c r="G9389" t="s">
        <v>420</v>
      </c>
      <c r="H9389" t="str">
        <f>VLOOKUP(record[[#This Row],[ProcessSN]],表格2_7[],2,FALSE)</f>
        <v>30-4118-018-5XX</v>
      </c>
      <c r="I9389" t="str">
        <f>VLOOKUP(record[[#This Row],[ProcessSN]],表格2_7[],3,FALSE)</f>
        <v>#07STOCK</v>
      </c>
      <c r="J9389" t="s">
        <v>592</v>
      </c>
      <c r="K9389" s="195">
        <v>45817.430914351855</v>
      </c>
      <c r="L9389">
        <v>453</v>
      </c>
      <c r="M9389">
        <v>0</v>
      </c>
      <c r="N9389" s="98" t="str">
        <f>IF(record[[#This Row],[Memo]]="Browser:chrome os:android","平板報工",IF(record[[#This Row],[Memo]]=0,"委外",record[[#This Row],[Memo]]))</f>
        <v/>
      </c>
      <c r="O9389" t="s">
        <v>58</v>
      </c>
      <c r="P9389" t="s">
        <v>113</v>
      </c>
      <c r="Q9389" t="s">
        <v>58</v>
      </c>
      <c r="R9389" t="str">
        <f>IFERROR(VLOOKUP(record[[#This Row],[PCUSTID]],廠商[],2,FALSE),"")</f>
        <v/>
      </c>
      <c r="S9389" t="str">
        <f>VLOOKUP(record[[#This Row],[employeeID]],員工[],2,FALSE)</f>
        <v>王奕蓁</v>
      </c>
    </row>
    <row r="9390" spans="6:19" hidden="1" x14ac:dyDescent="0.25">
      <c r="F9390" t="s">
        <v>778</v>
      </c>
      <c r="G9390" t="s">
        <v>419</v>
      </c>
      <c r="H9390" t="str">
        <f>VLOOKUP(record[[#This Row],[ProcessSN]],表格2_7[],2,FALSE)</f>
        <v>30-4118-018-5XX</v>
      </c>
      <c r="I9390" t="str">
        <f>VLOOKUP(record[[#This Row],[ProcessSN]],表格2_7[],3,FALSE)</f>
        <v>#07QC</v>
      </c>
      <c r="J9390" t="s">
        <v>589</v>
      </c>
      <c r="K9390" s="195">
        <v>45817.407511574071</v>
      </c>
      <c r="L9390">
        <v>0</v>
      </c>
      <c r="M9390">
        <v>12</v>
      </c>
      <c r="N9390" s="98" t="str">
        <f>IF(record[[#This Row],[Memo]]="Browser:chrome os:android","平板報工",IF(record[[#This Row],[Memo]]=0,"委外",record[[#This Row],[Memo]]))</f>
        <v/>
      </c>
      <c r="O9390" t="s">
        <v>58</v>
      </c>
      <c r="P9390" t="s">
        <v>141</v>
      </c>
      <c r="Q9390" t="s">
        <v>58</v>
      </c>
      <c r="R9390" t="str">
        <f>IFERROR(VLOOKUP(record[[#This Row],[PCUSTID]],廠商[],2,FALSE),"")</f>
        <v/>
      </c>
      <c r="S9390" t="str">
        <f>VLOOKUP(record[[#This Row],[employeeID]],員工[],2,FALSE)</f>
        <v>蔣梅</v>
      </c>
    </row>
    <row r="9391" spans="6:19" hidden="1" x14ac:dyDescent="0.25">
      <c r="F9391" t="s">
        <v>778</v>
      </c>
      <c r="G9391" t="s">
        <v>419</v>
      </c>
      <c r="H9391" t="str">
        <f>VLOOKUP(record[[#This Row],[ProcessSN]],表格2_7[],2,FALSE)</f>
        <v>30-4118-018-5XX</v>
      </c>
      <c r="I9391" t="str">
        <f>VLOOKUP(record[[#This Row],[ProcessSN]],表格2_7[],3,FALSE)</f>
        <v>#07QC</v>
      </c>
      <c r="J9391" t="s">
        <v>589</v>
      </c>
      <c r="K9391" s="195">
        <v>45817.406099537038</v>
      </c>
      <c r="L9391">
        <v>321</v>
      </c>
      <c r="M9391">
        <v>0</v>
      </c>
      <c r="N9391" s="98" t="str">
        <f>IF(record[[#This Row],[Memo]]="Browser:chrome os:android","平板報工",IF(record[[#This Row],[Memo]]=0,"委外",record[[#This Row],[Memo]]))</f>
        <v/>
      </c>
      <c r="O9391" t="s">
        <v>58</v>
      </c>
      <c r="P9391" t="s">
        <v>141</v>
      </c>
      <c r="Q9391" t="s">
        <v>58</v>
      </c>
      <c r="R9391" t="str">
        <f>IFERROR(VLOOKUP(record[[#This Row],[PCUSTID]],廠商[],2,FALSE),"")</f>
        <v/>
      </c>
      <c r="S9391" t="str">
        <f>VLOOKUP(record[[#This Row],[employeeID]],員工[],2,FALSE)</f>
        <v>蔣梅</v>
      </c>
    </row>
    <row r="9392" spans="6:19" hidden="1" x14ac:dyDescent="0.25">
      <c r="F9392" t="s">
        <v>778</v>
      </c>
      <c r="G9392" t="s">
        <v>418</v>
      </c>
      <c r="H9392" t="str">
        <f>VLOOKUP(record[[#This Row],[ProcessSN]],表格2_7[],2,FALSE)</f>
        <v>30-4118-018-5XX</v>
      </c>
      <c r="I9392" t="str">
        <f>VLOOKUP(record[[#This Row],[ProcessSN]],表格2_7[],3,FALSE)</f>
        <v>#07</v>
      </c>
      <c r="J9392" t="s">
        <v>588</v>
      </c>
      <c r="K9392" s="195">
        <v>45814.977916666663</v>
      </c>
      <c r="L9392">
        <v>212</v>
      </c>
      <c r="M9392">
        <v>2</v>
      </c>
      <c r="N9392" s="98" t="str">
        <f>IF(record[[#This Row],[Memo]]="Browser:chrome os:android","平板報工",IF(record[[#This Row],[Memo]]=0,"委外",record[[#This Row],[Memo]]))</f>
        <v/>
      </c>
      <c r="O9392" t="s">
        <v>58</v>
      </c>
      <c r="P9392" t="s">
        <v>89</v>
      </c>
      <c r="Q9392" t="s">
        <v>58</v>
      </c>
      <c r="R9392" t="str">
        <f>IFERROR(VLOOKUP(record[[#This Row],[PCUSTID]],廠商[],2,FALSE),"")</f>
        <v/>
      </c>
      <c r="S9392" t="str">
        <f>VLOOKUP(record[[#This Row],[employeeID]],員工[],2,FALSE)</f>
        <v>李美蓮</v>
      </c>
    </row>
    <row r="9393" spans="6:19" hidden="1" x14ac:dyDescent="0.25">
      <c r="F9393" t="s">
        <v>828</v>
      </c>
      <c r="G9393" t="s">
        <v>401</v>
      </c>
      <c r="H9393" t="str">
        <f>VLOOKUP(record[[#This Row],[ProcessSN]],表格2_7[],2,FALSE)</f>
        <v>30-4118-018-550</v>
      </c>
      <c r="I9393" t="str">
        <f>VLOOKUP(record[[#This Row],[ProcessSN]],表格2_7[],3,FALSE)</f>
        <v>#100OQC</v>
      </c>
      <c r="J9393" t="s">
        <v>599</v>
      </c>
      <c r="K9393" s="195">
        <v>45814.70003472222</v>
      </c>
      <c r="L9393">
        <v>1</v>
      </c>
      <c r="M9393">
        <v>0</v>
      </c>
      <c r="N9393" s="98" t="str">
        <f>IF(record[[#This Row],[Memo]]="Browser:chrome os:android","平板報工",IF(record[[#This Row],[Memo]]=0,"委外",record[[#This Row],[Memo]]))</f>
        <v/>
      </c>
      <c r="O9393" t="s">
        <v>58</v>
      </c>
      <c r="P9393" t="s">
        <v>121</v>
      </c>
      <c r="Q9393" t="s">
        <v>58</v>
      </c>
      <c r="R9393" t="str">
        <f>IFERROR(VLOOKUP(record[[#This Row],[PCUSTID]],廠商[],2,FALSE),"")</f>
        <v/>
      </c>
      <c r="S9393" t="str">
        <f>VLOOKUP(record[[#This Row],[employeeID]],員工[],2,FALSE)</f>
        <v>謝素卿</v>
      </c>
    </row>
    <row r="9394" spans="6:19" hidden="1" x14ac:dyDescent="0.25">
      <c r="F9394" t="s">
        <v>820</v>
      </c>
      <c r="G9394" t="s">
        <v>427</v>
      </c>
      <c r="H9394" t="str">
        <f>VLOOKUP(record[[#This Row],[ProcessSN]],表格2_7[],2,FALSE)</f>
        <v>30-4118-018-600</v>
      </c>
      <c r="I9394" t="str">
        <f>VLOOKUP(record[[#This Row],[ProcessSN]],表格2_7[],3,FALSE)</f>
        <v>#100STOCK</v>
      </c>
      <c r="J9394" t="s">
        <v>592</v>
      </c>
      <c r="K9394" s="195">
        <v>45814.674641203703</v>
      </c>
      <c r="L9394">
        <v>100</v>
      </c>
      <c r="M9394">
        <v>0</v>
      </c>
      <c r="N9394" s="98" t="str">
        <f>IF(record[[#This Row],[Memo]]="Browser:chrome os:android","平板報工",IF(record[[#This Row],[Memo]]=0,"委外",record[[#This Row],[Memo]]))</f>
        <v/>
      </c>
      <c r="O9394" t="s">
        <v>58</v>
      </c>
      <c r="P9394" t="s">
        <v>186</v>
      </c>
      <c r="Q9394" t="s">
        <v>58</v>
      </c>
      <c r="R9394" t="str">
        <f>IFERROR(VLOOKUP(record[[#This Row],[PCUSTID]],廠商[],2,FALSE),"")</f>
        <v/>
      </c>
      <c r="S9394" t="str">
        <f>VLOOKUP(record[[#This Row],[employeeID]],員工[],2,FALSE)</f>
        <v>許文姍</v>
      </c>
    </row>
    <row r="9395" spans="6:19" hidden="1" x14ac:dyDescent="0.25">
      <c r="F9395" t="s">
        <v>818</v>
      </c>
      <c r="G9395" t="s">
        <v>428</v>
      </c>
      <c r="H9395" t="str">
        <f>VLOOKUP(record[[#This Row],[ProcessSN]],表格2_7[],2,FALSE)</f>
        <v>30-4118-018-600</v>
      </c>
      <c r="I9395" t="str">
        <f>VLOOKUP(record[[#This Row],[ProcessSN]],表格2_7[],3,FALSE)</f>
        <v>#100SHIP</v>
      </c>
      <c r="J9395" t="s">
        <v>600</v>
      </c>
      <c r="K9395" s="195">
        <v>45814.631562499999</v>
      </c>
      <c r="L9395">
        <v>76</v>
      </c>
      <c r="M9395">
        <v>0</v>
      </c>
      <c r="N9395" s="98" t="str">
        <f>IF(record[[#This Row],[Memo]]="Browser:chrome os:android","平板報工",IF(record[[#This Row],[Memo]]=0,"委外",record[[#This Row],[Memo]]))</f>
        <v/>
      </c>
      <c r="O9395" t="s">
        <v>58</v>
      </c>
      <c r="P9395" t="s">
        <v>186</v>
      </c>
      <c r="Q9395" t="s">
        <v>58</v>
      </c>
      <c r="R9395" t="str">
        <f>IFERROR(VLOOKUP(record[[#This Row],[PCUSTID]],廠商[],2,FALSE),"")</f>
        <v/>
      </c>
      <c r="S9395" t="str">
        <f>VLOOKUP(record[[#This Row],[employeeID]],員工[],2,FALSE)</f>
        <v>許文姍</v>
      </c>
    </row>
    <row r="9396" spans="6:19" hidden="1" x14ac:dyDescent="0.25">
      <c r="F9396" t="s">
        <v>818</v>
      </c>
      <c r="G9396" t="s">
        <v>427</v>
      </c>
      <c r="H9396" t="str">
        <f>VLOOKUP(record[[#This Row],[ProcessSN]],表格2_7[],2,FALSE)</f>
        <v>30-4118-018-600</v>
      </c>
      <c r="I9396" t="str">
        <f>VLOOKUP(record[[#This Row],[ProcessSN]],表格2_7[],3,FALSE)</f>
        <v>#100STOCK</v>
      </c>
      <c r="J9396" t="s">
        <v>592</v>
      </c>
      <c r="K9396" s="195">
        <v>45814.631331018521</v>
      </c>
      <c r="L9396">
        <v>140</v>
      </c>
      <c r="M9396">
        <v>0</v>
      </c>
      <c r="N9396" s="98" t="str">
        <f>IF(record[[#This Row],[Memo]]="Browser:chrome os:android","平板報工",IF(record[[#This Row],[Memo]]=0,"委外",record[[#This Row],[Memo]]))</f>
        <v/>
      </c>
      <c r="O9396" t="s">
        <v>58</v>
      </c>
      <c r="P9396" t="s">
        <v>186</v>
      </c>
      <c r="Q9396" t="s">
        <v>58</v>
      </c>
      <c r="R9396" t="str">
        <f>IFERROR(VLOOKUP(record[[#This Row],[PCUSTID]],廠商[],2,FALSE),"")</f>
        <v/>
      </c>
      <c r="S9396" t="str">
        <f>VLOOKUP(record[[#This Row],[employeeID]],員工[],2,FALSE)</f>
        <v>許文姍</v>
      </c>
    </row>
    <row r="9397" spans="6:19" hidden="1" x14ac:dyDescent="0.25">
      <c r="F9397" t="s">
        <v>810</v>
      </c>
      <c r="G9397" t="s">
        <v>428</v>
      </c>
      <c r="H9397" t="str">
        <f>VLOOKUP(record[[#This Row],[ProcessSN]],表格2_7[],2,FALSE)</f>
        <v>30-4118-018-600</v>
      </c>
      <c r="I9397" t="str">
        <f>VLOOKUP(record[[#This Row],[ProcessSN]],表格2_7[],3,FALSE)</f>
        <v>#100SHIP</v>
      </c>
      <c r="J9397" t="s">
        <v>600</v>
      </c>
      <c r="K9397" s="195">
        <v>45814.63045138889</v>
      </c>
      <c r="L9397">
        <v>13</v>
      </c>
      <c r="M9397">
        <v>0</v>
      </c>
      <c r="N9397" s="98" t="str">
        <f>IF(record[[#This Row],[Memo]]="Browser:chrome os:android","平板報工",IF(record[[#This Row],[Memo]]=0,"委外",record[[#This Row],[Memo]]))</f>
        <v/>
      </c>
      <c r="O9397" t="s">
        <v>58</v>
      </c>
      <c r="P9397" t="s">
        <v>186</v>
      </c>
      <c r="Q9397" t="s">
        <v>58</v>
      </c>
      <c r="R9397" t="str">
        <f>IFERROR(VLOOKUP(record[[#This Row],[PCUSTID]],廠商[],2,FALSE),"")</f>
        <v/>
      </c>
      <c r="S9397" t="str">
        <f>VLOOKUP(record[[#This Row],[employeeID]],員工[],2,FALSE)</f>
        <v>許文姍</v>
      </c>
    </row>
    <row r="9398" spans="6:19" hidden="1" x14ac:dyDescent="0.25">
      <c r="F9398" t="s">
        <v>775</v>
      </c>
      <c r="G9398" t="s">
        <v>403</v>
      </c>
      <c r="H9398" t="str">
        <f>VLOOKUP(record[[#This Row],[ProcessSN]],表格2_7[],2,FALSE)</f>
        <v>30-4118-018-550</v>
      </c>
      <c r="I9398" t="str">
        <f>VLOOKUP(record[[#This Row],[ProcessSN]],表格2_7[],3,FALSE)</f>
        <v>#100SHIP</v>
      </c>
      <c r="J9398" t="s">
        <v>600</v>
      </c>
      <c r="K9398" s="195">
        <v>45814.629675925928</v>
      </c>
      <c r="L9398">
        <v>1</v>
      </c>
      <c r="M9398">
        <v>0</v>
      </c>
      <c r="N9398" s="98" t="str">
        <f>IF(record[[#This Row],[Memo]]="Browser:chrome os:android","平板報工",IF(record[[#This Row],[Memo]]=0,"委外",record[[#This Row],[Memo]]))</f>
        <v/>
      </c>
      <c r="O9398" t="s">
        <v>58</v>
      </c>
      <c r="P9398" t="s">
        <v>186</v>
      </c>
      <c r="Q9398" t="s">
        <v>58</v>
      </c>
      <c r="R9398" t="str">
        <f>IFERROR(VLOOKUP(record[[#This Row],[PCUSTID]],廠商[],2,FALSE),"")</f>
        <v/>
      </c>
      <c r="S9398" t="str">
        <f>VLOOKUP(record[[#This Row],[employeeID]],員工[],2,FALSE)</f>
        <v>許文姍</v>
      </c>
    </row>
    <row r="9399" spans="6:19" hidden="1" x14ac:dyDescent="0.25">
      <c r="F9399" t="s">
        <v>775</v>
      </c>
      <c r="G9399" t="s">
        <v>402</v>
      </c>
      <c r="H9399" t="str">
        <f>VLOOKUP(record[[#This Row],[ProcessSN]],表格2_7[],2,FALSE)</f>
        <v>30-4118-018-550</v>
      </c>
      <c r="I9399" t="str">
        <f>VLOOKUP(record[[#This Row],[ProcessSN]],表格2_7[],3,FALSE)</f>
        <v>#100STOCK</v>
      </c>
      <c r="J9399" t="s">
        <v>592</v>
      </c>
      <c r="K9399" s="195">
        <v>45814.629560185182</v>
      </c>
      <c r="L9399">
        <v>1</v>
      </c>
      <c r="M9399">
        <v>0</v>
      </c>
      <c r="N9399" s="98" t="str">
        <f>IF(record[[#This Row],[Memo]]="Browser:chrome os:android","平板報工",IF(record[[#This Row],[Memo]]=0,"委外",record[[#This Row],[Memo]]))</f>
        <v/>
      </c>
      <c r="O9399" t="s">
        <v>58</v>
      </c>
      <c r="P9399" t="s">
        <v>186</v>
      </c>
      <c r="Q9399" t="s">
        <v>58</v>
      </c>
      <c r="R9399" t="str">
        <f>IFERROR(VLOOKUP(record[[#This Row],[PCUSTID]],廠商[],2,FALSE),"")</f>
        <v/>
      </c>
      <c r="S9399" t="str">
        <f>VLOOKUP(record[[#This Row],[employeeID]],員工[],2,FALSE)</f>
        <v>許文姍</v>
      </c>
    </row>
    <row r="9400" spans="6:19" hidden="1" x14ac:dyDescent="0.25">
      <c r="F9400" t="s">
        <v>828</v>
      </c>
      <c r="G9400" t="s">
        <v>403</v>
      </c>
      <c r="H9400" t="str">
        <f>VLOOKUP(record[[#This Row],[ProcessSN]],表格2_7[],2,FALSE)</f>
        <v>30-4118-018-550</v>
      </c>
      <c r="I9400" t="str">
        <f>VLOOKUP(record[[#This Row],[ProcessSN]],表格2_7[],3,FALSE)</f>
        <v>#100SHIP</v>
      </c>
      <c r="J9400" t="s">
        <v>600</v>
      </c>
      <c r="K9400" s="195">
        <v>45814.623564814814</v>
      </c>
      <c r="L9400">
        <v>364</v>
      </c>
      <c r="M9400">
        <v>0</v>
      </c>
      <c r="N9400" s="98" t="str">
        <f>IF(record[[#This Row],[Memo]]="Browser:chrome os:android","平板報工",IF(record[[#This Row],[Memo]]=0,"委外",record[[#This Row],[Memo]]))</f>
        <v/>
      </c>
      <c r="O9400" t="s">
        <v>58</v>
      </c>
      <c r="P9400" t="s">
        <v>186</v>
      </c>
      <c r="Q9400" t="s">
        <v>58</v>
      </c>
      <c r="R9400" t="str">
        <f>IFERROR(VLOOKUP(record[[#This Row],[PCUSTID]],廠商[],2,FALSE),"")</f>
        <v/>
      </c>
      <c r="S9400" t="str">
        <f>VLOOKUP(record[[#This Row],[employeeID]],員工[],2,FALSE)</f>
        <v>許文姍</v>
      </c>
    </row>
    <row r="9401" spans="6:19" hidden="1" x14ac:dyDescent="0.25">
      <c r="F9401" t="s">
        <v>828</v>
      </c>
      <c r="G9401" t="s">
        <v>402</v>
      </c>
      <c r="H9401" t="str">
        <f>VLOOKUP(record[[#This Row],[ProcessSN]],表格2_7[],2,FALSE)</f>
        <v>30-4118-018-550</v>
      </c>
      <c r="I9401" t="str">
        <f>VLOOKUP(record[[#This Row],[ProcessSN]],表格2_7[],3,FALSE)</f>
        <v>#100STOCK</v>
      </c>
      <c r="J9401" t="s">
        <v>592</v>
      </c>
      <c r="K9401" s="195">
        <v>45814.62327546296</v>
      </c>
      <c r="L9401">
        <v>374</v>
      </c>
      <c r="M9401">
        <v>0</v>
      </c>
      <c r="N9401" s="98" t="str">
        <f>IF(record[[#This Row],[Memo]]="Browser:chrome os:android","平板報工",IF(record[[#This Row],[Memo]]=0,"委外",record[[#This Row],[Memo]]))</f>
        <v/>
      </c>
      <c r="O9401" t="s">
        <v>58</v>
      </c>
      <c r="P9401" t="s">
        <v>186</v>
      </c>
      <c r="Q9401" t="s">
        <v>58</v>
      </c>
      <c r="R9401" t="str">
        <f>IFERROR(VLOOKUP(record[[#This Row],[PCUSTID]],廠商[],2,FALSE),"")</f>
        <v/>
      </c>
      <c r="S9401" t="str">
        <f>VLOOKUP(record[[#This Row],[employeeID]],員工[],2,FALSE)</f>
        <v>許文姍</v>
      </c>
    </row>
    <row r="9402" spans="6:19" hidden="1" x14ac:dyDescent="0.25">
      <c r="F9402" t="s">
        <v>812</v>
      </c>
      <c r="G9402" t="s">
        <v>403</v>
      </c>
      <c r="H9402" t="str">
        <f>VLOOKUP(record[[#This Row],[ProcessSN]],表格2_7[],2,FALSE)</f>
        <v>30-4118-018-550</v>
      </c>
      <c r="I9402" t="str">
        <f>VLOOKUP(record[[#This Row],[ProcessSN]],表格2_7[],3,FALSE)</f>
        <v>#100SHIP</v>
      </c>
      <c r="J9402" t="s">
        <v>600</v>
      </c>
      <c r="K9402" s="195">
        <v>45814.621400462966</v>
      </c>
      <c r="L9402">
        <v>43</v>
      </c>
      <c r="M9402">
        <v>0</v>
      </c>
      <c r="N9402" s="98" t="str">
        <f>IF(record[[#This Row],[Memo]]="Browser:chrome os:android","平板報工",IF(record[[#This Row],[Memo]]=0,"委外",record[[#This Row],[Memo]]))</f>
        <v/>
      </c>
      <c r="O9402" t="s">
        <v>58</v>
      </c>
      <c r="P9402" t="s">
        <v>186</v>
      </c>
      <c r="Q9402" t="s">
        <v>58</v>
      </c>
      <c r="R9402" t="str">
        <f>IFERROR(VLOOKUP(record[[#This Row],[PCUSTID]],廠商[],2,FALSE),"")</f>
        <v/>
      </c>
      <c r="S9402" t="str">
        <f>VLOOKUP(record[[#This Row],[employeeID]],員工[],2,FALSE)</f>
        <v>許文姍</v>
      </c>
    </row>
    <row r="9403" spans="6:19" hidden="1" x14ac:dyDescent="0.25">
      <c r="F9403" t="s">
        <v>797</v>
      </c>
      <c r="G9403" t="s">
        <v>403</v>
      </c>
      <c r="H9403" t="str">
        <f>VLOOKUP(record[[#This Row],[ProcessSN]],表格2_7[],2,FALSE)</f>
        <v>30-4118-018-550</v>
      </c>
      <c r="I9403" t="str">
        <f>VLOOKUP(record[[#This Row],[ProcessSN]],表格2_7[],3,FALSE)</f>
        <v>#100SHIP</v>
      </c>
      <c r="J9403" t="s">
        <v>600</v>
      </c>
      <c r="K9403" s="195">
        <v>45814.620833333334</v>
      </c>
      <c r="L9403">
        <v>191</v>
      </c>
      <c r="M9403">
        <v>0</v>
      </c>
      <c r="N9403" s="98" t="str">
        <f>IF(record[[#This Row],[Memo]]="Browser:chrome os:android","平板報工",IF(record[[#This Row],[Memo]]=0,"委外",record[[#This Row],[Memo]]))</f>
        <v/>
      </c>
      <c r="O9403" t="s">
        <v>58</v>
      </c>
      <c r="P9403" t="s">
        <v>186</v>
      </c>
      <c r="Q9403" t="s">
        <v>58</v>
      </c>
      <c r="R9403" t="str">
        <f>IFERROR(VLOOKUP(record[[#This Row],[PCUSTID]],廠商[],2,FALSE),"")</f>
        <v/>
      </c>
      <c r="S9403" t="str">
        <f>VLOOKUP(record[[#This Row],[employeeID]],員工[],2,FALSE)</f>
        <v>許文姍</v>
      </c>
    </row>
    <row r="9404" spans="6:19" hidden="1" x14ac:dyDescent="0.25">
      <c r="F9404" t="s">
        <v>811</v>
      </c>
      <c r="G9404" t="s">
        <v>403</v>
      </c>
      <c r="H9404" t="str">
        <f>VLOOKUP(record[[#This Row],[ProcessSN]],表格2_7[],2,FALSE)</f>
        <v>30-4118-018-550</v>
      </c>
      <c r="I9404" t="str">
        <f>VLOOKUP(record[[#This Row],[ProcessSN]],表格2_7[],3,FALSE)</f>
        <v>#100SHIP</v>
      </c>
      <c r="J9404" t="s">
        <v>600</v>
      </c>
      <c r="K9404" s="195">
        <v>45814.620370370372</v>
      </c>
      <c r="L9404">
        <v>83</v>
      </c>
      <c r="M9404">
        <v>0</v>
      </c>
      <c r="N9404" s="98" t="str">
        <f>IF(record[[#This Row],[Memo]]="Browser:chrome os:android","平板報工",IF(record[[#This Row],[Memo]]=0,"委外",record[[#This Row],[Memo]]))</f>
        <v/>
      </c>
      <c r="O9404" t="s">
        <v>58</v>
      </c>
      <c r="P9404" t="s">
        <v>186</v>
      </c>
      <c r="Q9404" t="s">
        <v>58</v>
      </c>
      <c r="R9404" t="str">
        <f>IFERROR(VLOOKUP(record[[#This Row],[PCUSTID]],廠商[],2,FALSE),"")</f>
        <v/>
      </c>
      <c r="S9404" t="str">
        <f>VLOOKUP(record[[#This Row],[employeeID]],員工[],2,FALSE)</f>
        <v>許文姍</v>
      </c>
    </row>
    <row r="9405" spans="6:19" hidden="1" x14ac:dyDescent="0.25">
      <c r="F9405" t="s">
        <v>778</v>
      </c>
      <c r="G9405" t="s">
        <v>418</v>
      </c>
      <c r="H9405" t="str">
        <f>VLOOKUP(record[[#This Row],[ProcessSN]],表格2_7[],2,FALSE)</f>
        <v>30-4118-018-5XX</v>
      </c>
      <c r="I9405" t="str">
        <f>VLOOKUP(record[[#This Row],[ProcessSN]],表格2_7[],3,FALSE)</f>
        <v>#07</v>
      </c>
      <c r="J9405" t="s">
        <v>588</v>
      </c>
      <c r="K9405" s="195">
        <v>45814.61204861111</v>
      </c>
      <c r="L9405">
        <v>177</v>
      </c>
      <c r="M9405">
        <v>0</v>
      </c>
      <c r="N9405" s="98" t="str">
        <f>IF(record[[#This Row],[Memo]]="Browser:chrome os:android","平板報工",IF(record[[#This Row],[Memo]]=0,"委外",record[[#This Row],[Memo]]))</f>
        <v/>
      </c>
      <c r="O9405" t="s">
        <v>58</v>
      </c>
      <c r="P9405" t="s">
        <v>119</v>
      </c>
      <c r="Q9405" t="s">
        <v>58</v>
      </c>
      <c r="R9405" t="str">
        <f>IFERROR(VLOOKUP(record[[#This Row],[PCUSTID]],廠商[],2,FALSE),"")</f>
        <v/>
      </c>
      <c r="S9405" t="str">
        <f>VLOOKUP(record[[#This Row],[employeeID]],員工[],2,FALSE)</f>
        <v>廖俊彥</v>
      </c>
    </row>
    <row r="9406" spans="6:19" hidden="1" x14ac:dyDescent="0.25">
      <c r="F9406" t="s">
        <v>825</v>
      </c>
      <c r="G9406" t="s">
        <v>465</v>
      </c>
      <c r="H9406" t="str">
        <f>VLOOKUP(record[[#This Row],[ProcessSN]],表格2_7[],2,FALSE)</f>
        <v>30-4118-018-XXX</v>
      </c>
      <c r="I9406" t="str">
        <f>VLOOKUP(record[[#This Row],[ProcessSN]],表格2_7[],3,FALSE)</f>
        <v>#01-1</v>
      </c>
      <c r="J9406" t="s">
        <v>588</v>
      </c>
      <c r="K9406" s="195">
        <v>45814.611851851849</v>
      </c>
      <c r="L9406">
        <v>293</v>
      </c>
      <c r="M9406">
        <v>0</v>
      </c>
      <c r="N9406" s="98" t="str">
        <f>IF(record[[#This Row],[Memo]]="Browser:chrome os:android","平板報工",IF(record[[#This Row],[Memo]]=0,"委外",record[[#This Row],[Memo]]))</f>
        <v/>
      </c>
      <c r="O9406" t="s">
        <v>58</v>
      </c>
      <c r="P9406" t="s">
        <v>119</v>
      </c>
      <c r="Q9406" t="s">
        <v>58</v>
      </c>
      <c r="R9406" t="str">
        <f>IFERROR(VLOOKUP(record[[#This Row],[PCUSTID]],廠商[],2,FALSE),"")</f>
        <v/>
      </c>
      <c r="S9406" t="str">
        <f>VLOOKUP(record[[#This Row],[employeeID]],員工[],2,FALSE)</f>
        <v>廖俊彥</v>
      </c>
    </row>
    <row r="9407" spans="6:19" hidden="1" x14ac:dyDescent="0.25">
      <c r="F9407" t="s">
        <v>828</v>
      </c>
      <c r="G9407" t="s">
        <v>400</v>
      </c>
      <c r="H9407" t="str">
        <f>VLOOKUP(record[[#This Row],[ProcessSN]],表格2_7[],2,FALSE)</f>
        <v>30-4118-018-550</v>
      </c>
      <c r="I9407" t="str">
        <f>VLOOKUP(record[[#This Row],[ProcessSN]],表格2_7[],3,FALSE)</f>
        <v>#100</v>
      </c>
      <c r="J9407" t="s">
        <v>598</v>
      </c>
      <c r="K9407" s="195">
        <v>45814.603495370371</v>
      </c>
      <c r="L9407">
        <v>1</v>
      </c>
      <c r="M9407">
        <v>0</v>
      </c>
      <c r="N9407" s="98" t="str">
        <f>IF(record[[#This Row],[Memo]]="Browser:chrome os:android","平板報工",IF(record[[#This Row],[Memo]]=0,"委外",record[[#This Row],[Memo]]))</f>
        <v/>
      </c>
      <c r="O9407" t="s">
        <v>58</v>
      </c>
      <c r="P9407" t="s">
        <v>141</v>
      </c>
      <c r="Q9407" t="s">
        <v>58</v>
      </c>
      <c r="R9407" t="str">
        <f>IFERROR(VLOOKUP(record[[#This Row],[PCUSTID]],廠商[],2,FALSE),"")</f>
        <v/>
      </c>
      <c r="S9407" t="str">
        <f>VLOOKUP(record[[#This Row],[employeeID]],員工[],2,FALSE)</f>
        <v>蔣梅</v>
      </c>
    </row>
    <row r="9408" spans="6:19" hidden="1" x14ac:dyDescent="0.25">
      <c r="F9408" t="s">
        <v>775</v>
      </c>
      <c r="G9408" t="s">
        <v>401</v>
      </c>
      <c r="H9408" t="str">
        <f>VLOOKUP(record[[#This Row],[ProcessSN]],表格2_7[],2,FALSE)</f>
        <v>30-4118-018-550</v>
      </c>
      <c r="I9408" t="str">
        <f>VLOOKUP(record[[#This Row],[ProcessSN]],表格2_7[],3,FALSE)</f>
        <v>#100OQC</v>
      </c>
      <c r="J9408" t="s">
        <v>599</v>
      </c>
      <c r="K9408" s="195">
        <v>45814.602638888886</v>
      </c>
      <c r="L9408">
        <v>1</v>
      </c>
      <c r="M9408">
        <v>0</v>
      </c>
      <c r="N9408" s="98" t="str">
        <f>IF(record[[#This Row],[Memo]]="Browser:chrome os:android","平板報工",IF(record[[#This Row],[Memo]]=0,"委外",record[[#This Row],[Memo]]))</f>
        <v/>
      </c>
      <c r="O9408" t="s">
        <v>58</v>
      </c>
      <c r="P9408" t="s">
        <v>121</v>
      </c>
      <c r="Q9408" t="s">
        <v>58</v>
      </c>
      <c r="R9408" t="str">
        <f>IFERROR(VLOOKUP(record[[#This Row],[PCUSTID]],廠商[],2,FALSE),"")</f>
        <v/>
      </c>
      <c r="S9408" t="str">
        <f>VLOOKUP(record[[#This Row],[employeeID]],員工[],2,FALSE)</f>
        <v>謝素卿</v>
      </c>
    </row>
    <row r="9409" spans="6:19" hidden="1" x14ac:dyDescent="0.25">
      <c r="F9409" t="s">
        <v>828</v>
      </c>
      <c r="G9409" t="s">
        <v>401</v>
      </c>
      <c r="H9409" t="str">
        <f>VLOOKUP(record[[#This Row],[ProcessSN]],表格2_7[],2,FALSE)</f>
        <v>30-4118-018-550</v>
      </c>
      <c r="I9409" t="str">
        <f>VLOOKUP(record[[#This Row],[ProcessSN]],表格2_7[],3,FALSE)</f>
        <v>#100OQC</v>
      </c>
      <c r="J9409" t="s">
        <v>599</v>
      </c>
      <c r="K9409" s="195">
        <v>45814.602476851855</v>
      </c>
      <c r="L9409">
        <v>374</v>
      </c>
      <c r="M9409">
        <v>0</v>
      </c>
      <c r="N9409" s="98" t="str">
        <f>IF(record[[#This Row],[Memo]]="Browser:chrome os:android","平板報工",IF(record[[#This Row],[Memo]]=0,"委外",record[[#This Row],[Memo]]))</f>
        <v/>
      </c>
      <c r="O9409" t="s">
        <v>58</v>
      </c>
      <c r="P9409" t="s">
        <v>121</v>
      </c>
      <c r="Q9409" t="s">
        <v>58</v>
      </c>
      <c r="R9409" t="str">
        <f>IFERROR(VLOOKUP(record[[#This Row],[PCUSTID]],廠商[],2,FALSE),"")</f>
        <v/>
      </c>
      <c r="S9409" t="str">
        <f>VLOOKUP(record[[#This Row],[employeeID]],員工[],2,FALSE)</f>
        <v>謝素卿</v>
      </c>
    </row>
    <row r="9410" spans="6:19" hidden="1" x14ac:dyDescent="0.25">
      <c r="F9410" t="s">
        <v>775</v>
      </c>
      <c r="G9410" t="s">
        <v>400</v>
      </c>
      <c r="H9410" t="str">
        <f>VLOOKUP(record[[#This Row],[ProcessSN]],表格2_7[],2,FALSE)</f>
        <v>30-4118-018-550</v>
      </c>
      <c r="I9410" t="str">
        <f>VLOOKUP(record[[#This Row],[ProcessSN]],表格2_7[],3,FALSE)</f>
        <v>#100</v>
      </c>
      <c r="J9410" t="s">
        <v>598</v>
      </c>
      <c r="K9410" s="195">
        <v>45814.599699074075</v>
      </c>
      <c r="L9410">
        <v>1</v>
      </c>
      <c r="M9410">
        <v>0</v>
      </c>
      <c r="N9410" s="98" t="str">
        <f>IF(record[[#This Row],[Memo]]="Browser:chrome os:android","平板報工",IF(record[[#This Row],[Memo]]=0,"委外",record[[#This Row],[Memo]]))</f>
        <v/>
      </c>
      <c r="O9410" t="s">
        <v>58</v>
      </c>
      <c r="P9410" t="s">
        <v>141</v>
      </c>
      <c r="Q9410" t="s">
        <v>58</v>
      </c>
      <c r="R9410" t="str">
        <f>IFERROR(VLOOKUP(record[[#This Row],[PCUSTID]],廠商[],2,FALSE),"")</f>
        <v/>
      </c>
      <c r="S9410" t="str">
        <f>VLOOKUP(record[[#This Row],[employeeID]],員工[],2,FALSE)</f>
        <v>蔣梅</v>
      </c>
    </row>
    <row r="9411" spans="6:19" hidden="1" x14ac:dyDescent="0.25">
      <c r="F9411" t="s">
        <v>828</v>
      </c>
      <c r="G9411" t="s">
        <v>400</v>
      </c>
      <c r="H9411" t="str">
        <f>VLOOKUP(record[[#This Row],[ProcessSN]],表格2_7[],2,FALSE)</f>
        <v>30-4118-018-550</v>
      </c>
      <c r="I9411" t="str">
        <f>VLOOKUP(record[[#This Row],[ProcessSN]],表格2_7[],3,FALSE)</f>
        <v>#100</v>
      </c>
      <c r="J9411" t="s">
        <v>598</v>
      </c>
      <c r="K9411" s="195">
        <v>45814.582592592589</v>
      </c>
      <c r="L9411">
        <v>374</v>
      </c>
      <c r="M9411">
        <v>0</v>
      </c>
      <c r="N9411" s="98" t="str">
        <f>IF(record[[#This Row],[Memo]]="Browser:chrome os:android","平板報工",IF(record[[#This Row],[Memo]]=0,"委外",record[[#This Row],[Memo]]))</f>
        <v>平板報工</v>
      </c>
      <c r="O9411" t="s">
        <v>643</v>
      </c>
      <c r="P9411" t="s">
        <v>141</v>
      </c>
      <c r="Q9411" t="s">
        <v>644</v>
      </c>
      <c r="R9411" t="str">
        <f>IFERROR(VLOOKUP(record[[#This Row],[PCUSTID]],廠商[],2,FALSE),"")</f>
        <v/>
      </c>
      <c r="S9411" t="str">
        <f>VLOOKUP(record[[#This Row],[employeeID]],員工[],2,FALSE)</f>
        <v>蔣梅</v>
      </c>
    </row>
    <row r="9412" spans="6:19" hidden="1" x14ac:dyDescent="0.25">
      <c r="F9412" t="s">
        <v>828</v>
      </c>
      <c r="G9412" t="s">
        <v>399</v>
      </c>
      <c r="H9412" t="str">
        <f>VLOOKUP(record[[#This Row],[ProcessSN]],表格2_7[],2,FALSE)</f>
        <v>30-4118-018-550</v>
      </c>
      <c r="I9412" t="str">
        <f>VLOOKUP(record[[#This Row],[ProcessSN]],表格2_7[],3,FALSE)</f>
        <v>#08IQC</v>
      </c>
      <c r="J9412" t="s">
        <v>583</v>
      </c>
      <c r="K9412" s="195">
        <v>45814.462500000001</v>
      </c>
      <c r="L9412">
        <v>378</v>
      </c>
      <c r="M9412">
        <v>0</v>
      </c>
      <c r="N9412" s="98" t="str">
        <f>IF(record[[#This Row],[Memo]]="Browser:chrome os:android","平板報工",IF(record[[#This Row],[Memo]]=0,"委外",record[[#This Row],[Memo]]))</f>
        <v/>
      </c>
      <c r="O9412" t="s">
        <v>58</v>
      </c>
      <c r="P9412" t="s">
        <v>121</v>
      </c>
      <c r="Q9412" t="s">
        <v>58</v>
      </c>
      <c r="R9412" t="str">
        <f>IFERROR(VLOOKUP(record[[#This Row],[PCUSTID]],廠商[],2,FALSE),"")</f>
        <v/>
      </c>
      <c r="S9412" t="str">
        <f>VLOOKUP(record[[#This Row],[employeeID]],員工[],2,FALSE)</f>
        <v>謝素卿</v>
      </c>
    </row>
    <row r="9413" spans="6:19" hidden="1" x14ac:dyDescent="0.25">
      <c r="F9413" t="s">
        <v>828</v>
      </c>
      <c r="G9413" t="s">
        <v>398</v>
      </c>
      <c r="H9413" t="str">
        <f>VLOOKUP(record[[#This Row],[ProcessSN]],表格2_7[],2,FALSE)</f>
        <v>30-4118-018-550</v>
      </c>
      <c r="I9413" t="str">
        <f>VLOOKUP(record[[#This Row],[ProcessSN]],表格2_7[],3,FALSE)</f>
        <v>#08RCV</v>
      </c>
      <c r="J9413" t="s">
        <v>591</v>
      </c>
      <c r="K9413" s="195">
        <v>45814.460370370369</v>
      </c>
      <c r="L9413">
        <v>0</v>
      </c>
      <c r="M9413">
        <v>16</v>
      </c>
      <c r="N9413" s="98" t="str">
        <f>IF(record[[#This Row],[Memo]]="Browser:chrome os:android","平板報工",IF(record[[#This Row],[Memo]]=0,"委外",record[[#This Row],[Memo]]))</f>
        <v/>
      </c>
      <c r="O9413" t="s">
        <v>58</v>
      </c>
      <c r="P9413" t="s">
        <v>186</v>
      </c>
      <c r="Q9413" t="s">
        <v>58</v>
      </c>
      <c r="R9413" t="str">
        <f>IFERROR(VLOOKUP(record[[#This Row],[PCUSTID]],廠商[],2,FALSE),"")</f>
        <v/>
      </c>
      <c r="S9413" t="str">
        <f>VLOOKUP(record[[#This Row],[employeeID]],員工[],2,FALSE)</f>
        <v>許文姍</v>
      </c>
    </row>
    <row r="9414" spans="6:19" hidden="1" x14ac:dyDescent="0.25">
      <c r="F9414" t="s">
        <v>828</v>
      </c>
      <c r="G9414" t="s">
        <v>398</v>
      </c>
      <c r="H9414" t="str">
        <f>VLOOKUP(record[[#This Row],[ProcessSN]],表格2_7[],2,FALSE)</f>
        <v>30-4118-018-550</v>
      </c>
      <c r="I9414" t="str">
        <f>VLOOKUP(record[[#This Row],[ProcessSN]],表格2_7[],3,FALSE)</f>
        <v>#08RCV</v>
      </c>
      <c r="J9414" t="s">
        <v>591</v>
      </c>
      <c r="K9414" s="195">
        <v>45814.459988425922</v>
      </c>
      <c r="L9414">
        <v>378</v>
      </c>
      <c r="M9414">
        <v>0</v>
      </c>
      <c r="N9414" s="98" t="str">
        <f>IF(record[[#This Row],[Memo]]="Browser:chrome os:android","平板報工",IF(record[[#This Row],[Memo]]=0,"委外",record[[#This Row],[Memo]]))</f>
        <v/>
      </c>
      <c r="O9414" t="s">
        <v>58</v>
      </c>
      <c r="P9414" t="s">
        <v>186</v>
      </c>
      <c r="Q9414" t="s">
        <v>58</v>
      </c>
      <c r="R9414" t="str">
        <f>IFERROR(VLOOKUP(record[[#This Row],[PCUSTID]],廠商[],2,FALSE),"")</f>
        <v/>
      </c>
      <c r="S9414" t="str">
        <f>VLOOKUP(record[[#This Row],[employeeID]],員工[],2,FALSE)</f>
        <v>許文姍</v>
      </c>
    </row>
    <row r="9415" spans="6:19" hidden="1" x14ac:dyDescent="0.25">
      <c r="F9415" t="s">
        <v>778</v>
      </c>
      <c r="G9415" t="s">
        <v>419</v>
      </c>
      <c r="H9415" t="str">
        <f>VLOOKUP(record[[#This Row],[ProcessSN]],表格2_7[],2,FALSE)</f>
        <v>30-4118-018-5XX</v>
      </c>
      <c r="I9415" t="str">
        <f>VLOOKUP(record[[#This Row],[ProcessSN]],表格2_7[],3,FALSE)</f>
        <v>#07QC</v>
      </c>
      <c r="J9415" t="s">
        <v>589</v>
      </c>
      <c r="K9415" s="195">
        <v>45814.453009259261</v>
      </c>
      <c r="L9415">
        <v>0</v>
      </c>
      <c r="M9415">
        <v>26</v>
      </c>
      <c r="N9415" s="98" t="str">
        <f>IF(record[[#This Row],[Memo]]="Browser:chrome os:android","平板報工",IF(record[[#This Row],[Memo]]=0,"委外",record[[#This Row],[Memo]]))</f>
        <v>平板報工</v>
      </c>
      <c r="O9415" t="s">
        <v>643</v>
      </c>
      <c r="P9415" t="s">
        <v>141</v>
      </c>
      <c r="Q9415" t="s">
        <v>644</v>
      </c>
      <c r="R9415" t="str">
        <f>IFERROR(VLOOKUP(record[[#This Row],[PCUSTID]],廠商[],2,FALSE),"")</f>
        <v/>
      </c>
      <c r="S9415" t="str">
        <f>VLOOKUP(record[[#This Row],[employeeID]],員工[],2,FALSE)</f>
        <v>蔣梅</v>
      </c>
    </row>
    <row r="9416" spans="6:19" hidden="1" x14ac:dyDescent="0.25">
      <c r="F9416" t="s">
        <v>778</v>
      </c>
      <c r="G9416" t="s">
        <v>419</v>
      </c>
      <c r="H9416" t="str">
        <f>VLOOKUP(record[[#This Row],[ProcessSN]],表格2_7[],2,FALSE)</f>
        <v>30-4118-018-5XX</v>
      </c>
      <c r="I9416" t="str">
        <f>VLOOKUP(record[[#This Row],[ProcessSN]],表格2_7[],3,FALSE)</f>
        <v>#07QC</v>
      </c>
      <c r="J9416" t="s">
        <v>589</v>
      </c>
      <c r="K9416" s="195">
        <v>45814.452789351853</v>
      </c>
      <c r="L9416">
        <v>132</v>
      </c>
      <c r="M9416">
        <v>0</v>
      </c>
      <c r="N9416" s="98" t="str">
        <f>IF(record[[#This Row],[Memo]]="Browser:chrome os:android","平板報工",IF(record[[#This Row],[Memo]]=0,"委外",record[[#This Row],[Memo]]))</f>
        <v>平板報工</v>
      </c>
      <c r="O9416" t="s">
        <v>643</v>
      </c>
      <c r="P9416" t="s">
        <v>141</v>
      </c>
      <c r="Q9416" t="s">
        <v>644</v>
      </c>
      <c r="R9416" t="str">
        <f>IFERROR(VLOOKUP(record[[#This Row],[PCUSTID]],廠商[],2,FALSE),"")</f>
        <v/>
      </c>
      <c r="S9416" t="str">
        <f>VLOOKUP(record[[#This Row],[employeeID]],員工[],2,FALSE)</f>
        <v>蔣梅</v>
      </c>
    </row>
    <row r="9417" spans="6:19" hidden="1" x14ac:dyDescent="0.25">
      <c r="F9417" t="s">
        <v>778</v>
      </c>
      <c r="G9417" t="s">
        <v>420</v>
      </c>
      <c r="H9417" t="str">
        <f>VLOOKUP(record[[#This Row],[ProcessSN]],表格2_7[],2,FALSE)</f>
        <v>30-4118-018-5XX</v>
      </c>
      <c r="I9417" t="str">
        <f>VLOOKUP(record[[#This Row],[ProcessSN]],表格2_7[],3,FALSE)</f>
        <v>#07STOCK</v>
      </c>
      <c r="J9417" t="s">
        <v>592</v>
      </c>
      <c r="K9417" s="195">
        <v>45814.442974537036</v>
      </c>
      <c r="L9417">
        <v>336</v>
      </c>
      <c r="M9417">
        <v>0</v>
      </c>
      <c r="N9417" s="98" t="str">
        <f>IF(record[[#This Row],[Memo]]="Browser:chrome os:android","平板報工",IF(record[[#This Row],[Memo]]=0,"委外",record[[#This Row],[Memo]]))</f>
        <v/>
      </c>
      <c r="O9417" t="s">
        <v>58</v>
      </c>
      <c r="P9417" t="s">
        <v>113</v>
      </c>
      <c r="Q9417" t="s">
        <v>58</v>
      </c>
      <c r="R9417" t="str">
        <f>IFERROR(VLOOKUP(record[[#This Row],[PCUSTID]],廠商[],2,FALSE),"")</f>
        <v/>
      </c>
      <c r="S9417" t="str">
        <f>VLOOKUP(record[[#This Row],[employeeID]],員工[],2,FALSE)</f>
        <v>王奕蓁</v>
      </c>
    </row>
    <row r="9418" spans="6:19" hidden="1" x14ac:dyDescent="0.25">
      <c r="F9418" t="s">
        <v>834</v>
      </c>
      <c r="G9418" t="s">
        <v>397</v>
      </c>
      <c r="H9418" t="str">
        <f>VLOOKUP(record[[#This Row],[ProcessSN]],表格2_7[],2,FALSE)</f>
        <v>30-4118-018-550</v>
      </c>
      <c r="I9418" t="str">
        <f>VLOOKUP(record[[#This Row],[ProcessSN]],表格2_7[],3,FALSE)</f>
        <v>#08</v>
      </c>
      <c r="J9418" t="s">
        <v>597</v>
      </c>
      <c r="K9418" s="195">
        <v>45814.437916666669</v>
      </c>
      <c r="L9418">
        <v>336</v>
      </c>
      <c r="M9418">
        <v>0</v>
      </c>
      <c r="N9418" s="98" t="str">
        <f>IF(record[[#This Row],[Memo]]="Browser:chrome os:android","平板報工",IF(record[[#This Row],[Memo]]=0,"委外",record[[#This Row],[Memo]]))</f>
        <v>委外</v>
      </c>
      <c r="P9418" t="s">
        <v>186</v>
      </c>
      <c r="Q9418" t="s">
        <v>287</v>
      </c>
      <c r="R9418" t="str">
        <f>IFERROR(VLOOKUP(record[[#This Row],[PCUSTID]],廠商[],2,FALSE),"")</f>
        <v>泉盛</v>
      </c>
      <c r="S9418" t="str">
        <f>VLOOKUP(record[[#This Row],[employeeID]],員工[],2,FALSE)</f>
        <v>許文姍</v>
      </c>
    </row>
    <row r="9419" spans="6:19" hidden="1" x14ac:dyDescent="0.25">
      <c r="F9419" t="s">
        <v>834</v>
      </c>
      <c r="G9419" t="s">
        <v>396</v>
      </c>
      <c r="H9419" t="str">
        <f>VLOOKUP(record[[#This Row],[ProcessSN]],表格2_7[],2,FALSE)</f>
        <v>30-4118-018-550</v>
      </c>
      <c r="I9419" t="str">
        <f>VLOOKUP(record[[#This Row],[ProcessSN]],表格2_7[],3,FALSE)</f>
        <v>#08PICK</v>
      </c>
      <c r="J9419" t="s">
        <v>582</v>
      </c>
      <c r="K9419" s="195">
        <v>45814.437789351854</v>
      </c>
      <c r="L9419">
        <v>336</v>
      </c>
      <c r="M9419">
        <v>0</v>
      </c>
      <c r="N9419" s="98" t="str">
        <f>IF(record[[#This Row],[Memo]]="Browser:chrome os:android","平板報工",IF(record[[#This Row],[Memo]]=0,"委外",record[[#This Row],[Memo]]))</f>
        <v/>
      </c>
      <c r="O9419" t="s">
        <v>58</v>
      </c>
      <c r="P9419" t="s">
        <v>186</v>
      </c>
      <c r="Q9419" t="s">
        <v>58</v>
      </c>
      <c r="R9419" t="str">
        <f>IFERROR(VLOOKUP(record[[#This Row],[PCUSTID]],廠商[],2,FALSE),"")</f>
        <v/>
      </c>
      <c r="S9419" t="str">
        <f>VLOOKUP(record[[#This Row],[employeeID]],員工[],2,FALSE)</f>
        <v>許文姍</v>
      </c>
    </row>
    <row r="9420" spans="6:19" hidden="1" x14ac:dyDescent="0.25">
      <c r="F9420" t="s">
        <v>778</v>
      </c>
      <c r="G9420" t="s">
        <v>419</v>
      </c>
      <c r="H9420" t="str">
        <f>VLOOKUP(record[[#This Row],[ProcessSN]],表格2_7[],2,FALSE)</f>
        <v>30-4118-018-5XX</v>
      </c>
      <c r="I9420" t="str">
        <f>VLOOKUP(record[[#This Row],[ProcessSN]],表格2_7[],3,FALSE)</f>
        <v>#07QC</v>
      </c>
      <c r="J9420" t="s">
        <v>589</v>
      </c>
      <c r="K9420" s="195">
        <v>45814.436944444446</v>
      </c>
      <c r="L9420">
        <v>336</v>
      </c>
      <c r="M9420">
        <v>0</v>
      </c>
      <c r="N9420" s="98" t="str">
        <f>IF(record[[#This Row],[Memo]]="Browser:chrome os:android","平板報工",IF(record[[#This Row],[Memo]]=0,"委外",record[[#This Row],[Memo]]))</f>
        <v>平板報工</v>
      </c>
      <c r="O9420" t="s">
        <v>643</v>
      </c>
      <c r="P9420" t="s">
        <v>141</v>
      </c>
      <c r="Q9420" t="s">
        <v>644</v>
      </c>
      <c r="R9420" t="str">
        <f>IFERROR(VLOOKUP(record[[#This Row],[PCUSTID]],廠商[],2,FALSE),"")</f>
        <v/>
      </c>
      <c r="S9420" t="str">
        <f>VLOOKUP(record[[#This Row],[employeeID]],員工[],2,FALSE)</f>
        <v>蔣梅</v>
      </c>
    </row>
    <row r="9421" spans="6:19" hidden="1" x14ac:dyDescent="0.25">
      <c r="F9421" t="s">
        <v>778</v>
      </c>
      <c r="G9421" t="s">
        <v>418</v>
      </c>
      <c r="H9421" t="str">
        <f>VLOOKUP(record[[#This Row],[ProcessSN]],表格2_7[],2,FALSE)</f>
        <v>30-4118-018-5XX</v>
      </c>
      <c r="I9421" t="str">
        <f>VLOOKUP(record[[#This Row],[ProcessSN]],表格2_7[],3,FALSE)</f>
        <v>#07</v>
      </c>
      <c r="J9421" t="s">
        <v>588</v>
      </c>
      <c r="K9421" s="195">
        <v>45814.3046875</v>
      </c>
      <c r="L9421">
        <v>129</v>
      </c>
      <c r="M9421">
        <v>3</v>
      </c>
      <c r="N9421" s="98" t="str">
        <f>IF(record[[#This Row],[Memo]]="Browser:chrome os:android","平板報工",IF(record[[#This Row],[Memo]]=0,"委外",record[[#This Row],[Memo]]))</f>
        <v/>
      </c>
      <c r="O9421" t="s">
        <v>58</v>
      </c>
      <c r="P9421" t="s">
        <v>135</v>
      </c>
      <c r="Q9421" t="s">
        <v>58</v>
      </c>
      <c r="R9421" t="str">
        <f>IFERROR(VLOOKUP(record[[#This Row],[PCUSTID]],廠商[],2,FALSE),"")</f>
        <v/>
      </c>
      <c r="S9421" t="str">
        <f>VLOOKUP(record[[#This Row],[employeeID]],員工[],2,FALSE)</f>
        <v>阮士文</v>
      </c>
    </row>
    <row r="9422" spans="6:19" hidden="1" x14ac:dyDescent="0.25">
      <c r="F9422" t="s">
        <v>778</v>
      </c>
      <c r="G9422" t="s">
        <v>418</v>
      </c>
      <c r="H9422" t="str">
        <f>VLOOKUP(record[[#This Row],[ProcessSN]],表格2_7[],2,FALSE)</f>
        <v>30-4118-018-5XX</v>
      </c>
      <c r="I9422" t="str">
        <f>VLOOKUP(record[[#This Row],[ProcessSN]],表格2_7[],3,FALSE)</f>
        <v>#07</v>
      </c>
      <c r="J9422" t="s">
        <v>588</v>
      </c>
      <c r="K9422" s="195">
        <v>45813.968726851854</v>
      </c>
      <c r="L9422">
        <v>174</v>
      </c>
      <c r="M9422">
        <v>6</v>
      </c>
      <c r="N9422" s="98" t="str">
        <f>IF(record[[#This Row],[Memo]]="Browser:chrome os:android","平板報工",IF(record[[#This Row],[Memo]]=0,"委外",record[[#This Row],[Memo]]))</f>
        <v/>
      </c>
      <c r="O9422" t="s">
        <v>58</v>
      </c>
      <c r="P9422" t="s">
        <v>89</v>
      </c>
      <c r="Q9422" t="s">
        <v>58</v>
      </c>
      <c r="R9422" t="str">
        <f>IFERROR(VLOOKUP(record[[#This Row],[PCUSTID]],廠商[],2,FALSE),"")</f>
        <v/>
      </c>
      <c r="S9422" t="str">
        <f>VLOOKUP(record[[#This Row],[employeeID]],員工[],2,FALSE)</f>
        <v>李美蓮</v>
      </c>
    </row>
    <row r="9423" spans="6:19" hidden="1" x14ac:dyDescent="0.25">
      <c r="F9423" t="s">
        <v>822</v>
      </c>
      <c r="G9423" t="s">
        <v>424</v>
      </c>
      <c r="H9423" t="str">
        <f>VLOOKUP(record[[#This Row],[ProcessSN]],表格2_7[],2,FALSE)</f>
        <v>30-4118-018-600</v>
      </c>
      <c r="I9423" t="str">
        <f>VLOOKUP(record[[#This Row],[ProcessSN]],表格2_7[],3,FALSE)</f>
        <v>#08IQC</v>
      </c>
      <c r="J9423" t="s">
        <v>583</v>
      </c>
      <c r="K9423" s="195">
        <v>45813.855856481481</v>
      </c>
      <c r="L9423">
        <v>153</v>
      </c>
      <c r="M9423">
        <v>0</v>
      </c>
      <c r="N9423" s="98" t="str">
        <f>IF(record[[#This Row],[Memo]]="Browser:chrome os:android","平板報工",IF(record[[#This Row],[Memo]]=0,"委外",record[[#This Row],[Memo]]))</f>
        <v/>
      </c>
      <c r="O9423" t="s">
        <v>58</v>
      </c>
      <c r="P9423" t="s">
        <v>172</v>
      </c>
      <c r="Q9423" t="s">
        <v>58</v>
      </c>
      <c r="R9423" t="str">
        <f>IFERROR(VLOOKUP(record[[#This Row],[PCUSTID]],廠商[],2,FALSE),"")</f>
        <v/>
      </c>
      <c r="S9423" t="str">
        <f>VLOOKUP(record[[#This Row],[employeeID]],員工[],2,FALSE)</f>
        <v>李采玲</v>
      </c>
    </row>
    <row r="9424" spans="6:19" hidden="1" x14ac:dyDescent="0.25">
      <c r="F9424" t="s">
        <v>820</v>
      </c>
      <c r="G9424" t="s">
        <v>426</v>
      </c>
      <c r="H9424" t="str">
        <f>VLOOKUP(record[[#This Row],[ProcessSN]],表格2_7[],2,FALSE)</f>
        <v>30-4118-018-600</v>
      </c>
      <c r="I9424" t="str">
        <f>VLOOKUP(record[[#This Row],[ProcessSN]],表格2_7[],3,FALSE)</f>
        <v>#100OQC</v>
      </c>
      <c r="J9424" t="s">
        <v>599</v>
      </c>
      <c r="K9424" s="195">
        <v>45813.72351851852</v>
      </c>
      <c r="L9424">
        <v>100</v>
      </c>
      <c r="M9424">
        <v>0</v>
      </c>
      <c r="N9424" s="98" t="str">
        <f>IF(record[[#This Row],[Memo]]="Browser:chrome os:android","平板報工",IF(record[[#This Row],[Memo]]=0,"委外",record[[#This Row],[Memo]]))</f>
        <v/>
      </c>
      <c r="O9424" t="s">
        <v>58</v>
      </c>
      <c r="P9424" t="s">
        <v>121</v>
      </c>
      <c r="Q9424" t="s">
        <v>58</v>
      </c>
      <c r="R9424" t="str">
        <f>IFERROR(VLOOKUP(record[[#This Row],[PCUSTID]],廠商[],2,FALSE),"")</f>
        <v/>
      </c>
      <c r="S9424" t="str">
        <f>VLOOKUP(record[[#This Row],[employeeID]],員工[],2,FALSE)</f>
        <v>謝素卿</v>
      </c>
    </row>
    <row r="9425" spans="6:19" hidden="1" x14ac:dyDescent="0.25">
      <c r="F9425" t="s">
        <v>818</v>
      </c>
      <c r="G9425" t="s">
        <v>426</v>
      </c>
      <c r="H9425" t="str">
        <f>VLOOKUP(record[[#This Row],[ProcessSN]],表格2_7[],2,FALSE)</f>
        <v>30-4118-018-600</v>
      </c>
      <c r="I9425" t="str">
        <f>VLOOKUP(record[[#This Row],[ProcessSN]],表格2_7[],3,FALSE)</f>
        <v>#100OQC</v>
      </c>
      <c r="J9425" t="s">
        <v>599</v>
      </c>
      <c r="K9425" s="195">
        <v>45813.723391203705</v>
      </c>
      <c r="L9425">
        <v>140</v>
      </c>
      <c r="M9425">
        <v>0</v>
      </c>
      <c r="N9425" s="98" t="str">
        <f>IF(record[[#This Row],[Memo]]="Browser:chrome os:android","平板報工",IF(record[[#This Row],[Memo]]=0,"委外",record[[#This Row],[Memo]]))</f>
        <v/>
      </c>
      <c r="O9425" t="s">
        <v>58</v>
      </c>
      <c r="P9425" t="s">
        <v>121</v>
      </c>
      <c r="Q9425" t="s">
        <v>58</v>
      </c>
      <c r="R9425" t="str">
        <f>IFERROR(VLOOKUP(record[[#This Row],[PCUSTID]],廠商[],2,FALSE),"")</f>
        <v/>
      </c>
      <c r="S9425" t="str">
        <f>VLOOKUP(record[[#This Row],[employeeID]],員工[],2,FALSE)</f>
        <v>謝素卿</v>
      </c>
    </row>
    <row r="9426" spans="6:19" hidden="1" x14ac:dyDescent="0.25">
      <c r="F9426" t="s">
        <v>812</v>
      </c>
      <c r="G9426" t="s">
        <v>402</v>
      </c>
      <c r="H9426" t="str">
        <f>VLOOKUP(record[[#This Row],[ProcessSN]],表格2_7[],2,FALSE)</f>
        <v>30-4118-018-550</v>
      </c>
      <c r="I9426" t="str">
        <f>VLOOKUP(record[[#This Row],[ProcessSN]],表格2_7[],3,FALSE)</f>
        <v>#100STOCK</v>
      </c>
      <c r="J9426" t="s">
        <v>592</v>
      </c>
      <c r="K9426" s="195">
        <v>45813.697511574072</v>
      </c>
      <c r="L9426">
        <v>43</v>
      </c>
      <c r="M9426">
        <v>0</v>
      </c>
      <c r="N9426" s="98" t="str">
        <f>IF(record[[#This Row],[Memo]]="Browser:chrome os:android","平板報工",IF(record[[#This Row],[Memo]]=0,"委外",record[[#This Row],[Memo]]))</f>
        <v/>
      </c>
      <c r="O9426" t="s">
        <v>58</v>
      </c>
      <c r="P9426" t="s">
        <v>186</v>
      </c>
      <c r="Q9426" t="s">
        <v>58</v>
      </c>
      <c r="R9426" t="str">
        <f>IFERROR(VLOOKUP(record[[#This Row],[PCUSTID]],廠商[],2,FALSE),"")</f>
        <v/>
      </c>
      <c r="S9426" t="str">
        <f>VLOOKUP(record[[#This Row],[employeeID]],員工[],2,FALSE)</f>
        <v>許文姍</v>
      </c>
    </row>
    <row r="9427" spans="6:19" hidden="1" x14ac:dyDescent="0.25">
      <c r="F9427" t="s">
        <v>811</v>
      </c>
      <c r="G9427" t="s">
        <v>402</v>
      </c>
      <c r="H9427" t="str">
        <f>VLOOKUP(record[[#This Row],[ProcessSN]],表格2_7[],2,FALSE)</f>
        <v>30-4118-018-550</v>
      </c>
      <c r="I9427" t="str">
        <f>VLOOKUP(record[[#This Row],[ProcessSN]],表格2_7[],3,FALSE)</f>
        <v>#100STOCK</v>
      </c>
      <c r="J9427" t="s">
        <v>592</v>
      </c>
      <c r="K9427" s="195">
        <v>45813.69734953704</v>
      </c>
      <c r="L9427">
        <v>106</v>
      </c>
      <c r="M9427">
        <v>0</v>
      </c>
      <c r="N9427" s="98" t="str">
        <f>IF(record[[#This Row],[Memo]]="Browser:chrome os:android","平板報工",IF(record[[#This Row],[Memo]]=0,"委外",record[[#This Row],[Memo]]))</f>
        <v/>
      </c>
      <c r="O9427" t="s">
        <v>58</v>
      </c>
      <c r="P9427" t="s">
        <v>186</v>
      </c>
      <c r="Q9427" t="s">
        <v>58</v>
      </c>
      <c r="R9427" t="str">
        <f>IFERROR(VLOOKUP(record[[#This Row],[PCUSTID]],廠商[],2,FALSE),"")</f>
        <v/>
      </c>
      <c r="S9427" t="str">
        <f>VLOOKUP(record[[#This Row],[employeeID]],員工[],2,FALSE)</f>
        <v>許文姍</v>
      </c>
    </row>
    <row r="9428" spans="6:19" hidden="1" x14ac:dyDescent="0.25">
      <c r="F9428" t="s">
        <v>797</v>
      </c>
      <c r="G9428" t="s">
        <v>402</v>
      </c>
      <c r="H9428" t="str">
        <f>VLOOKUP(record[[#This Row],[ProcessSN]],表格2_7[],2,FALSE)</f>
        <v>30-4118-018-550</v>
      </c>
      <c r="I9428" t="str">
        <f>VLOOKUP(record[[#This Row],[ProcessSN]],表格2_7[],3,FALSE)</f>
        <v>#100STOCK</v>
      </c>
      <c r="J9428" t="s">
        <v>592</v>
      </c>
      <c r="K9428" s="195">
        <v>45813.696689814817</v>
      </c>
      <c r="L9428">
        <v>191</v>
      </c>
      <c r="M9428">
        <v>0</v>
      </c>
      <c r="N9428" s="98" t="str">
        <f>IF(record[[#This Row],[Memo]]="Browser:chrome os:android","平板報工",IF(record[[#This Row],[Memo]]=0,"委外",record[[#This Row],[Memo]]))</f>
        <v/>
      </c>
      <c r="O9428" t="s">
        <v>58</v>
      </c>
      <c r="P9428" t="s">
        <v>186</v>
      </c>
      <c r="Q9428" t="s">
        <v>58</v>
      </c>
      <c r="R9428" t="str">
        <f>IFERROR(VLOOKUP(record[[#This Row],[PCUSTID]],廠商[],2,FALSE),"")</f>
        <v/>
      </c>
      <c r="S9428" t="str">
        <f>VLOOKUP(record[[#This Row],[employeeID]],員工[],2,FALSE)</f>
        <v>許文姍</v>
      </c>
    </row>
    <row r="9429" spans="6:19" hidden="1" x14ac:dyDescent="0.25">
      <c r="F9429" t="s">
        <v>797</v>
      </c>
      <c r="G9429" t="s">
        <v>401</v>
      </c>
      <c r="H9429" t="str">
        <f>VLOOKUP(record[[#This Row],[ProcessSN]],表格2_7[],2,FALSE)</f>
        <v>30-4118-018-550</v>
      </c>
      <c r="I9429" t="str">
        <f>VLOOKUP(record[[#This Row],[ProcessSN]],表格2_7[],3,FALSE)</f>
        <v>#100OQC</v>
      </c>
      <c r="J9429" t="s">
        <v>599</v>
      </c>
      <c r="K9429" s="195">
        <v>45813.695474537039</v>
      </c>
      <c r="L9429">
        <v>191</v>
      </c>
      <c r="M9429">
        <v>0</v>
      </c>
      <c r="N9429" s="98" t="str">
        <f>IF(record[[#This Row],[Memo]]="Browser:chrome os:android","平板報工",IF(record[[#This Row],[Memo]]=0,"委外",record[[#This Row],[Memo]]))</f>
        <v/>
      </c>
      <c r="O9429" t="s">
        <v>58</v>
      </c>
      <c r="P9429" t="s">
        <v>121</v>
      </c>
      <c r="Q9429" t="s">
        <v>58</v>
      </c>
      <c r="R9429" t="str">
        <f>IFERROR(VLOOKUP(record[[#This Row],[PCUSTID]],廠商[],2,FALSE),"")</f>
        <v/>
      </c>
      <c r="S9429" t="str">
        <f>VLOOKUP(record[[#This Row],[employeeID]],員工[],2,FALSE)</f>
        <v>謝素卿</v>
      </c>
    </row>
    <row r="9430" spans="6:19" hidden="1" x14ac:dyDescent="0.25">
      <c r="F9430" t="s">
        <v>812</v>
      </c>
      <c r="G9430" t="s">
        <v>401</v>
      </c>
      <c r="H9430" t="str">
        <f>VLOOKUP(record[[#This Row],[ProcessSN]],表格2_7[],2,FALSE)</f>
        <v>30-4118-018-550</v>
      </c>
      <c r="I9430" t="str">
        <f>VLOOKUP(record[[#This Row],[ProcessSN]],表格2_7[],3,FALSE)</f>
        <v>#100OQC</v>
      </c>
      <c r="J9430" t="s">
        <v>599</v>
      </c>
      <c r="K9430" s="195">
        <v>45813.695335648146</v>
      </c>
      <c r="L9430">
        <v>43</v>
      </c>
      <c r="M9430">
        <v>0</v>
      </c>
      <c r="N9430" s="98" t="str">
        <f>IF(record[[#This Row],[Memo]]="Browser:chrome os:android","平板報工",IF(record[[#This Row],[Memo]]=0,"委外",record[[#This Row],[Memo]]))</f>
        <v/>
      </c>
      <c r="O9430" t="s">
        <v>58</v>
      </c>
      <c r="P9430" t="s">
        <v>121</v>
      </c>
      <c r="Q9430" t="s">
        <v>58</v>
      </c>
      <c r="R9430" t="str">
        <f>IFERROR(VLOOKUP(record[[#This Row],[PCUSTID]],廠商[],2,FALSE),"")</f>
        <v/>
      </c>
      <c r="S9430" t="str">
        <f>VLOOKUP(record[[#This Row],[employeeID]],員工[],2,FALSE)</f>
        <v>謝素卿</v>
      </c>
    </row>
    <row r="9431" spans="6:19" hidden="1" x14ac:dyDescent="0.25">
      <c r="F9431" t="s">
        <v>811</v>
      </c>
      <c r="G9431" t="s">
        <v>401</v>
      </c>
      <c r="H9431" t="str">
        <f>VLOOKUP(record[[#This Row],[ProcessSN]],表格2_7[],2,FALSE)</f>
        <v>30-4118-018-550</v>
      </c>
      <c r="I9431" t="str">
        <f>VLOOKUP(record[[#This Row],[ProcessSN]],表格2_7[],3,FALSE)</f>
        <v>#100OQC</v>
      </c>
      <c r="J9431" t="s">
        <v>599</v>
      </c>
      <c r="K9431" s="195">
        <v>45813.694398148145</v>
      </c>
      <c r="L9431">
        <v>106</v>
      </c>
      <c r="M9431">
        <v>0</v>
      </c>
      <c r="N9431" s="98" t="str">
        <f>IF(record[[#This Row],[Memo]]="Browser:chrome os:android","平板報工",IF(record[[#This Row],[Memo]]=0,"委外",record[[#This Row],[Memo]]))</f>
        <v/>
      </c>
      <c r="O9431" t="s">
        <v>58</v>
      </c>
      <c r="P9431" t="s">
        <v>121</v>
      </c>
      <c r="Q9431" t="s">
        <v>58</v>
      </c>
      <c r="R9431" t="str">
        <f>IFERROR(VLOOKUP(record[[#This Row],[PCUSTID]],廠商[],2,FALSE),"")</f>
        <v/>
      </c>
      <c r="S9431" t="str">
        <f>VLOOKUP(record[[#This Row],[employeeID]],員工[],2,FALSE)</f>
        <v>謝素卿</v>
      </c>
    </row>
    <row r="9432" spans="6:19" hidden="1" x14ac:dyDescent="0.25">
      <c r="F9432" t="s">
        <v>822</v>
      </c>
      <c r="G9432" t="s">
        <v>423</v>
      </c>
      <c r="H9432" t="str">
        <f>VLOOKUP(record[[#This Row],[ProcessSN]],表格2_7[],2,FALSE)</f>
        <v>30-4118-018-600</v>
      </c>
      <c r="I9432" t="str">
        <f>VLOOKUP(record[[#This Row],[ProcessSN]],表格2_7[],3,FALSE)</f>
        <v>#08RCV</v>
      </c>
      <c r="J9432" t="s">
        <v>591</v>
      </c>
      <c r="K9432" s="195">
        <v>45813.659247685187</v>
      </c>
      <c r="L9432">
        <v>0</v>
      </c>
      <c r="M9432">
        <v>11</v>
      </c>
      <c r="N9432" s="98" t="str">
        <f>IF(record[[#This Row],[Memo]]="Browser:chrome os:android","平板報工",IF(record[[#This Row],[Memo]]=0,"委外",record[[#This Row],[Memo]]))</f>
        <v/>
      </c>
      <c r="O9432" t="s">
        <v>58</v>
      </c>
      <c r="P9432" t="s">
        <v>186</v>
      </c>
      <c r="Q9432" t="s">
        <v>58</v>
      </c>
      <c r="R9432" t="str">
        <f>IFERROR(VLOOKUP(record[[#This Row],[PCUSTID]],廠商[],2,FALSE),"")</f>
        <v/>
      </c>
      <c r="S9432" t="str">
        <f>VLOOKUP(record[[#This Row],[employeeID]],員工[],2,FALSE)</f>
        <v>許文姍</v>
      </c>
    </row>
    <row r="9433" spans="6:19" hidden="1" x14ac:dyDescent="0.25">
      <c r="F9433" t="s">
        <v>822</v>
      </c>
      <c r="G9433" t="s">
        <v>423</v>
      </c>
      <c r="H9433" t="str">
        <f>VLOOKUP(record[[#This Row],[ProcessSN]],表格2_7[],2,FALSE)</f>
        <v>30-4118-018-600</v>
      </c>
      <c r="I9433" t="str">
        <f>VLOOKUP(record[[#This Row],[ProcessSN]],表格2_7[],3,FALSE)</f>
        <v>#08RCV</v>
      </c>
      <c r="J9433" t="s">
        <v>591</v>
      </c>
      <c r="K9433" s="195">
        <v>45813.658935185187</v>
      </c>
      <c r="L9433">
        <v>153</v>
      </c>
      <c r="M9433">
        <v>0</v>
      </c>
      <c r="N9433" s="98" t="str">
        <f>IF(record[[#This Row],[Memo]]="Browser:chrome os:android","平板報工",IF(record[[#This Row],[Memo]]=0,"委外",record[[#This Row],[Memo]]))</f>
        <v/>
      </c>
      <c r="O9433" t="s">
        <v>58</v>
      </c>
      <c r="P9433" t="s">
        <v>186</v>
      </c>
      <c r="Q9433" t="s">
        <v>58</v>
      </c>
      <c r="R9433" t="str">
        <f>IFERROR(VLOOKUP(record[[#This Row],[PCUSTID]],廠商[],2,FALSE),"")</f>
        <v/>
      </c>
      <c r="S9433" t="str">
        <f>VLOOKUP(record[[#This Row],[employeeID]],員工[],2,FALSE)</f>
        <v>許文姍</v>
      </c>
    </row>
    <row r="9434" spans="6:19" hidden="1" x14ac:dyDescent="0.25">
      <c r="F9434" t="s">
        <v>778</v>
      </c>
      <c r="G9434" t="s">
        <v>418</v>
      </c>
      <c r="H9434" t="str">
        <f>VLOOKUP(record[[#This Row],[ProcessSN]],表格2_7[],2,FALSE)</f>
        <v>30-4118-018-5XX</v>
      </c>
      <c r="I9434" t="str">
        <f>VLOOKUP(record[[#This Row],[ProcessSN]],表格2_7[],3,FALSE)</f>
        <v>#07</v>
      </c>
      <c r="J9434" t="s">
        <v>588</v>
      </c>
      <c r="K9434" s="195">
        <v>45813.648680555554</v>
      </c>
      <c r="L9434">
        <v>135</v>
      </c>
      <c r="M9434">
        <v>2</v>
      </c>
      <c r="N9434" s="98" t="str">
        <f>IF(record[[#This Row],[Memo]]="Browser:chrome os:android","平板報工",IF(record[[#This Row],[Memo]]=0,"委外",record[[#This Row],[Memo]]))</f>
        <v/>
      </c>
      <c r="O9434" t="s">
        <v>58</v>
      </c>
      <c r="P9434" t="s">
        <v>119</v>
      </c>
      <c r="Q9434" t="s">
        <v>58</v>
      </c>
      <c r="R9434" t="str">
        <f>IFERROR(VLOOKUP(record[[#This Row],[PCUSTID]],廠商[],2,FALSE),"")</f>
        <v/>
      </c>
      <c r="S9434" t="str">
        <f>VLOOKUP(record[[#This Row],[employeeID]],員工[],2,FALSE)</f>
        <v>廖俊彥</v>
      </c>
    </row>
    <row r="9435" spans="6:19" hidden="1" x14ac:dyDescent="0.25">
      <c r="F9435" t="s">
        <v>810</v>
      </c>
      <c r="G9435" t="s">
        <v>428</v>
      </c>
      <c r="H9435" t="str">
        <f>VLOOKUP(record[[#This Row],[ProcessSN]],表格2_7[],2,FALSE)</f>
        <v>30-4118-018-600</v>
      </c>
      <c r="I9435" t="str">
        <f>VLOOKUP(record[[#This Row],[ProcessSN]],表格2_7[],3,FALSE)</f>
        <v>#100SHIP</v>
      </c>
      <c r="J9435" t="s">
        <v>600</v>
      </c>
      <c r="K9435" s="195">
        <v>45813.621828703705</v>
      </c>
      <c r="L9435">
        <v>79</v>
      </c>
      <c r="M9435">
        <v>0</v>
      </c>
      <c r="N9435" s="98" t="str">
        <f>IF(record[[#This Row],[Memo]]="Browser:chrome os:android","平板報工",IF(record[[#This Row],[Memo]]=0,"委外",record[[#This Row],[Memo]]))</f>
        <v/>
      </c>
      <c r="O9435" t="s">
        <v>58</v>
      </c>
      <c r="P9435" t="s">
        <v>186</v>
      </c>
      <c r="Q9435" t="s">
        <v>58</v>
      </c>
      <c r="R9435" t="str">
        <f>IFERROR(VLOOKUP(record[[#This Row],[PCUSTID]],廠商[],2,FALSE),"")</f>
        <v/>
      </c>
      <c r="S9435" t="str">
        <f>VLOOKUP(record[[#This Row],[employeeID]],員工[],2,FALSE)</f>
        <v>許文姍</v>
      </c>
    </row>
    <row r="9436" spans="6:19" hidden="1" x14ac:dyDescent="0.25">
      <c r="F9436" t="s">
        <v>800</v>
      </c>
      <c r="G9436" t="s">
        <v>403</v>
      </c>
      <c r="H9436" t="str">
        <f>VLOOKUP(record[[#This Row],[ProcessSN]],表格2_7[],2,FALSE)</f>
        <v>30-4118-018-550</v>
      </c>
      <c r="I9436" t="str">
        <f>VLOOKUP(record[[#This Row],[ProcessSN]],表格2_7[],3,FALSE)</f>
        <v>#100SHIP</v>
      </c>
      <c r="J9436" t="s">
        <v>600</v>
      </c>
      <c r="K9436" s="195">
        <v>45813.621481481481</v>
      </c>
      <c r="L9436">
        <v>54</v>
      </c>
      <c r="M9436">
        <v>0</v>
      </c>
      <c r="N9436" s="98" t="str">
        <f>IF(record[[#This Row],[Memo]]="Browser:chrome os:android","平板報工",IF(record[[#This Row],[Memo]]=0,"委外",record[[#This Row],[Memo]]))</f>
        <v/>
      </c>
      <c r="O9436" t="s">
        <v>58</v>
      </c>
      <c r="P9436" t="s">
        <v>186</v>
      </c>
      <c r="Q9436" t="s">
        <v>58</v>
      </c>
      <c r="R9436" t="str">
        <f>IFERROR(VLOOKUP(record[[#This Row],[PCUSTID]],廠商[],2,FALSE),"")</f>
        <v/>
      </c>
      <c r="S9436" t="str">
        <f>VLOOKUP(record[[#This Row],[employeeID]],員工[],2,FALSE)</f>
        <v>許文姍</v>
      </c>
    </row>
    <row r="9437" spans="6:19" hidden="1" x14ac:dyDescent="0.25">
      <c r="F9437" t="s">
        <v>832</v>
      </c>
      <c r="G9437" t="s">
        <v>397</v>
      </c>
      <c r="H9437" t="str">
        <f>VLOOKUP(record[[#This Row],[ProcessSN]],表格2_7[],2,FALSE)</f>
        <v>30-4118-018-550</v>
      </c>
      <c r="I9437" t="str">
        <f>VLOOKUP(record[[#This Row],[ProcessSN]],表格2_7[],3,FALSE)</f>
        <v>#08</v>
      </c>
      <c r="J9437" t="s">
        <v>597</v>
      </c>
      <c r="K9437" s="195">
        <v>45813.560937499999</v>
      </c>
      <c r="L9437">
        <v>228</v>
      </c>
      <c r="M9437">
        <v>0</v>
      </c>
      <c r="N9437" s="98" t="str">
        <f>IF(record[[#This Row],[Memo]]="Browser:chrome os:android","平板報工",IF(record[[#This Row],[Memo]]=0,"委外",record[[#This Row],[Memo]]))</f>
        <v>委外</v>
      </c>
      <c r="P9437" t="s">
        <v>186</v>
      </c>
      <c r="Q9437" t="s">
        <v>287</v>
      </c>
      <c r="R9437" t="str">
        <f>IFERROR(VLOOKUP(record[[#This Row],[PCUSTID]],廠商[],2,FALSE),"")</f>
        <v>泉盛</v>
      </c>
      <c r="S9437" t="str">
        <f>VLOOKUP(record[[#This Row],[employeeID]],員工[],2,FALSE)</f>
        <v>許文姍</v>
      </c>
    </row>
    <row r="9438" spans="6:19" hidden="1" x14ac:dyDescent="0.25">
      <c r="F9438" t="s">
        <v>820</v>
      </c>
      <c r="G9438" t="s">
        <v>425</v>
      </c>
      <c r="H9438" t="str">
        <f>VLOOKUP(record[[#This Row],[ProcessSN]],表格2_7[],2,FALSE)</f>
        <v>30-4118-018-600</v>
      </c>
      <c r="I9438" t="str">
        <f>VLOOKUP(record[[#This Row],[ProcessSN]],表格2_7[],3,FALSE)</f>
        <v>#100</v>
      </c>
      <c r="J9438" t="s">
        <v>598</v>
      </c>
      <c r="K9438" s="195">
        <v>45813.456388888888</v>
      </c>
      <c r="L9438">
        <v>100</v>
      </c>
      <c r="M9438">
        <v>0</v>
      </c>
      <c r="N9438" s="98" t="str">
        <f>IF(record[[#This Row],[Memo]]="Browser:chrome os:android","平板報工",IF(record[[#This Row],[Memo]]=0,"委外",record[[#This Row],[Memo]]))</f>
        <v>平板報工</v>
      </c>
      <c r="O9438" t="s">
        <v>643</v>
      </c>
      <c r="P9438" t="s">
        <v>141</v>
      </c>
      <c r="Q9438" t="s">
        <v>644</v>
      </c>
      <c r="R9438" t="str">
        <f>IFERROR(VLOOKUP(record[[#This Row],[PCUSTID]],廠商[],2,FALSE),"")</f>
        <v/>
      </c>
      <c r="S9438" t="str">
        <f>VLOOKUP(record[[#This Row],[employeeID]],員工[],2,FALSE)</f>
        <v>蔣梅</v>
      </c>
    </row>
    <row r="9439" spans="6:19" hidden="1" x14ac:dyDescent="0.25">
      <c r="F9439" t="s">
        <v>818</v>
      </c>
      <c r="G9439" t="s">
        <v>425</v>
      </c>
      <c r="H9439" t="str">
        <f>VLOOKUP(record[[#This Row],[ProcessSN]],表格2_7[],2,FALSE)</f>
        <v>30-4118-018-600</v>
      </c>
      <c r="I9439" t="str">
        <f>VLOOKUP(record[[#This Row],[ProcessSN]],表格2_7[],3,FALSE)</f>
        <v>#100</v>
      </c>
      <c r="J9439" t="s">
        <v>598</v>
      </c>
      <c r="K9439" s="195">
        <v>45813.456111111111</v>
      </c>
      <c r="L9439">
        <v>0</v>
      </c>
      <c r="M9439">
        <v>24</v>
      </c>
      <c r="N9439" s="98" t="str">
        <f>IF(record[[#This Row],[Memo]]="Browser:chrome os:android","平板報工",IF(record[[#This Row],[Memo]]=0,"委外",record[[#This Row],[Memo]]))</f>
        <v>平板報工</v>
      </c>
      <c r="O9439" t="s">
        <v>643</v>
      </c>
      <c r="P9439" t="s">
        <v>141</v>
      </c>
      <c r="Q9439" t="s">
        <v>644</v>
      </c>
      <c r="R9439" t="str">
        <f>IFERROR(VLOOKUP(record[[#This Row],[PCUSTID]],廠商[],2,FALSE),"")</f>
        <v/>
      </c>
      <c r="S9439" t="str">
        <f>VLOOKUP(record[[#This Row],[employeeID]],員工[],2,FALSE)</f>
        <v>蔣梅</v>
      </c>
    </row>
    <row r="9440" spans="6:19" hidden="1" x14ac:dyDescent="0.25">
      <c r="F9440" t="s">
        <v>818</v>
      </c>
      <c r="G9440" t="s">
        <v>425</v>
      </c>
      <c r="H9440" t="str">
        <f>VLOOKUP(record[[#This Row],[ProcessSN]],表格2_7[],2,FALSE)</f>
        <v>30-4118-018-600</v>
      </c>
      <c r="I9440" t="str">
        <f>VLOOKUP(record[[#This Row],[ProcessSN]],表格2_7[],3,FALSE)</f>
        <v>#100</v>
      </c>
      <c r="J9440" t="s">
        <v>598</v>
      </c>
      <c r="K9440" s="195">
        <v>45813.455868055556</v>
      </c>
      <c r="L9440">
        <v>140</v>
      </c>
      <c r="M9440">
        <v>0</v>
      </c>
      <c r="N9440" s="98" t="str">
        <f>IF(record[[#This Row],[Memo]]="Browser:chrome os:android","平板報工",IF(record[[#This Row],[Memo]]=0,"委外",record[[#This Row],[Memo]]))</f>
        <v>平板報工</v>
      </c>
      <c r="O9440" t="s">
        <v>643</v>
      </c>
      <c r="P9440" t="s">
        <v>141</v>
      </c>
      <c r="Q9440" t="s">
        <v>644</v>
      </c>
      <c r="R9440" t="str">
        <f>IFERROR(VLOOKUP(record[[#This Row],[PCUSTID]],廠商[],2,FALSE),"")</f>
        <v/>
      </c>
      <c r="S9440" t="str">
        <f>VLOOKUP(record[[#This Row],[employeeID]],員工[],2,FALSE)</f>
        <v>蔣梅</v>
      </c>
    </row>
    <row r="9441" spans="6:19" hidden="1" x14ac:dyDescent="0.25">
      <c r="F9441" t="s">
        <v>832</v>
      </c>
      <c r="G9441" t="s">
        <v>396</v>
      </c>
      <c r="H9441" t="str">
        <f>VLOOKUP(record[[#This Row],[ProcessSN]],表格2_7[],2,FALSE)</f>
        <v>30-4118-018-550</v>
      </c>
      <c r="I9441" t="str">
        <f>VLOOKUP(record[[#This Row],[ProcessSN]],表格2_7[],3,FALSE)</f>
        <v>#08PICK</v>
      </c>
      <c r="J9441" t="s">
        <v>582</v>
      </c>
      <c r="K9441" s="195">
        <v>45813.444826388892</v>
      </c>
      <c r="L9441">
        <v>228</v>
      </c>
      <c r="M9441">
        <v>0</v>
      </c>
      <c r="N9441" s="98" t="str">
        <f>IF(record[[#This Row],[Memo]]="Browser:chrome os:android","平板報工",IF(record[[#This Row],[Memo]]=0,"委外",record[[#This Row],[Memo]]))</f>
        <v/>
      </c>
      <c r="O9441" t="s">
        <v>58</v>
      </c>
      <c r="P9441" t="s">
        <v>113</v>
      </c>
      <c r="Q9441" t="s">
        <v>58</v>
      </c>
      <c r="R9441" t="str">
        <f>IFERROR(VLOOKUP(record[[#This Row],[PCUSTID]],廠商[],2,FALSE),"")</f>
        <v/>
      </c>
      <c r="S9441" t="str">
        <f>VLOOKUP(record[[#This Row],[employeeID]],員工[],2,FALSE)</f>
        <v>王奕蓁</v>
      </c>
    </row>
    <row r="9442" spans="6:19" hidden="1" x14ac:dyDescent="0.25">
      <c r="F9442" t="s">
        <v>778</v>
      </c>
      <c r="G9442" t="s">
        <v>420</v>
      </c>
      <c r="H9442" t="str">
        <f>VLOOKUP(record[[#This Row],[ProcessSN]],表格2_7[],2,FALSE)</f>
        <v>30-4118-018-5XX</v>
      </c>
      <c r="I9442" t="str">
        <f>VLOOKUP(record[[#This Row],[ProcessSN]],表格2_7[],3,FALSE)</f>
        <v>#07STOCK</v>
      </c>
      <c r="J9442" t="s">
        <v>592</v>
      </c>
      <c r="K9442" s="195">
        <v>45813.44427083333</v>
      </c>
      <c r="L9442">
        <v>228</v>
      </c>
      <c r="M9442">
        <v>0</v>
      </c>
      <c r="N9442" s="98" t="str">
        <f>IF(record[[#This Row],[Memo]]="Browser:chrome os:android","平板報工",IF(record[[#This Row],[Memo]]=0,"委外",record[[#This Row],[Memo]]))</f>
        <v/>
      </c>
      <c r="O9442" t="s">
        <v>58</v>
      </c>
      <c r="P9442" t="s">
        <v>113</v>
      </c>
      <c r="Q9442" t="s">
        <v>58</v>
      </c>
      <c r="R9442" t="str">
        <f>IFERROR(VLOOKUP(record[[#This Row],[PCUSTID]],廠商[],2,FALSE),"")</f>
        <v/>
      </c>
      <c r="S9442" t="str">
        <f>VLOOKUP(record[[#This Row],[employeeID]],員工[],2,FALSE)</f>
        <v>王奕蓁</v>
      </c>
    </row>
    <row r="9443" spans="6:19" hidden="1" x14ac:dyDescent="0.25">
      <c r="F9443" t="s">
        <v>825</v>
      </c>
      <c r="G9443" t="s">
        <v>464</v>
      </c>
      <c r="H9443" t="str">
        <f>VLOOKUP(record[[#This Row],[ProcessSN]],表格2_7[],2,FALSE)</f>
        <v>30-4118-018-XXX</v>
      </c>
      <c r="I9443" t="str">
        <f>VLOOKUP(record[[#This Row],[ProcessSN]],表格2_7[],3,FALSE)</f>
        <v>#01GIVE</v>
      </c>
      <c r="J9443" t="s">
        <v>587</v>
      </c>
      <c r="K9443" s="195">
        <v>45813.441192129627</v>
      </c>
      <c r="L9443">
        <v>5200</v>
      </c>
      <c r="M9443">
        <v>0</v>
      </c>
      <c r="N9443" s="98" t="str">
        <f>IF(record[[#This Row],[Memo]]="Browser:chrome os:android","平板報工",IF(record[[#This Row],[Memo]]=0,"委外",record[[#This Row],[Memo]]))</f>
        <v/>
      </c>
      <c r="O9443" t="s">
        <v>58</v>
      </c>
      <c r="P9443" t="s">
        <v>757</v>
      </c>
      <c r="Q9443" t="s">
        <v>58</v>
      </c>
      <c r="R9443" t="str">
        <f>IFERROR(VLOOKUP(record[[#This Row],[PCUSTID]],廠商[],2,FALSE),"")</f>
        <v/>
      </c>
      <c r="S9443" t="str">
        <f>VLOOKUP(record[[#This Row],[employeeID]],員工[],2,FALSE)</f>
        <v>黎文勝</v>
      </c>
    </row>
    <row r="9444" spans="6:19" hidden="1" x14ac:dyDescent="0.25">
      <c r="F9444" t="s">
        <v>778</v>
      </c>
      <c r="G9444" t="s">
        <v>419</v>
      </c>
      <c r="H9444" t="str">
        <f>VLOOKUP(record[[#This Row],[ProcessSN]],表格2_7[],2,FALSE)</f>
        <v>30-4118-018-5XX</v>
      </c>
      <c r="I9444" t="str">
        <f>VLOOKUP(record[[#This Row],[ProcessSN]],表格2_7[],3,FALSE)</f>
        <v>#07QC</v>
      </c>
      <c r="J9444" t="s">
        <v>589</v>
      </c>
      <c r="K9444" s="195">
        <v>45813.388773148145</v>
      </c>
      <c r="L9444">
        <v>0</v>
      </c>
      <c r="M9444">
        <v>10</v>
      </c>
      <c r="N9444" s="98" t="str">
        <f>IF(record[[#This Row],[Memo]]="Browser:chrome os:android","平板報工",IF(record[[#This Row],[Memo]]=0,"委外",record[[#This Row],[Memo]]))</f>
        <v>平板報工</v>
      </c>
      <c r="O9444" t="s">
        <v>643</v>
      </c>
      <c r="P9444" t="s">
        <v>141</v>
      </c>
      <c r="Q9444" t="s">
        <v>644</v>
      </c>
      <c r="R9444" t="str">
        <f>IFERROR(VLOOKUP(record[[#This Row],[PCUSTID]],廠商[],2,FALSE),"")</f>
        <v/>
      </c>
      <c r="S9444" t="str">
        <f>VLOOKUP(record[[#This Row],[employeeID]],員工[],2,FALSE)</f>
        <v>蔣梅</v>
      </c>
    </row>
    <row r="9445" spans="6:19" hidden="1" x14ac:dyDescent="0.25">
      <c r="F9445" t="s">
        <v>778</v>
      </c>
      <c r="G9445" t="s">
        <v>419</v>
      </c>
      <c r="H9445" t="str">
        <f>VLOOKUP(record[[#This Row],[ProcessSN]],表格2_7[],2,FALSE)</f>
        <v>30-4118-018-5XX</v>
      </c>
      <c r="I9445" t="str">
        <f>VLOOKUP(record[[#This Row],[ProcessSN]],表格2_7[],3,FALSE)</f>
        <v>#07QC</v>
      </c>
      <c r="J9445" t="s">
        <v>589</v>
      </c>
      <c r="K9445" s="195">
        <v>45813.388553240744</v>
      </c>
      <c r="L9445">
        <v>228</v>
      </c>
      <c r="M9445">
        <v>0</v>
      </c>
      <c r="N9445" s="98" t="str">
        <f>IF(record[[#This Row],[Memo]]="Browser:chrome os:android","平板報工",IF(record[[#This Row],[Memo]]=0,"委外",record[[#This Row],[Memo]]))</f>
        <v>平板報工</v>
      </c>
      <c r="O9445" t="s">
        <v>643</v>
      </c>
      <c r="P9445" t="s">
        <v>141</v>
      </c>
      <c r="Q9445" t="s">
        <v>644</v>
      </c>
      <c r="R9445" t="str">
        <f>IFERROR(VLOOKUP(record[[#This Row],[PCUSTID]],廠商[],2,FALSE),"")</f>
        <v/>
      </c>
      <c r="S9445" t="str">
        <f>VLOOKUP(record[[#This Row],[employeeID]],員工[],2,FALSE)</f>
        <v>蔣梅</v>
      </c>
    </row>
    <row r="9446" spans="6:19" hidden="1" x14ac:dyDescent="0.25">
      <c r="F9446" t="s">
        <v>778</v>
      </c>
      <c r="G9446" t="s">
        <v>418</v>
      </c>
      <c r="H9446" t="str">
        <f>VLOOKUP(record[[#This Row],[ProcessSN]],表格2_7[],2,FALSE)</f>
        <v>30-4118-018-5XX</v>
      </c>
      <c r="I9446" t="str">
        <f>VLOOKUP(record[[#This Row],[ProcessSN]],表格2_7[],3,FALSE)</f>
        <v>#07</v>
      </c>
      <c r="J9446" t="s">
        <v>588</v>
      </c>
      <c r="K9446" s="195">
        <v>45812.964062500003</v>
      </c>
      <c r="L9446">
        <v>200</v>
      </c>
      <c r="M9446">
        <v>1</v>
      </c>
      <c r="N9446" s="98" t="str">
        <f>IF(record[[#This Row],[Memo]]="Browser:chrome os:android","平板報工",IF(record[[#This Row],[Memo]]=0,"委外",record[[#This Row],[Memo]]))</f>
        <v/>
      </c>
      <c r="O9446" t="s">
        <v>58</v>
      </c>
      <c r="P9446" t="s">
        <v>89</v>
      </c>
      <c r="Q9446" t="s">
        <v>58</v>
      </c>
      <c r="R9446" t="str">
        <f>IFERROR(VLOOKUP(record[[#This Row],[PCUSTID]],廠商[],2,FALSE),"")</f>
        <v/>
      </c>
      <c r="S9446" t="str">
        <f>VLOOKUP(record[[#This Row],[employeeID]],員工[],2,FALSE)</f>
        <v>李美蓮</v>
      </c>
    </row>
    <row r="9447" spans="6:19" hidden="1" x14ac:dyDescent="0.25">
      <c r="F9447" t="s">
        <v>778</v>
      </c>
      <c r="G9447" t="s">
        <v>418</v>
      </c>
      <c r="H9447" t="str">
        <f>VLOOKUP(record[[#This Row],[ProcessSN]],表格2_7[],2,FALSE)</f>
        <v>30-4118-018-5XX</v>
      </c>
      <c r="I9447" t="str">
        <f>VLOOKUP(record[[#This Row],[ProcessSN]],表格2_7[],3,FALSE)</f>
        <v>#07</v>
      </c>
      <c r="J9447" t="s">
        <v>588</v>
      </c>
      <c r="K9447" s="195">
        <v>45812.660138888888</v>
      </c>
      <c r="L9447">
        <v>189</v>
      </c>
      <c r="M9447">
        <v>1</v>
      </c>
      <c r="N9447" s="98" t="str">
        <f>IF(record[[#This Row],[Memo]]="Browser:chrome os:android","平板報工",IF(record[[#This Row],[Memo]]=0,"委外",record[[#This Row],[Memo]]))</f>
        <v/>
      </c>
      <c r="O9447" t="s">
        <v>58</v>
      </c>
      <c r="P9447" t="s">
        <v>119</v>
      </c>
      <c r="Q9447" t="s">
        <v>58</v>
      </c>
      <c r="R9447" t="str">
        <f>IFERROR(VLOOKUP(record[[#This Row],[PCUSTID]],廠商[],2,FALSE),"")</f>
        <v/>
      </c>
      <c r="S9447" t="str">
        <f>VLOOKUP(record[[#This Row],[employeeID]],員工[],2,FALSE)</f>
        <v>廖俊彥</v>
      </c>
    </row>
    <row r="9448" spans="6:19" hidden="1" x14ac:dyDescent="0.25">
      <c r="F9448" t="s">
        <v>810</v>
      </c>
      <c r="G9448" t="s">
        <v>428</v>
      </c>
      <c r="H9448" t="str">
        <f>VLOOKUP(record[[#This Row],[ProcessSN]],表格2_7[],2,FALSE)</f>
        <v>30-4118-018-600</v>
      </c>
      <c r="I9448" t="str">
        <f>VLOOKUP(record[[#This Row],[ProcessSN]],表格2_7[],3,FALSE)</f>
        <v>#100SHIP</v>
      </c>
      <c r="J9448" t="s">
        <v>600</v>
      </c>
      <c r="K9448" s="195">
        <v>45812.633333333331</v>
      </c>
      <c r="L9448">
        <v>12</v>
      </c>
      <c r="M9448">
        <v>0</v>
      </c>
      <c r="N9448" s="98" t="str">
        <f>IF(record[[#This Row],[Memo]]="Browser:chrome os:android","平板報工",IF(record[[#This Row],[Memo]]=0,"委外",record[[#This Row],[Memo]]))</f>
        <v/>
      </c>
      <c r="O9448" t="s">
        <v>58</v>
      </c>
      <c r="P9448" t="s">
        <v>186</v>
      </c>
      <c r="Q9448" t="s">
        <v>58</v>
      </c>
      <c r="R9448" t="str">
        <f>IFERROR(VLOOKUP(record[[#This Row],[PCUSTID]],廠商[],2,FALSE),"")</f>
        <v/>
      </c>
      <c r="S9448" t="str">
        <f>VLOOKUP(record[[#This Row],[employeeID]],員工[],2,FALSE)</f>
        <v>許文姍</v>
      </c>
    </row>
    <row r="9449" spans="6:19" hidden="1" x14ac:dyDescent="0.25">
      <c r="F9449" t="s">
        <v>830</v>
      </c>
      <c r="G9449" t="s">
        <v>422</v>
      </c>
      <c r="H9449" t="str">
        <f>VLOOKUP(record[[#This Row],[ProcessSN]],表格2_7[],2,FALSE)</f>
        <v>30-4118-018-600</v>
      </c>
      <c r="I9449" t="str">
        <f>VLOOKUP(record[[#This Row],[ProcessSN]],表格2_7[],3,FALSE)</f>
        <v>#08</v>
      </c>
      <c r="J9449" t="s">
        <v>597</v>
      </c>
      <c r="K9449" s="195">
        <v>45812.573587962965</v>
      </c>
      <c r="L9449">
        <v>261</v>
      </c>
      <c r="M9449">
        <v>0</v>
      </c>
      <c r="N9449" s="98" t="str">
        <f>IF(record[[#This Row],[Memo]]="Browser:chrome os:android","平板報工",IF(record[[#This Row],[Memo]]=0,"委外",record[[#This Row],[Memo]]))</f>
        <v>委外</v>
      </c>
      <c r="P9449" t="s">
        <v>186</v>
      </c>
      <c r="Q9449" t="s">
        <v>287</v>
      </c>
      <c r="R9449" t="str">
        <f>IFERROR(VLOOKUP(record[[#This Row],[PCUSTID]],廠商[],2,FALSE),"")</f>
        <v>泉盛</v>
      </c>
      <c r="S9449" t="str">
        <f>VLOOKUP(record[[#This Row],[employeeID]],員工[],2,FALSE)</f>
        <v>許文姍</v>
      </c>
    </row>
    <row r="9450" spans="6:19" hidden="1" x14ac:dyDescent="0.25">
      <c r="F9450" t="s">
        <v>828</v>
      </c>
      <c r="G9450" t="s">
        <v>397</v>
      </c>
      <c r="H9450" t="str">
        <f>VLOOKUP(record[[#This Row],[ProcessSN]],表格2_7[],2,FALSE)</f>
        <v>30-4118-018-550</v>
      </c>
      <c r="I9450" t="str">
        <f>VLOOKUP(record[[#This Row],[ProcessSN]],表格2_7[],3,FALSE)</f>
        <v>#08</v>
      </c>
      <c r="J9450" t="s">
        <v>597</v>
      </c>
      <c r="K9450" s="195">
        <v>45812.573460648149</v>
      </c>
      <c r="L9450">
        <v>394</v>
      </c>
      <c r="M9450">
        <v>0</v>
      </c>
      <c r="N9450" s="98" t="str">
        <f>IF(record[[#This Row],[Memo]]="Browser:chrome os:android","平板報工",IF(record[[#This Row],[Memo]]=0,"委外",record[[#This Row],[Memo]]))</f>
        <v>委外</v>
      </c>
      <c r="P9450" t="s">
        <v>186</v>
      </c>
      <c r="Q9450" t="s">
        <v>287</v>
      </c>
      <c r="R9450" t="str">
        <f>IFERROR(VLOOKUP(record[[#This Row],[PCUSTID]],廠商[],2,FALSE),"")</f>
        <v>泉盛</v>
      </c>
      <c r="S9450" t="str">
        <f>VLOOKUP(record[[#This Row],[employeeID]],員工[],2,FALSE)</f>
        <v>許文姍</v>
      </c>
    </row>
    <row r="9451" spans="6:19" hidden="1" x14ac:dyDescent="0.25">
      <c r="F9451" t="s">
        <v>828</v>
      </c>
      <c r="G9451" t="s">
        <v>396</v>
      </c>
      <c r="H9451" t="str">
        <f>VLOOKUP(record[[#This Row],[ProcessSN]],表格2_7[],2,FALSE)</f>
        <v>30-4118-018-550</v>
      </c>
      <c r="I9451" t="str">
        <f>VLOOKUP(record[[#This Row],[ProcessSN]],表格2_7[],3,FALSE)</f>
        <v>#08PICK</v>
      </c>
      <c r="J9451" t="s">
        <v>582</v>
      </c>
      <c r="K9451" s="195">
        <v>45812.569502314815</v>
      </c>
      <c r="L9451">
        <v>394</v>
      </c>
      <c r="M9451">
        <v>0</v>
      </c>
      <c r="N9451" s="98" t="str">
        <f>IF(record[[#This Row],[Memo]]="Browser:chrome os:android","平板報工",IF(record[[#This Row],[Memo]]=0,"委外",record[[#This Row],[Memo]]))</f>
        <v/>
      </c>
      <c r="O9451" t="s">
        <v>58</v>
      </c>
      <c r="P9451" t="s">
        <v>113</v>
      </c>
      <c r="Q9451" t="s">
        <v>58</v>
      </c>
      <c r="R9451" t="str">
        <f>IFERROR(VLOOKUP(record[[#This Row],[PCUSTID]],廠商[],2,FALSE),"")</f>
        <v/>
      </c>
      <c r="S9451" t="str">
        <f>VLOOKUP(record[[#This Row],[employeeID]],員工[],2,FALSE)</f>
        <v>王奕蓁</v>
      </c>
    </row>
    <row r="9452" spans="6:19" hidden="1" x14ac:dyDescent="0.25">
      <c r="F9452" t="s">
        <v>830</v>
      </c>
      <c r="G9452" t="s">
        <v>421</v>
      </c>
      <c r="H9452" t="str">
        <f>VLOOKUP(record[[#This Row],[ProcessSN]],表格2_7[],2,FALSE)</f>
        <v>30-4118-018-600</v>
      </c>
      <c r="I9452" t="str">
        <f>VLOOKUP(record[[#This Row],[ProcessSN]],表格2_7[],3,FALSE)</f>
        <v>#08PICK</v>
      </c>
      <c r="J9452" t="s">
        <v>582</v>
      </c>
      <c r="K9452" s="195">
        <v>45812.569409722222</v>
      </c>
      <c r="L9452">
        <v>261</v>
      </c>
      <c r="M9452">
        <v>0</v>
      </c>
      <c r="N9452" s="98" t="str">
        <f>IF(record[[#This Row],[Memo]]="Browser:chrome os:android","平板報工",IF(record[[#This Row],[Memo]]=0,"委外",record[[#This Row],[Memo]]))</f>
        <v/>
      </c>
      <c r="O9452" t="s">
        <v>58</v>
      </c>
      <c r="P9452" t="s">
        <v>113</v>
      </c>
      <c r="Q9452" t="s">
        <v>58</v>
      </c>
      <c r="R9452" t="str">
        <f>IFERROR(VLOOKUP(record[[#This Row],[PCUSTID]],廠商[],2,FALSE),"")</f>
        <v/>
      </c>
      <c r="S9452" t="str">
        <f>VLOOKUP(record[[#This Row],[employeeID]],員工[],2,FALSE)</f>
        <v>王奕蓁</v>
      </c>
    </row>
    <row r="9453" spans="6:19" hidden="1" x14ac:dyDescent="0.25">
      <c r="F9453" t="s">
        <v>778</v>
      </c>
      <c r="G9453" t="s">
        <v>420</v>
      </c>
      <c r="H9453" t="str">
        <f>VLOOKUP(record[[#This Row],[ProcessSN]],表格2_7[],2,FALSE)</f>
        <v>30-4118-018-5XX</v>
      </c>
      <c r="I9453" t="str">
        <f>VLOOKUP(record[[#This Row],[ProcessSN]],表格2_7[],3,FALSE)</f>
        <v>#07STOCK</v>
      </c>
      <c r="J9453" t="s">
        <v>592</v>
      </c>
      <c r="K9453" s="195">
        <v>45812.568935185183</v>
      </c>
      <c r="L9453">
        <v>394</v>
      </c>
      <c r="M9453">
        <v>0</v>
      </c>
      <c r="N9453" s="98" t="str">
        <f>IF(record[[#This Row],[Memo]]="Browser:chrome os:android","平板報工",IF(record[[#This Row],[Memo]]=0,"委外",record[[#This Row],[Memo]]))</f>
        <v/>
      </c>
      <c r="O9453" t="s">
        <v>58</v>
      </c>
      <c r="P9453" t="s">
        <v>113</v>
      </c>
      <c r="Q9453" t="s">
        <v>58</v>
      </c>
      <c r="R9453" t="str">
        <f>IFERROR(VLOOKUP(record[[#This Row],[PCUSTID]],廠商[],2,FALSE),"")</f>
        <v/>
      </c>
      <c r="S9453" t="str">
        <f>VLOOKUP(record[[#This Row],[employeeID]],員工[],2,FALSE)</f>
        <v>王奕蓁</v>
      </c>
    </row>
    <row r="9454" spans="6:19" hidden="1" x14ac:dyDescent="0.25">
      <c r="F9454" t="s">
        <v>777</v>
      </c>
      <c r="G9454" t="s">
        <v>453</v>
      </c>
      <c r="H9454" t="str">
        <f>VLOOKUP(record[[#This Row],[ProcessSN]],表格2_7[],2,FALSE)</f>
        <v>30-4118-018-6XX</v>
      </c>
      <c r="I9454" t="str">
        <f>VLOOKUP(record[[#This Row],[ProcessSN]],表格2_7[],3,FALSE)</f>
        <v>#07STOCK</v>
      </c>
      <c r="J9454" t="s">
        <v>592</v>
      </c>
      <c r="K9454" s="195">
        <v>45812.568414351852</v>
      </c>
      <c r="L9454">
        <v>261</v>
      </c>
      <c r="M9454">
        <v>0</v>
      </c>
      <c r="N9454" s="98" t="str">
        <f>IF(record[[#This Row],[Memo]]="Browser:chrome os:android","平板報工",IF(record[[#This Row],[Memo]]=0,"委外",record[[#This Row],[Memo]]))</f>
        <v/>
      </c>
      <c r="O9454" t="s">
        <v>58</v>
      </c>
      <c r="P9454" t="s">
        <v>113</v>
      </c>
      <c r="Q9454" t="s">
        <v>58</v>
      </c>
      <c r="R9454" t="str">
        <f>IFERROR(VLOOKUP(record[[#This Row],[PCUSTID]],廠商[],2,FALSE),"")</f>
        <v/>
      </c>
      <c r="S9454" t="str">
        <f>VLOOKUP(record[[#This Row],[employeeID]],員工[],2,FALSE)</f>
        <v>王奕蓁</v>
      </c>
    </row>
    <row r="9455" spans="6:19" hidden="1" x14ac:dyDescent="0.25">
      <c r="F9455" t="s">
        <v>777</v>
      </c>
      <c r="G9455" t="s">
        <v>452</v>
      </c>
      <c r="H9455" t="str">
        <f>VLOOKUP(record[[#This Row],[ProcessSN]],表格2_7[],2,FALSE)</f>
        <v>30-4118-018-6XX</v>
      </c>
      <c r="I9455" t="str">
        <f>VLOOKUP(record[[#This Row],[ProcessSN]],表格2_7[],3,FALSE)</f>
        <v>#07QC</v>
      </c>
      <c r="J9455" t="s">
        <v>589</v>
      </c>
      <c r="K9455" s="195">
        <v>45812.561689814815</v>
      </c>
      <c r="L9455">
        <v>0</v>
      </c>
      <c r="M9455">
        <v>56</v>
      </c>
      <c r="N9455" s="98" t="str">
        <f>IF(record[[#This Row],[Memo]]="Browser:chrome os:android","平板報工",IF(record[[#This Row],[Memo]]=0,"委外",record[[#This Row],[Memo]]))</f>
        <v/>
      </c>
      <c r="O9455" t="s">
        <v>58</v>
      </c>
      <c r="P9455" t="s">
        <v>141</v>
      </c>
      <c r="Q9455" t="s">
        <v>58</v>
      </c>
      <c r="R9455" t="str">
        <f>IFERROR(VLOOKUP(record[[#This Row],[PCUSTID]],廠商[],2,FALSE),"")</f>
        <v/>
      </c>
      <c r="S9455" t="str">
        <f>VLOOKUP(record[[#This Row],[employeeID]],員工[],2,FALSE)</f>
        <v>蔣梅</v>
      </c>
    </row>
    <row r="9456" spans="6:19" hidden="1" x14ac:dyDescent="0.25">
      <c r="F9456" t="s">
        <v>777</v>
      </c>
      <c r="G9456" t="s">
        <v>452</v>
      </c>
      <c r="H9456" t="str">
        <f>VLOOKUP(record[[#This Row],[ProcessSN]],表格2_7[],2,FALSE)</f>
        <v>30-4118-018-6XX</v>
      </c>
      <c r="I9456" t="str">
        <f>VLOOKUP(record[[#This Row],[ProcessSN]],表格2_7[],3,FALSE)</f>
        <v>#07QC</v>
      </c>
      <c r="J9456" t="s">
        <v>589</v>
      </c>
      <c r="K9456" s="195">
        <v>45812.557800925926</v>
      </c>
      <c r="L9456">
        <v>261</v>
      </c>
      <c r="M9456">
        <v>0</v>
      </c>
      <c r="N9456" s="98" t="str">
        <f>IF(record[[#This Row],[Memo]]="Browser:chrome os:android","平板報工",IF(record[[#This Row],[Memo]]=0,"委外",record[[#This Row],[Memo]]))</f>
        <v/>
      </c>
      <c r="O9456" t="s">
        <v>58</v>
      </c>
      <c r="P9456" t="s">
        <v>141</v>
      </c>
      <c r="Q9456" t="s">
        <v>58</v>
      </c>
      <c r="R9456" t="str">
        <f>IFERROR(VLOOKUP(record[[#This Row],[PCUSTID]],廠商[],2,FALSE),"")</f>
        <v/>
      </c>
      <c r="S9456" t="str">
        <f>VLOOKUP(record[[#This Row],[employeeID]],員工[],2,FALSE)</f>
        <v>蔣梅</v>
      </c>
    </row>
    <row r="9457" spans="6:19" hidden="1" x14ac:dyDescent="0.25">
      <c r="F9457" t="s">
        <v>778</v>
      </c>
      <c r="G9457" t="s">
        <v>419</v>
      </c>
      <c r="H9457" t="str">
        <f>VLOOKUP(record[[#This Row],[ProcessSN]],表格2_7[],2,FALSE)</f>
        <v>30-4118-018-5XX</v>
      </c>
      <c r="I9457" t="str">
        <f>VLOOKUP(record[[#This Row],[ProcessSN]],表格2_7[],3,FALSE)</f>
        <v>#07QC</v>
      </c>
      <c r="J9457" t="s">
        <v>589</v>
      </c>
      <c r="K9457" s="195">
        <v>45812.440833333334</v>
      </c>
      <c r="L9457">
        <v>394</v>
      </c>
      <c r="M9457">
        <v>0</v>
      </c>
      <c r="N9457" s="98" t="str">
        <f>IF(record[[#This Row],[Memo]]="Browser:chrome os:android","平板報工",IF(record[[#This Row],[Memo]]=0,"委外",record[[#This Row],[Memo]]))</f>
        <v>平板報工</v>
      </c>
      <c r="O9457" t="s">
        <v>643</v>
      </c>
      <c r="P9457" t="s">
        <v>141</v>
      </c>
      <c r="Q9457" t="s">
        <v>644</v>
      </c>
      <c r="R9457" t="str">
        <f>IFERROR(VLOOKUP(record[[#This Row],[PCUSTID]],廠商[],2,FALSE),"")</f>
        <v/>
      </c>
      <c r="S9457" t="str">
        <f>VLOOKUP(record[[#This Row],[employeeID]],員工[],2,FALSE)</f>
        <v>蔣梅</v>
      </c>
    </row>
    <row r="9458" spans="6:19" hidden="1" x14ac:dyDescent="0.25">
      <c r="F9458" t="s">
        <v>778</v>
      </c>
      <c r="G9458" t="s">
        <v>419</v>
      </c>
      <c r="H9458" t="str">
        <f>VLOOKUP(record[[#This Row],[ProcessSN]],表格2_7[],2,FALSE)</f>
        <v>30-4118-018-5XX</v>
      </c>
      <c r="I9458" t="str">
        <f>VLOOKUP(record[[#This Row],[ProcessSN]],表格2_7[],3,FALSE)</f>
        <v>#07QC</v>
      </c>
      <c r="J9458" t="s">
        <v>589</v>
      </c>
      <c r="K9458" s="195">
        <v>45812.44059027778</v>
      </c>
      <c r="L9458">
        <v>0</v>
      </c>
      <c r="M9458">
        <v>34</v>
      </c>
      <c r="N9458" s="98" t="str">
        <f>IF(record[[#This Row],[Memo]]="Browser:chrome os:android","平板報工",IF(record[[#This Row],[Memo]]=0,"委外",record[[#This Row],[Memo]]))</f>
        <v>平板報工</v>
      </c>
      <c r="O9458" t="s">
        <v>643</v>
      </c>
      <c r="P9458" t="s">
        <v>141</v>
      </c>
      <c r="Q9458" t="s">
        <v>644</v>
      </c>
      <c r="R9458" t="str">
        <f>IFERROR(VLOOKUP(record[[#This Row],[PCUSTID]],廠商[],2,FALSE),"")</f>
        <v/>
      </c>
      <c r="S9458" t="str">
        <f>VLOOKUP(record[[#This Row],[employeeID]],員工[],2,FALSE)</f>
        <v>蔣梅</v>
      </c>
    </row>
    <row r="9459" spans="6:19" hidden="1" x14ac:dyDescent="0.25">
      <c r="F9459" t="s">
        <v>778</v>
      </c>
      <c r="G9459" t="s">
        <v>418</v>
      </c>
      <c r="H9459" t="str">
        <f>VLOOKUP(record[[#This Row],[ProcessSN]],表格2_7[],2,FALSE)</f>
        <v>30-4118-018-5XX</v>
      </c>
      <c r="I9459" t="str">
        <f>VLOOKUP(record[[#This Row],[ProcessSN]],表格2_7[],3,FALSE)</f>
        <v>#07</v>
      </c>
      <c r="J9459" t="s">
        <v>588</v>
      </c>
      <c r="K9459" s="195">
        <v>45812.437708333331</v>
      </c>
      <c r="L9459">
        <v>48</v>
      </c>
      <c r="M9459">
        <v>0</v>
      </c>
      <c r="N9459" s="98" t="str">
        <f>IF(record[[#This Row],[Memo]]="Browser:chrome os:android","平板報工",IF(record[[#This Row],[Memo]]=0,"委外",record[[#This Row],[Memo]]))</f>
        <v/>
      </c>
      <c r="O9459" t="s">
        <v>58</v>
      </c>
      <c r="P9459" t="s">
        <v>119</v>
      </c>
      <c r="Q9459" t="s">
        <v>58</v>
      </c>
      <c r="R9459" t="str">
        <f>IFERROR(VLOOKUP(record[[#This Row],[PCUSTID]],廠商[],2,FALSE),"")</f>
        <v/>
      </c>
      <c r="S9459" t="str">
        <f>VLOOKUP(record[[#This Row],[employeeID]],員工[],2,FALSE)</f>
        <v>廖俊彥</v>
      </c>
    </row>
    <row r="9460" spans="6:19" hidden="1" x14ac:dyDescent="0.25">
      <c r="F9460" t="s">
        <v>778</v>
      </c>
      <c r="G9460" t="s">
        <v>418</v>
      </c>
      <c r="H9460" t="str">
        <f>VLOOKUP(record[[#This Row],[ProcessSN]],表格2_7[],2,FALSE)</f>
        <v>30-4118-018-5XX</v>
      </c>
      <c r="I9460" t="str">
        <f>VLOOKUP(record[[#This Row],[ProcessSN]],表格2_7[],3,FALSE)</f>
        <v>#07</v>
      </c>
      <c r="J9460" t="s">
        <v>588</v>
      </c>
      <c r="K9460" s="195">
        <v>45812.31013888889</v>
      </c>
      <c r="L9460">
        <v>177</v>
      </c>
      <c r="M9460">
        <v>1</v>
      </c>
      <c r="N9460" s="98" t="str">
        <f>IF(record[[#This Row],[Memo]]="Browser:chrome os:android","平板報工",IF(record[[#This Row],[Memo]]=0,"委外",record[[#This Row],[Memo]]))</f>
        <v/>
      </c>
      <c r="O9460" t="s">
        <v>58</v>
      </c>
      <c r="P9460" t="s">
        <v>135</v>
      </c>
      <c r="Q9460" t="s">
        <v>58</v>
      </c>
      <c r="R9460" t="str">
        <f>IFERROR(VLOOKUP(record[[#This Row],[PCUSTID]],廠商[],2,FALSE),"")</f>
        <v/>
      </c>
      <c r="S9460" t="str">
        <f>VLOOKUP(record[[#This Row],[employeeID]],員工[],2,FALSE)</f>
        <v>阮士文</v>
      </c>
    </row>
    <row r="9461" spans="6:19" hidden="1" x14ac:dyDescent="0.25">
      <c r="F9461" t="s">
        <v>825</v>
      </c>
      <c r="G9461" t="s">
        <v>463</v>
      </c>
      <c r="H9461" t="str">
        <f>VLOOKUP(record[[#This Row],[ProcessSN]],表格2_7[],2,FALSE)</f>
        <v>30-4118-018-XXX</v>
      </c>
      <c r="I9461" t="str">
        <f>VLOOKUP(record[[#This Row],[ProcessSN]],表格2_7[],3,FALSE)</f>
        <v>#00IQC</v>
      </c>
      <c r="J9461" t="s">
        <v>583</v>
      </c>
      <c r="K9461" s="195">
        <v>45811.831782407404</v>
      </c>
      <c r="L9461">
        <v>5200</v>
      </c>
      <c r="M9461">
        <v>0</v>
      </c>
      <c r="N9461" s="98" t="str">
        <f>IF(record[[#This Row],[Memo]]="Browser:chrome os:android","平板報工",IF(record[[#This Row],[Memo]]=0,"委外",record[[#This Row],[Memo]]))</f>
        <v/>
      </c>
      <c r="O9461" t="s">
        <v>58</v>
      </c>
      <c r="P9461" t="s">
        <v>172</v>
      </c>
      <c r="Q9461" t="s">
        <v>58</v>
      </c>
      <c r="R9461" t="str">
        <f>IFERROR(VLOOKUP(record[[#This Row],[PCUSTID]],廠商[],2,FALSE),"")</f>
        <v/>
      </c>
      <c r="S9461" t="str">
        <f>VLOOKUP(record[[#This Row],[employeeID]],員工[],2,FALSE)</f>
        <v>李采玲</v>
      </c>
    </row>
    <row r="9462" spans="6:19" hidden="1" x14ac:dyDescent="0.25">
      <c r="F9462" t="s">
        <v>820</v>
      </c>
      <c r="G9462" t="s">
        <v>424</v>
      </c>
      <c r="H9462" t="str">
        <f>VLOOKUP(record[[#This Row],[ProcessSN]],表格2_7[],2,FALSE)</f>
        <v>30-4118-018-600</v>
      </c>
      <c r="I9462" t="str">
        <f>VLOOKUP(record[[#This Row],[ProcessSN]],表格2_7[],3,FALSE)</f>
        <v>#08IQC</v>
      </c>
      <c r="J9462" t="s">
        <v>583</v>
      </c>
      <c r="K9462" s="195">
        <v>45811.793425925927</v>
      </c>
      <c r="L9462">
        <v>100</v>
      </c>
      <c r="M9462">
        <v>0</v>
      </c>
      <c r="N9462" s="98" t="str">
        <f>IF(record[[#This Row],[Memo]]="Browser:chrome os:android","平板報工",IF(record[[#This Row],[Memo]]=0,"委外",record[[#This Row],[Memo]]))</f>
        <v/>
      </c>
      <c r="O9462" t="s">
        <v>58</v>
      </c>
      <c r="P9462" t="s">
        <v>172</v>
      </c>
      <c r="Q9462" t="s">
        <v>58</v>
      </c>
      <c r="R9462" t="str">
        <f>IFERROR(VLOOKUP(record[[#This Row],[PCUSTID]],廠商[],2,FALSE),"")</f>
        <v/>
      </c>
      <c r="S9462" t="str">
        <f>VLOOKUP(record[[#This Row],[employeeID]],員工[],2,FALSE)</f>
        <v>李采玲</v>
      </c>
    </row>
    <row r="9463" spans="6:19" hidden="1" x14ac:dyDescent="0.25">
      <c r="F9463" t="s">
        <v>818</v>
      </c>
      <c r="G9463" t="s">
        <v>424</v>
      </c>
      <c r="H9463" t="str">
        <f>VLOOKUP(record[[#This Row],[ProcessSN]],表格2_7[],2,FALSE)</f>
        <v>30-4118-018-600</v>
      </c>
      <c r="I9463" t="str">
        <f>VLOOKUP(record[[#This Row],[ProcessSN]],表格2_7[],3,FALSE)</f>
        <v>#08IQC</v>
      </c>
      <c r="J9463" t="s">
        <v>583</v>
      </c>
      <c r="K9463" s="195">
        <v>45811.793298611112</v>
      </c>
      <c r="L9463">
        <v>164</v>
      </c>
      <c r="M9463">
        <v>0</v>
      </c>
      <c r="N9463" s="98" t="str">
        <f>IF(record[[#This Row],[Memo]]="Browser:chrome os:android","平板報工",IF(record[[#This Row],[Memo]]=0,"委外",record[[#This Row],[Memo]]))</f>
        <v/>
      </c>
      <c r="O9463" t="s">
        <v>58</v>
      </c>
      <c r="P9463" t="s">
        <v>172</v>
      </c>
      <c r="Q9463" t="s">
        <v>58</v>
      </c>
      <c r="R9463" t="str">
        <f>IFERROR(VLOOKUP(record[[#This Row],[PCUSTID]],廠商[],2,FALSE),"")</f>
        <v/>
      </c>
      <c r="S9463" t="str">
        <f>VLOOKUP(record[[#This Row],[employeeID]],員工[],2,FALSE)</f>
        <v>李采玲</v>
      </c>
    </row>
    <row r="9464" spans="6:19" hidden="1" x14ac:dyDescent="0.25">
      <c r="F9464" t="s">
        <v>800</v>
      </c>
      <c r="G9464" t="s">
        <v>403</v>
      </c>
      <c r="H9464" t="str">
        <f>VLOOKUP(record[[#This Row],[ProcessSN]],表格2_7[],2,FALSE)</f>
        <v>30-4118-018-550</v>
      </c>
      <c r="I9464" t="str">
        <f>VLOOKUP(record[[#This Row],[ProcessSN]],表格2_7[],3,FALSE)</f>
        <v>#100SHIP</v>
      </c>
      <c r="J9464" t="s">
        <v>600</v>
      </c>
      <c r="K9464" s="195">
        <v>45811.636284722219</v>
      </c>
      <c r="L9464">
        <v>80</v>
      </c>
      <c r="M9464">
        <v>0</v>
      </c>
      <c r="N9464" s="98" t="str">
        <f>IF(record[[#This Row],[Memo]]="Browser:chrome os:android","平板報工",IF(record[[#This Row],[Memo]]=0,"委外",record[[#This Row],[Memo]]))</f>
        <v/>
      </c>
      <c r="O9464" t="s">
        <v>58</v>
      </c>
      <c r="P9464" t="s">
        <v>186</v>
      </c>
      <c r="Q9464" t="s">
        <v>58</v>
      </c>
      <c r="R9464" t="str">
        <f>IFERROR(VLOOKUP(record[[#This Row],[PCUSTID]],廠商[],2,FALSE),"")</f>
        <v/>
      </c>
      <c r="S9464" t="str">
        <f>VLOOKUP(record[[#This Row],[employeeID]],員工[],2,FALSE)</f>
        <v>許文姍</v>
      </c>
    </row>
    <row r="9465" spans="6:19" hidden="1" x14ac:dyDescent="0.25">
      <c r="F9465" t="s">
        <v>810</v>
      </c>
      <c r="G9465" t="s">
        <v>428</v>
      </c>
      <c r="H9465" t="str">
        <f>VLOOKUP(record[[#This Row],[ProcessSN]],表格2_7[],2,FALSE)</f>
        <v>30-4118-018-600</v>
      </c>
      <c r="I9465" t="str">
        <f>VLOOKUP(record[[#This Row],[ProcessSN]],表格2_7[],3,FALSE)</f>
        <v>#100SHIP</v>
      </c>
      <c r="J9465" t="s">
        <v>600</v>
      </c>
      <c r="K9465" s="195">
        <v>45811.635972222219</v>
      </c>
      <c r="L9465">
        <v>3</v>
      </c>
      <c r="M9465">
        <v>0</v>
      </c>
      <c r="N9465" s="98" t="str">
        <f>IF(record[[#This Row],[Memo]]="Browser:chrome os:android","平板報工",IF(record[[#This Row],[Memo]]=0,"委外",record[[#This Row],[Memo]]))</f>
        <v/>
      </c>
      <c r="O9465" t="s">
        <v>58</v>
      </c>
      <c r="P9465" t="s">
        <v>186</v>
      </c>
      <c r="Q9465" t="s">
        <v>58</v>
      </c>
      <c r="R9465" t="str">
        <f>IFERROR(VLOOKUP(record[[#This Row],[PCUSTID]],廠商[],2,FALSE),"")</f>
        <v/>
      </c>
      <c r="S9465" t="str">
        <f>VLOOKUP(record[[#This Row],[employeeID]],員工[],2,FALSE)</f>
        <v>許文姍</v>
      </c>
    </row>
    <row r="9466" spans="6:19" hidden="1" x14ac:dyDescent="0.25">
      <c r="F9466" t="s">
        <v>820</v>
      </c>
      <c r="G9466" t="s">
        <v>423</v>
      </c>
      <c r="H9466" t="str">
        <f>VLOOKUP(record[[#This Row],[ProcessSN]],表格2_7[],2,FALSE)</f>
        <v>30-4118-018-600</v>
      </c>
      <c r="I9466" t="str">
        <f>VLOOKUP(record[[#This Row],[ProcessSN]],表格2_7[],3,FALSE)</f>
        <v>#08RCV</v>
      </c>
      <c r="J9466" t="s">
        <v>591</v>
      </c>
      <c r="K9466" s="195">
        <v>45811.626377314817</v>
      </c>
      <c r="L9466">
        <v>100</v>
      </c>
      <c r="M9466">
        <v>0</v>
      </c>
      <c r="N9466" s="98" t="str">
        <f>IF(record[[#This Row],[Memo]]="Browser:chrome os:android","平板報工",IF(record[[#This Row],[Memo]]=0,"委外",record[[#This Row],[Memo]]))</f>
        <v/>
      </c>
      <c r="O9466" t="s">
        <v>58</v>
      </c>
      <c r="P9466" t="s">
        <v>186</v>
      </c>
      <c r="Q9466" t="s">
        <v>58</v>
      </c>
      <c r="R9466" t="str">
        <f>IFERROR(VLOOKUP(record[[#This Row],[PCUSTID]],廠商[],2,FALSE),"")</f>
        <v/>
      </c>
      <c r="S9466" t="str">
        <f>VLOOKUP(record[[#This Row],[employeeID]],員工[],2,FALSE)</f>
        <v>許文姍</v>
      </c>
    </row>
    <row r="9467" spans="6:19" hidden="1" x14ac:dyDescent="0.25">
      <c r="F9467" t="s">
        <v>818</v>
      </c>
      <c r="G9467" t="s">
        <v>423</v>
      </c>
      <c r="H9467" t="str">
        <f>VLOOKUP(record[[#This Row],[ProcessSN]],表格2_7[],2,FALSE)</f>
        <v>30-4118-018-600</v>
      </c>
      <c r="I9467" t="str">
        <f>VLOOKUP(record[[#This Row],[ProcessSN]],表格2_7[],3,FALSE)</f>
        <v>#08RCV</v>
      </c>
      <c r="J9467" t="s">
        <v>591</v>
      </c>
      <c r="K9467" s="195">
        <v>45811.625381944446</v>
      </c>
      <c r="L9467">
        <v>164</v>
      </c>
      <c r="M9467">
        <v>0</v>
      </c>
      <c r="N9467" s="98" t="str">
        <f>IF(record[[#This Row],[Memo]]="Browser:chrome os:android","平板報工",IF(record[[#This Row],[Memo]]=0,"委外",record[[#This Row],[Memo]]))</f>
        <v/>
      </c>
      <c r="O9467" t="s">
        <v>58</v>
      </c>
      <c r="P9467" t="s">
        <v>186</v>
      </c>
      <c r="Q9467" t="s">
        <v>58</v>
      </c>
      <c r="R9467" t="str">
        <f>IFERROR(VLOOKUP(record[[#This Row],[PCUSTID]],廠商[],2,FALSE),"")</f>
        <v/>
      </c>
      <c r="S9467" t="str">
        <f>VLOOKUP(record[[#This Row],[employeeID]],員工[],2,FALSE)</f>
        <v>許文姍</v>
      </c>
    </row>
    <row r="9468" spans="6:19" hidden="1" x14ac:dyDescent="0.25">
      <c r="F9468" t="s">
        <v>777</v>
      </c>
      <c r="G9468" t="s">
        <v>451</v>
      </c>
      <c r="H9468" t="str">
        <f>VLOOKUP(record[[#This Row],[ProcessSN]],表格2_7[],2,FALSE)</f>
        <v>30-4118-018-6XX</v>
      </c>
      <c r="I9468" t="str">
        <f>VLOOKUP(record[[#This Row],[ProcessSN]],表格2_7[],3,FALSE)</f>
        <v>#07</v>
      </c>
      <c r="J9468" t="s">
        <v>588</v>
      </c>
      <c r="K9468" s="195">
        <v>45811.445601851854</v>
      </c>
      <c r="L9468">
        <v>21</v>
      </c>
      <c r="M9468">
        <v>1</v>
      </c>
      <c r="N9468" s="98" t="str">
        <f>IF(record[[#This Row],[Memo]]="Browser:chrome os:android","平板報工",IF(record[[#This Row],[Memo]]=0,"委外",record[[#This Row],[Memo]]))</f>
        <v/>
      </c>
      <c r="O9468" t="s">
        <v>58</v>
      </c>
      <c r="P9468" t="s">
        <v>119</v>
      </c>
      <c r="Q9468" t="s">
        <v>58</v>
      </c>
      <c r="R9468" t="str">
        <f>IFERROR(VLOOKUP(record[[#This Row],[PCUSTID]],廠商[],2,FALSE),"")</f>
        <v/>
      </c>
      <c r="S9468" t="str">
        <f>VLOOKUP(record[[#This Row],[employeeID]],員工[],2,FALSE)</f>
        <v>廖俊彥</v>
      </c>
    </row>
    <row r="9469" spans="6:19" hidden="1" x14ac:dyDescent="0.25">
      <c r="F9469" t="s">
        <v>825</v>
      </c>
      <c r="G9469" t="s">
        <v>462</v>
      </c>
      <c r="H9469" t="str">
        <f>VLOOKUP(record[[#This Row],[ProcessSN]],表格2_7[],2,FALSE)</f>
        <v>30-4118-018-XXX</v>
      </c>
      <c r="I9469" t="str">
        <f>VLOOKUP(record[[#This Row],[ProcessSN]],表格2_7[],3,FALSE)</f>
        <v>#00PICK</v>
      </c>
      <c r="J9469" t="s">
        <v>582</v>
      </c>
      <c r="K9469" s="195">
        <v>45811.418356481481</v>
      </c>
      <c r="L9469">
        <v>5200</v>
      </c>
      <c r="M9469">
        <v>0</v>
      </c>
      <c r="N9469" s="98" t="str">
        <f>IF(record[[#This Row],[Memo]]="Browser:chrome os:android","平板報工",IF(record[[#This Row],[Memo]]=0,"委外",record[[#This Row],[Memo]]))</f>
        <v/>
      </c>
      <c r="O9469" t="s">
        <v>58</v>
      </c>
      <c r="P9469" t="s">
        <v>113</v>
      </c>
      <c r="Q9469" t="s">
        <v>58</v>
      </c>
      <c r="R9469" t="str">
        <f>IFERROR(VLOOKUP(record[[#This Row],[PCUSTID]],廠商[],2,FALSE),"")</f>
        <v/>
      </c>
      <c r="S9469" t="str">
        <f>VLOOKUP(record[[#This Row],[employeeID]],員工[],2,FALSE)</f>
        <v>王奕蓁</v>
      </c>
    </row>
    <row r="9470" spans="6:19" hidden="1" x14ac:dyDescent="0.25">
      <c r="F9470" t="s">
        <v>777</v>
      </c>
      <c r="G9470" t="s">
        <v>451</v>
      </c>
      <c r="H9470" t="str">
        <f>VLOOKUP(record[[#This Row],[ProcessSN]],表格2_7[],2,FALSE)</f>
        <v>30-4118-018-6XX</v>
      </c>
      <c r="I9470" t="str">
        <f>VLOOKUP(record[[#This Row],[ProcessSN]],表格2_7[],3,FALSE)</f>
        <v>#07</v>
      </c>
      <c r="J9470" t="s">
        <v>588</v>
      </c>
      <c r="K9470" s="195">
        <v>45810.972743055558</v>
      </c>
      <c r="L9470">
        <v>80</v>
      </c>
      <c r="M9470">
        <v>4</v>
      </c>
      <c r="N9470" s="98" t="str">
        <f>IF(record[[#This Row],[Memo]]="Browser:chrome os:android","平板報工",IF(record[[#This Row],[Memo]]=0,"委外",record[[#This Row],[Memo]]))</f>
        <v/>
      </c>
      <c r="O9470" t="s">
        <v>58</v>
      </c>
      <c r="P9470" t="s">
        <v>89</v>
      </c>
      <c r="Q9470" t="s">
        <v>58</v>
      </c>
      <c r="R9470" t="str">
        <f>IFERROR(VLOOKUP(record[[#This Row],[PCUSTID]],廠商[],2,FALSE),"")</f>
        <v/>
      </c>
      <c r="S9470" t="str">
        <f>VLOOKUP(record[[#This Row],[employeeID]],員工[],2,FALSE)</f>
        <v>李美蓮</v>
      </c>
    </row>
    <row r="9471" spans="6:19" hidden="1" x14ac:dyDescent="0.25">
      <c r="F9471" t="s">
        <v>822</v>
      </c>
      <c r="G9471" t="s">
        <v>422</v>
      </c>
      <c r="H9471" t="str">
        <f>VLOOKUP(record[[#This Row],[ProcessSN]],表格2_7[],2,FALSE)</f>
        <v>30-4118-018-600</v>
      </c>
      <c r="I9471" t="str">
        <f>VLOOKUP(record[[#This Row],[ProcessSN]],表格2_7[],3,FALSE)</f>
        <v>#08</v>
      </c>
      <c r="J9471" t="s">
        <v>597</v>
      </c>
      <c r="K9471" s="195">
        <v>45810.452303240738</v>
      </c>
      <c r="L9471">
        <v>164</v>
      </c>
      <c r="M9471">
        <v>0</v>
      </c>
      <c r="N9471" s="98" t="str">
        <f>IF(record[[#This Row],[Memo]]="Browser:chrome os:android","平板報工",IF(record[[#This Row],[Memo]]=0,"委外",record[[#This Row],[Memo]]))</f>
        <v>委外</v>
      </c>
      <c r="P9471" t="s">
        <v>186</v>
      </c>
      <c r="Q9471" t="s">
        <v>287</v>
      </c>
      <c r="R9471" t="str">
        <f>IFERROR(VLOOKUP(record[[#This Row],[PCUSTID]],廠商[],2,FALSE),"")</f>
        <v>泉盛</v>
      </c>
      <c r="S9471" t="str">
        <f>VLOOKUP(record[[#This Row],[employeeID]],員工[],2,FALSE)</f>
        <v>許文姍</v>
      </c>
    </row>
    <row r="9472" spans="6:19" hidden="1" x14ac:dyDescent="0.25">
      <c r="F9472" t="s">
        <v>822</v>
      </c>
      <c r="G9472" t="s">
        <v>421</v>
      </c>
      <c r="H9472" t="str">
        <f>VLOOKUP(record[[#This Row],[ProcessSN]],表格2_7[],2,FALSE)</f>
        <v>30-4118-018-600</v>
      </c>
      <c r="I9472" t="str">
        <f>VLOOKUP(record[[#This Row],[ProcessSN]],表格2_7[],3,FALSE)</f>
        <v>#08PICK</v>
      </c>
      <c r="J9472" t="s">
        <v>582</v>
      </c>
      <c r="K9472" s="195">
        <v>45810.435960648145</v>
      </c>
      <c r="L9472">
        <v>164</v>
      </c>
      <c r="M9472">
        <v>0</v>
      </c>
      <c r="N9472" s="98" t="str">
        <f>IF(record[[#This Row],[Memo]]="Browser:chrome os:android","平板報工",IF(record[[#This Row],[Memo]]=0,"委外",record[[#This Row],[Memo]]))</f>
        <v/>
      </c>
      <c r="O9472" t="s">
        <v>58</v>
      </c>
      <c r="P9472" t="s">
        <v>113</v>
      </c>
      <c r="Q9472" t="s">
        <v>58</v>
      </c>
      <c r="R9472" t="str">
        <f>IFERROR(VLOOKUP(record[[#This Row],[PCUSTID]],廠商[],2,FALSE),"")</f>
        <v/>
      </c>
      <c r="S9472" t="str">
        <f>VLOOKUP(record[[#This Row],[employeeID]],員工[],2,FALSE)</f>
        <v>王奕蓁</v>
      </c>
    </row>
    <row r="9473" spans="6:19" hidden="1" x14ac:dyDescent="0.25">
      <c r="F9473" t="s">
        <v>777</v>
      </c>
      <c r="G9473" t="s">
        <v>453</v>
      </c>
      <c r="H9473" t="str">
        <f>VLOOKUP(record[[#This Row],[ProcessSN]],表格2_7[],2,FALSE)</f>
        <v>30-4118-018-6XX</v>
      </c>
      <c r="I9473" t="str">
        <f>VLOOKUP(record[[#This Row],[ProcessSN]],表格2_7[],3,FALSE)</f>
        <v>#07STOCK</v>
      </c>
      <c r="J9473" t="s">
        <v>592</v>
      </c>
      <c r="K9473" s="195">
        <v>45810.406851851854</v>
      </c>
      <c r="L9473">
        <v>164</v>
      </c>
      <c r="M9473">
        <v>0</v>
      </c>
      <c r="N9473" s="98" t="str">
        <f>IF(record[[#This Row],[Memo]]="Browser:chrome os:android","平板報工",IF(record[[#This Row],[Memo]]=0,"委外",record[[#This Row],[Memo]]))</f>
        <v/>
      </c>
      <c r="O9473" t="s">
        <v>58</v>
      </c>
      <c r="P9473" t="s">
        <v>113</v>
      </c>
      <c r="Q9473" t="s">
        <v>58</v>
      </c>
      <c r="R9473" t="str">
        <f>IFERROR(VLOOKUP(record[[#This Row],[PCUSTID]],廠商[],2,FALSE),"")</f>
        <v/>
      </c>
      <c r="S9473" t="str">
        <f>VLOOKUP(record[[#This Row],[employeeID]],員工[],2,FALSE)</f>
        <v>王奕蓁</v>
      </c>
    </row>
    <row r="9474" spans="6:19" hidden="1" x14ac:dyDescent="0.25">
      <c r="F9474" t="s">
        <v>777</v>
      </c>
      <c r="G9474" t="s">
        <v>452</v>
      </c>
      <c r="H9474" t="str">
        <f>VLOOKUP(record[[#This Row],[ProcessSN]],表格2_7[],2,FALSE)</f>
        <v>30-4118-018-6XX</v>
      </c>
      <c r="I9474" t="str">
        <f>VLOOKUP(record[[#This Row],[ProcessSN]],表格2_7[],3,FALSE)</f>
        <v>#07QC</v>
      </c>
      <c r="J9474" t="s">
        <v>589</v>
      </c>
      <c r="K9474" s="195">
        <v>45810.402314814812</v>
      </c>
      <c r="L9474">
        <v>0</v>
      </c>
      <c r="M9474">
        <v>3</v>
      </c>
      <c r="N9474" s="98" t="str">
        <f>IF(record[[#This Row],[Memo]]="Browser:chrome os:android","平板報工",IF(record[[#This Row],[Memo]]=0,"委外",record[[#This Row],[Memo]]))</f>
        <v>平板報工</v>
      </c>
      <c r="O9474" t="s">
        <v>643</v>
      </c>
      <c r="P9474" t="s">
        <v>141</v>
      </c>
      <c r="Q9474" t="s">
        <v>644</v>
      </c>
      <c r="R9474" t="str">
        <f>IFERROR(VLOOKUP(record[[#This Row],[PCUSTID]],廠商[],2,FALSE),"")</f>
        <v/>
      </c>
      <c r="S9474" t="str">
        <f>VLOOKUP(record[[#This Row],[employeeID]],員工[],2,FALSE)</f>
        <v>蔣梅</v>
      </c>
    </row>
    <row r="9475" spans="6:19" hidden="1" x14ac:dyDescent="0.25">
      <c r="F9475" t="s">
        <v>777</v>
      </c>
      <c r="G9475" t="s">
        <v>452</v>
      </c>
      <c r="H9475" t="str">
        <f>VLOOKUP(record[[#This Row],[ProcessSN]],表格2_7[],2,FALSE)</f>
        <v>30-4118-018-6XX</v>
      </c>
      <c r="I9475" t="str">
        <f>VLOOKUP(record[[#This Row],[ProcessSN]],表格2_7[],3,FALSE)</f>
        <v>#07QC</v>
      </c>
      <c r="J9475" t="s">
        <v>589</v>
      </c>
      <c r="K9475" s="195">
        <v>45810.402013888888</v>
      </c>
      <c r="L9475">
        <v>164</v>
      </c>
      <c r="M9475">
        <v>0</v>
      </c>
      <c r="N9475" s="98" t="str">
        <f>IF(record[[#This Row],[Memo]]="Browser:chrome os:android","平板報工",IF(record[[#This Row],[Memo]]=0,"委外",record[[#This Row],[Memo]]))</f>
        <v>平板報工</v>
      </c>
      <c r="O9475" t="s">
        <v>643</v>
      </c>
      <c r="P9475" t="s">
        <v>141</v>
      </c>
      <c r="Q9475" t="s">
        <v>644</v>
      </c>
      <c r="R9475" t="str">
        <f>IFERROR(VLOOKUP(record[[#This Row],[PCUSTID]],廠商[],2,FALSE),"")</f>
        <v/>
      </c>
      <c r="S9475" t="str">
        <f>VLOOKUP(record[[#This Row],[employeeID]],員工[],2,FALSE)</f>
        <v>蔣梅</v>
      </c>
    </row>
    <row r="9476" spans="6:19" hidden="1" x14ac:dyDescent="0.25">
      <c r="F9476" t="s">
        <v>777</v>
      </c>
      <c r="G9476" t="s">
        <v>451</v>
      </c>
      <c r="H9476" t="str">
        <f>VLOOKUP(record[[#This Row],[ProcessSN]],表格2_7[],2,FALSE)</f>
        <v>30-4118-018-6XX</v>
      </c>
      <c r="I9476" t="str">
        <f>VLOOKUP(record[[#This Row],[ProcessSN]],表格2_7[],3,FALSE)</f>
        <v>#07</v>
      </c>
      <c r="J9476" t="s">
        <v>588</v>
      </c>
      <c r="K9476" s="195">
        <v>45806.961122685185</v>
      </c>
      <c r="L9476">
        <v>136</v>
      </c>
      <c r="M9476">
        <v>0</v>
      </c>
      <c r="N9476" s="98" t="str">
        <f>IF(record[[#This Row],[Memo]]="Browser:chrome os:android","平板報工",IF(record[[#This Row],[Memo]]=0,"委外",record[[#This Row],[Memo]]))</f>
        <v/>
      </c>
      <c r="O9476" t="s">
        <v>58</v>
      </c>
      <c r="P9476" t="s">
        <v>89</v>
      </c>
      <c r="Q9476" t="s">
        <v>58</v>
      </c>
      <c r="R9476" t="str">
        <f>IFERROR(VLOOKUP(record[[#This Row],[PCUSTID]],廠商[],2,FALSE),"")</f>
        <v/>
      </c>
      <c r="S9476" t="str">
        <f>VLOOKUP(record[[#This Row],[employeeID]],員工[],2,FALSE)</f>
        <v>李美蓮</v>
      </c>
    </row>
    <row r="9477" spans="6:19" hidden="1" x14ac:dyDescent="0.25">
      <c r="F9477" t="s">
        <v>777</v>
      </c>
      <c r="G9477" t="s">
        <v>451</v>
      </c>
      <c r="H9477" t="str">
        <f>VLOOKUP(record[[#This Row],[ProcessSN]],表格2_7[],2,FALSE)</f>
        <v>30-4118-018-6XX</v>
      </c>
      <c r="I9477" t="str">
        <f>VLOOKUP(record[[#This Row],[ProcessSN]],表格2_7[],3,FALSE)</f>
        <v>#07</v>
      </c>
      <c r="J9477" t="s">
        <v>588</v>
      </c>
      <c r="K9477" s="195">
        <v>45806.637743055559</v>
      </c>
      <c r="L9477">
        <v>122</v>
      </c>
      <c r="M9477">
        <v>0</v>
      </c>
      <c r="N9477" s="98" t="str">
        <f>IF(record[[#This Row],[Memo]]="Browser:chrome os:android","平板報工",IF(record[[#This Row],[Memo]]=0,"委外",record[[#This Row],[Memo]]))</f>
        <v/>
      </c>
      <c r="O9477" t="s">
        <v>58</v>
      </c>
      <c r="P9477" t="s">
        <v>119</v>
      </c>
      <c r="Q9477" t="s">
        <v>58</v>
      </c>
      <c r="R9477" t="str">
        <f>IFERROR(VLOOKUP(record[[#This Row],[PCUSTID]],廠商[],2,FALSE),"")</f>
        <v/>
      </c>
      <c r="S9477" t="str">
        <f>VLOOKUP(record[[#This Row],[employeeID]],員工[],2,FALSE)</f>
        <v>廖俊彥</v>
      </c>
    </row>
    <row r="9478" spans="6:19" hidden="1" x14ac:dyDescent="0.25">
      <c r="F9478" t="s">
        <v>797</v>
      </c>
      <c r="G9478" t="s">
        <v>400</v>
      </c>
      <c r="H9478" t="str">
        <f>VLOOKUP(record[[#This Row],[ProcessSN]],表格2_7[],2,FALSE)</f>
        <v>30-4118-018-550</v>
      </c>
      <c r="I9478" t="str">
        <f>VLOOKUP(record[[#This Row],[ProcessSN]],表格2_7[],3,FALSE)</f>
        <v>#100</v>
      </c>
      <c r="J9478" t="s">
        <v>598</v>
      </c>
      <c r="K9478" s="195">
        <v>45806.625520833331</v>
      </c>
      <c r="L9478">
        <v>191</v>
      </c>
      <c r="M9478">
        <v>0</v>
      </c>
      <c r="N9478" s="98" t="str">
        <f>IF(record[[#This Row],[Memo]]="Browser:chrome os:android","平板報工",IF(record[[#This Row],[Memo]]=0,"委外",record[[#This Row],[Memo]]))</f>
        <v>平板報工</v>
      </c>
      <c r="O9478" t="s">
        <v>643</v>
      </c>
      <c r="P9478" t="s">
        <v>141</v>
      </c>
      <c r="Q9478" t="s">
        <v>644</v>
      </c>
      <c r="R9478" t="str">
        <f>IFERROR(VLOOKUP(record[[#This Row],[PCUSTID]],廠商[],2,FALSE),"")</f>
        <v/>
      </c>
      <c r="S9478" t="str">
        <f>VLOOKUP(record[[#This Row],[employeeID]],員工[],2,FALSE)</f>
        <v>蔣梅</v>
      </c>
    </row>
    <row r="9479" spans="6:19" hidden="1" x14ac:dyDescent="0.25">
      <c r="F9479" t="s">
        <v>812</v>
      </c>
      <c r="G9479" t="s">
        <v>400</v>
      </c>
      <c r="H9479" t="str">
        <f>VLOOKUP(record[[#This Row],[ProcessSN]],表格2_7[],2,FALSE)</f>
        <v>30-4118-018-550</v>
      </c>
      <c r="I9479" t="str">
        <f>VLOOKUP(record[[#This Row],[ProcessSN]],表格2_7[],3,FALSE)</f>
        <v>#100</v>
      </c>
      <c r="J9479" t="s">
        <v>598</v>
      </c>
      <c r="K9479" s="195">
        <v>45806.625277777777</v>
      </c>
      <c r="L9479">
        <v>0</v>
      </c>
      <c r="M9479">
        <v>45</v>
      </c>
      <c r="N9479" s="98" t="str">
        <f>IF(record[[#This Row],[Memo]]="Browser:chrome os:android","平板報工",IF(record[[#This Row],[Memo]]=0,"委外",record[[#This Row],[Memo]]))</f>
        <v>平板報工</v>
      </c>
      <c r="O9479" t="s">
        <v>643</v>
      </c>
      <c r="P9479" t="s">
        <v>141</v>
      </c>
      <c r="Q9479" t="s">
        <v>644</v>
      </c>
      <c r="R9479" t="str">
        <f>IFERROR(VLOOKUP(record[[#This Row],[PCUSTID]],廠商[],2,FALSE),"")</f>
        <v/>
      </c>
      <c r="S9479" t="str">
        <f>VLOOKUP(record[[#This Row],[employeeID]],員工[],2,FALSE)</f>
        <v>蔣梅</v>
      </c>
    </row>
    <row r="9480" spans="6:19" hidden="1" x14ac:dyDescent="0.25">
      <c r="F9480" t="s">
        <v>812</v>
      </c>
      <c r="G9480" t="s">
        <v>400</v>
      </c>
      <c r="H9480" t="str">
        <f>VLOOKUP(record[[#This Row],[ProcessSN]],表格2_7[],2,FALSE)</f>
        <v>30-4118-018-550</v>
      </c>
      <c r="I9480" t="str">
        <f>VLOOKUP(record[[#This Row],[ProcessSN]],表格2_7[],3,FALSE)</f>
        <v>#100</v>
      </c>
      <c r="J9480" t="s">
        <v>598</v>
      </c>
      <c r="K9480" s="195">
        <v>45806.625034722223</v>
      </c>
      <c r="L9480">
        <v>43</v>
      </c>
      <c r="M9480">
        <v>0</v>
      </c>
      <c r="N9480" s="98" t="str">
        <f>IF(record[[#This Row],[Memo]]="Browser:chrome os:android","平板報工",IF(record[[#This Row],[Memo]]=0,"委外",record[[#This Row],[Memo]]))</f>
        <v>平板報工</v>
      </c>
      <c r="O9480" t="s">
        <v>643</v>
      </c>
      <c r="P9480" t="s">
        <v>141</v>
      </c>
      <c r="Q9480" t="s">
        <v>644</v>
      </c>
      <c r="R9480" t="str">
        <f>IFERROR(VLOOKUP(record[[#This Row],[PCUSTID]],廠商[],2,FALSE),"")</f>
        <v/>
      </c>
      <c r="S9480" t="str">
        <f>VLOOKUP(record[[#This Row],[employeeID]],員工[],2,FALSE)</f>
        <v>蔣梅</v>
      </c>
    </row>
    <row r="9481" spans="6:19" hidden="1" x14ac:dyDescent="0.25">
      <c r="F9481" t="s">
        <v>811</v>
      </c>
      <c r="G9481" t="s">
        <v>400</v>
      </c>
      <c r="H9481" t="str">
        <f>VLOOKUP(record[[#This Row],[ProcessSN]],表格2_7[],2,FALSE)</f>
        <v>30-4118-018-550</v>
      </c>
      <c r="I9481" t="str">
        <f>VLOOKUP(record[[#This Row],[ProcessSN]],表格2_7[],3,FALSE)</f>
        <v>#100</v>
      </c>
      <c r="J9481" t="s">
        <v>598</v>
      </c>
      <c r="K9481" s="195">
        <v>45806.624351851853</v>
      </c>
      <c r="L9481">
        <v>106</v>
      </c>
      <c r="M9481">
        <v>0</v>
      </c>
      <c r="N9481" s="98" t="str">
        <f>IF(record[[#This Row],[Memo]]="Browser:chrome os:android","平板報工",IF(record[[#This Row],[Memo]]=0,"委外",record[[#This Row],[Memo]]))</f>
        <v>平板報工</v>
      </c>
      <c r="O9481" t="s">
        <v>643</v>
      </c>
      <c r="P9481" t="s">
        <v>141</v>
      </c>
      <c r="Q9481" t="s">
        <v>644</v>
      </c>
      <c r="R9481" t="str">
        <f>IFERROR(VLOOKUP(record[[#This Row],[PCUSTID]],廠商[],2,FALSE),"")</f>
        <v/>
      </c>
      <c r="S9481" t="str">
        <f>VLOOKUP(record[[#This Row],[employeeID]],員工[],2,FALSE)</f>
        <v>蔣梅</v>
      </c>
    </row>
    <row r="9482" spans="6:19" hidden="1" x14ac:dyDescent="0.25">
      <c r="F9482" t="s">
        <v>820</v>
      </c>
      <c r="G9482" t="s">
        <v>422</v>
      </c>
      <c r="H9482" t="str">
        <f>VLOOKUP(record[[#This Row],[ProcessSN]],表格2_7[],2,FALSE)</f>
        <v>30-4118-018-600</v>
      </c>
      <c r="I9482" t="str">
        <f>VLOOKUP(record[[#This Row],[ProcessSN]],表格2_7[],3,FALSE)</f>
        <v>#08</v>
      </c>
      <c r="J9482" t="s">
        <v>597</v>
      </c>
      <c r="K9482" s="195">
        <v>45806.616076388891</v>
      </c>
      <c r="L9482">
        <v>147</v>
      </c>
      <c r="M9482">
        <v>0</v>
      </c>
      <c r="N9482" s="98" t="str">
        <f>IF(record[[#This Row],[Memo]]="Browser:chrome os:android","平板報工",IF(record[[#This Row],[Memo]]=0,"委外",record[[#This Row],[Memo]]))</f>
        <v>委外</v>
      </c>
      <c r="P9482" t="s">
        <v>186</v>
      </c>
      <c r="Q9482" t="s">
        <v>287</v>
      </c>
      <c r="R9482" t="str">
        <f>IFERROR(VLOOKUP(record[[#This Row],[PCUSTID]],廠商[],2,FALSE),"")</f>
        <v>泉盛</v>
      </c>
      <c r="S9482" t="str">
        <f>VLOOKUP(record[[#This Row],[employeeID]],員工[],2,FALSE)</f>
        <v>許文姍</v>
      </c>
    </row>
    <row r="9483" spans="6:19" hidden="1" x14ac:dyDescent="0.25">
      <c r="F9483" t="s">
        <v>797</v>
      </c>
      <c r="G9483" t="s">
        <v>400</v>
      </c>
      <c r="H9483" t="str">
        <f>VLOOKUP(record[[#This Row],[ProcessSN]],表格2_7[],2,FALSE)</f>
        <v>30-4118-018-550</v>
      </c>
      <c r="I9483" t="str">
        <f>VLOOKUP(record[[#This Row],[ProcessSN]],表格2_7[],3,FALSE)</f>
        <v>#100</v>
      </c>
      <c r="J9483" t="s">
        <v>598</v>
      </c>
      <c r="K9483" s="195">
        <v>45806.600775462961</v>
      </c>
      <c r="L9483">
        <v>0</v>
      </c>
      <c r="M9483">
        <v>-191</v>
      </c>
      <c r="N9483" s="98" t="str">
        <f>IF(record[[#This Row],[Memo]]="Browser:chrome os:android","平板報工",IF(record[[#This Row],[Memo]]=0,"委外",record[[#This Row],[Memo]]))</f>
        <v>覆回</v>
      </c>
      <c r="O9483" t="s">
        <v>682</v>
      </c>
      <c r="P9483" t="s">
        <v>65</v>
      </c>
      <c r="Q9483" t="s">
        <v>58</v>
      </c>
      <c r="R9483" t="str">
        <f>IFERROR(VLOOKUP(record[[#This Row],[PCUSTID]],廠商[],2,FALSE),"")</f>
        <v/>
      </c>
      <c r="S9483" t="str">
        <f>VLOOKUP(record[[#This Row],[employeeID]],員工[],2,FALSE)</f>
        <v>蘇進昌</v>
      </c>
    </row>
    <row r="9484" spans="6:19" hidden="1" x14ac:dyDescent="0.25">
      <c r="F9484" t="s">
        <v>820</v>
      </c>
      <c r="G9484" t="s">
        <v>421</v>
      </c>
      <c r="H9484" t="str">
        <f>VLOOKUP(record[[#This Row],[ProcessSN]],表格2_7[],2,FALSE)</f>
        <v>30-4118-018-600</v>
      </c>
      <c r="I9484" t="str">
        <f>VLOOKUP(record[[#This Row],[ProcessSN]],表格2_7[],3,FALSE)</f>
        <v>#08PICK</v>
      </c>
      <c r="J9484" t="s">
        <v>582</v>
      </c>
      <c r="K9484" s="195">
        <v>45806.436793981484</v>
      </c>
      <c r="L9484">
        <v>147</v>
      </c>
      <c r="M9484">
        <v>0</v>
      </c>
      <c r="N9484" s="98" t="str">
        <f>IF(record[[#This Row],[Memo]]="Browser:chrome os:android","平板報工",IF(record[[#This Row],[Memo]]=0,"委外",record[[#This Row],[Memo]]))</f>
        <v/>
      </c>
      <c r="O9484" t="s">
        <v>58</v>
      </c>
      <c r="P9484" t="s">
        <v>113</v>
      </c>
      <c r="Q9484" t="s">
        <v>58</v>
      </c>
      <c r="R9484" t="str">
        <f>IFERROR(VLOOKUP(record[[#This Row],[PCUSTID]],廠商[],2,FALSE),"")</f>
        <v/>
      </c>
      <c r="S9484" t="str">
        <f>VLOOKUP(record[[#This Row],[employeeID]],員工[],2,FALSE)</f>
        <v>王奕蓁</v>
      </c>
    </row>
    <row r="9485" spans="6:19" hidden="1" x14ac:dyDescent="0.25">
      <c r="F9485" t="s">
        <v>777</v>
      </c>
      <c r="G9485" t="s">
        <v>453</v>
      </c>
      <c r="H9485" t="str">
        <f>VLOOKUP(record[[#This Row],[ProcessSN]],表格2_7[],2,FALSE)</f>
        <v>30-4118-018-6XX</v>
      </c>
      <c r="I9485" t="str">
        <f>VLOOKUP(record[[#This Row],[ProcessSN]],表格2_7[],3,FALSE)</f>
        <v>#07STOCK</v>
      </c>
      <c r="J9485" t="s">
        <v>592</v>
      </c>
      <c r="K9485" s="195">
        <v>45806.436180555553</v>
      </c>
      <c r="L9485">
        <v>147</v>
      </c>
      <c r="M9485">
        <v>0</v>
      </c>
      <c r="N9485" s="98" t="str">
        <f>IF(record[[#This Row],[Memo]]="Browser:chrome os:android","平板報工",IF(record[[#This Row],[Memo]]=0,"委外",record[[#This Row],[Memo]]))</f>
        <v/>
      </c>
      <c r="O9485" t="s">
        <v>58</v>
      </c>
      <c r="P9485" t="s">
        <v>113</v>
      </c>
      <c r="Q9485" t="s">
        <v>58</v>
      </c>
      <c r="R9485" t="str">
        <f>IFERROR(VLOOKUP(record[[#This Row],[PCUSTID]],廠商[],2,FALSE),"")</f>
        <v/>
      </c>
      <c r="S9485" t="str">
        <f>VLOOKUP(record[[#This Row],[employeeID]],員工[],2,FALSE)</f>
        <v>王奕蓁</v>
      </c>
    </row>
    <row r="9486" spans="6:19" hidden="1" x14ac:dyDescent="0.25">
      <c r="F9486" t="s">
        <v>777</v>
      </c>
      <c r="G9486" t="s">
        <v>452</v>
      </c>
      <c r="H9486" t="str">
        <f>VLOOKUP(record[[#This Row],[ProcessSN]],表格2_7[],2,FALSE)</f>
        <v>30-4118-018-6XX</v>
      </c>
      <c r="I9486" t="str">
        <f>VLOOKUP(record[[#This Row],[ProcessSN]],表格2_7[],3,FALSE)</f>
        <v>#07QC</v>
      </c>
      <c r="J9486" t="s">
        <v>589</v>
      </c>
      <c r="K9486" s="195">
        <v>45806.374456018515</v>
      </c>
      <c r="L9486">
        <v>0</v>
      </c>
      <c r="M9486">
        <v>1</v>
      </c>
      <c r="N9486" s="98" t="str">
        <f>IF(record[[#This Row],[Memo]]="Browser:chrome os:android","平板報工",IF(record[[#This Row],[Memo]]=0,"委外",record[[#This Row],[Memo]]))</f>
        <v>平板報工</v>
      </c>
      <c r="O9486" t="s">
        <v>643</v>
      </c>
      <c r="P9486" t="s">
        <v>141</v>
      </c>
      <c r="Q9486" t="s">
        <v>644</v>
      </c>
      <c r="R9486" t="str">
        <f>IFERROR(VLOOKUP(record[[#This Row],[PCUSTID]],廠商[],2,FALSE),"")</f>
        <v/>
      </c>
      <c r="S9486" t="str">
        <f>VLOOKUP(record[[#This Row],[employeeID]],員工[],2,FALSE)</f>
        <v>蔣梅</v>
      </c>
    </row>
    <row r="9487" spans="6:19" hidden="1" x14ac:dyDescent="0.25">
      <c r="F9487" t="s">
        <v>777</v>
      </c>
      <c r="G9487" t="s">
        <v>452</v>
      </c>
      <c r="H9487" t="str">
        <f>VLOOKUP(record[[#This Row],[ProcessSN]],表格2_7[],2,FALSE)</f>
        <v>30-4118-018-6XX</v>
      </c>
      <c r="I9487" t="str">
        <f>VLOOKUP(record[[#This Row],[ProcessSN]],表格2_7[],3,FALSE)</f>
        <v>#07QC</v>
      </c>
      <c r="J9487" t="s">
        <v>589</v>
      </c>
      <c r="K9487" s="195">
        <v>45806.374236111114</v>
      </c>
      <c r="L9487">
        <v>147</v>
      </c>
      <c r="M9487">
        <v>0</v>
      </c>
      <c r="N9487" s="98" t="str">
        <f>IF(record[[#This Row],[Memo]]="Browser:chrome os:android","平板報工",IF(record[[#This Row],[Memo]]=0,"委外",record[[#This Row],[Memo]]))</f>
        <v>平板報工</v>
      </c>
      <c r="O9487" t="s">
        <v>643</v>
      </c>
      <c r="P9487" t="s">
        <v>141</v>
      </c>
      <c r="Q9487" t="s">
        <v>644</v>
      </c>
      <c r="R9487" t="str">
        <f>IFERROR(VLOOKUP(record[[#This Row],[PCUSTID]],廠商[],2,FALSE),"")</f>
        <v/>
      </c>
      <c r="S9487" t="str">
        <f>VLOOKUP(record[[#This Row],[employeeID]],員工[],2,FALSE)</f>
        <v>蔣梅</v>
      </c>
    </row>
    <row r="9488" spans="6:19" hidden="1" x14ac:dyDescent="0.25">
      <c r="F9488" t="s">
        <v>777</v>
      </c>
      <c r="G9488" t="s">
        <v>451</v>
      </c>
      <c r="H9488" t="str">
        <f>VLOOKUP(record[[#This Row],[ProcessSN]],表格2_7[],2,FALSE)</f>
        <v>30-4118-018-6XX</v>
      </c>
      <c r="I9488" t="str">
        <f>VLOOKUP(record[[#This Row],[ProcessSN]],表格2_7[],3,FALSE)</f>
        <v>#07</v>
      </c>
      <c r="J9488" t="s">
        <v>588</v>
      </c>
      <c r="K9488" s="195">
        <v>45805.962175925924</v>
      </c>
      <c r="L9488">
        <v>115</v>
      </c>
      <c r="M9488">
        <v>0</v>
      </c>
      <c r="N9488" s="98" t="str">
        <f>IF(record[[#This Row],[Memo]]="Browser:chrome os:android","平板報工",IF(record[[#This Row],[Memo]]=0,"委外",record[[#This Row],[Memo]]))</f>
        <v/>
      </c>
      <c r="O9488" t="s">
        <v>58</v>
      </c>
      <c r="P9488" t="s">
        <v>89</v>
      </c>
      <c r="Q9488" t="s">
        <v>58</v>
      </c>
      <c r="R9488" t="str">
        <f>IFERROR(VLOOKUP(record[[#This Row],[PCUSTID]],廠商[],2,FALSE),"")</f>
        <v/>
      </c>
      <c r="S9488" t="str">
        <f>VLOOKUP(record[[#This Row],[employeeID]],員工[],2,FALSE)</f>
        <v>李美蓮</v>
      </c>
    </row>
    <row r="9489" spans="6:19" hidden="1" x14ac:dyDescent="0.25">
      <c r="F9489" t="s">
        <v>777</v>
      </c>
      <c r="G9489" t="s">
        <v>450</v>
      </c>
      <c r="H9489" t="str">
        <f>VLOOKUP(record[[#This Row],[ProcessSN]],表格2_7[],2,FALSE)</f>
        <v>30-4118-018-6XX</v>
      </c>
      <c r="I9489" t="str">
        <f>VLOOKUP(record[[#This Row],[ProcessSN]],表格2_7[],3,FALSE)</f>
        <v>#06</v>
      </c>
      <c r="J9489" t="s">
        <v>593</v>
      </c>
      <c r="K9489" s="195">
        <v>45805.910509259258</v>
      </c>
      <c r="L9489">
        <v>84</v>
      </c>
      <c r="M9489">
        <v>0</v>
      </c>
      <c r="N9489" s="98" t="str">
        <f>IF(record[[#This Row],[Memo]]="Browser:chrome os:android","平板報工",IF(record[[#This Row],[Memo]]=0,"委外",record[[#This Row],[Memo]]))</f>
        <v/>
      </c>
      <c r="O9489" t="s">
        <v>58</v>
      </c>
      <c r="P9489" t="s">
        <v>166</v>
      </c>
      <c r="Q9489" t="s">
        <v>58</v>
      </c>
      <c r="R9489" t="str">
        <f>IFERROR(VLOOKUP(record[[#This Row],[PCUSTID]],廠商[],2,FALSE),"")</f>
        <v/>
      </c>
      <c r="S9489" t="str">
        <f>VLOOKUP(record[[#This Row],[employeeID]],員工[],2,FALSE)</f>
        <v>阮懷香</v>
      </c>
    </row>
    <row r="9490" spans="6:19" hidden="1" x14ac:dyDescent="0.25">
      <c r="F9490" t="s">
        <v>812</v>
      </c>
      <c r="G9490" t="s">
        <v>399</v>
      </c>
      <c r="H9490" t="str">
        <f>VLOOKUP(record[[#This Row],[ProcessSN]],表格2_7[],2,FALSE)</f>
        <v>30-4118-018-550</v>
      </c>
      <c r="I9490" t="str">
        <f>VLOOKUP(record[[#This Row],[ProcessSN]],表格2_7[],3,FALSE)</f>
        <v>#08IQC</v>
      </c>
      <c r="J9490" t="s">
        <v>583</v>
      </c>
      <c r="K9490" s="195">
        <v>45805.711412037039</v>
      </c>
      <c r="L9490">
        <v>88</v>
      </c>
      <c r="M9490">
        <v>0</v>
      </c>
      <c r="N9490" s="98" t="str">
        <f>IF(record[[#This Row],[Memo]]="Browser:chrome os:android","平板報工",IF(record[[#This Row],[Memo]]=0,"委外",record[[#This Row],[Memo]]))</f>
        <v/>
      </c>
      <c r="O9490" t="s">
        <v>58</v>
      </c>
      <c r="P9490" t="s">
        <v>190</v>
      </c>
      <c r="Q9490" t="s">
        <v>58</v>
      </c>
      <c r="R9490" t="str">
        <f>IFERROR(VLOOKUP(record[[#This Row],[PCUSTID]],廠商[],2,FALSE),"")</f>
        <v/>
      </c>
      <c r="S9490" t="str">
        <f>VLOOKUP(record[[#This Row],[employeeID]],員工[],2,FALSE)</f>
        <v>陳雅娟</v>
      </c>
    </row>
    <row r="9491" spans="6:19" hidden="1" x14ac:dyDescent="0.25">
      <c r="F9491" t="s">
        <v>811</v>
      </c>
      <c r="G9491" t="s">
        <v>399</v>
      </c>
      <c r="H9491" t="str">
        <f>VLOOKUP(record[[#This Row],[ProcessSN]],表格2_7[],2,FALSE)</f>
        <v>30-4118-018-550</v>
      </c>
      <c r="I9491" t="str">
        <f>VLOOKUP(record[[#This Row],[ProcessSN]],表格2_7[],3,FALSE)</f>
        <v>#08IQC</v>
      </c>
      <c r="J9491" t="s">
        <v>583</v>
      </c>
      <c r="K9491" s="195">
        <v>45805.711238425924</v>
      </c>
      <c r="L9491">
        <v>106</v>
      </c>
      <c r="M9491">
        <v>0</v>
      </c>
      <c r="N9491" s="98" t="str">
        <f>IF(record[[#This Row],[Memo]]="Browser:chrome os:android","平板報工",IF(record[[#This Row],[Memo]]=0,"委外",record[[#This Row],[Memo]]))</f>
        <v/>
      </c>
      <c r="O9491" t="s">
        <v>58</v>
      </c>
      <c r="P9491" t="s">
        <v>190</v>
      </c>
      <c r="Q9491" t="s">
        <v>58</v>
      </c>
      <c r="R9491" t="str">
        <f>IFERROR(VLOOKUP(record[[#This Row],[PCUSTID]],廠商[],2,FALSE),"")</f>
        <v/>
      </c>
      <c r="S9491" t="str">
        <f>VLOOKUP(record[[#This Row],[employeeID]],員工[],2,FALSE)</f>
        <v>陳雅娟</v>
      </c>
    </row>
    <row r="9492" spans="6:19" hidden="1" x14ac:dyDescent="0.25">
      <c r="F9492" t="s">
        <v>777</v>
      </c>
      <c r="G9492" t="s">
        <v>450</v>
      </c>
      <c r="H9492" t="str">
        <f>VLOOKUP(record[[#This Row],[ProcessSN]],表格2_7[],2,FALSE)</f>
        <v>30-4118-018-6XX</v>
      </c>
      <c r="I9492" t="str">
        <f>VLOOKUP(record[[#This Row],[ProcessSN]],表格2_7[],3,FALSE)</f>
        <v>#06</v>
      </c>
      <c r="J9492" t="s">
        <v>593</v>
      </c>
      <c r="K9492" s="195">
        <v>45805.655347222222</v>
      </c>
      <c r="L9492">
        <v>115</v>
      </c>
      <c r="M9492">
        <v>0</v>
      </c>
      <c r="N9492" s="98" t="str">
        <f>IF(record[[#This Row],[Memo]]="Browser:chrome os:android","平板報工",IF(record[[#This Row],[Memo]]=0,"委外",record[[#This Row],[Memo]]))</f>
        <v/>
      </c>
      <c r="O9492" t="s">
        <v>58</v>
      </c>
      <c r="P9492" t="s">
        <v>119</v>
      </c>
      <c r="Q9492" t="s">
        <v>58</v>
      </c>
      <c r="R9492" t="str">
        <f>IFERROR(VLOOKUP(record[[#This Row],[PCUSTID]],廠商[],2,FALSE),"")</f>
        <v/>
      </c>
      <c r="S9492" t="str">
        <f>VLOOKUP(record[[#This Row],[employeeID]],員工[],2,FALSE)</f>
        <v>廖俊彥</v>
      </c>
    </row>
    <row r="9493" spans="6:19" hidden="1" x14ac:dyDescent="0.25">
      <c r="F9493" t="s">
        <v>777</v>
      </c>
      <c r="G9493" t="s">
        <v>451</v>
      </c>
      <c r="H9493" t="str">
        <f>VLOOKUP(record[[#This Row],[ProcessSN]],表格2_7[],2,FALSE)</f>
        <v>30-4118-018-6XX</v>
      </c>
      <c r="I9493" t="str">
        <f>VLOOKUP(record[[#This Row],[ProcessSN]],表格2_7[],3,FALSE)</f>
        <v>#07</v>
      </c>
      <c r="J9493" t="s">
        <v>588</v>
      </c>
      <c r="K9493" s="195">
        <v>45805.646574074075</v>
      </c>
      <c r="L9493">
        <v>148</v>
      </c>
      <c r="M9493">
        <v>0</v>
      </c>
      <c r="N9493" s="98" t="str">
        <f>IF(record[[#This Row],[Memo]]="Browser:chrome os:android","平板報工",IF(record[[#This Row],[Memo]]=0,"委外",record[[#This Row],[Memo]]))</f>
        <v/>
      </c>
      <c r="O9493" t="s">
        <v>58</v>
      </c>
      <c r="P9493" t="s">
        <v>119</v>
      </c>
      <c r="Q9493" t="s">
        <v>58</v>
      </c>
      <c r="R9493" t="str">
        <f>IFERROR(VLOOKUP(record[[#This Row],[PCUSTID]],廠商[],2,FALSE),"")</f>
        <v/>
      </c>
      <c r="S9493" t="str">
        <f>VLOOKUP(record[[#This Row],[employeeID]],員工[],2,FALSE)</f>
        <v>廖俊彥</v>
      </c>
    </row>
    <row r="9494" spans="6:19" hidden="1" x14ac:dyDescent="0.25">
      <c r="F9494" t="s">
        <v>818</v>
      </c>
      <c r="G9494" t="s">
        <v>422</v>
      </c>
      <c r="H9494" t="str">
        <f>VLOOKUP(record[[#This Row],[ProcessSN]],表格2_7[],2,FALSE)</f>
        <v>30-4118-018-600</v>
      </c>
      <c r="I9494" t="str">
        <f>VLOOKUP(record[[#This Row],[ProcessSN]],表格2_7[],3,FALSE)</f>
        <v>#08</v>
      </c>
      <c r="J9494" t="s">
        <v>597</v>
      </c>
      <c r="K9494" s="195">
        <v>45805.552152777775</v>
      </c>
      <c r="L9494">
        <v>164</v>
      </c>
      <c r="M9494">
        <v>0</v>
      </c>
      <c r="N9494" s="98" t="str">
        <f>IF(record[[#This Row],[Memo]]="Browser:chrome os:android","平板報工",IF(record[[#This Row],[Memo]]=0,"委外",record[[#This Row],[Memo]]))</f>
        <v>委外</v>
      </c>
      <c r="P9494" t="s">
        <v>186</v>
      </c>
      <c r="Q9494" t="s">
        <v>287</v>
      </c>
      <c r="R9494" t="str">
        <f>IFERROR(VLOOKUP(record[[#This Row],[PCUSTID]],廠商[],2,FALSE),"")</f>
        <v>泉盛</v>
      </c>
      <c r="S9494" t="str">
        <f>VLOOKUP(record[[#This Row],[employeeID]],員工[],2,FALSE)</f>
        <v>許文姍</v>
      </c>
    </row>
    <row r="9495" spans="6:19" hidden="1" x14ac:dyDescent="0.25">
      <c r="F9495" t="s">
        <v>818</v>
      </c>
      <c r="G9495" t="s">
        <v>421</v>
      </c>
      <c r="H9495" t="str">
        <f>VLOOKUP(record[[#This Row],[ProcessSN]],表格2_7[],2,FALSE)</f>
        <v>30-4118-018-600</v>
      </c>
      <c r="I9495" t="str">
        <f>VLOOKUP(record[[#This Row],[ProcessSN]],表格2_7[],3,FALSE)</f>
        <v>#08PICK</v>
      </c>
      <c r="J9495" t="s">
        <v>582</v>
      </c>
      <c r="K9495" s="195">
        <v>45805.496527777781</v>
      </c>
      <c r="L9495">
        <v>164</v>
      </c>
      <c r="M9495">
        <v>0</v>
      </c>
      <c r="N9495" s="98" t="str">
        <f>IF(record[[#This Row],[Memo]]="Browser:chrome os:android","平板報工",IF(record[[#This Row],[Memo]]=0,"委外",record[[#This Row],[Memo]]))</f>
        <v/>
      </c>
      <c r="O9495" t="s">
        <v>58</v>
      </c>
      <c r="P9495" t="s">
        <v>113</v>
      </c>
      <c r="Q9495" t="s">
        <v>58</v>
      </c>
      <c r="R9495" t="str">
        <f>IFERROR(VLOOKUP(record[[#This Row],[PCUSTID]],廠商[],2,FALSE),"")</f>
        <v/>
      </c>
      <c r="S9495" t="str">
        <f>VLOOKUP(record[[#This Row],[employeeID]],員工[],2,FALSE)</f>
        <v>王奕蓁</v>
      </c>
    </row>
    <row r="9496" spans="6:19" hidden="1" x14ac:dyDescent="0.25">
      <c r="F9496" t="s">
        <v>777</v>
      </c>
      <c r="G9496" t="s">
        <v>453</v>
      </c>
      <c r="H9496" t="str">
        <f>VLOOKUP(record[[#This Row],[ProcessSN]],表格2_7[],2,FALSE)</f>
        <v>30-4118-018-6XX</v>
      </c>
      <c r="I9496" t="str">
        <f>VLOOKUP(record[[#This Row],[ProcessSN]],表格2_7[],3,FALSE)</f>
        <v>#07STOCK</v>
      </c>
      <c r="J9496" t="s">
        <v>592</v>
      </c>
      <c r="K9496" s="195">
        <v>45805.495034722226</v>
      </c>
      <c r="L9496">
        <v>164</v>
      </c>
      <c r="M9496">
        <v>0</v>
      </c>
      <c r="N9496" s="98" t="str">
        <f>IF(record[[#This Row],[Memo]]="Browser:chrome os:android","平板報工",IF(record[[#This Row],[Memo]]=0,"委外",record[[#This Row],[Memo]]))</f>
        <v/>
      </c>
      <c r="O9496" t="s">
        <v>58</v>
      </c>
      <c r="P9496" t="s">
        <v>113</v>
      </c>
      <c r="Q9496" t="s">
        <v>58</v>
      </c>
      <c r="R9496" t="str">
        <f>IFERROR(VLOOKUP(record[[#This Row],[PCUSTID]],廠商[],2,FALSE),"")</f>
        <v/>
      </c>
      <c r="S9496" t="str">
        <f>VLOOKUP(record[[#This Row],[employeeID]],員工[],2,FALSE)</f>
        <v>王奕蓁</v>
      </c>
    </row>
    <row r="9497" spans="6:19" hidden="1" x14ac:dyDescent="0.25">
      <c r="F9497" t="s">
        <v>777</v>
      </c>
      <c r="G9497" t="s">
        <v>452</v>
      </c>
      <c r="H9497" t="str">
        <f>VLOOKUP(record[[#This Row],[ProcessSN]],表格2_7[],2,FALSE)</f>
        <v>30-4118-018-6XX</v>
      </c>
      <c r="I9497" t="str">
        <f>VLOOKUP(record[[#This Row],[ProcessSN]],表格2_7[],3,FALSE)</f>
        <v>#07QC</v>
      </c>
      <c r="J9497" t="s">
        <v>589</v>
      </c>
      <c r="K9497" s="195">
        <v>45805.371261574073</v>
      </c>
      <c r="L9497">
        <v>0</v>
      </c>
      <c r="M9497">
        <v>4</v>
      </c>
      <c r="N9497" s="98" t="str">
        <f>IF(record[[#This Row],[Memo]]="Browser:chrome os:android","平板報工",IF(record[[#This Row],[Memo]]=0,"委外",record[[#This Row],[Memo]]))</f>
        <v>平板報工</v>
      </c>
      <c r="O9497" t="s">
        <v>643</v>
      </c>
      <c r="P9497" t="s">
        <v>141</v>
      </c>
      <c r="Q9497" t="s">
        <v>644</v>
      </c>
      <c r="R9497" t="str">
        <f>IFERROR(VLOOKUP(record[[#This Row],[PCUSTID]],廠商[],2,FALSE),"")</f>
        <v/>
      </c>
      <c r="S9497" t="str">
        <f>VLOOKUP(record[[#This Row],[employeeID]],員工[],2,FALSE)</f>
        <v>蔣梅</v>
      </c>
    </row>
    <row r="9498" spans="6:19" hidden="1" x14ac:dyDescent="0.25">
      <c r="F9498" t="s">
        <v>777</v>
      </c>
      <c r="G9498" t="s">
        <v>452</v>
      </c>
      <c r="H9498" t="str">
        <f>VLOOKUP(record[[#This Row],[ProcessSN]],表格2_7[],2,FALSE)</f>
        <v>30-4118-018-6XX</v>
      </c>
      <c r="I9498" t="str">
        <f>VLOOKUP(record[[#This Row],[ProcessSN]],表格2_7[],3,FALSE)</f>
        <v>#07QC</v>
      </c>
      <c r="J9498" t="s">
        <v>589</v>
      </c>
      <c r="K9498" s="195">
        <v>45805.370798611111</v>
      </c>
      <c r="L9498">
        <v>164</v>
      </c>
      <c r="M9498">
        <v>0</v>
      </c>
      <c r="N9498" s="98" t="str">
        <f>IF(record[[#This Row],[Memo]]="Browser:chrome os:android","平板報工",IF(record[[#This Row],[Memo]]=0,"委外",record[[#This Row],[Memo]]))</f>
        <v>平板報工</v>
      </c>
      <c r="O9498" t="s">
        <v>643</v>
      </c>
      <c r="P9498" t="s">
        <v>141</v>
      </c>
      <c r="Q9498" t="s">
        <v>644</v>
      </c>
      <c r="R9498" t="str">
        <f>IFERROR(VLOOKUP(record[[#This Row],[PCUSTID]],廠商[],2,FALSE),"")</f>
        <v/>
      </c>
      <c r="S9498" t="str">
        <f>VLOOKUP(record[[#This Row],[employeeID]],員工[],2,FALSE)</f>
        <v>蔣梅</v>
      </c>
    </row>
    <row r="9499" spans="6:19" hidden="1" x14ac:dyDescent="0.25">
      <c r="F9499" t="s">
        <v>777</v>
      </c>
      <c r="G9499" t="s">
        <v>450</v>
      </c>
      <c r="H9499" t="str">
        <f>VLOOKUP(record[[#This Row],[ProcessSN]],表格2_7[],2,FALSE)</f>
        <v>30-4118-018-6XX</v>
      </c>
      <c r="I9499" t="str">
        <f>VLOOKUP(record[[#This Row],[ProcessSN]],表格2_7[],3,FALSE)</f>
        <v>#06</v>
      </c>
      <c r="J9499" t="s">
        <v>593</v>
      </c>
      <c r="K9499" s="195">
        <v>45805.30332175926</v>
      </c>
      <c r="L9499">
        <v>60</v>
      </c>
      <c r="M9499">
        <v>0</v>
      </c>
      <c r="N9499" s="98" t="str">
        <f>IF(record[[#This Row],[Memo]]="Browser:chrome os:android","平板報工",IF(record[[#This Row],[Memo]]=0,"委外",record[[#This Row],[Memo]]))</f>
        <v/>
      </c>
      <c r="O9499" t="s">
        <v>58</v>
      </c>
      <c r="P9499" t="s">
        <v>135</v>
      </c>
      <c r="Q9499" t="s">
        <v>58</v>
      </c>
      <c r="R9499" t="str">
        <f>IFERROR(VLOOKUP(record[[#This Row],[PCUSTID]],廠商[],2,FALSE),"")</f>
        <v/>
      </c>
      <c r="S9499" t="str">
        <f>VLOOKUP(record[[#This Row],[employeeID]],員工[],2,FALSE)</f>
        <v>阮士文</v>
      </c>
    </row>
    <row r="9500" spans="6:19" hidden="1" x14ac:dyDescent="0.25">
      <c r="F9500" t="s">
        <v>777</v>
      </c>
      <c r="G9500" t="s">
        <v>450</v>
      </c>
      <c r="H9500" t="str">
        <f>VLOOKUP(record[[#This Row],[ProcessSN]],表格2_7[],2,FALSE)</f>
        <v>30-4118-018-6XX</v>
      </c>
      <c r="I9500" t="str">
        <f>VLOOKUP(record[[#This Row],[ProcessSN]],表格2_7[],3,FALSE)</f>
        <v>#06</v>
      </c>
      <c r="J9500" t="s">
        <v>593</v>
      </c>
      <c r="K9500" s="195">
        <v>45804.968935185185</v>
      </c>
      <c r="L9500">
        <v>63</v>
      </c>
      <c r="M9500">
        <v>0</v>
      </c>
      <c r="N9500" s="98" t="str">
        <f>IF(record[[#This Row],[Memo]]="Browser:chrome os:android","平板報工",IF(record[[#This Row],[Memo]]=0,"委外",record[[#This Row],[Memo]]))</f>
        <v/>
      </c>
      <c r="O9500" t="s">
        <v>58</v>
      </c>
      <c r="P9500" t="s">
        <v>166</v>
      </c>
      <c r="Q9500" t="s">
        <v>58</v>
      </c>
      <c r="R9500" t="str">
        <f>IFERROR(VLOOKUP(record[[#This Row],[PCUSTID]],廠商[],2,FALSE),"")</f>
        <v/>
      </c>
      <c r="S9500" t="str">
        <f>VLOOKUP(record[[#This Row],[employeeID]],員工[],2,FALSE)</f>
        <v>阮懷香</v>
      </c>
    </row>
    <row r="9501" spans="6:19" hidden="1" x14ac:dyDescent="0.25">
      <c r="F9501" t="s">
        <v>778</v>
      </c>
      <c r="G9501" t="s">
        <v>417</v>
      </c>
      <c r="H9501" t="str">
        <f>VLOOKUP(record[[#This Row],[ProcessSN]],表格2_7[],2,FALSE)</f>
        <v>30-4118-018-5XX</v>
      </c>
      <c r="I9501" t="str">
        <f>VLOOKUP(record[[#This Row],[ProcessSN]],表格2_7[],3,FALSE)</f>
        <v>#06</v>
      </c>
      <c r="J9501" t="s">
        <v>593</v>
      </c>
      <c r="K9501" s="195">
        <v>45804.94599537037</v>
      </c>
      <c r="L9501">
        <v>58</v>
      </c>
      <c r="M9501">
        <v>0</v>
      </c>
      <c r="N9501" s="98" t="str">
        <f>IF(record[[#This Row],[Memo]]="Browser:chrome os:android","平板報工",IF(record[[#This Row],[Memo]]=0,"委外",record[[#This Row],[Memo]]))</f>
        <v/>
      </c>
      <c r="O9501" t="s">
        <v>58</v>
      </c>
      <c r="P9501" t="s">
        <v>166</v>
      </c>
      <c r="Q9501" t="s">
        <v>58</v>
      </c>
      <c r="R9501" t="str">
        <f>IFERROR(VLOOKUP(record[[#This Row],[PCUSTID]],廠商[],2,FALSE),"")</f>
        <v/>
      </c>
      <c r="S9501" t="str">
        <f>VLOOKUP(record[[#This Row],[employeeID]],員工[],2,FALSE)</f>
        <v>阮懷香</v>
      </c>
    </row>
    <row r="9502" spans="6:19" hidden="1" x14ac:dyDescent="0.25">
      <c r="F9502" t="s">
        <v>778</v>
      </c>
      <c r="G9502" t="s">
        <v>417</v>
      </c>
      <c r="H9502" t="str">
        <f>VLOOKUP(record[[#This Row],[ProcessSN]],表格2_7[],2,FALSE)</f>
        <v>30-4118-018-5XX</v>
      </c>
      <c r="I9502" t="str">
        <f>VLOOKUP(record[[#This Row],[ProcessSN]],表格2_7[],3,FALSE)</f>
        <v>#06</v>
      </c>
      <c r="J9502" t="s">
        <v>593</v>
      </c>
      <c r="K9502" s="195">
        <v>45804.659386574072</v>
      </c>
      <c r="L9502">
        <v>69</v>
      </c>
      <c r="M9502">
        <v>0</v>
      </c>
      <c r="N9502" s="98" t="str">
        <f>IF(record[[#This Row],[Memo]]="Browser:chrome os:android","平板報工",IF(record[[#This Row],[Memo]]=0,"委外",record[[#This Row],[Memo]]))</f>
        <v/>
      </c>
      <c r="O9502" t="s">
        <v>58</v>
      </c>
      <c r="P9502" t="s">
        <v>119</v>
      </c>
      <c r="Q9502" t="s">
        <v>58</v>
      </c>
      <c r="R9502" t="str">
        <f>IFERROR(VLOOKUP(record[[#This Row],[PCUSTID]],廠商[],2,FALSE),"")</f>
        <v/>
      </c>
      <c r="S9502" t="str">
        <f>VLOOKUP(record[[#This Row],[employeeID]],員工[],2,FALSE)</f>
        <v>廖俊彥</v>
      </c>
    </row>
    <row r="9503" spans="6:19" hidden="1" x14ac:dyDescent="0.25">
      <c r="F9503" t="s">
        <v>777</v>
      </c>
      <c r="G9503" t="s">
        <v>450</v>
      </c>
      <c r="H9503" t="str">
        <f>VLOOKUP(record[[#This Row],[ProcessSN]],表格2_7[],2,FALSE)</f>
        <v>30-4118-018-6XX</v>
      </c>
      <c r="I9503" t="str">
        <f>VLOOKUP(record[[#This Row],[ProcessSN]],表格2_7[],3,FALSE)</f>
        <v>#06</v>
      </c>
      <c r="J9503" t="s">
        <v>593</v>
      </c>
      <c r="K9503" s="195">
        <v>45804.659189814818</v>
      </c>
      <c r="L9503">
        <v>46</v>
      </c>
      <c r="M9503">
        <v>0</v>
      </c>
      <c r="N9503" s="98" t="str">
        <f>IF(record[[#This Row],[Memo]]="Browser:chrome os:android","平板報工",IF(record[[#This Row],[Memo]]=0,"委外",record[[#This Row],[Memo]]))</f>
        <v/>
      </c>
      <c r="O9503" t="s">
        <v>58</v>
      </c>
      <c r="P9503" t="s">
        <v>119</v>
      </c>
      <c r="Q9503" t="s">
        <v>58</v>
      </c>
      <c r="R9503" t="str">
        <f>IFERROR(VLOOKUP(record[[#This Row],[PCUSTID]],廠商[],2,FALSE),"")</f>
        <v/>
      </c>
      <c r="S9503" t="str">
        <f>VLOOKUP(record[[#This Row],[employeeID]],員工[],2,FALSE)</f>
        <v>廖俊彥</v>
      </c>
    </row>
    <row r="9504" spans="6:19" hidden="1" x14ac:dyDescent="0.25">
      <c r="F9504" t="s">
        <v>680</v>
      </c>
      <c r="G9504" t="s">
        <v>362</v>
      </c>
      <c r="H9504" t="str">
        <f>VLOOKUP(record[[#This Row],[ProcessSN]],表格2_7[],2,FALSE)</f>
        <v>30-4118-018-450</v>
      </c>
      <c r="I9504" t="str">
        <f>VLOOKUP(record[[#This Row],[ProcessSN]],表格2_7[],3,FALSE)</f>
        <v>#100SHIP</v>
      </c>
      <c r="J9504" t="s">
        <v>600</v>
      </c>
      <c r="K9504" s="195">
        <v>45804.653020833335</v>
      </c>
      <c r="L9504">
        <v>98</v>
      </c>
      <c r="M9504">
        <v>0</v>
      </c>
      <c r="N9504" s="98" t="str">
        <f>IF(record[[#This Row],[Memo]]="Browser:chrome os:android","平板報工",IF(record[[#This Row],[Memo]]=0,"委外",record[[#This Row],[Memo]]))</f>
        <v/>
      </c>
      <c r="O9504" t="s">
        <v>58</v>
      </c>
      <c r="P9504" t="s">
        <v>186</v>
      </c>
      <c r="Q9504" t="s">
        <v>58</v>
      </c>
      <c r="R9504" t="str">
        <f>IFERROR(VLOOKUP(record[[#This Row],[PCUSTID]],廠商[],2,FALSE),"")</f>
        <v/>
      </c>
      <c r="S9504" t="str">
        <f>VLOOKUP(record[[#This Row],[employeeID]],員工[],2,FALSE)</f>
        <v>許文姍</v>
      </c>
    </row>
    <row r="9505" spans="6:19" hidden="1" x14ac:dyDescent="0.25">
      <c r="F9505" t="s">
        <v>678</v>
      </c>
      <c r="G9505" t="s">
        <v>362</v>
      </c>
      <c r="H9505" t="str">
        <f>VLOOKUP(record[[#This Row],[ProcessSN]],表格2_7[],2,FALSE)</f>
        <v>30-4118-018-450</v>
      </c>
      <c r="I9505" t="str">
        <f>VLOOKUP(record[[#This Row],[ProcessSN]],表格2_7[],3,FALSE)</f>
        <v>#100SHIP</v>
      </c>
      <c r="J9505" t="s">
        <v>600</v>
      </c>
      <c r="K9505" s="195">
        <v>45804.652662037035</v>
      </c>
      <c r="L9505">
        <v>222</v>
      </c>
      <c r="M9505">
        <v>0</v>
      </c>
      <c r="N9505" s="98" t="str">
        <f>IF(record[[#This Row],[Memo]]="Browser:chrome os:android","平板報工",IF(record[[#This Row],[Memo]]=0,"委外",record[[#This Row],[Memo]]))</f>
        <v/>
      </c>
      <c r="O9505" t="s">
        <v>58</v>
      </c>
      <c r="P9505" t="s">
        <v>186</v>
      </c>
      <c r="Q9505" t="s">
        <v>58</v>
      </c>
      <c r="R9505" t="str">
        <f>IFERROR(VLOOKUP(record[[#This Row],[PCUSTID]],廠商[],2,FALSE),"")</f>
        <v/>
      </c>
      <c r="S9505" t="str">
        <f>VLOOKUP(record[[#This Row],[employeeID]],員工[],2,FALSE)</f>
        <v>許文姍</v>
      </c>
    </row>
    <row r="9506" spans="6:19" hidden="1" x14ac:dyDescent="0.25">
      <c r="F9506" t="s">
        <v>777</v>
      </c>
      <c r="G9506" t="s">
        <v>451</v>
      </c>
      <c r="H9506" t="str">
        <f>VLOOKUP(record[[#This Row],[ProcessSN]],表格2_7[],2,FALSE)</f>
        <v>30-4118-018-6XX</v>
      </c>
      <c r="I9506" t="str">
        <f>VLOOKUP(record[[#This Row],[ProcessSN]],表格2_7[],3,FALSE)</f>
        <v>#07</v>
      </c>
      <c r="J9506" t="s">
        <v>588</v>
      </c>
      <c r="K9506" s="195">
        <v>45804.651574074072</v>
      </c>
      <c r="L9506">
        <v>98</v>
      </c>
      <c r="M9506">
        <v>20</v>
      </c>
      <c r="N9506" s="98" t="str">
        <f>IF(record[[#This Row],[Memo]]="Browser:chrome os:android","平板報工",IF(record[[#This Row],[Memo]]=0,"委外",record[[#This Row],[Memo]]))</f>
        <v/>
      </c>
      <c r="O9506" t="s">
        <v>58</v>
      </c>
      <c r="P9506" t="s">
        <v>119</v>
      </c>
      <c r="Q9506" t="s">
        <v>58</v>
      </c>
      <c r="R9506" t="str">
        <f>IFERROR(VLOOKUP(record[[#This Row],[PCUSTID]],廠商[],2,FALSE),"")</f>
        <v/>
      </c>
      <c r="S9506" t="str">
        <f>VLOOKUP(record[[#This Row],[employeeID]],員工[],2,FALSE)</f>
        <v>廖俊彥</v>
      </c>
    </row>
    <row r="9507" spans="6:19" hidden="1" x14ac:dyDescent="0.25">
      <c r="F9507" t="s">
        <v>800</v>
      </c>
      <c r="G9507" t="s">
        <v>402</v>
      </c>
      <c r="H9507" t="str">
        <f>VLOOKUP(record[[#This Row],[ProcessSN]],表格2_7[],2,FALSE)</f>
        <v>30-4118-018-550</v>
      </c>
      <c r="I9507" t="str">
        <f>VLOOKUP(record[[#This Row],[ProcessSN]],表格2_7[],3,FALSE)</f>
        <v>#100STOCK</v>
      </c>
      <c r="J9507" t="s">
        <v>592</v>
      </c>
      <c r="K9507" s="195">
        <v>45804.592939814815</v>
      </c>
      <c r="L9507">
        <v>134</v>
      </c>
      <c r="M9507">
        <v>0</v>
      </c>
      <c r="N9507" s="98" t="str">
        <f>IF(record[[#This Row],[Memo]]="Browser:chrome os:android","平板報工",IF(record[[#This Row],[Memo]]=0,"委外",record[[#This Row],[Memo]]))</f>
        <v/>
      </c>
      <c r="O9507" t="s">
        <v>58</v>
      </c>
      <c r="P9507" t="s">
        <v>186</v>
      </c>
      <c r="Q9507" t="s">
        <v>58</v>
      </c>
      <c r="R9507" t="str">
        <f>IFERROR(VLOOKUP(record[[#This Row],[PCUSTID]],廠商[],2,FALSE),"")</f>
        <v/>
      </c>
      <c r="S9507" t="str">
        <f>VLOOKUP(record[[#This Row],[employeeID]],員工[],2,FALSE)</f>
        <v>許文姍</v>
      </c>
    </row>
    <row r="9508" spans="6:19" hidden="1" x14ac:dyDescent="0.25">
      <c r="F9508" t="s">
        <v>810</v>
      </c>
      <c r="G9508" t="s">
        <v>427</v>
      </c>
      <c r="H9508" t="str">
        <f>VLOOKUP(record[[#This Row],[ProcessSN]],表格2_7[],2,FALSE)</f>
        <v>30-4118-018-600</v>
      </c>
      <c r="I9508" t="str">
        <f>VLOOKUP(record[[#This Row],[ProcessSN]],表格2_7[],3,FALSE)</f>
        <v>#100STOCK</v>
      </c>
      <c r="J9508" t="s">
        <v>592</v>
      </c>
      <c r="K9508" s="195">
        <v>45804.592557870368</v>
      </c>
      <c r="L9508">
        <v>107</v>
      </c>
      <c r="M9508">
        <v>0</v>
      </c>
      <c r="N9508" s="98" t="str">
        <f>IF(record[[#This Row],[Memo]]="Browser:chrome os:android","平板報工",IF(record[[#This Row],[Memo]]=0,"委外",record[[#This Row],[Memo]]))</f>
        <v/>
      </c>
      <c r="O9508" t="s">
        <v>58</v>
      </c>
      <c r="P9508" t="s">
        <v>186</v>
      </c>
      <c r="Q9508" t="s">
        <v>58</v>
      </c>
      <c r="R9508" t="str">
        <f>IFERROR(VLOOKUP(record[[#This Row],[PCUSTID]],廠商[],2,FALSE),"")</f>
        <v/>
      </c>
      <c r="S9508" t="str">
        <f>VLOOKUP(record[[#This Row],[employeeID]],員工[],2,FALSE)</f>
        <v>許文姍</v>
      </c>
    </row>
    <row r="9509" spans="6:19" hidden="1" x14ac:dyDescent="0.25">
      <c r="F9509" t="s">
        <v>811</v>
      </c>
      <c r="G9509" t="s">
        <v>398</v>
      </c>
      <c r="H9509" t="str">
        <f>VLOOKUP(record[[#This Row],[ProcessSN]],表格2_7[],2,FALSE)</f>
        <v>30-4118-018-550</v>
      </c>
      <c r="I9509" t="str">
        <f>VLOOKUP(record[[#This Row],[ProcessSN]],表格2_7[],3,FALSE)</f>
        <v>#08RCV</v>
      </c>
      <c r="J9509" t="s">
        <v>591</v>
      </c>
      <c r="K9509" s="195">
        <v>45804.410474537035</v>
      </c>
      <c r="L9509">
        <v>0</v>
      </c>
      <c r="M9509">
        <v>28</v>
      </c>
      <c r="N9509" s="98" t="str">
        <f>IF(record[[#This Row],[Memo]]="Browser:chrome os:android","平板報工",IF(record[[#This Row],[Memo]]=0,"委外",record[[#This Row],[Memo]]))</f>
        <v/>
      </c>
      <c r="O9509" t="s">
        <v>58</v>
      </c>
      <c r="P9509" t="s">
        <v>186</v>
      </c>
      <c r="Q9509" t="s">
        <v>58</v>
      </c>
      <c r="R9509" t="str">
        <f>IFERROR(VLOOKUP(record[[#This Row],[PCUSTID]],廠商[],2,FALSE),"")</f>
        <v/>
      </c>
      <c r="S9509" t="str">
        <f>VLOOKUP(record[[#This Row],[employeeID]],員工[],2,FALSE)</f>
        <v>許文姍</v>
      </c>
    </row>
    <row r="9510" spans="6:19" hidden="1" x14ac:dyDescent="0.25">
      <c r="F9510" t="s">
        <v>811</v>
      </c>
      <c r="G9510" t="s">
        <v>398</v>
      </c>
      <c r="H9510" t="str">
        <f>VLOOKUP(record[[#This Row],[ProcessSN]],表格2_7[],2,FALSE)</f>
        <v>30-4118-018-550</v>
      </c>
      <c r="I9510" t="str">
        <f>VLOOKUP(record[[#This Row],[ProcessSN]],表格2_7[],3,FALSE)</f>
        <v>#08RCV</v>
      </c>
      <c r="J9510" t="s">
        <v>591</v>
      </c>
      <c r="K9510" s="195">
        <v>45804.410231481481</v>
      </c>
      <c r="L9510">
        <v>106</v>
      </c>
      <c r="M9510">
        <v>0</v>
      </c>
      <c r="N9510" s="98" t="str">
        <f>IF(record[[#This Row],[Memo]]="Browser:chrome os:android","平板報工",IF(record[[#This Row],[Memo]]=0,"委外",record[[#This Row],[Memo]]))</f>
        <v/>
      </c>
      <c r="O9510" t="s">
        <v>58</v>
      </c>
      <c r="P9510" t="s">
        <v>186</v>
      </c>
      <c r="Q9510" t="s">
        <v>58</v>
      </c>
      <c r="R9510" t="str">
        <f>IFERROR(VLOOKUP(record[[#This Row],[PCUSTID]],廠商[],2,FALSE),"")</f>
        <v/>
      </c>
      <c r="S9510" t="str">
        <f>VLOOKUP(record[[#This Row],[employeeID]],員工[],2,FALSE)</f>
        <v>許文姍</v>
      </c>
    </row>
    <row r="9511" spans="6:19" hidden="1" x14ac:dyDescent="0.25">
      <c r="F9511" t="s">
        <v>812</v>
      </c>
      <c r="G9511" t="s">
        <v>398</v>
      </c>
      <c r="H9511" t="str">
        <f>VLOOKUP(record[[#This Row],[ProcessSN]],表格2_7[],2,FALSE)</f>
        <v>30-4118-018-550</v>
      </c>
      <c r="I9511" t="str">
        <f>VLOOKUP(record[[#This Row],[ProcessSN]],表格2_7[],3,FALSE)</f>
        <v>#08RCV</v>
      </c>
      <c r="J9511" t="s">
        <v>591</v>
      </c>
      <c r="K9511" s="195">
        <v>45804.409884259258</v>
      </c>
      <c r="L9511">
        <v>88</v>
      </c>
      <c r="M9511">
        <v>0</v>
      </c>
      <c r="N9511" s="98" t="str">
        <f>IF(record[[#This Row],[Memo]]="Browser:chrome os:android","平板報工",IF(record[[#This Row],[Memo]]=0,"委外",record[[#This Row],[Memo]]))</f>
        <v/>
      </c>
      <c r="O9511" t="s">
        <v>58</v>
      </c>
      <c r="P9511" t="s">
        <v>186</v>
      </c>
      <c r="Q9511" t="s">
        <v>58</v>
      </c>
      <c r="R9511" t="str">
        <f>IFERROR(VLOOKUP(record[[#This Row],[PCUSTID]],廠商[],2,FALSE),"")</f>
        <v/>
      </c>
      <c r="S9511" t="str">
        <f>VLOOKUP(record[[#This Row],[employeeID]],員工[],2,FALSE)</f>
        <v>許文姍</v>
      </c>
    </row>
    <row r="9512" spans="6:19" hidden="1" x14ac:dyDescent="0.25">
      <c r="F9512" t="s">
        <v>777</v>
      </c>
      <c r="G9512" t="s">
        <v>450</v>
      </c>
      <c r="H9512" t="str">
        <f>VLOOKUP(record[[#This Row],[ProcessSN]],表格2_7[],2,FALSE)</f>
        <v>30-4118-018-6XX</v>
      </c>
      <c r="I9512" t="str">
        <f>VLOOKUP(record[[#This Row],[ProcessSN]],表格2_7[],3,FALSE)</f>
        <v>#06</v>
      </c>
      <c r="J9512" t="s">
        <v>593</v>
      </c>
      <c r="K9512" s="195">
        <v>45804.310428240744</v>
      </c>
      <c r="L9512">
        <v>121</v>
      </c>
      <c r="M9512">
        <v>1</v>
      </c>
      <c r="N9512" s="98" t="str">
        <f>IF(record[[#This Row],[Memo]]="Browser:chrome os:android","平板報工",IF(record[[#This Row],[Memo]]=0,"委外",record[[#This Row],[Memo]]))</f>
        <v/>
      </c>
      <c r="O9512" t="s">
        <v>58</v>
      </c>
      <c r="P9512" t="s">
        <v>135</v>
      </c>
      <c r="Q9512" t="s">
        <v>58</v>
      </c>
      <c r="R9512" t="str">
        <f>IFERROR(VLOOKUP(record[[#This Row],[PCUSTID]],廠商[],2,FALSE),"")</f>
        <v/>
      </c>
      <c r="S9512" t="str">
        <f>VLOOKUP(record[[#This Row],[employeeID]],員工[],2,FALSE)</f>
        <v>阮士文</v>
      </c>
    </row>
    <row r="9513" spans="6:19" hidden="1" x14ac:dyDescent="0.25">
      <c r="F9513" t="s">
        <v>778</v>
      </c>
      <c r="G9513" t="s">
        <v>417</v>
      </c>
      <c r="H9513" t="str">
        <f>VLOOKUP(record[[#This Row],[ProcessSN]],表格2_7[],2,FALSE)</f>
        <v>30-4118-018-5XX</v>
      </c>
      <c r="I9513" t="str">
        <f>VLOOKUP(record[[#This Row],[ProcessSN]],表格2_7[],3,FALSE)</f>
        <v>#06</v>
      </c>
      <c r="J9513" t="s">
        <v>593</v>
      </c>
      <c r="K9513" s="195">
        <v>45803.965069444443</v>
      </c>
      <c r="L9513">
        <v>61</v>
      </c>
      <c r="M9513">
        <v>0</v>
      </c>
      <c r="N9513" s="98" t="str">
        <f>IF(record[[#This Row],[Memo]]="Browser:chrome os:android","平板報工",IF(record[[#This Row],[Memo]]=0,"委外",record[[#This Row],[Memo]]))</f>
        <v/>
      </c>
      <c r="O9513" t="s">
        <v>58</v>
      </c>
      <c r="P9513" t="s">
        <v>166</v>
      </c>
      <c r="Q9513" t="s">
        <v>58</v>
      </c>
      <c r="R9513" t="str">
        <f>IFERROR(VLOOKUP(record[[#This Row],[PCUSTID]],廠商[],2,FALSE),"")</f>
        <v/>
      </c>
      <c r="S9513" t="str">
        <f>VLOOKUP(record[[#This Row],[employeeID]],員工[],2,FALSE)</f>
        <v>阮懷香</v>
      </c>
    </row>
    <row r="9514" spans="6:19" hidden="1" x14ac:dyDescent="0.25">
      <c r="F9514" t="s">
        <v>777</v>
      </c>
      <c r="G9514" t="s">
        <v>450</v>
      </c>
      <c r="H9514" t="str">
        <f>VLOOKUP(record[[#This Row],[ProcessSN]],表格2_7[],2,FALSE)</f>
        <v>30-4118-018-6XX</v>
      </c>
      <c r="I9514" t="str">
        <f>VLOOKUP(record[[#This Row],[ProcessSN]],表格2_7[],3,FALSE)</f>
        <v>#06</v>
      </c>
      <c r="J9514" t="s">
        <v>593</v>
      </c>
      <c r="K9514" s="195">
        <v>45803.964722222219</v>
      </c>
      <c r="L9514">
        <v>55</v>
      </c>
      <c r="M9514">
        <v>0</v>
      </c>
      <c r="N9514" s="98" t="str">
        <f>IF(record[[#This Row],[Memo]]="Browser:chrome os:android","平板報工",IF(record[[#This Row],[Memo]]=0,"委外",record[[#This Row],[Memo]]))</f>
        <v/>
      </c>
      <c r="O9514" t="s">
        <v>58</v>
      </c>
      <c r="P9514" t="s">
        <v>166</v>
      </c>
      <c r="Q9514" t="s">
        <v>58</v>
      </c>
      <c r="R9514" t="str">
        <f>IFERROR(VLOOKUP(record[[#This Row],[PCUSTID]],廠商[],2,FALSE),"")</f>
        <v/>
      </c>
      <c r="S9514" t="str">
        <f>VLOOKUP(record[[#This Row],[employeeID]],員工[],2,FALSE)</f>
        <v>阮懷香</v>
      </c>
    </row>
    <row r="9515" spans="6:19" hidden="1" x14ac:dyDescent="0.25">
      <c r="F9515" t="s">
        <v>777</v>
      </c>
      <c r="G9515" t="s">
        <v>449</v>
      </c>
      <c r="H9515" t="str">
        <f>VLOOKUP(record[[#This Row],[ProcessSN]],表格2_7[],2,FALSE)</f>
        <v>30-4118-018-6XX</v>
      </c>
      <c r="I9515" t="str">
        <f>VLOOKUP(record[[#This Row],[ProcessSN]],表格2_7[],3,FALSE)</f>
        <v>#05</v>
      </c>
      <c r="J9515" t="s">
        <v>588</v>
      </c>
      <c r="K9515" s="195">
        <v>45803.960659722223</v>
      </c>
      <c r="L9515">
        <v>310</v>
      </c>
      <c r="M9515">
        <v>0</v>
      </c>
      <c r="N9515" s="98" t="str">
        <f>IF(record[[#This Row],[Memo]]="Browser:chrome os:android","平板報工",IF(record[[#This Row],[Memo]]=0,"委外",record[[#This Row],[Memo]]))</f>
        <v/>
      </c>
      <c r="O9515" t="s">
        <v>58</v>
      </c>
      <c r="P9515" t="s">
        <v>89</v>
      </c>
      <c r="Q9515" t="s">
        <v>58</v>
      </c>
      <c r="R9515" t="str">
        <f>IFERROR(VLOOKUP(record[[#This Row],[PCUSTID]],廠商[],2,FALSE),"")</f>
        <v/>
      </c>
      <c r="S9515" t="str">
        <f>VLOOKUP(record[[#This Row],[employeeID]],員工[],2,FALSE)</f>
        <v>李美蓮</v>
      </c>
    </row>
    <row r="9516" spans="6:19" hidden="1" x14ac:dyDescent="0.25">
      <c r="F9516" t="s">
        <v>801</v>
      </c>
      <c r="G9516" t="s">
        <v>403</v>
      </c>
      <c r="H9516" t="str">
        <f>VLOOKUP(record[[#This Row],[ProcessSN]],表格2_7[],2,FALSE)</f>
        <v>30-4118-018-550</v>
      </c>
      <c r="I9516" t="str">
        <f>VLOOKUP(record[[#This Row],[ProcessSN]],表格2_7[],3,FALSE)</f>
        <v>#100SHIP</v>
      </c>
      <c r="J9516" t="s">
        <v>600</v>
      </c>
      <c r="K9516" s="195">
        <v>45803.712442129632</v>
      </c>
      <c r="L9516">
        <v>171</v>
      </c>
      <c r="M9516">
        <v>0</v>
      </c>
      <c r="N9516" s="98" t="str">
        <f>IF(record[[#This Row],[Memo]]="Browser:chrome os:android","平板報工",IF(record[[#This Row],[Memo]]=0,"委外",record[[#This Row],[Memo]]))</f>
        <v/>
      </c>
      <c r="O9516" t="s">
        <v>58</v>
      </c>
      <c r="P9516" t="s">
        <v>113</v>
      </c>
      <c r="Q9516" t="s">
        <v>58</v>
      </c>
      <c r="R9516" t="str">
        <f>IFERROR(VLOOKUP(record[[#This Row],[PCUSTID]],廠商[],2,FALSE),"")</f>
        <v/>
      </c>
      <c r="S9516" t="str">
        <f>VLOOKUP(record[[#This Row],[employeeID]],員工[],2,FALSE)</f>
        <v>王奕蓁</v>
      </c>
    </row>
    <row r="9517" spans="6:19" hidden="1" x14ac:dyDescent="0.25">
      <c r="F9517" t="s">
        <v>801</v>
      </c>
      <c r="G9517" t="s">
        <v>402</v>
      </c>
      <c r="H9517" t="str">
        <f>VLOOKUP(record[[#This Row],[ProcessSN]],表格2_7[],2,FALSE)</f>
        <v>30-4118-018-550</v>
      </c>
      <c r="I9517" t="str">
        <f>VLOOKUP(record[[#This Row],[ProcessSN]],表格2_7[],3,FALSE)</f>
        <v>#100STOCK</v>
      </c>
      <c r="J9517" t="s">
        <v>592</v>
      </c>
      <c r="K9517" s="195">
        <v>45803.712291666663</v>
      </c>
      <c r="L9517">
        <v>171</v>
      </c>
      <c r="M9517">
        <v>0</v>
      </c>
      <c r="N9517" s="98" t="str">
        <f>IF(record[[#This Row],[Memo]]="Browser:chrome os:android","平板報工",IF(record[[#This Row],[Memo]]=0,"委外",record[[#This Row],[Memo]]))</f>
        <v/>
      </c>
      <c r="O9517" t="s">
        <v>58</v>
      </c>
      <c r="P9517" t="s">
        <v>113</v>
      </c>
      <c r="Q9517" t="s">
        <v>58</v>
      </c>
      <c r="R9517" t="str">
        <f>IFERROR(VLOOKUP(record[[#This Row],[PCUSTID]],廠商[],2,FALSE),"")</f>
        <v/>
      </c>
      <c r="S9517" t="str">
        <f>VLOOKUP(record[[#This Row],[employeeID]],員工[],2,FALSE)</f>
        <v>王奕蓁</v>
      </c>
    </row>
    <row r="9518" spans="6:19" hidden="1" x14ac:dyDescent="0.25">
      <c r="F9518" t="s">
        <v>810</v>
      </c>
      <c r="G9518" t="s">
        <v>428</v>
      </c>
      <c r="H9518" t="str">
        <f>VLOOKUP(record[[#This Row],[ProcessSN]],表格2_7[],2,FALSE)</f>
        <v>30-4118-018-600</v>
      </c>
      <c r="I9518" t="str">
        <f>VLOOKUP(record[[#This Row],[ProcessSN]],表格2_7[],3,FALSE)</f>
        <v>#100SHIP</v>
      </c>
      <c r="J9518" t="s">
        <v>600</v>
      </c>
      <c r="K9518" s="195">
        <v>45803.712060185186</v>
      </c>
      <c r="L9518">
        <v>46</v>
      </c>
      <c r="M9518">
        <v>0</v>
      </c>
      <c r="N9518" s="98" t="str">
        <f>IF(record[[#This Row],[Memo]]="Browser:chrome os:android","平板報工",IF(record[[#This Row],[Memo]]=0,"委外",record[[#This Row],[Memo]]))</f>
        <v/>
      </c>
      <c r="O9518" t="s">
        <v>58</v>
      </c>
      <c r="P9518" t="s">
        <v>113</v>
      </c>
      <c r="Q9518" t="s">
        <v>58</v>
      </c>
      <c r="R9518" t="str">
        <f>IFERROR(VLOOKUP(record[[#This Row],[PCUSTID]],廠商[],2,FALSE),"")</f>
        <v/>
      </c>
      <c r="S9518" t="str">
        <f>VLOOKUP(record[[#This Row],[employeeID]],員工[],2,FALSE)</f>
        <v>王奕蓁</v>
      </c>
    </row>
    <row r="9519" spans="6:19" hidden="1" x14ac:dyDescent="0.25">
      <c r="F9519" t="s">
        <v>810</v>
      </c>
      <c r="G9519" t="s">
        <v>427</v>
      </c>
      <c r="H9519" t="str">
        <f>VLOOKUP(record[[#This Row],[ProcessSN]],表格2_7[],2,FALSE)</f>
        <v>30-4118-018-600</v>
      </c>
      <c r="I9519" t="str">
        <f>VLOOKUP(record[[#This Row],[ProcessSN]],表格2_7[],3,FALSE)</f>
        <v>#100STOCK</v>
      </c>
      <c r="J9519" t="s">
        <v>592</v>
      </c>
      <c r="K9519" s="195">
        <v>45803.711828703701</v>
      </c>
      <c r="L9519">
        <v>46</v>
      </c>
      <c r="M9519">
        <v>0</v>
      </c>
      <c r="N9519" s="98" t="str">
        <f>IF(record[[#This Row],[Memo]]="Browser:chrome os:android","平板報工",IF(record[[#This Row],[Memo]]=0,"委外",record[[#This Row],[Memo]]))</f>
        <v/>
      </c>
      <c r="O9519" t="s">
        <v>58</v>
      </c>
      <c r="P9519" t="s">
        <v>113</v>
      </c>
      <c r="Q9519" t="s">
        <v>58</v>
      </c>
      <c r="R9519" t="str">
        <f>IFERROR(VLOOKUP(record[[#This Row],[PCUSTID]],廠商[],2,FALSE),"")</f>
        <v/>
      </c>
      <c r="S9519" t="str">
        <f>VLOOKUP(record[[#This Row],[employeeID]],員工[],2,FALSE)</f>
        <v>王奕蓁</v>
      </c>
    </row>
    <row r="9520" spans="6:19" hidden="1" x14ac:dyDescent="0.25">
      <c r="F9520" t="s">
        <v>810</v>
      </c>
      <c r="G9520" t="s">
        <v>426</v>
      </c>
      <c r="H9520" t="str">
        <f>VLOOKUP(record[[#This Row],[ProcessSN]],表格2_7[],2,FALSE)</f>
        <v>30-4118-018-600</v>
      </c>
      <c r="I9520" t="str">
        <f>VLOOKUP(record[[#This Row],[ProcessSN]],表格2_7[],3,FALSE)</f>
        <v>#100OQC</v>
      </c>
      <c r="J9520" t="s">
        <v>599</v>
      </c>
      <c r="K9520" s="195">
        <v>45803.710694444446</v>
      </c>
      <c r="L9520">
        <v>153</v>
      </c>
      <c r="M9520">
        <v>0</v>
      </c>
      <c r="N9520" s="98" t="str">
        <f>IF(record[[#This Row],[Memo]]="Browser:chrome os:android","平板報工",IF(record[[#This Row],[Memo]]=0,"委外",record[[#This Row],[Memo]]))</f>
        <v/>
      </c>
      <c r="O9520" t="s">
        <v>58</v>
      </c>
      <c r="P9520" t="s">
        <v>121</v>
      </c>
      <c r="Q9520" t="s">
        <v>58</v>
      </c>
      <c r="R9520" t="str">
        <f>IFERROR(VLOOKUP(record[[#This Row],[PCUSTID]],廠商[],2,FALSE),"")</f>
        <v/>
      </c>
      <c r="S9520" t="str">
        <f>VLOOKUP(record[[#This Row],[employeeID]],員工[],2,FALSE)</f>
        <v>謝素卿</v>
      </c>
    </row>
    <row r="9521" spans="6:19" hidden="1" x14ac:dyDescent="0.25">
      <c r="F9521" t="s">
        <v>800</v>
      </c>
      <c r="G9521" t="s">
        <v>401</v>
      </c>
      <c r="H9521" t="str">
        <f>VLOOKUP(record[[#This Row],[ProcessSN]],表格2_7[],2,FALSE)</f>
        <v>30-4118-018-550</v>
      </c>
      <c r="I9521" t="str">
        <f>VLOOKUP(record[[#This Row],[ProcessSN]],表格2_7[],3,FALSE)</f>
        <v>#100OQC</v>
      </c>
      <c r="J9521" t="s">
        <v>599</v>
      </c>
      <c r="K9521" s="195">
        <v>45803.710335648146</v>
      </c>
      <c r="L9521">
        <v>134</v>
      </c>
      <c r="M9521">
        <v>0</v>
      </c>
      <c r="N9521" s="98" t="str">
        <f>IF(record[[#This Row],[Memo]]="Browser:chrome os:android","平板報工",IF(record[[#This Row],[Memo]]=0,"委外",record[[#This Row],[Memo]]))</f>
        <v/>
      </c>
      <c r="O9521" t="s">
        <v>58</v>
      </c>
      <c r="P9521" t="s">
        <v>121</v>
      </c>
      <c r="Q9521" t="s">
        <v>58</v>
      </c>
      <c r="R9521" t="str">
        <f>IFERROR(VLOOKUP(record[[#This Row],[PCUSTID]],廠商[],2,FALSE),"")</f>
        <v/>
      </c>
      <c r="S9521" t="str">
        <f>VLOOKUP(record[[#This Row],[employeeID]],員工[],2,FALSE)</f>
        <v>謝素卿</v>
      </c>
    </row>
    <row r="9522" spans="6:19" hidden="1" x14ac:dyDescent="0.25">
      <c r="F9522" t="s">
        <v>801</v>
      </c>
      <c r="G9522" t="s">
        <v>401</v>
      </c>
      <c r="H9522" t="str">
        <f>VLOOKUP(record[[#This Row],[ProcessSN]],表格2_7[],2,FALSE)</f>
        <v>30-4118-018-550</v>
      </c>
      <c r="I9522" t="str">
        <f>VLOOKUP(record[[#This Row],[ProcessSN]],表格2_7[],3,FALSE)</f>
        <v>#100OQC</v>
      </c>
      <c r="J9522" t="s">
        <v>599</v>
      </c>
      <c r="K9522" s="195">
        <v>45803.71020833333</v>
      </c>
      <c r="L9522">
        <v>171</v>
      </c>
      <c r="M9522">
        <v>0</v>
      </c>
      <c r="N9522" s="98" t="str">
        <f>IF(record[[#This Row],[Memo]]="Browser:chrome os:android","平板報工",IF(record[[#This Row],[Memo]]=0,"委外",record[[#This Row],[Memo]]))</f>
        <v/>
      </c>
      <c r="O9522" t="s">
        <v>58</v>
      </c>
      <c r="P9522" t="s">
        <v>121</v>
      </c>
      <c r="Q9522" t="s">
        <v>58</v>
      </c>
      <c r="R9522" t="str">
        <f>IFERROR(VLOOKUP(record[[#This Row],[PCUSTID]],廠商[],2,FALSE),"")</f>
        <v/>
      </c>
      <c r="S9522" t="str">
        <f>VLOOKUP(record[[#This Row],[employeeID]],員工[],2,FALSE)</f>
        <v>謝素卿</v>
      </c>
    </row>
    <row r="9523" spans="6:19" hidden="1" x14ac:dyDescent="0.25">
      <c r="F9523" t="s">
        <v>777</v>
      </c>
      <c r="G9523" t="s">
        <v>450</v>
      </c>
      <c r="H9523" t="str">
        <f>VLOOKUP(record[[#This Row],[ProcessSN]],表格2_7[],2,FALSE)</f>
        <v>30-4118-018-6XX</v>
      </c>
      <c r="I9523" t="str">
        <f>VLOOKUP(record[[#This Row],[ProcessSN]],表格2_7[],3,FALSE)</f>
        <v>#06</v>
      </c>
      <c r="J9523" t="s">
        <v>593</v>
      </c>
      <c r="K9523" s="195">
        <v>45803.648252314815</v>
      </c>
      <c r="L9523">
        <v>100</v>
      </c>
      <c r="M9523">
        <v>0</v>
      </c>
      <c r="N9523" s="98" t="str">
        <f>IF(record[[#This Row],[Memo]]="Browser:chrome os:android","平板報工",IF(record[[#This Row],[Memo]]=0,"委外",record[[#This Row],[Memo]]))</f>
        <v/>
      </c>
      <c r="O9523" t="s">
        <v>58</v>
      </c>
      <c r="P9523" t="s">
        <v>119</v>
      </c>
      <c r="Q9523" t="s">
        <v>58</v>
      </c>
      <c r="R9523" t="str">
        <f>IFERROR(VLOOKUP(record[[#This Row],[PCUSTID]],廠商[],2,FALSE),"")</f>
        <v/>
      </c>
      <c r="S9523" t="str">
        <f>VLOOKUP(record[[#This Row],[employeeID]],員工[],2,FALSE)</f>
        <v>廖俊彥</v>
      </c>
    </row>
    <row r="9524" spans="6:19" hidden="1" x14ac:dyDescent="0.25">
      <c r="F9524" t="s">
        <v>777</v>
      </c>
      <c r="G9524" t="s">
        <v>451</v>
      </c>
      <c r="H9524" t="str">
        <f>VLOOKUP(record[[#This Row],[ProcessSN]],表格2_7[],2,FALSE)</f>
        <v>30-4118-018-6XX</v>
      </c>
      <c r="I9524" t="str">
        <f>VLOOKUP(record[[#This Row],[ProcessSN]],表格2_7[],3,FALSE)</f>
        <v>#07</v>
      </c>
      <c r="J9524" t="s">
        <v>588</v>
      </c>
      <c r="K9524" s="195">
        <v>45803.648078703707</v>
      </c>
      <c r="L9524">
        <v>80</v>
      </c>
      <c r="M9524">
        <v>0</v>
      </c>
      <c r="N9524" s="98" t="str">
        <f>IF(record[[#This Row],[Memo]]="Browser:chrome os:android","平板報工",IF(record[[#This Row],[Memo]]=0,"委外",record[[#This Row],[Memo]]))</f>
        <v/>
      </c>
      <c r="O9524" t="s">
        <v>58</v>
      </c>
      <c r="P9524" t="s">
        <v>119</v>
      </c>
      <c r="Q9524" t="s">
        <v>58</v>
      </c>
      <c r="R9524" t="str">
        <f>IFERROR(VLOOKUP(record[[#This Row],[PCUSTID]],廠商[],2,FALSE),"")</f>
        <v/>
      </c>
      <c r="S9524" t="str">
        <f>VLOOKUP(record[[#This Row],[employeeID]],員工[],2,FALSE)</f>
        <v>廖俊彥</v>
      </c>
    </row>
    <row r="9525" spans="6:19" hidden="1" x14ac:dyDescent="0.25">
      <c r="F9525" t="s">
        <v>777</v>
      </c>
      <c r="G9525" t="s">
        <v>449</v>
      </c>
      <c r="H9525" t="str">
        <f>VLOOKUP(record[[#This Row],[ProcessSN]],表格2_7[],2,FALSE)</f>
        <v>30-4118-018-6XX</v>
      </c>
      <c r="I9525" t="str">
        <f>VLOOKUP(record[[#This Row],[ProcessSN]],表格2_7[],3,FALSE)</f>
        <v>#05</v>
      </c>
      <c r="J9525" t="s">
        <v>588</v>
      </c>
      <c r="K9525" s="195">
        <v>45803.643020833333</v>
      </c>
      <c r="L9525">
        <v>264</v>
      </c>
      <c r="M9525">
        <v>0</v>
      </c>
      <c r="N9525" s="98" t="str">
        <f>IF(record[[#This Row],[Memo]]="Browser:chrome os:android","平板報工",IF(record[[#This Row],[Memo]]=0,"委外",record[[#This Row],[Memo]]))</f>
        <v/>
      </c>
      <c r="O9525" t="s">
        <v>58</v>
      </c>
      <c r="P9525" t="s">
        <v>119</v>
      </c>
      <c r="Q9525" t="s">
        <v>58</v>
      </c>
      <c r="R9525" t="str">
        <f>IFERROR(VLOOKUP(record[[#This Row],[PCUSTID]],廠商[],2,FALSE),"")</f>
        <v/>
      </c>
      <c r="S9525" t="str">
        <f>VLOOKUP(record[[#This Row],[employeeID]],員工[],2,FALSE)</f>
        <v>廖俊彥</v>
      </c>
    </row>
    <row r="9526" spans="6:19" hidden="1" x14ac:dyDescent="0.25">
      <c r="F9526" t="s">
        <v>801</v>
      </c>
      <c r="G9526" t="s">
        <v>400</v>
      </c>
      <c r="H9526" t="str">
        <f>VLOOKUP(record[[#This Row],[ProcessSN]],表格2_7[],2,FALSE)</f>
        <v>30-4118-018-550</v>
      </c>
      <c r="I9526" t="str">
        <f>VLOOKUP(record[[#This Row],[ProcessSN]],表格2_7[],3,FALSE)</f>
        <v>#100</v>
      </c>
      <c r="J9526" t="s">
        <v>598</v>
      </c>
      <c r="K9526" s="195">
        <v>45803.60832175926</v>
      </c>
      <c r="L9526">
        <v>0</v>
      </c>
      <c r="M9526">
        <v>31</v>
      </c>
      <c r="N9526" s="98" t="str">
        <f>IF(record[[#This Row],[Memo]]="Browser:chrome os:android","平板報工",IF(record[[#This Row],[Memo]]=0,"委外",record[[#This Row],[Memo]]))</f>
        <v>平板報工</v>
      </c>
      <c r="O9526" t="s">
        <v>643</v>
      </c>
      <c r="P9526" t="s">
        <v>141</v>
      </c>
      <c r="Q9526" t="s">
        <v>644</v>
      </c>
      <c r="R9526" t="str">
        <f>IFERROR(VLOOKUP(record[[#This Row],[PCUSTID]],廠商[],2,FALSE),"")</f>
        <v/>
      </c>
      <c r="S9526" t="str">
        <f>VLOOKUP(record[[#This Row],[employeeID]],員工[],2,FALSE)</f>
        <v>蔣梅</v>
      </c>
    </row>
    <row r="9527" spans="6:19" hidden="1" x14ac:dyDescent="0.25">
      <c r="F9527" t="s">
        <v>800</v>
      </c>
      <c r="G9527" t="s">
        <v>400</v>
      </c>
      <c r="H9527" t="str">
        <f>VLOOKUP(record[[#This Row],[ProcessSN]],表格2_7[],2,FALSE)</f>
        <v>30-4118-018-550</v>
      </c>
      <c r="I9527" t="str">
        <f>VLOOKUP(record[[#This Row],[ProcessSN]],表格2_7[],3,FALSE)</f>
        <v>#100</v>
      </c>
      <c r="J9527" t="s">
        <v>598</v>
      </c>
      <c r="K9527" s="195">
        <v>45803.606307870374</v>
      </c>
      <c r="L9527">
        <v>134</v>
      </c>
      <c r="M9527">
        <v>0</v>
      </c>
      <c r="N9527" s="98" t="str">
        <f>IF(record[[#This Row],[Memo]]="Browser:chrome os:android","平板報工",IF(record[[#This Row],[Memo]]=0,"委外",record[[#This Row],[Memo]]))</f>
        <v>平板報工</v>
      </c>
      <c r="O9527" t="s">
        <v>643</v>
      </c>
      <c r="P9527" t="s">
        <v>141</v>
      </c>
      <c r="Q9527" t="s">
        <v>644</v>
      </c>
      <c r="R9527" t="str">
        <f>IFERROR(VLOOKUP(record[[#This Row],[PCUSTID]],廠商[],2,FALSE),"")</f>
        <v/>
      </c>
      <c r="S9527" t="str">
        <f>VLOOKUP(record[[#This Row],[employeeID]],員工[],2,FALSE)</f>
        <v>蔣梅</v>
      </c>
    </row>
    <row r="9528" spans="6:19" hidden="1" x14ac:dyDescent="0.25">
      <c r="F9528" t="s">
        <v>744</v>
      </c>
      <c r="G9528" t="s">
        <v>428</v>
      </c>
      <c r="H9528" t="str">
        <f>VLOOKUP(record[[#This Row],[ProcessSN]],表格2_7[],2,FALSE)</f>
        <v>30-4118-018-600</v>
      </c>
      <c r="I9528" t="str">
        <f>VLOOKUP(record[[#This Row],[ProcessSN]],表格2_7[],3,FALSE)</f>
        <v>#100SHIP</v>
      </c>
      <c r="J9528" t="s">
        <v>600</v>
      </c>
      <c r="K9528" s="195">
        <v>45803.599594907406</v>
      </c>
      <c r="L9528">
        <v>94</v>
      </c>
      <c r="M9528">
        <v>0</v>
      </c>
      <c r="N9528" s="98" t="str">
        <f>IF(record[[#This Row],[Memo]]="Browser:chrome os:android","平板報工",IF(record[[#This Row],[Memo]]=0,"委外",record[[#This Row],[Memo]]))</f>
        <v/>
      </c>
      <c r="O9528" t="s">
        <v>58</v>
      </c>
      <c r="P9528" t="s">
        <v>186</v>
      </c>
      <c r="Q9528" t="s">
        <v>58</v>
      </c>
      <c r="R9528" t="str">
        <f>IFERROR(VLOOKUP(record[[#This Row],[PCUSTID]],廠商[],2,FALSE),"")</f>
        <v/>
      </c>
      <c r="S9528" t="str">
        <f>VLOOKUP(record[[#This Row],[employeeID]],員工[],2,FALSE)</f>
        <v>許文姍</v>
      </c>
    </row>
    <row r="9529" spans="6:19" hidden="1" x14ac:dyDescent="0.25">
      <c r="F9529" t="s">
        <v>797</v>
      </c>
      <c r="G9529" t="s">
        <v>403</v>
      </c>
      <c r="H9529" t="str">
        <f>VLOOKUP(record[[#This Row],[ProcessSN]],表格2_7[],2,FALSE)</f>
        <v>30-4118-018-550</v>
      </c>
      <c r="I9529" t="str">
        <f>VLOOKUP(record[[#This Row],[ProcessSN]],表格2_7[],3,FALSE)</f>
        <v>#100SHIP</v>
      </c>
      <c r="J9529" t="s">
        <v>600</v>
      </c>
      <c r="K9529" s="195">
        <v>45803.593726851854</v>
      </c>
      <c r="L9529">
        <v>9</v>
      </c>
      <c r="M9529">
        <v>0</v>
      </c>
      <c r="N9529" s="98" t="str">
        <f>IF(record[[#This Row],[Memo]]="Browser:chrome os:android","平板報工",IF(record[[#This Row],[Memo]]=0,"委外",record[[#This Row],[Memo]]))</f>
        <v/>
      </c>
      <c r="O9529" t="s">
        <v>58</v>
      </c>
      <c r="P9529" t="s">
        <v>186</v>
      </c>
      <c r="Q9529" t="s">
        <v>58</v>
      </c>
      <c r="R9529" t="str">
        <f>IFERROR(VLOOKUP(record[[#This Row],[PCUSTID]],廠商[],2,FALSE),"")</f>
        <v/>
      </c>
      <c r="S9529" t="str">
        <f>VLOOKUP(record[[#This Row],[employeeID]],員工[],2,FALSE)</f>
        <v>許文姍</v>
      </c>
    </row>
    <row r="9530" spans="6:19" hidden="1" x14ac:dyDescent="0.25">
      <c r="F9530" t="s">
        <v>801</v>
      </c>
      <c r="G9530" t="s">
        <v>400</v>
      </c>
      <c r="H9530" t="str">
        <f>VLOOKUP(record[[#This Row],[ProcessSN]],表格2_7[],2,FALSE)</f>
        <v>30-4118-018-550</v>
      </c>
      <c r="I9530" t="str">
        <f>VLOOKUP(record[[#This Row],[ProcessSN]],表格2_7[],3,FALSE)</f>
        <v>#100</v>
      </c>
      <c r="J9530" t="s">
        <v>598</v>
      </c>
      <c r="K9530" s="195">
        <v>45803.576469907406</v>
      </c>
      <c r="L9530">
        <v>171</v>
      </c>
      <c r="M9530">
        <v>0</v>
      </c>
      <c r="N9530" s="98" t="str">
        <f>IF(record[[#This Row],[Memo]]="Browser:chrome os:android","平板報工",IF(record[[#This Row],[Memo]]=0,"委外",record[[#This Row],[Memo]]))</f>
        <v>平板報工</v>
      </c>
      <c r="O9530" t="s">
        <v>643</v>
      </c>
      <c r="P9530" t="s">
        <v>141</v>
      </c>
      <c r="Q9530" t="s">
        <v>644</v>
      </c>
      <c r="R9530" t="str">
        <f>IFERROR(VLOOKUP(record[[#This Row],[PCUSTID]],廠商[],2,FALSE),"")</f>
        <v/>
      </c>
      <c r="S9530" t="str">
        <f>VLOOKUP(record[[#This Row],[employeeID]],員工[],2,FALSE)</f>
        <v>蔣梅</v>
      </c>
    </row>
    <row r="9531" spans="6:19" hidden="1" x14ac:dyDescent="0.25">
      <c r="F9531" t="s">
        <v>810</v>
      </c>
      <c r="G9531" t="s">
        <v>425</v>
      </c>
      <c r="H9531" t="str">
        <f>VLOOKUP(record[[#This Row],[ProcessSN]],表格2_7[],2,FALSE)</f>
        <v>30-4118-018-600</v>
      </c>
      <c r="I9531" t="str">
        <f>VLOOKUP(record[[#This Row],[ProcessSN]],表格2_7[],3,FALSE)</f>
        <v>#100</v>
      </c>
      <c r="J9531" t="s">
        <v>598</v>
      </c>
      <c r="K9531" s="195">
        <v>45803.47997685185</v>
      </c>
      <c r="L9531">
        <v>0</v>
      </c>
      <c r="M9531">
        <v>3</v>
      </c>
      <c r="N9531" s="98" t="str">
        <f>IF(record[[#This Row],[Memo]]="Browser:chrome os:android","平板報工",IF(record[[#This Row],[Memo]]=0,"委外",record[[#This Row],[Memo]]))</f>
        <v>平板報工</v>
      </c>
      <c r="O9531" t="s">
        <v>643</v>
      </c>
      <c r="P9531" t="s">
        <v>141</v>
      </c>
      <c r="Q9531" t="s">
        <v>644</v>
      </c>
      <c r="R9531" t="str">
        <f>IFERROR(VLOOKUP(record[[#This Row],[PCUSTID]],廠商[],2,FALSE),"")</f>
        <v/>
      </c>
      <c r="S9531" t="str">
        <f>VLOOKUP(record[[#This Row],[employeeID]],員工[],2,FALSE)</f>
        <v>蔣梅</v>
      </c>
    </row>
    <row r="9532" spans="6:19" hidden="1" x14ac:dyDescent="0.25">
      <c r="F9532" t="s">
        <v>810</v>
      </c>
      <c r="G9532" t="s">
        <v>425</v>
      </c>
      <c r="H9532" t="str">
        <f>VLOOKUP(record[[#This Row],[ProcessSN]],表格2_7[],2,FALSE)</f>
        <v>30-4118-018-600</v>
      </c>
      <c r="I9532" t="str">
        <f>VLOOKUP(record[[#This Row],[ProcessSN]],表格2_7[],3,FALSE)</f>
        <v>#100</v>
      </c>
      <c r="J9532" t="s">
        <v>598</v>
      </c>
      <c r="K9532" s="195">
        <v>45803.479745370372</v>
      </c>
      <c r="L9532">
        <v>153</v>
      </c>
      <c r="M9532">
        <v>0</v>
      </c>
      <c r="N9532" s="98" t="str">
        <f>IF(record[[#This Row],[Memo]]="Browser:chrome os:android","平板報工",IF(record[[#This Row],[Memo]]=0,"委外",record[[#This Row],[Memo]]))</f>
        <v>平板報工</v>
      </c>
      <c r="O9532" t="s">
        <v>643</v>
      </c>
      <c r="P9532" t="s">
        <v>141</v>
      </c>
      <c r="Q9532" t="s">
        <v>644</v>
      </c>
      <c r="R9532" t="str">
        <f>IFERROR(VLOOKUP(record[[#This Row],[PCUSTID]],廠商[],2,FALSE),"")</f>
        <v/>
      </c>
      <c r="S9532" t="str">
        <f>VLOOKUP(record[[#This Row],[employeeID]],員工[],2,FALSE)</f>
        <v>蔣梅</v>
      </c>
    </row>
    <row r="9533" spans="6:19" hidden="1" x14ac:dyDescent="0.25">
      <c r="F9533" t="s">
        <v>810</v>
      </c>
      <c r="G9533" t="s">
        <v>424</v>
      </c>
      <c r="H9533" t="str">
        <f>VLOOKUP(record[[#This Row],[ProcessSN]],表格2_7[],2,FALSE)</f>
        <v>30-4118-018-600</v>
      </c>
      <c r="I9533" t="str">
        <f>VLOOKUP(record[[#This Row],[ProcessSN]],表格2_7[],3,FALSE)</f>
        <v>#08IQC</v>
      </c>
      <c r="J9533" t="s">
        <v>583</v>
      </c>
      <c r="K9533" s="195">
        <v>45803.451331018521</v>
      </c>
      <c r="L9533">
        <v>156</v>
      </c>
      <c r="M9533">
        <v>0</v>
      </c>
      <c r="N9533" s="98" t="str">
        <f>IF(record[[#This Row],[Memo]]="Browser:chrome os:android","平板報工",IF(record[[#This Row],[Memo]]=0,"委外",record[[#This Row],[Memo]]))</f>
        <v>代RU放行</v>
      </c>
      <c r="O9533" t="s">
        <v>816</v>
      </c>
      <c r="P9533" t="s">
        <v>65</v>
      </c>
      <c r="Q9533" t="s">
        <v>58</v>
      </c>
      <c r="R9533" t="str">
        <f>IFERROR(VLOOKUP(record[[#This Row],[PCUSTID]],廠商[],2,FALSE),"")</f>
        <v/>
      </c>
      <c r="S9533" t="str">
        <f>VLOOKUP(record[[#This Row],[employeeID]],員工[],2,FALSE)</f>
        <v>蘇進昌</v>
      </c>
    </row>
    <row r="9534" spans="6:19" hidden="1" x14ac:dyDescent="0.25">
      <c r="F9534" t="s">
        <v>801</v>
      </c>
      <c r="G9534" t="s">
        <v>399</v>
      </c>
      <c r="H9534" t="str">
        <f>VLOOKUP(record[[#This Row],[ProcessSN]],表格2_7[],2,FALSE)</f>
        <v>30-4118-018-550</v>
      </c>
      <c r="I9534" t="str">
        <f>VLOOKUP(record[[#This Row],[ProcessSN]],表格2_7[],3,FALSE)</f>
        <v>#08IQC</v>
      </c>
      <c r="J9534" t="s">
        <v>583</v>
      </c>
      <c r="K9534" s="195">
        <v>45803.451226851852</v>
      </c>
      <c r="L9534">
        <v>202</v>
      </c>
      <c r="M9534">
        <v>0</v>
      </c>
      <c r="N9534" s="98" t="str">
        <f>IF(record[[#This Row],[Memo]]="Browser:chrome os:android","平板報工",IF(record[[#This Row],[Memo]]=0,"委外",record[[#This Row],[Memo]]))</f>
        <v>代RU放行</v>
      </c>
      <c r="O9534" t="s">
        <v>816</v>
      </c>
      <c r="P9534" t="s">
        <v>65</v>
      </c>
      <c r="Q9534" t="s">
        <v>58</v>
      </c>
      <c r="R9534" t="str">
        <f>IFERROR(VLOOKUP(record[[#This Row],[PCUSTID]],廠商[],2,FALSE),"")</f>
        <v/>
      </c>
      <c r="S9534" t="str">
        <f>VLOOKUP(record[[#This Row],[employeeID]],員工[],2,FALSE)</f>
        <v>蘇進昌</v>
      </c>
    </row>
    <row r="9535" spans="6:19" hidden="1" x14ac:dyDescent="0.25">
      <c r="F9535" t="s">
        <v>800</v>
      </c>
      <c r="G9535" t="s">
        <v>399</v>
      </c>
      <c r="H9535" t="str">
        <f>VLOOKUP(record[[#This Row],[ProcessSN]],表格2_7[],2,FALSE)</f>
        <v>30-4118-018-550</v>
      </c>
      <c r="I9535" t="str">
        <f>VLOOKUP(record[[#This Row],[ProcessSN]],表格2_7[],3,FALSE)</f>
        <v>#08IQC</v>
      </c>
      <c r="J9535" t="s">
        <v>583</v>
      </c>
      <c r="K9535" s="195">
        <v>45803.451041666667</v>
      </c>
      <c r="L9535">
        <v>134</v>
      </c>
      <c r="M9535">
        <v>0</v>
      </c>
      <c r="N9535" s="98" t="str">
        <f>IF(record[[#This Row],[Memo]]="Browser:chrome os:android","平板報工",IF(record[[#This Row],[Memo]]=0,"委外",record[[#This Row],[Memo]]))</f>
        <v>代RU放行</v>
      </c>
      <c r="O9535" t="s">
        <v>816</v>
      </c>
      <c r="P9535" t="s">
        <v>65</v>
      </c>
      <c r="Q9535" t="s">
        <v>58</v>
      </c>
      <c r="R9535" t="str">
        <f>IFERROR(VLOOKUP(record[[#This Row],[PCUSTID]],廠商[],2,FALSE),"")</f>
        <v/>
      </c>
      <c r="S9535" t="str">
        <f>VLOOKUP(record[[#This Row],[employeeID]],員工[],2,FALSE)</f>
        <v>蘇進昌</v>
      </c>
    </row>
    <row r="9536" spans="6:19" hidden="1" x14ac:dyDescent="0.25">
      <c r="F9536" t="s">
        <v>810</v>
      </c>
      <c r="G9536" t="s">
        <v>423</v>
      </c>
      <c r="H9536" t="str">
        <f>VLOOKUP(record[[#This Row],[ProcessSN]],表格2_7[],2,FALSE)</f>
        <v>30-4118-018-600</v>
      </c>
      <c r="I9536" t="str">
        <f>VLOOKUP(record[[#This Row],[ProcessSN]],表格2_7[],3,FALSE)</f>
        <v>#08RCV</v>
      </c>
      <c r="J9536" t="s">
        <v>591</v>
      </c>
      <c r="K9536" s="195">
        <v>45803.445648148147</v>
      </c>
      <c r="L9536">
        <v>0</v>
      </c>
      <c r="M9536">
        <v>5</v>
      </c>
      <c r="N9536" s="98" t="str">
        <f>IF(record[[#This Row],[Memo]]="Browser:chrome os:android","平板報工",IF(record[[#This Row],[Memo]]=0,"委外",record[[#This Row],[Memo]]))</f>
        <v/>
      </c>
      <c r="O9536" t="s">
        <v>58</v>
      </c>
      <c r="P9536" t="s">
        <v>186</v>
      </c>
      <c r="Q9536" t="s">
        <v>58</v>
      </c>
      <c r="R9536" t="str">
        <f>IFERROR(VLOOKUP(record[[#This Row],[PCUSTID]],廠商[],2,FALSE),"")</f>
        <v/>
      </c>
      <c r="S9536" t="str">
        <f>VLOOKUP(record[[#This Row],[employeeID]],員工[],2,FALSE)</f>
        <v>許文姍</v>
      </c>
    </row>
    <row r="9537" spans="6:19" hidden="1" x14ac:dyDescent="0.25">
      <c r="F9537" t="s">
        <v>801</v>
      </c>
      <c r="G9537" t="s">
        <v>398</v>
      </c>
      <c r="H9537" t="str">
        <f>VLOOKUP(record[[#This Row],[ProcessSN]],表格2_7[],2,FALSE)</f>
        <v>30-4118-018-550</v>
      </c>
      <c r="I9537" t="str">
        <f>VLOOKUP(record[[#This Row],[ProcessSN]],表格2_7[],3,FALSE)</f>
        <v>#08RCV</v>
      </c>
      <c r="J9537" t="s">
        <v>591</v>
      </c>
      <c r="K9537" s="195">
        <v>45803.445185185185</v>
      </c>
      <c r="L9537">
        <v>0</v>
      </c>
      <c r="M9537">
        <v>38</v>
      </c>
      <c r="N9537" s="98" t="str">
        <f>IF(record[[#This Row],[Memo]]="Browser:chrome os:android","平板報工",IF(record[[#This Row],[Memo]]=0,"委外",record[[#This Row],[Memo]]))</f>
        <v/>
      </c>
      <c r="O9537" t="s">
        <v>58</v>
      </c>
      <c r="P9537" t="s">
        <v>186</v>
      </c>
      <c r="Q9537" t="s">
        <v>58</v>
      </c>
      <c r="R9537" t="str">
        <f>IFERROR(VLOOKUP(record[[#This Row],[PCUSTID]],廠商[],2,FALSE),"")</f>
        <v/>
      </c>
      <c r="S9537" t="str">
        <f>VLOOKUP(record[[#This Row],[employeeID]],員工[],2,FALSE)</f>
        <v>許文姍</v>
      </c>
    </row>
    <row r="9538" spans="6:19" hidden="1" x14ac:dyDescent="0.25">
      <c r="F9538" t="s">
        <v>810</v>
      </c>
      <c r="G9538" t="s">
        <v>423</v>
      </c>
      <c r="H9538" t="str">
        <f>VLOOKUP(record[[#This Row],[ProcessSN]],表格2_7[],2,FALSE)</f>
        <v>30-4118-018-600</v>
      </c>
      <c r="I9538" t="str">
        <f>VLOOKUP(record[[#This Row],[ProcessSN]],表格2_7[],3,FALSE)</f>
        <v>#08RCV</v>
      </c>
      <c r="J9538" t="s">
        <v>591</v>
      </c>
      <c r="K9538" s="195">
        <v>45803.442488425928</v>
      </c>
      <c r="L9538">
        <v>156</v>
      </c>
      <c r="M9538">
        <v>0</v>
      </c>
      <c r="N9538" s="98" t="str">
        <f>IF(record[[#This Row],[Memo]]="Browser:chrome os:android","平板報工",IF(record[[#This Row],[Memo]]=0,"委外",record[[#This Row],[Memo]]))</f>
        <v/>
      </c>
      <c r="O9538" t="s">
        <v>58</v>
      </c>
      <c r="P9538" t="s">
        <v>186</v>
      </c>
      <c r="Q9538" t="s">
        <v>58</v>
      </c>
      <c r="R9538" t="str">
        <f>IFERROR(VLOOKUP(record[[#This Row],[PCUSTID]],廠商[],2,FALSE),"")</f>
        <v/>
      </c>
      <c r="S9538" t="str">
        <f>VLOOKUP(record[[#This Row],[employeeID]],員工[],2,FALSE)</f>
        <v>許文姍</v>
      </c>
    </row>
    <row r="9539" spans="6:19" hidden="1" x14ac:dyDescent="0.25">
      <c r="F9539" t="s">
        <v>801</v>
      </c>
      <c r="G9539" t="s">
        <v>398</v>
      </c>
      <c r="H9539" t="str">
        <f>VLOOKUP(record[[#This Row],[ProcessSN]],表格2_7[],2,FALSE)</f>
        <v>30-4118-018-550</v>
      </c>
      <c r="I9539" t="str">
        <f>VLOOKUP(record[[#This Row],[ProcessSN]],表格2_7[],3,FALSE)</f>
        <v>#08RCV</v>
      </c>
      <c r="J9539" t="s">
        <v>591</v>
      </c>
      <c r="K9539" s="195">
        <v>45803.441944444443</v>
      </c>
      <c r="L9539">
        <v>202</v>
      </c>
      <c r="M9539">
        <v>0</v>
      </c>
      <c r="N9539" s="98" t="str">
        <f>IF(record[[#This Row],[Memo]]="Browser:chrome os:android","平板報工",IF(record[[#This Row],[Memo]]=0,"委外",record[[#This Row],[Memo]]))</f>
        <v/>
      </c>
      <c r="O9539" t="s">
        <v>58</v>
      </c>
      <c r="P9539" t="s">
        <v>186</v>
      </c>
      <c r="Q9539" t="s">
        <v>58</v>
      </c>
      <c r="R9539" t="str">
        <f>IFERROR(VLOOKUP(record[[#This Row],[PCUSTID]],廠商[],2,FALSE),"")</f>
        <v/>
      </c>
      <c r="S9539" t="str">
        <f>VLOOKUP(record[[#This Row],[employeeID]],員工[],2,FALSE)</f>
        <v>許文姍</v>
      </c>
    </row>
    <row r="9540" spans="6:19" hidden="1" x14ac:dyDescent="0.25">
      <c r="F9540" t="s">
        <v>800</v>
      </c>
      <c r="G9540" t="s">
        <v>398</v>
      </c>
      <c r="H9540" t="str">
        <f>VLOOKUP(record[[#This Row],[ProcessSN]],表格2_7[],2,FALSE)</f>
        <v>30-4118-018-550</v>
      </c>
      <c r="I9540" t="str">
        <f>VLOOKUP(record[[#This Row],[ProcessSN]],表格2_7[],3,FALSE)</f>
        <v>#08RCV</v>
      </c>
      <c r="J9540" t="s">
        <v>591</v>
      </c>
      <c r="K9540" s="195">
        <v>45803.441770833335</v>
      </c>
      <c r="L9540">
        <v>134</v>
      </c>
      <c r="M9540">
        <v>0</v>
      </c>
      <c r="N9540" s="98" t="str">
        <f>IF(record[[#This Row],[Memo]]="Browser:chrome os:android","平板報工",IF(record[[#This Row],[Memo]]=0,"委外",record[[#This Row],[Memo]]))</f>
        <v/>
      </c>
      <c r="O9540" t="s">
        <v>58</v>
      </c>
      <c r="P9540" t="s">
        <v>186</v>
      </c>
      <c r="Q9540" t="s">
        <v>58</v>
      </c>
      <c r="R9540" t="str">
        <f>IFERROR(VLOOKUP(record[[#This Row],[PCUSTID]],廠商[],2,FALSE),"")</f>
        <v/>
      </c>
      <c r="S9540" t="str">
        <f>VLOOKUP(record[[#This Row],[employeeID]],員工[],2,FALSE)</f>
        <v>許文姍</v>
      </c>
    </row>
    <row r="9541" spans="6:19" hidden="1" x14ac:dyDescent="0.25">
      <c r="F9541" t="s">
        <v>777</v>
      </c>
      <c r="G9541" t="s">
        <v>450</v>
      </c>
      <c r="H9541" t="str">
        <f>VLOOKUP(record[[#This Row],[ProcessSN]],表格2_7[],2,FALSE)</f>
        <v>30-4118-018-6XX</v>
      </c>
      <c r="I9541" t="str">
        <f>VLOOKUP(record[[#This Row],[ProcessSN]],表格2_7[],3,FALSE)</f>
        <v>#06</v>
      </c>
      <c r="J9541" t="s">
        <v>593</v>
      </c>
      <c r="K9541" s="195">
        <v>45801.308009259257</v>
      </c>
      <c r="L9541">
        <v>121</v>
      </c>
      <c r="M9541">
        <v>0</v>
      </c>
      <c r="N9541" s="98" t="str">
        <f>IF(record[[#This Row],[Memo]]="Browser:chrome os:android","平板報工",IF(record[[#This Row],[Memo]]=0,"委外",record[[#This Row],[Memo]]))</f>
        <v/>
      </c>
      <c r="O9541" t="s">
        <v>58</v>
      </c>
      <c r="P9541" t="s">
        <v>135</v>
      </c>
      <c r="Q9541" t="s">
        <v>58</v>
      </c>
      <c r="R9541" t="str">
        <f>IFERROR(VLOOKUP(record[[#This Row],[PCUSTID]],廠商[],2,FALSE),"")</f>
        <v/>
      </c>
      <c r="S9541" t="str">
        <f>VLOOKUP(record[[#This Row],[employeeID]],員工[],2,FALSE)</f>
        <v>阮士文</v>
      </c>
    </row>
    <row r="9542" spans="6:19" hidden="1" x14ac:dyDescent="0.25">
      <c r="F9542" t="s">
        <v>777</v>
      </c>
      <c r="G9542" t="s">
        <v>450</v>
      </c>
      <c r="H9542" t="str">
        <f>VLOOKUP(record[[#This Row],[ProcessSN]],表格2_7[],2,FALSE)</f>
        <v>30-4118-018-6XX</v>
      </c>
      <c r="I9542" t="str">
        <f>VLOOKUP(record[[#This Row],[ProcessSN]],表格2_7[],3,FALSE)</f>
        <v>#06</v>
      </c>
      <c r="J9542" t="s">
        <v>593</v>
      </c>
      <c r="K9542" s="195">
        <v>45800.946412037039</v>
      </c>
      <c r="L9542">
        <v>60</v>
      </c>
      <c r="M9542">
        <v>0</v>
      </c>
      <c r="N9542" s="98" t="str">
        <f>IF(record[[#This Row],[Memo]]="Browser:chrome os:android","平板報工",IF(record[[#This Row],[Memo]]=0,"委外",record[[#This Row],[Memo]]))</f>
        <v/>
      </c>
      <c r="O9542" t="s">
        <v>58</v>
      </c>
      <c r="P9542" t="s">
        <v>763</v>
      </c>
      <c r="Q9542" t="s">
        <v>58</v>
      </c>
      <c r="R9542" t="str">
        <f>IFERROR(VLOOKUP(record[[#This Row],[PCUSTID]],廠商[],2,FALSE),"")</f>
        <v/>
      </c>
      <c r="S9542" t="str">
        <f>VLOOKUP(record[[#This Row],[employeeID]],員工[],2,FALSE)</f>
        <v>江嘉倫</v>
      </c>
    </row>
    <row r="9543" spans="6:19" hidden="1" x14ac:dyDescent="0.25">
      <c r="F9543" t="s">
        <v>778</v>
      </c>
      <c r="G9543" t="s">
        <v>417</v>
      </c>
      <c r="H9543" t="str">
        <f>VLOOKUP(record[[#This Row],[ProcessSN]],表格2_7[],2,FALSE)</f>
        <v>30-4118-018-5XX</v>
      </c>
      <c r="I9543" t="str">
        <f>VLOOKUP(record[[#This Row],[ProcessSN]],表格2_7[],3,FALSE)</f>
        <v>#06</v>
      </c>
      <c r="J9543" t="s">
        <v>593</v>
      </c>
      <c r="K9543" s="195">
        <v>45800.90353009259</v>
      </c>
      <c r="L9543">
        <v>55</v>
      </c>
      <c r="M9543">
        <v>0</v>
      </c>
      <c r="N9543" s="98" t="str">
        <f>IF(record[[#This Row],[Memo]]="Browser:chrome os:android","平板報工",IF(record[[#This Row],[Memo]]=0,"委外",record[[#This Row],[Memo]]))</f>
        <v/>
      </c>
      <c r="O9543" t="s">
        <v>58</v>
      </c>
      <c r="P9543" t="s">
        <v>763</v>
      </c>
      <c r="Q9543" t="s">
        <v>58</v>
      </c>
      <c r="R9543" t="str">
        <f>IFERROR(VLOOKUP(record[[#This Row],[PCUSTID]],廠商[],2,FALSE),"")</f>
        <v/>
      </c>
      <c r="S9543" t="str">
        <f>VLOOKUP(record[[#This Row],[employeeID]],員工[],2,FALSE)</f>
        <v>江嘉倫</v>
      </c>
    </row>
    <row r="9544" spans="6:19" hidden="1" x14ac:dyDescent="0.25">
      <c r="F9544" t="s">
        <v>778</v>
      </c>
      <c r="G9544" t="s">
        <v>417</v>
      </c>
      <c r="H9544" t="str">
        <f>VLOOKUP(record[[#This Row],[ProcessSN]],表格2_7[],2,FALSE)</f>
        <v>30-4118-018-5XX</v>
      </c>
      <c r="I9544" t="str">
        <f>VLOOKUP(record[[#This Row],[ProcessSN]],表格2_7[],3,FALSE)</f>
        <v>#06</v>
      </c>
      <c r="J9544" t="s">
        <v>593</v>
      </c>
      <c r="K9544" s="195">
        <v>45800.6565162037</v>
      </c>
      <c r="L9544">
        <v>100</v>
      </c>
      <c r="M9544">
        <v>0</v>
      </c>
      <c r="N9544" s="98" t="str">
        <f>IF(record[[#This Row],[Memo]]="Browser:chrome os:android","平板報工",IF(record[[#This Row],[Memo]]=0,"委外",record[[#This Row],[Memo]]))</f>
        <v/>
      </c>
      <c r="O9544" t="s">
        <v>58</v>
      </c>
      <c r="P9544" t="s">
        <v>101</v>
      </c>
      <c r="Q9544" t="s">
        <v>58</v>
      </c>
      <c r="R9544" t="str">
        <f>IFERROR(VLOOKUP(record[[#This Row],[PCUSTID]],廠商[],2,FALSE),"")</f>
        <v/>
      </c>
      <c r="S9544" t="str">
        <f>VLOOKUP(record[[#This Row],[employeeID]],員工[],2,FALSE)</f>
        <v>陳氏絨</v>
      </c>
    </row>
    <row r="9545" spans="6:19" hidden="1" x14ac:dyDescent="0.25">
      <c r="F9545" t="s">
        <v>777</v>
      </c>
      <c r="G9545" t="s">
        <v>449</v>
      </c>
      <c r="H9545" t="str">
        <f>VLOOKUP(record[[#This Row],[ProcessSN]],表格2_7[],2,FALSE)</f>
        <v>30-4118-018-6XX</v>
      </c>
      <c r="I9545" t="str">
        <f>VLOOKUP(record[[#This Row],[ProcessSN]],表格2_7[],3,FALSE)</f>
        <v>#05</v>
      </c>
      <c r="J9545" t="s">
        <v>588</v>
      </c>
      <c r="K9545" s="195">
        <v>45800.644201388888</v>
      </c>
      <c r="L9545">
        <v>252</v>
      </c>
      <c r="M9545">
        <v>0</v>
      </c>
      <c r="N9545" s="98" t="str">
        <f>IF(record[[#This Row],[Memo]]="Browser:chrome os:android","平板報工",IF(record[[#This Row],[Memo]]=0,"委外",record[[#This Row],[Memo]]))</f>
        <v/>
      </c>
      <c r="O9545" t="s">
        <v>58</v>
      </c>
      <c r="P9545" t="s">
        <v>101</v>
      </c>
      <c r="Q9545" t="s">
        <v>58</v>
      </c>
      <c r="R9545" t="str">
        <f>IFERROR(VLOOKUP(record[[#This Row],[PCUSTID]],廠商[],2,FALSE),"")</f>
        <v/>
      </c>
      <c r="S9545" t="str">
        <f>VLOOKUP(record[[#This Row],[employeeID]],員工[],2,FALSE)</f>
        <v>陳氏絨</v>
      </c>
    </row>
    <row r="9546" spans="6:19" hidden="1" x14ac:dyDescent="0.25">
      <c r="F9546" t="s">
        <v>797</v>
      </c>
      <c r="G9546" t="s">
        <v>403</v>
      </c>
      <c r="H9546" t="str">
        <f>VLOOKUP(record[[#This Row],[ProcessSN]],表格2_7[],2,FALSE)</f>
        <v>30-4118-018-550</v>
      </c>
      <c r="I9546" t="str">
        <f>VLOOKUP(record[[#This Row],[ProcessSN]],表格2_7[],3,FALSE)</f>
        <v>#100SHIP</v>
      </c>
      <c r="J9546" t="s">
        <v>600</v>
      </c>
      <c r="K9546" s="195">
        <v>45800.589421296296</v>
      </c>
      <c r="L9546">
        <v>2</v>
      </c>
      <c r="M9546">
        <v>0</v>
      </c>
      <c r="N9546" s="98" t="str">
        <f>IF(record[[#This Row],[Memo]]="Browser:chrome os:android","平板報工",IF(record[[#This Row],[Memo]]=0,"委外",record[[#This Row],[Memo]]))</f>
        <v/>
      </c>
      <c r="O9546" t="s">
        <v>58</v>
      </c>
      <c r="P9546" t="s">
        <v>186</v>
      </c>
      <c r="Q9546" t="s">
        <v>58</v>
      </c>
      <c r="R9546" t="str">
        <f>IFERROR(VLOOKUP(record[[#This Row],[PCUSTID]],廠商[],2,FALSE),"")</f>
        <v/>
      </c>
      <c r="S9546" t="str">
        <f>VLOOKUP(record[[#This Row],[employeeID]],員工[],2,FALSE)</f>
        <v>許文姍</v>
      </c>
    </row>
    <row r="9547" spans="6:19" hidden="1" x14ac:dyDescent="0.25">
      <c r="F9547" t="s">
        <v>678</v>
      </c>
      <c r="G9547" t="s">
        <v>362</v>
      </c>
      <c r="H9547" t="str">
        <f>VLOOKUP(record[[#This Row],[ProcessSN]],表格2_7[],2,FALSE)</f>
        <v>30-4118-018-450</v>
      </c>
      <c r="I9547" t="str">
        <f>VLOOKUP(record[[#This Row],[ProcessSN]],表格2_7[],3,FALSE)</f>
        <v>#100SHIP</v>
      </c>
      <c r="J9547" t="s">
        <v>600</v>
      </c>
      <c r="K9547" s="195">
        <v>45800.584629629629</v>
      </c>
      <c r="L9547">
        <v>7</v>
      </c>
      <c r="M9547">
        <v>0</v>
      </c>
      <c r="N9547" s="98" t="str">
        <f>IF(record[[#This Row],[Memo]]="Browser:chrome os:android","平板報工",IF(record[[#This Row],[Memo]]=0,"委外",record[[#This Row],[Memo]]))</f>
        <v/>
      </c>
      <c r="O9547" t="s">
        <v>58</v>
      </c>
      <c r="P9547" t="s">
        <v>186</v>
      </c>
      <c r="Q9547" t="s">
        <v>58</v>
      </c>
      <c r="R9547" t="str">
        <f>IFERROR(VLOOKUP(record[[#This Row],[PCUSTID]],廠商[],2,FALSE),"")</f>
        <v/>
      </c>
      <c r="S9547" t="str">
        <f>VLOOKUP(record[[#This Row],[employeeID]],員工[],2,FALSE)</f>
        <v>許文姍</v>
      </c>
    </row>
    <row r="9548" spans="6:19" hidden="1" x14ac:dyDescent="0.25">
      <c r="F9548" t="s">
        <v>756</v>
      </c>
      <c r="G9548" t="s">
        <v>471</v>
      </c>
      <c r="H9548" t="str">
        <f>VLOOKUP(record[[#This Row],[ProcessSN]],表格2_7[],2,FALSE)</f>
        <v>30-4118-018-XXX</v>
      </c>
      <c r="I9548" t="str">
        <f>VLOOKUP(record[[#This Row],[ProcessSN]],表格2_7[],3,FALSE)</f>
        <v>#02STOCK</v>
      </c>
      <c r="J9548" t="s">
        <v>592</v>
      </c>
      <c r="K9548" s="195">
        <v>45800.554386574076</v>
      </c>
      <c r="L9548">
        <v>1436</v>
      </c>
      <c r="M9548">
        <v>0</v>
      </c>
      <c r="N9548" s="98" t="str">
        <f>IF(record[[#This Row],[Memo]]="Browser:chrome os:android","平板報工",IF(record[[#This Row],[Memo]]=0,"委外",record[[#This Row],[Memo]]))</f>
        <v/>
      </c>
      <c r="O9548" t="s">
        <v>58</v>
      </c>
      <c r="P9548" t="s">
        <v>65</v>
      </c>
      <c r="Q9548" t="s">
        <v>58</v>
      </c>
      <c r="R9548" t="str">
        <f>IFERROR(VLOOKUP(record[[#This Row],[PCUSTID]],廠商[],2,FALSE),"")</f>
        <v/>
      </c>
      <c r="S9548" t="str">
        <f>VLOOKUP(record[[#This Row],[employeeID]],員工[],2,FALSE)</f>
        <v>蘇進昌</v>
      </c>
    </row>
    <row r="9549" spans="6:19" hidden="1" x14ac:dyDescent="0.25">
      <c r="F9549" t="s">
        <v>810</v>
      </c>
      <c r="G9549" t="s">
        <v>422</v>
      </c>
      <c r="H9549" t="str">
        <f>VLOOKUP(record[[#This Row],[ProcessSN]],表格2_7[],2,FALSE)</f>
        <v>30-4118-018-600</v>
      </c>
      <c r="I9549" t="str">
        <f>VLOOKUP(record[[#This Row],[ProcessSN]],表格2_7[],3,FALSE)</f>
        <v>#08</v>
      </c>
      <c r="J9549" t="s">
        <v>597</v>
      </c>
      <c r="K9549" s="195">
        <v>45800.427245370367</v>
      </c>
      <c r="L9549">
        <v>161</v>
      </c>
      <c r="M9549">
        <v>0</v>
      </c>
      <c r="N9549" s="98" t="str">
        <f>IF(record[[#This Row],[Memo]]="Browser:chrome os:android","平板報工",IF(record[[#This Row],[Memo]]=0,"委外",record[[#This Row],[Memo]]))</f>
        <v>委外</v>
      </c>
      <c r="P9549" t="s">
        <v>186</v>
      </c>
      <c r="Q9549" t="s">
        <v>287</v>
      </c>
      <c r="R9549" t="str">
        <f>IFERROR(VLOOKUP(record[[#This Row],[PCUSTID]],廠商[],2,FALSE),"")</f>
        <v>泉盛</v>
      </c>
      <c r="S9549" t="str">
        <f>VLOOKUP(record[[#This Row],[employeeID]],員工[],2,FALSE)</f>
        <v>許文姍</v>
      </c>
    </row>
    <row r="9550" spans="6:19" hidden="1" x14ac:dyDescent="0.25">
      <c r="F9550" t="s">
        <v>812</v>
      </c>
      <c r="G9550" t="s">
        <v>397</v>
      </c>
      <c r="H9550" t="str">
        <f>VLOOKUP(record[[#This Row],[ProcessSN]],表格2_7[],2,FALSE)</f>
        <v>30-4118-018-550</v>
      </c>
      <c r="I9550" t="str">
        <f>VLOOKUP(record[[#This Row],[ProcessSN]],表格2_7[],3,FALSE)</f>
        <v>#08</v>
      </c>
      <c r="J9550" t="s">
        <v>597</v>
      </c>
      <c r="K9550" s="195">
        <v>45800.426747685182</v>
      </c>
      <c r="L9550">
        <v>88</v>
      </c>
      <c r="M9550">
        <v>0</v>
      </c>
      <c r="N9550" s="98" t="str">
        <f>IF(record[[#This Row],[Memo]]="Browser:chrome os:android","平板報工",IF(record[[#This Row],[Memo]]=0,"委外",record[[#This Row],[Memo]]))</f>
        <v>委外</v>
      </c>
      <c r="P9550" t="s">
        <v>186</v>
      </c>
      <c r="Q9550" t="s">
        <v>287</v>
      </c>
      <c r="R9550" t="str">
        <f>IFERROR(VLOOKUP(record[[#This Row],[PCUSTID]],廠商[],2,FALSE),"")</f>
        <v>泉盛</v>
      </c>
      <c r="S9550" t="str">
        <f>VLOOKUP(record[[#This Row],[employeeID]],員工[],2,FALSE)</f>
        <v>許文姍</v>
      </c>
    </row>
    <row r="9551" spans="6:19" hidden="1" x14ac:dyDescent="0.25">
      <c r="F9551" t="s">
        <v>815</v>
      </c>
      <c r="G9551" t="s">
        <v>396</v>
      </c>
      <c r="H9551" t="str">
        <f>VLOOKUP(record[[#This Row],[ProcessSN]],表格2_7[],2,FALSE)</f>
        <v>30-4118-018-550</v>
      </c>
      <c r="I9551" t="str">
        <f>VLOOKUP(record[[#This Row],[ProcessSN]],表格2_7[],3,FALSE)</f>
        <v>#08PICK</v>
      </c>
      <c r="J9551" t="s">
        <v>582</v>
      </c>
      <c r="K9551" s="195">
        <v>45800.425439814811</v>
      </c>
      <c r="L9551">
        <v>88</v>
      </c>
      <c r="M9551">
        <v>0</v>
      </c>
      <c r="N9551" s="98" t="str">
        <f>IF(record[[#This Row],[Memo]]="Browser:chrome os:android","平板報工",IF(record[[#This Row],[Memo]]=0,"委外",record[[#This Row],[Memo]]))</f>
        <v/>
      </c>
      <c r="O9551" t="s">
        <v>58</v>
      </c>
      <c r="P9551" t="s">
        <v>113</v>
      </c>
      <c r="Q9551" t="s">
        <v>58</v>
      </c>
      <c r="R9551" t="str">
        <f>IFERROR(VLOOKUP(record[[#This Row],[PCUSTID]],廠商[],2,FALSE),"")</f>
        <v/>
      </c>
      <c r="S9551" t="str">
        <f>VLOOKUP(record[[#This Row],[employeeID]],員工[],2,FALSE)</f>
        <v>王奕蓁</v>
      </c>
    </row>
    <row r="9552" spans="6:19" hidden="1" x14ac:dyDescent="0.25">
      <c r="F9552" t="s">
        <v>814</v>
      </c>
      <c r="G9552" t="s">
        <v>420</v>
      </c>
      <c r="H9552" t="str">
        <f>VLOOKUP(record[[#This Row],[ProcessSN]],表格2_7[],2,FALSE)</f>
        <v>30-4118-018-5XX</v>
      </c>
      <c r="I9552" t="str">
        <f>VLOOKUP(record[[#This Row],[ProcessSN]],表格2_7[],3,FALSE)</f>
        <v>#07STOCK</v>
      </c>
      <c r="J9552" t="s">
        <v>592</v>
      </c>
      <c r="K9552" s="195">
        <v>45800.424976851849</v>
      </c>
      <c r="L9552">
        <v>222</v>
      </c>
      <c r="M9552">
        <v>0</v>
      </c>
      <c r="N9552" s="98" t="str">
        <f>IF(record[[#This Row],[Memo]]="Browser:chrome os:android","平板報工",IF(record[[#This Row],[Memo]]=0,"委外",record[[#This Row],[Memo]]))</f>
        <v/>
      </c>
      <c r="O9552" t="s">
        <v>58</v>
      </c>
      <c r="P9552" t="s">
        <v>113</v>
      </c>
      <c r="Q9552" t="s">
        <v>58</v>
      </c>
      <c r="R9552" t="str">
        <f>IFERROR(VLOOKUP(record[[#This Row],[PCUSTID]],廠商[],2,FALSE),"")</f>
        <v/>
      </c>
      <c r="S9552" t="str">
        <f>VLOOKUP(record[[#This Row],[employeeID]],員工[],2,FALSE)</f>
        <v>王奕蓁</v>
      </c>
    </row>
    <row r="9553" spans="6:19" hidden="1" x14ac:dyDescent="0.25">
      <c r="F9553" t="s">
        <v>811</v>
      </c>
      <c r="G9553" t="s">
        <v>397</v>
      </c>
      <c r="H9553" t="str">
        <f>VLOOKUP(record[[#This Row],[ProcessSN]],表格2_7[],2,FALSE)</f>
        <v>30-4118-018-550</v>
      </c>
      <c r="I9553" t="str">
        <f>VLOOKUP(record[[#This Row],[ProcessSN]],表格2_7[],3,FALSE)</f>
        <v>#08</v>
      </c>
      <c r="J9553" t="s">
        <v>597</v>
      </c>
      <c r="K9553" s="195">
        <v>45800.424201388887</v>
      </c>
      <c r="L9553">
        <v>134</v>
      </c>
      <c r="M9553">
        <v>0</v>
      </c>
      <c r="N9553" s="98" t="str">
        <f>IF(record[[#This Row],[Memo]]="Browser:chrome os:android","平板報工",IF(record[[#This Row],[Memo]]=0,"委外",record[[#This Row],[Memo]]))</f>
        <v>委外</v>
      </c>
      <c r="P9553" t="s">
        <v>186</v>
      </c>
      <c r="Q9553" t="s">
        <v>287</v>
      </c>
      <c r="R9553" t="str">
        <f>IFERROR(VLOOKUP(record[[#This Row],[PCUSTID]],廠商[],2,FALSE),"")</f>
        <v>泉盛</v>
      </c>
      <c r="S9553" t="str">
        <f>VLOOKUP(record[[#This Row],[employeeID]],員工[],2,FALSE)</f>
        <v>許文姍</v>
      </c>
    </row>
    <row r="9554" spans="6:19" hidden="1" x14ac:dyDescent="0.25">
      <c r="F9554" t="s">
        <v>813</v>
      </c>
      <c r="G9554" t="s">
        <v>396</v>
      </c>
      <c r="H9554" t="str">
        <f>VLOOKUP(record[[#This Row],[ProcessSN]],表格2_7[],2,FALSE)</f>
        <v>30-4118-018-550</v>
      </c>
      <c r="I9554" t="str">
        <f>VLOOKUP(record[[#This Row],[ProcessSN]],表格2_7[],3,FALSE)</f>
        <v>#08PICK</v>
      </c>
      <c r="J9554" t="s">
        <v>582</v>
      </c>
      <c r="K9554" s="195">
        <v>45800.424016203702</v>
      </c>
      <c r="L9554">
        <v>134</v>
      </c>
      <c r="M9554">
        <v>0</v>
      </c>
      <c r="N9554" s="98" t="str">
        <f>IF(record[[#This Row],[Memo]]="Browser:chrome os:android","平板報工",IF(record[[#This Row],[Memo]]=0,"委外",record[[#This Row],[Memo]]))</f>
        <v/>
      </c>
      <c r="O9554" t="s">
        <v>58</v>
      </c>
      <c r="P9554" t="s">
        <v>113</v>
      </c>
      <c r="Q9554" t="s">
        <v>58</v>
      </c>
      <c r="R9554" t="str">
        <f>IFERROR(VLOOKUP(record[[#This Row],[PCUSTID]],廠商[],2,FALSE),"")</f>
        <v/>
      </c>
      <c r="S9554" t="str">
        <f>VLOOKUP(record[[#This Row],[employeeID]],員工[],2,FALSE)</f>
        <v>王奕蓁</v>
      </c>
    </row>
    <row r="9555" spans="6:19" hidden="1" x14ac:dyDescent="0.25">
      <c r="F9555" t="s">
        <v>778</v>
      </c>
      <c r="G9555" t="s">
        <v>419</v>
      </c>
      <c r="H9555" t="str">
        <f>VLOOKUP(record[[#This Row],[ProcessSN]],表格2_7[],2,FALSE)</f>
        <v>30-4118-018-5XX</v>
      </c>
      <c r="I9555" t="str">
        <f>VLOOKUP(record[[#This Row],[ProcessSN]],表格2_7[],3,FALSE)</f>
        <v>#07QC</v>
      </c>
      <c r="J9555" t="s">
        <v>589</v>
      </c>
      <c r="K9555" s="195">
        <v>45800.413923611108</v>
      </c>
      <c r="L9555">
        <v>0</v>
      </c>
      <c r="M9555">
        <v>34</v>
      </c>
      <c r="N9555" s="98" t="str">
        <f>IF(record[[#This Row],[Memo]]="Browser:chrome os:android","平板報工",IF(record[[#This Row],[Memo]]=0,"委外",record[[#This Row],[Memo]]))</f>
        <v>平板報工</v>
      </c>
      <c r="O9555" t="s">
        <v>643</v>
      </c>
      <c r="P9555" t="s">
        <v>141</v>
      </c>
      <c r="Q9555" t="s">
        <v>644</v>
      </c>
      <c r="R9555" t="str">
        <f>IFERROR(VLOOKUP(record[[#This Row],[PCUSTID]],廠商[],2,FALSE),"")</f>
        <v/>
      </c>
      <c r="S9555" t="str">
        <f>VLOOKUP(record[[#This Row],[employeeID]],員工[],2,FALSE)</f>
        <v>蔣梅</v>
      </c>
    </row>
    <row r="9556" spans="6:19" hidden="1" x14ac:dyDescent="0.25">
      <c r="F9556" t="s">
        <v>778</v>
      </c>
      <c r="G9556" t="s">
        <v>419</v>
      </c>
      <c r="H9556" t="str">
        <f>VLOOKUP(record[[#This Row],[ProcessSN]],表格2_7[],2,FALSE)</f>
        <v>30-4118-018-5XX</v>
      </c>
      <c r="I9556" t="str">
        <f>VLOOKUP(record[[#This Row],[ProcessSN]],表格2_7[],3,FALSE)</f>
        <v>#07QC</v>
      </c>
      <c r="J9556" t="s">
        <v>589</v>
      </c>
      <c r="K9556" s="195">
        <v>45800.413668981484</v>
      </c>
      <c r="L9556">
        <v>134</v>
      </c>
      <c r="M9556">
        <v>0</v>
      </c>
      <c r="N9556" s="98" t="str">
        <f>IF(record[[#This Row],[Memo]]="Browser:chrome os:android","平板報工",IF(record[[#This Row],[Memo]]=0,"委外",record[[#This Row],[Memo]]))</f>
        <v>平板報工</v>
      </c>
      <c r="O9556" t="s">
        <v>643</v>
      </c>
      <c r="P9556" t="s">
        <v>141</v>
      </c>
      <c r="Q9556" t="s">
        <v>644</v>
      </c>
      <c r="R9556" t="str">
        <f>IFERROR(VLOOKUP(record[[#This Row],[PCUSTID]],廠商[],2,FALSE),"")</f>
        <v/>
      </c>
      <c r="S9556" t="str">
        <f>VLOOKUP(record[[#This Row],[employeeID]],員工[],2,FALSE)</f>
        <v>蔣梅</v>
      </c>
    </row>
    <row r="9557" spans="6:19" hidden="1" x14ac:dyDescent="0.25">
      <c r="F9557" t="s">
        <v>771</v>
      </c>
      <c r="G9557" t="s">
        <v>453</v>
      </c>
      <c r="H9557" t="str">
        <f>VLOOKUP(record[[#This Row],[ProcessSN]],表格2_7[],2,FALSE)</f>
        <v>30-4118-018-6XX</v>
      </c>
      <c r="I9557" t="str">
        <f>VLOOKUP(record[[#This Row],[ProcessSN]],表格2_7[],3,FALSE)</f>
        <v>#07STOCK</v>
      </c>
      <c r="J9557" t="s">
        <v>592</v>
      </c>
      <c r="K9557" s="195">
        <v>45800.379664351851</v>
      </c>
      <c r="L9557">
        <v>4</v>
      </c>
      <c r="M9557">
        <v>0</v>
      </c>
      <c r="N9557" s="98" t="str">
        <f>IF(record[[#This Row],[Memo]]="Browser:chrome os:android","平板報工",IF(record[[#This Row],[Memo]]=0,"委外",record[[#This Row],[Memo]]))</f>
        <v/>
      </c>
      <c r="O9557" t="s">
        <v>58</v>
      </c>
      <c r="P9557" t="s">
        <v>113</v>
      </c>
      <c r="Q9557" t="s">
        <v>58</v>
      </c>
      <c r="R9557" t="str">
        <f>IFERROR(VLOOKUP(record[[#This Row],[PCUSTID]],廠商[],2,FALSE),"")</f>
        <v/>
      </c>
      <c r="S9557" t="str">
        <f>VLOOKUP(record[[#This Row],[employeeID]],員工[],2,FALSE)</f>
        <v>王奕蓁</v>
      </c>
    </row>
    <row r="9558" spans="6:19" hidden="1" x14ac:dyDescent="0.25">
      <c r="F9558" t="s">
        <v>809</v>
      </c>
      <c r="G9558" t="s">
        <v>453</v>
      </c>
      <c r="H9558" t="str">
        <f>VLOOKUP(record[[#This Row],[ProcessSN]],表格2_7[],2,FALSE)</f>
        <v>30-4118-018-6XX</v>
      </c>
      <c r="I9558" t="str">
        <f>VLOOKUP(record[[#This Row],[ProcessSN]],表格2_7[],3,FALSE)</f>
        <v>#07STOCK</v>
      </c>
      <c r="J9558" t="s">
        <v>592</v>
      </c>
      <c r="K9558" s="195">
        <v>45800.374236111114</v>
      </c>
      <c r="L9558">
        <v>157</v>
      </c>
      <c r="M9558">
        <v>0</v>
      </c>
      <c r="N9558" s="98" t="str">
        <f>IF(record[[#This Row],[Memo]]="Browser:chrome os:android","平板報工",IF(record[[#This Row],[Memo]]=0,"委外",record[[#This Row],[Memo]]))</f>
        <v/>
      </c>
      <c r="O9558" t="s">
        <v>58</v>
      </c>
      <c r="P9558" t="s">
        <v>113</v>
      </c>
      <c r="Q9558" t="s">
        <v>58</v>
      </c>
      <c r="R9558" t="str">
        <f>IFERROR(VLOOKUP(record[[#This Row],[PCUSTID]],廠商[],2,FALSE),"")</f>
        <v/>
      </c>
      <c r="S9558" t="str">
        <f>VLOOKUP(record[[#This Row],[employeeID]],員工[],2,FALSE)</f>
        <v>王奕蓁</v>
      </c>
    </row>
    <row r="9559" spans="6:19" hidden="1" x14ac:dyDescent="0.25">
      <c r="F9559" t="s">
        <v>777</v>
      </c>
      <c r="G9559" t="s">
        <v>452</v>
      </c>
      <c r="H9559" t="str">
        <f>VLOOKUP(record[[#This Row],[ProcessSN]],表格2_7[],2,FALSE)</f>
        <v>30-4118-018-6XX</v>
      </c>
      <c r="I9559" t="str">
        <f>VLOOKUP(record[[#This Row],[ProcessSN]],表格2_7[],3,FALSE)</f>
        <v>#07QC</v>
      </c>
      <c r="J9559" t="s">
        <v>589</v>
      </c>
      <c r="K9559" s="195">
        <v>45800.373888888891</v>
      </c>
      <c r="L9559">
        <v>0</v>
      </c>
      <c r="M9559">
        <v>2</v>
      </c>
      <c r="N9559" s="98" t="str">
        <f>IF(record[[#This Row],[Memo]]="Browser:chrome os:android","平板報工",IF(record[[#This Row],[Memo]]=0,"委外",record[[#This Row],[Memo]]))</f>
        <v>平板報工</v>
      </c>
      <c r="O9559" t="s">
        <v>643</v>
      </c>
      <c r="P9559" t="s">
        <v>141</v>
      </c>
      <c r="Q9559" t="s">
        <v>644</v>
      </c>
      <c r="R9559" t="str">
        <f>IFERROR(VLOOKUP(record[[#This Row],[PCUSTID]],廠商[],2,FALSE),"")</f>
        <v/>
      </c>
      <c r="S9559" t="str">
        <f>VLOOKUP(record[[#This Row],[employeeID]],員工[],2,FALSE)</f>
        <v>蔣梅</v>
      </c>
    </row>
    <row r="9560" spans="6:19" hidden="1" x14ac:dyDescent="0.25">
      <c r="F9560" t="s">
        <v>777</v>
      </c>
      <c r="G9560" t="s">
        <v>452</v>
      </c>
      <c r="H9560" t="str">
        <f>VLOOKUP(record[[#This Row],[ProcessSN]],表格2_7[],2,FALSE)</f>
        <v>30-4118-018-6XX</v>
      </c>
      <c r="I9560" t="str">
        <f>VLOOKUP(record[[#This Row],[ProcessSN]],表格2_7[],3,FALSE)</f>
        <v>#07QC</v>
      </c>
      <c r="J9560" t="s">
        <v>589</v>
      </c>
      <c r="K9560" s="195">
        <v>45800.373645833337</v>
      </c>
      <c r="L9560">
        <v>157</v>
      </c>
      <c r="M9560">
        <v>0</v>
      </c>
      <c r="N9560" s="98" t="str">
        <f>IF(record[[#This Row],[Memo]]="Browser:chrome os:android","平板報工",IF(record[[#This Row],[Memo]]=0,"委外",record[[#This Row],[Memo]]))</f>
        <v>平板報工</v>
      </c>
      <c r="O9560" t="s">
        <v>643</v>
      </c>
      <c r="P9560" t="s">
        <v>141</v>
      </c>
      <c r="Q9560" t="s">
        <v>644</v>
      </c>
      <c r="R9560" t="str">
        <f>IFERROR(VLOOKUP(record[[#This Row],[PCUSTID]],廠商[],2,FALSE),"")</f>
        <v/>
      </c>
      <c r="S9560" t="str">
        <f>VLOOKUP(record[[#This Row],[employeeID]],員工[],2,FALSE)</f>
        <v>蔣梅</v>
      </c>
    </row>
    <row r="9561" spans="6:19" hidden="1" x14ac:dyDescent="0.25">
      <c r="F9561" t="s">
        <v>808</v>
      </c>
      <c r="G9561" t="s">
        <v>421</v>
      </c>
      <c r="H9561" t="str">
        <f>VLOOKUP(record[[#This Row],[ProcessSN]],表格2_7[],2,FALSE)</f>
        <v>30-4118-018-600</v>
      </c>
      <c r="I9561" t="str">
        <f>VLOOKUP(record[[#This Row],[ProcessSN]],表格2_7[],3,FALSE)</f>
        <v>#08PICK</v>
      </c>
      <c r="J9561" t="s">
        <v>582</v>
      </c>
      <c r="K9561" s="195">
        <v>45800.372569444444</v>
      </c>
      <c r="L9561">
        <v>161</v>
      </c>
      <c r="M9561">
        <v>0</v>
      </c>
      <c r="N9561" s="98" t="str">
        <f>IF(record[[#This Row],[Memo]]="Browser:chrome os:android","平板報工",IF(record[[#This Row],[Memo]]=0,"委外",record[[#This Row],[Memo]]))</f>
        <v/>
      </c>
      <c r="O9561" t="s">
        <v>58</v>
      </c>
      <c r="P9561" t="s">
        <v>113</v>
      </c>
      <c r="Q9561" t="s">
        <v>58</v>
      </c>
      <c r="R9561" t="str">
        <f>IFERROR(VLOOKUP(record[[#This Row],[PCUSTID]],廠商[],2,FALSE),"")</f>
        <v/>
      </c>
      <c r="S9561" t="str">
        <f>VLOOKUP(record[[#This Row],[employeeID]],員工[],2,FALSE)</f>
        <v>王奕蓁</v>
      </c>
    </row>
    <row r="9562" spans="6:19" hidden="1" x14ac:dyDescent="0.25">
      <c r="F9562" t="s">
        <v>778</v>
      </c>
      <c r="G9562" t="s">
        <v>417</v>
      </c>
      <c r="H9562" t="str">
        <f>VLOOKUP(record[[#This Row],[ProcessSN]],表格2_7[],2,FALSE)</f>
        <v>30-4118-018-5XX</v>
      </c>
      <c r="I9562" t="str">
        <f>VLOOKUP(record[[#This Row],[ProcessSN]],表格2_7[],3,FALSE)</f>
        <v>#06</v>
      </c>
      <c r="J9562" t="s">
        <v>593</v>
      </c>
      <c r="K9562" s="195">
        <v>45800.308368055557</v>
      </c>
      <c r="L9562">
        <v>48</v>
      </c>
      <c r="M9562">
        <v>0</v>
      </c>
      <c r="N9562" s="98" t="str">
        <f>IF(record[[#This Row],[Memo]]="Browser:chrome os:android","平板報工",IF(record[[#This Row],[Memo]]=0,"委外",record[[#This Row],[Memo]]))</f>
        <v/>
      </c>
      <c r="O9562" t="s">
        <v>58</v>
      </c>
      <c r="P9562" t="s">
        <v>135</v>
      </c>
      <c r="Q9562" t="s">
        <v>58</v>
      </c>
      <c r="R9562" t="str">
        <f>IFERROR(VLOOKUP(record[[#This Row],[PCUSTID]],廠商[],2,FALSE),"")</f>
        <v/>
      </c>
      <c r="S9562" t="str">
        <f>VLOOKUP(record[[#This Row],[employeeID]],員工[],2,FALSE)</f>
        <v>阮士文</v>
      </c>
    </row>
    <row r="9563" spans="6:19" hidden="1" x14ac:dyDescent="0.25">
      <c r="F9563" t="s">
        <v>777</v>
      </c>
      <c r="G9563" t="s">
        <v>451</v>
      </c>
      <c r="H9563" t="str">
        <f>VLOOKUP(record[[#This Row],[ProcessSN]],表格2_7[],2,FALSE)</f>
        <v>30-4118-018-6XX</v>
      </c>
      <c r="I9563" t="str">
        <f>VLOOKUP(record[[#This Row],[ProcessSN]],表格2_7[],3,FALSE)</f>
        <v>#07</v>
      </c>
      <c r="J9563" t="s">
        <v>588</v>
      </c>
      <c r="K9563" s="195">
        <v>45800.307187500002</v>
      </c>
      <c r="L9563">
        <v>159</v>
      </c>
      <c r="M9563">
        <v>1</v>
      </c>
      <c r="N9563" s="98" t="str">
        <f>IF(record[[#This Row],[Memo]]="Browser:chrome os:android","平板報工",IF(record[[#This Row],[Memo]]=0,"委外",record[[#This Row],[Memo]]))</f>
        <v/>
      </c>
      <c r="O9563" t="s">
        <v>58</v>
      </c>
      <c r="P9563" t="s">
        <v>135</v>
      </c>
      <c r="Q9563" t="s">
        <v>58</v>
      </c>
      <c r="R9563" t="str">
        <f>IFERROR(VLOOKUP(record[[#This Row],[PCUSTID]],廠商[],2,FALSE),"")</f>
        <v/>
      </c>
      <c r="S9563" t="str">
        <f>VLOOKUP(record[[#This Row],[employeeID]],員工[],2,FALSE)</f>
        <v>阮士文</v>
      </c>
    </row>
    <row r="9564" spans="6:19" hidden="1" x14ac:dyDescent="0.25">
      <c r="F9564" t="s">
        <v>777</v>
      </c>
      <c r="G9564" t="s">
        <v>450</v>
      </c>
      <c r="H9564" t="str">
        <f>VLOOKUP(record[[#This Row],[ProcessSN]],表格2_7[],2,FALSE)</f>
        <v>30-4118-018-6XX</v>
      </c>
      <c r="I9564" t="str">
        <f>VLOOKUP(record[[#This Row],[ProcessSN]],表格2_7[],3,FALSE)</f>
        <v>#06</v>
      </c>
      <c r="J9564" t="s">
        <v>593</v>
      </c>
      <c r="K9564" s="195">
        <v>45800.307037037041</v>
      </c>
      <c r="L9564">
        <v>74</v>
      </c>
      <c r="M9564">
        <v>0</v>
      </c>
      <c r="N9564" s="98" t="str">
        <f>IF(record[[#This Row],[Memo]]="Browser:chrome os:android","平板報工",IF(record[[#This Row],[Memo]]=0,"委外",record[[#This Row],[Memo]]))</f>
        <v/>
      </c>
      <c r="O9564" t="s">
        <v>58</v>
      </c>
      <c r="P9564" t="s">
        <v>135</v>
      </c>
      <c r="Q9564" t="s">
        <v>58</v>
      </c>
      <c r="R9564" t="str">
        <f>IFERROR(VLOOKUP(record[[#This Row],[PCUSTID]],廠商[],2,FALSE),"")</f>
        <v/>
      </c>
      <c r="S9564" t="str">
        <f>VLOOKUP(record[[#This Row],[employeeID]],員工[],2,FALSE)</f>
        <v>阮士文</v>
      </c>
    </row>
    <row r="9565" spans="6:19" hidden="1" x14ac:dyDescent="0.25">
      <c r="F9565" t="s">
        <v>777</v>
      </c>
      <c r="G9565" t="s">
        <v>450</v>
      </c>
      <c r="H9565" t="str">
        <f>VLOOKUP(record[[#This Row],[ProcessSN]],表格2_7[],2,FALSE)</f>
        <v>30-4118-018-6XX</v>
      </c>
      <c r="I9565" t="str">
        <f>VLOOKUP(record[[#This Row],[ProcessSN]],表格2_7[],3,FALSE)</f>
        <v>#06</v>
      </c>
      <c r="J9565" t="s">
        <v>593</v>
      </c>
      <c r="K9565" s="195">
        <v>45799.970763888887</v>
      </c>
      <c r="L9565">
        <v>86</v>
      </c>
      <c r="M9565">
        <v>0</v>
      </c>
      <c r="N9565" s="98" t="str">
        <f>IF(record[[#This Row],[Memo]]="Browser:chrome os:android","平板報工",IF(record[[#This Row],[Memo]]=0,"委外",record[[#This Row],[Memo]]))</f>
        <v/>
      </c>
      <c r="O9565" t="s">
        <v>58</v>
      </c>
      <c r="P9565" t="s">
        <v>166</v>
      </c>
      <c r="Q9565" t="s">
        <v>58</v>
      </c>
      <c r="R9565" t="str">
        <f>IFERROR(VLOOKUP(record[[#This Row],[PCUSTID]],廠商[],2,FALSE),"")</f>
        <v/>
      </c>
      <c r="S9565" t="str">
        <f>VLOOKUP(record[[#This Row],[employeeID]],員工[],2,FALSE)</f>
        <v>阮懷香</v>
      </c>
    </row>
    <row r="9566" spans="6:19" hidden="1" x14ac:dyDescent="0.25">
      <c r="F9566" t="s">
        <v>777</v>
      </c>
      <c r="G9566" t="s">
        <v>449</v>
      </c>
      <c r="H9566" t="str">
        <f>VLOOKUP(record[[#This Row],[ProcessSN]],表格2_7[],2,FALSE)</f>
        <v>30-4118-018-6XX</v>
      </c>
      <c r="I9566" t="str">
        <f>VLOOKUP(record[[#This Row],[ProcessSN]],表格2_7[],3,FALSE)</f>
        <v>#05</v>
      </c>
      <c r="J9566" t="s">
        <v>588</v>
      </c>
      <c r="K9566" s="195">
        <v>45799.928043981483</v>
      </c>
      <c r="L9566">
        <v>160</v>
      </c>
      <c r="M9566">
        <v>0</v>
      </c>
      <c r="N9566" s="98" t="str">
        <f>IF(record[[#This Row],[Memo]]="Browser:chrome os:android","平板報工",IF(record[[#This Row],[Memo]]=0,"委外",record[[#This Row],[Memo]]))</f>
        <v/>
      </c>
      <c r="O9566" t="s">
        <v>58</v>
      </c>
      <c r="P9566" t="s">
        <v>89</v>
      </c>
      <c r="Q9566" t="s">
        <v>58</v>
      </c>
      <c r="R9566" t="str">
        <f>IFERROR(VLOOKUP(record[[#This Row],[PCUSTID]],廠商[],2,FALSE),"")</f>
        <v/>
      </c>
      <c r="S9566" t="str">
        <f>VLOOKUP(record[[#This Row],[employeeID]],員工[],2,FALSE)</f>
        <v>李美蓮</v>
      </c>
    </row>
    <row r="9567" spans="6:19" hidden="1" x14ac:dyDescent="0.25">
      <c r="F9567" t="s">
        <v>778</v>
      </c>
      <c r="G9567" t="s">
        <v>417</v>
      </c>
      <c r="H9567" t="str">
        <f>VLOOKUP(record[[#This Row],[ProcessSN]],表格2_7[],2,FALSE)</f>
        <v>30-4118-018-5XX</v>
      </c>
      <c r="I9567" t="str">
        <f>VLOOKUP(record[[#This Row],[ProcessSN]],表格2_7[],3,FALSE)</f>
        <v>#06</v>
      </c>
      <c r="J9567" t="s">
        <v>593</v>
      </c>
      <c r="K9567" s="195">
        <v>45799.914942129632</v>
      </c>
      <c r="L9567">
        <v>35</v>
      </c>
      <c r="M9567">
        <v>0</v>
      </c>
      <c r="N9567" s="98" t="str">
        <f>IF(record[[#This Row],[Memo]]="Browser:chrome os:android","平板報工",IF(record[[#This Row],[Memo]]=0,"委外",record[[#This Row],[Memo]]))</f>
        <v/>
      </c>
      <c r="O9567" t="s">
        <v>58</v>
      </c>
      <c r="P9567" t="s">
        <v>166</v>
      </c>
      <c r="Q9567" t="s">
        <v>58</v>
      </c>
      <c r="R9567" t="str">
        <f>IFERROR(VLOOKUP(record[[#This Row],[PCUSTID]],廠商[],2,FALSE),"")</f>
        <v/>
      </c>
      <c r="S9567" t="str">
        <f>VLOOKUP(record[[#This Row],[employeeID]],員工[],2,FALSE)</f>
        <v>阮懷香</v>
      </c>
    </row>
    <row r="9568" spans="6:19" hidden="1" x14ac:dyDescent="0.25">
      <c r="F9568" t="s">
        <v>797</v>
      </c>
      <c r="G9568" t="s">
        <v>403</v>
      </c>
      <c r="H9568" t="str">
        <f>VLOOKUP(record[[#This Row],[ProcessSN]],表格2_7[],2,FALSE)</f>
        <v>30-4118-018-550</v>
      </c>
      <c r="I9568" t="str">
        <f>VLOOKUP(record[[#This Row],[ProcessSN]],表格2_7[],3,FALSE)</f>
        <v>#100SHIP</v>
      </c>
      <c r="J9568" t="s">
        <v>600</v>
      </c>
      <c r="K9568" s="195">
        <v>45799.701736111114</v>
      </c>
      <c r="L9568">
        <v>146</v>
      </c>
      <c r="M9568">
        <v>0</v>
      </c>
      <c r="N9568" s="98" t="str">
        <f>IF(record[[#This Row],[Memo]]="Browser:chrome os:android","平板報工",IF(record[[#This Row],[Memo]]=0,"委外",record[[#This Row],[Memo]]))</f>
        <v/>
      </c>
      <c r="O9568" t="s">
        <v>58</v>
      </c>
      <c r="P9568" t="s">
        <v>196</v>
      </c>
      <c r="Q9568" t="s">
        <v>58</v>
      </c>
      <c r="R9568" t="str">
        <f>IFERROR(VLOOKUP(record[[#This Row],[PCUSTID]],廠商[],2,FALSE),"")</f>
        <v/>
      </c>
      <c r="S9568" t="str">
        <f>VLOOKUP(record[[#This Row],[employeeID]],員工[],2,FALSE)</f>
        <v>張淑惠</v>
      </c>
    </row>
    <row r="9569" spans="6:19" hidden="1" x14ac:dyDescent="0.25">
      <c r="F9569" t="s">
        <v>797</v>
      </c>
      <c r="G9569" t="s">
        <v>402</v>
      </c>
      <c r="H9569" t="str">
        <f>VLOOKUP(record[[#This Row],[ProcessSN]],表格2_7[],2,FALSE)</f>
        <v>30-4118-018-550</v>
      </c>
      <c r="I9569" t="str">
        <f>VLOOKUP(record[[#This Row],[ProcessSN]],表格2_7[],3,FALSE)</f>
        <v>#100STOCK</v>
      </c>
      <c r="J9569" t="s">
        <v>592</v>
      </c>
      <c r="K9569" s="195">
        <v>45799.701388888891</v>
      </c>
      <c r="L9569">
        <v>157</v>
      </c>
      <c r="M9569">
        <v>0</v>
      </c>
      <c r="N9569" s="98" t="str">
        <f>IF(record[[#This Row],[Memo]]="Browser:chrome os:android","平板報工",IF(record[[#This Row],[Memo]]=0,"委外",record[[#This Row],[Memo]]))</f>
        <v/>
      </c>
      <c r="O9569" t="s">
        <v>58</v>
      </c>
      <c r="P9569" t="s">
        <v>196</v>
      </c>
      <c r="Q9569" t="s">
        <v>58</v>
      </c>
      <c r="R9569" t="str">
        <f>IFERROR(VLOOKUP(record[[#This Row],[PCUSTID]],廠商[],2,FALSE),"")</f>
        <v/>
      </c>
      <c r="S9569" t="str">
        <f>VLOOKUP(record[[#This Row],[employeeID]],員工[],2,FALSE)</f>
        <v>張淑惠</v>
      </c>
    </row>
    <row r="9570" spans="6:19" hidden="1" x14ac:dyDescent="0.25">
      <c r="F9570" t="s">
        <v>797</v>
      </c>
      <c r="G9570" t="s">
        <v>401</v>
      </c>
      <c r="H9570" t="str">
        <f>VLOOKUP(record[[#This Row],[ProcessSN]],表格2_7[],2,FALSE)</f>
        <v>30-4118-018-550</v>
      </c>
      <c r="I9570" t="str">
        <f>VLOOKUP(record[[#This Row],[ProcessSN]],表格2_7[],3,FALSE)</f>
        <v>#100OQC</v>
      </c>
      <c r="J9570" t="s">
        <v>599</v>
      </c>
      <c r="K9570" s="195">
        <v>45799.685439814813</v>
      </c>
      <c r="L9570">
        <v>157</v>
      </c>
      <c r="M9570">
        <v>0</v>
      </c>
      <c r="N9570" s="98" t="str">
        <f>IF(record[[#This Row],[Memo]]="Browser:chrome os:android","平板報工",IF(record[[#This Row],[Memo]]=0,"委外",record[[#This Row],[Memo]]))</f>
        <v/>
      </c>
      <c r="O9570" t="s">
        <v>58</v>
      </c>
      <c r="P9570" t="s">
        <v>121</v>
      </c>
      <c r="Q9570" t="s">
        <v>58</v>
      </c>
      <c r="R9570" t="str">
        <f>IFERROR(VLOOKUP(record[[#This Row],[PCUSTID]],廠商[],2,FALSE),"")</f>
        <v/>
      </c>
      <c r="S9570" t="str">
        <f>VLOOKUP(record[[#This Row],[employeeID]],員工[],2,FALSE)</f>
        <v>謝素卿</v>
      </c>
    </row>
    <row r="9571" spans="6:19" hidden="1" x14ac:dyDescent="0.25">
      <c r="F9571" t="s">
        <v>797</v>
      </c>
      <c r="G9571" t="s">
        <v>400</v>
      </c>
      <c r="H9571" t="str">
        <f>VLOOKUP(record[[#This Row],[ProcessSN]],表格2_7[],2,FALSE)</f>
        <v>30-4118-018-550</v>
      </c>
      <c r="I9571" t="str">
        <f>VLOOKUP(record[[#This Row],[ProcessSN]],表格2_7[],3,FALSE)</f>
        <v>#100</v>
      </c>
      <c r="J9571" t="s">
        <v>598</v>
      </c>
      <c r="K9571" s="195">
        <v>45799.684108796297</v>
      </c>
      <c r="L9571">
        <v>0</v>
      </c>
      <c r="M9571">
        <v>195</v>
      </c>
      <c r="N9571" s="98" t="str">
        <f>IF(record[[#This Row],[Memo]]="Browser:chrome os:android","平板報工",IF(record[[#This Row],[Memo]]=0,"委外",record[[#This Row],[Memo]]))</f>
        <v/>
      </c>
      <c r="O9571" t="s">
        <v>58</v>
      </c>
      <c r="P9571" t="s">
        <v>141</v>
      </c>
      <c r="Q9571" t="s">
        <v>58</v>
      </c>
      <c r="R9571" t="str">
        <f>IFERROR(VLOOKUP(record[[#This Row],[PCUSTID]],廠商[],2,FALSE),"")</f>
        <v/>
      </c>
      <c r="S9571" t="str">
        <f>VLOOKUP(record[[#This Row],[employeeID]],員工[],2,FALSE)</f>
        <v>蔣梅</v>
      </c>
    </row>
    <row r="9572" spans="6:19" hidden="1" x14ac:dyDescent="0.25">
      <c r="F9572" t="s">
        <v>797</v>
      </c>
      <c r="G9572" t="s">
        <v>400</v>
      </c>
      <c r="H9572" t="str">
        <f>VLOOKUP(record[[#This Row],[ProcessSN]],表格2_7[],2,FALSE)</f>
        <v>30-4118-018-550</v>
      </c>
      <c r="I9572" t="str">
        <f>VLOOKUP(record[[#This Row],[ProcessSN]],表格2_7[],3,FALSE)</f>
        <v>#100</v>
      </c>
      <c r="J9572" t="s">
        <v>598</v>
      </c>
      <c r="K9572" s="195">
        <v>45799.683749999997</v>
      </c>
      <c r="L9572">
        <v>11</v>
      </c>
      <c r="M9572">
        <v>0</v>
      </c>
      <c r="N9572" s="98" t="str">
        <f>IF(record[[#This Row],[Memo]]="Browser:chrome os:android","平板報工",IF(record[[#This Row],[Memo]]=0,"委外",record[[#This Row],[Memo]]))</f>
        <v/>
      </c>
      <c r="O9572" t="s">
        <v>58</v>
      </c>
      <c r="P9572" t="s">
        <v>141</v>
      </c>
      <c r="Q9572" t="s">
        <v>58</v>
      </c>
      <c r="R9572" t="str">
        <f>IFERROR(VLOOKUP(record[[#This Row],[PCUSTID]],廠商[],2,FALSE),"")</f>
        <v/>
      </c>
      <c r="S9572" t="str">
        <f>VLOOKUP(record[[#This Row],[employeeID]],員工[],2,FALSE)</f>
        <v>蔣梅</v>
      </c>
    </row>
    <row r="9573" spans="6:19" hidden="1" x14ac:dyDescent="0.25">
      <c r="F9573" t="s">
        <v>794</v>
      </c>
      <c r="G9573" t="s">
        <v>403</v>
      </c>
      <c r="H9573" t="str">
        <f>VLOOKUP(record[[#This Row],[ProcessSN]],表格2_7[],2,FALSE)</f>
        <v>30-4118-018-550</v>
      </c>
      <c r="I9573" t="str">
        <f>VLOOKUP(record[[#This Row],[ProcessSN]],表格2_7[],3,FALSE)</f>
        <v>#100SHIP</v>
      </c>
      <c r="J9573" t="s">
        <v>600</v>
      </c>
      <c r="K9573" s="195">
        <v>45799.666527777779</v>
      </c>
      <c r="L9573">
        <v>151</v>
      </c>
      <c r="M9573">
        <v>0</v>
      </c>
      <c r="N9573" s="98" t="str">
        <f>IF(record[[#This Row],[Memo]]="Browser:chrome os:android","平板報工",IF(record[[#This Row],[Memo]]=0,"委外",record[[#This Row],[Memo]]))</f>
        <v/>
      </c>
      <c r="O9573" t="s">
        <v>58</v>
      </c>
      <c r="P9573" t="s">
        <v>196</v>
      </c>
      <c r="Q9573" t="s">
        <v>58</v>
      </c>
      <c r="R9573" t="str">
        <f>IFERROR(VLOOKUP(record[[#This Row],[PCUSTID]],廠商[],2,FALSE),"")</f>
        <v/>
      </c>
      <c r="S9573" t="str">
        <f>VLOOKUP(record[[#This Row],[employeeID]],員工[],2,FALSE)</f>
        <v>張淑惠</v>
      </c>
    </row>
    <row r="9574" spans="6:19" hidden="1" x14ac:dyDescent="0.25">
      <c r="F9574" t="s">
        <v>778</v>
      </c>
      <c r="G9574" t="s">
        <v>417</v>
      </c>
      <c r="H9574" t="str">
        <f>VLOOKUP(record[[#This Row],[ProcessSN]],表格2_7[],2,FALSE)</f>
        <v>30-4118-018-5XX</v>
      </c>
      <c r="I9574" t="str">
        <f>VLOOKUP(record[[#This Row],[ProcessSN]],表格2_7[],3,FALSE)</f>
        <v>#06</v>
      </c>
      <c r="J9574" t="s">
        <v>593</v>
      </c>
      <c r="K9574" s="195">
        <v>45799.661493055559</v>
      </c>
      <c r="L9574">
        <v>100</v>
      </c>
      <c r="M9574">
        <v>0</v>
      </c>
      <c r="N9574" s="98" t="str">
        <f>IF(record[[#This Row],[Memo]]="Browser:chrome os:android","平板報工",IF(record[[#This Row],[Memo]]=0,"委外",record[[#This Row],[Memo]]))</f>
        <v/>
      </c>
      <c r="O9574" t="s">
        <v>58</v>
      </c>
      <c r="P9574" t="s">
        <v>119</v>
      </c>
      <c r="Q9574" t="s">
        <v>58</v>
      </c>
      <c r="R9574" t="str">
        <f>IFERROR(VLOOKUP(record[[#This Row],[PCUSTID]],廠商[],2,FALSE),"")</f>
        <v/>
      </c>
      <c r="S9574" t="str">
        <f>VLOOKUP(record[[#This Row],[employeeID]],員工[],2,FALSE)</f>
        <v>廖俊彥</v>
      </c>
    </row>
    <row r="9575" spans="6:19" hidden="1" x14ac:dyDescent="0.25">
      <c r="F9575" t="s">
        <v>778</v>
      </c>
      <c r="G9575" t="s">
        <v>418</v>
      </c>
      <c r="H9575" t="str">
        <f>VLOOKUP(record[[#This Row],[ProcessSN]],表格2_7[],2,FALSE)</f>
        <v>30-4118-018-5XX</v>
      </c>
      <c r="I9575" t="str">
        <f>VLOOKUP(record[[#This Row],[ProcessSN]],表格2_7[],3,FALSE)</f>
        <v>#07</v>
      </c>
      <c r="J9575" t="s">
        <v>588</v>
      </c>
      <c r="K9575" s="195">
        <v>45799.661296296297</v>
      </c>
      <c r="L9575">
        <v>70</v>
      </c>
      <c r="M9575">
        <v>0</v>
      </c>
      <c r="N9575" s="98" t="str">
        <f>IF(record[[#This Row],[Memo]]="Browser:chrome os:android","平板報工",IF(record[[#This Row],[Memo]]=0,"委外",record[[#This Row],[Memo]]))</f>
        <v/>
      </c>
      <c r="O9575" t="s">
        <v>58</v>
      </c>
      <c r="P9575" t="s">
        <v>119</v>
      </c>
      <c r="Q9575" t="s">
        <v>58</v>
      </c>
      <c r="R9575" t="str">
        <f>IFERROR(VLOOKUP(record[[#This Row],[PCUSTID]],廠商[],2,FALSE),"")</f>
        <v/>
      </c>
      <c r="S9575" t="str">
        <f>VLOOKUP(record[[#This Row],[employeeID]],員工[],2,FALSE)</f>
        <v>廖俊彥</v>
      </c>
    </row>
    <row r="9576" spans="6:19" hidden="1" x14ac:dyDescent="0.25">
      <c r="F9576" t="s">
        <v>797</v>
      </c>
      <c r="G9576" t="s">
        <v>400</v>
      </c>
      <c r="H9576" t="str">
        <f>VLOOKUP(record[[#This Row],[ProcessSN]],表格2_7[],2,FALSE)</f>
        <v>30-4118-018-550</v>
      </c>
      <c r="I9576" t="str">
        <f>VLOOKUP(record[[#This Row],[ProcessSN]],表格2_7[],3,FALSE)</f>
        <v>#100</v>
      </c>
      <c r="J9576" t="s">
        <v>598</v>
      </c>
      <c r="K9576" s="195">
        <v>45799.648993055554</v>
      </c>
      <c r="L9576">
        <v>146</v>
      </c>
      <c r="M9576">
        <v>0</v>
      </c>
      <c r="N9576" s="98" t="str">
        <f>IF(record[[#This Row],[Memo]]="Browser:chrome os:android","平板報工",IF(record[[#This Row],[Memo]]=0,"委外",record[[#This Row],[Memo]]))</f>
        <v/>
      </c>
      <c r="O9576" t="s">
        <v>58</v>
      </c>
      <c r="P9576" t="s">
        <v>141</v>
      </c>
      <c r="Q9576" t="s">
        <v>58</v>
      </c>
      <c r="R9576" t="str">
        <f>IFERROR(VLOOKUP(record[[#This Row],[PCUSTID]],廠商[],2,FALSE),"")</f>
        <v/>
      </c>
      <c r="S9576" t="str">
        <f>VLOOKUP(record[[#This Row],[employeeID]],員工[],2,FALSE)</f>
        <v>蔣梅</v>
      </c>
    </row>
    <row r="9577" spans="6:19" hidden="1" x14ac:dyDescent="0.25">
      <c r="F9577" t="s">
        <v>744</v>
      </c>
      <c r="G9577" t="s">
        <v>428</v>
      </c>
      <c r="H9577" t="str">
        <f>VLOOKUP(record[[#This Row],[ProcessSN]],表格2_7[],2,FALSE)</f>
        <v>30-4118-018-600</v>
      </c>
      <c r="I9577" t="str">
        <f>VLOOKUP(record[[#This Row],[ProcessSN]],表格2_7[],3,FALSE)</f>
        <v>#100SHIP</v>
      </c>
      <c r="J9577" t="s">
        <v>600</v>
      </c>
      <c r="K9577" s="195">
        <v>45799.61959490741</v>
      </c>
      <c r="L9577">
        <v>122</v>
      </c>
      <c r="M9577">
        <v>0</v>
      </c>
      <c r="N9577" s="98" t="str">
        <f>IF(record[[#This Row],[Memo]]="Browser:chrome os:android","平板報工",IF(record[[#This Row],[Memo]]=0,"委外",record[[#This Row],[Memo]]))</f>
        <v/>
      </c>
      <c r="O9577" t="s">
        <v>58</v>
      </c>
      <c r="P9577" t="s">
        <v>196</v>
      </c>
      <c r="Q9577" t="s">
        <v>58</v>
      </c>
      <c r="R9577" t="str">
        <f>IFERROR(VLOOKUP(record[[#This Row],[PCUSTID]],廠商[],2,FALSE),"")</f>
        <v/>
      </c>
      <c r="S9577" t="str">
        <f>VLOOKUP(record[[#This Row],[employeeID]],員工[],2,FALSE)</f>
        <v>張淑惠</v>
      </c>
    </row>
    <row r="9578" spans="6:19" hidden="1" x14ac:dyDescent="0.25">
      <c r="F9578" t="s">
        <v>678</v>
      </c>
      <c r="G9578" t="s">
        <v>362</v>
      </c>
      <c r="H9578" t="str">
        <f>VLOOKUP(record[[#This Row],[ProcessSN]],表格2_7[],2,FALSE)</f>
        <v>30-4118-018-450</v>
      </c>
      <c r="I9578" t="str">
        <f>VLOOKUP(record[[#This Row],[ProcessSN]],表格2_7[],3,FALSE)</f>
        <v>#100SHIP</v>
      </c>
      <c r="J9578" t="s">
        <v>600</v>
      </c>
      <c r="K9578" s="195">
        <v>45799.619351851848</v>
      </c>
      <c r="L9578">
        <v>11</v>
      </c>
      <c r="M9578">
        <v>0</v>
      </c>
      <c r="N9578" s="98" t="str">
        <f>IF(record[[#This Row],[Memo]]="Browser:chrome os:android","平板報工",IF(record[[#This Row],[Memo]]=0,"委外",record[[#This Row],[Memo]]))</f>
        <v/>
      </c>
      <c r="O9578" t="s">
        <v>58</v>
      </c>
      <c r="P9578" t="s">
        <v>196</v>
      </c>
      <c r="Q9578" t="s">
        <v>58</v>
      </c>
      <c r="R9578" t="str">
        <f>IFERROR(VLOOKUP(record[[#This Row],[PCUSTID]],廠商[],2,FALSE),"")</f>
        <v/>
      </c>
      <c r="S9578" t="str">
        <f>VLOOKUP(record[[#This Row],[employeeID]],員工[],2,FALSE)</f>
        <v>張淑惠</v>
      </c>
    </row>
    <row r="9579" spans="6:19" hidden="1" x14ac:dyDescent="0.25">
      <c r="F9579" t="s">
        <v>797</v>
      </c>
      <c r="G9579" t="s">
        <v>399</v>
      </c>
      <c r="H9579" t="str">
        <f>VLOOKUP(record[[#This Row],[ProcessSN]],表格2_7[],2,FALSE)</f>
        <v>30-4118-018-550</v>
      </c>
      <c r="I9579" t="str">
        <f>VLOOKUP(record[[#This Row],[ProcessSN]],表格2_7[],3,FALSE)</f>
        <v>#08IQC</v>
      </c>
      <c r="J9579" t="s">
        <v>583</v>
      </c>
      <c r="K9579" s="195">
        <v>45799.588888888888</v>
      </c>
      <c r="L9579">
        <v>352</v>
      </c>
      <c r="M9579">
        <v>0</v>
      </c>
      <c r="N9579" s="98" t="str">
        <f>IF(record[[#This Row],[Memo]]="Browser:chrome os:android","平板報工",IF(record[[#This Row],[Memo]]=0,"委外",record[[#This Row],[Memo]]))</f>
        <v/>
      </c>
      <c r="O9579" t="s">
        <v>58</v>
      </c>
      <c r="P9579" t="s">
        <v>190</v>
      </c>
      <c r="Q9579" t="s">
        <v>58</v>
      </c>
      <c r="R9579" t="str">
        <f>IFERROR(VLOOKUP(record[[#This Row],[PCUSTID]],廠商[],2,FALSE),"")</f>
        <v/>
      </c>
      <c r="S9579" t="str">
        <f>VLOOKUP(record[[#This Row],[employeeID]],員工[],2,FALSE)</f>
        <v>陳雅娟</v>
      </c>
    </row>
    <row r="9580" spans="6:19" hidden="1" x14ac:dyDescent="0.25">
      <c r="F9580" t="s">
        <v>778</v>
      </c>
      <c r="G9580" t="s">
        <v>419</v>
      </c>
      <c r="H9580" t="str">
        <f>VLOOKUP(record[[#This Row],[ProcessSN]],表格2_7[],2,FALSE)</f>
        <v>30-4118-018-5XX</v>
      </c>
      <c r="I9580" t="str">
        <f>VLOOKUP(record[[#This Row],[ProcessSN]],表格2_7[],3,FALSE)</f>
        <v>#07QC</v>
      </c>
      <c r="J9580" t="s">
        <v>589</v>
      </c>
      <c r="K9580" s="195">
        <v>45799.43990740741</v>
      </c>
      <c r="L9580">
        <v>0</v>
      </c>
      <c r="M9580">
        <v>2</v>
      </c>
      <c r="N9580" s="98" t="str">
        <f>IF(record[[#This Row],[Memo]]="Browser:chrome os:android","平板報工",IF(record[[#This Row],[Memo]]=0,"委外",record[[#This Row],[Memo]]))</f>
        <v>平板報工</v>
      </c>
      <c r="O9580" t="s">
        <v>643</v>
      </c>
      <c r="P9580" t="s">
        <v>99</v>
      </c>
      <c r="Q9580" t="s">
        <v>644</v>
      </c>
      <c r="R9580" t="str">
        <f>IFERROR(VLOOKUP(record[[#This Row],[PCUSTID]],廠商[],2,FALSE),"")</f>
        <v/>
      </c>
      <c r="S9580" t="str">
        <f>VLOOKUP(record[[#This Row],[employeeID]],員工[],2,FALSE)</f>
        <v>阮氏河</v>
      </c>
    </row>
    <row r="9581" spans="6:19" hidden="1" x14ac:dyDescent="0.25">
      <c r="F9581" t="s">
        <v>778</v>
      </c>
      <c r="G9581" t="s">
        <v>419</v>
      </c>
      <c r="H9581" t="str">
        <f>VLOOKUP(record[[#This Row],[ProcessSN]],表格2_7[],2,FALSE)</f>
        <v>30-4118-018-5XX</v>
      </c>
      <c r="I9581" t="str">
        <f>VLOOKUP(record[[#This Row],[ProcessSN]],表格2_7[],3,FALSE)</f>
        <v>#07QC</v>
      </c>
      <c r="J9581" t="s">
        <v>589</v>
      </c>
      <c r="K9581" s="195">
        <v>45799.439629629633</v>
      </c>
      <c r="L9581">
        <v>88</v>
      </c>
      <c r="M9581">
        <v>0</v>
      </c>
      <c r="N9581" s="98" t="str">
        <f>IF(record[[#This Row],[Memo]]="Browser:chrome os:android","平板報工",IF(record[[#This Row],[Memo]]=0,"委外",record[[#This Row],[Memo]]))</f>
        <v>平板報工</v>
      </c>
      <c r="O9581" t="s">
        <v>643</v>
      </c>
      <c r="P9581" t="s">
        <v>99</v>
      </c>
      <c r="Q9581" t="s">
        <v>644</v>
      </c>
      <c r="R9581" t="str">
        <f>IFERROR(VLOOKUP(record[[#This Row],[PCUSTID]],廠商[],2,FALSE),"")</f>
        <v/>
      </c>
      <c r="S9581" t="str">
        <f>VLOOKUP(record[[#This Row],[employeeID]],員工[],2,FALSE)</f>
        <v>阮氏河</v>
      </c>
    </row>
    <row r="9582" spans="6:19" hidden="1" x14ac:dyDescent="0.25">
      <c r="F9582" t="s">
        <v>797</v>
      </c>
      <c r="G9582" t="s">
        <v>398</v>
      </c>
      <c r="H9582" t="str">
        <f>VLOOKUP(record[[#This Row],[ProcessSN]],表格2_7[],2,FALSE)</f>
        <v>30-4118-018-550</v>
      </c>
      <c r="I9582" t="str">
        <f>VLOOKUP(record[[#This Row],[ProcessSN]],表格2_7[],3,FALSE)</f>
        <v>#08RCV</v>
      </c>
      <c r="J9582" t="s">
        <v>591</v>
      </c>
      <c r="K9582" s="195">
        <v>45799.42769675926</v>
      </c>
      <c r="L9582">
        <v>0</v>
      </c>
      <c r="M9582">
        <v>38</v>
      </c>
      <c r="N9582" s="98" t="str">
        <f>IF(record[[#This Row],[Memo]]="Browser:chrome os:android","平板報工",IF(record[[#This Row],[Memo]]=0,"委外",record[[#This Row],[Memo]]))</f>
        <v/>
      </c>
      <c r="O9582" t="s">
        <v>58</v>
      </c>
      <c r="P9582" t="s">
        <v>186</v>
      </c>
      <c r="Q9582" t="s">
        <v>58</v>
      </c>
      <c r="R9582" t="str">
        <f>IFERROR(VLOOKUP(record[[#This Row],[PCUSTID]],廠商[],2,FALSE),"")</f>
        <v/>
      </c>
      <c r="S9582" t="str">
        <f>VLOOKUP(record[[#This Row],[employeeID]],員工[],2,FALSE)</f>
        <v>許文姍</v>
      </c>
    </row>
    <row r="9583" spans="6:19" hidden="1" x14ac:dyDescent="0.25">
      <c r="F9583" t="s">
        <v>797</v>
      </c>
      <c r="G9583" t="s">
        <v>398</v>
      </c>
      <c r="H9583" t="str">
        <f>VLOOKUP(record[[#This Row],[ProcessSN]],表格2_7[],2,FALSE)</f>
        <v>30-4118-018-550</v>
      </c>
      <c r="I9583" t="str">
        <f>VLOOKUP(record[[#This Row],[ProcessSN]],表格2_7[],3,FALSE)</f>
        <v>#08RCV</v>
      </c>
      <c r="J9583" t="s">
        <v>591</v>
      </c>
      <c r="K9583" s="195">
        <v>45799.427511574075</v>
      </c>
      <c r="L9583">
        <v>352</v>
      </c>
      <c r="M9583">
        <v>0</v>
      </c>
      <c r="N9583" s="98" t="str">
        <f>IF(record[[#This Row],[Memo]]="Browser:chrome os:android","平板報工",IF(record[[#This Row],[Memo]]=0,"委外",record[[#This Row],[Memo]]))</f>
        <v/>
      </c>
      <c r="O9583" t="s">
        <v>58</v>
      </c>
      <c r="P9583" t="s">
        <v>186</v>
      </c>
      <c r="Q9583" t="s">
        <v>58</v>
      </c>
      <c r="R9583" t="str">
        <f>IFERROR(VLOOKUP(record[[#This Row],[PCUSTID]],廠商[],2,FALSE),"")</f>
        <v/>
      </c>
      <c r="S9583" t="str">
        <f>VLOOKUP(record[[#This Row],[employeeID]],員工[],2,FALSE)</f>
        <v>許文姍</v>
      </c>
    </row>
    <row r="9584" spans="6:19" hidden="1" x14ac:dyDescent="0.25">
      <c r="F9584" t="s">
        <v>801</v>
      </c>
      <c r="G9584" t="s">
        <v>397</v>
      </c>
      <c r="H9584" t="str">
        <f>VLOOKUP(record[[#This Row],[ProcessSN]],表格2_7[],2,FALSE)</f>
        <v>30-4118-018-550</v>
      </c>
      <c r="I9584" t="str">
        <f>VLOOKUP(record[[#This Row],[ProcessSN]],表格2_7[],3,FALSE)</f>
        <v>#08</v>
      </c>
      <c r="J9584" t="s">
        <v>597</v>
      </c>
      <c r="K9584" s="195">
        <v>45799.412951388891</v>
      </c>
      <c r="L9584">
        <v>240</v>
      </c>
      <c r="M9584">
        <v>0</v>
      </c>
      <c r="N9584" s="98" t="str">
        <f>IF(record[[#This Row],[Memo]]="Browser:chrome os:android","平板報工",IF(record[[#This Row],[Memo]]=0,"委外",record[[#This Row],[Memo]]))</f>
        <v>委外</v>
      </c>
      <c r="P9584" t="s">
        <v>186</v>
      </c>
      <c r="Q9584" t="s">
        <v>287</v>
      </c>
      <c r="R9584" t="str">
        <f>IFERROR(VLOOKUP(record[[#This Row],[PCUSTID]],廠商[],2,FALSE),"")</f>
        <v>泉盛</v>
      </c>
      <c r="S9584" t="str">
        <f>VLOOKUP(record[[#This Row],[employeeID]],員工[],2,FALSE)</f>
        <v>許文姍</v>
      </c>
    </row>
    <row r="9585" spans="6:19" hidden="1" x14ac:dyDescent="0.25">
      <c r="F9585" t="s">
        <v>801</v>
      </c>
      <c r="G9585" t="s">
        <v>396</v>
      </c>
      <c r="H9585" t="str">
        <f>VLOOKUP(record[[#This Row],[ProcessSN]],表格2_7[],2,FALSE)</f>
        <v>30-4118-018-550</v>
      </c>
      <c r="I9585" t="str">
        <f>VLOOKUP(record[[#This Row],[ProcessSN]],表格2_7[],3,FALSE)</f>
        <v>#08PICK</v>
      </c>
      <c r="J9585" t="s">
        <v>582</v>
      </c>
      <c r="K9585" s="195">
        <v>45799.412835648145</v>
      </c>
      <c r="L9585">
        <v>240</v>
      </c>
      <c r="M9585">
        <v>0</v>
      </c>
      <c r="N9585" s="98" t="str">
        <f>IF(record[[#This Row],[Memo]]="Browser:chrome os:android","平板報工",IF(record[[#This Row],[Memo]]=0,"委外",record[[#This Row],[Memo]]))</f>
        <v>240</v>
      </c>
      <c r="O9585" t="s">
        <v>802</v>
      </c>
      <c r="P9585" t="s">
        <v>186</v>
      </c>
      <c r="Q9585" t="s">
        <v>58</v>
      </c>
      <c r="R9585" t="str">
        <f>IFERROR(VLOOKUP(record[[#This Row],[PCUSTID]],廠商[],2,FALSE),"")</f>
        <v/>
      </c>
      <c r="S9585" t="str">
        <f>VLOOKUP(record[[#This Row],[employeeID]],員工[],2,FALSE)</f>
        <v>許文姍</v>
      </c>
    </row>
    <row r="9586" spans="6:19" hidden="1" x14ac:dyDescent="0.25">
      <c r="F9586" t="s">
        <v>778</v>
      </c>
      <c r="G9586" t="s">
        <v>420</v>
      </c>
      <c r="H9586" t="str">
        <f>VLOOKUP(record[[#This Row],[ProcessSN]],表格2_7[],2,FALSE)</f>
        <v>30-4118-018-5XX</v>
      </c>
      <c r="I9586" t="str">
        <f>VLOOKUP(record[[#This Row],[ProcessSN]],表格2_7[],3,FALSE)</f>
        <v>#07STOCK</v>
      </c>
      <c r="J9586" t="s">
        <v>592</v>
      </c>
      <c r="K9586" s="195">
        <v>45799.410567129627</v>
      </c>
      <c r="L9586">
        <v>240</v>
      </c>
      <c r="M9586">
        <v>0</v>
      </c>
      <c r="N9586" s="98" t="str">
        <f>IF(record[[#This Row],[Memo]]="Browser:chrome os:android","平板報工",IF(record[[#This Row],[Memo]]=0,"委外",record[[#This Row],[Memo]]))</f>
        <v/>
      </c>
      <c r="O9586" t="s">
        <v>58</v>
      </c>
      <c r="P9586" t="s">
        <v>113</v>
      </c>
      <c r="Q9586" t="s">
        <v>58</v>
      </c>
      <c r="R9586" t="str">
        <f>IFERROR(VLOOKUP(record[[#This Row],[PCUSTID]],廠商[],2,FALSE),"")</f>
        <v/>
      </c>
      <c r="S9586" t="str">
        <f>VLOOKUP(record[[#This Row],[employeeID]],員工[],2,FALSE)</f>
        <v>王奕蓁</v>
      </c>
    </row>
    <row r="9587" spans="6:19" hidden="1" x14ac:dyDescent="0.25">
      <c r="F9587" t="s">
        <v>778</v>
      </c>
      <c r="G9587" t="s">
        <v>419</v>
      </c>
      <c r="H9587" t="str">
        <f>VLOOKUP(record[[#This Row],[ProcessSN]],表格2_7[],2,FALSE)</f>
        <v>30-4118-018-5XX</v>
      </c>
      <c r="I9587" t="str">
        <f>VLOOKUP(record[[#This Row],[ProcessSN]],表格2_7[],3,FALSE)</f>
        <v>#07QC</v>
      </c>
      <c r="J9587" t="s">
        <v>589</v>
      </c>
      <c r="K9587" s="195">
        <v>45799.408877314818</v>
      </c>
      <c r="L9587">
        <v>240</v>
      </c>
      <c r="M9587">
        <v>0</v>
      </c>
      <c r="N9587" s="98" t="str">
        <f>IF(record[[#This Row],[Memo]]="Browser:chrome os:android","平板報工",IF(record[[#This Row],[Memo]]=0,"委外",record[[#This Row],[Memo]]))</f>
        <v>平板報工</v>
      </c>
      <c r="O9587" t="s">
        <v>643</v>
      </c>
      <c r="P9587" t="s">
        <v>99</v>
      </c>
      <c r="Q9587" t="s">
        <v>644</v>
      </c>
      <c r="R9587" t="str">
        <f>IFERROR(VLOOKUP(record[[#This Row],[PCUSTID]],廠商[],2,FALSE),"")</f>
        <v/>
      </c>
      <c r="S9587" t="str">
        <f>VLOOKUP(record[[#This Row],[employeeID]],員工[],2,FALSE)</f>
        <v>阮氏河</v>
      </c>
    </row>
    <row r="9588" spans="6:19" hidden="1" x14ac:dyDescent="0.25">
      <c r="F9588" t="s">
        <v>800</v>
      </c>
      <c r="G9588" t="s">
        <v>397</v>
      </c>
      <c r="H9588" t="str">
        <f>VLOOKUP(record[[#This Row],[ProcessSN]],表格2_7[],2,FALSE)</f>
        <v>30-4118-018-550</v>
      </c>
      <c r="I9588" t="str">
        <f>VLOOKUP(record[[#This Row],[ProcessSN]],表格2_7[],3,FALSE)</f>
        <v>#08</v>
      </c>
      <c r="J9588" t="s">
        <v>597</v>
      </c>
      <c r="K9588" s="195">
        <v>45799.408136574071</v>
      </c>
      <c r="L9588">
        <v>134</v>
      </c>
      <c r="M9588">
        <v>0</v>
      </c>
      <c r="N9588" s="98" t="str">
        <f>IF(record[[#This Row],[Memo]]="Browser:chrome os:android","平板報工",IF(record[[#This Row],[Memo]]=0,"委外",record[[#This Row],[Memo]]))</f>
        <v>委外</v>
      </c>
      <c r="P9588" t="s">
        <v>186</v>
      </c>
      <c r="Q9588" t="s">
        <v>287</v>
      </c>
      <c r="R9588" t="str">
        <f>IFERROR(VLOOKUP(record[[#This Row],[PCUSTID]],廠商[],2,FALSE),"")</f>
        <v>泉盛</v>
      </c>
      <c r="S9588" t="str">
        <f>VLOOKUP(record[[#This Row],[employeeID]],員工[],2,FALSE)</f>
        <v>許文姍</v>
      </c>
    </row>
    <row r="9589" spans="6:19" hidden="1" x14ac:dyDescent="0.25">
      <c r="F9589" t="s">
        <v>778</v>
      </c>
      <c r="G9589" t="s">
        <v>417</v>
      </c>
      <c r="H9589" t="str">
        <f>VLOOKUP(record[[#This Row],[ProcessSN]],表格2_7[],2,FALSE)</f>
        <v>30-4118-018-5XX</v>
      </c>
      <c r="I9589" t="str">
        <f>VLOOKUP(record[[#This Row],[ProcessSN]],表格2_7[],3,FALSE)</f>
        <v>#06</v>
      </c>
      <c r="J9589" t="s">
        <v>593</v>
      </c>
      <c r="K9589" s="195">
        <v>45799.308969907404</v>
      </c>
      <c r="L9589">
        <v>121</v>
      </c>
      <c r="M9589">
        <v>0</v>
      </c>
      <c r="N9589" s="98" t="str">
        <f>IF(record[[#This Row],[Memo]]="Browser:chrome os:android","平板報工",IF(record[[#This Row],[Memo]]=0,"委外",record[[#This Row],[Memo]]))</f>
        <v/>
      </c>
      <c r="O9589" t="s">
        <v>58</v>
      </c>
      <c r="P9589" t="s">
        <v>135</v>
      </c>
      <c r="Q9589" t="s">
        <v>58</v>
      </c>
      <c r="R9589" t="str">
        <f>IFERROR(VLOOKUP(record[[#This Row],[PCUSTID]],廠商[],2,FALSE),"")</f>
        <v/>
      </c>
      <c r="S9589" t="str">
        <f>VLOOKUP(record[[#This Row],[employeeID]],員工[],2,FALSE)</f>
        <v>阮士文</v>
      </c>
    </row>
    <row r="9590" spans="6:19" hidden="1" x14ac:dyDescent="0.25">
      <c r="F9590" t="s">
        <v>778</v>
      </c>
      <c r="G9590" t="s">
        <v>417</v>
      </c>
      <c r="H9590" t="str">
        <f>VLOOKUP(record[[#This Row],[ProcessSN]],表格2_7[],2,FALSE)</f>
        <v>30-4118-018-5XX</v>
      </c>
      <c r="I9590" t="str">
        <f>VLOOKUP(record[[#This Row],[ProcessSN]],表格2_7[],3,FALSE)</f>
        <v>#06</v>
      </c>
      <c r="J9590" t="s">
        <v>593</v>
      </c>
      <c r="K9590" s="195">
        <v>45798.967314814814</v>
      </c>
      <c r="L9590">
        <v>121</v>
      </c>
      <c r="M9590">
        <v>0</v>
      </c>
      <c r="N9590" s="98" t="str">
        <f>IF(record[[#This Row],[Memo]]="Browser:chrome os:android","平板報工",IF(record[[#This Row],[Memo]]=0,"委外",record[[#This Row],[Memo]]))</f>
        <v/>
      </c>
      <c r="O9590" t="s">
        <v>58</v>
      </c>
      <c r="P9590" t="s">
        <v>166</v>
      </c>
      <c r="Q9590" t="s">
        <v>58</v>
      </c>
      <c r="R9590" t="str">
        <f>IFERROR(VLOOKUP(record[[#This Row],[PCUSTID]],廠商[],2,FALSE),"")</f>
        <v/>
      </c>
      <c r="S9590" t="str">
        <f>VLOOKUP(record[[#This Row],[employeeID]],員工[],2,FALSE)</f>
        <v>阮懷香</v>
      </c>
    </row>
    <row r="9591" spans="6:19" hidden="1" x14ac:dyDescent="0.25">
      <c r="F9591" t="s">
        <v>778</v>
      </c>
      <c r="G9591" t="s">
        <v>418</v>
      </c>
      <c r="H9591" t="str">
        <f>VLOOKUP(record[[#This Row],[ProcessSN]],表格2_7[],2,FALSE)</f>
        <v>30-4118-018-5XX</v>
      </c>
      <c r="I9591" t="str">
        <f>VLOOKUP(record[[#This Row],[ProcessSN]],表格2_7[],3,FALSE)</f>
        <v>#07</v>
      </c>
      <c r="J9591" t="s">
        <v>588</v>
      </c>
      <c r="K9591" s="195">
        <v>45798.964259259257</v>
      </c>
      <c r="L9591">
        <v>185</v>
      </c>
      <c r="M9591">
        <v>0</v>
      </c>
      <c r="N9591" s="98" t="str">
        <f>IF(record[[#This Row],[Memo]]="Browser:chrome os:android","平板報工",IF(record[[#This Row],[Memo]]=0,"委外",record[[#This Row],[Memo]]))</f>
        <v/>
      </c>
      <c r="O9591" t="s">
        <v>58</v>
      </c>
      <c r="P9591" t="s">
        <v>89</v>
      </c>
      <c r="Q9591" t="s">
        <v>58</v>
      </c>
      <c r="R9591" t="str">
        <f>IFERROR(VLOOKUP(record[[#This Row],[PCUSTID]],廠商[],2,FALSE),"")</f>
        <v/>
      </c>
      <c r="S9591" t="str">
        <f>VLOOKUP(record[[#This Row],[employeeID]],員工[],2,FALSE)</f>
        <v>李美蓮</v>
      </c>
    </row>
    <row r="9592" spans="6:19" hidden="1" x14ac:dyDescent="0.25">
      <c r="F9592" t="s">
        <v>778</v>
      </c>
      <c r="G9592" t="s">
        <v>417</v>
      </c>
      <c r="H9592" t="str">
        <f>VLOOKUP(record[[#This Row],[ProcessSN]],表格2_7[],2,FALSE)</f>
        <v>30-4118-018-5XX</v>
      </c>
      <c r="I9592" t="str">
        <f>VLOOKUP(record[[#This Row],[ProcessSN]],表格2_7[],3,FALSE)</f>
        <v>#06</v>
      </c>
      <c r="J9592" t="s">
        <v>593</v>
      </c>
      <c r="K9592" s="195">
        <v>45798.653738425928</v>
      </c>
      <c r="L9592">
        <v>105</v>
      </c>
      <c r="M9592">
        <v>0</v>
      </c>
      <c r="N9592" s="98" t="str">
        <f>IF(record[[#This Row],[Memo]]="Browser:chrome os:android","平板報工",IF(record[[#This Row],[Memo]]=0,"委外",record[[#This Row],[Memo]]))</f>
        <v/>
      </c>
      <c r="O9592" t="s">
        <v>58</v>
      </c>
      <c r="P9592" t="s">
        <v>119</v>
      </c>
      <c r="Q9592" t="s">
        <v>58</v>
      </c>
      <c r="R9592" t="str">
        <f>IFERROR(VLOOKUP(record[[#This Row],[PCUSTID]],廠商[],2,FALSE),"")</f>
        <v/>
      </c>
      <c r="S9592" t="str">
        <f>VLOOKUP(record[[#This Row],[employeeID]],員工[],2,FALSE)</f>
        <v>廖俊彥</v>
      </c>
    </row>
    <row r="9593" spans="6:19" hidden="1" x14ac:dyDescent="0.25">
      <c r="F9593" t="s">
        <v>778</v>
      </c>
      <c r="G9593" t="s">
        <v>418</v>
      </c>
      <c r="H9593" t="str">
        <f>VLOOKUP(record[[#This Row],[ProcessSN]],表格2_7[],2,FALSE)</f>
        <v>30-4118-018-5XX</v>
      </c>
      <c r="I9593" t="str">
        <f>VLOOKUP(record[[#This Row],[ProcessSN]],表格2_7[],3,FALSE)</f>
        <v>#07</v>
      </c>
      <c r="J9593" t="s">
        <v>588</v>
      </c>
      <c r="K9593" s="195">
        <v>45798.647974537038</v>
      </c>
      <c r="L9593">
        <v>137</v>
      </c>
      <c r="M9593">
        <v>0</v>
      </c>
      <c r="N9593" s="98" t="str">
        <f>IF(record[[#This Row],[Memo]]="Browser:chrome os:android","平板報工",IF(record[[#This Row],[Memo]]=0,"委外",record[[#This Row],[Memo]]))</f>
        <v/>
      </c>
      <c r="O9593" t="s">
        <v>58</v>
      </c>
      <c r="P9593" t="s">
        <v>119</v>
      </c>
      <c r="Q9593" t="s">
        <v>58</v>
      </c>
      <c r="R9593" t="str">
        <f>IFERROR(VLOOKUP(record[[#This Row],[PCUSTID]],廠商[],2,FALSE),"")</f>
        <v/>
      </c>
      <c r="S9593" t="str">
        <f>VLOOKUP(record[[#This Row],[employeeID]],員工[],2,FALSE)</f>
        <v>廖俊彥</v>
      </c>
    </row>
    <row r="9594" spans="6:19" hidden="1" x14ac:dyDescent="0.25">
      <c r="F9594" t="s">
        <v>800</v>
      </c>
      <c r="G9594" t="s">
        <v>396</v>
      </c>
      <c r="H9594" t="str">
        <f>VLOOKUP(record[[#This Row],[ProcessSN]],表格2_7[],2,FALSE)</f>
        <v>30-4118-018-550</v>
      </c>
      <c r="I9594" t="str">
        <f>VLOOKUP(record[[#This Row],[ProcessSN]],表格2_7[],3,FALSE)</f>
        <v>#08PICK</v>
      </c>
      <c r="J9594" t="s">
        <v>582</v>
      </c>
      <c r="K9594" s="195">
        <v>45798.622997685183</v>
      </c>
      <c r="L9594">
        <v>134</v>
      </c>
      <c r="M9594">
        <v>0</v>
      </c>
      <c r="N9594" s="98" t="str">
        <f>IF(record[[#This Row],[Memo]]="Browser:chrome os:android","平板報工",IF(record[[#This Row],[Memo]]=0,"委外",record[[#This Row],[Memo]]))</f>
        <v/>
      </c>
      <c r="O9594" t="s">
        <v>58</v>
      </c>
      <c r="P9594" t="s">
        <v>113</v>
      </c>
      <c r="Q9594" t="s">
        <v>58</v>
      </c>
      <c r="R9594" t="str">
        <f>IFERROR(VLOOKUP(record[[#This Row],[PCUSTID]],廠商[],2,FALSE),"")</f>
        <v/>
      </c>
      <c r="S9594" t="str">
        <f>VLOOKUP(record[[#This Row],[employeeID]],員工[],2,FALSE)</f>
        <v>王奕蓁</v>
      </c>
    </row>
    <row r="9595" spans="6:19" hidden="1" x14ac:dyDescent="0.25">
      <c r="F9595" t="s">
        <v>778</v>
      </c>
      <c r="G9595" t="s">
        <v>420</v>
      </c>
      <c r="H9595" t="str">
        <f>VLOOKUP(record[[#This Row],[ProcessSN]],表格2_7[],2,FALSE)</f>
        <v>30-4118-018-5XX</v>
      </c>
      <c r="I9595" t="str">
        <f>VLOOKUP(record[[#This Row],[ProcessSN]],表格2_7[],3,FALSE)</f>
        <v>#07STOCK</v>
      </c>
      <c r="J9595" t="s">
        <v>592</v>
      </c>
      <c r="K9595" s="195">
        <v>45798.622118055559</v>
      </c>
      <c r="L9595">
        <v>134</v>
      </c>
      <c r="M9595">
        <v>0</v>
      </c>
      <c r="N9595" s="98" t="str">
        <f>IF(record[[#This Row],[Memo]]="Browser:chrome os:android","平板報工",IF(record[[#This Row],[Memo]]=0,"委外",record[[#This Row],[Memo]]))</f>
        <v/>
      </c>
      <c r="O9595" t="s">
        <v>58</v>
      </c>
      <c r="P9595" t="s">
        <v>113</v>
      </c>
      <c r="Q9595" t="s">
        <v>58</v>
      </c>
      <c r="R9595" t="str">
        <f>IFERROR(VLOOKUP(record[[#This Row],[PCUSTID]],廠商[],2,FALSE),"")</f>
        <v/>
      </c>
      <c r="S9595" t="str">
        <f>VLOOKUP(record[[#This Row],[employeeID]],員工[],2,FALSE)</f>
        <v>王奕蓁</v>
      </c>
    </row>
    <row r="9596" spans="6:19" hidden="1" x14ac:dyDescent="0.25">
      <c r="F9596" t="s">
        <v>744</v>
      </c>
      <c r="G9596" t="s">
        <v>428</v>
      </c>
      <c r="H9596" t="str">
        <f>VLOOKUP(record[[#This Row],[ProcessSN]],表格2_7[],2,FALSE)</f>
        <v>30-4118-018-600</v>
      </c>
      <c r="I9596" t="str">
        <f>VLOOKUP(record[[#This Row],[ProcessSN]],表格2_7[],3,FALSE)</f>
        <v>#100SHIP</v>
      </c>
      <c r="J9596" t="s">
        <v>600</v>
      </c>
      <c r="K9596" s="195">
        <v>45798.450231481482</v>
      </c>
      <c r="L9596">
        <v>2</v>
      </c>
      <c r="M9596">
        <v>0</v>
      </c>
      <c r="N9596" s="98" t="str">
        <f>IF(record[[#This Row],[Memo]]="Browser:chrome os:android","平板報工",IF(record[[#This Row],[Memo]]=0,"委外",record[[#This Row],[Memo]]))</f>
        <v/>
      </c>
      <c r="O9596" t="s">
        <v>58</v>
      </c>
      <c r="P9596" t="s">
        <v>196</v>
      </c>
      <c r="Q9596" t="s">
        <v>58</v>
      </c>
      <c r="R9596" t="str">
        <f>IFERROR(VLOOKUP(record[[#This Row],[PCUSTID]],廠商[],2,FALSE),"")</f>
        <v/>
      </c>
      <c r="S9596" t="str">
        <f>VLOOKUP(record[[#This Row],[employeeID]],員工[],2,FALSE)</f>
        <v>張淑惠</v>
      </c>
    </row>
    <row r="9597" spans="6:19" hidden="1" x14ac:dyDescent="0.25">
      <c r="F9597" t="s">
        <v>678</v>
      </c>
      <c r="G9597" t="s">
        <v>362</v>
      </c>
      <c r="H9597" t="str">
        <f>VLOOKUP(record[[#This Row],[ProcessSN]],表格2_7[],2,FALSE)</f>
        <v>30-4118-018-450</v>
      </c>
      <c r="I9597" t="str">
        <f>VLOOKUP(record[[#This Row],[ProcessSN]],表格2_7[],3,FALSE)</f>
        <v>#100SHIP</v>
      </c>
      <c r="J9597" t="s">
        <v>600</v>
      </c>
      <c r="K9597" s="195">
        <v>45798.45</v>
      </c>
      <c r="L9597">
        <v>6</v>
      </c>
      <c r="M9597">
        <v>0</v>
      </c>
      <c r="N9597" s="98" t="str">
        <f>IF(record[[#This Row],[Memo]]="Browser:chrome os:android","平板報工",IF(record[[#This Row],[Memo]]=0,"委外",record[[#This Row],[Memo]]))</f>
        <v/>
      </c>
      <c r="O9597" t="s">
        <v>58</v>
      </c>
      <c r="P9597" t="s">
        <v>196</v>
      </c>
      <c r="Q9597" t="s">
        <v>58</v>
      </c>
      <c r="R9597" t="str">
        <f>IFERROR(VLOOKUP(record[[#This Row],[PCUSTID]],廠商[],2,FALSE),"")</f>
        <v/>
      </c>
      <c r="S9597" t="str">
        <f>VLOOKUP(record[[#This Row],[employeeID]],員工[],2,FALSE)</f>
        <v>張淑惠</v>
      </c>
    </row>
    <row r="9598" spans="6:19" hidden="1" x14ac:dyDescent="0.25">
      <c r="F9598" t="s">
        <v>778</v>
      </c>
      <c r="G9598" t="s">
        <v>419</v>
      </c>
      <c r="H9598" t="str">
        <f>VLOOKUP(record[[#This Row],[ProcessSN]],表格2_7[],2,FALSE)</f>
        <v>30-4118-018-5XX</v>
      </c>
      <c r="I9598" t="str">
        <f>VLOOKUP(record[[#This Row],[ProcessSN]],表格2_7[],3,FALSE)</f>
        <v>#07QC</v>
      </c>
      <c r="J9598" t="s">
        <v>589</v>
      </c>
      <c r="K9598" s="195">
        <v>45798.391840277778</v>
      </c>
      <c r="L9598">
        <v>0</v>
      </c>
      <c r="M9598">
        <v>23</v>
      </c>
      <c r="N9598" s="98" t="str">
        <f>IF(record[[#This Row],[Memo]]="Browser:chrome os:android","平板報工",IF(record[[#This Row],[Memo]]=0,"委外",record[[#This Row],[Memo]]))</f>
        <v>平板報工</v>
      </c>
      <c r="O9598" t="s">
        <v>643</v>
      </c>
      <c r="P9598" t="s">
        <v>141</v>
      </c>
      <c r="Q9598" t="s">
        <v>644</v>
      </c>
      <c r="R9598" t="str">
        <f>IFERROR(VLOOKUP(record[[#This Row],[PCUSTID]],廠商[],2,FALSE),"")</f>
        <v/>
      </c>
      <c r="S9598" t="str">
        <f>VLOOKUP(record[[#This Row],[employeeID]],員工[],2,FALSE)</f>
        <v>蔣梅</v>
      </c>
    </row>
    <row r="9599" spans="6:19" hidden="1" x14ac:dyDescent="0.25">
      <c r="F9599" t="s">
        <v>778</v>
      </c>
      <c r="G9599" t="s">
        <v>419</v>
      </c>
      <c r="H9599" t="str">
        <f>VLOOKUP(record[[#This Row],[ProcessSN]],表格2_7[],2,FALSE)</f>
        <v>30-4118-018-5XX</v>
      </c>
      <c r="I9599" t="str">
        <f>VLOOKUP(record[[#This Row],[ProcessSN]],表格2_7[],3,FALSE)</f>
        <v>#07QC</v>
      </c>
      <c r="J9599" t="s">
        <v>589</v>
      </c>
      <c r="K9599" s="195">
        <v>45798.391076388885</v>
      </c>
      <c r="L9599">
        <v>134</v>
      </c>
      <c r="M9599">
        <v>0</v>
      </c>
      <c r="N9599" s="98" t="str">
        <f>IF(record[[#This Row],[Memo]]="Browser:chrome os:android","平板報工",IF(record[[#This Row],[Memo]]=0,"委外",record[[#This Row],[Memo]]))</f>
        <v>平板報工</v>
      </c>
      <c r="O9599" t="s">
        <v>643</v>
      </c>
      <c r="P9599" t="s">
        <v>141</v>
      </c>
      <c r="Q9599" t="s">
        <v>644</v>
      </c>
      <c r="R9599" t="str">
        <f>IFERROR(VLOOKUP(record[[#This Row],[PCUSTID]],廠商[],2,FALSE),"")</f>
        <v/>
      </c>
      <c r="S9599" t="str">
        <f>VLOOKUP(record[[#This Row],[employeeID]],員工[],2,FALSE)</f>
        <v>蔣梅</v>
      </c>
    </row>
    <row r="9600" spans="6:19" hidden="1" x14ac:dyDescent="0.25">
      <c r="F9600" t="s">
        <v>794</v>
      </c>
      <c r="G9600" t="s">
        <v>402</v>
      </c>
      <c r="H9600" t="str">
        <f>VLOOKUP(record[[#This Row],[ProcessSN]],表格2_7[],2,FALSE)</f>
        <v>30-4118-018-550</v>
      </c>
      <c r="I9600" t="str">
        <f>VLOOKUP(record[[#This Row],[ProcessSN]],表格2_7[],3,FALSE)</f>
        <v>#100STOCK</v>
      </c>
      <c r="J9600" t="s">
        <v>592</v>
      </c>
      <c r="K9600" s="195">
        <v>45798.385775462964</v>
      </c>
      <c r="L9600">
        <v>127</v>
      </c>
      <c r="M9600">
        <v>0</v>
      </c>
      <c r="N9600" s="98" t="str">
        <f>IF(record[[#This Row],[Memo]]="Browser:chrome os:android","平板報工",IF(record[[#This Row],[Memo]]=0,"委外",record[[#This Row],[Memo]]))</f>
        <v/>
      </c>
      <c r="O9600" t="s">
        <v>58</v>
      </c>
      <c r="P9600" t="s">
        <v>196</v>
      </c>
      <c r="Q9600" t="s">
        <v>58</v>
      </c>
      <c r="R9600" t="str">
        <f>IFERROR(VLOOKUP(record[[#This Row],[PCUSTID]],廠商[],2,FALSE),"")</f>
        <v/>
      </c>
      <c r="S9600" t="str">
        <f>VLOOKUP(record[[#This Row],[employeeID]],員工[],2,FALSE)</f>
        <v>張淑惠</v>
      </c>
    </row>
    <row r="9601" spans="6:19" hidden="1" x14ac:dyDescent="0.25">
      <c r="F9601" t="s">
        <v>778</v>
      </c>
      <c r="G9601" t="s">
        <v>417</v>
      </c>
      <c r="H9601" t="str">
        <f>VLOOKUP(record[[#This Row],[ProcessSN]],表格2_7[],2,FALSE)</f>
        <v>30-4118-018-5XX</v>
      </c>
      <c r="I9601" t="str">
        <f>VLOOKUP(record[[#This Row],[ProcessSN]],表格2_7[],3,FALSE)</f>
        <v>#06</v>
      </c>
      <c r="J9601" t="s">
        <v>593</v>
      </c>
      <c r="K9601" s="195">
        <v>45798.305486111109</v>
      </c>
      <c r="L9601">
        <v>120</v>
      </c>
      <c r="M9601">
        <v>1</v>
      </c>
      <c r="N9601" s="98" t="str">
        <f>IF(record[[#This Row],[Memo]]="Browser:chrome os:android","平板報工",IF(record[[#This Row],[Memo]]=0,"委外",record[[#This Row],[Memo]]))</f>
        <v/>
      </c>
      <c r="O9601" t="s">
        <v>58</v>
      </c>
      <c r="P9601" t="s">
        <v>135</v>
      </c>
      <c r="Q9601" t="s">
        <v>58</v>
      </c>
      <c r="R9601" t="str">
        <f>IFERROR(VLOOKUP(record[[#This Row],[PCUSTID]],廠商[],2,FALSE),"")</f>
        <v/>
      </c>
      <c r="S9601" t="str">
        <f>VLOOKUP(record[[#This Row],[employeeID]],員工[],2,FALSE)</f>
        <v>阮士文</v>
      </c>
    </row>
    <row r="9602" spans="6:19" hidden="1" x14ac:dyDescent="0.25">
      <c r="F9602" t="s">
        <v>778</v>
      </c>
      <c r="G9602" t="s">
        <v>417</v>
      </c>
      <c r="H9602" t="str">
        <f>VLOOKUP(record[[#This Row],[ProcessSN]],表格2_7[],2,FALSE)</f>
        <v>30-4118-018-5XX</v>
      </c>
      <c r="I9602" t="str">
        <f>VLOOKUP(record[[#This Row],[ProcessSN]],表格2_7[],3,FALSE)</f>
        <v>#06</v>
      </c>
      <c r="J9602" t="s">
        <v>593</v>
      </c>
      <c r="K9602" s="195">
        <v>45797.967268518521</v>
      </c>
      <c r="L9602">
        <v>121</v>
      </c>
      <c r="M9602">
        <v>0</v>
      </c>
      <c r="N9602" s="98" t="str">
        <f>IF(record[[#This Row],[Memo]]="Browser:chrome os:android","平板報工",IF(record[[#This Row],[Memo]]=0,"委外",record[[#This Row],[Memo]]))</f>
        <v/>
      </c>
      <c r="O9602" t="s">
        <v>58</v>
      </c>
      <c r="P9602" t="s">
        <v>166</v>
      </c>
      <c r="Q9602" t="s">
        <v>58</v>
      </c>
      <c r="R9602" t="str">
        <f>IFERROR(VLOOKUP(record[[#This Row],[PCUSTID]],廠商[],2,FALSE),"")</f>
        <v/>
      </c>
      <c r="S9602" t="str">
        <f>VLOOKUP(record[[#This Row],[employeeID]],員工[],2,FALSE)</f>
        <v>阮懷香</v>
      </c>
    </row>
    <row r="9603" spans="6:19" hidden="1" x14ac:dyDescent="0.25">
      <c r="F9603" t="s">
        <v>778</v>
      </c>
      <c r="G9603" t="s">
        <v>418</v>
      </c>
      <c r="H9603" t="str">
        <f>VLOOKUP(record[[#This Row],[ProcessSN]],表格2_7[],2,FALSE)</f>
        <v>30-4118-018-5XX</v>
      </c>
      <c r="I9603" t="str">
        <f>VLOOKUP(record[[#This Row],[ProcessSN]],表格2_7[],3,FALSE)</f>
        <v>#07</v>
      </c>
      <c r="J9603" t="s">
        <v>588</v>
      </c>
      <c r="K9603" s="195">
        <v>45797.960879629631</v>
      </c>
      <c r="L9603">
        <v>185</v>
      </c>
      <c r="M9603">
        <v>1</v>
      </c>
      <c r="N9603" s="98" t="str">
        <f>IF(record[[#This Row],[Memo]]="Browser:chrome os:android","平板報工",IF(record[[#This Row],[Memo]]=0,"委外",record[[#This Row],[Memo]]))</f>
        <v/>
      </c>
      <c r="O9603" t="s">
        <v>58</v>
      </c>
      <c r="P9603" t="s">
        <v>89</v>
      </c>
      <c r="Q9603" t="s">
        <v>58</v>
      </c>
      <c r="R9603" t="str">
        <f>IFERROR(VLOOKUP(record[[#This Row],[PCUSTID]],廠商[],2,FALSE),"")</f>
        <v/>
      </c>
      <c r="S9603" t="str">
        <f>VLOOKUP(record[[#This Row],[employeeID]],員工[],2,FALSE)</f>
        <v>李美蓮</v>
      </c>
    </row>
    <row r="9604" spans="6:19" hidden="1" x14ac:dyDescent="0.25">
      <c r="F9604" t="s">
        <v>778</v>
      </c>
      <c r="G9604" t="s">
        <v>420</v>
      </c>
      <c r="H9604" t="str">
        <f>VLOOKUP(record[[#This Row],[ProcessSN]],表格2_7[],2,FALSE)</f>
        <v>30-4118-018-5XX</v>
      </c>
      <c r="I9604" t="str">
        <f>VLOOKUP(record[[#This Row],[ProcessSN]],表格2_7[],3,FALSE)</f>
        <v>#07STOCK</v>
      </c>
      <c r="J9604" t="s">
        <v>592</v>
      </c>
      <c r="K9604" s="195">
        <v>45797.72452546296</v>
      </c>
      <c r="L9604">
        <v>390</v>
      </c>
      <c r="M9604">
        <v>0</v>
      </c>
      <c r="N9604" s="98" t="str">
        <f>IF(record[[#This Row],[Memo]]="Browser:chrome os:android","平板報工",IF(record[[#This Row],[Memo]]=0,"委外",record[[#This Row],[Memo]]))</f>
        <v/>
      </c>
      <c r="O9604" t="s">
        <v>58</v>
      </c>
      <c r="P9604" t="s">
        <v>113</v>
      </c>
      <c r="Q9604" t="s">
        <v>58</v>
      </c>
      <c r="R9604" t="str">
        <f>IFERROR(VLOOKUP(record[[#This Row],[PCUSTID]],廠商[],2,FALSE),"")</f>
        <v/>
      </c>
      <c r="S9604" t="str">
        <f>VLOOKUP(record[[#This Row],[employeeID]],員工[],2,FALSE)</f>
        <v>王奕蓁</v>
      </c>
    </row>
    <row r="9605" spans="6:19" hidden="1" x14ac:dyDescent="0.25">
      <c r="F9605" t="s">
        <v>778</v>
      </c>
      <c r="G9605" t="s">
        <v>419</v>
      </c>
      <c r="H9605" t="str">
        <f>VLOOKUP(record[[#This Row],[ProcessSN]],表格2_7[],2,FALSE)</f>
        <v>30-4118-018-5XX</v>
      </c>
      <c r="I9605" t="str">
        <f>VLOOKUP(record[[#This Row],[ProcessSN]],表格2_7[],3,FALSE)</f>
        <v>#07QC</v>
      </c>
      <c r="J9605" t="s">
        <v>589</v>
      </c>
      <c r="K9605" s="195">
        <v>45797.661446759259</v>
      </c>
      <c r="L9605">
        <v>0</v>
      </c>
      <c r="M9605">
        <v>50</v>
      </c>
      <c r="N9605" s="98" t="str">
        <f>IF(record[[#This Row],[Memo]]="Browser:chrome os:android","平板報工",IF(record[[#This Row],[Memo]]=0,"委外",record[[#This Row],[Memo]]))</f>
        <v/>
      </c>
      <c r="O9605" t="s">
        <v>58</v>
      </c>
      <c r="P9605" t="s">
        <v>141</v>
      </c>
      <c r="Q9605" t="s">
        <v>58</v>
      </c>
      <c r="R9605" t="str">
        <f>IFERROR(VLOOKUP(record[[#This Row],[PCUSTID]],廠商[],2,FALSE),"")</f>
        <v/>
      </c>
      <c r="S9605" t="str">
        <f>VLOOKUP(record[[#This Row],[employeeID]],員工[],2,FALSE)</f>
        <v>蔣梅</v>
      </c>
    </row>
    <row r="9606" spans="6:19" hidden="1" x14ac:dyDescent="0.25">
      <c r="F9606" t="s">
        <v>794</v>
      </c>
      <c r="G9606" t="s">
        <v>401</v>
      </c>
      <c r="H9606" t="str">
        <f>VLOOKUP(record[[#This Row],[ProcessSN]],表格2_7[],2,FALSE)</f>
        <v>30-4118-018-550</v>
      </c>
      <c r="I9606" t="str">
        <f>VLOOKUP(record[[#This Row],[ProcessSN]],表格2_7[],3,FALSE)</f>
        <v>#100OQC</v>
      </c>
      <c r="J9606" t="s">
        <v>599</v>
      </c>
      <c r="K9606" s="195">
        <v>45797.647893518515</v>
      </c>
      <c r="L9606">
        <v>127</v>
      </c>
      <c r="M9606">
        <v>0</v>
      </c>
      <c r="N9606" s="98" t="str">
        <f>IF(record[[#This Row],[Memo]]="Browser:chrome os:android","平板報工",IF(record[[#This Row],[Memo]]=0,"委外",record[[#This Row],[Memo]]))</f>
        <v/>
      </c>
      <c r="O9606" t="s">
        <v>58</v>
      </c>
      <c r="P9606" t="s">
        <v>121</v>
      </c>
      <c r="Q9606" t="s">
        <v>58</v>
      </c>
      <c r="R9606" t="str">
        <f>IFERROR(VLOOKUP(record[[#This Row],[PCUSTID]],廠商[],2,FALSE),"")</f>
        <v/>
      </c>
      <c r="S9606" t="str">
        <f>VLOOKUP(record[[#This Row],[employeeID]],員工[],2,FALSE)</f>
        <v>謝素卿</v>
      </c>
    </row>
    <row r="9607" spans="6:19" hidden="1" x14ac:dyDescent="0.25">
      <c r="F9607" t="s">
        <v>778</v>
      </c>
      <c r="G9607" t="s">
        <v>417</v>
      </c>
      <c r="H9607" t="str">
        <f>VLOOKUP(record[[#This Row],[ProcessSN]],表格2_7[],2,FALSE)</f>
        <v>30-4118-018-5XX</v>
      </c>
      <c r="I9607" t="str">
        <f>VLOOKUP(record[[#This Row],[ProcessSN]],表格2_7[],3,FALSE)</f>
        <v>#06</v>
      </c>
      <c r="J9607" t="s">
        <v>593</v>
      </c>
      <c r="K9607" s="195">
        <v>45797.646979166668</v>
      </c>
      <c r="L9607">
        <v>100</v>
      </c>
      <c r="M9607">
        <v>0</v>
      </c>
      <c r="N9607" s="98" t="str">
        <f>IF(record[[#This Row],[Memo]]="Browser:chrome os:android","平板報工",IF(record[[#This Row],[Memo]]=0,"委外",record[[#This Row],[Memo]]))</f>
        <v/>
      </c>
      <c r="O9607" t="s">
        <v>58</v>
      </c>
      <c r="P9607" t="s">
        <v>119</v>
      </c>
      <c r="Q9607" t="s">
        <v>58</v>
      </c>
      <c r="R9607" t="str">
        <f>IFERROR(VLOOKUP(record[[#This Row],[PCUSTID]],廠商[],2,FALSE),"")</f>
        <v/>
      </c>
      <c r="S9607" t="str">
        <f>VLOOKUP(record[[#This Row],[employeeID]],員工[],2,FALSE)</f>
        <v>廖俊彥</v>
      </c>
    </row>
    <row r="9608" spans="6:19" hidden="1" x14ac:dyDescent="0.25">
      <c r="F9608" t="s">
        <v>778</v>
      </c>
      <c r="G9608" t="s">
        <v>419</v>
      </c>
      <c r="H9608" t="str">
        <f>VLOOKUP(record[[#This Row],[ProcessSN]],表格2_7[],2,FALSE)</f>
        <v>30-4118-018-5XX</v>
      </c>
      <c r="I9608" t="str">
        <f>VLOOKUP(record[[#This Row],[ProcessSN]],表格2_7[],3,FALSE)</f>
        <v>#07QC</v>
      </c>
      <c r="J9608" t="s">
        <v>589</v>
      </c>
      <c r="K9608" s="195">
        <v>45797.646909722222</v>
      </c>
      <c r="L9608">
        <v>390</v>
      </c>
      <c r="M9608">
        <v>0</v>
      </c>
      <c r="N9608" s="98" t="str">
        <f>IF(record[[#This Row],[Memo]]="Browser:chrome os:android","平板報工",IF(record[[#This Row],[Memo]]=0,"委外",record[[#This Row],[Memo]]))</f>
        <v>平板報工</v>
      </c>
      <c r="O9608" t="s">
        <v>643</v>
      </c>
      <c r="P9608" t="s">
        <v>141</v>
      </c>
      <c r="Q9608" t="s">
        <v>644</v>
      </c>
      <c r="R9608" t="str">
        <f>IFERROR(VLOOKUP(record[[#This Row],[PCUSTID]],廠商[],2,FALSE),"")</f>
        <v/>
      </c>
      <c r="S9608" t="str">
        <f>VLOOKUP(record[[#This Row],[employeeID]],員工[],2,FALSE)</f>
        <v>蔣梅</v>
      </c>
    </row>
    <row r="9609" spans="6:19" hidden="1" x14ac:dyDescent="0.25">
      <c r="F9609" t="s">
        <v>797</v>
      </c>
      <c r="G9609" t="s">
        <v>397</v>
      </c>
      <c r="H9609" t="str">
        <f>VLOOKUP(record[[#This Row],[ProcessSN]],表格2_7[],2,FALSE)</f>
        <v>30-4118-018-550</v>
      </c>
      <c r="I9609" t="str">
        <f>VLOOKUP(record[[#This Row],[ProcessSN]],表格2_7[],3,FALSE)</f>
        <v>#08</v>
      </c>
      <c r="J9609" t="s">
        <v>597</v>
      </c>
      <c r="K9609" s="195">
        <v>45797.646481481483</v>
      </c>
      <c r="L9609">
        <v>390</v>
      </c>
      <c r="M9609">
        <v>0</v>
      </c>
      <c r="N9609" s="98" t="str">
        <f>IF(record[[#This Row],[Memo]]="Browser:chrome os:android","平板報工",IF(record[[#This Row],[Memo]]=0,"委外",record[[#This Row],[Memo]]))</f>
        <v>委外</v>
      </c>
      <c r="P9609" t="s">
        <v>186</v>
      </c>
      <c r="Q9609" t="s">
        <v>287</v>
      </c>
      <c r="R9609" t="str">
        <f>IFERROR(VLOOKUP(record[[#This Row],[PCUSTID]],廠商[],2,FALSE),"")</f>
        <v>泉盛</v>
      </c>
      <c r="S9609" t="str">
        <f>VLOOKUP(record[[#This Row],[employeeID]],員工[],2,FALSE)</f>
        <v>許文姍</v>
      </c>
    </row>
    <row r="9610" spans="6:19" hidden="1" x14ac:dyDescent="0.25">
      <c r="F9610" t="s">
        <v>796</v>
      </c>
      <c r="G9610" t="s">
        <v>396</v>
      </c>
      <c r="H9610" t="str">
        <f>VLOOKUP(record[[#This Row],[ProcessSN]],表格2_7[],2,FALSE)</f>
        <v>30-4118-018-550</v>
      </c>
      <c r="I9610" t="str">
        <f>VLOOKUP(record[[#This Row],[ProcessSN]],表格2_7[],3,FALSE)</f>
        <v>#08PICK</v>
      </c>
      <c r="J9610" t="s">
        <v>582</v>
      </c>
      <c r="K9610" s="195">
        <v>45797.64571759259</v>
      </c>
      <c r="L9610">
        <v>390</v>
      </c>
      <c r="M9610">
        <v>0</v>
      </c>
      <c r="N9610" s="98" t="str">
        <f>IF(record[[#This Row],[Memo]]="Browser:chrome os:android","平板報工",IF(record[[#This Row],[Memo]]=0,"委外",record[[#This Row],[Memo]]))</f>
        <v/>
      </c>
      <c r="O9610" t="s">
        <v>58</v>
      </c>
      <c r="P9610" t="s">
        <v>113</v>
      </c>
      <c r="Q9610" t="s">
        <v>58</v>
      </c>
      <c r="R9610" t="str">
        <f>IFERROR(VLOOKUP(record[[#This Row],[PCUSTID]],廠商[],2,FALSE),"")</f>
        <v/>
      </c>
      <c r="S9610" t="str">
        <f>VLOOKUP(record[[#This Row],[employeeID]],員工[],2,FALSE)</f>
        <v>王奕蓁</v>
      </c>
    </row>
    <row r="9611" spans="6:19" hidden="1" x14ac:dyDescent="0.25">
      <c r="F9611" t="s">
        <v>778</v>
      </c>
      <c r="G9611" t="s">
        <v>418</v>
      </c>
      <c r="H9611" t="str">
        <f>VLOOKUP(record[[#This Row],[ProcessSN]],表格2_7[],2,FALSE)</f>
        <v>30-4118-018-5XX</v>
      </c>
      <c r="I9611" t="str">
        <f>VLOOKUP(record[[#This Row],[ProcessSN]],表格2_7[],3,FALSE)</f>
        <v>#07</v>
      </c>
      <c r="J9611" t="s">
        <v>588</v>
      </c>
      <c r="K9611" s="195">
        <v>45797.641006944446</v>
      </c>
      <c r="L9611">
        <v>158</v>
      </c>
      <c r="M9611">
        <v>0</v>
      </c>
      <c r="N9611" s="98" t="str">
        <f>IF(record[[#This Row],[Memo]]="Browser:chrome os:android","平板報工",IF(record[[#This Row],[Memo]]=0,"委外",record[[#This Row],[Memo]]))</f>
        <v/>
      </c>
      <c r="O9611" t="s">
        <v>58</v>
      </c>
      <c r="P9611" t="s">
        <v>119</v>
      </c>
      <c r="Q9611" t="s">
        <v>58</v>
      </c>
      <c r="R9611" t="str">
        <f>IFERROR(VLOOKUP(record[[#This Row],[PCUSTID]],廠商[],2,FALSE),"")</f>
        <v/>
      </c>
      <c r="S9611" t="str">
        <f>VLOOKUP(record[[#This Row],[employeeID]],員工[],2,FALSE)</f>
        <v>廖俊彥</v>
      </c>
    </row>
    <row r="9612" spans="6:19" hidden="1" x14ac:dyDescent="0.25">
      <c r="F9612" t="s">
        <v>794</v>
      </c>
      <c r="G9612" t="s">
        <v>400</v>
      </c>
      <c r="H9612" t="str">
        <f>VLOOKUP(record[[#This Row],[ProcessSN]],表格2_7[],2,FALSE)</f>
        <v>30-4118-018-550</v>
      </c>
      <c r="I9612" t="str">
        <f>VLOOKUP(record[[#This Row],[ProcessSN]],表格2_7[],3,FALSE)</f>
        <v>#100</v>
      </c>
      <c r="J9612" t="s">
        <v>598</v>
      </c>
      <c r="K9612" s="195">
        <v>45797.396423611113</v>
      </c>
      <c r="L9612">
        <v>127</v>
      </c>
      <c r="M9612">
        <v>0</v>
      </c>
      <c r="N9612" s="98" t="str">
        <f>IF(record[[#This Row],[Memo]]="Browser:chrome os:android","平板報工",IF(record[[#This Row],[Memo]]=0,"委外",record[[#This Row],[Memo]]))</f>
        <v>平板報工</v>
      </c>
      <c r="O9612" t="s">
        <v>643</v>
      </c>
      <c r="P9612" t="s">
        <v>141</v>
      </c>
      <c r="Q9612" t="s">
        <v>644</v>
      </c>
      <c r="R9612" t="str">
        <f>IFERROR(VLOOKUP(record[[#This Row],[PCUSTID]],廠商[],2,FALSE),"")</f>
        <v/>
      </c>
      <c r="S9612" t="str">
        <f>VLOOKUP(record[[#This Row],[employeeID]],員工[],2,FALSE)</f>
        <v>蔣梅</v>
      </c>
    </row>
    <row r="9613" spans="6:19" hidden="1" x14ac:dyDescent="0.25">
      <c r="F9613" t="s">
        <v>744</v>
      </c>
      <c r="G9613" t="s">
        <v>428</v>
      </c>
      <c r="H9613" t="str">
        <f>VLOOKUP(record[[#This Row],[ProcessSN]],表格2_7[],2,FALSE)</f>
        <v>30-4118-018-600</v>
      </c>
      <c r="I9613" t="str">
        <f>VLOOKUP(record[[#This Row],[ProcessSN]],表格2_7[],3,FALSE)</f>
        <v>#100SHIP</v>
      </c>
      <c r="J9613" t="s">
        <v>600</v>
      </c>
      <c r="K9613" s="195">
        <v>45797.377592592595</v>
      </c>
      <c r="L9613">
        <v>58</v>
      </c>
      <c r="M9613">
        <v>0</v>
      </c>
      <c r="N9613" s="98" t="str">
        <f>IF(record[[#This Row],[Memo]]="Browser:chrome os:android","平板報工",IF(record[[#This Row],[Memo]]=0,"委外",record[[#This Row],[Memo]]))</f>
        <v/>
      </c>
      <c r="O9613" t="s">
        <v>58</v>
      </c>
      <c r="P9613" t="s">
        <v>196</v>
      </c>
      <c r="Q9613" t="s">
        <v>58</v>
      </c>
      <c r="R9613" t="str">
        <f>IFERROR(VLOOKUP(record[[#This Row],[PCUSTID]],廠商[],2,FALSE),"")</f>
        <v/>
      </c>
      <c r="S9613" t="str">
        <f>VLOOKUP(record[[#This Row],[employeeID]],員工[],2,FALSE)</f>
        <v>張淑惠</v>
      </c>
    </row>
    <row r="9614" spans="6:19" hidden="1" x14ac:dyDescent="0.25">
      <c r="F9614" t="s">
        <v>678</v>
      </c>
      <c r="G9614" t="s">
        <v>362</v>
      </c>
      <c r="H9614" t="str">
        <f>VLOOKUP(record[[#This Row],[ProcessSN]],表格2_7[],2,FALSE)</f>
        <v>30-4118-018-450</v>
      </c>
      <c r="I9614" t="str">
        <f>VLOOKUP(record[[#This Row],[ProcessSN]],表格2_7[],3,FALSE)</f>
        <v>#100SHIP</v>
      </c>
      <c r="J9614" t="s">
        <v>600</v>
      </c>
      <c r="K9614" s="195">
        <v>45797.377187500002</v>
      </c>
      <c r="L9614">
        <v>4</v>
      </c>
      <c r="M9614">
        <v>0</v>
      </c>
      <c r="N9614" s="98" t="str">
        <f>IF(record[[#This Row],[Memo]]="Browser:chrome os:android","平板報工",IF(record[[#This Row],[Memo]]=0,"委外",record[[#This Row],[Memo]]))</f>
        <v/>
      </c>
      <c r="O9614" t="s">
        <v>58</v>
      </c>
      <c r="P9614" t="s">
        <v>196</v>
      </c>
      <c r="Q9614" t="s">
        <v>58</v>
      </c>
      <c r="R9614" t="str">
        <f>IFERROR(VLOOKUP(record[[#This Row],[PCUSTID]],廠商[],2,FALSE),"")</f>
        <v/>
      </c>
      <c r="S9614" t="str">
        <f>VLOOKUP(record[[#This Row],[employeeID]],員工[],2,FALSE)</f>
        <v>張淑惠</v>
      </c>
    </row>
    <row r="9615" spans="6:19" hidden="1" x14ac:dyDescent="0.25">
      <c r="F9615" t="s">
        <v>794</v>
      </c>
      <c r="G9615" t="s">
        <v>403</v>
      </c>
      <c r="H9615" t="str">
        <f>VLOOKUP(record[[#This Row],[ProcessSN]],表格2_7[],2,FALSE)</f>
        <v>30-4118-018-550</v>
      </c>
      <c r="I9615" t="str">
        <f>VLOOKUP(record[[#This Row],[ProcessSN]],表格2_7[],3,FALSE)</f>
        <v>#100SHIP</v>
      </c>
      <c r="J9615" t="s">
        <v>600</v>
      </c>
      <c r="K9615" s="195">
        <v>45797.369143518517</v>
      </c>
      <c r="L9615">
        <v>132</v>
      </c>
      <c r="M9615">
        <v>0</v>
      </c>
      <c r="N9615" s="98" t="str">
        <f>IF(record[[#This Row],[Memo]]="Browser:chrome os:android","平板報工",IF(record[[#This Row],[Memo]]=0,"委外",record[[#This Row],[Memo]]))</f>
        <v/>
      </c>
      <c r="O9615" t="s">
        <v>58</v>
      </c>
      <c r="P9615" t="s">
        <v>196</v>
      </c>
      <c r="Q9615" t="s">
        <v>58</v>
      </c>
      <c r="R9615" t="str">
        <f>IFERROR(VLOOKUP(record[[#This Row],[PCUSTID]],廠商[],2,FALSE),"")</f>
        <v/>
      </c>
      <c r="S9615" t="str">
        <f>VLOOKUP(record[[#This Row],[employeeID]],員工[],2,FALSE)</f>
        <v>張淑惠</v>
      </c>
    </row>
    <row r="9616" spans="6:19" hidden="1" x14ac:dyDescent="0.25">
      <c r="F9616" t="s">
        <v>791</v>
      </c>
      <c r="G9616" t="s">
        <v>403</v>
      </c>
      <c r="H9616" t="str">
        <f>VLOOKUP(record[[#This Row],[ProcessSN]],表格2_7[],2,FALSE)</f>
        <v>30-4118-018-550</v>
      </c>
      <c r="I9616" t="str">
        <f>VLOOKUP(record[[#This Row],[ProcessSN]],表格2_7[],3,FALSE)</f>
        <v>#100SHIP</v>
      </c>
      <c r="J9616" t="s">
        <v>600</v>
      </c>
      <c r="K9616" s="195">
        <v>45797.368819444448</v>
      </c>
      <c r="L9616">
        <v>348</v>
      </c>
      <c r="M9616">
        <v>0</v>
      </c>
      <c r="N9616" s="98" t="str">
        <f>IF(record[[#This Row],[Memo]]="Browser:chrome os:android","平板報工",IF(record[[#This Row],[Memo]]=0,"委外",record[[#This Row],[Memo]]))</f>
        <v/>
      </c>
      <c r="O9616" t="s">
        <v>58</v>
      </c>
      <c r="P9616" t="s">
        <v>196</v>
      </c>
      <c r="Q9616" t="s">
        <v>58</v>
      </c>
      <c r="R9616" t="str">
        <f>IFERROR(VLOOKUP(record[[#This Row],[PCUSTID]],廠商[],2,FALSE),"")</f>
        <v/>
      </c>
      <c r="S9616" t="str">
        <f>VLOOKUP(record[[#This Row],[employeeID]],員工[],2,FALSE)</f>
        <v>張淑惠</v>
      </c>
    </row>
    <row r="9617" spans="6:19" hidden="1" x14ac:dyDescent="0.25">
      <c r="F9617" t="s">
        <v>794</v>
      </c>
      <c r="G9617" t="s">
        <v>402</v>
      </c>
      <c r="H9617" t="str">
        <f>VLOOKUP(record[[#This Row],[ProcessSN]],表格2_7[],2,FALSE)</f>
        <v>30-4118-018-550</v>
      </c>
      <c r="I9617" t="str">
        <f>VLOOKUP(record[[#This Row],[ProcessSN]],表格2_7[],3,FALSE)</f>
        <v>#100STOCK</v>
      </c>
      <c r="J9617" t="s">
        <v>592</v>
      </c>
      <c r="K9617" s="195">
        <v>45797.368611111109</v>
      </c>
      <c r="L9617">
        <v>156</v>
      </c>
      <c r="M9617">
        <v>0</v>
      </c>
      <c r="N9617" s="98" t="str">
        <f>IF(record[[#This Row],[Memo]]="Browser:chrome os:android","平板報工",IF(record[[#This Row],[Memo]]=0,"委外",record[[#This Row],[Memo]]))</f>
        <v/>
      </c>
      <c r="O9617" t="s">
        <v>58</v>
      </c>
      <c r="P9617" t="s">
        <v>196</v>
      </c>
      <c r="Q9617" t="s">
        <v>58</v>
      </c>
      <c r="R9617" t="str">
        <f>IFERROR(VLOOKUP(record[[#This Row],[PCUSTID]],廠商[],2,FALSE),"")</f>
        <v/>
      </c>
      <c r="S9617" t="str">
        <f>VLOOKUP(record[[#This Row],[employeeID]],員工[],2,FALSE)</f>
        <v>張淑惠</v>
      </c>
    </row>
    <row r="9618" spans="6:19" hidden="1" x14ac:dyDescent="0.25">
      <c r="F9618" t="s">
        <v>791</v>
      </c>
      <c r="G9618" t="s">
        <v>402</v>
      </c>
      <c r="H9618" t="str">
        <f>VLOOKUP(record[[#This Row],[ProcessSN]],表格2_7[],2,FALSE)</f>
        <v>30-4118-018-550</v>
      </c>
      <c r="I9618" t="str">
        <f>VLOOKUP(record[[#This Row],[ProcessSN]],表格2_7[],3,FALSE)</f>
        <v>#100STOCK</v>
      </c>
      <c r="J9618" t="s">
        <v>592</v>
      </c>
      <c r="K9618" s="195">
        <v>45797.368414351855</v>
      </c>
      <c r="L9618">
        <v>348</v>
      </c>
      <c r="M9618">
        <v>0</v>
      </c>
      <c r="N9618" s="98" t="str">
        <f>IF(record[[#This Row],[Memo]]="Browser:chrome os:android","平板報工",IF(record[[#This Row],[Memo]]=0,"委外",record[[#This Row],[Memo]]))</f>
        <v/>
      </c>
      <c r="O9618" t="s">
        <v>58</v>
      </c>
      <c r="P9618" t="s">
        <v>196</v>
      </c>
      <c r="Q9618" t="s">
        <v>58</v>
      </c>
      <c r="R9618" t="str">
        <f>IFERROR(VLOOKUP(record[[#This Row],[PCUSTID]],廠商[],2,FALSE),"")</f>
        <v/>
      </c>
      <c r="S9618" t="str">
        <f>VLOOKUP(record[[#This Row],[employeeID]],員工[],2,FALSE)</f>
        <v>張淑惠</v>
      </c>
    </row>
    <row r="9619" spans="6:19" hidden="1" x14ac:dyDescent="0.25">
      <c r="F9619" t="s">
        <v>778</v>
      </c>
      <c r="G9619" t="s">
        <v>417</v>
      </c>
      <c r="H9619" t="str">
        <f>VLOOKUP(record[[#This Row],[ProcessSN]],表格2_7[],2,FALSE)</f>
        <v>30-4118-018-5XX</v>
      </c>
      <c r="I9619" t="str">
        <f>VLOOKUP(record[[#This Row],[ProcessSN]],表格2_7[],3,FALSE)</f>
        <v>#06</v>
      </c>
      <c r="J9619" t="s">
        <v>593</v>
      </c>
      <c r="K9619" s="195">
        <v>45797.30369212963</v>
      </c>
      <c r="L9619">
        <v>121</v>
      </c>
      <c r="M9619">
        <v>0</v>
      </c>
      <c r="N9619" s="98" t="str">
        <f>IF(record[[#This Row],[Memo]]="Browser:chrome os:android","平板報工",IF(record[[#This Row],[Memo]]=0,"委外",record[[#This Row],[Memo]]))</f>
        <v/>
      </c>
      <c r="O9619" t="s">
        <v>58</v>
      </c>
      <c r="P9619" t="s">
        <v>135</v>
      </c>
      <c r="Q9619" t="s">
        <v>58</v>
      </c>
      <c r="R9619" t="str">
        <f>IFERROR(VLOOKUP(record[[#This Row],[PCUSTID]],廠商[],2,FALSE),"")</f>
        <v/>
      </c>
      <c r="S9619" t="str">
        <f>VLOOKUP(record[[#This Row],[employeeID]],員工[],2,FALSE)</f>
        <v>阮士文</v>
      </c>
    </row>
    <row r="9620" spans="6:19" hidden="1" x14ac:dyDescent="0.25">
      <c r="F9620" t="s">
        <v>778</v>
      </c>
      <c r="G9620" t="s">
        <v>417</v>
      </c>
      <c r="H9620" t="str">
        <f>VLOOKUP(record[[#This Row],[ProcessSN]],表格2_7[],2,FALSE)</f>
        <v>30-4118-018-5XX</v>
      </c>
      <c r="I9620" t="str">
        <f>VLOOKUP(record[[#This Row],[ProcessSN]],表格2_7[],3,FALSE)</f>
        <v>#06</v>
      </c>
      <c r="J9620" t="s">
        <v>593</v>
      </c>
      <c r="K9620" s="195">
        <v>45796.96298611111</v>
      </c>
      <c r="L9620">
        <v>117</v>
      </c>
      <c r="M9620">
        <v>0</v>
      </c>
      <c r="N9620" s="98" t="str">
        <f>IF(record[[#This Row],[Memo]]="Browser:chrome os:android","平板報工",IF(record[[#This Row],[Memo]]=0,"委外",record[[#This Row],[Memo]]))</f>
        <v/>
      </c>
      <c r="O9620" t="s">
        <v>58</v>
      </c>
      <c r="P9620" t="s">
        <v>166</v>
      </c>
      <c r="Q9620" t="s">
        <v>58</v>
      </c>
      <c r="R9620" t="str">
        <f>IFERROR(VLOOKUP(record[[#This Row],[PCUSTID]],廠商[],2,FALSE),"")</f>
        <v/>
      </c>
      <c r="S9620" t="str">
        <f>VLOOKUP(record[[#This Row],[employeeID]],員工[],2,FALSE)</f>
        <v>阮懷香</v>
      </c>
    </row>
    <row r="9621" spans="6:19" hidden="1" x14ac:dyDescent="0.25">
      <c r="F9621" t="s">
        <v>778</v>
      </c>
      <c r="G9621" t="s">
        <v>418</v>
      </c>
      <c r="H9621" t="str">
        <f>VLOOKUP(record[[#This Row],[ProcessSN]],表格2_7[],2,FALSE)</f>
        <v>30-4118-018-5XX</v>
      </c>
      <c r="I9621" t="str">
        <f>VLOOKUP(record[[#This Row],[ProcessSN]],表格2_7[],3,FALSE)</f>
        <v>#07</v>
      </c>
      <c r="J9621" t="s">
        <v>588</v>
      </c>
      <c r="K9621" s="195">
        <v>45796.936238425929</v>
      </c>
      <c r="L9621">
        <v>185</v>
      </c>
      <c r="M9621">
        <v>1</v>
      </c>
      <c r="N9621" s="98" t="str">
        <f>IF(record[[#This Row],[Memo]]="Browser:chrome os:android","平板報工",IF(record[[#This Row],[Memo]]=0,"委外",record[[#This Row],[Memo]]))</f>
        <v/>
      </c>
      <c r="O9621" t="s">
        <v>58</v>
      </c>
      <c r="P9621" t="s">
        <v>89</v>
      </c>
      <c r="Q9621" t="s">
        <v>58</v>
      </c>
      <c r="R9621" t="str">
        <f>IFERROR(VLOOKUP(record[[#This Row],[PCUSTID]],廠商[],2,FALSE),"")</f>
        <v/>
      </c>
      <c r="S9621" t="str">
        <f>VLOOKUP(record[[#This Row],[employeeID]],員工[],2,FALSE)</f>
        <v>李美蓮</v>
      </c>
    </row>
    <row r="9622" spans="6:19" hidden="1" x14ac:dyDescent="0.25">
      <c r="F9622" t="s">
        <v>794</v>
      </c>
      <c r="G9622" t="s">
        <v>401</v>
      </c>
      <c r="H9622" t="str">
        <f>VLOOKUP(record[[#This Row],[ProcessSN]],表格2_7[],2,FALSE)</f>
        <v>30-4118-018-550</v>
      </c>
      <c r="I9622" t="str">
        <f>VLOOKUP(record[[#This Row],[ProcessSN]],表格2_7[],3,FALSE)</f>
        <v>#100OQC</v>
      </c>
      <c r="J9622" t="s">
        <v>599</v>
      </c>
      <c r="K9622" s="195">
        <v>45796.744189814817</v>
      </c>
      <c r="L9622">
        <v>156</v>
      </c>
      <c r="M9622">
        <v>0</v>
      </c>
      <c r="N9622" s="98" t="str">
        <f>IF(record[[#This Row],[Memo]]="Browser:chrome os:android","平板報工",IF(record[[#This Row],[Memo]]=0,"委外",record[[#This Row],[Memo]]))</f>
        <v/>
      </c>
      <c r="O9622" t="s">
        <v>58</v>
      </c>
      <c r="P9622" t="s">
        <v>121</v>
      </c>
      <c r="Q9622" t="s">
        <v>58</v>
      </c>
      <c r="R9622" t="str">
        <f>IFERROR(VLOOKUP(record[[#This Row],[PCUSTID]],廠商[],2,FALSE),"")</f>
        <v/>
      </c>
      <c r="S9622" t="str">
        <f>VLOOKUP(record[[#This Row],[employeeID]],員工[],2,FALSE)</f>
        <v>謝素卿</v>
      </c>
    </row>
    <row r="9623" spans="6:19" hidden="1" x14ac:dyDescent="0.25">
      <c r="F9623" t="s">
        <v>791</v>
      </c>
      <c r="G9623" t="s">
        <v>401</v>
      </c>
      <c r="H9623" t="str">
        <f>VLOOKUP(record[[#This Row],[ProcessSN]],表格2_7[],2,FALSE)</f>
        <v>30-4118-018-550</v>
      </c>
      <c r="I9623" t="str">
        <f>VLOOKUP(record[[#This Row],[ProcessSN]],表格2_7[],3,FALSE)</f>
        <v>#100OQC</v>
      </c>
      <c r="J9623" t="s">
        <v>599</v>
      </c>
      <c r="K9623" s="195">
        <v>45796.744027777779</v>
      </c>
      <c r="L9623">
        <v>348</v>
      </c>
      <c r="M9623">
        <v>0</v>
      </c>
      <c r="N9623" s="98" t="str">
        <f>IF(record[[#This Row],[Memo]]="Browser:chrome os:android","平板報工",IF(record[[#This Row],[Memo]]=0,"委外",record[[#This Row],[Memo]]))</f>
        <v/>
      </c>
      <c r="O9623" t="s">
        <v>58</v>
      </c>
      <c r="P9623" t="s">
        <v>121</v>
      </c>
      <c r="Q9623" t="s">
        <v>58</v>
      </c>
      <c r="R9623" t="str">
        <f>IFERROR(VLOOKUP(record[[#This Row],[PCUSTID]],廠商[],2,FALSE),"")</f>
        <v/>
      </c>
      <c r="S9623" t="str">
        <f>VLOOKUP(record[[#This Row],[employeeID]],員工[],2,FALSE)</f>
        <v>謝素卿</v>
      </c>
    </row>
    <row r="9624" spans="6:19" hidden="1" x14ac:dyDescent="0.25">
      <c r="F9624" t="s">
        <v>794</v>
      </c>
      <c r="G9624" t="s">
        <v>400</v>
      </c>
      <c r="H9624" t="str">
        <f>VLOOKUP(record[[#This Row],[ProcessSN]],表格2_7[],2,FALSE)</f>
        <v>30-4118-018-550</v>
      </c>
      <c r="I9624" t="str">
        <f>VLOOKUP(record[[#This Row],[ProcessSN]],表格2_7[],3,FALSE)</f>
        <v>#100</v>
      </c>
      <c r="J9624" t="s">
        <v>598</v>
      </c>
      <c r="K9624" s="195">
        <v>45796.70758101852</v>
      </c>
      <c r="L9624">
        <v>156</v>
      </c>
      <c r="M9624">
        <v>0</v>
      </c>
      <c r="N9624" s="98" t="str">
        <f>IF(record[[#This Row],[Memo]]="Browser:chrome os:android","平板報工",IF(record[[#This Row],[Memo]]=0,"委外",record[[#This Row],[Memo]]))</f>
        <v>平板報工</v>
      </c>
      <c r="O9624" t="s">
        <v>643</v>
      </c>
      <c r="P9624" t="s">
        <v>141</v>
      </c>
      <c r="Q9624" t="s">
        <v>644</v>
      </c>
      <c r="R9624" t="str">
        <f>IFERROR(VLOOKUP(record[[#This Row],[PCUSTID]],廠商[],2,FALSE),"")</f>
        <v/>
      </c>
      <c r="S9624" t="str">
        <f>VLOOKUP(record[[#This Row],[employeeID]],員工[],2,FALSE)</f>
        <v>蔣梅</v>
      </c>
    </row>
    <row r="9625" spans="6:19" hidden="1" x14ac:dyDescent="0.25">
      <c r="F9625" t="s">
        <v>778</v>
      </c>
      <c r="G9625" t="s">
        <v>417</v>
      </c>
      <c r="H9625" t="str">
        <f>VLOOKUP(record[[#This Row],[ProcessSN]],表格2_7[],2,FALSE)</f>
        <v>30-4118-018-5XX</v>
      </c>
      <c r="I9625" t="str">
        <f>VLOOKUP(record[[#This Row],[ProcessSN]],表格2_7[],3,FALSE)</f>
        <v>#06</v>
      </c>
      <c r="J9625" t="s">
        <v>593</v>
      </c>
      <c r="K9625" s="195">
        <v>45796.698888888888</v>
      </c>
      <c r="L9625">
        <v>100</v>
      </c>
      <c r="M9625">
        <v>0</v>
      </c>
      <c r="N9625" s="98" t="str">
        <f>IF(record[[#This Row],[Memo]]="Browser:chrome os:android","平板報工",IF(record[[#This Row],[Memo]]=0,"委外",record[[#This Row],[Memo]]))</f>
        <v/>
      </c>
      <c r="O9625" t="s">
        <v>58</v>
      </c>
      <c r="P9625" t="s">
        <v>119</v>
      </c>
      <c r="Q9625" t="s">
        <v>58</v>
      </c>
      <c r="R9625" t="str">
        <f>IFERROR(VLOOKUP(record[[#This Row],[PCUSTID]],廠商[],2,FALSE),"")</f>
        <v/>
      </c>
      <c r="S9625" t="str">
        <f>VLOOKUP(record[[#This Row],[employeeID]],員工[],2,FALSE)</f>
        <v>廖俊彥</v>
      </c>
    </row>
    <row r="9626" spans="6:19" hidden="1" x14ac:dyDescent="0.25">
      <c r="F9626" t="s">
        <v>778</v>
      </c>
      <c r="G9626" t="s">
        <v>418</v>
      </c>
      <c r="H9626" t="str">
        <f>VLOOKUP(record[[#This Row],[ProcessSN]],表格2_7[],2,FALSE)</f>
        <v>30-4118-018-5XX</v>
      </c>
      <c r="I9626" t="str">
        <f>VLOOKUP(record[[#This Row],[ProcessSN]],表格2_7[],3,FALSE)</f>
        <v>#07</v>
      </c>
      <c r="J9626" t="s">
        <v>588</v>
      </c>
      <c r="K9626" s="195">
        <v>45796.695972222224</v>
      </c>
      <c r="L9626">
        <v>171</v>
      </c>
      <c r="M9626">
        <v>1</v>
      </c>
      <c r="N9626" s="98" t="str">
        <f>IF(record[[#This Row],[Memo]]="Browser:chrome os:android","平板報工",IF(record[[#This Row],[Memo]]=0,"委外",record[[#This Row],[Memo]]))</f>
        <v/>
      </c>
      <c r="O9626" t="s">
        <v>58</v>
      </c>
      <c r="P9626" t="s">
        <v>119</v>
      </c>
      <c r="Q9626" t="s">
        <v>58</v>
      </c>
      <c r="R9626" t="str">
        <f>IFERROR(VLOOKUP(record[[#This Row],[PCUSTID]],廠商[],2,FALSE),"")</f>
        <v/>
      </c>
      <c r="S9626" t="str">
        <f>VLOOKUP(record[[#This Row],[employeeID]],員工[],2,FALSE)</f>
        <v>廖俊彥</v>
      </c>
    </row>
    <row r="9627" spans="6:19" hidden="1" x14ac:dyDescent="0.25">
      <c r="F9627" t="s">
        <v>794</v>
      </c>
      <c r="G9627" t="s">
        <v>399</v>
      </c>
      <c r="H9627" t="str">
        <f>VLOOKUP(record[[#This Row],[ProcessSN]],表格2_7[],2,FALSE)</f>
        <v>30-4118-018-550</v>
      </c>
      <c r="I9627" t="str">
        <f>VLOOKUP(record[[#This Row],[ProcessSN]],表格2_7[],3,FALSE)</f>
        <v>#08IQC</v>
      </c>
      <c r="J9627" t="s">
        <v>583</v>
      </c>
      <c r="K9627" s="195">
        <v>45796.686180555553</v>
      </c>
      <c r="L9627">
        <v>283</v>
      </c>
      <c r="M9627">
        <v>0</v>
      </c>
      <c r="N9627" s="98" t="str">
        <f>IF(record[[#This Row],[Memo]]="Browser:chrome os:android","平板報工",IF(record[[#This Row],[Memo]]=0,"委外",record[[#This Row],[Memo]]))</f>
        <v/>
      </c>
      <c r="O9627" t="s">
        <v>58</v>
      </c>
      <c r="P9627" t="s">
        <v>190</v>
      </c>
      <c r="Q9627" t="s">
        <v>58</v>
      </c>
      <c r="R9627" t="str">
        <f>IFERROR(VLOOKUP(record[[#This Row],[PCUSTID]],廠商[],2,FALSE),"")</f>
        <v/>
      </c>
      <c r="S9627" t="str">
        <f>VLOOKUP(record[[#This Row],[employeeID]],員工[],2,FALSE)</f>
        <v>陳雅娟</v>
      </c>
    </row>
    <row r="9628" spans="6:19" hidden="1" x14ac:dyDescent="0.25">
      <c r="F9628" t="s">
        <v>794</v>
      </c>
      <c r="G9628" t="s">
        <v>398</v>
      </c>
      <c r="H9628" t="str">
        <f>VLOOKUP(record[[#This Row],[ProcessSN]],表格2_7[],2,FALSE)</f>
        <v>30-4118-018-550</v>
      </c>
      <c r="I9628" t="str">
        <f>VLOOKUP(record[[#This Row],[ProcessSN]],表格2_7[],3,FALSE)</f>
        <v>#08RCV</v>
      </c>
      <c r="J9628" t="s">
        <v>591</v>
      </c>
      <c r="K9628" s="195">
        <v>45796.627256944441</v>
      </c>
      <c r="L9628">
        <v>0</v>
      </c>
      <c r="M9628">
        <v>23</v>
      </c>
      <c r="N9628" s="98" t="str">
        <f>IF(record[[#This Row],[Memo]]="Browser:chrome os:android","平板報工",IF(record[[#This Row],[Memo]]=0,"委外",record[[#This Row],[Memo]]))</f>
        <v/>
      </c>
      <c r="O9628" t="s">
        <v>58</v>
      </c>
      <c r="P9628" t="s">
        <v>186</v>
      </c>
      <c r="Q9628" t="s">
        <v>58</v>
      </c>
      <c r="R9628" t="str">
        <f>IFERROR(VLOOKUP(record[[#This Row],[PCUSTID]],廠商[],2,FALSE),"")</f>
        <v/>
      </c>
      <c r="S9628" t="str">
        <f>VLOOKUP(record[[#This Row],[employeeID]],員工[],2,FALSE)</f>
        <v>許文姍</v>
      </c>
    </row>
    <row r="9629" spans="6:19" hidden="1" x14ac:dyDescent="0.25">
      <c r="F9629" t="s">
        <v>794</v>
      </c>
      <c r="G9629" t="s">
        <v>398</v>
      </c>
      <c r="H9629" t="str">
        <f>VLOOKUP(record[[#This Row],[ProcessSN]],表格2_7[],2,FALSE)</f>
        <v>30-4118-018-550</v>
      </c>
      <c r="I9629" t="str">
        <f>VLOOKUP(record[[#This Row],[ProcessSN]],表格2_7[],3,FALSE)</f>
        <v>#08RCV</v>
      </c>
      <c r="J9629" t="s">
        <v>591</v>
      </c>
      <c r="K9629" s="195">
        <v>45796.626261574071</v>
      </c>
      <c r="L9629">
        <v>283</v>
      </c>
      <c r="M9629">
        <v>0</v>
      </c>
      <c r="N9629" s="98" t="str">
        <f>IF(record[[#This Row],[Memo]]="Browser:chrome os:android","平板報工",IF(record[[#This Row],[Memo]]=0,"委外",record[[#This Row],[Memo]]))</f>
        <v/>
      </c>
      <c r="O9629" t="s">
        <v>58</v>
      </c>
      <c r="P9629" t="s">
        <v>186</v>
      </c>
      <c r="Q9629" t="s">
        <v>58</v>
      </c>
      <c r="R9629" t="str">
        <f>IFERROR(VLOOKUP(record[[#This Row],[PCUSTID]],廠商[],2,FALSE),"")</f>
        <v/>
      </c>
      <c r="S9629" t="str">
        <f>VLOOKUP(record[[#This Row],[employeeID]],員工[],2,FALSE)</f>
        <v>許文姍</v>
      </c>
    </row>
    <row r="9630" spans="6:19" hidden="1" x14ac:dyDescent="0.25">
      <c r="F9630" t="s">
        <v>744</v>
      </c>
      <c r="G9630" t="s">
        <v>428</v>
      </c>
      <c r="H9630" t="str">
        <f>VLOOKUP(record[[#This Row],[ProcessSN]],表格2_7[],2,FALSE)</f>
        <v>30-4118-018-600</v>
      </c>
      <c r="I9630" t="str">
        <f>VLOOKUP(record[[#This Row],[ProcessSN]],表格2_7[],3,FALSE)</f>
        <v>#100SHIP</v>
      </c>
      <c r="J9630" t="s">
        <v>600</v>
      </c>
      <c r="K9630" s="195">
        <v>45796.476226851853</v>
      </c>
      <c r="L9630">
        <v>3</v>
      </c>
      <c r="M9630">
        <v>0</v>
      </c>
      <c r="N9630" s="98" t="str">
        <f>IF(record[[#This Row],[Memo]]="Browser:chrome os:android","平板報工",IF(record[[#This Row],[Memo]]=0,"委外",record[[#This Row],[Memo]]))</f>
        <v/>
      </c>
      <c r="O9630" t="s">
        <v>58</v>
      </c>
      <c r="P9630" t="s">
        <v>196</v>
      </c>
      <c r="Q9630" t="s">
        <v>58</v>
      </c>
      <c r="R9630" t="str">
        <f>IFERROR(VLOOKUP(record[[#This Row],[PCUSTID]],廠商[],2,FALSE),"")</f>
        <v/>
      </c>
      <c r="S9630" t="str">
        <f>VLOOKUP(record[[#This Row],[employeeID]],員工[],2,FALSE)</f>
        <v>張淑惠</v>
      </c>
    </row>
    <row r="9631" spans="6:19" hidden="1" x14ac:dyDescent="0.25">
      <c r="F9631" t="s">
        <v>739</v>
      </c>
      <c r="G9631" t="s">
        <v>428</v>
      </c>
      <c r="H9631" t="str">
        <f>VLOOKUP(record[[#This Row],[ProcessSN]],表格2_7[],2,FALSE)</f>
        <v>30-4118-018-600</v>
      </c>
      <c r="I9631" t="str">
        <f>VLOOKUP(record[[#This Row],[ProcessSN]],表格2_7[],3,FALSE)</f>
        <v>#100SHIP</v>
      </c>
      <c r="J9631" t="s">
        <v>600</v>
      </c>
      <c r="K9631" s="195">
        <v>45796.473310185182</v>
      </c>
      <c r="L9631">
        <v>11</v>
      </c>
      <c r="M9631">
        <v>0</v>
      </c>
      <c r="N9631" s="98" t="str">
        <f>IF(record[[#This Row],[Memo]]="Browser:chrome os:android","平板報工",IF(record[[#This Row],[Memo]]=0,"委外",record[[#This Row],[Memo]]))</f>
        <v/>
      </c>
      <c r="O9631" t="s">
        <v>58</v>
      </c>
      <c r="P9631" t="s">
        <v>196</v>
      </c>
      <c r="Q9631" t="s">
        <v>58</v>
      </c>
      <c r="R9631" t="str">
        <f>IFERROR(VLOOKUP(record[[#This Row],[PCUSTID]],廠商[],2,FALSE),"")</f>
        <v/>
      </c>
      <c r="S9631" t="str">
        <f>VLOOKUP(record[[#This Row],[employeeID]],員工[],2,FALSE)</f>
        <v>張淑惠</v>
      </c>
    </row>
    <row r="9632" spans="6:19" hidden="1" x14ac:dyDescent="0.25">
      <c r="F9632" t="s">
        <v>678</v>
      </c>
      <c r="G9632" t="s">
        <v>362</v>
      </c>
      <c r="H9632" t="str">
        <f>VLOOKUP(record[[#This Row],[ProcessSN]],表格2_7[],2,FALSE)</f>
        <v>30-4118-018-450</v>
      </c>
      <c r="I9632" t="str">
        <f>VLOOKUP(record[[#This Row],[ProcessSN]],表格2_7[],3,FALSE)</f>
        <v>#100SHIP</v>
      </c>
      <c r="J9632" t="s">
        <v>600</v>
      </c>
      <c r="K9632" s="195">
        <v>45796.472986111112</v>
      </c>
      <c r="L9632">
        <v>11</v>
      </c>
      <c r="M9632">
        <v>0</v>
      </c>
      <c r="N9632" s="98" t="str">
        <f>IF(record[[#This Row],[Memo]]="Browser:chrome os:android","平板報工",IF(record[[#This Row],[Memo]]=0,"委外",record[[#This Row],[Memo]]))</f>
        <v/>
      </c>
      <c r="O9632" t="s">
        <v>58</v>
      </c>
      <c r="P9632" t="s">
        <v>196</v>
      </c>
      <c r="Q9632" t="s">
        <v>58</v>
      </c>
      <c r="R9632" t="str">
        <f>IFERROR(VLOOKUP(record[[#This Row],[PCUSTID]],廠商[],2,FALSE),"")</f>
        <v/>
      </c>
      <c r="S9632" t="str">
        <f>VLOOKUP(record[[#This Row],[employeeID]],員工[],2,FALSE)</f>
        <v>張淑惠</v>
      </c>
    </row>
    <row r="9633" spans="6:19" hidden="1" x14ac:dyDescent="0.25">
      <c r="F9633" t="s">
        <v>791</v>
      </c>
      <c r="G9633" t="s">
        <v>400</v>
      </c>
      <c r="H9633" t="str">
        <f>VLOOKUP(record[[#This Row],[ProcessSN]],表格2_7[],2,FALSE)</f>
        <v>30-4118-018-550</v>
      </c>
      <c r="I9633" t="str">
        <f>VLOOKUP(record[[#This Row],[ProcessSN]],表格2_7[],3,FALSE)</f>
        <v>#100</v>
      </c>
      <c r="J9633" t="s">
        <v>598</v>
      </c>
      <c r="K9633" s="195">
        <v>45796.424907407411</v>
      </c>
      <c r="L9633">
        <v>348</v>
      </c>
      <c r="M9633">
        <v>0</v>
      </c>
      <c r="N9633" s="98" t="str">
        <f>IF(record[[#This Row],[Memo]]="Browser:chrome os:android","平板報工",IF(record[[#This Row],[Memo]]=0,"委外",record[[#This Row],[Memo]]))</f>
        <v>平板報工</v>
      </c>
      <c r="O9633" t="s">
        <v>643</v>
      </c>
      <c r="P9633" t="s">
        <v>141</v>
      </c>
      <c r="Q9633" t="s">
        <v>644</v>
      </c>
      <c r="R9633" t="str">
        <f>IFERROR(VLOOKUP(record[[#This Row],[PCUSTID]],廠商[],2,FALSE),"")</f>
        <v/>
      </c>
      <c r="S9633" t="str">
        <f>VLOOKUP(record[[#This Row],[employeeID]],員工[],2,FALSE)</f>
        <v>蔣梅</v>
      </c>
    </row>
    <row r="9634" spans="6:19" hidden="1" x14ac:dyDescent="0.25">
      <c r="F9634" t="s">
        <v>791</v>
      </c>
      <c r="G9634" t="s">
        <v>399</v>
      </c>
      <c r="H9634" t="str">
        <f>VLOOKUP(record[[#This Row],[ProcessSN]],表格2_7[],2,FALSE)</f>
        <v>30-4118-018-550</v>
      </c>
      <c r="I9634" t="str">
        <f>VLOOKUP(record[[#This Row],[ProcessSN]],表格2_7[],3,FALSE)</f>
        <v>#08IQC</v>
      </c>
      <c r="J9634" t="s">
        <v>583</v>
      </c>
      <c r="K9634" s="195">
        <v>45796.343819444446</v>
      </c>
      <c r="L9634">
        <v>348</v>
      </c>
      <c r="M9634">
        <v>0</v>
      </c>
      <c r="N9634" s="98" t="str">
        <f>IF(record[[#This Row],[Memo]]="Browser:chrome os:android","平板報工",IF(record[[#This Row],[Memo]]=0,"委外",record[[#This Row],[Memo]]))</f>
        <v/>
      </c>
      <c r="O9634" t="s">
        <v>58</v>
      </c>
      <c r="P9634" t="s">
        <v>190</v>
      </c>
      <c r="Q9634" t="s">
        <v>58</v>
      </c>
      <c r="R9634" t="str">
        <f>IFERROR(VLOOKUP(record[[#This Row],[PCUSTID]],廠商[],2,FALSE),"")</f>
        <v/>
      </c>
      <c r="S9634" t="str">
        <f>VLOOKUP(record[[#This Row],[employeeID]],員工[],2,FALSE)</f>
        <v>陳雅娟</v>
      </c>
    </row>
    <row r="9635" spans="6:19" hidden="1" x14ac:dyDescent="0.25">
      <c r="F9635" t="s">
        <v>791</v>
      </c>
      <c r="G9635" t="s">
        <v>398</v>
      </c>
      <c r="H9635" t="str">
        <f>VLOOKUP(record[[#This Row],[ProcessSN]],表格2_7[],2,FALSE)</f>
        <v>30-4118-018-550</v>
      </c>
      <c r="I9635" t="str">
        <f>VLOOKUP(record[[#This Row],[ProcessSN]],表格2_7[],3,FALSE)</f>
        <v>#08RCV</v>
      </c>
      <c r="J9635" t="s">
        <v>591</v>
      </c>
      <c r="K9635" s="195">
        <v>45796.338321759256</v>
      </c>
      <c r="L9635">
        <v>0</v>
      </c>
      <c r="M9635">
        <v>21</v>
      </c>
      <c r="N9635" s="98" t="str">
        <f>IF(record[[#This Row],[Memo]]="Browser:chrome os:android","平板報工",IF(record[[#This Row],[Memo]]=0,"委外",record[[#This Row],[Memo]]))</f>
        <v/>
      </c>
      <c r="O9635" t="s">
        <v>58</v>
      </c>
      <c r="P9635" t="s">
        <v>186</v>
      </c>
      <c r="Q9635" t="s">
        <v>58</v>
      </c>
      <c r="R9635" t="str">
        <f>IFERROR(VLOOKUP(record[[#This Row],[PCUSTID]],廠商[],2,FALSE),"")</f>
        <v/>
      </c>
      <c r="S9635" t="str">
        <f>VLOOKUP(record[[#This Row],[employeeID]],員工[],2,FALSE)</f>
        <v>許文姍</v>
      </c>
    </row>
    <row r="9636" spans="6:19" hidden="1" x14ac:dyDescent="0.25">
      <c r="F9636" t="s">
        <v>791</v>
      </c>
      <c r="G9636" t="s">
        <v>398</v>
      </c>
      <c r="H9636" t="str">
        <f>VLOOKUP(record[[#This Row],[ProcessSN]],表格2_7[],2,FALSE)</f>
        <v>30-4118-018-550</v>
      </c>
      <c r="I9636" t="str">
        <f>VLOOKUP(record[[#This Row],[ProcessSN]],表格2_7[],3,FALSE)</f>
        <v>#08RCV</v>
      </c>
      <c r="J9636" t="s">
        <v>591</v>
      </c>
      <c r="K9636" s="195">
        <v>45796.338090277779</v>
      </c>
      <c r="L9636">
        <v>348</v>
      </c>
      <c r="M9636">
        <v>0</v>
      </c>
      <c r="N9636" s="98" t="str">
        <f>IF(record[[#This Row],[Memo]]="Browser:chrome os:android","平板報工",IF(record[[#This Row],[Memo]]=0,"委外",record[[#This Row],[Memo]]))</f>
        <v/>
      </c>
      <c r="O9636" t="s">
        <v>58</v>
      </c>
      <c r="P9636" t="s">
        <v>186</v>
      </c>
      <c r="Q9636" t="s">
        <v>58</v>
      </c>
      <c r="R9636" t="str">
        <f>IFERROR(VLOOKUP(record[[#This Row],[PCUSTID]],廠商[],2,FALSE),"")</f>
        <v/>
      </c>
      <c r="S9636" t="str">
        <f>VLOOKUP(record[[#This Row],[employeeID]],員工[],2,FALSE)</f>
        <v>許文姍</v>
      </c>
    </row>
    <row r="9637" spans="6:19" hidden="1" x14ac:dyDescent="0.25">
      <c r="F9637" t="s">
        <v>778</v>
      </c>
      <c r="G9637" t="s">
        <v>419</v>
      </c>
      <c r="H9637" t="str">
        <f>VLOOKUP(record[[#This Row],[ProcessSN]],表格2_7[],2,FALSE)</f>
        <v>30-4118-018-5XX</v>
      </c>
      <c r="I9637" t="str">
        <f>VLOOKUP(record[[#This Row],[ProcessSN]],表格2_7[],3,FALSE)</f>
        <v>#07QC</v>
      </c>
      <c r="J9637" t="s">
        <v>589</v>
      </c>
      <c r="K9637" s="195">
        <v>45794.378668981481</v>
      </c>
      <c r="L9637">
        <v>0</v>
      </c>
      <c r="M9637">
        <v>13</v>
      </c>
      <c r="N9637" s="98" t="str">
        <f>IF(record[[#This Row],[Memo]]="Browser:chrome os:android","平板報工",IF(record[[#This Row],[Memo]]=0,"委外",record[[#This Row],[Memo]]))</f>
        <v/>
      </c>
      <c r="O9637" t="s">
        <v>58</v>
      </c>
      <c r="P9637" t="s">
        <v>141</v>
      </c>
      <c r="Q9637" t="s">
        <v>58</v>
      </c>
      <c r="R9637" t="str">
        <f>IFERROR(VLOOKUP(record[[#This Row],[PCUSTID]],廠商[],2,FALSE),"")</f>
        <v/>
      </c>
      <c r="S9637" t="str">
        <f>VLOOKUP(record[[#This Row],[employeeID]],員工[],2,FALSE)</f>
        <v>蔣梅</v>
      </c>
    </row>
    <row r="9638" spans="6:19" hidden="1" x14ac:dyDescent="0.25">
      <c r="F9638" t="s">
        <v>794</v>
      </c>
      <c r="G9638" t="s">
        <v>397</v>
      </c>
      <c r="H9638" t="str">
        <f>VLOOKUP(record[[#This Row],[ProcessSN]],表格2_7[],2,FALSE)</f>
        <v>30-4118-018-550</v>
      </c>
      <c r="I9638" t="str">
        <f>VLOOKUP(record[[#This Row],[ProcessSN]],表格2_7[],3,FALSE)</f>
        <v>#08</v>
      </c>
      <c r="J9638" t="s">
        <v>597</v>
      </c>
      <c r="K9638" s="195">
        <v>45794.372071759259</v>
      </c>
      <c r="L9638">
        <v>306</v>
      </c>
      <c r="M9638">
        <v>0</v>
      </c>
      <c r="N9638" s="98" t="str">
        <f>IF(record[[#This Row],[Memo]]="Browser:chrome os:android","平板報工",IF(record[[#This Row],[Memo]]=0,"委外",record[[#This Row],[Memo]]))</f>
        <v>委外</v>
      </c>
      <c r="P9638" t="s">
        <v>113</v>
      </c>
      <c r="Q9638" t="s">
        <v>287</v>
      </c>
      <c r="R9638" t="str">
        <f>IFERROR(VLOOKUP(record[[#This Row],[PCUSTID]],廠商[],2,FALSE),"")</f>
        <v>泉盛</v>
      </c>
      <c r="S9638" t="str">
        <f>VLOOKUP(record[[#This Row],[employeeID]],員工[],2,FALSE)</f>
        <v>王奕蓁</v>
      </c>
    </row>
    <row r="9639" spans="6:19" hidden="1" x14ac:dyDescent="0.25">
      <c r="F9639" t="s">
        <v>778</v>
      </c>
      <c r="G9639" t="s">
        <v>420</v>
      </c>
      <c r="H9639" t="str">
        <f>VLOOKUP(record[[#This Row],[ProcessSN]],表格2_7[],2,FALSE)</f>
        <v>30-4118-018-5XX</v>
      </c>
      <c r="I9639" t="str">
        <f>VLOOKUP(record[[#This Row],[ProcessSN]],表格2_7[],3,FALSE)</f>
        <v>#07STOCK</v>
      </c>
      <c r="J9639" t="s">
        <v>592</v>
      </c>
      <c r="K9639" s="195">
        <v>45794.371111111112</v>
      </c>
      <c r="L9639">
        <v>306</v>
      </c>
      <c r="M9639">
        <v>0</v>
      </c>
      <c r="N9639" s="98" t="str">
        <f>IF(record[[#This Row],[Memo]]="Browser:chrome os:android","平板報工",IF(record[[#This Row],[Memo]]=0,"委外",record[[#This Row],[Memo]]))</f>
        <v/>
      </c>
      <c r="O9639" t="s">
        <v>58</v>
      </c>
      <c r="P9639" t="s">
        <v>113</v>
      </c>
      <c r="Q9639" t="s">
        <v>58</v>
      </c>
      <c r="R9639" t="str">
        <f>IFERROR(VLOOKUP(record[[#This Row],[PCUSTID]],廠商[],2,FALSE),"")</f>
        <v/>
      </c>
      <c r="S9639" t="str">
        <f>VLOOKUP(record[[#This Row],[employeeID]],員工[],2,FALSE)</f>
        <v>王奕蓁</v>
      </c>
    </row>
    <row r="9640" spans="6:19" hidden="1" x14ac:dyDescent="0.25">
      <c r="F9640" t="s">
        <v>778</v>
      </c>
      <c r="G9640" t="s">
        <v>419</v>
      </c>
      <c r="H9640" t="str">
        <f>VLOOKUP(record[[#This Row],[ProcessSN]],表格2_7[],2,FALSE)</f>
        <v>30-4118-018-5XX</v>
      </c>
      <c r="I9640" t="str">
        <f>VLOOKUP(record[[#This Row],[ProcessSN]],表格2_7[],3,FALSE)</f>
        <v>#07QC</v>
      </c>
      <c r="J9640" t="s">
        <v>589</v>
      </c>
      <c r="K9640" s="195">
        <v>45794.37027777778</v>
      </c>
      <c r="L9640">
        <v>306</v>
      </c>
      <c r="M9640">
        <v>0</v>
      </c>
      <c r="N9640" s="98" t="str">
        <f>IF(record[[#This Row],[Memo]]="Browser:chrome os:android","平板報工",IF(record[[#This Row],[Memo]]=0,"委外",record[[#This Row],[Memo]]))</f>
        <v/>
      </c>
      <c r="O9640" t="s">
        <v>58</v>
      </c>
      <c r="P9640" t="s">
        <v>141</v>
      </c>
      <c r="Q9640" t="s">
        <v>58</v>
      </c>
      <c r="R9640" t="str">
        <f>IFERROR(VLOOKUP(record[[#This Row],[PCUSTID]],廠商[],2,FALSE),"")</f>
        <v/>
      </c>
      <c r="S9640" t="str">
        <f>VLOOKUP(record[[#This Row],[employeeID]],員工[],2,FALSE)</f>
        <v>蔣梅</v>
      </c>
    </row>
    <row r="9641" spans="6:19" hidden="1" x14ac:dyDescent="0.25">
      <c r="F9641" t="s">
        <v>794</v>
      </c>
      <c r="G9641" t="s">
        <v>396</v>
      </c>
      <c r="H9641" t="str">
        <f>VLOOKUP(record[[#This Row],[ProcessSN]],表格2_7[],2,FALSE)</f>
        <v>30-4118-018-550</v>
      </c>
      <c r="I9641" t="str">
        <f>VLOOKUP(record[[#This Row],[ProcessSN]],表格2_7[],3,FALSE)</f>
        <v>#08PICK</v>
      </c>
      <c r="J9641" t="s">
        <v>582</v>
      </c>
      <c r="K9641" s="195">
        <v>45794.368425925924</v>
      </c>
      <c r="L9641">
        <v>306</v>
      </c>
      <c r="M9641">
        <v>0</v>
      </c>
      <c r="N9641" s="98" t="str">
        <f>IF(record[[#This Row],[Memo]]="Browser:chrome os:android","平板報工",IF(record[[#This Row],[Memo]]=0,"委外",record[[#This Row],[Memo]]))</f>
        <v/>
      </c>
      <c r="O9641" t="s">
        <v>58</v>
      </c>
      <c r="P9641" t="s">
        <v>113</v>
      </c>
      <c r="Q9641" t="s">
        <v>58</v>
      </c>
      <c r="R9641" t="str">
        <f>IFERROR(VLOOKUP(record[[#This Row],[PCUSTID]],廠商[],2,FALSE),"")</f>
        <v/>
      </c>
      <c r="S9641" t="str">
        <f>VLOOKUP(record[[#This Row],[employeeID]],員工[],2,FALSE)</f>
        <v>王奕蓁</v>
      </c>
    </row>
    <row r="9642" spans="6:19" hidden="1" x14ac:dyDescent="0.25">
      <c r="F9642" t="s">
        <v>778</v>
      </c>
      <c r="G9642" t="s">
        <v>417</v>
      </c>
      <c r="H9642" t="str">
        <f>VLOOKUP(record[[#This Row],[ProcessSN]],表格2_7[],2,FALSE)</f>
        <v>30-4118-018-5XX</v>
      </c>
      <c r="I9642" t="str">
        <f>VLOOKUP(record[[#This Row],[ProcessSN]],表格2_7[],3,FALSE)</f>
        <v>#06</v>
      </c>
      <c r="J9642" t="s">
        <v>593</v>
      </c>
      <c r="K9642" s="195">
        <v>45794.307986111111</v>
      </c>
      <c r="L9642">
        <v>120</v>
      </c>
      <c r="M9642">
        <v>1</v>
      </c>
      <c r="N9642" s="98" t="str">
        <f>IF(record[[#This Row],[Memo]]="Browser:chrome os:android","平板報工",IF(record[[#This Row],[Memo]]=0,"委外",record[[#This Row],[Memo]]))</f>
        <v/>
      </c>
      <c r="O9642" t="s">
        <v>58</v>
      </c>
      <c r="P9642" t="s">
        <v>135</v>
      </c>
      <c r="Q9642" t="s">
        <v>58</v>
      </c>
      <c r="R9642" t="str">
        <f>IFERROR(VLOOKUP(record[[#This Row],[PCUSTID]],廠商[],2,FALSE),"")</f>
        <v/>
      </c>
      <c r="S9642" t="str">
        <f>VLOOKUP(record[[#This Row],[employeeID]],員工[],2,FALSE)</f>
        <v>阮士文</v>
      </c>
    </row>
    <row r="9643" spans="6:19" hidden="1" x14ac:dyDescent="0.25">
      <c r="F9643" t="s">
        <v>778</v>
      </c>
      <c r="G9643" t="s">
        <v>417</v>
      </c>
      <c r="H9643" t="str">
        <f>VLOOKUP(record[[#This Row],[ProcessSN]],表格2_7[],2,FALSE)</f>
        <v>30-4118-018-5XX</v>
      </c>
      <c r="I9643" t="str">
        <f>VLOOKUP(record[[#This Row],[ProcessSN]],表格2_7[],3,FALSE)</f>
        <v>#06</v>
      </c>
      <c r="J9643" t="s">
        <v>593</v>
      </c>
      <c r="K9643" s="195">
        <v>45793.970983796295</v>
      </c>
      <c r="L9643">
        <v>121</v>
      </c>
      <c r="M9643">
        <v>0</v>
      </c>
      <c r="N9643" s="98" t="str">
        <f>IF(record[[#This Row],[Memo]]="Browser:chrome os:android","平板報工",IF(record[[#This Row],[Memo]]=0,"委外",record[[#This Row],[Memo]]))</f>
        <v/>
      </c>
      <c r="O9643" t="s">
        <v>58</v>
      </c>
      <c r="P9643" t="s">
        <v>166</v>
      </c>
      <c r="Q9643" t="s">
        <v>58</v>
      </c>
      <c r="R9643" t="str">
        <f>IFERROR(VLOOKUP(record[[#This Row],[PCUSTID]],廠商[],2,FALSE),"")</f>
        <v/>
      </c>
      <c r="S9643" t="str">
        <f>VLOOKUP(record[[#This Row],[employeeID]],員工[],2,FALSE)</f>
        <v>阮懷香</v>
      </c>
    </row>
    <row r="9644" spans="6:19" hidden="1" x14ac:dyDescent="0.25">
      <c r="F9644" t="s">
        <v>778</v>
      </c>
      <c r="G9644" t="s">
        <v>418</v>
      </c>
      <c r="H9644" t="str">
        <f>VLOOKUP(record[[#This Row],[ProcessSN]],表格2_7[],2,FALSE)</f>
        <v>30-4118-018-5XX</v>
      </c>
      <c r="I9644" t="str">
        <f>VLOOKUP(record[[#This Row],[ProcessSN]],表格2_7[],3,FALSE)</f>
        <v>#07</v>
      </c>
      <c r="J9644" t="s">
        <v>588</v>
      </c>
      <c r="K9644" s="195">
        <v>45793.964780092596</v>
      </c>
      <c r="L9644">
        <v>185</v>
      </c>
      <c r="M9644">
        <v>3</v>
      </c>
      <c r="N9644" s="98" t="str">
        <f>IF(record[[#This Row],[Memo]]="Browser:chrome os:android","平板報工",IF(record[[#This Row],[Memo]]=0,"委外",record[[#This Row],[Memo]]))</f>
        <v/>
      </c>
      <c r="O9644" t="s">
        <v>58</v>
      </c>
      <c r="P9644" t="s">
        <v>89</v>
      </c>
      <c r="Q9644" t="s">
        <v>58</v>
      </c>
      <c r="R9644" t="str">
        <f>IFERROR(VLOOKUP(record[[#This Row],[PCUSTID]],廠商[],2,FALSE),"")</f>
        <v/>
      </c>
      <c r="S9644" t="str">
        <f>VLOOKUP(record[[#This Row],[employeeID]],員工[],2,FALSE)</f>
        <v>李美蓮</v>
      </c>
    </row>
    <row r="9645" spans="6:19" hidden="1" x14ac:dyDescent="0.25">
      <c r="F9645" t="s">
        <v>778</v>
      </c>
      <c r="G9645" t="s">
        <v>417</v>
      </c>
      <c r="H9645" t="str">
        <f>VLOOKUP(record[[#This Row],[ProcessSN]],表格2_7[],2,FALSE)</f>
        <v>30-4118-018-5XX</v>
      </c>
      <c r="I9645" t="str">
        <f>VLOOKUP(record[[#This Row],[ProcessSN]],表格2_7[],3,FALSE)</f>
        <v>#06</v>
      </c>
      <c r="J9645" t="s">
        <v>593</v>
      </c>
      <c r="K9645" s="195">
        <v>45793.651516203703</v>
      </c>
      <c r="L9645">
        <v>90</v>
      </c>
      <c r="M9645">
        <v>0</v>
      </c>
      <c r="N9645" s="98" t="str">
        <f>IF(record[[#This Row],[Memo]]="Browser:chrome os:android","平板報工",IF(record[[#This Row],[Memo]]=0,"委外",record[[#This Row],[Memo]]))</f>
        <v/>
      </c>
      <c r="O9645" t="s">
        <v>58</v>
      </c>
      <c r="P9645" t="s">
        <v>119</v>
      </c>
      <c r="Q9645" t="s">
        <v>58</v>
      </c>
      <c r="R9645" t="str">
        <f>IFERROR(VLOOKUP(record[[#This Row],[PCUSTID]],廠商[],2,FALSE),"")</f>
        <v/>
      </c>
      <c r="S9645" t="str">
        <f>VLOOKUP(record[[#This Row],[employeeID]],員工[],2,FALSE)</f>
        <v>廖俊彥</v>
      </c>
    </row>
    <row r="9646" spans="6:19" hidden="1" x14ac:dyDescent="0.25">
      <c r="F9646" t="s">
        <v>778</v>
      </c>
      <c r="G9646" t="s">
        <v>418</v>
      </c>
      <c r="H9646" t="str">
        <f>VLOOKUP(record[[#This Row],[ProcessSN]],表格2_7[],2,FALSE)</f>
        <v>30-4118-018-5XX</v>
      </c>
      <c r="I9646" t="str">
        <f>VLOOKUP(record[[#This Row],[ProcessSN]],表格2_7[],3,FALSE)</f>
        <v>#07</v>
      </c>
      <c r="J9646" t="s">
        <v>588</v>
      </c>
      <c r="K9646" s="195">
        <v>45793.646608796298</v>
      </c>
      <c r="L9646">
        <v>134</v>
      </c>
      <c r="M9646">
        <v>0</v>
      </c>
      <c r="N9646" s="98" t="str">
        <f>IF(record[[#This Row],[Memo]]="Browser:chrome os:android","平板報工",IF(record[[#This Row],[Memo]]=0,"委外",record[[#This Row],[Memo]]))</f>
        <v/>
      </c>
      <c r="O9646" t="s">
        <v>58</v>
      </c>
      <c r="P9646" t="s">
        <v>119</v>
      </c>
      <c r="Q9646" t="s">
        <v>58</v>
      </c>
      <c r="R9646" t="str">
        <f>IFERROR(VLOOKUP(record[[#This Row],[PCUSTID]],廠商[],2,FALSE),"")</f>
        <v/>
      </c>
      <c r="S9646" t="str">
        <f>VLOOKUP(record[[#This Row],[employeeID]],員工[],2,FALSE)</f>
        <v>廖俊彥</v>
      </c>
    </row>
    <row r="9647" spans="6:19" hidden="1" x14ac:dyDescent="0.25">
      <c r="F9647" t="s">
        <v>793</v>
      </c>
      <c r="G9647" t="s">
        <v>403</v>
      </c>
      <c r="H9647" t="str">
        <f>VLOOKUP(record[[#This Row],[ProcessSN]],表格2_7[],2,FALSE)</f>
        <v>30-4118-018-550</v>
      </c>
      <c r="I9647" t="str">
        <f>VLOOKUP(record[[#This Row],[ProcessSN]],表格2_7[],3,FALSE)</f>
        <v>#100SHIP</v>
      </c>
      <c r="J9647" t="s">
        <v>600</v>
      </c>
      <c r="K9647" s="195">
        <v>45793.605787037035</v>
      </c>
      <c r="L9647">
        <v>4</v>
      </c>
      <c r="M9647">
        <v>0</v>
      </c>
      <c r="N9647" s="98" t="str">
        <f>IF(record[[#This Row],[Memo]]="Browser:chrome os:android","平板報工",IF(record[[#This Row],[Memo]]=0,"委外",record[[#This Row],[Memo]]))</f>
        <v/>
      </c>
      <c r="O9647" t="s">
        <v>58</v>
      </c>
      <c r="P9647" t="s">
        <v>196</v>
      </c>
      <c r="Q9647" t="s">
        <v>58</v>
      </c>
      <c r="R9647" t="str">
        <f>IFERROR(VLOOKUP(record[[#This Row],[PCUSTID]],廠商[],2,FALSE),"")</f>
        <v/>
      </c>
      <c r="S9647" t="str">
        <f>VLOOKUP(record[[#This Row],[employeeID]],員工[],2,FALSE)</f>
        <v>張淑惠</v>
      </c>
    </row>
    <row r="9648" spans="6:19" hidden="1" x14ac:dyDescent="0.25">
      <c r="F9648" t="s">
        <v>793</v>
      </c>
      <c r="G9648" t="s">
        <v>402</v>
      </c>
      <c r="H9648" t="str">
        <f>VLOOKUP(record[[#This Row],[ProcessSN]],表格2_7[],2,FALSE)</f>
        <v>30-4118-018-550</v>
      </c>
      <c r="I9648" t="str">
        <f>VLOOKUP(record[[#This Row],[ProcessSN]],表格2_7[],3,FALSE)</f>
        <v>#100STOCK</v>
      </c>
      <c r="J9648" t="s">
        <v>592</v>
      </c>
      <c r="K9648" s="195">
        <v>45793.60497685185</v>
      </c>
      <c r="L9648">
        <v>4</v>
      </c>
      <c r="M9648">
        <v>0</v>
      </c>
      <c r="N9648" s="98" t="str">
        <f>IF(record[[#This Row],[Memo]]="Browser:chrome os:android","平板報工",IF(record[[#This Row],[Memo]]=0,"委外",record[[#This Row],[Memo]]))</f>
        <v/>
      </c>
      <c r="O9648" t="s">
        <v>58</v>
      </c>
      <c r="P9648" t="s">
        <v>196</v>
      </c>
      <c r="Q9648" t="s">
        <v>58</v>
      </c>
      <c r="R9648" t="str">
        <f>IFERROR(VLOOKUP(record[[#This Row],[PCUSTID]],廠商[],2,FALSE),"")</f>
        <v/>
      </c>
      <c r="S9648" t="str">
        <f>VLOOKUP(record[[#This Row],[employeeID]],員工[],2,FALSE)</f>
        <v>張淑惠</v>
      </c>
    </row>
    <row r="9649" spans="6:19" hidden="1" x14ac:dyDescent="0.25">
      <c r="F9649" t="s">
        <v>793</v>
      </c>
      <c r="G9649" t="s">
        <v>401</v>
      </c>
      <c r="H9649" t="str">
        <f>VLOOKUP(record[[#This Row],[ProcessSN]],表格2_7[],2,FALSE)</f>
        <v>30-4118-018-550</v>
      </c>
      <c r="I9649" t="str">
        <f>VLOOKUP(record[[#This Row],[ProcessSN]],表格2_7[],3,FALSE)</f>
        <v>#100OQC</v>
      </c>
      <c r="J9649" t="s">
        <v>599</v>
      </c>
      <c r="K9649" s="195">
        <v>45793.577118055553</v>
      </c>
      <c r="L9649">
        <v>4</v>
      </c>
      <c r="M9649">
        <v>0</v>
      </c>
      <c r="N9649" s="98" t="str">
        <f>IF(record[[#This Row],[Memo]]="Browser:chrome os:android","平板報工",IF(record[[#This Row],[Memo]]=0,"委外",record[[#This Row],[Memo]]))</f>
        <v/>
      </c>
      <c r="O9649" t="s">
        <v>58</v>
      </c>
      <c r="P9649" t="s">
        <v>113</v>
      </c>
      <c r="Q9649" t="s">
        <v>58</v>
      </c>
      <c r="R9649" t="str">
        <f>IFERROR(VLOOKUP(record[[#This Row],[PCUSTID]],廠商[],2,FALSE),"")</f>
        <v/>
      </c>
      <c r="S9649" t="str">
        <f>VLOOKUP(record[[#This Row],[employeeID]],員工[],2,FALSE)</f>
        <v>王奕蓁</v>
      </c>
    </row>
    <row r="9650" spans="6:19" hidden="1" x14ac:dyDescent="0.25">
      <c r="F9650" t="s">
        <v>793</v>
      </c>
      <c r="G9650" t="s">
        <v>400</v>
      </c>
      <c r="H9650" t="str">
        <f>VLOOKUP(record[[#This Row],[ProcessSN]],表格2_7[],2,FALSE)</f>
        <v>30-4118-018-550</v>
      </c>
      <c r="I9650" t="str">
        <f>VLOOKUP(record[[#This Row],[ProcessSN]],表格2_7[],3,FALSE)</f>
        <v>#100</v>
      </c>
      <c r="J9650" t="s">
        <v>598</v>
      </c>
      <c r="K9650" s="195">
        <v>45793.577025462961</v>
      </c>
      <c r="L9650">
        <v>4</v>
      </c>
      <c r="M9650">
        <v>0</v>
      </c>
      <c r="N9650" s="98" t="str">
        <f>IF(record[[#This Row],[Memo]]="Browser:chrome os:android","平板報工",IF(record[[#This Row],[Memo]]=0,"委外",record[[#This Row],[Memo]]))</f>
        <v/>
      </c>
      <c r="O9650" t="s">
        <v>58</v>
      </c>
      <c r="P9650" t="s">
        <v>113</v>
      </c>
      <c r="Q9650" t="s">
        <v>58</v>
      </c>
      <c r="R9650" t="str">
        <f>IFERROR(VLOOKUP(record[[#This Row],[PCUSTID]],廠商[],2,FALSE),"")</f>
        <v/>
      </c>
      <c r="S9650" t="str">
        <f>VLOOKUP(record[[#This Row],[employeeID]],員工[],2,FALSE)</f>
        <v>王奕蓁</v>
      </c>
    </row>
    <row r="9651" spans="6:19" hidden="1" x14ac:dyDescent="0.25">
      <c r="F9651" t="s">
        <v>793</v>
      </c>
      <c r="G9651" t="s">
        <v>399</v>
      </c>
      <c r="H9651" t="str">
        <f>VLOOKUP(record[[#This Row],[ProcessSN]],表格2_7[],2,FALSE)</f>
        <v>30-4118-018-550</v>
      </c>
      <c r="I9651" t="str">
        <f>VLOOKUP(record[[#This Row],[ProcessSN]],表格2_7[],3,FALSE)</f>
        <v>#08IQC</v>
      </c>
      <c r="J9651" t="s">
        <v>583</v>
      </c>
      <c r="K9651" s="195">
        <v>45793.576932870368</v>
      </c>
      <c r="L9651">
        <v>4</v>
      </c>
      <c r="M9651">
        <v>0</v>
      </c>
      <c r="N9651" s="98" t="str">
        <f>IF(record[[#This Row],[Memo]]="Browser:chrome os:android","平板報工",IF(record[[#This Row],[Memo]]=0,"委外",record[[#This Row],[Memo]]))</f>
        <v/>
      </c>
      <c r="O9651" t="s">
        <v>58</v>
      </c>
      <c r="P9651" t="s">
        <v>113</v>
      </c>
      <c r="Q9651" t="s">
        <v>58</v>
      </c>
      <c r="R9651" t="str">
        <f>IFERROR(VLOOKUP(record[[#This Row],[PCUSTID]],廠商[],2,FALSE),"")</f>
        <v/>
      </c>
      <c r="S9651" t="str">
        <f>VLOOKUP(record[[#This Row],[employeeID]],員工[],2,FALSE)</f>
        <v>王奕蓁</v>
      </c>
    </row>
    <row r="9652" spans="6:19" hidden="1" x14ac:dyDescent="0.25">
      <c r="F9652" t="s">
        <v>793</v>
      </c>
      <c r="G9652" t="s">
        <v>398</v>
      </c>
      <c r="H9652" t="str">
        <f>VLOOKUP(record[[#This Row],[ProcessSN]],表格2_7[],2,FALSE)</f>
        <v>30-4118-018-550</v>
      </c>
      <c r="I9652" t="str">
        <f>VLOOKUP(record[[#This Row],[ProcessSN]],表格2_7[],3,FALSE)</f>
        <v>#08RCV</v>
      </c>
      <c r="J9652" t="s">
        <v>591</v>
      </c>
      <c r="K9652" s="195">
        <v>45793.576817129629</v>
      </c>
      <c r="L9652">
        <v>4</v>
      </c>
      <c r="M9652">
        <v>0</v>
      </c>
      <c r="N9652" s="98" t="str">
        <f>IF(record[[#This Row],[Memo]]="Browser:chrome os:android","平板報工",IF(record[[#This Row],[Memo]]=0,"委外",record[[#This Row],[Memo]]))</f>
        <v/>
      </c>
      <c r="O9652" t="s">
        <v>58</v>
      </c>
      <c r="P9652" t="s">
        <v>113</v>
      </c>
      <c r="Q9652" t="s">
        <v>58</v>
      </c>
      <c r="R9652" t="str">
        <f>IFERROR(VLOOKUP(record[[#This Row],[PCUSTID]],廠商[],2,FALSE),"")</f>
        <v/>
      </c>
      <c r="S9652" t="str">
        <f>VLOOKUP(record[[#This Row],[employeeID]],員工[],2,FALSE)</f>
        <v>王奕蓁</v>
      </c>
    </row>
    <row r="9653" spans="6:19" hidden="1" x14ac:dyDescent="0.25">
      <c r="F9653" t="s">
        <v>793</v>
      </c>
      <c r="G9653" t="s">
        <v>397</v>
      </c>
      <c r="H9653" t="str">
        <f>VLOOKUP(record[[#This Row],[ProcessSN]],表格2_7[],2,FALSE)</f>
        <v>30-4118-018-550</v>
      </c>
      <c r="I9653" t="str">
        <f>VLOOKUP(record[[#This Row],[ProcessSN]],表格2_7[],3,FALSE)</f>
        <v>#08</v>
      </c>
      <c r="J9653" t="s">
        <v>597</v>
      </c>
      <c r="K9653" s="195">
        <v>45793.576736111114</v>
      </c>
      <c r="L9653">
        <v>4</v>
      </c>
      <c r="M9653">
        <v>0</v>
      </c>
      <c r="N9653" s="98" t="str">
        <f>IF(record[[#This Row],[Memo]]="Browser:chrome os:android","平板報工",IF(record[[#This Row],[Memo]]=0,"委外",record[[#This Row],[Memo]]))</f>
        <v/>
      </c>
      <c r="O9653" t="s">
        <v>58</v>
      </c>
      <c r="P9653" t="s">
        <v>113</v>
      </c>
      <c r="Q9653" t="s">
        <v>287</v>
      </c>
      <c r="R9653" t="str">
        <f>IFERROR(VLOOKUP(record[[#This Row],[PCUSTID]],廠商[],2,FALSE),"")</f>
        <v>泉盛</v>
      </c>
      <c r="S9653" t="str">
        <f>VLOOKUP(record[[#This Row],[employeeID]],員工[],2,FALSE)</f>
        <v>王奕蓁</v>
      </c>
    </row>
    <row r="9654" spans="6:19" hidden="1" x14ac:dyDescent="0.25">
      <c r="F9654" t="s">
        <v>793</v>
      </c>
      <c r="G9654" t="s">
        <v>396</v>
      </c>
      <c r="H9654" t="str">
        <f>VLOOKUP(record[[#This Row],[ProcessSN]],表格2_7[],2,FALSE)</f>
        <v>30-4118-018-550</v>
      </c>
      <c r="I9654" t="str">
        <f>VLOOKUP(record[[#This Row],[ProcessSN]],表格2_7[],3,FALSE)</f>
        <v>#08PICK</v>
      </c>
      <c r="J9654" t="s">
        <v>582</v>
      </c>
      <c r="K9654" s="195">
        <v>45793.576643518521</v>
      </c>
      <c r="L9654">
        <v>4</v>
      </c>
      <c r="M9654">
        <v>0</v>
      </c>
      <c r="N9654" s="98" t="str">
        <f>IF(record[[#This Row],[Memo]]="Browser:chrome os:android","平板報工",IF(record[[#This Row],[Memo]]=0,"委外",record[[#This Row],[Memo]]))</f>
        <v/>
      </c>
      <c r="O9654" t="s">
        <v>58</v>
      </c>
      <c r="P9654" t="s">
        <v>113</v>
      </c>
      <c r="Q9654" t="s">
        <v>58</v>
      </c>
      <c r="R9654" t="str">
        <f>IFERROR(VLOOKUP(record[[#This Row],[PCUSTID]],廠商[],2,FALSE),"")</f>
        <v/>
      </c>
      <c r="S9654" t="str">
        <f>VLOOKUP(record[[#This Row],[employeeID]],員工[],2,FALSE)</f>
        <v>王奕蓁</v>
      </c>
    </row>
    <row r="9655" spans="6:19" hidden="1" x14ac:dyDescent="0.25">
      <c r="F9655" t="s">
        <v>791</v>
      </c>
      <c r="G9655" t="s">
        <v>397</v>
      </c>
      <c r="H9655" t="str">
        <f>VLOOKUP(record[[#This Row],[ProcessSN]],表格2_7[],2,FALSE)</f>
        <v>30-4118-018-550</v>
      </c>
      <c r="I9655" t="str">
        <f>VLOOKUP(record[[#This Row],[ProcessSN]],表格2_7[],3,FALSE)</f>
        <v>#08</v>
      </c>
      <c r="J9655" t="s">
        <v>597</v>
      </c>
      <c r="K9655" s="195">
        <v>45793.445347222223</v>
      </c>
      <c r="L9655">
        <v>369</v>
      </c>
      <c r="M9655">
        <v>0</v>
      </c>
      <c r="N9655" s="98" t="str">
        <f>IF(record[[#This Row],[Memo]]="Browser:chrome os:android","平板報工",IF(record[[#This Row],[Memo]]=0,"委外",record[[#This Row],[Memo]]))</f>
        <v>委外</v>
      </c>
      <c r="P9655" t="s">
        <v>113</v>
      </c>
      <c r="Q9655" t="s">
        <v>287</v>
      </c>
      <c r="R9655" t="str">
        <f>IFERROR(VLOOKUP(record[[#This Row],[PCUSTID]],廠商[],2,FALSE),"")</f>
        <v>泉盛</v>
      </c>
      <c r="S9655" t="str">
        <f>VLOOKUP(record[[#This Row],[employeeID]],員工[],2,FALSE)</f>
        <v>王奕蓁</v>
      </c>
    </row>
    <row r="9656" spans="6:19" hidden="1" x14ac:dyDescent="0.25">
      <c r="F9656" t="s">
        <v>791</v>
      </c>
      <c r="G9656" t="s">
        <v>396</v>
      </c>
      <c r="H9656" t="str">
        <f>VLOOKUP(record[[#This Row],[ProcessSN]],表格2_7[],2,FALSE)</f>
        <v>30-4118-018-550</v>
      </c>
      <c r="I9656" t="str">
        <f>VLOOKUP(record[[#This Row],[ProcessSN]],表格2_7[],3,FALSE)</f>
        <v>#08PICK</v>
      </c>
      <c r="J9656" t="s">
        <v>582</v>
      </c>
      <c r="K9656" s="195">
        <v>45793.441886574074</v>
      </c>
      <c r="L9656">
        <v>369</v>
      </c>
      <c r="M9656">
        <v>0</v>
      </c>
      <c r="N9656" s="98" t="str">
        <f>IF(record[[#This Row],[Memo]]="Browser:chrome os:android","平板報工",IF(record[[#This Row],[Memo]]=0,"委外",record[[#This Row],[Memo]]))</f>
        <v/>
      </c>
      <c r="O9656" t="s">
        <v>58</v>
      </c>
      <c r="P9656" t="s">
        <v>113</v>
      </c>
      <c r="Q9656" t="s">
        <v>58</v>
      </c>
      <c r="R9656" t="str">
        <f>IFERROR(VLOOKUP(record[[#This Row],[PCUSTID]],廠商[],2,FALSE),"")</f>
        <v/>
      </c>
      <c r="S9656" t="str">
        <f>VLOOKUP(record[[#This Row],[employeeID]],員工[],2,FALSE)</f>
        <v>王奕蓁</v>
      </c>
    </row>
    <row r="9657" spans="6:19" hidden="1" x14ac:dyDescent="0.25">
      <c r="F9657" t="s">
        <v>752</v>
      </c>
      <c r="G9657" t="s">
        <v>420</v>
      </c>
      <c r="H9657" t="str">
        <f>VLOOKUP(record[[#This Row],[ProcessSN]],表格2_7[],2,FALSE)</f>
        <v>30-4118-018-5XX</v>
      </c>
      <c r="I9657" t="str">
        <f>VLOOKUP(record[[#This Row],[ProcessSN]],表格2_7[],3,FALSE)</f>
        <v>#07STOCK</v>
      </c>
      <c r="J9657" t="s">
        <v>592</v>
      </c>
      <c r="K9657" s="195">
        <v>45793.440486111111</v>
      </c>
      <c r="L9657">
        <v>22</v>
      </c>
      <c r="M9657">
        <v>0</v>
      </c>
      <c r="N9657" s="98" t="str">
        <f>IF(record[[#This Row],[Memo]]="Browser:chrome os:android","平板報工",IF(record[[#This Row],[Memo]]=0,"委外",record[[#This Row],[Memo]]))</f>
        <v/>
      </c>
      <c r="O9657" t="s">
        <v>58</v>
      </c>
      <c r="P9657" t="s">
        <v>113</v>
      </c>
      <c r="Q9657" t="s">
        <v>58</v>
      </c>
      <c r="R9657" t="str">
        <f>IFERROR(VLOOKUP(record[[#This Row],[PCUSTID]],廠商[],2,FALSE),"")</f>
        <v/>
      </c>
      <c r="S9657" t="str">
        <f>VLOOKUP(record[[#This Row],[employeeID]],員工[],2,FALSE)</f>
        <v>王奕蓁</v>
      </c>
    </row>
    <row r="9658" spans="6:19" hidden="1" x14ac:dyDescent="0.25">
      <c r="F9658" t="s">
        <v>778</v>
      </c>
      <c r="G9658" t="s">
        <v>420</v>
      </c>
      <c r="H9658" t="str">
        <f>VLOOKUP(record[[#This Row],[ProcessSN]],表格2_7[],2,FALSE)</f>
        <v>30-4118-018-5XX</v>
      </c>
      <c r="I9658" t="str">
        <f>VLOOKUP(record[[#This Row],[ProcessSN]],表格2_7[],3,FALSE)</f>
        <v>#07STOCK</v>
      </c>
      <c r="J9658" t="s">
        <v>592</v>
      </c>
      <c r="K9658" s="195">
        <v>45793.440254629626</v>
      </c>
      <c r="L9658">
        <v>347</v>
      </c>
      <c r="M9658">
        <v>0</v>
      </c>
      <c r="N9658" s="98" t="str">
        <f>IF(record[[#This Row],[Memo]]="Browser:chrome os:android","平板報工",IF(record[[#This Row],[Memo]]=0,"委外",record[[#This Row],[Memo]]))</f>
        <v/>
      </c>
      <c r="O9658" t="s">
        <v>58</v>
      </c>
      <c r="P9658" t="s">
        <v>113</v>
      </c>
      <c r="Q9658" t="s">
        <v>58</v>
      </c>
      <c r="R9658" t="str">
        <f>IFERROR(VLOOKUP(record[[#This Row],[PCUSTID]],廠商[],2,FALSE),"")</f>
        <v/>
      </c>
      <c r="S9658" t="str">
        <f>VLOOKUP(record[[#This Row],[employeeID]],員工[],2,FALSE)</f>
        <v>王奕蓁</v>
      </c>
    </row>
    <row r="9659" spans="6:19" hidden="1" x14ac:dyDescent="0.25">
      <c r="F9659" t="s">
        <v>739</v>
      </c>
      <c r="G9659" t="s">
        <v>428</v>
      </c>
      <c r="H9659" t="str">
        <f>VLOOKUP(record[[#This Row],[ProcessSN]],表格2_7[],2,FALSE)</f>
        <v>30-4118-018-600</v>
      </c>
      <c r="I9659" t="str">
        <f>VLOOKUP(record[[#This Row],[ProcessSN]],表格2_7[],3,FALSE)</f>
        <v>#100SHIP</v>
      </c>
      <c r="J9659" t="s">
        <v>600</v>
      </c>
      <c r="K9659" s="195">
        <v>45793.428668981483</v>
      </c>
      <c r="L9659">
        <v>5</v>
      </c>
      <c r="M9659">
        <v>0</v>
      </c>
      <c r="N9659" s="98" t="str">
        <f>IF(record[[#This Row],[Memo]]="Browser:chrome os:android","平板報工",IF(record[[#This Row],[Memo]]=0,"委外",record[[#This Row],[Memo]]))</f>
        <v/>
      </c>
      <c r="O9659" t="s">
        <v>58</v>
      </c>
      <c r="P9659" t="s">
        <v>196</v>
      </c>
      <c r="Q9659" t="s">
        <v>58</v>
      </c>
      <c r="R9659" t="str">
        <f>IFERROR(VLOOKUP(record[[#This Row],[PCUSTID]],廠商[],2,FALSE),"")</f>
        <v/>
      </c>
      <c r="S9659" t="str">
        <f>VLOOKUP(record[[#This Row],[employeeID]],員工[],2,FALSE)</f>
        <v>張淑惠</v>
      </c>
    </row>
    <row r="9660" spans="6:19" hidden="1" x14ac:dyDescent="0.25">
      <c r="F9660" t="s">
        <v>784</v>
      </c>
      <c r="G9660" t="s">
        <v>403</v>
      </c>
      <c r="H9660" t="str">
        <f>VLOOKUP(record[[#This Row],[ProcessSN]],表格2_7[],2,FALSE)</f>
        <v>30-4118-018-550</v>
      </c>
      <c r="I9660" t="str">
        <f>VLOOKUP(record[[#This Row],[ProcessSN]],表格2_7[],3,FALSE)</f>
        <v>#100SHIP</v>
      </c>
      <c r="J9660" t="s">
        <v>600</v>
      </c>
      <c r="K9660" s="195">
        <v>45793.428310185183</v>
      </c>
      <c r="L9660">
        <v>257</v>
      </c>
      <c r="M9660">
        <v>0</v>
      </c>
      <c r="N9660" s="98" t="str">
        <f>IF(record[[#This Row],[Memo]]="Browser:chrome os:android","平板報工",IF(record[[#This Row],[Memo]]=0,"委外",record[[#This Row],[Memo]]))</f>
        <v/>
      </c>
      <c r="O9660" t="s">
        <v>58</v>
      </c>
      <c r="P9660" t="s">
        <v>196</v>
      </c>
      <c r="Q9660" t="s">
        <v>58</v>
      </c>
      <c r="R9660" t="str">
        <f>IFERROR(VLOOKUP(record[[#This Row],[PCUSTID]],廠商[],2,FALSE),"")</f>
        <v/>
      </c>
      <c r="S9660" t="str">
        <f>VLOOKUP(record[[#This Row],[employeeID]],員工[],2,FALSE)</f>
        <v>張淑惠</v>
      </c>
    </row>
    <row r="9661" spans="6:19" hidden="1" x14ac:dyDescent="0.25">
      <c r="F9661" t="s">
        <v>783</v>
      </c>
      <c r="G9661" t="s">
        <v>403</v>
      </c>
      <c r="H9661" t="str">
        <f>VLOOKUP(record[[#This Row],[ProcessSN]],表格2_7[],2,FALSE)</f>
        <v>30-4118-018-550</v>
      </c>
      <c r="I9661" t="str">
        <f>VLOOKUP(record[[#This Row],[ProcessSN]],表格2_7[],3,FALSE)</f>
        <v>#100SHIP</v>
      </c>
      <c r="J9661" t="s">
        <v>600</v>
      </c>
      <c r="K9661" s="195">
        <v>45793.428067129629</v>
      </c>
      <c r="L9661">
        <v>19</v>
      </c>
      <c r="M9661">
        <v>0</v>
      </c>
      <c r="N9661" s="98" t="str">
        <f>IF(record[[#This Row],[Memo]]="Browser:chrome os:android","平板報工",IF(record[[#This Row],[Memo]]=0,"委外",record[[#This Row],[Memo]]))</f>
        <v/>
      </c>
      <c r="O9661" t="s">
        <v>58</v>
      </c>
      <c r="P9661" t="s">
        <v>196</v>
      </c>
      <c r="Q9661" t="s">
        <v>58</v>
      </c>
      <c r="R9661" t="str">
        <f>IFERROR(VLOOKUP(record[[#This Row],[PCUSTID]],廠商[],2,FALSE),"")</f>
        <v/>
      </c>
      <c r="S9661" t="str">
        <f>VLOOKUP(record[[#This Row],[employeeID]],員工[],2,FALSE)</f>
        <v>張淑惠</v>
      </c>
    </row>
    <row r="9662" spans="6:19" hidden="1" x14ac:dyDescent="0.25">
      <c r="F9662" t="s">
        <v>775</v>
      </c>
      <c r="G9662" t="s">
        <v>403</v>
      </c>
      <c r="H9662" t="str">
        <f>VLOOKUP(record[[#This Row],[ProcessSN]],表格2_7[],2,FALSE)</f>
        <v>30-4118-018-550</v>
      </c>
      <c r="I9662" t="str">
        <f>VLOOKUP(record[[#This Row],[ProcessSN]],表格2_7[],3,FALSE)</f>
        <v>#100SHIP</v>
      </c>
      <c r="J9662" t="s">
        <v>600</v>
      </c>
      <c r="K9662" s="195">
        <v>45793.427858796298</v>
      </c>
      <c r="L9662">
        <v>7</v>
      </c>
      <c r="M9662">
        <v>0</v>
      </c>
      <c r="N9662" s="98" t="str">
        <f>IF(record[[#This Row],[Memo]]="Browser:chrome os:android","平板報工",IF(record[[#This Row],[Memo]]=0,"委外",record[[#This Row],[Memo]]))</f>
        <v/>
      </c>
      <c r="O9662" t="s">
        <v>58</v>
      </c>
      <c r="P9662" t="s">
        <v>196</v>
      </c>
      <c r="Q9662" t="s">
        <v>58</v>
      </c>
      <c r="R9662" t="str">
        <f>IFERROR(VLOOKUP(record[[#This Row],[PCUSTID]],廠商[],2,FALSE),"")</f>
        <v/>
      </c>
      <c r="S9662" t="str">
        <f>VLOOKUP(record[[#This Row],[employeeID]],員工[],2,FALSE)</f>
        <v>張淑惠</v>
      </c>
    </row>
    <row r="9663" spans="6:19" hidden="1" x14ac:dyDescent="0.25">
      <c r="F9663" t="s">
        <v>772</v>
      </c>
      <c r="G9663" t="s">
        <v>403</v>
      </c>
      <c r="H9663" t="str">
        <f>VLOOKUP(record[[#This Row],[ProcessSN]],表格2_7[],2,FALSE)</f>
        <v>30-4118-018-550</v>
      </c>
      <c r="I9663" t="str">
        <f>VLOOKUP(record[[#This Row],[ProcessSN]],表格2_7[],3,FALSE)</f>
        <v>#100SHIP</v>
      </c>
      <c r="J9663" t="s">
        <v>600</v>
      </c>
      <c r="K9663" s="195">
        <v>45793.427569444444</v>
      </c>
      <c r="L9663">
        <v>23</v>
      </c>
      <c r="M9663">
        <v>0</v>
      </c>
      <c r="N9663" s="98" t="str">
        <f>IF(record[[#This Row],[Memo]]="Browser:chrome os:android","平板報工",IF(record[[#This Row],[Memo]]=0,"委外",record[[#This Row],[Memo]]))</f>
        <v/>
      </c>
      <c r="O9663" t="s">
        <v>58</v>
      </c>
      <c r="P9663" t="s">
        <v>196</v>
      </c>
      <c r="Q9663" t="s">
        <v>58</v>
      </c>
      <c r="R9663" t="str">
        <f>IFERROR(VLOOKUP(record[[#This Row],[PCUSTID]],廠商[],2,FALSE),"")</f>
        <v/>
      </c>
      <c r="S9663" t="str">
        <f>VLOOKUP(record[[#This Row],[employeeID]],員工[],2,FALSE)</f>
        <v>張淑惠</v>
      </c>
    </row>
    <row r="9664" spans="6:19" hidden="1" x14ac:dyDescent="0.25">
      <c r="F9664" t="s">
        <v>768</v>
      </c>
      <c r="G9664" t="s">
        <v>403</v>
      </c>
      <c r="H9664" t="str">
        <f>VLOOKUP(record[[#This Row],[ProcessSN]],表格2_7[],2,FALSE)</f>
        <v>30-4118-018-550</v>
      </c>
      <c r="I9664" t="str">
        <f>VLOOKUP(record[[#This Row],[ProcessSN]],表格2_7[],3,FALSE)</f>
        <v>#100SHIP</v>
      </c>
      <c r="J9664" t="s">
        <v>600</v>
      </c>
      <c r="K9664" s="195">
        <v>45793.427337962959</v>
      </c>
      <c r="L9664">
        <v>13</v>
      </c>
      <c r="M9664">
        <v>0</v>
      </c>
      <c r="N9664" s="98" t="str">
        <f>IF(record[[#This Row],[Memo]]="Browser:chrome os:android","平板報工",IF(record[[#This Row],[Memo]]=0,"委外",record[[#This Row],[Memo]]))</f>
        <v/>
      </c>
      <c r="O9664" t="s">
        <v>58</v>
      </c>
      <c r="P9664" t="s">
        <v>196</v>
      </c>
      <c r="Q9664" t="s">
        <v>58</v>
      </c>
      <c r="R9664" t="str">
        <f>IFERROR(VLOOKUP(record[[#This Row],[PCUSTID]],廠商[],2,FALSE),"")</f>
        <v/>
      </c>
      <c r="S9664" t="str">
        <f>VLOOKUP(record[[#This Row],[employeeID]],員工[],2,FALSE)</f>
        <v>張淑惠</v>
      </c>
    </row>
    <row r="9665" spans="6:19" hidden="1" x14ac:dyDescent="0.25">
      <c r="F9665" t="s">
        <v>678</v>
      </c>
      <c r="G9665" t="s">
        <v>362</v>
      </c>
      <c r="H9665" t="str">
        <f>VLOOKUP(record[[#This Row],[ProcessSN]],表格2_7[],2,FALSE)</f>
        <v>30-4118-018-450</v>
      </c>
      <c r="I9665" t="str">
        <f>VLOOKUP(record[[#This Row],[ProcessSN]],表格2_7[],3,FALSE)</f>
        <v>#100SHIP</v>
      </c>
      <c r="J9665" t="s">
        <v>600</v>
      </c>
      <c r="K9665" s="195">
        <v>45793.425682870373</v>
      </c>
      <c r="L9665">
        <v>14</v>
      </c>
      <c r="M9665">
        <v>0</v>
      </c>
      <c r="N9665" s="98" t="str">
        <f>IF(record[[#This Row],[Memo]]="Browser:chrome os:android","平板報工",IF(record[[#This Row],[Memo]]=0,"委外",record[[#This Row],[Memo]]))</f>
        <v/>
      </c>
      <c r="O9665" t="s">
        <v>58</v>
      </c>
      <c r="P9665" t="s">
        <v>196</v>
      </c>
      <c r="Q9665" t="s">
        <v>58</v>
      </c>
      <c r="R9665" t="str">
        <f>IFERROR(VLOOKUP(record[[#This Row],[PCUSTID]],廠商[],2,FALSE),"")</f>
        <v/>
      </c>
      <c r="S9665" t="str">
        <f>VLOOKUP(record[[#This Row],[employeeID]],員工[],2,FALSE)</f>
        <v>張淑惠</v>
      </c>
    </row>
    <row r="9666" spans="6:19" hidden="1" x14ac:dyDescent="0.25">
      <c r="F9666" t="s">
        <v>778</v>
      </c>
      <c r="G9666" t="s">
        <v>419</v>
      </c>
      <c r="H9666" t="str">
        <f>VLOOKUP(record[[#This Row],[ProcessSN]],表格2_7[],2,FALSE)</f>
        <v>30-4118-018-5XX</v>
      </c>
      <c r="I9666" t="str">
        <f>VLOOKUP(record[[#This Row],[ProcessSN]],表格2_7[],3,FALSE)</f>
        <v>#07QC</v>
      </c>
      <c r="J9666" t="s">
        <v>589</v>
      </c>
      <c r="K9666" s="195">
        <v>45793.413807870369</v>
      </c>
      <c r="L9666">
        <v>0</v>
      </c>
      <c r="M9666">
        <v>22</v>
      </c>
      <c r="N9666" s="98" t="str">
        <f>IF(record[[#This Row],[Memo]]="Browser:chrome os:android","平板報工",IF(record[[#This Row],[Memo]]=0,"委外",record[[#This Row],[Memo]]))</f>
        <v/>
      </c>
      <c r="O9666" t="s">
        <v>58</v>
      </c>
      <c r="P9666" t="s">
        <v>141</v>
      </c>
      <c r="Q9666" t="s">
        <v>58</v>
      </c>
      <c r="R9666" t="str">
        <f>IFERROR(VLOOKUP(record[[#This Row],[PCUSTID]],廠商[],2,FALSE),"")</f>
        <v/>
      </c>
      <c r="S9666" t="str">
        <f>VLOOKUP(record[[#This Row],[employeeID]],員工[],2,FALSE)</f>
        <v>蔣梅</v>
      </c>
    </row>
    <row r="9667" spans="6:19" hidden="1" x14ac:dyDescent="0.25">
      <c r="F9667" t="s">
        <v>778</v>
      </c>
      <c r="G9667" t="s">
        <v>419</v>
      </c>
      <c r="H9667" t="str">
        <f>VLOOKUP(record[[#This Row],[ProcessSN]],表格2_7[],2,FALSE)</f>
        <v>30-4118-018-5XX</v>
      </c>
      <c r="I9667" t="str">
        <f>VLOOKUP(record[[#This Row],[ProcessSN]],表格2_7[],3,FALSE)</f>
        <v>#07QC</v>
      </c>
      <c r="J9667" t="s">
        <v>589</v>
      </c>
      <c r="K9667" s="195">
        <v>45793.413611111115</v>
      </c>
      <c r="L9667">
        <v>347</v>
      </c>
      <c r="M9667">
        <v>0</v>
      </c>
      <c r="N9667" s="98" t="str">
        <f>IF(record[[#This Row],[Memo]]="Browser:chrome os:android","平板報工",IF(record[[#This Row],[Memo]]=0,"委外",record[[#This Row],[Memo]]))</f>
        <v/>
      </c>
      <c r="O9667" t="s">
        <v>58</v>
      </c>
      <c r="P9667" t="s">
        <v>141</v>
      </c>
      <c r="Q9667" t="s">
        <v>58</v>
      </c>
      <c r="R9667" t="str">
        <f>IFERROR(VLOOKUP(record[[#This Row],[PCUSTID]],廠商[],2,FALSE),"")</f>
        <v/>
      </c>
      <c r="S9667" t="str">
        <f>VLOOKUP(record[[#This Row],[employeeID]],員工[],2,FALSE)</f>
        <v>蔣梅</v>
      </c>
    </row>
    <row r="9668" spans="6:19" hidden="1" x14ac:dyDescent="0.25">
      <c r="F9668" t="s">
        <v>778</v>
      </c>
      <c r="G9668" t="s">
        <v>418</v>
      </c>
      <c r="H9668" t="str">
        <f>VLOOKUP(record[[#This Row],[ProcessSN]],表格2_7[],2,FALSE)</f>
        <v>30-4118-018-5XX</v>
      </c>
      <c r="I9668" t="str">
        <f>VLOOKUP(record[[#This Row],[ProcessSN]],表格2_7[],3,FALSE)</f>
        <v>#07</v>
      </c>
      <c r="J9668" t="s">
        <v>588</v>
      </c>
      <c r="K9668" s="195">
        <v>45793.303449074076</v>
      </c>
      <c r="L9668">
        <v>81</v>
      </c>
      <c r="M9668">
        <v>0</v>
      </c>
      <c r="N9668" s="98" t="str">
        <f>IF(record[[#This Row],[Memo]]="Browser:chrome os:android","平板報工",IF(record[[#This Row],[Memo]]=0,"委外",record[[#This Row],[Memo]]))</f>
        <v/>
      </c>
      <c r="O9668" t="s">
        <v>58</v>
      </c>
      <c r="P9668" t="s">
        <v>135</v>
      </c>
      <c r="Q9668" t="s">
        <v>58</v>
      </c>
      <c r="R9668" t="str">
        <f>IFERROR(VLOOKUP(record[[#This Row],[PCUSTID]],廠商[],2,FALSE),"")</f>
        <v/>
      </c>
      <c r="S9668" t="str">
        <f>VLOOKUP(record[[#This Row],[employeeID]],員工[],2,FALSE)</f>
        <v>阮士文</v>
      </c>
    </row>
    <row r="9669" spans="6:19" hidden="1" x14ac:dyDescent="0.25">
      <c r="F9669" t="s">
        <v>778</v>
      </c>
      <c r="G9669" t="s">
        <v>418</v>
      </c>
      <c r="H9669" t="str">
        <f>VLOOKUP(record[[#This Row],[ProcessSN]],表格2_7[],2,FALSE)</f>
        <v>30-4118-018-5XX</v>
      </c>
      <c r="I9669" t="str">
        <f>VLOOKUP(record[[#This Row],[ProcessSN]],表格2_7[],3,FALSE)</f>
        <v>#07</v>
      </c>
      <c r="J9669" t="s">
        <v>588</v>
      </c>
      <c r="K9669" s="195">
        <v>45793.132557870369</v>
      </c>
      <c r="L9669">
        <v>92</v>
      </c>
      <c r="M9669">
        <v>0</v>
      </c>
      <c r="N9669" s="98" t="str">
        <f>IF(record[[#This Row],[Memo]]="Browser:chrome os:android","平板報工",IF(record[[#This Row],[Memo]]=0,"委外",record[[#This Row],[Memo]]))</f>
        <v/>
      </c>
      <c r="O9669" t="s">
        <v>58</v>
      </c>
      <c r="P9669" t="s">
        <v>133</v>
      </c>
      <c r="Q9669" t="s">
        <v>58</v>
      </c>
      <c r="R9669" t="str">
        <f>IFERROR(VLOOKUP(record[[#This Row],[PCUSTID]],廠商[],2,FALSE),"")</f>
        <v/>
      </c>
      <c r="S9669" t="str">
        <f>VLOOKUP(record[[#This Row],[employeeID]],員工[],2,FALSE)</f>
        <v>黎長維</v>
      </c>
    </row>
    <row r="9670" spans="6:19" hidden="1" x14ac:dyDescent="0.25">
      <c r="F9670" t="s">
        <v>778</v>
      </c>
      <c r="G9670" t="s">
        <v>417</v>
      </c>
      <c r="H9670" t="str">
        <f>VLOOKUP(record[[#This Row],[ProcessSN]],表格2_7[],2,FALSE)</f>
        <v>30-4118-018-5XX</v>
      </c>
      <c r="I9670" t="str">
        <f>VLOOKUP(record[[#This Row],[ProcessSN]],表格2_7[],3,FALSE)</f>
        <v>#06</v>
      </c>
      <c r="J9670" t="s">
        <v>593</v>
      </c>
      <c r="K9670" s="195">
        <v>45792.974351851852</v>
      </c>
      <c r="L9670">
        <v>121</v>
      </c>
      <c r="M9670">
        <v>0</v>
      </c>
      <c r="N9670" s="98" t="str">
        <f>IF(record[[#This Row],[Memo]]="Browser:chrome os:android","平板報工",IF(record[[#This Row],[Memo]]=0,"委外",record[[#This Row],[Memo]]))</f>
        <v/>
      </c>
      <c r="O9670" t="s">
        <v>58</v>
      </c>
      <c r="P9670" t="s">
        <v>166</v>
      </c>
      <c r="Q9670" t="s">
        <v>58</v>
      </c>
      <c r="R9670" t="str">
        <f>IFERROR(VLOOKUP(record[[#This Row],[PCUSTID]],廠商[],2,FALSE),"")</f>
        <v/>
      </c>
      <c r="S9670" t="str">
        <f>VLOOKUP(record[[#This Row],[employeeID]],員工[],2,FALSE)</f>
        <v>阮懷香</v>
      </c>
    </row>
    <row r="9671" spans="6:19" hidden="1" x14ac:dyDescent="0.25">
      <c r="F9671" t="s">
        <v>778</v>
      </c>
      <c r="G9671" t="s">
        <v>418</v>
      </c>
      <c r="H9671" t="str">
        <f>VLOOKUP(record[[#This Row],[ProcessSN]],表格2_7[],2,FALSE)</f>
        <v>30-4118-018-5XX</v>
      </c>
      <c r="I9671" t="str">
        <f>VLOOKUP(record[[#This Row],[ProcessSN]],表格2_7[],3,FALSE)</f>
        <v>#07</v>
      </c>
      <c r="J9671" t="s">
        <v>588</v>
      </c>
      <c r="K9671" s="195">
        <v>45792.967499999999</v>
      </c>
      <c r="L9671">
        <v>185</v>
      </c>
      <c r="M9671">
        <v>0</v>
      </c>
      <c r="N9671" s="98" t="str">
        <f>IF(record[[#This Row],[Memo]]="Browser:chrome os:android","平板報工",IF(record[[#This Row],[Memo]]=0,"委外",record[[#This Row],[Memo]]))</f>
        <v/>
      </c>
      <c r="O9671" t="s">
        <v>58</v>
      </c>
      <c r="P9671" t="s">
        <v>89</v>
      </c>
      <c r="Q9671" t="s">
        <v>58</v>
      </c>
      <c r="R9671" t="str">
        <f>IFERROR(VLOOKUP(record[[#This Row],[PCUSTID]],廠商[],2,FALSE),"")</f>
        <v/>
      </c>
      <c r="S9671" t="str">
        <f>VLOOKUP(record[[#This Row],[employeeID]],員工[],2,FALSE)</f>
        <v>李美蓮</v>
      </c>
    </row>
    <row r="9672" spans="6:19" hidden="1" x14ac:dyDescent="0.25">
      <c r="F9672" t="s">
        <v>778</v>
      </c>
      <c r="G9672" t="s">
        <v>416</v>
      </c>
      <c r="H9672" t="str">
        <f>VLOOKUP(record[[#This Row],[ProcessSN]],表格2_7[],2,FALSE)</f>
        <v>30-4118-018-5XX</v>
      </c>
      <c r="I9672" t="str">
        <f>VLOOKUP(record[[#This Row],[ProcessSN]],表格2_7[],3,FALSE)</f>
        <v>#05</v>
      </c>
      <c r="J9672" t="s">
        <v>588</v>
      </c>
      <c r="K9672" s="195">
        <v>45792.966574074075</v>
      </c>
      <c r="L9672">
        <v>190</v>
      </c>
      <c r="M9672">
        <v>2</v>
      </c>
      <c r="N9672" s="98" t="str">
        <f>IF(record[[#This Row],[Memo]]="Browser:chrome os:android","平板報工",IF(record[[#This Row],[Memo]]=0,"委外",record[[#This Row],[Memo]]))</f>
        <v/>
      </c>
      <c r="O9672" t="s">
        <v>58</v>
      </c>
      <c r="P9672" t="s">
        <v>89</v>
      </c>
      <c r="Q9672" t="s">
        <v>58</v>
      </c>
      <c r="R9672" t="str">
        <f>IFERROR(VLOOKUP(record[[#This Row],[PCUSTID]],廠商[],2,FALSE),"")</f>
        <v/>
      </c>
      <c r="S9672" t="str">
        <f>VLOOKUP(record[[#This Row],[employeeID]],員工[],2,FALSE)</f>
        <v>李美蓮</v>
      </c>
    </row>
    <row r="9673" spans="6:19" hidden="1" x14ac:dyDescent="0.25">
      <c r="F9673" t="s">
        <v>783</v>
      </c>
      <c r="G9673" t="s">
        <v>402</v>
      </c>
      <c r="H9673" t="str">
        <f>VLOOKUP(record[[#This Row],[ProcessSN]],表格2_7[],2,FALSE)</f>
        <v>30-4118-018-550</v>
      </c>
      <c r="I9673" t="str">
        <f>VLOOKUP(record[[#This Row],[ProcessSN]],表格2_7[],3,FALSE)</f>
        <v>#100STOCK</v>
      </c>
      <c r="J9673" t="s">
        <v>592</v>
      </c>
      <c r="K9673" s="195">
        <v>45792.706909722219</v>
      </c>
      <c r="L9673">
        <v>19</v>
      </c>
      <c r="M9673">
        <v>0</v>
      </c>
      <c r="N9673" s="98" t="str">
        <f>IF(record[[#This Row],[Memo]]="Browser:chrome os:android","平板報工",IF(record[[#This Row],[Memo]]=0,"委外",record[[#This Row],[Memo]]))</f>
        <v/>
      </c>
      <c r="O9673" t="s">
        <v>58</v>
      </c>
      <c r="P9673" t="s">
        <v>196</v>
      </c>
      <c r="Q9673" t="s">
        <v>58</v>
      </c>
      <c r="R9673" t="str">
        <f>IFERROR(VLOOKUP(record[[#This Row],[PCUSTID]],廠商[],2,FALSE),"")</f>
        <v/>
      </c>
      <c r="S9673" t="str">
        <f>VLOOKUP(record[[#This Row],[employeeID]],員工[],2,FALSE)</f>
        <v>張淑惠</v>
      </c>
    </row>
    <row r="9674" spans="6:19" hidden="1" x14ac:dyDescent="0.25">
      <c r="F9674" t="s">
        <v>775</v>
      </c>
      <c r="G9674" t="s">
        <v>402</v>
      </c>
      <c r="H9674" t="str">
        <f>VLOOKUP(record[[#This Row],[ProcessSN]],表格2_7[],2,FALSE)</f>
        <v>30-4118-018-550</v>
      </c>
      <c r="I9674" t="str">
        <f>VLOOKUP(record[[#This Row],[ProcessSN]],表格2_7[],3,FALSE)</f>
        <v>#100STOCK</v>
      </c>
      <c r="J9674" t="s">
        <v>592</v>
      </c>
      <c r="K9674" s="195">
        <v>45792.706770833334</v>
      </c>
      <c r="L9674">
        <v>7</v>
      </c>
      <c r="M9674">
        <v>0</v>
      </c>
      <c r="N9674" s="98" t="str">
        <f>IF(record[[#This Row],[Memo]]="Browser:chrome os:android","平板報工",IF(record[[#This Row],[Memo]]=0,"委外",record[[#This Row],[Memo]]))</f>
        <v/>
      </c>
      <c r="O9674" t="s">
        <v>58</v>
      </c>
      <c r="P9674" t="s">
        <v>196</v>
      </c>
      <c r="Q9674" t="s">
        <v>58</v>
      </c>
      <c r="R9674" t="str">
        <f>IFERROR(VLOOKUP(record[[#This Row],[PCUSTID]],廠商[],2,FALSE),"")</f>
        <v/>
      </c>
      <c r="S9674" t="str">
        <f>VLOOKUP(record[[#This Row],[employeeID]],員工[],2,FALSE)</f>
        <v>張淑惠</v>
      </c>
    </row>
    <row r="9675" spans="6:19" hidden="1" x14ac:dyDescent="0.25">
      <c r="F9675" t="s">
        <v>772</v>
      </c>
      <c r="G9675" t="s">
        <v>402</v>
      </c>
      <c r="H9675" t="str">
        <f>VLOOKUP(record[[#This Row],[ProcessSN]],表格2_7[],2,FALSE)</f>
        <v>30-4118-018-550</v>
      </c>
      <c r="I9675" t="str">
        <f>VLOOKUP(record[[#This Row],[ProcessSN]],表格2_7[],3,FALSE)</f>
        <v>#100STOCK</v>
      </c>
      <c r="J9675" t="s">
        <v>592</v>
      </c>
      <c r="K9675" s="195">
        <v>45792.706655092596</v>
      </c>
      <c r="L9675">
        <v>23</v>
      </c>
      <c r="M9675">
        <v>0</v>
      </c>
      <c r="N9675" s="98" t="str">
        <f>IF(record[[#This Row],[Memo]]="Browser:chrome os:android","平板報工",IF(record[[#This Row],[Memo]]=0,"委外",record[[#This Row],[Memo]]))</f>
        <v/>
      </c>
      <c r="O9675" t="s">
        <v>58</v>
      </c>
      <c r="P9675" t="s">
        <v>196</v>
      </c>
      <c r="Q9675" t="s">
        <v>58</v>
      </c>
      <c r="R9675" t="str">
        <f>IFERROR(VLOOKUP(record[[#This Row],[PCUSTID]],廠商[],2,FALSE),"")</f>
        <v/>
      </c>
      <c r="S9675" t="str">
        <f>VLOOKUP(record[[#This Row],[employeeID]],員工[],2,FALSE)</f>
        <v>張淑惠</v>
      </c>
    </row>
    <row r="9676" spans="6:19" hidden="1" x14ac:dyDescent="0.25">
      <c r="F9676" t="s">
        <v>768</v>
      </c>
      <c r="G9676" t="s">
        <v>402</v>
      </c>
      <c r="H9676" t="str">
        <f>VLOOKUP(record[[#This Row],[ProcessSN]],表格2_7[],2,FALSE)</f>
        <v>30-4118-018-550</v>
      </c>
      <c r="I9676" t="str">
        <f>VLOOKUP(record[[#This Row],[ProcessSN]],表格2_7[],3,FALSE)</f>
        <v>#100STOCK</v>
      </c>
      <c r="J9676" t="s">
        <v>592</v>
      </c>
      <c r="K9676" s="195">
        <v>45792.70653935185</v>
      </c>
      <c r="L9676">
        <v>13</v>
      </c>
      <c r="M9676">
        <v>0</v>
      </c>
      <c r="N9676" s="98" t="str">
        <f>IF(record[[#This Row],[Memo]]="Browser:chrome os:android","平板報工",IF(record[[#This Row],[Memo]]=0,"委外",record[[#This Row],[Memo]]))</f>
        <v/>
      </c>
      <c r="O9676" t="s">
        <v>58</v>
      </c>
      <c r="P9676" t="s">
        <v>196</v>
      </c>
      <c r="Q9676" t="s">
        <v>58</v>
      </c>
      <c r="R9676" t="str">
        <f>IFERROR(VLOOKUP(record[[#This Row],[PCUSTID]],廠商[],2,FALSE),"")</f>
        <v/>
      </c>
      <c r="S9676" t="str">
        <f>VLOOKUP(record[[#This Row],[employeeID]],員工[],2,FALSE)</f>
        <v>張淑惠</v>
      </c>
    </row>
    <row r="9677" spans="6:19" hidden="1" x14ac:dyDescent="0.25">
      <c r="F9677" t="s">
        <v>778</v>
      </c>
      <c r="G9677" t="s">
        <v>417</v>
      </c>
      <c r="H9677" t="str">
        <f>VLOOKUP(record[[#This Row],[ProcessSN]],表格2_7[],2,FALSE)</f>
        <v>30-4118-018-5XX</v>
      </c>
      <c r="I9677" t="str">
        <f>VLOOKUP(record[[#This Row],[ProcessSN]],表格2_7[],3,FALSE)</f>
        <v>#06</v>
      </c>
      <c r="J9677" t="s">
        <v>593</v>
      </c>
      <c r="K9677" s="195">
        <v>45792.652789351851</v>
      </c>
      <c r="L9677">
        <v>112</v>
      </c>
      <c r="M9677">
        <v>0</v>
      </c>
      <c r="N9677" s="98" t="str">
        <f>IF(record[[#This Row],[Memo]]="Browser:chrome os:android","平板報工",IF(record[[#This Row],[Memo]]=0,"委外",record[[#This Row],[Memo]]))</f>
        <v/>
      </c>
      <c r="O9677" t="s">
        <v>58</v>
      </c>
      <c r="P9677" t="s">
        <v>119</v>
      </c>
      <c r="Q9677" t="s">
        <v>58</v>
      </c>
      <c r="R9677" t="str">
        <f>IFERROR(VLOOKUP(record[[#This Row],[PCUSTID]],廠商[],2,FALSE),"")</f>
        <v/>
      </c>
      <c r="S9677" t="str">
        <f>VLOOKUP(record[[#This Row],[employeeID]],員工[],2,FALSE)</f>
        <v>廖俊彥</v>
      </c>
    </row>
    <row r="9678" spans="6:19" hidden="1" x14ac:dyDescent="0.25">
      <c r="F9678" t="s">
        <v>778</v>
      </c>
      <c r="G9678" t="s">
        <v>418</v>
      </c>
      <c r="H9678" t="str">
        <f>VLOOKUP(record[[#This Row],[ProcessSN]],表格2_7[],2,FALSE)</f>
        <v>30-4118-018-5XX</v>
      </c>
      <c r="I9678" t="str">
        <f>VLOOKUP(record[[#This Row],[ProcessSN]],表格2_7[],3,FALSE)</f>
        <v>#07</v>
      </c>
      <c r="J9678" t="s">
        <v>588</v>
      </c>
      <c r="K9678" s="195">
        <v>45792.648842592593</v>
      </c>
      <c r="L9678">
        <v>18</v>
      </c>
      <c r="M9678">
        <v>1</v>
      </c>
      <c r="N9678" s="98" t="str">
        <f>IF(record[[#This Row],[Memo]]="Browser:chrome os:android","平板報工",IF(record[[#This Row],[Memo]]=0,"委外",record[[#This Row],[Memo]]))</f>
        <v/>
      </c>
      <c r="O9678" t="s">
        <v>58</v>
      </c>
      <c r="P9678" t="s">
        <v>119</v>
      </c>
      <c r="Q9678" t="s">
        <v>58</v>
      </c>
      <c r="R9678" t="str">
        <f>IFERROR(VLOOKUP(record[[#This Row],[PCUSTID]],廠商[],2,FALSE),"")</f>
        <v/>
      </c>
      <c r="S9678" t="str">
        <f>VLOOKUP(record[[#This Row],[employeeID]],員工[],2,FALSE)</f>
        <v>廖俊彥</v>
      </c>
    </row>
    <row r="9679" spans="6:19" hidden="1" x14ac:dyDescent="0.25">
      <c r="F9679" t="s">
        <v>778</v>
      </c>
      <c r="G9679" t="s">
        <v>416</v>
      </c>
      <c r="H9679" t="str">
        <f>VLOOKUP(record[[#This Row],[ProcessSN]],表格2_7[],2,FALSE)</f>
        <v>30-4118-018-5XX</v>
      </c>
      <c r="I9679" t="str">
        <f>VLOOKUP(record[[#This Row],[ProcessSN]],表格2_7[],3,FALSE)</f>
        <v>#05</v>
      </c>
      <c r="J9679" t="s">
        <v>588</v>
      </c>
      <c r="K9679" s="195">
        <v>45792.647812499999</v>
      </c>
      <c r="L9679">
        <v>251</v>
      </c>
      <c r="M9679">
        <v>0</v>
      </c>
      <c r="N9679" s="98" t="str">
        <f>IF(record[[#This Row],[Memo]]="Browser:chrome os:android","平板報工",IF(record[[#This Row],[Memo]]=0,"委外",record[[#This Row],[Memo]]))</f>
        <v/>
      </c>
      <c r="O9679" t="s">
        <v>58</v>
      </c>
      <c r="P9679" t="s">
        <v>119</v>
      </c>
      <c r="Q9679" t="s">
        <v>58</v>
      </c>
      <c r="R9679" t="str">
        <f>IFERROR(VLOOKUP(record[[#This Row],[PCUSTID]],廠商[],2,FALSE),"")</f>
        <v/>
      </c>
      <c r="S9679" t="str">
        <f>VLOOKUP(record[[#This Row],[employeeID]],員工[],2,FALSE)</f>
        <v>廖俊彥</v>
      </c>
    </row>
    <row r="9680" spans="6:19" hidden="1" x14ac:dyDescent="0.25">
      <c r="F9680" t="s">
        <v>678</v>
      </c>
      <c r="G9680" t="s">
        <v>362</v>
      </c>
      <c r="H9680" t="str">
        <f>VLOOKUP(record[[#This Row],[ProcessSN]],表格2_7[],2,FALSE)</f>
        <v>30-4118-018-450</v>
      </c>
      <c r="I9680" t="str">
        <f>VLOOKUP(record[[#This Row],[ProcessSN]],表格2_7[],3,FALSE)</f>
        <v>#100SHIP</v>
      </c>
      <c r="J9680" t="s">
        <v>600</v>
      </c>
      <c r="K9680" s="195">
        <v>45792.431342592594</v>
      </c>
      <c r="L9680">
        <v>29</v>
      </c>
      <c r="M9680">
        <v>0</v>
      </c>
      <c r="N9680" s="98" t="str">
        <f>IF(record[[#This Row],[Memo]]="Browser:chrome os:android","平板報工",IF(record[[#This Row],[Memo]]=0,"委外",record[[#This Row],[Memo]]))</f>
        <v/>
      </c>
      <c r="O9680" t="s">
        <v>58</v>
      </c>
      <c r="P9680" t="s">
        <v>196</v>
      </c>
      <c r="Q9680" t="s">
        <v>58</v>
      </c>
      <c r="R9680" t="str">
        <f>IFERROR(VLOOKUP(record[[#This Row],[PCUSTID]],廠商[],2,FALSE),"")</f>
        <v/>
      </c>
      <c r="S9680" t="str">
        <f>VLOOKUP(record[[#This Row],[employeeID]],員工[],2,FALSE)</f>
        <v>張淑惠</v>
      </c>
    </row>
    <row r="9681" spans="6:19" hidden="1" x14ac:dyDescent="0.25">
      <c r="F9681" t="s">
        <v>772</v>
      </c>
      <c r="G9681" t="s">
        <v>401</v>
      </c>
      <c r="H9681" t="str">
        <f>VLOOKUP(record[[#This Row],[ProcessSN]],表格2_7[],2,FALSE)</f>
        <v>30-4118-018-550</v>
      </c>
      <c r="I9681" t="str">
        <f>VLOOKUP(record[[#This Row],[ProcessSN]],表格2_7[],3,FALSE)</f>
        <v>#100OQC</v>
      </c>
      <c r="J9681" t="s">
        <v>599</v>
      </c>
      <c r="K9681" s="195">
        <v>45792.374108796299</v>
      </c>
      <c r="L9681">
        <v>23</v>
      </c>
      <c r="M9681">
        <v>0</v>
      </c>
      <c r="N9681" s="98" t="str">
        <f>IF(record[[#This Row],[Memo]]="Browser:chrome os:android","平板報工",IF(record[[#This Row],[Memo]]=0,"委外",record[[#This Row],[Memo]]))</f>
        <v/>
      </c>
      <c r="O9681" t="s">
        <v>58</v>
      </c>
      <c r="P9681" t="s">
        <v>121</v>
      </c>
      <c r="Q9681" t="s">
        <v>58</v>
      </c>
      <c r="R9681" t="str">
        <f>IFERROR(VLOOKUP(record[[#This Row],[PCUSTID]],廠商[],2,FALSE),"")</f>
        <v/>
      </c>
      <c r="S9681" t="str">
        <f>VLOOKUP(record[[#This Row],[employeeID]],員工[],2,FALSE)</f>
        <v>謝素卿</v>
      </c>
    </row>
    <row r="9682" spans="6:19" hidden="1" x14ac:dyDescent="0.25">
      <c r="F9682" t="s">
        <v>783</v>
      </c>
      <c r="G9682" t="s">
        <v>401</v>
      </c>
      <c r="H9682" t="str">
        <f>VLOOKUP(record[[#This Row],[ProcessSN]],表格2_7[],2,FALSE)</f>
        <v>30-4118-018-550</v>
      </c>
      <c r="I9682" t="str">
        <f>VLOOKUP(record[[#This Row],[ProcessSN]],表格2_7[],3,FALSE)</f>
        <v>#100OQC</v>
      </c>
      <c r="J9682" t="s">
        <v>599</v>
      </c>
      <c r="K9682" s="195">
        <v>45792.373981481483</v>
      </c>
      <c r="L9682">
        <v>19</v>
      </c>
      <c r="M9682">
        <v>0</v>
      </c>
      <c r="N9682" s="98" t="str">
        <f>IF(record[[#This Row],[Memo]]="Browser:chrome os:android","平板報工",IF(record[[#This Row],[Memo]]=0,"委外",record[[#This Row],[Memo]]))</f>
        <v/>
      </c>
      <c r="O9682" t="s">
        <v>58</v>
      </c>
      <c r="P9682" t="s">
        <v>121</v>
      </c>
      <c r="Q9682" t="s">
        <v>58</v>
      </c>
      <c r="R9682" t="str">
        <f>IFERROR(VLOOKUP(record[[#This Row],[PCUSTID]],廠商[],2,FALSE),"")</f>
        <v/>
      </c>
      <c r="S9682" t="str">
        <f>VLOOKUP(record[[#This Row],[employeeID]],員工[],2,FALSE)</f>
        <v>謝素卿</v>
      </c>
    </row>
    <row r="9683" spans="6:19" hidden="1" x14ac:dyDescent="0.25">
      <c r="F9683" t="s">
        <v>775</v>
      </c>
      <c r="G9683" t="s">
        <v>401</v>
      </c>
      <c r="H9683" t="str">
        <f>VLOOKUP(record[[#This Row],[ProcessSN]],表格2_7[],2,FALSE)</f>
        <v>30-4118-018-550</v>
      </c>
      <c r="I9683" t="str">
        <f>VLOOKUP(record[[#This Row],[ProcessSN]],表格2_7[],3,FALSE)</f>
        <v>#100OQC</v>
      </c>
      <c r="J9683" t="s">
        <v>599</v>
      </c>
      <c r="K9683" s="195">
        <v>45792.373854166668</v>
      </c>
      <c r="L9683">
        <v>7</v>
      </c>
      <c r="M9683">
        <v>0</v>
      </c>
      <c r="N9683" s="98" t="str">
        <f>IF(record[[#This Row],[Memo]]="Browser:chrome os:android","平板報工",IF(record[[#This Row],[Memo]]=0,"委外",record[[#This Row],[Memo]]))</f>
        <v/>
      </c>
      <c r="O9683" t="s">
        <v>58</v>
      </c>
      <c r="P9683" t="s">
        <v>121</v>
      </c>
      <c r="Q9683" t="s">
        <v>58</v>
      </c>
      <c r="R9683" t="str">
        <f>IFERROR(VLOOKUP(record[[#This Row],[PCUSTID]],廠商[],2,FALSE),"")</f>
        <v/>
      </c>
      <c r="S9683" t="str">
        <f>VLOOKUP(record[[#This Row],[employeeID]],員工[],2,FALSE)</f>
        <v>謝素卿</v>
      </c>
    </row>
    <row r="9684" spans="6:19" hidden="1" x14ac:dyDescent="0.25">
      <c r="F9684" t="s">
        <v>768</v>
      </c>
      <c r="G9684" t="s">
        <v>401</v>
      </c>
      <c r="H9684" t="str">
        <f>VLOOKUP(record[[#This Row],[ProcessSN]],表格2_7[],2,FALSE)</f>
        <v>30-4118-018-550</v>
      </c>
      <c r="I9684" t="str">
        <f>VLOOKUP(record[[#This Row],[ProcessSN]],表格2_7[],3,FALSE)</f>
        <v>#100OQC</v>
      </c>
      <c r="J9684" t="s">
        <v>599</v>
      </c>
      <c r="K9684" s="195">
        <v>45792.373738425929</v>
      </c>
      <c r="L9684">
        <v>13</v>
      </c>
      <c r="M9684">
        <v>0</v>
      </c>
      <c r="N9684" s="98" t="str">
        <f>IF(record[[#This Row],[Memo]]="Browser:chrome os:android","平板報工",IF(record[[#This Row],[Memo]]=0,"委外",record[[#This Row],[Memo]]))</f>
        <v/>
      </c>
      <c r="O9684" t="s">
        <v>58</v>
      </c>
      <c r="P9684" t="s">
        <v>121</v>
      </c>
      <c r="Q9684" t="s">
        <v>58</v>
      </c>
      <c r="R9684" t="str">
        <f>IFERROR(VLOOKUP(record[[#This Row],[PCUSTID]],廠商[],2,FALSE),"")</f>
        <v/>
      </c>
      <c r="S9684" t="str">
        <f>VLOOKUP(record[[#This Row],[employeeID]],員工[],2,FALSE)</f>
        <v>謝素卿</v>
      </c>
    </row>
    <row r="9685" spans="6:19" hidden="1" x14ac:dyDescent="0.25">
      <c r="F9685" t="s">
        <v>772</v>
      </c>
      <c r="G9685" t="s">
        <v>400</v>
      </c>
      <c r="H9685" t="str">
        <f>VLOOKUP(record[[#This Row],[ProcessSN]],表格2_7[],2,FALSE)</f>
        <v>30-4118-018-550</v>
      </c>
      <c r="I9685" t="str">
        <f>VLOOKUP(record[[#This Row],[ProcessSN]],表格2_7[],3,FALSE)</f>
        <v>#100</v>
      </c>
      <c r="J9685" t="s">
        <v>598</v>
      </c>
      <c r="K9685" s="195">
        <v>45792.368576388886</v>
      </c>
      <c r="L9685">
        <v>23</v>
      </c>
      <c r="M9685">
        <v>0</v>
      </c>
      <c r="N9685" s="98" t="str">
        <f>IF(record[[#This Row],[Memo]]="Browser:chrome os:android","平板報工",IF(record[[#This Row],[Memo]]=0,"委外",record[[#This Row],[Memo]]))</f>
        <v/>
      </c>
      <c r="O9685" t="s">
        <v>58</v>
      </c>
      <c r="P9685" t="s">
        <v>141</v>
      </c>
      <c r="Q9685" t="s">
        <v>58</v>
      </c>
      <c r="R9685" t="str">
        <f>IFERROR(VLOOKUP(record[[#This Row],[PCUSTID]],廠商[],2,FALSE),"")</f>
        <v/>
      </c>
      <c r="S9685" t="str">
        <f>VLOOKUP(record[[#This Row],[employeeID]],員工[],2,FALSE)</f>
        <v>蔣梅</v>
      </c>
    </row>
    <row r="9686" spans="6:19" hidden="1" x14ac:dyDescent="0.25">
      <c r="F9686" t="s">
        <v>772</v>
      </c>
      <c r="G9686" t="s">
        <v>399</v>
      </c>
      <c r="H9686" t="str">
        <f>VLOOKUP(record[[#This Row],[ProcessSN]],表格2_7[],2,FALSE)</f>
        <v>30-4118-018-550</v>
      </c>
      <c r="I9686" t="str">
        <f>VLOOKUP(record[[#This Row],[ProcessSN]],表格2_7[],3,FALSE)</f>
        <v>#08IQC</v>
      </c>
      <c r="J9686" t="s">
        <v>583</v>
      </c>
      <c r="K9686" s="195">
        <v>45792.368379629632</v>
      </c>
      <c r="L9686">
        <v>23</v>
      </c>
      <c r="M9686">
        <v>0</v>
      </c>
      <c r="N9686" s="98" t="str">
        <f>IF(record[[#This Row],[Memo]]="Browser:chrome os:android","平板報工",IF(record[[#This Row],[Memo]]=0,"委外",record[[#This Row],[Memo]]))</f>
        <v>覆回品</v>
      </c>
      <c r="O9686" t="s">
        <v>664</v>
      </c>
      <c r="P9686" t="s">
        <v>141</v>
      </c>
      <c r="Q9686" t="s">
        <v>58</v>
      </c>
      <c r="R9686" t="str">
        <f>IFERROR(VLOOKUP(record[[#This Row],[PCUSTID]],廠商[],2,FALSE),"")</f>
        <v/>
      </c>
      <c r="S9686" t="str">
        <f>VLOOKUP(record[[#This Row],[employeeID]],員工[],2,FALSE)</f>
        <v>蔣梅</v>
      </c>
    </row>
    <row r="9687" spans="6:19" hidden="1" x14ac:dyDescent="0.25">
      <c r="F9687" t="s">
        <v>783</v>
      </c>
      <c r="G9687" t="s">
        <v>400</v>
      </c>
      <c r="H9687" t="str">
        <f>VLOOKUP(record[[#This Row],[ProcessSN]],表格2_7[],2,FALSE)</f>
        <v>30-4118-018-550</v>
      </c>
      <c r="I9687" t="str">
        <f>VLOOKUP(record[[#This Row],[ProcessSN]],表格2_7[],3,FALSE)</f>
        <v>#100</v>
      </c>
      <c r="J9687" t="s">
        <v>598</v>
      </c>
      <c r="K9687" s="195">
        <v>45792.367488425924</v>
      </c>
      <c r="L9687">
        <v>0</v>
      </c>
      <c r="M9687">
        <v>1</v>
      </c>
      <c r="N9687" s="98" t="str">
        <f>IF(record[[#This Row],[Memo]]="Browser:chrome os:android","平板報工",IF(record[[#This Row],[Memo]]=0,"委外",record[[#This Row],[Memo]]))</f>
        <v/>
      </c>
      <c r="O9687" t="s">
        <v>58</v>
      </c>
      <c r="P9687" t="s">
        <v>141</v>
      </c>
      <c r="Q9687" t="s">
        <v>58</v>
      </c>
      <c r="R9687" t="str">
        <f>IFERROR(VLOOKUP(record[[#This Row],[PCUSTID]],廠商[],2,FALSE),"")</f>
        <v/>
      </c>
      <c r="S9687" t="str">
        <f>VLOOKUP(record[[#This Row],[employeeID]],員工[],2,FALSE)</f>
        <v>蔣梅</v>
      </c>
    </row>
    <row r="9688" spans="6:19" hidden="1" x14ac:dyDescent="0.25">
      <c r="F9688" t="s">
        <v>783</v>
      </c>
      <c r="G9688" t="s">
        <v>400</v>
      </c>
      <c r="H9688" t="str">
        <f>VLOOKUP(record[[#This Row],[ProcessSN]],表格2_7[],2,FALSE)</f>
        <v>30-4118-018-550</v>
      </c>
      <c r="I9688" t="str">
        <f>VLOOKUP(record[[#This Row],[ProcessSN]],表格2_7[],3,FALSE)</f>
        <v>#100</v>
      </c>
      <c r="J9688" t="s">
        <v>598</v>
      </c>
      <c r="K9688" s="195">
        <v>45792.367395833331</v>
      </c>
      <c r="L9688">
        <v>19</v>
      </c>
      <c r="M9688">
        <v>0</v>
      </c>
      <c r="N9688" s="98" t="str">
        <f>IF(record[[#This Row],[Memo]]="Browser:chrome os:android","平板報工",IF(record[[#This Row],[Memo]]=0,"委外",record[[#This Row],[Memo]]))</f>
        <v/>
      </c>
      <c r="O9688" t="s">
        <v>58</v>
      </c>
      <c r="P9688" t="s">
        <v>141</v>
      </c>
      <c r="Q9688" t="s">
        <v>58</v>
      </c>
      <c r="R9688" t="str">
        <f>IFERROR(VLOOKUP(record[[#This Row],[PCUSTID]],廠商[],2,FALSE),"")</f>
        <v/>
      </c>
      <c r="S9688" t="str">
        <f>VLOOKUP(record[[#This Row],[employeeID]],員工[],2,FALSE)</f>
        <v>蔣梅</v>
      </c>
    </row>
    <row r="9689" spans="6:19" hidden="1" x14ac:dyDescent="0.25">
      <c r="F9689" t="s">
        <v>775</v>
      </c>
      <c r="G9689" t="s">
        <v>400</v>
      </c>
      <c r="H9689" t="str">
        <f>VLOOKUP(record[[#This Row],[ProcessSN]],表格2_7[],2,FALSE)</f>
        <v>30-4118-018-550</v>
      </c>
      <c r="I9689" t="str">
        <f>VLOOKUP(record[[#This Row],[ProcessSN]],表格2_7[],3,FALSE)</f>
        <v>#100</v>
      </c>
      <c r="J9689" t="s">
        <v>598</v>
      </c>
      <c r="K9689" s="195">
        <v>45792.3671875</v>
      </c>
      <c r="L9689">
        <v>7</v>
      </c>
      <c r="M9689">
        <v>0</v>
      </c>
      <c r="N9689" s="98" t="str">
        <f>IF(record[[#This Row],[Memo]]="Browser:chrome os:android","平板報工",IF(record[[#This Row],[Memo]]=0,"委外",record[[#This Row],[Memo]]))</f>
        <v/>
      </c>
      <c r="O9689" t="s">
        <v>58</v>
      </c>
      <c r="P9689" t="s">
        <v>141</v>
      </c>
      <c r="Q9689" t="s">
        <v>58</v>
      </c>
      <c r="R9689" t="str">
        <f>IFERROR(VLOOKUP(record[[#This Row],[PCUSTID]],廠商[],2,FALSE),"")</f>
        <v/>
      </c>
      <c r="S9689" t="str">
        <f>VLOOKUP(record[[#This Row],[employeeID]],員工[],2,FALSE)</f>
        <v>蔣梅</v>
      </c>
    </row>
    <row r="9690" spans="6:19" hidden="1" x14ac:dyDescent="0.25">
      <c r="F9690" t="s">
        <v>768</v>
      </c>
      <c r="G9690" t="s">
        <v>400</v>
      </c>
      <c r="H9690" t="str">
        <f>VLOOKUP(record[[#This Row],[ProcessSN]],表格2_7[],2,FALSE)</f>
        <v>30-4118-018-550</v>
      </c>
      <c r="I9690" t="str">
        <f>VLOOKUP(record[[#This Row],[ProcessSN]],表格2_7[],3,FALSE)</f>
        <v>#100</v>
      </c>
      <c r="J9690" t="s">
        <v>598</v>
      </c>
      <c r="K9690" s="195">
        <v>45792.366898148146</v>
      </c>
      <c r="L9690">
        <v>13</v>
      </c>
      <c r="M9690">
        <v>0</v>
      </c>
      <c r="N9690" s="98" t="str">
        <f>IF(record[[#This Row],[Memo]]="Browser:chrome os:android","平板報工",IF(record[[#This Row],[Memo]]=0,"委外",record[[#This Row],[Memo]]))</f>
        <v/>
      </c>
      <c r="O9690" t="s">
        <v>58</v>
      </c>
      <c r="P9690" t="s">
        <v>141</v>
      </c>
      <c r="Q9690" t="s">
        <v>58</v>
      </c>
      <c r="R9690" t="str">
        <f>IFERROR(VLOOKUP(record[[#This Row],[PCUSTID]],廠商[],2,FALSE),"")</f>
        <v/>
      </c>
      <c r="S9690" t="str">
        <f>VLOOKUP(record[[#This Row],[employeeID]],員工[],2,FALSE)</f>
        <v>蔣梅</v>
      </c>
    </row>
    <row r="9691" spans="6:19" hidden="1" x14ac:dyDescent="0.25">
      <c r="F9691" t="s">
        <v>778</v>
      </c>
      <c r="G9691" t="s">
        <v>417</v>
      </c>
      <c r="H9691" t="str">
        <f>VLOOKUP(record[[#This Row],[ProcessSN]],表格2_7[],2,FALSE)</f>
        <v>30-4118-018-5XX</v>
      </c>
      <c r="I9691" t="str">
        <f>VLOOKUP(record[[#This Row],[ProcessSN]],表格2_7[],3,FALSE)</f>
        <v>#06</v>
      </c>
      <c r="J9691" t="s">
        <v>593</v>
      </c>
      <c r="K9691" s="195">
        <v>45792.3121875</v>
      </c>
      <c r="L9691">
        <v>90</v>
      </c>
      <c r="M9691">
        <v>0</v>
      </c>
      <c r="N9691" s="98" t="str">
        <f>IF(record[[#This Row],[Memo]]="Browser:chrome os:android","平板報工",IF(record[[#This Row],[Memo]]=0,"委外",record[[#This Row],[Memo]]))</f>
        <v/>
      </c>
      <c r="O9691" t="s">
        <v>58</v>
      </c>
      <c r="P9691" t="s">
        <v>135</v>
      </c>
      <c r="Q9691" t="s">
        <v>58</v>
      </c>
      <c r="R9691" t="str">
        <f>IFERROR(VLOOKUP(record[[#This Row],[PCUSTID]],廠商[],2,FALSE),"")</f>
        <v/>
      </c>
      <c r="S9691" t="str">
        <f>VLOOKUP(record[[#This Row],[employeeID]],員工[],2,FALSE)</f>
        <v>阮士文</v>
      </c>
    </row>
    <row r="9692" spans="6:19" hidden="1" x14ac:dyDescent="0.25">
      <c r="F9692" t="s">
        <v>778</v>
      </c>
      <c r="G9692" t="s">
        <v>417</v>
      </c>
      <c r="H9692" t="str">
        <f>VLOOKUP(record[[#This Row],[ProcessSN]],表格2_7[],2,FALSE)</f>
        <v>30-4118-018-5XX</v>
      </c>
      <c r="I9692" t="str">
        <f>VLOOKUP(record[[#This Row],[ProcessSN]],表格2_7[],3,FALSE)</f>
        <v>#06</v>
      </c>
      <c r="J9692" t="s">
        <v>593</v>
      </c>
      <c r="K9692" s="195">
        <v>45791.94939814815</v>
      </c>
      <c r="L9692">
        <v>121</v>
      </c>
      <c r="M9692">
        <v>0</v>
      </c>
      <c r="N9692" s="98" t="str">
        <f>IF(record[[#This Row],[Memo]]="Browser:chrome os:android","平板報工",IF(record[[#This Row],[Memo]]=0,"委外",record[[#This Row],[Memo]]))</f>
        <v/>
      </c>
      <c r="O9692" t="s">
        <v>58</v>
      </c>
      <c r="P9692" t="s">
        <v>763</v>
      </c>
      <c r="Q9692" t="s">
        <v>58</v>
      </c>
      <c r="R9692" t="str">
        <f>IFERROR(VLOOKUP(record[[#This Row],[PCUSTID]],廠商[],2,FALSE),"")</f>
        <v/>
      </c>
      <c r="S9692" t="str">
        <f>VLOOKUP(record[[#This Row],[employeeID]],員工[],2,FALSE)</f>
        <v>江嘉倫</v>
      </c>
    </row>
    <row r="9693" spans="6:19" hidden="1" x14ac:dyDescent="0.25">
      <c r="F9693" t="s">
        <v>778</v>
      </c>
      <c r="G9693" t="s">
        <v>416</v>
      </c>
      <c r="H9693" t="str">
        <f>VLOOKUP(record[[#This Row],[ProcessSN]],表格2_7[],2,FALSE)</f>
        <v>30-4118-018-5XX</v>
      </c>
      <c r="I9693" t="str">
        <f>VLOOKUP(record[[#This Row],[ProcessSN]],表格2_7[],3,FALSE)</f>
        <v>#05</v>
      </c>
      <c r="J9693" t="s">
        <v>588</v>
      </c>
      <c r="K9693" s="195">
        <v>45791.944467592592</v>
      </c>
      <c r="L9693">
        <v>272</v>
      </c>
      <c r="M9693">
        <v>0</v>
      </c>
      <c r="N9693" s="98" t="str">
        <f>IF(record[[#This Row],[Memo]]="Browser:chrome os:android","平板報工",IF(record[[#This Row],[Memo]]=0,"委外",record[[#This Row],[Memo]]))</f>
        <v/>
      </c>
      <c r="O9693" t="s">
        <v>58</v>
      </c>
      <c r="P9693" t="s">
        <v>89</v>
      </c>
      <c r="Q9693" t="s">
        <v>58</v>
      </c>
      <c r="R9693" t="str">
        <f>IFERROR(VLOOKUP(record[[#This Row],[PCUSTID]],廠商[],2,FALSE),"")</f>
        <v/>
      </c>
      <c r="S9693" t="str">
        <f>VLOOKUP(record[[#This Row],[employeeID]],員工[],2,FALSE)</f>
        <v>李美蓮</v>
      </c>
    </row>
    <row r="9694" spans="6:19" hidden="1" x14ac:dyDescent="0.25">
      <c r="F9694" t="s">
        <v>778</v>
      </c>
      <c r="G9694" t="s">
        <v>417</v>
      </c>
      <c r="H9694" t="str">
        <f>VLOOKUP(record[[#This Row],[ProcessSN]],表格2_7[],2,FALSE)</f>
        <v>30-4118-018-5XX</v>
      </c>
      <c r="I9694" t="str">
        <f>VLOOKUP(record[[#This Row],[ProcessSN]],表格2_7[],3,FALSE)</f>
        <v>#06</v>
      </c>
      <c r="J9694" t="s">
        <v>593</v>
      </c>
      <c r="K9694" s="195">
        <v>45791.661168981482</v>
      </c>
      <c r="L9694">
        <v>110</v>
      </c>
      <c r="M9694">
        <v>0</v>
      </c>
      <c r="N9694" s="98" t="str">
        <f>IF(record[[#This Row],[Memo]]="Browser:chrome os:android","平板報工",IF(record[[#This Row],[Memo]]=0,"委外",record[[#This Row],[Memo]]))</f>
        <v/>
      </c>
      <c r="O9694" t="s">
        <v>58</v>
      </c>
      <c r="P9694" t="s">
        <v>101</v>
      </c>
      <c r="Q9694" t="s">
        <v>58</v>
      </c>
      <c r="R9694" t="str">
        <f>IFERROR(VLOOKUP(record[[#This Row],[PCUSTID]],廠商[],2,FALSE),"")</f>
        <v/>
      </c>
      <c r="S9694" t="str">
        <f>VLOOKUP(record[[#This Row],[employeeID]],員工[],2,FALSE)</f>
        <v>陳氏絨</v>
      </c>
    </row>
    <row r="9695" spans="6:19" hidden="1" x14ac:dyDescent="0.25">
      <c r="F9695" t="s">
        <v>778</v>
      </c>
      <c r="G9695" t="s">
        <v>416</v>
      </c>
      <c r="H9695" t="str">
        <f>VLOOKUP(record[[#This Row],[ProcessSN]],表格2_7[],2,FALSE)</f>
        <v>30-4118-018-5XX</v>
      </c>
      <c r="I9695" t="str">
        <f>VLOOKUP(record[[#This Row],[ProcessSN]],表格2_7[],3,FALSE)</f>
        <v>#05</v>
      </c>
      <c r="J9695" t="s">
        <v>588</v>
      </c>
      <c r="K9695" s="195">
        <v>45791.649629629632</v>
      </c>
      <c r="L9695">
        <v>284</v>
      </c>
      <c r="M9695">
        <v>0</v>
      </c>
      <c r="N9695" s="98" t="str">
        <f>IF(record[[#This Row],[Memo]]="Browser:chrome os:android","平板報工",IF(record[[#This Row],[Memo]]=0,"委外",record[[#This Row],[Memo]]))</f>
        <v/>
      </c>
      <c r="O9695" t="s">
        <v>58</v>
      </c>
      <c r="P9695" t="s">
        <v>101</v>
      </c>
      <c r="Q9695" t="s">
        <v>58</v>
      </c>
      <c r="R9695" t="str">
        <f>IFERROR(VLOOKUP(record[[#This Row],[PCUSTID]],廠商[],2,FALSE),"")</f>
        <v/>
      </c>
      <c r="S9695" t="str">
        <f>VLOOKUP(record[[#This Row],[employeeID]],員工[],2,FALSE)</f>
        <v>陳氏絨</v>
      </c>
    </row>
    <row r="9696" spans="6:19" hidden="1" x14ac:dyDescent="0.25">
      <c r="F9696" t="s">
        <v>784</v>
      </c>
      <c r="G9696" t="s">
        <v>403</v>
      </c>
      <c r="H9696" t="str">
        <f>VLOOKUP(record[[#This Row],[ProcessSN]],表格2_7[],2,FALSE)</f>
        <v>30-4118-018-550</v>
      </c>
      <c r="I9696" t="str">
        <f>VLOOKUP(record[[#This Row],[ProcessSN]],表格2_7[],3,FALSE)</f>
        <v>#100SHIP</v>
      </c>
      <c r="J9696" t="s">
        <v>600</v>
      </c>
      <c r="K9696" s="195">
        <v>45791.375405092593</v>
      </c>
      <c r="L9696">
        <v>24</v>
      </c>
      <c r="M9696">
        <v>0</v>
      </c>
      <c r="N9696" s="98" t="str">
        <f>IF(record[[#This Row],[Memo]]="Browser:chrome os:android","平板報工",IF(record[[#This Row],[Memo]]=0,"委外",record[[#This Row],[Memo]]))</f>
        <v/>
      </c>
      <c r="O9696" t="s">
        <v>58</v>
      </c>
      <c r="P9696" t="s">
        <v>196</v>
      </c>
      <c r="Q9696" t="s">
        <v>58</v>
      </c>
      <c r="R9696" t="str">
        <f>IFERROR(VLOOKUP(record[[#This Row],[PCUSTID]],廠商[],2,FALSE),"")</f>
        <v/>
      </c>
      <c r="S9696" t="str">
        <f>VLOOKUP(record[[#This Row],[employeeID]],員工[],2,FALSE)</f>
        <v>張淑惠</v>
      </c>
    </row>
    <row r="9697" spans="6:19" hidden="1" x14ac:dyDescent="0.25">
      <c r="F9697" t="s">
        <v>678</v>
      </c>
      <c r="G9697" t="s">
        <v>362</v>
      </c>
      <c r="H9697" t="str">
        <f>VLOOKUP(record[[#This Row],[ProcessSN]],表格2_7[],2,FALSE)</f>
        <v>30-4118-018-450</v>
      </c>
      <c r="I9697" t="str">
        <f>VLOOKUP(record[[#This Row],[ProcessSN]],表格2_7[],3,FALSE)</f>
        <v>#100SHIP</v>
      </c>
      <c r="J9697" t="s">
        <v>600</v>
      </c>
      <c r="K9697" s="195">
        <v>45791.375162037039</v>
      </c>
      <c r="L9697">
        <v>3</v>
      </c>
      <c r="M9697">
        <v>0</v>
      </c>
      <c r="N9697" s="98" t="str">
        <f>IF(record[[#This Row],[Memo]]="Browser:chrome os:android","平板報工",IF(record[[#This Row],[Memo]]=0,"委外",record[[#This Row],[Memo]]))</f>
        <v/>
      </c>
      <c r="O9697" t="s">
        <v>58</v>
      </c>
      <c r="P9697" t="s">
        <v>196</v>
      </c>
      <c r="Q9697" t="s">
        <v>58</v>
      </c>
      <c r="R9697" t="str">
        <f>IFERROR(VLOOKUP(record[[#This Row],[PCUSTID]],廠商[],2,FALSE),"")</f>
        <v/>
      </c>
      <c r="S9697" t="str">
        <f>VLOOKUP(record[[#This Row],[employeeID]],員工[],2,FALSE)</f>
        <v>張淑惠</v>
      </c>
    </row>
    <row r="9698" spans="6:19" hidden="1" x14ac:dyDescent="0.25">
      <c r="F9698" t="s">
        <v>778</v>
      </c>
      <c r="G9698" t="s">
        <v>417</v>
      </c>
      <c r="H9698" t="str">
        <f>VLOOKUP(record[[#This Row],[ProcessSN]],表格2_7[],2,FALSE)</f>
        <v>30-4118-018-5XX</v>
      </c>
      <c r="I9698" t="str">
        <f>VLOOKUP(record[[#This Row],[ProcessSN]],表格2_7[],3,FALSE)</f>
        <v>#06</v>
      </c>
      <c r="J9698" t="s">
        <v>593</v>
      </c>
      <c r="K9698" s="195">
        <v>45791.311400462961</v>
      </c>
      <c r="L9698">
        <v>121</v>
      </c>
      <c r="M9698">
        <v>0</v>
      </c>
      <c r="N9698" s="98" t="str">
        <f>IF(record[[#This Row],[Memo]]="Browser:chrome os:android","平板報工",IF(record[[#This Row],[Memo]]=0,"委外",record[[#This Row],[Memo]]))</f>
        <v/>
      </c>
      <c r="O9698" t="s">
        <v>58</v>
      </c>
      <c r="P9698" t="s">
        <v>135</v>
      </c>
      <c r="Q9698" t="s">
        <v>58</v>
      </c>
      <c r="R9698" t="str">
        <f>IFERROR(VLOOKUP(record[[#This Row],[PCUSTID]],廠商[],2,FALSE),"")</f>
        <v/>
      </c>
      <c r="S9698" t="str">
        <f>VLOOKUP(record[[#This Row],[employeeID]],員工[],2,FALSE)</f>
        <v>阮士文</v>
      </c>
    </row>
    <row r="9699" spans="6:19" hidden="1" x14ac:dyDescent="0.25">
      <c r="F9699" t="s">
        <v>778</v>
      </c>
      <c r="G9699" t="s">
        <v>417</v>
      </c>
      <c r="H9699" t="str">
        <f>VLOOKUP(record[[#This Row],[ProcessSN]],表格2_7[],2,FALSE)</f>
        <v>30-4118-018-5XX</v>
      </c>
      <c r="I9699" t="str">
        <f>VLOOKUP(record[[#This Row],[ProcessSN]],表格2_7[],3,FALSE)</f>
        <v>#06</v>
      </c>
      <c r="J9699" t="s">
        <v>593</v>
      </c>
      <c r="K9699" s="195">
        <v>45790.971192129633</v>
      </c>
      <c r="L9699">
        <v>118</v>
      </c>
      <c r="M9699">
        <v>3</v>
      </c>
      <c r="N9699" s="98" t="str">
        <f>IF(record[[#This Row],[Memo]]="Browser:chrome os:android","平板報工",IF(record[[#This Row],[Memo]]=0,"委外",record[[#This Row],[Memo]]))</f>
        <v/>
      </c>
      <c r="O9699" t="s">
        <v>58</v>
      </c>
      <c r="P9699" t="s">
        <v>166</v>
      </c>
      <c r="Q9699" t="s">
        <v>58</v>
      </c>
      <c r="R9699" t="str">
        <f>IFERROR(VLOOKUP(record[[#This Row],[PCUSTID]],廠商[],2,FALSE),"")</f>
        <v/>
      </c>
      <c r="S9699" t="str">
        <f>VLOOKUP(record[[#This Row],[employeeID]],員工[],2,FALSE)</f>
        <v>阮懷香</v>
      </c>
    </row>
    <row r="9700" spans="6:19" hidden="1" x14ac:dyDescent="0.25">
      <c r="F9700" t="s">
        <v>778</v>
      </c>
      <c r="G9700" t="s">
        <v>417</v>
      </c>
      <c r="H9700" t="str">
        <f>VLOOKUP(record[[#This Row],[ProcessSN]],表格2_7[],2,FALSE)</f>
        <v>30-4118-018-5XX</v>
      </c>
      <c r="I9700" t="str">
        <f>VLOOKUP(record[[#This Row],[ProcessSN]],表格2_7[],3,FALSE)</f>
        <v>#06</v>
      </c>
      <c r="J9700" t="s">
        <v>593</v>
      </c>
      <c r="K9700" s="195">
        <v>45790.655173611114</v>
      </c>
      <c r="L9700">
        <v>110</v>
      </c>
      <c r="M9700">
        <v>0</v>
      </c>
      <c r="N9700" s="98" t="str">
        <f>IF(record[[#This Row],[Memo]]="Browser:chrome os:android","平板報工",IF(record[[#This Row],[Memo]]=0,"委外",record[[#This Row],[Memo]]))</f>
        <v/>
      </c>
      <c r="O9700" t="s">
        <v>58</v>
      </c>
      <c r="P9700" t="s">
        <v>119</v>
      </c>
      <c r="Q9700" t="s">
        <v>58</v>
      </c>
      <c r="R9700" t="str">
        <f>IFERROR(VLOOKUP(record[[#This Row],[PCUSTID]],廠商[],2,FALSE),"")</f>
        <v/>
      </c>
      <c r="S9700" t="str">
        <f>VLOOKUP(record[[#This Row],[employeeID]],員工[],2,FALSE)</f>
        <v>廖俊彥</v>
      </c>
    </row>
    <row r="9701" spans="6:19" hidden="1" x14ac:dyDescent="0.25">
      <c r="F9701" t="s">
        <v>778</v>
      </c>
      <c r="G9701" t="s">
        <v>416</v>
      </c>
      <c r="H9701" t="str">
        <f>VLOOKUP(record[[#This Row],[ProcessSN]],表格2_7[],2,FALSE)</f>
        <v>30-4118-018-5XX</v>
      </c>
      <c r="I9701" t="str">
        <f>VLOOKUP(record[[#This Row],[ProcessSN]],表格2_7[],3,FALSE)</f>
        <v>#05</v>
      </c>
      <c r="J9701" t="s">
        <v>588</v>
      </c>
      <c r="K9701" s="195">
        <v>45790.650555555556</v>
      </c>
      <c r="L9701">
        <v>260</v>
      </c>
      <c r="M9701">
        <v>0</v>
      </c>
      <c r="N9701" s="98" t="str">
        <f>IF(record[[#This Row],[Memo]]="Browser:chrome os:android","平板報工",IF(record[[#This Row],[Memo]]=0,"委外",record[[#This Row],[Memo]]))</f>
        <v/>
      </c>
      <c r="O9701" t="s">
        <v>58</v>
      </c>
      <c r="P9701" t="s">
        <v>119</v>
      </c>
      <c r="Q9701" t="s">
        <v>58</v>
      </c>
      <c r="R9701" t="str">
        <f>IFERROR(VLOOKUP(record[[#This Row],[PCUSTID]],廠商[],2,FALSE),"")</f>
        <v/>
      </c>
      <c r="S9701" t="str">
        <f>VLOOKUP(record[[#This Row],[employeeID]],員工[],2,FALSE)</f>
        <v>廖俊彥</v>
      </c>
    </row>
    <row r="9702" spans="6:19" hidden="1" x14ac:dyDescent="0.25">
      <c r="F9702" t="s">
        <v>778</v>
      </c>
      <c r="G9702" t="s">
        <v>417</v>
      </c>
      <c r="H9702" t="str">
        <f>VLOOKUP(record[[#This Row],[ProcessSN]],表格2_7[],2,FALSE)</f>
        <v>30-4118-018-5XX</v>
      </c>
      <c r="I9702" t="str">
        <f>VLOOKUP(record[[#This Row],[ProcessSN]],表格2_7[],3,FALSE)</f>
        <v>#06</v>
      </c>
      <c r="J9702" t="s">
        <v>593</v>
      </c>
      <c r="K9702" s="195">
        <v>45790.312696759262</v>
      </c>
      <c r="L9702">
        <v>121</v>
      </c>
      <c r="M9702">
        <v>2</v>
      </c>
      <c r="N9702" s="98" t="str">
        <f>IF(record[[#This Row],[Memo]]="Browser:chrome os:android","平板報工",IF(record[[#This Row],[Memo]]=0,"委外",record[[#This Row],[Memo]]))</f>
        <v/>
      </c>
      <c r="O9702" t="s">
        <v>58</v>
      </c>
      <c r="P9702" t="s">
        <v>135</v>
      </c>
      <c r="Q9702" t="s">
        <v>58</v>
      </c>
      <c r="R9702" t="str">
        <f>IFERROR(VLOOKUP(record[[#This Row],[PCUSTID]],廠商[],2,FALSE),"")</f>
        <v/>
      </c>
      <c r="S9702" t="str">
        <f>VLOOKUP(record[[#This Row],[employeeID]],員工[],2,FALSE)</f>
        <v>阮士文</v>
      </c>
    </row>
    <row r="9703" spans="6:19" hidden="1" x14ac:dyDescent="0.25">
      <c r="F9703" t="s">
        <v>778</v>
      </c>
      <c r="G9703" t="s">
        <v>417</v>
      </c>
      <c r="H9703" t="str">
        <f>VLOOKUP(record[[#This Row],[ProcessSN]],表格2_7[],2,FALSE)</f>
        <v>30-4118-018-5XX</v>
      </c>
      <c r="I9703" t="str">
        <f>VLOOKUP(record[[#This Row],[ProcessSN]],表格2_7[],3,FALSE)</f>
        <v>#06</v>
      </c>
      <c r="J9703" t="s">
        <v>593</v>
      </c>
      <c r="K9703" s="195">
        <v>45789.959814814814</v>
      </c>
      <c r="L9703">
        <v>115</v>
      </c>
      <c r="M9703">
        <v>0</v>
      </c>
      <c r="N9703" s="98" t="str">
        <f>IF(record[[#This Row],[Memo]]="Browser:chrome os:android","平板報工",IF(record[[#This Row],[Memo]]=0,"委外",record[[#This Row],[Memo]]))</f>
        <v/>
      </c>
      <c r="O9703" t="s">
        <v>58</v>
      </c>
      <c r="P9703" t="s">
        <v>166</v>
      </c>
      <c r="Q9703" t="s">
        <v>58</v>
      </c>
      <c r="R9703" t="str">
        <f>IFERROR(VLOOKUP(record[[#This Row],[PCUSTID]],廠商[],2,FALSE),"")</f>
        <v/>
      </c>
      <c r="S9703" t="str">
        <f>VLOOKUP(record[[#This Row],[employeeID]],員工[],2,FALSE)</f>
        <v>阮懷香</v>
      </c>
    </row>
    <row r="9704" spans="6:19" hidden="1" x14ac:dyDescent="0.25">
      <c r="F9704" t="s">
        <v>778</v>
      </c>
      <c r="G9704" t="s">
        <v>416</v>
      </c>
      <c r="H9704" t="str">
        <f>VLOOKUP(record[[#This Row],[ProcessSN]],表格2_7[],2,FALSE)</f>
        <v>30-4118-018-5XX</v>
      </c>
      <c r="I9704" t="str">
        <f>VLOOKUP(record[[#This Row],[ProcessSN]],表格2_7[],3,FALSE)</f>
        <v>#05</v>
      </c>
      <c r="J9704" t="s">
        <v>588</v>
      </c>
      <c r="K9704" s="195">
        <v>45789.95685185185</v>
      </c>
      <c r="L9704">
        <v>229</v>
      </c>
      <c r="M9704">
        <v>0</v>
      </c>
      <c r="N9704" s="98" t="str">
        <f>IF(record[[#This Row],[Memo]]="Browser:chrome os:android","平板報工",IF(record[[#This Row],[Memo]]=0,"委外",record[[#This Row],[Memo]]))</f>
        <v/>
      </c>
      <c r="O9704" t="s">
        <v>58</v>
      </c>
      <c r="P9704" t="s">
        <v>89</v>
      </c>
      <c r="Q9704" t="s">
        <v>58</v>
      </c>
      <c r="R9704" t="str">
        <f>IFERROR(VLOOKUP(record[[#This Row],[PCUSTID]],廠商[],2,FALSE),"")</f>
        <v/>
      </c>
      <c r="S9704" t="str">
        <f>VLOOKUP(record[[#This Row],[employeeID]],員工[],2,FALSE)</f>
        <v>李美蓮</v>
      </c>
    </row>
    <row r="9705" spans="6:19" hidden="1" x14ac:dyDescent="0.25">
      <c r="F9705" t="s">
        <v>778</v>
      </c>
      <c r="G9705" t="s">
        <v>417</v>
      </c>
      <c r="H9705" t="str">
        <f>VLOOKUP(record[[#This Row],[ProcessSN]],表格2_7[],2,FALSE)</f>
        <v>30-4118-018-5XX</v>
      </c>
      <c r="I9705" t="str">
        <f>VLOOKUP(record[[#This Row],[ProcessSN]],表格2_7[],3,FALSE)</f>
        <v>#06</v>
      </c>
      <c r="J9705" t="s">
        <v>593</v>
      </c>
      <c r="K9705" s="195">
        <v>45789.640219907407</v>
      </c>
      <c r="L9705">
        <v>109</v>
      </c>
      <c r="M9705">
        <v>0</v>
      </c>
      <c r="N9705" s="98" t="str">
        <f>IF(record[[#This Row],[Memo]]="Browser:chrome os:android","平板報工",IF(record[[#This Row],[Memo]]=0,"委外",record[[#This Row],[Memo]]))</f>
        <v/>
      </c>
      <c r="O9705" t="s">
        <v>58</v>
      </c>
      <c r="P9705" t="s">
        <v>119</v>
      </c>
      <c r="Q9705" t="s">
        <v>58</v>
      </c>
      <c r="R9705" t="str">
        <f>IFERROR(VLOOKUP(record[[#This Row],[PCUSTID]],廠商[],2,FALSE),"")</f>
        <v/>
      </c>
      <c r="S9705" t="str">
        <f>VLOOKUP(record[[#This Row],[employeeID]],員工[],2,FALSE)</f>
        <v>廖俊彥</v>
      </c>
    </row>
    <row r="9706" spans="6:19" hidden="1" x14ac:dyDescent="0.25">
      <c r="F9706" t="s">
        <v>778</v>
      </c>
      <c r="G9706" t="s">
        <v>416</v>
      </c>
      <c r="H9706" t="str">
        <f>VLOOKUP(record[[#This Row],[ProcessSN]],表格2_7[],2,FALSE)</f>
        <v>30-4118-018-5XX</v>
      </c>
      <c r="I9706" t="str">
        <f>VLOOKUP(record[[#This Row],[ProcessSN]],表格2_7[],3,FALSE)</f>
        <v>#05</v>
      </c>
      <c r="J9706" t="s">
        <v>588</v>
      </c>
      <c r="K9706" s="195">
        <v>45789.636874999997</v>
      </c>
      <c r="L9706">
        <v>270</v>
      </c>
      <c r="M9706">
        <v>0</v>
      </c>
      <c r="N9706" s="98" t="str">
        <f>IF(record[[#This Row],[Memo]]="Browser:chrome os:android","平板報工",IF(record[[#This Row],[Memo]]=0,"委外",record[[#This Row],[Memo]]))</f>
        <v/>
      </c>
      <c r="O9706" t="s">
        <v>58</v>
      </c>
      <c r="P9706" t="s">
        <v>119</v>
      </c>
      <c r="Q9706" t="s">
        <v>58</v>
      </c>
      <c r="R9706" t="str">
        <f>IFERROR(VLOOKUP(record[[#This Row],[PCUSTID]],廠商[],2,FALSE),"")</f>
        <v/>
      </c>
      <c r="S9706" t="str">
        <f>VLOOKUP(record[[#This Row],[employeeID]],員工[],2,FALSE)</f>
        <v>廖俊彥</v>
      </c>
    </row>
    <row r="9707" spans="6:19" hidden="1" x14ac:dyDescent="0.25">
      <c r="F9707" t="s">
        <v>739</v>
      </c>
      <c r="G9707" t="s">
        <v>428</v>
      </c>
      <c r="H9707" t="str">
        <f>VLOOKUP(record[[#This Row],[ProcessSN]],表格2_7[],2,FALSE)</f>
        <v>30-4118-018-600</v>
      </c>
      <c r="I9707" t="str">
        <f>VLOOKUP(record[[#This Row],[ProcessSN]],表格2_7[],3,FALSE)</f>
        <v>#100SHIP</v>
      </c>
      <c r="J9707" t="s">
        <v>600</v>
      </c>
      <c r="K9707" s="195">
        <v>45789.438576388886</v>
      </c>
      <c r="L9707">
        <v>197</v>
      </c>
      <c r="M9707">
        <v>0</v>
      </c>
      <c r="N9707" s="98" t="str">
        <f>IF(record[[#This Row],[Memo]]="Browser:chrome os:android","平板報工",IF(record[[#This Row],[Memo]]=0,"委外",record[[#This Row],[Memo]]))</f>
        <v/>
      </c>
      <c r="O9707" t="s">
        <v>58</v>
      </c>
      <c r="P9707" t="s">
        <v>196</v>
      </c>
      <c r="Q9707" t="s">
        <v>58</v>
      </c>
      <c r="R9707" t="str">
        <f>IFERROR(VLOOKUP(record[[#This Row],[PCUSTID]],廠商[],2,FALSE),"")</f>
        <v/>
      </c>
      <c r="S9707" t="str">
        <f>VLOOKUP(record[[#This Row],[employeeID]],員工[],2,FALSE)</f>
        <v>張淑惠</v>
      </c>
    </row>
    <row r="9708" spans="6:19" hidden="1" x14ac:dyDescent="0.25">
      <c r="F9708" t="s">
        <v>778</v>
      </c>
      <c r="G9708" t="s">
        <v>417</v>
      </c>
      <c r="H9708" t="str">
        <f>VLOOKUP(record[[#This Row],[ProcessSN]],表格2_7[],2,FALSE)</f>
        <v>30-4118-018-5XX</v>
      </c>
      <c r="I9708" t="str">
        <f>VLOOKUP(record[[#This Row],[ProcessSN]],表格2_7[],3,FALSE)</f>
        <v>#06</v>
      </c>
      <c r="J9708" t="s">
        <v>593</v>
      </c>
      <c r="K9708" s="195">
        <v>45787.315254629626</v>
      </c>
      <c r="L9708">
        <v>121</v>
      </c>
      <c r="M9708">
        <v>2</v>
      </c>
      <c r="N9708" s="98" t="str">
        <f>IF(record[[#This Row],[Memo]]="Browser:chrome os:android","平板報工",IF(record[[#This Row],[Memo]]=0,"委外",record[[#This Row],[Memo]]))</f>
        <v/>
      </c>
      <c r="O9708" t="s">
        <v>58</v>
      </c>
      <c r="P9708" t="s">
        <v>135</v>
      </c>
      <c r="Q9708" t="s">
        <v>58</v>
      </c>
      <c r="R9708" t="str">
        <f>IFERROR(VLOOKUP(record[[#This Row],[PCUSTID]],廠商[],2,FALSE),"")</f>
        <v/>
      </c>
      <c r="S9708" t="str">
        <f>VLOOKUP(record[[#This Row],[employeeID]],員工[],2,FALSE)</f>
        <v>阮士文</v>
      </c>
    </row>
    <row r="9709" spans="6:19" hidden="1" x14ac:dyDescent="0.25">
      <c r="F9709" t="s">
        <v>778</v>
      </c>
      <c r="G9709" t="s">
        <v>415</v>
      </c>
      <c r="H9709" t="str">
        <f>VLOOKUP(record[[#This Row],[ProcessSN]],表格2_7[],2,FALSE)</f>
        <v>30-4118-018-5XX</v>
      </c>
      <c r="I9709" t="str">
        <f>VLOOKUP(record[[#This Row],[ProcessSN]],表格2_7[],3,FALSE)</f>
        <v>#04</v>
      </c>
      <c r="J9709" t="s">
        <v>588</v>
      </c>
      <c r="K9709" s="195">
        <v>45787.314155092594</v>
      </c>
      <c r="L9709">
        <v>137</v>
      </c>
      <c r="M9709">
        <v>0</v>
      </c>
      <c r="N9709" s="98" t="str">
        <f>IF(record[[#This Row],[Memo]]="Browser:chrome os:android","平板報工",IF(record[[#This Row],[Memo]]=0,"委外",record[[#This Row],[Memo]]))</f>
        <v/>
      </c>
      <c r="O9709" t="s">
        <v>58</v>
      </c>
      <c r="P9709" t="s">
        <v>135</v>
      </c>
      <c r="Q9709" t="s">
        <v>58</v>
      </c>
      <c r="R9709" t="str">
        <f>IFERROR(VLOOKUP(record[[#This Row],[PCUSTID]],廠商[],2,FALSE),"")</f>
        <v/>
      </c>
      <c r="S9709" t="str">
        <f>VLOOKUP(record[[#This Row],[employeeID]],員工[],2,FALSE)</f>
        <v>阮士文</v>
      </c>
    </row>
    <row r="9710" spans="6:19" hidden="1" x14ac:dyDescent="0.25">
      <c r="F9710" t="s">
        <v>778</v>
      </c>
      <c r="G9710" t="s">
        <v>415</v>
      </c>
      <c r="H9710" t="str">
        <f>VLOOKUP(record[[#This Row],[ProcessSN]],表格2_7[],2,FALSE)</f>
        <v>30-4118-018-5XX</v>
      </c>
      <c r="I9710" t="str">
        <f>VLOOKUP(record[[#This Row],[ProcessSN]],表格2_7[],3,FALSE)</f>
        <v>#04</v>
      </c>
      <c r="J9710" t="s">
        <v>588</v>
      </c>
      <c r="K9710" s="195">
        <v>45786.967268518521</v>
      </c>
      <c r="L9710">
        <v>129</v>
      </c>
      <c r="M9710">
        <v>0</v>
      </c>
      <c r="N9710" s="98" t="str">
        <f>IF(record[[#This Row],[Memo]]="Browser:chrome os:android","平板報工",IF(record[[#This Row],[Memo]]=0,"委外",record[[#This Row],[Memo]]))</f>
        <v/>
      </c>
      <c r="O9710" t="s">
        <v>58</v>
      </c>
      <c r="P9710" t="s">
        <v>89</v>
      </c>
      <c r="Q9710" t="s">
        <v>58</v>
      </c>
      <c r="R9710" t="str">
        <f>IFERROR(VLOOKUP(record[[#This Row],[PCUSTID]],廠商[],2,FALSE),"")</f>
        <v/>
      </c>
      <c r="S9710" t="str">
        <f>VLOOKUP(record[[#This Row],[employeeID]],員工[],2,FALSE)</f>
        <v>李美蓮</v>
      </c>
    </row>
    <row r="9711" spans="6:19" hidden="1" x14ac:dyDescent="0.25">
      <c r="F9711" t="s">
        <v>778</v>
      </c>
      <c r="G9711" t="s">
        <v>417</v>
      </c>
      <c r="H9711" t="str">
        <f>VLOOKUP(record[[#This Row],[ProcessSN]],表格2_7[],2,FALSE)</f>
        <v>30-4118-018-5XX</v>
      </c>
      <c r="I9711" t="str">
        <f>VLOOKUP(record[[#This Row],[ProcessSN]],表格2_7[],3,FALSE)</f>
        <v>#06</v>
      </c>
      <c r="J9711" t="s">
        <v>593</v>
      </c>
      <c r="K9711" s="195">
        <v>45786.967164351852</v>
      </c>
      <c r="L9711">
        <v>121</v>
      </c>
      <c r="M9711">
        <v>0</v>
      </c>
      <c r="N9711" s="98" t="str">
        <f>IF(record[[#This Row],[Memo]]="Browser:chrome os:android","平板報工",IF(record[[#This Row],[Memo]]=0,"委外",record[[#This Row],[Memo]]))</f>
        <v/>
      </c>
      <c r="O9711" t="s">
        <v>58</v>
      </c>
      <c r="P9711" t="s">
        <v>166</v>
      </c>
      <c r="Q9711" t="s">
        <v>58</v>
      </c>
      <c r="R9711" t="str">
        <f>IFERROR(VLOOKUP(record[[#This Row],[PCUSTID]],廠商[],2,FALSE),"")</f>
        <v/>
      </c>
      <c r="S9711" t="str">
        <f>VLOOKUP(record[[#This Row],[employeeID]],員工[],2,FALSE)</f>
        <v>阮懷香</v>
      </c>
    </row>
    <row r="9712" spans="6:19" hidden="1" x14ac:dyDescent="0.25">
      <c r="F9712" t="s">
        <v>778</v>
      </c>
      <c r="G9712" t="s">
        <v>417</v>
      </c>
      <c r="H9712" t="str">
        <f>VLOOKUP(record[[#This Row],[ProcessSN]],表格2_7[],2,FALSE)</f>
        <v>30-4118-018-5XX</v>
      </c>
      <c r="I9712" t="str">
        <f>VLOOKUP(record[[#This Row],[ProcessSN]],表格2_7[],3,FALSE)</f>
        <v>#06</v>
      </c>
      <c r="J9712" t="s">
        <v>593</v>
      </c>
      <c r="K9712" s="195">
        <v>45786.679814814815</v>
      </c>
      <c r="L9712">
        <v>110</v>
      </c>
      <c r="M9712">
        <v>0</v>
      </c>
      <c r="N9712" s="98" t="str">
        <f>IF(record[[#This Row],[Memo]]="Browser:chrome os:android","平板報工",IF(record[[#This Row],[Memo]]=0,"委外",record[[#This Row],[Memo]]))</f>
        <v/>
      </c>
      <c r="O9712" t="s">
        <v>58</v>
      </c>
      <c r="P9712" t="s">
        <v>119</v>
      </c>
      <c r="Q9712" t="s">
        <v>58</v>
      </c>
      <c r="R9712" t="str">
        <f>IFERROR(VLOOKUP(record[[#This Row],[PCUSTID]],廠商[],2,FALSE),"")</f>
        <v/>
      </c>
      <c r="S9712" t="str">
        <f>VLOOKUP(record[[#This Row],[employeeID]],員工[],2,FALSE)</f>
        <v>廖俊彥</v>
      </c>
    </row>
    <row r="9713" spans="6:19" hidden="1" x14ac:dyDescent="0.25">
      <c r="F9713" t="s">
        <v>778</v>
      </c>
      <c r="G9713" t="s">
        <v>415</v>
      </c>
      <c r="H9713" t="str">
        <f>VLOOKUP(record[[#This Row],[ProcessSN]],表格2_7[],2,FALSE)</f>
        <v>30-4118-018-5XX</v>
      </c>
      <c r="I9713" t="str">
        <f>VLOOKUP(record[[#This Row],[ProcessSN]],表格2_7[],3,FALSE)</f>
        <v>#04</v>
      </c>
      <c r="J9713" t="s">
        <v>588</v>
      </c>
      <c r="K9713" s="195">
        <v>45786.648587962962</v>
      </c>
      <c r="L9713">
        <v>134</v>
      </c>
      <c r="M9713">
        <v>0</v>
      </c>
      <c r="N9713" s="98" t="str">
        <f>IF(record[[#This Row],[Memo]]="Browser:chrome os:android","平板報工",IF(record[[#This Row],[Memo]]=0,"委外",record[[#This Row],[Memo]]))</f>
        <v/>
      </c>
      <c r="O9713" t="s">
        <v>58</v>
      </c>
      <c r="P9713" t="s">
        <v>119</v>
      </c>
      <c r="Q9713" t="s">
        <v>58</v>
      </c>
      <c r="R9713" t="str">
        <f>IFERROR(VLOOKUP(record[[#This Row],[PCUSTID]],廠商[],2,FALSE),"")</f>
        <v/>
      </c>
      <c r="S9713" t="str">
        <f>VLOOKUP(record[[#This Row],[employeeID]],員工[],2,FALSE)</f>
        <v>廖俊彥</v>
      </c>
    </row>
    <row r="9714" spans="6:19" hidden="1" x14ac:dyDescent="0.25">
      <c r="F9714" t="s">
        <v>778</v>
      </c>
      <c r="G9714" t="s">
        <v>416</v>
      </c>
      <c r="H9714" t="str">
        <f>VLOOKUP(record[[#This Row],[ProcessSN]],表格2_7[],2,FALSE)</f>
        <v>30-4118-018-5XX</v>
      </c>
      <c r="I9714" t="str">
        <f>VLOOKUP(record[[#This Row],[ProcessSN]],表格2_7[],3,FALSE)</f>
        <v>#05</v>
      </c>
      <c r="J9714" t="s">
        <v>588</v>
      </c>
      <c r="K9714" s="195">
        <v>45786.64806712963</v>
      </c>
      <c r="L9714">
        <v>284</v>
      </c>
      <c r="M9714">
        <v>0</v>
      </c>
      <c r="N9714" s="98" t="str">
        <f>IF(record[[#This Row],[Memo]]="Browser:chrome os:android","平板報工",IF(record[[#This Row],[Memo]]=0,"委外",record[[#This Row],[Memo]]))</f>
        <v/>
      </c>
      <c r="O9714" t="s">
        <v>58</v>
      </c>
      <c r="P9714" t="s">
        <v>119</v>
      </c>
      <c r="Q9714" t="s">
        <v>58</v>
      </c>
      <c r="R9714" t="str">
        <f>IFERROR(VLOOKUP(record[[#This Row],[PCUSTID]],廠商[],2,FALSE),"")</f>
        <v/>
      </c>
      <c r="S9714" t="str">
        <f>VLOOKUP(record[[#This Row],[employeeID]],員工[],2,FALSE)</f>
        <v>廖俊彥</v>
      </c>
    </row>
    <row r="9715" spans="6:19" hidden="1" x14ac:dyDescent="0.25">
      <c r="F9715" t="s">
        <v>739</v>
      </c>
      <c r="G9715" t="s">
        <v>428</v>
      </c>
      <c r="H9715" t="str">
        <f>VLOOKUP(record[[#This Row],[ProcessSN]],表格2_7[],2,FALSE)</f>
        <v>30-4118-018-600</v>
      </c>
      <c r="I9715" t="str">
        <f>VLOOKUP(record[[#This Row],[ProcessSN]],表格2_7[],3,FALSE)</f>
        <v>#100SHIP</v>
      </c>
      <c r="J9715" t="s">
        <v>600</v>
      </c>
      <c r="K9715" s="195">
        <v>45786.433217592596</v>
      </c>
      <c r="L9715">
        <v>7</v>
      </c>
      <c r="M9715">
        <v>0</v>
      </c>
      <c r="N9715" s="98" t="str">
        <f>IF(record[[#This Row],[Memo]]="Browser:chrome os:android","平板報工",IF(record[[#This Row],[Memo]]=0,"委外",record[[#This Row],[Memo]]))</f>
        <v/>
      </c>
      <c r="O9715" t="s">
        <v>58</v>
      </c>
      <c r="P9715" t="s">
        <v>99</v>
      </c>
      <c r="Q9715" t="s">
        <v>58</v>
      </c>
      <c r="R9715" t="str">
        <f>IFERROR(VLOOKUP(record[[#This Row],[PCUSTID]],廠商[],2,FALSE),"")</f>
        <v/>
      </c>
      <c r="S9715" t="str">
        <f>VLOOKUP(record[[#This Row],[employeeID]],員工[],2,FALSE)</f>
        <v>阮氏河</v>
      </c>
    </row>
    <row r="9716" spans="6:19" hidden="1" x14ac:dyDescent="0.25">
      <c r="F9716" t="s">
        <v>778</v>
      </c>
      <c r="G9716" t="s">
        <v>417</v>
      </c>
      <c r="H9716" t="str">
        <f>VLOOKUP(record[[#This Row],[ProcessSN]],表格2_7[],2,FALSE)</f>
        <v>30-4118-018-5XX</v>
      </c>
      <c r="I9716" t="str">
        <f>VLOOKUP(record[[#This Row],[ProcessSN]],表格2_7[],3,FALSE)</f>
        <v>#06</v>
      </c>
      <c r="J9716" t="s">
        <v>593</v>
      </c>
      <c r="K9716" s="195">
        <v>45786.314641203702</v>
      </c>
      <c r="L9716">
        <v>115</v>
      </c>
      <c r="M9716">
        <v>3</v>
      </c>
      <c r="N9716" s="98" t="str">
        <f>IF(record[[#This Row],[Memo]]="Browser:chrome os:android","平板報工",IF(record[[#This Row],[Memo]]=0,"委外",record[[#This Row],[Memo]]))</f>
        <v/>
      </c>
      <c r="O9716" t="s">
        <v>58</v>
      </c>
      <c r="P9716" t="s">
        <v>135</v>
      </c>
      <c r="Q9716" t="s">
        <v>58</v>
      </c>
      <c r="R9716" t="str">
        <f>IFERROR(VLOOKUP(record[[#This Row],[PCUSTID]],廠商[],2,FALSE),"")</f>
        <v/>
      </c>
      <c r="S9716" t="str">
        <f>VLOOKUP(record[[#This Row],[employeeID]],員工[],2,FALSE)</f>
        <v>阮士文</v>
      </c>
    </row>
    <row r="9717" spans="6:19" hidden="1" x14ac:dyDescent="0.25">
      <c r="F9717" t="s">
        <v>778</v>
      </c>
      <c r="G9717" t="s">
        <v>415</v>
      </c>
      <c r="H9717" t="str">
        <f>VLOOKUP(record[[#This Row],[ProcessSN]],表格2_7[],2,FALSE)</f>
        <v>30-4118-018-5XX</v>
      </c>
      <c r="I9717" t="str">
        <f>VLOOKUP(record[[#This Row],[ProcessSN]],表格2_7[],3,FALSE)</f>
        <v>#04</v>
      </c>
      <c r="J9717" t="s">
        <v>588</v>
      </c>
      <c r="K9717" s="195">
        <v>45786.312337962961</v>
      </c>
      <c r="L9717">
        <v>132</v>
      </c>
      <c r="M9717">
        <v>0</v>
      </c>
      <c r="N9717" s="98" t="str">
        <f>IF(record[[#This Row],[Memo]]="Browser:chrome os:android","平板報工",IF(record[[#This Row],[Memo]]=0,"委外",record[[#This Row],[Memo]]))</f>
        <v/>
      </c>
      <c r="O9717" t="s">
        <v>58</v>
      </c>
      <c r="P9717" t="s">
        <v>135</v>
      </c>
      <c r="Q9717" t="s">
        <v>58</v>
      </c>
      <c r="R9717" t="str">
        <f>IFERROR(VLOOKUP(record[[#This Row],[PCUSTID]],廠商[],2,FALSE),"")</f>
        <v/>
      </c>
      <c r="S9717" t="str">
        <f>VLOOKUP(record[[#This Row],[employeeID]],員工[],2,FALSE)</f>
        <v>阮士文</v>
      </c>
    </row>
    <row r="9718" spans="6:19" hidden="1" x14ac:dyDescent="0.25">
      <c r="F9718" t="s">
        <v>778</v>
      </c>
      <c r="G9718" t="s">
        <v>417</v>
      </c>
      <c r="H9718" t="str">
        <f>VLOOKUP(record[[#This Row],[ProcessSN]],表格2_7[],2,FALSE)</f>
        <v>30-4118-018-5XX</v>
      </c>
      <c r="I9718" t="str">
        <f>VLOOKUP(record[[#This Row],[ProcessSN]],表格2_7[],3,FALSE)</f>
        <v>#06</v>
      </c>
      <c r="J9718" t="s">
        <v>593</v>
      </c>
      <c r="K9718" s="195">
        <v>45785.981759259259</v>
      </c>
      <c r="L9718">
        <v>121</v>
      </c>
      <c r="M9718">
        <v>0</v>
      </c>
      <c r="N9718" s="98" t="str">
        <f>IF(record[[#This Row],[Memo]]="Browser:chrome os:android","平板報工",IF(record[[#This Row],[Memo]]=0,"委外",record[[#This Row],[Memo]]))</f>
        <v/>
      </c>
      <c r="O9718" t="s">
        <v>58</v>
      </c>
      <c r="P9718" t="s">
        <v>763</v>
      </c>
      <c r="Q9718" t="s">
        <v>58</v>
      </c>
      <c r="R9718" t="str">
        <f>IFERROR(VLOOKUP(record[[#This Row],[PCUSTID]],廠商[],2,FALSE),"")</f>
        <v/>
      </c>
      <c r="S9718" t="str">
        <f>VLOOKUP(record[[#This Row],[employeeID]],員工[],2,FALSE)</f>
        <v>江嘉倫</v>
      </c>
    </row>
    <row r="9719" spans="6:19" hidden="1" x14ac:dyDescent="0.25">
      <c r="F9719" t="s">
        <v>778</v>
      </c>
      <c r="G9719" t="s">
        <v>415</v>
      </c>
      <c r="H9719" t="str">
        <f>VLOOKUP(record[[#This Row],[ProcessSN]],表格2_7[],2,FALSE)</f>
        <v>30-4118-018-5XX</v>
      </c>
      <c r="I9719" t="str">
        <f>VLOOKUP(record[[#This Row],[ProcessSN]],表格2_7[],3,FALSE)</f>
        <v>#04</v>
      </c>
      <c r="J9719" t="s">
        <v>588</v>
      </c>
      <c r="K9719" s="195">
        <v>45785.977071759262</v>
      </c>
      <c r="L9719">
        <v>130</v>
      </c>
      <c r="M9719">
        <v>1</v>
      </c>
      <c r="N9719" s="98" t="str">
        <f>IF(record[[#This Row],[Memo]]="Browser:chrome os:android","平板報工",IF(record[[#This Row],[Memo]]=0,"委外",record[[#This Row],[Memo]]))</f>
        <v/>
      </c>
      <c r="O9719" t="s">
        <v>58</v>
      </c>
      <c r="P9719" t="s">
        <v>89</v>
      </c>
      <c r="Q9719" t="s">
        <v>58</v>
      </c>
      <c r="R9719" t="str">
        <f>IFERROR(VLOOKUP(record[[#This Row],[PCUSTID]],廠商[],2,FALSE),"")</f>
        <v/>
      </c>
      <c r="S9719" t="str">
        <f>VLOOKUP(record[[#This Row],[employeeID]],員工[],2,FALSE)</f>
        <v>李美蓮</v>
      </c>
    </row>
    <row r="9720" spans="6:19" hidden="1" x14ac:dyDescent="0.25">
      <c r="F9720" t="s">
        <v>778</v>
      </c>
      <c r="G9720" t="s">
        <v>416</v>
      </c>
      <c r="H9720" t="str">
        <f>VLOOKUP(record[[#This Row],[ProcessSN]],表格2_7[],2,FALSE)</f>
        <v>30-4118-018-5XX</v>
      </c>
      <c r="I9720" t="str">
        <f>VLOOKUP(record[[#This Row],[ProcessSN]],表格2_7[],3,FALSE)</f>
        <v>#05</v>
      </c>
      <c r="J9720" t="s">
        <v>588</v>
      </c>
      <c r="K9720" s="195">
        <v>45785.976759259262</v>
      </c>
      <c r="L9720">
        <v>263</v>
      </c>
      <c r="M9720">
        <v>0</v>
      </c>
      <c r="N9720" s="98" t="str">
        <f>IF(record[[#This Row],[Memo]]="Browser:chrome os:android","平板報工",IF(record[[#This Row],[Memo]]=0,"委外",record[[#This Row],[Memo]]))</f>
        <v/>
      </c>
      <c r="O9720" t="s">
        <v>58</v>
      </c>
      <c r="P9720" t="s">
        <v>89</v>
      </c>
      <c r="Q9720" t="s">
        <v>58</v>
      </c>
      <c r="R9720" t="str">
        <f>IFERROR(VLOOKUP(record[[#This Row],[PCUSTID]],廠商[],2,FALSE),"")</f>
        <v/>
      </c>
      <c r="S9720" t="str">
        <f>VLOOKUP(record[[#This Row],[employeeID]],員工[],2,FALSE)</f>
        <v>李美蓮</v>
      </c>
    </row>
    <row r="9721" spans="6:19" hidden="1" x14ac:dyDescent="0.25">
      <c r="F9721" t="s">
        <v>778</v>
      </c>
      <c r="G9721" t="s">
        <v>415</v>
      </c>
      <c r="H9721" t="str">
        <f>VLOOKUP(record[[#This Row],[ProcessSN]],表格2_7[],2,FALSE)</f>
        <v>30-4118-018-5XX</v>
      </c>
      <c r="I9721" t="str">
        <f>VLOOKUP(record[[#This Row],[ProcessSN]],表格2_7[],3,FALSE)</f>
        <v>#04</v>
      </c>
      <c r="J9721" t="s">
        <v>588</v>
      </c>
      <c r="K9721" s="195">
        <v>45785.663611111115</v>
      </c>
      <c r="L9721">
        <v>134</v>
      </c>
      <c r="M9721">
        <v>0</v>
      </c>
      <c r="N9721" s="98" t="str">
        <f>IF(record[[#This Row],[Memo]]="Browser:chrome os:android","平板報工",IF(record[[#This Row],[Memo]]=0,"委外",record[[#This Row],[Memo]]))</f>
        <v/>
      </c>
      <c r="O9721" t="s">
        <v>58</v>
      </c>
      <c r="P9721" t="s">
        <v>119</v>
      </c>
      <c r="Q9721" t="s">
        <v>58</v>
      </c>
      <c r="R9721" t="str">
        <f>IFERROR(VLOOKUP(record[[#This Row],[PCUSTID]],廠商[],2,FALSE),"")</f>
        <v/>
      </c>
      <c r="S9721" t="str">
        <f>VLOOKUP(record[[#This Row],[employeeID]],員工[],2,FALSE)</f>
        <v>廖俊彥</v>
      </c>
    </row>
    <row r="9722" spans="6:19" hidden="1" x14ac:dyDescent="0.25">
      <c r="F9722" t="s">
        <v>778</v>
      </c>
      <c r="G9722" t="s">
        <v>416</v>
      </c>
      <c r="H9722" t="str">
        <f>VLOOKUP(record[[#This Row],[ProcessSN]],表格2_7[],2,FALSE)</f>
        <v>30-4118-018-5XX</v>
      </c>
      <c r="I9722" t="str">
        <f>VLOOKUP(record[[#This Row],[ProcessSN]],表格2_7[],3,FALSE)</f>
        <v>#05</v>
      </c>
      <c r="J9722" t="s">
        <v>588</v>
      </c>
      <c r="K9722" s="195">
        <v>45785.663229166668</v>
      </c>
      <c r="L9722">
        <v>284</v>
      </c>
      <c r="M9722">
        <v>0</v>
      </c>
      <c r="N9722" s="98" t="str">
        <f>IF(record[[#This Row],[Memo]]="Browser:chrome os:android","平板報工",IF(record[[#This Row],[Memo]]=0,"委外",record[[#This Row],[Memo]]))</f>
        <v/>
      </c>
      <c r="O9722" t="s">
        <v>58</v>
      </c>
      <c r="P9722" t="s">
        <v>119</v>
      </c>
      <c r="Q9722" t="s">
        <v>58</v>
      </c>
      <c r="R9722" t="str">
        <f>IFERROR(VLOOKUP(record[[#This Row],[PCUSTID]],廠商[],2,FALSE),"")</f>
        <v/>
      </c>
      <c r="S9722" t="str">
        <f>VLOOKUP(record[[#This Row],[employeeID]],員工[],2,FALSE)</f>
        <v>廖俊彥</v>
      </c>
    </row>
    <row r="9723" spans="6:19" hidden="1" x14ac:dyDescent="0.25">
      <c r="F9723" t="s">
        <v>784</v>
      </c>
      <c r="G9723" t="s">
        <v>403</v>
      </c>
      <c r="H9723" t="str">
        <f>VLOOKUP(record[[#This Row],[ProcessSN]],表格2_7[],2,FALSE)</f>
        <v>30-4118-018-550</v>
      </c>
      <c r="I9723" t="str">
        <f>VLOOKUP(record[[#This Row],[ProcessSN]],表格2_7[],3,FALSE)</f>
        <v>#100SHIP</v>
      </c>
      <c r="J9723" t="s">
        <v>600</v>
      </c>
      <c r="K9723" s="195">
        <v>45785.566122685188</v>
      </c>
      <c r="L9723">
        <v>71</v>
      </c>
      <c r="M9723">
        <v>0</v>
      </c>
      <c r="N9723" s="98" t="str">
        <f>IF(record[[#This Row],[Memo]]="Browser:chrome os:android","平板報工",IF(record[[#This Row],[Memo]]=0,"委外",record[[#This Row],[Memo]]))</f>
        <v/>
      </c>
      <c r="O9723" t="s">
        <v>58</v>
      </c>
      <c r="P9723" t="s">
        <v>196</v>
      </c>
      <c r="Q9723" t="s">
        <v>58</v>
      </c>
      <c r="R9723" t="str">
        <f>IFERROR(VLOOKUP(record[[#This Row],[PCUSTID]],廠商[],2,FALSE),"")</f>
        <v/>
      </c>
      <c r="S9723" t="str">
        <f>VLOOKUP(record[[#This Row],[employeeID]],員工[],2,FALSE)</f>
        <v>張淑惠</v>
      </c>
    </row>
    <row r="9724" spans="6:19" hidden="1" x14ac:dyDescent="0.25">
      <c r="F9724" t="s">
        <v>783</v>
      </c>
      <c r="G9724" t="s">
        <v>403</v>
      </c>
      <c r="H9724" t="str">
        <f>VLOOKUP(record[[#This Row],[ProcessSN]],表格2_7[],2,FALSE)</f>
        <v>30-4118-018-550</v>
      </c>
      <c r="I9724" t="str">
        <f>VLOOKUP(record[[#This Row],[ProcessSN]],表格2_7[],3,FALSE)</f>
        <v>#100SHIP</v>
      </c>
      <c r="J9724" t="s">
        <v>600</v>
      </c>
      <c r="K9724" s="195">
        <v>45785.565868055557</v>
      </c>
      <c r="L9724">
        <v>298</v>
      </c>
      <c r="M9724">
        <v>0</v>
      </c>
      <c r="N9724" s="98" t="str">
        <f>IF(record[[#This Row],[Memo]]="Browser:chrome os:android","平板報工",IF(record[[#This Row],[Memo]]=0,"委外",record[[#This Row],[Memo]]))</f>
        <v/>
      </c>
      <c r="O9724" t="s">
        <v>58</v>
      </c>
      <c r="P9724" t="s">
        <v>196</v>
      </c>
      <c r="Q9724" t="s">
        <v>58</v>
      </c>
      <c r="R9724" t="str">
        <f>IFERROR(VLOOKUP(record[[#This Row],[PCUSTID]],廠商[],2,FALSE),"")</f>
        <v/>
      </c>
      <c r="S9724" t="str">
        <f>VLOOKUP(record[[#This Row],[employeeID]],員工[],2,FALSE)</f>
        <v>張淑惠</v>
      </c>
    </row>
    <row r="9725" spans="6:19" hidden="1" x14ac:dyDescent="0.25">
      <c r="F9725" t="s">
        <v>775</v>
      </c>
      <c r="G9725" t="s">
        <v>403</v>
      </c>
      <c r="H9725" t="str">
        <f>VLOOKUP(record[[#This Row],[ProcessSN]],表格2_7[],2,FALSE)</f>
        <v>30-4118-018-550</v>
      </c>
      <c r="I9725" t="str">
        <f>VLOOKUP(record[[#This Row],[ProcessSN]],表格2_7[],3,FALSE)</f>
        <v>#100SHIP</v>
      </c>
      <c r="J9725" t="s">
        <v>600</v>
      </c>
      <c r="K9725" s="195">
        <v>45785.565636574072</v>
      </c>
      <c r="L9725">
        <v>241</v>
      </c>
      <c r="M9725">
        <v>0</v>
      </c>
      <c r="N9725" s="98" t="str">
        <f>IF(record[[#This Row],[Memo]]="Browser:chrome os:android","平板報工",IF(record[[#This Row],[Memo]]=0,"委外",record[[#This Row],[Memo]]))</f>
        <v/>
      </c>
      <c r="O9725" t="s">
        <v>58</v>
      </c>
      <c r="P9725" t="s">
        <v>196</v>
      </c>
      <c r="Q9725" t="s">
        <v>58</v>
      </c>
      <c r="R9725" t="str">
        <f>IFERROR(VLOOKUP(record[[#This Row],[PCUSTID]],廠商[],2,FALSE),"")</f>
        <v/>
      </c>
      <c r="S9725" t="str">
        <f>VLOOKUP(record[[#This Row],[employeeID]],員工[],2,FALSE)</f>
        <v>張淑惠</v>
      </c>
    </row>
    <row r="9726" spans="6:19" hidden="1" x14ac:dyDescent="0.25">
      <c r="F9726" t="s">
        <v>778</v>
      </c>
      <c r="G9726" t="s">
        <v>415</v>
      </c>
      <c r="H9726" t="str">
        <f>VLOOKUP(record[[#This Row],[ProcessSN]],表格2_7[],2,FALSE)</f>
        <v>30-4118-018-5XX</v>
      </c>
      <c r="I9726" t="str">
        <f>VLOOKUP(record[[#This Row],[ProcessSN]],表格2_7[],3,FALSE)</f>
        <v>#04</v>
      </c>
      <c r="J9726" t="s">
        <v>588</v>
      </c>
      <c r="K9726" s="195">
        <v>45785.303912037038</v>
      </c>
      <c r="L9726">
        <v>137</v>
      </c>
      <c r="M9726">
        <v>0</v>
      </c>
      <c r="N9726" s="98" t="str">
        <f>IF(record[[#This Row],[Memo]]="Browser:chrome os:android","平板報工",IF(record[[#This Row],[Memo]]=0,"委外",record[[#This Row],[Memo]]))</f>
        <v/>
      </c>
      <c r="O9726" t="s">
        <v>58</v>
      </c>
      <c r="P9726" t="s">
        <v>135</v>
      </c>
      <c r="Q9726" t="s">
        <v>58</v>
      </c>
      <c r="R9726" t="str">
        <f>IFERROR(VLOOKUP(record[[#This Row],[PCUSTID]],廠商[],2,FALSE),"")</f>
        <v/>
      </c>
      <c r="S9726" t="str">
        <f>VLOOKUP(record[[#This Row],[employeeID]],員工[],2,FALSE)</f>
        <v>阮士文</v>
      </c>
    </row>
    <row r="9727" spans="6:19" hidden="1" x14ac:dyDescent="0.25">
      <c r="F9727" t="s">
        <v>778</v>
      </c>
      <c r="G9727" t="s">
        <v>415</v>
      </c>
      <c r="H9727" t="str">
        <f>VLOOKUP(record[[#This Row],[ProcessSN]],表格2_7[],2,FALSE)</f>
        <v>30-4118-018-5XX</v>
      </c>
      <c r="I9727" t="str">
        <f>VLOOKUP(record[[#This Row],[ProcessSN]],表格2_7[],3,FALSE)</f>
        <v>#04</v>
      </c>
      <c r="J9727" t="s">
        <v>588</v>
      </c>
      <c r="K9727" s="195">
        <v>45784.946111111109</v>
      </c>
      <c r="L9727">
        <v>129</v>
      </c>
      <c r="M9727">
        <v>0</v>
      </c>
      <c r="N9727" s="98" t="str">
        <f>IF(record[[#This Row],[Memo]]="Browser:chrome os:android","平板報工",IF(record[[#This Row],[Memo]]=0,"委外",record[[#This Row],[Memo]]))</f>
        <v/>
      </c>
      <c r="O9727" t="s">
        <v>58</v>
      </c>
      <c r="P9727" t="s">
        <v>89</v>
      </c>
      <c r="Q9727" t="s">
        <v>58</v>
      </c>
      <c r="R9727" t="str">
        <f>IFERROR(VLOOKUP(record[[#This Row],[PCUSTID]],廠商[],2,FALSE),"")</f>
        <v/>
      </c>
      <c r="S9727" t="str">
        <f>VLOOKUP(record[[#This Row],[employeeID]],員工[],2,FALSE)</f>
        <v>李美蓮</v>
      </c>
    </row>
    <row r="9728" spans="6:19" hidden="1" x14ac:dyDescent="0.25">
      <c r="F9728" t="s">
        <v>778</v>
      </c>
      <c r="G9728" t="s">
        <v>416</v>
      </c>
      <c r="H9728" t="str">
        <f>VLOOKUP(record[[#This Row],[ProcessSN]],表格2_7[],2,FALSE)</f>
        <v>30-4118-018-5XX</v>
      </c>
      <c r="I9728" t="str">
        <f>VLOOKUP(record[[#This Row],[ProcessSN]],表格2_7[],3,FALSE)</f>
        <v>#05</v>
      </c>
      <c r="J9728" t="s">
        <v>588</v>
      </c>
      <c r="K9728" s="195">
        <v>45784.945497685185</v>
      </c>
      <c r="L9728">
        <v>279</v>
      </c>
      <c r="M9728">
        <v>1</v>
      </c>
      <c r="N9728" s="98" t="str">
        <f>IF(record[[#This Row],[Memo]]="Browser:chrome os:android","平板報工",IF(record[[#This Row],[Memo]]=0,"委外",record[[#This Row],[Memo]]))</f>
        <v/>
      </c>
      <c r="O9728" t="s">
        <v>58</v>
      </c>
      <c r="P9728" t="s">
        <v>89</v>
      </c>
      <c r="Q9728" t="s">
        <v>58</v>
      </c>
      <c r="R9728" t="str">
        <f>IFERROR(VLOOKUP(record[[#This Row],[PCUSTID]],廠商[],2,FALSE),"")</f>
        <v/>
      </c>
      <c r="S9728" t="str">
        <f>VLOOKUP(record[[#This Row],[employeeID]],員工[],2,FALSE)</f>
        <v>李美蓮</v>
      </c>
    </row>
    <row r="9729" spans="6:19" hidden="1" x14ac:dyDescent="0.25">
      <c r="F9729" t="s">
        <v>783</v>
      </c>
      <c r="G9729" t="s">
        <v>399</v>
      </c>
      <c r="H9729" t="str">
        <f>VLOOKUP(record[[#This Row],[ProcessSN]],表格2_7[],2,FALSE)</f>
        <v>30-4118-018-550</v>
      </c>
      <c r="I9729" t="str">
        <f>VLOOKUP(record[[#This Row],[ProcessSN]],表格2_7[],3,FALSE)</f>
        <v>#08IQC</v>
      </c>
      <c r="J9729" t="s">
        <v>583</v>
      </c>
      <c r="K9729" s="195">
        <v>45784.693194444444</v>
      </c>
      <c r="L9729">
        <v>20</v>
      </c>
      <c r="M9729">
        <v>0</v>
      </c>
      <c r="N9729" s="98" t="str">
        <f>IF(record[[#This Row],[Memo]]="Browser:chrome os:android","平板報工",IF(record[[#This Row],[Memo]]=0,"委外",record[[#This Row],[Memo]]))</f>
        <v/>
      </c>
      <c r="O9729" t="s">
        <v>58</v>
      </c>
      <c r="P9729" t="s">
        <v>65</v>
      </c>
      <c r="Q9729" t="s">
        <v>58</v>
      </c>
      <c r="R9729" t="str">
        <f>IFERROR(VLOOKUP(record[[#This Row],[PCUSTID]],廠商[],2,FALSE),"")</f>
        <v/>
      </c>
      <c r="S9729" t="str">
        <f>VLOOKUP(record[[#This Row],[employeeID]],員工[],2,FALSE)</f>
        <v>蘇進昌</v>
      </c>
    </row>
    <row r="9730" spans="6:19" hidden="1" x14ac:dyDescent="0.25">
      <c r="F9730" t="s">
        <v>783</v>
      </c>
      <c r="G9730" t="s">
        <v>398</v>
      </c>
      <c r="H9730" t="str">
        <f>VLOOKUP(record[[#This Row],[ProcessSN]],表格2_7[],2,FALSE)</f>
        <v>30-4118-018-550</v>
      </c>
      <c r="I9730" t="str">
        <f>VLOOKUP(record[[#This Row],[ProcessSN]],表格2_7[],3,FALSE)</f>
        <v>#08RCV</v>
      </c>
      <c r="J9730" t="s">
        <v>591</v>
      </c>
      <c r="K9730" s="195">
        <v>45784.693101851852</v>
      </c>
      <c r="L9730">
        <v>20</v>
      </c>
      <c r="M9730">
        <v>10</v>
      </c>
      <c r="N9730" s="98" t="str">
        <f>IF(record[[#This Row],[Memo]]="Browser:chrome os:android","平板報工",IF(record[[#This Row],[Memo]]=0,"委外",record[[#This Row],[Memo]]))</f>
        <v/>
      </c>
      <c r="O9730" t="s">
        <v>58</v>
      </c>
      <c r="P9730" t="s">
        <v>65</v>
      </c>
      <c r="Q9730" t="s">
        <v>58</v>
      </c>
      <c r="R9730" t="str">
        <f>IFERROR(VLOOKUP(record[[#This Row],[PCUSTID]],廠商[],2,FALSE),"")</f>
        <v/>
      </c>
      <c r="S9730" t="str">
        <f>VLOOKUP(record[[#This Row],[employeeID]],員工[],2,FALSE)</f>
        <v>蘇進昌</v>
      </c>
    </row>
    <row r="9731" spans="6:19" hidden="1" x14ac:dyDescent="0.25">
      <c r="F9731" t="s">
        <v>775</v>
      </c>
      <c r="G9731" t="s">
        <v>399</v>
      </c>
      <c r="H9731" t="str">
        <f>VLOOKUP(record[[#This Row],[ProcessSN]],表格2_7[],2,FALSE)</f>
        <v>30-4118-018-550</v>
      </c>
      <c r="I9731" t="str">
        <f>VLOOKUP(record[[#This Row],[ProcessSN]],表格2_7[],3,FALSE)</f>
        <v>#08IQC</v>
      </c>
      <c r="J9731" t="s">
        <v>583</v>
      </c>
      <c r="K9731" s="195">
        <v>45784.692083333335</v>
      </c>
      <c r="L9731">
        <v>8</v>
      </c>
      <c r="M9731">
        <v>0</v>
      </c>
      <c r="N9731" s="98" t="str">
        <f>IF(record[[#This Row],[Memo]]="Browser:chrome os:android","平板報工",IF(record[[#This Row],[Memo]]=0,"委外",record[[#This Row],[Memo]]))</f>
        <v/>
      </c>
      <c r="O9731" t="s">
        <v>58</v>
      </c>
      <c r="P9731" t="s">
        <v>65</v>
      </c>
      <c r="Q9731" t="s">
        <v>58</v>
      </c>
      <c r="R9731" t="str">
        <f>IFERROR(VLOOKUP(record[[#This Row],[PCUSTID]],廠商[],2,FALSE),"")</f>
        <v/>
      </c>
      <c r="S9731" t="str">
        <f>VLOOKUP(record[[#This Row],[employeeID]],員工[],2,FALSE)</f>
        <v>蘇進昌</v>
      </c>
    </row>
    <row r="9732" spans="6:19" hidden="1" x14ac:dyDescent="0.25">
      <c r="F9732" t="s">
        <v>778</v>
      </c>
      <c r="G9732" t="s">
        <v>415</v>
      </c>
      <c r="H9732" t="str">
        <f>VLOOKUP(record[[#This Row],[ProcessSN]],表格2_7[],2,FALSE)</f>
        <v>30-4118-018-5XX</v>
      </c>
      <c r="I9732" t="str">
        <f>VLOOKUP(record[[#This Row],[ProcessSN]],表格2_7[],3,FALSE)</f>
        <v>#04</v>
      </c>
      <c r="J9732" t="s">
        <v>588</v>
      </c>
      <c r="K9732" s="195">
        <v>45784.691608796296</v>
      </c>
      <c r="L9732">
        <v>130</v>
      </c>
      <c r="M9732">
        <v>0</v>
      </c>
      <c r="N9732" s="98" t="str">
        <f>IF(record[[#This Row],[Memo]]="Browser:chrome os:android","平板報工",IF(record[[#This Row],[Memo]]=0,"委外",record[[#This Row],[Memo]]))</f>
        <v/>
      </c>
      <c r="O9732" t="s">
        <v>58</v>
      </c>
      <c r="P9732" t="s">
        <v>119</v>
      </c>
      <c r="Q9732" t="s">
        <v>58</v>
      </c>
      <c r="R9732" t="str">
        <f>IFERROR(VLOOKUP(record[[#This Row],[PCUSTID]],廠商[],2,FALSE),"")</f>
        <v/>
      </c>
      <c r="S9732" t="str">
        <f>VLOOKUP(record[[#This Row],[employeeID]],員工[],2,FALSE)</f>
        <v>廖俊彥</v>
      </c>
    </row>
    <row r="9733" spans="6:19" hidden="1" x14ac:dyDescent="0.25">
      <c r="F9733" t="s">
        <v>778</v>
      </c>
      <c r="G9733" t="s">
        <v>416</v>
      </c>
      <c r="H9733" t="str">
        <f>VLOOKUP(record[[#This Row],[ProcessSN]],表格2_7[],2,FALSE)</f>
        <v>30-4118-018-5XX</v>
      </c>
      <c r="I9733" t="str">
        <f>VLOOKUP(record[[#This Row],[ProcessSN]],表格2_7[],3,FALSE)</f>
        <v>#05</v>
      </c>
      <c r="J9733" t="s">
        <v>588</v>
      </c>
      <c r="K9733" s="195">
        <v>45784.690717592595</v>
      </c>
      <c r="L9733">
        <v>271</v>
      </c>
      <c r="M9733">
        <v>2</v>
      </c>
      <c r="N9733" s="98" t="str">
        <f>IF(record[[#This Row],[Memo]]="Browser:chrome os:android","平板報工",IF(record[[#This Row],[Memo]]=0,"委外",record[[#This Row],[Memo]]))</f>
        <v/>
      </c>
      <c r="O9733" t="s">
        <v>58</v>
      </c>
      <c r="P9733" t="s">
        <v>119</v>
      </c>
      <c r="Q9733" t="s">
        <v>58</v>
      </c>
      <c r="R9733" t="str">
        <f>IFERROR(VLOOKUP(record[[#This Row],[PCUSTID]],廠商[],2,FALSE),"")</f>
        <v/>
      </c>
      <c r="S9733" t="str">
        <f>VLOOKUP(record[[#This Row],[employeeID]],員工[],2,FALSE)</f>
        <v>廖俊彥</v>
      </c>
    </row>
    <row r="9734" spans="6:19" hidden="1" x14ac:dyDescent="0.25">
      <c r="F9734" t="s">
        <v>768</v>
      </c>
      <c r="G9734" t="s">
        <v>399</v>
      </c>
      <c r="H9734" t="str">
        <f>VLOOKUP(record[[#This Row],[ProcessSN]],表格2_7[],2,FALSE)</f>
        <v>30-4118-018-550</v>
      </c>
      <c r="I9734" t="str">
        <f>VLOOKUP(record[[#This Row],[ProcessSN]],表格2_7[],3,FALSE)</f>
        <v>#08IQC</v>
      </c>
      <c r="J9734" t="s">
        <v>583</v>
      </c>
      <c r="K9734" s="195">
        <v>45784.689618055556</v>
      </c>
      <c r="L9734">
        <v>13</v>
      </c>
      <c r="M9734">
        <v>0</v>
      </c>
      <c r="N9734" s="98" t="str">
        <f>IF(record[[#This Row],[Memo]]="Browser:chrome os:android","平板報工",IF(record[[#This Row],[Memo]]=0,"委外",record[[#This Row],[Memo]]))</f>
        <v/>
      </c>
      <c r="O9734" t="s">
        <v>58</v>
      </c>
      <c r="P9734" t="s">
        <v>65</v>
      </c>
      <c r="Q9734" t="s">
        <v>58</v>
      </c>
      <c r="R9734" t="str">
        <f>IFERROR(VLOOKUP(record[[#This Row],[PCUSTID]],廠商[],2,FALSE),"")</f>
        <v/>
      </c>
      <c r="S9734" t="str">
        <f>VLOOKUP(record[[#This Row],[employeeID]],員工[],2,FALSE)</f>
        <v>蘇進昌</v>
      </c>
    </row>
    <row r="9735" spans="6:19" hidden="1" x14ac:dyDescent="0.25">
      <c r="F9735" t="s">
        <v>775</v>
      </c>
      <c r="G9735" t="s">
        <v>398</v>
      </c>
      <c r="H9735" t="str">
        <f>VLOOKUP(record[[#This Row],[ProcessSN]],表格2_7[],2,FALSE)</f>
        <v>30-4118-018-550</v>
      </c>
      <c r="I9735" t="str">
        <f>VLOOKUP(record[[#This Row],[ProcessSN]],表格2_7[],3,FALSE)</f>
        <v>#08RCV</v>
      </c>
      <c r="J9735" t="s">
        <v>591</v>
      </c>
      <c r="K9735" s="195">
        <v>45784.619085648148</v>
      </c>
      <c r="L9735">
        <v>8</v>
      </c>
      <c r="M9735">
        <v>-8</v>
      </c>
      <c r="N9735" s="98" t="str">
        <f>IF(record[[#This Row],[Memo]]="Browser:chrome os:android","平板報工",IF(record[[#This Row],[Memo]]=0,"委外",record[[#This Row],[Memo]]))</f>
        <v>覆回品</v>
      </c>
      <c r="O9735" t="s">
        <v>664</v>
      </c>
      <c r="P9735" t="s">
        <v>65</v>
      </c>
      <c r="Q9735" t="s">
        <v>58</v>
      </c>
      <c r="R9735" t="str">
        <f>IFERROR(VLOOKUP(record[[#This Row],[PCUSTID]],廠商[],2,FALSE),"")</f>
        <v/>
      </c>
      <c r="S9735" t="str">
        <f>VLOOKUP(record[[#This Row],[employeeID]],員工[],2,FALSE)</f>
        <v>蘇進昌</v>
      </c>
    </row>
    <row r="9736" spans="6:19" hidden="1" x14ac:dyDescent="0.25">
      <c r="F9736" t="s">
        <v>768</v>
      </c>
      <c r="G9736" t="s">
        <v>398</v>
      </c>
      <c r="H9736" t="str">
        <f>VLOOKUP(record[[#This Row],[ProcessSN]],表格2_7[],2,FALSE)</f>
        <v>30-4118-018-550</v>
      </c>
      <c r="I9736" t="str">
        <f>VLOOKUP(record[[#This Row],[ProcessSN]],表格2_7[],3,FALSE)</f>
        <v>#08RCV</v>
      </c>
      <c r="J9736" t="s">
        <v>591</v>
      </c>
      <c r="K9736" s="195">
        <v>45784.596643518518</v>
      </c>
      <c r="L9736">
        <v>13</v>
      </c>
      <c r="M9736">
        <v>-13</v>
      </c>
      <c r="N9736" s="98" t="str">
        <f>IF(record[[#This Row],[Memo]]="Browser:chrome os:android","平板報工",IF(record[[#This Row],[Memo]]=0,"委外",record[[#This Row],[Memo]]))</f>
        <v>覆回品</v>
      </c>
      <c r="O9736" t="s">
        <v>664</v>
      </c>
      <c r="P9736" t="s">
        <v>65</v>
      </c>
      <c r="Q9736" t="s">
        <v>58</v>
      </c>
      <c r="R9736" t="str">
        <f>IFERROR(VLOOKUP(record[[#This Row],[PCUSTID]],廠商[],2,FALSE),"")</f>
        <v/>
      </c>
      <c r="S9736" t="str">
        <f>VLOOKUP(record[[#This Row],[employeeID]],員工[],2,FALSE)</f>
        <v>蘇進昌</v>
      </c>
    </row>
    <row r="9737" spans="6:19" hidden="1" x14ac:dyDescent="0.25">
      <c r="F9737" t="s">
        <v>772</v>
      </c>
      <c r="G9737" t="s">
        <v>398</v>
      </c>
      <c r="H9737" t="str">
        <f>VLOOKUP(record[[#This Row],[ProcessSN]],表格2_7[],2,FALSE)</f>
        <v>30-4118-018-550</v>
      </c>
      <c r="I9737" t="str">
        <f>VLOOKUP(record[[#This Row],[ProcessSN]],表格2_7[],3,FALSE)</f>
        <v>#08RCV</v>
      </c>
      <c r="J9737" t="s">
        <v>591</v>
      </c>
      <c r="K9737" s="195">
        <v>45784.484907407408</v>
      </c>
      <c r="L9737">
        <v>23</v>
      </c>
      <c r="M9737">
        <v>-23</v>
      </c>
      <c r="N9737" s="98" t="str">
        <f>IF(record[[#This Row],[Memo]]="Browser:chrome os:android","平板報工",IF(record[[#This Row],[Memo]]=0,"委外",record[[#This Row],[Memo]]))</f>
        <v>覆回品</v>
      </c>
      <c r="O9737" t="s">
        <v>664</v>
      </c>
      <c r="P9737" t="s">
        <v>65</v>
      </c>
      <c r="Q9737" t="s">
        <v>58</v>
      </c>
      <c r="R9737" t="str">
        <f>IFERROR(VLOOKUP(record[[#This Row],[PCUSTID]],廠商[],2,FALSE),"")</f>
        <v/>
      </c>
      <c r="S9737" t="str">
        <f>VLOOKUP(record[[#This Row],[employeeID]],員工[],2,FALSE)</f>
        <v>蘇進昌</v>
      </c>
    </row>
    <row r="9738" spans="6:19" hidden="1" x14ac:dyDescent="0.25">
      <c r="F9738" t="s">
        <v>739</v>
      </c>
      <c r="G9738" t="s">
        <v>428</v>
      </c>
      <c r="H9738" t="str">
        <f>VLOOKUP(record[[#This Row],[ProcessSN]],表格2_7[],2,FALSE)</f>
        <v>30-4118-018-600</v>
      </c>
      <c r="I9738" t="str">
        <f>VLOOKUP(record[[#This Row],[ProcessSN]],表格2_7[],3,FALSE)</f>
        <v>#100SHIP</v>
      </c>
      <c r="J9738" t="s">
        <v>600</v>
      </c>
      <c r="K9738" s="195">
        <v>45784.402071759258</v>
      </c>
      <c r="L9738">
        <v>10</v>
      </c>
      <c r="M9738">
        <v>0</v>
      </c>
      <c r="N9738" s="98" t="str">
        <f>IF(record[[#This Row],[Memo]]="Browser:chrome os:android","平板報工",IF(record[[#This Row],[Memo]]=0,"委外",record[[#This Row],[Memo]]))</f>
        <v/>
      </c>
      <c r="O9738" t="s">
        <v>58</v>
      </c>
      <c r="P9738" t="s">
        <v>196</v>
      </c>
      <c r="Q9738" t="s">
        <v>58</v>
      </c>
      <c r="R9738" t="str">
        <f>IFERROR(VLOOKUP(record[[#This Row],[PCUSTID]],廠商[],2,FALSE),"")</f>
        <v/>
      </c>
      <c r="S9738" t="str">
        <f>VLOOKUP(record[[#This Row],[employeeID]],員工[],2,FALSE)</f>
        <v>張淑惠</v>
      </c>
    </row>
    <row r="9739" spans="6:19" hidden="1" x14ac:dyDescent="0.25">
      <c r="F9739" t="s">
        <v>778</v>
      </c>
      <c r="G9739" t="s">
        <v>415</v>
      </c>
      <c r="H9739" t="str">
        <f>VLOOKUP(record[[#This Row],[ProcessSN]],表格2_7[],2,FALSE)</f>
        <v>30-4118-018-5XX</v>
      </c>
      <c r="I9739" t="str">
        <f>VLOOKUP(record[[#This Row],[ProcessSN]],表格2_7[],3,FALSE)</f>
        <v>#04</v>
      </c>
      <c r="J9739" t="s">
        <v>588</v>
      </c>
      <c r="K9739" s="195">
        <v>45784.383437500001</v>
      </c>
      <c r="L9739">
        <v>137</v>
      </c>
      <c r="M9739">
        <v>0</v>
      </c>
      <c r="N9739" s="98" t="str">
        <f>IF(record[[#This Row],[Memo]]="Browser:chrome os:android","平板報工",IF(record[[#This Row],[Memo]]=0,"委外",record[[#This Row],[Memo]]))</f>
        <v/>
      </c>
      <c r="O9739" t="s">
        <v>58</v>
      </c>
      <c r="P9739" t="s">
        <v>119</v>
      </c>
      <c r="Q9739" t="s">
        <v>58</v>
      </c>
      <c r="R9739" t="str">
        <f>IFERROR(VLOOKUP(record[[#This Row],[PCUSTID]],廠商[],2,FALSE),"")</f>
        <v/>
      </c>
      <c r="S9739" t="str">
        <f>VLOOKUP(record[[#This Row],[employeeID]],員工[],2,FALSE)</f>
        <v>廖俊彥</v>
      </c>
    </row>
    <row r="9740" spans="6:19" hidden="1" x14ac:dyDescent="0.25">
      <c r="F9740" t="s">
        <v>778</v>
      </c>
      <c r="G9740" t="s">
        <v>415</v>
      </c>
      <c r="H9740" t="str">
        <f>VLOOKUP(record[[#This Row],[ProcessSN]],表格2_7[],2,FALSE)</f>
        <v>30-4118-018-5XX</v>
      </c>
      <c r="I9740" t="str">
        <f>VLOOKUP(record[[#This Row],[ProcessSN]],表格2_7[],3,FALSE)</f>
        <v>#04</v>
      </c>
      <c r="J9740" t="s">
        <v>588</v>
      </c>
      <c r="K9740" s="195">
        <v>45784.374328703707</v>
      </c>
      <c r="L9740">
        <v>129</v>
      </c>
      <c r="M9740">
        <v>0</v>
      </c>
      <c r="N9740" s="98" t="str">
        <f>IF(record[[#This Row],[Memo]]="Browser:chrome os:android","平板報工",IF(record[[#This Row],[Memo]]=0,"委外",record[[#This Row],[Memo]]))</f>
        <v/>
      </c>
      <c r="O9740" t="s">
        <v>58</v>
      </c>
      <c r="P9740" t="s">
        <v>119</v>
      </c>
      <c r="Q9740" t="s">
        <v>58</v>
      </c>
      <c r="R9740" t="str">
        <f>IFERROR(VLOOKUP(record[[#This Row],[PCUSTID]],廠商[],2,FALSE),"")</f>
        <v/>
      </c>
      <c r="S9740" t="str">
        <f>VLOOKUP(record[[#This Row],[employeeID]],員工[],2,FALSE)</f>
        <v>廖俊彥</v>
      </c>
    </row>
    <row r="9741" spans="6:19" hidden="1" x14ac:dyDescent="0.25">
      <c r="F9741" t="s">
        <v>778</v>
      </c>
      <c r="G9741" t="s">
        <v>416</v>
      </c>
      <c r="H9741" t="str">
        <f>VLOOKUP(record[[#This Row],[ProcessSN]],表格2_7[],2,FALSE)</f>
        <v>30-4118-018-5XX</v>
      </c>
      <c r="I9741" t="str">
        <f>VLOOKUP(record[[#This Row],[ProcessSN]],表格2_7[],3,FALSE)</f>
        <v>#05</v>
      </c>
      <c r="J9741" t="s">
        <v>588</v>
      </c>
      <c r="K9741" s="195">
        <v>45784.373194444444</v>
      </c>
      <c r="L9741">
        <v>242</v>
      </c>
      <c r="M9741">
        <v>0</v>
      </c>
      <c r="N9741" s="98" t="str">
        <f>IF(record[[#This Row],[Memo]]="Browser:chrome os:android","平板報工",IF(record[[#This Row],[Memo]]=0,"委外",record[[#This Row],[Memo]]))</f>
        <v/>
      </c>
      <c r="O9741" t="s">
        <v>58</v>
      </c>
      <c r="P9741" t="s">
        <v>119</v>
      </c>
      <c r="Q9741" t="s">
        <v>58</v>
      </c>
      <c r="R9741" t="str">
        <f>IFERROR(VLOOKUP(record[[#This Row],[PCUSTID]],廠商[],2,FALSE),"")</f>
        <v/>
      </c>
      <c r="S9741" t="str">
        <f>VLOOKUP(record[[#This Row],[employeeID]],員工[],2,FALSE)</f>
        <v>廖俊彥</v>
      </c>
    </row>
    <row r="9742" spans="6:19" hidden="1" x14ac:dyDescent="0.25">
      <c r="F9742" t="s">
        <v>778</v>
      </c>
      <c r="G9742" t="s">
        <v>415</v>
      </c>
      <c r="H9742" t="str">
        <f>VLOOKUP(record[[#This Row],[ProcessSN]],表格2_7[],2,FALSE)</f>
        <v>30-4118-018-5XX</v>
      </c>
      <c r="I9742" t="str">
        <f>VLOOKUP(record[[#This Row],[ProcessSN]],表格2_7[],3,FALSE)</f>
        <v>#04</v>
      </c>
      <c r="J9742" t="s">
        <v>588</v>
      </c>
      <c r="K9742" s="195">
        <v>45783.642187500001</v>
      </c>
      <c r="L9742">
        <v>135</v>
      </c>
      <c r="M9742">
        <v>0</v>
      </c>
      <c r="N9742" s="98" t="str">
        <f>IF(record[[#This Row],[Memo]]="Browser:chrome os:android","平板報工",IF(record[[#This Row],[Memo]]=0,"委外",record[[#This Row],[Memo]]))</f>
        <v/>
      </c>
      <c r="O9742" t="s">
        <v>58</v>
      </c>
      <c r="P9742" t="s">
        <v>119</v>
      </c>
      <c r="Q9742" t="s">
        <v>58</v>
      </c>
      <c r="R9742" t="str">
        <f>IFERROR(VLOOKUP(record[[#This Row],[PCUSTID]],廠商[],2,FALSE),"")</f>
        <v/>
      </c>
      <c r="S9742" t="str">
        <f>VLOOKUP(record[[#This Row],[employeeID]],員工[],2,FALSE)</f>
        <v>廖俊彥</v>
      </c>
    </row>
    <row r="9743" spans="6:19" hidden="1" x14ac:dyDescent="0.25">
      <c r="F9743" t="s">
        <v>778</v>
      </c>
      <c r="G9743" t="s">
        <v>416</v>
      </c>
      <c r="H9743" t="str">
        <f>VLOOKUP(record[[#This Row],[ProcessSN]],表格2_7[],2,FALSE)</f>
        <v>30-4118-018-5XX</v>
      </c>
      <c r="I9743" t="str">
        <f>VLOOKUP(record[[#This Row],[ProcessSN]],表格2_7[],3,FALSE)</f>
        <v>#05</v>
      </c>
      <c r="J9743" t="s">
        <v>588</v>
      </c>
      <c r="K9743" s="195">
        <v>45783.641643518517</v>
      </c>
      <c r="L9743">
        <v>157</v>
      </c>
      <c r="M9743">
        <v>1</v>
      </c>
      <c r="N9743" s="98" t="str">
        <f>IF(record[[#This Row],[Memo]]="Browser:chrome os:android","平板報工",IF(record[[#This Row],[Memo]]=0,"委外",record[[#This Row],[Memo]]))</f>
        <v/>
      </c>
      <c r="O9743" t="s">
        <v>58</v>
      </c>
      <c r="P9743" t="s">
        <v>119</v>
      </c>
      <c r="Q9743" t="s">
        <v>58</v>
      </c>
      <c r="R9743" t="str">
        <f>IFERROR(VLOOKUP(record[[#This Row],[PCUSTID]],廠商[],2,FALSE),"")</f>
        <v/>
      </c>
      <c r="S9743" t="str">
        <f>VLOOKUP(record[[#This Row],[employeeID]],員工[],2,FALSE)</f>
        <v>廖俊彥</v>
      </c>
    </row>
    <row r="9744" spans="6:19" hidden="1" x14ac:dyDescent="0.25">
      <c r="F9744" t="s">
        <v>739</v>
      </c>
      <c r="G9744" t="s">
        <v>428</v>
      </c>
      <c r="H9744" t="str">
        <f>VLOOKUP(record[[#This Row],[ProcessSN]],表格2_7[],2,FALSE)</f>
        <v>30-4118-018-600</v>
      </c>
      <c r="I9744" t="str">
        <f>VLOOKUP(record[[#This Row],[ProcessSN]],表格2_7[],3,FALSE)</f>
        <v>#100SHIP</v>
      </c>
      <c r="J9744" t="s">
        <v>600</v>
      </c>
      <c r="K9744" s="195">
        <v>45783.554050925923</v>
      </c>
      <c r="L9744">
        <v>70</v>
      </c>
      <c r="M9744">
        <v>0</v>
      </c>
      <c r="N9744" s="98" t="str">
        <f>IF(record[[#This Row],[Memo]]="Browser:chrome os:android","平板報工",IF(record[[#This Row],[Memo]]=0,"委外",record[[#This Row],[Memo]]))</f>
        <v/>
      </c>
      <c r="O9744" t="s">
        <v>58</v>
      </c>
      <c r="P9744" t="s">
        <v>196</v>
      </c>
      <c r="Q9744" t="s">
        <v>58</v>
      </c>
      <c r="R9744" t="str">
        <f>IFERROR(VLOOKUP(record[[#This Row],[PCUSTID]],廠商[],2,FALSE),"")</f>
        <v/>
      </c>
      <c r="S9744" t="str">
        <f>VLOOKUP(record[[#This Row],[employeeID]],員工[],2,FALSE)</f>
        <v>張淑惠</v>
      </c>
    </row>
    <row r="9745" spans="6:19" hidden="1" x14ac:dyDescent="0.25">
      <c r="F9745" t="s">
        <v>737</v>
      </c>
      <c r="G9745" t="s">
        <v>428</v>
      </c>
      <c r="H9745" t="str">
        <f>VLOOKUP(record[[#This Row],[ProcessSN]],表格2_7[],2,FALSE)</f>
        <v>30-4118-018-600</v>
      </c>
      <c r="I9745" t="str">
        <f>VLOOKUP(record[[#This Row],[ProcessSN]],表格2_7[],3,FALSE)</f>
        <v>#100SHIP</v>
      </c>
      <c r="J9745" t="s">
        <v>600</v>
      </c>
      <c r="K9745" s="195">
        <v>45783.553923611114</v>
      </c>
      <c r="L9745">
        <v>6</v>
      </c>
      <c r="M9745">
        <v>0</v>
      </c>
      <c r="N9745" s="98" t="str">
        <f>IF(record[[#This Row],[Memo]]="Browser:chrome os:android","平板報工",IF(record[[#This Row],[Memo]]=0,"委外",record[[#This Row],[Memo]]))</f>
        <v/>
      </c>
      <c r="O9745" t="s">
        <v>58</v>
      </c>
      <c r="P9745" t="s">
        <v>196</v>
      </c>
      <c r="Q9745" t="s">
        <v>58</v>
      </c>
      <c r="R9745" t="str">
        <f>IFERROR(VLOOKUP(record[[#This Row],[PCUSTID]],廠商[],2,FALSE),"")</f>
        <v/>
      </c>
      <c r="S9745" t="str">
        <f>VLOOKUP(record[[#This Row],[employeeID]],員工[],2,FALSE)</f>
        <v>張淑惠</v>
      </c>
    </row>
    <row r="9746" spans="6:19" hidden="1" x14ac:dyDescent="0.25">
      <c r="F9746" t="s">
        <v>775</v>
      </c>
      <c r="G9746" t="s">
        <v>403</v>
      </c>
      <c r="H9746" t="str">
        <f>VLOOKUP(record[[#This Row],[ProcessSN]],表格2_7[],2,FALSE)</f>
        <v>30-4118-018-550</v>
      </c>
      <c r="I9746" t="str">
        <f>VLOOKUP(record[[#This Row],[ProcessSN]],表格2_7[],3,FALSE)</f>
        <v>#100SHIP</v>
      </c>
      <c r="J9746" t="s">
        <v>600</v>
      </c>
      <c r="K9746" s="195">
        <v>45783.553773148145</v>
      </c>
      <c r="L9746">
        <v>48</v>
      </c>
      <c r="M9746">
        <v>0</v>
      </c>
      <c r="N9746" s="98" t="str">
        <f>IF(record[[#This Row],[Memo]]="Browser:chrome os:android","平板報工",IF(record[[#This Row],[Memo]]=0,"委外",record[[#This Row],[Memo]]))</f>
        <v/>
      </c>
      <c r="O9746" t="s">
        <v>58</v>
      </c>
      <c r="P9746" t="s">
        <v>196</v>
      </c>
      <c r="Q9746" t="s">
        <v>58</v>
      </c>
      <c r="R9746" t="str">
        <f>IFERROR(VLOOKUP(record[[#This Row],[PCUSTID]],廠商[],2,FALSE),"")</f>
        <v/>
      </c>
      <c r="S9746" t="str">
        <f>VLOOKUP(record[[#This Row],[employeeID]],員工[],2,FALSE)</f>
        <v>張淑惠</v>
      </c>
    </row>
    <row r="9747" spans="6:19" hidden="1" x14ac:dyDescent="0.25">
      <c r="F9747" t="s">
        <v>772</v>
      </c>
      <c r="G9747" t="s">
        <v>403</v>
      </c>
      <c r="H9747" t="str">
        <f>VLOOKUP(record[[#This Row],[ProcessSN]],表格2_7[],2,FALSE)</f>
        <v>30-4118-018-550</v>
      </c>
      <c r="I9747" t="str">
        <f>VLOOKUP(record[[#This Row],[ProcessSN]],表格2_7[],3,FALSE)</f>
        <v>#100SHIP</v>
      </c>
      <c r="J9747" t="s">
        <v>600</v>
      </c>
      <c r="K9747" s="195">
        <v>45783.55363425926</v>
      </c>
      <c r="L9747">
        <v>283</v>
      </c>
      <c r="M9747">
        <v>0</v>
      </c>
      <c r="N9747" s="98" t="str">
        <f>IF(record[[#This Row],[Memo]]="Browser:chrome os:android","平板報工",IF(record[[#This Row],[Memo]]=0,"委外",record[[#This Row],[Memo]]))</f>
        <v/>
      </c>
      <c r="O9747" t="s">
        <v>58</v>
      </c>
      <c r="P9747" t="s">
        <v>196</v>
      </c>
      <c r="Q9747" t="s">
        <v>58</v>
      </c>
      <c r="R9747" t="str">
        <f>IFERROR(VLOOKUP(record[[#This Row],[PCUSTID]],廠商[],2,FALSE),"")</f>
        <v/>
      </c>
      <c r="S9747" t="str">
        <f>VLOOKUP(record[[#This Row],[employeeID]],員工[],2,FALSE)</f>
        <v>張淑惠</v>
      </c>
    </row>
    <row r="9748" spans="6:19" hidden="1" x14ac:dyDescent="0.25">
      <c r="F9748" t="s">
        <v>752</v>
      </c>
      <c r="G9748" t="s">
        <v>419</v>
      </c>
      <c r="H9748" t="str">
        <f>VLOOKUP(record[[#This Row],[ProcessSN]],表格2_7[],2,FALSE)</f>
        <v>30-4118-018-5XX</v>
      </c>
      <c r="I9748" t="str">
        <f>VLOOKUP(record[[#This Row],[ProcessSN]],表格2_7[],3,FALSE)</f>
        <v>#07QC</v>
      </c>
      <c r="J9748" t="s">
        <v>589</v>
      </c>
      <c r="K9748" s="195">
        <v>45783.391446759262</v>
      </c>
      <c r="L9748">
        <v>22</v>
      </c>
      <c r="M9748">
        <v>0</v>
      </c>
      <c r="N9748" s="98" t="str">
        <f>IF(record[[#This Row],[Memo]]="Browser:chrome os:android","平板報工",IF(record[[#This Row],[Memo]]=0,"委外",record[[#This Row],[Memo]]))</f>
        <v>平板報工</v>
      </c>
      <c r="O9748" t="s">
        <v>643</v>
      </c>
      <c r="P9748" t="s">
        <v>141</v>
      </c>
      <c r="Q9748" t="s">
        <v>644</v>
      </c>
      <c r="R9748" t="str">
        <f>IFERROR(VLOOKUP(record[[#This Row],[PCUSTID]],廠商[],2,FALSE),"")</f>
        <v/>
      </c>
      <c r="S9748" t="str">
        <f>VLOOKUP(record[[#This Row],[employeeID]],員工[],2,FALSE)</f>
        <v>蔣梅</v>
      </c>
    </row>
    <row r="9749" spans="6:19" hidden="1" x14ac:dyDescent="0.25">
      <c r="F9749" t="s">
        <v>778</v>
      </c>
      <c r="G9749" t="s">
        <v>415</v>
      </c>
      <c r="H9749" t="str">
        <f>VLOOKUP(record[[#This Row],[ProcessSN]],表格2_7[],2,FALSE)</f>
        <v>30-4118-018-5XX</v>
      </c>
      <c r="I9749" t="str">
        <f>VLOOKUP(record[[#This Row],[ProcessSN]],表格2_7[],3,FALSE)</f>
        <v>#04</v>
      </c>
      <c r="J9749" t="s">
        <v>588</v>
      </c>
      <c r="K9749" s="195">
        <v>45783.300405092596</v>
      </c>
      <c r="L9749">
        <v>129</v>
      </c>
      <c r="M9749">
        <v>0</v>
      </c>
      <c r="N9749" s="98" t="str">
        <f>IF(record[[#This Row],[Memo]]="Browser:chrome os:android","平板報工",IF(record[[#This Row],[Memo]]=0,"委外",record[[#This Row],[Memo]]))</f>
        <v/>
      </c>
      <c r="O9749" t="s">
        <v>58</v>
      </c>
      <c r="P9749" t="s">
        <v>135</v>
      </c>
      <c r="Q9749" t="s">
        <v>58</v>
      </c>
      <c r="R9749" t="str">
        <f>IFERROR(VLOOKUP(record[[#This Row],[PCUSTID]],廠商[],2,FALSE),"")</f>
        <v/>
      </c>
      <c r="S9749" t="str">
        <f>VLOOKUP(record[[#This Row],[employeeID]],員工[],2,FALSE)</f>
        <v>阮士文</v>
      </c>
    </row>
    <row r="9750" spans="6:19" hidden="1" x14ac:dyDescent="0.25">
      <c r="F9750" t="s">
        <v>778</v>
      </c>
      <c r="G9750" t="s">
        <v>415</v>
      </c>
      <c r="H9750" t="str">
        <f>VLOOKUP(record[[#This Row],[ProcessSN]],表格2_7[],2,FALSE)</f>
        <v>30-4118-018-5XX</v>
      </c>
      <c r="I9750" t="str">
        <f>VLOOKUP(record[[#This Row],[ProcessSN]],表格2_7[],3,FALSE)</f>
        <v>#04</v>
      </c>
      <c r="J9750" t="s">
        <v>588</v>
      </c>
      <c r="K9750" s="195">
        <v>45782.989699074074</v>
      </c>
      <c r="L9750">
        <v>129</v>
      </c>
      <c r="M9750">
        <v>0</v>
      </c>
      <c r="N9750" s="98" t="str">
        <f>IF(record[[#This Row],[Memo]]="Browser:chrome os:android","平板報工",IF(record[[#This Row],[Memo]]=0,"委外",record[[#This Row],[Memo]]))</f>
        <v/>
      </c>
      <c r="O9750" t="s">
        <v>58</v>
      </c>
      <c r="P9750" t="s">
        <v>89</v>
      </c>
      <c r="Q9750" t="s">
        <v>58</v>
      </c>
      <c r="R9750" t="str">
        <f>IFERROR(VLOOKUP(record[[#This Row],[PCUSTID]],廠商[],2,FALSE),"")</f>
        <v/>
      </c>
      <c r="S9750" t="str">
        <f>VLOOKUP(record[[#This Row],[employeeID]],員工[],2,FALSE)</f>
        <v>李美蓮</v>
      </c>
    </row>
    <row r="9751" spans="6:19" hidden="1" x14ac:dyDescent="0.25">
      <c r="F9751" t="s">
        <v>778</v>
      </c>
      <c r="G9751" t="s">
        <v>415</v>
      </c>
      <c r="H9751" t="str">
        <f>VLOOKUP(record[[#This Row],[ProcessSN]],表格2_7[],2,FALSE)</f>
        <v>30-4118-018-5XX</v>
      </c>
      <c r="I9751" t="str">
        <f>VLOOKUP(record[[#This Row],[ProcessSN]],表格2_7[],3,FALSE)</f>
        <v>#04</v>
      </c>
      <c r="J9751" t="s">
        <v>588</v>
      </c>
      <c r="K9751" s="195">
        <v>45782.677465277775</v>
      </c>
      <c r="L9751">
        <v>119</v>
      </c>
      <c r="M9751">
        <v>0</v>
      </c>
      <c r="N9751" s="98" t="str">
        <f>IF(record[[#This Row],[Memo]]="Browser:chrome os:android","平板報工",IF(record[[#This Row],[Memo]]=0,"委外",record[[#This Row],[Memo]]))</f>
        <v/>
      </c>
      <c r="O9751" t="s">
        <v>58</v>
      </c>
      <c r="P9751" t="s">
        <v>119</v>
      </c>
      <c r="Q9751" t="s">
        <v>58</v>
      </c>
      <c r="R9751" t="str">
        <f>IFERROR(VLOOKUP(record[[#This Row],[PCUSTID]],廠商[],2,FALSE),"")</f>
        <v/>
      </c>
      <c r="S9751" t="str">
        <f>VLOOKUP(record[[#This Row],[employeeID]],員工[],2,FALSE)</f>
        <v>廖俊彥</v>
      </c>
    </row>
    <row r="9752" spans="6:19" hidden="1" x14ac:dyDescent="0.25">
      <c r="F9752" t="s">
        <v>778</v>
      </c>
      <c r="G9752" t="s">
        <v>416</v>
      </c>
      <c r="H9752" t="str">
        <f>VLOOKUP(record[[#This Row],[ProcessSN]],表格2_7[],2,FALSE)</f>
        <v>30-4118-018-5XX</v>
      </c>
      <c r="I9752" t="str">
        <f>VLOOKUP(record[[#This Row],[ProcessSN]],表格2_7[],3,FALSE)</f>
        <v>#05</v>
      </c>
      <c r="J9752" t="s">
        <v>588</v>
      </c>
      <c r="K9752" s="195">
        <v>45782.674525462964</v>
      </c>
      <c r="L9752">
        <v>195</v>
      </c>
      <c r="M9752">
        <v>0</v>
      </c>
      <c r="N9752" s="98" t="str">
        <f>IF(record[[#This Row],[Memo]]="Browser:chrome os:android","平板報工",IF(record[[#This Row],[Memo]]=0,"委外",record[[#This Row],[Memo]]))</f>
        <v/>
      </c>
      <c r="O9752" t="s">
        <v>58</v>
      </c>
      <c r="P9752" t="s">
        <v>119</v>
      </c>
      <c r="Q9752" t="s">
        <v>58</v>
      </c>
      <c r="R9752" t="str">
        <f>IFERROR(VLOOKUP(record[[#This Row],[PCUSTID]],廠商[],2,FALSE),"")</f>
        <v/>
      </c>
      <c r="S9752" t="str">
        <f>VLOOKUP(record[[#This Row],[employeeID]],員工[],2,FALSE)</f>
        <v>廖俊彥</v>
      </c>
    </row>
    <row r="9753" spans="6:19" hidden="1" x14ac:dyDescent="0.25">
      <c r="F9753" t="s">
        <v>744</v>
      </c>
      <c r="G9753" t="s">
        <v>427</v>
      </c>
      <c r="H9753" t="str">
        <f>VLOOKUP(record[[#This Row],[ProcessSN]],表格2_7[],2,FALSE)</f>
        <v>30-4118-018-600</v>
      </c>
      <c r="I9753" t="str">
        <f>VLOOKUP(record[[#This Row],[ProcessSN]],表格2_7[],3,FALSE)</f>
        <v>#100STOCK</v>
      </c>
      <c r="J9753" t="s">
        <v>592</v>
      </c>
      <c r="K9753" s="195">
        <v>45782.605138888888</v>
      </c>
      <c r="L9753">
        <v>10</v>
      </c>
      <c r="M9753">
        <v>0</v>
      </c>
      <c r="N9753" s="98" t="str">
        <f>IF(record[[#This Row],[Memo]]="Browser:chrome os:android","平板報工",IF(record[[#This Row],[Memo]]=0,"委外",record[[#This Row],[Memo]]))</f>
        <v/>
      </c>
      <c r="O9753" t="s">
        <v>58</v>
      </c>
      <c r="P9753" t="s">
        <v>196</v>
      </c>
      <c r="Q9753" t="s">
        <v>58</v>
      </c>
      <c r="R9753" t="str">
        <f>IFERROR(VLOOKUP(record[[#This Row],[PCUSTID]],廠商[],2,FALSE),"")</f>
        <v/>
      </c>
      <c r="S9753" t="str">
        <f>VLOOKUP(record[[#This Row],[employeeID]],員工[],2,FALSE)</f>
        <v>張淑惠</v>
      </c>
    </row>
    <row r="9754" spans="6:19" hidden="1" x14ac:dyDescent="0.25">
      <c r="F9754" t="s">
        <v>739</v>
      </c>
      <c r="G9754" t="s">
        <v>427</v>
      </c>
      <c r="H9754" t="str">
        <f>VLOOKUP(record[[#This Row],[ProcessSN]],表格2_7[],2,FALSE)</f>
        <v>30-4118-018-600</v>
      </c>
      <c r="I9754" t="str">
        <f>VLOOKUP(record[[#This Row],[ProcessSN]],表格2_7[],3,FALSE)</f>
        <v>#100STOCK</v>
      </c>
      <c r="J9754" t="s">
        <v>592</v>
      </c>
      <c r="K9754" s="195">
        <v>45782.605023148149</v>
      </c>
      <c r="L9754">
        <v>8</v>
      </c>
      <c r="M9754">
        <v>0</v>
      </c>
      <c r="N9754" s="98" t="str">
        <f>IF(record[[#This Row],[Memo]]="Browser:chrome os:android","平板報工",IF(record[[#This Row],[Memo]]=0,"委外",record[[#This Row],[Memo]]))</f>
        <v/>
      </c>
      <c r="O9754" t="s">
        <v>58</v>
      </c>
      <c r="P9754" t="s">
        <v>196</v>
      </c>
      <c r="Q9754" t="s">
        <v>58</v>
      </c>
      <c r="R9754" t="str">
        <f>IFERROR(VLOOKUP(record[[#This Row],[PCUSTID]],廠商[],2,FALSE),"")</f>
        <v/>
      </c>
      <c r="S9754" t="str">
        <f>VLOOKUP(record[[#This Row],[employeeID]],員工[],2,FALSE)</f>
        <v>張淑惠</v>
      </c>
    </row>
    <row r="9755" spans="6:19" hidden="1" x14ac:dyDescent="0.25">
      <c r="F9755" t="s">
        <v>737</v>
      </c>
      <c r="G9755" t="s">
        <v>427</v>
      </c>
      <c r="H9755" t="str">
        <f>VLOOKUP(record[[#This Row],[ProcessSN]],表格2_7[],2,FALSE)</f>
        <v>30-4118-018-600</v>
      </c>
      <c r="I9755" t="str">
        <f>VLOOKUP(record[[#This Row],[ProcessSN]],表格2_7[],3,FALSE)</f>
        <v>#100STOCK</v>
      </c>
      <c r="J9755" t="s">
        <v>592</v>
      </c>
      <c r="K9755" s="195">
        <v>45782.60491898148</v>
      </c>
      <c r="L9755">
        <v>6</v>
      </c>
      <c r="M9755">
        <v>0</v>
      </c>
      <c r="N9755" s="98" t="str">
        <f>IF(record[[#This Row],[Memo]]="Browser:chrome os:android","平板報工",IF(record[[#This Row],[Memo]]=0,"委外",record[[#This Row],[Memo]]))</f>
        <v/>
      </c>
      <c r="O9755" t="s">
        <v>58</v>
      </c>
      <c r="P9755" t="s">
        <v>196</v>
      </c>
      <c r="Q9755" t="s">
        <v>58</v>
      </c>
      <c r="R9755" t="str">
        <f>IFERROR(VLOOKUP(record[[#This Row],[PCUSTID]],廠商[],2,FALSE),"")</f>
        <v/>
      </c>
      <c r="S9755" t="str">
        <f>VLOOKUP(record[[#This Row],[employeeID]],員工[],2,FALSE)</f>
        <v>張淑惠</v>
      </c>
    </row>
    <row r="9756" spans="6:19" hidden="1" x14ac:dyDescent="0.25">
      <c r="F9756" t="s">
        <v>784</v>
      </c>
      <c r="G9756" t="s">
        <v>402</v>
      </c>
      <c r="H9756" t="str">
        <f>VLOOKUP(record[[#This Row],[ProcessSN]],表格2_7[],2,FALSE)</f>
        <v>30-4118-018-550</v>
      </c>
      <c r="I9756" t="str">
        <f>VLOOKUP(record[[#This Row],[ProcessSN]],表格2_7[],3,FALSE)</f>
        <v>#100STOCK</v>
      </c>
      <c r="J9756" t="s">
        <v>592</v>
      </c>
      <c r="K9756" s="195">
        <v>45782.589467592596</v>
      </c>
      <c r="L9756">
        <v>352</v>
      </c>
      <c r="M9756">
        <v>0</v>
      </c>
      <c r="N9756" s="98" t="str">
        <f>IF(record[[#This Row],[Memo]]="Browser:chrome os:android","平板報工",IF(record[[#This Row],[Memo]]=0,"委外",record[[#This Row],[Memo]]))</f>
        <v/>
      </c>
      <c r="O9756" t="s">
        <v>58</v>
      </c>
      <c r="P9756" t="s">
        <v>196</v>
      </c>
      <c r="Q9756" t="s">
        <v>58</v>
      </c>
      <c r="R9756" t="str">
        <f>IFERROR(VLOOKUP(record[[#This Row],[PCUSTID]],廠商[],2,FALSE),"")</f>
        <v/>
      </c>
      <c r="S9756" t="str">
        <f>VLOOKUP(record[[#This Row],[employeeID]],員工[],2,FALSE)</f>
        <v>張淑惠</v>
      </c>
    </row>
    <row r="9757" spans="6:19" hidden="1" x14ac:dyDescent="0.25">
      <c r="F9757" t="s">
        <v>783</v>
      </c>
      <c r="G9757" t="s">
        <v>402</v>
      </c>
      <c r="H9757" t="str">
        <f>VLOOKUP(record[[#This Row],[ProcessSN]],表格2_7[],2,FALSE)</f>
        <v>30-4118-018-550</v>
      </c>
      <c r="I9757" t="str">
        <f>VLOOKUP(record[[#This Row],[ProcessSN]],表格2_7[],3,FALSE)</f>
        <v>#100STOCK</v>
      </c>
      <c r="J9757" t="s">
        <v>592</v>
      </c>
      <c r="K9757" s="195">
        <v>45782.58934027778</v>
      </c>
      <c r="L9757">
        <v>298</v>
      </c>
      <c r="M9757">
        <v>0</v>
      </c>
      <c r="N9757" s="98" t="str">
        <f>IF(record[[#This Row],[Memo]]="Browser:chrome os:android","平板報工",IF(record[[#This Row],[Memo]]=0,"委外",record[[#This Row],[Memo]]))</f>
        <v/>
      </c>
      <c r="O9757" t="s">
        <v>58</v>
      </c>
      <c r="P9757" t="s">
        <v>196</v>
      </c>
      <c r="Q9757" t="s">
        <v>58</v>
      </c>
      <c r="R9757" t="str">
        <f>IFERROR(VLOOKUP(record[[#This Row],[PCUSTID]],廠商[],2,FALSE),"")</f>
        <v/>
      </c>
      <c r="S9757" t="str">
        <f>VLOOKUP(record[[#This Row],[employeeID]],員工[],2,FALSE)</f>
        <v>張淑惠</v>
      </c>
    </row>
    <row r="9758" spans="6:19" hidden="1" x14ac:dyDescent="0.25">
      <c r="F9758" t="s">
        <v>739</v>
      </c>
      <c r="G9758" t="s">
        <v>428</v>
      </c>
      <c r="H9758" t="str">
        <f>VLOOKUP(record[[#This Row],[ProcessSN]],表格2_7[],2,FALSE)</f>
        <v>30-4118-018-600</v>
      </c>
      <c r="I9758" t="str">
        <f>VLOOKUP(record[[#This Row],[ProcessSN]],表格2_7[],3,FALSE)</f>
        <v>#100SHIP</v>
      </c>
      <c r="J9758" t="s">
        <v>600</v>
      </c>
      <c r="K9758" s="195">
        <v>45782.396747685183</v>
      </c>
      <c r="L9758">
        <v>20</v>
      </c>
      <c r="M9758">
        <v>0</v>
      </c>
      <c r="N9758" s="98" t="str">
        <f>IF(record[[#This Row],[Memo]]="Browser:chrome os:android","平板報工",IF(record[[#This Row],[Memo]]=0,"委外",record[[#This Row],[Memo]]))</f>
        <v/>
      </c>
      <c r="O9758" t="s">
        <v>58</v>
      </c>
      <c r="P9758" t="s">
        <v>196</v>
      </c>
      <c r="Q9758" t="s">
        <v>58</v>
      </c>
      <c r="R9758" t="str">
        <f>IFERROR(VLOOKUP(record[[#This Row],[PCUSTID]],廠商[],2,FALSE),"")</f>
        <v/>
      </c>
      <c r="S9758" t="str">
        <f>VLOOKUP(record[[#This Row],[employeeID]],員工[],2,FALSE)</f>
        <v>張淑惠</v>
      </c>
    </row>
    <row r="9759" spans="6:19" hidden="1" x14ac:dyDescent="0.25">
      <c r="F9759" t="s">
        <v>737</v>
      </c>
      <c r="G9759" t="s">
        <v>428</v>
      </c>
      <c r="H9759" t="str">
        <f>VLOOKUP(record[[#This Row],[ProcessSN]],表格2_7[],2,FALSE)</f>
        <v>30-4118-018-600</v>
      </c>
      <c r="I9759" t="str">
        <f>VLOOKUP(record[[#This Row],[ProcessSN]],表格2_7[],3,FALSE)</f>
        <v>#100SHIP</v>
      </c>
      <c r="J9759" t="s">
        <v>600</v>
      </c>
      <c r="K9759" s="195">
        <v>45782.396620370368</v>
      </c>
      <c r="L9759">
        <v>124</v>
      </c>
      <c r="M9759">
        <v>0</v>
      </c>
      <c r="N9759" s="98" t="str">
        <f>IF(record[[#This Row],[Memo]]="Browser:chrome os:android","平板報工",IF(record[[#This Row],[Memo]]=0,"委外",record[[#This Row],[Memo]]))</f>
        <v/>
      </c>
      <c r="O9759" t="s">
        <v>58</v>
      </c>
      <c r="P9759" t="s">
        <v>196</v>
      </c>
      <c r="Q9759" t="s">
        <v>58</v>
      </c>
      <c r="R9759" t="str">
        <f>IFERROR(VLOOKUP(record[[#This Row],[PCUSTID]],廠商[],2,FALSE),"")</f>
        <v/>
      </c>
      <c r="S9759" t="str">
        <f>VLOOKUP(record[[#This Row],[employeeID]],員工[],2,FALSE)</f>
        <v>張淑惠</v>
      </c>
    </row>
    <row r="9760" spans="6:19" hidden="1" x14ac:dyDescent="0.25">
      <c r="F9760" t="s">
        <v>733</v>
      </c>
      <c r="G9760" t="s">
        <v>428</v>
      </c>
      <c r="H9760" t="str">
        <f>VLOOKUP(record[[#This Row],[ProcessSN]],表格2_7[],2,FALSE)</f>
        <v>30-4118-018-600</v>
      </c>
      <c r="I9760" t="str">
        <f>VLOOKUP(record[[#This Row],[ProcessSN]],表格2_7[],3,FALSE)</f>
        <v>#100SHIP</v>
      </c>
      <c r="J9760" t="s">
        <v>600</v>
      </c>
      <c r="K9760" s="195">
        <v>45782.396469907406</v>
      </c>
      <c r="L9760">
        <v>15</v>
      </c>
      <c r="M9760">
        <v>0</v>
      </c>
      <c r="N9760" s="98" t="str">
        <f>IF(record[[#This Row],[Memo]]="Browser:chrome os:android","平板報工",IF(record[[#This Row],[Memo]]=0,"委外",record[[#This Row],[Memo]]))</f>
        <v/>
      </c>
      <c r="O9760" t="s">
        <v>58</v>
      </c>
      <c r="P9760" t="s">
        <v>196</v>
      </c>
      <c r="Q9760" t="s">
        <v>58</v>
      </c>
      <c r="R9760" t="str">
        <f>IFERROR(VLOOKUP(record[[#This Row],[PCUSTID]],廠商[],2,FALSE),"")</f>
        <v/>
      </c>
      <c r="S9760" t="str">
        <f>VLOOKUP(record[[#This Row],[employeeID]],員工[],2,FALSE)</f>
        <v>張淑惠</v>
      </c>
    </row>
    <row r="9761" spans="6:19" hidden="1" x14ac:dyDescent="0.25">
      <c r="F9761" t="s">
        <v>778</v>
      </c>
      <c r="G9761" t="s">
        <v>415</v>
      </c>
      <c r="H9761" t="str">
        <f>VLOOKUP(record[[#This Row],[ProcessSN]],表格2_7[],2,FALSE)</f>
        <v>30-4118-018-5XX</v>
      </c>
      <c r="I9761" t="str">
        <f>VLOOKUP(record[[#This Row],[ProcessSN]],表格2_7[],3,FALSE)</f>
        <v>#04</v>
      </c>
      <c r="J9761" t="s">
        <v>588</v>
      </c>
      <c r="K9761" s="195">
        <v>45780.300127314818</v>
      </c>
      <c r="L9761">
        <v>130</v>
      </c>
      <c r="M9761">
        <v>0</v>
      </c>
      <c r="N9761" s="98" t="str">
        <f>IF(record[[#This Row],[Memo]]="Browser:chrome os:android","平板報工",IF(record[[#This Row],[Memo]]=0,"委外",record[[#This Row],[Memo]]))</f>
        <v/>
      </c>
      <c r="O9761" t="s">
        <v>58</v>
      </c>
      <c r="P9761" t="s">
        <v>135</v>
      </c>
      <c r="Q9761" t="s">
        <v>58</v>
      </c>
      <c r="R9761" t="str">
        <f>IFERROR(VLOOKUP(record[[#This Row],[PCUSTID]],廠商[],2,FALSE),"")</f>
        <v/>
      </c>
      <c r="S9761" t="str">
        <f>VLOOKUP(record[[#This Row],[employeeID]],員工[],2,FALSE)</f>
        <v>阮士文</v>
      </c>
    </row>
    <row r="9762" spans="6:19" hidden="1" x14ac:dyDescent="0.25">
      <c r="F9762" t="s">
        <v>778</v>
      </c>
      <c r="G9762" t="s">
        <v>415</v>
      </c>
      <c r="H9762" t="str">
        <f>VLOOKUP(record[[#This Row],[ProcessSN]],表格2_7[],2,FALSE)</f>
        <v>30-4118-018-5XX</v>
      </c>
      <c r="I9762" t="str">
        <f>VLOOKUP(record[[#This Row],[ProcessSN]],表格2_7[],3,FALSE)</f>
        <v>#04</v>
      </c>
      <c r="J9762" t="s">
        <v>588</v>
      </c>
      <c r="K9762" s="195">
        <v>45779.976342592592</v>
      </c>
      <c r="L9762">
        <v>129</v>
      </c>
      <c r="M9762">
        <v>0</v>
      </c>
      <c r="N9762" s="98" t="str">
        <f>IF(record[[#This Row],[Memo]]="Browser:chrome os:android","平板報工",IF(record[[#This Row],[Memo]]=0,"委外",record[[#This Row],[Memo]]))</f>
        <v/>
      </c>
      <c r="O9762" t="s">
        <v>58</v>
      </c>
      <c r="P9762" t="s">
        <v>89</v>
      </c>
      <c r="Q9762" t="s">
        <v>58</v>
      </c>
      <c r="R9762" t="str">
        <f>IFERROR(VLOOKUP(record[[#This Row],[PCUSTID]],廠商[],2,FALSE),"")</f>
        <v/>
      </c>
      <c r="S9762" t="str">
        <f>VLOOKUP(record[[#This Row],[employeeID]],員工[],2,FALSE)</f>
        <v>李美蓮</v>
      </c>
    </row>
    <row r="9763" spans="6:19" hidden="1" x14ac:dyDescent="0.25">
      <c r="F9763" t="s">
        <v>733</v>
      </c>
      <c r="G9763" t="s">
        <v>428</v>
      </c>
      <c r="H9763" t="str">
        <f>VLOOKUP(record[[#This Row],[ProcessSN]],表格2_7[],2,FALSE)</f>
        <v>30-4118-018-600</v>
      </c>
      <c r="I9763" t="str">
        <f>VLOOKUP(record[[#This Row],[ProcessSN]],表格2_7[],3,FALSE)</f>
        <v>#100SHIP</v>
      </c>
      <c r="J9763" t="s">
        <v>600</v>
      </c>
      <c r="K9763" s="195">
        <v>45779.684166666666</v>
      </c>
      <c r="L9763">
        <v>7</v>
      </c>
      <c r="M9763">
        <v>0</v>
      </c>
      <c r="N9763" s="98" t="str">
        <f>IF(record[[#This Row],[Memo]]="Browser:chrome os:android","平板報工",IF(record[[#This Row],[Memo]]=0,"委外",record[[#This Row],[Memo]]))</f>
        <v/>
      </c>
      <c r="O9763" t="s">
        <v>58</v>
      </c>
      <c r="P9763" t="s">
        <v>196</v>
      </c>
      <c r="Q9763" t="s">
        <v>58</v>
      </c>
      <c r="R9763" t="str">
        <f>IFERROR(VLOOKUP(record[[#This Row],[PCUSTID]],廠商[],2,FALSE),"")</f>
        <v/>
      </c>
      <c r="S9763" t="str">
        <f>VLOOKUP(record[[#This Row],[employeeID]],員工[],2,FALSE)</f>
        <v>張淑惠</v>
      </c>
    </row>
    <row r="9764" spans="6:19" hidden="1" x14ac:dyDescent="0.25">
      <c r="F9764" t="s">
        <v>778</v>
      </c>
      <c r="G9764" t="s">
        <v>415</v>
      </c>
      <c r="H9764" t="str">
        <f>VLOOKUP(record[[#This Row],[ProcessSN]],表格2_7[],2,FALSE)</f>
        <v>30-4118-018-5XX</v>
      </c>
      <c r="I9764" t="str">
        <f>VLOOKUP(record[[#This Row],[ProcessSN]],表格2_7[],3,FALSE)</f>
        <v>#04</v>
      </c>
      <c r="J9764" t="s">
        <v>588</v>
      </c>
      <c r="K9764" s="195">
        <v>45779.648946759262</v>
      </c>
      <c r="L9764">
        <v>133</v>
      </c>
      <c r="M9764">
        <v>0</v>
      </c>
      <c r="N9764" s="98" t="str">
        <f>IF(record[[#This Row],[Memo]]="Browser:chrome os:android","平板報工",IF(record[[#This Row],[Memo]]=0,"委外",record[[#This Row],[Memo]]))</f>
        <v/>
      </c>
      <c r="O9764" t="s">
        <v>58</v>
      </c>
      <c r="P9764" t="s">
        <v>101</v>
      </c>
      <c r="Q9764" t="s">
        <v>58</v>
      </c>
      <c r="R9764" t="str">
        <f>IFERROR(VLOOKUP(record[[#This Row],[PCUSTID]],廠商[],2,FALSE),"")</f>
        <v/>
      </c>
      <c r="S9764" t="str">
        <f>VLOOKUP(record[[#This Row],[employeeID]],員工[],2,FALSE)</f>
        <v>陳氏絨</v>
      </c>
    </row>
    <row r="9765" spans="6:19" hidden="1" x14ac:dyDescent="0.25">
      <c r="F9765" t="s">
        <v>783</v>
      </c>
      <c r="G9765" t="s">
        <v>401</v>
      </c>
      <c r="H9765" t="str">
        <f>VLOOKUP(record[[#This Row],[ProcessSN]],表格2_7[],2,FALSE)</f>
        <v>30-4118-018-550</v>
      </c>
      <c r="I9765" t="str">
        <f>VLOOKUP(record[[#This Row],[ProcessSN]],表格2_7[],3,FALSE)</f>
        <v>#100OQC</v>
      </c>
      <c r="J9765" t="s">
        <v>599</v>
      </c>
      <c r="K9765" s="195">
        <v>45779.497291666667</v>
      </c>
      <c r="L9765">
        <v>298</v>
      </c>
      <c r="M9765">
        <v>0</v>
      </c>
      <c r="N9765" s="98" t="str">
        <f>IF(record[[#This Row],[Memo]]="Browser:chrome os:android","平板報工",IF(record[[#This Row],[Memo]]=0,"委外",record[[#This Row],[Memo]]))</f>
        <v/>
      </c>
      <c r="O9765" t="s">
        <v>58</v>
      </c>
      <c r="P9765" t="s">
        <v>121</v>
      </c>
      <c r="Q9765" t="s">
        <v>58</v>
      </c>
      <c r="R9765" t="str">
        <f>IFERROR(VLOOKUP(record[[#This Row],[PCUSTID]],廠商[],2,FALSE),"")</f>
        <v/>
      </c>
      <c r="S9765" t="str">
        <f>VLOOKUP(record[[#This Row],[employeeID]],員工[],2,FALSE)</f>
        <v>謝素卿</v>
      </c>
    </row>
    <row r="9766" spans="6:19" hidden="1" x14ac:dyDescent="0.25">
      <c r="F9766" t="s">
        <v>784</v>
      </c>
      <c r="G9766" t="s">
        <v>401</v>
      </c>
      <c r="H9766" t="str">
        <f>VLOOKUP(record[[#This Row],[ProcessSN]],表格2_7[],2,FALSE)</f>
        <v>30-4118-018-550</v>
      </c>
      <c r="I9766" t="str">
        <f>VLOOKUP(record[[#This Row],[ProcessSN]],表格2_7[],3,FALSE)</f>
        <v>#100OQC</v>
      </c>
      <c r="J9766" t="s">
        <v>599</v>
      </c>
      <c r="K9766" s="195">
        <v>45779.496886574074</v>
      </c>
      <c r="L9766">
        <v>352</v>
      </c>
      <c r="M9766">
        <v>0</v>
      </c>
      <c r="N9766" s="98" t="str">
        <f>IF(record[[#This Row],[Memo]]="Browser:chrome os:android","平板報工",IF(record[[#This Row],[Memo]]=0,"委外",record[[#This Row],[Memo]]))</f>
        <v/>
      </c>
      <c r="O9766" t="s">
        <v>58</v>
      </c>
      <c r="P9766" t="s">
        <v>121</v>
      </c>
      <c r="Q9766" t="s">
        <v>58</v>
      </c>
      <c r="R9766" t="str">
        <f>IFERROR(VLOOKUP(record[[#This Row],[PCUSTID]],廠商[],2,FALSE),"")</f>
        <v/>
      </c>
      <c r="S9766" t="str">
        <f>VLOOKUP(record[[#This Row],[employeeID]],員工[],2,FALSE)</f>
        <v>謝素卿</v>
      </c>
    </row>
    <row r="9767" spans="6:19" hidden="1" x14ac:dyDescent="0.25">
      <c r="F9767" t="s">
        <v>778</v>
      </c>
      <c r="G9767" t="s">
        <v>415</v>
      </c>
      <c r="H9767" t="str">
        <f>VLOOKUP(record[[#This Row],[ProcessSN]],表格2_7[],2,FALSE)</f>
        <v>30-4118-018-5XX</v>
      </c>
      <c r="I9767" t="str">
        <f>VLOOKUP(record[[#This Row],[ProcessSN]],表格2_7[],3,FALSE)</f>
        <v>#04</v>
      </c>
      <c r="J9767" t="s">
        <v>588</v>
      </c>
      <c r="K9767" s="195">
        <v>45779.316574074073</v>
      </c>
      <c r="L9767">
        <v>117</v>
      </c>
      <c r="M9767">
        <v>1</v>
      </c>
      <c r="N9767" s="98" t="str">
        <f>IF(record[[#This Row],[Memo]]="Browser:chrome os:android","平板報工",IF(record[[#This Row],[Memo]]=0,"委外",record[[#This Row],[Memo]]))</f>
        <v/>
      </c>
      <c r="O9767" t="s">
        <v>58</v>
      </c>
      <c r="P9767" t="s">
        <v>135</v>
      </c>
      <c r="Q9767" t="s">
        <v>58</v>
      </c>
      <c r="R9767" t="str">
        <f>IFERROR(VLOOKUP(record[[#This Row],[PCUSTID]],廠商[],2,FALSE),"")</f>
        <v/>
      </c>
      <c r="S9767" t="str">
        <f>VLOOKUP(record[[#This Row],[employeeID]],員工[],2,FALSE)</f>
        <v>阮士文</v>
      </c>
    </row>
    <row r="9768" spans="6:19" hidden="1" x14ac:dyDescent="0.25">
      <c r="F9768" t="s">
        <v>778</v>
      </c>
      <c r="G9768" t="s">
        <v>415</v>
      </c>
      <c r="H9768" t="str">
        <f>VLOOKUP(record[[#This Row],[ProcessSN]],表格2_7[],2,FALSE)</f>
        <v>30-4118-018-5XX</v>
      </c>
      <c r="I9768" t="str">
        <f>VLOOKUP(record[[#This Row],[ProcessSN]],表格2_7[],3,FALSE)</f>
        <v>#04</v>
      </c>
      <c r="J9768" t="s">
        <v>588</v>
      </c>
      <c r="K9768" s="195">
        <v>45778.645173611112</v>
      </c>
      <c r="L9768">
        <v>62</v>
      </c>
      <c r="M9768">
        <v>0</v>
      </c>
      <c r="N9768" s="98" t="str">
        <f>IF(record[[#This Row],[Memo]]="Browser:chrome os:android","平板報工",IF(record[[#This Row],[Memo]]=0,"委外",record[[#This Row],[Memo]]))</f>
        <v/>
      </c>
      <c r="O9768" t="s">
        <v>58</v>
      </c>
      <c r="P9768" t="s">
        <v>119</v>
      </c>
      <c r="Q9768" t="s">
        <v>58</v>
      </c>
      <c r="R9768" t="str">
        <f>IFERROR(VLOOKUP(record[[#This Row],[PCUSTID]],廠商[],2,FALSE),"")</f>
        <v/>
      </c>
      <c r="S9768" t="str">
        <f>VLOOKUP(record[[#This Row],[employeeID]],員工[],2,FALSE)</f>
        <v>廖俊彥</v>
      </c>
    </row>
    <row r="9769" spans="6:19" hidden="1" x14ac:dyDescent="0.25">
      <c r="F9769" t="s">
        <v>778</v>
      </c>
      <c r="G9769" t="s">
        <v>415</v>
      </c>
      <c r="H9769" t="str">
        <f>VLOOKUP(record[[#This Row],[ProcessSN]],表格2_7[],2,FALSE)</f>
        <v>30-4118-018-5XX</v>
      </c>
      <c r="I9769" t="str">
        <f>VLOOKUP(record[[#This Row],[ProcessSN]],表格2_7[],3,FALSE)</f>
        <v>#04</v>
      </c>
      <c r="J9769" t="s">
        <v>588</v>
      </c>
      <c r="K9769" s="195">
        <v>45778.302511574075</v>
      </c>
      <c r="L9769">
        <v>137</v>
      </c>
      <c r="M9769">
        <v>0</v>
      </c>
      <c r="N9769" s="98" t="str">
        <f>IF(record[[#This Row],[Memo]]="Browser:chrome os:android","平板報工",IF(record[[#This Row],[Memo]]=0,"委外",record[[#This Row],[Memo]]))</f>
        <v/>
      </c>
      <c r="O9769" t="s">
        <v>58</v>
      </c>
      <c r="P9769" t="s">
        <v>135</v>
      </c>
      <c r="Q9769" t="s">
        <v>58</v>
      </c>
      <c r="R9769" t="str">
        <f>IFERROR(VLOOKUP(record[[#This Row],[PCUSTID]],廠商[],2,FALSE),"")</f>
        <v/>
      </c>
      <c r="S9769" t="str">
        <f>VLOOKUP(record[[#This Row],[employeeID]],員工[],2,FALSE)</f>
        <v>阮士文</v>
      </c>
    </row>
    <row r="9770" spans="6:19" hidden="1" x14ac:dyDescent="0.25">
      <c r="F9770" t="s">
        <v>778</v>
      </c>
      <c r="G9770" t="s">
        <v>415</v>
      </c>
      <c r="H9770" t="str">
        <f>VLOOKUP(record[[#This Row],[ProcessSN]],表格2_7[],2,FALSE)</f>
        <v>30-4118-018-5XX</v>
      </c>
      <c r="I9770" t="str">
        <f>VLOOKUP(record[[#This Row],[ProcessSN]],表格2_7[],3,FALSE)</f>
        <v>#04</v>
      </c>
      <c r="J9770" t="s">
        <v>588</v>
      </c>
      <c r="K9770" s="195">
        <v>45777.938287037039</v>
      </c>
      <c r="L9770">
        <v>129</v>
      </c>
      <c r="M9770">
        <v>0</v>
      </c>
      <c r="N9770" s="98" t="str">
        <f>IF(record[[#This Row],[Memo]]="Browser:chrome os:android","平板報工",IF(record[[#This Row],[Memo]]=0,"委外",record[[#This Row],[Memo]]))</f>
        <v/>
      </c>
      <c r="O9770" t="s">
        <v>58</v>
      </c>
      <c r="P9770" t="s">
        <v>89</v>
      </c>
      <c r="Q9770" t="s">
        <v>58</v>
      </c>
      <c r="R9770" t="str">
        <f>IFERROR(VLOOKUP(record[[#This Row],[PCUSTID]],廠商[],2,FALSE),"")</f>
        <v/>
      </c>
      <c r="S9770" t="str">
        <f>VLOOKUP(record[[#This Row],[employeeID]],員工[],2,FALSE)</f>
        <v>李美蓮</v>
      </c>
    </row>
    <row r="9771" spans="6:19" hidden="1" x14ac:dyDescent="0.25">
      <c r="F9771" t="s">
        <v>778</v>
      </c>
      <c r="G9771" t="s">
        <v>415</v>
      </c>
      <c r="H9771" t="str">
        <f>VLOOKUP(record[[#This Row],[ProcessSN]],表格2_7[],2,FALSE)</f>
        <v>30-4118-018-5XX</v>
      </c>
      <c r="I9771" t="str">
        <f>VLOOKUP(record[[#This Row],[ProcessSN]],表格2_7[],3,FALSE)</f>
        <v>#04</v>
      </c>
      <c r="J9771" t="s">
        <v>588</v>
      </c>
      <c r="K9771" s="195">
        <v>45777.658067129632</v>
      </c>
      <c r="L9771">
        <v>103</v>
      </c>
      <c r="M9771">
        <v>2</v>
      </c>
      <c r="N9771" s="98" t="str">
        <f>IF(record[[#This Row],[Memo]]="Browser:chrome os:android","平板報工",IF(record[[#This Row],[Memo]]=0,"委外",record[[#This Row],[Memo]]))</f>
        <v/>
      </c>
      <c r="O9771" t="s">
        <v>58</v>
      </c>
      <c r="P9771" t="s">
        <v>119</v>
      </c>
      <c r="Q9771" t="s">
        <v>58</v>
      </c>
      <c r="R9771" t="str">
        <f>IFERROR(VLOOKUP(record[[#This Row],[PCUSTID]],廠商[],2,FALSE),"")</f>
        <v/>
      </c>
      <c r="S9771" t="str">
        <f>VLOOKUP(record[[#This Row],[employeeID]],員工[],2,FALSE)</f>
        <v>廖俊彥</v>
      </c>
    </row>
    <row r="9772" spans="6:19" hidden="1" x14ac:dyDescent="0.25">
      <c r="F9772" t="s">
        <v>778</v>
      </c>
      <c r="G9772" t="s">
        <v>415</v>
      </c>
      <c r="H9772" t="str">
        <f>VLOOKUP(record[[#This Row],[ProcessSN]],表格2_7[],2,FALSE)</f>
        <v>30-4118-018-5XX</v>
      </c>
      <c r="I9772" t="str">
        <f>VLOOKUP(record[[#This Row],[ProcessSN]],表格2_7[],3,FALSE)</f>
        <v>#04</v>
      </c>
      <c r="J9772" t="s">
        <v>588</v>
      </c>
      <c r="K9772" s="195">
        <v>45777.302939814814</v>
      </c>
      <c r="L9772">
        <v>123</v>
      </c>
      <c r="M9772">
        <v>10</v>
      </c>
      <c r="N9772" s="98" t="str">
        <f>IF(record[[#This Row],[Memo]]="Browser:chrome os:android","平板報工",IF(record[[#This Row],[Memo]]=0,"委外",record[[#This Row],[Memo]]))</f>
        <v/>
      </c>
      <c r="O9772" t="s">
        <v>58</v>
      </c>
      <c r="P9772" t="s">
        <v>135</v>
      </c>
      <c r="Q9772" t="s">
        <v>58</v>
      </c>
      <c r="R9772" t="str">
        <f>IFERROR(VLOOKUP(record[[#This Row],[PCUSTID]],廠商[],2,FALSE),"")</f>
        <v/>
      </c>
      <c r="S9772" t="str">
        <f>VLOOKUP(record[[#This Row],[employeeID]],員工[],2,FALSE)</f>
        <v>阮士文</v>
      </c>
    </row>
    <row r="9773" spans="6:19" hidden="1" x14ac:dyDescent="0.25">
      <c r="F9773" t="s">
        <v>778</v>
      </c>
      <c r="G9773" t="s">
        <v>415</v>
      </c>
      <c r="H9773" t="str">
        <f>VLOOKUP(record[[#This Row],[ProcessSN]],表格2_7[],2,FALSE)</f>
        <v>30-4118-018-5XX</v>
      </c>
      <c r="I9773" t="str">
        <f>VLOOKUP(record[[#This Row],[ProcessSN]],表格2_7[],3,FALSE)</f>
        <v>#04</v>
      </c>
      <c r="J9773" t="s">
        <v>588</v>
      </c>
      <c r="K9773" s="195">
        <v>45777.012395833335</v>
      </c>
      <c r="L9773">
        <v>80</v>
      </c>
      <c r="M9773">
        <v>8</v>
      </c>
      <c r="N9773" s="98" t="str">
        <f>IF(record[[#This Row],[Memo]]="Browser:chrome os:android","平板報工",IF(record[[#This Row],[Memo]]=0,"委外",record[[#This Row],[Memo]]))</f>
        <v/>
      </c>
      <c r="O9773" t="s">
        <v>58</v>
      </c>
      <c r="P9773" t="s">
        <v>89</v>
      </c>
      <c r="Q9773" t="s">
        <v>58</v>
      </c>
      <c r="R9773" t="str">
        <f>IFERROR(VLOOKUP(record[[#This Row],[PCUSTID]],廠商[],2,FALSE),"")</f>
        <v/>
      </c>
      <c r="S9773" t="str">
        <f>VLOOKUP(record[[#This Row],[employeeID]],員工[],2,FALSE)</f>
        <v>李美蓮</v>
      </c>
    </row>
    <row r="9774" spans="6:19" hidden="1" x14ac:dyDescent="0.25">
      <c r="F9774" t="s">
        <v>783</v>
      </c>
      <c r="G9774" t="s">
        <v>400</v>
      </c>
      <c r="H9774" t="str">
        <f>VLOOKUP(record[[#This Row],[ProcessSN]],表格2_7[],2,FALSE)</f>
        <v>30-4118-018-550</v>
      </c>
      <c r="I9774" t="str">
        <f>VLOOKUP(record[[#This Row],[ProcessSN]],表格2_7[],3,FALSE)</f>
        <v>#100</v>
      </c>
      <c r="J9774" t="s">
        <v>598</v>
      </c>
      <c r="K9774" s="195">
        <v>45776.693888888891</v>
      </c>
      <c r="L9774">
        <v>298</v>
      </c>
      <c r="M9774">
        <v>0</v>
      </c>
      <c r="N9774" s="98" t="str">
        <f>IF(record[[#This Row],[Memo]]="Browser:chrome os:android","平板報工",IF(record[[#This Row],[Memo]]=0,"委外",record[[#This Row],[Memo]]))</f>
        <v>平板報工</v>
      </c>
      <c r="O9774" t="s">
        <v>643</v>
      </c>
      <c r="P9774" t="s">
        <v>99</v>
      </c>
      <c r="Q9774" t="s">
        <v>644</v>
      </c>
      <c r="R9774" t="str">
        <f>IFERROR(VLOOKUP(record[[#This Row],[PCUSTID]],廠商[],2,FALSE),"")</f>
        <v/>
      </c>
      <c r="S9774" t="str">
        <f>VLOOKUP(record[[#This Row],[employeeID]],員工[],2,FALSE)</f>
        <v>阮氏河</v>
      </c>
    </row>
    <row r="9775" spans="6:19" hidden="1" x14ac:dyDescent="0.25">
      <c r="F9775" t="s">
        <v>784</v>
      </c>
      <c r="G9775" t="s">
        <v>400</v>
      </c>
      <c r="H9775" t="str">
        <f>VLOOKUP(record[[#This Row],[ProcessSN]],表格2_7[],2,FALSE)</f>
        <v>30-4118-018-550</v>
      </c>
      <c r="I9775" t="str">
        <f>VLOOKUP(record[[#This Row],[ProcessSN]],表格2_7[],3,FALSE)</f>
        <v>#100</v>
      </c>
      <c r="J9775" t="s">
        <v>598</v>
      </c>
      <c r="K9775" s="195">
        <v>45776.692453703705</v>
      </c>
      <c r="L9775">
        <v>352</v>
      </c>
      <c r="M9775">
        <v>0</v>
      </c>
      <c r="N9775" s="98" t="str">
        <f>IF(record[[#This Row],[Memo]]="Browser:chrome os:android","平板報工",IF(record[[#This Row],[Memo]]=0,"委外",record[[#This Row],[Memo]]))</f>
        <v>平板報工</v>
      </c>
      <c r="O9775" t="s">
        <v>643</v>
      </c>
      <c r="P9775" t="s">
        <v>99</v>
      </c>
      <c r="Q9775" t="s">
        <v>644</v>
      </c>
      <c r="R9775" t="str">
        <f>IFERROR(VLOOKUP(record[[#This Row],[PCUSTID]],廠商[],2,FALSE),"")</f>
        <v/>
      </c>
      <c r="S9775" t="str">
        <f>VLOOKUP(record[[#This Row],[employeeID]],員工[],2,FALSE)</f>
        <v>阮氏河</v>
      </c>
    </row>
    <row r="9776" spans="6:19" hidden="1" x14ac:dyDescent="0.25">
      <c r="F9776" t="s">
        <v>784</v>
      </c>
      <c r="G9776" t="s">
        <v>400</v>
      </c>
      <c r="H9776" t="str">
        <f>VLOOKUP(record[[#This Row],[ProcessSN]],表格2_7[],2,FALSE)</f>
        <v>30-4118-018-550</v>
      </c>
      <c r="I9776" t="str">
        <f>VLOOKUP(record[[#This Row],[ProcessSN]],表格2_7[],3,FALSE)</f>
        <v>#100</v>
      </c>
      <c r="J9776" t="s">
        <v>598</v>
      </c>
      <c r="K9776" s="195">
        <v>45776.692083333335</v>
      </c>
      <c r="L9776">
        <v>0</v>
      </c>
      <c r="M9776">
        <v>10</v>
      </c>
      <c r="N9776" s="98" t="str">
        <f>IF(record[[#This Row],[Memo]]="Browser:chrome os:android","平板報工",IF(record[[#This Row],[Memo]]=0,"委外",record[[#This Row],[Memo]]))</f>
        <v>平板報工</v>
      </c>
      <c r="O9776" t="s">
        <v>643</v>
      </c>
      <c r="P9776" t="s">
        <v>99</v>
      </c>
      <c r="Q9776" t="s">
        <v>644</v>
      </c>
      <c r="R9776" t="str">
        <f>IFERROR(VLOOKUP(record[[#This Row],[PCUSTID]],廠商[],2,FALSE),"")</f>
        <v/>
      </c>
      <c r="S9776" t="str">
        <f>VLOOKUP(record[[#This Row],[employeeID]],員工[],2,FALSE)</f>
        <v>阮氏河</v>
      </c>
    </row>
    <row r="9777" spans="6:19" hidden="1" x14ac:dyDescent="0.25">
      <c r="F9777" t="s">
        <v>778</v>
      </c>
      <c r="G9777" t="s">
        <v>415</v>
      </c>
      <c r="H9777" t="str">
        <f>VLOOKUP(record[[#This Row],[ProcessSN]],表格2_7[],2,FALSE)</f>
        <v>30-4118-018-5XX</v>
      </c>
      <c r="I9777" t="str">
        <f>VLOOKUP(record[[#This Row],[ProcessSN]],表格2_7[],3,FALSE)</f>
        <v>#04</v>
      </c>
      <c r="J9777" t="s">
        <v>588</v>
      </c>
      <c r="K9777" s="195">
        <v>45776.660914351851</v>
      </c>
      <c r="L9777">
        <v>144</v>
      </c>
      <c r="M9777">
        <v>1</v>
      </c>
      <c r="N9777" s="98" t="str">
        <f>IF(record[[#This Row],[Memo]]="Browser:chrome os:android","平板報工",IF(record[[#This Row],[Memo]]=0,"委外",record[[#This Row],[Memo]]))</f>
        <v>平板報工</v>
      </c>
      <c r="O9777" t="s">
        <v>643</v>
      </c>
      <c r="P9777" t="s">
        <v>107</v>
      </c>
      <c r="Q9777" t="s">
        <v>644</v>
      </c>
      <c r="R9777" t="str">
        <f>IFERROR(VLOOKUP(record[[#This Row],[PCUSTID]],廠商[],2,FALSE),"")</f>
        <v/>
      </c>
      <c r="S9777" t="str">
        <f>VLOOKUP(record[[#This Row],[employeeID]],員工[],2,FALSE)</f>
        <v>黎氏順</v>
      </c>
    </row>
    <row r="9778" spans="6:19" hidden="1" x14ac:dyDescent="0.25">
      <c r="F9778" t="s">
        <v>772</v>
      </c>
      <c r="G9778" t="s">
        <v>403</v>
      </c>
      <c r="H9778" t="str">
        <f>VLOOKUP(record[[#This Row],[ProcessSN]],表格2_7[],2,FALSE)</f>
        <v>30-4118-018-550</v>
      </c>
      <c r="I9778" t="str">
        <f>VLOOKUP(record[[#This Row],[ProcessSN]],表格2_7[],3,FALSE)</f>
        <v>#100SHIP</v>
      </c>
      <c r="J9778" t="s">
        <v>600</v>
      </c>
      <c r="K9778" s="195">
        <v>45776.377222222225</v>
      </c>
      <c r="L9778">
        <v>80</v>
      </c>
      <c r="M9778">
        <v>0</v>
      </c>
      <c r="N9778" s="98" t="str">
        <f>IF(record[[#This Row],[Memo]]="Browser:chrome os:android","平板報工",IF(record[[#This Row],[Memo]]=0,"委外",record[[#This Row],[Memo]]))</f>
        <v/>
      </c>
      <c r="O9778" t="s">
        <v>58</v>
      </c>
      <c r="P9778" t="s">
        <v>196</v>
      </c>
      <c r="Q9778" t="s">
        <v>58</v>
      </c>
      <c r="R9778" t="str">
        <f>IFERROR(VLOOKUP(record[[#This Row],[PCUSTID]],廠商[],2,FALSE),"")</f>
        <v/>
      </c>
      <c r="S9778" t="str">
        <f>VLOOKUP(record[[#This Row],[employeeID]],員工[],2,FALSE)</f>
        <v>張淑惠</v>
      </c>
    </row>
    <row r="9779" spans="6:19" hidden="1" x14ac:dyDescent="0.25">
      <c r="F9779" t="s">
        <v>775</v>
      </c>
      <c r="G9779" t="s">
        <v>402</v>
      </c>
      <c r="H9779" t="str">
        <f>VLOOKUP(record[[#This Row],[ProcessSN]],表格2_7[],2,FALSE)</f>
        <v>30-4118-018-550</v>
      </c>
      <c r="I9779" t="str">
        <f>VLOOKUP(record[[#This Row],[ProcessSN]],表格2_7[],3,FALSE)</f>
        <v>#100STOCK</v>
      </c>
      <c r="J9779" t="s">
        <v>592</v>
      </c>
      <c r="K9779" s="195">
        <v>45776.376643518517</v>
      </c>
      <c r="L9779">
        <v>289</v>
      </c>
      <c r="M9779">
        <v>0</v>
      </c>
      <c r="N9779" s="98" t="str">
        <f>IF(record[[#This Row],[Memo]]="Browser:chrome os:android","平板報工",IF(record[[#This Row],[Memo]]=0,"委外",record[[#This Row],[Memo]]))</f>
        <v/>
      </c>
      <c r="O9779" t="s">
        <v>58</v>
      </c>
      <c r="P9779" t="s">
        <v>196</v>
      </c>
      <c r="Q9779" t="s">
        <v>58</v>
      </c>
      <c r="R9779" t="str">
        <f>IFERROR(VLOOKUP(record[[#This Row],[PCUSTID]],廠商[],2,FALSE),"")</f>
        <v/>
      </c>
      <c r="S9779" t="str">
        <f>VLOOKUP(record[[#This Row],[employeeID]],員工[],2,FALSE)</f>
        <v>張淑惠</v>
      </c>
    </row>
    <row r="9780" spans="6:19" hidden="1" x14ac:dyDescent="0.25">
      <c r="F9780" t="s">
        <v>772</v>
      </c>
      <c r="G9780" t="s">
        <v>402</v>
      </c>
      <c r="H9780" t="str">
        <f>VLOOKUP(record[[#This Row],[ProcessSN]],表格2_7[],2,FALSE)</f>
        <v>30-4118-018-550</v>
      </c>
      <c r="I9780" t="str">
        <f>VLOOKUP(record[[#This Row],[ProcessSN]],表格2_7[],3,FALSE)</f>
        <v>#100STOCK</v>
      </c>
      <c r="J9780" t="s">
        <v>592</v>
      </c>
      <c r="K9780" s="195">
        <v>45776.376516203702</v>
      </c>
      <c r="L9780">
        <v>363</v>
      </c>
      <c r="M9780">
        <v>0</v>
      </c>
      <c r="N9780" s="98" t="str">
        <f>IF(record[[#This Row],[Memo]]="Browser:chrome os:android","平板報工",IF(record[[#This Row],[Memo]]=0,"委外",record[[#This Row],[Memo]]))</f>
        <v/>
      </c>
      <c r="O9780" t="s">
        <v>58</v>
      </c>
      <c r="P9780" t="s">
        <v>196</v>
      </c>
      <c r="Q9780" t="s">
        <v>58</v>
      </c>
      <c r="R9780" t="str">
        <f>IFERROR(VLOOKUP(record[[#This Row],[PCUSTID]],廠商[],2,FALSE),"")</f>
        <v/>
      </c>
      <c r="S9780" t="str">
        <f>VLOOKUP(record[[#This Row],[employeeID]],員工[],2,FALSE)</f>
        <v>張淑惠</v>
      </c>
    </row>
    <row r="9781" spans="6:19" hidden="1" x14ac:dyDescent="0.25">
      <c r="F9781" t="s">
        <v>678</v>
      </c>
      <c r="G9781" t="s">
        <v>362</v>
      </c>
      <c r="H9781" t="str">
        <f>VLOOKUP(record[[#This Row],[ProcessSN]],表格2_7[],2,FALSE)</f>
        <v>30-4118-018-450</v>
      </c>
      <c r="I9781" t="str">
        <f>VLOOKUP(record[[#This Row],[ProcessSN]],表格2_7[],3,FALSE)</f>
        <v>#100SHIP</v>
      </c>
      <c r="J9781" t="s">
        <v>600</v>
      </c>
      <c r="K9781" s="195">
        <v>45776.37605324074</v>
      </c>
      <c r="L9781">
        <v>6</v>
      </c>
      <c r="M9781">
        <v>0</v>
      </c>
      <c r="N9781" s="98" t="str">
        <f>IF(record[[#This Row],[Memo]]="Browser:chrome os:android","平板報工",IF(record[[#This Row],[Memo]]=0,"委外",record[[#This Row],[Memo]]))</f>
        <v/>
      </c>
      <c r="O9781" t="s">
        <v>58</v>
      </c>
      <c r="P9781" t="s">
        <v>196</v>
      </c>
      <c r="Q9781" t="s">
        <v>58</v>
      </c>
      <c r="R9781" t="str">
        <f>IFERROR(VLOOKUP(record[[#This Row],[PCUSTID]],廠商[],2,FALSE),"")</f>
        <v/>
      </c>
      <c r="S9781" t="str">
        <f>VLOOKUP(record[[#This Row],[employeeID]],員工[],2,FALSE)</f>
        <v>張淑惠</v>
      </c>
    </row>
    <row r="9782" spans="6:19" hidden="1" x14ac:dyDescent="0.25">
      <c r="F9782" t="s">
        <v>668</v>
      </c>
      <c r="G9782" t="s">
        <v>362</v>
      </c>
      <c r="H9782" t="str">
        <f>VLOOKUP(record[[#This Row],[ProcessSN]],表格2_7[],2,FALSE)</f>
        <v>30-4118-018-450</v>
      </c>
      <c r="I9782" t="str">
        <f>VLOOKUP(record[[#This Row],[ProcessSN]],表格2_7[],3,FALSE)</f>
        <v>#100SHIP</v>
      </c>
      <c r="J9782" t="s">
        <v>600</v>
      </c>
      <c r="K9782" s="195">
        <v>45776.375833333332</v>
      </c>
      <c r="L9782">
        <v>145</v>
      </c>
      <c r="M9782">
        <v>0</v>
      </c>
      <c r="N9782" s="98" t="str">
        <f>IF(record[[#This Row],[Memo]]="Browser:chrome os:android","平板報工",IF(record[[#This Row],[Memo]]=0,"委外",record[[#This Row],[Memo]]))</f>
        <v/>
      </c>
      <c r="O9782" t="s">
        <v>58</v>
      </c>
      <c r="P9782" t="s">
        <v>196</v>
      </c>
      <c r="Q9782" t="s">
        <v>58</v>
      </c>
      <c r="R9782" t="str">
        <f>IFERROR(VLOOKUP(record[[#This Row],[PCUSTID]],廠商[],2,FALSE),"")</f>
        <v/>
      </c>
      <c r="S9782" t="str">
        <f>VLOOKUP(record[[#This Row],[employeeID]],員工[],2,FALSE)</f>
        <v>張淑惠</v>
      </c>
    </row>
    <row r="9783" spans="6:19" hidden="1" x14ac:dyDescent="0.25">
      <c r="F9783" t="s">
        <v>778</v>
      </c>
      <c r="G9783" t="s">
        <v>415</v>
      </c>
      <c r="H9783" t="str">
        <f>VLOOKUP(record[[#This Row],[ProcessSN]],表格2_7[],2,FALSE)</f>
        <v>30-4118-018-5XX</v>
      </c>
      <c r="I9783" t="str">
        <f>VLOOKUP(record[[#This Row],[ProcessSN]],表格2_7[],3,FALSE)</f>
        <v>#04</v>
      </c>
      <c r="J9783" t="s">
        <v>588</v>
      </c>
      <c r="K9783" s="195">
        <v>45776.30164351852</v>
      </c>
      <c r="L9783">
        <v>144</v>
      </c>
      <c r="M9783">
        <v>0</v>
      </c>
      <c r="N9783" s="98" t="str">
        <f>IF(record[[#This Row],[Memo]]="Browser:chrome os:android","平板報工",IF(record[[#This Row],[Memo]]=0,"委外",record[[#This Row],[Memo]]))</f>
        <v/>
      </c>
      <c r="O9783" t="s">
        <v>58</v>
      </c>
      <c r="P9783" t="s">
        <v>135</v>
      </c>
      <c r="Q9783" t="s">
        <v>58</v>
      </c>
      <c r="R9783" t="str">
        <f>IFERROR(VLOOKUP(record[[#This Row],[PCUSTID]],廠商[],2,FALSE),"")</f>
        <v/>
      </c>
      <c r="S9783" t="str">
        <f>VLOOKUP(record[[#This Row],[employeeID]],員工[],2,FALSE)</f>
        <v>阮士文</v>
      </c>
    </row>
    <row r="9784" spans="6:19" hidden="1" x14ac:dyDescent="0.25">
      <c r="F9784" t="s">
        <v>778</v>
      </c>
      <c r="G9784" t="s">
        <v>415</v>
      </c>
      <c r="H9784" t="str">
        <f>VLOOKUP(record[[#This Row],[ProcessSN]],表格2_7[],2,FALSE)</f>
        <v>30-4118-018-5XX</v>
      </c>
      <c r="I9784" t="str">
        <f>VLOOKUP(record[[#This Row],[ProcessSN]],表格2_7[],3,FALSE)</f>
        <v>#04</v>
      </c>
      <c r="J9784" t="s">
        <v>588</v>
      </c>
      <c r="K9784" s="195">
        <v>45776.281527777777</v>
      </c>
      <c r="L9784">
        <v>129</v>
      </c>
      <c r="M9784">
        <v>5</v>
      </c>
      <c r="N9784" s="98" t="str">
        <f>IF(record[[#This Row],[Memo]]="Browser:chrome os:android","平板報工",IF(record[[#This Row],[Memo]]=0,"委外",record[[#This Row],[Memo]]))</f>
        <v/>
      </c>
      <c r="O9784" t="s">
        <v>58</v>
      </c>
      <c r="P9784" t="s">
        <v>89</v>
      </c>
      <c r="Q9784" t="s">
        <v>58</v>
      </c>
      <c r="R9784" t="str">
        <f>IFERROR(VLOOKUP(record[[#This Row],[PCUSTID]],廠商[],2,FALSE),"")</f>
        <v/>
      </c>
      <c r="S9784" t="str">
        <f>VLOOKUP(record[[#This Row],[employeeID]],員工[],2,FALSE)</f>
        <v>李美蓮</v>
      </c>
    </row>
    <row r="9785" spans="6:19" hidden="1" x14ac:dyDescent="0.25">
      <c r="F9785" t="s">
        <v>784</v>
      </c>
      <c r="G9785" t="s">
        <v>399</v>
      </c>
      <c r="H9785" t="str">
        <f>VLOOKUP(record[[#This Row],[ProcessSN]],表格2_7[],2,FALSE)</f>
        <v>30-4118-018-550</v>
      </c>
      <c r="I9785" t="str">
        <f>VLOOKUP(record[[#This Row],[ProcessSN]],表格2_7[],3,FALSE)</f>
        <v>#08IQC</v>
      </c>
      <c r="J9785" t="s">
        <v>583</v>
      </c>
      <c r="K9785" s="195">
        <v>45775.825196759259</v>
      </c>
      <c r="L9785">
        <v>362</v>
      </c>
      <c r="M9785">
        <v>0</v>
      </c>
      <c r="N9785" s="98" t="str">
        <f>IF(record[[#This Row],[Memo]]="Browser:chrome os:android","平板報工",IF(record[[#This Row],[Memo]]=0,"委外",record[[#This Row],[Memo]]))</f>
        <v/>
      </c>
      <c r="O9785" t="s">
        <v>58</v>
      </c>
      <c r="P9785" t="s">
        <v>172</v>
      </c>
      <c r="Q9785" t="s">
        <v>58</v>
      </c>
      <c r="R9785" t="str">
        <f>IFERROR(VLOOKUP(record[[#This Row],[PCUSTID]],廠商[],2,FALSE),"")</f>
        <v/>
      </c>
      <c r="S9785" t="str">
        <f>VLOOKUP(record[[#This Row],[employeeID]],員工[],2,FALSE)</f>
        <v>李采玲</v>
      </c>
    </row>
    <row r="9786" spans="6:19" hidden="1" x14ac:dyDescent="0.25">
      <c r="F9786" t="s">
        <v>784</v>
      </c>
      <c r="G9786" t="s">
        <v>398</v>
      </c>
      <c r="H9786" t="str">
        <f>VLOOKUP(record[[#This Row],[ProcessSN]],表格2_7[],2,FALSE)</f>
        <v>30-4118-018-550</v>
      </c>
      <c r="I9786" t="str">
        <f>VLOOKUP(record[[#This Row],[ProcessSN]],表格2_7[],3,FALSE)</f>
        <v>#08RCV</v>
      </c>
      <c r="J9786" t="s">
        <v>591</v>
      </c>
      <c r="K9786" s="195">
        <v>45775.681747685187</v>
      </c>
      <c r="L9786">
        <v>0</v>
      </c>
      <c r="M9786">
        <v>21</v>
      </c>
      <c r="N9786" s="98" t="str">
        <f>IF(record[[#This Row],[Memo]]="Browser:chrome os:android","平板報工",IF(record[[#This Row],[Memo]]=0,"委外",record[[#This Row],[Memo]]))</f>
        <v/>
      </c>
      <c r="O9786" t="s">
        <v>58</v>
      </c>
      <c r="P9786" t="s">
        <v>186</v>
      </c>
      <c r="Q9786" t="s">
        <v>58</v>
      </c>
      <c r="R9786" t="str">
        <f>IFERROR(VLOOKUP(record[[#This Row],[PCUSTID]],廠商[],2,FALSE),"")</f>
        <v/>
      </c>
      <c r="S9786" t="str">
        <f>VLOOKUP(record[[#This Row],[employeeID]],員工[],2,FALSE)</f>
        <v>許文姍</v>
      </c>
    </row>
    <row r="9787" spans="6:19" hidden="1" x14ac:dyDescent="0.25">
      <c r="F9787" t="s">
        <v>784</v>
      </c>
      <c r="G9787" t="s">
        <v>398</v>
      </c>
      <c r="H9787" t="str">
        <f>VLOOKUP(record[[#This Row],[ProcessSN]],表格2_7[],2,FALSE)</f>
        <v>30-4118-018-550</v>
      </c>
      <c r="I9787" t="str">
        <f>VLOOKUP(record[[#This Row],[ProcessSN]],表格2_7[],3,FALSE)</f>
        <v>#08RCV</v>
      </c>
      <c r="J9787" t="s">
        <v>591</v>
      </c>
      <c r="K9787" s="195">
        <v>45775.681527777779</v>
      </c>
      <c r="L9787">
        <v>362</v>
      </c>
      <c r="M9787">
        <v>0</v>
      </c>
      <c r="N9787" s="98" t="str">
        <f>IF(record[[#This Row],[Memo]]="Browser:chrome os:android","平板報工",IF(record[[#This Row],[Memo]]=0,"委外",record[[#This Row],[Memo]]))</f>
        <v/>
      </c>
      <c r="O9787" t="s">
        <v>58</v>
      </c>
      <c r="P9787" t="s">
        <v>186</v>
      </c>
      <c r="Q9787" t="s">
        <v>58</v>
      </c>
      <c r="R9787" t="str">
        <f>IFERROR(VLOOKUP(record[[#This Row],[PCUSTID]],廠商[],2,FALSE),"")</f>
        <v/>
      </c>
      <c r="S9787" t="str">
        <f>VLOOKUP(record[[#This Row],[employeeID]],員工[],2,FALSE)</f>
        <v>許文姍</v>
      </c>
    </row>
    <row r="9788" spans="6:19" hidden="1" x14ac:dyDescent="0.25">
      <c r="F9788" t="s">
        <v>778</v>
      </c>
      <c r="G9788" t="s">
        <v>415</v>
      </c>
      <c r="H9788" t="str">
        <f>VLOOKUP(record[[#This Row],[ProcessSN]],表格2_7[],2,FALSE)</f>
        <v>30-4118-018-5XX</v>
      </c>
      <c r="I9788" t="str">
        <f>VLOOKUP(record[[#This Row],[ProcessSN]],表格2_7[],3,FALSE)</f>
        <v>#04</v>
      </c>
      <c r="J9788" t="s">
        <v>588</v>
      </c>
      <c r="K9788" s="195">
        <v>45775.647337962961</v>
      </c>
      <c r="L9788">
        <v>120</v>
      </c>
      <c r="M9788">
        <v>3</v>
      </c>
      <c r="N9788" s="98" t="str">
        <f>IF(record[[#This Row],[Memo]]="Browser:chrome os:android","平板報工",IF(record[[#This Row],[Memo]]=0,"委外",record[[#This Row],[Memo]]))</f>
        <v/>
      </c>
      <c r="O9788" t="s">
        <v>58</v>
      </c>
      <c r="P9788" t="s">
        <v>119</v>
      </c>
      <c r="Q9788" t="s">
        <v>58</v>
      </c>
      <c r="R9788" t="str">
        <f>IFERROR(VLOOKUP(record[[#This Row],[PCUSTID]],廠商[],2,FALSE),"")</f>
        <v/>
      </c>
      <c r="S9788" t="str">
        <f>VLOOKUP(record[[#This Row],[employeeID]],員工[],2,FALSE)</f>
        <v>廖俊彥</v>
      </c>
    </row>
    <row r="9789" spans="6:19" hidden="1" x14ac:dyDescent="0.25">
      <c r="F9789" t="s">
        <v>778</v>
      </c>
      <c r="G9789" t="s">
        <v>414</v>
      </c>
      <c r="H9789" t="str">
        <f>VLOOKUP(record[[#This Row],[ProcessSN]],表格2_7[],2,FALSE)</f>
        <v>30-4118-018-5XX</v>
      </c>
      <c r="I9789" t="str">
        <f>VLOOKUP(record[[#This Row],[ProcessSN]],表格2_7[],3,FALSE)</f>
        <v>#03</v>
      </c>
      <c r="J9789" t="s">
        <v>588</v>
      </c>
      <c r="K9789" s="195">
        <v>45775.647083333337</v>
      </c>
      <c r="L9789">
        <v>444</v>
      </c>
      <c r="M9789">
        <v>0</v>
      </c>
      <c r="N9789" s="98" t="str">
        <f>IF(record[[#This Row],[Memo]]="Browser:chrome os:android","平板報工",IF(record[[#This Row],[Memo]]=0,"委外",record[[#This Row],[Memo]]))</f>
        <v/>
      </c>
      <c r="O9789" t="s">
        <v>58</v>
      </c>
      <c r="P9789" t="s">
        <v>119</v>
      </c>
      <c r="Q9789" t="s">
        <v>58</v>
      </c>
      <c r="R9789" t="str">
        <f>IFERROR(VLOOKUP(record[[#This Row],[PCUSTID]],廠商[],2,FALSE),"")</f>
        <v/>
      </c>
      <c r="S9789" t="str">
        <f>VLOOKUP(record[[#This Row],[employeeID]],員工[],2,FALSE)</f>
        <v>廖俊彥</v>
      </c>
    </row>
    <row r="9790" spans="6:19" hidden="1" x14ac:dyDescent="0.25">
      <c r="F9790" t="s">
        <v>772</v>
      </c>
      <c r="G9790" t="s">
        <v>403</v>
      </c>
      <c r="H9790" t="str">
        <f>VLOOKUP(record[[#This Row],[ProcessSN]],表格2_7[],2,FALSE)</f>
        <v>30-4118-018-550</v>
      </c>
      <c r="I9790" t="str">
        <f>VLOOKUP(record[[#This Row],[ProcessSN]],表格2_7[],3,FALSE)</f>
        <v>#100SHIP</v>
      </c>
      <c r="J9790" t="s">
        <v>600</v>
      </c>
      <c r="K9790" s="195">
        <v>45775.40347222222</v>
      </c>
      <c r="L9790">
        <v>106</v>
      </c>
      <c r="M9790">
        <v>0</v>
      </c>
      <c r="N9790" s="98" t="str">
        <f>IF(record[[#This Row],[Memo]]="Browser:chrome os:android","平板報工",IF(record[[#This Row],[Memo]]=0,"委外",record[[#This Row],[Memo]]))</f>
        <v/>
      </c>
      <c r="O9790" t="s">
        <v>58</v>
      </c>
      <c r="P9790" t="s">
        <v>113</v>
      </c>
      <c r="Q9790" t="s">
        <v>58</v>
      </c>
      <c r="R9790" t="str">
        <f>IFERROR(VLOOKUP(record[[#This Row],[PCUSTID]],廠商[],2,FALSE),"")</f>
        <v/>
      </c>
      <c r="S9790" t="str">
        <f>VLOOKUP(record[[#This Row],[employeeID]],員工[],2,FALSE)</f>
        <v>王奕蓁</v>
      </c>
    </row>
    <row r="9791" spans="6:19" hidden="1" x14ac:dyDescent="0.25">
      <c r="F9791" t="s">
        <v>772</v>
      </c>
      <c r="G9791" t="s">
        <v>402</v>
      </c>
      <c r="H9791" t="str">
        <f>VLOOKUP(record[[#This Row],[ProcessSN]],表格2_7[],2,FALSE)</f>
        <v>30-4118-018-550</v>
      </c>
      <c r="I9791" t="str">
        <f>VLOOKUP(record[[#This Row],[ProcessSN]],表格2_7[],3,FALSE)</f>
        <v>#100STOCK</v>
      </c>
      <c r="J9791" t="s">
        <v>592</v>
      </c>
      <c r="K9791" s="195">
        <v>45775.403391203705</v>
      </c>
      <c r="L9791">
        <v>106</v>
      </c>
      <c r="M9791">
        <v>0</v>
      </c>
      <c r="N9791" s="98" t="str">
        <f>IF(record[[#This Row],[Memo]]="Browser:chrome os:android","平板報工",IF(record[[#This Row],[Memo]]=0,"委外",record[[#This Row],[Memo]]))</f>
        <v/>
      </c>
      <c r="O9791" t="s">
        <v>58</v>
      </c>
      <c r="P9791" t="s">
        <v>113</v>
      </c>
      <c r="Q9791" t="s">
        <v>58</v>
      </c>
      <c r="R9791" t="str">
        <f>IFERROR(VLOOKUP(record[[#This Row],[PCUSTID]],廠商[],2,FALSE),"")</f>
        <v/>
      </c>
      <c r="S9791" t="str">
        <f>VLOOKUP(record[[#This Row],[employeeID]],員工[],2,FALSE)</f>
        <v>王奕蓁</v>
      </c>
    </row>
    <row r="9792" spans="6:19" hidden="1" x14ac:dyDescent="0.25">
      <c r="F9792" t="s">
        <v>768</v>
      </c>
      <c r="G9792" t="s">
        <v>403</v>
      </c>
      <c r="H9792" t="str">
        <f>VLOOKUP(record[[#This Row],[ProcessSN]],表格2_7[],2,FALSE)</f>
        <v>30-4118-018-550</v>
      </c>
      <c r="I9792" t="str">
        <f>VLOOKUP(record[[#This Row],[ProcessSN]],表格2_7[],3,FALSE)</f>
        <v>#100SHIP</v>
      </c>
      <c r="J9792" t="s">
        <v>600</v>
      </c>
      <c r="K9792" s="195">
        <v>45775.403078703705</v>
      </c>
      <c r="L9792">
        <v>8</v>
      </c>
      <c r="M9792">
        <v>0</v>
      </c>
      <c r="N9792" s="98" t="str">
        <f>IF(record[[#This Row],[Memo]]="Browser:chrome os:android","平板報工",IF(record[[#This Row],[Memo]]=0,"委外",record[[#This Row],[Memo]]))</f>
        <v/>
      </c>
      <c r="O9792" t="s">
        <v>58</v>
      </c>
      <c r="P9792" t="s">
        <v>113</v>
      </c>
      <c r="Q9792" t="s">
        <v>58</v>
      </c>
      <c r="R9792" t="str">
        <f>IFERROR(VLOOKUP(record[[#This Row],[PCUSTID]],廠商[],2,FALSE),"")</f>
        <v/>
      </c>
      <c r="S9792" t="str">
        <f>VLOOKUP(record[[#This Row],[employeeID]],員工[],2,FALSE)</f>
        <v>王奕蓁</v>
      </c>
    </row>
    <row r="9793" spans="6:19" hidden="1" x14ac:dyDescent="0.25">
      <c r="F9793" t="s">
        <v>775</v>
      </c>
      <c r="G9793" t="s">
        <v>401</v>
      </c>
      <c r="H9793" t="str">
        <f>VLOOKUP(record[[#This Row],[ProcessSN]],表格2_7[],2,FALSE)</f>
        <v>30-4118-018-550</v>
      </c>
      <c r="I9793" t="str">
        <f>VLOOKUP(record[[#This Row],[ProcessSN]],表格2_7[],3,FALSE)</f>
        <v>#100OQC</v>
      </c>
      <c r="J9793" t="s">
        <v>599</v>
      </c>
      <c r="K9793" s="195">
        <v>45775.317303240743</v>
      </c>
      <c r="L9793">
        <v>289</v>
      </c>
      <c r="M9793">
        <v>0</v>
      </c>
      <c r="N9793" s="98" t="str">
        <f>IF(record[[#This Row],[Memo]]="Browser:chrome os:android","平板報工",IF(record[[#This Row],[Memo]]=0,"委外",record[[#This Row],[Memo]]))</f>
        <v/>
      </c>
      <c r="O9793" t="s">
        <v>58</v>
      </c>
      <c r="P9793" t="s">
        <v>121</v>
      </c>
      <c r="Q9793" t="s">
        <v>58</v>
      </c>
      <c r="R9793" t="str">
        <f>IFERROR(VLOOKUP(record[[#This Row],[PCUSTID]],廠商[],2,FALSE),"")</f>
        <v/>
      </c>
      <c r="S9793" t="str">
        <f>VLOOKUP(record[[#This Row],[employeeID]],員工[],2,FALSE)</f>
        <v>謝素卿</v>
      </c>
    </row>
    <row r="9794" spans="6:19" hidden="1" x14ac:dyDescent="0.25">
      <c r="F9794" t="s">
        <v>772</v>
      </c>
      <c r="G9794" t="s">
        <v>401</v>
      </c>
      <c r="H9794" t="str">
        <f>VLOOKUP(record[[#This Row],[ProcessSN]],表格2_7[],2,FALSE)</f>
        <v>30-4118-018-550</v>
      </c>
      <c r="I9794" t="str">
        <f>VLOOKUP(record[[#This Row],[ProcessSN]],表格2_7[],3,FALSE)</f>
        <v>#100OQC</v>
      </c>
      <c r="J9794" t="s">
        <v>599</v>
      </c>
      <c r="K9794" s="195">
        <v>45775.317152777781</v>
      </c>
      <c r="L9794">
        <v>469</v>
      </c>
      <c r="M9794">
        <v>0</v>
      </c>
      <c r="N9794" s="98" t="str">
        <f>IF(record[[#This Row],[Memo]]="Browser:chrome os:android","平板報工",IF(record[[#This Row],[Memo]]=0,"委外",record[[#This Row],[Memo]]))</f>
        <v/>
      </c>
      <c r="O9794" t="s">
        <v>58</v>
      </c>
      <c r="P9794" t="s">
        <v>121</v>
      </c>
      <c r="Q9794" t="s">
        <v>58</v>
      </c>
      <c r="R9794" t="str">
        <f>IFERROR(VLOOKUP(record[[#This Row],[PCUSTID]],廠商[],2,FALSE),"")</f>
        <v/>
      </c>
      <c r="S9794" t="str">
        <f>VLOOKUP(record[[#This Row],[employeeID]],員工[],2,FALSE)</f>
        <v>謝素卿</v>
      </c>
    </row>
    <row r="9795" spans="6:19" hidden="1" x14ac:dyDescent="0.25">
      <c r="F9795" t="s">
        <v>778</v>
      </c>
      <c r="G9795" t="s">
        <v>414</v>
      </c>
      <c r="H9795" t="str">
        <f>VLOOKUP(record[[#This Row],[ProcessSN]],表格2_7[],2,FALSE)</f>
        <v>30-4118-018-5XX</v>
      </c>
      <c r="I9795" t="str">
        <f>VLOOKUP(record[[#This Row],[ProcessSN]],表格2_7[],3,FALSE)</f>
        <v>#03</v>
      </c>
      <c r="J9795" t="s">
        <v>588</v>
      </c>
      <c r="K9795" s="195">
        <v>45773.313055555554</v>
      </c>
      <c r="L9795">
        <v>983</v>
      </c>
      <c r="M9795">
        <v>1</v>
      </c>
      <c r="N9795" s="98" t="str">
        <f>IF(record[[#This Row],[Memo]]="Browser:chrome os:android","平板報工",IF(record[[#This Row],[Memo]]=0,"委外",record[[#This Row],[Memo]]))</f>
        <v/>
      </c>
      <c r="O9795" t="s">
        <v>58</v>
      </c>
      <c r="P9795" t="s">
        <v>135</v>
      </c>
      <c r="Q9795" t="s">
        <v>58</v>
      </c>
      <c r="R9795" t="str">
        <f>IFERROR(VLOOKUP(record[[#This Row],[PCUSTID]],廠商[],2,FALSE),"")</f>
        <v/>
      </c>
      <c r="S9795" t="str">
        <f>VLOOKUP(record[[#This Row],[employeeID]],員工[],2,FALSE)</f>
        <v>阮士文</v>
      </c>
    </row>
    <row r="9796" spans="6:19" hidden="1" x14ac:dyDescent="0.25">
      <c r="F9796" t="s">
        <v>777</v>
      </c>
      <c r="G9796" t="s">
        <v>448</v>
      </c>
      <c r="H9796" t="str">
        <f>VLOOKUP(record[[#This Row],[ProcessSN]],表格2_7[],2,FALSE)</f>
        <v>30-4118-018-6XX</v>
      </c>
      <c r="I9796" t="str">
        <f>VLOOKUP(record[[#This Row],[ProcessSN]],表格2_7[],3,FALSE)</f>
        <v>#04</v>
      </c>
      <c r="J9796" t="s">
        <v>588</v>
      </c>
      <c r="K9796" s="195">
        <v>45773.212013888886</v>
      </c>
      <c r="L9796">
        <v>44</v>
      </c>
      <c r="M9796">
        <v>0</v>
      </c>
      <c r="N9796" s="98" t="str">
        <f>IF(record[[#This Row],[Memo]]="Browser:chrome os:android","平板報工",IF(record[[#This Row],[Memo]]=0,"委外",record[[#This Row],[Memo]]))</f>
        <v/>
      </c>
      <c r="O9796" t="s">
        <v>58</v>
      </c>
      <c r="P9796" t="s">
        <v>135</v>
      </c>
      <c r="Q9796" t="s">
        <v>58</v>
      </c>
      <c r="R9796" t="str">
        <f>IFERROR(VLOOKUP(record[[#This Row],[PCUSTID]],廠商[],2,FALSE),"")</f>
        <v/>
      </c>
      <c r="S9796" t="str">
        <f>VLOOKUP(record[[#This Row],[employeeID]],員工[],2,FALSE)</f>
        <v>阮士文</v>
      </c>
    </row>
    <row r="9797" spans="6:19" hidden="1" x14ac:dyDescent="0.25">
      <c r="F9797" t="s">
        <v>777</v>
      </c>
      <c r="G9797" t="s">
        <v>448</v>
      </c>
      <c r="H9797" t="str">
        <f>VLOOKUP(record[[#This Row],[ProcessSN]],表格2_7[],2,FALSE)</f>
        <v>30-4118-018-6XX</v>
      </c>
      <c r="I9797" t="str">
        <f>VLOOKUP(record[[#This Row],[ProcessSN]],表格2_7[],3,FALSE)</f>
        <v>#04</v>
      </c>
      <c r="J9797" t="s">
        <v>588</v>
      </c>
      <c r="K9797" s="195">
        <v>45773.211759259262</v>
      </c>
      <c r="L9797">
        <v>128</v>
      </c>
      <c r="M9797">
        <v>5</v>
      </c>
      <c r="N9797" s="98" t="str">
        <f>IF(record[[#This Row],[Memo]]="Browser:chrome os:android","平板報工",IF(record[[#This Row],[Memo]]=0,"委外",record[[#This Row],[Memo]]))</f>
        <v/>
      </c>
      <c r="O9797" t="s">
        <v>58</v>
      </c>
      <c r="P9797" t="s">
        <v>89</v>
      </c>
      <c r="Q9797" t="s">
        <v>58</v>
      </c>
      <c r="R9797" t="str">
        <f>IFERROR(VLOOKUP(record[[#This Row],[PCUSTID]],廠商[],2,FALSE),"")</f>
        <v/>
      </c>
      <c r="S9797" t="str">
        <f>VLOOKUP(record[[#This Row],[employeeID]],員工[],2,FALSE)</f>
        <v>李美蓮</v>
      </c>
    </row>
    <row r="9798" spans="6:19" hidden="1" x14ac:dyDescent="0.25">
      <c r="F9798" t="s">
        <v>777</v>
      </c>
      <c r="G9798" t="s">
        <v>448</v>
      </c>
      <c r="H9798" t="str">
        <f>VLOOKUP(record[[#This Row],[ProcessSN]],表格2_7[],2,FALSE)</f>
        <v>30-4118-018-6XX</v>
      </c>
      <c r="I9798" t="str">
        <f>VLOOKUP(record[[#This Row],[ProcessSN]],表格2_7[],3,FALSE)</f>
        <v>#04</v>
      </c>
      <c r="J9798" t="s">
        <v>588</v>
      </c>
      <c r="K9798" s="195">
        <v>45772.642326388886</v>
      </c>
      <c r="L9798">
        <v>120</v>
      </c>
      <c r="M9798">
        <v>0</v>
      </c>
      <c r="N9798" s="98" t="str">
        <f>IF(record[[#This Row],[Memo]]="Browser:chrome os:android","平板報工",IF(record[[#This Row],[Memo]]=0,"委外",record[[#This Row],[Memo]]))</f>
        <v/>
      </c>
      <c r="O9798" t="s">
        <v>58</v>
      </c>
      <c r="P9798" t="s">
        <v>119</v>
      </c>
      <c r="Q9798" t="s">
        <v>58</v>
      </c>
      <c r="R9798" t="str">
        <f>IFERROR(VLOOKUP(record[[#This Row],[PCUSTID]],廠商[],2,FALSE),"")</f>
        <v/>
      </c>
      <c r="S9798" t="str">
        <f>VLOOKUP(record[[#This Row],[employeeID]],員工[],2,FALSE)</f>
        <v>廖俊彥</v>
      </c>
    </row>
    <row r="9799" spans="6:19" hidden="1" x14ac:dyDescent="0.25">
      <c r="F9799" t="s">
        <v>778</v>
      </c>
      <c r="G9799" t="s">
        <v>414</v>
      </c>
      <c r="H9799" t="str">
        <f>VLOOKUP(record[[#This Row],[ProcessSN]],表格2_7[],2,FALSE)</f>
        <v>30-4118-018-5XX</v>
      </c>
      <c r="I9799" t="str">
        <f>VLOOKUP(record[[#This Row],[ProcessSN]],表格2_7[],3,FALSE)</f>
        <v>#03</v>
      </c>
      <c r="J9799" t="s">
        <v>588</v>
      </c>
      <c r="K9799" s="195">
        <v>45772.641180555554</v>
      </c>
      <c r="L9799">
        <v>791</v>
      </c>
      <c r="M9799">
        <v>0</v>
      </c>
      <c r="N9799" s="98" t="str">
        <f>IF(record[[#This Row],[Memo]]="Browser:chrome os:android","平板報工",IF(record[[#This Row],[Memo]]=0,"委外",record[[#This Row],[Memo]]))</f>
        <v/>
      </c>
      <c r="O9799" t="s">
        <v>58</v>
      </c>
      <c r="P9799" t="s">
        <v>119</v>
      </c>
      <c r="Q9799" t="s">
        <v>58</v>
      </c>
      <c r="R9799" t="str">
        <f>IFERROR(VLOOKUP(record[[#This Row],[PCUSTID]],廠商[],2,FALSE),"")</f>
        <v/>
      </c>
      <c r="S9799" t="str">
        <f>VLOOKUP(record[[#This Row],[employeeID]],員工[],2,FALSE)</f>
        <v>廖俊彥</v>
      </c>
    </row>
    <row r="9800" spans="6:19" hidden="1" x14ac:dyDescent="0.25">
      <c r="F9800" t="s">
        <v>756</v>
      </c>
      <c r="G9800" t="s">
        <v>470</v>
      </c>
      <c r="H9800" t="str">
        <f>VLOOKUP(record[[#This Row],[ProcessSN]],表格2_7[],2,FALSE)</f>
        <v>30-4118-018-XXX</v>
      </c>
      <c r="I9800" t="str">
        <f>VLOOKUP(record[[#This Row],[ProcessSN]],表格2_7[],3,FALSE)</f>
        <v>#02IQC</v>
      </c>
      <c r="J9800" t="s">
        <v>583</v>
      </c>
      <c r="K9800" s="195">
        <v>45772.566979166666</v>
      </c>
      <c r="L9800">
        <v>1</v>
      </c>
      <c r="M9800">
        <v>0</v>
      </c>
      <c r="N9800" s="98" t="str">
        <f>IF(record[[#This Row],[Memo]]="Browser:chrome os:android","平板報工",IF(record[[#This Row],[Memo]]=0,"委外",record[[#This Row],[Memo]]))</f>
        <v/>
      </c>
      <c r="O9800" t="s">
        <v>58</v>
      </c>
      <c r="P9800" t="s">
        <v>190</v>
      </c>
      <c r="Q9800" t="s">
        <v>58</v>
      </c>
      <c r="R9800" t="str">
        <f>IFERROR(VLOOKUP(record[[#This Row],[PCUSTID]],廠商[],2,FALSE),"")</f>
        <v/>
      </c>
      <c r="S9800" t="str">
        <f>VLOOKUP(record[[#This Row],[employeeID]],員工[],2,FALSE)</f>
        <v>陳雅娟</v>
      </c>
    </row>
    <row r="9801" spans="6:19" hidden="1" x14ac:dyDescent="0.25">
      <c r="F9801" t="s">
        <v>756</v>
      </c>
      <c r="G9801" t="s">
        <v>469</v>
      </c>
      <c r="H9801" t="str">
        <f>VLOOKUP(record[[#This Row],[ProcessSN]],表格2_7[],2,FALSE)</f>
        <v>30-4118-018-XXX</v>
      </c>
      <c r="I9801" t="str">
        <f>VLOOKUP(record[[#This Row],[ProcessSN]],表格2_7[],3,FALSE)</f>
        <v>#02RCV</v>
      </c>
      <c r="J9801" t="s">
        <v>591</v>
      </c>
      <c r="K9801" s="195">
        <v>45772.496296296296</v>
      </c>
      <c r="L9801">
        <v>1</v>
      </c>
      <c r="M9801">
        <v>0</v>
      </c>
      <c r="N9801" s="98" t="str">
        <f>IF(record[[#This Row],[Memo]]="Browser:chrome os:android","平板報工",IF(record[[#This Row],[Memo]]=0,"委外",record[[#This Row],[Memo]]))</f>
        <v/>
      </c>
      <c r="O9801" t="s">
        <v>58</v>
      </c>
      <c r="P9801" t="s">
        <v>186</v>
      </c>
      <c r="Q9801" t="s">
        <v>58</v>
      </c>
      <c r="R9801" t="str">
        <f>IFERROR(VLOOKUP(record[[#This Row],[PCUSTID]],廠商[],2,FALSE),"")</f>
        <v/>
      </c>
      <c r="S9801" t="str">
        <f>VLOOKUP(record[[#This Row],[employeeID]],員工[],2,FALSE)</f>
        <v>許文姍</v>
      </c>
    </row>
    <row r="9802" spans="6:19" hidden="1" x14ac:dyDescent="0.25">
      <c r="F9802" t="s">
        <v>777</v>
      </c>
      <c r="G9802" t="s">
        <v>448</v>
      </c>
      <c r="H9802" t="str">
        <f>VLOOKUP(record[[#This Row],[ProcessSN]],表格2_7[],2,FALSE)</f>
        <v>30-4118-018-6XX</v>
      </c>
      <c r="I9802" t="str">
        <f>VLOOKUP(record[[#This Row],[ProcessSN]],表格2_7[],3,FALSE)</f>
        <v>#04</v>
      </c>
      <c r="J9802" t="s">
        <v>588</v>
      </c>
      <c r="K9802" s="195">
        <v>45772.313379629632</v>
      </c>
      <c r="L9802">
        <v>129</v>
      </c>
      <c r="M9802">
        <v>0</v>
      </c>
      <c r="N9802" s="98" t="str">
        <f>IF(record[[#This Row],[Memo]]="Browser:chrome os:android","平板報工",IF(record[[#This Row],[Memo]]=0,"委外",record[[#This Row],[Memo]]))</f>
        <v/>
      </c>
      <c r="O9802" t="s">
        <v>58</v>
      </c>
      <c r="P9802" t="s">
        <v>135</v>
      </c>
      <c r="Q9802" t="s">
        <v>58</v>
      </c>
      <c r="R9802" t="str">
        <f>IFERROR(VLOOKUP(record[[#This Row],[PCUSTID]],廠商[],2,FALSE),"")</f>
        <v/>
      </c>
      <c r="S9802" t="str">
        <f>VLOOKUP(record[[#This Row],[employeeID]],員工[],2,FALSE)</f>
        <v>阮士文</v>
      </c>
    </row>
    <row r="9803" spans="6:19" hidden="1" x14ac:dyDescent="0.25">
      <c r="F9803" t="s">
        <v>778</v>
      </c>
      <c r="G9803" t="s">
        <v>414</v>
      </c>
      <c r="H9803" t="str">
        <f>VLOOKUP(record[[#This Row],[ProcessSN]],表格2_7[],2,FALSE)</f>
        <v>30-4118-018-5XX</v>
      </c>
      <c r="I9803" t="str">
        <f>VLOOKUP(record[[#This Row],[ProcessSN]],表格2_7[],3,FALSE)</f>
        <v>#03</v>
      </c>
      <c r="J9803" t="s">
        <v>588</v>
      </c>
      <c r="K9803" s="195">
        <v>45772.312997685185</v>
      </c>
      <c r="L9803">
        <v>788</v>
      </c>
      <c r="M9803">
        <v>1</v>
      </c>
      <c r="N9803" s="98" t="str">
        <f>IF(record[[#This Row],[Memo]]="Browser:chrome os:android","平板報工",IF(record[[#This Row],[Memo]]=0,"委外",record[[#This Row],[Memo]]))</f>
        <v/>
      </c>
      <c r="O9803" t="s">
        <v>58</v>
      </c>
      <c r="P9803" t="s">
        <v>135</v>
      </c>
      <c r="Q9803" t="s">
        <v>58</v>
      </c>
      <c r="R9803" t="str">
        <f>IFERROR(VLOOKUP(record[[#This Row],[PCUSTID]],廠商[],2,FALSE),"")</f>
        <v/>
      </c>
      <c r="S9803" t="str">
        <f>VLOOKUP(record[[#This Row],[employeeID]],員工[],2,FALSE)</f>
        <v>阮士文</v>
      </c>
    </row>
    <row r="9804" spans="6:19" hidden="1" x14ac:dyDescent="0.25">
      <c r="F9804" t="s">
        <v>778</v>
      </c>
      <c r="G9804" t="s">
        <v>414</v>
      </c>
      <c r="H9804" t="str">
        <f>VLOOKUP(record[[#This Row],[ProcessSN]],表格2_7[],2,FALSE)</f>
        <v>30-4118-018-5XX</v>
      </c>
      <c r="I9804" t="str">
        <f>VLOOKUP(record[[#This Row],[ProcessSN]],表格2_7[],3,FALSE)</f>
        <v>#03</v>
      </c>
      <c r="J9804" t="s">
        <v>588</v>
      </c>
      <c r="K9804" s="195">
        <v>45771.966053240743</v>
      </c>
      <c r="L9804">
        <v>772</v>
      </c>
      <c r="M9804">
        <v>0</v>
      </c>
      <c r="N9804" s="98" t="str">
        <f>IF(record[[#This Row],[Memo]]="Browser:chrome os:android","平板報工",IF(record[[#This Row],[Memo]]=0,"委外",record[[#This Row],[Memo]]))</f>
        <v/>
      </c>
      <c r="O9804" t="s">
        <v>58</v>
      </c>
      <c r="P9804" t="s">
        <v>89</v>
      </c>
      <c r="Q9804" t="s">
        <v>58</v>
      </c>
      <c r="R9804" t="str">
        <f>IFERROR(VLOOKUP(record[[#This Row],[PCUSTID]],廠商[],2,FALSE),"")</f>
        <v/>
      </c>
      <c r="S9804" t="str">
        <f>VLOOKUP(record[[#This Row],[employeeID]],員工[],2,FALSE)</f>
        <v>李美蓮</v>
      </c>
    </row>
    <row r="9805" spans="6:19" hidden="1" x14ac:dyDescent="0.25">
      <c r="F9805" t="s">
        <v>777</v>
      </c>
      <c r="G9805" t="s">
        <v>448</v>
      </c>
      <c r="H9805" t="str">
        <f>VLOOKUP(record[[#This Row],[ProcessSN]],表格2_7[],2,FALSE)</f>
        <v>30-4118-018-6XX</v>
      </c>
      <c r="I9805" t="str">
        <f>VLOOKUP(record[[#This Row],[ProcessSN]],表格2_7[],3,FALSE)</f>
        <v>#04</v>
      </c>
      <c r="J9805" t="s">
        <v>588</v>
      </c>
      <c r="K9805" s="195">
        <v>45771.964699074073</v>
      </c>
      <c r="L9805">
        <v>129</v>
      </c>
      <c r="M9805">
        <v>0</v>
      </c>
      <c r="N9805" s="98" t="str">
        <f>IF(record[[#This Row],[Memo]]="Browser:chrome os:android","平板報工",IF(record[[#This Row],[Memo]]=0,"委外",record[[#This Row],[Memo]]))</f>
        <v/>
      </c>
      <c r="O9805" t="s">
        <v>58</v>
      </c>
      <c r="P9805" t="s">
        <v>133</v>
      </c>
      <c r="Q9805" t="s">
        <v>58</v>
      </c>
      <c r="R9805" t="str">
        <f>IFERROR(VLOOKUP(record[[#This Row],[PCUSTID]],廠商[],2,FALSE),"")</f>
        <v/>
      </c>
      <c r="S9805" t="str">
        <f>VLOOKUP(record[[#This Row],[employeeID]],員工[],2,FALSE)</f>
        <v>黎長維</v>
      </c>
    </row>
    <row r="9806" spans="6:19" hidden="1" x14ac:dyDescent="0.25">
      <c r="F9806" t="s">
        <v>783</v>
      </c>
      <c r="G9806" t="s">
        <v>399</v>
      </c>
      <c r="H9806" t="str">
        <f>VLOOKUP(record[[#This Row],[ProcessSN]],表格2_7[],2,FALSE)</f>
        <v>30-4118-018-550</v>
      </c>
      <c r="I9806" t="str">
        <f>VLOOKUP(record[[#This Row],[ProcessSN]],表格2_7[],3,FALSE)</f>
        <v>#08IQC</v>
      </c>
      <c r="J9806" t="s">
        <v>583</v>
      </c>
      <c r="K9806" s="195">
        <v>45771.69158564815</v>
      </c>
      <c r="L9806">
        <v>298</v>
      </c>
      <c r="M9806">
        <v>0</v>
      </c>
      <c r="N9806" s="98" t="str">
        <f>IF(record[[#This Row],[Memo]]="Browser:chrome os:android","平板報工",IF(record[[#This Row],[Memo]]=0,"委外",record[[#This Row],[Memo]]))</f>
        <v/>
      </c>
      <c r="O9806" t="s">
        <v>58</v>
      </c>
      <c r="P9806" t="s">
        <v>190</v>
      </c>
      <c r="Q9806" t="s">
        <v>58</v>
      </c>
      <c r="R9806" t="str">
        <f>IFERROR(VLOOKUP(record[[#This Row],[PCUSTID]],廠商[],2,FALSE),"")</f>
        <v/>
      </c>
      <c r="S9806" t="str">
        <f>VLOOKUP(record[[#This Row],[employeeID]],員工[],2,FALSE)</f>
        <v>陳雅娟</v>
      </c>
    </row>
    <row r="9807" spans="6:19" hidden="1" x14ac:dyDescent="0.25">
      <c r="F9807" t="s">
        <v>777</v>
      </c>
      <c r="G9807" t="s">
        <v>448</v>
      </c>
      <c r="H9807" t="str">
        <f>VLOOKUP(record[[#This Row],[ProcessSN]],表格2_7[],2,FALSE)</f>
        <v>30-4118-018-6XX</v>
      </c>
      <c r="I9807" t="str">
        <f>VLOOKUP(record[[#This Row],[ProcessSN]],表格2_7[],3,FALSE)</f>
        <v>#04</v>
      </c>
      <c r="J9807" t="s">
        <v>588</v>
      </c>
      <c r="K9807" s="195">
        <v>45771.651759259257</v>
      </c>
      <c r="L9807">
        <v>124</v>
      </c>
      <c r="M9807">
        <v>0</v>
      </c>
      <c r="N9807" s="98" t="str">
        <f>IF(record[[#This Row],[Memo]]="Browser:chrome os:android","平板報工",IF(record[[#This Row],[Memo]]=0,"委外",record[[#This Row],[Memo]]))</f>
        <v/>
      </c>
      <c r="O9807" t="s">
        <v>58</v>
      </c>
      <c r="P9807" t="s">
        <v>101</v>
      </c>
      <c r="Q9807" t="s">
        <v>58</v>
      </c>
      <c r="R9807" t="str">
        <f>IFERROR(VLOOKUP(record[[#This Row],[PCUSTID]],廠商[],2,FALSE),"")</f>
        <v/>
      </c>
      <c r="S9807" t="str">
        <f>VLOOKUP(record[[#This Row],[employeeID]],員工[],2,FALSE)</f>
        <v>陳氏絨</v>
      </c>
    </row>
    <row r="9808" spans="6:19" hidden="1" x14ac:dyDescent="0.25">
      <c r="F9808" t="s">
        <v>783</v>
      </c>
      <c r="G9808" t="s">
        <v>398</v>
      </c>
      <c r="H9808" t="str">
        <f>VLOOKUP(record[[#This Row],[ProcessSN]],表格2_7[],2,FALSE)</f>
        <v>30-4118-018-550</v>
      </c>
      <c r="I9808" t="str">
        <f>VLOOKUP(record[[#This Row],[ProcessSN]],表格2_7[],3,FALSE)</f>
        <v>#08RCV</v>
      </c>
      <c r="J9808" t="s">
        <v>591</v>
      </c>
      <c r="K9808" s="195">
        <v>45771.65011574074</v>
      </c>
      <c r="L9808">
        <v>298</v>
      </c>
      <c r="M9808">
        <v>0</v>
      </c>
      <c r="N9808" s="98" t="str">
        <f>IF(record[[#This Row],[Memo]]="Browser:chrome os:android","平板報工",IF(record[[#This Row],[Memo]]=0,"委外",record[[#This Row],[Memo]]))</f>
        <v/>
      </c>
      <c r="O9808" t="s">
        <v>58</v>
      </c>
      <c r="P9808" t="s">
        <v>186</v>
      </c>
      <c r="Q9808" t="s">
        <v>58</v>
      </c>
      <c r="R9808" t="str">
        <f>IFERROR(VLOOKUP(record[[#This Row],[PCUSTID]],廠商[],2,FALSE),"")</f>
        <v/>
      </c>
      <c r="S9808" t="str">
        <f>VLOOKUP(record[[#This Row],[employeeID]],員工[],2,FALSE)</f>
        <v>許文姍</v>
      </c>
    </row>
    <row r="9809" spans="6:19" hidden="1" x14ac:dyDescent="0.25">
      <c r="F9809" t="s">
        <v>733</v>
      </c>
      <c r="G9809" t="s">
        <v>428</v>
      </c>
      <c r="H9809" t="str">
        <f>VLOOKUP(record[[#This Row],[ProcessSN]],表格2_7[],2,FALSE)</f>
        <v>30-4118-018-600</v>
      </c>
      <c r="I9809" t="str">
        <f>VLOOKUP(record[[#This Row],[ProcessSN]],表格2_7[],3,FALSE)</f>
        <v>#100SHIP</v>
      </c>
      <c r="J9809" t="s">
        <v>600</v>
      </c>
      <c r="K9809" s="195">
        <v>45771.49050925926</v>
      </c>
      <c r="L9809">
        <v>143</v>
      </c>
      <c r="M9809">
        <v>0</v>
      </c>
      <c r="N9809" s="98" t="str">
        <f>IF(record[[#This Row],[Memo]]="Browser:chrome os:android","平板報工",IF(record[[#This Row],[Memo]]=0,"委外",record[[#This Row],[Memo]]))</f>
        <v/>
      </c>
      <c r="O9809" t="s">
        <v>58</v>
      </c>
      <c r="P9809" t="s">
        <v>196</v>
      </c>
      <c r="Q9809" t="s">
        <v>58</v>
      </c>
      <c r="R9809" t="str">
        <f>IFERROR(VLOOKUP(record[[#This Row],[PCUSTID]],廠商[],2,FALSE),"")</f>
        <v/>
      </c>
      <c r="S9809" t="str">
        <f>VLOOKUP(record[[#This Row],[employeeID]],員工[],2,FALSE)</f>
        <v>張淑惠</v>
      </c>
    </row>
    <row r="9810" spans="6:19" hidden="1" x14ac:dyDescent="0.25">
      <c r="F9810" t="s">
        <v>720</v>
      </c>
      <c r="G9810" t="s">
        <v>428</v>
      </c>
      <c r="H9810" t="str">
        <f>VLOOKUP(record[[#This Row],[ProcessSN]],表格2_7[],2,FALSE)</f>
        <v>30-4118-018-600</v>
      </c>
      <c r="I9810" t="str">
        <f>VLOOKUP(record[[#This Row],[ProcessSN]],表格2_7[],3,FALSE)</f>
        <v>#100SHIP</v>
      </c>
      <c r="J9810" t="s">
        <v>600</v>
      </c>
      <c r="K9810" s="195">
        <v>45771.490277777775</v>
      </c>
      <c r="L9810">
        <v>162</v>
      </c>
      <c r="M9810">
        <v>0</v>
      </c>
      <c r="N9810" s="98" t="str">
        <f>IF(record[[#This Row],[Memo]]="Browser:chrome os:android","平板報工",IF(record[[#This Row],[Memo]]=0,"委外",record[[#This Row],[Memo]]))</f>
        <v/>
      </c>
      <c r="O9810" t="s">
        <v>58</v>
      </c>
      <c r="P9810" t="s">
        <v>196</v>
      </c>
      <c r="Q9810" t="s">
        <v>58</v>
      </c>
      <c r="R9810" t="str">
        <f>IFERROR(VLOOKUP(record[[#This Row],[PCUSTID]],廠商[],2,FALSE),"")</f>
        <v/>
      </c>
      <c r="S9810" t="str">
        <f>VLOOKUP(record[[#This Row],[employeeID]],員工[],2,FALSE)</f>
        <v>張淑惠</v>
      </c>
    </row>
    <row r="9811" spans="6:19" hidden="1" x14ac:dyDescent="0.25">
      <c r="F9811" t="s">
        <v>721</v>
      </c>
      <c r="G9811" t="s">
        <v>428</v>
      </c>
      <c r="H9811" t="str">
        <f>VLOOKUP(record[[#This Row],[ProcessSN]],表格2_7[],2,FALSE)</f>
        <v>30-4118-018-600</v>
      </c>
      <c r="I9811" t="str">
        <f>VLOOKUP(record[[#This Row],[ProcessSN]],表格2_7[],3,FALSE)</f>
        <v>#100SHIP</v>
      </c>
      <c r="J9811" t="s">
        <v>600</v>
      </c>
      <c r="K9811" s="195">
        <v>45771.489918981482</v>
      </c>
      <c r="L9811">
        <v>257</v>
      </c>
      <c r="M9811">
        <v>0</v>
      </c>
      <c r="N9811" s="98" t="str">
        <f>IF(record[[#This Row],[Memo]]="Browser:chrome os:android","平板報工",IF(record[[#This Row],[Memo]]=0,"委外",record[[#This Row],[Memo]]))</f>
        <v/>
      </c>
      <c r="O9811" t="s">
        <v>58</v>
      </c>
      <c r="P9811" t="s">
        <v>196</v>
      </c>
      <c r="Q9811" t="s">
        <v>58</v>
      </c>
      <c r="R9811" t="str">
        <f>IFERROR(VLOOKUP(record[[#This Row],[PCUSTID]],廠商[],2,FALSE),"")</f>
        <v/>
      </c>
      <c r="S9811" t="str">
        <f>VLOOKUP(record[[#This Row],[employeeID]],員工[],2,FALSE)</f>
        <v>張淑惠</v>
      </c>
    </row>
    <row r="9812" spans="6:19" hidden="1" x14ac:dyDescent="0.25">
      <c r="F9812" t="s">
        <v>668</v>
      </c>
      <c r="G9812" t="s">
        <v>362</v>
      </c>
      <c r="H9812" t="str">
        <f>VLOOKUP(record[[#This Row],[ProcessSN]],表格2_7[],2,FALSE)</f>
        <v>30-4118-018-450</v>
      </c>
      <c r="I9812" t="str">
        <f>VLOOKUP(record[[#This Row],[ProcessSN]],表格2_7[],3,FALSE)</f>
        <v>#100SHIP</v>
      </c>
      <c r="J9812" t="s">
        <v>600</v>
      </c>
      <c r="K9812" s="195">
        <v>45771.489618055559</v>
      </c>
      <c r="L9812">
        <v>4</v>
      </c>
      <c r="M9812">
        <v>0</v>
      </c>
      <c r="N9812" s="98" t="str">
        <f>IF(record[[#This Row],[Memo]]="Browser:chrome os:android","平板報工",IF(record[[#This Row],[Memo]]=0,"委外",record[[#This Row],[Memo]]))</f>
        <v/>
      </c>
      <c r="O9812" t="s">
        <v>58</v>
      </c>
      <c r="P9812" t="s">
        <v>196</v>
      </c>
      <c r="Q9812" t="s">
        <v>58</v>
      </c>
      <c r="R9812" t="str">
        <f>IFERROR(VLOOKUP(record[[#This Row],[PCUSTID]],廠商[],2,FALSE),"")</f>
        <v/>
      </c>
      <c r="S9812" t="str">
        <f>VLOOKUP(record[[#This Row],[employeeID]],員工[],2,FALSE)</f>
        <v>張淑惠</v>
      </c>
    </row>
    <row r="9813" spans="6:19" hidden="1" x14ac:dyDescent="0.25">
      <c r="F9813" t="s">
        <v>784</v>
      </c>
      <c r="G9813" t="s">
        <v>397</v>
      </c>
      <c r="H9813" t="str">
        <f>VLOOKUP(record[[#This Row],[ProcessSN]],表格2_7[],2,FALSE)</f>
        <v>30-4118-018-550</v>
      </c>
      <c r="I9813" t="str">
        <f>VLOOKUP(record[[#This Row],[ProcessSN]],表格2_7[],3,FALSE)</f>
        <v>#08</v>
      </c>
      <c r="J9813" t="s">
        <v>597</v>
      </c>
      <c r="K9813" s="195">
        <v>45771.408530092594</v>
      </c>
      <c r="L9813">
        <v>383</v>
      </c>
      <c r="M9813">
        <v>0</v>
      </c>
      <c r="N9813" s="98" t="str">
        <f>IF(record[[#This Row],[Memo]]="Browser:chrome os:android","平板報工",IF(record[[#This Row],[Memo]]=0,"委外",record[[#This Row],[Memo]]))</f>
        <v>委外</v>
      </c>
      <c r="P9813" t="s">
        <v>186</v>
      </c>
      <c r="Q9813" t="s">
        <v>287</v>
      </c>
      <c r="R9813" t="str">
        <f>IFERROR(VLOOKUP(record[[#This Row],[PCUSTID]],廠商[],2,FALSE),"")</f>
        <v>泉盛</v>
      </c>
      <c r="S9813" t="str">
        <f>VLOOKUP(record[[#This Row],[employeeID]],員工[],2,FALSE)</f>
        <v>許文姍</v>
      </c>
    </row>
    <row r="9814" spans="6:19" hidden="1" x14ac:dyDescent="0.25">
      <c r="F9814" t="s">
        <v>777</v>
      </c>
      <c r="G9814" t="s">
        <v>448</v>
      </c>
      <c r="H9814" t="str">
        <f>VLOOKUP(record[[#This Row],[ProcessSN]],表格2_7[],2,FALSE)</f>
        <v>30-4118-018-6XX</v>
      </c>
      <c r="I9814" t="str">
        <f>VLOOKUP(record[[#This Row],[ProcessSN]],表格2_7[],3,FALSE)</f>
        <v>#04</v>
      </c>
      <c r="J9814" t="s">
        <v>588</v>
      </c>
      <c r="K9814" s="195">
        <v>45771.311724537038</v>
      </c>
      <c r="L9814">
        <v>129</v>
      </c>
      <c r="M9814">
        <v>0</v>
      </c>
      <c r="N9814" s="98" t="str">
        <f>IF(record[[#This Row],[Memo]]="Browser:chrome os:android","平板報工",IF(record[[#This Row],[Memo]]=0,"委外",record[[#This Row],[Memo]]))</f>
        <v/>
      </c>
      <c r="O9814" t="s">
        <v>58</v>
      </c>
      <c r="P9814" t="s">
        <v>135</v>
      </c>
      <c r="Q9814" t="s">
        <v>58</v>
      </c>
      <c r="R9814" t="str">
        <f>IFERROR(VLOOKUP(record[[#This Row],[PCUSTID]],廠商[],2,FALSE),"")</f>
        <v/>
      </c>
      <c r="S9814" t="str">
        <f>VLOOKUP(record[[#This Row],[employeeID]],員工[],2,FALSE)</f>
        <v>阮士文</v>
      </c>
    </row>
    <row r="9815" spans="6:19" hidden="1" x14ac:dyDescent="0.25">
      <c r="F9815" t="s">
        <v>777</v>
      </c>
      <c r="G9815" t="s">
        <v>448</v>
      </c>
      <c r="H9815" t="str">
        <f>VLOOKUP(record[[#This Row],[ProcessSN]],表格2_7[],2,FALSE)</f>
        <v>30-4118-018-6XX</v>
      </c>
      <c r="I9815" t="str">
        <f>VLOOKUP(record[[#This Row],[ProcessSN]],表格2_7[],3,FALSE)</f>
        <v>#04</v>
      </c>
      <c r="J9815" t="s">
        <v>588</v>
      </c>
      <c r="K9815" s="195">
        <v>45770.963807870372</v>
      </c>
      <c r="L9815">
        <v>129</v>
      </c>
      <c r="M9815">
        <v>0</v>
      </c>
      <c r="N9815" s="98" t="str">
        <f>IF(record[[#This Row],[Memo]]="Browser:chrome os:android","平板報工",IF(record[[#This Row],[Memo]]=0,"委外",record[[#This Row],[Memo]]))</f>
        <v/>
      </c>
      <c r="O9815" t="s">
        <v>58</v>
      </c>
      <c r="P9815" t="s">
        <v>133</v>
      </c>
      <c r="Q9815" t="s">
        <v>58</v>
      </c>
      <c r="R9815" t="str">
        <f>IFERROR(VLOOKUP(record[[#This Row],[PCUSTID]],廠商[],2,FALSE),"")</f>
        <v/>
      </c>
      <c r="S9815" t="str">
        <f>VLOOKUP(record[[#This Row],[employeeID]],員工[],2,FALSE)</f>
        <v>黎長維</v>
      </c>
    </row>
    <row r="9816" spans="6:19" hidden="1" x14ac:dyDescent="0.25">
      <c r="F9816" t="s">
        <v>778</v>
      </c>
      <c r="G9816" t="s">
        <v>413</v>
      </c>
      <c r="H9816" t="str">
        <f>VLOOKUP(record[[#This Row],[ProcessSN]],表格2_7[],2,FALSE)</f>
        <v>30-4118-018-5XX</v>
      </c>
      <c r="I9816" t="str">
        <f>VLOOKUP(record[[#This Row],[ProcessSN]],表格2_7[],3,FALSE)</f>
        <v>#03GIVE</v>
      </c>
      <c r="J9816" t="s">
        <v>587</v>
      </c>
      <c r="K9816" s="195">
        <v>45770.715520833335</v>
      </c>
      <c r="L9816">
        <v>3780</v>
      </c>
      <c r="M9816">
        <v>0</v>
      </c>
      <c r="N9816" s="98" t="str">
        <f>IF(record[[#This Row],[Memo]]="Browser:chrome os:android","平板報工",IF(record[[#This Row],[Memo]]=0,"委外",record[[#This Row],[Memo]]))</f>
        <v/>
      </c>
      <c r="O9816" t="s">
        <v>58</v>
      </c>
      <c r="P9816" t="s">
        <v>208</v>
      </c>
      <c r="Q9816" t="s">
        <v>58</v>
      </c>
      <c r="R9816" t="str">
        <f>IFERROR(VLOOKUP(record[[#This Row],[PCUSTID]],廠商[],2,FALSE),"")</f>
        <v/>
      </c>
      <c r="S9816" t="str">
        <f>VLOOKUP(record[[#This Row],[employeeID]],員工[],2,FALSE)</f>
        <v>陳治宏</v>
      </c>
    </row>
    <row r="9817" spans="6:19" hidden="1" x14ac:dyDescent="0.25">
      <c r="F9817" t="s">
        <v>778</v>
      </c>
      <c r="G9817" t="s">
        <v>412</v>
      </c>
      <c r="H9817" t="str">
        <f>VLOOKUP(record[[#This Row],[ProcessSN]],表格2_7[],2,FALSE)</f>
        <v>30-4118-018-5XX</v>
      </c>
      <c r="I9817" t="str">
        <f>VLOOKUP(record[[#This Row],[ProcessSN]],表格2_7[],3,FALSE)</f>
        <v>#03PICK</v>
      </c>
      <c r="J9817" t="s">
        <v>582</v>
      </c>
      <c r="K9817" s="195">
        <v>45770.715173611112</v>
      </c>
      <c r="L9817">
        <v>3800</v>
      </c>
      <c r="M9817">
        <v>0</v>
      </c>
      <c r="N9817" s="98" t="str">
        <f>IF(record[[#This Row],[Memo]]="Browser:chrome os:android","平板報工",IF(record[[#This Row],[Memo]]=0,"委外",record[[#This Row],[Memo]]))</f>
        <v/>
      </c>
      <c r="O9817" t="s">
        <v>58</v>
      </c>
      <c r="P9817" t="s">
        <v>208</v>
      </c>
      <c r="Q9817" t="s">
        <v>58</v>
      </c>
      <c r="R9817" t="str">
        <f>IFERROR(VLOOKUP(record[[#This Row],[PCUSTID]],廠商[],2,FALSE),"")</f>
        <v/>
      </c>
      <c r="S9817" t="str">
        <f>VLOOKUP(record[[#This Row],[employeeID]],員工[],2,FALSE)</f>
        <v>陳治宏</v>
      </c>
    </row>
    <row r="9818" spans="6:19" hidden="1" x14ac:dyDescent="0.25">
      <c r="F9818" t="s">
        <v>775</v>
      </c>
      <c r="G9818" t="s">
        <v>400</v>
      </c>
      <c r="H9818" t="str">
        <f>VLOOKUP(record[[#This Row],[ProcessSN]],表格2_7[],2,FALSE)</f>
        <v>30-4118-018-550</v>
      </c>
      <c r="I9818" t="str">
        <f>VLOOKUP(record[[#This Row],[ProcessSN]],表格2_7[],3,FALSE)</f>
        <v>#100</v>
      </c>
      <c r="J9818" t="s">
        <v>598</v>
      </c>
      <c r="K9818" s="195">
        <v>45770.666145833333</v>
      </c>
      <c r="L9818">
        <v>289</v>
      </c>
      <c r="M9818">
        <v>0</v>
      </c>
      <c r="N9818" s="98" t="str">
        <f>IF(record[[#This Row],[Memo]]="Browser:chrome os:android","平板報工",IF(record[[#This Row],[Memo]]=0,"委外",record[[#This Row],[Memo]]))</f>
        <v>平板報工</v>
      </c>
      <c r="O9818" t="s">
        <v>643</v>
      </c>
      <c r="P9818" t="s">
        <v>99</v>
      </c>
      <c r="Q9818" t="s">
        <v>644</v>
      </c>
      <c r="R9818" t="str">
        <f>IFERROR(VLOOKUP(record[[#This Row],[PCUSTID]],廠商[],2,FALSE),"")</f>
        <v/>
      </c>
      <c r="S9818" t="str">
        <f>VLOOKUP(record[[#This Row],[employeeID]],員工[],2,FALSE)</f>
        <v>阮氏河</v>
      </c>
    </row>
    <row r="9819" spans="6:19" hidden="1" x14ac:dyDescent="0.25">
      <c r="F9819" t="s">
        <v>777</v>
      </c>
      <c r="G9819" t="s">
        <v>448</v>
      </c>
      <c r="H9819" t="str">
        <f>VLOOKUP(record[[#This Row],[ProcessSN]],表格2_7[],2,FALSE)</f>
        <v>30-4118-018-6XX</v>
      </c>
      <c r="I9819" t="str">
        <f>VLOOKUP(record[[#This Row],[ProcessSN]],表格2_7[],3,FALSE)</f>
        <v>#04</v>
      </c>
      <c r="J9819" t="s">
        <v>588</v>
      </c>
      <c r="K9819" s="195">
        <v>45770.648900462962</v>
      </c>
      <c r="L9819">
        <v>54</v>
      </c>
      <c r="M9819">
        <v>3</v>
      </c>
      <c r="N9819" s="98" t="str">
        <f>IF(record[[#This Row],[Memo]]="Browser:chrome os:android","平板報工",IF(record[[#This Row],[Memo]]=0,"委外",record[[#This Row],[Memo]]))</f>
        <v/>
      </c>
      <c r="O9819" t="s">
        <v>58</v>
      </c>
      <c r="P9819" t="s">
        <v>119</v>
      </c>
      <c r="Q9819" t="s">
        <v>58</v>
      </c>
      <c r="R9819" t="str">
        <f>IFERROR(VLOOKUP(record[[#This Row],[PCUSTID]],廠商[],2,FALSE),"")</f>
        <v/>
      </c>
      <c r="S9819" t="str">
        <f>VLOOKUP(record[[#This Row],[employeeID]],員工[],2,FALSE)</f>
        <v>廖俊彥</v>
      </c>
    </row>
    <row r="9820" spans="6:19" hidden="1" x14ac:dyDescent="0.25">
      <c r="F9820" t="s">
        <v>752</v>
      </c>
      <c r="G9820" t="s">
        <v>420</v>
      </c>
      <c r="H9820" t="str">
        <f>VLOOKUP(record[[#This Row],[ProcessSN]],表格2_7[],2,FALSE)</f>
        <v>30-4118-018-5XX</v>
      </c>
      <c r="I9820" t="str">
        <f>VLOOKUP(record[[#This Row],[ProcessSN]],表格2_7[],3,FALSE)</f>
        <v>#07STOCK</v>
      </c>
      <c r="J9820" t="s">
        <v>592</v>
      </c>
      <c r="K9820" s="195">
        <v>45770.573564814818</v>
      </c>
      <c r="L9820">
        <v>383</v>
      </c>
      <c r="M9820">
        <v>0</v>
      </c>
      <c r="N9820" s="98" t="str">
        <f>IF(record[[#This Row],[Memo]]="Browser:chrome os:android","平板報工",IF(record[[#This Row],[Memo]]=0,"委外",record[[#This Row],[Memo]]))</f>
        <v/>
      </c>
      <c r="O9820" t="s">
        <v>58</v>
      </c>
      <c r="P9820" t="s">
        <v>65</v>
      </c>
      <c r="Q9820" t="s">
        <v>58</v>
      </c>
      <c r="R9820" t="str">
        <f>IFERROR(VLOOKUP(record[[#This Row],[PCUSTID]],廠商[],2,FALSE),"")</f>
        <v/>
      </c>
      <c r="S9820" t="str">
        <f>VLOOKUP(record[[#This Row],[employeeID]],員工[],2,FALSE)</f>
        <v>蘇進昌</v>
      </c>
    </row>
    <row r="9821" spans="6:19" hidden="1" x14ac:dyDescent="0.25">
      <c r="F9821" t="s">
        <v>784</v>
      </c>
      <c r="G9821" t="s">
        <v>396</v>
      </c>
      <c r="H9821" t="str">
        <f>VLOOKUP(record[[#This Row],[ProcessSN]],表格2_7[],2,FALSE)</f>
        <v>30-4118-018-550</v>
      </c>
      <c r="I9821" t="str">
        <f>VLOOKUP(record[[#This Row],[ProcessSN]],表格2_7[],3,FALSE)</f>
        <v>#08PICK</v>
      </c>
      <c r="J9821" t="s">
        <v>582</v>
      </c>
      <c r="K9821" s="195">
        <v>45770.573449074072</v>
      </c>
      <c r="L9821">
        <v>383</v>
      </c>
      <c r="M9821">
        <v>0</v>
      </c>
      <c r="N9821" s="98" t="str">
        <f>IF(record[[#This Row],[Memo]]="Browser:chrome os:android","平板報工",IF(record[[#This Row],[Memo]]=0,"委外",record[[#This Row],[Memo]]))</f>
        <v/>
      </c>
      <c r="O9821" t="s">
        <v>58</v>
      </c>
      <c r="P9821" t="s">
        <v>65</v>
      </c>
      <c r="Q9821" t="s">
        <v>58</v>
      </c>
      <c r="R9821" t="str">
        <f>IFERROR(VLOOKUP(record[[#This Row],[PCUSTID]],廠商[],2,FALSE),"")</f>
        <v/>
      </c>
      <c r="S9821" t="str">
        <f>VLOOKUP(record[[#This Row],[employeeID]],員工[],2,FALSE)</f>
        <v>蘇進昌</v>
      </c>
    </row>
    <row r="9822" spans="6:19" hidden="1" x14ac:dyDescent="0.25">
      <c r="F9822" t="s">
        <v>752</v>
      </c>
      <c r="G9822" t="s">
        <v>419</v>
      </c>
      <c r="H9822" t="str">
        <f>VLOOKUP(record[[#This Row],[ProcessSN]],表格2_7[],2,FALSE)</f>
        <v>30-4118-018-5XX</v>
      </c>
      <c r="I9822" t="str">
        <f>VLOOKUP(record[[#This Row],[ProcessSN]],表格2_7[],3,FALSE)</f>
        <v>#07QC</v>
      </c>
      <c r="J9822" t="s">
        <v>589</v>
      </c>
      <c r="K9822" s="195">
        <v>45770.570092592592</v>
      </c>
      <c r="L9822">
        <v>383</v>
      </c>
      <c r="M9822">
        <v>0</v>
      </c>
      <c r="N9822" s="98" t="str">
        <f>IF(record[[#This Row],[Memo]]="Browser:chrome os:android","平板報工",IF(record[[#This Row],[Memo]]=0,"委外",record[[#This Row],[Memo]]))</f>
        <v>平板報工</v>
      </c>
      <c r="O9822" t="s">
        <v>643</v>
      </c>
      <c r="P9822" t="s">
        <v>99</v>
      </c>
      <c r="Q9822" t="s">
        <v>644</v>
      </c>
      <c r="R9822" t="str">
        <f>IFERROR(VLOOKUP(record[[#This Row],[PCUSTID]],廠商[],2,FALSE),"")</f>
        <v/>
      </c>
      <c r="S9822" t="str">
        <f>VLOOKUP(record[[#This Row],[employeeID]],員工[],2,FALSE)</f>
        <v>阮氏河</v>
      </c>
    </row>
    <row r="9823" spans="6:19" hidden="1" x14ac:dyDescent="0.25">
      <c r="F9823" t="s">
        <v>721</v>
      </c>
      <c r="G9823" t="s">
        <v>428</v>
      </c>
      <c r="H9823" t="str">
        <f>VLOOKUP(record[[#This Row],[ProcessSN]],表格2_7[],2,FALSE)</f>
        <v>30-4118-018-600</v>
      </c>
      <c r="I9823" t="str">
        <f>VLOOKUP(record[[#This Row],[ProcessSN]],表格2_7[],3,FALSE)</f>
        <v>#100SHIP</v>
      </c>
      <c r="J9823" t="s">
        <v>600</v>
      </c>
      <c r="K9823" s="195">
        <v>45770.474849537037</v>
      </c>
      <c r="L9823">
        <v>21</v>
      </c>
      <c r="M9823">
        <v>0</v>
      </c>
      <c r="N9823" s="98" t="str">
        <f>IF(record[[#This Row],[Memo]]="Browser:chrome os:android","平板報工",IF(record[[#This Row],[Memo]]=0,"委外",record[[#This Row],[Memo]]))</f>
        <v/>
      </c>
      <c r="O9823" t="s">
        <v>58</v>
      </c>
      <c r="P9823" t="s">
        <v>196</v>
      </c>
      <c r="Q9823" t="s">
        <v>58</v>
      </c>
      <c r="R9823" t="str">
        <f>IFERROR(VLOOKUP(record[[#This Row],[PCUSTID]],廠商[],2,FALSE),"")</f>
        <v/>
      </c>
      <c r="S9823" t="str">
        <f>VLOOKUP(record[[#This Row],[employeeID]],員工[],2,FALSE)</f>
        <v>張淑惠</v>
      </c>
    </row>
    <row r="9824" spans="6:19" hidden="1" x14ac:dyDescent="0.25">
      <c r="F9824" t="s">
        <v>629</v>
      </c>
      <c r="G9824" t="s">
        <v>428</v>
      </c>
      <c r="H9824" t="str">
        <f>VLOOKUP(record[[#This Row],[ProcessSN]],表格2_7[],2,FALSE)</f>
        <v>30-4118-018-600</v>
      </c>
      <c r="I9824" t="str">
        <f>VLOOKUP(record[[#This Row],[ProcessSN]],表格2_7[],3,FALSE)</f>
        <v>#100SHIP</v>
      </c>
      <c r="J9824" t="s">
        <v>600</v>
      </c>
      <c r="K9824" s="195">
        <v>45770.473252314812</v>
      </c>
      <c r="L9824">
        <v>1</v>
      </c>
      <c r="M9824">
        <v>0</v>
      </c>
      <c r="N9824" s="98" t="str">
        <f>IF(record[[#This Row],[Memo]]="Browser:chrome os:android","平板報工",IF(record[[#This Row],[Memo]]=0,"委外",record[[#This Row],[Memo]]))</f>
        <v/>
      </c>
      <c r="O9824" t="s">
        <v>58</v>
      </c>
      <c r="P9824" t="s">
        <v>196</v>
      </c>
      <c r="Q9824" t="s">
        <v>58</v>
      </c>
      <c r="R9824" t="str">
        <f>IFERROR(VLOOKUP(record[[#This Row],[PCUSTID]],廠商[],2,FALSE),"")</f>
        <v/>
      </c>
      <c r="S9824" t="str">
        <f>VLOOKUP(record[[#This Row],[employeeID]],員工[],2,FALSE)</f>
        <v>張淑惠</v>
      </c>
    </row>
    <row r="9825" spans="6:19" hidden="1" x14ac:dyDescent="0.25">
      <c r="F9825" t="s">
        <v>761</v>
      </c>
      <c r="G9825" t="s">
        <v>428</v>
      </c>
      <c r="H9825" t="str">
        <f>VLOOKUP(record[[#This Row],[ProcessSN]],表格2_7[],2,FALSE)</f>
        <v>30-4118-018-600</v>
      </c>
      <c r="I9825" t="str">
        <f>VLOOKUP(record[[#This Row],[ProcessSN]],表格2_7[],3,FALSE)</f>
        <v>#100SHIP</v>
      </c>
      <c r="J9825" t="s">
        <v>600</v>
      </c>
      <c r="K9825" s="195">
        <v>45770.472708333335</v>
      </c>
      <c r="L9825">
        <v>3</v>
      </c>
      <c r="M9825">
        <v>0</v>
      </c>
      <c r="N9825" s="98" t="str">
        <f>IF(record[[#This Row],[Memo]]="Browser:chrome os:android","平板報工",IF(record[[#This Row],[Memo]]=0,"委外",record[[#This Row],[Memo]]))</f>
        <v/>
      </c>
      <c r="O9825" t="s">
        <v>58</v>
      </c>
      <c r="P9825" t="s">
        <v>196</v>
      </c>
      <c r="Q9825" t="s">
        <v>58</v>
      </c>
      <c r="R9825" t="str">
        <f>IFERROR(VLOOKUP(record[[#This Row],[PCUSTID]],廠商[],2,FALSE),"")</f>
        <v/>
      </c>
      <c r="S9825" t="str">
        <f>VLOOKUP(record[[#This Row],[employeeID]],員工[],2,FALSE)</f>
        <v>張淑惠</v>
      </c>
    </row>
    <row r="9826" spans="6:19" hidden="1" x14ac:dyDescent="0.25">
      <c r="F9826" t="s">
        <v>768</v>
      </c>
      <c r="G9826" t="s">
        <v>403</v>
      </c>
      <c r="H9826" t="str">
        <f>VLOOKUP(record[[#This Row],[ProcessSN]],表格2_7[],2,FALSE)</f>
        <v>30-4118-018-550</v>
      </c>
      <c r="I9826" t="str">
        <f>VLOOKUP(record[[#This Row],[ProcessSN]],表格2_7[],3,FALSE)</f>
        <v>#100SHIP</v>
      </c>
      <c r="J9826" t="s">
        <v>600</v>
      </c>
      <c r="K9826" s="195">
        <v>45770.471817129626</v>
      </c>
      <c r="L9826">
        <v>45</v>
      </c>
      <c r="M9826">
        <v>0</v>
      </c>
      <c r="N9826" s="98" t="str">
        <f>IF(record[[#This Row],[Memo]]="Browser:chrome os:android","平板報工",IF(record[[#This Row],[Memo]]=0,"委外",record[[#This Row],[Memo]]))</f>
        <v/>
      </c>
      <c r="O9826" t="s">
        <v>58</v>
      </c>
      <c r="P9826" t="s">
        <v>196</v>
      </c>
      <c r="Q9826" t="s">
        <v>58</v>
      </c>
      <c r="R9826" t="str">
        <f>IFERROR(VLOOKUP(record[[#This Row],[PCUSTID]],廠商[],2,FALSE),"")</f>
        <v/>
      </c>
      <c r="S9826" t="str">
        <f>VLOOKUP(record[[#This Row],[employeeID]],員工[],2,FALSE)</f>
        <v>張淑惠</v>
      </c>
    </row>
    <row r="9827" spans="6:19" hidden="1" x14ac:dyDescent="0.25">
      <c r="F9827" t="s">
        <v>777</v>
      </c>
      <c r="G9827" t="s">
        <v>447</v>
      </c>
      <c r="H9827" t="str">
        <f>VLOOKUP(record[[#This Row],[ProcessSN]],表格2_7[],2,FALSE)</f>
        <v>30-4118-018-6XX</v>
      </c>
      <c r="I9827" t="str">
        <f>VLOOKUP(record[[#This Row],[ProcessSN]],表格2_7[],3,FALSE)</f>
        <v>#03</v>
      </c>
      <c r="J9827" t="s">
        <v>588</v>
      </c>
      <c r="K9827" s="195">
        <v>45769.965694444443</v>
      </c>
      <c r="L9827">
        <v>994</v>
      </c>
      <c r="M9827">
        <v>5</v>
      </c>
      <c r="N9827" s="98" t="str">
        <f>IF(record[[#This Row],[Memo]]="Browser:chrome os:android","平板報工",IF(record[[#This Row],[Memo]]=0,"委外",record[[#This Row],[Memo]]))</f>
        <v/>
      </c>
      <c r="O9827" t="s">
        <v>58</v>
      </c>
      <c r="P9827" t="s">
        <v>133</v>
      </c>
      <c r="Q9827" t="s">
        <v>58</v>
      </c>
      <c r="R9827" t="str">
        <f>IFERROR(VLOOKUP(record[[#This Row],[PCUSTID]],廠商[],2,FALSE),"")</f>
        <v/>
      </c>
      <c r="S9827" t="str">
        <f>VLOOKUP(record[[#This Row],[employeeID]],員工[],2,FALSE)</f>
        <v>黎長維</v>
      </c>
    </row>
    <row r="9828" spans="6:19" hidden="1" x14ac:dyDescent="0.25">
      <c r="F9828" t="s">
        <v>775</v>
      </c>
      <c r="G9828" t="s">
        <v>399</v>
      </c>
      <c r="H9828" t="str">
        <f>VLOOKUP(record[[#This Row],[ProcessSN]],表格2_7[],2,FALSE)</f>
        <v>30-4118-018-550</v>
      </c>
      <c r="I9828" t="str">
        <f>VLOOKUP(record[[#This Row],[ProcessSN]],表格2_7[],3,FALSE)</f>
        <v>#08IQC</v>
      </c>
      <c r="J9828" t="s">
        <v>583</v>
      </c>
      <c r="K9828" s="195">
        <v>45769.653703703705</v>
      </c>
      <c r="L9828">
        <v>289</v>
      </c>
      <c r="M9828">
        <v>0</v>
      </c>
      <c r="N9828" s="98" t="str">
        <f>IF(record[[#This Row],[Memo]]="Browser:chrome os:android","平板報工",IF(record[[#This Row],[Memo]]=0,"委外",record[[#This Row],[Memo]]))</f>
        <v/>
      </c>
      <c r="O9828" t="s">
        <v>58</v>
      </c>
      <c r="P9828" t="s">
        <v>190</v>
      </c>
      <c r="Q9828" t="s">
        <v>58</v>
      </c>
      <c r="R9828" t="str">
        <f>IFERROR(VLOOKUP(record[[#This Row],[PCUSTID]],廠商[],2,FALSE),"")</f>
        <v/>
      </c>
      <c r="S9828" t="str">
        <f>VLOOKUP(record[[#This Row],[employeeID]],員工[],2,FALSE)</f>
        <v>陳雅娟</v>
      </c>
    </row>
    <row r="9829" spans="6:19" hidden="1" x14ac:dyDescent="0.25">
      <c r="F9829" t="s">
        <v>756</v>
      </c>
      <c r="G9829" t="s">
        <v>470</v>
      </c>
      <c r="H9829" t="str">
        <f>VLOOKUP(record[[#This Row],[ProcessSN]],表格2_7[],2,FALSE)</f>
        <v>30-4118-018-XXX</v>
      </c>
      <c r="I9829" t="str">
        <f>VLOOKUP(record[[#This Row],[ProcessSN]],表格2_7[],3,FALSE)</f>
        <v>#02IQC</v>
      </c>
      <c r="J9829" t="s">
        <v>583</v>
      </c>
      <c r="K9829" s="195">
        <v>45769.640428240738</v>
      </c>
      <c r="L9829">
        <v>1435</v>
      </c>
      <c r="M9829">
        <v>0</v>
      </c>
      <c r="N9829" s="98" t="str">
        <f>IF(record[[#This Row],[Memo]]="Browser:chrome os:android","平板報工",IF(record[[#This Row],[Memo]]=0,"委外",record[[#This Row],[Memo]]))</f>
        <v/>
      </c>
      <c r="O9829" t="s">
        <v>58</v>
      </c>
      <c r="P9829" t="s">
        <v>190</v>
      </c>
      <c r="Q9829" t="s">
        <v>58</v>
      </c>
      <c r="R9829" t="str">
        <f>IFERROR(VLOOKUP(record[[#This Row],[PCUSTID]],廠商[],2,FALSE),"")</f>
        <v/>
      </c>
      <c r="S9829" t="str">
        <f>VLOOKUP(record[[#This Row],[employeeID]],員工[],2,FALSE)</f>
        <v>陳雅娟</v>
      </c>
    </row>
    <row r="9830" spans="6:19" hidden="1" x14ac:dyDescent="0.25">
      <c r="F9830" t="s">
        <v>777</v>
      </c>
      <c r="G9830" t="s">
        <v>447</v>
      </c>
      <c r="H9830" t="str">
        <f>VLOOKUP(record[[#This Row],[ProcessSN]],表格2_7[],2,FALSE)</f>
        <v>30-4118-018-6XX</v>
      </c>
      <c r="I9830" t="str">
        <f>VLOOKUP(record[[#This Row],[ProcessSN]],表格2_7[],3,FALSE)</f>
        <v>#03</v>
      </c>
      <c r="J9830" t="s">
        <v>588</v>
      </c>
      <c r="K9830" s="195">
        <v>45769.640127314815</v>
      </c>
      <c r="L9830">
        <v>0</v>
      </c>
      <c r="M9830">
        <v>1</v>
      </c>
      <c r="N9830" s="98" t="str">
        <f>IF(record[[#This Row],[Memo]]="Browser:chrome os:android","平板報工",IF(record[[#This Row],[Memo]]=0,"委外",record[[#This Row],[Memo]]))</f>
        <v/>
      </c>
      <c r="O9830" t="s">
        <v>58</v>
      </c>
      <c r="P9830" t="s">
        <v>119</v>
      </c>
      <c r="Q9830" t="s">
        <v>58</v>
      </c>
      <c r="R9830" t="str">
        <f>IFERROR(VLOOKUP(record[[#This Row],[PCUSTID]],廠商[],2,FALSE),"")</f>
        <v/>
      </c>
      <c r="S9830" t="str">
        <f>VLOOKUP(record[[#This Row],[employeeID]],員工[],2,FALSE)</f>
        <v>廖俊彥</v>
      </c>
    </row>
    <row r="9831" spans="6:19" hidden="1" x14ac:dyDescent="0.25">
      <c r="F9831" t="s">
        <v>775</v>
      </c>
      <c r="G9831" t="s">
        <v>398</v>
      </c>
      <c r="H9831" t="str">
        <f>VLOOKUP(record[[#This Row],[ProcessSN]],表格2_7[],2,FALSE)</f>
        <v>30-4118-018-550</v>
      </c>
      <c r="I9831" t="str">
        <f>VLOOKUP(record[[#This Row],[ProcessSN]],表格2_7[],3,FALSE)</f>
        <v>#08RCV</v>
      </c>
      <c r="J9831" t="s">
        <v>591</v>
      </c>
      <c r="K9831" s="195">
        <v>45769.619085648148</v>
      </c>
      <c r="L9831">
        <v>0</v>
      </c>
      <c r="M9831">
        <v>15</v>
      </c>
      <c r="N9831" s="98" t="str">
        <f>IF(record[[#This Row],[Memo]]="Browser:chrome os:android","平板報工",IF(record[[#This Row],[Memo]]=0,"委外",record[[#This Row],[Memo]]))</f>
        <v/>
      </c>
      <c r="O9831" t="s">
        <v>58</v>
      </c>
      <c r="P9831" t="s">
        <v>113</v>
      </c>
      <c r="Q9831" t="s">
        <v>58</v>
      </c>
      <c r="R9831" t="str">
        <f>IFERROR(VLOOKUP(record[[#This Row],[PCUSTID]],廠商[],2,FALSE),"")</f>
        <v/>
      </c>
      <c r="S9831" t="str">
        <f>VLOOKUP(record[[#This Row],[employeeID]],員工[],2,FALSE)</f>
        <v>王奕蓁</v>
      </c>
    </row>
    <row r="9832" spans="6:19" hidden="1" x14ac:dyDescent="0.25">
      <c r="F9832" t="s">
        <v>775</v>
      </c>
      <c r="G9832" t="s">
        <v>398</v>
      </c>
      <c r="H9832" t="str">
        <f>VLOOKUP(record[[#This Row],[ProcessSN]],表格2_7[],2,FALSE)</f>
        <v>30-4118-018-550</v>
      </c>
      <c r="I9832" t="str">
        <f>VLOOKUP(record[[#This Row],[ProcessSN]],表格2_7[],3,FALSE)</f>
        <v>#08RCV</v>
      </c>
      <c r="J9832" t="s">
        <v>591</v>
      </c>
      <c r="K9832" s="195">
        <v>45769.618923611109</v>
      </c>
      <c r="L9832">
        <v>289</v>
      </c>
      <c r="M9832">
        <v>0</v>
      </c>
      <c r="N9832" s="98" t="str">
        <f>IF(record[[#This Row],[Memo]]="Browser:chrome os:android","平板報工",IF(record[[#This Row],[Memo]]=0,"委外",record[[#This Row],[Memo]]))</f>
        <v/>
      </c>
      <c r="O9832" t="s">
        <v>58</v>
      </c>
      <c r="P9832" t="s">
        <v>113</v>
      </c>
      <c r="Q9832" t="s">
        <v>58</v>
      </c>
      <c r="R9832" t="str">
        <f>IFERROR(VLOOKUP(record[[#This Row],[PCUSTID]],廠商[],2,FALSE),"")</f>
        <v/>
      </c>
      <c r="S9832" t="str">
        <f>VLOOKUP(record[[#This Row],[employeeID]],員工[],2,FALSE)</f>
        <v>王奕蓁</v>
      </c>
    </row>
    <row r="9833" spans="6:19" hidden="1" x14ac:dyDescent="0.25">
      <c r="F9833" t="s">
        <v>772</v>
      </c>
      <c r="G9833" t="s">
        <v>400</v>
      </c>
      <c r="H9833" t="str">
        <f>VLOOKUP(record[[#This Row],[ProcessSN]],表格2_7[],2,FALSE)</f>
        <v>30-4118-018-550</v>
      </c>
      <c r="I9833" t="str">
        <f>VLOOKUP(record[[#This Row],[ProcessSN]],表格2_7[],3,FALSE)</f>
        <v>#100</v>
      </c>
      <c r="J9833" t="s">
        <v>598</v>
      </c>
      <c r="K9833" s="195">
        <v>45769.612256944441</v>
      </c>
      <c r="L9833">
        <v>469</v>
      </c>
      <c r="M9833">
        <v>0</v>
      </c>
      <c r="N9833" s="98" t="str">
        <f>IF(record[[#This Row],[Memo]]="Browser:chrome os:android","平板報工",IF(record[[#This Row],[Memo]]=0,"委外",record[[#This Row],[Memo]]))</f>
        <v>平板報工</v>
      </c>
      <c r="O9833" t="s">
        <v>643</v>
      </c>
      <c r="P9833" t="s">
        <v>99</v>
      </c>
      <c r="Q9833" t="s">
        <v>644</v>
      </c>
      <c r="R9833" t="str">
        <f>IFERROR(VLOOKUP(record[[#This Row],[PCUSTID]],廠商[],2,FALSE),"")</f>
        <v/>
      </c>
      <c r="S9833" t="str">
        <f>VLOOKUP(record[[#This Row],[employeeID]],員工[],2,FALSE)</f>
        <v>阮氏河</v>
      </c>
    </row>
    <row r="9834" spans="6:19" hidden="1" x14ac:dyDescent="0.25">
      <c r="F9834" t="s">
        <v>783</v>
      </c>
      <c r="G9834" t="s">
        <v>397</v>
      </c>
      <c r="H9834" t="str">
        <f>VLOOKUP(record[[#This Row],[ProcessSN]],表格2_7[],2,FALSE)</f>
        <v>30-4118-018-550</v>
      </c>
      <c r="I9834" t="str">
        <f>VLOOKUP(record[[#This Row],[ProcessSN]],表格2_7[],3,FALSE)</f>
        <v>#08</v>
      </c>
      <c r="J9834" t="s">
        <v>597</v>
      </c>
      <c r="K9834" s="195">
        <v>45769.507361111115</v>
      </c>
      <c r="L9834">
        <v>328</v>
      </c>
      <c r="M9834">
        <v>0</v>
      </c>
      <c r="N9834" s="98" t="str">
        <f>IF(record[[#This Row],[Memo]]="Browser:chrome os:android","平板報工",IF(record[[#This Row],[Memo]]=0,"委外",record[[#This Row],[Memo]]))</f>
        <v>委外</v>
      </c>
      <c r="P9834" t="s">
        <v>113</v>
      </c>
      <c r="Q9834" t="s">
        <v>287</v>
      </c>
      <c r="R9834" t="str">
        <f>IFERROR(VLOOKUP(record[[#This Row],[PCUSTID]],廠商[],2,FALSE),"")</f>
        <v>泉盛</v>
      </c>
      <c r="S9834" t="str">
        <f>VLOOKUP(record[[#This Row],[employeeID]],員工[],2,FALSE)</f>
        <v>王奕蓁</v>
      </c>
    </row>
    <row r="9835" spans="6:19" hidden="1" x14ac:dyDescent="0.25">
      <c r="F9835" t="s">
        <v>756</v>
      </c>
      <c r="G9835" t="s">
        <v>469</v>
      </c>
      <c r="H9835" t="str">
        <f>VLOOKUP(record[[#This Row],[ProcessSN]],表格2_7[],2,FALSE)</f>
        <v>30-4118-018-XXX</v>
      </c>
      <c r="I9835" t="str">
        <f>VLOOKUP(record[[#This Row],[ProcessSN]],表格2_7[],3,FALSE)</f>
        <v>#02RCV</v>
      </c>
      <c r="J9835" t="s">
        <v>591</v>
      </c>
      <c r="K9835" s="195">
        <v>45769.502337962964</v>
      </c>
      <c r="L9835">
        <v>0</v>
      </c>
      <c r="M9835">
        <v>19</v>
      </c>
      <c r="N9835" s="98" t="str">
        <f>IF(record[[#This Row],[Memo]]="Browser:chrome os:android","平板報工",IF(record[[#This Row],[Memo]]=0,"委外",record[[#This Row],[Memo]]))</f>
        <v/>
      </c>
      <c r="O9835" t="s">
        <v>58</v>
      </c>
      <c r="P9835" t="s">
        <v>113</v>
      </c>
      <c r="Q9835" t="s">
        <v>58</v>
      </c>
      <c r="R9835" t="str">
        <f>IFERROR(VLOOKUP(record[[#This Row],[PCUSTID]],廠商[],2,FALSE),"")</f>
        <v/>
      </c>
      <c r="S9835" t="str">
        <f>VLOOKUP(record[[#This Row],[employeeID]],員工[],2,FALSE)</f>
        <v>王奕蓁</v>
      </c>
    </row>
    <row r="9836" spans="6:19" hidden="1" x14ac:dyDescent="0.25">
      <c r="F9836" t="s">
        <v>756</v>
      </c>
      <c r="G9836" t="s">
        <v>469</v>
      </c>
      <c r="H9836" t="str">
        <f>VLOOKUP(record[[#This Row],[ProcessSN]],表格2_7[],2,FALSE)</f>
        <v>30-4118-018-XXX</v>
      </c>
      <c r="I9836" t="str">
        <f>VLOOKUP(record[[#This Row],[ProcessSN]],表格2_7[],3,FALSE)</f>
        <v>#02RCV</v>
      </c>
      <c r="J9836" t="s">
        <v>591</v>
      </c>
      <c r="K9836" s="195">
        <v>45769.502187500002</v>
      </c>
      <c r="L9836">
        <v>1435</v>
      </c>
      <c r="M9836">
        <v>0</v>
      </c>
      <c r="N9836" s="98" t="str">
        <f>IF(record[[#This Row],[Memo]]="Browser:chrome os:android","平板報工",IF(record[[#This Row],[Memo]]=0,"委外",record[[#This Row],[Memo]]))</f>
        <v/>
      </c>
      <c r="O9836" t="s">
        <v>58</v>
      </c>
      <c r="P9836" t="s">
        <v>113</v>
      </c>
      <c r="Q9836" t="s">
        <v>58</v>
      </c>
      <c r="R9836" t="str">
        <f>IFERROR(VLOOKUP(record[[#This Row],[PCUSTID]],廠商[],2,FALSE),"")</f>
        <v/>
      </c>
      <c r="S9836" t="str">
        <f>VLOOKUP(record[[#This Row],[employeeID]],員工[],2,FALSE)</f>
        <v>王奕蓁</v>
      </c>
    </row>
    <row r="9837" spans="6:19" hidden="1" x14ac:dyDescent="0.25">
      <c r="F9837" t="s">
        <v>752</v>
      </c>
      <c r="G9837" t="s">
        <v>420</v>
      </c>
      <c r="H9837" t="str">
        <f>VLOOKUP(record[[#This Row],[ProcessSN]],表格2_7[],2,FALSE)</f>
        <v>30-4118-018-5XX</v>
      </c>
      <c r="I9837" t="str">
        <f>VLOOKUP(record[[#This Row],[ProcessSN]],表格2_7[],3,FALSE)</f>
        <v>#07STOCK</v>
      </c>
      <c r="J9837" t="s">
        <v>592</v>
      </c>
      <c r="K9837" s="195">
        <v>45769.491053240738</v>
      </c>
      <c r="L9837">
        <v>328</v>
      </c>
      <c r="M9837">
        <v>0</v>
      </c>
      <c r="N9837" s="98" t="str">
        <f>IF(record[[#This Row],[Memo]]="Browser:chrome os:android","平板報工",IF(record[[#This Row],[Memo]]=0,"委外",record[[#This Row],[Memo]]))</f>
        <v/>
      </c>
      <c r="O9837" t="s">
        <v>58</v>
      </c>
      <c r="P9837" t="s">
        <v>65</v>
      </c>
      <c r="Q9837" t="s">
        <v>58</v>
      </c>
      <c r="R9837" t="str">
        <f>IFERROR(VLOOKUP(record[[#This Row],[PCUSTID]],廠商[],2,FALSE),"")</f>
        <v/>
      </c>
      <c r="S9837" t="str">
        <f>VLOOKUP(record[[#This Row],[employeeID]],員工[],2,FALSE)</f>
        <v>蘇進昌</v>
      </c>
    </row>
    <row r="9838" spans="6:19" hidden="1" x14ac:dyDescent="0.25">
      <c r="F9838" t="s">
        <v>783</v>
      </c>
      <c r="G9838" t="s">
        <v>396</v>
      </c>
      <c r="H9838" t="str">
        <f>VLOOKUP(record[[#This Row],[ProcessSN]],表格2_7[],2,FALSE)</f>
        <v>30-4118-018-550</v>
      </c>
      <c r="I9838" t="str">
        <f>VLOOKUP(record[[#This Row],[ProcessSN]],表格2_7[],3,FALSE)</f>
        <v>#08PICK</v>
      </c>
      <c r="J9838" t="s">
        <v>582</v>
      </c>
      <c r="K9838" s="195">
        <v>45769.490914351853</v>
      </c>
      <c r="L9838">
        <v>328</v>
      </c>
      <c r="M9838">
        <v>0</v>
      </c>
      <c r="N9838" s="98" t="str">
        <f>IF(record[[#This Row],[Memo]]="Browser:chrome os:android","平板報工",IF(record[[#This Row],[Memo]]=0,"委外",record[[#This Row],[Memo]]))</f>
        <v/>
      </c>
      <c r="O9838" t="s">
        <v>58</v>
      </c>
      <c r="P9838" t="s">
        <v>65</v>
      </c>
      <c r="Q9838" t="s">
        <v>58</v>
      </c>
      <c r="R9838" t="str">
        <f>IFERROR(VLOOKUP(record[[#This Row],[PCUSTID]],廠商[],2,FALSE),"")</f>
        <v/>
      </c>
      <c r="S9838" t="str">
        <f>VLOOKUP(record[[#This Row],[employeeID]],員工[],2,FALSE)</f>
        <v>蘇進昌</v>
      </c>
    </row>
    <row r="9839" spans="6:19" hidden="1" x14ac:dyDescent="0.25">
      <c r="F9839" t="s">
        <v>768</v>
      </c>
      <c r="G9839" t="s">
        <v>403</v>
      </c>
      <c r="H9839" t="str">
        <f>VLOOKUP(record[[#This Row],[ProcessSN]],表格2_7[],2,FALSE)</f>
        <v>30-4118-018-550</v>
      </c>
      <c r="I9839" t="str">
        <f>VLOOKUP(record[[#This Row],[ProcessSN]],表格2_7[],3,FALSE)</f>
        <v>#100SHIP</v>
      </c>
      <c r="J9839" t="s">
        <v>600</v>
      </c>
      <c r="K9839" s="195">
        <v>45769.396898148145</v>
      </c>
      <c r="L9839">
        <v>15</v>
      </c>
      <c r="M9839">
        <v>0</v>
      </c>
      <c r="N9839" s="98" t="str">
        <f>IF(record[[#This Row],[Memo]]="Browser:chrome os:android","平板報工",IF(record[[#This Row],[Memo]]=0,"委外",record[[#This Row],[Memo]]))</f>
        <v/>
      </c>
      <c r="O9839" t="s">
        <v>58</v>
      </c>
      <c r="P9839" t="s">
        <v>196</v>
      </c>
      <c r="Q9839" t="s">
        <v>58</v>
      </c>
      <c r="R9839" t="str">
        <f>IFERROR(VLOOKUP(record[[#This Row],[PCUSTID]],廠商[],2,FALSE),"")</f>
        <v/>
      </c>
      <c r="S9839" t="str">
        <f>VLOOKUP(record[[#This Row],[employeeID]],員工[],2,FALSE)</f>
        <v>張淑惠</v>
      </c>
    </row>
    <row r="9840" spans="6:19" hidden="1" x14ac:dyDescent="0.25">
      <c r="F9840" t="s">
        <v>756</v>
      </c>
      <c r="G9840" t="s">
        <v>471</v>
      </c>
      <c r="H9840" t="str">
        <f>VLOOKUP(record[[#This Row],[ProcessSN]],表格2_7[],2,FALSE)</f>
        <v>30-4118-018-XXX</v>
      </c>
      <c r="I9840" t="str">
        <f>VLOOKUP(record[[#This Row],[ProcessSN]],表格2_7[],3,FALSE)</f>
        <v>#02STOCK</v>
      </c>
      <c r="J9840" t="s">
        <v>592</v>
      </c>
      <c r="K9840" s="195">
        <v>45769.342013888891</v>
      </c>
      <c r="L9840">
        <v>1680</v>
      </c>
      <c r="M9840">
        <v>0</v>
      </c>
      <c r="N9840" s="98" t="str">
        <f>IF(record[[#This Row],[Memo]]="Browser:chrome os:android","平板報工",IF(record[[#This Row],[Memo]]=0,"委外",record[[#This Row],[Memo]]))</f>
        <v/>
      </c>
      <c r="O9840" t="s">
        <v>58</v>
      </c>
      <c r="P9840" t="s">
        <v>65</v>
      </c>
      <c r="Q9840" t="s">
        <v>58</v>
      </c>
      <c r="R9840" t="str">
        <f>IFERROR(VLOOKUP(record[[#This Row],[PCUSTID]],廠商[],2,FALSE),"")</f>
        <v/>
      </c>
      <c r="S9840" t="str">
        <f>VLOOKUP(record[[#This Row],[employeeID]],員工[],2,FALSE)</f>
        <v>蘇進昌</v>
      </c>
    </row>
    <row r="9841" spans="6:19" hidden="1" x14ac:dyDescent="0.25">
      <c r="F9841" t="s">
        <v>752</v>
      </c>
      <c r="G9841" t="s">
        <v>418</v>
      </c>
      <c r="H9841" t="str">
        <f>VLOOKUP(record[[#This Row],[ProcessSN]],表格2_7[],2,FALSE)</f>
        <v>30-4118-018-5XX</v>
      </c>
      <c r="I9841" t="str">
        <f>VLOOKUP(record[[#This Row],[ProcessSN]],表格2_7[],3,FALSE)</f>
        <v>#07</v>
      </c>
      <c r="J9841" t="s">
        <v>588</v>
      </c>
      <c r="K9841" s="195">
        <v>45768.981793981482</v>
      </c>
      <c r="L9841">
        <v>181</v>
      </c>
      <c r="M9841">
        <v>1</v>
      </c>
      <c r="N9841" s="98" t="str">
        <f>IF(record[[#This Row],[Memo]]="Browser:chrome os:android","平板報工",IF(record[[#This Row],[Memo]]=0,"委外",record[[#This Row],[Memo]]))</f>
        <v/>
      </c>
      <c r="O9841" t="s">
        <v>58</v>
      </c>
      <c r="P9841" t="s">
        <v>133</v>
      </c>
      <c r="Q9841" t="s">
        <v>58</v>
      </c>
      <c r="R9841" t="str">
        <f>IFERROR(VLOOKUP(record[[#This Row],[PCUSTID]],廠商[],2,FALSE),"")</f>
        <v/>
      </c>
      <c r="S9841" t="str">
        <f>VLOOKUP(record[[#This Row],[employeeID]],員工[],2,FALSE)</f>
        <v>黎長維</v>
      </c>
    </row>
    <row r="9842" spans="6:19" hidden="1" x14ac:dyDescent="0.25">
      <c r="F9842" t="s">
        <v>752</v>
      </c>
      <c r="G9842" t="s">
        <v>417</v>
      </c>
      <c r="H9842" t="str">
        <f>VLOOKUP(record[[#This Row],[ProcessSN]],表格2_7[],2,FALSE)</f>
        <v>30-4118-018-5XX</v>
      </c>
      <c r="I9842" t="str">
        <f>VLOOKUP(record[[#This Row],[ProcessSN]],表格2_7[],3,FALSE)</f>
        <v>#06</v>
      </c>
      <c r="J9842" t="s">
        <v>593</v>
      </c>
      <c r="K9842" s="195">
        <v>45768.981319444443</v>
      </c>
      <c r="L9842">
        <v>14</v>
      </c>
      <c r="M9842">
        <v>0</v>
      </c>
      <c r="N9842" s="98" t="str">
        <f>IF(record[[#This Row],[Memo]]="Browser:chrome os:android","平板報工",IF(record[[#This Row],[Memo]]=0,"委外",record[[#This Row],[Memo]]))</f>
        <v/>
      </c>
      <c r="O9842" t="s">
        <v>58</v>
      </c>
      <c r="P9842" t="s">
        <v>135</v>
      </c>
      <c r="Q9842" t="s">
        <v>58</v>
      </c>
      <c r="R9842" t="str">
        <f>IFERROR(VLOOKUP(record[[#This Row],[PCUSTID]],廠商[],2,FALSE),"")</f>
        <v/>
      </c>
      <c r="S9842" t="str">
        <f>VLOOKUP(record[[#This Row],[employeeID]],員工[],2,FALSE)</f>
        <v>阮士文</v>
      </c>
    </row>
    <row r="9843" spans="6:19" hidden="1" x14ac:dyDescent="0.25">
      <c r="F9843" t="s">
        <v>772</v>
      </c>
      <c r="G9843" t="s">
        <v>399</v>
      </c>
      <c r="H9843" t="str">
        <f>VLOOKUP(record[[#This Row],[ProcessSN]],表格2_7[],2,FALSE)</f>
        <v>30-4118-018-550</v>
      </c>
      <c r="I9843" t="str">
        <f>VLOOKUP(record[[#This Row],[ProcessSN]],表格2_7[],3,FALSE)</f>
        <v>#08IQC</v>
      </c>
      <c r="J9843" t="s">
        <v>583</v>
      </c>
      <c r="K9843" s="195">
        <v>45768.673958333333</v>
      </c>
      <c r="L9843">
        <v>469</v>
      </c>
      <c r="M9843">
        <v>0</v>
      </c>
      <c r="N9843" s="98" t="str">
        <f>IF(record[[#This Row],[Memo]]="Browser:chrome os:android","平板報工",IF(record[[#This Row],[Memo]]=0,"委外",record[[#This Row],[Memo]]))</f>
        <v/>
      </c>
      <c r="O9843" t="s">
        <v>58</v>
      </c>
      <c r="P9843" t="s">
        <v>190</v>
      </c>
      <c r="Q9843" t="s">
        <v>58</v>
      </c>
      <c r="R9843" t="str">
        <f>IFERROR(VLOOKUP(record[[#This Row],[PCUSTID]],廠商[],2,FALSE),"")</f>
        <v/>
      </c>
      <c r="S9843" t="str">
        <f>VLOOKUP(record[[#This Row],[employeeID]],員工[],2,FALSE)</f>
        <v>陳雅娟</v>
      </c>
    </row>
    <row r="9844" spans="6:19" hidden="1" x14ac:dyDescent="0.25">
      <c r="F9844" t="s">
        <v>752</v>
      </c>
      <c r="G9844" t="s">
        <v>417</v>
      </c>
      <c r="H9844" t="str">
        <f>VLOOKUP(record[[#This Row],[ProcessSN]],表格2_7[],2,FALSE)</f>
        <v>30-4118-018-5XX</v>
      </c>
      <c r="I9844" t="str">
        <f>VLOOKUP(record[[#This Row],[ProcessSN]],表格2_7[],3,FALSE)</f>
        <v>#06</v>
      </c>
      <c r="J9844" t="s">
        <v>593</v>
      </c>
      <c r="K9844" s="195">
        <v>45768.641875000001</v>
      </c>
      <c r="L9844">
        <v>77</v>
      </c>
      <c r="M9844">
        <v>0</v>
      </c>
      <c r="N9844" s="98" t="str">
        <f>IF(record[[#This Row],[Memo]]="Browser:chrome os:android","平板報工",IF(record[[#This Row],[Memo]]=0,"委外",record[[#This Row],[Memo]]))</f>
        <v/>
      </c>
      <c r="O9844" t="s">
        <v>58</v>
      </c>
      <c r="P9844" t="s">
        <v>119</v>
      </c>
      <c r="Q9844" t="s">
        <v>58</v>
      </c>
      <c r="R9844" t="str">
        <f>IFERROR(VLOOKUP(record[[#This Row],[PCUSTID]],廠商[],2,FALSE),"")</f>
        <v/>
      </c>
      <c r="S9844" t="str">
        <f>VLOOKUP(record[[#This Row],[employeeID]],員工[],2,FALSE)</f>
        <v>廖俊彥</v>
      </c>
    </row>
    <row r="9845" spans="6:19" hidden="1" x14ac:dyDescent="0.25">
      <c r="F9845" t="s">
        <v>752</v>
      </c>
      <c r="G9845" t="s">
        <v>418</v>
      </c>
      <c r="H9845" t="str">
        <f>VLOOKUP(record[[#This Row],[ProcessSN]],表格2_7[],2,FALSE)</f>
        <v>30-4118-018-5XX</v>
      </c>
      <c r="I9845" t="str">
        <f>VLOOKUP(record[[#This Row],[ProcessSN]],表格2_7[],3,FALSE)</f>
        <v>#07</v>
      </c>
      <c r="J9845" t="s">
        <v>588</v>
      </c>
      <c r="K9845" s="195">
        <v>45768.641655092593</v>
      </c>
      <c r="L9845">
        <v>76</v>
      </c>
      <c r="M9845">
        <v>0</v>
      </c>
      <c r="N9845" s="98" t="str">
        <f>IF(record[[#This Row],[Memo]]="Browser:chrome os:android","平板報工",IF(record[[#This Row],[Memo]]=0,"委外",record[[#This Row],[Memo]]))</f>
        <v/>
      </c>
      <c r="O9845" t="s">
        <v>58</v>
      </c>
      <c r="P9845" t="s">
        <v>119</v>
      </c>
      <c r="Q9845" t="s">
        <v>58</v>
      </c>
      <c r="R9845" t="str">
        <f>IFERROR(VLOOKUP(record[[#This Row],[PCUSTID]],廠商[],2,FALSE),"")</f>
        <v/>
      </c>
      <c r="S9845" t="str">
        <f>VLOOKUP(record[[#This Row],[employeeID]],員工[],2,FALSE)</f>
        <v>廖俊彥</v>
      </c>
    </row>
    <row r="9846" spans="6:19" hidden="1" x14ac:dyDescent="0.25">
      <c r="F9846" t="s">
        <v>756</v>
      </c>
      <c r="G9846" t="s">
        <v>470</v>
      </c>
      <c r="H9846" t="str">
        <f>VLOOKUP(record[[#This Row],[ProcessSN]],表格2_7[],2,FALSE)</f>
        <v>30-4118-018-XXX</v>
      </c>
      <c r="I9846" t="str">
        <f>VLOOKUP(record[[#This Row],[ProcessSN]],表格2_7[],3,FALSE)</f>
        <v>#02IQC</v>
      </c>
      <c r="J9846" t="s">
        <v>583</v>
      </c>
      <c r="K9846" s="195">
        <v>45768.600578703707</v>
      </c>
      <c r="L9846">
        <v>1680</v>
      </c>
      <c r="M9846">
        <v>0</v>
      </c>
      <c r="N9846" s="98" t="str">
        <f>IF(record[[#This Row],[Memo]]="Browser:chrome os:android","平板報工",IF(record[[#This Row],[Memo]]=0,"委外",record[[#This Row],[Memo]]))</f>
        <v/>
      </c>
      <c r="O9846" t="s">
        <v>58</v>
      </c>
      <c r="P9846" t="s">
        <v>190</v>
      </c>
      <c r="Q9846" t="s">
        <v>58</v>
      </c>
      <c r="R9846" t="str">
        <f>IFERROR(VLOOKUP(record[[#This Row],[PCUSTID]],廠商[],2,FALSE),"")</f>
        <v/>
      </c>
      <c r="S9846" t="str">
        <f>VLOOKUP(record[[#This Row],[employeeID]],員工[],2,FALSE)</f>
        <v>陳雅娟</v>
      </c>
    </row>
    <row r="9847" spans="6:19" hidden="1" x14ac:dyDescent="0.25">
      <c r="F9847" t="s">
        <v>777</v>
      </c>
      <c r="G9847" t="s">
        <v>446</v>
      </c>
      <c r="H9847" t="str">
        <f>VLOOKUP(record[[#This Row],[ProcessSN]],表格2_7[],2,FALSE)</f>
        <v>30-4118-018-6XX</v>
      </c>
      <c r="I9847" t="str">
        <f>VLOOKUP(record[[#This Row],[ProcessSN]],表格2_7[],3,FALSE)</f>
        <v>#03GIVE</v>
      </c>
      <c r="J9847" t="s">
        <v>587</v>
      </c>
      <c r="K9847" s="195">
        <v>45768.569560185184</v>
      </c>
      <c r="L9847">
        <v>1000</v>
      </c>
      <c r="M9847">
        <v>0</v>
      </c>
      <c r="N9847" s="98" t="str">
        <f>IF(record[[#This Row],[Memo]]="Browser:chrome os:android","平板報工",IF(record[[#This Row],[Memo]]=0,"委外",record[[#This Row],[Memo]]))</f>
        <v/>
      </c>
      <c r="O9847" t="s">
        <v>58</v>
      </c>
      <c r="P9847" t="s">
        <v>208</v>
      </c>
      <c r="Q9847" t="s">
        <v>58</v>
      </c>
      <c r="R9847" t="str">
        <f>IFERROR(VLOOKUP(record[[#This Row],[PCUSTID]],廠商[],2,FALSE),"")</f>
        <v/>
      </c>
      <c r="S9847" t="str">
        <f>VLOOKUP(record[[#This Row],[employeeID]],員工[],2,FALSE)</f>
        <v>陳治宏</v>
      </c>
    </row>
    <row r="9848" spans="6:19" hidden="1" x14ac:dyDescent="0.25">
      <c r="F9848" t="s">
        <v>756</v>
      </c>
      <c r="G9848" t="s">
        <v>471</v>
      </c>
      <c r="H9848" t="str">
        <f>VLOOKUP(record[[#This Row],[ProcessSN]],表格2_7[],2,FALSE)</f>
        <v>30-4118-018-XXX</v>
      </c>
      <c r="I9848" t="str">
        <f>VLOOKUP(record[[#This Row],[ProcessSN]],表格2_7[],3,FALSE)</f>
        <v>#02STOCK</v>
      </c>
      <c r="J9848" t="s">
        <v>592</v>
      </c>
      <c r="K9848" s="195">
        <v>45768.549849537034</v>
      </c>
      <c r="L9848">
        <v>1665</v>
      </c>
      <c r="M9848">
        <v>0</v>
      </c>
      <c r="N9848" s="98" t="str">
        <f>IF(record[[#This Row],[Memo]]="Browser:chrome os:android","平板報工",IF(record[[#This Row],[Memo]]=0,"委外",record[[#This Row],[Memo]]))</f>
        <v/>
      </c>
      <c r="O9848" t="s">
        <v>58</v>
      </c>
      <c r="P9848" t="s">
        <v>65</v>
      </c>
      <c r="Q9848" t="s">
        <v>58</v>
      </c>
      <c r="R9848" t="str">
        <f>IFERROR(VLOOKUP(record[[#This Row],[PCUSTID]],廠商[],2,FALSE),"")</f>
        <v/>
      </c>
      <c r="S9848" t="str">
        <f>VLOOKUP(record[[#This Row],[employeeID]],員工[],2,FALSE)</f>
        <v>蘇進昌</v>
      </c>
    </row>
    <row r="9849" spans="6:19" hidden="1" x14ac:dyDescent="0.25">
      <c r="F9849" t="s">
        <v>777</v>
      </c>
      <c r="G9849" t="s">
        <v>445</v>
      </c>
      <c r="H9849" t="str">
        <f>VLOOKUP(record[[#This Row],[ProcessSN]],表格2_7[],2,FALSE)</f>
        <v>30-4118-018-6XX</v>
      </c>
      <c r="I9849" t="str">
        <f>VLOOKUP(record[[#This Row],[ProcessSN]],表格2_7[],3,FALSE)</f>
        <v>#03PICK</v>
      </c>
      <c r="J9849" t="s">
        <v>582</v>
      </c>
      <c r="K9849" s="195">
        <v>45768.544907407406</v>
      </c>
      <c r="L9849">
        <v>1000</v>
      </c>
      <c r="M9849">
        <v>0</v>
      </c>
      <c r="N9849" s="98" t="str">
        <f>IF(record[[#This Row],[Memo]]="Browser:chrome os:android","平板報工",IF(record[[#This Row],[Memo]]=0,"委外",record[[#This Row],[Memo]]))</f>
        <v/>
      </c>
      <c r="O9849" t="s">
        <v>58</v>
      </c>
      <c r="P9849" t="s">
        <v>113</v>
      </c>
      <c r="Q9849" t="s">
        <v>58</v>
      </c>
      <c r="R9849" t="str">
        <f>IFERROR(VLOOKUP(record[[#This Row],[PCUSTID]],廠商[],2,FALSE),"")</f>
        <v/>
      </c>
      <c r="S9849" t="str">
        <f>VLOOKUP(record[[#This Row],[employeeID]],員工[],2,FALSE)</f>
        <v>王奕蓁</v>
      </c>
    </row>
    <row r="9850" spans="6:19" hidden="1" x14ac:dyDescent="0.25">
      <c r="F9850" t="s">
        <v>756</v>
      </c>
      <c r="G9850" t="s">
        <v>469</v>
      </c>
      <c r="H9850" t="str">
        <f>VLOOKUP(record[[#This Row],[ProcessSN]],表格2_7[],2,FALSE)</f>
        <v>30-4118-018-XXX</v>
      </c>
      <c r="I9850" t="str">
        <f>VLOOKUP(record[[#This Row],[ProcessSN]],表格2_7[],3,FALSE)</f>
        <v>#02RCV</v>
      </c>
      <c r="J9850" t="s">
        <v>591</v>
      </c>
      <c r="K9850" s="195">
        <v>45768.494814814818</v>
      </c>
      <c r="L9850">
        <v>1680</v>
      </c>
      <c r="M9850">
        <v>0</v>
      </c>
      <c r="N9850" s="98" t="str">
        <f>IF(record[[#This Row],[Memo]]="Browser:chrome os:android","平板報工",IF(record[[#This Row],[Memo]]=0,"委外",record[[#This Row],[Memo]]))</f>
        <v/>
      </c>
      <c r="O9850" t="s">
        <v>58</v>
      </c>
      <c r="P9850" t="s">
        <v>186</v>
      </c>
      <c r="Q9850" t="s">
        <v>58</v>
      </c>
      <c r="R9850" t="str">
        <f>IFERROR(VLOOKUP(record[[#This Row],[PCUSTID]],廠商[],2,FALSE),"")</f>
        <v/>
      </c>
      <c r="S9850" t="str">
        <f>VLOOKUP(record[[#This Row],[employeeID]],員工[],2,FALSE)</f>
        <v>許文姍</v>
      </c>
    </row>
    <row r="9851" spans="6:19" hidden="1" x14ac:dyDescent="0.25">
      <c r="F9851" t="s">
        <v>772</v>
      </c>
      <c r="G9851" t="s">
        <v>398</v>
      </c>
      <c r="H9851" t="str">
        <f>VLOOKUP(record[[#This Row],[ProcessSN]],表格2_7[],2,FALSE)</f>
        <v>30-4118-018-550</v>
      </c>
      <c r="I9851" t="str">
        <f>VLOOKUP(record[[#This Row],[ProcessSN]],表格2_7[],3,FALSE)</f>
        <v>#08RCV</v>
      </c>
      <c r="J9851" t="s">
        <v>591</v>
      </c>
      <c r="K9851" s="195">
        <v>45768.484907407408</v>
      </c>
      <c r="L9851">
        <v>0</v>
      </c>
      <c r="M9851">
        <v>35</v>
      </c>
      <c r="N9851" s="98" t="str">
        <f>IF(record[[#This Row],[Memo]]="Browser:chrome os:android","平板報工",IF(record[[#This Row],[Memo]]=0,"委外",record[[#This Row],[Memo]]))</f>
        <v/>
      </c>
      <c r="O9851" t="s">
        <v>58</v>
      </c>
      <c r="P9851" t="s">
        <v>186</v>
      </c>
      <c r="Q9851" t="s">
        <v>58</v>
      </c>
      <c r="R9851" t="str">
        <f>IFERROR(VLOOKUP(record[[#This Row],[PCUSTID]],廠商[],2,FALSE),"")</f>
        <v/>
      </c>
      <c r="S9851" t="str">
        <f>VLOOKUP(record[[#This Row],[employeeID]],員工[],2,FALSE)</f>
        <v>許文姍</v>
      </c>
    </row>
    <row r="9852" spans="6:19" hidden="1" x14ac:dyDescent="0.25">
      <c r="F9852" t="s">
        <v>772</v>
      </c>
      <c r="G9852" t="s">
        <v>398</v>
      </c>
      <c r="H9852" t="str">
        <f>VLOOKUP(record[[#This Row],[ProcessSN]],表格2_7[],2,FALSE)</f>
        <v>30-4118-018-550</v>
      </c>
      <c r="I9852" t="str">
        <f>VLOOKUP(record[[#This Row],[ProcessSN]],表格2_7[],3,FALSE)</f>
        <v>#08RCV</v>
      </c>
      <c r="J9852" t="s">
        <v>591</v>
      </c>
      <c r="K9852" s="195">
        <v>45768.484571759262</v>
      </c>
      <c r="L9852">
        <v>469</v>
      </c>
      <c r="M9852">
        <v>0</v>
      </c>
      <c r="N9852" s="98" t="str">
        <f>IF(record[[#This Row],[Memo]]="Browser:chrome os:android","平板報工",IF(record[[#This Row],[Memo]]=0,"委外",record[[#This Row],[Memo]]))</f>
        <v/>
      </c>
      <c r="O9852" t="s">
        <v>58</v>
      </c>
      <c r="P9852" t="s">
        <v>186</v>
      </c>
      <c r="Q9852" t="s">
        <v>58</v>
      </c>
      <c r="R9852" t="str">
        <f>IFERROR(VLOOKUP(record[[#This Row],[PCUSTID]],廠商[],2,FALSE),"")</f>
        <v/>
      </c>
      <c r="S9852" t="str">
        <f>VLOOKUP(record[[#This Row],[employeeID]],員工[],2,FALSE)</f>
        <v>許文姍</v>
      </c>
    </row>
    <row r="9853" spans="6:19" hidden="1" x14ac:dyDescent="0.25">
      <c r="F9853" t="s">
        <v>752</v>
      </c>
      <c r="G9853" t="s">
        <v>419</v>
      </c>
      <c r="H9853" t="str">
        <f>VLOOKUP(record[[#This Row],[ProcessSN]],表格2_7[],2,FALSE)</f>
        <v>30-4118-018-5XX</v>
      </c>
      <c r="I9853" t="str">
        <f>VLOOKUP(record[[#This Row],[ProcessSN]],表格2_7[],3,FALSE)</f>
        <v>#07QC</v>
      </c>
      <c r="J9853" t="s">
        <v>589</v>
      </c>
      <c r="K9853" s="195">
        <v>45768.471296296295</v>
      </c>
      <c r="L9853">
        <v>328</v>
      </c>
      <c r="M9853">
        <v>0</v>
      </c>
      <c r="N9853" s="98" t="str">
        <f>IF(record[[#This Row],[Memo]]="Browser:chrome os:android","平板報工",IF(record[[#This Row],[Memo]]=0,"委外",record[[#This Row],[Memo]]))</f>
        <v>平板報工</v>
      </c>
      <c r="O9853" t="s">
        <v>643</v>
      </c>
      <c r="P9853" t="s">
        <v>99</v>
      </c>
      <c r="Q9853" t="s">
        <v>644</v>
      </c>
      <c r="R9853" t="str">
        <f>IFERROR(VLOOKUP(record[[#This Row],[PCUSTID]],廠商[],2,FALSE),"")</f>
        <v/>
      </c>
      <c r="S9853" t="str">
        <f>VLOOKUP(record[[#This Row],[employeeID]],員工[],2,FALSE)</f>
        <v>阮氏河</v>
      </c>
    </row>
    <row r="9854" spans="6:19" hidden="1" x14ac:dyDescent="0.25">
      <c r="F9854" t="s">
        <v>752</v>
      </c>
      <c r="G9854" t="s">
        <v>417</v>
      </c>
      <c r="H9854" t="str">
        <f>VLOOKUP(record[[#This Row],[ProcessSN]],表格2_7[],2,FALSE)</f>
        <v>30-4118-018-5XX</v>
      </c>
      <c r="I9854" t="str">
        <f>VLOOKUP(record[[#This Row],[ProcessSN]],表格2_7[],3,FALSE)</f>
        <v>#06</v>
      </c>
      <c r="J9854" t="s">
        <v>593</v>
      </c>
      <c r="K9854" s="195">
        <v>45765.658182870371</v>
      </c>
      <c r="L9854">
        <v>121</v>
      </c>
      <c r="M9854">
        <v>0</v>
      </c>
      <c r="N9854" s="98" t="str">
        <f>IF(record[[#This Row],[Memo]]="Browser:chrome os:android","平板報工",IF(record[[#This Row],[Memo]]=0,"委外",record[[#This Row],[Memo]]))</f>
        <v/>
      </c>
      <c r="O9854" t="s">
        <v>58</v>
      </c>
      <c r="P9854" t="s">
        <v>119</v>
      </c>
      <c r="Q9854" t="s">
        <v>58</v>
      </c>
      <c r="R9854" t="str">
        <f>IFERROR(VLOOKUP(record[[#This Row],[PCUSTID]],廠商[],2,FALSE),"")</f>
        <v/>
      </c>
      <c r="S9854" t="str">
        <f>VLOOKUP(record[[#This Row],[employeeID]],員工[],2,FALSE)</f>
        <v>廖俊彥</v>
      </c>
    </row>
    <row r="9855" spans="6:19" hidden="1" x14ac:dyDescent="0.25">
      <c r="F9855" t="s">
        <v>752</v>
      </c>
      <c r="G9855" t="s">
        <v>418</v>
      </c>
      <c r="H9855" t="str">
        <f>VLOOKUP(record[[#This Row],[ProcessSN]],表格2_7[],2,FALSE)</f>
        <v>30-4118-018-5XX</v>
      </c>
      <c r="I9855" t="str">
        <f>VLOOKUP(record[[#This Row],[ProcessSN]],表格2_7[],3,FALSE)</f>
        <v>#07</v>
      </c>
      <c r="J9855" t="s">
        <v>588</v>
      </c>
      <c r="K9855" s="195">
        <v>45765.657986111109</v>
      </c>
      <c r="L9855">
        <v>105</v>
      </c>
      <c r="M9855">
        <v>0</v>
      </c>
      <c r="N9855" s="98" t="str">
        <f>IF(record[[#This Row],[Memo]]="Browser:chrome os:android","平板報工",IF(record[[#This Row],[Memo]]=0,"委外",record[[#This Row],[Memo]]))</f>
        <v/>
      </c>
      <c r="O9855" t="s">
        <v>58</v>
      </c>
      <c r="P9855" t="s">
        <v>119</v>
      </c>
      <c r="Q9855" t="s">
        <v>58</v>
      </c>
      <c r="R9855" t="str">
        <f>IFERROR(VLOOKUP(record[[#This Row],[PCUSTID]],廠商[],2,FALSE),"")</f>
        <v/>
      </c>
      <c r="S9855" t="str">
        <f>VLOOKUP(record[[#This Row],[employeeID]],員工[],2,FALSE)</f>
        <v>廖俊彥</v>
      </c>
    </row>
    <row r="9856" spans="6:19" hidden="1" x14ac:dyDescent="0.25">
      <c r="F9856" t="s">
        <v>756</v>
      </c>
      <c r="G9856" t="s">
        <v>470</v>
      </c>
      <c r="H9856" t="str">
        <f>VLOOKUP(record[[#This Row],[ProcessSN]],表格2_7[],2,FALSE)</f>
        <v>30-4118-018-XXX</v>
      </c>
      <c r="I9856" t="str">
        <f>VLOOKUP(record[[#This Row],[ProcessSN]],表格2_7[],3,FALSE)</f>
        <v>#02IQC</v>
      </c>
      <c r="J9856" t="s">
        <v>583</v>
      </c>
      <c r="K9856" s="195">
        <v>45765.62096064815</v>
      </c>
      <c r="L9856">
        <v>1006</v>
      </c>
      <c r="M9856">
        <v>0</v>
      </c>
      <c r="N9856" s="98" t="str">
        <f>IF(record[[#This Row],[Memo]]="Browser:chrome os:android","平板報工",IF(record[[#This Row],[Memo]]=0,"委外",record[[#This Row],[Memo]]))</f>
        <v/>
      </c>
      <c r="O9856" t="s">
        <v>58</v>
      </c>
      <c r="P9856" t="s">
        <v>190</v>
      </c>
      <c r="Q9856" t="s">
        <v>58</v>
      </c>
      <c r="R9856" t="str">
        <f>IFERROR(VLOOKUP(record[[#This Row],[PCUSTID]],廠商[],2,FALSE),"")</f>
        <v/>
      </c>
      <c r="S9856" t="str">
        <f>VLOOKUP(record[[#This Row],[employeeID]],員工[],2,FALSE)</f>
        <v>陳雅娟</v>
      </c>
    </row>
    <row r="9857" spans="6:19" hidden="1" x14ac:dyDescent="0.25">
      <c r="F9857" t="s">
        <v>775</v>
      </c>
      <c r="G9857" t="s">
        <v>397</v>
      </c>
      <c r="H9857" t="str">
        <f>VLOOKUP(record[[#This Row],[ProcessSN]],表格2_7[],2,FALSE)</f>
        <v>30-4118-018-550</v>
      </c>
      <c r="I9857" t="str">
        <f>VLOOKUP(record[[#This Row],[ProcessSN]],表格2_7[],3,FALSE)</f>
        <v>#08</v>
      </c>
      <c r="J9857" t="s">
        <v>597</v>
      </c>
      <c r="K9857" s="195">
        <v>45765.598414351851</v>
      </c>
      <c r="L9857">
        <v>304</v>
      </c>
      <c r="M9857">
        <v>0</v>
      </c>
      <c r="N9857" s="98" t="str">
        <f>IF(record[[#This Row],[Memo]]="Browser:chrome os:android","平板報工",IF(record[[#This Row],[Memo]]=0,"委外",record[[#This Row],[Memo]]))</f>
        <v>委外</v>
      </c>
      <c r="P9857" t="s">
        <v>186</v>
      </c>
      <c r="Q9857" t="s">
        <v>287</v>
      </c>
      <c r="R9857" t="str">
        <f>IFERROR(VLOOKUP(record[[#This Row],[PCUSTID]],廠商[],2,FALSE),"")</f>
        <v>泉盛</v>
      </c>
      <c r="S9857" t="str">
        <f>VLOOKUP(record[[#This Row],[employeeID]],員工[],2,FALSE)</f>
        <v>許文姍</v>
      </c>
    </row>
    <row r="9858" spans="6:19" hidden="1" x14ac:dyDescent="0.25">
      <c r="F9858" t="s">
        <v>775</v>
      </c>
      <c r="G9858" t="s">
        <v>396</v>
      </c>
      <c r="H9858" t="str">
        <f>VLOOKUP(record[[#This Row],[ProcessSN]],表格2_7[],2,FALSE)</f>
        <v>30-4118-018-550</v>
      </c>
      <c r="I9858" t="str">
        <f>VLOOKUP(record[[#This Row],[ProcessSN]],表格2_7[],3,FALSE)</f>
        <v>#08PICK</v>
      </c>
      <c r="J9858" t="s">
        <v>582</v>
      </c>
      <c r="K9858" s="195">
        <v>45765.5859837963</v>
      </c>
      <c r="L9858">
        <v>304</v>
      </c>
      <c r="M9858">
        <v>0</v>
      </c>
      <c r="N9858" s="98" t="str">
        <f>IF(record[[#This Row],[Memo]]="Browser:chrome os:android","平板報工",IF(record[[#This Row],[Memo]]=0,"委外",record[[#This Row],[Memo]]))</f>
        <v/>
      </c>
      <c r="O9858" t="s">
        <v>58</v>
      </c>
      <c r="P9858" t="s">
        <v>65</v>
      </c>
      <c r="Q9858" t="s">
        <v>58</v>
      </c>
      <c r="R9858" t="str">
        <f>IFERROR(VLOOKUP(record[[#This Row],[PCUSTID]],廠商[],2,FALSE),"")</f>
        <v/>
      </c>
      <c r="S9858" t="str">
        <f>VLOOKUP(record[[#This Row],[employeeID]],員工[],2,FALSE)</f>
        <v>蘇進昌</v>
      </c>
    </row>
    <row r="9859" spans="6:19" hidden="1" x14ac:dyDescent="0.25">
      <c r="F9859" t="s">
        <v>752</v>
      </c>
      <c r="G9859" t="s">
        <v>420</v>
      </c>
      <c r="H9859" t="str">
        <f>VLOOKUP(record[[#This Row],[ProcessSN]],表格2_7[],2,FALSE)</f>
        <v>30-4118-018-5XX</v>
      </c>
      <c r="I9859" t="str">
        <f>VLOOKUP(record[[#This Row],[ProcessSN]],表格2_7[],3,FALSE)</f>
        <v>#07STOCK</v>
      </c>
      <c r="J9859" t="s">
        <v>592</v>
      </c>
      <c r="K9859" s="195">
        <v>45765.585532407407</v>
      </c>
      <c r="L9859">
        <v>304</v>
      </c>
      <c r="M9859">
        <v>0</v>
      </c>
      <c r="N9859" s="98" t="str">
        <f>IF(record[[#This Row],[Memo]]="Browser:chrome os:android","平板報工",IF(record[[#This Row],[Memo]]=0,"委外",record[[#This Row],[Memo]]))</f>
        <v/>
      </c>
      <c r="O9859" t="s">
        <v>58</v>
      </c>
      <c r="P9859" t="s">
        <v>65</v>
      </c>
      <c r="Q9859" t="s">
        <v>58</v>
      </c>
      <c r="R9859" t="str">
        <f>IFERROR(VLOOKUP(record[[#This Row],[PCUSTID]],廠商[],2,FALSE),"")</f>
        <v/>
      </c>
      <c r="S9859" t="str">
        <f>VLOOKUP(record[[#This Row],[employeeID]],員工[],2,FALSE)</f>
        <v>蘇進昌</v>
      </c>
    </row>
    <row r="9860" spans="6:19" hidden="1" x14ac:dyDescent="0.25">
      <c r="F9860" t="s">
        <v>756</v>
      </c>
      <c r="G9860" t="s">
        <v>469</v>
      </c>
      <c r="H9860" t="str">
        <f>VLOOKUP(record[[#This Row],[ProcessSN]],表格2_7[],2,FALSE)</f>
        <v>30-4118-018-XXX</v>
      </c>
      <c r="I9860" t="str">
        <f>VLOOKUP(record[[#This Row],[ProcessSN]],表格2_7[],3,FALSE)</f>
        <v>#02RCV</v>
      </c>
      <c r="J9860" t="s">
        <v>591</v>
      </c>
      <c r="K9860" s="195">
        <v>45765.556377314817</v>
      </c>
      <c r="L9860">
        <v>1006</v>
      </c>
      <c r="M9860">
        <v>0</v>
      </c>
      <c r="N9860" s="98" t="str">
        <f>IF(record[[#This Row],[Memo]]="Browser:chrome os:android","平板報工",IF(record[[#This Row],[Memo]]=0,"委外",record[[#This Row],[Memo]]))</f>
        <v/>
      </c>
      <c r="O9860" t="s">
        <v>58</v>
      </c>
      <c r="P9860" t="s">
        <v>186</v>
      </c>
      <c r="Q9860" t="s">
        <v>58</v>
      </c>
      <c r="R9860" t="str">
        <f>IFERROR(VLOOKUP(record[[#This Row],[PCUSTID]],廠商[],2,FALSE),"")</f>
        <v/>
      </c>
      <c r="S9860" t="str">
        <f>VLOOKUP(record[[#This Row],[employeeID]],員工[],2,FALSE)</f>
        <v>許文姍</v>
      </c>
    </row>
    <row r="9861" spans="6:19" hidden="1" x14ac:dyDescent="0.25">
      <c r="F9861" t="s">
        <v>739</v>
      </c>
      <c r="G9861" t="s">
        <v>426</v>
      </c>
      <c r="H9861" t="str">
        <f>VLOOKUP(record[[#This Row],[ProcessSN]],表格2_7[],2,FALSE)</f>
        <v>30-4118-018-600</v>
      </c>
      <c r="I9861" t="str">
        <f>VLOOKUP(record[[#This Row],[ProcessSN]],表格2_7[],3,FALSE)</f>
        <v>#100OQC</v>
      </c>
      <c r="J9861" t="s">
        <v>599</v>
      </c>
      <c r="K9861" s="195">
        <v>45765.384189814817</v>
      </c>
      <c r="L9861">
        <v>8</v>
      </c>
      <c r="M9861">
        <v>0</v>
      </c>
      <c r="N9861" s="98" t="str">
        <f>IF(record[[#This Row],[Memo]]="Browser:chrome os:android","平板報工",IF(record[[#This Row],[Memo]]=0,"委外",record[[#This Row],[Memo]]))</f>
        <v/>
      </c>
      <c r="O9861" t="s">
        <v>58</v>
      </c>
      <c r="P9861" t="s">
        <v>121</v>
      </c>
      <c r="Q9861" t="s">
        <v>58</v>
      </c>
      <c r="R9861" t="str">
        <f>IFERROR(VLOOKUP(record[[#This Row],[PCUSTID]],廠商[],2,FALSE),"")</f>
        <v/>
      </c>
      <c r="S9861" t="str">
        <f>VLOOKUP(record[[#This Row],[employeeID]],員工[],2,FALSE)</f>
        <v>謝素卿</v>
      </c>
    </row>
    <row r="9862" spans="6:19" hidden="1" x14ac:dyDescent="0.25">
      <c r="F9862" t="s">
        <v>744</v>
      </c>
      <c r="G9862" t="s">
        <v>426</v>
      </c>
      <c r="H9862" t="str">
        <f>VLOOKUP(record[[#This Row],[ProcessSN]],表格2_7[],2,FALSE)</f>
        <v>30-4118-018-600</v>
      </c>
      <c r="I9862" t="str">
        <f>VLOOKUP(record[[#This Row],[ProcessSN]],表格2_7[],3,FALSE)</f>
        <v>#100OQC</v>
      </c>
      <c r="J9862" t="s">
        <v>599</v>
      </c>
      <c r="K9862" s="195">
        <v>45765.384050925924</v>
      </c>
      <c r="L9862">
        <v>10</v>
      </c>
      <c r="M9862">
        <v>0</v>
      </c>
      <c r="N9862" s="98" t="str">
        <f>IF(record[[#This Row],[Memo]]="Browser:chrome os:android","平板報工",IF(record[[#This Row],[Memo]]=0,"委外",record[[#This Row],[Memo]]))</f>
        <v/>
      </c>
      <c r="O9862" t="s">
        <v>58</v>
      </c>
      <c r="P9862" t="s">
        <v>121</v>
      </c>
      <c r="Q9862" t="s">
        <v>58</v>
      </c>
      <c r="R9862" t="str">
        <f>IFERROR(VLOOKUP(record[[#This Row],[PCUSTID]],廠商[],2,FALSE),"")</f>
        <v/>
      </c>
      <c r="S9862" t="str">
        <f>VLOOKUP(record[[#This Row],[employeeID]],員工[],2,FALSE)</f>
        <v>謝素卿</v>
      </c>
    </row>
    <row r="9863" spans="6:19" hidden="1" x14ac:dyDescent="0.25">
      <c r="F9863" t="s">
        <v>737</v>
      </c>
      <c r="G9863" t="s">
        <v>426</v>
      </c>
      <c r="H9863" t="str">
        <f>VLOOKUP(record[[#This Row],[ProcessSN]],表格2_7[],2,FALSE)</f>
        <v>30-4118-018-600</v>
      </c>
      <c r="I9863" t="str">
        <f>VLOOKUP(record[[#This Row],[ProcessSN]],表格2_7[],3,FALSE)</f>
        <v>#100OQC</v>
      </c>
      <c r="J9863" t="s">
        <v>599</v>
      </c>
      <c r="K9863" s="195">
        <v>45765.383912037039</v>
      </c>
      <c r="L9863">
        <v>6</v>
      </c>
      <c r="M9863">
        <v>0</v>
      </c>
      <c r="N9863" s="98" t="str">
        <f>IF(record[[#This Row],[Memo]]="Browser:chrome os:android","平板報工",IF(record[[#This Row],[Memo]]=0,"委外",record[[#This Row],[Memo]]))</f>
        <v/>
      </c>
      <c r="O9863" t="s">
        <v>58</v>
      </c>
      <c r="P9863" t="s">
        <v>121</v>
      </c>
      <c r="Q9863" t="s">
        <v>58</v>
      </c>
      <c r="R9863" t="str">
        <f>IFERROR(VLOOKUP(record[[#This Row],[PCUSTID]],廠商[],2,FALSE),"")</f>
        <v/>
      </c>
      <c r="S9863" t="str">
        <f>VLOOKUP(record[[#This Row],[employeeID]],員工[],2,FALSE)</f>
        <v>謝素卿</v>
      </c>
    </row>
    <row r="9864" spans="6:19" hidden="1" x14ac:dyDescent="0.25">
      <c r="F9864" t="s">
        <v>756</v>
      </c>
      <c r="G9864" t="s">
        <v>468</v>
      </c>
      <c r="H9864" t="str">
        <f>VLOOKUP(record[[#This Row],[ProcessSN]],表格2_7[],2,FALSE)</f>
        <v>30-4118-018-XXX</v>
      </c>
      <c r="I9864" t="str">
        <f>VLOOKUP(record[[#This Row],[ProcessSN]],表格2_7[],3,FALSE)</f>
        <v>#02</v>
      </c>
      <c r="J9864" t="s">
        <v>590</v>
      </c>
      <c r="K9864" s="195">
        <v>45765.372372685182</v>
      </c>
      <c r="L9864">
        <v>2448</v>
      </c>
      <c r="M9864">
        <v>0</v>
      </c>
      <c r="N9864" s="98" t="str">
        <f>IF(record[[#This Row],[Memo]]="Browser:chrome os:android","平板報工",IF(record[[#This Row],[Memo]]=0,"委外",record[[#This Row],[Memo]]))</f>
        <v>委外</v>
      </c>
      <c r="P9864" t="s">
        <v>186</v>
      </c>
      <c r="Q9864" t="s">
        <v>216</v>
      </c>
      <c r="R9864" t="str">
        <f>IFERROR(VLOOKUP(record[[#This Row],[PCUSTID]],廠商[],2,FALSE),"")</f>
        <v>俊杰</v>
      </c>
      <c r="S9864" t="str">
        <f>VLOOKUP(record[[#This Row],[employeeID]],員工[],2,FALSE)</f>
        <v>許文姍</v>
      </c>
    </row>
    <row r="9865" spans="6:19" hidden="1" x14ac:dyDescent="0.25">
      <c r="F9865" t="s">
        <v>756</v>
      </c>
      <c r="G9865" t="s">
        <v>467</v>
      </c>
      <c r="H9865" t="str">
        <f>VLOOKUP(record[[#This Row],[ProcessSN]],表格2_7[],2,FALSE)</f>
        <v>30-4118-018-XXX</v>
      </c>
      <c r="I9865" t="str">
        <f>VLOOKUP(record[[#This Row],[ProcessSN]],表格2_7[],3,FALSE)</f>
        <v>#01QC</v>
      </c>
      <c r="J9865" t="s">
        <v>589</v>
      </c>
      <c r="K9865" s="195">
        <v>45765.371932870374</v>
      </c>
      <c r="L9865">
        <v>1440</v>
      </c>
      <c r="M9865">
        <v>0</v>
      </c>
      <c r="N9865" s="98" t="str">
        <f>IF(record[[#This Row],[Memo]]="Browser:chrome os:android","平板報工",IF(record[[#This Row],[Memo]]=0,"委外",record[[#This Row],[Memo]]))</f>
        <v/>
      </c>
      <c r="O9865" t="s">
        <v>58</v>
      </c>
      <c r="P9865" t="s">
        <v>186</v>
      </c>
      <c r="Q9865" t="s">
        <v>58</v>
      </c>
      <c r="R9865" t="str">
        <f>IFERROR(VLOOKUP(record[[#This Row],[PCUSTID]],廠商[],2,FALSE),"")</f>
        <v/>
      </c>
      <c r="S9865" t="str">
        <f>VLOOKUP(record[[#This Row],[employeeID]],員工[],2,FALSE)</f>
        <v>許文姍</v>
      </c>
    </row>
    <row r="9866" spans="6:19" hidden="1" x14ac:dyDescent="0.25">
      <c r="F9866" t="s">
        <v>752</v>
      </c>
      <c r="G9866" t="s">
        <v>418</v>
      </c>
      <c r="H9866" t="str">
        <f>VLOOKUP(record[[#This Row],[ProcessSN]],表格2_7[],2,FALSE)</f>
        <v>30-4118-018-5XX</v>
      </c>
      <c r="I9866" t="str">
        <f>VLOOKUP(record[[#This Row],[ProcessSN]],表格2_7[],3,FALSE)</f>
        <v>#07</v>
      </c>
      <c r="J9866" t="s">
        <v>588</v>
      </c>
      <c r="K9866" s="195">
        <v>45765.127476851849</v>
      </c>
      <c r="L9866">
        <v>92</v>
      </c>
      <c r="M9866">
        <v>2</v>
      </c>
      <c r="N9866" s="98" t="str">
        <f>IF(record[[#This Row],[Memo]]="Browser:chrome os:android","平板報工",IF(record[[#This Row],[Memo]]=0,"委外",record[[#This Row],[Memo]]))</f>
        <v/>
      </c>
      <c r="O9866" t="s">
        <v>58</v>
      </c>
      <c r="P9866" t="s">
        <v>133</v>
      </c>
      <c r="Q9866" t="s">
        <v>58</v>
      </c>
      <c r="R9866" t="str">
        <f>IFERROR(VLOOKUP(record[[#This Row],[PCUSTID]],廠商[],2,FALSE),"")</f>
        <v/>
      </c>
      <c r="S9866" t="str">
        <f>VLOOKUP(record[[#This Row],[employeeID]],員工[],2,FALSE)</f>
        <v>黎長維</v>
      </c>
    </row>
    <row r="9867" spans="6:19" hidden="1" x14ac:dyDescent="0.25">
      <c r="F9867" t="s">
        <v>752</v>
      </c>
      <c r="G9867" t="s">
        <v>418</v>
      </c>
      <c r="H9867" t="str">
        <f>VLOOKUP(record[[#This Row],[ProcessSN]],表格2_7[],2,FALSE)</f>
        <v>30-4118-018-5XX</v>
      </c>
      <c r="I9867" t="str">
        <f>VLOOKUP(record[[#This Row],[ProcessSN]],表格2_7[],3,FALSE)</f>
        <v>#07</v>
      </c>
      <c r="J9867" t="s">
        <v>588</v>
      </c>
      <c r="K9867" s="195">
        <v>45764.967789351853</v>
      </c>
      <c r="L9867">
        <v>92</v>
      </c>
      <c r="M9867">
        <v>1</v>
      </c>
      <c r="N9867" s="98" t="str">
        <f>IF(record[[#This Row],[Memo]]="Browser:chrome os:android","平板報工",IF(record[[#This Row],[Memo]]=0,"委外",record[[#This Row],[Memo]]))</f>
        <v/>
      </c>
      <c r="O9867" t="s">
        <v>58</v>
      </c>
      <c r="P9867" t="s">
        <v>133</v>
      </c>
      <c r="Q9867" t="s">
        <v>58</v>
      </c>
      <c r="R9867" t="str">
        <f>IFERROR(VLOOKUP(record[[#This Row],[PCUSTID]],廠商[],2,FALSE),"")</f>
        <v/>
      </c>
      <c r="S9867" t="str">
        <f>VLOOKUP(record[[#This Row],[employeeID]],員工[],2,FALSE)</f>
        <v>黎長維</v>
      </c>
    </row>
    <row r="9868" spans="6:19" hidden="1" x14ac:dyDescent="0.25">
      <c r="F9868" t="s">
        <v>756</v>
      </c>
      <c r="G9868" t="s">
        <v>466</v>
      </c>
      <c r="H9868" t="str">
        <f>VLOOKUP(record[[#This Row],[ProcessSN]],表格2_7[],2,FALSE)</f>
        <v>30-4118-018-XXX</v>
      </c>
      <c r="I9868" t="str">
        <f>VLOOKUP(record[[#This Row],[ProcessSN]],表格2_7[],3,FALSE)</f>
        <v>#01-2</v>
      </c>
      <c r="J9868" t="s">
        <v>588</v>
      </c>
      <c r="K9868" s="195">
        <v>45764.948923611111</v>
      </c>
      <c r="L9868">
        <v>240</v>
      </c>
      <c r="M9868">
        <v>0</v>
      </c>
      <c r="N9868" s="98" t="str">
        <f>IF(record[[#This Row],[Memo]]="Browser:chrome os:android","平板報工",IF(record[[#This Row],[Memo]]=0,"委外",record[[#This Row],[Memo]]))</f>
        <v>收尾多1pcs</v>
      </c>
      <c r="O9868" t="s">
        <v>774</v>
      </c>
      <c r="P9868" t="s">
        <v>133</v>
      </c>
      <c r="Q9868" t="s">
        <v>58</v>
      </c>
      <c r="R9868" t="str">
        <f>IFERROR(VLOOKUP(record[[#This Row],[PCUSTID]],廠商[],2,FALSE),"")</f>
        <v/>
      </c>
      <c r="S9868" t="str">
        <f>VLOOKUP(record[[#This Row],[employeeID]],員工[],2,FALSE)</f>
        <v>黎長維</v>
      </c>
    </row>
    <row r="9869" spans="6:19" hidden="1" x14ac:dyDescent="0.25">
      <c r="F9869" t="s">
        <v>756</v>
      </c>
      <c r="G9869" t="s">
        <v>465</v>
      </c>
      <c r="H9869" t="str">
        <f>VLOOKUP(record[[#This Row],[ProcessSN]],表格2_7[],2,FALSE)</f>
        <v>30-4118-018-XXX</v>
      </c>
      <c r="I9869" t="str">
        <f>VLOOKUP(record[[#This Row],[ProcessSN]],表格2_7[],3,FALSE)</f>
        <v>#01-1</v>
      </c>
      <c r="J9869" t="s">
        <v>588</v>
      </c>
      <c r="K9869" s="195">
        <v>45764.94840277778</v>
      </c>
      <c r="L9869">
        <v>240</v>
      </c>
      <c r="M9869">
        <v>0</v>
      </c>
      <c r="N9869" s="98" t="str">
        <f>IF(record[[#This Row],[Memo]]="Browser:chrome os:android","平板報工",IF(record[[#This Row],[Memo]]=0,"委外",record[[#This Row],[Memo]]))</f>
        <v>收尾多1pcs</v>
      </c>
      <c r="O9869" t="s">
        <v>774</v>
      </c>
      <c r="P9869" t="s">
        <v>133</v>
      </c>
      <c r="Q9869" t="s">
        <v>58</v>
      </c>
      <c r="R9869" t="str">
        <f>IFERROR(VLOOKUP(record[[#This Row],[PCUSTID]],廠商[],2,FALSE),"")</f>
        <v/>
      </c>
      <c r="S9869" t="str">
        <f>VLOOKUP(record[[#This Row],[employeeID]],員工[],2,FALSE)</f>
        <v>黎長維</v>
      </c>
    </row>
    <row r="9870" spans="6:19" hidden="1" x14ac:dyDescent="0.25">
      <c r="F9870" t="s">
        <v>768</v>
      </c>
      <c r="G9870" t="s">
        <v>403</v>
      </c>
      <c r="H9870" t="str">
        <f>VLOOKUP(record[[#This Row],[ProcessSN]],表格2_7[],2,FALSE)</f>
        <v>30-4118-018-550</v>
      </c>
      <c r="I9870" t="str">
        <f>VLOOKUP(record[[#This Row],[ProcessSN]],表格2_7[],3,FALSE)</f>
        <v>#100SHIP</v>
      </c>
      <c r="J9870" t="s">
        <v>600</v>
      </c>
      <c r="K9870" s="195">
        <v>45764.708298611113</v>
      </c>
      <c r="L9870">
        <v>219</v>
      </c>
      <c r="M9870">
        <v>0</v>
      </c>
      <c r="N9870" s="98" t="str">
        <f>IF(record[[#This Row],[Memo]]="Browser:chrome os:android","平板報工",IF(record[[#This Row],[Memo]]=0,"委外",record[[#This Row],[Memo]]))</f>
        <v/>
      </c>
      <c r="O9870" t="s">
        <v>58</v>
      </c>
      <c r="P9870" t="s">
        <v>196</v>
      </c>
      <c r="Q9870" t="s">
        <v>58</v>
      </c>
      <c r="R9870" t="str">
        <f>IFERROR(VLOOKUP(record[[#This Row],[PCUSTID]],廠商[],2,FALSE),"")</f>
        <v/>
      </c>
      <c r="S9870" t="str">
        <f>VLOOKUP(record[[#This Row],[employeeID]],員工[],2,FALSE)</f>
        <v>張淑惠</v>
      </c>
    </row>
    <row r="9871" spans="6:19" hidden="1" x14ac:dyDescent="0.25">
      <c r="F9871" t="s">
        <v>748</v>
      </c>
      <c r="G9871" t="s">
        <v>403</v>
      </c>
      <c r="H9871" t="str">
        <f>VLOOKUP(record[[#This Row],[ProcessSN]],表格2_7[],2,FALSE)</f>
        <v>30-4118-018-550</v>
      </c>
      <c r="I9871" t="str">
        <f>VLOOKUP(record[[#This Row],[ProcessSN]],表格2_7[],3,FALSE)</f>
        <v>#100SHIP</v>
      </c>
      <c r="J9871" t="s">
        <v>600</v>
      </c>
      <c r="K9871" s="195">
        <v>45764.708043981482</v>
      </c>
      <c r="L9871">
        <v>54</v>
      </c>
      <c r="M9871">
        <v>0</v>
      </c>
      <c r="N9871" s="98" t="str">
        <f>IF(record[[#This Row],[Memo]]="Browser:chrome os:android","平板報工",IF(record[[#This Row],[Memo]]=0,"委外",record[[#This Row],[Memo]]))</f>
        <v/>
      </c>
      <c r="O9871" t="s">
        <v>58</v>
      </c>
      <c r="P9871" t="s">
        <v>196</v>
      </c>
      <c r="Q9871" t="s">
        <v>58</v>
      </c>
      <c r="R9871" t="str">
        <f>IFERROR(VLOOKUP(record[[#This Row],[PCUSTID]],廠商[],2,FALSE),"")</f>
        <v/>
      </c>
      <c r="S9871" t="str">
        <f>VLOOKUP(record[[#This Row],[employeeID]],員工[],2,FALSE)</f>
        <v>張淑惠</v>
      </c>
    </row>
    <row r="9872" spans="6:19" hidden="1" x14ac:dyDescent="0.25">
      <c r="F9872" t="s">
        <v>713</v>
      </c>
      <c r="G9872" t="s">
        <v>403</v>
      </c>
      <c r="H9872" t="str">
        <f>VLOOKUP(record[[#This Row],[ProcessSN]],表格2_7[],2,FALSE)</f>
        <v>30-4118-018-550</v>
      </c>
      <c r="I9872" t="str">
        <f>VLOOKUP(record[[#This Row],[ProcessSN]],表格2_7[],3,FALSE)</f>
        <v>#100SHIP</v>
      </c>
      <c r="J9872" t="s">
        <v>600</v>
      </c>
      <c r="K9872" s="195">
        <v>45764.707800925928</v>
      </c>
      <c r="L9872">
        <v>198</v>
      </c>
      <c r="M9872">
        <v>0</v>
      </c>
      <c r="N9872" s="98" t="str">
        <f>IF(record[[#This Row],[Memo]]="Browser:chrome os:android","平板報工",IF(record[[#This Row],[Memo]]=0,"委外",record[[#This Row],[Memo]]))</f>
        <v/>
      </c>
      <c r="O9872" t="s">
        <v>58</v>
      </c>
      <c r="P9872" t="s">
        <v>196</v>
      </c>
      <c r="Q9872" t="s">
        <v>58</v>
      </c>
      <c r="R9872" t="str">
        <f>IFERROR(VLOOKUP(record[[#This Row],[PCUSTID]],廠商[],2,FALSE),"")</f>
        <v/>
      </c>
      <c r="S9872" t="str">
        <f>VLOOKUP(record[[#This Row],[employeeID]],員工[],2,FALSE)</f>
        <v>張淑惠</v>
      </c>
    </row>
    <row r="9873" spans="6:19" hidden="1" x14ac:dyDescent="0.25">
      <c r="F9873" t="s">
        <v>768</v>
      </c>
      <c r="G9873" t="s">
        <v>402</v>
      </c>
      <c r="H9873" t="str">
        <f>VLOOKUP(record[[#This Row],[ProcessSN]],表格2_7[],2,FALSE)</f>
        <v>30-4118-018-550</v>
      </c>
      <c r="I9873" t="str">
        <f>VLOOKUP(record[[#This Row],[ProcessSN]],表格2_7[],3,FALSE)</f>
        <v>#100STOCK</v>
      </c>
      <c r="J9873" t="s">
        <v>592</v>
      </c>
      <c r="K9873" s="195">
        <v>45764.706747685188</v>
      </c>
      <c r="L9873">
        <v>287</v>
      </c>
      <c r="M9873">
        <v>0</v>
      </c>
      <c r="N9873" s="98" t="str">
        <f>IF(record[[#This Row],[Memo]]="Browser:chrome os:android","平板報工",IF(record[[#This Row],[Memo]]=0,"委外",record[[#This Row],[Memo]]))</f>
        <v/>
      </c>
      <c r="O9873" t="s">
        <v>58</v>
      </c>
      <c r="P9873" t="s">
        <v>196</v>
      </c>
      <c r="Q9873" t="s">
        <v>58</v>
      </c>
      <c r="R9873" t="str">
        <f>IFERROR(VLOOKUP(record[[#This Row],[PCUSTID]],廠商[],2,FALSE),"")</f>
        <v/>
      </c>
      <c r="S9873" t="str">
        <f>VLOOKUP(record[[#This Row],[employeeID]],員工[],2,FALSE)</f>
        <v>張淑惠</v>
      </c>
    </row>
    <row r="9874" spans="6:19" hidden="1" x14ac:dyDescent="0.25">
      <c r="F9874" t="s">
        <v>748</v>
      </c>
      <c r="G9874" t="s">
        <v>402</v>
      </c>
      <c r="H9874" t="str">
        <f>VLOOKUP(record[[#This Row],[ProcessSN]],表格2_7[],2,FALSE)</f>
        <v>30-4118-018-550</v>
      </c>
      <c r="I9874" t="str">
        <f>VLOOKUP(record[[#This Row],[ProcessSN]],表格2_7[],3,FALSE)</f>
        <v>#100STOCK</v>
      </c>
      <c r="J9874" t="s">
        <v>592</v>
      </c>
      <c r="K9874" s="195">
        <v>45764.706620370373</v>
      </c>
      <c r="L9874">
        <v>54</v>
      </c>
      <c r="M9874">
        <v>0</v>
      </c>
      <c r="N9874" s="98" t="str">
        <f>IF(record[[#This Row],[Memo]]="Browser:chrome os:android","平板報工",IF(record[[#This Row],[Memo]]=0,"委外",record[[#This Row],[Memo]]))</f>
        <v/>
      </c>
      <c r="O9874" t="s">
        <v>58</v>
      </c>
      <c r="P9874" t="s">
        <v>196</v>
      </c>
      <c r="Q9874" t="s">
        <v>58</v>
      </c>
      <c r="R9874" t="str">
        <f>IFERROR(VLOOKUP(record[[#This Row],[PCUSTID]],廠商[],2,FALSE),"")</f>
        <v/>
      </c>
      <c r="S9874" t="str">
        <f>VLOOKUP(record[[#This Row],[employeeID]],員工[],2,FALSE)</f>
        <v>張淑惠</v>
      </c>
    </row>
    <row r="9875" spans="6:19" hidden="1" x14ac:dyDescent="0.25">
      <c r="F9875" t="s">
        <v>713</v>
      </c>
      <c r="G9875" t="s">
        <v>402</v>
      </c>
      <c r="H9875" t="str">
        <f>VLOOKUP(record[[#This Row],[ProcessSN]],表格2_7[],2,FALSE)</f>
        <v>30-4118-018-550</v>
      </c>
      <c r="I9875" t="str">
        <f>VLOOKUP(record[[#This Row],[ProcessSN]],表格2_7[],3,FALSE)</f>
        <v>#100STOCK</v>
      </c>
      <c r="J9875" t="s">
        <v>592</v>
      </c>
      <c r="K9875" s="195">
        <v>45764.706504629627</v>
      </c>
      <c r="L9875">
        <v>17</v>
      </c>
      <c r="M9875">
        <v>0</v>
      </c>
      <c r="N9875" s="98" t="str">
        <f>IF(record[[#This Row],[Memo]]="Browser:chrome os:android","平板報工",IF(record[[#This Row],[Memo]]=0,"委外",record[[#This Row],[Memo]]))</f>
        <v/>
      </c>
      <c r="O9875" t="s">
        <v>58</v>
      </c>
      <c r="P9875" t="s">
        <v>196</v>
      </c>
      <c r="Q9875" t="s">
        <v>58</v>
      </c>
      <c r="R9875" t="str">
        <f>IFERROR(VLOOKUP(record[[#This Row],[PCUSTID]],廠商[],2,FALSE),"")</f>
        <v/>
      </c>
      <c r="S9875" t="str">
        <f>VLOOKUP(record[[#This Row],[employeeID]],員工[],2,FALSE)</f>
        <v>張淑惠</v>
      </c>
    </row>
    <row r="9876" spans="6:19" hidden="1" x14ac:dyDescent="0.25">
      <c r="F9876" t="s">
        <v>752</v>
      </c>
      <c r="G9876" t="s">
        <v>419</v>
      </c>
      <c r="H9876" t="str">
        <f>VLOOKUP(record[[#This Row],[ProcessSN]],表格2_7[],2,FALSE)</f>
        <v>30-4118-018-5XX</v>
      </c>
      <c r="I9876" t="str">
        <f>VLOOKUP(record[[#This Row],[ProcessSN]],表格2_7[],3,FALSE)</f>
        <v>#07QC</v>
      </c>
      <c r="J9876" t="s">
        <v>589</v>
      </c>
      <c r="K9876" s="195">
        <v>45764.690243055556</v>
      </c>
      <c r="L9876">
        <v>0</v>
      </c>
      <c r="M9876">
        <v>1</v>
      </c>
      <c r="N9876" s="98" t="str">
        <f>IF(record[[#This Row],[Memo]]="Browser:chrome os:android","平板報工",IF(record[[#This Row],[Memo]]=0,"委外",record[[#This Row],[Memo]]))</f>
        <v/>
      </c>
      <c r="O9876" t="s">
        <v>58</v>
      </c>
      <c r="P9876" t="s">
        <v>141</v>
      </c>
      <c r="Q9876" t="s">
        <v>58</v>
      </c>
      <c r="R9876" t="str">
        <f>IFERROR(VLOOKUP(record[[#This Row],[PCUSTID]],廠商[],2,FALSE),"")</f>
        <v/>
      </c>
      <c r="S9876" t="str">
        <f>VLOOKUP(record[[#This Row],[employeeID]],員工[],2,FALSE)</f>
        <v>蔣梅</v>
      </c>
    </row>
    <row r="9877" spans="6:19" hidden="1" x14ac:dyDescent="0.25">
      <c r="F9877" t="s">
        <v>752</v>
      </c>
      <c r="G9877" t="s">
        <v>419</v>
      </c>
      <c r="H9877" t="str">
        <f>VLOOKUP(record[[#This Row],[ProcessSN]],表格2_7[],2,FALSE)</f>
        <v>30-4118-018-5XX</v>
      </c>
      <c r="I9877" t="str">
        <f>VLOOKUP(record[[#This Row],[ProcessSN]],表格2_7[],3,FALSE)</f>
        <v>#07QC</v>
      </c>
      <c r="J9877" t="s">
        <v>589</v>
      </c>
      <c r="K9877" s="195">
        <v>45764.690069444441</v>
      </c>
      <c r="L9877">
        <v>304</v>
      </c>
      <c r="M9877">
        <v>0</v>
      </c>
      <c r="N9877" s="98" t="str">
        <f>IF(record[[#This Row],[Memo]]="Browser:chrome os:android","平板報工",IF(record[[#This Row],[Memo]]=0,"委外",record[[#This Row],[Memo]]))</f>
        <v/>
      </c>
      <c r="O9877" t="s">
        <v>58</v>
      </c>
      <c r="P9877" t="s">
        <v>141</v>
      </c>
      <c r="Q9877" t="s">
        <v>58</v>
      </c>
      <c r="R9877" t="str">
        <f>IFERROR(VLOOKUP(record[[#This Row],[PCUSTID]],廠商[],2,FALSE),"")</f>
        <v/>
      </c>
      <c r="S9877" t="str">
        <f>VLOOKUP(record[[#This Row],[employeeID]],員工[],2,FALSE)</f>
        <v>蔣梅</v>
      </c>
    </row>
    <row r="9878" spans="6:19" hidden="1" x14ac:dyDescent="0.25">
      <c r="F9878" t="s">
        <v>748</v>
      </c>
      <c r="G9878" t="s">
        <v>401</v>
      </c>
      <c r="H9878" t="str">
        <f>VLOOKUP(record[[#This Row],[ProcessSN]],表格2_7[],2,FALSE)</f>
        <v>30-4118-018-550</v>
      </c>
      <c r="I9878" t="str">
        <f>VLOOKUP(record[[#This Row],[ProcessSN]],表格2_7[],3,FALSE)</f>
        <v>#100OQC</v>
      </c>
      <c r="J9878" t="s">
        <v>599</v>
      </c>
      <c r="K9878" s="195">
        <v>45764.667395833334</v>
      </c>
      <c r="L9878">
        <v>54</v>
      </c>
      <c r="M9878">
        <v>0</v>
      </c>
      <c r="N9878" s="98" t="str">
        <f>IF(record[[#This Row],[Memo]]="Browser:chrome os:android","平板報工",IF(record[[#This Row],[Memo]]=0,"委外",record[[#This Row],[Memo]]))</f>
        <v/>
      </c>
      <c r="O9878" t="s">
        <v>58</v>
      </c>
      <c r="P9878" t="s">
        <v>121</v>
      </c>
      <c r="Q9878" t="s">
        <v>58</v>
      </c>
      <c r="R9878" t="str">
        <f>IFERROR(VLOOKUP(record[[#This Row],[PCUSTID]],廠商[],2,FALSE),"")</f>
        <v/>
      </c>
      <c r="S9878" t="str">
        <f>VLOOKUP(record[[#This Row],[employeeID]],員工[],2,FALSE)</f>
        <v>謝素卿</v>
      </c>
    </row>
    <row r="9879" spans="6:19" hidden="1" x14ac:dyDescent="0.25">
      <c r="F9879" t="s">
        <v>768</v>
      </c>
      <c r="G9879" t="s">
        <v>401</v>
      </c>
      <c r="H9879" t="str">
        <f>VLOOKUP(record[[#This Row],[ProcessSN]],表格2_7[],2,FALSE)</f>
        <v>30-4118-018-550</v>
      </c>
      <c r="I9879" t="str">
        <f>VLOOKUP(record[[#This Row],[ProcessSN]],表格2_7[],3,FALSE)</f>
        <v>#100OQC</v>
      </c>
      <c r="J9879" t="s">
        <v>599</v>
      </c>
      <c r="K9879" s="195">
        <v>45764.667233796295</v>
      </c>
      <c r="L9879">
        <v>287</v>
      </c>
      <c r="M9879">
        <v>0</v>
      </c>
      <c r="N9879" s="98" t="str">
        <f>IF(record[[#This Row],[Memo]]="Browser:chrome os:android","平板報工",IF(record[[#This Row],[Memo]]=0,"委外",record[[#This Row],[Memo]]))</f>
        <v/>
      </c>
      <c r="O9879" t="s">
        <v>58</v>
      </c>
      <c r="P9879" t="s">
        <v>121</v>
      </c>
      <c r="Q9879" t="s">
        <v>58</v>
      </c>
      <c r="R9879" t="str">
        <f>IFERROR(VLOOKUP(record[[#This Row],[PCUSTID]],廠商[],2,FALSE),"")</f>
        <v/>
      </c>
      <c r="S9879" t="str">
        <f>VLOOKUP(record[[#This Row],[employeeID]],員工[],2,FALSE)</f>
        <v>謝素卿</v>
      </c>
    </row>
    <row r="9880" spans="6:19" hidden="1" x14ac:dyDescent="0.25">
      <c r="F9880" t="s">
        <v>713</v>
      </c>
      <c r="G9880" t="s">
        <v>401</v>
      </c>
      <c r="H9880" t="str">
        <f>VLOOKUP(record[[#This Row],[ProcessSN]],表格2_7[],2,FALSE)</f>
        <v>30-4118-018-550</v>
      </c>
      <c r="I9880" t="str">
        <f>VLOOKUP(record[[#This Row],[ProcessSN]],表格2_7[],3,FALSE)</f>
        <v>#100OQC</v>
      </c>
      <c r="J9880" t="s">
        <v>599</v>
      </c>
      <c r="K9880" s="195">
        <v>45764.666990740741</v>
      </c>
      <c r="L9880">
        <v>17</v>
      </c>
      <c r="M9880">
        <v>0</v>
      </c>
      <c r="N9880" s="98" t="str">
        <f>IF(record[[#This Row],[Memo]]="Browser:chrome os:android","平板報工",IF(record[[#This Row],[Memo]]=0,"委外",record[[#This Row],[Memo]]))</f>
        <v/>
      </c>
      <c r="O9880" t="s">
        <v>58</v>
      </c>
      <c r="P9880" t="s">
        <v>121</v>
      </c>
      <c r="Q9880" t="s">
        <v>58</v>
      </c>
      <c r="R9880" t="str">
        <f>IFERROR(VLOOKUP(record[[#This Row],[PCUSTID]],廠商[],2,FALSE),"")</f>
        <v/>
      </c>
      <c r="S9880" t="str">
        <f>VLOOKUP(record[[#This Row],[employeeID]],員工[],2,FALSE)</f>
        <v>謝素卿</v>
      </c>
    </row>
    <row r="9881" spans="6:19" hidden="1" x14ac:dyDescent="0.25">
      <c r="F9881" t="s">
        <v>748</v>
      </c>
      <c r="G9881" t="s">
        <v>400</v>
      </c>
      <c r="H9881" t="str">
        <f>VLOOKUP(record[[#This Row],[ProcessSN]],表格2_7[],2,FALSE)</f>
        <v>30-4118-018-550</v>
      </c>
      <c r="I9881" t="str">
        <f>VLOOKUP(record[[#This Row],[ProcessSN]],表格2_7[],3,FALSE)</f>
        <v>#100</v>
      </c>
      <c r="J9881" t="s">
        <v>598</v>
      </c>
      <c r="K9881" s="195">
        <v>45764.656805555554</v>
      </c>
      <c r="L9881">
        <v>54</v>
      </c>
      <c r="M9881">
        <v>0</v>
      </c>
      <c r="N9881" s="98" t="str">
        <f>IF(record[[#This Row],[Memo]]="Browser:chrome os:android","平板報工",IF(record[[#This Row],[Memo]]=0,"委外",record[[#This Row],[Memo]]))</f>
        <v>平板報工</v>
      </c>
      <c r="O9881" t="s">
        <v>643</v>
      </c>
      <c r="P9881" t="s">
        <v>141</v>
      </c>
      <c r="Q9881" t="s">
        <v>644</v>
      </c>
      <c r="R9881" t="str">
        <f>IFERROR(VLOOKUP(record[[#This Row],[PCUSTID]],廠商[],2,FALSE),"")</f>
        <v/>
      </c>
      <c r="S9881" t="str">
        <f>VLOOKUP(record[[#This Row],[employeeID]],員工[],2,FALSE)</f>
        <v>蔣梅</v>
      </c>
    </row>
    <row r="9882" spans="6:19" hidden="1" x14ac:dyDescent="0.25">
      <c r="F9882" t="s">
        <v>768</v>
      </c>
      <c r="G9882" t="s">
        <v>400</v>
      </c>
      <c r="H9882" t="str">
        <f>VLOOKUP(record[[#This Row],[ProcessSN]],表格2_7[],2,FALSE)</f>
        <v>30-4118-018-550</v>
      </c>
      <c r="I9882" t="str">
        <f>VLOOKUP(record[[#This Row],[ProcessSN]],表格2_7[],3,FALSE)</f>
        <v>#100</v>
      </c>
      <c r="J9882" t="s">
        <v>598</v>
      </c>
      <c r="K9882" s="195">
        <v>45764.655960648146</v>
      </c>
      <c r="L9882">
        <v>287</v>
      </c>
      <c r="M9882">
        <v>0</v>
      </c>
      <c r="N9882" s="98" t="str">
        <f>IF(record[[#This Row],[Memo]]="Browser:chrome os:android","平板報工",IF(record[[#This Row],[Memo]]=0,"委外",record[[#This Row],[Memo]]))</f>
        <v>平板報工</v>
      </c>
      <c r="O9882" t="s">
        <v>643</v>
      </c>
      <c r="P9882" t="s">
        <v>141</v>
      </c>
      <c r="Q9882" t="s">
        <v>644</v>
      </c>
      <c r="R9882" t="str">
        <f>IFERROR(VLOOKUP(record[[#This Row],[PCUSTID]],廠商[],2,FALSE),"")</f>
        <v/>
      </c>
      <c r="S9882" t="str">
        <f>VLOOKUP(record[[#This Row],[employeeID]],員工[],2,FALSE)</f>
        <v>蔣梅</v>
      </c>
    </row>
    <row r="9883" spans="6:19" hidden="1" x14ac:dyDescent="0.25">
      <c r="F9883" t="s">
        <v>752</v>
      </c>
      <c r="G9883" t="s">
        <v>417</v>
      </c>
      <c r="H9883" t="str">
        <f>VLOOKUP(record[[#This Row],[ProcessSN]],表格2_7[],2,FALSE)</f>
        <v>30-4118-018-5XX</v>
      </c>
      <c r="I9883" t="str">
        <f>VLOOKUP(record[[#This Row],[ProcessSN]],表格2_7[],3,FALSE)</f>
        <v>#06</v>
      </c>
      <c r="J9883" t="s">
        <v>593</v>
      </c>
      <c r="K9883" s="195">
        <v>45764.650821759256</v>
      </c>
      <c r="L9883">
        <v>121</v>
      </c>
      <c r="M9883">
        <v>0</v>
      </c>
      <c r="N9883" s="98" t="str">
        <f>IF(record[[#This Row],[Memo]]="Browser:chrome os:android","平板報工",IF(record[[#This Row],[Memo]]=0,"委外",record[[#This Row],[Memo]]))</f>
        <v/>
      </c>
      <c r="O9883" t="s">
        <v>58</v>
      </c>
      <c r="P9883" t="s">
        <v>119</v>
      </c>
      <c r="Q9883" t="s">
        <v>58</v>
      </c>
      <c r="R9883" t="str">
        <f>IFERROR(VLOOKUP(record[[#This Row],[PCUSTID]],廠商[],2,FALSE),"")</f>
        <v/>
      </c>
      <c r="S9883" t="str">
        <f>VLOOKUP(record[[#This Row],[employeeID]],員工[],2,FALSE)</f>
        <v>廖俊彥</v>
      </c>
    </row>
    <row r="9884" spans="6:19" hidden="1" x14ac:dyDescent="0.25">
      <c r="F9884" t="s">
        <v>752</v>
      </c>
      <c r="G9884" t="s">
        <v>418</v>
      </c>
      <c r="H9884" t="str">
        <f>VLOOKUP(record[[#This Row],[ProcessSN]],表格2_7[],2,FALSE)</f>
        <v>30-4118-018-5XX</v>
      </c>
      <c r="I9884" t="str">
        <f>VLOOKUP(record[[#This Row],[ProcessSN]],表格2_7[],3,FALSE)</f>
        <v>#07</v>
      </c>
      <c r="J9884" t="s">
        <v>588</v>
      </c>
      <c r="K9884" s="195">
        <v>45764.650613425925</v>
      </c>
      <c r="L9884">
        <v>141</v>
      </c>
      <c r="M9884">
        <v>0</v>
      </c>
      <c r="N9884" s="98" t="str">
        <f>IF(record[[#This Row],[Memo]]="Browser:chrome os:android","平板報工",IF(record[[#This Row],[Memo]]=0,"委外",record[[#This Row],[Memo]]))</f>
        <v/>
      </c>
      <c r="O9884" t="s">
        <v>58</v>
      </c>
      <c r="P9884" t="s">
        <v>119</v>
      </c>
      <c r="Q9884" t="s">
        <v>58</v>
      </c>
      <c r="R9884" t="str">
        <f>IFERROR(VLOOKUP(record[[#This Row],[PCUSTID]],廠商[],2,FALSE),"")</f>
        <v/>
      </c>
      <c r="S9884" t="str">
        <f>VLOOKUP(record[[#This Row],[employeeID]],員工[],2,FALSE)</f>
        <v>廖俊彥</v>
      </c>
    </row>
    <row r="9885" spans="6:19" hidden="1" x14ac:dyDescent="0.25">
      <c r="F9885" t="s">
        <v>756</v>
      </c>
      <c r="G9885" t="s">
        <v>466</v>
      </c>
      <c r="H9885" t="str">
        <f>VLOOKUP(record[[#This Row],[ProcessSN]],表格2_7[],2,FALSE)</f>
        <v>30-4118-018-XXX</v>
      </c>
      <c r="I9885" t="str">
        <f>VLOOKUP(record[[#This Row],[ProcessSN]],表格2_7[],3,FALSE)</f>
        <v>#01-2</v>
      </c>
      <c r="J9885" t="s">
        <v>588</v>
      </c>
      <c r="K9885" s="195">
        <v>45764.650231481479</v>
      </c>
      <c r="L9885">
        <v>453</v>
      </c>
      <c r="M9885">
        <v>0</v>
      </c>
      <c r="N9885" s="98" t="str">
        <f>IF(record[[#This Row],[Memo]]="Browser:chrome os:android","平板報工",IF(record[[#This Row],[Memo]]=0,"委外",record[[#This Row],[Memo]]))</f>
        <v/>
      </c>
      <c r="O9885" t="s">
        <v>58</v>
      </c>
      <c r="P9885" t="s">
        <v>119</v>
      </c>
      <c r="Q9885" t="s">
        <v>58</v>
      </c>
      <c r="R9885" t="str">
        <f>IFERROR(VLOOKUP(record[[#This Row],[PCUSTID]],廠商[],2,FALSE),"")</f>
        <v/>
      </c>
      <c r="S9885" t="str">
        <f>VLOOKUP(record[[#This Row],[employeeID]],員工[],2,FALSE)</f>
        <v>廖俊彥</v>
      </c>
    </row>
    <row r="9886" spans="6:19" hidden="1" x14ac:dyDescent="0.25">
      <c r="F9886" t="s">
        <v>756</v>
      </c>
      <c r="G9886" t="s">
        <v>465</v>
      </c>
      <c r="H9886" t="str">
        <f>VLOOKUP(record[[#This Row],[ProcessSN]],表格2_7[],2,FALSE)</f>
        <v>30-4118-018-XXX</v>
      </c>
      <c r="I9886" t="str">
        <f>VLOOKUP(record[[#This Row],[ProcessSN]],表格2_7[],3,FALSE)</f>
        <v>#01-1</v>
      </c>
      <c r="J9886" t="s">
        <v>588</v>
      </c>
      <c r="K9886" s="195">
        <v>45764.650023148148</v>
      </c>
      <c r="L9886">
        <v>453</v>
      </c>
      <c r="M9886">
        <v>0</v>
      </c>
      <c r="N9886" s="98" t="str">
        <f>IF(record[[#This Row],[Memo]]="Browser:chrome os:android","平板報工",IF(record[[#This Row],[Memo]]=0,"委外",record[[#This Row],[Memo]]))</f>
        <v/>
      </c>
      <c r="O9886" t="s">
        <v>58</v>
      </c>
      <c r="P9886" t="s">
        <v>119</v>
      </c>
      <c r="Q9886" t="s">
        <v>58</v>
      </c>
      <c r="R9886" t="str">
        <f>IFERROR(VLOOKUP(record[[#This Row],[PCUSTID]],廠商[],2,FALSE),"")</f>
        <v/>
      </c>
      <c r="S9886" t="str">
        <f>VLOOKUP(record[[#This Row],[employeeID]],員工[],2,FALSE)</f>
        <v>廖俊彥</v>
      </c>
    </row>
    <row r="9887" spans="6:19" hidden="1" x14ac:dyDescent="0.25">
      <c r="F9887" t="s">
        <v>748</v>
      </c>
      <c r="G9887" t="s">
        <v>399</v>
      </c>
      <c r="H9887" t="str">
        <f>VLOOKUP(record[[#This Row],[ProcessSN]],表格2_7[],2,FALSE)</f>
        <v>30-4118-018-550</v>
      </c>
      <c r="I9887" t="str">
        <f>VLOOKUP(record[[#This Row],[ProcessSN]],表格2_7[],3,FALSE)</f>
        <v>#08IQC</v>
      </c>
      <c r="J9887" t="s">
        <v>583</v>
      </c>
      <c r="K9887" s="195">
        <v>45764.604050925926</v>
      </c>
      <c r="L9887">
        <v>54</v>
      </c>
      <c r="M9887">
        <v>0</v>
      </c>
      <c r="N9887" s="98" t="str">
        <f>IF(record[[#This Row],[Memo]]="Browser:chrome os:android","平板報工",IF(record[[#This Row],[Memo]]=0,"委外",record[[#This Row],[Memo]]))</f>
        <v/>
      </c>
      <c r="O9887" t="s">
        <v>58</v>
      </c>
      <c r="P9887" t="s">
        <v>190</v>
      </c>
      <c r="Q9887" t="s">
        <v>58</v>
      </c>
      <c r="R9887" t="str">
        <f>IFERROR(VLOOKUP(record[[#This Row],[PCUSTID]],廠商[],2,FALSE),"")</f>
        <v/>
      </c>
      <c r="S9887" t="str">
        <f>VLOOKUP(record[[#This Row],[employeeID]],員工[],2,FALSE)</f>
        <v>陳雅娟</v>
      </c>
    </row>
    <row r="9888" spans="6:19" hidden="1" x14ac:dyDescent="0.25">
      <c r="F9888" t="s">
        <v>768</v>
      </c>
      <c r="G9888" t="s">
        <v>399</v>
      </c>
      <c r="H9888" t="str">
        <f>VLOOKUP(record[[#This Row],[ProcessSN]],表格2_7[],2,FALSE)</f>
        <v>30-4118-018-550</v>
      </c>
      <c r="I9888" t="str">
        <f>VLOOKUP(record[[#This Row],[ProcessSN]],表格2_7[],3,FALSE)</f>
        <v>#08IQC</v>
      </c>
      <c r="J9888" t="s">
        <v>583</v>
      </c>
      <c r="K9888" s="195">
        <v>45764.603900462964</v>
      </c>
      <c r="L9888">
        <v>287</v>
      </c>
      <c r="M9888">
        <v>0</v>
      </c>
      <c r="N9888" s="98" t="str">
        <f>IF(record[[#This Row],[Memo]]="Browser:chrome os:android","平板報工",IF(record[[#This Row],[Memo]]=0,"委外",record[[#This Row],[Memo]]))</f>
        <v/>
      </c>
      <c r="O9888" t="s">
        <v>58</v>
      </c>
      <c r="P9888" t="s">
        <v>190</v>
      </c>
      <c r="Q9888" t="s">
        <v>58</v>
      </c>
      <c r="R9888" t="str">
        <f>IFERROR(VLOOKUP(record[[#This Row],[PCUSTID]],廠商[],2,FALSE),"")</f>
        <v/>
      </c>
      <c r="S9888" t="str">
        <f>VLOOKUP(record[[#This Row],[employeeID]],員工[],2,FALSE)</f>
        <v>陳雅娟</v>
      </c>
    </row>
    <row r="9889" spans="6:19" hidden="1" x14ac:dyDescent="0.25">
      <c r="F9889" t="s">
        <v>748</v>
      </c>
      <c r="G9889" t="s">
        <v>398</v>
      </c>
      <c r="H9889" t="str">
        <f>VLOOKUP(record[[#This Row],[ProcessSN]],表格2_7[],2,FALSE)</f>
        <v>30-4118-018-550</v>
      </c>
      <c r="I9889" t="str">
        <f>VLOOKUP(record[[#This Row],[ProcessSN]],表格2_7[],3,FALSE)</f>
        <v>#08RCV</v>
      </c>
      <c r="J9889" t="s">
        <v>591</v>
      </c>
      <c r="K9889" s="195">
        <v>45764.596898148149</v>
      </c>
      <c r="L9889">
        <v>54</v>
      </c>
      <c r="M9889">
        <v>0</v>
      </c>
      <c r="N9889" s="98" t="str">
        <f>IF(record[[#This Row],[Memo]]="Browser:chrome os:android","平板報工",IF(record[[#This Row],[Memo]]=0,"委外",record[[#This Row],[Memo]]))</f>
        <v/>
      </c>
      <c r="O9889" t="s">
        <v>58</v>
      </c>
      <c r="P9889" t="s">
        <v>186</v>
      </c>
      <c r="Q9889" t="s">
        <v>58</v>
      </c>
      <c r="R9889" t="str">
        <f>IFERROR(VLOOKUP(record[[#This Row],[PCUSTID]],廠商[],2,FALSE),"")</f>
        <v/>
      </c>
      <c r="S9889" t="str">
        <f>VLOOKUP(record[[#This Row],[employeeID]],員工[],2,FALSE)</f>
        <v>許文姍</v>
      </c>
    </row>
    <row r="9890" spans="6:19" hidden="1" x14ac:dyDescent="0.25">
      <c r="F9890" t="s">
        <v>768</v>
      </c>
      <c r="G9890" t="s">
        <v>398</v>
      </c>
      <c r="H9890" t="str">
        <f>VLOOKUP(record[[#This Row],[ProcessSN]],表格2_7[],2,FALSE)</f>
        <v>30-4118-018-550</v>
      </c>
      <c r="I9890" t="str">
        <f>VLOOKUP(record[[#This Row],[ProcessSN]],表格2_7[],3,FALSE)</f>
        <v>#08RCV</v>
      </c>
      <c r="J9890" t="s">
        <v>591</v>
      </c>
      <c r="K9890" s="195">
        <v>45764.596643518518</v>
      </c>
      <c r="L9890">
        <v>0</v>
      </c>
      <c r="M9890">
        <v>13</v>
      </c>
      <c r="N9890" s="98" t="str">
        <f>IF(record[[#This Row],[Memo]]="Browser:chrome os:android","平板報工",IF(record[[#This Row],[Memo]]=0,"委外",record[[#This Row],[Memo]]))</f>
        <v/>
      </c>
      <c r="O9890" t="s">
        <v>58</v>
      </c>
      <c r="P9890" t="s">
        <v>186</v>
      </c>
      <c r="Q9890" t="s">
        <v>58</v>
      </c>
      <c r="R9890" t="str">
        <f>IFERROR(VLOOKUP(record[[#This Row],[PCUSTID]],廠商[],2,FALSE),"")</f>
        <v/>
      </c>
      <c r="S9890" t="str">
        <f>VLOOKUP(record[[#This Row],[employeeID]],員工[],2,FALSE)</f>
        <v>許文姍</v>
      </c>
    </row>
    <row r="9891" spans="6:19" hidden="1" x14ac:dyDescent="0.25">
      <c r="F9891" t="s">
        <v>768</v>
      </c>
      <c r="G9891" t="s">
        <v>398</v>
      </c>
      <c r="H9891" t="str">
        <f>VLOOKUP(record[[#This Row],[ProcessSN]],表格2_7[],2,FALSE)</f>
        <v>30-4118-018-550</v>
      </c>
      <c r="I9891" t="str">
        <f>VLOOKUP(record[[#This Row],[ProcessSN]],表格2_7[],3,FALSE)</f>
        <v>#08RCV</v>
      </c>
      <c r="J9891" t="s">
        <v>591</v>
      </c>
      <c r="K9891" s="195">
        <v>45764.596412037034</v>
      </c>
      <c r="L9891">
        <v>0</v>
      </c>
      <c r="M9891">
        <v>14</v>
      </c>
      <c r="N9891" s="98" t="str">
        <f>IF(record[[#This Row],[Memo]]="Browser:chrome os:android","平板報工",IF(record[[#This Row],[Memo]]=0,"委外",record[[#This Row],[Memo]]))</f>
        <v/>
      </c>
      <c r="O9891" t="s">
        <v>58</v>
      </c>
      <c r="P9891" t="s">
        <v>186</v>
      </c>
      <c r="Q9891" t="s">
        <v>58</v>
      </c>
      <c r="R9891" t="str">
        <f>IFERROR(VLOOKUP(record[[#This Row],[PCUSTID]],廠商[],2,FALSE),"")</f>
        <v/>
      </c>
      <c r="S9891" t="str">
        <f>VLOOKUP(record[[#This Row],[employeeID]],員工[],2,FALSE)</f>
        <v>許文姍</v>
      </c>
    </row>
    <row r="9892" spans="6:19" hidden="1" x14ac:dyDescent="0.25">
      <c r="F9892" t="s">
        <v>768</v>
      </c>
      <c r="G9892" t="s">
        <v>398</v>
      </c>
      <c r="H9892" t="str">
        <f>VLOOKUP(record[[#This Row],[ProcessSN]],表格2_7[],2,FALSE)</f>
        <v>30-4118-018-550</v>
      </c>
      <c r="I9892" t="str">
        <f>VLOOKUP(record[[#This Row],[ProcessSN]],表格2_7[],3,FALSE)</f>
        <v>#08RCV</v>
      </c>
      <c r="J9892" t="s">
        <v>591</v>
      </c>
      <c r="K9892" s="195">
        <v>45764.596192129633</v>
      </c>
      <c r="L9892">
        <v>287</v>
      </c>
      <c r="M9892">
        <v>0</v>
      </c>
      <c r="N9892" s="98" t="str">
        <f>IF(record[[#This Row],[Memo]]="Browser:chrome os:android","平板報工",IF(record[[#This Row],[Memo]]=0,"委外",record[[#This Row],[Memo]]))</f>
        <v/>
      </c>
      <c r="O9892" t="s">
        <v>58</v>
      </c>
      <c r="P9892" t="s">
        <v>186</v>
      </c>
      <c r="Q9892" t="s">
        <v>58</v>
      </c>
      <c r="R9892" t="str">
        <f>IFERROR(VLOOKUP(record[[#This Row],[PCUSTID]],廠商[],2,FALSE),"")</f>
        <v/>
      </c>
      <c r="S9892" t="str">
        <f>VLOOKUP(record[[#This Row],[employeeID]],員工[],2,FALSE)</f>
        <v>許文姍</v>
      </c>
    </row>
    <row r="9893" spans="6:19" hidden="1" x14ac:dyDescent="0.25">
      <c r="F9893" t="s">
        <v>772</v>
      </c>
      <c r="G9893" t="s">
        <v>397</v>
      </c>
      <c r="H9893" t="str">
        <f>VLOOKUP(record[[#This Row],[ProcessSN]],表格2_7[],2,FALSE)</f>
        <v>30-4118-018-550</v>
      </c>
      <c r="I9893" t="str">
        <f>VLOOKUP(record[[#This Row],[ProcessSN]],表格2_7[],3,FALSE)</f>
        <v>#08</v>
      </c>
      <c r="J9893" t="s">
        <v>597</v>
      </c>
      <c r="K9893" s="195">
        <v>45764.58011574074</v>
      </c>
      <c r="L9893">
        <v>504</v>
      </c>
      <c r="M9893">
        <v>0</v>
      </c>
      <c r="N9893" s="98" t="str">
        <f>IF(record[[#This Row],[Memo]]="Browser:chrome os:android","平板報工",IF(record[[#This Row],[Memo]]=0,"委外",record[[#This Row],[Memo]]))</f>
        <v>委外</v>
      </c>
      <c r="P9893" t="s">
        <v>186</v>
      </c>
      <c r="Q9893" t="s">
        <v>287</v>
      </c>
      <c r="R9893" t="str">
        <f>IFERROR(VLOOKUP(record[[#This Row],[PCUSTID]],廠商[],2,FALSE),"")</f>
        <v>泉盛</v>
      </c>
      <c r="S9893" t="str">
        <f>VLOOKUP(record[[#This Row],[employeeID]],員工[],2,FALSE)</f>
        <v>許文姍</v>
      </c>
    </row>
    <row r="9894" spans="6:19" hidden="1" x14ac:dyDescent="0.25">
      <c r="F9894" t="s">
        <v>772</v>
      </c>
      <c r="G9894" t="s">
        <v>396</v>
      </c>
      <c r="H9894" t="str">
        <f>VLOOKUP(record[[#This Row],[ProcessSN]],表格2_7[],2,FALSE)</f>
        <v>30-4118-018-550</v>
      </c>
      <c r="I9894" t="str">
        <f>VLOOKUP(record[[#This Row],[ProcessSN]],表格2_7[],3,FALSE)</f>
        <v>#08PICK</v>
      </c>
      <c r="J9894" t="s">
        <v>582</v>
      </c>
      <c r="K9894" s="195">
        <v>45764.577881944446</v>
      </c>
      <c r="L9894">
        <v>504</v>
      </c>
      <c r="M9894">
        <v>0</v>
      </c>
      <c r="N9894" s="98" t="str">
        <f>IF(record[[#This Row],[Memo]]="Browser:chrome os:android","平板報工",IF(record[[#This Row],[Memo]]=0,"委外",record[[#This Row],[Memo]]))</f>
        <v/>
      </c>
      <c r="O9894" t="s">
        <v>58</v>
      </c>
      <c r="P9894" t="s">
        <v>65</v>
      </c>
      <c r="Q9894" t="s">
        <v>58</v>
      </c>
      <c r="R9894" t="str">
        <f>IFERROR(VLOOKUP(record[[#This Row],[PCUSTID]],廠商[],2,FALSE),"")</f>
        <v/>
      </c>
      <c r="S9894" t="str">
        <f>VLOOKUP(record[[#This Row],[employeeID]],員工[],2,FALSE)</f>
        <v>蘇進昌</v>
      </c>
    </row>
    <row r="9895" spans="6:19" hidden="1" x14ac:dyDescent="0.25">
      <c r="F9895" t="s">
        <v>752</v>
      </c>
      <c r="G9895" t="s">
        <v>420</v>
      </c>
      <c r="H9895" t="str">
        <f>VLOOKUP(record[[#This Row],[ProcessSN]],表格2_7[],2,FALSE)</f>
        <v>30-4118-018-5XX</v>
      </c>
      <c r="I9895" t="str">
        <f>VLOOKUP(record[[#This Row],[ProcessSN]],表格2_7[],3,FALSE)</f>
        <v>#07STOCK</v>
      </c>
      <c r="J9895" t="s">
        <v>592</v>
      </c>
      <c r="K9895" s="195">
        <v>45764.577523148146</v>
      </c>
      <c r="L9895">
        <v>504</v>
      </c>
      <c r="M9895">
        <v>0</v>
      </c>
      <c r="N9895" s="98" t="str">
        <f>IF(record[[#This Row],[Memo]]="Browser:chrome os:android","平板報工",IF(record[[#This Row],[Memo]]=0,"委外",record[[#This Row],[Memo]]))</f>
        <v/>
      </c>
      <c r="O9895" t="s">
        <v>58</v>
      </c>
      <c r="P9895" t="s">
        <v>65</v>
      </c>
      <c r="Q9895" t="s">
        <v>58</v>
      </c>
      <c r="R9895" t="str">
        <f>IFERROR(VLOOKUP(record[[#This Row],[PCUSTID]],廠商[],2,FALSE),"")</f>
        <v/>
      </c>
      <c r="S9895" t="str">
        <f>VLOOKUP(record[[#This Row],[employeeID]],員工[],2,FALSE)</f>
        <v>蘇進昌</v>
      </c>
    </row>
    <row r="9896" spans="6:19" hidden="1" x14ac:dyDescent="0.25">
      <c r="F9896" t="s">
        <v>752</v>
      </c>
      <c r="G9896" t="s">
        <v>419</v>
      </c>
      <c r="H9896" t="str">
        <f>VLOOKUP(record[[#This Row],[ProcessSN]],表格2_7[],2,FALSE)</f>
        <v>30-4118-018-5XX</v>
      </c>
      <c r="I9896" t="str">
        <f>VLOOKUP(record[[#This Row],[ProcessSN]],表格2_7[],3,FALSE)</f>
        <v>#07QC</v>
      </c>
      <c r="J9896" t="s">
        <v>589</v>
      </c>
      <c r="K9896" s="195">
        <v>45764.494027777779</v>
      </c>
      <c r="L9896">
        <v>504</v>
      </c>
      <c r="M9896">
        <v>0</v>
      </c>
      <c r="N9896" s="98" t="str">
        <f>IF(record[[#This Row],[Memo]]="Browser:chrome os:android","平板報工",IF(record[[#This Row],[Memo]]=0,"委外",record[[#This Row],[Memo]]))</f>
        <v>平板報工</v>
      </c>
      <c r="O9896" t="s">
        <v>643</v>
      </c>
      <c r="P9896" t="s">
        <v>141</v>
      </c>
      <c r="Q9896" t="s">
        <v>644</v>
      </c>
      <c r="R9896" t="str">
        <f>IFERROR(VLOOKUP(record[[#This Row],[PCUSTID]],廠商[],2,FALSE),"")</f>
        <v/>
      </c>
      <c r="S9896" t="str">
        <f>VLOOKUP(record[[#This Row],[employeeID]],員工[],2,FALSE)</f>
        <v>蔣梅</v>
      </c>
    </row>
    <row r="9897" spans="6:19" hidden="1" x14ac:dyDescent="0.25">
      <c r="F9897" t="s">
        <v>771</v>
      </c>
      <c r="G9897" t="s">
        <v>452</v>
      </c>
      <c r="H9897" t="str">
        <f>VLOOKUP(record[[#This Row],[ProcessSN]],表格2_7[],2,FALSE)</f>
        <v>30-4118-018-6XX</v>
      </c>
      <c r="I9897" t="str">
        <f>VLOOKUP(record[[#This Row],[ProcessSN]],表格2_7[],3,FALSE)</f>
        <v>#07QC</v>
      </c>
      <c r="J9897" t="s">
        <v>589</v>
      </c>
      <c r="K9897" s="195">
        <v>45764.319444444445</v>
      </c>
      <c r="L9897">
        <v>4</v>
      </c>
      <c r="M9897">
        <v>0</v>
      </c>
      <c r="N9897" s="98" t="str">
        <f>IF(record[[#This Row],[Memo]]="Browser:chrome os:android","平板報工",IF(record[[#This Row],[Memo]]=0,"委外",record[[#This Row],[Memo]]))</f>
        <v>平板報工</v>
      </c>
      <c r="O9897" t="s">
        <v>643</v>
      </c>
      <c r="P9897" t="s">
        <v>141</v>
      </c>
      <c r="Q9897" t="s">
        <v>644</v>
      </c>
      <c r="R9897" t="str">
        <f>IFERROR(VLOOKUP(record[[#This Row],[PCUSTID]],廠商[],2,FALSE),"")</f>
        <v/>
      </c>
      <c r="S9897" t="str">
        <f>VLOOKUP(record[[#This Row],[employeeID]],員工[],2,FALSE)</f>
        <v>蔣梅</v>
      </c>
    </row>
    <row r="9898" spans="6:19" hidden="1" x14ac:dyDescent="0.25">
      <c r="F9898" t="s">
        <v>586</v>
      </c>
      <c r="G9898" t="s">
        <v>378</v>
      </c>
      <c r="H9898" t="str">
        <f>VLOOKUP(record[[#This Row],[ProcessSN]],表格2_7[],2,FALSE)</f>
        <v>30-4118-018-4XX</v>
      </c>
      <c r="I9898" t="str">
        <f>VLOOKUP(record[[#This Row],[ProcessSN]],表格2_7[],3,FALSE)</f>
        <v>#07QC</v>
      </c>
      <c r="J9898" t="s">
        <v>589</v>
      </c>
      <c r="K9898" s="195">
        <v>45764.318831018521</v>
      </c>
      <c r="L9898">
        <v>2</v>
      </c>
      <c r="M9898">
        <v>0</v>
      </c>
      <c r="N9898" s="98" t="str">
        <f>IF(record[[#This Row],[Memo]]="Browser:chrome os:android","平板報工",IF(record[[#This Row],[Memo]]=0,"委外",record[[#This Row],[Memo]]))</f>
        <v>平板報工</v>
      </c>
      <c r="O9898" t="s">
        <v>643</v>
      </c>
      <c r="P9898" t="s">
        <v>141</v>
      </c>
      <c r="Q9898" t="s">
        <v>644</v>
      </c>
      <c r="R9898" t="str">
        <f>IFERROR(VLOOKUP(record[[#This Row],[PCUSTID]],廠商[],2,FALSE),"")</f>
        <v/>
      </c>
      <c r="S9898" t="str">
        <f>VLOOKUP(record[[#This Row],[employeeID]],員工[],2,FALSE)</f>
        <v>蔣梅</v>
      </c>
    </row>
    <row r="9899" spans="6:19" hidden="1" x14ac:dyDescent="0.25">
      <c r="F9899" t="s">
        <v>752</v>
      </c>
      <c r="G9899" t="s">
        <v>418</v>
      </c>
      <c r="H9899" t="str">
        <f>VLOOKUP(record[[#This Row],[ProcessSN]],表格2_7[],2,FALSE)</f>
        <v>30-4118-018-5XX</v>
      </c>
      <c r="I9899" t="str">
        <f>VLOOKUP(record[[#This Row],[ProcessSN]],表格2_7[],3,FALSE)</f>
        <v>#07</v>
      </c>
      <c r="J9899" t="s">
        <v>588</v>
      </c>
      <c r="K9899" s="195">
        <v>45764.136134259257</v>
      </c>
      <c r="L9899">
        <v>95</v>
      </c>
      <c r="M9899">
        <v>0</v>
      </c>
      <c r="N9899" s="98" t="str">
        <f>IF(record[[#This Row],[Memo]]="Browser:chrome os:android","平板報工",IF(record[[#This Row],[Memo]]=0,"委外",record[[#This Row],[Memo]]))</f>
        <v/>
      </c>
      <c r="O9899" t="s">
        <v>58</v>
      </c>
      <c r="P9899" t="s">
        <v>133</v>
      </c>
      <c r="Q9899" t="s">
        <v>58</v>
      </c>
      <c r="R9899" t="str">
        <f>IFERROR(VLOOKUP(record[[#This Row],[PCUSTID]],廠商[],2,FALSE),"")</f>
        <v/>
      </c>
      <c r="S9899" t="str">
        <f>VLOOKUP(record[[#This Row],[employeeID]],員工[],2,FALSE)</f>
        <v>黎長維</v>
      </c>
    </row>
    <row r="9900" spans="6:19" hidden="1" x14ac:dyDescent="0.25">
      <c r="F9900" t="s">
        <v>752</v>
      </c>
      <c r="G9900" t="s">
        <v>417</v>
      </c>
      <c r="H9900" t="str">
        <f>VLOOKUP(record[[#This Row],[ProcessSN]],表格2_7[],2,FALSE)</f>
        <v>30-4118-018-5XX</v>
      </c>
      <c r="I9900" t="str">
        <f>VLOOKUP(record[[#This Row],[ProcessSN]],表格2_7[],3,FALSE)</f>
        <v>#06</v>
      </c>
      <c r="J9900" t="s">
        <v>593</v>
      </c>
      <c r="K9900" s="195">
        <v>45763.963287037041</v>
      </c>
      <c r="L9900">
        <v>109</v>
      </c>
      <c r="M9900">
        <v>0</v>
      </c>
      <c r="N9900" s="98" t="str">
        <f>IF(record[[#This Row],[Memo]]="Browser:chrome os:android","平板報工",IF(record[[#This Row],[Memo]]=0,"委外",record[[#This Row],[Memo]]))</f>
        <v/>
      </c>
      <c r="O9900" t="s">
        <v>58</v>
      </c>
      <c r="P9900" t="s">
        <v>176</v>
      </c>
      <c r="Q9900" t="s">
        <v>58</v>
      </c>
      <c r="R9900" t="str">
        <f>IFERROR(VLOOKUP(record[[#This Row],[PCUSTID]],廠商[],2,FALSE),"")</f>
        <v/>
      </c>
      <c r="S9900" t="str">
        <f>VLOOKUP(record[[#This Row],[employeeID]],員工[],2,FALSE)</f>
        <v>郭政雄</v>
      </c>
    </row>
    <row r="9901" spans="6:19" hidden="1" x14ac:dyDescent="0.25">
      <c r="F9901" t="s">
        <v>752</v>
      </c>
      <c r="G9901" t="s">
        <v>418</v>
      </c>
      <c r="H9901" t="str">
        <f>VLOOKUP(record[[#This Row],[ProcessSN]],表格2_7[],2,FALSE)</f>
        <v>30-4118-018-5XX</v>
      </c>
      <c r="I9901" t="str">
        <f>VLOOKUP(record[[#This Row],[ProcessSN]],表格2_7[],3,FALSE)</f>
        <v>#07</v>
      </c>
      <c r="J9901" t="s">
        <v>588</v>
      </c>
      <c r="K9901" s="195">
        <v>45763.956747685188</v>
      </c>
      <c r="L9901">
        <v>118</v>
      </c>
      <c r="M9901">
        <v>5</v>
      </c>
      <c r="N9901" s="98" t="str">
        <f>IF(record[[#This Row],[Memo]]="Browser:chrome os:android","平板報工",IF(record[[#This Row],[Memo]]=0,"委外",record[[#This Row],[Memo]]))</f>
        <v/>
      </c>
      <c r="O9901" t="s">
        <v>58</v>
      </c>
      <c r="P9901" t="s">
        <v>133</v>
      </c>
      <c r="Q9901" t="s">
        <v>58</v>
      </c>
      <c r="R9901" t="str">
        <f>IFERROR(VLOOKUP(record[[#This Row],[PCUSTID]],廠商[],2,FALSE),"")</f>
        <v/>
      </c>
      <c r="S9901" t="str">
        <f>VLOOKUP(record[[#This Row],[employeeID]],員工[],2,FALSE)</f>
        <v>黎長維</v>
      </c>
    </row>
    <row r="9902" spans="6:19" hidden="1" x14ac:dyDescent="0.25">
      <c r="F9902" t="s">
        <v>756</v>
      </c>
      <c r="G9902" t="s">
        <v>466</v>
      </c>
      <c r="H9902" t="str">
        <f>VLOOKUP(record[[#This Row],[ProcessSN]],表格2_7[],2,FALSE)</f>
        <v>30-4118-018-XXX</v>
      </c>
      <c r="I9902" t="str">
        <f>VLOOKUP(record[[#This Row],[ProcessSN]],表格2_7[],3,FALSE)</f>
        <v>#01-2</v>
      </c>
      <c r="J9902" t="s">
        <v>588</v>
      </c>
      <c r="K9902" s="195">
        <v>45763.813668981478</v>
      </c>
      <c r="L9902">
        <v>187</v>
      </c>
      <c r="M9902">
        <v>0</v>
      </c>
      <c r="N9902" s="98" t="str">
        <f>IF(record[[#This Row],[Memo]]="Browser:chrome os:android","平板報工",IF(record[[#This Row],[Memo]]=0,"委外",record[[#This Row],[Memo]]))</f>
        <v/>
      </c>
      <c r="O9902" t="s">
        <v>58</v>
      </c>
      <c r="P9902" t="s">
        <v>133</v>
      </c>
      <c r="Q9902" t="s">
        <v>58</v>
      </c>
      <c r="R9902" t="str">
        <f>IFERROR(VLOOKUP(record[[#This Row],[PCUSTID]],廠商[],2,FALSE),"")</f>
        <v/>
      </c>
      <c r="S9902" t="str">
        <f>VLOOKUP(record[[#This Row],[employeeID]],員工[],2,FALSE)</f>
        <v>黎長維</v>
      </c>
    </row>
    <row r="9903" spans="6:19" hidden="1" x14ac:dyDescent="0.25">
      <c r="F9903" t="s">
        <v>756</v>
      </c>
      <c r="G9903" t="s">
        <v>465</v>
      </c>
      <c r="H9903" t="str">
        <f>VLOOKUP(record[[#This Row],[ProcessSN]],表格2_7[],2,FALSE)</f>
        <v>30-4118-018-XXX</v>
      </c>
      <c r="I9903" t="str">
        <f>VLOOKUP(record[[#This Row],[ProcessSN]],表格2_7[],3,FALSE)</f>
        <v>#01-1</v>
      </c>
      <c r="J9903" t="s">
        <v>588</v>
      </c>
      <c r="K9903" s="195">
        <v>45763.813425925924</v>
      </c>
      <c r="L9903">
        <v>187</v>
      </c>
      <c r="M9903">
        <v>0</v>
      </c>
      <c r="N9903" s="98" t="str">
        <f>IF(record[[#This Row],[Memo]]="Browser:chrome os:android","平板報工",IF(record[[#This Row],[Memo]]=0,"委外",record[[#This Row],[Memo]]))</f>
        <v/>
      </c>
      <c r="O9903" t="s">
        <v>58</v>
      </c>
      <c r="P9903" t="s">
        <v>133</v>
      </c>
      <c r="Q9903" t="s">
        <v>58</v>
      </c>
      <c r="R9903" t="str">
        <f>IFERROR(VLOOKUP(record[[#This Row],[PCUSTID]],廠商[],2,FALSE),"")</f>
        <v/>
      </c>
      <c r="S9903" t="str">
        <f>VLOOKUP(record[[#This Row],[employeeID]],員工[],2,FALSE)</f>
        <v>黎長維</v>
      </c>
    </row>
    <row r="9904" spans="6:19" hidden="1" x14ac:dyDescent="0.25">
      <c r="F9904" t="s">
        <v>771</v>
      </c>
      <c r="G9904" t="s">
        <v>451</v>
      </c>
      <c r="H9904" t="str">
        <f>VLOOKUP(record[[#This Row],[ProcessSN]],表格2_7[],2,FALSE)</f>
        <v>30-4118-018-6XX</v>
      </c>
      <c r="I9904" t="str">
        <f>VLOOKUP(record[[#This Row],[ProcessSN]],表格2_7[],3,FALSE)</f>
        <v>#07</v>
      </c>
      <c r="J9904" t="s">
        <v>588</v>
      </c>
      <c r="K9904" s="195">
        <v>45763.725335648145</v>
      </c>
      <c r="L9904">
        <v>4</v>
      </c>
      <c r="M9904">
        <v>0</v>
      </c>
      <c r="N9904" s="98" t="str">
        <f>IF(record[[#This Row],[Memo]]="Browser:chrome os:android","平板報工",IF(record[[#This Row],[Memo]]=0,"委外",record[[#This Row],[Memo]]))</f>
        <v/>
      </c>
      <c r="O9904" t="s">
        <v>58</v>
      </c>
      <c r="P9904" t="s">
        <v>65</v>
      </c>
      <c r="Q9904" t="s">
        <v>58</v>
      </c>
      <c r="R9904" t="str">
        <f>IFERROR(VLOOKUP(record[[#This Row],[PCUSTID]],廠商[],2,FALSE),"")</f>
        <v/>
      </c>
      <c r="S9904" t="str">
        <f>VLOOKUP(record[[#This Row],[employeeID]],員工[],2,FALSE)</f>
        <v>蘇進昌</v>
      </c>
    </row>
    <row r="9905" spans="6:19" hidden="1" x14ac:dyDescent="0.25">
      <c r="F9905" t="s">
        <v>771</v>
      </c>
      <c r="G9905" t="s">
        <v>450</v>
      </c>
      <c r="H9905" t="str">
        <f>VLOOKUP(record[[#This Row],[ProcessSN]],表格2_7[],2,FALSE)</f>
        <v>30-4118-018-6XX</v>
      </c>
      <c r="I9905" t="str">
        <f>VLOOKUP(record[[#This Row],[ProcessSN]],表格2_7[],3,FALSE)</f>
        <v>#06</v>
      </c>
      <c r="J9905" t="s">
        <v>593</v>
      </c>
      <c r="K9905" s="195">
        <v>45763.725277777776</v>
      </c>
      <c r="L9905">
        <v>4</v>
      </c>
      <c r="M9905">
        <v>0</v>
      </c>
      <c r="N9905" s="98" t="str">
        <f>IF(record[[#This Row],[Memo]]="Browser:chrome os:android","平板報工",IF(record[[#This Row],[Memo]]=0,"委外",record[[#This Row],[Memo]]))</f>
        <v/>
      </c>
      <c r="O9905" t="s">
        <v>58</v>
      </c>
      <c r="P9905" t="s">
        <v>65</v>
      </c>
      <c r="Q9905" t="s">
        <v>58</v>
      </c>
      <c r="R9905" t="str">
        <f>IFERROR(VLOOKUP(record[[#This Row],[PCUSTID]],廠商[],2,FALSE),"")</f>
        <v/>
      </c>
      <c r="S9905" t="str">
        <f>VLOOKUP(record[[#This Row],[employeeID]],員工[],2,FALSE)</f>
        <v>蘇進昌</v>
      </c>
    </row>
    <row r="9906" spans="6:19" hidden="1" x14ac:dyDescent="0.25">
      <c r="F9906" t="s">
        <v>771</v>
      </c>
      <c r="G9906" t="s">
        <v>449</v>
      </c>
      <c r="H9906" t="str">
        <f>VLOOKUP(record[[#This Row],[ProcessSN]],表格2_7[],2,FALSE)</f>
        <v>30-4118-018-6XX</v>
      </c>
      <c r="I9906" t="str">
        <f>VLOOKUP(record[[#This Row],[ProcessSN]],表格2_7[],3,FALSE)</f>
        <v>#05</v>
      </c>
      <c r="J9906" t="s">
        <v>588</v>
      </c>
      <c r="K9906" s="195">
        <v>45763.725219907406</v>
      </c>
      <c r="L9906">
        <v>4</v>
      </c>
      <c r="M9906">
        <v>0</v>
      </c>
      <c r="N9906" s="98" t="str">
        <f>IF(record[[#This Row],[Memo]]="Browser:chrome os:android","平板報工",IF(record[[#This Row],[Memo]]=0,"委外",record[[#This Row],[Memo]]))</f>
        <v/>
      </c>
      <c r="O9906" t="s">
        <v>58</v>
      </c>
      <c r="P9906" t="s">
        <v>65</v>
      </c>
      <c r="Q9906" t="s">
        <v>58</v>
      </c>
      <c r="R9906" t="str">
        <f>IFERROR(VLOOKUP(record[[#This Row],[PCUSTID]],廠商[],2,FALSE),"")</f>
        <v/>
      </c>
      <c r="S9906" t="str">
        <f>VLOOKUP(record[[#This Row],[employeeID]],員工[],2,FALSE)</f>
        <v>蘇進昌</v>
      </c>
    </row>
    <row r="9907" spans="6:19" hidden="1" x14ac:dyDescent="0.25">
      <c r="F9907" t="s">
        <v>771</v>
      </c>
      <c r="G9907" t="s">
        <v>448</v>
      </c>
      <c r="H9907" t="str">
        <f>VLOOKUP(record[[#This Row],[ProcessSN]],表格2_7[],2,FALSE)</f>
        <v>30-4118-018-6XX</v>
      </c>
      <c r="I9907" t="str">
        <f>VLOOKUP(record[[#This Row],[ProcessSN]],表格2_7[],3,FALSE)</f>
        <v>#04</v>
      </c>
      <c r="J9907" t="s">
        <v>588</v>
      </c>
      <c r="K9907" s="195">
        <v>45763.725162037037</v>
      </c>
      <c r="L9907">
        <v>4</v>
      </c>
      <c r="M9907">
        <v>0</v>
      </c>
      <c r="N9907" s="98" t="str">
        <f>IF(record[[#This Row],[Memo]]="Browser:chrome os:android","平板報工",IF(record[[#This Row],[Memo]]=0,"委外",record[[#This Row],[Memo]]))</f>
        <v/>
      </c>
      <c r="O9907" t="s">
        <v>58</v>
      </c>
      <c r="P9907" t="s">
        <v>65</v>
      </c>
      <c r="Q9907" t="s">
        <v>58</v>
      </c>
      <c r="R9907" t="str">
        <f>IFERROR(VLOOKUP(record[[#This Row],[PCUSTID]],廠商[],2,FALSE),"")</f>
        <v/>
      </c>
      <c r="S9907" t="str">
        <f>VLOOKUP(record[[#This Row],[employeeID]],員工[],2,FALSE)</f>
        <v>蘇進昌</v>
      </c>
    </row>
    <row r="9908" spans="6:19" hidden="1" x14ac:dyDescent="0.25">
      <c r="F9908" t="s">
        <v>771</v>
      </c>
      <c r="G9908" t="s">
        <v>447</v>
      </c>
      <c r="H9908" t="str">
        <f>VLOOKUP(record[[#This Row],[ProcessSN]],表格2_7[],2,FALSE)</f>
        <v>30-4118-018-6XX</v>
      </c>
      <c r="I9908" t="str">
        <f>VLOOKUP(record[[#This Row],[ProcessSN]],表格2_7[],3,FALSE)</f>
        <v>#03</v>
      </c>
      <c r="J9908" t="s">
        <v>588</v>
      </c>
      <c r="K9908" s="195">
        <v>45763.725104166668</v>
      </c>
      <c r="L9908">
        <v>4</v>
      </c>
      <c r="M9908">
        <v>0</v>
      </c>
      <c r="N9908" s="98" t="str">
        <f>IF(record[[#This Row],[Memo]]="Browser:chrome os:android","平板報工",IF(record[[#This Row],[Memo]]=0,"委外",record[[#This Row],[Memo]]))</f>
        <v/>
      </c>
      <c r="O9908" t="s">
        <v>58</v>
      </c>
      <c r="P9908" t="s">
        <v>65</v>
      </c>
      <c r="Q9908" t="s">
        <v>58</v>
      </c>
      <c r="R9908" t="str">
        <f>IFERROR(VLOOKUP(record[[#This Row],[PCUSTID]],廠商[],2,FALSE),"")</f>
        <v/>
      </c>
      <c r="S9908" t="str">
        <f>VLOOKUP(record[[#This Row],[employeeID]],員工[],2,FALSE)</f>
        <v>蘇進昌</v>
      </c>
    </row>
    <row r="9909" spans="6:19" hidden="1" x14ac:dyDescent="0.25">
      <c r="F9909" t="s">
        <v>771</v>
      </c>
      <c r="G9909" t="s">
        <v>446</v>
      </c>
      <c r="H9909" t="str">
        <f>VLOOKUP(record[[#This Row],[ProcessSN]],表格2_7[],2,FALSE)</f>
        <v>30-4118-018-6XX</v>
      </c>
      <c r="I9909" t="str">
        <f>VLOOKUP(record[[#This Row],[ProcessSN]],表格2_7[],3,FALSE)</f>
        <v>#03GIVE</v>
      </c>
      <c r="J9909" t="s">
        <v>587</v>
      </c>
      <c r="K9909" s="195">
        <v>45763.725057870368</v>
      </c>
      <c r="L9909">
        <v>4</v>
      </c>
      <c r="M9909">
        <v>0</v>
      </c>
      <c r="N9909" s="98" t="str">
        <f>IF(record[[#This Row],[Memo]]="Browser:chrome os:android","平板報工",IF(record[[#This Row],[Memo]]=0,"委外",record[[#This Row],[Memo]]))</f>
        <v/>
      </c>
      <c r="O9909" t="s">
        <v>58</v>
      </c>
      <c r="P9909" t="s">
        <v>65</v>
      </c>
      <c r="Q9909" t="s">
        <v>58</v>
      </c>
      <c r="R9909" t="str">
        <f>IFERROR(VLOOKUP(record[[#This Row],[PCUSTID]],廠商[],2,FALSE),"")</f>
        <v/>
      </c>
      <c r="S9909" t="str">
        <f>VLOOKUP(record[[#This Row],[employeeID]],員工[],2,FALSE)</f>
        <v>蘇進昌</v>
      </c>
    </row>
    <row r="9910" spans="6:19" hidden="1" x14ac:dyDescent="0.25">
      <c r="F9910" t="s">
        <v>771</v>
      </c>
      <c r="G9910" t="s">
        <v>445</v>
      </c>
      <c r="H9910" t="str">
        <f>VLOOKUP(record[[#This Row],[ProcessSN]],表格2_7[],2,FALSE)</f>
        <v>30-4118-018-6XX</v>
      </c>
      <c r="I9910" t="str">
        <f>VLOOKUP(record[[#This Row],[ProcessSN]],表格2_7[],3,FALSE)</f>
        <v>#03PICK</v>
      </c>
      <c r="J9910" t="s">
        <v>582</v>
      </c>
      <c r="K9910" s="195">
        <v>45763.724999999999</v>
      </c>
      <c r="L9910">
        <v>4</v>
      </c>
      <c r="M9910">
        <v>0</v>
      </c>
      <c r="N9910" s="98" t="str">
        <f>IF(record[[#This Row],[Memo]]="Browser:chrome os:android","平板報工",IF(record[[#This Row],[Memo]]=0,"委外",record[[#This Row],[Memo]]))</f>
        <v/>
      </c>
      <c r="O9910" t="s">
        <v>58</v>
      </c>
      <c r="P9910" t="s">
        <v>65</v>
      </c>
      <c r="Q9910" t="s">
        <v>58</v>
      </c>
      <c r="R9910" t="str">
        <f>IFERROR(VLOOKUP(record[[#This Row],[PCUSTID]],廠商[],2,FALSE),"")</f>
        <v/>
      </c>
      <c r="S9910" t="str">
        <f>VLOOKUP(record[[#This Row],[employeeID]],員工[],2,FALSE)</f>
        <v>蘇進昌</v>
      </c>
    </row>
    <row r="9911" spans="6:19" hidden="1" x14ac:dyDescent="0.25">
      <c r="F9911" t="s">
        <v>756</v>
      </c>
      <c r="G9911" t="s">
        <v>467</v>
      </c>
      <c r="H9911" t="str">
        <f>VLOOKUP(record[[#This Row],[ProcessSN]],表格2_7[],2,FALSE)</f>
        <v>30-4118-018-XXX</v>
      </c>
      <c r="I9911" t="str">
        <f>VLOOKUP(record[[#This Row],[ProcessSN]],表格2_7[],3,FALSE)</f>
        <v>#01QC</v>
      </c>
      <c r="J9911" t="s">
        <v>589</v>
      </c>
      <c r="K9911" s="195">
        <v>45763.702615740738</v>
      </c>
      <c r="L9911">
        <v>1008</v>
      </c>
      <c r="M9911">
        <v>0</v>
      </c>
      <c r="N9911" s="98" t="str">
        <f>IF(record[[#This Row],[Memo]]="Browser:chrome os:android","平板報工",IF(record[[#This Row],[Memo]]=0,"委外",record[[#This Row],[Memo]]))</f>
        <v/>
      </c>
      <c r="O9911" t="s">
        <v>58</v>
      </c>
      <c r="P9911" t="s">
        <v>186</v>
      </c>
      <c r="Q9911" t="s">
        <v>58</v>
      </c>
      <c r="R9911" t="str">
        <f>IFERROR(VLOOKUP(record[[#This Row],[PCUSTID]],廠商[],2,FALSE),"")</f>
        <v/>
      </c>
      <c r="S9911" t="str">
        <f>VLOOKUP(record[[#This Row],[employeeID]],員工[],2,FALSE)</f>
        <v>許文姍</v>
      </c>
    </row>
    <row r="9912" spans="6:19" hidden="1" x14ac:dyDescent="0.25">
      <c r="F9912" t="s">
        <v>752</v>
      </c>
      <c r="G9912" t="s">
        <v>417</v>
      </c>
      <c r="H9912" t="str">
        <f>VLOOKUP(record[[#This Row],[ProcessSN]],表格2_7[],2,FALSE)</f>
        <v>30-4118-018-5XX</v>
      </c>
      <c r="I9912" t="str">
        <f>VLOOKUP(record[[#This Row],[ProcessSN]],表格2_7[],3,FALSE)</f>
        <v>#06</v>
      </c>
      <c r="J9912" t="s">
        <v>593</v>
      </c>
      <c r="K9912" s="195">
        <v>45763.676886574074</v>
      </c>
      <c r="L9912">
        <v>121</v>
      </c>
      <c r="M9912">
        <v>1</v>
      </c>
      <c r="N9912" s="98" t="str">
        <f>IF(record[[#This Row],[Memo]]="Browser:chrome os:android","平板報工",IF(record[[#This Row],[Memo]]=0,"委外",record[[#This Row],[Memo]]))</f>
        <v/>
      </c>
      <c r="O9912" t="s">
        <v>58</v>
      </c>
      <c r="P9912" t="s">
        <v>119</v>
      </c>
      <c r="Q9912" t="s">
        <v>58</v>
      </c>
      <c r="R9912" t="str">
        <f>IFERROR(VLOOKUP(record[[#This Row],[PCUSTID]],廠商[],2,FALSE),"")</f>
        <v/>
      </c>
      <c r="S9912" t="str">
        <f>VLOOKUP(record[[#This Row],[employeeID]],員工[],2,FALSE)</f>
        <v>廖俊彥</v>
      </c>
    </row>
    <row r="9913" spans="6:19" hidden="1" x14ac:dyDescent="0.25">
      <c r="F9913" t="s">
        <v>752</v>
      </c>
      <c r="G9913" t="s">
        <v>418</v>
      </c>
      <c r="H9913" t="str">
        <f>VLOOKUP(record[[#This Row],[ProcessSN]],表格2_7[],2,FALSE)</f>
        <v>30-4118-018-5XX</v>
      </c>
      <c r="I9913" t="str">
        <f>VLOOKUP(record[[#This Row],[ProcessSN]],表格2_7[],3,FALSE)</f>
        <v>#07</v>
      </c>
      <c r="J9913" t="s">
        <v>588</v>
      </c>
      <c r="K9913" s="195">
        <v>45763.664375</v>
      </c>
      <c r="L9913">
        <v>166</v>
      </c>
      <c r="M9913">
        <v>2</v>
      </c>
      <c r="N9913" s="98" t="str">
        <f>IF(record[[#This Row],[Memo]]="Browser:chrome os:android","平板報工",IF(record[[#This Row],[Memo]]=0,"委外",record[[#This Row],[Memo]]))</f>
        <v/>
      </c>
      <c r="O9913" t="s">
        <v>58</v>
      </c>
      <c r="P9913" t="s">
        <v>119</v>
      </c>
      <c r="Q9913" t="s">
        <v>58</v>
      </c>
      <c r="R9913" t="str">
        <f>IFERROR(VLOOKUP(record[[#This Row],[PCUSTID]],廠商[],2,FALSE),"")</f>
        <v/>
      </c>
      <c r="S9913" t="str">
        <f>VLOOKUP(record[[#This Row],[employeeID]],員工[],2,FALSE)</f>
        <v>廖俊彥</v>
      </c>
    </row>
    <row r="9914" spans="6:19" hidden="1" x14ac:dyDescent="0.25">
      <c r="F9914" t="s">
        <v>756</v>
      </c>
      <c r="G9914" t="s">
        <v>466</v>
      </c>
      <c r="H9914" t="str">
        <f>VLOOKUP(record[[#This Row],[ProcessSN]],表格2_7[],2,FALSE)</f>
        <v>30-4118-018-XXX</v>
      </c>
      <c r="I9914" t="str">
        <f>VLOOKUP(record[[#This Row],[ProcessSN]],表格2_7[],3,FALSE)</f>
        <v>#01-2</v>
      </c>
      <c r="J9914" t="s">
        <v>588</v>
      </c>
      <c r="K9914" s="195">
        <v>45763.664004629631</v>
      </c>
      <c r="L9914">
        <v>500</v>
      </c>
      <c r="M9914">
        <v>0</v>
      </c>
      <c r="N9914" s="98" t="str">
        <f>IF(record[[#This Row],[Memo]]="Browser:chrome os:android","平板報工",IF(record[[#This Row],[Memo]]=0,"委外",record[[#This Row],[Memo]]))</f>
        <v/>
      </c>
      <c r="O9914" t="s">
        <v>58</v>
      </c>
      <c r="P9914" t="s">
        <v>119</v>
      </c>
      <c r="Q9914" t="s">
        <v>58</v>
      </c>
      <c r="R9914" t="str">
        <f>IFERROR(VLOOKUP(record[[#This Row],[PCUSTID]],廠商[],2,FALSE),"")</f>
        <v/>
      </c>
      <c r="S9914" t="str">
        <f>VLOOKUP(record[[#This Row],[employeeID]],員工[],2,FALSE)</f>
        <v>廖俊彥</v>
      </c>
    </row>
    <row r="9915" spans="6:19" hidden="1" x14ac:dyDescent="0.25">
      <c r="F9915" t="s">
        <v>756</v>
      </c>
      <c r="G9915" t="s">
        <v>465</v>
      </c>
      <c r="H9915" t="str">
        <f>VLOOKUP(record[[#This Row],[ProcessSN]],表格2_7[],2,FALSE)</f>
        <v>30-4118-018-XXX</v>
      </c>
      <c r="I9915" t="str">
        <f>VLOOKUP(record[[#This Row],[ProcessSN]],表格2_7[],3,FALSE)</f>
        <v>#01-1</v>
      </c>
      <c r="J9915" t="s">
        <v>588</v>
      </c>
      <c r="K9915" s="195">
        <v>45763.663888888892</v>
      </c>
      <c r="L9915">
        <v>500</v>
      </c>
      <c r="M9915">
        <v>0</v>
      </c>
      <c r="N9915" s="98" t="str">
        <f>IF(record[[#This Row],[Memo]]="Browser:chrome os:android","平板報工",IF(record[[#This Row],[Memo]]=0,"委外",record[[#This Row],[Memo]]))</f>
        <v/>
      </c>
      <c r="O9915" t="s">
        <v>58</v>
      </c>
      <c r="P9915" t="s">
        <v>119</v>
      </c>
      <c r="Q9915" t="s">
        <v>58</v>
      </c>
      <c r="R9915" t="str">
        <f>IFERROR(VLOOKUP(record[[#This Row],[PCUSTID]],廠商[],2,FALSE),"")</f>
        <v/>
      </c>
      <c r="S9915" t="str">
        <f>VLOOKUP(record[[#This Row],[employeeID]],員工[],2,FALSE)</f>
        <v>廖俊彥</v>
      </c>
    </row>
    <row r="9916" spans="6:19" hidden="1" x14ac:dyDescent="0.25">
      <c r="F9916" t="s">
        <v>586</v>
      </c>
      <c r="G9916" t="s">
        <v>378</v>
      </c>
      <c r="H9916" t="str">
        <f>VLOOKUP(record[[#This Row],[ProcessSN]],表格2_7[],2,FALSE)</f>
        <v>30-4118-018-4XX</v>
      </c>
      <c r="I9916" t="str">
        <f>VLOOKUP(record[[#This Row],[ProcessSN]],表格2_7[],3,FALSE)</f>
        <v>#07QC</v>
      </c>
      <c r="J9916" t="s">
        <v>589</v>
      </c>
      <c r="K9916" s="195">
        <v>45763.64099537037</v>
      </c>
      <c r="L9916">
        <v>1</v>
      </c>
      <c r="M9916">
        <v>0</v>
      </c>
      <c r="N9916" s="98" t="str">
        <f>IF(record[[#This Row],[Memo]]="Browser:chrome os:android","平板報工",IF(record[[#This Row],[Memo]]=0,"委外",record[[#This Row],[Memo]]))</f>
        <v>平板報工</v>
      </c>
      <c r="O9916" t="s">
        <v>643</v>
      </c>
      <c r="P9916" t="s">
        <v>141</v>
      </c>
      <c r="Q9916" t="s">
        <v>644</v>
      </c>
      <c r="R9916" t="str">
        <f>IFERROR(VLOOKUP(record[[#This Row],[PCUSTID]],廠商[],2,FALSE),"")</f>
        <v/>
      </c>
      <c r="S9916" t="str">
        <f>VLOOKUP(record[[#This Row],[employeeID]],員工[],2,FALSE)</f>
        <v>蔣梅</v>
      </c>
    </row>
    <row r="9917" spans="6:19" hidden="1" x14ac:dyDescent="0.25">
      <c r="F9917" t="s">
        <v>752</v>
      </c>
      <c r="G9917" t="s">
        <v>418</v>
      </c>
      <c r="H9917" t="str">
        <f>VLOOKUP(record[[#This Row],[ProcessSN]],表格2_7[],2,FALSE)</f>
        <v>30-4118-018-5XX</v>
      </c>
      <c r="I9917" t="str">
        <f>VLOOKUP(record[[#This Row],[ProcessSN]],表格2_7[],3,FALSE)</f>
        <v>#07</v>
      </c>
      <c r="J9917" t="s">
        <v>588</v>
      </c>
      <c r="K9917" s="195">
        <v>45763.636388888888</v>
      </c>
      <c r="L9917">
        <v>114</v>
      </c>
      <c r="M9917">
        <v>3</v>
      </c>
      <c r="N9917" s="98" t="str">
        <f>IF(record[[#This Row],[Memo]]="Browser:chrome os:android","平板報工",IF(record[[#This Row],[Memo]]=0,"委外",record[[#This Row],[Memo]]))</f>
        <v>4/10 中</v>
      </c>
      <c r="O9917" t="s">
        <v>770</v>
      </c>
      <c r="P9917" t="s">
        <v>119</v>
      </c>
      <c r="Q9917" t="s">
        <v>58</v>
      </c>
      <c r="R9917" t="str">
        <f>IFERROR(VLOOKUP(record[[#This Row],[PCUSTID]],廠商[],2,FALSE),"")</f>
        <v/>
      </c>
      <c r="S9917" t="str">
        <f>VLOOKUP(record[[#This Row],[employeeID]],員工[],2,FALSE)</f>
        <v>廖俊彥</v>
      </c>
    </row>
    <row r="9918" spans="6:19" hidden="1" x14ac:dyDescent="0.25">
      <c r="F9918" t="s">
        <v>756</v>
      </c>
      <c r="G9918" t="s">
        <v>470</v>
      </c>
      <c r="H9918" t="str">
        <f>VLOOKUP(record[[#This Row],[ProcessSN]],表格2_7[],2,FALSE)</f>
        <v>30-4118-018-XXX</v>
      </c>
      <c r="I9918" t="str">
        <f>VLOOKUP(record[[#This Row],[ProcessSN]],表格2_7[],3,FALSE)</f>
        <v>#02IQC</v>
      </c>
      <c r="J9918" t="s">
        <v>583</v>
      </c>
      <c r="K9918" s="195">
        <v>45763.60733796296</v>
      </c>
      <c r="L9918">
        <v>659</v>
      </c>
      <c r="M9918">
        <v>0</v>
      </c>
      <c r="N9918" s="98" t="str">
        <f>IF(record[[#This Row],[Memo]]="Browser:chrome os:android","平板報工",IF(record[[#This Row],[Memo]]=0,"委外",record[[#This Row],[Memo]]))</f>
        <v/>
      </c>
      <c r="O9918" t="s">
        <v>58</v>
      </c>
      <c r="P9918" t="s">
        <v>190</v>
      </c>
      <c r="Q9918" t="s">
        <v>58</v>
      </c>
      <c r="R9918" t="str">
        <f>IFERROR(VLOOKUP(record[[#This Row],[PCUSTID]],廠商[],2,FALSE),"")</f>
        <v/>
      </c>
      <c r="S9918" t="str">
        <f>VLOOKUP(record[[#This Row],[employeeID]],員工[],2,FALSE)</f>
        <v>陳雅娟</v>
      </c>
    </row>
    <row r="9919" spans="6:19" hidden="1" x14ac:dyDescent="0.25">
      <c r="F9919" t="s">
        <v>668</v>
      </c>
      <c r="G9919" t="s">
        <v>362</v>
      </c>
      <c r="H9919" t="str">
        <f>VLOOKUP(record[[#This Row],[ProcessSN]],表格2_7[],2,FALSE)</f>
        <v>30-4118-018-450</v>
      </c>
      <c r="I9919" t="str">
        <f>VLOOKUP(record[[#This Row],[ProcessSN]],表格2_7[],3,FALSE)</f>
        <v>#100SHIP</v>
      </c>
      <c r="J9919" t="s">
        <v>600</v>
      </c>
      <c r="K9919" s="195">
        <v>45763.441030092596</v>
      </c>
      <c r="L9919">
        <v>5</v>
      </c>
      <c r="M9919">
        <v>0</v>
      </c>
      <c r="N9919" s="98" t="str">
        <f>IF(record[[#This Row],[Memo]]="Browser:chrome os:android","平板報工",IF(record[[#This Row],[Memo]]=0,"委外",record[[#This Row],[Memo]]))</f>
        <v/>
      </c>
      <c r="O9919" t="s">
        <v>58</v>
      </c>
      <c r="P9919" t="s">
        <v>196</v>
      </c>
      <c r="Q9919" t="s">
        <v>58</v>
      </c>
      <c r="R9919" t="str">
        <f>IFERROR(VLOOKUP(record[[#This Row],[PCUSTID]],廠商[],2,FALSE),"")</f>
        <v/>
      </c>
      <c r="S9919" t="str">
        <f>VLOOKUP(record[[#This Row],[employeeID]],員工[],2,FALSE)</f>
        <v>張淑惠</v>
      </c>
    </row>
    <row r="9920" spans="6:19" hidden="1" x14ac:dyDescent="0.25">
      <c r="F9920" t="s">
        <v>756</v>
      </c>
      <c r="G9920" t="s">
        <v>469</v>
      </c>
      <c r="H9920" t="str">
        <f>VLOOKUP(record[[#This Row],[ProcessSN]],表格2_7[],2,FALSE)</f>
        <v>30-4118-018-XXX</v>
      </c>
      <c r="I9920" t="str">
        <f>VLOOKUP(record[[#This Row],[ProcessSN]],表格2_7[],3,FALSE)</f>
        <v>#02RCV</v>
      </c>
      <c r="J9920" t="s">
        <v>591</v>
      </c>
      <c r="K9920" s="195">
        <v>45763.435868055552</v>
      </c>
      <c r="L9920">
        <v>659</v>
      </c>
      <c r="M9920">
        <v>0</v>
      </c>
      <c r="N9920" s="98" t="str">
        <f>IF(record[[#This Row],[Memo]]="Browser:chrome os:android","平板報工",IF(record[[#This Row],[Memo]]=0,"委外",record[[#This Row],[Memo]]))</f>
        <v/>
      </c>
      <c r="O9920" t="s">
        <v>58</v>
      </c>
      <c r="P9920" t="s">
        <v>186</v>
      </c>
      <c r="Q9920" t="s">
        <v>58</v>
      </c>
      <c r="R9920" t="str">
        <f>IFERROR(VLOOKUP(record[[#This Row],[PCUSTID]],廠商[],2,FALSE),"")</f>
        <v/>
      </c>
      <c r="S9920" t="str">
        <f>VLOOKUP(record[[#This Row],[employeeID]],員工[],2,FALSE)</f>
        <v>許文姍</v>
      </c>
    </row>
    <row r="9921" spans="6:19" hidden="1" x14ac:dyDescent="0.25">
      <c r="F9921" t="s">
        <v>752</v>
      </c>
      <c r="G9921" t="s">
        <v>417</v>
      </c>
      <c r="H9921" t="str">
        <f>VLOOKUP(record[[#This Row],[ProcessSN]],表格2_7[],2,FALSE)</f>
        <v>30-4118-018-5XX</v>
      </c>
      <c r="I9921" t="str">
        <f>VLOOKUP(record[[#This Row],[ProcessSN]],表格2_7[],3,FALSE)</f>
        <v>#06</v>
      </c>
      <c r="J9921" t="s">
        <v>593</v>
      </c>
      <c r="K9921" s="195">
        <v>45763.157650462963</v>
      </c>
      <c r="L9921">
        <v>70</v>
      </c>
      <c r="M9921">
        <v>0</v>
      </c>
      <c r="N9921" s="98" t="str">
        <f>IF(record[[#This Row],[Memo]]="Browser:chrome os:android","平板報工",IF(record[[#This Row],[Memo]]=0,"委外",record[[#This Row],[Memo]]))</f>
        <v/>
      </c>
      <c r="O9921" t="s">
        <v>58</v>
      </c>
      <c r="P9921" t="s">
        <v>133</v>
      </c>
      <c r="Q9921" t="s">
        <v>58</v>
      </c>
      <c r="R9921" t="str">
        <f>IFERROR(VLOOKUP(record[[#This Row],[PCUSTID]],廠商[],2,FALSE),"")</f>
        <v/>
      </c>
      <c r="S9921" t="str">
        <f>VLOOKUP(record[[#This Row],[employeeID]],員工[],2,FALSE)</f>
        <v>黎長維</v>
      </c>
    </row>
    <row r="9922" spans="6:19" hidden="1" x14ac:dyDescent="0.25">
      <c r="F9922" t="s">
        <v>752</v>
      </c>
      <c r="G9922" t="s">
        <v>418</v>
      </c>
      <c r="H9922" t="str">
        <f>VLOOKUP(record[[#This Row],[ProcessSN]],表格2_7[],2,FALSE)</f>
        <v>30-4118-018-5XX</v>
      </c>
      <c r="I9922" t="str">
        <f>VLOOKUP(record[[#This Row],[ProcessSN]],表格2_7[],3,FALSE)</f>
        <v>#07</v>
      </c>
      <c r="J9922" t="s">
        <v>588</v>
      </c>
      <c r="K9922" s="195">
        <v>45762.9765162037</v>
      </c>
      <c r="L9922">
        <v>170</v>
      </c>
      <c r="M9922">
        <v>1</v>
      </c>
      <c r="N9922" s="98" t="str">
        <f>IF(record[[#This Row],[Memo]]="Browser:chrome os:android","平板報工",IF(record[[#This Row],[Memo]]=0,"委外",record[[#This Row],[Memo]]))</f>
        <v/>
      </c>
      <c r="O9922" t="s">
        <v>58</v>
      </c>
      <c r="P9922" t="s">
        <v>89</v>
      </c>
      <c r="Q9922" t="s">
        <v>58</v>
      </c>
      <c r="R9922" t="str">
        <f>IFERROR(VLOOKUP(record[[#This Row],[PCUSTID]],廠商[],2,FALSE),"")</f>
        <v/>
      </c>
      <c r="S9922" t="str">
        <f>VLOOKUP(record[[#This Row],[employeeID]],員工[],2,FALSE)</f>
        <v>李美蓮</v>
      </c>
    </row>
    <row r="9923" spans="6:19" hidden="1" x14ac:dyDescent="0.25">
      <c r="F9923" t="s">
        <v>752</v>
      </c>
      <c r="G9923" t="s">
        <v>417</v>
      </c>
      <c r="H9923" t="str">
        <f>VLOOKUP(record[[#This Row],[ProcessSN]],表格2_7[],2,FALSE)</f>
        <v>30-4118-018-5XX</v>
      </c>
      <c r="I9923" t="str">
        <f>VLOOKUP(record[[#This Row],[ProcessSN]],表格2_7[],3,FALSE)</f>
        <v>#06</v>
      </c>
      <c r="J9923" t="s">
        <v>593</v>
      </c>
      <c r="K9923" s="195">
        <v>45762.969722222224</v>
      </c>
      <c r="L9923">
        <v>121</v>
      </c>
      <c r="M9923">
        <v>1</v>
      </c>
      <c r="N9923" s="98" t="str">
        <f>IF(record[[#This Row],[Memo]]="Browser:chrome os:android","平板報工",IF(record[[#This Row],[Memo]]=0,"委外",record[[#This Row],[Memo]]))</f>
        <v>平板報工</v>
      </c>
      <c r="O9923" t="s">
        <v>643</v>
      </c>
      <c r="P9923" t="s">
        <v>176</v>
      </c>
      <c r="Q9923" t="s">
        <v>644</v>
      </c>
      <c r="R9923" t="str">
        <f>IFERROR(VLOOKUP(record[[#This Row],[PCUSTID]],廠商[],2,FALSE),"")</f>
        <v/>
      </c>
      <c r="S9923" t="str">
        <f>VLOOKUP(record[[#This Row],[employeeID]],員工[],2,FALSE)</f>
        <v>郭政雄</v>
      </c>
    </row>
    <row r="9924" spans="6:19" hidden="1" x14ac:dyDescent="0.25">
      <c r="F9924" t="s">
        <v>756</v>
      </c>
      <c r="G9924" t="s">
        <v>466</v>
      </c>
      <c r="H9924" t="str">
        <f>VLOOKUP(record[[#This Row],[ProcessSN]],表格2_7[],2,FALSE)</f>
        <v>30-4118-018-XXX</v>
      </c>
      <c r="I9924" t="str">
        <f>VLOOKUP(record[[#This Row],[ProcessSN]],表格2_7[],3,FALSE)</f>
        <v>#01-2</v>
      </c>
      <c r="J9924" t="s">
        <v>588</v>
      </c>
      <c r="K9924" s="195">
        <v>45762.953159722223</v>
      </c>
      <c r="L9924">
        <v>500</v>
      </c>
      <c r="M9924">
        <v>0</v>
      </c>
      <c r="N9924" s="98" t="str">
        <f>IF(record[[#This Row],[Memo]]="Browser:chrome os:android","平板報工",IF(record[[#This Row],[Memo]]=0,"委外",record[[#This Row],[Memo]]))</f>
        <v/>
      </c>
      <c r="O9924" t="s">
        <v>58</v>
      </c>
      <c r="P9924" t="s">
        <v>133</v>
      </c>
      <c r="Q9924" t="s">
        <v>58</v>
      </c>
      <c r="R9924" t="str">
        <f>IFERROR(VLOOKUP(record[[#This Row],[PCUSTID]],廠商[],2,FALSE),"")</f>
        <v/>
      </c>
      <c r="S9924" t="str">
        <f>VLOOKUP(record[[#This Row],[employeeID]],員工[],2,FALSE)</f>
        <v>黎長維</v>
      </c>
    </row>
    <row r="9925" spans="6:19" hidden="1" x14ac:dyDescent="0.25">
      <c r="F9925" t="s">
        <v>756</v>
      </c>
      <c r="G9925" t="s">
        <v>465</v>
      </c>
      <c r="H9925" t="str">
        <f>VLOOKUP(record[[#This Row],[ProcessSN]],表格2_7[],2,FALSE)</f>
        <v>30-4118-018-XXX</v>
      </c>
      <c r="I9925" t="str">
        <f>VLOOKUP(record[[#This Row],[ProcessSN]],表格2_7[],3,FALSE)</f>
        <v>#01-1</v>
      </c>
      <c r="J9925" t="s">
        <v>588</v>
      </c>
      <c r="K9925" s="195">
        <v>45762.952881944446</v>
      </c>
      <c r="L9925">
        <v>500</v>
      </c>
      <c r="M9925">
        <v>0</v>
      </c>
      <c r="N9925" s="98" t="str">
        <f>IF(record[[#This Row],[Memo]]="Browser:chrome os:android","平板報工",IF(record[[#This Row],[Memo]]=0,"委外",record[[#This Row],[Memo]]))</f>
        <v/>
      </c>
      <c r="O9925" t="s">
        <v>58</v>
      </c>
      <c r="P9925" t="s">
        <v>133</v>
      </c>
      <c r="Q9925" t="s">
        <v>58</v>
      </c>
      <c r="R9925" t="str">
        <f>IFERROR(VLOOKUP(record[[#This Row],[PCUSTID]],廠商[],2,FALSE),"")</f>
        <v/>
      </c>
      <c r="S9925" t="str">
        <f>VLOOKUP(record[[#This Row],[employeeID]],員工[],2,FALSE)</f>
        <v>黎長維</v>
      </c>
    </row>
    <row r="9926" spans="6:19" hidden="1" x14ac:dyDescent="0.25">
      <c r="F9926" t="s">
        <v>752</v>
      </c>
      <c r="G9926" t="s">
        <v>417</v>
      </c>
      <c r="H9926" t="str">
        <f>VLOOKUP(record[[#This Row],[ProcessSN]],表格2_7[],2,FALSE)</f>
        <v>30-4118-018-5XX</v>
      </c>
      <c r="I9926" t="str">
        <f>VLOOKUP(record[[#This Row],[ProcessSN]],表格2_7[],3,FALSE)</f>
        <v>#06</v>
      </c>
      <c r="J9926" t="s">
        <v>593</v>
      </c>
      <c r="K9926" s="195">
        <v>45762.647129629629</v>
      </c>
      <c r="L9926">
        <v>116</v>
      </c>
      <c r="M9926">
        <v>0</v>
      </c>
      <c r="N9926" s="98" t="str">
        <f>IF(record[[#This Row],[Memo]]="Browser:chrome os:android","平板報工",IF(record[[#This Row],[Memo]]=0,"委外",record[[#This Row],[Memo]]))</f>
        <v/>
      </c>
      <c r="O9926" t="s">
        <v>58</v>
      </c>
      <c r="P9926" t="s">
        <v>119</v>
      </c>
      <c r="Q9926" t="s">
        <v>58</v>
      </c>
      <c r="R9926" t="str">
        <f>IFERROR(VLOOKUP(record[[#This Row],[PCUSTID]],廠商[],2,FALSE),"")</f>
        <v/>
      </c>
      <c r="S9926" t="str">
        <f>VLOOKUP(record[[#This Row],[employeeID]],員工[],2,FALSE)</f>
        <v>廖俊彥</v>
      </c>
    </row>
    <row r="9927" spans="6:19" hidden="1" x14ac:dyDescent="0.25">
      <c r="F9927" t="s">
        <v>752</v>
      </c>
      <c r="G9927" t="s">
        <v>418</v>
      </c>
      <c r="H9927" t="str">
        <f>VLOOKUP(record[[#This Row],[ProcessSN]],表格2_7[],2,FALSE)</f>
        <v>30-4118-018-5XX</v>
      </c>
      <c r="I9927" t="str">
        <f>VLOOKUP(record[[#This Row],[ProcessSN]],表格2_7[],3,FALSE)</f>
        <v>#07</v>
      </c>
      <c r="J9927" t="s">
        <v>588</v>
      </c>
      <c r="K9927" s="195">
        <v>45762.646932870368</v>
      </c>
      <c r="L9927">
        <v>117</v>
      </c>
      <c r="M9927">
        <v>0</v>
      </c>
      <c r="N9927" s="98" t="str">
        <f>IF(record[[#This Row],[Memo]]="Browser:chrome os:android","平板報工",IF(record[[#This Row],[Memo]]=0,"委外",record[[#This Row],[Memo]]))</f>
        <v/>
      </c>
      <c r="O9927" t="s">
        <v>58</v>
      </c>
      <c r="P9927" t="s">
        <v>119</v>
      </c>
      <c r="Q9927" t="s">
        <v>58</v>
      </c>
      <c r="R9927" t="str">
        <f>IFERROR(VLOOKUP(record[[#This Row],[PCUSTID]],廠商[],2,FALSE),"")</f>
        <v/>
      </c>
      <c r="S9927" t="str">
        <f>VLOOKUP(record[[#This Row],[employeeID]],員工[],2,FALSE)</f>
        <v>廖俊彥</v>
      </c>
    </row>
    <row r="9928" spans="6:19" hidden="1" x14ac:dyDescent="0.25">
      <c r="F9928" t="s">
        <v>756</v>
      </c>
      <c r="G9928" t="s">
        <v>466</v>
      </c>
      <c r="H9928" t="str">
        <f>VLOOKUP(record[[#This Row],[ProcessSN]],表格2_7[],2,FALSE)</f>
        <v>30-4118-018-XXX</v>
      </c>
      <c r="I9928" t="str">
        <f>VLOOKUP(record[[#This Row],[ProcessSN]],表格2_7[],3,FALSE)</f>
        <v>#01-2</v>
      </c>
      <c r="J9928" t="s">
        <v>588</v>
      </c>
      <c r="K9928" s="195">
        <v>45762.64671296296</v>
      </c>
      <c r="L9928">
        <v>500</v>
      </c>
      <c r="M9928">
        <v>0</v>
      </c>
      <c r="N9928" s="98" t="str">
        <f>IF(record[[#This Row],[Memo]]="Browser:chrome os:android","平板報工",IF(record[[#This Row],[Memo]]=0,"委外",record[[#This Row],[Memo]]))</f>
        <v/>
      </c>
      <c r="O9928" t="s">
        <v>58</v>
      </c>
      <c r="P9928" t="s">
        <v>119</v>
      </c>
      <c r="Q9928" t="s">
        <v>58</v>
      </c>
      <c r="R9928" t="str">
        <f>IFERROR(VLOOKUP(record[[#This Row],[PCUSTID]],廠商[],2,FALSE),"")</f>
        <v/>
      </c>
      <c r="S9928" t="str">
        <f>VLOOKUP(record[[#This Row],[employeeID]],員工[],2,FALSE)</f>
        <v>廖俊彥</v>
      </c>
    </row>
    <row r="9929" spans="6:19" hidden="1" x14ac:dyDescent="0.25">
      <c r="F9929" t="s">
        <v>756</v>
      </c>
      <c r="G9929" t="s">
        <v>465</v>
      </c>
      <c r="H9929" t="str">
        <f>VLOOKUP(record[[#This Row],[ProcessSN]],表格2_7[],2,FALSE)</f>
        <v>30-4118-018-XXX</v>
      </c>
      <c r="I9929" t="str">
        <f>VLOOKUP(record[[#This Row],[ProcessSN]],表格2_7[],3,FALSE)</f>
        <v>#01-1</v>
      </c>
      <c r="J9929" t="s">
        <v>588</v>
      </c>
      <c r="K9929" s="195">
        <v>45762.646597222221</v>
      </c>
      <c r="L9929">
        <v>500</v>
      </c>
      <c r="M9929">
        <v>0</v>
      </c>
      <c r="N9929" s="98" t="str">
        <f>IF(record[[#This Row],[Memo]]="Browser:chrome os:android","平板報工",IF(record[[#This Row],[Memo]]=0,"委外",record[[#This Row],[Memo]]))</f>
        <v/>
      </c>
      <c r="O9929" t="s">
        <v>58</v>
      </c>
      <c r="P9929" t="s">
        <v>119</v>
      </c>
      <c r="Q9929" t="s">
        <v>58</v>
      </c>
      <c r="R9929" t="str">
        <f>IFERROR(VLOOKUP(record[[#This Row],[PCUSTID]],廠商[],2,FALSE),"")</f>
        <v/>
      </c>
      <c r="S9929" t="str">
        <f>VLOOKUP(record[[#This Row],[employeeID]],員工[],2,FALSE)</f>
        <v>廖俊彥</v>
      </c>
    </row>
    <row r="9930" spans="6:19" hidden="1" x14ac:dyDescent="0.25">
      <c r="F9930" t="s">
        <v>756</v>
      </c>
      <c r="G9930" t="s">
        <v>468</v>
      </c>
      <c r="H9930" t="str">
        <f>VLOOKUP(record[[#This Row],[ProcessSN]],表格2_7[],2,FALSE)</f>
        <v>30-4118-018-XXX</v>
      </c>
      <c r="I9930" t="str">
        <f>VLOOKUP(record[[#This Row],[ProcessSN]],表格2_7[],3,FALSE)</f>
        <v>#02</v>
      </c>
      <c r="J9930" t="s">
        <v>590</v>
      </c>
      <c r="K9930" s="195">
        <v>45762.412291666667</v>
      </c>
      <c r="L9930">
        <v>1512</v>
      </c>
      <c r="M9930">
        <v>0</v>
      </c>
      <c r="N9930" s="98" t="str">
        <f>IF(record[[#This Row],[Memo]]="Browser:chrome os:android","平板報工",IF(record[[#This Row],[Memo]]=0,"委外",record[[#This Row],[Memo]]))</f>
        <v>委外</v>
      </c>
      <c r="P9930" t="s">
        <v>186</v>
      </c>
      <c r="Q9930" t="s">
        <v>216</v>
      </c>
      <c r="R9930" t="str">
        <f>IFERROR(VLOOKUP(record[[#This Row],[PCUSTID]],廠商[],2,FALSE),"")</f>
        <v>俊杰</v>
      </c>
      <c r="S9930" t="str">
        <f>VLOOKUP(record[[#This Row],[employeeID]],員工[],2,FALSE)</f>
        <v>許文姍</v>
      </c>
    </row>
    <row r="9931" spans="6:19" hidden="1" x14ac:dyDescent="0.25">
      <c r="F9931" t="s">
        <v>768</v>
      </c>
      <c r="G9931" t="s">
        <v>397</v>
      </c>
      <c r="H9931" t="str">
        <f>VLOOKUP(record[[#This Row],[ProcessSN]],表格2_7[],2,FALSE)</f>
        <v>30-4118-018-550</v>
      </c>
      <c r="I9931" t="str">
        <f>VLOOKUP(record[[#This Row],[ProcessSN]],表格2_7[],3,FALSE)</f>
        <v>#08</v>
      </c>
      <c r="J9931" t="s">
        <v>597</v>
      </c>
      <c r="K9931" s="195">
        <v>45762.40289351852</v>
      </c>
      <c r="L9931">
        <v>314</v>
      </c>
      <c r="M9931">
        <v>0</v>
      </c>
      <c r="N9931" s="98" t="str">
        <f>IF(record[[#This Row],[Memo]]="Browser:chrome os:android","平板報工",IF(record[[#This Row],[Memo]]=0,"委外",record[[#This Row],[Memo]]))</f>
        <v>委外</v>
      </c>
      <c r="P9931" t="s">
        <v>186</v>
      </c>
      <c r="Q9931" t="s">
        <v>287</v>
      </c>
      <c r="R9931" t="str">
        <f>IFERROR(VLOOKUP(record[[#This Row],[PCUSTID]],廠商[],2,FALSE),"")</f>
        <v>泉盛</v>
      </c>
      <c r="S9931" t="str">
        <f>VLOOKUP(record[[#This Row],[employeeID]],員工[],2,FALSE)</f>
        <v>許文姍</v>
      </c>
    </row>
    <row r="9932" spans="6:19" hidden="1" x14ac:dyDescent="0.25">
      <c r="F9932" t="s">
        <v>756</v>
      </c>
      <c r="G9932" t="s">
        <v>467</v>
      </c>
      <c r="H9932" t="str">
        <f>VLOOKUP(record[[#This Row],[ProcessSN]],表格2_7[],2,FALSE)</f>
        <v>30-4118-018-XXX</v>
      </c>
      <c r="I9932" t="str">
        <f>VLOOKUP(record[[#This Row],[ProcessSN]],表格2_7[],3,FALSE)</f>
        <v>#01QC</v>
      </c>
      <c r="J9932" t="s">
        <v>589</v>
      </c>
      <c r="K9932" s="195">
        <v>45762.360706018517</v>
      </c>
      <c r="L9932">
        <v>1512</v>
      </c>
      <c r="M9932">
        <v>0</v>
      </c>
      <c r="N9932" s="98" t="str">
        <f>IF(record[[#This Row],[Memo]]="Browser:chrome os:android","平板報工",IF(record[[#This Row],[Memo]]=0,"委外",record[[#This Row],[Memo]]))</f>
        <v>平板報工</v>
      </c>
      <c r="O9932" t="s">
        <v>643</v>
      </c>
      <c r="P9932" t="s">
        <v>182</v>
      </c>
      <c r="Q9932" t="s">
        <v>644</v>
      </c>
      <c r="R9932" t="str">
        <f>IFERROR(VLOOKUP(record[[#This Row],[PCUSTID]],廠商[],2,FALSE),"")</f>
        <v/>
      </c>
      <c r="S9932" t="str">
        <f>VLOOKUP(record[[#This Row],[employeeID]],員工[],2,FALSE)</f>
        <v>梅氏和</v>
      </c>
    </row>
    <row r="9933" spans="6:19" hidden="1" x14ac:dyDescent="0.25">
      <c r="F9933" t="s">
        <v>756</v>
      </c>
      <c r="G9933" t="s">
        <v>466</v>
      </c>
      <c r="H9933" t="str">
        <f>VLOOKUP(record[[#This Row],[ProcessSN]],表格2_7[],2,FALSE)</f>
        <v>30-4118-018-XXX</v>
      </c>
      <c r="I9933" t="str">
        <f>VLOOKUP(record[[#This Row],[ProcessSN]],表格2_7[],3,FALSE)</f>
        <v>#01-2</v>
      </c>
      <c r="J9933" t="s">
        <v>588</v>
      </c>
      <c r="K9933" s="195">
        <v>45762.305509259262</v>
      </c>
      <c r="L9933">
        <v>500</v>
      </c>
      <c r="M9933">
        <v>0</v>
      </c>
      <c r="N9933" s="98" t="str">
        <f>IF(record[[#This Row],[Memo]]="Browser:chrome os:android","平板報工",IF(record[[#This Row],[Memo]]=0,"委外",record[[#This Row],[Memo]]))</f>
        <v/>
      </c>
      <c r="O9933" t="s">
        <v>58</v>
      </c>
      <c r="P9933" t="s">
        <v>135</v>
      </c>
      <c r="Q9933" t="s">
        <v>58</v>
      </c>
      <c r="R9933" t="str">
        <f>IFERROR(VLOOKUP(record[[#This Row],[PCUSTID]],廠商[],2,FALSE),"")</f>
        <v/>
      </c>
      <c r="S9933" t="str">
        <f>VLOOKUP(record[[#This Row],[employeeID]],員工[],2,FALSE)</f>
        <v>阮士文</v>
      </c>
    </row>
    <row r="9934" spans="6:19" hidden="1" x14ac:dyDescent="0.25">
      <c r="F9934" t="s">
        <v>756</v>
      </c>
      <c r="G9934" t="s">
        <v>465</v>
      </c>
      <c r="H9934" t="str">
        <f>VLOOKUP(record[[#This Row],[ProcessSN]],表格2_7[],2,FALSE)</f>
        <v>30-4118-018-XXX</v>
      </c>
      <c r="I9934" t="str">
        <f>VLOOKUP(record[[#This Row],[ProcessSN]],表格2_7[],3,FALSE)</f>
        <v>#01-1</v>
      </c>
      <c r="J9934" t="s">
        <v>588</v>
      </c>
      <c r="K9934" s="195">
        <v>45762.305358796293</v>
      </c>
      <c r="L9934">
        <v>500</v>
      </c>
      <c r="M9934">
        <v>0</v>
      </c>
      <c r="N9934" s="98" t="str">
        <f>IF(record[[#This Row],[Memo]]="Browser:chrome os:android","平板報工",IF(record[[#This Row],[Memo]]=0,"委外",record[[#This Row],[Memo]]))</f>
        <v/>
      </c>
      <c r="O9934" t="s">
        <v>58</v>
      </c>
      <c r="P9934" t="s">
        <v>135</v>
      </c>
      <c r="Q9934" t="s">
        <v>58</v>
      </c>
      <c r="R9934" t="str">
        <f>IFERROR(VLOOKUP(record[[#This Row],[PCUSTID]],廠商[],2,FALSE),"")</f>
        <v/>
      </c>
      <c r="S9934" t="str">
        <f>VLOOKUP(record[[#This Row],[employeeID]],員工[],2,FALSE)</f>
        <v>阮士文</v>
      </c>
    </row>
    <row r="9935" spans="6:19" hidden="1" x14ac:dyDescent="0.25">
      <c r="F9935" t="s">
        <v>752</v>
      </c>
      <c r="G9935" t="s">
        <v>418</v>
      </c>
      <c r="H9935" t="str">
        <f>VLOOKUP(record[[#This Row],[ProcessSN]],表格2_7[],2,FALSE)</f>
        <v>30-4118-018-5XX</v>
      </c>
      <c r="I9935" t="str">
        <f>VLOOKUP(record[[#This Row],[ProcessSN]],表格2_7[],3,FALSE)</f>
        <v>#07</v>
      </c>
      <c r="J9935" t="s">
        <v>588</v>
      </c>
      <c r="K9935" s="195">
        <v>45761.998842592591</v>
      </c>
      <c r="L9935">
        <v>161</v>
      </c>
      <c r="M9935">
        <v>2</v>
      </c>
      <c r="N9935" s="98" t="str">
        <f>IF(record[[#This Row],[Memo]]="Browser:chrome os:android","平板報工",IF(record[[#This Row],[Memo]]=0,"委外",record[[#This Row],[Memo]]))</f>
        <v/>
      </c>
      <c r="O9935" t="s">
        <v>58</v>
      </c>
      <c r="P9935" t="s">
        <v>127</v>
      </c>
      <c r="Q9935" t="s">
        <v>58</v>
      </c>
      <c r="R9935" t="str">
        <f>IFERROR(VLOOKUP(record[[#This Row],[PCUSTID]],廠商[],2,FALSE),"")</f>
        <v/>
      </c>
      <c r="S9935" t="str">
        <f>VLOOKUP(record[[#This Row],[employeeID]],員工[],2,FALSE)</f>
        <v>潘雪梅</v>
      </c>
    </row>
    <row r="9936" spans="6:19" hidden="1" x14ac:dyDescent="0.25">
      <c r="F9936" t="s">
        <v>752</v>
      </c>
      <c r="G9936" t="s">
        <v>417</v>
      </c>
      <c r="H9936" t="str">
        <f>VLOOKUP(record[[#This Row],[ProcessSN]],表格2_7[],2,FALSE)</f>
        <v>30-4118-018-5XX</v>
      </c>
      <c r="I9936" t="str">
        <f>VLOOKUP(record[[#This Row],[ProcessSN]],表格2_7[],3,FALSE)</f>
        <v>#06</v>
      </c>
      <c r="J9936" t="s">
        <v>593</v>
      </c>
      <c r="K9936" s="195">
        <v>45761.973240740743</v>
      </c>
      <c r="L9936">
        <v>121</v>
      </c>
      <c r="M9936">
        <v>0</v>
      </c>
      <c r="N9936" s="98" t="str">
        <f>IF(record[[#This Row],[Memo]]="Browser:chrome os:android","平板報工",IF(record[[#This Row],[Memo]]=0,"委外",record[[#This Row],[Memo]]))</f>
        <v>平板報工</v>
      </c>
      <c r="O9936" t="s">
        <v>643</v>
      </c>
      <c r="P9936" t="s">
        <v>166</v>
      </c>
      <c r="Q9936" t="s">
        <v>644</v>
      </c>
      <c r="R9936" t="str">
        <f>IFERROR(VLOOKUP(record[[#This Row],[PCUSTID]],廠商[],2,FALSE),"")</f>
        <v/>
      </c>
      <c r="S9936" t="str">
        <f>VLOOKUP(record[[#This Row],[employeeID]],員工[],2,FALSE)</f>
        <v>阮懷香</v>
      </c>
    </row>
    <row r="9937" spans="6:19" hidden="1" x14ac:dyDescent="0.25">
      <c r="F9937" t="s">
        <v>756</v>
      </c>
      <c r="G9937" t="s">
        <v>466</v>
      </c>
      <c r="H9937" t="str">
        <f>VLOOKUP(record[[#This Row],[ProcessSN]],表格2_7[],2,FALSE)</f>
        <v>30-4118-018-XXX</v>
      </c>
      <c r="I9937" t="str">
        <f>VLOOKUP(record[[#This Row],[ProcessSN]],表格2_7[],3,FALSE)</f>
        <v>#01-2</v>
      </c>
      <c r="J9937" t="s">
        <v>588</v>
      </c>
      <c r="K9937" s="195">
        <v>45761.929432870369</v>
      </c>
      <c r="L9937">
        <v>500</v>
      </c>
      <c r="M9937">
        <v>0</v>
      </c>
      <c r="N9937" s="98" t="str">
        <f>IF(record[[#This Row],[Memo]]="Browser:chrome os:android","平板報工",IF(record[[#This Row],[Memo]]=0,"委外",record[[#This Row],[Memo]]))</f>
        <v/>
      </c>
      <c r="O9937" t="s">
        <v>58</v>
      </c>
      <c r="P9937" t="s">
        <v>133</v>
      </c>
      <c r="Q9937" t="s">
        <v>58</v>
      </c>
      <c r="R9937" t="str">
        <f>IFERROR(VLOOKUP(record[[#This Row],[PCUSTID]],廠商[],2,FALSE),"")</f>
        <v/>
      </c>
      <c r="S9937" t="str">
        <f>VLOOKUP(record[[#This Row],[employeeID]],員工[],2,FALSE)</f>
        <v>黎長維</v>
      </c>
    </row>
    <row r="9938" spans="6:19" hidden="1" x14ac:dyDescent="0.25">
      <c r="F9938" t="s">
        <v>756</v>
      </c>
      <c r="G9938" t="s">
        <v>465</v>
      </c>
      <c r="H9938" t="str">
        <f>VLOOKUP(record[[#This Row],[ProcessSN]],表格2_7[],2,FALSE)</f>
        <v>30-4118-018-XXX</v>
      </c>
      <c r="I9938" t="str">
        <f>VLOOKUP(record[[#This Row],[ProcessSN]],表格2_7[],3,FALSE)</f>
        <v>#01-1</v>
      </c>
      <c r="J9938" t="s">
        <v>588</v>
      </c>
      <c r="K9938" s="195">
        <v>45761.929166666669</v>
      </c>
      <c r="L9938">
        <v>500</v>
      </c>
      <c r="M9938">
        <v>0</v>
      </c>
      <c r="N9938" s="98" t="str">
        <f>IF(record[[#This Row],[Memo]]="Browser:chrome os:android","平板報工",IF(record[[#This Row],[Memo]]=0,"委外",record[[#This Row],[Memo]]))</f>
        <v/>
      </c>
      <c r="O9938" t="s">
        <v>58</v>
      </c>
      <c r="P9938" t="s">
        <v>133</v>
      </c>
      <c r="Q9938" t="s">
        <v>58</v>
      </c>
      <c r="R9938" t="str">
        <f>IFERROR(VLOOKUP(record[[#This Row],[PCUSTID]],廠商[],2,FALSE),"")</f>
        <v/>
      </c>
      <c r="S9938" t="str">
        <f>VLOOKUP(record[[#This Row],[employeeID]],員工[],2,FALSE)</f>
        <v>黎長維</v>
      </c>
    </row>
    <row r="9939" spans="6:19" hidden="1" x14ac:dyDescent="0.25">
      <c r="F9939" t="s">
        <v>768</v>
      </c>
      <c r="G9939" t="s">
        <v>396</v>
      </c>
      <c r="H9939" t="str">
        <f>VLOOKUP(record[[#This Row],[ProcessSN]],表格2_7[],2,FALSE)</f>
        <v>30-4118-018-550</v>
      </c>
      <c r="I9939" t="str">
        <f>VLOOKUP(record[[#This Row],[ProcessSN]],表格2_7[],3,FALSE)</f>
        <v>#08PICK</v>
      </c>
      <c r="J9939" t="s">
        <v>582</v>
      </c>
      <c r="K9939" s="195">
        <v>45761.709699074076</v>
      </c>
      <c r="L9939">
        <v>314</v>
      </c>
      <c r="M9939">
        <v>0</v>
      </c>
      <c r="N9939" s="98" t="str">
        <f>IF(record[[#This Row],[Memo]]="Browser:chrome os:android","平板報工",IF(record[[#This Row],[Memo]]=0,"委外",record[[#This Row],[Memo]]))</f>
        <v/>
      </c>
      <c r="O9939" t="s">
        <v>58</v>
      </c>
      <c r="P9939" t="s">
        <v>65</v>
      </c>
      <c r="Q9939" t="s">
        <v>58</v>
      </c>
      <c r="R9939" t="str">
        <f>IFERROR(VLOOKUP(record[[#This Row],[PCUSTID]],廠商[],2,FALSE),"")</f>
        <v/>
      </c>
      <c r="S9939" t="str">
        <f>VLOOKUP(record[[#This Row],[employeeID]],員工[],2,FALSE)</f>
        <v>蘇進昌</v>
      </c>
    </row>
    <row r="9940" spans="6:19" hidden="1" x14ac:dyDescent="0.25">
      <c r="F9940" t="s">
        <v>767</v>
      </c>
      <c r="G9940" t="s">
        <v>420</v>
      </c>
      <c r="H9940" t="str">
        <f>VLOOKUP(record[[#This Row],[ProcessSN]],表格2_7[],2,FALSE)</f>
        <v>30-4118-018-5XX</v>
      </c>
      <c r="I9940" t="str">
        <f>VLOOKUP(record[[#This Row],[ProcessSN]],表格2_7[],3,FALSE)</f>
        <v>#07STOCK</v>
      </c>
      <c r="J9940" t="s">
        <v>592</v>
      </c>
      <c r="K9940" s="195">
        <v>45761.70820601852</v>
      </c>
      <c r="L9940">
        <v>6</v>
      </c>
      <c r="M9940">
        <v>0</v>
      </c>
      <c r="N9940" s="98" t="str">
        <f>IF(record[[#This Row],[Memo]]="Browser:chrome os:android","平板報工",IF(record[[#This Row],[Memo]]=0,"委外",record[[#This Row],[Memo]]))</f>
        <v/>
      </c>
      <c r="O9940" t="s">
        <v>58</v>
      </c>
      <c r="P9940" t="s">
        <v>65</v>
      </c>
      <c r="Q9940" t="s">
        <v>58</v>
      </c>
      <c r="R9940" t="str">
        <f>IFERROR(VLOOKUP(record[[#This Row],[PCUSTID]],廠商[],2,FALSE),"")</f>
        <v/>
      </c>
      <c r="S9940" t="str">
        <f>VLOOKUP(record[[#This Row],[employeeID]],員工[],2,FALSE)</f>
        <v>蘇進昌</v>
      </c>
    </row>
    <row r="9941" spans="6:19" hidden="1" x14ac:dyDescent="0.25">
      <c r="F9941" t="s">
        <v>752</v>
      </c>
      <c r="G9941" t="s">
        <v>420</v>
      </c>
      <c r="H9941" t="str">
        <f>VLOOKUP(record[[#This Row],[ProcessSN]],表格2_7[],2,FALSE)</f>
        <v>30-4118-018-5XX</v>
      </c>
      <c r="I9941" t="str">
        <f>VLOOKUP(record[[#This Row],[ProcessSN]],表格2_7[],3,FALSE)</f>
        <v>#07STOCK</v>
      </c>
      <c r="J9941" t="s">
        <v>592</v>
      </c>
      <c r="K9941" s="195">
        <v>45761.708090277774</v>
      </c>
      <c r="L9941">
        <v>292</v>
      </c>
      <c r="M9941">
        <v>0</v>
      </c>
      <c r="N9941" s="98" t="str">
        <f>IF(record[[#This Row],[Memo]]="Browser:chrome os:android","平板報工",IF(record[[#This Row],[Memo]]=0,"委外",record[[#This Row],[Memo]]))</f>
        <v/>
      </c>
      <c r="O9941" t="s">
        <v>58</v>
      </c>
      <c r="P9941" t="s">
        <v>65</v>
      </c>
      <c r="Q9941" t="s">
        <v>58</v>
      </c>
      <c r="R9941" t="str">
        <f>IFERROR(VLOOKUP(record[[#This Row],[PCUSTID]],廠商[],2,FALSE),"")</f>
        <v/>
      </c>
      <c r="S9941" t="str">
        <f>VLOOKUP(record[[#This Row],[employeeID]],員工[],2,FALSE)</f>
        <v>蘇進昌</v>
      </c>
    </row>
    <row r="9942" spans="6:19" hidden="1" x14ac:dyDescent="0.25">
      <c r="F9942" t="s">
        <v>594</v>
      </c>
      <c r="G9942" t="s">
        <v>420</v>
      </c>
      <c r="H9942" t="str">
        <f>VLOOKUP(record[[#This Row],[ProcessSN]],表格2_7[],2,FALSE)</f>
        <v>30-4118-018-5XX</v>
      </c>
      <c r="I9942" t="str">
        <f>VLOOKUP(record[[#This Row],[ProcessSN]],表格2_7[],3,FALSE)</f>
        <v>#07STOCK</v>
      </c>
      <c r="J9942" t="s">
        <v>592</v>
      </c>
      <c r="K9942" s="195">
        <v>45761.708009259259</v>
      </c>
      <c r="L9942">
        <v>4</v>
      </c>
      <c r="M9942">
        <v>0</v>
      </c>
      <c r="N9942" s="98" t="str">
        <f>IF(record[[#This Row],[Memo]]="Browser:chrome os:android","平板報工",IF(record[[#This Row],[Memo]]=0,"委外",record[[#This Row],[Memo]]))</f>
        <v/>
      </c>
      <c r="O9942" t="s">
        <v>58</v>
      </c>
      <c r="P9942" t="s">
        <v>65</v>
      </c>
      <c r="Q9942" t="s">
        <v>58</v>
      </c>
      <c r="R9942" t="str">
        <f>IFERROR(VLOOKUP(record[[#This Row],[PCUSTID]],廠商[],2,FALSE),"")</f>
        <v/>
      </c>
      <c r="S9942" t="str">
        <f>VLOOKUP(record[[#This Row],[employeeID]],員工[],2,FALSE)</f>
        <v>蘇進昌</v>
      </c>
    </row>
    <row r="9943" spans="6:19" hidden="1" x14ac:dyDescent="0.25">
      <c r="F9943" t="s">
        <v>715</v>
      </c>
      <c r="G9943" t="s">
        <v>420</v>
      </c>
      <c r="H9943" t="str">
        <f>VLOOKUP(record[[#This Row],[ProcessSN]],表格2_7[],2,FALSE)</f>
        <v>30-4118-018-5XX</v>
      </c>
      <c r="I9943" t="str">
        <f>VLOOKUP(record[[#This Row],[ProcessSN]],表格2_7[],3,FALSE)</f>
        <v>#07STOCK</v>
      </c>
      <c r="J9943" t="s">
        <v>592</v>
      </c>
      <c r="K9943" s="195">
        <v>45761.707916666666</v>
      </c>
      <c r="L9943">
        <v>2</v>
      </c>
      <c r="M9943">
        <v>0</v>
      </c>
      <c r="N9943" s="98" t="str">
        <f>IF(record[[#This Row],[Memo]]="Browser:chrome os:android","平板報工",IF(record[[#This Row],[Memo]]=0,"委外",record[[#This Row],[Memo]]))</f>
        <v/>
      </c>
      <c r="O9943" t="s">
        <v>58</v>
      </c>
      <c r="P9943" t="s">
        <v>65</v>
      </c>
      <c r="Q9943" t="s">
        <v>58</v>
      </c>
      <c r="R9943" t="str">
        <f>IFERROR(VLOOKUP(record[[#This Row],[PCUSTID]],廠商[],2,FALSE),"")</f>
        <v/>
      </c>
      <c r="S9943" t="str">
        <f>VLOOKUP(record[[#This Row],[employeeID]],員工[],2,FALSE)</f>
        <v>蘇進昌</v>
      </c>
    </row>
    <row r="9944" spans="6:19" hidden="1" x14ac:dyDescent="0.25">
      <c r="F9944" t="s">
        <v>659</v>
      </c>
      <c r="G9944" t="s">
        <v>420</v>
      </c>
      <c r="H9944" t="str">
        <f>VLOOKUP(record[[#This Row],[ProcessSN]],表格2_7[],2,FALSE)</f>
        <v>30-4118-018-5XX</v>
      </c>
      <c r="I9944" t="str">
        <f>VLOOKUP(record[[#This Row],[ProcessSN]],表格2_7[],3,FALSE)</f>
        <v>#07STOCK</v>
      </c>
      <c r="J9944" t="s">
        <v>592</v>
      </c>
      <c r="K9944" s="195">
        <v>45761.707800925928</v>
      </c>
      <c r="L9944">
        <v>4</v>
      </c>
      <c r="M9944">
        <v>0</v>
      </c>
      <c r="N9944" s="98" t="str">
        <f>IF(record[[#This Row],[Memo]]="Browser:chrome os:android","平板報工",IF(record[[#This Row],[Memo]]=0,"委外",record[[#This Row],[Memo]]))</f>
        <v/>
      </c>
      <c r="O9944" t="s">
        <v>58</v>
      </c>
      <c r="P9944" t="s">
        <v>65</v>
      </c>
      <c r="Q9944" t="s">
        <v>58</v>
      </c>
      <c r="R9944" t="str">
        <f>IFERROR(VLOOKUP(record[[#This Row],[PCUSTID]],廠商[],2,FALSE),"")</f>
        <v/>
      </c>
      <c r="S9944" t="str">
        <f>VLOOKUP(record[[#This Row],[employeeID]],員工[],2,FALSE)</f>
        <v>蘇進昌</v>
      </c>
    </row>
    <row r="9945" spans="6:19" hidden="1" x14ac:dyDescent="0.25">
      <c r="F9945" t="s">
        <v>685</v>
      </c>
      <c r="G9945" t="s">
        <v>420</v>
      </c>
      <c r="H9945" t="str">
        <f>VLOOKUP(record[[#This Row],[ProcessSN]],表格2_7[],2,FALSE)</f>
        <v>30-4118-018-5XX</v>
      </c>
      <c r="I9945" t="str">
        <f>VLOOKUP(record[[#This Row],[ProcessSN]],表格2_7[],3,FALSE)</f>
        <v>#07STOCK</v>
      </c>
      <c r="J9945" t="s">
        <v>592</v>
      </c>
      <c r="K9945" s="195">
        <v>45761.707685185182</v>
      </c>
      <c r="L9945">
        <v>6</v>
      </c>
      <c r="M9945">
        <v>0</v>
      </c>
      <c r="N9945" s="98" t="str">
        <f>IF(record[[#This Row],[Memo]]="Browser:chrome os:android","平板報工",IF(record[[#This Row],[Memo]]=0,"委外",record[[#This Row],[Memo]]))</f>
        <v/>
      </c>
      <c r="O9945" t="s">
        <v>58</v>
      </c>
      <c r="P9945" t="s">
        <v>65</v>
      </c>
      <c r="Q9945" t="s">
        <v>58</v>
      </c>
      <c r="R9945" t="str">
        <f>IFERROR(VLOOKUP(record[[#This Row],[PCUSTID]],廠商[],2,FALSE),"")</f>
        <v/>
      </c>
      <c r="S9945" t="str">
        <f>VLOOKUP(record[[#This Row],[employeeID]],員工[],2,FALSE)</f>
        <v>蘇進昌</v>
      </c>
    </row>
    <row r="9946" spans="6:19" hidden="1" x14ac:dyDescent="0.25">
      <c r="F9946" t="s">
        <v>767</v>
      </c>
      <c r="G9946" t="s">
        <v>419</v>
      </c>
      <c r="H9946" t="str">
        <f>VLOOKUP(record[[#This Row],[ProcessSN]],表格2_7[],2,FALSE)</f>
        <v>30-4118-018-5XX</v>
      </c>
      <c r="I9946" t="str">
        <f>VLOOKUP(record[[#This Row],[ProcessSN]],表格2_7[],3,FALSE)</f>
        <v>#07QC</v>
      </c>
      <c r="J9946" t="s">
        <v>589</v>
      </c>
      <c r="K9946" s="195">
        <v>45761.682500000003</v>
      </c>
      <c r="L9946">
        <v>6</v>
      </c>
      <c r="M9946">
        <v>0</v>
      </c>
      <c r="N9946" s="98" t="str">
        <f>IF(record[[#This Row],[Memo]]="Browser:chrome os:android","平板報工",IF(record[[#This Row],[Memo]]=0,"委外",record[[#This Row],[Memo]]))</f>
        <v>平板報工</v>
      </c>
      <c r="O9946" t="s">
        <v>643</v>
      </c>
      <c r="P9946" t="s">
        <v>99</v>
      </c>
      <c r="Q9946" t="s">
        <v>644</v>
      </c>
      <c r="R9946" t="str">
        <f>IFERROR(VLOOKUP(record[[#This Row],[PCUSTID]],廠商[],2,FALSE),"")</f>
        <v/>
      </c>
      <c r="S9946" t="str">
        <f>VLOOKUP(record[[#This Row],[employeeID]],員工[],2,FALSE)</f>
        <v>阮氏河</v>
      </c>
    </row>
    <row r="9947" spans="6:19" hidden="1" x14ac:dyDescent="0.25">
      <c r="F9947" t="s">
        <v>767</v>
      </c>
      <c r="G9947" t="s">
        <v>418</v>
      </c>
      <c r="H9947" t="str">
        <f>VLOOKUP(record[[#This Row],[ProcessSN]],表格2_7[],2,FALSE)</f>
        <v>30-4118-018-5XX</v>
      </c>
      <c r="I9947" t="str">
        <f>VLOOKUP(record[[#This Row],[ProcessSN]],表格2_7[],3,FALSE)</f>
        <v>#07</v>
      </c>
      <c r="J9947" t="s">
        <v>588</v>
      </c>
      <c r="K9947" s="195">
        <v>45761.681886574072</v>
      </c>
      <c r="L9947">
        <v>6</v>
      </c>
      <c r="M9947">
        <v>0</v>
      </c>
      <c r="N9947" s="98" t="str">
        <f>IF(record[[#This Row],[Memo]]="Browser:chrome os:android","平板報工",IF(record[[#This Row],[Memo]]=0,"委外",record[[#This Row],[Memo]]))</f>
        <v/>
      </c>
      <c r="O9947" t="s">
        <v>58</v>
      </c>
      <c r="P9947" t="s">
        <v>65</v>
      </c>
      <c r="Q9947" t="s">
        <v>58</v>
      </c>
      <c r="R9947" t="str">
        <f>IFERROR(VLOOKUP(record[[#This Row],[PCUSTID]],廠商[],2,FALSE),"")</f>
        <v/>
      </c>
      <c r="S9947" t="str">
        <f>VLOOKUP(record[[#This Row],[employeeID]],員工[],2,FALSE)</f>
        <v>蘇進昌</v>
      </c>
    </row>
    <row r="9948" spans="6:19" hidden="1" x14ac:dyDescent="0.25">
      <c r="F9948" t="s">
        <v>767</v>
      </c>
      <c r="G9948" t="s">
        <v>417</v>
      </c>
      <c r="H9948" t="str">
        <f>VLOOKUP(record[[#This Row],[ProcessSN]],表格2_7[],2,FALSE)</f>
        <v>30-4118-018-5XX</v>
      </c>
      <c r="I9948" t="str">
        <f>VLOOKUP(record[[#This Row],[ProcessSN]],表格2_7[],3,FALSE)</f>
        <v>#06</v>
      </c>
      <c r="J9948" t="s">
        <v>593</v>
      </c>
      <c r="K9948" s="195">
        <v>45761.681828703702</v>
      </c>
      <c r="L9948">
        <v>6</v>
      </c>
      <c r="M9948">
        <v>0</v>
      </c>
      <c r="N9948" s="98" t="str">
        <f>IF(record[[#This Row],[Memo]]="Browser:chrome os:android","平板報工",IF(record[[#This Row],[Memo]]=0,"委外",record[[#This Row],[Memo]]))</f>
        <v/>
      </c>
      <c r="O9948" t="s">
        <v>58</v>
      </c>
      <c r="P9948" t="s">
        <v>65</v>
      </c>
      <c r="Q9948" t="s">
        <v>58</v>
      </c>
      <c r="R9948" t="str">
        <f>IFERROR(VLOOKUP(record[[#This Row],[PCUSTID]],廠商[],2,FALSE),"")</f>
        <v/>
      </c>
      <c r="S9948" t="str">
        <f>VLOOKUP(record[[#This Row],[employeeID]],員工[],2,FALSE)</f>
        <v>蘇進昌</v>
      </c>
    </row>
    <row r="9949" spans="6:19" hidden="1" x14ac:dyDescent="0.25">
      <c r="F9949" t="s">
        <v>767</v>
      </c>
      <c r="G9949" t="s">
        <v>416</v>
      </c>
      <c r="H9949" t="str">
        <f>VLOOKUP(record[[#This Row],[ProcessSN]],表格2_7[],2,FALSE)</f>
        <v>30-4118-018-5XX</v>
      </c>
      <c r="I9949" t="str">
        <f>VLOOKUP(record[[#This Row],[ProcessSN]],表格2_7[],3,FALSE)</f>
        <v>#05</v>
      </c>
      <c r="J9949" t="s">
        <v>588</v>
      </c>
      <c r="K9949" s="195">
        <v>45761.681770833333</v>
      </c>
      <c r="L9949">
        <v>6</v>
      </c>
      <c r="M9949">
        <v>0</v>
      </c>
      <c r="N9949" s="98" t="str">
        <f>IF(record[[#This Row],[Memo]]="Browser:chrome os:android","平板報工",IF(record[[#This Row],[Memo]]=0,"委外",record[[#This Row],[Memo]]))</f>
        <v/>
      </c>
      <c r="O9949" t="s">
        <v>58</v>
      </c>
      <c r="P9949" t="s">
        <v>65</v>
      </c>
      <c r="Q9949" t="s">
        <v>58</v>
      </c>
      <c r="R9949" t="str">
        <f>IFERROR(VLOOKUP(record[[#This Row],[PCUSTID]],廠商[],2,FALSE),"")</f>
        <v/>
      </c>
      <c r="S9949" t="str">
        <f>VLOOKUP(record[[#This Row],[employeeID]],員工[],2,FALSE)</f>
        <v>蘇進昌</v>
      </c>
    </row>
    <row r="9950" spans="6:19" hidden="1" x14ac:dyDescent="0.25">
      <c r="F9950" t="s">
        <v>767</v>
      </c>
      <c r="G9950" t="s">
        <v>415</v>
      </c>
      <c r="H9950" t="str">
        <f>VLOOKUP(record[[#This Row],[ProcessSN]],表格2_7[],2,FALSE)</f>
        <v>30-4118-018-5XX</v>
      </c>
      <c r="I9950" t="str">
        <f>VLOOKUP(record[[#This Row],[ProcessSN]],表格2_7[],3,FALSE)</f>
        <v>#04</v>
      </c>
      <c r="J9950" t="s">
        <v>588</v>
      </c>
      <c r="K9950" s="195">
        <v>45761.681712962964</v>
      </c>
      <c r="L9950">
        <v>6</v>
      </c>
      <c r="M9950">
        <v>0</v>
      </c>
      <c r="N9950" s="98" t="str">
        <f>IF(record[[#This Row],[Memo]]="Browser:chrome os:android","平板報工",IF(record[[#This Row],[Memo]]=0,"委外",record[[#This Row],[Memo]]))</f>
        <v/>
      </c>
      <c r="O9950" t="s">
        <v>58</v>
      </c>
      <c r="P9950" t="s">
        <v>65</v>
      </c>
      <c r="Q9950" t="s">
        <v>58</v>
      </c>
      <c r="R9950" t="str">
        <f>IFERROR(VLOOKUP(record[[#This Row],[PCUSTID]],廠商[],2,FALSE),"")</f>
        <v/>
      </c>
      <c r="S9950" t="str">
        <f>VLOOKUP(record[[#This Row],[employeeID]],員工[],2,FALSE)</f>
        <v>蘇進昌</v>
      </c>
    </row>
    <row r="9951" spans="6:19" hidden="1" x14ac:dyDescent="0.25">
      <c r="F9951" t="s">
        <v>767</v>
      </c>
      <c r="G9951" t="s">
        <v>414</v>
      </c>
      <c r="H9951" t="str">
        <f>VLOOKUP(record[[#This Row],[ProcessSN]],表格2_7[],2,FALSE)</f>
        <v>30-4118-018-5XX</v>
      </c>
      <c r="I9951" t="str">
        <f>VLOOKUP(record[[#This Row],[ProcessSN]],表格2_7[],3,FALSE)</f>
        <v>#03</v>
      </c>
      <c r="J9951" t="s">
        <v>588</v>
      </c>
      <c r="K9951" s="195">
        <v>45761.681655092594</v>
      </c>
      <c r="L9951">
        <v>6</v>
      </c>
      <c r="M9951">
        <v>0</v>
      </c>
      <c r="N9951" s="98" t="str">
        <f>IF(record[[#This Row],[Memo]]="Browser:chrome os:android","平板報工",IF(record[[#This Row],[Memo]]=0,"委外",record[[#This Row],[Memo]]))</f>
        <v/>
      </c>
      <c r="O9951" t="s">
        <v>58</v>
      </c>
      <c r="P9951" t="s">
        <v>65</v>
      </c>
      <c r="Q9951" t="s">
        <v>58</v>
      </c>
      <c r="R9951" t="str">
        <f>IFERROR(VLOOKUP(record[[#This Row],[PCUSTID]],廠商[],2,FALSE),"")</f>
        <v/>
      </c>
      <c r="S9951" t="str">
        <f>VLOOKUP(record[[#This Row],[employeeID]],員工[],2,FALSE)</f>
        <v>蘇進昌</v>
      </c>
    </row>
    <row r="9952" spans="6:19" hidden="1" x14ac:dyDescent="0.25">
      <c r="F9952" t="s">
        <v>767</v>
      </c>
      <c r="G9952" t="s">
        <v>413</v>
      </c>
      <c r="H9952" t="str">
        <f>VLOOKUP(record[[#This Row],[ProcessSN]],表格2_7[],2,FALSE)</f>
        <v>30-4118-018-5XX</v>
      </c>
      <c r="I9952" t="str">
        <f>VLOOKUP(record[[#This Row],[ProcessSN]],表格2_7[],3,FALSE)</f>
        <v>#03GIVE</v>
      </c>
      <c r="J9952" t="s">
        <v>587</v>
      </c>
      <c r="K9952" s="195">
        <v>45761.681608796294</v>
      </c>
      <c r="L9952">
        <v>6</v>
      </c>
      <c r="M9952">
        <v>0</v>
      </c>
      <c r="N9952" s="98" t="str">
        <f>IF(record[[#This Row],[Memo]]="Browser:chrome os:android","平板報工",IF(record[[#This Row],[Memo]]=0,"委外",record[[#This Row],[Memo]]))</f>
        <v/>
      </c>
      <c r="O9952" t="s">
        <v>58</v>
      </c>
      <c r="P9952" t="s">
        <v>65</v>
      </c>
      <c r="Q9952" t="s">
        <v>58</v>
      </c>
      <c r="R9952" t="str">
        <f>IFERROR(VLOOKUP(record[[#This Row],[PCUSTID]],廠商[],2,FALSE),"")</f>
        <v/>
      </c>
      <c r="S9952" t="str">
        <f>VLOOKUP(record[[#This Row],[employeeID]],員工[],2,FALSE)</f>
        <v>蘇進昌</v>
      </c>
    </row>
    <row r="9953" spans="6:19" hidden="1" x14ac:dyDescent="0.25">
      <c r="F9953" t="s">
        <v>767</v>
      </c>
      <c r="G9953" t="s">
        <v>412</v>
      </c>
      <c r="H9953" t="str">
        <f>VLOOKUP(record[[#This Row],[ProcessSN]],表格2_7[],2,FALSE)</f>
        <v>30-4118-018-5XX</v>
      </c>
      <c r="I9953" t="str">
        <f>VLOOKUP(record[[#This Row],[ProcessSN]],表格2_7[],3,FALSE)</f>
        <v>#03PICK</v>
      </c>
      <c r="J9953" t="s">
        <v>582</v>
      </c>
      <c r="K9953" s="195">
        <v>45761.681550925925</v>
      </c>
      <c r="L9953">
        <v>6</v>
      </c>
      <c r="M9953">
        <v>0</v>
      </c>
      <c r="N9953" s="98" t="str">
        <f>IF(record[[#This Row],[Memo]]="Browser:chrome os:android","平板報工",IF(record[[#This Row],[Memo]]=0,"委外",record[[#This Row],[Memo]]))</f>
        <v/>
      </c>
      <c r="O9953" t="s">
        <v>58</v>
      </c>
      <c r="P9953" t="s">
        <v>65</v>
      </c>
      <c r="Q9953" t="s">
        <v>58</v>
      </c>
      <c r="R9953" t="str">
        <f>IFERROR(VLOOKUP(record[[#This Row],[PCUSTID]],廠商[],2,FALSE),"")</f>
        <v/>
      </c>
      <c r="S9953" t="str">
        <f>VLOOKUP(record[[#This Row],[employeeID]],員工[],2,FALSE)</f>
        <v>蘇進昌</v>
      </c>
    </row>
    <row r="9954" spans="6:19" hidden="1" x14ac:dyDescent="0.25">
      <c r="F9954" t="s">
        <v>659</v>
      </c>
      <c r="G9954" t="s">
        <v>419</v>
      </c>
      <c r="H9954" t="str">
        <f>VLOOKUP(record[[#This Row],[ProcessSN]],表格2_7[],2,FALSE)</f>
        <v>30-4118-018-5XX</v>
      </c>
      <c r="I9954" t="str">
        <f>VLOOKUP(record[[#This Row],[ProcessSN]],表格2_7[],3,FALSE)</f>
        <v>#07QC</v>
      </c>
      <c r="J9954" t="s">
        <v>589</v>
      </c>
      <c r="K9954" s="195">
        <v>45761.680856481478</v>
      </c>
      <c r="L9954">
        <v>4</v>
      </c>
      <c r="M9954">
        <v>0</v>
      </c>
      <c r="N9954" s="98" t="str">
        <f>IF(record[[#This Row],[Memo]]="Browser:chrome os:android","平板報工",IF(record[[#This Row],[Memo]]=0,"委外",record[[#This Row],[Memo]]))</f>
        <v>平板報工</v>
      </c>
      <c r="O9954" t="s">
        <v>643</v>
      </c>
      <c r="P9954" t="s">
        <v>99</v>
      </c>
      <c r="Q9954" t="s">
        <v>644</v>
      </c>
      <c r="R9954" t="str">
        <f>IFERROR(VLOOKUP(record[[#This Row],[PCUSTID]],廠商[],2,FALSE),"")</f>
        <v/>
      </c>
      <c r="S9954" t="str">
        <f>VLOOKUP(record[[#This Row],[employeeID]],員工[],2,FALSE)</f>
        <v>阮氏河</v>
      </c>
    </row>
    <row r="9955" spans="6:19" hidden="1" x14ac:dyDescent="0.25">
      <c r="F9955" t="s">
        <v>594</v>
      </c>
      <c r="G9955" t="s">
        <v>419</v>
      </c>
      <c r="H9955" t="str">
        <f>VLOOKUP(record[[#This Row],[ProcessSN]],表格2_7[],2,FALSE)</f>
        <v>30-4118-018-5XX</v>
      </c>
      <c r="I9955" t="str">
        <f>VLOOKUP(record[[#This Row],[ProcessSN]],表格2_7[],3,FALSE)</f>
        <v>#07QC</v>
      </c>
      <c r="J9955" t="s">
        <v>589</v>
      </c>
      <c r="K9955" s="195">
        <v>45761.680196759262</v>
      </c>
      <c r="L9955">
        <v>4</v>
      </c>
      <c r="M9955">
        <v>0</v>
      </c>
      <c r="N9955" s="98" t="str">
        <f>IF(record[[#This Row],[Memo]]="Browser:chrome os:android","平板報工",IF(record[[#This Row],[Memo]]=0,"委外",record[[#This Row],[Memo]]))</f>
        <v>平板報工</v>
      </c>
      <c r="O9955" t="s">
        <v>643</v>
      </c>
      <c r="P9955" t="s">
        <v>99</v>
      </c>
      <c r="Q9955" t="s">
        <v>644</v>
      </c>
      <c r="R9955" t="str">
        <f>IFERROR(VLOOKUP(record[[#This Row],[PCUSTID]],廠商[],2,FALSE),"")</f>
        <v/>
      </c>
      <c r="S9955" t="str">
        <f>VLOOKUP(record[[#This Row],[employeeID]],員工[],2,FALSE)</f>
        <v>阮氏河</v>
      </c>
    </row>
    <row r="9956" spans="6:19" hidden="1" x14ac:dyDescent="0.25">
      <c r="F9956" t="s">
        <v>685</v>
      </c>
      <c r="G9956" t="s">
        <v>419</v>
      </c>
      <c r="H9956" t="str">
        <f>VLOOKUP(record[[#This Row],[ProcessSN]],表格2_7[],2,FALSE)</f>
        <v>30-4118-018-5XX</v>
      </c>
      <c r="I9956" t="str">
        <f>VLOOKUP(record[[#This Row],[ProcessSN]],表格2_7[],3,FALSE)</f>
        <v>#07QC</v>
      </c>
      <c r="J9956" t="s">
        <v>589</v>
      </c>
      <c r="K9956" s="195">
        <v>45761.679398148146</v>
      </c>
      <c r="L9956">
        <v>6</v>
      </c>
      <c r="M9956">
        <v>0</v>
      </c>
      <c r="N9956" s="98" t="str">
        <f>IF(record[[#This Row],[Memo]]="Browser:chrome os:android","平板報工",IF(record[[#This Row],[Memo]]=0,"委外",record[[#This Row],[Memo]]))</f>
        <v>平板報工</v>
      </c>
      <c r="O9956" t="s">
        <v>643</v>
      </c>
      <c r="P9956" t="s">
        <v>99</v>
      </c>
      <c r="Q9956" t="s">
        <v>644</v>
      </c>
      <c r="R9956" t="str">
        <f>IFERROR(VLOOKUP(record[[#This Row],[PCUSTID]],廠商[],2,FALSE),"")</f>
        <v/>
      </c>
      <c r="S9956" t="str">
        <f>VLOOKUP(record[[#This Row],[employeeID]],員工[],2,FALSE)</f>
        <v>阮氏河</v>
      </c>
    </row>
    <row r="9957" spans="6:19" hidden="1" x14ac:dyDescent="0.25">
      <c r="F9957" t="s">
        <v>752</v>
      </c>
      <c r="G9957" t="s">
        <v>419</v>
      </c>
      <c r="H9957" t="str">
        <f>VLOOKUP(record[[#This Row],[ProcessSN]],表格2_7[],2,FALSE)</f>
        <v>30-4118-018-5XX</v>
      </c>
      <c r="I9957" t="str">
        <f>VLOOKUP(record[[#This Row],[ProcessSN]],表格2_7[],3,FALSE)</f>
        <v>#07QC</v>
      </c>
      <c r="J9957" t="s">
        <v>589</v>
      </c>
      <c r="K9957" s="195">
        <v>45761.677291666667</v>
      </c>
      <c r="L9957">
        <v>46</v>
      </c>
      <c r="M9957">
        <v>0</v>
      </c>
      <c r="N9957" s="98" t="str">
        <f>IF(record[[#This Row],[Memo]]="Browser:chrome os:android","平板報工",IF(record[[#This Row],[Memo]]=0,"委外",record[[#This Row],[Memo]]))</f>
        <v>平板報工</v>
      </c>
      <c r="O9957" t="s">
        <v>643</v>
      </c>
      <c r="P9957" t="s">
        <v>99</v>
      </c>
      <c r="Q9957" t="s">
        <v>644</v>
      </c>
      <c r="R9957" t="str">
        <f>IFERROR(VLOOKUP(record[[#This Row],[PCUSTID]],廠商[],2,FALSE),"")</f>
        <v/>
      </c>
      <c r="S9957" t="str">
        <f>VLOOKUP(record[[#This Row],[employeeID]],員工[],2,FALSE)</f>
        <v>阮氏河</v>
      </c>
    </row>
    <row r="9958" spans="6:19" hidden="1" x14ac:dyDescent="0.25">
      <c r="F9958" t="s">
        <v>752</v>
      </c>
      <c r="G9958" t="s">
        <v>419</v>
      </c>
      <c r="H9958" t="str">
        <f>VLOOKUP(record[[#This Row],[ProcessSN]],表格2_7[],2,FALSE)</f>
        <v>30-4118-018-5XX</v>
      </c>
      <c r="I9958" t="str">
        <f>VLOOKUP(record[[#This Row],[ProcessSN]],表格2_7[],3,FALSE)</f>
        <v>#07QC</v>
      </c>
      <c r="J9958" t="s">
        <v>589</v>
      </c>
      <c r="K9958" s="195">
        <v>45761.676574074074</v>
      </c>
      <c r="L9958">
        <v>0</v>
      </c>
      <c r="M9958">
        <v>7</v>
      </c>
      <c r="N9958" s="98" t="str">
        <f>IF(record[[#This Row],[Memo]]="Browser:chrome os:android","平板報工",IF(record[[#This Row],[Memo]]=0,"委外",record[[#This Row],[Memo]]))</f>
        <v>平板報工</v>
      </c>
      <c r="O9958" t="s">
        <v>643</v>
      </c>
      <c r="P9958" t="s">
        <v>99</v>
      </c>
      <c r="Q9958" t="s">
        <v>644</v>
      </c>
      <c r="R9958" t="str">
        <f>IFERROR(VLOOKUP(record[[#This Row],[PCUSTID]],廠商[],2,FALSE),"")</f>
        <v/>
      </c>
      <c r="S9958" t="str">
        <f>VLOOKUP(record[[#This Row],[employeeID]],員工[],2,FALSE)</f>
        <v>阮氏河</v>
      </c>
    </row>
    <row r="9959" spans="6:19" hidden="1" x14ac:dyDescent="0.25">
      <c r="F9959" t="s">
        <v>752</v>
      </c>
      <c r="G9959" t="s">
        <v>419</v>
      </c>
      <c r="H9959" t="str">
        <f>VLOOKUP(record[[#This Row],[ProcessSN]],表格2_7[],2,FALSE)</f>
        <v>30-4118-018-5XX</v>
      </c>
      <c r="I9959" t="str">
        <f>VLOOKUP(record[[#This Row],[ProcessSN]],表格2_7[],3,FALSE)</f>
        <v>#07QC</v>
      </c>
      <c r="J9959" t="s">
        <v>589</v>
      </c>
      <c r="K9959" s="195">
        <v>45761.67633101852</v>
      </c>
      <c r="L9959">
        <v>246</v>
      </c>
      <c r="M9959">
        <v>0</v>
      </c>
      <c r="N9959" s="98" t="str">
        <f>IF(record[[#This Row],[Memo]]="Browser:chrome os:android","平板報工",IF(record[[#This Row],[Memo]]=0,"委外",record[[#This Row],[Memo]]))</f>
        <v>平板報工</v>
      </c>
      <c r="O9959" t="s">
        <v>643</v>
      </c>
      <c r="P9959" t="s">
        <v>99</v>
      </c>
      <c r="Q9959" t="s">
        <v>644</v>
      </c>
      <c r="R9959" t="str">
        <f>IFERROR(VLOOKUP(record[[#This Row],[PCUSTID]],廠商[],2,FALSE),"")</f>
        <v/>
      </c>
      <c r="S9959" t="str">
        <f>VLOOKUP(record[[#This Row],[employeeID]],員工[],2,FALSE)</f>
        <v>阮氏河</v>
      </c>
    </row>
    <row r="9960" spans="6:19" hidden="1" x14ac:dyDescent="0.25">
      <c r="F9960" t="s">
        <v>715</v>
      </c>
      <c r="G9960" t="s">
        <v>419</v>
      </c>
      <c r="H9960" t="str">
        <f>VLOOKUP(record[[#This Row],[ProcessSN]],表格2_7[],2,FALSE)</f>
        <v>30-4118-018-5XX</v>
      </c>
      <c r="I9960" t="str">
        <f>VLOOKUP(record[[#This Row],[ProcessSN]],表格2_7[],3,FALSE)</f>
        <v>#07QC</v>
      </c>
      <c r="J9960" t="s">
        <v>589</v>
      </c>
      <c r="K9960" s="195">
        <v>45761.66982638889</v>
      </c>
      <c r="L9960">
        <v>2</v>
      </c>
      <c r="M9960">
        <v>0</v>
      </c>
      <c r="N9960" s="98" t="str">
        <f>IF(record[[#This Row],[Memo]]="Browser:chrome os:android","平板報工",IF(record[[#This Row],[Memo]]=0,"委外",record[[#This Row],[Memo]]))</f>
        <v>平板報工</v>
      </c>
      <c r="O9960" t="s">
        <v>643</v>
      </c>
      <c r="P9960" t="s">
        <v>99</v>
      </c>
      <c r="Q9960" t="s">
        <v>644</v>
      </c>
      <c r="R9960" t="str">
        <f>IFERROR(VLOOKUP(record[[#This Row],[PCUSTID]],廠商[],2,FALSE),"")</f>
        <v/>
      </c>
      <c r="S9960" t="str">
        <f>VLOOKUP(record[[#This Row],[employeeID]],員工[],2,FALSE)</f>
        <v>阮氏河</v>
      </c>
    </row>
    <row r="9961" spans="6:19" hidden="1" x14ac:dyDescent="0.25">
      <c r="F9961" t="s">
        <v>752</v>
      </c>
      <c r="G9961" t="s">
        <v>417</v>
      </c>
      <c r="H9961" t="str">
        <f>VLOOKUP(record[[#This Row],[ProcessSN]],表格2_7[],2,FALSE)</f>
        <v>30-4118-018-5XX</v>
      </c>
      <c r="I9961" t="str">
        <f>VLOOKUP(record[[#This Row],[ProcessSN]],表格2_7[],3,FALSE)</f>
        <v>#06</v>
      </c>
      <c r="J9961" t="s">
        <v>593</v>
      </c>
      <c r="K9961" s="195">
        <v>45761.659479166665</v>
      </c>
      <c r="L9961">
        <v>114</v>
      </c>
      <c r="M9961">
        <v>1</v>
      </c>
      <c r="N9961" s="98" t="str">
        <f>IF(record[[#This Row],[Memo]]="Browser:chrome os:android","平板報工",IF(record[[#This Row],[Memo]]=0,"委外",record[[#This Row],[Memo]]))</f>
        <v/>
      </c>
      <c r="O9961" t="s">
        <v>58</v>
      </c>
      <c r="P9961" t="s">
        <v>119</v>
      </c>
      <c r="Q9961" t="s">
        <v>58</v>
      </c>
      <c r="R9961" t="str">
        <f>IFERROR(VLOOKUP(record[[#This Row],[PCUSTID]],廠商[],2,FALSE),"")</f>
        <v/>
      </c>
      <c r="S9961" t="str">
        <f>VLOOKUP(record[[#This Row],[employeeID]],員工[],2,FALSE)</f>
        <v>廖俊彥</v>
      </c>
    </row>
    <row r="9962" spans="6:19" hidden="1" x14ac:dyDescent="0.25">
      <c r="F9962" t="s">
        <v>756</v>
      </c>
      <c r="G9962" t="s">
        <v>466</v>
      </c>
      <c r="H9962" t="str">
        <f>VLOOKUP(record[[#This Row],[ProcessSN]],表格2_7[],2,FALSE)</f>
        <v>30-4118-018-XXX</v>
      </c>
      <c r="I9962" t="str">
        <f>VLOOKUP(record[[#This Row],[ProcessSN]],表格2_7[],3,FALSE)</f>
        <v>#01-2</v>
      </c>
      <c r="J9962" t="s">
        <v>588</v>
      </c>
      <c r="K9962" s="195">
        <v>45761.651701388888</v>
      </c>
      <c r="L9962">
        <v>500</v>
      </c>
      <c r="M9962">
        <v>0</v>
      </c>
      <c r="N9962" s="98" t="str">
        <f>IF(record[[#This Row],[Memo]]="Browser:chrome os:android","平板報工",IF(record[[#This Row],[Memo]]=0,"委外",record[[#This Row],[Memo]]))</f>
        <v/>
      </c>
      <c r="O9962" t="s">
        <v>58</v>
      </c>
      <c r="P9962" t="s">
        <v>119</v>
      </c>
      <c r="Q9962" t="s">
        <v>58</v>
      </c>
      <c r="R9962" t="str">
        <f>IFERROR(VLOOKUP(record[[#This Row],[PCUSTID]],廠商[],2,FALSE),"")</f>
        <v/>
      </c>
      <c r="S9962" t="str">
        <f>VLOOKUP(record[[#This Row],[employeeID]],員工[],2,FALSE)</f>
        <v>廖俊彥</v>
      </c>
    </row>
    <row r="9963" spans="6:19" hidden="1" x14ac:dyDescent="0.25">
      <c r="F9963" t="s">
        <v>756</v>
      </c>
      <c r="G9963" t="s">
        <v>465</v>
      </c>
      <c r="H9963" t="str">
        <f>VLOOKUP(record[[#This Row],[ProcessSN]],表格2_7[],2,FALSE)</f>
        <v>30-4118-018-XXX</v>
      </c>
      <c r="I9963" t="str">
        <f>VLOOKUP(record[[#This Row],[ProcessSN]],表格2_7[],3,FALSE)</f>
        <v>#01-1</v>
      </c>
      <c r="J9963" t="s">
        <v>588</v>
      </c>
      <c r="K9963" s="195">
        <v>45761.651585648149</v>
      </c>
      <c r="L9963">
        <v>500</v>
      </c>
      <c r="M9963">
        <v>0</v>
      </c>
      <c r="N9963" s="98" t="str">
        <f>IF(record[[#This Row],[Memo]]="Browser:chrome os:android","平板報工",IF(record[[#This Row],[Memo]]=0,"委外",record[[#This Row],[Memo]]))</f>
        <v/>
      </c>
      <c r="O9963" t="s">
        <v>58</v>
      </c>
      <c r="P9963" t="s">
        <v>119</v>
      </c>
      <c r="Q9963" t="s">
        <v>58</v>
      </c>
      <c r="R9963" t="str">
        <f>IFERROR(VLOOKUP(record[[#This Row],[PCUSTID]],廠商[],2,FALSE),"")</f>
        <v/>
      </c>
      <c r="S9963" t="str">
        <f>VLOOKUP(record[[#This Row],[employeeID]],員工[],2,FALSE)</f>
        <v>廖俊彥</v>
      </c>
    </row>
    <row r="9964" spans="6:19" hidden="1" x14ac:dyDescent="0.25">
      <c r="F9964" t="s">
        <v>756</v>
      </c>
      <c r="G9964" t="s">
        <v>468</v>
      </c>
      <c r="H9964" t="str">
        <f>VLOOKUP(record[[#This Row],[ProcessSN]],表格2_7[],2,FALSE)</f>
        <v>30-4118-018-XXX</v>
      </c>
      <c r="I9964" t="str">
        <f>VLOOKUP(record[[#This Row],[ProcessSN]],表格2_7[],3,FALSE)</f>
        <v>#02</v>
      </c>
      <c r="J9964" t="s">
        <v>590</v>
      </c>
      <c r="K9964" s="195">
        <v>45761.377986111111</v>
      </c>
      <c r="L9964">
        <v>840</v>
      </c>
      <c r="M9964">
        <v>0</v>
      </c>
      <c r="N9964" s="98" t="str">
        <f>IF(record[[#This Row],[Memo]]="Browser:chrome os:android","平板報工",IF(record[[#This Row],[Memo]]=0,"委外",record[[#This Row],[Memo]]))</f>
        <v>委外</v>
      </c>
      <c r="P9964" t="s">
        <v>186</v>
      </c>
      <c r="Q9964" t="s">
        <v>216</v>
      </c>
      <c r="R9964" t="str">
        <f>IFERROR(VLOOKUP(record[[#This Row],[PCUSTID]],廠商[],2,FALSE),"")</f>
        <v>俊杰</v>
      </c>
      <c r="S9964" t="str">
        <f>VLOOKUP(record[[#This Row],[employeeID]],員工[],2,FALSE)</f>
        <v>許文姍</v>
      </c>
    </row>
    <row r="9965" spans="6:19" hidden="1" x14ac:dyDescent="0.25">
      <c r="F9965" t="s">
        <v>713</v>
      </c>
      <c r="G9965" t="s">
        <v>403</v>
      </c>
      <c r="H9965" t="str">
        <f>VLOOKUP(record[[#This Row],[ProcessSN]],表格2_7[],2,FALSE)</f>
        <v>30-4118-018-550</v>
      </c>
      <c r="I9965" t="str">
        <f>VLOOKUP(record[[#This Row],[ProcessSN]],表格2_7[],3,FALSE)</f>
        <v>#100SHIP</v>
      </c>
      <c r="J9965" t="s">
        <v>600</v>
      </c>
      <c r="K9965" s="195">
        <v>45761.377314814818</v>
      </c>
      <c r="L9965">
        <v>177</v>
      </c>
      <c r="M9965">
        <v>0</v>
      </c>
      <c r="N9965" s="98" t="str">
        <f>IF(record[[#This Row],[Memo]]="Browser:chrome os:android","平板報工",IF(record[[#This Row],[Memo]]=0,"委外",record[[#This Row],[Memo]]))</f>
        <v/>
      </c>
      <c r="O9965" t="s">
        <v>58</v>
      </c>
      <c r="P9965" t="s">
        <v>196</v>
      </c>
      <c r="Q9965" t="s">
        <v>58</v>
      </c>
      <c r="R9965" t="str">
        <f>IFERROR(VLOOKUP(record[[#This Row],[PCUSTID]],廠商[],2,FALSE),"")</f>
        <v/>
      </c>
      <c r="S9965" t="str">
        <f>VLOOKUP(record[[#This Row],[employeeID]],員工[],2,FALSE)</f>
        <v>張淑惠</v>
      </c>
    </row>
    <row r="9966" spans="6:19" hidden="1" x14ac:dyDescent="0.25">
      <c r="F9966" t="s">
        <v>756</v>
      </c>
      <c r="G9966" t="s">
        <v>467</v>
      </c>
      <c r="H9966" t="str">
        <f>VLOOKUP(record[[#This Row],[ProcessSN]],表格2_7[],2,FALSE)</f>
        <v>30-4118-018-XXX</v>
      </c>
      <c r="I9966" t="str">
        <f>VLOOKUP(record[[#This Row],[ProcessSN]],表格2_7[],3,FALSE)</f>
        <v>#01QC</v>
      </c>
      <c r="J9966" t="s">
        <v>589</v>
      </c>
      <c r="K9966" s="195">
        <v>45761.367349537039</v>
      </c>
      <c r="L9966">
        <v>840</v>
      </c>
      <c r="M9966">
        <v>0</v>
      </c>
      <c r="N9966" s="98" t="str">
        <f>IF(record[[#This Row],[Memo]]="Browser:chrome os:android","平板報工",IF(record[[#This Row],[Memo]]=0,"委外",record[[#This Row],[Memo]]))</f>
        <v>平板報工</v>
      </c>
      <c r="O9966" t="s">
        <v>643</v>
      </c>
      <c r="P9966" t="s">
        <v>182</v>
      </c>
      <c r="Q9966" t="s">
        <v>644</v>
      </c>
      <c r="R9966" t="str">
        <f>IFERROR(VLOOKUP(record[[#This Row],[PCUSTID]],廠商[],2,FALSE),"")</f>
        <v/>
      </c>
      <c r="S9966" t="str">
        <f>VLOOKUP(record[[#This Row],[employeeID]],員工[],2,FALSE)</f>
        <v>梅氏和</v>
      </c>
    </row>
    <row r="9967" spans="6:19" hidden="1" x14ac:dyDescent="0.25">
      <c r="F9967" t="s">
        <v>756</v>
      </c>
      <c r="G9967" t="s">
        <v>466</v>
      </c>
      <c r="H9967" t="str">
        <f>VLOOKUP(record[[#This Row],[ProcessSN]],表格2_7[],2,FALSE)</f>
        <v>30-4118-018-XXX</v>
      </c>
      <c r="I9967" t="str">
        <f>VLOOKUP(record[[#This Row],[ProcessSN]],表格2_7[],3,FALSE)</f>
        <v>#01-2</v>
      </c>
      <c r="J9967" t="s">
        <v>588</v>
      </c>
      <c r="K9967" s="195">
        <v>45759.296793981484</v>
      </c>
      <c r="L9967">
        <v>500</v>
      </c>
      <c r="M9967">
        <v>0</v>
      </c>
      <c r="N9967" s="98" t="str">
        <f>IF(record[[#This Row],[Memo]]="Browser:chrome os:android","平板報工",IF(record[[#This Row],[Memo]]=0,"委外",record[[#This Row],[Memo]]))</f>
        <v/>
      </c>
      <c r="O9967" t="s">
        <v>58</v>
      </c>
      <c r="P9967" t="s">
        <v>135</v>
      </c>
      <c r="Q9967" t="s">
        <v>58</v>
      </c>
      <c r="R9967" t="str">
        <f>IFERROR(VLOOKUP(record[[#This Row],[PCUSTID]],廠商[],2,FALSE),"")</f>
        <v/>
      </c>
      <c r="S9967" t="str">
        <f>VLOOKUP(record[[#This Row],[employeeID]],員工[],2,FALSE)</f>
        <v>阮士文</v>
      </c>
    </row>
    <row r="9968" spans="6:19" hidden="1" x14ac:dyDescent="0.25">
      <c r="F9968" t="s">
        <v>756</v>
      </c>
      <c r="G9968" t="s">
        <v>465</v>
      </c>
      <c r="H9968" t="str">
        <f>VLOOKUP(record[[#This Row],[ProcessSN]],表格2_7[],2,FALSE)</f>
        <v>30-4118-018-XXX</v>
      </c>
      <c r="I9968" t="str">
        <f>VLOOKUP(record[[#This Row],[ProcessSN]],表格2_7[],3,FALSE)</f>
        <v>#01-1</v>
      </c>
      <c r="J9968" t="s">
        <v>588</v>
      </c>
      <c r="K9968" s="195">
        <v>45759.296643518515</v>
      </c>
      <c r="L9968">
        <v>500</v>
      </c>
      <c r="M9968">
        <v>0</v>
      </c>
      <c r="N9968" s="98" t="str">
        <f>IF(record[[#This Row],[Memo]]="Browser:chrome os:android","平板報工",IF(record[[#This Row],[Memo]]=0,"委外",record[[#This Row],[Memo]]))</f>
        <v/>
      </c>
      <c r="O9968" t="s">
        <v>58</v>
      </c>
      <c r="P9968" t="s">
        <v>135</v>
      </c>
      <c r="Q9968" t="s">
        <v>58</v>
      </c>
      <c r="R9968" t="str">
        <f>IFERROR(VLOOKUP(record[[#This Row],[PCUSTID]],廠商[],2,FALSE),"")</f>
        <v/>
      </c>
      <c r="S9968" t="str">
        <f>VLOOKUP(record[[#This Row],[employeeID]],員工[],2,FALSE)</f>
        <v>阮士文</v>
      </c>
    </row>
    <row r="9969" spans="6:19" hidden="1" x14ac:dyDescent="0.25">
      <c r="F9969" t="s">
        <v>752</v>
      </c>
      <c r="G9969" t="s">
        <v>418</v>
      </c>
      <c r="H9969" t="str">
        <f>VLOOKUP(record[[#This Row],[ProcessSN]],表格2_7[],2,FALSE)</f>
        <v>30-4118-018-5XX</v>
      </c>
      <c r="I9969" t="str">
        <f>VLOOKUP(record[[#This Row],[ProcessSN]],表格2_7[],3,FALSE)</f>
        <v>#07</v>
      </c>
      <c r="J9969" t="s">
        <v>588</v>
      </c>
      <c r="K9969" s="195">
        <v>45758.983194444445</v>
      </c>
      <c r="L9969">
        <v>167</v>
      </c>
      <c r="M9969">
        <v>0</v>
      </c>
      <c r="N9969" s="98" t="str">
        <f>IF(record[[#This Row],[Memo]]="Browser:chrome os:android","平板報工",IF(record[[#This Row],[Memo]]=0,"委外",record[[#This Row],[Memo]]))</f>
        <v/>
      </c>
      <c r="O9969" t="s">
        <v>58</v>
      </c>
      <c r="P9969" t="s">
        <v>127</v>
      </c>
      <c r="Q9969" t="s">
        <v>58</v>
      </c>
      <c r="R9969" t="str">
        <f>IFERROR(VLOOKUP(record[[#This Row],[PCUSTID]],廠商[],2,FALSE),"")</f>
        <v/>
      </c>
      <c r="S9969" t="str">
        <f>VLOOKUP(record[[#This Row],[employeeID]],員工[],2,FALSE)</f>
        <v>潘雪梅</v>
      </c>
    </row>
    <row r="9970" spans="6:19" hidden="1" x14ac:dyDescent="0.25">
      <c r="F9970" t="s">
        <v>752</v>
      </c>
      <c r="G9970" t="s">
        <v>417</v>
      </c>
      <c r="H9970" t="str">
        <f>VLOOKUP(record[[#This Row],[ProcessSN]],表格2_7[],2,FALSE)</f>
        <v>30-4118-018-5XX</v>
      </c>
      <c r="I9970" t="str">
        <f>VLOOKUP(record[[#This Row],[ProcessSN]],表格2_7[],3,FALSE)</f>
        <v>#06</v>
      </c>
      <c r="J9970" t="s">
        <v>593</v>
      </c>
      <c r="K9970" s="195">
        <v>45758.976527777777</v>
      </c>
      <c r="L9970">
        <v>121</v>
      </c>
      <c r="M9970">
        <v>0</v>
      </c>
      <c r="N9970" s="98" t="str">
        <f>IF(record[[#This Row],[Memo]]="Browser:chrome os:android","平板報工",IF(record[[#This Row],[Memo]]=0,"委外",record[[#This Row],[Memo]]))</f>
        <v>平板報工</v>
      </c>
      <c r="O9970" t="s">
        <v>643</v>
      </c>
      <c r="P9970" t="s">
        <v>176</v>
      </c>
      <c r="Q9970" t="s">
        <v>644</v>
      </c>
      <c r="R9970" t="str">
        <f>IFERROR(VLOOKUP(record[[#This Row],[PCUSTID]],廠商[],2,FALSE),"")</f>
        <v/>
      </c>
      <c r="S9970" t="str">
        <f>VLOOKUP(record[[#This Row],[employeeID]],員工[],2,FALSE)</f>
        <v>郭政雄</v>
      </c>
    </row>
    <row r="9971" spans="6:19" hidden="1" x14ac:dyDescent="0.25">
      <c r="F9971" t="s">
        <v>752</v>
      </c>
      <c r="G9971" t="s">
        <v>417</v>
      </c>
      <c r="H9971" t="str">
        <f>VLOOKUP(record[[#This Row],[ProcessSN]],表格2_7[],2,FALSE)</f>
        <v>30-4118-018-5XX</v>
      </c>
      <c r="I9971" t="str">
        <f>VLOOKUP(record[[#This Row],[ProcessSN]],表格2_7[],3,FALSE)</f>
        <v>#06</v>
      </c>
      <c r="J9971" t="s">
        <v>593</v>
      </c>
      <c r="K9971" s="195">
        <v>45758.66233796296</v>
      </c>
      <c r="L9971">
        <v>121</v>
      </c>
      <c r="M9971">
        <v>0</v>
      </c>
      <c r="N9971" s="98" t="str">
        <f>IF(record[[#This Row],[Memo]]="Browser:chrome os:android","平板報工",IF(record[[#This Row],[Memo]]=0,"委外",record[[#This Row],[Memo]]))</f>
        <v/>
      </c>
      <c r="O9971" t="s">
        <v>58</v>
      </c>
      <c r="P9971" t="s">
        <v>119</v>
      </c>
      <c r="Q9971" t="s">
        <v>58</v>
      </c>
      <c r="R9971" t="str">
        <f>IFERROR(VLOOKUP(record[[#This Row],[PCUSTID]],廠商[],2,FALSE),"")</f>
        <v/>
      </c>
      <c r="S9971" t="str">
        <f>VLOOKUP(record[[#This Row],[employeeID]],員工[],2,FALSE)</f>
        <v>廖俊彥</v>
      </c>
    </row>
    <row r="9972" spans="6:19" hidden="1" x14ac:dyDescent="0.25">
      <c r="F9972" t="s">
        <v>756</v>
      </c>
      <c r="G9972" t="s">
        <v>466</v>
      </c>
      <c r="H9972" t="str">
        <f>VLOOKUP(record[[#This Row],[ProcessSN]],表格2_7[],2,FALSE)</f>
        <v>30-4118-018-XXX</v>
      </c>
      <c r="I9972" t="str">
        <f>VLOOKUP(record[[#This Row],[ProcessSN]],表格2_7[],3,FALSE)</f>
        <v>#01-2</v>
      </c>
      <c r="J9972" t="s">
        <v>588</v>
      </c>
      <c r="K9972" s="195">
        <v>45758.657685185186</v>
      </c>
      <c r="L9972">
        <v>420</v>
      </c>
      <c r="M9972">
        <v>0</v>
      </c>
      <c r="N9972" s="98" t="str">
        <f>IF(record[[#This Row],[Memo]]="Browser:chrome os:android","平板報工",IF(record[[#This Row],[Memo]]=0,"委外",record[[#This Row],[Memo]]))</f>
        <v/>
      </c>
      <c r="O9972" t="s">
        <v>58</v>
      </c>
      <c r="P9972" t="s">
        <v>119</v>
      </c>
      <c r="Q9972" t="s">
        <v>58</v>
      </c>
      <c r="R9972" t="str">
        <f>IFERROR(VLOOKUP(record[[#This Row],[PCUSTID]],廠商[],2,FALSE),"")</f>
        <v/>
      </c>
      <c r="S9972" t="str">
        <f>VLOOKUP(record[[#This Row],[employeeID]],員工[],2,FALSE)</f>
        <v>廖俊彥</v>
      </c>
    </row>
    <row r="9973" spans="6:19" hidden="1" x14ac:dyDescent="0.25">
      <c r="F9973" t="s">
        <v>756</v>
      </c>
      <c r="G9973" t="s">
        <v>465</v>
      </c>
      <c r="H9973" t="str">
        <f>VLOOKUP(record[[#This Row],[ProcessSN]],表格2_7[],2,FALSE)</f>
        <v>30-4118-018-XXX</v>
      </c>
      <c r="I9973" t="str">
        <f>VLOOKUP(record[[#This Row],[ProcessSN]],表格2_7[],3,FALSE)</f>
        <v>#01-1</v>
      </c>
      <c r="J9973" t="s">
        <v>588</v>
      </c>
      <c r="K9973" s="195">
        <v>45758.657569444447</v>
      </c>
      <c r="L9973">
        <v>420</v>
      </c>
      <c r="M9973">
        <v>0</v>
      </c>
      <c r="N9973" s="98" t="str">
        <f>IF(record[[#This Row],[Memo]]="Browser:chrome os:android","平板報工",IF(record[[#This Row],[Memo]]=0,"委外",record[[#This Row],[Memo]]))</f>
        <v/>
      </c>
      <c r="O9973" t="s">
        <v>58</v>
      </c>
      <c r="P9973" t="s">
        <v>119</v>
      </c>
      <c r="Q9973" t="s">
        <v>58</v>
      </c>
      <c r="R9973" t="str">
        <f>IFERROR(VLOOKUP(record[[#This Row],[PCUSTID]],廠商[],2,FALSE),"")</f>
        <v/>
      </c>
      <c r="S9973" t="str">
        <f>VLOOKUP(record[[#This Row],[employeeID]],員工[],2,FALSE)</f>
        <v>廖俊彥</v>
      </c>
    </row>
    <row r="9974" spans="6:19" hidden="1" x14ac:dyDescent="0.25">
      <c r="F9974" t="s">
        <v>752</v>
      </c>
      <c r="G9974" t="s">
        <v>418</v>
      </c>
      <c r="H9974" t="str">
        <f>VLOOKUP(record[[#This Row],[ProcessSN]],表格2_7[],2,FALSE)</f>
        <v>30-4118-018-5XX</v>
      </c>
      <c r="I9974" t="str">
        <f>VLOOKUP(record[[#This Row],[ProcessSN]],表格2_7[],3,FALSE)</f>
        <v>#07</v>
      </c>
      <c r="J9974" t="s">
        <v>588</v>
      </c>
      <c r="K9974" s="195">
        <v>45758.347615740742</v>
      </c>
      <c r="L9974">
        <v>46</v>
      </c>
      <c r="M9974">
        <v>0</v>
      </c>
      <c r="N9974" s="98" t="str">
        <f>IF(record[[#This Row],[Memo]]="Browser:chrome os:android","平板報工",IF(record[[#This Row],[Memo]]=0,"委外",record[[#This Row],[Memo]]))</f>
        <v>4/8 覆回</v>
      </c>
      <c r="O9974" t="s">
        <v>766</v>
      </c>
      <c r="P9974" t="s">
        <v>119</v>
      </c>
      <c r="Q9974" t="s">
        <v>58</v>
      </c>
      <c r="R9974" t="str">
        <f>IFERROR(VLOOKUP(record[[#This Row],[PCUSTID]],廠商[],2,FALSE),"")</f>
        <v/>
      </c>
      <c r="S9974" t="str">
        <f>VLOOKUP(record[[#This Row],[employeeID]],員工[],2,FALSE)</f>
        <v>廖俊彥</v>
      </c>
    </row>
    <row r="9975" spans="6:19" hidden="1" x14ac:dyDescent="0.25">
      <c r="F9975" t="s">
        <v>752</v>
      </c>
      <c r="G9975" t="s">
        <v>417</v>
      </c>
      <c r="H9975" t="str">
        <f>VLOOKUP(record[[#This Row],[ProcessSN]],表格2_7[],2,FALSE)</f>
        <v>30-4118-018-5XX</v>
      </c>
      <c r="I9975" t="str">
        <f>VLOOKUP(record[[#This Row],[ProcessSN]],表格2_7[],3,FALSE)</f>
        <v>#06</v>
      </c>
      <c r="J9975" t="s">
        <v>593</v>
      </c>
      <c r="K9975" s="195">
        <v>45758.347384259258</v>
      </c>
      <c r="L9975">
        <v>46</v>
      </c>
      <c r="M9975">
        <v>1</v>
      </c>
      <c r="N9975" s="98" t="str">
        <f>IF(record[[#This Row],[Memo]]="Browser:chrome os:android","平板報工",IF(record[[#This Row],[Memo]]=0,"委外",record[[#This Row],[Memo]]))</f>
        <v>4/8 覆回</v>
      </c>
      <c r="O9975" t="s">
        <v>766</v>
      </c>
      <c r="P9975" t="s">
        <v>119</v>
      </c>
      <c r="Q9975" t="s">
        <v>58</v>
      </c>
      <c r="R9975" t="str">
        <f>IFERROR(VLOOKUP(record[[#This Row],[PCUSTID]],廠商[],2,FALSE),"")</f>
        <v/>
      </c>
      <c r="S9975" t="str">
        <f>VLOOKUP(record[[#This Row],[employeeID]],員工[],2,FALSE)</f>
        <v>廖俊彥</v>
      </c>
    </row>
    <row r="9976" spans="6:19" hidden="1" x14ac:dyDescent="0.25">
      <c r="F9976" t="s">
        <v>752</v>
      </c>
      <c r="G9976" t="s">
        <v>417</v>
      </c>
      <c r="H9976" t="str">
        <f>VLOOKUP(record[[#This Row],[ProcessSN]],表格2_7[],2,FALSE)</f>
        <v>30-4118-018-5XX</v>
      </c>
      <c r="I9976" t="str">
        <f>VLOOKUP(record[[#This Row],[ProcessSN]],表格2_7[],3,FALSE)</f>
        <v>#06</v>
      </c>
      <c r="J9976" t="s">
        <v>593</v>
      </c>
      <c r="K9976" s="195">
        <v>45757.981886574074</v>
      </c>
      <c r="L9976">
        <v>121</v>
      </c>
      <c r="M9976">
        <v>0</v>
      </c>
      <c r="N9976" s="98" t="str">
        <f>IF(record[[#This Row],[Memo]]="Browser:chrome os:android","平板報工",IF(record[[#This Row],[Memo]]=0,"委外",record[[#This Row],[Memo]]))</f>
        <v/>
      </c>
      <c r="O9976" t="s">
        <v>58</v>
      </c>
      <c r="P9976" t="s">
        <v>127</v>
      </c>
      <c r="Q9976" t="s">
        <v>58</v>
      </c>
      <c r="R9976" t="str">
        <f>IFERROR(VLOOKUP(record[[#This Row],[PCUSTID]],廠商[],2,FALSE),"")</f>
        <v/>
      </c>
      <c r="S9976" t="str">
        <f>VLOOKUP(record[[#This Row],[employeeID]],員工[],2,FALSE)</f>
        <v>潘雪梅</v>
      </c>
    </row>
    <row r="9977" spans="6:19" hidden="1" x14ac:dyDescent="0.25">
      <c r="F9977" t="s">
        <v>752</v>
      </c>
      <c r="G9977" t="s">
        <v>417</v>
      </c>
      <c r="H9977" t="str">
        <f>VLOOKUP(record[[#This Row],[ProcessSN]],表格2_7[],2,FALSE)</f>
        <v>30-4118-018-5XX</v>
      </c>
      <c r="I9977" t="str">
        <f>VLOOKUP(record[[#This Row],[ProcessSN]],表格2_7[],3,FALSE)</f>
        <v>#06</v>
      </c>
      <c r="J9977" t="s">
        <v>593</v>
      </c>
      <c r="K9977" s="195">
        <v>45757.656076388892</v>
      </c>
      <c r="L9977">
        <v>95</v>
      </c>
      <c r="M9977">
        <v>0</v>
      </c>
      <c r="N9977" s="98" t="str">
        <f>IF(record[[#This Row],[Memo]]="Browser:chrome os:android","平板報工",IF(record[[#This Row],[Memo]]=0,"委外",record[[#This Row],[Memo]]))</f>
        <v/>
      </c>
      <c r="O9977" t="s">
        <v>58</v>
      </c>
      <c r="P9977" t="s">
        <v>119</v>
      </c>
      <c r="Q9977" t="s">
        <v>58</v>
      </c>
      <c r="R9977" t="str">
        <f>IFERROR(VLOOKUP(record[[#This Row],[PCUSTID]],廠商[],2,FALSE),"")</f>
        <v/>
      </c>
      <c r="S9977" t="str">
        <f>VLOOKUP(record[[#This Row],[employeeID]],員工[],2,FALSE)</f>
        <v>廖俊彥</v>
      </c>
    </row>
    <row r="9978" spans="6:19" hidden="1" x14ac:dyDescent="0.25">
      <c r="F9978" t="s">
        <v>752</v>
      </c>
      <c r="G9978" t="s">
        <v>416</v>
      </c>
      <c r="H9978" t="str">
        <f>VLOOKUP(record[[#This Row],[ProcessSN]],表格2_7[],2,FALSE)</f>
        <v>30-4118-018-5XX</v>
      </c>
      <c r="I9978" t="str">
        <f>VLOOKUP(record[[#This Row],[ProcessSN]],表格2_7[],3,FALSE)</f>
        <v>#05</v>
      </c>
      <c r="J9978" t="s">
        <v>588</v>
      </c>
      <c r="K9978" s="195">
        <v>45757.64880787037</v>
      </c>
      <c r="L9978">
        <v>142</v>
      </c>
      <c r="M9978">
        <v>0</v>
      </c>
      <c r="N9978" s="98" t="str">
        <f>IF(record[[#This Row],[Memo]]="Browser:chrome os:android","平板報工",IF(record[[#This Row],[Memo]]=0,"委外",record[[#This Row],[Memo]]))</f>
        <v/>
      </c>
      <c r="O9978" t="s">
        <v>58</v>
      </c>
      <c r="P9978" t="s">
        <v>119</v>
      </c>
      <c r="Q9978" t="s">
        <v>58</v>
      </c>
      <c r="R9978" t="str">
        <f>IFERROR(VLOOKUP(record[[#This Row],[PCUSTID]],廠商[],2,FALSE),"")</f>
        <v/>
      </c>
      <c r="S9978" t="str">
        <f>VLOOKUP(record[[#This Row],[employeeID]],員工[],2,FALSE)</f>
        <v>廖俊彥</v>
      </c>
    </row>
    <row r="9979" spans="6:19" hidden="1" x14ac:dyDescent="0.25">
      <c r="F9979" t="s">
        <v>756</v>
      </c>
      <c r="G9979" t="s">
        <v>464</v>
      </c>
      <c r="H9979" t="str">
        <f>VLOOKUP(record[[#This Row],[ProcessSN]],表格2_7[],2,FALSE)</f>
        <v>30-4118-018-XXX</v>
      </c>
      <c r="I9979" t="str">
        <f>VLOOKUP(record[[#This Row],[ProcessSN]],表格2_7[],3,FALSE)</f>
        <v>#01GIVE</v>
      </c>
      <c r="J9979" t="s">
        <v>587</v>
      </c>
      <c r="K9979" s="195">
        <v>45757.342037037037</v>
      </c>
      <c r="L9979">
        <v>4800</v>
      </c>
      <c r="M9979">
        <v>0</v>
      </c>
      <c r="N9979" s="98" t="str">
        <f>IF(record[[#This Row],[Memo]]="Browser:chrome os:android","平板報工",IF(record[[#This Row],[Memo]]=0,"委外",record[[#This Row],[Memo]]))</f>
        <v/>
      </c>
      <c r="O9979" t="s">
        <v>58</v>
      </c>
      <c r="P9979" t="s">
        <v>208</v>
      </c>
      <c r="Q9979" t="s">
        <v>58</v>
      </c>
      <c r="R9979" t="str">
        <f>IFERROR(VLOOKUP(record[[#This Row],[PCUSTID]],廠商[],2,FALSE),"")</f>
        <v/>
      </c>
      <c r="S9979" t="str">
        <f>VLOOKUP(record[[#This Row],[employeeID]],員工[],2,FALSE)</f>
        <v>陳治宏</v>
      </c>
    </row>
    <row r="9980" spans="6:19" hidden="1" x14ac:dyDescent="0.25">
      <c r="F9980" t="s">
        <v>752</v>
      </c>
      <c r="G9980" t="s">
        <v>417</v>
      </c>
      <c r="H9980" t="str">
        <f>VLOOKUP(record[[#This Row],[ProcessSN]],表格2_7[],2,FALSE)</f>
        <v>30-4118-018-5XX</v>
      </c>
      <c r="I9980" t="str">
        <f>VLOOKUP(record[[#This Row],[ProcessSN]],表格2_7[],3,FALSE)</f>
        <v>#06</v>
      </c>
      <c r="J9980" t="s">
        <v>593</v>
      </c>
      <c r="K9980" s="195">
        <v>45756.976631944446</v>
      </c>
      <c r="L9980">
        <v>121</v>
      </c>
      <c r="M9980">
        <v>0</v>
      </c>
      <c r="N9980" s="98" t="str">
        <f>IF(record[[#This Row],[Memo]]="Browser:chrome os:android","平板報工",IF(record[[#This Row],[Memo]]=0,"委外",record[[#This Row],[Memo]]))</f>
        <v>平板報工</v>
      </c>
      <c r="O9980" t="s">
        <v>643</v>
      </c>
      <c r="P9980" t="s">
        <v>176</v>
      </c>
      <c r="Q9980" t="s">
        <v>644</v>
      </c>
      <c r="R9980" t="str">
        <f>IFERROR(VLOOKUP(record[[#This Row],[PCUSTID]],廠商[],2,FALSE),"")</f>
        <v/>
      </c>
      <c r="S9980" t="str">
        <f>VLOOKUP(record[[#This Row],[employeeID]],員工[],2,FALSE)</f>
        <v>郭政雄</v>
      </c>
    </row>
    <row r="9981" spans="6:19" hidden="1" x14ac:dyDescent="0.25">
      <c r="F9981" t="s">
        <v>752</v>
      </c>
      <c r="G9981" t="s">
        <v>417</v>
      </c>
      <c r="H9981" t="str">
        <f>VLOOKUP(record[[#This Row],[ProcessSN]],表格2_7[],2,FALSE)</f>
        <v>30-4118-018-5XX</v>
      </c>
      <c r="I9981" t="str">
        <f>VLOOKUP(record[[#This Row],[ProcessSN]],表格2_7[],3,FALSE)</f>
        <v>#06</v>
      </c>
      <c r="J9981" t="s">
        <v>593</v>
      </c>
      <c r="K9981" s="195">
        <v>45756.767002314817</v>
      </c>
      <c r="L9981">
        <v>102</v>
      </c>
      <c r="M9981">
        <v>1</v>
      </c>
      <c r="N9981" s="98" t="str">
        <f>IF(record[[#This Row],[Memo]]="Browser:chrome os:android","平板報工",IF(record[[#This Row],[Memo]]=0,"委外",record[[#This Row],[Memo]]))</f>
        <v/>
      </c>
      <c r="O9981" t="s">
        <v>58</v>
      </c>
      <c r="P9981" t="s">
        <v>127</v>
      </c>
      <c r="Q9981" t="s">
        <v>58</v>
      </c>
      <c r="R9981" t="str">
        <f>IFERROR(VLOOKUP(record[[#This Row],[PCUSTID]],廠商[],2,FALSE),"")</f>
        <v/>
      </c>
      <c r="S9981" t="str">
        <f>VLOOKUP(record[[#This Row],[employeeID]],員工[],2,FALSE)</f>
        <v>潘雪梅</v>
      </c>
    </row>
    <row r="9982" spans="6:19" hidden="1" x14ac:dyDescent="0.25">
      <c r="F9982" t="s">
        <v>752</v>
      </c>
      <c r="G9982" t="s">
        <v>416</v>
      </c>
      <c r="H9982" t="str">
        <f>VLOOKUP(record[[#This Row],[ProcessSN]],表格2_7[],2,FALSE)</f>
        <v>30-4118-018-5XX</v>
      </c>
      <c r="I9982" t="str">
        <f>VLOOKUP(record[[#This Row],[ProcessSN]],表格2_7[],3,FALSE)</f>
        <v>#05</v>
      </c>
      <c r="J9982" t="s">
        <v>588</v>
      </c>
      <c r="K9982" s="195">
        <v>45756.753449074073</v>
      </c>
      <c r="L9982">
        <v>225</v>
      </c>
      <c r="M9982">
        <v>3</v>
      </c>
      <c r="N9982" s="98" t="str">
        <f>IF(record[[#This Row],[Memo]]="Browser:chrome os:android","平板報工",IF(record[[#This Row],[Memo]]=0,"委外",record[[#This Row],[Memo]]))</f>
        <v/>
      </c>
      <c r="O9982" t="s">
        <v>58</v>
      </c>
      <c r="P9982" t="s">
        <v>127</v>
      </c>
      <c r="Q9982" t="s">
        <v>58</v>
      </c>
      <c r="R9982" t="str">
        <f>IFERROR(VLOOKUP(record[[#This Row],[PCUSTID]],廠商[],2,FALSE),"")</f>
        <v/>
      </c>
      <c r="S9982" t="str">
        <f>VLOOKUP(record[[#This Row],[employeeID]],員工[],2,FALSE)</f>
        <v>潘雪梅</v>
      </c>
    </row>
    <row r="9983" spans="6:19" hidden="1" x14ac:dyDescent="0.25">
      <c r="F9983" t="s">
        <v>752</v>
      </c>
      <c r="G9983" t="s">
        <v>417</v>
      </c>
      <c r="H9983" t="str">
        <f>VLOOKUP(record[[#This Row],[ProcessSN]],表格2_7[],2,FALSE)</f>
        <v>30-4118-018-5XX</v>
      </c>
      <c r="I9983" t="str">
        <f>VLOOKUP(record[[#This Row],[ProcessSN]],表格2_7[],3,FALSE)</f>
        <v>#06</v>
      </c>
      <c r="J9983" t="s">
        <v>593</v>
      </c>
      <c r="K9983" s="195">
        <v>45755.972187500003</v>
      </c>
      <c r="L9983">
        <v>26</v>
      </c>
      <c r="M9983">
        <v>0</v>
      </c>
      <c r="N9983" s="98" t="str">
        <f>IF(record[[#This Row],[Memo]]="Browser:chrome os:android","平板報工",IF(record[[#This Row],[Memo]]=0,"委外",record[[#This Row],[Memo]]))</f>
        <v>平板報工</v>
      </c>
      <c r="O9983" t="s">
        <v>643</v>
      </c>
      <c r="P9983" t="s">
        <v>176</v>
      </c>
      <c r="Q9983" t="s">
        <v>644</v>
      </c>
      <c r="R9983" t="str">
        <f>IFERROR(VLOOKUP(record[[#This Row],[PCUSTID]],廠商[],2,FALSE),"")</f>
        <v/>
      </c>
      <c r="S9983" t="str">
        <f>VLOOKUP(record[[#This Row],[employeeID]],員工[],2,FALSE)</f>
        <v>郭政雄</v>
      </c>
    </row>
    <row r="9984" spans="6:19" hidden="1" x14ac:dyDescent="0.25">
      <c r="F9984" t="s">
        <v>752</v>
      </c>
      <c r="G9984" t="s">
        <v>416</v>
      </c>
      <c r="H9984" t="str">
        <f>VLOOKUP(record[[#This Row],[ProcessSN]],表格2_7[],2,FALSE)</f>
        <v>30-4118-018-5XX</v>
      </c>
      <c r="I9984" t="str">
        <f>VLOOKUP(record[[#This Row],[ProcessSN]],表格2_7[],3,FALSE)</f>
        <v>#05</v>
      </c>
      <c r="J9984" t="s">
        <v>588</v>
      </c>
      <c r="K9984" s="195">
        <v>45755.644166666665</v>
      </c>
      <c r="L9984">
        <v>217</v>
      </c>
      <c r="M9984">
        <v>0</v>
      </c>
      <c r="N9984" s="98" t="str">
        <f>IF(record[[#This Row],[Memo]]="Browser:chrome os:android","平板報工",IF(record[[#This Row],[Memo]]=0,"委外",record[[#This Row],[Memo]]))</f>
        <v/>
      </c>
      <c r="O9984" t="s">
        <v>58</v>
      </c>
      <c r="P9984" t="s">
        <v>119</v>
      </c>
      <c r="Q9984" t="s">
        <v>58</v>
      </c>
      <c r="R9984" t="str">
        <f>IFERROR(VLOOKUP(record[[#This Row],[PCUSTID]],廠商[],2,FALSE),"")</f>
        <v/>
      </c>
      <c r="S9984" t="str">
        <f>VLOOKUP(record[[#This Row],[employeeID]],員工[],2,FALSE)</f>
        <v>廖俊彥</v>
      </c>
    </row>
    <row r="9985" spans="6:19" hidden="1" x14ac:dyDescent="0.25">
      <c r="F9985" t="s">
        <v>739</v>
      </c>
      <c r="G9985" t="s">
        <v>425</v>
      </c>
      <c r="H9985" t="str">
        <f>VLOOKUP(record[[#This Row],[ProcessSN]],表格2_7[],2,FALSE)</f>
        <v>30-4118-018-600</v>
      </c>
      <c r="I9985" t="str">
        <f>VLOOKUP(record[[#This Row],[ProcessSN]],表格2_7[],3,FALSE)</f>
        <v>#100</v>
      </c>
      <c r="J9985" t="s">
        <v>598</v>
      </c>
      <c r="K9985" s="195">
        <v>45755.577384259261</v>
      </c>
      <c r="L9985">
        <v>8</v>
      </c>
      <c r="M9985">
        <v>0</v>
      </c>
      <c r="N9985" s="98" t="str">
        <f>IF(record[[#This Row],[Memo]]="Browser:chrome os:android","平板報工",IF(record[[#This Row],[Memo]]=0,"委外",record[[#This Row],[Memo]]))</f>
        <v/>
      </c>
      <c r="O9985" t="s">
        <v>58</v>
      </c>
      <c r="P9985" t="s">
        <v>141</v>
      </c>
      <c r="Q9985" t="s">
        <v>58</v>
      </c>
      <c r="R9985" t="str">
        <f>IFERROR(VLOOKUP(record[[#This Row],[PCUSTID]],廠商[],2,FALSE),"")</f>
        <v/>
      </c>
      <c r="S9985" t="str">
        <f>VLOOKUP(record[[#This Row],[employeeID]],員工[],2,FALSE)</f>
        <v>蔣梅</v>
      </c>
    </row>
    <row r="9986" spans="6:19" hidden="1" x14ac:dyDescent="0.25">
      <c r="F9986" t="s">
        <v>744</v>
      </c>
      <c r="G9986" t="s">
        <v>425</v>
      </c>
      <c r="H9986" t="str">
        <f>VLOOKUP(record[[#This Row],[ProcessSN]],表格2_7[],2,FALSE)</f>
        <v>30-4118-018-600</v>
      </c>
      <c r="I9986" t="str">
        <f>VLOOKUP(record[[#This Row],[ProcessSN]],表格2_7[],3,FALSE)</f>
        <v>#100</v>
      </c>
      <c r="J9986" t="s">
        <v>598</v>
      </c>
      <c r="K9986" s="195">
        <v>45755.577233796299</v>
      </c>
      <c r="L9986">
        <v>10</v>
      </c>
      <c r="M9986">
        <v>0</v>
      </c>
      <c r="N9986" s="98" t="str">
        <f>IF(record[[#This Row],[Memo]]="Browser:chrome os:android","平板報工",IF(record[[#This Row],[Memo]]=0,"委外",record[[#This Row],[Memo]]))</f>
        <v/>
      </c>
      <c r="O9986" t="s">
        <v>58</v>
      </c>
      <c r="P9986" t="s">
        <v>141</v>
      </c>
      <c r="Q9986" t="s">
        <v>58</v>
      </c>
      <c r="R9986" t="str">
        <f>IFERROR(VLOOKUP(record[[#This Row],[PCUSTID]],廠商[],2,FALSE),"")</f>
        <v/>
      </c>
      <c r="S9986" t="str">
        <f>VLOOKUP(record[[#This Row],[employeeID]],員工[],2,FALSE)</f>
        <v>蔣梅</v>
      </c>
    </row>
    <row r="9987" spans="6:19" hidden="1" x14ac:dyDescent="0.25">
      <c r="F9987" t="s">
        <v>737</v>
      </c>
      <c r="G9987" t="s">
        <v>425</v>
      </c>
      <c r="H9987" t="str">
        <f>VLOOKUP(record[[#This Row],[ProcessSN]],表格2_7[],2,FALSE)</f>
        <v>30-4118-018-600</v>
      </c>
      <c r="I9987" t="str">
        <f>VLOOKUP(record[[#This Row],[ProcessSN]],表格2_7[],3,FALSE)</f>
        <v>#100</v>
      </c>
      <c r="J9987" t="s">
        <v>598</v>
      </c>
      <c r="K9987" s="195">
        <v>45755.57708333333</v>
      </c>
      <c r="L9987">
        <v>6</v>
      </c>
      <c r="M9987">
        <v>0</v>
      </c>
      <c r="N9987" s="98" t="str">
        <f>IF(record[[#This Row],[Memo]]="Browser:chrome os:android","平板報工",IF(record[[#This Row],[Memo]]=0,"委外",record[[#This Row],[Memo]]))</f>
        <v/>
      </c>
      <c r="O9987" t="s">
        <v>58</v>
      </c>
      <c r="P9987" t="s">
        <v>141</v>
      </c>
      <c r="Q9987" t="s">
        <v>58</v>
      </c>
      <c r="R9987" t="str">
        <f>IFERROR(VLOOKUP(record[[#This Row],[PCUSTID]],廠商[],2,FALSE),"")</f>
        <v/>
      </c>
      <c r="S9987" t="str">
        <f>VLOOKUP(record[[#This Row],[employeeID]],員工[],2,FALSE)</f>
        <v>蔣梅</v>
      </c>
    </row>
    <row r="9988" spans="6:19" hidden="1" x14ac:dyDescent="0.25">
      <c r="F9988" t="s">
        <v>713</v>
      </c>
      <c r="G9988" t="s">
        <v>400</v>
      </c>
      <c r="H9988" t="str">
        <f>VLOOKUP(record[[#This Row],[ProcessSN]],表格2_7[],2,FALSE)</f>
        <v>30-4118-018-550</v>
      </c>
      <c r="I9988" t="str">
        <f>VLOOKUP(record[[#This Row],[ProcessSN]],表格2_7[],3,FALSE)</f>
        <v>#100</v>
      </c>
      <c r="J9988" t="s">
        <v>598</v>
      </c>
      <c r="K9988" s="195">
        <v>45755.57644675926</v>
      </c>
      <c r="L9988">
        <v>17</v>
      </c>
      <c r="M9988">
        <v>0</v>
      </c>
      <c r="N9988" s="98" t="str">
        <f>IF(record[[#This Row],[Memo]]="Browser:chrome os:android","平板報工",IF(record[[#This Row],[Memo]]=0,"委外",record[[#This Row],[Memo]]))</f>
        <v/>
      </c>
      <c r="O9988" t="s">
        <v>58</v>
      </c>
      <c r="P9988" t="s">
        <v>141</v>
      </c>
      <c r="Q9988" t="s">
        <v>58</v>
      </c>
      <c r="R9988" t="str">
        <f>IFERROR(VLOOKUP(record[[#This Row],[PCUSTID]],廠商[],2,FALSE),"")</f>
        <v/>
      </c>
      <c r="S9988" t="str">
        <f>VLOOKUP(record[[#This Row],[employeeID]],員工[],2,FALSE)</f>
        <v>蔣梅</v>
      </c>
    </row>
    <row r="9989" spans="6:19" hidden="1" x14ac:dyDescent="0.25">
      <c r="F9989" t="s">
        <v>752</v>
      </c>
      <c r="G9989" t="s">
        <v>416</v>
      </c>
      <c r="H9989" t="str">
        <f>VLOOKUP(record[[#This Row],[ProcessSN]],表格2_7[],2,FALSE)</f>
        <v>30-4118-018-5XX</v>
      </c>
      <c r="I9989" t="str">
        <f>VLOOKUP(record[[#This Row],[ProcessSN]],表格2_7[],3,FALSE)</f>
        <v>#05</v>
      </c>
      <c r="J9989" t="s">
        <v>588</v>
      </c>
      <c r="K9989" s="195">
        <v>45754.654699074075</v>
      </c>
      <c r="L9989">
        <v>270</v>
      </c>
      <c r="M9989">
        <v>0</v>
      </c>
      <c r="N9989" s="98" t="str">
        <f>IF(record[[#This Row],[Memo]]="Browser:chrome os:android","平板報工",IF(record[[#This Row],[Memo]]=0,"委外",record[[#This Row],[Memo]]))</f>
        <v/>
      </c>
      <c r="O9989" t="s">
        <v>58</v>
      </c>
      <c r="P9989" t="s">
        <v>119</v>
      </c>
      <c r="Q9989" t="s">
        <v>58</v>
      </c>
      <c r="R9989" t="str">
        <f>IFERROR(VLOOKUP(record[[#This Row],[PCUSTID]],廠商[],2,FALSE),"")</f>
        <v/>
      </c>
      <c r="S9989" t="str">
        <f>VLOOKUP(record[[#This Row],[employeeID]],員工[],2,FALSE)</f>
        <v>廖俊彥</v>
      </c>
    </row>
    <row r="9990" spans="6:19" hidden="1" x14ac:dyDescent="0.25">
      <c r="F9990" t="s">
        <v>721</v>
      </c>
      <c r="G9990" t="s">
        <v>428</v>
      </c>
      <c r="H9990" t="str">
        <f>VLOOKUP(record[[#This Row],[ProcessSN]],表格2_7[],2,FALSE)</f>
        <v>30-4118-018-600</v>
      </c>
      <c r="I9990" t="str">
        <f>VLOOKUP(record[[#This Row],[ProcessSN]],表格2_7[],3,FALSE)</f>
        <v>#100SHIP</v>
      </c>
      <c r="J9990" t="s">
        <v>600</v>
      </c>
      <c r="K9990" s="195">
        <v>45754.457407407404</v>
      </c>
      <c r="L9990">
        <v>31</v>
      </c>
      <c r="M9990">
        <v>0</v>
      </c>
      <c r="N9990" s="98" t="str">
        <f>IF(record[[#This Row],[Memo]]="Browser:chrome os:android","平板報工",IF(record[[#This Row],[Memo]]=0,"委外",record[[#This Row],[Memo]]))</f>
        <v/>
      </c>
      <c r="O9990" t="s">
        <v>58</v>
      </c>
      <c r="P9990" t="s">
        <v>196</v>
      </c>
      <c r="Q9990" t="s">
        <v>58</v>
      </c>
      <c r="R9990" t="str">
        <f>IFERROR(VLOOKUP(record[[#This Row],[PCUSTID]],廠商[],2,FALSE),"")</f>
        <v/>
      </c>
      <c r="S9990" t="str">
        <f>VLOOKUP(record[[#This Row],[employeeID]],員工[],2,FALSE)</f>
        <v>張淑惠</v>
      </c>
    </row>
    <row r="9991" spans="6:19" hidden="1" x14ac:dyDescent="0.25">
      <c r="F9991" t="s">
        <v>718</v>
      </c>
      <c r="G9991" t="s">
        <v>428</v>
      </c>
      <c r="H9991" t="str">
        <f>VLOOKUP(record[[#This Row],[ProcessSN]],表格2_7[],2,FALSE)</f>
        <v>30-4118-018-600</v>
      </c>
      <c r="I9991" t="str">
        <f>VLOOKUP(record[[#This Row],[ProcessSN]],表格2_7[],3,FALSE)</f>
        <v>#100SHIP</v>
      </c>
      <c r="J9991" t="s">
        <v>600</v>
      </c>
      <c r="K9991" s="195">
        <v>45754.457094907404</v>
      </c>
      <c r="L9991">
        <v>112</v>
      </c>
      <c r="M9991">
        <v>0</v>
      </c>
      <c r="N9991" s="98" t="str">
        <f>IF(record[[#This Row],[Memo]]="Browser:chrome os:android","平板報工",IF(record[[#This Row],[Memo]]=0,"委外",record[[#This Row],[Memo]]))</f>
        <v/>
      </c>
      <c r="O9991" t="s">
        <v>58</v>
      </c>
      <c r="P9991" t="s">
        <v>196</v>
      </c>
      <c r="Q9991" t="s">
        <v>58</v>
      </c>
      <c r="R9991" t="str">
        <f>IFERROR(VLOOKUP(record[[#This Row],[PCUSTID]],廠商[],2,FALSE),"")</f>
        <v/>
      </c>
      <c r="S9991" t="str">
        <f>VLOOKUP(record[[#This Row],[employeeID]],員工[],2,FALSE)</f>
        <v>張淑惠</v>
      </c>
    </row>
    <row r="9992" spans="6:19" hidden="1" x14ac:dyDescent="0.25">
      <c r="F9992" t="s">
        <v>713</v>
      </c>
      <c r="G9992" t="s">
        <v>403</v>
      </c>
      <c r="H9992" t="str">
        <f>VLOOKUP(record[[#This Row],[ProcessSN]],表格2_7[],2,FALSE)</f>
        <v>30-4118-018-550</v>
      </c>
      <c r="I9992" t="str">
        <f>VLOOKUP(record[[#This Row],[ProcessSN]],表格2_7[],3,FALSE)</f>
        <v>#100SHIP</v>
      </c>
      <c r="J9992" t="s">
        <v>600</v>
      </c>
      <c r="K9992" s="195">
        <v>45754.456689814811</v>
      </c>
      <c r="L9992">
        <v>135</v>
      </c>
      <c r="M9992">
        <v>0</v>
      </c>
      <c r="N9992" s="98" t="str">
        <f>IF(record[[#This Row],[Memo]]="Browser:chrome os:android","平板報工",IF(record[[#This Row],[Memo]]=0,"委外",record[[#This Row],[Memo]]))</f>
        <v/>
      </c>
      <c r="O9992" t="s">
        <v>58</v>
      </c>
      <c r="P9992" t="s">
        <v>196</v>
      </c>
      <c r="Q9992" t="s">
        <v>58</v>
      </c>
      <c r="R9992" t="str">
        <f>IFERROR(VLOOKUP(record[[#This Row],[PCUSTID]],廠商[],2,FALSE),"")</f>
        <v/>
      </c>
      <c r="S9992" t="str">
        <f>VLOOKUP(record[[#This Row],[employeeID]],員工[],2,FALSE)</f>
        <v>張淑惠</v>
      </c>
    </row>
    <row r="9993" spans="6:19" hidden="1" x14ac:dyDescent="0.25">
      <c r="F9993" t="s">
        <v>707</v>
      </c>
      <c r="G9993" t="s">
        <v>403</v>
      </c>
      <c r="H9993" t="str">
        <f>VLOOKUP(record[[#This Row],[ProcessSN]],表格2_7[],2,FALSE)</f>
        <v>30-4118-018-550</v>
      </c>
      <c r="I9993" t="str">
        <f>VLOOKUP(record[[#This Row],[ProcessSN]],表格2_7[],3,FALSE)</f>
        <v>#100SHIP</v>
      </c>
      <c r="J9993" t="s">
        <v>600</v>
      </c>
      <c r="K9993" s="195">
        <v>45754.456423611111</v>
      </c>
      <c r="L9993">
        <v>251</v>
      </c>
      <c r="M9993">
        <v>0</v>
      </c>
      <c r="N9993" s="98" t="str">
        <f>IF(record[[#This Row],[Memo]]="Browser:chrome os:android","平板報工",IF(record[[#This Row],[Memo]]=0,"委外",record[[#This Row],[Memo]]))</f>
        <v/>
      </c>
      <c r="O9993" t="s">
        <v>58</v>
      </c>
      <c r="P9993" t="s">
        <v>196</v>
      </c>
      <c r="Q9993" t="s">
        <v>58</v>
      </c>
      <c r="R9993" t="str">
        <f>IFERROR(VLOOKUP(record[[#This Row],[PCUSTID]],廠商[],2,FALSE),"")</f>
        <v/>
      </c>
      <c r="S9993" t="str">
        <f>VLOOKUP(record[[#This Row],[employeeID]],員工[],2,FALSE)</f>
        <v>張淑惠</v>
      </c>
    </row>
    <row r="9994" spans="6:19" hidden="1" x14ac:dyDescent="0.25">
      <c r="F9994" t="s">
        <v>752</v>
      </c>
      <c r="G9994" t="s">
        <v>416</v>
      </c>
      <c r="H9994" t="str">
        <f>VLOOKUP(record[[#This Row],[ProcessSN]],表格2_7[],2,FALSE)</f>
        <v>30-4118-018-5XX</v>
      </c>
      <c r="I9994" t="str">
        <f>VLOOKUP(record[[#This Row],[ProcessSN]],表格2_7[],3,FALSE)</f>
        <v>#05</v>
      </c>
      <c r="J9994" t="s">
        <v>588</v>
      </c>
      <c r="K9994" s="195">
        <v>45749.96733796296</v>
      </c>
      <c r="L9994">
        <v>260</v>
      </c>
      <c r="M9994">
        <v>0</v>
      </c>
      <c r="N9994" s="98" t="str">
        <f>IF(record[[#This Row],[Memo]]="Browser:chrome os:android","平板報工",IF(record[[#This Row],[Memo]]=0,"委外",record[[#This Row],[Memo]]))</f>
        <v/>
      </c>
      <c r="O9994" t="s">
        <v>58</v>
      </c>
      <c r="P9994" t="s">
        <v>89</v>
      </c>
      <c r="Q9994" t="s">
        <v>58</v>
      </c>
      <c r="R9994" t="str">
        <f>IFERROR(VLOOKUP(record[[#This Row],[PCUSTID]],廠商[],2,FALSE),"")</f>
        <v/>
      </c>
      <c r="S9994" t="str">
        <f>VLOOKUP(record[[#This Row],[employeeID]],員工[],2,FALSE)</f>
        <v>李美蓮</v>
      </c>
    </row>
    <row r="9995" spans="6:19" hidden="1" x14ac:dyDescent="0.25">
      <c r="F9995" t="s">
        <v>752</v>
      </c>
      <c r="G9995" t="s">
        <v>416</v>
      </c>
      <c r="H9995" t="str">
        <f>VLOOKUP(record[[#This Row],[ProcessSN]],表格2_7[],2,FALSE)</f>
        <v>30-4118-018-5XX</v>
      </c>
      <c r="I9995" t="str">
        <f>VLOOKUP(record[[#This Row],[ProcessSN]],表格2_7[],3,FALSE)</f>
        <v>#05</v>
      </c>
      <c r="J9995" t="s">
        <v>588</v>
      </c>
      <c r="K9995" s="195">
        <v>45749.643252314818</v>
      </c>
      <c r="L9995">
        <v>242</v>
      </c>
      <c r="M9995">
        <v>1</v>
      </c>
      <c r="N9995" s="98" t="str">
        <f>IF(record[[#This Row],[Memo]]="Browser:chrome os:android","平板報工",IF(record[[#This Row],[Memo]]=0,"委外",record[[#This Row],[Memo]]))</f>
        <v/>
      </c>
      <c r="O9995" t="s">
        <v>58</v>
      </c>
      <c r="P9995" t="s">
        <v>119</v>
      </c>
      <c r="Q9995" t="s">
        <v>58</v>
      </c>
      <c r="R9995" t="str">
        <f>IFERROR(VLOOKUP(record[[#This Row],[PCUSTID]],廠商[],2,FALSE),"")</f>
        <v/>
      </c>
      <c r="S9995" t="str">
        <f>VLOOKUP(record[[#This Row],[employeeID]],員工[],2,FALSE)</f>
        <v>廖俊彥</v>
      </c>
    </row>
    <row r="9996" spans="6:19" hidden="1" x14ac:dyDescent="0.25">
      <c r="F9996" t="s">
        <v>718</v>
      </c>
      <c r="G9996" t="s">
        <v>428</v>
      </c>
      <c r="H9996" t="str">
        <f>VLOOKUP(record[[#This Row],[ProcessSN]],表格2_7[],2,FALSE)</f>
        <v>30-4118-018-600</v>
      </c>
      <c r="I9996" t="str">
        <f>VLOOKUP(record[[#This Row],[ProcessSN]],表格2_7[],3,FALSE)</f>
        <v>#100SHIP</v>
      </c>
      <c r="J9996" t="s">
        <v>600</v>
      </c>
      <c r="K9996" s="195">
        <v>45749.597280092596</v>
      </c>
      <c r="L9996">
        <v>62</v>
      </c>
      <c r="M9996">
        <v>0</v>
      </c>
      <c r="N9996" s="98" t="str">
        <f>IF(record[[#This Row],[Memo]]="Browser:chrome os:android","平板報工",IF(record[[#This Row],[Memo]]=0,"委外",record[[#This Row],[Memo]]))</f>
        <v/>
      </c>
      <c r="O9996" t="s">
        <v>58</v>
      </c>
      <c r="P9996" t="s">
        <v>196</v>
      </c>
      <c r="Q9996" t="s">
        <v>58</v>
      </c>
      <c r="R9996" t="str">
        <f>IFERROR(VLOOKUP(record[[#This Row],[PCUSTID]],廠商[],2,FALSE),"")</f>
        <v/>
      </c>
      <c r="S9996" t="str">
        <f>VLOOKUP(record[[#This Row],[employeeID]],員工[],2,FALSE)</f>
        <v>張淑惠</v>
      </c>
    </row>
    <row r="9997" spans="6:19" hidden="1" x14ac:dyDescent="0.25">
      <c r="F9997" t="s">
        <v>717</v>
      </c>
      <c r="G9997" t="s">
        <v>428</v>
      </c>
      <c r="H9997" t="str">
        <f>VLOOKUP(record[[#This Row],[ProcessSN]],表格2_7[],2,FALSE)</f>
        <v>30-4118-018-600</v>
      </c>
      <c r="I9997" t="str">
        <f>VLOOKUP(record[[#This Row],[ProcessSN]],表格2_7[],3,FALSE)</f>
        <v>#100SHIP</v>
      </c>
      <c r="J9997" t="s">
        <v>600</v>
      </c>
      <c r="K9997" s="195">
        <v>45749.597013888888</v>
      </c>
      <c r="L9997">
        <v>319</v>
      </c>
      <c r="M9997">
        <v>0</v>
      </c>
      <c r="N9997" s="98" t="str">
        <f>IF(record[[#This Row],[Memo]]="Browser:chrome os:android","平板報工",IF(record[[#This Row],[Memo]]=0,"委外",record[[#This Row],[Memo]]))</f>
        <v/>
      </c>
      <c r="O9997" t="s">
        <v>58</v>
      </c>
      <c r="P9997" t="s">
        <v>196</v>
      </c>
      <c r="Q9997" t="s">
        <v>58</v>
      </c>
      <c r="R9997" t="str">
        <f>IFERROR(VLOOKUP(record[[#This Row],[PCUSTID]],廠商[],2,FALSE),"")</f>
        <v/>
      </c>
      <c r="S9997" t="str">
        <f>VLOOKUP(record[[#This Row],[employeeID]],員工[],2,FALSE)</f>
        <v>張淑惠</v>
      </c>
    </row>
    <row r="9998" spans="6:19" hidden="1" x14ac:dyDescent="0.25">
      <c r="F9998" t="s">
        <v>707</v>
      </c>
      <c r="G9998" t="s">
        <v>403</v>
      </c>
      <c r="H9998" t="str">
        <f>VLOOKUP(record[[#This Row],[ProcessSN]],表格2_7[],2,FALSE)</f>
        <v>30-4118-018-550</v>
      </c>
      <c r="I9998" t="str">
        <f>VLOOKUP(record[[#This Row],[ProcessSN]],表格2_7[],3,FALSE)</f>
        <v>#100SHIP</v>
      </c>
      <c r="J9998" t="s">
        <v>600</v>
      </c>
      <c r="K9998" s="195">
        <v>45749.596712962964</v>
      </c>
      <c r="L9998">
        <v>59</v>
      </c>
      <c r="M9998">
        <v>0</v>
      </c>
      <c r="N9998" s="98" t="str">
        <f>IF(record[[#This Row],[Memo]]="Browser:chrome os:android","平板報工",IF(record[[#This Row],[Memo]]=0,"委外",record[[#This Row],[Memo]]))</f>
        <v/>
      </c>
      <c r="O9998" t="s">
        <v>58</v>
      </c>
      <c r="P9998" t="s">
        <v>196</v>
      </c>
      <c r="Q9998" t="s">
        <v>58</v>
      </c>
      <c r="R9998" t="str">
        <f>IFERROR(VLOOKUP(record[[#This Row],[PCUSTID]],廠商[],2,FALSE),"")</f>
        <v/>
      </c>
      <c r="S9998" t="str">
        <f>VLOOKUP(record[[#This Row],[employeeID]],員工[],2,FALSE)</f>
        <v>張淑惠</v>
      </c>
    </row>
    <row r="9999" spans="6:19" hidden="1" x14ac:dyDescent="0.25">
      <c r="F9999" t="s">
        <v>701</v>
      </c>
      <c r="G9999" t="s">
        <v>403</v>
      </c>
      <c r="H9999" t="str">
        <f>VLOOKUP(record[[#This Row],[ProcessSN]],表格2_7[],2,FALSE)</f>
        <v>30-4118-018-550</v>
      </c>
      <c r="I9999" t="str">
        <f>VLOOKUP(record[[#This Row],[ProcessSN]],表格2_7[],3,FALSE)</f>
        <v>#100SHIP</v>
      </c>
      <c r="J9999" t="s">
        <v>600</v>
      </c>
      <c r="K9999" s="195">
        <v>45749.596412037034</v>
      </c>
      <c r="L9999">
        <v>71</v>
      </c>
      <c r="M9999">
        <v>0</v>
      </c>
      <c r="N9999" s="98" t="str">
        <f>IF(record[[#This Row],[Memo]]="Browser:chrome os:android","平板報工",IF(record[[#This Row],[Memo]]=0,"委外",record[[#This Row],[Memo]]))</f>
        <v/>
      </c>
      <c r="O9999" t="s">
        <v>58</v>
      </c>
      <c r="P9999" t="s">
        <v>196</v>
      </c>
      <c r="Q9999" t="s">
        <v>58</v>
      </c>
      <c r="R9999" t="str">
        <f>IFERROR(VLOOKUP(record[[#This Row],[PCUSTID]],廠商[],2,FALSE),"")</f>
        <v/>
      </c>
      <c r="S9999" t="str">
        <f>VLOOKUP(record[[#This Row],[employeeID]],員工[],2,FALSE)</f>
        <v>張淑惠</v>
      </c>
    </row>
    <row r="10000" spans="6:19" hidden="1" x14ac:dyDescent="0.25">
      <c r="F10000" t="s">
        <v>668</v>
      </c>
      <c r="G10000" t="s">
        <v>362</v>
      </c>
      <c r="H10000" t="str">
        <f>VLOOKUP(record[[#This Row],[ProcessSN]],表格2_7[],2,FALSE)</f>
        <v>30-4118-018-450</v>
      </c>
      <c r="I10000" t="str">
        <f>VLOOKUP(record[[#This Row],[ProcessSN]],表格2_7[],3,FALSE)</f>
        <v>#100SHIP</v>
      </c>
      <c r="J10000" t="s">
        <v>600</v>
      </c>
      <c r="K10000" s="195">
        <v>45749.596076388887</v>
      </c>
      <c r="L10000">
        <v>10</v>
      </c>
      <c r="M10000">
        <v>0</v>
      </c>
      <c r="N10000" s="98" t="str">
        <f>IF(record[[#This Row],[Memo]]="Browser:chrome os:android","平板報工",IF(record[[#This Row],[Memo]]=0,"委外",record[[#This Row],[Memo]]))</f>
        <v/>
      </c>
      <c r="O10000" t="s">
        <v>58</v>
      </c>
      <c r="P10000" t="s">
        <v>196</v>
      </c>
      <c r="Q10000" t="s">
        <v>58</v>
      </c>
      <c r="R10000" t="str">
        <f>IFERROR(VLOOKUP(record[[#This Row],[PCUSTID]],廠商[],2,FALSE),"")</f>
        <v/>
      </c>
      <c r="S10000" t="str">
        <f>VLOOKUP(record[[#This Row],[employeeID]],員工[],2,FALSE)</f>
        <v>張淑惠</v>
      </c>
    </row>
    <row r="10001" spans="6:19" hidden="1" x14ac:dyDescent="0.25">
      <c r="F10001" t="s">
        <v>752</v>
      </c>
      <c r="G10001" t="s">
        <v>416</v>
      </c>
      <c r="H10001" t="str">
        <f>VLOOKUP(record[[#This Row],[ProcessSN]],表格2_7[],2,FALSE)</f>
        <v>30-4118-018-5XX</v>
      </c>
      <c r="I10001" t="str">
        <f>VLOOKUP(record[[#This Row],[ProcessSN]],表格2_7[],3,FALSE)</f>
        <v>#05</v>
      </c>
      <c r="J10001" t="s">
        <v>588</v>
      </c>
      <c r="K10001" s="195">
        <v>45749.009641203702</v>
      </c>
      <c r="L10001">
        <v>0</v>
      </c>
      <c r="M10001">
        <v>3</v>
      </c>
      <c r="N10001" s="98" t="str">
        <f>IF(record[[#This Row],[Memo]]="Browser:chrome os:android","平板報工",IF(record[[#This Row],[Memo]]=0,"委外",record[[#This Row],[Memo]]))</f>
        <v/>
      </c>
      <c r="O10001" t="s">
        <v>58</v>
      </c>
      <c r="P10001" t="s">
        <v>135</v>
      </c>
      <c r="Q10001" t="s">
        <v>58</v>
      </c>
      <c r="R10001" t="str">
        <f>IFERROR(VLOOKUP(record[[#This Row],[PCUSTID]],廠商[],2,FALSE),"")</f>
        <v/>
      </c>
      <c r="S10001" t="str">
        <f>VLOOKUP(record[[#This Row],[employeeID]],員工[],2,FALSE)</f>
        <v>阮士文</v>
      </c>
    </row>
    <row r="10002" spans="6:19" hidden="1" x14ac:dyDescent="0.25">
      <c r="F10002" t="s">
        <v>752</v>
      </c>
      <c r="G10002" t="s">
        <v>416</v>
      </c>
      <c r="H10002" t="str">
        <f>VLOOKUP(record[[#This Row],[ProcessSN]],表格2_7[],2,FALSE)</f>
        <v>30-4118-018-5XX</v>
      </c>
      <c r="I10002" t="str">
        <f>VLOOKUP(record[[#This Row],[ProcessSN]],表格2_7[],3,FALSE)</f>
        <v>#05</v>
      </c>
      <c r="J10002" t="s">
        <v>588</v>
      </c>
      <c r="K10002" s="195">
        <v>45748.991689814815</v>
      </c>
      <c r="L10002">
        <v>185</v>
      </c>
      <c r="M10002">
        <v>1</v>
      </c>
      <c r="N10002" s="98" t="str">
        <f>IF(record[[#This Row],[Memo]]="Browser:chrome os:android","平板報工",IF(record[[#This Row],[Memo]]=0,"委外",record[[#This Row],[Memo]]))</f>
        <v/>
      </c>
      <c r="O10002" t="s">
        <v>58</v>
      </c>
      <c r="P10002" t="s">
        <v>89</v>
      </c>
      <c r="Q10002" t="s">
        <v>58</v>
      </c>
      <c r="R10002" t="str">
        <f>IFERROR(VLOOKUP(record[[#This Row],[PCUSTID]],廠商[],2,FALSE),"")</f>
        <v/>
      </c>
      <c r="S10002" t="str">
        <f>VLOOKUP(record[[#This Row],[employeeID]],員工[],2,FALSE)</f>
        <v>李美蓮</v>
      </c>
    </row>
    <row r="10003" spans="6:19" hidden="1" x14ac:dyDescent="0.25">
      <c r="F10003" t="s">
        <v>752</v>
      </c>
      <c r="G10003" t="s">
        <v>416</v>
      </c>
      <c r="H10003" t="str">
        <f>VLOOKUP(record[[#This Row],[ProcessSN]],表格2_7[],2,FALSE)</f>
        <v>30-4118-018-5XX</v>
      </c>
      <c r="I10003" t="str">
        <f>VLOOKUP(record[[#This Row],[ProcessSN]],表格2_7[],3,FALSE)</f>
        <v>#05</v>
      </c>
      <c r="J10003" t="s">
        <v>588</v>
      </c>
      <c r="K10003" s="195">
        <v>45748.69971064815</v>
      </c>
      <c r="L10003">
        <v>240</v>
      </c>
      <c r="M10003">
        <v>0</v>
      </c>
      <c r="N10003" s="98" t="str">
        <f>IF(record[[#This Row],[Memo]]="Browser:chrome os:android","平板報工",IF(record[[#This Row],[Memo]]=0,"委外",record[[#This Row],[Memo]]))</f>
        <v>平板報工</v>
      </c>
      <c r="O10003" t="s">
        <v>643</v>
      </c>
      <c r="P10003" t="s">
        <v>101</v>
      </c>
      <c r="Q10003" t="s">
        <v>644</v>
      </c>
      <c r="R10003" t="str">
        <f>IFERROR(VLOOKUP(record[[#This Row],[PCUSTID]],廠商[],2,FALSE),"")</f>
        <v/>
      </c>
      <c r="S10003" t="str">
        <f>VLOOKUP(record[[#This Row],[employeeID]],員工[],2,FALSE)</f>
        <v>陳氏絨</v>
      </c>
    </row>
    <row r="10004" spans="6:19" hidden="1" x14ac:dyDescent="0.25">
      <c r="F10004" t="s">
        <v>752</v>
      </c>
      <c r="G10004" t="s">
        <v>415</v>
      </c>
      <c r="H10004" t="str">
        <f>VLOOKUP(record[[#This Row],[ProcessSN]],表格2_7[],2,FALSE)</f>
        <v>30-4118-018-5XX</v>
      </c>
      <c r="I10004" t="str">
        <f>VLOOKUP(record[[#This Row],[ProcessSN]],表格2_7[],3,FALSE)</f>
        <v>#04</v>
      </c>
      <c r="J10004" t="s">
        <v>588</v>
      </c>
      <c r="K10004" s="195">
        <v>45748.312071759261</v>
      </c>
      <c r="L10004">
        <v>90</v>
      </c>
      <c r="M10004">
        <v>1</v>
      </c>
      <c r="N10004" s="98" t="str">
        <f>IF(record[[#This Row],[Memo]]="Browser:chrome os:android","平板報工",IF(record[[#This Row],[Memo]]=0,"委外",record[[#This Row],[Memo]]))</f>
        <v/>
      </c>
      <c r="O10004" t="s">
        <v>58</v>
      </c>
      <c r="P10004" t="s">
        <v>135</v>
      </c>
      <c r="Q10004" t="s">
        <v>58</v>
      </c>
      <c r="R10004" t="str">
        <f>IFERROR(VLOOKUP(record[[#This Row],[PCUSTID]],廠商[],2,FALSE),"")</f>
        <v/>
      </c>
      <c r="S10004" t="str">
        <f>VLOOKUP(record[[#This Row],[employeeID]],員工[],2,FALSE)</f>
        <v>阮士文</v>
      </c>
    </row>
    <row r="10005" spans="6:19" hidden="1" x14ac:dyDescent="0.25">
      <c r="F10005" t="s">
        <v>752</v>
      </c>
      <c r="G10005" t="s">
        <v>414</v>
      </c>
      <c r="H10005" t="str">
        <f>VLOOKUP(record[[#This Row],[ProcessSN]],表格2_7[],2,FALSE)</f>
        <v>30-4118-018-5XX</v>
      </c>
      <c r="I10005" t="str">
        <f>VLOOKUP(record[[#This Row],[ProcessSN]],表格2_7[],3,FALSE)</f>
        <v>#03</v>
      </c>
      <c r="J10005" t="s">
        <v>588</v>
      </c>
      <c r="K10005" s="195">
        <v>45748.311620370368</v>
      </c>
      <c r="L10005">
        <v>2</v>
      </c>
      <c r="M10005">
        <v>0</v>
      </c>
      <c r="N10005" s="98" t="str">
        <f>IF(record[[#This Row],[Memo]]="Browser:chrome os:android","平板報工",IF(record[[#This Row],[Memo]]=0,"委外",record[[#This Row],[Memo]]))</f>
        <v/>
      </c>
      <c r="O10005" t="s">
        <v>58</v>
      </c>
      <c r="P10005" t="s">
        <v>135</v>
      </c>
      <c r="Q10005" t="s">
        <v>58</v>
      </c>
      <c r="R10005" t="str">
        <f>IFERROR(VLOOKUP(record[[#This Row],[PCUSTID]],廠商[],2,FALSE),"")</f>
        <v/>
      </c>
      <c r="S10005" t="str">
        <f>VLOOKUP(record[[#This Row],[employeeID]],員工[],2,FALSE)</f>
        <v>阮士文</v>
      </c>
    </row>
    <row r="10006" spans="6:19" hidden="1" x14ac:dyDescent="0.25">
      <c r="F10006" t="s">
        <v>752</v>
      </c>
      <c r="G10006" t="s">
        <v>416</v>
      </c>
      <c r="H10006" t="str">
        <f>VLOOKUP(record[[#This Row],[ProcessSN]],表格2_7[],2,FALSE)</f>
        <v>30-4118-018-5XX</v>
      </c>
      <c r="I10006" t="str">
        <f>VLOOKUP(record[[#This Row],[ProcessSN]],表格2_7[],3,FALSE)</f>
        <v>#05</v>
      </c>
      <c r="J10006" t="s">
        <v>588</v>
      </c>
      <c r="K10006" s="195">
        <v>45747.973796296297</v>
      </c>
      <c r="L10006">
        <v>82</v>
      </c>
      <c r="M10006">
        <v>0</v>
      </c>
      <c r="N10006" s="98" t="str">
        <f>IF(record[[#This Row],[Memo]]="Browser:chrome os:android","平板報工",IF(record[[#This Row],[Memo]]=0,"委外",record[[#This Row],[Memo]]))</f>
        <v/>
      </c>
      <c r="O10006" t="s">
        <v>58</v>
      </c>
      <c r="P10006" t="s">
        <v>89</v>
      </c>
      <c r="Q10006" t="s">
        <v>58</v>
      </c>
      <c r="R10006" t="str">
        <f>IFERROR(VLOOKUP(record[[#This Row],[PCUSTID]],廠商[],2,FALSE),"")</f>
        <v/>
      </c>
      <c r="S10006" t="str">
        <f>VLOOKUP(record[[#This Row],[employeeID]],員工[],2,FALSE)</f>
        <v>李美蓮</v>
      </c>
    </row>
    <row r="10007" spans="6:19" hidden="1" x14ac:dyDescent="0.25">
      <c r="F10007" t="s">
        <v>752</v>
      </c>
      <c r="G10007" t="s">
        <v>415</v>
      </c>
      <c r="H10007" t="str">
        <f>VLOOKUP(record[[#This Row],[ProcessSN]],表格2_7[],2,FALSE)</f>
        <v>30-4118-018-5XX</v>
      </c>
      <c r="I10007" t="str">
        <f>VLOOKUP(record[[#This Row],[ProcessSN]],表格2_7[],3,FALSE)</f>
        <v>#04</v>
      </c>
      <c r="J10007" t="s">
        <v>588</v>
      </c>
      <c r="K10007" s="195">
        <v>45747.961770833332</v>
      </c>
      <c r="L10007">
        <v>53</v>
      </c>
      <c r="M10007">
        <v>24</v>
      </c>
      <c r="N10007" s="98" t="str">
        <f>IF(record[[#This Row],[Memo]]="Browser:chrome os:android","平板報工",IF(record[[#This Row],[Memo]]=0,"委外",record[[#This Row],[Memo]]))</f>
        <v/>
      </c>
      <c r="O10007" t="s">
        <v>58</v>
      </c>
      <c r="P10007" t="s">
        <v>133</v>
      </c>
      <c r="Q10007" t="s">
        <v>58</v>
      </c>
      <c r="R10007" t="str">
        <f>IFERROR(VLOOKUP(record[[#This Row],[PCUSTID]],廠商[],2,FALSE),"")</f>
        <v/>
      </c>
      <c r="S10007" t="str">
        <f>VLOOKUP(record[[#This Row],[employeeID]],員工[],2,FALSE)</f>
        <v>黎長維</v>
      </c>
    </row>
    <row r="10008" spans="6:19" hidden="1" x14ac:dyDescent="0.25">
      <c r="F10008" t="s">
        <v>752</v>
      </c>
      <c r="G10008" t="s">
        <v>415</v>
      </c>
      <c r="H10008" t="str">
        <f>VLOOKUP(record[[#This Row],[ProcessSN]],表格2_7[],2,FALSE)</f>
        <v>30-4118-018-5XX</v>
      </c>
      <c r="I10008" t="str">
        <f>VLOOKUP(record[[#This Row],[ProcessSN]],表格2_7[],3,FALSE)</f>
        <v>#04</v>
      </c>
      <c r="J10008" t="s">
        <v>588</v>
      </c>
      <c r="K10008" s="195">
        <v>45747.648020833331</v>
      </c>
      <c r="L10008">
        <v>136</v>
      </c>
      <c r="M10008">
        <v>0</v>
      </c>
      <c r="N10008" s="98" t="str">
        <f>IF(record[[#This Row],[Memo]]="Browser:chrome os:android","平板報工",IF(record[[#This Row],[Memo]]=0,"委外",record[[#This Row],[Memo]]))</f>
        <v/>
      </c>
      <c r="O10008" t="s">
        <v>58</v>
      </c>
      <c r="P10008" t="s">
        <v>119</v>
      </c>
      <c r="Q10008" t="s">
        <v>58</v>
      </c>
      <c r="R10008" t="str">
        <f>IFERROR(VLOOKUP(record[[#This Row],[PCUSTID]],廠商[],2,FALSE),"")</f>
        <v/>
      </c>
      <c r="S10008" t="str">
        <f>VLOOKUP(record[[#This Row],[employeeID]],員工[],2,FALSE)</f>
        <v>廖俊彥</v>
      </c>
    </row>
    <row r="10009" spans="6:19" hidden="1" x14ac:dyDescent="0.25">
      <c r="F10009" t="s">
        <v>720</v>
      </c>
      <c r="G10009" t="s">
        <v>423</v>
      </c>
      <c r="H10009" t="str">
        <f>VLOOKUP(record[[#This Row],[ProcessSN]],表格2_7[],2,FALSE)</f>
        <v>30-4118-018-600</v>
      </c>
      <c r="I10009" t="str">
        <f>VLOOKUP(record[[#This Row],[ProcessSN]],表格2_7[],3,FALSE)</f>
        <v>#08RCV</v>
      </c>
      <c r="J10009" t="s">
        <v>591</v>
      </c>
      <c r="K10009" s="195">
        <v>45747.373020833336</v>
      </c>
      <c r="L10009">
        <v>1</v>
      </c>
      <c r="M10009">
        <v>-1</v>
      </c>
      <c r="N10009" s="98" t="str">
        <f>IF(record[[#This Row],[Memo]]="Browser:chrome os:android","平板報工",IF(record[[#This Row],[Memo]]=0,"委外",record[[#This Row],[Memo]]))</f>
        <v>覆回品</v>
      </c>
      <c r="O10009" t="s">
        <v>664</v>
      </c>
      <c r="P10009" t="s">
        <v>65</v>
      </c>
      <c r="Q10009" t="s">
        <v>58</v>
      </c>
      <c r="R10009" t="str">
        <f>IFERROR(VLOOKUP(record[[#This Row],[PCUSTID]],廠商[],2,FALSE),"")</f>
        <v/>
      </c>
      <c r="S10009" t="str">
        <f>VLOOKUP(record[[#This Row],[employeeID]],員工[],2,FALSE)</f>
        <v>蘇進昌</v>
      </c>
    </row>
    <row r="10010" spans="6:19" hidden="1" x14ac:dyDescent="0.25">
      <c r="F10010" t="s">
        <v>720</v>
      </c>
      <c r="G10010" t="s">
        <v>424</v>
      </c>
      <c r="H10010" t="str">
        <f>VLOOKUP(record[[#This Row],[ProcessSN]],表格2_7[],2,FALSE)</f>
        <v>30-4118-018-600</v>
      </c>
      <c r="I10010" t="str">
        <f>VLOOKUP(record[[#This Row],[ProcessSN]],表格2_7[],3,FALSE)</f>
        <v>#08IQC</v>
      </c>
      <c r="J10010" t="s">
        <v>583</v>
      </c>
      <c r="K10010" s="195">
        <v>45747.373020833336</v>
      </c>
      <c r="L10010">
        <v>1</v>
      </c>
      <c r="M10010">
        <v>0</v>
      </c>
      <c r="N10010" s="98" t="str">
        <f>IF(record[[#This Row],[Memo]]="Browser:chrome os:android","平板報工",IF(record[[#This Row],[Memo]]=0,"委外",record[[#This Row],[Memo]]))</f>
        <v>覆回品</v>
      </c>
      <c r="O10010" t="s">
        <v>664</v>
      </c>
      <c r="P10010" t="s">
        <v>65</v>
      </c>
      <c r="Q10010" t="s">
        <v>58</v>
      </c>
      <c r="R10010" t="str">
        <f>IFERROR(VLOOKUP(record[[#This Row],[PCUSTID]],廠商[],2,FALSE),"")</f>
        <v/>
      </c>
      <c r="S10010" t="str">
        <f>VLOOKUP(record[[#This Row],[employeeID]],員工[],2,FALSE)</f>
        <v>蘇進昌</v>
      </c>
    </row>
    <row r="10011" spans="6:19" hidden="1" x14ac:dyDescent="0.25">
      <c r="F10011" t="s">
        <v>744</v>
      </c>
      <c r="G10011" t="s">
        <v>423</v>
      </c>
      <c r="H10011" t="str">
        <f>VLOOKUP(record[[#This Row],[ProcessSN]],表格2_7[],2,FALSE)</f>
        <v>30-4118-018-600</v>
      </c>
      <c r="I10011" t="str">
        <f>VLOOKUP(record[[#This Row],[ProcessSN]],表格2_7[],3,FALSE)</f>
        <v>#08RCV</v>
      </c>
      <c r="J10011" t="s">
        <v>591</v>
      </c>
      <c r="K10011" s="195">
        <v>45747.371828703705</v>
      </c>
      <c r="L10011">
        <v>10</v>
      </c>
      <c r="M10011">
        <v>-10</v>
      </c>
      <c r="N10011" s="98" t="str">
        <f>IF(record[[#This Row],[Memo]]="Browser:chrome os:android","平板報工",IF(record[[#This Row],[Memo]]=0,"委外",record[[#This Row],[Memo]]))</f>
        <v>覆回品</v>
      </c>
      <c r="O10011" t="s">
        <v>664</v>
      </c>
      <c r="P10011" t="s">
        <v>65</v>
      </c>
      <c r="Q10011" t="s">
        <v>58</v>
      </c>
      <c r="R10011" t="str">
        <f>IFERROR(VLOOKUP(record[[#This Row],[PCUSTID]],廠商[],2,FALSE),"")</f>
        <v/>
      </c>
      <c r="S10011" t="str">
        <f>VLOOKUP(record[[#This Row],[employeeID]],員工[],2,FALSE)</f>
        <v>蘇進昌</v>
      </c>
    </row>
    <row r="10012" spans="6:19" hidden="1" x14ac:dyDescent="0.25">
      <c r="F10012" t="s">
        <v>744</v>
      </c>
      <c r="G10012" t="s">
        <v>424</v>
      </c>
      <c r="H10012" t="str">
        <f>VLOOKUP(record[[#This Row],[ProcessSN]],表格2_7[],2,FALSE)</f>
        <v>30-4118-018-600</v>
      </c>
      <c r="I10012" t="str">
        <f>VLOOKUP(record[[#This Row],[ProcessSN]],表格2_7[],3,FALSE)</f>
        <v>#08IQC</v>
      </c>
      <c r="J10012" t="s">
        <v>583</v>
      </c>
      <c r="K10012" s="195">
        <v>45747.371828703705</v>
      </c>
      <c r="L10012">
        <v>10</v>
      </c>
      <c r="M10012">
        <v>0</v>
      </c>
      <c r="N10012" s="98" t="str">
        <f>IF(record[[#This Row],[Memo]]="Browser:chrome os:android","平板報工",IF(record[[#This Row],[Memo]]=0,"委外",record[[#This Row],[Memo]]))</f>
        <v>覆回品</v>
      </c>
      <c r="O10012" t="s">
        <v>664</v>
      </c>
      <c r="P10012" t="s">
        <v>65</v>
      </c>
      <c r="Q10012" t="s">
        <v>58</v>
      </c>
      <c r="R10012" t="str">
        <f>IFERROR(VLOOKUP(record[[#This Row],[PCUSTID]],廠商[],2,FALSE),"")</f>
        <v/>
      </c>
      <c r="S10012" t="str">
        <f>VLOOKUP(record[[#This Row],[employeeID]],員工[],2,FALSE)</f>
        <v>蘇進昌</v>
      </c>
    </row>
    <row r="10013" spans="6:19" hidden="1" x14ac:dyDescent="0.25">
      <c r="F10013" t="s">
        <v>737</v>
      </c>
      <c r="G10013" t="s">
        <v>423</v>
      </c>
      <c r="H10013" t="str">
        <f>VLOOKUP(record[[#This Row],[ProcessSN]],表格2_7[],2,FALSE)</f>
        <v>30-4118-018-600</v>
      </c>
      <c r="I10013" t="str">
        <f>VLOOKUP(record[[#This Row],[ProcessSN]],表格2_7[],3,FALSE)</f>
        <v>#08RCV</v>
      </c>
      <c r="J10013" t="s">
        <v>591</v>
      </c>
      <c r="K10013" s="195">
        <v>45747.360358796293</v>
      </c>
      <c r="L10013">
        <v>6</v>
      </c>
      <c r="M10013">
        <v>-6</v>
      </c>
      <c r="N10013" s="98" t="str">
        <f>IF(record[[#This Row],[Memo]]="Browser:chrome os:android","平板報工",IF(record[[#This Row],[Memo]]=0,"委外",record[[#This Row],[Memo]]))</f>
        <v>覆回品</v>
      </c>
      <c r="O10013" t="s">
        <v>664</v>
      </c>
      <c r="P10013" t="s">
        <v>65</v>
      </c>
      <c r="Q10013" t="s">
        <v>58</v>
      </c>
      <c r="R10013" t="str">
        <f>IFERROR(VLOOKUP(record[[#This Row],[PCUSTID]],廠商[],2,FALSE),"")</f>
        <v/>
      </c>
      <c r="S10013" t="str">
        <f>VLOOKUP(record[[#This Row],[employeeID]],員工[],2,FALSE)</f>
        <v>蘇進昌</v>
      </c>
    </row>
    <row r="10014" spans="6:19" hidden="1" x14ac:dyDescent="0.25">
      <c r="F10014" t="s">
        <v>737</v>
      </c>
      <c r="G10014" t="s">
        <v>424</v>
      </c>
      <c r="H10014" t="str">
        <f>VLOOKUP(record[[#This Row],[ProcessSN]],表格2_7[],2,FALSE)</f>
        <v>30-4118-018-600</v>
      </c>
      <c r="I10014" t="str">
        <f>VLOOKUP(record[[#This Row],[ProcessSN]],表格2_7[],3,FALSE)</f>
        <v>#08IQC</v>
      </c>
      <c r="J10014" t="s">
        <v>583</v>
      </c>
      <c r="K10014" s="195">
        <v>45747.360358796293</v>
      </c>
      <c r="L10014">
        <v>6</v>
      </c>
      <c r="M10014">
        <v>0</v>
      </c>
      <c r="N10014" s="98" t="str">
        <f>IF(record[[#This Row],[Memo]]="Browser:chrome os:android","平板報工",IF(record[[#This Row],[Memo]]=0,"委外",record[[#This Row],[Memo]]))</f>
        <v>覆回品</v>
      </c>
      <c r="O10014" t="s">
        <v>664</v>
      </c>
      <c r="P10014" t="s">
        <v>65</v>
      </c>
      <c r="Q10014" t="s">
        <v>58</v>
      </c>
      <c r="R10014" t="str">
        <f>IFERROR(VLOOKUP(record[[#This Row],[PCUSTID]],廠商[],2,FALSE),"")</f>
        <v/>
      </c>
      <c r="S10014" t="str">
        <f>VLOOKUP(record[[#This Row],[employeeID]],員工[],2,FALSE)</f>
        <v>蘇進昌</v>
      </c>
    </row>
    <row r="10015" spans="6:19" hidden="1" x14ac:dyDescent="0.25">
      <c r="F10015" t="s">
        <v>739</v>
      </c>
      <c r="G10015" t="s">
        <v>423</v>
      </c>
      <c r="H10015" t="str">
        <f>VLOOKUP(record[[#This Row],[ProcessSN]],表格2_7[],2,FALSE)</f>
        <v>30-4118-018-600</v>
      </c>
      <c r="I10015" t="str">
        <f>VLOOKUP(record[[#This Row],[ProcessSN]],表格2_7[],3,FALSE)</f>
        <v>#08RCV</v>
      </c>
      <c r="J10015" t="s">
        <v>591</v>
      </c>
      <c r="K10015" s="195">
        <v>45747.351122685184</v>
      </c>
      <c r="L10015">
        <v>8</v>
      </c>
      <c r="M10015">
        <v>-8</v>
      </c>
      <c r="N10015" s="98" t="str">
        <f>IF(record[[#This Row],[Memo]]="Browser:chrome os:android","平板報工",IF(record[[#This Row],[Memo]]=0,"委外",record[[#This Row],[Memo]]))</f>
        <v>覆回品</v>
      </c>
      <c r="O10015" t="s">
        <v>664</v>
      </c>
      <c r="P10015" t="s">
        <v>65</v>
      </c>
      <c r="Q10015" t="s">
        <v>58</v>
      </c>
      <c r="R10015" t="str">
        <f>IFERROR(VLOOKUP(record[[#This Row],[PCUSTID]],廠商[],2,FALSE),"")</f>
        <v/>
      </c>
      <c r="S10015" t="str">
        <f>VLOOKUP(record[[#This Row],[employeeID]],員工[],2,FALSE)</f>
        <v>蘇進昌</v>
      </c>
    </row>
    <row r="10016" spans="6:19" hidden="1" x14ac:dyDescent="0.25">
      <c r="F10016" t="s">
        <v>739</v>
      </c>
      <c r="G10016" t="s">
        <v>424</v>
      </c>
      <c r="H10016" t="str">
        <f>VLOOKUP(record[[#This Row],[ProcessSN]],表格2_7[],2,FALSE)</f>
        <v>30-4118-018-600</v>
      </c>
      <c r="I10016" t="str">
        <f>VLOOKUP(record[[#This Row],[ProcessSN]],表格2_7[],3,FALSE)</f>
        <v>#08IQC</v>
      </c>
      <c r="J10016" t="s">
        <v>583</v>
      </c>
      <c r="K10016" s="195">
        <v>45747.351122685184</v>
      </c>
      <c r="L10016">
        <v>8</v>
      </c>
      <c r="M10016">
        <v>0</v>
      </c>
      <c r="N10016" s="98" t="str">
        <f>IF(record[[#This Row],[Memo]]="Browser:chrome os:android","平板報工",IF(record[[#This Row],[Memo]]=0,"委外",record[[#This Row],[Memo]]))</f>
        <v>覆回品</v>
      </c>
      <c r="O10016" t="s">
        <v>664</v>
      </c>
      <c r="P10016" t="s">
        <v>65</v>
      </c>
      <c r="Q10016" t="s">
        <v>58</v>
      </c>
      <c r="R10016" t="str">
        <f>IFERROR(VLOOKUP(record[[#This Row],[PCUSTID]],廠商[],2,FALSE),"")</f>
        <v/>
      </c>
      <c r="S10016" t="str">
        <f>VLOOKUP(record[[#This Row],[employeeID]],員工[],2,FALSE)</f>
        <v>蘇進昌</v>
      </c>
    </row>
    <row r="10017" spans="6:19" hidden="1" x14ac:dyDescent="0.25">
      <c r="F10017" t="s">
        <v>713</v>
      </c>
      <c r="G10017" t="s">
        <v>398</v>
      </c>
      <c r="H10017" t="str">
        <f>VLOOKUP(record[[#This Row],[ProcessSN]],表格2_7[],2,FALSE)</f>
        <v>30-4118-018-550</v>
      </c>
      <c r="I10017" t="str">
        <f>VLOOKUP(record[[#This Row],[ProcessSN]],表格2_7[],3,FALSE)</f>
        <v>#08RCV</v>
      </c>
      <c r="J10017" t="s">
        <v>591</v>
      </c>
      <c r="K10017" s="195">
        <v>45747.347766203704</v>
      </c>
      <c r="L10017">
        <v>17</v>
      </c>
      <c r="M10017">
        <v>-17</v>
      </c>
      <c r="N10017" s="98" t="str">
        <f>IF(record[[#This Row],[Memo]]="Browser:chrome os:android","平板報工",IF(record[[#This Row],[Memo]]=0,"委外",record[[#This Row],[Memo]]))</f>
        <v>覆回品</v>
      </c>
      <c r="O10017" t="s">
        <v>664</v>
      </c>
      <c r="P10017" t="s">
        <v>65</v>
      </c>
      <c r="Q10017" t="s">
        <v>58</v>
      </c>
      <c r="R10017" t="str">
        <f>IFERROR(VLOOKUP(record[[#This Row],[PCUSTID]],廠商[],2,FALSE),"")</f>
        <v/>
      </c>
      <c r="S10017" t="str">
        <f>VLOOKUP(record[[#This Row],[employeeID]],員工[],2,FALSE)</f>
        <v>蘇進昌</v>
      </c>
    </row>
    <row r="10018" spans="6:19" hidden="1" x14ac:dyDescent="0.25">
      <c r="F10018" t="s">
        <v>713</v>
      </c>
      <c r="G10018" t="s">
        <v>399</v>
      </c>
      <c r="H10018" t="str">
        <f>VLOOKUP(record[[#This Row],[ProcessSN]],表格2_7[],2,FALSE)</f>
        <v>30-4118-018-550</v>
      </c>
      <c r="I10018" t="str">
        <f>VLOOKUP(record[[#This Row],[ProcessSN]],表格2_7[],3,FALSE)</f>
        <v>#08IQC</v>
      </c>
      <c r="J10018" t="s">
        <v>583</v>
      </c>
      <c r="K10018" s="195">
        <v>45747.347766203704</v>
      </c>
      <c r="L10018">
        <v>17</v>
      </c>
      <c r="M10018">
        <v>0</v>
      </c>
      <c r="N10018" s="98" t="str">
        <f>IF(record[[#This Row],[Memo]]="Browser:chrome os:android","平板報工",IF(record[[#This Row],[Memo]]=0,"委外",record[[#This Row],[Memo]]))</f>
        <v>覆回品</v>
      </c>
      <c r="O10018" t="s">
        <v>664</v>
      </c>
      <c r="P10018" t="s">
        <v>65</v>
      </c>
      <c r="Q10018" t="s">
        <v>58</v>
      </c>
      <c r="R10018" t="str">
        <f>IFERROR(VLOOKUP(record[[#This Row],[PCUSTID]],廠商[],2,FALSE),"")</f>
        <v/>
      </c>
      <c r="S10018" t="str">
        <f>VLOOKUP(record[[#This Row],[employeeID]],員工[],2,FALSE)</f>
        <v>蘇進昌</v>
      </c>
    </row>
    <row r="10019" spans="6:19" hidden="1" x14ac:dyDescent="0.25">
      <c r="F10019" t="s">
        <v>752</v>
      </c>
      <c r="G10019" t="s">
        <v>415</v>
      </c>
      <c r="H10019" t="str">
        <f>VLOOKUP(record[[#This Row],[ProcessSN]],表格2_7[],2,FALSE)</f>
        <v>30-4118-018-5XX</v>
      </c>
      <c r="I10019" t="str">
        <f>VLOOKUP(record[[#This Row],[ProcessSN]],表格2_7[],3,FALSE)</f>
        <v>#04</v>
      </c>
      <c r="J10019" t="s">
        <v>588</v>
      </c>
      <c r="K10019" s="195">
        <v>45745.306192129632</v>
      </c>
      <c r="L10019">
        <v>148</v>
      </c>
      <c r="M10019">
        <v>0</v>
      </c>
      <c r="N10019" s="98" t="str">
        <f>IF(record[[#This Row],[Memo]]="Browser:chrome os:android","平板報工",IF(record[[#This Row],[Memo]]=0,"委外",record[[#This Row],[Memo]]))</f>
        <v/>
      </c>
      <c r="O10019" t="s">
        <v>58</v>
      </c>
      <c r="P10019" t="s">
        <v>135</v>
      </c>
      <c r="Q10019" t="s">
        <v>58</v>
      </c>
      <c r="R10019" t="str">
        <f>IFERROR(VLOOKUP(record[[#This Row],[PCUSTID]],廠商[],2,FALSE),"")</f>
        <v/>
      </c>
      <c r="S10019" t="str">
        <f>VLOOKUP(record[[#This Row],[employeeID]],員工[],2,FALSE)</f>
        <v>阮士文</v>
      </c>
    </row>
    <row r="10020" spans="6:19" hidden="1" x14ac:dyDescent="0.25">
      <c r="F10020" t="s">
        <v>752</v>
      </c>
      <c r="G10020" t="s">
        <v>415</v>
      </c>
      <c r="H10020" t="str">
        <f>VLOOKUP(record[[#This Row],[ProcessSN]],表格2_7[],2,FALSE)</f>
        <v>30-4118-018-5XX</v>
      </c>
      <c r="I10020" t="str">
        <f>VLOOKUP(record[[#This Row],[ProcessSN]],表格2_7[],3,FALSE)</f>
        <v>#04</v>
      </c>
      <c r="J10020" t="s">
        <v>588</v>
      </c>
      <c r="K10020" s="195">
        <v>45744.97625</v>
      </c>
      <c r="L10020">
        <v>145</v>
      </c>
      <c r="M10020">
        <v>0</v>
      </c>
      <c r="N10020" s="98" t="str">
        <f>IF(record[[#This Row],[Memo]]="Browser:chrome os:android","平板報工",IF(record[[#This Row],[Memo]]=0,"委外",record[[#This Row],[Memo]]))</f>
        <v/>
      </c>
      <c r="O10020" t="s">
        <v>58</v>
      </c>
      <c r="P10020" t="s">
        <v>133</v>
      </c>
      <c r="Q10020" t="s">
        <v>58</v>
      </c>
      <c r="R10020" t="str">
        <f>IFERROR(VLOOKUP(record[[#This Row],[PCUSTID]],廠商[],2,FALSE),"")</f>
        <v/>
      </c>
      <c r="S10020" t="str">
        <f>VLOOKUP(record[[#This Row],[employeeID]],員工[],2,FALSE)</f>
        <v>黎長維</v>
      </c>
    </row>
    <row r="10021" spans="6:19" hidden="1" x14ac:dyDescent="0.25">
      <c r="F10021" t="s">
        <v>752</v>
      </c>
      <c r="G10021" t="s">
        <v>415</v>
      </c>
      <c r="H10021" t="str">
        <f>VLOOKUP(record[[#This Row],[ProcessSN]],表格2_7[],2,FALSE)</f>
        <v>30-4118-018-5XX</v>
      </c>
      <c r="I10021" t="str">
        <f>VLOOKUP(record[[#This Row],[ProcessSN]],表格2_7[],3,FALSE)</f>
        <v>#04</v>
      </c>
      <c r="J10021" t="s">
        <v>588</v>
      </c>
      <c r="K10021" s="195">
        <v>45744.654039351852</v>
      </c>
      <c r="L10021">
        <v>150</v>
      </c>
      <c r="M10021">
        <v>0</v>
      </c>
      <c r="N10021" s="98" t="str">
        <f>IF(record[[#This Row],[Memo]]="Browser:chrome os:android","平板報工",IF(record[[#This Row],[Memo]]=0,"委外",record[[#This Row],[Memo]]))</f>
        <v/>
      </c>
      <c r="O10021" t="s">
        <v>58</v>
      </c>
      <c r="P10021" t="s">
        <v>119</v>
      </c>
      <c r="Q10021" t="s">
        <v>58</v>
      </c>
      <c r="R10021" t="str">
        <f>IFERROR(VLOOKUP(record[[#This Row],[PCUSTID]],廠商[],2,FALSE),"")</f>
        <v/>
      </c>
      <c r="S10021" t="str">
        <f>VLOOKUP(record[[#This Row],[employeeID]],員工[],2,FALSE)</f>
        <v>廖俊彥</v>
      </c>
    </row>
    <row r="10022" spans="6:19" hidden="1" x14ac:dyDescent="0.25">
      <c r="F10022" t="s">
        <v>752</v>
      </c>
      <c r="G10022" t="s">
        <v>414</v>
      </c>
      <c r="H10022" t="str">
        <f>VLOOKUP(record[[#This Row],[ProcessSN]],表格2_7[],2,FALSE)</f>
        <v>30-4118-018-5XX</v>
      </c>
      <c r="I10022" t="str">
        <f>VLOOKUP(record[[#This Row],[ProcessSN]],表格2_7[],3,FALSE)</f>
        <v>#03</v>
      </c>
      <c r="J10022" t="s">
        <v>588</v>
      </c>
      <c r="K10022" s="195">
        <v>45744.653877314813</v>
      </c>
      <c r="L10022">
        <v>199</v>
      </c>
      <c r="M10022">
        <v>0</v>
      </c>
      <c r="N10022" s="98" t="str">
        <f>IF(record[[#This Row],[Memo]]="Browser:chrome os:android","平板報工",IF(record[[#This Row],[Memo]]=0,"委外",record[[#This Row],[Memo]]))</f>
        <v>料少2PCS</v>
      </c>
      <c r="O10022" t="s">
        <v>765</v>
      </c>
      <c r="P10022" t="s">
        <v>119</v>
      </c>
      <c r="Q10022" t="s">
        <v>58</v>
      </c>
      <c r="R10022" t="str">
        <f>IFERROR(VLOOKUP(record[[#This Row],[PCUSTID]],廠商[],2,FALSE),"")</f>
        <v/>
      </c>
      <c r="S10022" t="str">
        <f>VLOOKUP(record[[#This Row],[employeeID]],員工[],2,FALSE)</f>
        <v>廖俊彥</v>
      </c>
    </row>
    <row r="10023" spans="6:19" hidden="1" x14ac:dyDescent="0.25">
      <c r="F10023" t="s">
        <v>701</v>
      </c>
      <c r="G10023" t="s">
        <v>403</v>
      </c>
      <c r="H10023" t="str">
        <f>VLOOKUP(record[[#This Row],[ProcessSN]],表格2_7[],2,FALSE)</f>
        <v>30-4118-018-550</v>
      </c>
      <c r="I10023" t="str">
        <f>VLOOKUP(record[[#This Row],[ProcessSN]],表格2_7[],3,FALSE)</f>
        <v>#100SHIP</v>
      </c>
      <c r="J10023" t="s">
        <v>600</v>
      </c>
      <c r="K10023" s="195">
        <v>45744.368611111109</v>
      </c>
      <c r="L10023">
        <v>91</v>
      </c>
      <c r="M10023">
        <v>0</v>
      </c>
      <c r="N10023" s="98" t="str">
        <f>IF(record[[#This Row],[Memo]]="Browser:chrome os:android","平板報工",IF(record[[#This Row],[Memo]]=0,"委外",record[[#This Row],[Memo]]))</f>
        <v/>
      </c>
      <c r="O10023" t="s">
        <v>58</v>
      </c>
      <c r="P10023" t="s">
        <v>196</v>
      </c>
      <c r="Q10023" t="s">
        <v>58</v>
      </c>
      <c r="R10023" t="str">
        <f>IFERROR(VLOOKUP(record[[#This Row],[PCUSTID]],廠商[],2,FALSE),"")</f>
        <v/>
      </c>
      <c r="S10023" t="str">
        <f>VLOOKUP(record[[#This Row],[employeeID]],員工[],2,FALSE)</f>
        <v>張淑惠</v>
      </c>
    </row>
    <row r="10024" spans="6:19" hidden="1" x14ac:dyDescent="0.25">
      <c r="F10024" t="s">
        <v>699</v>
      </c>
      <c r="G10024" t="s">
        <v>403</v>
      </c>
      <c r="H10024" t="str">
        <f>VLOOKUP(record[[#This Row],[ProcessSN]],表格2_7[],2,FALSE)</f>
        <v>30-4118-018-550</v>
      </c>
      <c r="I10024" t="str">
        <f>VLOOKUP(record[[#This Row],[ProcessSN]],表格2_7[],3,FALSE)</f>
        <v>#100SHIP</v>
      </c>
      <c r="J10024" t="s">
        <v>600</v>
      </c>
      <c r="K10024" s="195">
        <v>45744.368344907409</v>
      </c>
      <c r="L10024">
        <v>49</v>
      </c>
      <c r="M10024">
        <v>0</v>
      </c>
      <c r="N10024" s="98" t="str">
        <f>IF(record[[#This Row],[Memo]]="Browser:chrome os:android","平板報工",IF(record[[#This Row],[Memo]]=0,"委外",record[[#This Row],[Memo]]))</f>
        <v/>
      </c>
      <c r="O10024" t="s">
        <v>58</v>
      </c>
      <c r="P10024" t="s">
        <v>196</v>
      </c>
      <c r="Q10024" t="s">
        <v>58</v>
      </c>
      <c r="R10024" t="str">
        <f>IFERROR(VLOOKUP(record[[#This Row],[PCUSTID]],廠商[],2,FALSE),"")</f>
        <v/>
      </c>
      <c r="S10024" t="str">
        <f>VLOOKUP(record[[#This Row],[employeeID]],員工[],2,FALSE)</f>
        <v>張淑惠</v>
      </c>
    </row>
    <row r="10025" spans="6:19" hidden="1" x14ac:dyDescent="0.25">
      <c r="F10025" t="s">
        <v>752</v>
      </c>
      <c r="G10025" t="s">
        <v>415</v>
      </c>
      <c r="H10025" t="str">
        <f>VLOOKUP(record[[#This Row],[ProcessSN]],表格2_7[],2,FALSE)</f>
        <v>30-4118-018-5XX</v>
      </c>
      <c r="I10025" t="str">
        <f>VLOOKUP(record[[#This Row],[ProcessSN]],表格2_7[],3,FALSE)</f>
        <v>#04</v>
      </c>
      <c r="J10025" t="s">
        <v>588</v>
      </c>
      <c r="K10025" s="195">
        <v>45744.307442129626</v>
      </c>
      <c r="L10025">
        <v>139</v>
      </c>
      <c r="M10025">
        <v>1</v>
      </c>
      <c r="N10025" s="98" t="str">
        <f>IF(record[[#This Row],[Memo]]="Browser:chrome os:android","平板報工",IF(record[[#This Row],[Memo]]=0,"委外",record[[#This Row],[Memo]]))</f>
        <v/>
      </c>
      <c r="O10025" t="s">
        <v>58</v>
      </c>
      <c r="P10025" t="s">
        <v>135</v>
      </c>
      <c r="Q10025" t="s">
        <v>58</v>
      </c>
      <c r="R10025" t="str">
        <f>IFERROR(VLOOKUP(record[[#This Row],[PCUSTID]],廠商[],2,FALSE),"")</f>
        <v/>
      </c>
      <c r="S10025" t="str">
        <f>VLOOKUP(record[[#This Row],[employeeID]],員工[],2,FALSE)</f>
        <v>阮士文</v>
      </c>
    </row>
    <row r="10026" spans="6:19" hidden="1" x14ac:dyDescent="0.25">
      <c r="F10026" t="s">
        <v>752</v>
      </c>
      <c r="G10026" t="s">
        <v>415</v>
      </c>
      <c r="H10026" t="str">
        <f>VLOOKUP(record[[#This Row],[ProcessSN]],表格2_7[],2,FALSE)</f>
        <v>30-4118-018-5XX</v>
      </c>
      <c r="I10026" t="str">
        <f>VLOOKUP(record[[#This Row],[ProcessSN]],表格2_7[],3,FALSE)</f>
        <v>#04</v>
      </c>
      <c r="J10026" t="s">
        <v>588</v>
      </c>
      <c r="K10026" s="195">
        <v>45743.96875</v>
      </c>
      <c r="L10026">
        <v>150</v>
      </c>
      <c r="M10026">
        <v>0</v>
      </c>
      <c r="N10026" s="98" t="str">
        <f>IF(record[[#This Row],[Memo]]="Browser:chrome os:android","平板報工",IF(record[[#This Row],[Memo]]=0,"委外",record[[#This Row],[Memo]]))</f>
        <v/>
      </c>
      <c r="O10026" t="s">
        <v>58</v>
      </c>
      <c r="P10026" t="s">
        <v>133</v>
      </c>
      <c r="Q10026" t="s">
        <v>58</v>
      </c>
      <c r="R10026" t="str">
        <f>IFERROR(VLOOKUP(record[[#This Row],[PCUSTID]],廠商[],2,FALSE),"")</f>
        <v/>
      </c>
      <c r="S10026" t="str">
        <f>VLOOKUP(record[[#This Row],[employeeID]],員工[],2,FALSE)</f>
        <v>黎長維</v>
      </c>
    </row>
    <row r="10027" spans="6:19" hidden="1" x14ac:dyDescent="0.25">
      <c r="F10027" t="s">
        <v>752</v>
      </c>
      <c r="G10027" t="s">
        <v>415</v>
      </c>
      <c r="H10027" t="str">
        <f>VLOOKUP(record[[#This Row],[ProcessSN]],表格2_7[],2,FALSE)</f>
        <v>30-4118-018-5XX</v>
      </c>
      <c r="I10027" t="str">
        <f>VLOOKUP(record[[#This Row],[ProcessSN]],表格2_7[],3,FALSE)</f>
        <v>#04</v>
      </c>
      <c r="J10027" t="s">
        <v>588</v>
      </c>
      <c r="K10027" s="195">
        <v>45743.676817129628</v>
      </c>
      <c r="L10027">
        <v>129</v>
      </c>
      <c r="M10027">
        <v>4</v>
      </c>
      <c r="N10027" s="98" t="str">
        <f>IF(record[[#This Row],[Memo]]="Browser:chrome os:android","平板報工",IF(record[[#This Row],[Memo]]=0,"委外",record[[#This Row],[Memo]]))</f>
        <v/>
      </c>
      <c r="O10027" t="s">
        <v>58</v>
      </c>
      <c r="P10027" t="s">
        <v>119</v>
      </c>
      <c r="Q10027" t="s">
        <v>58</v>
      </c>
      <c r="R10027" t="str">
        <f>IFERROR(VLOOKUP(record[[#This Row],[PCUSTID]],廠商[],2,FALSE),"")</f>
        <v/>
      </c>
      <c r="S10027" t="str">
        <f>VLOOKUP(record[[#This Row],[employeeID]],員工[],2,FALSE)</f>
        <v>廖俊彥</v>
      </c>
    </row>
    <row r="10028" spans="6:19" hidden="1" x14ac:dyDescent="0.25">
      <c r="F10028" t="s">
        <v>699</v>
      </c>
      <c r="G10028" t="s">
        <v>403</v>
      </c>
      <c r="H10028" t="str">
        <f>VLOOKUP(record[[#This Row],[ProcessSN]],表格2_7[],2,FALSE)</f>
        <v>30-4118-018-550</v>
      </c>
      <c r="I10028" t="str">
        <f>VLOOKUP(record[[#This Row],[ProcessSN]],表格2_7[],3,FALSE)</f>
        <v>#100SHIP</v>
      </c>
      <c r="J10028" t="s">
        <v>600</v>
      </c>
      <c r="K10028" s="195">
        <v>45743.382268518515</v>
      </c>
      <c r="L10028">
        <v>38</v>
      </c>
      <c r="M10028">
        <v>0</v>
      </c>
      <c r="N10028" s="98" t="str">
        <f>IF(record[[#This Row],[Memo]]="Browser:chrome os:android","平板報工",IF(record[[#This Row],[Memo]]=0,"委外",record[[#This Row],[Memo]]))</f>
        <v/>
      </c>
      <c r="O10028" t="s">
        <v>58</v>
      </c>
      <c r="P10028" t="s">
        <v>196</v>
      </c>
      <c r="Q10028" t="s">
        <v>58</v>
      </c>
      <c r="R10028" t="str">
        <f>IFERROR(VLOOKUP(record[[#This Row],[PCUSTID]],廠商[],2,FALSE),"")</f>
        <v/>
      </c>
      <c r="S10028" t="str">
        <f>VLOOKUP(record[[#This Row],[employeeID]],員工[],2,FALSE)</f>
        <v>張淑惠</v>
      </c>
    </row>
    <row r="10029" spans="6:19" hidden="1" x14ac:dyDescent="0.25">
      <c r="F10029" t="s">
        <v>752</v>
      </c>
      <c r="G10029" t="s">
        <v>415</v>
      </c>
      <c r="H10029" t="str">
        <f>VLOOKUP(record[[#This Row],[ProcessSN]],表格2_7[],2,FALSE)</f>
        <v>30-4118-018-5XX</v>
      </c>
      <c r="I10029" t="str">
        <f>VLOOKUP(record[[#This Row],[ProcessSN]],表格2_7[],3,FALSE)</f>
        <v>#04</v>
      </c>
      <c r="J10029" t="s">
        <v>588</v>
      </c>
      <c r="K10029" s="195">
        <v>45743.305266203701</v>
      </c>
      <c r="L10029">
        <v>151</v>
      </c>
      <c r="M10029">
        <v>1</v>
      </c>
      <c r="N10029" s="98" t="str">
        <f>IF(record[[#This Row],[Memo]]="Browser:chrome os:android","平板報工",IF(record[[#This Row],[Memo]]=0,"委外",record[[#This Row],[Memo]]))</f>
        <v/>
      </c>
      <c r="O10029" t="s">
        <v>58</v>
      </c>
      <c r="P10029" t="s">
        <v>135</v>
      </c>
      <c r="Q10029" t="s">
        <v>58</v>
      </c>
      <c r="R10029" t="str">
        <f>IFERROR(VLOOKUP(record[[#This Row],[PCUSTID]],廠商[],2,FALSE),"")</f>
        <v/>
      </c>
      <c r="S10029" t="str">
        <f>VLOOKUP(record[[#This Row],[employeeID]],員工[],2,FALSE)</f>
        <v>阮士文</v>
      </c>
    </row>
    <row r="10030" spans="6:19" hidden="1" x14ac:dyDescent="0.25">
      <c r="F10030" t="s">
        <v>752</v>
      </c>
      <c r="G10030" t="s">
        <v>415</v>
      </c>
      <c r="H10030" t="str">
        <f>VLOOKUP(record[[#This Row],[ProcessSN]],表格2_7[],2,FALSE)</f>
        <v>30-4118-018-5XX</v>
      </c>
      <c r="I10030" t="str">
        <f>VLOOKUP(record[[#This Row],[ProcessSN]],表格2_7[],3,FALSE)</f>
        <v>#04</v>
      </c>
      <c r="J10030" t="s">
        <v>588</v>
      </c>
      <c r="K10030" s="195">
        <v>45742.979155092595</v>
      </c>
      <c r="L10030">
        <v>120</v>
      </c>
      <c r="M10030">
        <v>7</v>
      </c>
      <c r="N10030" s="98" t="str">
        <f>IF(record[[#This Row],[Memo]]="Browser:chrome os:android","平板報工",IF(record[[#This Row],[Memo]]=0,"委外",record[[#This Row],[Memo]]))</f>
        <v/>
      </c>
      <c r="O10030" t="s">
        <v>58</v>
      </c>
      <c r="P10030" t="s">
        <v>133</v>
      </c>
      <c r="Q10030" t="s">
        <v>58</v>
      </c>
      <c r="R10030" t="str">
        <f>IFERROR(VLOOKUP(record[[#This Row],[PCUSTID]],廠商[],2,FALSE),"")</f>
        <v/>
      </c>
      <c r="S10030" t="str">
        <f>VLOOKUP(record[[#This Row],[employeeID]],員工[],2,FALSE)</f>
        <v>黎長維</v>
      </c>
    </row>
    <row r="10031" spans="6:19" hidden="1" x14ac:dyDescent="0.25">
      <c r="F10031" t="s">
        <v>752</v>
      </c>
      <c r="G10031" t="s">
        <v>414</v>
      </c>
      <c r="H10031" t="str">
        <f>VLOOKUP(record[[#This Row],[ProcessSN]],表格2_7[],2,FALSE)</f>
        <v>30-4118-018-5XX</v>
      </c>
      <c r="I10031" t="str">
        <f>VLOOKUP(record[[#This Row],[ProcessSN]],表格2_7[],3,FALSE)</f>
        <v>#03</v>
      </c>
      <c r="J10031" t="s">
        <v>588</v>
      </c>
      <c r="K10031" s="195">
        <v>45742.977708333332</v>
      </c>
      <c r="L10031">
        <v>378</v>
      </c>
      <c r="M10031">
        <v>3</v>
      </c>
      <c r="N10031" s="98" t="str">
        <f>IF(record[[#This Row],[Memo]]="Browser:chrome os:android","平板報工",IF(record[[#This Row],[Memo]]=0,"委外",record[[#This Row],[Memo]]))</f>
        <v/>
      </c>
      <c r="O10031" t="s">
        <v>58</v>
      </c>
      <c r="P10031" t="s">
        <v>89</v>
      </c>
      <c r="Q10031" t="s">
        <v>58</v>
      </c>
      <c r="R10031" t="str">
        <f>IFERROR(VLOOKUP(record[[#This Row],[PCUSTID]],廠商[],2,FALSE),"")</f>
        <v/>
      </c>
      <c r="S10031" t="str">
        <f>VLOOKUP(record[[#This Row],[employeeID]],員工[],2,FALSE)</f>
        <v>李美蓮</v>
      </c>
    </row>
    <row r="10032" spans="6:19" hidden="1" x14ac:dyDescent="0.25">
      <c r="F10032" t="s">
        <v>752</v>
      </c>
      <c r="G10032" t="s">
        <v>415</v>
      </c>
      <c r="H10032" t="str">
        <f>VLOOKUP(record[[#This Row],[ProcessSN]],表格2_7[],2,FALSE)</f>
        <v>30-4118-018-5XX</v>
      </c>
      <c r="I10032" t="str">
        <f>VLOOKUP(record[[#This Row],[ProcessSN]],表格2_7[],3,FALSE)</f>
        <v>#04</v>
      </c>
      <c r="J10032" t="s">
        <v>588</v>
      </c>
      <c r="K10032" s="195">
        <v>45742.664826388886</v>
      </c>
      <c r="L10032">
        <v>146</v>
      </c>
      <c r="M10032">
        <v>0</v>
      </c>
      <c r="N10032" s="98" t="str">
        <f>IF(record[[#This Row],[Memo]]="Browser:chrome os:android","平板報工",IF(record[[#This Row],[Memo]]=0,"委外",record[[#This Row],[Memo]]))</f>
        <v/>
      </c>
      <c r="O10032" t="s">
        <v>58</v>
      </c>
      <c r="P10032" t="s">
        <v>119</v>
      </c>
      <c r="Q10032" t="s">
        <v>58</v>
      </c>
      <c r="R10032" t="str">
        <f>IFERROR(VLOOKUP(record[[#This Row],[PCUSTID]],廠商[],2,FALSE),"")</f>
        <v/>
      </c>
      <c r="S10032" t="str">
        <f>VLOOKUP(record[[#This Row],[employeeID]],員工[],2,FALSE)</f>
        <v>廖俊彥</v>
      </c>
    </row>
    <row r="10033" spans="6:19" hidden="1" x14ac:dyDescent="0.25">
      <c r="F10033" t="s">
        <v>699</v>
      </c>
      <c r="G10033" t="s">
        <v>403</v>
      </c>
      <c r="H10033" t="str">
        <f>VLOOKUP(record[[#This Row],[ProcessSN]],表格2_7[],2,FALSE)</f>
        <v>30-4118-018-550</v>
      </c>
      <c r="I10033" t="str">
        <f>VLOOKUP(record[[#This Row],[ProcessSN]],表格2_7[],3,FALSE)</f>
        <v>#100SHIP</v>
      </c>
      <c r="J10033" t="s">
        <v>600</v>
      </c>
      <c r="K10033" s="195">
        <v>45742.623182870368</v>
      </c>
      <c r="L10033">
        <v>170</v>
      </c>
      <c r="M10033">
        <v>0</v>
      </c>
      <c r="N10033" s="98" t="str">
        <f>IF(record[[#This Row],[Memo]]="Browser:chrome os:android","平板報工",IF(record[[#This Row],[Memo]]=0,"委外",record[[#This Row],[Memo]]))</f>
        <v>3/26客戶新增</v>
      </c>
      <c r="O10033" t="s">
        <v>762</v>
      </c>
      <c r="P10033" t="s">
        <v>196</v>
      </c>
      <c r="Q10033" t="s">
        <v>58</v>
      </c>
      <c r="R10033" t="str">
        <f>IFERROR(VLOOKUP(record[[#This Row],[PCUSTID]],廠商[],2,FALSE),"")</f>
        <v/>
      </c>
      <c r="S10033" t="str">
        <f>VLOOKUP(record[[#This Row],[employeeID]],員工[],2,FALSE)</f>
        <v>張淑惠</v>
      </c>
    </row>
    <row r="10034" spans="6:19" hidden="1" x14ac:dyDescent="0.25">
      <c r="F10034" t="s">
        <v>629</v>
      </c>
      <c r="G10034" t="s">
        <v>427</v>
      </c>
      <c r="H10034" t="str">
        <f>VLOOKUP(record[[#This Row],[ProcessSN]],表格2_7[],2,FALSE)</f>
        <v>30-4118-018-600</v>
      </c>
      <c r="I10034" t="str">
        <f>VLOOKUP(record[[#This Row],[ProcessSN]],表格2_7[],3,FALSE)</f>
        <v>#100STOCK</v>
      </c>
      <c r="J10034" t="s">
        <v>592</v>
      </c>
      <c r="K10034" s="195">
        <v>45742.45784722222</v>
      </c>
      <c r="L10034">
        <v>1</v>
      </c>
      <c r="M10034">
        <v>0</v>
      </c>
      <c r="N10034" s="98" t="str">
        <f>IF(record[[#This Row],[Memo]]="Browser:chrome os:android","平板報工",IF(record[[#This Row],[Memo]]=0,"委外",record[[#This Row],[Memo]]))</f>
        <v/>
      </c>
      <c r="O10034" t="s">
        <v>58</v>
      </c>
      <c r="P10034" t="s">
        <v>196</v>
      </c>
      <c r="Q10034" t="s">
        <v>58</v>
      </c>
      <c r="R10034" t="str">
        <f>IFERROR(VLOOKUP(record[[#This Row],[PCUSTID]],廠商[],2,FALSE),"")</f>
        <v/>
      </c>
      <c r="S10034" t="str">
        <f>VLOOKUP(record[[#This Row],[employeeID]],員工[],2,FALSE)</f>
        <v>張淑惠</v>
      </c>
    </row>
    <row r="10035" spans="6:19" hidden="1" x14ac:dyDescent="0.25">
      <c r="F10035" t="s">
        <v>761</v>
      </c>
      <c r="G10035" t="s">
        <v>427</v>
      </c>
      <c r="H10035" t="str">
        <f>VLOOKUP(record[[#This Row],[ProcessSN]],表格2_7[],2,FALSE)</f>
        <v>30-4118-018-600</v>
      </c>
      <c r="I10035" t="str">
        <f>VLOOKUP(record[[#This Row],[ProcessSN]],表格2_7[],3,FALSE)</f>
        <v>#100STOCK</v>
      </c>
      <c r="J10035" t="s">
        <v>592</v>
      </c>
      <c r="K10035" s="195">
        <v>45742.457719907405</v>
      </c>
      <c r="L10035">
        <v>3</v>
      </c>
      <c r="M10035">
        <v>0</v>
      </c>
      <c r="N10035" s="98" t="str">
        <f>IF(record[[#This Row],[Memo]]="Browser:chrome os:android","平板報工",IF(record[[#This Row],[Memo]]=0,"委外",record[[#This Row],[Memo]]))</f>
        <v/>
      </c>
      <c r="O10035" t="s">
        <v>58</v>
      </c>
      <c r="P10035" t="s">
        <v>196</v>
      </c>
      <c r="Q10035" t="s">
        <v>58</v>
      </c>
      <c r="R10035" t="str">
        <f>IFERROR(VLOOKUP(record[[#This Row],[PCUSTID]],廠商[],2,FALSE),"")</f>
        <v/>
      </c>
      <c r="S10035" t="str">
        <f>VLOOKUP(record[[#This Row],[employeeID]],員工[],2,FALSE)</f>
        <v>張淑惠</v>
      </c>
    </row>
    <row r="10036" spans="6:19" hidden="1" x14ac:dyDescent="0.25">
      <c r="F10036" t="s">
        <v>744</v>
      </c>
      <c r="G10036" t="s">
        <v>427</v>
      </c>
      <c r="H10036" t="str">
        <f>VLOOKUP(record[[#This Row],[ProcessSN]],表格2_7[],2,FALSE)</f>
        <v>30-4118-018-600</v>
      </c>
      <c r="I10036" t="str">
        <f>VLOOKUP(record[[#This Row],[ProcessSN]],表格2_7[],3,FALSE)</f>
        <v>#100STOCK</v>
      </c>
      <c r="J10036" t="s">
        <v>592</v>
      </c>
      <c r="K10036" s="195">
        <v>45742.457326388889</v>
      </c>
      <c r="L10036">
        <v>269</v>
      </c>
      <c r="M10036">
        <v>0</v>
      </c>
      <c r="N10036" s="98" t="str">
        <f>IF(record[[#This Row],[Memo]]="Browser:chrome os:android","平板報工",IF(record[[#This Row],[Memo]]=0,"委外",record[[#This Row],[Memo]]))</f>
        <v/>
      </c>
      <c r="O10036" t="s">
        <v>58</v>
      </c>
      <c r="P10036" t="s">
        <v>196</v>
      </c>
      <c r="Q10036" t="s">
        <v>58</v>
      </c>
      <c r="R10036" t="str">
        <f>IFERROR(VLOOKUP(record[[#This Row],[PCUSTID]],廠商[],2,FALSE),"")</f>
        <v/>
      </c>
      <c r="S10036" t="str">
        <f>VLOOKUP(record[[#This Row],[employeeID]],員工[],2,FALSE)</f>
        <v>張淑惠</v>
      </c>
    </row>
    <row r="10037" spans="6:19" hidden="1" x14ac:dyDescent="0.25">
      <c r="F10037" t="s">
        <v>739</v>
      </c>
      <c r="G10037" t="s">
        <v>427</v>
      </c>
      <c r="H10037" t="str">
        <f>VLOOKUP(record[[#This Row],[ProcessSN]],表格2_7[],2,FALSE)</f>
        <v>30-4118-018-600</v>
      </c>
      <c r="I10037" t="str">
        <f>VLOOKUP(record[[#This Row],[ProcessSN]],表格2_7[],3,FALSE)</f>
        <v>#100STOCK</v>
      </c>
      <c r="J10037" t="s">
        <v>592</v>
      </c>
      <c r="K10037" s="195">
        <v>45742.457199074073</v>
      </c>
      <c r="L10037">
        <v>312</v>
      </c>
      <c r="M10037">
        <v>0</v>
      </c>
      <c r="N10037" s="98" t="str">
        <f>IF(record[[#This Row],[Memo]]="Browser:chrome os:android","平板報工",IF(record[[#This Row],[Memo]]=0,"委外",record[[#This Row],[Memo]]))</f>
        <v/>
      </c>
      <c r="O10037" t="s">
        <v>58</v>
      </c>
      <c r="P10037" t="s">
        <v>196</v>
      </c>
      <c r="Q10037" t="s">
        <v>58</v>
      </c>
      <c r="R10037" t="str">
        <f>IFERROR(VLOOKUP(record[[#This Row],[PCUSTID]],廠商[],2,FALSE),"")</f>
        <v/>
      </c>
      <c r="S10037" t="str">
        <f>VLOOKUP(record[[#This Row],[employeeID]],員工[],2,FALSE)</f>
        <v>張淑惠</v>
      </c>
    </row>
    <row r="10038" spans="6:19" hidden="1" x14ac:dyDescent="0.25">
      <c r="F10038" t="s">
        <v>737</v>
      </c>
      <c r="G10038" t="s">
        <v>427</v>
      </c>
      <c r="H10038" t="str">
        <f>VLOOKUP(record[[#This Row],[ProcessSN]],表格2_7[],2,FALSE)</f>
        <v>30-4118-018-600</v>
      </c>
      <c r="I10038" t="str">
        <f>VLOOKUP(record[[#This Row],[ProcessSN]],表格2_7[],3,FALSE)</f>
        <v>#100STOCK</v>
      </c>
      <c r="J10038" t="s">
        <v>592</v>
      </c>
      <c r="K10038" s="195">
        <v>45742.457083333335</v>
      </c>
      <c r="L10038">
        <v>124</v>
      </c>
      <c r="M10038">
        <v>0</v>
      </c>
      <c r="N10038" s="98" t="str">
        <f>IF(record[[#This Row],[Memo]]="Browser:chrome os:android","平板報工",IF(record[[#This Row],[Memo]]=0,"委外",record[[#This Row],[Memo]]))</f>
        <v/>
      </c>
      <c r="O10038" t="s">
        <v>58</v>
      </c>
      <c r="P10038" t="s">
        <v>196</v>
      </c>
      <c r="Q10038" t="s">
        <v>58</v>
      </c>
      <c r="R10038" t="str">
        <f>IFERROR(VLOOKUP(record[[#This Row],[PCUSTID]],廠商[],2,FALSE),"")</f>
        <v/>
      </c>
      <c r="S10038" t="str">
        <f>VLOOKUP(record[[#This Row],[employeeID]],員工[],2,FALSE)</f>
        <v>張淑惠</v>
      </c>
    </row>
    <row r="10039" spans="6:19" hidden="1" x14ac:dyDescent="0.25">
      <c r="F10039" t="s">
        <v>733</v>
      </c>
      <c r="G10039" t="s">
        <v>427</v>
      </c>
      <c r="H10039" t="str">
        <f>VLOOKUP(record[[#This Row],[ProcessSN]],表格2_7[],2,FALSE)</f>
        <v>30-4118-018-600</v>
      </c>
      <c r="I10039" t="str">
        <f>VLOOKUP(record[[#This Row],[ProcessSN]],表格2_7[],3,FALSE)</f>
        <v>#100STOCK</v>
      </c>
      <c r="J10039" t="s">
        <v>592</v>
      </c>
      <c r="K10039" s="195">
        <v>45742.456932870373</v>
      </c>
      <c r="L10039">
        <v>165</v>
      </c>
      <c r="M10039">
        <v>0</v>
      </c>
      <c r="N10039" s="98" t="str">
        <f>IF(record[[#This Row],[Memo]]="Browser:chrome os:android","平板報工",IF(record[[#This Row],[Memo]]=0,"委外",record[[#This Row],[Memo]]))</f>
        <v/>
      </c>
      <c r="O10039" t="s">
        <v>58</v>
      </c>
      <c r="P10039" t="s">
        <v>196</v>
      </c>
      <c r="Q10039" t="s">
        <v>58</v>
      </c>
      <c r="R10039" t="str">
        <f>IFERROR(VLOOKUP(record[[#This Row],[PCUSTID]],廠商[],2,FALSE),"")</f>
        <v/>
      </c>
      <c r="S10039" t="str">
        <f>VLOOKUP(record[[#This Row],[employeeID]],員工[],2,FALSE)</f>
        <v>張淑惠</v>
      </c>
    </row>
    <row r="10040" spans="6:19" hidden="1" x14ac:dyDescent="0.25">
      <c r="F10040" t="s">
        <v>720</v>
      </c>
      <c r="G10040" t="s">
        <v>427</v>
      </c>
      <c r="H10040" t="str">
        <f>VLOOKUP(record[[#This Row],[ProcessSN]],表格2_7[],2,FALSE)</f>
        <v>30-4118-018-600</v>
      </c>
      <c r="I10040" t="str">
        <f>VLOOKUP(record[[#This Row],[ProcessSN]],表格2_7[],3,FALSE)</f>
        <v>#100STOCK</v>
      </c>
      <c r="J10040" t="s">
        <v>592</v>
      </c>
      <c r="K10040" s="195">
        <v>45742.456805555557</v>
      </c>
      <c r="L10040">
        <v>162</v>
      </c>
      <c r="M10040">
        <v>0</v>
      </c>
      <c r="N10040" s="98" t="str">
        <f>IF(record[[#This Row],[Memo]]="Browser:chrome os:android","平板報工",IF(record[[#This Row],[Memo]]=0,"委外",record[[#This Row],[Memo]]))</f>
        <v/>
      </c>
      <c r="O10040" t="s">
        <v>58</v>
      </c>
      <c r="P10040" t="s">
        <v>196</v>
      </c>
      <c r="Q10040" t="s">
        <v>58</v>
      </c>
      <c r="R10040" t="str">
        <f>IFERROR(VLOOKUP(record[[#This Row],[PCUSTID]],廠商[],2,FALSE),"")</f>
        <v/>
      </c>
      <c r="S10040" t="str">
        <f>VLOOKUP(record[[#This Row],[employeeID]],員工[],2,FALSE)</f>
        <v>張淑惠</v>
      </c>
    </row>
    <row r="10041" spans="6:19" hidden="1" x14ac:dyDescent="0.25">
      <c r="F10041" t="s">
        <v>718</v>
      </c>
      <c r="G10041" t="s">
        <v>427</v>
      </c>
      <c r="H10041" t="str">
        <f>VLOOKUP(record[[#This Row],[ProcessSN]],表格2_7[],2,FALSE)</f>
        <v>30-4118-018-600</v>
      </c>
      <c r="I10041" t="str">
        <f>VLOOKUP(record[[#This Row],[ProcessSN]],表格2_7[],3,FALSE)</f>
        <v>#100STOCK</v>
      </c>
      <c r="J10041" t="s">
        <v>592</v>
      </c>
      <c r="K10041" s="195">
        <v>45742.456678240742</v>
      </c>
      <c r="L10041">
        <v>78</v>
      </c>
      <c r="M10041">
        <v>0</v>
      </c>
      <c r="N10041" s="98" t="str">
        <f>IF(record[[#This Row],[Memo]]="Browser:chrome os:android","平板報工",IF(record[[#This Row],[Memo]]=0,"委外",record[[#This Row],[Memo]]))</f>
        <v/>
      </c>
      <c r="O10041" t="s">
        <v>58</v>
      </c>
      <c r="P10041" t="s">
        <v>196</v>
      </c>
      <c r="Q10041" t="s">
        <v>58</v>
      </c>
      <c r="R10041" t="str">
        <f>IFERROR(VLOOKUP(record[[#This Row],[PCUSTID]],廠商[],2,FALSE),"")</f>
        <v/>
      </c>
      <c r="S10041" t="str">
        <f>VLOOKUP(record[[#This Row],[employeeID]],員工[],2,FALSE)</f>
        <v>張淑惠</v>
      </c>
    </row>
    <row r="10042" spans="6:19" hidden="1" x14ac:dyDescent="0.25">
      <c r="F10042" t="s">
        <v>717</v>
      </c>
      <c r="G10042" t="s">
        <v>427</v>
      </c>
      <c r="H10042" t="str">
        <f>VLOOKUP(record[[#This Row],[ProcessSN]],表格2_7[],2,FALSE)</f>
        <v>30-4118-018-600</v>
      </c>
      <c r="I10042" t="str">
        <f>VLOOKUP(record[[#This Row],[ProcessSN]],表格2_7[],3,FALSE)</f>
        <v>#100STOCK</v>
      </c>
      <c r="J10042" t="s">
        <v>592</v>
      </c>
      <c r="K10042" s="195">
        <v>45742.45653935185</v>
      </c>
      <c r="L10042">
        <v>312</v>
      </c>
      <c r="M10042">
        <v>0</v>
      </c>
      <c r="N10042" s="98" t="str">
        <f>IF(record[[#This Row],[Memo]]="Browser:chrome os:android","平板報工",IF(record[[#This Row],[Memo]]=0,"委外",record[[#This Row],[Memo]]))</f>
        <v/>
      </c>
      <c r="O10042" t="s">
        <v>58</v>
      </c>
      <c r="P10042" t="s">
        <v>196</v>
      </c>
      <c r="Q10042" t="s">
        <v>58</v>
      </c>
      <c r="R10042" t="str">
        <f>IFERROR(VLOOKUP(record[[#This Row],[PCUSTID]],廠商[],2,FALSE),"")</f>
        <v/>
      </c>
      <c r="S10042" t="str">
        <f>VLOOKUP(record[[#This Row],[employeeID]],員工[],2,FALSE)</f>
        <v>張淑惠</v>
      </c>
    </row>
    <row r="10043" spans="6:19" hidden="1" x14ac:dyDescent="0.25">
      <c r="F10043" t="s">
        <v>680</v>
      </c>
      <c r="G10043" t="s">
        <v>361</v>
      </c>
      <c r="H10043" t="str">
        <f>VLOOKUP(record[[#This Row],[ProcessSN]],表格2_7[],2,FALSE)</f>
        <v>30-4118-018-450</v>
      </c>
      <c r="I10043" t="str">
        <f>VLOOKUP(record[[#This Row],[ProcessSN]],表格2_7[],3,FALSE)</f>
        <v>#100STOCK</v>
      </c>
      <c r="J10043" t="s">
        <v>592</v>
      </c>
      <c r="K10043" s="195">
        <v>45742.456331018519</v>
      </c>
      <c r="L10043">
        <v>353</v>
      </c>
      <c r="M10043">
        <v>0</v>
      </c>
      <c r="N10043" s="98" t="str">
        <f>IF(record[[#This Row],[Memo]]="Browser:chrome os:android","平板報工",IF(record[[#This Row],[Memo]]=0,"委外",record[[#This Row],[Memo]]))</f>
        <v/>
      </c>
      <c r="O10043" t="s">
        <v>58</v>
      </c>
      <c r="P10043" t="s">
        <v>196</v>
      </c>
      <c r="Q10043" t="s">
        <v>58</v>
      </c>
      <c r="R10043" t="str">
        <f>IFERROR(VLOOKUP(record[[#This Row],[PCUSTID]],廠商[],2,FALSE),"")</f>
        <v/>
      </c>
      <c r="S10043" t="str">
        <f>VLOOKUP(record[[#This Row],[employeeID]],員工[],2,FALSE)</f>
        <v>張淑惠</v>
      </c>
    </row>
    <row r="10044" spans="6:19" hidden="1" x14ac:dyDescent="0.25">
      <c r="F10044" t="s">
        <v>752</v>
      </c>
      <c r="G10044" t="s">
        <v>415</v>
      </c>
      <c r="H10044" t="str">
        <f>VLOOKUP(record[[#This Row],[ProcessSN]],表格2_7[],2,FALSE)</f>
        <v>30-4118-018-5XX</v>
      </c>
      <c r="I10044" t="str">
        <f>VLOOKUP(record[[#This Row],[ProcessSN]],表格2_7[],3,FALSE)</f>
        <v>#04</v>
      </c>
      <c r="J10044" t="s">
        <v>588</v>
      </c>
      <c r="K10044" s="195">
        <v>45742.306516203702</v>
      </c>
      <c r="L10044">
        <v>150</v>
      </c>
      <c r="M10044">
        <v>0</v>
      </c>
      <c r="N10044" s="98" t="str">
        <f>IF(record[[#This Row],[Memo]]="Browser:chrome os:android","平板報工",IF(record[[#This Row],[Memo]]=0,"委外",record[[#This Row],[Memo]]))</f>
        <v/>
      </c>
      <c r="O10044" t="s">
        <v>58</v>
      </c>
      <c r="P10044" t="s">
        <v>135</v>
      </c>
      <c r="Q10044" t="s">
        <v>58</v>
      </c>
      <c r="R10044" t="str">
        <f>IFERROR(VLOOKUP(record[[#This Row],[PCUSTID]],廠商[],2,FALSE),"")</f>
        <v/>
      </c>
      <c r="S10044" t="str">
        <f>VLOOKUP(record[[#This Row],[employeeID]],員工[],2,FALSE)</f>
        <v>阮士文</v>
      </c>
    </row>
    <row r="10045" spans="6:19" hidden="1" x14ac:dyDescent="0.25">
      <c r="F10045" t="s">
        <v>752</v>
      </c>
      <c r="G10045" t="s">
        <v>414</v>
      </c>
      <c r="H10045" t="str">
        <f>VLOOKUP(record[[#This Row],[ProcessSN]],表格2_7[],2,FALSE)</f>
        <v>30-4118-018-5XX</v>
      </c>
      <c r="I10045" t="str">
        <f>VLOOKUP(record[[#This Row],[ProcessSN]],表格2_7[],3,FALSE)</f>
        <v>#03</v>
      </c>
      <c r="J10045" t="s">
        <v>588</v>
      </c>
      <c r="K10045" s="195">
        <v>45741.986851851849</v>
      </c>
      <c r="L10045">
        <v>672</v>
      </c>
      <c r="M10045">
        <v>0</v>
      </c>
      <c r="N10045" s="98" t="str">
        <f>IF(record[[#This Row],[Memo]]="Browser:chrome os:android","平板報工",IF(record[[#This Row],[Memo]]=0,"委外",record[[#This Row],[Memo]]))</f>
        <v/>
      </c>
      <c r="O10045" t="s">
        <v>58</v>
      </c>
      <c r="P10045" t="s">
        <v>89</v>
      </c>
      <c r="Q10045" t="s">
        <v>58</v>
      </c>
      <c r="R10045" t="str">
        <f>IFERROR(VLOOKUP(record[[#This Row],[PCUSTID]],廠商[],2,FALSE),"")</f>
        <v/>
      </c>
      <c r="S10045" t="str">
        <f>VLOOKUP(record[[#This Row],[employeeID]],員工[],2,FALSE)</f>
        <v>李美蓮</v>
      </c>
    </row>
    <row r="10046" spans="6:19" hidden="1" x14ac:dyDescent="0.25">
      <c r="F10046" t="s">
        <v>752</v>
      </c>
      <c r="G10046" t="s">
        <v>415</v>
      </c>
      <c r="H10046" t="str">
        <f>VLOOKUP(record[[#This Row],[ProcessSN]],表格2_7[],2,FALSE)</f>
        <v>30-4118-018-5XX</v>
      </c>
      <c r="I10046" t="str">
        <f>VLOOKUP(record[[#This Row],[ProcessSN]],表格2_7[],3,FALSE)</f>
        <v>#04</v>
      </c>
      <c r="J10046" t="s">
        <v>588</v>
      </c>
      <c r="K10046" s="195">
        <v>45741.986064814817</v>
      </c>
      <c r="L10046">
        <v>122</v>
      </c>
      <c r="M10046">
        <v>14</v>
      </c>
      <c r="N10046" s="98" t="str">
        <f>IF(record[[#This Row],[Memo]]="Browser:chrome os:android","平板報工",IF(record[[#This Row],[Memo]]=0,"委外",record[[#This Row],[Memo]]))</f>
        <v/>
      </c>
      <c r="O10046" t="s">
        <v>58</v>
      </c>
      <c r="P10046" t="s">
        <v>133</v>
      </c>
      <c r="Q10046" t="s">
        <v>58</v>
      </c>
      <c r="R10046" t="str">
        <f>IFERROR(VLOOKUP(record[[#This Row],[PCUSTID]],廠商[],2,FALSE),"")</f>
        <v/>
      </c>
      <c r="S10046" t="str">
        <f>VLOOKUP(record[[#This Row],[employeeID]],員工[],2,FALSE)</f>
        <v>黎長維</v>
      </c>
    </row>
    <row r="10047" spans="6:19" hidden="1" x14ac:dyDescent="0.25">
      <c r="F10047" t="s">
        <v>752</v>
      </c>
      <c r="G10047" t="s">
        <v>415</v>
      </c>
      <c r="H10047" t="str">
        <f>VLOOKUP(record[[#This Row],[ProcessSN]],表格2_7[],2,FALSE)</f>
        <v>30-4118-018-5XX</v>
      </c>
      <c r="I10047" t="str">
        <f>VLOOKUP(record[[#This Row],[ProcessSN]],表格2_7[],3,FALSE)</f>
        <v>#04</v>
      </c>
      <c r="J10047" t="s">
        <v>588</v>
      </c>
      <c r="K10047" s="195">
        <v>45741.677905092591</v>
      </c>
      <c r="L10047">
        <v>42</v>
      </c>
      <c r="M10047">
        <v>0</v>
      </c>
      <c r="N10047" s="98" t="str">
        <f>IF(record[[#This Row],[Memo]]="Browser:chrome os:android","平板報工",IF(record[[#This Row],[Memo]]=0,"委外",record[[#This Row],[Memo]]))</f>
        <v/>
      </c>
      <c r="O10047" t="s">
        <v>58</v>
      </c>
      <c r="P10047" t="s">
        <v>119</v>
      </c>
      <c r="Q10047" t="s">
        <v>58</v>
      </c>
      <c r="R10047" t="str">
        <f>IFERROR(VLOOKUP(record[[#This Row],[PCUSTID]],廠商[],2,FALSE),"")</f>
        <v/>
      </c>
      <c r="S10047" t="str">
        <f>VLOOKUP(record[[#This Row],[employeeID]],員工[],2,FALSE)</f>
        <v>廖俊彥</v>
      </c>
    </row>
    <row r="10048" spans="6:19" hidden="1" x14ac:dyDescent="0.25">
      <c r="F10048" t="s">
        <v>752</v>
      </c>
      <c r="G10048" t="s">
        <v>414</v>
      </c>
      <c r="H10048" t="str">
        <f>VLOOKUP(record[[#This Row],[ProcessSN]],表格2_7[],2,FALSE)</f>
        <v>30-4118-018-5XX</v>
      </c>
      <c r="I10048" t="str">
        <f>VLOOKUP(record[[#This Row],[ProcessSN]],表格2_7[],3,FALSE)</f>
        <v>#03</v>
      </c>
      <c r="J10048" t="s">
        <v>588</v>
      </c>
      <c r="K10048" s="195">
        <v>45741.677175925928</v>
      </c>
      <c r="L10048">
        <v>336</v>
      </c>
      <c r="M10048">
        <v>0</v>
      </c>
      <c r="N10048" s="98" t="str">
        <f>IF(record[[#This Row],[Memo]]="Browser:chrome os:android","平板報工",IF(record[[#This Row],[Memo]]=0,"委外",record[[#This Row],[Memo]]))</f>
        <v/>
      </c>
      <c r="O10048" t="s">
        <v>58</v>
      </c>
      <c r="P10048" t="s">
        <v>119</v>
      </c>
      <c r="Q10048" t="s">
        <v>58</v>
      </c>
      <c r="R10048" t="str">
        <f>IFERROR(VLOOKUP(record[[#This Row],[PCUSTID]],廠商[],2,FALSE),"")</f>
        <v/>
      </c>
      <c r="S10048" t="str">
        <f>VLOOKUP(record[[#This Row],[employeeID]],員工[],2,FALSE)</f>
        <v>廖俊彥</v>
      </c>
    </row>
    <row r="10049" spans="6:19" hidden="1" x14ac:dyDescent="0.25">
      <c r="F10049" t="s">
        <v>713</v>
      </c>
      <c r="G10049" t="s">
        <v>402</v>
      </c>
      <c r="H10049" t="str">
        <f>VLOOKUP(record[[#This Row],[ProcessSN]],表格2_7[],2,FALSE)</f>
        <v>30-4118-018-550</v>
      </c>
      <c r="I10049" t="str">
        <f>VLOOKUP(record[[#This Row],[ProcessSN]],表格2_7[],3,FALSE)</f>
        <v>#100STOCK</v>
      </c>
      <c r="J10049" t="s">
        <v>592</v>
      </c>
      <c r="K10049" s="195">
        <v>45741.570127314815</v>
      </c>
      <c r="L10049">
        <v>493</v>
      </c>
      <c r="M10049">
        <v>0</v>
      </c>
      <c r="N10049" s="98" t="str">
        <f>IF(record[[#This Row],[Memo]]="Browser:chrome os:android","平板報工",IF(record[[#This Row],[Memo]]=0,"委外",record[[#This Row],[Memo]]))</f>
        <v/>
      </c>
      <c r="O10049" t="s">
        <v>58</v>
      </c>
      <c r="P10049" t="s">
        <v>196</v>
      </c>
      <c r="Q10049" t="s">
        <v>58</v>
      </c>
      <c r="R10049" t="str">
        <f>IFERROR(VLOOKUP(record[[#This Row],[PCUSTID]],廠商[],2,FALSE),"")</f>
        <v/>
      </c>
      <c r="S10049" t="str">
        <f>VLOOKUP(record[[#This Row],[employeeID]],員工[],2,FALSE)</f>
        <v>張淑惠</v>
      </c>
    </row>
    <row r="10050" spans="6:19" hidden="1" x14ac:dyDescent="0.25">
      <c r="F10050" t="s">
        <v>752</v>
      </c>
      <c r="G10050" t="s">
        <v>414</v>
      </c>
      <c r="H10050" t="str">
        <f>VLOOKUP(record[[#This Row],[ProcessSN]],表格2_7[],2,FALSE)</f>
        <v>30-4118-018-5XX</v>
      </c>
      <c r="I10050" t="str">
        <f>VLOOKUP(record[[#This Row],[ProcessSN]],表格2_7[],3,FALSE)</f>
        <v>#03</v>
      </c>
      <c r="J10050" t="s">
        <v>588</v>
      </c>
      <c r="K10050" s="195">
        <v>45740.976180555554</v>
      </c>
      <c r="L10050">
        <v>336</v>
      </c>
      <c r="M10050">
        <v>0</v>
      </c>
      <c r="N10050" s="98" t="str">
        <f>IF(record[[#This Row],[Memo]]="Browser:chrome os:android","平板報工",IF(record[[#This Row],[Memo]]=0,"委外",record[[#This Row],[Memo]]))</f>
        <v/>
      </c>
      <c r="O10050" t="s">
        <v>58</v>
      </c>
      <c r="P10050" t="s">
        <v>89</v>
      </c>
      <c r="Q10050" t="s">
        <v>58</v>
      </c>
      <c r="R10050" t="str">
        <f>IFERROR(VLOOKUP(record[[#This Row],[PCUSTID]],廠商[],2,FALSE),"")</f>
        <v/>
      </c>
      <c r="S10050" t="str">
        <f>VLOOKUP(record[[#This Row],[employeeID]],員工[],2,FALSE)</f>
        <v>李美蓮</v>
      </c>
    </row>
    <row r="10051" spans="6:19" hidden="1" x14ac:dyDescent="0.25">
      <c r="F10051" t="s">
        <v>629</v>
      </c>
      <c r="G10051" t="s">
        <v>426</v>
      </c>
      <c r="H10051" t="str">
        <f>VLOOKUP(record[[#This Row],[ProcessSN]],表格2_7[],2,FALSE)</f>
        <v>30-4118-018-600</v>
      </c>
      <c r="I10051" t="str">
        <f>VLOOKUP(record[[#This Row],[ProcessSN]],表格2_7[],3,FALSE)</f>
        <v>#100OQC</v>
      </c>
      <c r="J10051" t="s">
        <v>599</v>
      </c>
      <c r="K10051" s="195">
        <v>45740.831145833334</v>
      </c>
      <c r="L10051">
        <v>1</v>
      </c>
      <c r="M10051">
        <v>0</v>
      </c>
      <c r="N10051" s="98" t="str">
        <f>IF(record[[#This Row],[Memo]]="Browser:chrome os:android","平板報工",IF(record[[#This Row],[Memo]]=0,"委外",record[[#This Row],[Memo]]))</f>
        <v/>
      </c>
      <c r="O10051" t="s">
        <v>58</v>
      </c>
      <c r="P10051" t="s">
        <v>121</v>
      </c>
      <c r="Q10051" t="s">
        <v>58</v>
      </c>
      <c r="R10051" t="str">
        <f>IFERROR(VLOOKUP(record[[#This Row],[PCUSTID]],廠商[],2,FALSE),"")</f>
        <v/>
      </c>
      <c r="S10051" t="str">
        <f>VLOOKUP(record[[#This Row],[employeeID]],員工[],2,FALSE)</f>
        <v>謝素卿</v>
      </c>
    </row>
    <row r="10052" spans="6:19" hidden="1" x14ac:dyDescent="0.25">
      <c r="F10052" t="s">
        <v>761</v>
      </c>
      <c r="G10052" t="s">
        <v>426</v>
      </c>
      <c r="H10052" t="str">
        <f>VLOOKUP(record[[#This Row],[ProcessSN]],表格2_7[],2,FALSE)</f>
        <v>30-4118-018-600</v>
      </c>
      <c r="I10052" t="str">
        <f>VLOOKUP(record[[#This Row],[ProcessSN]],表格2_7[],3,FALSE)</f>
        <v>#100OQC</v>
      </c>
      <c r="J10052" t="s">
        <v>599</v>
      </c>
      <c r="K10052" s="195">
        <v>45740.830983796295</v>
      </c>
      <c r="L10052">
        <v>3</v>
      </c>
      <c r="M10052">
        <v>0</v>
      </c>
      <c r="N10052" s="98" t="str">
        <f>IF(record[[#This Row],[Memo]]="Browser:chrome os:android","平板報工",IF(record[[#This Row],[Memo]]=0,"委外",record[[#This Row],[Memo]]))</f>
        <v/>
      </c>
      <c r="O10052" t="s">
        <v>58</v>
      </c>
      <c r="P10052" t="s">
        <v>121</v>
      </c>
      <c r="Q10052" t="s">
        <v>58</v>
      </c>
      <c r="R10052" t="str">
        <f>IFERROR(VLOOKUP(record[[#This Row],[PCUSTID]],廠商[],2,FALSE),"")</f>
        <v/>
      </c>
      <c r="S10052" t="str">
        <f>VLOOKUP(record[[#This Row],[employeeID]],員工[],2,FALSE)</f>
        <v>謝素卿</v>
      </c>
    </row>
    <row r="10053" spans="6:19" hidden="1" x14ac:dyDescent="0.25">
      <c r="F10053" t="s">
        <v>737</v>
      </c>
      <c r="G10053" t="s">
        <v>426</v>
      </c>
      <c r="H10053" t="str">
        <f>VLOOKUP(record[[#This Row],[ProcessSN]],表格2_7[],2,FALSE)</f>
        <v>30-4118-018-600</v>
      </c>
      <c r="I10053" t="str">
        <f>VLOOKUP(record[[#This Row],[ProcessSN]],表格2_7[],3,FALSE)</f>
        <v>#100OQC</v>
      </c>
      <c r="J10053" t="s">
        <v>599</v>
      </c>
      <c r="K10053" s="195">
        <v>45740.830694444441</v>
      </c>
      <c r="L10053">
        <v>124</v>
      </c>
      <c r="M10053">
        <v>0</v>
      </c>
      <c r="N10053" s="98" t="str">
        <f>IF(record[[#This Row],[Memo]]="Browser:chrome os:android","平板報工",IF(record[[#This Row],[Memo]]=0,"委外",record[[#This Row],[Memo]]))</f>
        <v/>
      </c>
      <c r="O10053" t="s">
        <v>58</v>
      </c>
      <c r="P10053" t="s">
        <v>121</v>
      </c>
      <c r="Q10053" t="s">
        <v>58</v>
      </c>
      <c r="R10053" t="str">
        <f>IFERROR(VLOOKUP(record[[#This Row],[PCUSTID]],廠商[],2,FALSE),"")</f>
        <v/>
      </c>
      <c r="S10053" t="str">
        <f>VLOOKUP(record[[#This Row],[employeeID]],員工[],2,FALSE)</f>
        <v>謝素卿</v>
      </c>
    </row>
    <row r="10054" spans="6:19" hidden="1" x14ac:dyDescent="0.25">
      <c r="F10054" t="s">
        <v>733</v>
      </c>
      <c r="G10054" t="s">
        <v>426</v>
      </c>
      <c r="H10054" t="str">
        <f>VLOOKUP(record[[#This Row],[ProcessSN]],表格2_7[],2,FALSE)</f>
        <v>30-4118-018-600</v>
      </c>
      <c r="I10054" t="str">
        <f>VLOOKUP(record[[#This Row],[ProcessSN]],表格2_7[],3,FALSE)</f>
        <v>#100OQC</v>
      </c>
      <c r="J10054" t="s">
        <v>599</v>
      </c>
      <c r="K10054" s="195">
        <v>45740.830416666664</v>
      </c>
      <c r="L10054">
        <v>165</v>
      </c>
      <c r="M10054">
        <v>0</v>
      </c>
      <c r="N10054" s="98" t="str">
        <f>IF(record[[#This Row],[Memo]]="Browser:chrome os:android","平板報工",IF(record[[#This Row],[Memo]]=0,"委外",record[[#This Row],[Memo]]))</f>
        <v/>
      </c>
      <c r="O10054" t="s">
        <v>58</v>
      </c>
      <c r="P10054" t="s">
        <v>121</v>
      </c>
      <c r="Q10054" t="s">
        <v>58</v>
      </c>
      <c r="R10054" t="str">
        <f>IFERROR(VLOOKUP(record[[#This Row],[PCUSTID]],廠商[],2,FALSE),"")</f>
        <v/>
      </c>
      <c r="S10054" t="str">
        <f>VLOOKUP(record[[#This Row],[employeeID]],員工[],2,FALSE)</f>
        <v>謝素卿</v>
      </c>
    </row>
    <row r="10055" spans="6:19" hidden="1" x14ac:dyDescent="0.25">
      <c r="F10055" t="s">
        <v>718</v>
      </c>
      <c r="G10055" t="s">
        <v>426</v>
      </c>
      <c r="H10055" t="str">
        <f>VLOOKUP(record[[#This Row],[ProcessSN]],表格2_7[],2,FALSE)</f>
        <v>30-4118-018-600</v>
      </c>
      <c r="I10055" t="str">
        <f>VLOOKUP(record[[#This Row],[ProcessSN]],表格2_7[],3,FALSE)</f>
        <v>#100OQC</v>
      </c>
      <c r="J10055" t="s">
        <v>599</v>
      </c>
      <c r="K10055" s="195">
        <v>45740.830185185187</v>
      </c>
      <c r="L10055">
        <v>78</v>
      </c>
      <c r="M10055">
        <v>0</v>
      </c>
      <c r="N10055" s="98" t="str">
        <f>IF(record[[#This Row],[Memo]]="Browser:chrome os:android","平板報工",IF(record[[#This Row],[Memo]]=0,"委外",record[[#This Row],[Memo]]))</f>
        <v/>
      </c>
      <c r="O10055" t="s">
        <v>58</v>
      </c>
      <c r="P10055" t="s">
        <v>121</v>
      </c>
      <c r="Q10055" t="s">
        <v>58</v>
      </c>
      <c r="R10055" t="str">
        <f>IFERROR(VLOOKUP(record[[#This Row],[PCUSTID]],廠商[],2,FALSE),"")</f>
        <v/>
      </c>
      <c r="S10055" t="str">
        <f>VLOOKUP(record[[#This Row],[employeeID]],員工[],2,FALSE)</f>
        <v>謝素卿</v>
      </c>
    </row>
    <row r="10056" spans="6:19" hidden="1" x14ac:dyDescent="0.25">
      <c r="F10056" t="s">
        <v>717</v>
      </c>
      <c r="G10056" t="s">
        <v>426</v>
      </c>
      <c r="H10056" t="str">
        <f>VLOOKUP(record[[#This Row],[ProcessSN]],表格2_7[],2,FALSE)</f>
        <v>30-4118-018-600</v>
      </c>
      <c r="I10056" t="str">
        <f>VLOOKUP(record[[#This Row],[ProcessSN]],表格2_7[],3,FALSE)</f>
        <v>#100OQC</v>
      </c>
      <c r="J10056" t="s">
        <v>599</v>
      </c>
      <c r="K10056" s="195">
        <v>45740.829965277779</v>
      </c>
      <c r="L10056">
        <v>312</v>
      </c>
      <c r="M10056">
        <v>0</v>
      </c>
      <c r="N10056" s="98" t="str">
        <f>IF(record[[#This Row],[Memo]]="Browser:chrome os:android","平板報工",IF(record[[#This Row],[Memo]]=0,"委外",record[[#This Row],[Memo]]))</f>
        <v/>
      </c>
      <c r="O10056" t="s">
        <v>58</v>
      </c>
      <c r="P10056" t="s">
        <v>121</v>
      </c>
      <c r="Q10056" t="s">
        <v>58</v>
      </c>
      <c r="R10056" t="str">
        <f>IFERROR(VLOOKUP(record[[#This Row],[PCUSTID]],廠商[],2,FALSE),"")</f>
        <v/>
      </c>
      <c r="S10056" t="str">
        <f>VLOOKUP(record[[#This Row],[employeeID]],員工[],2,FALSE)</f>
        <v>謝素卿</v>
      </c>
    </row>
    <row r="10057" spans="6:19" hidden="1" x14ac:dyDescent="0.25">
      <c r="F10057" t="s">
        <v>720</v>
      </c>
      <c r="G10057" t="s">
        <v>426</v>
      </c>
      <c r="H10057" t="str">
        <f>VLOOKUP(record[[#This Row],[ProcessSN]],表格2_7[],2,FALSE)</f>
        <v>30-4118-018-600</v>
      </c>
      <c r="I10057" t="str">
        <f>VLOOKUP(record[[#This Row],[ProcessSN]],表格2_7[],3,FALSE)</f>
        <v>#100OQC</v>
      </c>
      <c r="J10057" t="s">
        <v>599</v>
      </c>
      <c r="K10057" s="195">
        <v>45740.829780092594</v>
      </c>
      <c r="L10057">
        <v>162</v>
      </c>
      <c r="M10057">
        <v>0</v>
      </c>
      <c r="N10057" s="98" t="str">
        <f>IF(record[[#This Row],[Memo]]="Browser:chrome os:android","平板報工",IF(record[[#This Row],[Memo]]=0,"委外",record[[#This Row],[Memo]]))</f>
        <v/>
      </c>
      <c r="O10057" t="s">
        <v>58</v>
      </c>
      <c r="P10057" t="s">
        <v>121</v>
      </c>
      <c r="Q10057" t="s">
        <v>58</v>
      </c>
      <c r="R10057" t="str">
        <f>IFERROR(VLOOKUP(record[[#This Row],[PCUSTID]],廠商[],2,FALSE),"")</f>
        <v/>
      </c>
      <c r="S10057" t="str">
        <f>VLOOKUP(record[[#This Row],[employeeID]],員工[],2,FALSE)</f>
        <v>謝素卿</v>
      </c>
    </row>
    <row r="10058" spans="6:19" hidden="1" x14ac:dyDescent="0.25">
      <c r="F10058" t="s">
        <v>739</v>
      </c>
      <c r="G10058" t="s">
        <v>426</v>
      </c>
      <c r="H10058" t="str">
        <f>VLOOKUP(record[[#This Row],[ProcessSN]],表格2_7[],2,FALSE)</f>
        <v>30-4118-018-600</v>
      </c>
      <c r="I10058" t="str">
        <f>VLOOKUP(record[[#This Row],[ProcessSN]],表格2_7[],3,FALSE)</f>
        <v>#100OQC</v>
      </c>
      <c r="J10058" t="s">
        <v>599</v>
      </c>
      <c r="K10058" s="195">
        <v>45740.829456018517</v>
      </c>
      <c r="L10058">
        <v>312</v>
      </c>
      <c r="M10058">
        <v>0</v>
      </c>
      <c r="N10058" s="98" t="str">
        <f>IF(record[[#This Row],[Memo]]="Browser:chrome os:android","平板報工",IF(record[[#This Row],[Memo]]=0,"委外",record[[#This Row],[Memo]]))</f>
        <v/>
      </c>
      <c r="O10058" t="s">
        <v>58</v>
      </c>
      <c r="P10058" t="s">
        <v>121</v>
      </c>
      <c r="Q10058" t="s">
        <v>58</v>
      </c>
      <c r="R10058" t="str">
        <f>IFERROR(VLOOKUP(record[[#This Row],[PCUSTID]],廠商[],2,FALSE),"")</f>
        <v/>
      </c>
      <c r="S10058" t="str">
        <f>VLOOKUP(record[[#This Row],[employeeID]],員工[],2,FALSE)</f>
        <v>謝素卿</v>
      </c>
    </row>
    <row r="10059" spans="6:19" hidden="1" x14ac:dyDescent="0.25">
      <c r="F10059" t="s">
        <v>744</v>
      </c>
      <c r="G10059" t="s">
        <v>426</v>
      </c>
      <c r="H10059" t="str">
        <f>VLOOKUP(record[[#This Row],[ProcessSN]],表格2_7[],2,FALSE)</f>
        <v>30-4118-018-600</v>
      </c>
      <c r="I10059" t="str">
        <f>VLOOKUP(record[[#This Row],[ProcessSN]],表格2_7[],3,FALSE)</f>
        <v>#100OQC</v>
      </c>
      <c r="J10059" t="s">
        <v>599</v>
      </c>
      <c r="K10059" s="195">
        <v>45740.829050925924</v>
      </c>
      <c r="L10059">
        <v>269</v>
      </c>
      <c r="M10059">
        <v>0</v>
      </c>
      <c r="N10059" s="98" t="str">
        <f>IF(record[[#This Row],[Memo]]="Browser:chrome os:android","平板報工",IF(record[[#This Row],[Memo]]=0,"委外",record[[#This Row],[Memo]]))</f>
        <v/>
      </c>
      <c r="O10059" t="s">
        <v>58</v>
      </c>
      <c r="P10059" t="s">
        <v>121</v>
      </c>
      <c r="Q10059" t="s">
        <v>58</v>
      </c>
      <c r="R10059" t="str">
        <f>IFERROR(VLOOKUP(record[[#This Row],[PCUSTID]],廠商[],2,FALSE),"")</f>
        <v/>
      </c>
      <c r="S10059" t="str">
        <f>VLOOKUP(record[[#This Row],[employeeID]],員工[],2,FALSE)</f>
        <v>謝素卿</v>
      </c>
    </row>
    <row r="10060" spans="6:19" hidden="1" x14ac:dyDescent="0.25">
      <c r="F10060" t="s">
        <v>713</v>
      </c>
      <c r="G10060" t="s">
        <v>401</v>
      </c>
      <c r="H10060" t="str">
        <f>VLOOKUP(record[[#This Row],[ProcessSN]],表格2_7[],2,FALSE)</f>
        <v>30-4118-018-550</v>
      </c>
      <c r="I10060" t="str">
        <f>VLOOKUP(record[[#This Row],[ProcessSN]],表格2_7[],3,FALSE)</f>
        <v>#100OQC</v>
      </c>
      <c r="J10060" t="s">
        <v>599</v>
      </c>
      <c r="K10060" s="195">
        <v>45740.828518518516</v>
      </c>
      <c r="L10060">
        <v>493</v>
      </c>
      <c r="M10060">
        <v>0</v>
      </c>
      <c r="N10060" s="98" t="str">
        <f>IF(record[[#This Row],[Memo]]="Browser:chrome os:android","平板報工",IF(record[[#This Row],[Memo]]=0,"委外",record[[#This Row],[Memo]]))</f>
        <v/>
      </c>
      <c r="O10060" t="s">
        <v>58</v>
      </c>
      <c r="P10060" t="s">
        <v>121</v>
      </c>
      <c r="Q10060" t="s">
        <v>58</v>
      </c>
      <c r="R10060" t="str">
        <f>IFERROR(VLOOKUP(record[[#This Row],[PCUSTID]],廠商[],2,FALSE),"")</f>
        <v/>
      </c>
      <c r="S10060" t="str">
        <f>VLOOKUP(record[[#This Row],[employeeID]],員工[],2,FALSE)</f>
        <v>謝素卿</v>
      </c>
    </row>
    <row r="10061" spans="6:19" hidden="1" x14ac:dyDescent="0.25">
      <c r="F10061" t="s">
        <v>629</v>
      </c>
      <c r="G10061" t="s">
        <v>425</v>
      </c>
      <c r="H10061" t="str">
        <f>VLOOKUP(record[[#This Row],[ProcessSN]],表格2_7[],2,FALSE)</f>
        <v>30-4118-018-600</v>
      </c>
      <c r="I10061" t="str">
        <f>VLOOKUP(record[[#This Row],[ProcessSN]],表格2_7[],3,FALSE)</f>
        <v>#100</v>
      </c>
      <c r="J10061" t="s">
        <v>598</v>
      </c>
      <c r="K10061" s="195">
        <v>45736.473703703705</v>
      </c>
      <c r="L10061">
        <v>1</v>
      </c>
      <c r="M10061">
        <v>0</v>
      </c>
      <c r="N10061" s="98" t="str">
        <f>IF(record[[#This Row],[Memo]]="Browser:chrome os:android","平板報工",IF(record[[#This Row],[Memo]]=0,"委外",record[[#This Row],[Memo]]))</f>
        <v>平板報工</v>
      </c>
      <c r="O10061" t="s">
        <v>643</v>
      </c>
      <c r="P10061" t="s">
        <v>141</v>
      </c>
      <c r="Q10061" t="s">
        <v>644</v>
      </c>
      <c r="R10061" t="str">
        <f>IFERROR(VLOOKUP(record[[#This Row],[PCUSTID]],廠商[],2,FALSE),"")</f>
        <v/>
      </c>
      <c r="S10061" t="str">
        <f>VLOOKUP(record[[#This Row],[employeeID]],員工[],2,FALSE)</f>
        <v>蔣梅</v>
      </c>
    </row>
    <row r="10062" spans="6:19" hidden="1" x14ac:dyDescent="0.25">
      <c r="F10062" t="s">
        <v>761</v>
      </c>
      <c r="G10062" t="s">
        <v>425</v>
      </c>
      <c r="H10062" t="str">
        <f>VLOOKUP(record[[#This Row],[ProcessSN]],表格2_7[],2,FALSE)</f>
        <v>30-4118-018-600</v>
      </c>
      <c r="I10062" t="str">
        <f>VLOOKUP(record[[#This Row],[ProcessSN]],表格2_7[],3,FALSE)</f>
        <v>#100</v>
      </c>
      <c r="J10062" t="s">
        <v>598</v>
      </c>
      <c r="K10062" s="195">
        <v>45736.469363425924</v>
      </c>
      <c r="L10062">
        <v>3</v>
      </c>
      <c r="M10062">
        <v>0</v>
      </c>
      <c r="N10062" s="98" t="str">
        <f>IF(record[[#This Row],[Memo]]="Browser:chrome os:android","平板報工",IF(record[[#This Row],[Memo]]=0,"委外",record[[#This Row],[Memo]]))</f>
        <v>平板報工</v>
      </c>
      <c r="O10062" t="s">
        <v>643</v>
      </c>
      <c r="P10062" t="s">
        <v>141</v>
      </c>
      <c r="Q10062" t="s">
        <v>644</v>
      </c>
      <c r="R10062" t="str">
        <f>IFERROR(VLOOKUP(record[[#This Row],[PCUSTID]],廠商[],2,FALSE),"")</f>
        <v/>
      </c>
      <c r="S10062" t="str">
        <f>VLOOKUP(record[[#This Row],[employeeID]],員工[],2,FALSE)</f>
        <v>蔣梅</v>
      </c>
    </row>
    <row r="10063" spans="6:19" hidden="1" x14ac:dyDescent="0.25">
      <c r="F10063" t="s">
        <v>699</v>
      </c>
      <c r="G10063" t="s">
        <v>403</v>
      </c>
      <c r="H10063" t="str">
        <f>VLOOKUP(record[[#This Row],[ProcessSN]],表格2_7[],2,FALSE)</f>
        <v>30-4118-018-550</v>
      </c>
      <c r="I10063" t="str">
        <f>VLOOKUP(record[[#This Row],[ProcessSN]],表格2_7[],3,FALSE)</f>
        <v>#100SHIP</v>
      </c>
      <c r="J10063" t="s">
        <v>600</v>
      </c>
      <c r="K10063" s="195">
        <v>45736.398136574076</v>
      </c>
      <c r="L10063">
        <v>36</v>
      </c>
      <c r="M10063">
        <v>0</v>
      </c>
      <c r="N10063" s="98" t="str">
        <f>IF(record[[#This Row],[Memo]]="Browser:chrome os:android","平板報工",IF(record[[#This Row],[Memo]]=0,"委外",record[[#This Row],[Memo]]))</f>
        <v/>
      </c>
      <c r="O10063" t="s">
        <v>58</v>
      </c>
      <c r="P10063" t="s">
        <v>196</v>
      </c>
      <c r="Q10063" t="s">
        <v>58</v>
      </c>
      <c r="R10063" t="str">
        <f>IFERROR(VLOOKUP(record[[#This Row],[PCUSTID]],廠商[],2,FALSE),"")</f>
        <v/>
      </c>
      <c r="S10063" t="str">
        <f>VLOOKUP(record[[#This Row],[employeeID]],員工[],2,FALSE)</f>
        <v>張淑惠</v>
      </c>
    </row>
    <row r="10064" spans="6:19" hidden="1" x14ac:dyDescent="0.25">
      <c r="F10064" t="s">
        <v>697</v>
      </c>
      <c r="G10064" t="s">
        <v>403</v>
      </c>
      <c r="H10064" t="str">
        <f>VLOOKUP(record[[#This Row],[ProcessSN]],表格2_7[],2,FALSE)</f>
        <v>30-4118-018-550</v>
      </c>
      <c r="I10064" t="str">
        <f>VLOOKUP(record[[#This Row],[ProcessSN]],表格2_7[],3,FALSE)</f>
        <v>#100SHIP</v>
      </c>
      <c r="J10064" t="s">
        <v>600</v>
      </c>
      <c r="K10064" s="195">
        <v>45736.397881944446</v>
      </c>
      <c r="L10064">
        <v>159</v>
      </c>
      <c r="M10064">
        <v>0</v>
      </c>
      <c r="N10064" s="98" t="str">
        <f>IF(record[[#This Row],[Memo]]="Browser:chrome os:android","平板報工",IF(record[[#This Row],[Memo]]=0,"委外",record[[#This Row],[Memo]]))</f>
        <v/>
      </c>
      <c r="O10064" t="s">
        <v>58</v>
      </c>
      <c r="P10064" t="s">
        <v>196</v>
      </c>
      <c r="Q10064" t="s">
        <v>58</v>
      </c>
      <c r="R10064" t="str">
        <f>IFERROR(VLOOKUP(record[[#This Row],[PCUSTID]],廠商[],2,FALSE),"")</f>
        <v/>
      </c>
      <c r="S10064" t="str">
        <f>VLOOKUP(record[[#This Row],[employeeID]],員工[],2,FALSE)</f>
        <v>張淑惠</v>
      </c>
    </row>
    <row r="10065" spans="6:19" hidden="1" x14ac:dyDescent="0.25">
      <c r="F10065" t="s">
        <v>689</v>
      </c>
      <c r="G10065" t="s">
        <v>403</v>
      </c>
      <c r="H10065" t="str">
        <f>VLOOKUP(record[[#This Row],[ProcessSN]],表格2_7[],2,FALSE)</f>
        <v>30-4118-018-550</v>
      </c>
      <c r="I10065" t="str">
        <f>VLOOKUP(record[[#This Row],[ProcessSN]],表格2_7[],3,FALSE)</f>
        <v>#100SHIP</v>
      </c>
      <c r="J10065" t="s">
        <v>600</v>
      </c>
      <c r="K10065" s="195">
        <v>45736.397569444445</v>
      </c>
      <c r="L10065">
        <v>152</v>
      </c>
      <c r="M10065">
        <v>0</v>
      </c>
      <c r="N10065" s="98" t="str">
        <f>IF(record[[#This Row],[Memo]]="Browser:chrome os:android","平板報工",IF(record[[#This Row],[Memo]]=0,"委外",record[[#This Row],[Memo]]))</f>
        <v/>
      </c>
      <c r="O10065" t="s">
        <v>58</v>
      </c>
      <c r="P10065" t="s">
        <v>196</v>
      </c>
      <c r="Q10065" t="s">
        <v>58</v>
      </c>
      <c r="R10065" t="str">
        <f>IFERROR(VLOOKUP(record[[#This Row],[PCUSTID]],廠商[],2,FALSE),"")</f>
        <v/>
      </c>
      <c r="S10065" t="str">
        <f>VLOOKUP(record[[#This Row],[employeeID]],員工[],2,FALSE)</f>
        <v>張淑惠</v>
      </c>
    </row>
    <row r="10066" spans="6:19" hidden="1" x14ac:dyDescent="0.25">
      <c r="F10066" t="s">
        <v>684</v>
      </c>
      <c r="G10066" t="s">
        <v>403</v>
      </c>
      <c r="H10066" t="str">
        <f>VLOOKUP(record[[#This Row],[ProcessSN]],表格2_7[],2,FALSE)</f>
        <v>30-4118-018-550</v>
      </c>
      <c r="I10066" t="str">
        <f>VLOOKUP(record[[#This Row],[ProcessSN]],表格2_7[],3,FALSE)</f>
        <v>#100SHIP</v>
      </c>
      <c r="J10066" t="s">
        <v>600</v>
      </c>
      <c r="K10066" s="195">
        <v>45736.397222222222</v>
      </c>
      <c r="L10066">
        <v>87</v>
      </c>
      <c r="M10066">
        <v>0</v>
      </c>
      <c r="N10066" s="98" t="str">
        <f>IF(record[[#This Row],[Memo]]="Browser:chrome os:android","平板報工",IF(record[[#This Row],[Memo]]=0,"委外",record[[#This Row],[Memo]]))</f>
        <v/>
      </c>
      <c r="O10066" t="s">
        <v>58</v>
      </c>
      <c r="P10066" t="s">
        <v>196</v>
      </c>
      <c r="Q10066" t="s">
        <v>58</v>
      </c>
      <c r="R10066" t="str">
        <f>IFERROR(VLOOKUP(record[[#This Row],[PCUSTID]],廠商[],2,FALSE),"")</f>
        <v/>
      </c>
      <c r="S10066" t="str">
        <f>VLOOKUP(record[[#This Row],[employeeID]],員工[],2,FALSE)</f>
        <v>張淑惠</v>
      </c>
    </row>
    <row r="10067" spans="6:19" hidden="1" x14ac:dyDescent="0.25">
      <c r="F10067" t="s">
        <v>720</v>
      </c>
      <c r="G10067" t="s">
        <v>425</v>
      </c>
      <c r="H10067" t="str">
        <f>VLOOKUP(record[[#This Row],[ProcessSN]],表格2_7[],2,FALSE)</f>
        <v>30-4118-018-600</v>
      </c>
      <c r="I10067" t="str">
        <f>VLOOKUP(record[[#This Row],[ProcessSN]],表格2_7[],3,FALSE)</f>
        <v>#100</v>
      </c>
      <c r="J10067" t="s">
        <v>598</v>
      </c>
      <c r="K10067" s="195">
        <v>45735.874907407408</v>
      </c>
      <c r="L10067">
        <v>1</v>
      </c>
      <c r="M10067">
        <v>0</v>
      </c>
      <c r="N10067" s="98" t="str">
        <f>IF(record[[#This Row],[Memo]]="Browser:chrome os:android","平板報工",IF(record[[#This Row],[Memo]]=0,"委外",record[[#This Row],[Memo]]))</f>
        <v>平板報工</v>
      </c>
      <c r="O10067" t="s">
        <v>643</v>
      </c>
      <c r="P10067" t="s">
        <v>686</v>
      </c>
      <c r="Q10067" t="s">
        <v>644</v>
      </c>
      <c r="R10067" t="str">
        <f>IFERROR(VLOOKUP(record[[#This Row],[PCUSTID]],廠商[],2,FALSE),"")</f>
        <v/>
      </c>
      <c r="S10067" t="str">
        <f>VLOOKUP(record[[#This Row],[employeeID]],員工[],2,FALSE)</f>
        <v>田佩娟</v>
      </c>
    </row>
    <row r="10068" spans="6:19" hidden="1" x14ac:dyDescent="0.25">
      <c r="F10068" t="s">
        <v>718</v>
      </c>
      <c r="G10068" t="s">
        <v>425</v>
      </c>
      <c r="H10068" t="str">
        <f>VLOOKUP(record[[#This Row],[ProcessSN]],表格2_7[],2,FALSE)</f>
        <v>30-4118-018-600</v>
      </c>
      <c r="I10068" t="str">
        <f>VLOOKUP(record[[#This Row],[ProcessSN]],表格2_7[],3,FALSE)</f>
        <v>#100</v>
      </c>
      <c r="J10068" t="s">
        <v>598</v>
      </c>
      <c r="K10068" s="195">
        <v>45735.874652777777</v>
      </c>
      <c r="L10068">
        <v>1</v>
      </c>
      <c r="M10068">
        <v>0</v>
      </c>
      <c r="N10068" s="98" t="str">
        <f>IF(record[[#This Row],[Memo]]="Browser:chrome os:android","平板報工",IF(record[[#This Row],[Memo]]=0,"委外",record[[#This Row],[Memo]]))</f>
        <v>平板報工</v>
      </c>
      <c r="O10068" t="s">
        <v>643</v>
      </c>
      <c r="P10068" t="s">
        <v>686</v>
      </c>
      <c r="Q10068" t="s">
        <v>644</v>
      </c>
      <c r="R10068" t="str">
        <f>IFERROR(VLOOKUP(record[[#This Row],[PCUSTID]],廠商[],2,FALSE),"")</f>
        <v/>
      </c>
      <c r="S10068" t="str">
        <f>VLOOKUP(record[[#This Row],[employeeID]],員工[],2,FALSE)</f>
        <v>田佩娟</v>
      </c>
    </row>
    <row r="10069" spans="6:19" hidden="1" x14ac:dyDescent="0.25">
      <c r="F10069" t="s">
        <v>733</v>
      </c>
      <c r="G10069" t="s">
        <v>425</v>
      </c>
      <c r="H10069" t="str">
        <f>VLOOKUP(record[[#This Row],[ProcessSN]],表格2_7[],2,FALSE)</f>
        <v>30-4118-018-600</v>
      </c>
      <c r="I10069" t="str">
        <f>VLOOKUP(record[[#This Row],[ProcessSN]],表格2_7[],3,FALSE)</f>
        <v>#100</v>
      </c>
      <c r="J10069" t="s">
        <v>598</v>
      </c>
      <c r="K10069" s="195">
        <v>45735.874212962961</v>
      </c>
      <c r="L10069">
        <v>1</v>
      </c>
      <c r="M10069">
        <v>0</v>
      </c>
      <c r="N10069" s="98" t="str">
        <f>IF(record[[#This Row],[Memo]]="Browser:chrome os:android","平板報工",IF(record[[#This Row],[Memo]]=0,"委外",record[[#This Row],[Memo]]))</f>
        <v>平板報工</v>
      </c>
      <c r="O10069" t="s">
        <v>643</v>
      </c>
      <c r="P10069" t="s">
        <v>686</v>
      </c>
      <c r="Q10069" t="s">
        <v>644</v>
      </c>
      <c r="R10069" t="str">
        <f>IFERROR(VLOOKUP(record[[#This Row],[PCUSTID]],廠商[],2,FALSE),"")</f>
        <v/>
      </c>
      <c r="S10069" t="str">
        <f>VLOOKUP(record[[#This Row],[employeeID]],員工[],2,FALSE)</f>
        <v>田佩娟</v>
      </c>
    </row>
    <row r="10070" spans="6:19" hidden="1" x14ac:dyDescent="0.25">
      <c r="F10070" t="s">
        <v>739</v>
      </c>
      <c r="G10070" t="s">
        <v>425</v>
      </c>
      <c r="H10070" t="str">
        <f>VLOOKUP(record[[#This Row],[ProcessSN]],表格2_7[],2,FALSE)</f>
        <v>30-4118-018-600</v>
      </c>
      <c r="I10070" t="str">
        <f>VLOOKUP(record[[#This Row],[ProcessSN]],表格2_7[],3,FALSE)</f>
        <v>#100</v>
      </c>
      <c r="J10070" t="s">
        <v>598</v>
      </c>
      <c r="K10070" s="195">
        <v>45735.87395833333</v>
      </c>
      <c r="L10070">
        <v>1</v>
      </c>
      <c r="M10070">
        <v>0</v>
      </c>
      <c r="N10070" s="98" t="str">
        <f>IF(record[[#This Row],[Memo]]="Browser:chrome os:android","平板報工",IF(record[[#This Row],[Memo]]=0,"委外",record[[#This Row],[Memo]]))</f>
        <v>平板報工</v>
      </c>
      <c r="O10070" t="s">
        <v>643</v>
      </c>
      <c r="P10070" t="s">
        <v>686</v>
      </c>
      <c r="Q10070" t="s">
        <v>644</v>
      </c>
      <c r="R10070" t="str">
        <f>IFERROR(VLOOKUP(record[[#This Row],[PCUSTID]],廠商[],2,FALSE),"")</f>
        <v/>
      </c>
      <c r="S10070" t="str">
        <f>VLOOKUP(record[[#This Row],[employeeID]],員工[],2,FALSE)</f>
        <v>田佩娟</v>
      </c>
    </row>
    <row r="10071" spans="6:19" hidden="1" x14ac:dyDescent="0.25">
      <c r="F10071" t="s">
        <v>737</v>
      </c>
      <c r="G10071" t="s">
        <v>425</v>
      </c>
      <c r="H10071" t="str">
        <f>VLOOKUP(record[[#This Row],[ProcessSN]],表格2_7[],2,FALSE)</f>
        <v>30-4118-018-600</v>
      </c>
      <c r="I10071" t="str">
        <f>VLOOKUP(record[[#This Row],[ProcessSN]],表格2_7[],3,FALSE)</f>
        <v>#100</v>
      </c>
      <c r="J10071" t="s">
        <v>598</v>
      </c>
      <c r="K10071" s="195">
        <v>45735.873645833337</v>
      </c>
      <c r="L10071">
        <v>2</v>
      </c>
      <c r="M10071">
        <v>0</v>
      </c>
      <c r="N10071" s="98" t="str">
        <f>IF(record[[#This Row],[Memo]]="Browser:chrome os:android","平板報工",IF(record[[#This Row],[Memo]]=0,"委外",record[[#This Row],[Memo]]))</f>
        <v>平板報工</v>
      </c>
      <c r="O10071" t="s">
        <v>643</v>
      </c>
      <c r="P10071" t="s">
        <v>686</v>
      </c>
      <c r="Q10071" t="s">
        <v>644</v>
      </c>
      <c r="R10071" t="str">
        <f>IFERROR(VLOOKUP(record[[#This Row],[PCUSTID]],廠商[],2,FALSE),"")</f>
        <v/>
      </c>
      <c r="S10071" t="str">
        <f>VLOOKUP(record[[#This Row],[employeeID]],員工[],2,FALSE)</f>
        <v>田佩娟</v>
      </c>
    </row>
    <row r="10072" spans="6:19" hidden="1" x14ac:dyDescent="0.25">
      <c r="F10072" t="s">
        <v>717</v>
      </c>
      <c r="G10072" t="s">
        <v>428</v>
      </c>
      <c r="H10072" t="str">
        <f>VLOOKUP(record[[#This Row],[ProcessSN]],表格2_7[],2,FALSE)</f>
        <v>30-4118-018-600</v>
      </c>
      <c r="I10072" t="str">
        <f>VLOOKUP(record[[#This Row],[ProcessSN]],表格2_7[],3,FALSE)</f>
        <v>#100SHIP</v>
      </c>
      <c r="J10072" t="s">
        <v>600</v>
      </c>
      <c r="K10072" s="195">
        <v>45735.417534722219</v>
      </c>
      <c r="L10072">
        <v>4</v>
      </c>
      <c r="M10072">
        <v>0</v>
      </c>
      <c r="N10072" s="98" t="str">
        <f>IF(record[[#This Row],[Memo]]="Browser:chrome os:android","平板報工",IF(record[[#This Row],[Memo]]=0,"委外",record[[#This Row],[Memo]]))</f>
        <v/>
      </c>
      <c r="O10072" t="s">
        <v>58</v>
      </c>
      <c r="P10072" t="s">
        <v>196</v>
      </c>
      <c r="Q10072" t="s">
        <v>58</v>
      </c>
      <c r="R10072" t="str">
        <f>IFERROR(VLOOKUP(record[[#This Row],[PCUSTID]],廠商[],2,FALSE),"")</f>
        <v/>
      </c>
      <c r="S10072" t="str">
        <f>VLOOKUP(record[[#This Row],[employeeID]],員工[],2,FALSE)</f>
        <v>張淑惠</v>
      </c>
    </row>
    <row r="10073" spans="6:19" hidden="1" x14ac:dyDescent="0.25">
      <c r="F10073" t="s">
        <v>628</v>
      </c>
      <c r="G10073" t="s">
        <v>428</v>
      </c>
      <c r="H10073" t="str">
        <f>VLOOKUP(record[[#This Row],[ProcessSN]],表格2_7[],2,FALSE)</f>
        <v>30-4118-018-600</v>
      </c>
      <c r="I10073" t="str">
        <f>VLOOKUP(record[[#This Row],[ProcessSN]],表格2_7[],3,FALSE)</f>
        <v>#100SHIP</v>
      </c>
      <c r="J10073" t="s">
        <v>600</v>
      </c>
      <c r="K10073" s="195">
        <v>45735.417280092595</v>
      </c>
      <c r="L10073">
        <v>204</v>
      </c>
      <c r="M10073">
        <v>0</v>
      </c>
      <c r="N10073" s="98" t="str">
        <f>IF(record[[#This Row],[Memo]]="Browser:chrome os:android","平板報工",IF(record[[#This Row],[Memo]]=0,"委外",record[[#This Row],[Memo]]))</f>
        <v/>
      </c>
      <c r="O10073" t="s">
        <v>58</v>
      </c>
      <c r="P10073" t="s">
        <v>196</v>
      </c>
      <c r="Q10073" t="s">
        <v>58</v>
      </c>
      <c r="R10073" t="str">
        <f>IFERROR(VLOOKUP(record[[#This Row],[PCUSTID]],廠商[],2,FALSE),"")</f>
        <v/>
      </c>
      <c r="S10073" t="str">
        <f>VLOOKUP(record[[#This Row],[employeeID]],員工[],2,FALSE)</f>
        <v>張淑惠</v>
      </c>
    </row>
    <row r="10074" spans="6:19" hidden="1" x14ac:dyDescent="0.25">
      <c r="F10074" t="s">
        <v>627</v>
      </c>
      <c r="G10074" t="s">
        <v>428</v>
      </c>
      <c r="H10074" t="str">
        <f>VLOOKUP(record[[#This Row],[ProcessSN]],表格2_7[],2,FALSE)</f>
        <v>30-4118-018-600</v>
      </c>
      <c r="I10074" t="str">
        <f>VLOOKUP(record[[#This Row],[ProcessSN]],表格2_7[],3,FALSE)</f>
        <v>#100SHIP</v>
      </c>
      <c r="J10074" t="s">
        <v>600</v>
      </c>
      <c r="K10074" s="195">
        <v>45735.416979166665</v>
      </c>
      <c r="L10074">
        <v>161</v>
      </c>
      <c r="M10074">
        <v>0</v>
      </c>
      <c r="N10074" s="98" t="str">
        <f>IF(record[[#This Row],[Memo]]="Browser:chrome os:android","平板報工",IF(record[[#This Row],[Memo]]=0,"委外",record[[#This Row],[Memo]]))</f>
        <v/>
      </c>
      <c r="O10074" t="s">
        <v>58</v>
      </c>
      <c r="P10074" t="s">
        <v>196</v>
      </c>
      <c r="Q10074" t="s">
        <v>58</v>
      </c>
      <c r="R10074" t="str">
        <f>IFERROR(VLOOKUP(record[[#This Row],[PCUSTID]],廠商[],2,FALSE),"")</f>
        <v/>
      </c>
      <c r="S10074" t="str">
        <f>VLOOKUP(record[[#This Row],[employeeID]],員工[],2,FALSE)</f>
        <v>張淑惠</v>
      </c>
    </row>
    <row r="10075" spans="6:19" hidden="1" x14ac:dyDescent="0.25">
      <c r="F10075" t="s">
        <v>737</v>
      </c>
      <c r="G10075" t="s">
        <v>425</v>
      </c>
      <c r="H10075" t="str">
        <f>VLOOKUP(record[[#This Row],[ProcessSN]],表格2_7[],2,FALSE)</f>
        <v>30-4118-018-600</v>
      </c>
      <c r="I10075" t="str">
        <f>VLOOKUP(record[[#This Row],[ProcessSN]],表格2_7[],3,FALSE)</f>
        <v>#100</v>
      </c>
      <c r="J10075" t="s">
        <v>598</v>
      </c>
      <c r="K10075" s="195">
        <v>45734.638298611113</v>
      </c>
      <c r="L10075">
        <v>122</v>
      </c>
      <c r="M10075">
        <v>0</v>
      </c>
      <c r="N10075" s="98" t="str">
        <f>IF(record[[#This Row],[Memo]]="Browser:chrome os:android","平板報工",IF(record[[#This Row],[Memo]]=0,"委外",record[[#This Row],[Memo]]))</f>
        <v/>
      </c>
      <c r="O10075" t="s">
        <v>58</v>
      </c>
      <c r="P10075" t="s">
        <v>686</v>
      </c>
      <c r="Q10075" t="s">
        <v>58</v>
      </c>
      <c r="R10075" t="str">
        <f>IFERROR(VLOOKUP(record[[#This Row],[PCUSTID]],廠商[],2,FALSE),"")</f>
        <v/>
      </c>
      <c r="S10075" t="str">
        <f>VLOOKUP(record[[#This Row],[employeeID]],員工[],2,FALSE)</f>
        <v>田佩娟</v>
      </c>
    </row>
    <row r="10076" spans="6:19" hidden="1" x14ac:dyDescent="0.25">
      <c r="F10076" t="s">
        <v>761</v>
      </c>
      <c r="G10076" t="s">
        <v>424</v>
      </c>
      <c r="H10076" t="str">
        <f>VLOOKUP(record[[#This Row],[ProcessSN]],表格2_7[],2,FALSE)</f>
        <v>30-4118-018-600</v>
      </c>
      <c r="I10076" t="str">
        <f>VLOOKUP(record[[#This Row],[ProcessSN]],表格2_7[],3,FALSE)</f>
        <v>#08IQC</v>
      </c>
      <c r="J10076" t="s">
        <v>583</v>
      </c>
      <c r="K10076" s="195">
        <v>45734.637696759259</v>
      </c>
      <c r="L10076">
        <v>3</v>
      </c>
      <c r="M10076">
        <v>0</v>
      </c>
      <c r="N10076" s="98" t="str">
        <f>IF(record[[#This Row],[Memo]]="Browser:chrome os:android","平板報工",IF(record[[#This Row],[Memo]]=0,"委外",record[[#This Row],[Memo]]))</f>
        <v/>
      </c>
      <c r="O10076" t="s">
        <v>58</v>
      </c>
      <c r="P10076" t="s">
        <v>65</v>
      </c>
      <c r="Q10076" t="s">
        <v>58</v>
      </c>
      <c r="R10076" t="str">
        <f>IFERROR(VLOOKUP(record[[#This Row],[PCUSTID]],廠商[],2,FALSE),"")</f>
        <v/>
      </c>
      <c r="S10076" t="str">
        <f>VLOOKUP(record[[#This Row],[employeeID]],員工[],2,FALSE)</f>
        <v>蘇進昌</v>
      </c>
    </row>
    <row r="10077" spans="6:19" hidden="1" x14ac:dyDescent="0.25">
      <c r="F10077" t="s">
        <v>761</v>
      </c>
      <c r="G10077" t="s">
        <v>423</v>
      </c>
      <c r="H10077" t="str">
        <f>VLOOKUP(record[[#This Row],[ProcessSN]],表格2_7[],2,FALSE)</f>
        <v>30-4118-018-600</v>
      </c>
      <c r="I10077" t="str">
        <f>VLOOKUP(record[[#This Row],[ProcessSN]],表格2_7[],3,FALSE)</f>
        <v>#08RCV</v>
      </c>
      <c r="J10077" t="s">
        <v>591</v>
      </c>
      <c r="K10077" s="195">
        <v>45734.637650462966</v>
      </c>
      <c r="L10077">
        <v>3</v>
      </c>
      <c r="M10077">
        <v>0</v>
      </c>
      <c r="N10077" s="98" t="str">
        <f>IF(record[[#This Row],[Memo]]="Browser:chrome os:android","平板報工",IF(record[[#This Row],[Memo]]=0,"委外",record[[#This Row],[Memo]]))</f>
        <v/>
      </c>
      <c r="O10077" t="s">
        <v>58</v>
      </c>
      <c r="P10077" t="s">
        <v>65</v>
      </c>
      <c r="Q10077" t="s">
        <v>58</v>
      </c>
      <c r="R10077" t="str">
        <f>IFERROR(VLOOKUP(record[[#This Row],[PCUSTID]],廠商[],2,FALSE),"")</f>
        <v/>
      </c>
      <c r="S10077" t="str">
        <f>VLOOKUP(record[[#This Row],[employeeID]],員工[],2,FALSE)</f>
        <v>蘇進昌</v>
      </c>
    </row>
    <row r="10078" spans="6:19" hidden="1" x14ac:dyDescent="0.25">
      <c r="F10078" t="s">
        <v>761</v>
      </c>
      <c r="G10078" t="s">
        <v>422</v>
      </c>
      <c r="H10078" t="str">
        <f>VLOOKUP(record[[#This Row],[ProcessSN]],表格2_7[],2,FALSE)</f>
        <v>30-4118-018-600</v>
      </c>
      <c r="I10078" t="str">
        <f>VLOOKUP(record[[#This Row],[ProcessSN]],表格2_7[],3,FALSE)</f>
        <v>#08</v>
      </c>
      <c r="J10078" t="s">
        <v>597</v>
      </c>
      <c r="K10078" s="195">
        <v>45734.637592592589</v>
      </c>
      <c r="L10078">
        <v>3</v>
      </c>
      <c r="M10078">
        <v>0</v>
      </c>
      <c r="N10078" s="98" t="str">
        <f>IF(record[[#This Row],[Memo]]="Browser:chrome os:android","平板報工",IF(record[[#This Row],[Memo]]=0,"委外",record[[#This Row],[Memo]]))</f>
        <v/>
      </c>
      <c r="O10078" t="s">
        <v>58</v>
      </c>
      <c r="P10078" t="s">
        <v>65</v>
      </c>
      <c r="Q10078" t="s">
        <v>58</v>
      </c>
      <c r="R10078" t="str">
        <f>IFERROR(VLOOKUP(record[[#This Row],[PCUSTID]],廠商[],2,FALSE),"")</f>
        <v/>
      </c>
      <c r="S10078" t="str">
        <f>VLOOKUP(record[[#This Row],[employeeID]],員工[],2,FALSE)</f>
        <v>蘇進昌</v>
      </c>
    </row>
    <row r="10079" spans="6:19" hidden="1" x14ac:dyDescent="0.25">
      <c r="F10079" t="s">
        <v>761</v>
      </c>
      <c r="G10079" t="s">
        <v>421</v>
      </c>
      <c r="H10079" t="str">
        <f>VLOOKUP(record[[#This Row],[ProcessSN]],表格2_7[],2,FALSE)</f>
        <v>30-4118-018-600</v>
      </c>
      <c r="I10079" t="str">
        <f>VLOOKUP(record[[#This Row],[ProcessSN]],表格2_7[],3,FALSE)</f>
        <v>#08PICK</v>
      </c>
      <c r="J10079" t="s">
        <v>582</v>
      </c>
      <c r="K10079" s="195">
        <v>45734.63753472222</v>
      </c>
      <c r="L10079">
        <v>3</v>
      </c>
      <c r="M10079">
        <v>0</v>
      </c>
      <c r="N10079" s="98" t="str">
        <f>IF(record[[#This Row],[Memo]]="Browser:chrome os:android","平板報工",IF(record[[#This Row],[Memo]]=0,"委外",record[[#This Row],[Memo]]))</f>
        <v/>
      </c>
      <c r="O10079" t="s">
        <v>58</v>
      </c>
      <c r="P10079" t="s">
        <v>65</v>
      </c>
      <c r="Q10079" t="s">
        <v>58</v>
      </c>
      <c r="R10079" t="str">
        <f>IFERROR(VLOOKUP(record[[#This Row],[PCUSTID]],廠商[],2,FALSE),"")</f>
        <v/>
      </c>
      <c r="S10079" t="str">
        <f>VLOOKUP(record[[#This Row],[employeeID]],員工[],2,FALSE)</f>
        <v>蘇進昌</v>
      </c>
    </row>
    <row r="10080" spans="6:19" hidden="1" x14ac:dyDescent="0.25">
      <c r="F10080" t="s">
        <v>733</v>
      </c>
      <c r="G10080" t="s">
        <v>425</v>
      </c>
      <c r="H10080" t="str">
        <f>VLOOKUP(record[[#This Row],[ProcessSN]],表格2_7[],2,FALSE)</f>
        <v>30-4118-018-600</v>
      </c>
      <c r="I10080" t="str">
        <f>VLOOKUP(record[[#This Row],[ProcessSN]],表格2_7[],3,FALSE)</f>
        <v>#100</v>
      </c>
      <c r="J10080" t="s">
        <v>598</v>
      </c>
      <c r="K10080" s="195">
        <v>45734.63658564815</v>
      </c>
      <c r="L10080">
        <v>164</v>
      </c>
      <c r="M10080">
        <v>0</v>
      </c>
      <c r="N10080" s="98" t="str">
        <f>IF(record[[#This Row],[Memo]]="Browser:chrome os:android","平板報工",IF(record[[#This Row],[Memo]]=0,"委外",record[[#This Row],[Memo]]))</f>
        <v/>
      </c>
      <c r="O10080" t="s">
        <v>58</v>
      </c>
      <c r="P10080" t="s">
        <v>686</v>
      </c>
      <c r="Q10080" t="s">
        <v>58</v>
      </c>
      <c r="R10080" t="str">
        <f>IFERROR(VLOOKUP(record[[#This Row],[PCUSTID]],廠商[],2,FALSE),"")</f>
        <v/>
      </c>
      <c r="S10080" t="str">
        <f>VLOOKUP(record[[#This Row],[employeeID]],員工[],2,FALSE)</f>
        <v>田佩娟</v>
      </c>
    </row>
    <row r="10081" spans="6:19" hidden="1" x14ac:dyDescent="0.25">
      <c r="F10081" t="s">
        <v>718</v>
      </c>
      <c r="G10081" t="s">
        <v>425</v>
      </c>
      <c r="H10081" t="str">
        <f>VLOOKUP(record[[#This Row],[ProcessSN]],表格2_7[],2,FALSE)</f>
        <v>30-4118-018-600</v>
      </c>
      <c r="I10081" t="str">
        <f>VLOOKUP(record[[#This Row],[ProcessSN]],表格2_7[],3,FALSE)</f>
        <v>#100</v>
      </c>
      <c r="J10081" t="s">
        <v>598</v>
      </c>
      <c r="K10081" s="195">
        <v>45734.63622685185</v>
      </c>
      <c r="L10081">
        <v>77</v>
      </c>
      <c r="M10081">
        <v>0</v>
      </c>
      <c r="N10081" s="98" t="str">
        <f>IF(record[[#This Row],[Memo]]="Browser:chrome os:android","平板報工",IF(record[[#This Row],[Memo]]=0,"委外",record[[#This Row],[Memo]]))</f>
        <v/>
      </c>
      <c r="O10081" t="s">
        <v>58</v>
      </c>
      <c r="P10081" t="s">
        <v>686</v>
      </c>
      <c r="Q10081" t="s">
        <v>58</v>
      </c>
      <c r="R10081" t="str">
        <f>IFERROR(VLOOKUP(record[[#This Row],[PCUSTID]],廠商[],2,FALSE),"")</f>
        <v/>
      </c>
      <c r="S10081" t="str">
        <f>VLOOKUP(record[[#This Row],[employeeID]],員工[],2,FALSE)</f>
        <v>田佩娟</v>
      </c>
    </row>
    <row r="10082" spans="6:19" hidden="1" x14ac:dyDescent="0.25">
      <c r="F10082" t="s">
        <v>717</v>
      </c>
      <c r="G10082" t="s">
        <v>425</v>
      </c>
      <c r="H10082" t="str">
        <f>VLOOKUP(record[[#This Row],[ProcessSN]],表格2_7[],2,FALSE)</f>
        <v>30-4118-018-600</v>
      </c>
      <c r="I10082" t="str">
        <f>VLOOKUP(record[[#This Row],[ProcessSN]],表格2_7[],3,FALSE)</f>
        <v>#100</v>
      </c>
      <c r="J10082" t="s">
        <v>598</v>
      </c>
      <c r="K10082" s="195">
        <v>45734.63590277778</v>
      </c>
      <c r="L10082">
        <v>312</v>
      </c>
      <c r="M10082">
        <v>0</v>
      </c>
      <c r="N10082" s="98" t="str">
        <f>IF(record[[#This Row],[Memo]]="Browser:chrome os:android","平板報工",IF(record[[#This Row],[Memo]]=0,"委外",record[[#This Row],[Memo]]))</f>
        <v>補3/14</v>
      </c>
      <c r="O10082" t="s">
        <v>760</v>
      </c>
      <c r="P10082" t="s">
        <v>686</v>
      </c>
      <c r="Q10082" t="s">
        <v>58</v>
      </c>
      <c r="R10082" t="str">
        <f>IFERROR(VLOOKUP(record[[#This Row],[PCUSTID]],廠商[],2,FALSE),"")</f>
        <v/>
      </c>
      <c r="S10082" t="str">
        <f>VLOOKUP(record[[#This Row],[employeeID]],員工[],2,FALSE)</f>
        <v>田佩娟</v>
      </c>
    </row>
    <row r="10083" spans="6:19" hidden="1" x14ac:dyDescent="0.25">
      <c r="F10083" t="s">
        <v>756</v>
      </c>
      <c r="G10083" t="s">
        <v>463</v>
      </c>
      <c r="H10083" t="str">
        <f>VLOOKUP(record[[#This Row],[ProcessSN]],表格2_7[],2,FALSE)</f>
        <v>30-4118-018-XXX</v>
      </c>
      <c r="I10083" t="str">
        <f>VLOOKUP(record[[#This Row],[ProcessSN]],表格2_7[],3,FALSE)</f>
        <v>#00IQC</v>
      </c>
      <c r="J10083" t="s">
        <v>583</v>
      </c>
      <c r="K10083" s="195">
        <v>45734.601435185185</v>
      </c>
      <c r="L10083">
        <v>4800</v>
      </c>
      <c r="M10083">
        <v>0</v>
      </c>
      <c r="N10083" s="98" t="str">
        <f>IF(record[[#This Row],[Memo]]="Browser:chrome os:android","平板報工",IF(record[[#This Row],[Memo]]=0,"委外",record[[#This Row],[Memo]]))</f>
        <v/>
      </c>
      <c r="O10083" t="s">
        <v>58</v>
      </c>
      <c r="P10083" t="s">
        <v>163</v>
      </c>
      <c r="Q10083" t="s">
        <v>58</v>
      </c>
      <c r="R10083" t="str">
        <f>IFERROR(VLOOKUP(record[[#This Row],[PCUSTID]],廠商[],2,FALSE),"")</f>
        <v/>
      </c>
      <c r="S10083" t="str">
        <f>VLOOKUP(record[[#This Row],[employeeID]],員工[],2,FALSE)</f>
        <v>羅伊涵</v>
      </c>
    </row>
    <row r="10084" spans="6:19" hidden="1" x14ac:dyDescent="0.25">
      <c r="F10084" t="s">
        <v>756</v>
      </c>
      <c r="G10084" t="s">
        <v>462</v>
      </c>
      <c r="H10084" t="str">
        <f>VLOOKUP(record[[#This Row],[ProcessSN]],表格2_7[],2,FALSE)</f>
        <v>30-4118-018-XXX</v>
      </c>
      <c r="I10084" t="str">
        <f>VLOOKUP(record[[#This Row],[ProcessSN]],表格2_7[],3,FALSE)</f>
        <v>#00PICK</v>
      </c>
      <c r="J10084" t="s">
        <v>582</v>
      </c>
      <c r="K10084" s="195">
        <v>45734.349479166667</v>
      </c>
      <c r="L10084">
        <v>4800</v>
      </c>
      <c r="M10084">
        <v>0</v>
      </c>
      <c r="N10084" s="98" t="str">
        <f>IF(record[[#This Row],[Memo]]="Browser:chrome os:android","平板報工",IF(record[[#This Row],[Memo]]=0,"委外",record[[#This Row],[Memo]]))</f>
        <v/>
      </c>
      <c r="O10084" t="s">
        <v>58</v>
      </c>
      <c r="P10084" t="s">
        <v>65</v>
      </c>
      <c r="Q10084" t="s">
        <v>58</v>
      </c>
      <c r="R10084" t="str">
        <f>IFERROR(VLOOKUP(record[[#This Row],[PCUSTID]],廠商[],2,FALSE),"")</f>
        <v/>
      </c>
      <c r="S10084" t="str">
        <f>VLOOKUP(record[[#This Row],[employeeID]],員工[],2,FALSE)</f>
        <v>蘇進昌</v>
      </c>
    </row>
    <row r="10085" spans="6:19" hidden="1" x14ac:dyDescent="0.25">
      <c r="F10085" t="s">
        <v>720</v>
      </c>
      <c r="G10085" t="s">
        <v>425</v>
      </c>
      <c r="H10085" t="str">
        <f>VLOOKUP(record[[#This Row],[ProcessSN]],表格2_7[],2,FALSE)</f>
        <v>30-4118-018-600</v>
      </c>
      <c r="I10085" t="str">
        <f>VLOOKUP(record[[#This Row],[ProcessSN]],表格2_7[],3,FALSE)</f>
        <v>#100</v>
      </c>
      <c r="J10085" t="s">
        <v>598</v>
      </c>
      <c r="K10085" s="195">
        <v>45733.89402777778</v>
      </c>
      <c r="L10085">
        <v>161</v>
      </c>
      <c r="M10085">
        <v>0</v>
      </c>
      <c r="N10085" s="98" t="str">
        <f>IF(record[[#This Row],[Memo]]="Browser:chrome os:android","平板報工",IF(record[[#This Row],[Memo]]=0,"委外",record[[#This Row],[Memo]]))</f>
        <v>平板報工</v>
      </c>
      <c r="O10085" t="s">
        <v>643</v>
      </c>
      <c r="P10085" t="s">
        <v>686</v>
      </c>
      <c r="Q10085" t="s">
        <v>644</v>
      </c>
      <c r="R10085" t="str">
        <f>IFERROR(VLOOKUP(record[[#This Row],[PCUSTID]],廠商[],2,FALSE),"")</f>
        <v/>
      </c>
      <c r="S10085" t="str">
        <f>VLOOKUP(record[[#This Row],[employeeID]],員工[],2,FALSE)</f>
        <v>田佩娟</v>
      </c>
    </row>
    <row r="10086" spans="6:19" hidden="1" x14ac:dyDescent="0.25">
      <c r="F10086" t="s">
        <v>739</v>
      </c>
      <c r="G10086" t="s">
        <v>425</v>
      </c>
      <c r="H10086" t="str">
        <f>VLOOKUP(record[[#This Row],[ProcessSN]],表格2_7[],2,FALSE)</f>
        <v>30-4118-018-600</v>
      </c>
      <c r="I10086" t="str">
        <f>VLOOKUP(record[[#This Row],[ProcessSN]],表格2_7[],3,FALSE)</f>
        <v>#100</v>
      </c>
      <c r="J10086" t="s">
        <v>598</v>
      </c>
      <c r="K10086" s="195">
        <v>45733.862210648149</v>
      </c>
      <c r="L10086">
        <v>143</v>
      </c>
      <c r="M10086">
        <v>0</v>
      </c>
      <c r="N10086" s="98" t="str">
        <f>IF(record[[#This Row],[Memo]]="Browser:chrome os:android","平板報工",IF(record[[#This Row],[Memo]]=0,"委外",record[[#This Row],[Memo]]))</f>
        <v>平板報工</v>
      </c>
      <c r="O10086" t="s">
        <v>643</v>
      </c>
      <c r="P10086" t="s">
        <v>686</v>
      </c>
      <c r="Q10086" t="s">
        <v>644</v>
      </c>
      <c r="R10086" t="str">
        <f>IFERROR(VLOOKUP(record[[#This Row],[PCUSTID]],廠商[],2,FALSE),"")</f>
        <v/>
      </c>
      <c r="S10086" t="str">
        <f>VLOOKUP(record[[#This Row],[employeeID]],員工[],2,FALSE)</f>
        <v>田佩娟</v>
      </c>
    </row>
    <row r="10087" spans="6:19" hidden="1" x14ac:dyDescent="0.25">
      <c r="F10087" t="s">
        <v>739</v>
      </c>
      <c r="G10087" t="s">
        <v>425</v>
      </c>
      <c r="H10087" t="str">
        <f>VLOOKUP(record[[#This Row],[ProcessSN]],表格2_7[],2,FALSE)</f>
        <v>30-4118-018-600</v>
      </c>
      <c r="I10087" t="str">
        <f>VLOOKUP(record[[#This Row],[ProcessSN]],表格2_7[],3,FALSE)</f>
        <v>#100</v>
      </c>
      <c r="J10087" t="s">
        <v>598</v>
      </c>
      <c r="K10087" s="195">
        <v>45733.830543981479</v>
      </c>
      <c r="L10087">
        <v>168</v>
      </c>
      <c r="M10087">
        <v>0</v>
      </c>
      <c r="N10087" s="98" t="str">
        <f>IF(record[[#This Row],[Memo]]="Browser:chrome os:android","平板報工",IF(record[[#This Row],[Memo]]=0,"委外",record[[#This Row],[Memo]]))</f>
        <v>平板報工</v>
      </c>
      <c r="O10087" t="s">
        <v>643</v>
      </c>
      <c r="P10087" t="s">
        <v>686</v>
      </c>
      <c r="Q10087" t="s">
        <v>644</v>
      </c>
      <c r="R10087" t="str">
        <f>IFERROR(VLOOKUP(record[[#This Row],[PCUSTID]],廠商[],2,FALSE),"")</f>
        <v/>
      </c>
      <c r="S10087" t="str">
        <f>VLOOKUP(record[[#This Row],[employeeID]],員工[],2,FALSE)</f>
        <v>田佩娟</v>
      </c>
    </row>
    <row r="10088" spans="6:19" hidden="1" x14ac:dyDescent="0.25">
      <c r="F10088" t="s">
        <v>744</v>
      </c>
      <c r="G10088" t="s">
        <v>425</v>
      </c>
      <c r="H10088" t="str">
        <f>VLOOKUP(record[[#This Row],[ProcessSN]],表格2_7[],2,FALSE)</f>
        <v>30-4118-018-600</v>
      </c>
      <c r="I10088" t="str">
        <f>VLOOKUP(record[[#This Row],[ProcessSN]],表格2_7[],3,FALSE)</f>
        <v>#100</v>
      </c>
      <c r="J10088" t="s">
        <v>598</v>
      </c>
      <c r="K10088" s="195">
        <v>45733.783680555556</v>
      </c>
      <c r="L10088">
        <v>269</v>
      </c>
      <c r="M10088">
        <v>1</v>
      </c>
      <c r="N10088" s="98" t="str">
        <f>IF(record[[#This Row],[Memo]]="Browser:chrome os:android","平板報工",IF(record[[#This Row],[Memo]]=0,"委外",record[[#This Row],[Memo]]))</f>
        <v>平板報工</v>
      </c>
      <c r="O10088" t="s">
        <v>643</v>
      </c>
      <c r="P10088" t="s">
        <v>686</v>
      </c>
      <c r="Q10088" t="s">
        <v>644</v>
      </c>
      <c r="R10088" t="str">
        <f>IFERROR(VLOOKUP(record[[#This Row],[PCUSTID]],廠商[],2,FALSE),"")</f>
        <v/>
      </c>
      <c r="S10088" t="str">
        <f>VLOOKUP(record[[#This Row],[employeeID]],員工[],2,FALSE)</f>
        <v>田佩娟</v>
      </c>
    </row>
    <row r="10089" spans="6:19" hidden="1" x14ac:dyDescent="0.25">
      <c r="F10089" t="s">
        <v>752</v>
      </c>
      <c r="G10089" t="s">
        <v>413</v>
      </c>
      <c r="H10089" t="str">
        <f>VLOOKUP(record[[#This Row],[ProcessSN]],表格2_7[],2,FALSE)</f>
        <v>30-4118-018-5XX</v>
      </c>
      <c r="I10089" t="str">
        <f>VLOOKUP(record[[#This Row],[ProcessSN]],表格2_7[],3,FALSE)</f>
        <v>#03GIVE</v>
      </c>
      <c r="J10089" t="s">
        <v>587</v>
      </c>
      <c r="K10089" s="195">
        <v>45733.743958333333</v>
      </c>
      <c r="L10089">
        <v>1926</v>
      </c>
      <c r="M10089">
        <v>0</v>
      </c>
      <c r="N10089" s="98" t="str">
        <f>IF(record[[#This Row],[Memo]]="Browser:chrome os:android","平板報工",IF(record[[#This Row],[Memo]]=0,"委外",record[[#This Row],[Memo]]))</f>
        <v/>
      </c>
      <c r="O10089" t="s">
        <v>58</v>
      </c>
      <c r="P10089" t="s">
        <v>202</v>
      </c>
      <c r="Q10089" t="s">
        <v>58</v>
      </c>
      <c r="R10089" t="str">
        <f>IFERROR(VLOOKUP(record[[#This Row],[PCUSTID]],廠商[],2,FALSE),"")</f>
        <v/>
      </c>
      <c r="S10089" t="str">
        <f>VLOOKUP(record[[#This Row],[employeeID]],員工[],2,FALSE)</f>
        <v>游惠茹</v>
      </c>
    </row>
    <row r="10090" spans="6:19" hidden="1" x14ac:dyDescent="0.25">
      <c r="F10090" t="s">
        <v>627</v>
      </c>
      <c r="G10090" t="s">
        <v>428</v>
      </c>
      <c r="H10090" t="str">
        <f>VLOOKUP(record[[#This Row],[ProcessSN]],表格2_7[],2,FALSE)</f>
        <v>30-4118-018-600</v>
      </c>
      <c r="I10090" t="str">
        <f>VLOOKUP(record[[#This Row],[ProcessSN]],表格2_7[],3,FALSE)</f>
        <v>#100SHIP</v>
      </c>
      <c r="J10090" t="s">
        <v>600</v>
      </c>
      <c r="K10090" s="195">
        <v>45733.651192129626</v>
      </c>
      <c r="L10090">
        <v>7</v>
      </c>
      <c r="M10090">
        <v>0</v>
      </c>
      <c r="N10090" s="98" t="str">
        <f>IF(record[[#This Row],[Memo]]="Browser:chrome os:android","平板報工",IF(record[[#This Row],[Memo]]=0,"委外",record[[#This Row],[Memo]]))</f>
        <v/>
      </c>
      <c r="O10090" t="s">
        <v>58</v>
      </c>
      <c r="P10090" t="s">
        <v>196</v>
      </c>
      <c r="Q10090" t="s">
        <v>58</v>
      </c>
      <c r="R10090" t="str">
        <f>IFERROR(VLOOKUP(record[[#This Row],[PCUSTID]],廠商[],2,FALSE),"")</f>
        <v/>
      </c>
      <c r="S10090" t="str">
        <f>VLOOKUP(record[[#This Row],[employeeID]],員工[],2,FALSE)</f>
        <v>張淑惠</v>
      </c>
    </row>
    <row r="10091" spans="6:19" hidden="1" x14ac:dyDescent="0.25">
      <c r="F10091" t="s">
        <v>626</v>
      </c>
      <c r="G10091" t="s">
        <v>428</v>
      </c>
      <c r="H10091" t="str">
        <f>VLOOKUP(record[[#This Row],[ProcessSN]],表格2_7[],2,FALSE)</f>
        <v>30-4118-018-600</v>
      </c>
      <c r="I10091" t="str">
        <f>VLOOKUP(record[[#This Row],[ProcessSN]],表格2_7[],3,FALSE)</f>
        <v>#100SHIP</v>
      </c>
      <c r="J10091" t="s">
        <v>600</v>
      </c>
      <c r="K10091" s="195">
        <v>45733.650972222225</v>
      </c>
      <c r="L10091">
        <v>97</v>
      </c>
      <c r="M10091">
        <v>0</v>
      </c>
      <c r="N10091" s="98" t="str">
        <f>IF(record[[#This Row],[Memo]]="Browser:chrome os:android","平板報工",IF(record[[#This Row],[Memo]]=0,"委外",record[[#This Row],[Memo]]))</f>
        <v/>
      </c>
      <c r="O10091" t="s">
        <v>58</v>
      </c>
      <c r="P10091" t="s">
        <v>196</v>
      </c>
      <c r="Q10091" t="s">
        <v>58</v>
      </c>
      <c r="R10091" t="str">
        <f>IFERROR(VLOOKUP(record[[#This Row],[PCUSTID]],廠商[],2,FALSE),"")</f>
        <v/>
      </c>
      <c r="S10091" t="str">
        <f>VLOOKUP(record[[#This Row],[employeeID]],員工[],2,FALSE)</f>
        <v>張淑惠</v>
      </c>
    </row>
    <row r="10092" spans="6:19" hidden="1" x14ac:dyDescent="0.25">
      <c r="F10092" t="s">
        <v>620</v>
      </c>
      <c r="G10092" t="s">
        <v>428</v>
      </c>
      <c r="H10092" t="str">
        <f>VLOOKUP(record[[#This Row],[ProcessSN]],表格2_7[],2,FALSE)</f>
        <v>30-4118-018-600</v>
      </c>
      <c r="I10092" t="str">
        <f>VLOOKUP(record[[#This Row],[ProcessSN]],表格2_7[],3,FALSE)</f>
        <v>#100SHIP</v>
      </c>
      <c r="J10092" t="s">
        <v>600</v>
      </c>
      <c r="K10092" s="195">
        <v>45733.65079861111</v>
      </c>
      <c r="L10092">
        <v>1</v>
      </c>
      <c r="M10092">
        <v>0</v>
      </c>
      <c r="N10092" s="98" t="str">
        <f>IF(record[[#This Row],[Memo]]="Browser:chrome os:android","平板報工",IF(record[[#This Row],[Memo]]=0,"委外",record[[#This Row],[Memo]]))</f>
        <v/>
      </c>
      <c r="O10092" t="s">
        <v>58</v>
      </c>
      <c r="P10092" t="s">
        <v>196</v>
      </c>
      <c r="Q10092" t="s">
        <v>58</v>
      </c>
      <c r="R10092" t="str">
        <f>IFERROR(VLOOKUP(record[[#This Row],[PCUSTID]],廠商[],2,FALSE),"")</f>
        <v/>
      </c>
      <c r="S10092" t="str">
        <f>VLOOKUP(record[[#This Row],[employeeID]],員工[],2,FALSE)</f>
        <v>張淑惠</v>
      </c>
    </row>
    <row r="10093" spans="6:19" hidden="1" x14ac:dyDescent="0.25">
      <c r="F10093" t="s">
        <v>619</v>
      </c>
      <c r="G10093" t="s">
        <v>428</v>
      </c>
      <c r="H10093" t="str">
        <f>VLOOKUP(record[[#This Row],[ProcessSN]],表格2_7[],2,FALSE)</f>
        <v>30-4118-018-600</v>
      </c>
      <c r="I10093" t="str">
        <f>VLOOKUP(record[[#This Row],[ProcessSN]],表格2_7[],3,FALSE)</f>
        <v>#100SHIP</v>
      </c>
      <c r="J10093" t="s">
        <v>600</v>
      </c>
      <c r="K10093" s="195">
        <v>45733.650601851848</v>
      </c>
      <c r="L10093">
        <v>18</v>
      </c>
      <c r="M10093">
        <v>0</v>
      </c>
      <c r="N10093" s="98" t="str">
        <f>IF(record[[#This Row],[Memo]]="Browser:chrome os:android","平板報工",IF(record[[#This Row],[Memo]]=0,"委外",record[[#This Row],[Memo]]))</f>
        <v/>
      </c>
      <c r="O10093" t="s">
        <v>58</v>
      </c>
      <c r="P10093" t="s">
        <v>196</v>
      </c>
      <c r="Q10093" t="s">
        <v>58</v>
      </c>
      <c r="R10093" t="str">
        <f>IFERROR(VLOOKUP(record[[#This Row],[PCUSTID]],廠商[],2,FALSE),"")</f>
        <v/>
      </c>
      <c r="S10093" t="str">
        <f>VLOOKUP(record[[#This Row],[employeeID]],員工[],2,FALSE)</f>
        <v>張淑惠</v>
      </c>
    </row>
    <row r="10094" spans="6:19" hidden="1" x14ac:dyDescent="0.25">
      <c r="F10094" t="s">
        <v>713</v>
      </c>
      <c r="G10094" t="s">
        <v>400</v>
      </c>
      <c r="H10094" t="str">
        <f>VLOOKUP(record[[#This Row],[ProcessSN]],表格2_7[],2,FALSE)</f>
        <v>30-4118-018-550</v>
      </c>
      <c r="I10094" t="str">
        <f>VLOOKUP(record[[#This Row],[ProcessSN]],表格2_7[],3,FALSE)</f>
        <v>#100</v>
      </c>
      <c r="J10094" t="s">
        <v>598</v>
      </c>
      <c r="K10094" s="195">
        <v>45733.646319444444</v>
      </c>
      <c r="L10094">
        <v>0</v>
      </c>
      <c r="M10094">
        <v>4</v>
      </c>
      <c r="N10094" s="98" t="str">
        <f>IF(record[[#This Row],[Memo]]="Browser:chrome os:android","平板報工",IF(record[[#This Row],[Memo]]=0,"委外",record[[#This Row],[Memo]]))</f>
        <v>平板報工</v>
      </c>
      <c r="O10094" t="s">
        <v>643</v>
      </c>
      <c r="P10094" t="s">
        <v>109</v>
      </c>
      <c r="Q10094" t="s">
        <v>644</v>
      </c>
      <c r="R10094" t="str">
        <f>IFERROR(VLOOKUP(record[[#This Row],[PCUSTID]],廠商[],2,FALSE),"")</f>
        <v/>
      </c>
      <c r="S10094" t="str">
        <f>VLOOKUP(record[[#This Row],[employeeID]],員工[],2,FALSE)</f>
        <v>裴氏璧鳳</v>
      </c>
    </row>
    <row r="10095" spans="6:19" hidden="1" x14ac:dyDescent="0.25">
      <c r="F10095" t="s">
        <v>713</v>
      </c>
      <c r="G10095" t="s">
        <v>400</v>
      </c>
      <c r="H10095" t="str">
        <f>VLOOKUP(record[[#This Row],[ProcessSN]],表格2_7[],2,FALSE)</f>
        <v>30-4118-018-550</v>
      </c>
      <c r="I10095" t="str">
        <f>VLOOKUP(record[[#This Row],[ProcessSN]],表格2_7[],3,FALSE)</f>
        <v>#100</v>
      </c>
      <c r="J10095" t="s">
        <v>598</v>
      </c>
      <c r="K10095" s="195">
        <v>45733.646145833336</v>
      </c>
      <c r="L10095">
        <v>493</v>
      </c>
      <c r="M10095">
        <v>0</v>
      </c>
      <c r="N10095" s="98" t="str">
        <f>IF(record[[#This Row],[Memo]]="Browser:chrome os:android","平板報工",IF(record[[#This Row],[Memo]]=0,"委外",record[[#This Row],[Memo]]))</f>
        <v>平板報工</v>
      </c>
      <c r="O10095" t="s">
        <v>643</v>
      </c>
      <c r="P10095" t="s">
        <v>109</v>
      </c>
      <c r="Q10095" t="s">
        <v>644</v>
      </c>
      <c r="R10095" t="str">
        <f>IFERROR(VLOOKUP(record[[#This Row],[PCUSTID]],廠商[],2,FALSE),"")</f>
        <v/>
      </c>
      <c r="S10095" t="str">
        <f>VLOOKUP(record[[#This Row],[employeeID]],員工[],2,FALSE)</f>
        <v>裴氏璧鳳</v>
      </c>
    </row>
    <row r="10096" spans="6:19" hidden="1" x14ac:dyDescent="0.25">
      <c r="F10096" t="s">
        <v>732</v>
      </c>
      <c r="G10096" t="s">
        <v>471</v>
      </c>
      <c r="H10096" t="str">
        <f>VLOOKUP(record[[#This Row],[ProcessSN]],表格2_7[],2,FALSE)</f>
        <v>30-4118-018-XXX</v>
      </c>
      <c r="I10096" t="str">
        <f>VLOOKUP(record[[#This Row],[ProcessSN]],表格2_7[],3,FALSE)</f>
        <v>#02STOCK</v>
      </c>
      <c r="J10096" t="s">
        <v>592</v>
      </c>
      <c r="K10096" s="195">
        <v>45733.6093287037</v>
      </c>
      <c r="L10096">
        <v>1918</v>
      </c>
      <c r="M10096">
        <v>0</v>
      </c>
      <c r="N10096" s="98" t="str">
        <f>IF(record[[#This Row],[Memo]]="Browser:chrome os:android","平板報工",IF(record[[#This Row],[Memo]]=0,"委外",record[[#This Row],[Memo]]))</f>
        <v/>
      </c>
      <c r="O10096" t="s">
        <v>58</v>
      </c>
      <c r="P10096" t="s">
        <v>65</v>
      </c>
      <c r="Q10096" t="s">
        <v>58</v>
      </c>
      <c r="R10096" t="str">
        <f>IFERROR(VLOOKUP(record[[#This Row],[PCUSTID]],廠商[],2,FALSE),"")</f>
        <v/>
      </c>
      <c r="S10096" t="str">
        <f>VLOOKUP(record[[#This Row],[employeeID]],員工[],2,FALSE)</f>
        <v>蘇進昌</v>
      </c>
    </row>
    <row r="10097" spans="6:19" hidden="1" x14ac:dyDescent="0.25">
      <c r="F10097" t="s">
        <v>732</v>
      </c>
      <c r="G10097" t="s">
        <v>470</v>
      </c>
      <c r="H10097" t="str">
        <f>VLOOKUP(record[[#This Row],[ProcessSN]],表格2_7[],2,FALSE)</f>
        <v>30-4118-018-XXX</v>
      </c>
      <c r="I10097" t="str">
        <f>VLOOKUP(record[[#This Row],[ProcessSN]],表格2_7[],3,FALSE)</f>
        <v>#02IQC</v>
      </c>
      <c r="J10097" t="s">
        <v>583</v>
      </c>
      <c r="K10097" s="195">
        <v>45733.609236111108</v>
      </c>
      <c r="L10097">
        <v>1918</v>
      </c>
      <c r="M10097">
        <v>0</v>
      </c>
      <c r="N10097" s="98" t="str">
        <f>IF(record[[#This Row],[Memo]]="Browser:chrome os:android","平板報工",IF(record[[#This Row],[Memo]]=0,"委外",record[[#This Row],[Memo]]))</f>
        <v/>
      </c>
      <c r="O10097" t="s">
        <v>58</v>
      </c>
      <c r="P10097" t="s">
        <v>65</v>
      </c>
      <c r="Q10097" t="s">
        <v>58</v>
      </c>
      <c r="R10097" t="str">
        <f>IFERROR(VLOOKUP(record[[#This Row],[PCUSTID]],廠商[],2,FALSE),"")</f>
        <v/>
      </c>
      <c r="S10097" t="str">
        <f>VLOOKUP(record[[#This Row],[employeeID]],員工[],2,FALSE)</f>
        <v>蘇進昌</v>
      </c>
    </row>
    <row r="10098" spans="6:19" hidden="1" x14ac:dyDescent="0.25">
      <c r="F10098" t="s">
        <v>752</v>
      </c>
      <c r="G10098" t="s">
        <v>412</v>
      </c>
      <c r="H10098" t="str">
        <f>VLOOKUP(record[[#This Row],[ProcessSN]],表格2_7[],2,FALSE)</f>
        <v>30-4118-018-5XX</v>
      </c>
      <c r="I10098" t="str">
        <f>VLOOKUP(record[[#This Row],[ProcessSN]],表格2_7[],3,FALSE)</f>
        <v>#03PICK</v>
      </c>
      <c r="J10098" t="s">
        <v>582</v>
      </c>
      <c r="K10098" s="195">
        <v>45733.609097222223</v>
      </c>
      <c r="L10098">
        <v>1926</v>
      </c>
      <c r="M10098">
        <v>0</v>
      </c>
      <c r="N10098" s="98" t="str">
        <f>IF(record[[#This Row],[Memo]]="Browser:chrome os:android","平板報工",IF(record[[#This Row],[Memo]]=0,"委外",record[[#This Row],[Memo]]))</f>
        <v/>
      </c>
      <c r="O10098" t="s">
        <v>58</v>
      </c>
      <c r="P10098" t="s">
        <v>65</v>
      </c>
      <c r="Q10098" t="s">
        <v>58</v>
      </c>
      <c r="R10098" t="str">
        <f>IFERROR(VLOOKUP(record[[#This Row],[PCUSTID]],廠商[],2,FALSE),"")</f>
        <v/>
      </c>
      <c r="S10098" t="str">
        <f>VLOOKUP(record[[#This Row],[employeeID]],員工[],2,FALSE)</f>
        <v>蘇進昌</v>
      </c>
    </row>
    <row r="10099" spans="6:19" hidden="1" x14ac:dyDescent="0.25">
      <c r="F10099" t="s">
        <v>581</v>
      </c>
      <c r="G10099" t="s">
        <v>471</v>
      </c>
      <c r="H10099" t="str">
        <f>VLOOKUP(record[[#This Row],[ProcessSN]],表格2_7[],2,FALSE)</f>
        <v>30-4118-018-XXX</v>
      </c>
      <c r="I10099" t="str">
        <f>VLOOKUP(record[[#This Row],[ProcessSN]],表格2_7[],3,FALSE)</f>
        <v>#02STOCK</v>
      </c>
      <c r="J10099" t="s">
        <v>592</v>
      </c>
      <c r="K10099" s="195">
        <v>45733.608611111114</v>
      </c>
      <c r="L10099">
        <v>8</v>
      </c>
      <c r="M10099">
        <v>0</v>
      </c>
      <c r="N10099" s="98" t="str">
        <f>IF(record[[#This Row],[Memo]]="Browser:chrome os:android","平板報工",IF(record[[#This Row],[Memo]]=0,"委外",record[[#This Row],[Memo]]))</f>
        <v/>
      </c>
      <c r="O10099" t="s">
        <v>58</v>
      </c>
      <c r="P10099" t="s">
        <v>65</v>
      </c>
      <c r="Q10099" t="s">
        <v>58</v>
      </c>
      <c r="R10099" t="str">
        <f>IFERROR(VLOOKUP(record[[#This Row],[PCUSTID]],廠商[],2,FALSE),"")</f>
        <v/>
      </c>
      <c r="S10099" t="str">
        <f>VLOOKUP(record[[#This Row],[employeeID]],員工[],2,FALSE)</f>
        <v>蘇進昌</v>
      </c>
    </row>
    <row r="10100" spans="6:19" hidden="1" x14ac:dyDescent="0.25">
      <c r="F10100" t="s">
        <v>732</v>
      </c>
      <c r="G10100" t="s">
        <v>469</v>
      </c>
      <c r="H10100" t="str">
        <f>VLOOKUP(record[[#This Row],[ProcessSN]],表格2_7[],2,FALSE)</f>
        <v>30-4118-018-XXX</v>
      </c>
      <c r="I10100" t="str">
        <f>VLOOKUP(record[[#This Row],[ProcessSN]],表格2_7[],3,FALSE)</f>
        <v>#02RCV</v>
      </c>
      <c r="J10100" t="s">
        <v>591</v>
      </c>
      <c r="K10100" s="195">
        <v>45730.547349537039</v>
      </c>
      <c r="L10100">
        <v>0</v>
      </c>
      <c r="M10100">
        <v>1</v>
      </c>
      <c r="N10100" s="98" t="str">
        <f>IF(record[[#This Row],[Memo]]="Browser:chrome os:android","平板報工",IF(record[[#This Row],[Memo]]=0,"委外",record[[#This Row],[Memo]]))</f>
        <v/>
      </c>
      <c r="O10100" t="s">
        <v>58</v>
      </c>
      <c r="P10100" t="s">
        <v>202</v>
      </c>
      <c r="Q10100" t="s">
        <v>58</v>
      </c>
      <c r="R10100" t="str">
        <f>IFERROR(VLOOKUP(record[[#This Row],[PCUSTID]],廠商[],2,FALSE),"")</f>
        <v/>
      </c>
      <c r="S10100" t="str">
        <f>VLOOKUP(record[[#This Row],[employeeID]],員工[],2,FALSE)</f>
        <v>游惠茹</v>
      </c>
    </row>
    <row r="10101" spans="6:19" hidden="1" x14ac:dyDescent="0.25">
      <c r="F10101" t="s">
        <v>732</v>
      </c>
      <c r="G10101" t="s">
        <v>469</v>
      </c>
      <c r="H10101" t="str">
        <f>VLOOKUP(record[[#This Row],[ProcessSN]],表格2_7[],2,FALSE)</f>
        <v>30-4118-018-XXX</v>
      </c>
      <c r="I10101" t="str">
        <f>VLOOKUP(record[[#This Row],[ProcessSN]],表格2_7[],3,FALSE)</f>
        <v>#02RCV</v>
      </c>
      <c r="J10101" t="s">
        <v>591</v>
      </c>
      <c r="K10101" s="195">
        <v>45730.547199074077</v>
      </c>
      <c r="L10101">
        <v>1918</v>
      </c>
      <c r="M10101">
        <v>0</v>
      </c>
      <c r="N10101" s="98" t="str">
        <f>IF(record[[#This Row],[Memo]]="Browser:chrome os:android","平板報工",IF(record[[#This Row],[Memo]]=0,"委外",record[[#This Row],[Memo]]))</f>
        <v/>
      </c>
      <c r="O10101" t="s">
        <v>58</v>
      </c>
      <c r="P10101" t="s">
        <v>202</v>
      </c>
      <c r="Q10101" t="s">
        <v>58</v>
      </c>
      <c r="R10101" t="str">
        <f>IFERROR(VLOOKUP(record[[#This Row],[PCUSTID]],廠商[],2,FALSE),"")</f>
        <v/>
      </c>
      <c r="S10101" t="str">
        <f>VLOOKUP(record[[#This Row],[employeeID]],員工[],2,FALSE)</f>
        <v>游惠茹</v>
      </c>
    </row>
    <row r="10102" spans="6:19" hidden="1" x14ac:dyDescent="0.25">
      <c r="F10102" t="s">
        <v>626</v>
      </c>
      <c r="G10102" t="s">
        <v>428</v>
      </c>
      <c r="H10102" t="str">
        <f>VLOOKUP(record[[#This Row],[ProcessSN]],表格2_7[],2,FALSE)</f>
        <v>30-4118-018-600</v>
      </c>
      <c r="I10102" t="str">
        <f>VLOOKUP(record[[#This Row],[ProcessSN]],表格2_7[],3,FALSE)</f>
        <v>#100SHIP</v>
      </c>
      <c r="J10102" t="s">
        <v>600</v>
      </c>
      <c r="K10102" s="195">
        <v>45730.443831018521</v>
      </c>
      <c r="L10102">
        <v>4</v>
      </c>
      <c r="M10102">
        <v>0</v>
      </c>
      <c r="N10102" s="98" t="str">
        <f>IF(record[[#This Row],[Memo]]="Browser:chrome os:android","平板報工",IF(record[[#This Row],[Memo]]=0,"委外",record[[#This Row],[Memo]]))</f>
        <v/>
      </c>
      <c r="O10102" t="s">
        <v>58</v>
      </c>
      <c r="P10102" t="s">
        <v>196</v>
      </c>
      <c r="Q10102" t="s">
        <v>58</v>
      </c>
      <c r="R10102" t="str">
        <f>IFERROR(VLOOKUP(record[[#This Row],[PCUSTID]],廠商[],2,FALSE),"")</f>
        <v/>
      </c>
      <c r="S10102" t="str">
        <f>VLOOKUP(record[[#This Row],[employeeID]],員工[],2,FALSE)</f>
        <v>張淑惠</v>
      </c>
    </row>
    <row r="10103" spans="6:19" hidden="1" x14ac:dyDescent="0.25">
      <c r="F10103" t="s">
        <v>721</v>
      </c>
      <c r="G10103" t="s">
        <v>427</v>
      </c>
      <c r="H10103" t="str">
        <f>VLOOKUP(record[[#This Row],[ProcessSN]],表格2_7[],2,FALSE)</f>
        <v>30-4118-018-600</v>
      </c>
      <c r="I10103" t="str">
        <f>VLOOKUP(record[[#This Row],[ProcessSN]],表格2_7[],3,FALSE)</f>
        <v>#100STOCK</v>
      </c>
      <c r="J10103" t="s">
        <v>592</v>
      </c>
      <c r="K10103" s="195">
        <v>45730.443437499998</v>
      </c>
      <c r="L10103">
        <v>309</v>
      </c>
      <c r="M10103">
        <v>0</v>
      </c>
      <c r="N10103" s="98" t="str">
        <f>IF(record[[#This Row],[Memo]]="Browser:chrome os:android","平板報工",IF(record[[#This Row],[Memo]]=0,"委外",record[[#This Row],[Memo]]))</f>
        <v/>
      </c>
      <c r="O10103" t="s">
        <v>58</v>
      </c>
      <c r="P10103" t="s">
        <v>196</v>
      </c>
      <c r="Q10103" t="s">
        <v>58</v>
      </c>
      <c r="R10103" t="str">
        <f>IFERROR(VLOOKUP(record[[#This Row],[PCUSTID]],廠商[],2,FALSE),"")</f>
        <v/>
      </c>
      <c r="S10103" t="str">
        <f>VLOOKUP(record[[#This Row],[employeeID]],員工[],2,FALSE)</f>
        <v>張淑惠</v>
      </c>
    </row>
    <row r="10104" spans="6:19" hidden="1" x14ac:dyDescent="0.25">
      <c r="F10104" t="s">
        <v>718</v>
      </c>
      <c r="G10104" t="s">
        <v>427</v>
      </c>
      <c r="H10104" t="str">
        <f>VLOOKUP(record[[#This Row],[ProcessSN]],表格2_7[],2,FALSE)</f>
        <v>30-4118-018-600</v>
      </c>
      <c r="I10104" t="str">
        <f>VLOOKUP(record[[#This Row],[ProcessSN]],表格2_7[],3,FALSE)</f>
        <v>#100STOCK</v>
      </c>
      <c r="J10104" t="s">
        <v>592</v>
      </c>
      <c r="K10104" s="195">
        <v>45730.443298611113</v>
      </c>
      <c r="L10104">
        <v>96</v>
      </c>
      <c r="M10104">
        <v>0</v>
      </c>
      <c r="N10104" s="98" t="str">
        <f>IF(record[[#This Row],[Memo]]="Browser:chrome os:android","平板報工",IF(record[[#This Row],[Memo]]=0,"委外",record[[#This Row],[Memo]]))</f>
        <v/>
      </c>
      <c r="O10104" t="s">
        <v>58</v>
      </c>
      <c r="P10104" t="s">
        <v>196</v>
      </c>
      <c r="Q10104" t="s">
        <v>58</v>
      </c>
      <c r="R10104" t="str">
        <f>IFERROR(VLOOKUP(record[[#This Row],[PCUSTID]],廠商[],2,FALSE),"")</f>
        <v/>
      </c>
      <c r="S10104" t="str">
        <f>VLOOKUP(record[[#This Row],[employeeID]],員工[],2,FALSE)</f>
        <v>張淑惠</v>
      </c>
    </row>
    <row r="10105" spans="6:19" hidden="1" x14ac:dyDescent="0.25">
      <c r="F10105" t="s">
        <v>627</v>
      </c>
      <c r="G10105" t="s">
        <v>427</v>
      </c>
      <c r="H10105" t="str">
        <f>VLOOKUP(record[[#This Row],[ProcessSN]],表格2_7[],2,FALSE)</f>
        <v>30-4118-018-600</v>
      </c>
      <c r="I10105" t="str">
        <f>VLOOKUP(record[[#This Row],[ProcessSN]],表格2_7[],3,FALSE)</f>
        <v>#100STOCK</v>
      </c>
      <c r="J10105" t="s">
        <v>592</v>
      </c>
      <c r="K10105" s="195">
        <v>45730.442997685182</v>
      </c>
      <c r="L10105">
        <v>168</v>
      </c>
      <c r="M10105">
        <v>0</v>
      </c>
      <c r="N10105" s="98" t="str">
        <f>IF(record[[#This Row],[Memo]]="Browser:chrome os:android","平板報工",IF(record[[#This Row],[Memo]]=0,"委外",record[[#This Row],[Memo]]))</f>
        <v/>
      </c>
      <c r="O10105" t="s">
        <v>58</v>
      </c>
      <c r="P10105" t="s">
        <v>196</v>
      </c>
      <c r="Q10105" t="s">
        <v>58</v>
      </c>
      <c r="R10105" t="str">
        <f>IFERROR(VLOOKUP(record[[#This Row],[PCUSTID]],廠商[],2,FALSE),"")</f>
        <v/>
      </c>
      <c r="S10105" t="str">
        <f>VLOOKUP(record[[#This Row],[employeeID]],員工[],2,FALSE)</f>
        <v>張淑惠</v>
      </c>
    </row>
    <row r="10106" spans="6:19" hidden="1" x14ac:dyDescent="0.25">
      <c r="F10106" t="s">
        <v>620</v>
      </c>
      <c r="G10106" t="s">
        <v>427</v>
      </c>
      <c r="H10106" t="str">
        <f>VLOOKUP(record[[#This Row],[ProcessSN]],表格2_7[],2,FALSE)</f>
        <v>30-4118-018-600</v>
      </c>
      <c r="I10106" t="str">
        <f>VLOOKUP(record[[#This Row],[ProcessSN]],表格2_7[],3,FALSE)</f>
        <v>#100STOCK</v>
      </c>
      <c r="J10106" t="s">
        <v>592</v>
      </c>
      <c r="K10106" s="195">
        <v>45730.442858796298</v>
      </c>
      <c r="L10106">
        <v>1</v>
      </c>
      <c r="M10106">
        <v>0</v>
      </c>
      <c r="N10106" s="98" t="str">
        <f>IF(record[[#This Row],[Memo]]="Browser:chrome os:android","平板報工",IF(record[[#This Row],[Memo]]=0,"委外",record[[#This Row],[Memo]]))</f>
        <v/>
      </c>
      <c r="O10106" t="s">
        <v>58</v>
      </c>
      <c r="P10106" t="s">
        <v>196</v>
      </c>
      <c r="Q10106" t="s">
        <v>58</v>
      </c>
      <c r="R10106" t="str">
        <f>IFERROR(VLOOKUP(record[[#This Row],[PCUSTID]],廠商[],2,FALSE),"")</f>
        <v/>
      </c>
      <c r="S10106" t="str">
        <f>VLOOKUP(record[[#This Row],[employeeID]],員工[],2,FALSE)</f>
        <v>張淑惠</v>
      </c>
    </row>
    <row r="10107" spans="6:19" hidden="1" x14ac:dyDescent="0.25">
      <c r="F10107" t="s">
        <v>619</v>
      </c>
      <c r="G10107" t="s">
        <v>427</v>
      </c>
      <c r="H10107" t="str">
        <f>VLOOKUP(record[[#This Row],[ProcessSN]],表格2_7[],2,FALSE)</f>
        <v>30-4118-018-600</v>
      </c>
      <c r="I10107" t="str">
        <f>VLOOKUP(record[[#This Row],[ProcessSN]],表格2_7[],3,FALSE)</f>
        <v>#100STOCK</v>
      </c>
      <c r="J10107" t="s">
        <v>592</v>
      </c>
      <c r="K10107" s="195">
        <v>45730.442731481482</v>
      </c>
      <c r="L10107">
        <v>18</v>
      </c>
      <c r="M10107">
        <v>0</v>
      </c>
      <c r="N10107" s="98" t="str">
        <f>IF(record[[#This Row],[Memo]]="Browser:chrome os:android","平板報工",IF(record[[#This Row],[Memo]]=0,"委外",record[[#This Row],[Memo]]))</f>
        <v/>
      </c>
      <c r="O10107" t="s">
        <v>58</v>
      </c>
      <c r="P10107" t="s">
        <v>196</v>
      </c>
      <c r="Q10107" t="s">
        <v>58</v>
      </c>
      <c r="R10107" t="str">
        <f>IFERROR(VLOOKUP(record[[#This Row],[PCUSTID]],廠商[],2,FALSE),"")</f>
        <v/>
      </c>
      <c r="S10107" t="str">
        <f>VLOOKUP(record[[#This Row],[employeeID]],員工[],2,FALSE)</f>
        <v>張淑惠</v>
      </c>
    </row>
    <row r="10108" spans="6:19" hidden="1" x14ac:dyDescent="0.25">
      <c r="F10108" t="s">
        <v>684</v>
      </c>
      <c r="G10108" t="s">
        <v>403</v>
      </c>
      <c r="H10108" t="str">
        <f>VLOOKUP(record[[#This Row],[ProcessSN]],表格2_7[],2,FALSE)</f>
        <v>30-4118-018-550</v>
      </c>
      <c r="I10108" t="str">
        <f>VLOOKUP(record[[#This Row],[ProcessSN]],表格2_7[],3,FALSE)</f>
        <v>#100SHIP</v>
      </c>
      <c r="J10108" t="s">
        <v>600</v>
      </c>
      <c r="K10108" s="195">
        <v>45730.442314814813</v>
      </c>
      <c r="L10108">
        <v>259</v>
      </c>
      <c r="M10108">
        <v>0</v>
      </c>
      <c r="N10108" s="98" t="str">
        <f>IF(record[[#This Row],[Memo]]="Browser:chrome os:android","平板報工",IF(record[[#This Row],[Memo]]=0,"委外",record[[#This Row],[Memo]]))</f>
        <v/>
      </c>
      <c r="O10108" t="s">
        <v>58</v>
      </c>
      <c r="P10108" t="s">
        <v>196</v>
      </c>
      <c r="Q10108" t="s">
        <v>58</v>
      </c>
      <c r="R10108" t="str">
        <f>IFERROR(VLOOKUP(record[[#This Row],[PCUSTID]],廠商[],2,FALSE),"")</f>
        <v/>
      </c>
      <c r="S10108" t="str">
        <f>VLOOKUP(record[[#This Row],[employeeID]],員工[],2,FALSE)</f>
        <v>張淑惠</v>
      </c>
    </row>
    <row r="10109" spans="6:19" hidden="1" x14ac:dyDescent="0.25">
      <c r="F10109" t="s">
        <v>662</v>
      </c>
      <c r="G10109" t="s">
        <v>403</v>
      </c>
      <c r="H10109" t="str">
        <f>VLOOKUP(record[[#This Row],[ProcessSN]],表格2_7[],2,FALSE)</f>
        <v>30-4118-018-550</v>
      </c>
      <c r="I10109" t="str">
        <f>VLOOKUP(record[[#This Row],[ProcessSN]],表格2_7[],3,FALSE)</f>
        <v>#100SHIP</v>
      </c>
      <c r="J10109" t="s">
        <v>600</v>
      </c>
      <c r="K10109" s="195">
        <v>45730.441388888888</v>
      </c>
      <c r="L10109">
        <v>400</v>
      </c>
      <c r="M10109">
        <v>0</v>
      </c>
      <c r="N10109" s="98" t="str">
        <f>IF(record[[#This Row],[Memo]]="Browser:chrome os:android","平板報工",IF(record[[#This Row],[Memo]]=0,"委外",record[[#This Row],[Memo]]))</f>
        <v/>
      </c>
      <c r="O10109" t="s">
        <v>58</v>
      </c>
      <c r="P10109" t="s">
        <v>196</v>
      </c>
      <c r="Q10109" t="s">
        <v>58</v>
      </c>
      <c r="R10109" t="str">
        <f>IFERROR(VLOOKUP(record[[#This Row],[PCUSTID]],廠商[],2,FALSE),"")</f>
        <v/>
      </c>
      <c r="S10109" t="str">
        <f>VLOOKUP(record[[#This Row],[employeeID]],員工[],2,FALSE)</f>
        <v>張淑惠</v>
      </c>
    </row>
    <row r="10110" spans="6:19" hidden="1" x14ac:dyDescent="0.25">
      <c r="F10110" t="s">
        <v>660</v>
      </c>
      <c r="G10110" t="s">
        <v>403</v>
      </c>
      <c r="H10110" t="str">
        <f>VLOOKUP(record[[#This Row],[ProcessSN]],表格2_7[],2,FALSE)</f>
        <v>30-4118-018-550</v>
      </c>
      <c r="I10110" t="str">
        <f>VLOOKUP(record[[#This Row],[ProcessSN]],表格2_7[],3,FALSE)</f>
        <v>#100SHIP</v>
      </c>
      <c r="J10110" t="s">
        <v>600</v>
      </c>
      <c r="K10110" s="195">
        <v>45730.441145833334</v>
      </c>
      <c r="L10110">
        <v>90</v>
      </c>
      <c r="M10110">
        <v>0</v>
      </c>
      <c r="N10110" s="98" t="str">
        <f>IF(record[[#This Row],[Memo]]="Browser:chrome os:android","平板報工",IF(record[[#This Row],[Memo]]=0,"委外",record[[#This Row],[Memo]]))</f>
        <v/>
      </c>
      <c r="O10110" t="s">
        <v>58</v>
      </c>
      <c r="P10110" t="s">
        <v>196</v>
      </c>
      <c r="Q10110" t="s">
        <v>58</v>
      </c>
      <c r="R10110" t="str">
        <f>IFERROR(VLOOKUP(record[[#This Row],[PCUSTID]],廠商[],2,FALSE),"")</f>
        <v/>
      </c>
      <c r="S10110" t="str">
        <f>VLOOKUP(record[[#This Row],[employeeID]],員工[],2,FALSE)</f>
        <v>張淑惠</v>
      </c>
    </row>
    <row r="10111" spans="6:19" hidden="1" x14ac:dyDescent="0.25">
      <c r="F10111" t="s">
        <v>721</v>
      </c>
      <c r="G10111" t="s">
        <v>426</v>
      </c>
      <c r="H10111" t="str">
        <f>VLOOKUP(record[[#This Row],[ProcessSN]],表格2_7[],2,FALSE)</f>
        <v>30-4118-018-600</v>
      </c>
      <c r="I10111" t="str">
        <f>VLOOKUP(record[[#This Row],[ProcessSN]],表格2_7[],3,FALSE)</f>
        <v>#100OQC</v>
      </c>
      <c r="J10111" t="s">
        <v>599</v>
      </c>
      <c r="K10111" s="195">
        <v>45730.32571759259</v>
      </c>
      <c r="L10111">
        <v>309</v>
      </c>
      <c r="M10111">
        <v>0</v>
      </c>
      <c r="N10111" s="98" t="str">
        <f>IF(record[[#This Row],[Memo]]="Browser:chrome os:android","平板報工",IF(record[[#This Row],[Memo]]=0,"委外",record[[#This Row],[Memo]]))</f>
        <v/>
      </c>
      <c r="O10111" t="s">
        <v>58</v>
      </c>
      <c r="P10111" t="s">
        <v>121</v>
      </c>
      <c r="Q10111" t="s">
        <v>58</v>
      </c>
      <c r="R10111" t="str">
        <f>IFERROR(VLOOKUP(record[[#This Row],[PCUSTID]],廠商[],2,FALSE),"")</f>
        <v/>
      </c>
      <c r="S10111" t="str">
        <f>VLOOKUP(record[[#This Row],[employeeID]],員工[],2,FALSE)</f>
        <v>謝素卿</v>
      </c>
    </row>
    <row r="10112" spans="6:19" hidden="1" x14ac:dyDescent="0.25">
      <c r="F10112" t="s">
        <v>718</v>
      </c>
      <c r="G10112" t="s">
        <v>426</v>
      </c>
      <c r="H10112" t="str">
        <f>VLOOKUP(record[[#This Row],[ProcessSN]],表格2_7[],2,FALSE)</f>
        <v>30-4118-018-600</v>
      </c>
      <c r="I10112" t="str">
        <f>VLOOKUP(record[[#This Row],[ProcessSN]],表格2_7[],3,FALSE)</f>
        <v>#100OQC</v>
      </c>
      <c r="J10112" t="s">
        <v>599</v>
      </c>
      <c r="K10112" s="195">
        <v>45730.325555555559</v>
      </c>
      <c r="L10112">
        <v>96</v>
      </c>
      <c r="M10112">
        <v>0</v>
      </c>
      <c r="N10112" s="98" t="str">
        <f>IF(record[[#This Row],[Memo]]="Browser:chrome os:android","平板報工",IF(record[[#This Row],[Memo]]=0,"委外",record[[#This Row],[Memo]]))</f>
        <v/>
      </c>
      <c r="O10112" t="s">
        <v>58</v>
      </c>
      <c r="P10112" t="s">
        <v>121</v>
      </c>
      <c r="Q10112" t="s">
        <v>58</v>
      </c>
      <c r="R10112" t="str">
        <f>IFERROR(VLOOKUP(record[[#This Row],[PCUSTID]],廠商[],2,FALSE),"")</f>
        <v/>
      </c>
      <c r="S10112" t="str">
        <f>VLOOKUP(record[[#This Row],[employeeID]],員工[],2,FALSE)</f>
        <v>謝素卿</v>
      </c>
    </row>
    <row r="10113" spans="6:19" hidden="1" x14ac:dyDescent="0.25">
      <c r="F10113" t="s">
        <v>627</v>
      </c>
      <c r="G10113" t="s">
        <v>426</v>
      </c>
      <c r="H10113" t="str">
        <f>VLOOKUP(record[[#This Row],[ProcessSN]],表格2_7[],2,FALSE)</f>
        <v>30-4118-018-600</v>
      </c>
      <c r="I10113" t="str">
        <f>VLOOKUP(record[[#This Row],[ProcessSN]],表格2_7[],3,FALSE)</f>
        <v>#100OQC</v>
      </c>
      <c r="J10113" t="s">
        <v>599</v>
      </c>
      <c r="K10113" s="195">
        <v>45730.325416666667</v>
      </c>
      <c r="L10113">
        <v>168</v>
      </c>
      <c r="M10113">
        <v>0</v>
      </c>
      <c r="N10113" s="98" t="str">
        <f>IF(record[[#This Row],[Memo]]="Browser:chrome os:android","平板報工",IF(record[[#This Row],[Memo]]=0,"委外",record[[#This Row],[Memo]]))</f>
        <v/>
      </c>
      <c r="O10113" t="s">
        <v>58</v>
      </c>
      <c r="P10113" t="s">
        <v>121</v>
      </c>
      <c r="Q10113" t="s">
        <v>58</v>
      </c>
      <c r="R10113" t="str">
        <f>IFERROR(VLOOKUP(record[[#This Row],[PCUSTID]],廠商[],2,FALSE),"")</f>
        <v/>
      </c>
      <c r="S10113" t="str">
        <f>VLOOKUP(record[[#This Row],[employeeID]],員工[],2,FALSE)</f>
        <v>謝素卿</v>
      </c>
    </row>
    <row r="10114" spans="6:19" hidden="1" x14ac:dyDescent="0.25">
      <c r="F10114" t="s">
        <v>620</v>
      </c>
      <c r="G10114" t="s">
        <v>426</v>
      </c>
      <c r="H10114" t="str">
        <f>VLOOKUP(record[[#This Row],[ProcessSN]],表格2_7[],2,FALSE)</f>
        <v>30-4118-018-600</v>
      </c>
      <c r="I10114" t="str">
        <f>VLOOKUP(record[[#This Row],[ProcessSN]],表格2_7[],3,FALSE)</f>
        <v>#100OQC</v>
      </c>
      <c r="J10114" t="s">
        <v>599</v>
      </c>
      <c r="K10114" s="195">
        <v>45730.325266203705</v>
      </c>
      <c r="L10114">
        <v>1</v>
      </c>
      <c r="M10114">
        <v>0</v>
      </c>
      <c r="N10114" s="98" t="str">
        <f>IF(record[[#This Row],[Memo]]="Browser:chrome os:android","平板報工",IF(record[[#This Row],[Memo]]=0,"委外",record[[#This Row],[Memo]]))</f>
        <v/>
      </c>
      <c r="O10114" t="s">
        <v>58</v>
      </c>
      <c r="P10114" t="s">
        <v>121</v>
      </c>
      <c r="Q10114" t="s">
        <v>58</v>
      </c>
      <c r="R10114" t="str">
        <f>IFERROR(VLOOKUP(record[[#This Row],[PCUSTID]],廠商[],2,FALSE),"")</f>
        <v/>
      </c>
      <c r="S10114" t="str">
        <f>VLOOKUP(record[[#This Row],[employeeID]],員工[],2,FALSE)</f>
        <v>謝素卿</v>
      </c>
    </row>
    <row r="10115" spans="6:19" hidden="1" x14ac:dyDescent="0.25">
      <c r="F10115" t="s">
        <v>619</v>
      </c>
      <c r="G10115" t="s">
        <v>426</v>
      </c>
      <c r="H10115" t="str">
        <f>VLOOKUP(record[[#This Row],[ProcessSN]],表格2_7[],2,FALSE)</f>
        <v>30-4118-018-600</v>
      </c>
      <c r="I10115" t="str">
        <f>VLOOKUP(record[[#This Row],[ProcessSN]],表格2_7[],3,FALSE)</f>
        <v>#100OQC</v>
      </c>
      <c r="J10115" t="s">
        <v>599</v>
      </c>
      <c r="K10115" s="195">
        <v>45730.325115740743</v>
      </c>
      <c r="L10115">
        <v>18</v>
      </c>
      <c r="M10115">
        <v>0</v>
      </c>
      <c r="N10115" s="98" t="str">
        <f>IF(record[[#This Row],[Memo]]="Browser:chrome os:android","平板報工",IF(record[[#This Row],[Memo]]=0,"委外",record[[#This Row],[Memo]]))</f>
        <v/>
      </c>
      <c r="O10115" t="s">
        <v>58</v>
      </c>
      <c r="P10115" t="s">
        <v>121</v>
      </c>
      <c r="Q10115" t="s">
        <v>58</v>
      </c>
      <c r="R10115" t="str">
        <f>IFERROR(VLOOKUP(record[[#This Row],[PCUSTID]],廠商[],2,FALSE),"")</f>
        <v/>
      </c>
      <c r="S10115" t="str">
        <f>VLOOKUP(record[[#This Row],[employeeID]],員工[],2,FALSE)</f>
        <v>謝素卿</v>
      </c>
    </row>
    <row r="10116" spans="6:19" hidden="1" x14ac:dyDescent="0.25">
      <c r="F10116" t="s">
        <v>721</v>
      </c>
      <c r="G10116" t="s">
        <v>425</v>
      </c>
      <c r="H10116" t="str">
        <f>VLOOKUP(record[[#This Row],[ProcessSN]],表格2_7[],2,FALSE)</f>
        <v>30-4118-018-600</v>
      </c>
      <c r="I10116" t="str">
        <f>VLOOKUP(record[[#This Row],[ProcessSN]],表格2_7[],3,FALSE)</f>
        <v>#100</v>
      </c>
      <c r="J10116" t="s">
        <v>598</v>
      </c>
      <c r="K10116" s="195">
        <v>45729.701469907406</v>
      </c>
      <c r="L10116">
        <v>309</v>
      </c>
      <c r="M10116">
        <v>0</v>
      </c>
      <c r="N10116" s="98" t="str">
        <f>IF(record[[#This Row],[Memo]]="Browser:chrome os:android","平板報工",IF(record[[#This Row],[Memo]]=0,"委外",record[[#This Row],[Memo]]))</f>
        <v>平板報工</v>
      </c>
      <c r="O10116" t="s">
        <v>643</v>
      </c>
      <c r="P10116" t="s">
        <v>109</v>
      </c>
      <c r="Q10116" t="s">
        <v>644</v>
      </c>
      <c r="R10116" t="str">
        <f>IFERROR(VLOOKUP(record[[#This Row],[PCUSTID]],廠商[],2,FALSE),"")</f>
        <v/>
      </c>
      <c r="S10116" t="str">
        <f>VLOOKUP(record[[#This Row],[employeeID]],員工[],2,FALSE)</f>
        <v>裴氏璧鳳</v>
      </c>
    </row>
    <row r="10117" spans="6:19" hidden="1" x14ac:dyDescent="0.25">
      <c r="F10117" t="s">
        <v>721</v>
      </c>
      <c r="G10117" t="s">
        <v>425</v>
      </c>
      <c r="H10117" t="str">
        <f>VLOOKUP(record[[#This Row],[ProcessSN]],表格2_7[],2,FALSE)</f>
        <v>30-4118-018-600</v>
      </c>
      <c r="I10117" t="str">
        <f>VLOOKUP(record[[#This Row],[ProcessSN]],表格2_7[],3,FALSE)</f>
        <v>#100</v>
      </c>
      <c r="J10117" t="s">
        <v>598</v>
      </c>
      <c r="K10117" s="195">
        <v>45729.701122685183</v>
      </c>
      <c r="L10117">
        <v>0</v>
      </c>
      <c r="M10117">
        <v>9</v>
      </c>
      <c r="N10117" s="98" t="str">
        <f>IF(record[[#This Row],[Memo]]="Browser:chrome os:android","平板報工",IF(record[[#This Row],[Memo]]=0,"委外",record[[#This Row],[Memo]]))</f>
        <v>平板報工</v>
      </c>
      <c r="O10117" t="s">
        <v>643</v>
      </c>
      <c r="P10117" t="s">
        <v>109</v>
      </c>
      <c r="Q10117" t="s">
        <v>644</v>
      </c>
      <c r="R10117" t="str">
        <f>IFERROR(VLOOKUP(record[[#This Row],[PCUSTID]],廠商[],2,FALSE),"")</f>
        <v/>
      </c>
      <c r="S10117" t="str">
        <f>VLOOKUP(record[[#This Row],[employeeID]],員工[],2,FALSE)</f>
        <v>裴氏璧鳳</v>
      </c>
    </row>
    <row r="10118" spans="6:19" hidden="1" x14ac:dyDescent="0.25">
      <c r="F10118" t="s">
        <v>718</v>
      </c>
      <c r="G10118" t="s">
        <v>425</v>
      </c>
      <c r="H10118" t="str">
        <f>VLOOKUP(record[[#This Row],[ProcessSN]],表格2_7[],2,FALSE)</f>
        <v>30-4118-018-600</v>
      </c>
      <c r="I10118" t="str">
        <f>VLOOKUP(record[[#This Row],[ProcessSN]],表格2_7[],3,FALSE)</f>
        <v>#100</v>
      </c>
      <c r="J10118" t="s">
        <v>598</v>
      </c>
      <c r="K10118" s="195">
        <v>45729.700173611112</v>
      </c>
      <c r="L10118">
        <v>96</v>
      </c>
      <c r="M10118">
        <v>0</v>
      </c>
      <c r="N10118" s="98" t="str">
        <f>IF(record[[#This Row],[Memo]]="Browser:chrome os:android","平板報工",IF(record[[#This Row],[Memo]]=0,"委外",record[[#This Row],[Memo]]))</f>
        <v>平板報工</v>
      </c>
      <c r="O10118" t="s">
        <v>643</v>
      </c>
      <c r="P10118" t="s">
        <v>99</v>
      </c>
      <c r="Q10118" t="s">
        <v>644</v>
      </c>
      <c r="R10118" t="str">
        <f>IFERROR(VLOOKUP(record[[#This Row],[PCUSTID]],廠商[],2,FALSE),"")</f>
        <v/>
      </c>
      <c r="S10118" t="str">
        <f>VLOOKUP(record[[#This Row],[employeeID]],員工[],2,FALSE)</f>
        <v>阮氏河</v>
      </c>
    </row>
    <row r="10119" spans="6:19" hidden="1" x14ac:dyDescent="0.25">
      <c r="F10119" t="s">
        <v>627</v>
      </c>
      <c r="G10119" t="s">
        <v>425</v>
      </c>
      <c r="H10119" t="str">
        <f>VLOOKUP(record[[#This Row],[ProcessSN]],表格2_7[],2,FALSE)</f>
        <v>30-4118-018-600</v>
      </c>
      <c r="I10119" t="str">
        <f>VLOOKUP(record[[#This Row],[ProcessSN]],表格2_7[],3,FALSE)</f>
        <v>#100</v>
      </c>
      <c r="J10119" t="s">
        <v>598</v>
      </c>
      <c r="K10119" s="195">
        <v>45729.583032407405</v>
      </c>
      <c r="L10119">
        <v>0</v>
      </c>
      <c r="M10119">
        <v>8</v>
      </c>
      <c r="N10119" s="98" t="str">
        <f>IF(record[[#This Row],[Memo]]="Browser:chrome os:android","平板報工",IF(record[[#This Row],[Memo]]=0,"委外",record[[#This Row],[Memo]]))</f>
        <v>平板報工</v>
      </c>
      <c r="O10119" t="s">
        <v>643</v>
      </c>
      <c r="P10119" t="s">
        <v>109</v>
      </c>
      <c r="Q10119" t="s">
        <v>644</v>
      </c>
      <c r="R10119" t="str">
        <f>IFERROR(VLOOKUP(record[[#This Row],[PCUSTID]],廠商[],2,FALSE),"")</f>
        <v/>
      </c>
      <c r="S10119" t="str">
        <f>VLOOKUP(record[[#This Row],[employeeID]],員工[],2,FALSE)</f>
        <v>裴氏璧鳳</v>
      </c>
    </row>
    <row r="10120" spans="6:19" hidden="1" x14ac:dyDescent="0.25">
      <c r="F10120" t="s">
        <v>627</v>
      </c>
      <c r="G10120" t="s">
        <v>425</v>
      </c>
      <c r="H10120" t="str">
        <f>VLOOKUP(record[[#This Row],[ProcessSN]],表格2_7[],2,FALSE)</f>
        <v>30-4118-018-600</v>
      </c>
      <c r="I10120" t="str">
        <f>VLOOKUP(record[[#This Row],[ProcessSN]],表格2_7[],3,FALSE)</f>
        <v>#100</v>
      </c>
      <c r="J10120" t="s">
        <v>598</v>
      </c>
      <c r="K10120" s="195">
        <v>45729.58289351852</v>
      </c>
      <c r="L10120">
        <v>168</v>
      </c>
      <c r="M10120">
        <v>0</v>
      </c>
      <c r="N10120" s="98" t="str">
        <f>IF(record[[#This Row],[Memo]]="Browser:chrome os:android","平板報工",IF(record[[#This Row],[Memo]]=0,"委外",record[[#This Row],[Memo]]))</f>
        <v>平板報工</v>
      </c>
      <c r="O10120" t="s">
        <v>643</v>
      </c>
      <c r="P10120" t="s">
        <v>109</v>
      </c>
      <c r="Q10120" t="s">
        <v>644</v>
      </c>
      <c r="R10120" t="str">
        <f>IFERROR(VLOOKUP(record[[#This Row],[PCUSTID]],廠商[],2,FALSE),"")</f>
        <v/>
      </c>
      <c r="S10120" t="str">
        <f>VLOOKUP(record[[#This Row],[employeeID]],員工[],2,FALSE)</f>
        <v>裴氏璧鳳</v>
      </c>
    </row>
    <row r="10121" spans="6:19" hidden="1" x14ac:dyDescent="0.25">
      <c r="F10121" t="s">
        <v>620</v>
      </c>
      <c r="G10121" t="s">
        <v>425</v>
      </c>
      <c r="H10121" t="str">
        <f>VLOOKUP(record[[#This Row],[ProcessSN]],表格2_7[],2,FALSE)</f>
        <v>30-4118-018-600</v>
      </c>
      <c r="I10121" t="str">
        <f>VLOOKUP(record[[#This Row],[ProcessSN]],表格2_7[],3,FALSE)</f>
        <v>#100</v>
      </c>
      <c r="J10121" t="s">
        <v>598</v>
      </c>
      <c r="K10121" s="195">
        <v>45729.582662037035</v>
      </c>
      <c r="L10121">
        <v>1</v>
      </c>
      <c r="M10121">
        <v>0</v>
      </c>
      <c r="N10121" s="98" t="str">
        <f>IF(record[[#This Row],[Memo]]="Browser:chrome os:android","平板報工",IF(record[[#This Row],[Memo]]=0,"委外",record[[#This Row],[Memo]]))</f>
        <v>平板報工</v>
      </c>
      <c r="O10121" t="s">
        <v>643</v>
      </c>
      <c r="P10121" t="s">
        <v>109</v>
      </c>
      <c r="Q10121" t="s">
        <v>644</v>
      </c>
      <c r="R10121" t="str">
        <f>IFERROR(VLOOKUP(record[[#This Row],[PCUSTID]],廠商[],2,FALSE),"")</f>
        <v/>
      </c>
      <c r="S10121" t="str">
        <f>VLOOKUP(record[[#This Row],[employeeID]],員工[],2,FALSE)</f>
        <v>裴氏璧鳳</v>
      </c>
    </row>
    <row r="10122" spans="6:19" hidden="1" x14ac:dyDescent="0.25">
      <c r="F10122" t="s">
        <v>619</v>
      </c>
      <c r="G10122" t="s">
        <v>425</v>
      </c>
      <c r="H10122" t="str">
        <f>VLOOKUP(record[[#This Row],[ProcessSN]],表格2_7[],2,FALSE)</f>
        <v>30-4118-018-600</v>
      </c>
      <c r="I10122" t="str">
        <f>VLOOKUP(record[[#This Row],[ProcessSN]],表格2_7[],3,FALSE)</f>
        <v>#100</v>
      </c>
      <c r="J10122" t="s">
        <v>598</v>
      </c>
      <c r="K10122" s="195">
        <v>45729.582453703704</v>
      </c>
      <c r="L10122">
        <v>18</v>
      </c>
      <c r="M10122">
        <v>0</v>
      </c>
      <c r="N10122" s="98" t="str">
        <f>IF(record[[#This Row],[Memo]]="Browser:chrome os:android","平板報工",IF(record[[#This Row],[Memo]]=0,"委外",record[[#This Row],[Memo]]))</f>
        <v>平板報工</v>
      </c>
      <c r="O10122" t="s">
        <v>643</v>
      </c>
      <c r="P10122" t="s">
        <v>109</v>
      </c>
      <c r="Q10122" t="s">
        <v>644</v>
      </c>
      <c r="R10122" t="str">
        <f>IFERROR(VLOOKUP(record[[#This Row],[PCUSTID]],廠商[],2,FALSE),"")</f>
        <v/>
      </c>
      <c r="S10122" t="str">
        <f>VLOOKUP(record[[#This Row],[employeeID]],員工[],2,FALSE)</f>
        <v>裴氏璧鳳</v>
      </c>
    </row>
    <row r="10123" spans="6:19" hidden="1" x14ac:dyDescent="0.25">
      <c r="F10123" t="s">
        <v>717</v>
      </c>
      <c r="G10123" t="s">
        <v>427</v>
      </c>
      <c r="H10123" t="str">
        <f>VLOOKUP(record[[#This Row],[ProcessSN]],表格2_7[],2,FALSE)</f>
        <v>30-4118-018-600</v>
      </c>
      <c r="I10123" t="str">
        <f>VLOOKUP(record[[#This Row],[ProcessSN]],表格2_7[],3,FALSE)</f>
        <v>#100STOCK</v>
      </c>
      <c r="J10123" t="s">
        <v>592</v>
      </c>
      <c r="K10123" s="195">
        <v>45729.493414351855</v>
      </c>
      <c r="L10123">
        <v>11</v>
      </c>
      <c r="M10123">
        <v>0</v>
      </c>
      <c r="N10123" s="98" t="str">
        <f>IF(record[[#This Row],[Memo]]="Browser:chrome os:android","平板報工",IF(record[[#This Row],[Memo]]=0,"委外",record[[#This Row],[Memo]]))</f>
        <v/>
      </c>
      <c r="O10123" t="s">
        <v>58</v>
      </c>
      <c r="P10123" t="s">
        <v>196</v>
      </c>
      <c r="Q10123" t="s">
        <v>58</v>
      </c>
      <c r="R10123" t="str">
        <f>IFERROR(VLOOKUP(record[[#This Row],[PCUSTID]],廠商[],2,FALSE),"")</f>
        <v/>
      </c>
      <c r="S10123" t="str">
        <f>VLOOKUP(record[[#This Row],[employeeID]],員工[],2,FALSE)</f>
        <v>張淑惠</v>
      </c>
    </row>
    <row r="10124" spans="6:19" hidden="1" x14ac:dyDescent="0.25">
      <c r="F10124" t="s">
        <v>628</v>
      </c>
      <c r="G10124" t="s">
        <v>427</v>
      </c>
      <c r="H10124" t="str">
        <f>VLOOKUP(record[[#This Row],[ProcessSN]],表格2_7[],2,FALSE)</f>
        <v>30-4118-018-600</v>
      </c>
      <c r="I10124" t="str">
        <f>VLOOKUP(record[[#This Row],[ProcessSN]],表格2_7[],3,FALSE)</f>
        <v>#100STOCK</v>
      </c>
      <c r="J10124" t="s">
        <v>592</v>
      </c>
      <c r="K10124" s="195">
        <v>45729.493217592593</v>
      </c>
      <c r="L10124">
        <v>204</v>
      </c>
      <c r="M10124">
        <v>0</v>
      </c>
      <c r="N10124" s="98" t="str">
        <f>IF(record[[#This Row],[Memo]]="Browser:chrome os:android","平板報工",IF(record[[#This Row],[Memo]]=0,"委外",record[[#This Row],[Memo]]))</f>
        <v/>
      </c>
      <c r="O10124" t="s">
        <v>58</v>
      </c>
      <c r="P10124" t="s">
        <v>196</v>
      </c>
      <c r="Q10124" t="s">
        <v>58</v>
      </c>
      <c r="R10124" t="str">
        <f>IFERROR(VLOOKUP(record[[#This Row],[PCUSTID]],廠商[],2,FALSE),"")</f>
        <v/>
      </c>
      <c r="S10124" t="str">
        <f>VLOOKUP(record[[#This Row],[employeeID]],員工[],2,FALSE)</f>
        <v>張淑惠</v>
      </c>
    </row>
    <row r="10125" spans="6:19" hidden="1" x14ac:dyDescent="0.25">
      <c r="F10125" t="s">
        <v>707</v>
      </c>
      <c r="G10125" t="s">
        <v>402</v>
      </c>
      <c r="H10125" t="str">
        <f>VLOOKUP(record[[#This Row],[ProcessSN]],表格2_7[],2,FALSE)</f>
        <v>30-4118-018-550</v>
      </c>
      <c r="I10125" t="str">
        <f>VLOOKUP(record[[#This Row],[ProcessSN]],表格2_7[],3,FALSE)</f>
        <v>#100STOCK</v>
      </c>
      <c r="J10125" t="s">
        <v>592</v>
      </c>
      <c r="K10125" s="195">
        <v>45729.492881944447</v>
      </c>
      <c r="L10125">
        <v>310</v>
      </c>
      <c r="M10125">
        <v>0</v>
      </c>
      <c r="N10125" s="98" t="str">
        <f>IF(record[[#This Row],[Memo]]="Browser:chrome os:android","平板報工",IF(record[[#This Row],[Memo]]=0,"委外",record[[#This Row],[Memo]]))</f>
        <v/>
      </c>
      <c r="O10125" t="s">
        <v>58</v>
      </c>
      <c r="P10125" t="s">
        <v>196</v>
      </c>
      <c r="Q10125" t="s">
        <v>58</v>
      </c>
      <c r="R10125" t="str">
        <f>IFERROR(VLOOKUP(record[[#This Row],[PCUSTID]],廠商[],2,FALSE),"")</f>
        <v/>
      </c>
      <c r="S10125" t="str">
        <f>VLOOKUP(record[[#This Row],[employeeID]],員工[],2,FALSE)</f>
        <v>張淑惠</v>
      </c>
    </row>
    <row r="10126" spans="6:19" hidden="1" x14ac:dyDescent="0.25">
      <c r="F10126" t="s">
        <v>701</v>
      </c>
      <c r="G10126" t="s">
        <v>402</v>
      </c>
      <c r="H10126" t="str">
        <f>VLOOKUP(record[[#This Row],[ProcessSN]],表格2_7[],2,FALSE)</f>
        <v>30-4118-018-550</v>
      </c>
      <c r="I10126" t="str">
        <f>VLOOKUP(record[[#This Row],[ProcessSN]],表格2_7[],3,FALSE)</f>
        <v>#100STOCK</v>
      </c>
      <c r="J10126" t="s">
        <v>592</v>
      </c>
      <c r="K10126" s="195">
        <v>45729.492731481485</v>
      </c>
      <c r="L10126">
        <v>162</v>
      </c>
      <c r="M10126">
        <v>0</v>
      </c>
      <c r="N10126" s="98" t="str">
        <f>IF(record[[#This Row],[Memo]]="Browser:chrome os:android","平板報工",IF(record[[#This Row],[Memo]]=0,"委外",record[[#This Row],[Memo]]))</f>
        <v/>
      </c>
      <c r="O10126" t="s">
        <v>58</v>
      </c>
      <c r="P10126" t="s">
        <v>196</v>
      </c>
      <c r="Q10126" t="s">
        <v>58</v>
      </c>
      <c r="R10126" t="str">
        <f>IFERROR(VLOOKUP(record[[#This Row],[PCUSTID]],廠商[],2,FALSE),"")</f>
        <v/>
      </c>
      <c r="S10126" t="str">
        <f>VLOOKUP(record[[#This Row],[employeeID]],員工[],2,FALSE)</f>
        <v>張淑惠</v>
      </c>
    </row>
    <row r="10127" spans="6:19" hidden="1" x14ac:dyDescent="0.25">
      <c r="F10127" t="s">
        <v>699</v>
      </c>
      <c r="G10127" t="s">
        <v>402</v>
      </c>
      <c r="H10127" t="str">
        <f>VLOOKUP(record[[#This Row],[ProcessSN]],表格2_7[],2,FALSE)</f>
        <v>30-4118-018-550</v>
      </c>
      <c r="I10127" t="str">
        <f>VLOOKUP(record[[#This Row],[ProcessSN]],表格2_7[],3,FALSE)</f>
        <v>#100STOCK</v>
      </c>
      <c r="J10127" t="s">
        <v>592</v>
      </c>
      <c r="K10127" s="195">
        <v>45729.492592592593</v>
      </c>
      <c r="L10127">
        <v>293</v>
      </c>
      <c r="M10127">
        <v>0</v>
      </c>
      <c r="N10127" s="98" t="str">
        <f>IF(record[[#This Row],[Memo]]="Browser:chrome os:android","平板報工",IF(record[[#This Row],[Memo]]=0,"委外",record[[#This Row],[Memo]]))</f>
        <v/>
      </c>
      <c r="O10127" t="s">
        <v>58</v>
      </c>
      <c r="P10127" t="s">
        <v>196</v>
      </c>
      <c r="Q10127" t="s">
        <v>58</v>
      </c>
      <c r="R10127" t="str">
        <f>IFERROR(VLOOKUP(record[[#This Row],[PCUSTID]],廠商[],2,FALSE),"")</f>
        <v/>
      </c>
      <c r="S10127" t="str">
        <f>VLOOKUP(record[[#This Row],[employeeID]],員工[],2,FALSE)</f>
        <v>張淑惠</v>
      </c>
    </row>
    <row r="10128" spans="6:19" hidden="1" x14ac:dyDescent="0.25">
      <c r="F10128" t="s">
        <v>697</v>
      </c>
      <c r="G10128" t="s">
        <v>402</v>
      </c>
      <c r="H10128" t="str">
        <f>VLOOKUP(record[[#This Row],[ProcessSN]],表格2_7[],2,FALSE)</f>
        <v>30-4118-018-550</v>
      </c>
      <c r="I10128" t="str">
        <f>VLOOKUP(record[[#This Row],[ProcessSN]],表格2_7[],3,FALSE)</f>
        <v>#100STOCK</v>
      </c>
      <c r="J10128" t="s">
        <v>592</v>
      </c>
      <c r="K10128" s="195">
        <v>45729.492430555554</v>
      </c>
      <c r="L10128">
        <v>159</v>
      </c>
      <c r="M10128">
        <v>0</v>
      </c>
      <c r="N10128" s="98" t="str">
        <f>IF(record[[#This Row],[Memo]]="Browser:chrome os:android","平板報工",IF(record[[#This Row],[Memo]]=0,"委外",record[[#This Row],[Memo]]))</f>
        <v/>
      </c>
      <c r="O10128" t="s">
        <v>58</v>
      </c>
      <c r="P10128" t="s">
        <v>196</v>
      </c>
      <c r="Q10128" t="s">
        <v>58</v>
      </c>
      <c r="R10128" t="str">
        <f>IFERROR(VLOOKUP(record[[#This Row],[PCUSTID]],廠商[],2,FALSE),"")</f>
        <v/>
      </c>
      <c r="S10128" t="str">
        <f>VLOOKUP(record[[#This Row],[employeeID]],員工[],2,FALSE)</f>
        <v>張淑惠</v>
      </c>
    </row>
    <row r="10129" spans="6:19" hidden="1" x14ac:dyDescent="0.25">
      <c r="F10129" t="s">
        <v>689</v>
      </c>
      <c r="G10129" t="s">
        <v>402</v>
      </c>
      <c r="H10129" t="str">
        <f>VLOOKUP(record[[#This Row],[ProcessSN]],表格2_7[],2,FALSE)</f>
        <v>30-4118-018-550</v>
      </c>
      <c r="I10129" t="str">
        <f>VLOOKUP(record[[#This Row],[ProcessSN]],表格2_7[],3,FALSE)</f>
        <v>#100STOCK</v>
      </c>
      <c r="J10129" t="s">
        <v>592</v>
      </c>
      <c r="K10129" s="195">
        <v>45729.492291666669</v>
      </c>
      <c r="L10129">
        <v>152</v>
      </c>
      <c r="M10129">
        <v>0</v>
      </c>
      <c r="N10129" s="98" t="str">
        <f>IF(record[[#This Row],[Memo]]="Browser:chrome os:android","平板報工",IF(record[[#This Row],[Memo]]=0,"委外",record[[#This Row],[Memo]]))</f>
        <v/>
      </c>
      <c r="O10129" t="s">
        <v>58</v>
      </c>
      <c r="P10129" t="s">
        <v>196</v>
      </c>
      <c r="Q10129" t="s">
        <v>58</v>
      </c>
      <c r="R10129" t="str">
        <f>IFERROR(VLOOKUP(record[[#This Row],[PCUSTID]],廠商[],2,FALSE),"")</f>
        <v/>
      </c>
      <c r="S10129" t="str">
        <f>VLOOKUP(record[[#This Row],[employeeID]],員工[],2,FALSE)</f>
        <v>張淑惠</v>
      </c>
    </row>
    <row r="10130" spans="6:19" hidden="1" x14ac:dyDescent="0.25">
      <c r="F10130" t="s">
        <v>684</v>
      </c>
      <c r="G10130" t="s">
        <v>402</v>
      </c>
      <c r="H10130" t="str">
        <f>VLOOKUP(record[[#This Row],[ProcessSN]],表格2_7[],2,FALSE)</f>
        <v>30-4118-018-550</v>
      </c>
      <c r="I10130" t="str">
        <f>VLOOKUP(record[[#This Row],[ProcessSN]],表格2_7[],3,FALSE)</f>
        <v>#100STOCK</v>
      </c>
      <c r="J10130" t="s">
        <v>592</v>
      </c>
      <c r="K10130" s="195">
        <v>45729.492129629631</v>
      </c>
      <c r="L10130">
        <v>346</v>
      </c>
      <c r="M10130">
        <v>0</v>
      </c>
      <c r="N10130" s="98" t="str">
        <f>IF(record[[#This Row],[Memo]]="Browser:chrome os:android","平板報工",IF(record[[#This Row],[Memo]]=0,"委外",record[[#This Row],[Memo]]))</f>
        <v/>
      </c>
      <c r="O10130" t="s">
        <v>58</v>
      </c>
      <c r="P10130" t="s">
        <v>196</v>
      </c>
      <c r="Q10130" t="s">
        <v>58</v>
      </c>
      <c r="R10130" t="str">
        <f>IFERROR(VLOOKUP(record[[#This Row],[PCUSTID]],廠商[],2,FALSE),"")</f>
        <v/>
      </c>
      <c r="S10130" t="str">
        <f>VLOOKUP(record[[#This Row],[employeeID]],員工[],2,FALSE)</f>
        <v>張淑惠</v>
      </c>
    </row>
    <row r="10131" spans="6:19" hidden="1" x14ac:dyDescent="0.25">
      <c r="F10131" t="s">
        <v>717</v>
      </c>
      <c r="G10131" t="s">
        <v>426</v>
      </c>
      <c r="H10131" t="str">
        <f>VLOOKUP(record[[#This Row],[ProcessSN]],表格2_7[],2,FALSE)</f>
        <v>30-4118-018-600</v>
      </c>
      <c r="I10131" t="str">
        <f>VLOOKUP(record[[#This Row],[ProcessSN]],表格2_7[],3,FALSE)</f>
        <v>#100OQC</v>
      </c>
      <c r="J10131" t="s">
        <v>599</v>
      </c>
      <c r="K10131" s="195">
        <v>45728.812118055554</v>
      </c>
      <c r="L10131">
        <v>11</v>
      </c>
      <c r="M10131">
        <v>0</v>
      </c>
      <c r="N10131" s="98" t="str">
        <f>IF(record[[#This Row],[Memo]]="Browser:chrome os:android","平板報工",IF(record[[#This Row],[Memo]]=0,"委外",record[[#This Row],[Memo]]))</f>
        <v/>
      </c>
      <c r="O10131" t="s">
        <v>58</v>
      </c>
      <c r="P10131" t="s">
        <v>121</v>
      </c>
      <c r="Q10131" t="s">
        <v>58</v>
      </c>
      <c r="R10131" t="str">
        <f>IFERROR(VLOOKUP(record[[#This Row],[PCUSTID]],廠商[],2,FALSE),"")</f>
        <v/>
      </c>
      <c r="S10131" t="str">
        <f>VLOOKUP(record[[#This Row],[employeeID]],員工[],2,FALSE)</f>
        <v>謝素卿</v>
      </c>
    </row>
    <row r="10132" spans="6:19" hidden="1" x14ac:dyDescent="0.25">
      <c r="F10132" t="s">
        <v>717</v>
      </c>
      <c r="G10132" t="s">
        <v>425</v>
      </c>
      <c r="H10132" t="str">
        <f>VLOOKUP(record[[#This Row],[ProcessSN]],表格2_7[],2,FALSE)</f>
        <v>30-4118-018-600</v>
      </c>
      <c r="I10132" t="str">
        <f>VLOOKUP(record[[#This Row],[ProcessSN]],表格2_7[],3,FALSE)</f>
        <v>#100</v>
      </c>
      <c r="J10132" t="s">
        <v>598</v>
      </c>
      <c r="K10132" s="195">
        <v>45728.341828703706</v>
      </c>
      <c r="L10132">
        <v>11</v>
      </c>
      <c r="M10132">
        <v>0</v>
      </c>
      <c r="N10132" s="98" t="str">
        <f>IF(record[[#This Row],[Memo]]="Browser:chrome os:android","平板報工",IF(record[[#This Row],[Memo]]=0,"委外",record[[#This Row],[Memo]]))</f>
        <v>平板報工</v>
      </c>
      <c r="O10132" t="s">
        <v>643</v>
      </c>
      <c r="P10132" t="s">
        <v>141</v>
      </c>
      <c r="Q10132" t="s">
        <v>644</v>
      </c>
      <c r="R10132" t="str">
        <f>IFERROR(VLOOKUP(record[[#This Row],[PCUSTID]],廠商[],2,FALSE),"")</f>
        <v/>
      </c>
      <c r="S10132" t="str">
        <f>VLOOKUP(record[[#This Row],[employeeID]],員工[],2,FALSE)</f>
        <v>蔣梅</v>
      </c>
    </row>
    <row r="10133" spans="6:19" hidden="1" x14ac:dyDescent="0.25">
      <c r="F10133" t="s">
        <v>628</v>
      </c>
      <c r="G10133" t="s">
        <v>426</v>
      </c>
      <c r="H10133" t="str">
        <f>VLOOKUP(record[[#This Row],[ProcessSN]],表格2_7[],2,FALSE)</f>
        <v>30-4118-018-600</v>
      </c>
      <c r="I10133" t="str">
        <f>VLOOKUP(record[[#This Row],[ProcessSN]],表格2_7[],3,FALSE)</f>
        <v>#100OQC</v>
      </c>
      <c r="J10133" t="s">
        <v>599</v>
      </c>
      <c r="K10133" s="195">
        <v>45727.742303240739</v>
      </c>
      <c r="L10133">
        <v>204</v>
      </c>
      <c r="M10133">
        <v>0</v>
      </c>
      <c r="N10133" s="98" t="str">
        <f>IF(record[[#This Row],[Memo]]="Browser:chrome os:android","平板報工",IF(record[[#This Row],[Memo]]=0,"委外",record[[#This Row],[Memo]]))</f>
        <v/>
      </c>
      <c r="O10133" t="s">
        <v>58</v>
      </c>
      <c r="P10133" t="s">
        <v>121</v>
      </c>
      <c r="Q10133" t="s">
        <v>58</v>
      </c>
      <c r="R10133" t="str">
        <f>IFERROR(VLOOKUP(record[[#This Row],[PCUSTID]],廠商[],2,FALSE),"")</f>
        <v/>
      </c>
      <c r="S10133" t="str">
        <f>VLOOKUP(record[[#This Row],[employeeID]],員工[],2,FALSE)</f>
        <v>謝素卿</v>
      </c>
    </row>
    <row r="10134" spans="6:19" hidden="1" x14ac:dyDescent="0.25">
      <c r="F10134" t="s">
        <v>717</v>
      </c>
      <c r="G10134" t="s">
        <v>424</v>
      </c>
      <c r="H10134" t="str">
        <f>VLOOKUP(record[[#This Row],[ProcessSN]],表格2_7[],2,FALSE)</f>
        <v>30-4118-018-600</v>
      </c>
      <c r="I10134" t="str">
        <f>VLOOKUP(record[[#This Row],[ProcessSN]],表格2_7[],3,FALSE)</f>
        <v>#08IQC</v>
      </c>
      <c r="J10134" t="s">
        <v>583</v>
      </c>
      <c r="K10134" s="195">
        <v>45727.690416666665</v>
      </c>
      <c r="L10134">
        <v>11</v>
      </c>
      <c r="M10134">
        <v>0</v>
      </c>
      <c r="N10134" s="98" t="str">
        <f>IF(record[[#This Row],[Memo]]="Browser:chrome os:android","平板報工",IF(record[[#This Row],[Memo]]=0,"委外",record[[#This Row],[Memo]]))</f>
        <v>覆回品</v>
      </c>
      <c r="O10134" t="s">
        <v>664</v>
      </c>
      <c r="P10134" t="s">
        <v>65</v>
      </c>
      <c r="Q10134" t="s">
        <v>58</v>
      </c>
      <c r="R10134" t="str">
        <f>IFERROR(VLOOKUP(record[[#This Row],[PCUSTID]],廠商[],2,FALSE),"")</f>
        <v/>
      </c>
      <c r="S10134" t="str">
        <f>VLOOKUP(record[[#This Row],[employeeID]],員工[],2,FALSE)</f>
        <v>蘇進昌</v>
      </c>
    </row>
    <row r="10135" spans="6:19" hidden="1" x14ac:dyDescent="0.25">
      <c r="F10135" t="s">
        <v>717</v>
      </c>
      <c r="G10135" t="s">
        <v>423</v>
      </c>
      <c r="H10135" t="str">
        <f>VLOOKUP(record[[#This Row],[ProcessSN]],表格2_7[],2,FALSE)</f>
        <v>30-4118-018-600</v>
      </c>
      <c r="I10135" t="str">
        <f>VLOOKUP(record[[#This Row],[ProcessSN]],表格2_7[],3,FALSE)</f>
        <v>#08RCV</v>
      </c>
      <c r="J10135" t="s">
        <v>591</v>
      </c>
      <c r="K10135" s="195">
        <v>45727.538287037038</v>
      </c>
      <c r="L10135">
        <v>11</v>
      </c>
      <c r="M10135">
        <v>-11</v>
      </c>
      <c r="N10135" s="98" t="str">
        <f>IF(record[[#This Row],[Memo]]="Browser:chrome os:android","平板報工",IF(record[[#This Row],[Memo]]=0,"委外",record[[#This Row],[Memo]]))</f>
        <v>覆回品</v>
      </c>
      <c r="O10135" t="s">
        <v>664</v>
      </c>
      <c r="P10135" t="s">
        <v>65</v>
      </c>
      <c r="Q10135" t="s">
        <v>58</v>
      </c>
      <c r="R10135" t="str">
        <f>IFERROR(VLOOKUP(record[[#This Row],[PCUSTID]],廠商[],2,FALSE),"")</f>
        <v/>
      </c>
      <c r="S10135" t="str">
        <f>VLOOKUP(record[[#This Row],[employeeID]],員工[],2,FALSE)</f>
        <v>蘇進昌</v>
      </c>
    </row>
    <row r="10136" spans="6:19" hidden="1" x14ac:dyDescent="0.25">
      <c r="F10136" t="s">
        <v>586</v>
      </c>
      <c r="G10136" t="s">
        <v>378</v>
      </c>
      <c r="H10136" t="str">
        <f>VLOOKUP(record[[#This Row],[ProcessSN]],表格2_7[],2,FALSE)</f>
        <v>30-4118-018-4XX</v>
      </c>
      <c r="I10136" t="str">
        <f>VLOOKUP(record[[#This Row],[ProcessSN]],表格2_7[],3,FALSE)</f>
        <v>#07QC</v>
      </c>
      <c r="J10136" t="s">
        <v>589</v>
      </c>
      <c r="K10136" s="195">
        <v>45727.447326388887</v>
      </c>
      <c r="L10136">
        <v>0</v>
      </c>
      <c r="M10136">
        <v>-3</v>
      </c>
      <c r="N10136" s="98" t="str">
        <f>IF(record[[#This Row],[Memo]]="Browser:chrome os:android","平板報工",IF(record[[#This Row],[Memo]]=0,"委外",record[[#This Row],[Memo]]))</f>
        <v>覆回品</v>
      </c>
      <c r="O10136" t="s">
        <v>664</v>
      </c>
      <c r="P10136" t="s">
        <v>65</v>
      </c>
      <c r="Q10136" t="s">
        <v>644</v>
      </c>
      <c r="R10136" t="str">
        <f>IFERROR(VLOOKUP(record[[#This Row],[PCUSTID]],廠商[],2,FALSE),"")</f>
        <v/>
      </c>
      <c r="S10136" t="str">
        <f>VLOOKUP(record[[#This Row],[employeeID]],員工[],2,FALSE)</f>
        <v>蘇進昌</v>
      </c>
    </row>
    <row r="10137" spans="6:19" hidden="1" x14ac:dyDescent="0.25">
      <c r="F10137" t="s">
        <v>660</v>
      </c>
      <c r="G10137" t="s">
        <v>403</v>
      </c>
      <c r="H10137" t="str">
        <f>VLOOKUP(record[[#This Row],[ProcessSN]],表格2_7[],2,FALSE)</f>
        <v>30-4118-018-550</v>
      </c>
      <c r="I10137" t="str">
        <f>VLOOKUP(record[[#This Row],[ProcessSN]],表格2_7[],3,FALSE)</f>
        <v>#100SHIP</v>
      </c>
      <c r="J10137" t="s">
        <v>600</v>
      </c>
      <c r="K10137" s="195">
        <v>45727.43476851852</v>
      </c>
      <c r="L10137">
        <v>351</v>
      </c>
      <c r="M10137">
        <v>0</v>
      </c>
      <c r="N10137" s="98" t="str">
        <f>IF(record[[#This Row],[Memo]]="Browser:chrome os:android","平板報工",IF(record[[#This Row],[Memo]]=0,"委外",record[[#This Row],[Memo]]))</f>
        <v/>
      </c>
      <c r="O10137" t="s">
        <v>58</v>
      </c>
      <c r="P10137" t="s">
        <v>196</v>
      </c>
      <c r="Q10137" t="s">
        <v>58</v>
      </c>
      <c r="R10137" t="str">
        <f>IFERROR(VLOOKUP(record[[#This Row],[PCUSTID]],廠商[],2,FALSE),"")</f>
        <v/>
      </c>
      <c r="S10137" t="str">
        <f>VLOOKUP(record[[#This Row],[employeeID]],員工[],2,FALSE)</f>
        <v>張淑惠</v>
      </c>
    </row>
    <row r="10138" spans="6:19" hidden="1" x14ac:dyDescent="0.25">
      <c r="F10138" t="s">
        <v>680</v>
      </c>
      <c r="G10138" t="s">
        <v>360</v>
      </c>
      <c r="H10138" t="str">
        <f>VLOOKUP(record[[#This Row],[ProcessSN]],表格2_7[],2,FALSE)</f>
        <v>30-4118-018-450</v>
      </c>
      <c r="I10138" t="str">
        <f>VLOOKUP(record[[#This Row],[ProcessSN]],表格2_7[],3,FALSE)</f>
        <v>#100OQC</v>
      </c>
      <c r="J10138" t="s">
        <v>599</v>
      </c>
      <c r="K10138" s="195">
        <v>45727.317685185182</v>
      </c>
      <c r="L10138">
        <v>353</v>
      </c>
      <c r="M10138">
        <v>0</v>
      </c>
      <c r="N10138" s="98" t="str">
        <f>IF(record[[#This Row],[Memo]]="Browser:chrome os:android","平板報工",IF(record[[#This Row],[Memo]]=0,"委外",record[[#This Row],[Memo]]))</f>
        <v/>
      </c>
      <c r="O10138" t="s">
        <v>58</v>
      </c>
      <c r="P10138" t="s">
        <v>121</v>
      </c>
      <c r="Q10138" t="s">
        <v>58</v>
      </c>
      <c r="R10138" t="str">
        <f>IFERROR(VLOOKUP(record[[#This Row],[PCUSTID]],廠商[],2,FALSE),"")</f>
        <v/>
      </c>
      <c r="S10138" t="str">
        <f>VLOOKUP(record[[#This Row],[employeeID]],員工[],2,FALSE)</f>
        <v>謝素卿</v>
      </c>
    </row>
    <row r="10139" spans="6:19" hidden="1" x14ac:dyDescent="0.25">
      <c r="F10139" t="s">
        <v>707</v>
      </c>
      <c r="G10139" t="s">
        <v>401</v>
      </c>
      <c r="H10139" t="str">
        <f>VLOOKUP(record[[#This Row],[ProcessSN]],表格2_7[],2,FALSE)</f>
        <v>30-4118-018-550</v>
      </c>
      <c r="I10139" t="str">
        <f>VLOOKUP(record[[#This Row],[ProcessSN]],表格2_7[],3,FALSE)</f>
        <v>#100OQC</v>
      </c>
      <c r="J10139" t="s">
        <v>599</v>
      </c>
      <c r="K10139" s="195">
        <v>45727.317326388889</v>
      </c>
      <c r="L10139">
        <v>310</v>
      </c>
      <c r="M10139">
        <v>0</v>
      </c>
      <c r="N10139" s="98" t="str">
        <f>IF(record[[#This Row],[Memo]]="Browser:chrome os:android","平板報工",IF(record[[#This Row],[Memo]]=0,"委外",record[[#This Row],[Memo]]))</f>
        <v/>
      </c>
      <c r="O10139" t="s">
        <v>58</v>
      </c>
      <c r="P10139" t="s">
        <v>121</v>
      </c>
      <c r="Q10139" t="s">
        <v>58</v>
      </c>
      <c r="R10139" t="str">
        <f>IFERROR(VLOOKUP(record[[#This Row],[PCUSTID]],廠商[],2,FALSE),"")</f>
        <v/>
      </c>
      <c r="S10139" t="str">
        <f>VLOOKUP(record[[#This Row],[employeeID]],員工[],2,FALSE)</f>
        <v>謝素卿</v>
      </c>
    </row>
    <row r="10140" spans="6:19" hidden="1" x14ac:dyDescent="0.25">
      <c r="F10140" t="s">
        <v>701</v>
      </c>
      <c r="G10140" t="s">
        <v>401</v>
      </c>
      <c r="H10140" t="str">
        <f>VLOOKUP(record[[#This Row],[ProcessSN]],表格2_7[],2,FALSE)</f>
        <v>30-4118-018-550</v>
      </c>
      <c r="I10140" t="str">
        <f>VLOOKUP(record[[#This Row],[ProcessSN]],表格2_7[],3,FALSE)</f>
        <v>#100OQC</v>
      </c>
      <c r="J10140" t="s">
        <v>599</v>
      </c>
      <c r="K10140" s="195">
        <v>45727.317175925928</v>
      </c>
      <c r="L10140">
        <v>162</v>
      </c>
      <c r="M10140">
        <v>0</v>
      </c>
      <c r="N10140" s="98" t="str">
        <f>IF(record[[#This Row],[Memo]]="Browser:chrome os:android","平板報工",IF(record[[#This Row],[Memo]]=0,"委外",record[[#This Row],[Memo]]))</f>
        <v/>
      </c>
      <c r="O10140" t="s">
        <v>58</v>
      </c>
      <c r="P10140" t="s">
        <v>121</v>
      </c>
      <c r="Q10140" t="s">
        <v>58</v>
      </c>
      <c r="R10140" t="str">
        <f>IFERROR(VLOOKUP(record[[#This Row],[PCUSTID]],廠商[],2,FALSE),"")</f>
        <v/>
      </c>
      <c r="S10140" t="str">
        <f>VLOOKUP(record[[#This Row],[employeeID]],員工[],2,FALSE)</f>
        <v>謝素卿</v>
      </c>
    </row>
    <row r="10141" spans="6:19" hidden="1" x14ac:dyDescent="0.25">
      <c r="F10141" t="s">
        <v>699</v>
      </c>
      <c r="G10141" t="s">
        <v>401</v>
      </c>
      <c r="H10141" t="str">
        <f>VLOOKUP(record[[#This Row],[ProcessSN]],表格2_7[],2,FALSE)</f>
        <v>30-4118-018-550</v>
      </c>
      <c r="I10141" t="str">
        <f>VLOOKUP(record[[#This Row],[ProcessSN]],表格2_7[],3,FALSE)</f>
        <v>#100OQC</v>
      </c>
      <c r="J10141" t="s">
        <v>599</v>
      </c>
      <c r="K10141" s="195">
        <v>45727.317025462966</v>
      </c>
      <c r="L10141">
        <v>293</v>
      </c>
      <c r="M10141">
        <v>0</v>
      </c>
      <c r="N10141" s="98" t="str">
        <f>IF(record[[#This Row],[Memo]]="Browser:chrome os:android","平板報工",IF(record[[#This Row],[Memo]]=0,"委外",record[[#This Row],[Memo]]))</f>
        <v/>
      </c>
      <c r="O10141" t="s">
        <v>58</v>
      </c>
      <c r="P10141" t="s">
        <v>121</v>
      </c>
      <c r="Q10141" t="s">
        <v>58</v>
      </c>
      <c r="R10141" t="str">
        <f>IFERROR(VLOOKUP(record[[#This Row],[PCUSTID]],廠商[],2,FALSE),"")</f>
        <v/>
      </c>
      <c r="S10141" t="str">
        <f>VLOOKUP(record[[#This Row],[employeeID]],員工[],2,FALSE)</f>
        <v>謝素卿</v>
      </c>
    </row>
    <row r="10142" spans="6:19" hidden="1" x14ac:dyDescent="0.25">
      <c r="F10142" t="s">
        <v>697</v>
      </c>
      <c r="G10142" t="s">
        <v>401</v>
      </c>
      <c r="H10142" t="str">
        <f>VLOOKUP(record[[#This Row],[ProcessSN]],表格2_7[],2,FALSE)</f>
        <v>30-4118-018-550</v>
      </c>
      <c r="I10142" t="str">
        <f>VLOOKUP(record[[#This Row],[ProcessSN]],表格2_7[],3,FALSE)</f>
        <v>#100OQC</v>
      </c>
      <c r="J10142" t="s">
        <v>599</v>
      </c>
      <c r="K10142" s="195">
        <v>45727.316840277781</v>
      </c>
      <c r="L10142">
        <v>159</v>
      </c>
      <c r="M10142">
        <v>0</v>
      </c>
      <c r="N10142" s="98" t="str">
        <f>IF(record[[#This Row],[Memo]]="Browser:chrome os:android","平板報工",IF(record[[#This Row],[Memo]]=0,"委外",record[[#This Row],[Memo]]))</f>
        <v/>
      </c>
      <c r="O10142" t="s">
        <v>58</v>
      </c>
      <c r="P10142" t="s">
        <v>121</v>
      </c>
      <c r="Q10142" t="s">
        <v>58</v>
      </c>
      <c r="R10142" t="str">
        <f>IFERROR(VLOOKUP(record[[#This Row],[PCUSTID]],廠商[],2,FALSE),"")</f>
        <v/>
      </c>
      <c r="S10142" t="str">
        <f>VLOOKUP(record[[#This Row],[employeeID]],員工[],2,FALSE)</f>
        <v>謝素卿</v>
      </c>
    </row>
    <row r="10143" spans="6:19" hidden="1" x14ac:dyDescent="0.25">
      <c r="F10143" t="s">
        <v>689</v>
      </c>
      <c r="G10143" t="s">
        <v>401</v>
      </c>
      <c r="H10143" t="str">
        <f>VLOOKUP(record[[#This Row],[ProcessSN]],表格2_7[],2,FALSE)</f>
        <v>30-4118-018-550</v>
      </c>
      <c r="I10143" t="str">
        <f>VLOOKUP(record[[#This Row],[ProcessSN]],表格2_7[],3,FALSE)</f>
        <v>#100OQC</v>
      </c>
      <c r="J10143" t="s">
        <v>599</v>
      </c>
      <c r="K10143" s="195">
        <v>45727.316655092596</v>
      </c>
      <c r="L10143">
        <v>152</v>
      </c>
      <c r="M10143">
        <v>0</v>
      </c>
      <c r="N10143" s="98" t="str">
        <f>IF(record[[#This Row],[Memo]]="Browser:chrome os:android","平板報工",IF(record[[#This Row],[Memo]]=0,"委外",record[[#This Row],[Memo]]))</f>
        <v/>
      </c>
      <c r="O10143" t="s">
        <v>58</v>
      </c>
      <c r="P10143" t="s">
        <v>121</v>
      </c>
      <c r="Q10143" t="s">
        <v>58</v>
      </c>
      <c r="R10143" t="str">
        <f>IFERROR(VLOOKUP(record[[#This Row],[PCUSTID]],廠商[],2,FALSE),"")</f>
        <v/>
      </c>
      <c r="S10143" t="str">
        <f>VLOOKUP(record[[#This Row],[employeeID]],員工[],2,FALSE)</f>
        <v>謝素卿</v>
      </c>
    </row>
    <row r="10144" spans="6:19" hidden="1" x14ac:dyDescent="0.25">
      <c r="F10144" t="s">
        <v>684</v>
      </c>
      <c r="G10144" t="s">
        <v>401</v>
      </c>
      <c r="H10144" t="str">
        <f>VLOOKUP(record[[#This Row],[ProcessSN]],表格2_7[],2,FALSE)</f>
        <v>30-4118-018-550</v>
      </c>
      <c r="I10144" t="str">
        <f>VLOOKUP(record[[#This Row],[ProcessSN]],表格2_7[],3,FALSE)</f>
        <v>#100OQC</v>
      </c>
      <c r="J10144" t="s">
        <v>599</v>
      </c>
      <c r="K10144" s="195">
        <v>45727.316493055558</v>
      </c>
      <c r="L10144">
        <v>346</v>
      </c>
      <c r="M10144">
        <v>0</v>
      </c>
      <c r="N10144" s="98" t="str">
        <f>IF(record[[#This Row],[Memo]]="Browser:chrome os:android","平板報工",IF(record[[#This Row],[Memo]]=0,"委外",record[[#This Row],[Memo]]))</f>
        <v/>
      </c>
      <c r="O10144" t="s">
        <v>58</v>
      </c>
      <c r="P10144" t="s">
        <v>121</v>
      </c>
      <c r="Q10144" t="s">
        <v>58</v>
      </c>
      <c r="R10144" t="str">
        <f>IFERROR(VLOOKUP(record[[#This Row],[PCUSTID]],廠商[],2,FALSE),"")</f>
        <v/>
      </c>
      <c r="S10144" t="str">
        <f>VLOOKUP(record[[#This Row],[employeeID]],員工[],2,FALSE)</f>
        <v>謝素卿</v>
      </c>
    </row>
    <row r="10145" spans="6:19" hidden="1" x14ac:dyDescent="0.25">
      <c r="F10145" t="s">
        <v>626</v>
      </c>
      <c r="G10145" t="s">
        <v>428</v>
      </c>
      <c r="H10145" t="str">
        <f>VLOOKUP(record[[#This Row],[ProcessSN]],表格2_7[],2,FALSE)</f>
        <v>30-4118-018-600</v>
      </c>
      <c r="I10145" t="str">
        <f>VLOOKUP(record[[#This Row],[ProcessSN]],表格2_7[],3,FALSE)</f>
        <v>#100SHIP</v>
      </c>
      <c r="J10145" t="s">
        <v>600</v>
      </c>
      <c r="K10145" s="195">
        <v>45726.404756944445</v>
      </c>
      <c r="L10145">
        <v>5</v>
      </c>
      <c r="M10145">
        <v>0</v>
      </c>
      <c r="N10145" s="98" t="str">
        <f>IF(record[[#This Row],[Memo]]="Browser:chrome os:android","平板報工",IF(record[[#This Row],[Memo]]=0,"委外",record[[#This Row],[Memo]]))</f>
        <v/>
      </c>
      <c r="O10145" t="s">
        <v>58</v>
      </c>
      <c r="P10145" t="s">
        <v>196</v>
      </c>
      <c r="Q10145" t="s">
        <v>58</v>
      </c>
      <c r="R10145" t="str">
        <f>IFERROR(VLOOKUP(record[[#This Row],[PCUSTID]],廠商[],2,FALSE),"")</f>
        <v/>
      </c>
      <c r="S10145" t="str">
        <f>VLOOKUP(record[[#This Row],[employeeID]],員工[],2,FALSE)</f>
        <v>張淑惠</v>
      </c>
    </row>
    <row r="10146" spans="6:19" hidden="1" x14ac:dyDescent="0.25">
      <c r="F10146" t="s">
        <v>707</v>
      </c>
      <c r="G10146" t="s">
        <v>400</v>
      </c>
      <c r="H10146" t="str">
        <f>VLOOKUP(record[[#This Row],[ProcessSN]],表格2_7[],2,FALSE)</f>
        <v>30-4118-018-550</v>
      </c>
      <c r="I10146" t="str">
        <f>VLOOKUP(record[[#This Row],[ProcessSN]],表格2_7[],3,FALSE)</f>
        <v>#100</v>
      </c>
      <c r="J10146" t="s">
        <v>598</v>
      </c>
      <c r="K10146" s="195">
        <v>45723.68577546296</v>
      </c>
      <c r="L10146">
        <v>310</v>
      </c>
      <c r="M10146">
        <v>0</v>
      </c>
      <c r="N10146" s="98" t="str">
        <f>IF(record[[#This Row],[Memo]]="Browser:chrome os:android","平板報工",IF(record[[#This Row],[Memo]]=0,"委外",record[[#This Row],[Memo]]))</f>
        <v/>
      </c>
      <c r="O10146" t="s">
        <v>58</v>
      </c>
      <c r="P10146" t="s">
        <v>141</v>
      </c>
      <c r="Q10146" t="s">
        <v>58</v>
      </c>
      <c r="R10146" t="str">
        <f>IFERROR(VLOOKUP(record[[#This Row],[PCUSTID]],廠商[],2,FALSE),"")</f>
        <v/>
      </c>
      <c r="S10146" t="str">
        <f>VLOOKUP(record[[#This Row],[employeeID]],員工[],2,FALSE)</f>
        <v>蔣梅</v>
      </c>
    </row>
    <row r="10147" spans="6:19" hidden="1" x14ac:dyDescent="0.25">
      <c r="F10147" t="s">
        <v>707</v>
      </c>
      <c r="G10147" t="s">
        <v>400</v>
      </c>
      <c r="H10147" t="str">
        <f>VLOOKUP(record[[#This Row],[ProcessSN]],表格2_7[],2,FALSE)</f>
        <v>30-4118-018-550</v>
      </c>
      <c r="I10147" t="str">
        <f>VLOOKUP(record[[#This Row],[ProcessSN]],表格2_7[],3,FALSE)</f>
        <v>#100</v>
      </c>
      <c r="J10147" t="s">
        <v>598</v>
      </c>
      <c r="K10147" s="195">
        <v>45723.68546296296</v>
      </c>
      <c r="L10147">
        <v>0</v>
      </c>
      <c r="M10147">
        <v>4</v>
      </c>
      <c r="N10147" s="98" t="str">
        <f>IF(record[[#This Row],[Memo]]="Browser:chrome os:android","平板報工",IF(record[[#This Row],[Memo]]=0,"委外",record[[#This Row],[Memo]]))</f>
        <v/>
      </c>
      <c r="O10147" t="s">
        <v>58</v>
      </c>
      <c r="P10147" t="s">
        <v>141</v>
      </c>
      <c r="Q10147" t="s">
        <v>58</v>
      </c>
      <c r="R10147" t="str">
        <f>IFERROR(VLOOKUP(record[[#This Row],[PCUSTID]],廠商[],2,FALSE),"")</f>
        <v/>
      </c>
      <c r="S10147" t="str">
        <f>VLOOKUP(record[[#This Row],[employeeID]],員工[],2,FALSE)</f>
        <v>蔣梅</v>
      </c>
    </row>
    <row r="10148" spans="6:19" hidden="1" x14ac:dyDescent="0.25">
      <c r="F10148" t="s">
        <v>699</v>
      </c>
      <c r="G10148" t="s">
        <v>400</v>
      </c>
      <c r="H10148" t="str">
        <f>VLOOKUP(record[[#This Row],[ProcessSN]],表格2_7[],2,FALSE)</f>
        <v>30-4118-018-550</v>
      </c>
      <c r="I10148" t="str">
        <f>VLOOKUP(record[[#This Row],[ProcessSN]],表格2_7[],3,FALSE)</f>
        <v>#100</v>
      </c>
      <c r="J10148" t="s">
        <v>598</v>
      </c>
      <c r="K10148" s="195">
        <v>45723.684756944444</v>
      </c>
      <c r="L10148">
        <v>0</v>
      </c>
      <c r="M10148">
        <v>8</v>
      </c>
      <c r="N10148" s="98" t="str">
        <f>IF(record[[#This Row],[Memo]]="Browser:chrome os:android","平板報工",IF(record[[#This Row],[Memo]]=0,"委外",record[[#This Row],[Memo]]))</f>
        <v/>
      </c>
      <c r="O10148" t="s">
        <v>58</v>
      </c>
      <c r="P10148" t="s">
        <v>141</v>
      </c>
      <c r="Q10148" t="s">
        <v>58</v>
      </c>
      <c r="R10148" t="str">
        <f>IFERROR(VLOOKUP(record[[#This Row],[PCUSTID]],廠商[],2,FALSE),"")</f>
        <v/>
      </c>
      <c r="S10148" t="str">
        <f>VLOOKUP(record[[#This Row],[employeeID]],員工[],2,FALSE)</f>
        <v>蔣梅</v>
      </c>
    </row>
    <row r="10149" spans="6:19" hidden="1" x14ac:dyDescent="0.25">
      <c r="F10149" t="s">
        <v>701</v>
      </c>
      <c r="G10149" t="s">
        <v>400</v>
      </c>
      <c r="H10149" t="str">
        <f>VLOOKUP(record[[#This Row],[ProcessSN]],表格2_7[],2,FALSE)</f>
        <v>30-4118-018-550</v>
      </c>
      <c r="I10149" t="str">
        <f>VLOOKUP(record[[#This Row],[ProcessSN]],表格2_7[],3,FALSE)</f>
        <v>#100</v>
      </c>
      <c r="J10149" t="s">
        <v>598</v>
      </c>
      <c r="K10149" s="195">
        <v>45723.677037037036</v>
      </c>
      <c r="L10149">
        <v>162</v>
      </c>
      <c r="M10149">
        <v>0</v>
      </c>
      <c r="N10149" s="98" t="str">
        <f>IF(record[[#This Row],[Memo]]="Browser:chrome os:android","平板報工",IF(record[[#This Row],[Memo]]=0,"委外",record[[#This Row],[Memo]]))</f>
        <v/>
      </c>
      <c r="O10149" t="s">
        <v>58</v>
      </c>
      <c r="P10149" t="s">
        <v>141</v>
      </c>
      <c r="Q10149" t="s">
        <v>58</v>
      </c>
      <c r="R10149" t="str">
        <f>IFERROR(VLOOKUP(record[[#This Row],[PCUSTID]],廠商[],2,FALSE),"")</f>
        <v/>
      </c>
      <c r="S10149" t="str">
        <f>VLOOKUP(record[[#This Row],[employeeID]],員工[],2,FALSE)</f>
        <v>蔣梅</v>
      </c>
    </row>
    <row r="10150" spans="6:19" hidden="1" x14ac:dyDescent="0.25">
      <c r="F10150" t="s">
        <v>699</v>
      </c>
      <c r="G10150" t="s">
        <v>400</v>
      </c>
      <c r="H10150" t="str">
        <f>VLOOKUP(record[[#This Row],[ProcessSN]],表格2_7[],2,FALSE)</f>
        <v>30-4118-018-550</v>
      </c>
      <c r="I10150" t="str">
        <f>VLOOKUP(record[[#This Row],[ProcessSN]],表格2_7[],3,FALSE)</f>
        <v>#100</v>
      </c>
      <c r="J10150" t="s">
        <v>598</v>
      </c>
      <c r="K10150" s="195">
        <v>45723.676666666666</v>
      </c>
      <c r="L10150">
        <v>293</v>
      </c>
      <c r="M10150">
        <v>0</v>
      </c>
      <c r="N10150" s="98" t="str">
        <f>IF(record[[#This Row],[Memo]]="Browser:chrome os:android","平板報工",IF(record[[#This Row],[Memo]]=0,"委外",record[[#This Row],[Memo]]))</f>
        <v/>
      </c>
      <c r="O10150" t="s">
        <v>58</v>
      </c>
      <c r="P10150" t="s">
        <v>141</v>
      </c>
      <c r="Q10150" t="s">
        <v>58</v>
      </c>
      <c r="R10150" t="str">
        <f>IFERROR(VLOOKUP(record[[#This Row],[PCUSTID]],廠商[],2,FALSE),"")</f>
        <v/>
      </c>
      <c r="S10150" t="str">
        <f>VLOOKUP(record[[#This Row],[employeeID]],員工[],2,FALSE)</f>
        <v>蔣梅</v>
      </c>
    </row>
    <row r="10151" spans="6:19" hidden="1" x14ac:dyDescent="0.25">
      <c r="F10151" t="s">
        <v>697</v>
      </c>
      <c r="G10151" t="s">
        <v>400</v>
      </c>
      <c r="H10151" t="str">
        <f>VLOOKUP(record[[#This Row],[ProcessSN]],表格2_7[],2,FALSE)</f>
        <v>30-4118-018-550</v>
      </c>
      <c r="I10151" t="str">
        <f>VLOOKUP(record[[#This Row],[ProcessSN]],表格2_7[],3,FALSE)</f>
        <v>#100</v>
      </c>
      <c r="J10151" t="s">
        <v>598</v>
      </c>
      <c r="K10151" s="195">
        <v>45723.675833333335</v>
      </c>
      <c r="L10151">
        <v>159</v>
      </c>
      <c r="M10151">
        <v>0</v>
      </c>
      <c r="N10151" s="98" t="str">
        <f>IF(record[[#This Row],[Memo]]="Browser:chrome os:android","平板報工",IF(record[[#This Row],[Memo]]=0,"委外",record[[#This Row],[Memo]]))</f>
        <v/>
      </c>
      <c r="O10151" t="s">
        <v>58</v>
      </c>
      <c r="P10151" t="s">
        <v>141</v>
      </c>
      <c r="Q10151" t="s">
        <v>58</v>
      </c>
      <c r="R10151" t="str">
        <f>IFERROR(VLOOKUP(record[[#This Row],[PCUSTID]],廠商[],2,FALSE),"")</f>
        <v/>
      </c>
      <c r="S10151" t="str">
        <f>VLOOKUP(record[[#This Row],[employeeID]],員工[],2,FALSE)</f>
        <v>蔣梅</v>
      </c>
    </row>
    <row r="10152" spans="6:19" hidden="1" x14ac:dyDescent="0.25">
      <c r="F10152" t="s">
        <v>689</v>
      </c>
      <c r="G10152" t="s">
        <v>400</v>
      </c>
      <c r="H10152" t="str">
        <f>VLOOKUP(record[[#This Row],[ProcessSN]],表格2_7[],2,FALSE)</f>
        <v>30-4118-018-550</v>
      </c>
      <c r="I10152" t="str">
        <f>VLOOKUP(record[[#This Row],[ProcessSN]],表格2_7[],3,FALSE)</f>
        <v>#100</v>
      </c>
      <c r="J10152" t="s">
        <v>598</v>
      </c>
      <c r="K10152" s="195">
        <v>45723.675520833334</v>
      </c>
      <c r="L10152">
        <v>152</v>
      </c>
      <c r="M10152">
        <v>0</v>
      </c>
      <c r="N10152" s="98" t="str">
        <f>IF(record[[#This Row],[Memo]]="Browser:chrome os:android","平板報工",IF(record[[#This Row],[Memo]]=0,"委外",record[[#This Row],[Memo]]))</f>
        <v/>
      </c>
      <c r="O10152" t="s">
        <v>58</v>
      </c>
      <c r="P10152" t="s">
        <v>141</v>
      </c>
      <c r="Q10152" t="s">
        <v>58</v>
      </c>
      <c r="R10152" t="str">
        <f>IFERROR(VLOOKUP(record[[#This Row],[PCUSTID]],廠商[],2,FALSE),"")</f>
        <v/>
      </c>
      <c r="S10152" t="str">
        <f>VLOOKUP(record[[#This Row],[employeeID]],員工[],2,FALSE)</f>
        <v>蔣梅</v>
      </c>
    </row>
    <row r="10153" spans="6:19" hidden="1" x14ac:dyDescent="0.25">
      <c r="F10153" t="s">
        <v>684</v>
      </c>
      <c r="G10153" t="s">
        <v>400</v>
      </c>
      <c r="H10153" t="str">
        <f>VLOOKUP(record[[#This Row],[ProcessSN]],表格2_7[],2,FALSE)</f>
        <v>30-4118-018-550</v>
      </c>
      <c r="I10153" t="str">
        <f>VLOOKUP(record[[#This Row],[ProcessSN]],表格2_7[],3,FALSE)</f>
        <v>#100</v>
      </c>
      <c r="J10153" t="s">
        <v>598</v>
      </c>
      <c r="K10153" s="195">
        <v>45723.675115740742</v>
      </c>
      <c r="L10153">
        <v>346</v>
      </c>
      <c r="M10153">
        <v>0</v>
      </c>
      <c r="N10153" s="98" t="str">
        <f>IF(record[[#This Row],[Memo]]="Browser:chrome os:android","平板報工",IF(record[[#This Row],[Memo]]=0,"委外",record[[#This Row],[Memo]]))</f>
        <v/>
      </c>
      <c r="O10153" t="s">
        <v>58</v>
      </c>
      <c r="P10153" t="s">
        <v>141</v>
      </c>
      <c r="Q10153" t="s">
        <v>58</v>
      </c>
      <c r="R10153" t="str">
        <f>IFERROR(VLOOKUP(record[[#This Row],[PCUSTID]],廠商[],2,FALSE),"")</f>
        <v/>
      </c>
      <c r="S10153" t="str">
        <f>VLOOKUP(record[[#This Row],[employeeID]],員工[],2,FALSE)</f>
        <v>蔣梅</v>
      </c>
    </row>
    <row r="10154" spans="6:19" hidden="1" x14ac:dyDescent="0.25">
      <c r="F10154" t="s">
        <v>628</v>
      </c>
      <c r="G10154" t="s">
        <v>425</v>
      </c>
      <c r="H10154" t="str">
        <f>VLOOKUP(record[[#This Row],[ProcessSN]],表格2_7[],2,FALSE)</f>
        <v>30-4118-018-600</v>
      </c>
      <c r="I10154" t="str">
        <f>VLOOKUP(record[[#This Row],[ProcessSN]],表格2_7[],3,FALSE)</f>
        <v>#100</v>
      </c>
      <c r="J10154" t="s">
        <v>598</v>
      </c>
      <c r="K10154" s="195">
        <v>45723.658506944441</v>
      </c>
      <c r="L10154">
        <v>204</v>
      </c>
      <c r="M10154">
        <v>0</v>
      </c>
      <c r="N10154" s="98" t="str">
        <f>IF(record[[#This Row],[Memo]]="Browser:chrome os:android","平板報工",IF(record[[#This Row],[Memo]]=0,"委外",record[[#This Row],[Memo]]))</f>
        <v>平板報工</v>
      </c>
      <c r="O10154" t="s">
        <v>643</v>
      </c>
      <c r="P10154" t="s">
        <v>99</v>
      </c>
      <c r="Q10154" t="s">
        <v>644</v>
      </c>
      <c r="R10154" t="str">
        <f>IFERROR(VLOOKUP(record[[#This Row],[PCUSTID]],廠商[],2,FALSE),"")</f>
        <v/>
      </c>
      <c r="S10154" t="str">
        <f>VLOOKUP(record[[#This Row],[employeeID]],員工[],2,FALSE)</f>
        <v>阮氏河</v>
      </c>
    </row>
    <row r="10155" spans="6:19" hidden="1" x14ac:dyDescent="0.25">
      <c r="F10155" t="s">
        <v>626</v>
      </c>
      <c r="G10155" t="s">
        <v>428</v>
      </c>
      <c r="H10155" t="str">
        <f>VLOOKUP(record[[#This Row],[ProcessSN]],表格2_7[],2,FALSE)</f>
        <v>30-4118-018-600</v>
      </c>
      <c r="I10155" t="str">
        <f>VLOOKUP(record[[#This Row],[ProcessSN]],表格2_7[],3,FALSE)</f>
        <v>#100SHIP</v>
      </c>
      <c r="J10155" t="s">
        <v>600</v>
      </c>
      <c r="K10155" s="195">
        <v>45723.609965277778</v>
      </c>
      <c r="L10155">
        <v>5</v>
      </c>
      <c r="M10155">
        <v>0</v>
      </c>
      <c r="N10155" s="98" t="str">
        <f>IF(record[[#This Row],[Memo]]="Browser:chrome os:android","平板報工",IF(record[[#This Row],[Memo]]=0,"委外",record[[#This Row],[Memo]]))</f>
        <v/>
      </c>
      <c r="O10155" t="s">
        <v>58</v>
      </c>
      <c r="P10155" t="s">
        <v>196</v>
      </c>
      <c r="Q10155" t="s">
        <v>58</v>
      </c>
      <c r="R10155" t="str">
        <f>IFERROR(VLOOKUP(record[[#This Row],[PCUSTID]],廠商[],2,FALSE),"")</f>
        <v/>
      </c>
      <c r="S10155" t="str">
        <f>VLOOKUP(record[[#This Row],[employeeID]],員工[],2,FALSE)</f>
        <v>張淑惠</v>
      </c>
    </row>
    <row r="10156" spans="6:19" hidden="1" x14ac:dyDescent="0.25">
      <c r="F10156" t="s">
        <v>660</v>
      </c>
      <c r="G10156" t="s">
        <v>403</v>
      </c>
      <c r="H10156" t="str">
        <f>VLOOKUP(record[[#This Row],[ProcessSN]],表格2_7[],2,FALSE)</f>
        <v>30-4118-018-550</v>
      </c>
      <c r="I10156" t="str">
        <f>VLOOKUP(record[[#This Row],[ProcessSN]],表格2_7[],3,FALSE)</f>
        <v>#100SHIP</v>
      </c>
      <c r="J10156" t="s">
        <v>600</v>
      </c>
      <c r="K10156" s="195">
        <v>45723.609652777777</v>
      </c>
      <c r="L10156">
        <v>7</v>
      </c>
      <c r="M10156">
        <v>0</v>
      </c>
      <c r="N10156" s="98" t="str">
        <f>IF(record[[#This Row],[Memo]]="Browser:chrome os:android","平板報工",IF(record[[#This Row],[Memo]]=0,"委外",record[[#This Row],[Memo]]))</f>
        <v/>
      </c>
      <c r="O10156" t="s">
        <v>58</v>
      </c>
      <c r="P10156" t="s">
        <v>196</v>
      </c>
      <c r="Q10156" t="s">
        <v>58</v>
      </c>
      <c r="R10156" t="str">
        <f>IFERROR(VLOOKUP(record[[#This Row],[PCUSTID]],廠商[],2,FALSE),"")</f>
        <v/>
      </c>
      <c r="S10156" t="str">
        <f>VLOOKUP(record[[#This Row],[employeeID]],員工[],2,FALSE)</f>
        <v>張淑惠</v>
      </c>
    </row>
    <row r="10157" spans="6:19" hidden="1" x14ac:dyDescent="0.25">
      <c r="F10157" t="s">
        <v>732</v>
      </c>
      <c r="G10157" t="s">
        <v>468</v>
      </c>
      <c r="H10157" t="str">
        <f>VLOOKUP(record[[#This Row],[ProcessSN]],表格2_7[],2,FALSE)</f>
        <v>30-4118-018-XXX</v>
      </c>
      <c r="I10157" t="str">
        <f>VLOOKUP(record[[#This Row],[ProcessSN]],表格2_7[],3,FALSE)</f>
        <v>#02</v>
      </c>
      <c r="J10157" t="s">
        <v>590</v>
      </c>
      <c r="K10157" s="195">
        <v>45723.407939814817</v>
      </c>
      <c r="L10157">
        <v>1919</v>
      </c>
      <c r="M10157">
        <v>0</v>
      </c>
      <c r="N10157" s="98" t="str">
        <f>IF(record[[#This Row],[Memo]]="Browser:chrome os:android","平板報工",IF(record[[#This Row],[Memo]]=0,"委外",record[[#This Row],[Memo]]))</f>
        <v>委外</v>
      </c>
      <c r="P10157" t="s">
        <v>202</v>
      </c>
      <c r="Q10157" t="s">
        <v>216</v>
      </c>
      <c r="R10157" t="str">
        <f>IFERROR(VLOOKUP(record[[#This Row],[PCUSTID]],廠商[],2,FALSE),"")</f>
        <v>俊杰</v>
      </c>
      <c r="S10157" t="str">
        <f>VLOOKUP(record[[#This Row],[employeeID]],員工[],2,FALSE)</f>
        <v>游惠茹</v>
      </c>
    </row>
    <row r="10158" spans="6:19" hidden="1" x14ac:dyDescent="0.25">
      <c r="F10158" t="s">
        <v>732</v>
      </c>
      <c r="G10158" t="s">
        <v>467</v>
      </c>
      <c r="H10158" t="str">
        <f>VLOOKUP(record[[#This Row],[ProcessSN]],表格2_7[],2,FALSE)</f>
        <v>30-4118-018-XXX</v>
      </c>
      <c r="I10158" t="str">
        <f>VLOOKUP(record[[#This Row],[ProcessSN]],表格2_7[],3,FALSE)</f>
        <v>#01QC</v>
      </c>
      <c r="J10158" t="s">
        <v>589</v>
      </c>
      <c r="K10158" s="195">
        <v>45723.40724537037</v>
      </c>
      <c r="L10158">
        <v>911</v>
      </c>
      <c r="M10158">
        <v>0</v>
      </c>
      <c r="N10158" s="98" t="str">
        <f>IF(record[[#This Row],[Memo]]="Browser:chrome os:android","平板報工",IF(record[[#This Row],[Memo]]=0,"委外",record[[#This Row],[Memo]]))</f>
        <v/>
      </c>
      <c r="O10158" t="s">
        <v>58</v>
      </c>
      <c r="P10158" t="s">
        <v>202</v>
      </c>
      <c r="Q10158" t="s">
        <v>58</v>
      </c>
      <c r="R10158" t="str">
        <f>IFERROR(VLOOKUP(record[[#This Row],[PCUSTID]],廠商[],2,FALSE),"")</f>
        <v/>
      </c>
      <c r="S10158" t="str">
        <f>VLOOKUP(record[[#This Row],[employeeID]],員工[],2,FALSE)</f>
        <v>游惠茹</v>
      </c>
    </row>
    <row r="10159" spans="6:19" hidden="1" x14ac:dyDescent="0.25">
      <c r="F10159" t="s">
        <v>732</v>
      </c>
      <c r="G10159" t="s">
        <v>466</v>
      </c>
      <c r="H10159" t="str">
        <f>VLOOKUP(record[[#This Row],[ProcessSN]],表格2_7[],2,FALSE)</f>
        <v>30-4118-018-XXX</v>
      </c>
      <c r="I10159" t="str">
        <f>VLOOKUP(record[[#This Row],[ProcessSN]],表格2_7[],3,FALSE)</f>
        <v>#01-2</v>
      </c>
      <c r="J10159" t="s">
        <v>588</v>
      </c>
      <c r="K10159" s="195">
        <v>45722.942789351851</v>
      </c>
      <c r="L10159">
        <v>341</v>
      </c>
      <c r="M10159">
        <v>0</v>
      </c>
      <c r="N10159" s="98" t="str">
        <f>IF(record[[#This Row],[Memo]]="Browser:chrome os:android","平板報工",IF(record[[#This Row],[Memo]]=0,"委外",record[[#This Row],[Memo]]))</f>
        <v/>
      </c>
      <c r="O10159" t="s">
        <v>58</v>
      </c>
      <c r="P10159" t="s">
        <v>133</v>
      </c>
      <c r="Q10159" t="s">
        <v>58</v>
      </c>
      <c r="R10159" t="str">
        <f>IFERROR(VLOOKUP(record[[#This Row],[PCUSTID]],廠商[],2,FALSE),"")</f>
        <v/>
      </c>
      <c r="S10159" t="str">
        <f>VLOOKUP(record[[#This Row],[employeeID]],員工[],2,FALSE)</f>
        <v>黎長維</v>
      </c>
    </row>
    <row r="10160" spans="6:19" hidden="1" x14ac:dyDescent="0.25">
      <c r="F10160" t="s">
        <v>732</v>
      </c>
      <c r="G10160" t="s">
        <v>465</v>
      </c>
      <c r="H10160" t="str">
        <f>VLOOKUP(record[[#This Row],[ProcessSN]],表格2_7[],2,FALSE)</f>
        <v>30-4118-018-XXX</v>
      </c>
      <c r="I10160" t="str">
        <f>VLOOKUP(record[[#This Row],[ProcessSN]],表格2_7[],3,FALSE)</f>
        <v>#01-1</v>
      </c>
      <c r="J10160" t="s">
        <v>588</v>
      </c>
      <c r="K10160" s="195">
        <v>45722.942407407405</v>
      </c>
      <c r="L10160">
        <v>341</v>
      </c>
      <c r="M10160">
        <v>0</v>
      </c>
      <c r="N10160" s="98" t="str">
        <f>IF(record[[#This Row],[Memo]]="Browser:chrome os:android","平板報工",IF(record[[#This Row],[Memo]]=0,"委外",record[[#This Row],[Memo]]))</f>
        <v>收尾少1pcs</v>
      </c>
      <c r="O10160" t="s">
        <v>750</v>
      </c>
      <c r="P10160" t="s">
        <v>133</v>
      </c>
      <c r="Q10160" t="s">
        <v>58</v>
      </c>
      <c r="R10160" t="str">
        <f>IFERROR(VLOOKUP(record[[#This Row],[PCUSTID]],廠商[],2,FALSE),"")</f>
        <v/>
      </c>
      <c r="S10160" t="str">
        <f>VLOOKUP(record[[#This Row],[employeeID]],員工[],2,FALSE)</f>
        <v>黎長維</v>
      </c>
    </row>
    <row r="10161" spans="6:19" hidden="1" x14ac:dyDescent="0.25">
      <c r="F10161" t="s">
        <v>678</v>
      </c>
      <c r="G10161" t="s">
        <v>359</v>
      </c>
      <c r="H10161" t="str">
        <f>VLOOKUP(record[[#This Row],[ProcessSN]],表格2_7[],2,FALSE)</f>
        <v>30-4118-018-450</v>
      </c>
      <c r="I10161" t="str">
        <f>VLOOKUP(record[[#This Row],[ProcessSN]],表格2_7[],3,FALSE)</f>
        <v>#100</v>
      </c>
      <c r="J10161" t="s">
        <v>598</v>
      </c>
      <c r="K10161" s="195">
        <v>45722.776863425926</v>
      </c>
      <c r="L10161">
        <v>0</v>
      </c>
      <c r="M10161">
        <v>2</v>
      </c>
      <c r="N10161" s="98" t="str">
        <f>IF(record[[#This Row],[Memo]]="Browser:chrome os:android","平板報工",IF(record[[#This Row],[Memo]]=0,"委外",record[[#This Row],[Memo]]))</f>
        <v>平板報工</v>
      </c>
      <c r="O10161" t="s">
        <v>643</v>
      </c>
      <c r="P10161" t="s">
        <v>141</v>
      </c>
      <c r="Q10161" t="s">
        <v>644</v>
      </c>
      <c r="R10161" t="str">
        <f>IFERROR(VLOOKUP(record[[#This Row],[PCUSTID]],廠商[],2,FALSE),"")</f>
        <v/>
      </c>
      <c r="S10161" t="str">
        <f>VLOOKUP(record[[#This Row],[employeeID]],員工[],2,FALSE)</f>
        <v>蔣梅</v>
      </c>
    </row>
    <row r="10162" spans="6:19" hidden="1" x14ac:dyDescent="0.25">
      <c r="F10162" t="s">
        <v>680</v>
      </c>
      <c r="G10162" t="s">
        <v>359</v>
      </c>
      <c r="H10162" t="str">
        <f>VLOOKUP(record[[#This Row],[ProcessSN]],表格2_7[],2,FALSE)</f>
        <v>30-4118-018-450</v>
      </c>
      <c r="I10162" t="str">
        <f>VLOOKUP(record[[#This Row],[ProcessSN]],表格2_7[],3,FALSE)</f>
        <v>#100</v>
      </c>
      <c r="J10162" t="s">
        <v>598</v>
      </c>
      <c r="K10162" s="195">
        <v>45722.638090277775</v>
      </c>
      <c r="L10162">
        <v>0</v>
      </c>
      <c r="M10162">
        <v>2</v>
      </c>
      <c r="N10162" s="98" t="str">
        <f>IF(record[[#This Row],[Memo]]="Browser:chrome os:android","平板報工",IF(record[[#This Row],[Memo]]=0,"委外",record[[#This Row],[Memo]]))</f>
        <v/>
      </c>
      <c r="O10162" t="s">
        <v>58</v>
      </c>
      <c r="P10162" t="s">
        <v>141</v>
      </c>
      <c r="Q10162" t="s">
        <v>58</v>
      </c>
      <c r="R10162" t="str">
        <f>IFERROR(VLOOKUP(record[[#This Row],[PCUSTID]],廠商[],2,FALSE),"")</f>
        <v/>
      </c>
      <c r="S10162" t="str">
        <f>VLOOKUP(record[[#This Row],[employeeID]],員工[],2,FALSE)</f>
        <v>蔣梅</v>
      </c>
    </row>
    <row r="10163" spans="6:19" hidden="1" x14ac:dyDescent="0.25">
      <c r="F10163" t="s">
        <v>680</v>
      </c>
      <c r="G10163" t="s">
        <v>359</v>
      </c>
      <c r="H10163" t="str">
        <f>VLOOKUP(record[[#This Row],[ProcessSN]],表格2_7[],2,FALSE)</f>
        <v>30-4118-018-450</v>
      </c>
      <c r="I10163" t="str">
        <f>VLOOKUP(record[[#This Row],[ProcessSN]],表格2_7[],3,FALSE)</f>
        <v>#100</v>
      </c>
      <c r="J10163" t="s">
        <v>598</v>
      </c>
      <c r="K10163" s="195">
        <v>45722.637870370374</v>
      </c>
      <c r="L10163">
        <v>353</v>
      </c>
      <c r="M10163">
        <v>0</v>
      </c>
      <c r="N10163" s="98" t="str">
        <f>IF(record[[#This Row],[Memo]]="Browser:chrome os:android","平板報工",IF(record[[#This Row],[Memo]]=0,"委外",record[[#This Row],[Memo]]))</f>
        <v/>
      </c>
      <c r="O10163" t="s">
        <v>58</v>
      </c>
      <c r="P10163" t="s">
        <v>141</v>
      </c>
      <c r="Q10163" t="s">
        <v>58</v>
      </c>
      <c r="R10163" t="str">
        <f>IFERROR(VLOOKUP(record[[#This Row],[PCUSTID]],廠商[],2,FALSE),"")</f>
        <v/>
      </c>
      <c r="S10163" t="str">
        <f>VLOOKUP(record[[#This Row],[employeeID]],員工[],2,FALSE)</f>
        <v>蔣梅</v>
      </c>
    </row>
    <row r="10164" spans="6:19" hidden="1" x14ac:dyDescent="0.25">
      <c r="F10164" t="s">
        <v>732</v>
      </c>
      <c r="G10164" t="s">
        <v>466</v>
      </c>
      <c r="H10164" t="str">
        <f>VLOOKUP(record[[#This Row],[ProcessSN]],表格2_7[],2,FALSE)</f>
        <v>30-4118-018-XXX</v>
      </c>
      <c r="I10164" t="str">
        <f>VLOOKUP(record[[#This Row],[ProcessSN]],表格2_7[],3,FALSE)</f>
        <v>#01-2</v>
      </c>
      <c r="J10164" t="s">
        <v>588</v>
      </c>
      <c r="K10164" s="195">
        <v>45722.632673611108</v>
      </c>
      <c r="L10164">
        <v>176</v>
      </c>
      <c r="M10164">
        <v>0</v>
      </c>
      <c r="N10164" s="98" t="str">
        <f>IF(record[[#This Row],[Memo]]="Browser:chrome os:android","平板報工",IF(record[[#This Row],[Memo]]=0,"委外",record[[#This Row],[Memo]]))</f>
        <v/>
      </c>
      <c r="O10164" t="s">
        <v>58</v>
      </c>
      <c r="P10164" t="s">
        <v>119</v>
      </c>
      <c r="Q10164" t="s">
        <v>58</v>
      </c>
      <c r="R10164" t="str">
        <f>IFERROR(VLOOKUP(record[[#This Row],[PCUSTID]],廠商[],2,FALSE),"")</f>
        <v/>
      </c>
      <c r="S10164" t="str">
        <f>VLOOKUP(record[[#This Row],[employeeID]],員工[],2,FALSE)</f>
        <v>廖俊彥</v>
      </c>
    </row>
    <row r="10165" spans="6:19" hidden="1" x14ac:dyDescent="0.25">
      <c r="F10165" t="s">
        <v>732</v>
      </c>
      <c r="G10165" t="s">
        <v>465</v>
      </c>
      <c r="H10165" t="str">
        <f>VLOOKUP(record[[#This Row],[ProcessSN]],表格2_7[],2,FALSE)</f>
        <v>30-4118-018-XXX</v>
      </c>
      <c r="I10165" t="str">
        <f>VLOOKUP(record[[#This Row],[ProcessSN]],表格2_7[],3,FALSE)</f>
        <v>#01-1</v>
      </c>
      <c r="J10165" t="s">
        <v>588</v>
      </c>
      <c r="K10165" s="195">
        <v>45722.63244212963</v>
      </c>
      <c r="L10165">
        <v>176</v>
      </c>
      <c r="M10165">
        <v>0</v>
      </c>
      <c r="N10165" s="98" t="str">
        <f>IF(record[[#This Row],[Memo]]="Browser:chrome os:android","平板報工",IF(record[[#This Row],[Memo]]=0,"委外",record[[#This Row],[Memo]]))</f>
        <v/>
      </c>
      <c r="O10165" t="s">
        <v>58</v>
      </c>
      <c r="P10165" t="s">
        <v>119</v>
      </c>
      <c r="Q10165" t="s">
        <v>58</v>
      </c>
      <c r="R10165" t="str">
        <f>IFERROR(VLOOKUP(record[[#This Row],[PCUSTID]],廠商[],2,FALSE),"")</f>
        <v/>
      </c>
      <c r="S10165" t="str">
        <f>VLOOKUP(record[[#This Row],[employeeID]],員工[],2,FALSE)</f>
        <v>廖俊彥</v>
      </c>
    </row>
    <row r="10166" spans="6:19" hidden="1" x14ac:dyDescent="0.25">
      <c r="F10166" t="s">
        <v>748</v>
      </c>
      <c r="G10166" t="s">
        <v>397</v>
      </c>
      <c r="H10166" t="str">
        <f>VLOOKUP(record[[#This Row],[ProcessSN]],表格2_7[],2,FALSE)</f>
        <v>30-4118-018-550</v>
      </c>
      <c r="I10166" t="str">
        <f>VLOOKUP(record[[#This Row],[ProcessSN]],表格2_7[],3,FALSE)</f>
        <v>#08</v>
      </c>
      <c r="J10166" t="s">
        <v>597</v>
      </c>
      <c r="K10166" s="195">
        <v>45722.617812500001</v>
      </c>
      <c r="L10166">
        <v>54</v>
      </c>
      <c r="M10166">
        <v>0</v>
      </c>
      <c r="N10166" s="98" t="str">
        <f>IF(record[[#This Row],[Memo]]="Browser:chrome os:android","平板報工",IF(record[[#This Row],[Memo]]=0,"委外",record[[#This Row],[Memo]]))</f>
        <v>委外</v>
      </c>
      <c r="P10166" t="s">
        <v>202</v>
      </c>
      <c r="Q10166" t="s">
        <v>287</v>
      </c>
      <c r="R10166" t="str">
        <f>IFERROR(VLOOKUP(record[[#This Row],[PCUSTID]],廠商[],2,FALSE),"")</f>
        <v>泉盛</v>
      </c>
      <c r="S10166" t="str">
        <f>VLOOKUP(record[[#This Row],[employeeID]],員工[],2,FALSE)</f>
        <v>游惠茹</v>
      </c>
    </row>
    <row r="10167" spans="6:19" hidden="1" x14ac:dyDescent="0.25">
      <c r="F10167" t="s">
        <v>732</v>
      </c>
      <c r="G10167" t="s">
        <v>467</v>
      </c>
      <c r="H10167" t="str">
        <f>VLOOKUP(record[[#This Row],[ProcessSN]],表格2_7[],2,FALSE)</f>
        <v>30-4118-018-XXX</v>
      </c>
      <c r="I10167" t="str">
        <f>VLOOKUP(record[[#This Row],[ProcessSN]],表格2_7[],3,FALSE)</f>
        <v>#01QC</v>
      </c>
      <c r="J10167" t="s">
        <v>589</v>
      </c>
      <c r="K10167" s="195">
        <v>45722.605023148149</v>
      </c>
      <c r="L10167">
        <v>1008</v>
      </c>
      <c r="M10167">
        <v>0</v>
      </c>
      <c r="N10167" s="98" t="str">
        <f>IF(record[[#This Row],[Memo]]="Browser:chrome os:android","平板報工",IF(record[[#This Row],[Memo]]=0,"委外",record[[#This Row],[Memo]]))</f>
        <v>平板報工</v>
      </c>
      <c r="O10167" t="s">
        <v>643</v>
      </c>
      <c r="P10167" t="s">
        <v>182</v>
      </c>
      <c r="Q10167" t="s">
        <v>644</v>
      </c>
      <c r="R10167" t="str">
        <f>IFERROR(VLOOKUP(record[[#This Row],[PCUSTID]],廠商[],2,FALSE),"")</f>
        <v/>
      </c>
      <c r="S10167" t="str">
        <f>VLOOKUP(record[[#This Row],[employeeID]],員工[],2,FALSE)</f>
        <v>梅氏和</v>
      </c>
    </row>
    <row r="10168" spans="6:19" hidden="1" x14ac:dyDescent="0.25">
      <c r="F10168" t="s">
        <v>748</v>
      </c>
      <c r="G10168" t="s">
        <v>396</v>
      </c>
      <c r="H10168" t="str">
        <f>VLOOKUP(record[[#This Row],[ProcessSN]],表格2_7[],2,FALSE)</f>
        <v>30-4118-018-550</v>
      </c>
      <c r="I10168" t="str">
        <f>VLOOKUP(record[[#This Row],[ProcessSN]],表格2_7[],3,FALSE)</f>
        <v>#08PICK</v>
      </c>
      <c r="J10168" t="s">
        <v>582</v>
      </c>
      <c r="K10168" s="195">
        <v>45722.568599537037</v>
      </c>
      <c r="L10168">
        <v>54</v>
      </c>
      <c r="M10168">
        <v>0</v>
      </c>
      <c r="N10168" s="98" t="str">
        <f>IF(record[[#This Row],[Memo]]="Browser:chrome os:android","平板報工",IF(record[[#This Row],[Memo]]=0,"委外",record[[#This Row],[Memo]]))</f>
        <v/>
      </c>
      <c r="O10168" t="s">
        <v>58</v>
      </c>
      <c r="P10168" t="s">
        <v>113</v>
      </c>
      <c r="Q10168" t="s">
        <v>58</v>
      </c>
      <c r="R10168" t="str">
        <f>IFERROR(VLOOKUP(record[[#This Row],[PCUSTID]],廠商[],2,FALSE),"")</f>
        <v/>
      </c>
      <c r="S10168" t="str">
        <f>VLOOKUP(record[[#This Row],[employeeID]],員工[],2,FALSE)</f>
        <v>王奕蓁</v>
      </c>
    </row>
    <row r="10169" spans="6:19" hidden="1" x14ac:dyDescent="0.25">
      <c r="F10169" t="s">
        <v>650</v>
      </c>
      <c r="G10169" t="s">
        <v>420</v>
      </c>
      <c r="H10169" t="str">
        <f>VLOOKUP(record[[#This Row],[ProcessSN]],表格2_7[],2,FALSE)</f>
        <v>30-4118-018-5XX</v>
      </c>
      <c r="I10169" t="str">
        <f>VLOOKUP(record[[#This Row],[ProcessSN]],表格2_7[],3,FALSE)</f>
        <v>#07STOCK</v>
      </c>
      <c r="J10169" t="s">
        <v>592</v>
      </c>
      <c r="K10169" s="195">
        <v>45722.565185185187</v>
      </c>
      <c r="L10169">
        <v>18</v>
      </c>
      <c r="M10169">
        <v>0</v>
      </c>
      <c r="N10169" s="98" t="str">
        <f>IF(record[[#This Row],[Memo]]="Browser:chrome os:android","平板報工",IF(record[[#This Row],[Memo]]=0,"委外",record[[#This Row],[Memo]]))</f>
        <v/>
      </c>
      <c r="O10169" t="s">
        <v>58</v>
      </c>
      <c r="P10169" t="s">
        <v>113</v>
      </c>
      <c r="Q10169" t="s">
        <v>58</v>
      </c>
      <c r="R10169" t="str">
        <f>IFERROR(VLOOKUP(record[[#This Row],[PCUSTID]],廠商[],2,FALSE),"")</f>
        <v/>
      </c>
      <c r="S10169" t="str">
        <f>VLOOKUP(record[[#This Row],[employeeID]],員工[],2,FALSE)</f>
        <v>王奕蓁</v>
      </c>
    </row>
    <row r="10170" spans="6:19" hidden="1" x14ac:dyDescent="0.25">
      <c r="F10170" t="s">
        <v>642</v>
      </c>
      <c r="G10170" t="s">
        <v>420</v>
      </c>
      <c r="H10170" t="str">
        <f>VLOOKUP(record[[#This Row],[ProcessSN]],表格2_7[],2,FALSE)</f>
        <v>30-4118-018-5XX</v>
      </c>
      <c r="I10170" t="str">
        <f>VLOOKUP(record[[#This Row],[ProcessSN]],表格2_7[],3,FALSE)</f>
        <v>#07STOCK</v>
      </c>
      <c r="J10170" t="s">
        <v>592</v>
      </c>
      <c r="K10170" s="195">
        <v>45722.565046296295</v>
      </c>
      <c r="L10170">
        <v>7</v>
      </c>
      <c r="M10170">
        <v>0</v>
      </c>
      <c r="N10170" s="98" t="str">
        <f>IF(record[[#This Row],[Memo]]="Browser:chrome os:android","平板報工",IF(record[[#This Row],[Memo]]=0,"委外",record[[#This Row],[Memo]]))</f>
        <v/>
      </c>
      <c r="O10170" t="s">
        <v>58</v>
      </c>
      <c r="P10170" t="s">
        <v>113</v>
      </c>
      <c r="Q10170" t="s">
        <v>58</v>
      </c>
      <c r="R10170" t="str">
        <f>IFERROR(VLOOKUP(record[[#This Row],[PCUSTID]],廠商[],2,FALSE),"")</f>
        <v/>
      </c>
      <c r="S10170" t="str">
        <f>VLOOKUP(record[[#This Row],[employeeID]],員工[],2,FALSE)</f>
        <v>王奕蓁</v>
      </c>
    </row>
    <row r="10171" spans="6:19" hidden="1" x14ac:dyDescent="0.25">
      <c r="F10171" t="s">
        <v>594</v>
      </c>
      <c r="G10171" t="s">
        <v>420</v>
      </c>
      <c r="H10171" t="str">
        <f>VLOOKUP(record[[#This Row],[ProcessSN]],表格2_7[],2,FALSE)</f>
        <v>30-4118-018-5XX</v>
      </c>
      <c r="I10171" t="str">
        <f>VLOOKUP(record[[#This Row],[ProcessSN]],表格2_7[],3,FALSE)</f>
        <v>#07STOCK</v>
      </c>
      <c r="J10171" t="s">
        <v>592</v>
      </c>
      <c r="K10171" s="195">
        <v>45722.564930555556</v>
      </c>
      <c r="L10171">
        <v>5</v>
      </c>
      <c r="M10171">
        <v>0</v>
      </c>
      <c r="N10171" s="98" t="str">
        <f>IF(record[[#This Row],[Memo]]="Browser:chrome os:android","平板報工",IF(record[[#This Row],[Memo]]=0,"委外",record[[#This Row],[Memo]]))</f>
        <v/>
      </c>
      <c r="O10171" t="s">
        <v>58</v>
      </c>
      <c r="P10171" t="s">
        <v>113</v>
      </c>
      <c r="Q10171" t="s">
        <v>58</v>
      </c>
      <c r="R10171" t="str">
        <f>IFERROR(VLOOKUP(record[[#This Row],[PCUSTID]],廠商[],2,FALSE),"")</f>
        <v/>
      </c>
      <c r="S10171" t="str">
        <f>VLOOKUP(record[[#This Row],[employeeID]],員工[],2,FALSE)</f>
        <v>王奕蓁</v>
      </c>
    </row>
    <row r="10172" spans="6:19" hidden="1" x14ac:dyDescent="0.25">
      <c r="F10172" t="s">
        <v>715</v>
      </c>
      <c r="G10172" t="s">
        <v>420</v>
      </c>
      <c r="H10172" t="str">
        <f>VLOOKUP(record[[#This Row],[ProcessSN]],表格2_7[],2,FALSE)</f>
        <v>30-4118-018-5XX</v>
      </c>
      <c r="I10172" t="str">
        <f>VLOOKUP(record[[#This Row],[ProcessSN]],表格2_7[],3,FALSE)</f>
        <v>#07STOCK</v>
      </c>
      <c r="J10172" t="s">
        <v>592</v>
      </c>
      <c r="K10172" s="195">
        <v>45722.564803240741</v>
      </c>
      <c r="L10172">
        <v>24</v>
      </c>
      <c r="M10172">
        <v>0</v>
      </c>
      <c r="N10172" s="98" t="str">
        <f>IF(record[[#This Row],[Memo]]="Browser:chrome os:android","平板報工",IF(record[[#This Row],[Memo]]=0,"委外",record[[#This Row],[Memo]]))</f>
        <v/>
      </c>
      <c r="O10172" t="s">
        <v>58</v>
      </c>
      <c r="P10172" t="s">
        <v>113</v>
      </c>
      <c r="Q10172" t="s">
        <v>58</v>
      </c>
      <c r="R10172" t="str">
        <f>IFERROR(VLOOKUP(record[[#This Row],[PCUSTID]],廠商[],2,FALSE),"")</f>
        <v/>
      </c>
      <c r="S10172" t="str">
        <f>VLOOKUP(record[[#This Row],[employeeID]],員工[],2,FALSE)</f>
        <v>王奕蓁</v>
      </c>
    </row>
    <row r="10173" spans="6:19" hidden="1" x14ac:dyDescent="0.25">
      <c r="F10173" t="s">
        <v>626</v>
      </c>
      <c r="G10173" t="s">
        <v>428</v>
      </c>
      <c r="H10173" t="str">
        <f>VLOOKUP(record[[#This Row],[ProcessSN]],表格2_7[],2,FALSE)</f>
        <v>30-4118-018-600</v>
      </c>
      <c r="I10173" t="str">
        <f>VLOOKUP(record[[#This Row],[ProcessSN]],表格2_7[],3,FALSE)</f>
        <v>#100SHIP</v>
      </c>
      <c r="J10173" t="s">
        <v>600</v>
      </c>
      <c r="K10173" s="195">
        <v>45722.396307870367</v>
      </c>
      <c r="L10173">
        <v>2</v>
      </c>
      <c r="M10173">
        <v>0</v>
      </c>
      <c r="N10173" s="98" t="str">
        <f>IF(record[[#This Row],[Memo]]="Browser:chrome os:android","平板報工",IF(record[[#This Row],[Memo]]=0,"委外",record[[#This Row],[Memo]]))</f>
        <v/>
      </c>
      <c r="O10173" t="s">
        <v>58</v>
      </c>
      <c r="P10173" t="s">
        <v>196</v>
      </c>
      <c r="Q10173" t="s">
        <v>58</v>
      </c>
      <c r="R10173" t="str">
        <f>IFERROR(VLOOKUP(record[[#This Row],[PCUSTID]],廠商[],2,FALSE),"")</f>
        <v/>
      </c>
      <c r="S10173" t="str">
        <f>VLOOKUP(record[[#This Row],[employeeID]],員工[],2,FALSE)</f>
        <v>張淑惠</v>
      </c>
    </row>
    <row r="10174" spans="6:19" hidden="1" x14ac:dyDescent="0.25">
      <c r="F10174" t="s">
        <v>732</v>
      </c>
      <c r="G10174" t="s">
        <v>466</v>
      </c>
      <c r="H10174" t="str">
        <f>VLOOKUP(record[[#This Row],[ProcessSN]],表格2_7[],2,FALSE)</f>
        <v>30-4118-018-XXX</v>
      </c>
      <c r="I10174" t="str">
        <f>VLOOKUP(record[[#This Row],[ProcessSN]],表格2_7[],3,FALSE)</f>
        <v>#01-2</v>
      </c>
      <c r="J10174" t="s">
        <v>588</v>
      </c>
      <c r="K10174" s="195">
        <v>45722.295949074076</v>
      </c>
      <c r="L10174">
        <v>250</v>
      </c>
      <c r="M10174">
        <v>0</v>
      </c>
      <c r="N10174" s="98" t="str">
        <f>IF(record[[#This Row],[Memo]]="Browser:chrome os:android","平板報工",IF(record[[#This Row],[Memo]]=0,"委外",record[[#This Row],[Memo]]))</f>
        <v/>
      </c>
      <c r="O10174" t="s">
        <v>58</v>
      </c>
      <c r="P10174" t="s">
        <v>135</v>
      </c>
      <c r="Q10174" t="s">
        <v>58</v>
      </c>
      <c r="R10174" t="str">
        <f>IFERROR(VLOOKUP(record[[#This Row],[PCUSTID]],廠商[],2,FALSE),"")</f>
        <v/>
      </c>
      <c r="S10174" t="str">
        <f>VLOOKUP(record[[#This Row],[employeeID]],員工[],2,FALSE)</f>
        <v>阮士文</v>
      </c>
    </row>
    <row r="10175" spans="6:19" hidden="1" x14ac:dyDescent="0.25">
      <c r="F10175" t="s">
        <v>732</v>
      </c>
      <c r="G10175" t="s">
        <v>465</v>
      </c>
      <c r="H10175" t="str">
        <f>VLOOKUP(record[[#This Row],[ProcessSN]],表格2_7[],2,FALSE)</f>
        <v>30-4118-018-XXX</v>
      </c>
      <c r="I10175" t="str">
        <f>VLOOKUP(record[[#This Row],[ProcessSN]],表格2_7[],3,FALSE)</f>
        <v>#01-1</v>
      </c>
      <c r="J10175" t="s">
        <v>588</v>
      </c>
      <c r="K10175" s="195">
        <v>45722.295787037037</v>
      </c>
      <c r="L10175">
        <v>250</v>
      </c>
      <c r="M10175">
        <v>0</v>
      </c>
      <c r="N10175" s="98" t="str">
        <f>IF(record[[#This Row],[Memo]]="Browser:chrome os:android","平板報工",IF(record[[#This Row],[Memo]]=0,"委外",record[[#This Row],[Memo]]))</f>
        <v/>
      </c>
      <c r="O10175" t="s">
        <v>58</v>
      </c>
      <c r="P10175" t="s">
        <v>135</v>
      </c>
      <c r="Q10175" t="s">
        <v>58</v>
      </c>
      <c r="R10175" t="str">
        <f>IFERROR(VLOOKUP(record[[#This Row],[PCUSTID]],廠商[],2,FALSE),"")</f>
        <v/>
      </c>
      <c r="S10175" t="str">
        <f>VLOOKUP(record[[#This Row],[employeeID]],員工[],2,FALSE)</f>
        <v>阮士文</v>
      </c>
    </row>
    <row r="10176" spans="6:19" hidden="1" x14ac:dyDescent="0.25">
      <c r="F10176" t="s">
        <v>732</v>
      </c>
      <c r="G10176" t="s">
        <v>466</v>
      </c>
      <c r="H10176" t="str">
        <f>VLOOKUP(record[[#This Row],[ProcessSN]],表格2_7[],2,FALSE)</f>
        <v>30-4118-018-XXX</v>
      </c>
      <c r="I10176" t="str">
        <f>VLOOKUP(record[[#This Row],[ProcessSN]],表格2_7[],3,FALSE)</f>
        <v>#01-2</v>
      </c>
      <c r="J10176" t="s">
        <v>588</v>
      </c>
      <c r="K10176" s="195">
        <v>45721.990717592591</v>
      </c>
      <c r="L10176">
        <v>450</v>
      </c>
      <c r="M10176">
        <v>0</v>
      </c>
      <c r="N10176" s="98" t="str">
        <f>IF(record[[#This Row],[Memo]]="Browser:chrome os:android","平板報工",IF(record[[#This Row],[Memo]]=0,"委外",record[[#This Row],[Memo]]))</f>
        <v/>
      </c>
      <c r="O10176" t="s">
        <v>58</v>
      </c>
      <c r="P10176" t="s">
        <v>127</v>
      </c>
      <c r="Q10176" t="s">
        <v>58</v>
      </c>
      <c r="R10176" t="str">
        <f>IFERROR(VLOOKUP(record[[#This Row],[PCUSTID]],廠商[],2,FALSE),"")</f>
        <v/>
      </c>
      <c r="S10176" t="str">
        <f>VLOOKUP(record[[#This Row],[employeeID]],員工[],2,FALSE)</f>
        <v>潘雪梅</v>
      </c>
    </row>
    <row r="10177" spans="6:19" hidden="1" x14ac:dyDescent="0.25">
      <c r="F10177" t="s">
        <v>732</v>
      </c>
      <c r="G10177" t="s">
        <v>465</v>
      </c>
      <c r="H10177" t="str">
        <f>VLOOKUP(record[[#This Row],[ProcessSN]],表格2_7[],2,FALSE)</f>
        <v>30-4118-018-XXX</v>
      </c>
      <c r="I10177" t="str">
        <f>VLOOKUP(record[[#This Row],[ProcessSN]],表格2_7[],3,FALSE)</f>
        <v>#01-1</v>
      </c>
      <c r="J10177" t="s">
        <v>588</v>
      </c>
      <c r="K10177" s="195">
        <v>45721.990578703706</v>
      </c>
      <c r="L10177">
        <v>450</v>
      </c>
      <c r="M10177">
        <v>0</v>
      </c>
      <c r="N10177" s="98" t="str">
        <f>IF(record[[#This Row],[Memo]]="Browser:chrome os:android","平板報工",IF(record[[#This Row],[Memo]]=0,"委外",record[[#This Row],[Memo]]))</f>
        <v/>
      </c>
      <c r="O10177" t="s">
        <v>58</v>
      </c>
      <c r="P10177" t="s">
        <v>127</v>
      </c>
      <c r="Q10177" t="s">
        <v>58</v>
      </c>
      <c r="R10177" t="str">
        <f>IFERROR(VLOOKUP(record[[#This Row],[PCUSTID]],廠商[],2,FALSE),"")</f>
        <v/>
      </c>
      <c r="S10177" t="str">
        <f>VLOOKUP(record[[#This Row],[employeeID]],員工[],2,FALSE)</f>
        <v>潘雪梅</v>
      </c>
    </row>
    <row r="10178" spans="6:19" hidden="1" x14ac:dyDescent="0.25">
      <c r="F10178" t="s">
        <v>732</v>
      </c>
      <c r="G10178" t="s">
        <v>466</v>
      </c>
      <c r="H10178" t="str">
        <f>VLOOKUP(record[[#This Row],[ProcessSN]],表格2_7[],2,FALSE)</f>
        <v>30-4118-018-XXX</v>
      </c>
      <c r="I10178" t="str">
        <f>VLOOKUP(record[[#This Row],[ProcessSN]],表格2_7[],3,FALSE)</f>
        <v>#01-2</v>
      </c>
      <c r="J10178" t="s">
        <v>588</v>
      </c>
      <c r="K10178" s="195">
        <v>45721.681354166663</v>
      </c>
      <c r="L10178">
        <v>366</v>
      </c>
      <c r="M10178">
        <v>0</v>
      </c>
      <c r="N10178" s="98" t="str">
        <f>IF(record[[#This Row],[Memo]]="Browser:chrome os:android","平板報工",IF(record[[#This Row],[Memo]]=0,"委外",record[[#This Row],[Memo]]))</f>
        <v/>
      </c>
      <c r="O10178" t="s">
        <v>58</v>
      </c>
      <c r="P10178" t="s">
        <v>119</v>
      </c>
      <c r="Q10178" t="s">
        <v>58</v>
      </c>
      <c r="R10178" t="str">
        <f>IFERROR(VLOOKUP(record[[#This Row],[PCUSTID]],廠商[],2,FALSE),"")</f>
        <v/>
      </c>
      <c r="S10178" t="str">
        <f>VLOOKUP(record[[#This Row],[employeeID]],員工[],2,FALSE)</f>
        <v>廖俊彥</v>
      </c>
    </row>
    <row r="10179" spans="6:19" hidden="1" x14ac:dyDescent="0.25">
      <c r="F10179" t="s">
        <v>732</v>
      </c>
      <c r="G10179" t="s">
        <v>465</v>
      </c>
      <c r="H10179" t="str">
        <f>VLOOKUP(record[[#This Row],[ProcessSN]],表格2_7[],2,FALSE)</f>
        <v>30-4118-018-XXX</v>
      </c>
      <c r="I10179" t="str">
        <f>VLOOKUP(record[[#This Row],[ProcessSN]],表格2_7[],3,FALSE)</f>
        <v>#01-1</v>
      </c>
      <c r="J10179" t="s">
        <v>588</v>
      </c>
      <c r="K10179" s="195">
        <v>45721.681192129632</v>
      </c>
      <c r="L10179">
        <v>366</v>
      </c>
      <c r="M10179">
        <v>0</v>
      </c>
      <c r="N10179" s="98" t="str">
        <f>IF(record[[#This Row],[Memo]]="Browser:chrome os:android","平板報工",IF(record[[#This Row],[Memo]]=0,"委外",record[[#This Row],[Memo]]))</f>
        <v/>
      </c>
      <c r="O10179" t="s">
        <v>58</v>
      </c>
      <c r="P10179" t="s">
        <v>119</v>
      </c>
      <c r="Q10179" t="s">
        <v>58</v>
      </c>
      <c r="R10179" t="str">
        <f>IFERROR(VLOOKUP(record[[#This Row],[PCUSTID]],廠商[],2,FALSE),"")</f>
        <v/>
      </c>
      <c r="S10179" t="str">
        <f>VLOOKUP(record[[#This Row],[employeeID]],員工[],2,FALSE)</f>
        <v>廖俊彥</v>
      </c>
    </row>
    <row r="10180" spans="6:19" hidden="1" x14ac:dyDescent="0.25">
      <c r="F10180" t="s">
        <v>683</v>
      </c>
      <c r="G10180" t="s">
        <v>361</v>
      </c>
      <c r="H10180" t="str">
        <f>VLOOKUP(record[[#This Row],[ProcessSN]],表格2_7[],2,FALSE)</f>
        <v>30-4118-018-450</v>
      </c>
      <c r="I10180" t="str">
        <f>VLOOKUP(record[[#This Row],[ProcessSN]],表格2_7[],3,FALSE)</f>
        <v>#100STOCK</v>
      </c>
      <c r="J10180" t="s">
        <v>592</v>
      </c>
      <c r="K10180" s="195">
        <v>45721.460150462961</v>
      </c>
      <c r="L10180">
        <v>219</v>
      </c>
      <c r="M10180">
        <v>0</v>
      </c>
      <c r="N10180" s="98" t="str">
        <f>IF(record[[#This Row],[Memo]]="Browser:chrome os:android","平板報工",IF(record[[#This Row],[Memo]]=0,"委外",record[[#This Row],[Memo]]))</f>
        <v/>
      </c>
      <c r="O10180" t="s">
        <v>58</v>
      </c>
      <c r="P10180" t="s">
        <v>196</v>
      </c>
      <c r="Q10180" t="s">
        <v>58</v>
      </c>
      <c r="R10180" t="str">
        <f>IFERROR(VLOOKUP(record[[#This Row],[PCUSTID]],廠商[],2,FALSE),"")</f>
        <v/>
      </c>
      <c r="S10180" t="str">
        <f>VLOOKUP(record[[#This Row],[employeeID]],員工[],2,FALSE)</f>
        <v>張淑惠</v>
      </c>
    </row>
    <row r="10181" spans="6:19" hidden="1" x14ac:dyDescent="0.25">
      <c r="F10181" t="s">
        <v>678</v>
      </c>
      <c r="G10181" t="s">
        <v>361</v>
      </c>
      <c r="H10181" t="str">
        <f>VLOOKUP(record[[#This Row],[ProcessSN]],表格2_7[],2,FALSE)</f>
        <v>30-4118-018-450</v>
      </c>
      <c r="I10181" t="str">
        <f>VLOOKUP(record[[#This Row],[ProcessSN]],表格2_7[],3,FALSE)</f>
        <v>#100STOCK</v>
      </c>
      <c r="J10181" t="s">
        <v>592</v>
      </c>
      <c r="K10181" s="195">
        <v>45721.460034722222</v>
      </c>
      <c r="L10181">
        <v>313</v>
      </c>
      <c r="M10181">
        <v>0</v>
      </c>
      <c r="N10181" s="98" t="str">
        <f>IF(record[[#This Row],[Memo]]="Browser:chrome os:android","平板報工",IF(record[[#This Row],[Memo]]=0,"委外",record[[#This Row],[Memo]]))</f>
        <v/>
      </c>
      <c r="O10181" t="s">
        <v>58</v>
      </c>
      <c r="P10181" t="s">
        <v>196</v>
      </c>
      <c r="Q10181" t="s">
        <v>58</v>
      </c>
      <c r="R10181" t="str">
        <f>IFERROR(VLOOKUP(record[[#This Row],[PCUSTID]],廠商[],2,FALSE),"")</f>
        <v/>
      </c>
      <c r="S10181" t="str">
        <f>VLOOKUP(record[[#This Row],[employeeID]],員工[],2,FALSE)</f>
        <v>張淑惠</v>
      </c>
    </row>
    <row r="10182" spans="6:19" hidden="1" x14ac:dyDescent="0.25">
      <c r="F10182" t="s">
        <v>668</v>
      </c>
      <c r="G10182" t="s">
        <v>361</v>
      </c>
      <c r="H10182" t="str">
        <f>VLOOKUP(record[[#This Row],[ProcessSN]],表格2_7[],2,FALSE)</f>
        <v>30-4118-018-450</v>
      </c>
      <c r="I10182" t="str">
        <f>VLOOKUP(record[[#This Row],[ProcessSN]],表格2_7[],3,FALSE)</f>
        <v>#100STOCK</v>
      </c>
      <c r="J10182" t="s">
        <v>592</v>
      </c>
      <c r="K10182" s="195">
        <v>45721.45989583333</v>
      </c>
      <c r="L10182">
        <v>159</v>
      </c>
      <c r="M10182">
        <v>0</v>
      </c>
      <c r="N10182" s="98" t="str">
        <f>IF(record[[#This Row],[Memo]]="Browser:chrome os:android","平板報工",IF(record[[#This Row],[Memo]]=0,"委外",record[[#This Row],[Memo]]))</f>
        <v/>
      </c>
      <c r="O10182" t="s">
        <v>58</v>
      </c>
      <c r="P10182" t="s">
        <v>196</v>
      </c>
      <c r="Q10182" t="s">
        <v>58</v>
      </c>
      <c r="R10182" t="str">
        <f>IFERROR(VLOOKUP(record[[#This Row],[PCUSTID]],廠商[],2,FALSE),"")</f>
        <v/>
      </c>
      <c r="S10182" t="str">
        <f>VLOOKUP(record[[#This Row],[employeeID]],員工[],2,FALSE)</f>
        <v>張淑惠</v>
      </c>
    </row>
    <row r="10183" spans="6:19" hidden="1" x14ac:dyDescent="0.25">
      <c r="F10183" t="s">
        <v>662</v>
      </c>
      <c r="G10183" t="s">
        <v>403</v>
      </c>
      <c r="H10183" t="str">
        <f>VLOOKUP(record[[#This Row],[ProcessSN]],表格2_7[],2,FALSE)</f>
        <v>30-4118-018-550</v>
      </c>
      <c r="I10183" t="str">
        <f>VLOOKUP(record[[#This Row],[ProcessSN]],表格2_7[],3,FALSE)</f>
        <v>#100SHIP</v>
      </c>
      <c r="J10183" t="s">
        <v>600</v>
      </c>
      <c r="K10183" s="195">
        <v>45721.458912037036</v>
      </c>
      <c r="L10183">
        <v>79</v>
      </c>
      <c r="M10183">
        <v>0</v>
      </c>
      <c r="N10183" s="98" t="str">
        <f>IF(record[[#This Row],[Memo]]="Browser:chrome os:android","平板報工",IF(record[[#This Row],[Memo]]=0,"委外",record[[#This Row],[Memo]]))</f>
        <v/>
      </c>
      <c r="O10183" t="s">
        <v>58</v>
      </c>
      <c r="P10183" t="s">
        <v>196</v>
      </c>
      <c r="Q10183" t="s">
        <v>58</v>
      </c>
      <c r="R10183" t="str">
        <f>IFERROR(VLOOKUP(record[[#This Row],[PCUSTID]],廠商[],2,FALSE),"")</f>
        <v/>
      </c>
      <c r="S10183" t="str">
        <f>VLOOKUP(record[[#This Row],[employeeID]],員工[],2,FALSE)</f>
        <v>張淑惠</v>
      </c>
    </row>
    <row r="10184" spans="6:19" hidden="1" x14ac:dyDescent="0.25">
      <c r="F10184" t="s">
        <v>701</v>
      </c>
      <c r="G10184" t="s">
        <v>403</v>
      </c>
      <c r="H10184" t="str">
        <f>VLOOKUP(record[[#This Row],[ProcessSN]],表格2_7[],2,FALSE)</f>
        <v>30-4118-018-550</v>
      </c>
      <c r="I10184" t="str">
        <f>VLOOKUP(record[[#This Row],[ProcessSN]],表格2_7[],3,FALSE)</f>
        <v>#100SHIP</v>
      </c>
      <c r="J10184" t="s">
        <v>600</v>
      </c>
      <c r="K10184" s="195">
        <v>45721.458344907405</v>
      </c>
      <c r="L10184">
        <v>2</v>
      </c>
      <c r="M10184">
        <v>0</v>
      </c>
      <c r="N10184" s="98" t="str">
        <f>IF(record[[#This Row],[Memo]]="Browser:chrome os:android","平板報工",IF(record[[#This Row],[Memo]]=0,"委外",record[[#This Row],[Memo]]))</f>
        <v/>
      </c>
      <c r="O10184" t="s">
        <v>58</v>
      </c>
      <c r="P10184" t="s">
        <v>196</v>
      </c>
      <c r="Q10184" t="s">
        <v>58</v>
      </c>
      <c r="R10184" t="str">
        <f>IFERROR(VLOOKUP(record[[#This Row],[PCUSTID]],廠商[],2,FALSE),"")</f>
        <v/>
      </c>
      <c r="S10184" t="str">
        <f>VLOOKUP(record[[#This Row],[employeeID]],員工[],2,FALSE)</f>
        <v>張淑惠</v>
      </c>
    </row>
    <row r="10185" spans="6:19" hidden="1" x14ac:dyDescent="0.25">
      <c r="F10185" t="s">
        <v>699</v>
      </c>
      <c r="G10185" t="s">
        <v>403</v>
      </c>
      <c r="H10185" t="str">
        <f>VLOOKUP(record[[#This Row],[ProcessSN]],表格2_7[],2,FALSE)</f>
        <v>30-4118-018-550</v>
      </c>
      <c r="I10185" t="str">
        <f>VLOOKUP(record[[#This Row],[ProcessSN]],表格2_7[],3,FALSE)</f>
        <v>#100SHIP</v>
      </c>
      <c r="J10185" t="s">
        <v>600</v>
      </c>
      <c r="K10185" s="195">
        <v>45721.458067129628</v>
      </c>
      <c r="L10185">
        <v>11</v>
      </c>
      <c r="M10185">
        <v>0</v>
      </c>
      <c r="N10185" s="98" t="str">
        <f>IF(record[[#This Row],[Memo]]="Browser:chrome os:android","平板報工",IF(record[[#This Row],[Memo]]=0,"委外",record[[#This Row],[Memo]]))</f>
        <v/>
      </c>
      <c r="O10185" t="s">
        <v>58</v>
      </c>
      <c r="P10185" t="s">
        <v>196</v>
      </c>
      <c r="Q10185" t="s">
        <v>58</v>
      </c>
      <c r="R10185" t="str">
        <f>IFERROR(VLOOKUP(record[[#This Row],[PCUSTID]],廠商[],2,FALSE),"")</f>
        <v/>
      </c>
      <c r="S10185" t="str">
        <f>VLOOKUP(record[[#This Row],[employeeID]],員工[],2,FALSE)</f>
        <v>張淑惠</v>
      </c>
    </row>
    <row r="10186" spans="6:19" hidden="1" x14ac:dyDescent="0.25">
      <c r="F10186" t="s">
        <v>689</v>
      </c>
      <c r="G10186" t="s">
        <v>403</v>
      </c>
      <c r="H10186" t="str">
        <f>VLOOKUP(record[[#This Row],[ProcessSN]],表格2_7[],2,FALSE)</f>
        <v>30-4118-018-550</v>
      </c>
      <c r="I10186" t="str">
        <f>VLOOKUP(record[[#This Row],[ProcessSN]],表格2_7[],3,FALSE)</f>
        <v>#100SHIP</v>
      </c>
      <c r="J10186" t="s">
        <v>600</v>
      </c>
      <c r="K10186" s="195">
        <v>45721.457824074074</v>
      </c>
      <c r="L10186">
        <v>2</v>
      </c>
      <c r="M10186">
        <v>0</v>
      </c>
      <c r="N10186" s="98" t="str">
        <f>IF(record[[#This Row],[Memo]]="Browser:chrome os:android","平板報工",IF(record[[#This Row],[Memo]]=0,"委外",record[[#This Row],[Memo]]))</f>
        <v/>
      </c>
      <c r="O10186" t="s">
        <v>58</v>
      </c>
      <c r="P10186" t="s">
        <v>196</v>
      </c>
      <c r="Q10186" t="s">
        <v>58</v>
      </c>
      <c r="R10186" t="str">
        <f>IFERROR(VLOOKUP(record[[#This Row],[PCUSTID]],廠商[],2,FALSE),"")</f>
        <v/>
      </c>
      <c r="S10186" t="str">
        <f>VLOOKUP(record[[#This Row],[employeeID]],員工[],2,FALSE)</f>
        <v>張淑惠</v>
      </c>
    </row>
    <row r="10187" spans="6:19" hidden="1" x14ac:dyDescent="0.25">
      <c r="F10187" t="s">
        <v>684</v>
      </c>
      <c r="G10187" t="s">
        <v>403</v>
      </c>
      <c r="H10187" t="str">
        <f>VLOOKUP(record[[#This Row],[ProcessSN]],表格2_7[],2,FALSE)</f>
        <v>30-4118-018-550</v>
      </c>
      <c r="I10187" t="str">
        <f>VLOOKUP(record[[#This Row],[ProcessSN]],表格2_7[],3,FALSE)</f>
        <v>#100SHIP</v>
      </c>
      <c r="J10187" t="s">
        <v>600</v>
      </c>
      <c r="K10187" s="195">
        <v>45721.457546296297</v>
      </c>
      <c r="L10187">
        <v>6</v>
      </c>
      <c r="M10187">
        <v>0</v>
      </c>
      <c r="N10187" s="98" t="str">
        <f>IF(record[[#This Row],[Memo]]="Browser:chrome os:android","平板報工",IF(record[[#This Row],[Memo]]=0,"委外",record[[#This Row],[Memo]]))</f>
        <v/>
      </c>
      <c r="O10187" t="s">
        <v>58</v>
      </c>
      <c r="P10187" t="s">
        <v>196</v>
      </c>
      <c r="Q10187" t="s">
        <v>58</v>
      </c>
      <c r="R10187" t="str">
        <f>IFERROR(VLOOKUP(record[[#This Row],[PCUSTID]],廠商[],2,FALSE),"")</f>
        <v/>
      </c>
      <c r="S10187" t="str">
        <f>VLOOKUP(record[[#This Row],[employeeID]],員工[],2,FALSE)</f>
        <v>張淑惠</v>
      </c>
    </row>
    <row r="10188" spans="6:19" hidden="1" x14ac:dyDescent="0.25">
      <c r="F10188" t="s">
        <v>660</v>
      </c>
      <c r="G10188" t="s">
        <v>402</v>
      </c>
      <c r="H10188" t="str">
        <f>VLOOKUP(record[[#This Row],[ProcessSN]],表格2_7[],2,FALSE)</f>
        <v>30-4118-018-550</v>
      </c>
      <c r="I10188" t="str">
        <f>VLOOKUP(record[[#This Row],[ProcessSN]],表格2_7[],3,FALSE)</f>
        <v>#100STOCK</v>
      </c>
      <c r="J10188" t="s">
        <v>592</v>
      </c>
      <c r="K10188" s="195">
        <v>45721.457303240742</v>
      </c>
      <c r="L10188">
        <v>448</v>
      </c>
      <c r="M10188">
        <v>0</v>
      </c>
      <c r="N10188" s="98" t="str">
        <f>IF(record[[#This Row],[Memo]]="Browser:chrome os:android","平板報工",IF(record[[#This Row],[Memo]]=0,"委外",record[[#This Row],[Memo]]))</f>
        <v/>
      </c>
      <c r="O10188" t="s">
        <v>58</v>
      </c>
      <c r="P10188" t="s">
        <v>196</v>
      </c>
      <c r="Q10188" t="s">
        <v>58</v>
      </c>
      <c r="R10188" t="str">
        <f>IFERROR(VLOOKUP(record[[#This Row],[PCUSTID]],廠商[],2,FALSE),"")</f>
        <v/>
      </c>
      <c r="S10188" t="str">
        <f>VLOOKUP(record[[#This Row],[employeeID]],員工[],2,FALSE)</f>
        <v>張淑惠</v>
      </c>
    </row>
    <row r="10189" spans="6:19" hidden="1" x14ac:dyDescent="0.25">
      <c r="F10189" t="s">
        <v>614</v>
      </c>
      <c r="G10189" t="s">
        <v>403</v>
      </c>
      <c r="H10189" t="str">
        <f>VLOOKUP(record[[#This Row],[ProcessSN]],表格2_7[],2,FALSE)</f>
        <v>30-4118-018-550</v>
      </c>
      <c r="I10189" t="str">
        <f>VLOOKUP(record[[#This Row],[ProcessSN]],表格2_7[],3,FALSE)</f>
        <v>#100SHIP</v>
      </c>
      <c r="J10189" t="s">
        <v>600</v>
      </c>
      <c r="K10189" s="195">
        <v>45721.457071759258</v>
      </c>
      <c r="L10189">
        <v>123</v>
      </c>
      <c r="M10189">
        <v>0</v>
      </c>
      <c r="N10189" s="98" t="str">
        <f>IF(record[[#This Row],[Memo]]="Browser:chrome os:android","平板報工",IF(record[[#This Row],[Memo]]=0,"委外",record[[#This Row],[Memo]]))</f>
        <v/>
      </c>
      <c r="O10189" t="s">
        <v>58</v>
      </c>
      <c r="P10189" t="s">
        <v>196</v>
      </c>
      <c r="Q10189" t="s">
        <v>58</v>
      </c>
      <c r="R10189" t="str">
        <f>IFERROR(VLOOKUP(record[[#This Row],[PCUSTID]],廠商[],2,FALSE),"")</f>
        <v/>
      </c>
      <c r="S10189" t="str">
        <f>VLOOKUP(record[[#This Row],[employeeID]],員工[],2,FALSE)</f>
        <v>張淑惠</v>
      </c>
    </row>
    <row r="10190" spans="6:19" hidden="1" x14ac:dyDescent="0.25">
      <c r="F10190" t="s">
        <v>618</v>
      </c>
      <c r="G10190" t="s">
        <v>403</v>
      </c>
      <c r="H10190" t="str">
        <f>VLOOKUP(record[[#This Row],[ProcessSN]],表格2_7[],2,FALSE)</f>
        <v>30-4118-018-550</v>
      </c>
      <c r="I10190" t="str">
        <f>VLOOKUP(record[[#This Row],[ProcessSN]],表格2_7[],3,FALSE)</f>
        <v>#100SHIP</v>
      </c>
      <c r="J10190" t="s">
        <v>600</v>
      </c>
      <c r="K10190" s="195">
        <v>45721.456793981481</v>
      </c>
      <c r="L10190">
        <v>16</v>
      </c>
      <c r="M10190">
        <v>0</v>
      </c>
      <c r="N10190" s="98" t="str">
        <f>IF(record[[#This Row],[Memo]]="Browser:chrome os:android","平板報工",IF(record[[#This Row],[Memo]]=0,"委外",record[[#This Row],[Memo]]))</f>
        <v/>
      </c>
      <c r="O10190" t="s">
        <v>58</v>
      </c>
      <c r="P10190" t="s">
        <v>196</v>
      </c>
      <c r="Q10190" t="s">
        <v>58</v>
      </c>
      <c r="R10190" t="str">
        <f>IFERROR(VLOOKUP(record[[#This Row],[PCUSTID]],廠商[],2,FALSE),"")</f>
        <v/>
      </c>
      <c r="S10190" t="str">
        <f>VLOOKUP(record[[#This Row],[employeeID]],員工[],2,FALSE)</f>
        <v>張淑惠</v>
      </c>
    </row>
    <row r="10191" spans="6:19" hidden="1" x14ac:dyDescent="0.25">
      <c r="F10191" t="s">
        <v>626</v>
      </c>
      <c r="G10191" t="s">
        <v>428</v>
      </c>
      <c r="H10191" t="str">
        <f>VLOOKUP(record[[#This Row],[ProcessSN]],表格2_7[],2,FALSE)</f>
        <v>30-4118-018-600</v>
      </c>
      <c r="I10191" t="str">
        <f>VLOOKUP(record[[#This Row],[ProcessSN]],表格2_7[],3,FALSE)</f>
        <v>#100SHIP</v>
      </c>
      <c r="J10191" t="s">
        <v>600</v>
      </c>
      <c r="K10191" s="195">
        <v>45721.456458333334</v>
      </c>
      <c r="L10191">
        <v>11</v>
      </c>
      <c r="M10191">
        <v>0</v>
      </c>
      <c r="N10191" s="98" t="str">
        <f>IF(record[[#This Row],[Memo]]="Browser:chrome os:android","平板報工",IF(record[[#This Row],[Memo]]=0,"委外",record[[#This Row],[Memo]]))</f>
        <v/>
      </c>
      <c r="O10191" t="s">
        <v>58</v>
      </c>
      <c r="P10191" t="s">
        <v>196</v>
      </c>
      <c r="Q10191" t="s">
        <v>58</v>
      </c>
      <c r="R10191" t="str">
        <f>IFERROR(VLOOKUP(record[[#This Row],[PCUSTID]],廠商[],2,FALSE),"")</f>
        <v/>
      </c>
      <c r="S10191" t="str">
        <f>VLOOKUP(record[[#This Row],[employeeID]],員工[],2,FALSE)</f>
        <v>張淑惠</v>
      </c>
    </row>
    <row r="10192" spans="6:19" hidden="1" x14ac:dyDescent="0.25">
      <c r="F10192" t="s">
        <v>732</v>
      </c>
      <c r="G10192" t="s">
        <v>466</v>
      </c>
      <c r="H10192" t="str">
        <f>VLOOKUP(record[[#This Row],[ProcessSN]],表格2_7[],2,FALSE)</f>
        <v>30-4118-018-XXX</v>
      </c>
      <c r="I10192" t="str">
        <f>VLOOKUP(record[[#This Row],[ProcessSN]],表格2_7[],3,FALSE)</f>
        <v>#01-2</v>
      </c>
      <c r="J10192" t="s">
        <v>588</v>
      </c>
      <c r="K10192" s="195">
        <v>45721.138240740744</v>
      </c>
      <c r="L10192">
        <v>256</v>
      </c>
      <c r="M10192">
        <v>0</v>
      </c>
      <c r="N10192" s="98" t="str">
        <f>IF(record[[#This Row],[Memo]]="Browser:chrome os:android","平板報工",IF(record[[#This Row],[Memo]]=0,"委外",record[[#This Row],[Memo]]))</f>
        <v/>
      </c>
      <c r="O10192" t="s">
        <v>58</v>
      </c>
      <c r="P10192" t="s">
        <v>133</v>
      </c>
      <c r="Q10192" t="s">
        <v>58</v>
      </c>
      <c r="R10192" t="str">
        <f>IFERROR(VLOOKUP(record[[#This Row],[PCUSTID]],廠商[],2,FALSE),"")</f>
        <v/>
      </c>
      <c r="S10192" t="str">
        <f>VLOOKUP(record[[#This Row],[employeeID]],員工[],2,FALSE)</f>
        <v>黎長維</v>
      </c>
    </row>
    <row r="10193" spans="6:19" hidden="1" x14ac:dyDescent="0.25">
      <c r="F10193" t="s">
        <v>732</v>
      </c>
      <c r="G10193" t="s">
        <v>465</v>
      </c>
      <c r="H10193" t="str">
        <f>VLOOKUP(record[[#This Row],[ProcessSN]],表格2_7[],2,FALSE)</f>
        <v>30-4118-018-XXX</v>
      </c>
      <c r="I10193" t="str">
        <f>VLOOKUP(record[[#This Row],[ProcessSN]],表格2_7[],3,FALSE)</f>
        <v>#01-1</v>
      </c>
      <c r="J10193" t="s">
        <v>588</v>
      </c>
      <c r="K10193" s="195">
        <v>45721.137766203705</v>
      </c>
      <c r="L10193">
        <v>256</v>
      </c>
      <c r="M10193">
        <v>0</v>
      </c>
      <c r="N10193" s="98" t="str">
        <f>IF(record[[#This Row],[Memo]]="Browser:chrome os:android","平板報工",IF(record[[#This Row],[Memo]]=0,"委外",record[[#This Row],[Memo]]))</f>
        <v/>
      </c>
      <c r="O10193" t="s">
        <v>58</v>
      </c>
      <c r="P10193" t="s">
        <v>133</v>
      </c>
      <c r="Q10193" t="s">
        <v>58</v>
      </c>
      <c r="R10193" t="str">
        <f>IFERROR(VLOOKUP(record[[#This Row],[PCUSTID]],廠商[],2,FALSE),"")</f>
        <v/>
      </c>
      <c r="S10193" t="str">
        <f>VLOOKUP(record[[#This Row],[employeeID]],員工[],2,FALSE)</f>
        <v>黎長維</v>
      </c>
    </row>
    <row r="10194" spans="6:19" hidden="1" x14ac:dyDescent="0.25">
      <c r="F10194" t="s">
        <v>732</v>
      </c>
      <c r="G10194" t="s">
        <v>466</v>
      </c>
      <c r="H10194" t="str">
        <f>VLOOKUP(record[[#This Row],[ProcessSN]],表格2_7[],2,FALSE)</f>
        <v>30-4118-018-XXX</v>
      </c>
      <c r="I10194" t="str">
        <f>VLOOKUP(record[[#This Row],[ProcessSN]],表格2_7[],3,FALSE)</f>
        <v>#01-2</v>
      </c>
      <c r="J10194" t="s">
        <v>588</v>
      </c>
      <c r="K10194" s="195">
        <v>45720.665196759262</v>
      </c>
      <c r="L10194">
        <v>80</v>
      </c>
      <c r="M10194">
        <v>0</v>
      </c>
      <c r="N10194" s="98" t="str">
        <f>IF(record[[#This Row],[Memo]]="Browser:chrome os:android","平板報工",IF(record[[#This Row],[Memo]]=0,"委外",record[[#This Row],[Memo]]))</f>
        <v/>
      </c>
      <c r="O10194" t="s">
        <v>58</v>
      </c>
      <c r="P10194" t="s">
        <v>119</v>
      </c>
      <c r="Q10194" t="s">
        <v>58</v>
      </c>
      <c r="R10194" t="str">
        <f>IFERROR(VLOOKUP(record[[#This Row],[PCUSTID]],廠商[],2,FALSE),"")</f>
        <v/>
      </c>
      <c r="S10194" t="str">
        <f>VLOOKUP(record[[#This Row],[employeeID]],員工[],2,FALSE)</f>
        <v>廖俊彥</v>
      </c>
    </row>
    <row r="10195" spans="6:19" hidden="1" x14ac:dyDescent="0.25">
      <c r="F10195" t="s">
        <v>732</v>
      </c>
      <c r="G10195" t="s">
        <v>465</v>
      </c>
      <c r="H10195" t="str">
        <f>VLOOKUP(record[[#This Row],[ProcessSN]],表格2_7[],2,FALSE)</f>
        <v>30-4118-018-XXX</v>
      </c>
      <c r="I10195" t="str">
        <f>VLOOKUP(record[[#This Row],[ProcessSN]],表格2_7[],3,FALSE)</f>
        <v>#01-1</v>
      </c>
      <c r="J10195" t="s">
        <v>588</v>
      </c>
      <c r="K10195" s="195">
        <v>45720.665069444447</v>
      </c>
      <c r="L10195">
        <v>80</v>
      </c>
      <c r="M10195">
        <v>0</v>
      </c>
      <c r="N10195" s="98" t="str">
        <f>IF(record[[#This Row],[Memo]]="Browser:chrome os:android","平板報工",IF(record[[#This Row],[Memo]]=0,"委外",record[[#This Row],[Memo]]))</f>
        <v/>
      </c>
      <c r="O10195" t="s">
        <v>58</v>
      </c>
      <c r="P10195" t="s">
        <v>119</v>
      </c>
      <c r="Q10195" t="s">
        <v>58</v>
      </c>
      <c r="R10195" t="str">
        <f>IFERROR(VLOOKUP(record[[#This Row],[PCUSTID]],廠商[],2,FALSE),"")</f>
        <v/>
      </c>
      <c r="S10195" t="str">
        <f>VLOOKUP(record[[#This Row],[employeeID]],員工[],2,FALSE)</f>
        <v>廖俊彥</v>
      </c>
    </row>
    <row r="10196" spans="6:19" hidden="1" x14ac:dyDescent="0.25">
      <c r="F10196" t="s">
        <v>626</v>
      </c>
      <c r="G10196" t="s">
        <v>428</v>
      </c>
      <c r="H10196" t="str">
        <f>VLOOKUP(record[[#This Row],[ProcessSN]],表格2_7[],2,FALSE)</f>
        <v>30-4118-018-600</v>
      </c>
      <c r="I10196" t="str">
        <f>VLOOKUP(record[[#This Row],[ProcessSN]],表格2_7[],3,FALSE)</f>
        <v>#100SHIP</v>
      </c>
      <c r="J10196" t="s">
        <v>600</v>
      </c>
      <c r="K10196" s="195">
        <v>45719.388854166667</v>
      </c>
      <c r="L10196">
        <v>22</v>
      </c>
      <c r="M10196">
        <v>0</v>
      </c>
      <c r="N10196" s="98" t="str">
        <f>IF(record[[#This Row],[Memo]]="Browser:chrome os:android","平板報工",IF(record[[#This Row],[Memo]]=0,"委外",record[[#This Row],[Memo]]))</f>
        <v/>
      </c>
      <c r="O10196" t="s">
        <v>58</v>
      </c>
      <c r="P10196" t="s">
        <v>196</v>
      </c>
      <c r="Q10196" t="s">
        <v>58</v>
      </c>
      <c r="R10196" t="str">
        <f>IFERROR(VLOOKUP(record[[#This Row],[PCUSTID]],廠商[],2,FALSE),"")</f>
        <v/>
      </c>
      <c r="S10196" t="str">
        <f>VLOOKUP(record[[#This Row],[employeeID]],員工[],2,FALSE)</f>
        <v>張淑惠</v>
      </c>
    </row>
    <row r="10197" spans="6:19" hidden="1" x14ac:dyDescent="0.25">
      <c r="F10197" t="s">
        <v>683</v>
      </c>
      <c r="G10197" t="s">
        <v>360</v>
      </c>
      <c r="H10197" t="str">
        <f>VLOOKUP(record[[#This Row],[ProcessSN]],表格2_7[],2,FALSE)</f>
        <v>30-4118-018-450</v>
      </c>
      <c r="I10197" t="str">
        <f>VLOOKUP(record[[#This Row],[ProcessSN]],表格2_7[],3,FALSE)</f>
        <v>#100OQC</v>
      </c>
      <c r="J10197" t="s">
        <v>599</v>
      </c>
      <c r="K10197" s="195">
        <v>45715.692349537036</v>
      </c>
      <c r="L10197">
        <v>219</v>
      </c>
      <c r="M10197">
        <v>0</v>
      </c>
      <c r="N10197" s="98" t="str">
        <f>IF(record[[#This Row],[Memo]]="Browser:chrome os:android","平板報工",IF(record[[#This Row],[Memo]]=0,"委外",record[[#This Row],[Memo]]))</f>
        <v/>
      </c>
      <c r="O10197" t="s">
        <v>58</v>
      </c>
      <c r="P10197" t="s">
        <v>143</v>
      </c>
      <c r="Q10197" t="s">
        <v>58</v>
      </c>
      <c r="R10197" t="str">
        <f>IFERROR(VLOOKUP(record[[#This Row],[PCUSTID]],廠商[],2,FALSE),"")</f>
        <v/>
      </c>
      <c r="S10197" t="str">
        <f>VLOOKUP(record[[#This Row],[employeeID]],員工[],2,FALSE)</f>
        <v>潘佳琪</v>
      </c>
    </row>
    <row r="10198" spans="6:19" hidden="1" x14ac:dyDescent="0.25">
      <c r="F10198" t="s">
        <v>678</v>
      </c>
      <c r="G10198" t="s">
        <v>360</v>
      </c>
      <c r="H10198" t="str">
        <f>VLOOKUP(record[[#This Row],[ProcessSN]],表格2_7[],2,FALSE)</f>
        <v>30-4118-018-450</v>
      </c>
      <c r="I10198" t="str">
        <f>VLOOKUP(record[[#This Row],[ProcessSN]],表格2_7[],3,FALSE)</f>
        <v>#100OQC</v>
      </c>
      <c r="J10198" t="s">
        <v>599</v>
      </c>
      <c r="K10198" s="195">
        <v>45715.692256944443</v>
      </c>
      <c r="L10198">
        <v>313</v>
      </c>
      <c r="M10198">
        <v>0</v>
      </c>
      <c r="N10198" s="98" t="str">
        <f>IF(record[[#This Row],[Memo]]="Browser:chrome os:android","平板報工",IF(record[[#This Row],[Memo]]=0,"委外",record[[#This Row],[Memo]]))</f>
        <v/>
      </c>
      <c r="O10198" t="s">
        <v>58</v>
      </c>
      <c r="P10198" t="s">
        <v>143</v>
      </c>
      <c r="Q10198" t="s">
        <v>58</v>
      </c>
      <c r="R10198" t="str">
        <f>IFERROR(VLOOKUP(record[[#This Row],[PCUSTID]],廠商[],2,FALSE),"")</f>
        <v/>
      </c>
      <c r="S10198" t="str">
        <f>VLOOKUP(record[[#This Row],[employeeID]],員工[],2,FALSE)</f>
        <v>潘佳琪</v>
      </c>
    </row>
    <row r="10199" spans="6:19" hidden="1" x14ac:dyDescent="0.25">
      <c r="F10199" t="s">
        <v>668</v>
      </c>
      <c r="G10199" t="s">
        <v>360</v>
      </c>
      <c r="H10199" t="str">
        <f>VLOOKUP(record[[#This Row],[ProcessSN]],表格2_7[],2,FALSE)</f>
        <v>30-4118-018-450</v>
      </c>
      <c r="I10199" t="str">
        <f>VLOOKUP(record[[#This Row],[ProcessSN]],表格2_7[],3,FALSE)</f>
        <v>#100OQC</v>
      </c>
      <c r="J10199" t="s">
        <v>599</v>
      </c>
      <c r="K10199" s="195">
        <v>45715.692141203705</v>
      </c>
      <c r="L10199">
        <v>159</v>
      </c>
      <c r="M10199">
        <v>0</v>
      </c>
      <c r="N10199" s="98" t="str">
        <f>IF(record[[#This Row],[Memo]]="Browser:chrome os:android","平板報工",IF(record[[#This Row],[Memo]]=0,"委外",record[[#This Row],[Memo]]))</f>
        <v/>
      </c>
      <c r="O10199" t="s">
        <v>58</v>
      </c>
      <c r="P10199" t="s">
        <v>143</v>
      </c>
      <c r="Q10199" t="s">
        <v>58</v>
      </c>
      <c r="R10199" t="str">
        <f>IFERROR(VLOOKUP(record[[#This Row],[PCUSTID]],廠商[],2,FALSE),"")</f>
        <v/>
      </c>
      <c r="S10199" t="str">
        <f>VLOOKUP(record[[#This Row],[employeeID]],員工[],2,FALSE)</f>
        <v>潘佳琪</v>
      </c>
    </row>
    <row r="10200" spans="6:19" hidden="1" x14ac:dyDescent="0.25">
      <c r="F10200" t="s">
        <v>660</v>
      </c>
      <c r="G10200" t="s">
        <v>401</v>
      </c>
      <c r="H10200" t="str">
        <f>VLOOKUP(record[[#This Row],[ProcessSN]],表格2_7[],2,FALSE)</f>
        <v>30-4118-018-550</v>
      </c>
      <c r="I10200" t="str">
        <f>VLOOKUP(record[[#This Row],[ProcessSN]],表格2_7[],3,FALSE)</f>
        <v>#100OQC</v>
      </c>
      <c r="J10200" t="s">
        <v>599</v>
      </c>
      <c r="K10200" s="195">
        <v>45715.348634259259</v>
      </c>
      <c r="L10200">
        <v>448</v>
      </c>
      <c r="M10200">
        <v>-448</v>
      </c>
      <c r="N10200" s="98" t="str">
        <f>IF(record[[#This Row],[Memo]]="Browser:chrome os:android","平板報工",IF(record[[#This Row],[Memo]]=0,"委外",record[[#This Row],[Memo]]))</f>
        <v>覆回品</v>
      </c>
      <c r="O10200" t="s">
        <v>664</v>
      </c>
      <c r="P10200" t="s">
        <v>65</v>
      </c>
      <c r="Q10200" t="s">
        <v>58</v>
      </c>
      <c r="R10200" t="str">
        <f>IFERROR(VLOOKUP(record[[#This Row],[PCUSTID]],廠商[],2,FALSE),"")</f>
        <v/>
      </c>
      <c r="S10200" t="str">
        <f>VLOOKUP(record[[#This Row],[employeeID]],員工[],2,FALSE)</f>
        <v>蘇進昌</v>
      </c>
    </row>
    <row r="10201" spans="6:19" hidden="1" x14ac:dyDescent="0.25">
      <c r="F10201" t="s">
        <v>614</v>
      </c>
      <c r="G10201" t="s">
        <v>403</v>
      </c>
      <c r="H10201" t="str">
        <f>VLOOKUP(record[[#This Row],[ProcessSN]],表格2_7[],2,FALSE)</f>
        <v>30-4118-018-550</v>
      </c>
      <c r="I10201" t="str">
        <f>VLOOKUP(record[[#This Row],[ProcessSN]],表格2_7[],3,FALSE)</f>
        <v>#100SHIP</v>
      </c>
      <c r="J10201" t="s">
        <v>600</v>
      </c>
      <c r="K10201" s="195">
        <v>45714.726701388892</v>
      </c>
      <c r="L10201">
        <v>248</v>
      </c>
      <c r="M10201">
        <v>0</v>
      </c>
      <c r="N10201" s="98" t="str">
        <f>IF(record[[#This Row],[Memo]]="Browser:chrome os:android","平板報工",IF(record[[#This Row],[Memo]]=0,"委外",record[[#This Row],[Memo]]))</f>
        <v/>
      </c>
      <c r="O10201" t="s">
        <v>58</v>
      </c>
      <c r="P10201" t="s">
        <v>196</v>
      </c>
      <c r="Q10201" t="s">
        <v>58</v>
      </c>
      <c r="R10201" t="str">
        <f>IFERROR(VLOOKUP(record[[#This Row],[PCUSTID]],廠商[],2,FALSE),"")</f>
        <v/>
      </c>
      <c r="S10201" t="str">
        <f>VLOOKUP(record[[#This Row],[employeeID]],員工[],2,FALSE)</f>
        <v>張淑惠</v>
      </c>
    </row>
    <row r="10202" spans="6:19" hidden="1" x14ac:dyDescent="0.25">
      <c r="F10202" t="s">
        <v>613</v>
      </c>
      <c r="G10202" t="s">
        <v>403</v>
      </c>
      <c r="H10202" t="str">
        <f>VLOOKUP(record[[#This Row],[ProcessSN]],表格2_7[],2,FALSE)</f>
        <v>30-4118-018-550</v>
      </c>
      <c r="I10202" t="str">
        <f>VLOOKUP(record[[#This Row],[ProcessSN]],表格2_7[],3,FALSE)</f>
        <v>#100SHIP</v>
      </c>
      <c r="J10202" t="s">
        <v>600</v>
      </c>
      <c r="K10202" s="195">
        <v>45714.726365740738</v>
      </c>
      <c r="L10202">
        <v>1</v>
      </c>
      <c r="M10202">
        <v>0</v>
      </c>
      <c r="N10202" s="98" t="str">
        <f>IF(record[[#This Row],[Memo]]="Browser:chrome os:android","平板報工",IF(record[[#This Row],[Memo]]=0,"委外",record[[#This Row],[Memo]]))</f>
        <v/>
      </c>
      <c r="O10202" t="s">
        <v>58</v>
      </c>
      <c r="P10202" t="s">
        <v>196</v>
      </c>
      <c r="Q10202" t="s">
        <v>58</v>
      </c>
      <c r="R10202" t="str">
        <f>IFERROR(VLOOKUP(record[[#This Row],[PCUSTID]],廠商[],2,FALSE),"")</f>
        <v/>
      </c>
      <c r="S10202" t="str">
        <f>VLOOKUP(record[[#This Row],[employeeID]],員工[],2,FALSE)</f>
        <v>張淑惠</v>
      </c>
    </row>
    <row r="10203" spans="6:19" hidden="1" x14ac:dyDescent="0.25">
      <c r="F10203" t="s">
        <v>701</v>
      </c>
      <c r="G10203" t="s">
        <v>402</v>
      </c>
      <c r="H10203" t="str">
        <f>VLOOKUP(record[[#This Row],[ProcessSN]],表格2_7[],2,FALSE)</f>
        <v>30-4118-018-550</v>
      </c>
      <c r="I10203" t="str">
        <f>VLOOKUP(record[[#This Row],[ProcessSN]],表格2_7[],3,FALSE)</f>
        <v>#100STOCK</v>
      </c>
      <c r="J10203" t="s">
        <v>592</v>
      </c>
      <c r="K10203" s="195">
        <v>45714.725949074076</v>
      </c>
      <c r="L10203">
        <v>2</v>
      </c>
      <c r="M10203">
        <v>0</v>
      </c>
      <c r="N10203" s="98" t="str">
        <f>IF(record[[#This Row],[Memo]]="Browser:chrome os:android","平板報工",IF(record[[#This Row],[Memo]]=0,"委外",record[[#This Row],[Memo]]))</f>
        <v/>
      </c>
      <c r="O10203" t="s">
        <v>58</v>
      </c>
      <c r="P10203" t="s">
        <v>196</v>
      </c>
      <c r="Q10203" t="s">
        <v>58</v>
      </c>
      <c r="R10203" t="str">
        <f>IFERROR(VLOOKUP(record[[#This Row],[PCUSTID]],廠商[],2,FALSE),"")</f>
        <v/>
      </c>
      <c r="S10203" t="str">
        <f>VLOOKUP(record[[#This Row],[employeeID]],員工[],2,FALSE)</f>
        <v>張淑惠</v>
      </c>
    </row>
    <row r="10204" spans="6:19" hidden="1" x14ac:dyDescent="0.25">
      <c r="F10204" t="s">
        <v>699</v>
      </c>
      <c r="G10204" t="s">
        <v>402</v>
      </c>
      <c r="H10204" t="str">
        <f>VLOOKUP(record[[#This Row],[ProcessSN]],表格2_7[],2,FALSE)</f>
        <v>30-4118-018-550</v>
      </c>
      <c r="I10204" t="str">
        <f>VLOOKUP(record[[#This Row],[ProcessSN]],表格2_7[],3,FALSE)</f>
        <v>#100STOCK</v>
      </c>
      <c r="J10204" t="s">
        <v>592</v>
      </c>
      <c r="K10204" s="195">
        <v>45714.725821759261</v>
      </c>
      <c r="L10204">
        <v>11</v>
      </c>
      <c r="M10204">
        <v>0</v>
      </c>
      <c r="N10204" s="98" t="str">
        <f>IF(record[[#This Row],[Memo]]="Browser:chrome os:android","平板報工",IF(record[[#This Row],[Memo]]=0,"委外",record[[#This Row],[Memo]]))</f>
        <v/>
      </c>
      <c r="O10204" t="s">
        <v>58</v>
      </c>
      <c r="P10204" t="s">
        <v>196</v>
      </c>
      <c r="Q10204" t="s">
        <v>58</v>
      </c>
      <c r="R10204" t="str">
        <f>IFERROR(VLOOKUP(record[[#This Row],[PCUSTID]],廠商[],2,FALSE),"")</f>
        <v/>
      </c>
      <c r="S10204" t="str">
        <f>VLOOKUP(record[[#This Row],[employeeID]],員工[],2,FALSE)</f>
        <v>張淑惠</v>
      </c>
    </row>
    <row r="10205" spans="6:19" hidden="1" x14ac:dyDescent="0.25">
      <c r="F10205" t="s">
        <v>689</v>
      </c>
      <c r="G10205" t="s">
        <v>402</v>
      </c>
      <c r="H10205" t="str">
        <f>VLOOKUP(record[[#This Row],[ProcessSN]],表格2_7[],2,FALSE)</f>
        <v>30-4118-018-550</v>
      </c>
      <c r="I10205" t="str">
        <f>VLOOKUP(record[[#This Row],[ProcessSN]],表格2_7[],3,FALSE)</f>
        <v>#100STOCK</v>
      </c>
      <c r="J10205" t="s">
        <v>592</v>
      </c>
      <c r="K10205" s="195">
        <v>45714.725682870368</v>
      </c>
      <c r="L10205">
        <v>2</v>
      </c>
      <c r="M10205">
        <v>0</v>
      </c>
      <c r="N10205" s="98" t="str">
        <f>IF(record[[#This Row],[Memo]]="Browser:chrome os:android","平板報工",IF(record[[#This Row],[Memo]]=0,"委外",record[[#This Row],[Memo]]))</f>
        <v/>
      </c>
      <c r="O10205" t="s">
        <v>58</v>
      </c>
      <c r="P10205" t="s">
        <v>196</v>
      </c>
      <c r="Q10205" t="s">
        <v>58</v>
      </c>
      <c r="R10205" t="str">
        <f>IFERROR(VLOOKUP(record[[#This Row],[PCUSTID]],廠商[],2,FALSE),"")</f>
        <v/>
      </c>
      <c r="S10205" t="str">
        <f>VLOOKUP(record[[#This Row],[employeeID]],員工[],2,FALSE)</f>
        <v>張淑惠</v>
      </c>
    </row>
    <row r="10206" spans="6:19" hidden="1" x14ac:dyDescent="0.25">
      <c r="F10206" t="s">
        <v>684</v>
      </c>
      <c r="G10206" t="s">
        <v>402</v>
      </c>
      <c r="H10206" t="str">
        <f>VLOOKUP(record[[#This Row],[ProcessSN]],表格2_7[],2,FALSE)</f>
        <v>30-4118-018-550</v>
      </c>
      <c r="I10206" t="str">
        <f>VLOOKUP(record[[#This Row],[ProcessSN]],表格2_7[],3,FALSE)</f>
        <v>#100STOCK</v>
      </c>
      <c r="J10206" t="s">
        <v>592</v>
      </c>
      <c r="K10206" s="195">
        <v>45714.725555555553</v>
      </c>
      <c r="L10206">
        <v>6</v>
      </c>
      <c r="M10206">
        <v>0</v>
      </c>
      <c r="N10206" s="98" t="str">
        <f>IF(record[[#This Row],[Memo]]="Browser:chrome os:android","平板報工",IF(record[[#This Row],[Memo]]=0,"委外",record[[#This Row],[Memo]]))</f>
        <v/>
      </c>
      <c r="O10206" t="s">
        <v>58</v>
      </c>
      <c r="P10206" t="s">
        <v>196</v>
      </c>
      <c r="Q10206" t="s">
        <v>58</v>
      </c>
      <c r="R10206" t="str">
        <f>IFERROR(VLOOKUP(record[[#This Row],[PCUSTID]],廠商[],2,FALSE),"")</f>
        <v/>
      </c>
      <c r="S10206" t="str">
        <f>VLOOKUP(record[[#This Row],[employeeID]],員工[],2,FALSE)</f>
        <v>張淑惠</v>
      </c>
    </row>
    <row r="10207" spans="6:19" hidden="1" x14ac:dyDescent="0.25">
      <c r="F10207" t="s">
        <v>662</v>
      </c>
      <c r="G10207" t="s">
        <v>402</v>
      </c>
      <c r="H10207" t="str">
        <f>VLOOKUP(record[[#This Row],[ProcessSN]],表格2_7[],2,FALSE)</f>
        <v>30-4118-018-550</v>
      </c>
      <c r="I10207" t="str">
        <f>VLOOKUP(record[[#This Row],[ProcessSN]],表格2_7[],3,FALSE)</f>
        <v>#100STOCK</v>
      </c>
      <c r="J10207" t="s">
        <v>592</v>
      </c>
      <c r="K10207" s="195">
        <v>45714.725416666668</v>
      </c>
      <c r="L10207">
        <v>479</v>
      </c>
      <c r="M10207">
        <v>0</v>
      </c>
      <c r="N10207" s="98" t="str">
        <f>IF(record[[#This Row],[Memo]]="Browser:chrome os:android","平板報工",IF(record[[#This Row],[Memo]]=0,"委外",record[[#This Row],[Memo]]))</f>
        <v/>
      </c>
      <c r="O10207" t="s">
        <v>58</v>
      </c>
      <c r="P10207" t="s">
        <v>196</v>
      </c>
      <c r="Q10207" t="s">
        <v>58</v>
      </c>
      <c r="R10207" t="str">
        <f>IFERROR(VLOOKUP(record[[#This Row],[PCUSTID]],廠商[],2,FALSE),"")</f>
        <v/>
      </c>
      <c r="S10207" t="str">
        <f>VLOOKUP(record[[#This Row],[employeeID]],員工[],2,FALSE)</f>
        <v>張淑惠</v>
      </c>
    </row>
    <row r="10208" spans="6:19" hidden="1" x14ac:dyDescent="0.25">
      <c r="F10208" t="s">
        <v>614</v>
      </c>
      <c r="G10208" t="s">
        <v>402</v>
      </c>
      <c r="H10208" t="str">
        <f>VLOOKUP(record[[#This Row],[ProcessSN]],表格2_7[],2,FALSE)</f>
        <v>30-4118-018-550</v>
      </c>
      <c r="I10208" t="str">
        <f>VLOOKUP(record[[#This Row],[ProcessSN]],表格2_7[],3,FALSE)</f>
        <v>#100STOCK</v>
      </c>
      <c r="J10208" t="s">
        <v>592</v>
      </c>
      <c r="K10208" s="195">
        <v>45714.725254629629</v>
      </c>
      <c r="L10208">
        <v>371</v>
      </c>
      <c r="M10208">
        <v>0</v>
      </c>
      <c r="N10208" s="98" t="str">
        <f>IF(record[[#This Row],[Memo]]="Browser:chrome os:android","平板報工",IF(record[[#This Row],[Memo]]=0,"委外",record[[#This Row],[Memo]]))</f>
        <v/>
      </c>
      <c r="O10208" t="s">
        <v>58</v>
      </c>
      <c r="P10208" t="s">
        <v>196</v>
      </c>
      <c r="Q10208" t="s">
        <v>58</v>
      </c>
      <c r="R10208" t="str">
        <f>IFERROR(VLOOKUP(record[[#This Row],[PCUSTID]],廠商[],2,FALSE),"")</f>
        <v/>
      </c>
      <c r="S10208" t="str">
        <f>VLOOKUP(record[[#This Row],[employeeID]],員工[],2,FALSE)</f>
        <v>張淑惠</v>
      </c>
    </row>
    <row r="10209" spans="6:19" hidden="1" x14ac:dyDescent="0.25">
      <c r="F10209" t="s">
        <v>618</v>
      </c>
      <c r="G10209" t="s">
        <v>402</v>
      </c>
      <c r="H10209" t="str">
        <f>VLOOKUP(record[[#This Row],[ProcessSN]],表格2_7[],2,FALSE)</f>
        <v>30-4118-018-550</v>
      </c>
      <c r="I10209" t="str">
        <f>VLOOKUP(record[[#This Row],[ProcessSN]],表格2_7[],3,FALSE)</f>
        <v>#100STOCK</v>
      </c>
      <c r="J10209" t="s">
        <v>592</v>
      </c>
      <c r="K10209" s="195">
        <v>45714.725115740737</v>
      </c>
      <c r="L10209">
        <v>16</v>
      </c>
      <c r="M10209">
        <v>0</v>
      </c>
      <c r="N10209" s="98" t="str">
        <f>IF(record[[#This Row],[Memo]]="Browser:chrome os:android","平板報工",IF(record[[#This Row],[Memo]]=0,"委外",record[[#This Row],[Memo]]))</f>
        <v/>
      </c>
      <c r="O10209" t="s">
        <v>58</v>
      </c>
      <c r="P10209" t="s">
        <v>196</v>
      </c>
      <c r="Q10209" t="s">
        <v>58</v>
      </c>
      <c r="R10209" t="str">
        <f>IFERROR(VLOOKUP(record[[#This Row],[PCUSTID]],廠商[],2,FALSE),"")</f>
        <v/>
      </c>
      <c r="S10209" t="str">
        <f>VLOOKUP(record[[#This Row],[employeeID]],員工[],2,FALSE)</f>
        <v>張淑惠</v>
      </c>
    </row>
    <row r="10210" spans="6:19" hidden="1" x14ac:dyDescent="0.25">
      <c r="F10210" t="s">
        <v>613</v>
      </c>
      <c r="G10210" t="s">
        <v>402</v>
      </c>
      <c r="H10210" t="str">
        <f>VLOOKUP(record[[#This Row],[ProcessSN]],表格2_7[],2,FALSE)</f>
        <v>30-4118-018-550</v>
      </c>
      <c r="I10210" t="str">
        <f>VLOOKUP(record[[#This Row],[ProcessSN]],表格2_7[],3,FALSE)</f>
        <v>#100STOCK</v>
      </c>
      <c r="J10210" t="s">
        <v>592</v>
      </c>
      <c r="K10210" s="195">
        <v>45714.724930555552</v>
      </c>
      <c r="L10210">
        <v>1</v>
      </c>
      <c r="M10210">
        <v>0</v>
      </c>
      <c r="N10210" s="98" t="str">
        <f>IF(record[[#This Row],[Memo]]="Browser:chrome os:android","平板報工",IF(record[[#This Row],[Memo]]=0,"委外",record[[#This Row],[Memo]]))</f>
        <v/>
      </c>
      <c r="O10210" t="s">
        <v>58</v>
      </c>
      <c r="P10210" t="s">
        <v>196</v>
      </c>
      <c r="Q10210" t="s">
        <v>58</v>
      </c>
      <c r="R10210" t="str">
        <f>IFERROR(VLOOKUP(record[[#This Row],[PCUSTID]],廠商[],2,FALSE),"")</f>
        <v/>
      </c>
      <c r="S10210" t="str">
        <f>VLOOKUP(record[[#This Row],[employeeID]],員工[],2,FALSE)</f>
        <v>張淑惠</v>
      </c>
    </row>
    <row r="10211" spans="6:19" hidden="1" x14ac:dyDescent="0.25">
      <c r="F10211" t="s">
        <v>660</v>
      </c>
      <c r="G10211" t="s">
        <v>401</v>
      </c>
      <c r="H10211" t="str">
        <f>VLOOKUP(record[[#This Row],[ProcessSN]],表格2_7[],2,FALSE)</f>
        <v>30-4118-018-550</v>
      </c>
      <c r="I10211" t="str">
        <f>VLOOKUP(record[[#This Row],[ProcessSN]],表格2_7[],3,FALSE)</f>
        <v>#100OQC</v>
      </c>
      <c r="J10211" t="s">
        <v>599</v>
      </c>
      <c r="K10211" s="195">
        <v>45714.723634259259</v>
      </c>
      <c r="L10211">
        <v>0</v>
      </c>
      <c r="M10211">
        <v>448</v>
      </c>
      <c r="N10211" s="98" t="str">
        <f>IF(record[[#This Row],[Memo]]="Browser:chrome os:android","平板報工",IF(record[[#This Row],[Memo]]=0,"委外",record[[#This Row],[Memo]]))</f>
        <v/>
      </c>
      <c r="O10211" t="s">
        <v>58</v>
      </c>
      <c r="P10211" t="s">
        <v>121</v>
      </c>
      <c r="Q10211" t="s">
        <v>58</v>
      </c>
      <c r="R10211" t="str">
        <f>IFERROR(VLOOKUP(record[[#This Row],[PCUSTID]],廠商[],2,FALSE),"")</f>
        <v/>
      </c>
      <c r="S10211" t="str">
        <f>VLOOKUP(record[[#This Row],[employeeID]],員工[],2,FALSE)</f>
        <v>謝素卿</v>
      </c>
    </row>
    <row r="10212" spans="6:19" hidden="1" x14ac:dyDescent="0.25">
      <c r="F10212" t="s">
        <v>701</v>
      </c>
      <c r="G10212" t="s">
        <v>401</v>
      </c>
      <c r="H10212" t="str">
        <f>VLOOKUP(record[[#This Row],[ProcessSN]],表格2_7[],2,FALSE)</f>
        <v>30-4118-018-550</v>
      </c>
      <c r="I10212" t="str">
        <f>VLOOKUP(record[[#This Row],[ProcessSN]],表格2_7[],3,FALSE)</f>
        <v>#100OQC</v>
      </c>
      <c r="J10212" t="s">
        <v>599</v>
      </c>
      <c r="K10212" s="195">
        <v>45714.723263888889</v>
      </c>
      <c r="L10212">
        <v>2</v>
      </c>
      <c r="M10212">
        <v>0</v>
      </c>
      <c r="N10212" s="98" t="str">
        <f>IF(record[[#This Row],[Memo]]="Browser:chrome os:android","平板報工",IF(record[[#This Row],[Memo]]=0,"委外",record[[#This Row],[Memo]]))</f>
        <v/>
      </c>
      <c r="O10212" t="s">
        <v>58</v>
      </c>
      <c r="P10212" t="s">
        <v>121</v>
      </c>
      <c r="Q10212" t="s">
        <v>58</v>
      </c>
      <c r="R10212" t="str">
        <f>IFERROR(VLOOKUP(record[[#This Row],[PCUSTID]],廠商[],2,FALSE),"")</f>
        <v/>
      </c>
      <c r="S10212" t="str">
        <f>VLOOKUP(record[[#This Row],[employeeID]],員工[],2,FALSE)</f>
        <v>謝素卿</v>
      </c>
    </row>
    <row r="10213" spans="6:19" hidden="1" x14ac:dyDescent="0.25">
      <c r="F10213" t="s">
        <v>699</v>
      </c>
      <c r="G10213" t="s">
        <v>401</v>
      </c>
      <c r="H10213" t="str">
        <f>VLOOKUP(record[[#This Row],[ProcessSN]],表格2_7[],2,FALSE)</f>
        <v>30-4118-018-550</v>
      </c>
      <c r="I10213" t="str">
        <f>VLOOKUP(record[[#This Row],[ProcessSN]],表格2_7[],3,FALSE)</f>
        <v>#100OQC</v>
      </c>
      <c r="J10213" t="s">
        <v>599</v>
      </c>
      <c r="K10213" s="195">
        <v>45714.722777777781</v>
      </c>
      <c r="L10213">
        <v>11</v>
      </c>
      <c r="M10213">
        <v>0</v>
      </c>
      <c r="N10213" s="98" t="str">
        <f>IF(record[[#This Row],[Memo]]="Browser:chrome os:android","平板報工",IF(record[[#This Row],[Memo]]=0,"委外",record[[#This Row],[Memo]]))</f>
        <v/>
      </c>
      <c r="O10213" t="s">
        <v>58</v>
      </c>
      <c r="P10213" t="s">
        <v>121</v>
      </c>
      <c r="Q10213" t="s">
        <v>58</v>
      </c>
      <c r="R10213" t="str">
        <f>IFERROR(VLOOKUP(record[[#This Row],[PCUSTID]],廠商[],2,FALSE),"")</f>
        <v/>
      </c>
      <c r="S10213" t="str">
        <f>VLOOKUP(record[[#This Row],[employeeID]],員工[],2,FALSE)</f>
        <v>謝素卿</v>
      </c>
    </row>
    <row r="10214" spans="6:19" hidden="1" x14ac:dyDescent="0.25">
      <c r="F10214" t="s">
        <v>689</v>
      </c>
      <c r="G10214" t="s">
        <v>401</v>
      </c>
      <c r="H10214" t="str">
        <f>VLOOKUP(record[[#This Row],[ProcessSN]],表格2_7[],2,FALSE)</f>
        <v>30-4118-018-550</v>
      </c>
      <c r="I10214" t="str">
        <f>VLOOKUP(record[[#This Row],[ProcessSN]],表格2_7[],3,FALSE)</f>
        <v>#100OQC</v>
      </c>
      <c r="J10214" t="s">
        <v>599</v>
      </c>
      <c r="K10214" s="195">
        <v>45714.72142361111</v>
      </c>
      <c r="L10214">
        <v>2</v>
      </c>
      <c r="M10214">
        <v>0</v>
      </c>
      <c r="N10214" s="98" t="str">
        <f>IF(record[[#This Row],[Memo]]="Browser:chrome os:android","平板報工",IF(record[[#This Row],[Memo]]=0,"委外",record[[#This Row],[Memo]]))</f>
        <v/>
      </c>
      <c r="O10214" t="s">
        <v>58</v>
      </c>
      <c r="P10214" t="s">
        <v>121</v>
      </c>
      <c r="Q10214" t="s">
        <v>58</v>
      </c>
      <c r="R10214" t="str">
        <f>IFERROR(VLOOKUP(record[[#This Row],[PCUSTID]],廠商[],2,FALSE),"")</f>
        <v/>
      </c>
      <c r="S10214" t="str">
        <f>VLOOKUP(record[[#This Row],[employeeID]],員工[],2,FALSE)</f>
        <v>謝素卿</v>
      </c>
    </row>
    <row r="10215" spans="6:19" hidden="1" x14ac:dyDescent="0.25">
      <c r="F10215" t="s">
        <v>684</v>
      </c>
      <c r="G10215" t="s">
        <v>401</v>
      </c>
      <c r="H10215" t="str">
        <f>VLOOKUP(record[[#This Row],[ProcessSN]],表格2_7[],2,FALSE)</f>
        <v>30-4118-018-550</v>
      </c>
      <c r="I10215" t="str">
        <f>VLOOKUP(record[[#This Row],[ProcessSN]],表格2_7[],3,FALSE)</f>
        <v>#100OQC</v>
      </c>
      <c r="J10215" t="s">
        <v>599</v>
      </c>
      <c r="K10215" s="195">
        <v>45714.721215277779</v>
      </c>
      <c r="L10215">
        <v>6</v>
      </c>
      <c r="M10215">
        <v>0</v>
      </c>
      <c r="N10215" s="98" t="str">
        <f>IF(record[[#This Row],[Memo]]="Browser:chrome os:android","平板報工",IF(record[[#This Row],[Memo]]=0,"委外",record[[#This Row],[Memo]]))</f>
        <v/>
      </c>
      <c r="O10215" t="s">
        <v>58</v>
      </c>
      <c r="P10215" t="s">
        <v>121</v>
      </c>
      <c r="Q10215" t="s">
        <v>58</v>
      </c>
      <c r="R10215" t="str">
        <f>IFERROR(VLOOKUP(record[[#This Row],[PCUSTID]],廠商[],2,FALSE),"")</f>
        <v/>
      </c>
      <c r="S10215" t="str">
        <f>VLOOKUP(record[[#This Row],[employeeID]],員工[],2,FALSE)</f>
        <v>謝素卿</v>
      </c>
    </row>
    <row r="10216" spans="6:19" hidden="1" x14ac:dyDescent="0.25">
      <c r="F10216" t="s">
        <v>662</v>
      </c>
      <c r="G10216" t="s">
        <v>401</v>
      </c>
      <c r="H10216" t="str">
        <f>VLOOKUP(record[[#This Row],[ProcessSN]],表格2_7[],2,FALSE)</f>
        <v>30-4118-018-550</v>
      </c>
      <c r="I10216" t="str">
        <f>VLOOKUP(record[[#This Row],[ProcessSN]],表格2_7[],3,FALSE)</f>
        <v>#100OQC</v>
      </c>
      <c r="J10216" t="s">
        <v>599</v>
      </c>
      <c r="K10216" s="195">
        <v>45714.721041666664</v>
      </c>
      <c r="L10216">
        <v>479</v>
      </c>
      <c r="M10216">
        <v>0</v>
      </c>
      <c r="N10216" s="98" t="str">
        <f>IF(record[[#This Row],[Memo]]="Browser:chrome os:android","平板報工",IF(record[[#This Row],[Memo]]=0,"委外",record[[#This Row],[Memo]]))</f>
        <v/>
      </c>
      <c r="O10216" t="s">
        <v>58</v>
      </c>
      <c r="P10216" t="s">
        <v>121</v>
      </c>
      <c r="Q10216" t="s">
        <v>58</v>
      </c>
      <c r="R10216" t="str">
        <f>IFERROR(VLOOKUP(record[[#This Row],[PCUSTID]],廠商[],2,FALSE),"")</f>
        <v/>
      </c>
      <c r="S10216" t="str">
        <f>VLOOKUP(record[[#This Row],[employeeID]],員工[],2,FALSE)</f>
        <v>謝素卿</v>
      </c>
    </row>
    <row r="10217" spans="6:19" hidden="1" x14ac:dyDescent="0.25">
      <c r="F10217" t="s">
        <v>614</v>
      </c>
      <c r="G10217" t="s">
        <v>401</v>
      </c>
      <c r="H10217" t="str">
        <f>VLOOKUP(record[[#This Row],[ProcessSN]],表格2_7[],2,FALSE)</f>
        <v>30-4118-018-550</v>
      </c>
      <c r="I10217" t="str">
        <f>VLOOKUP(record[[#This Row],[ProcessSN]],表格2_7[],3,FALSE)</f>
        <v>#100OQC</v>
      </c>
      <c r="J10217" t="s">
        <v>599</v>
      </c>
      <c r="K10217" s="195">
        <v>45714.720879629633</v>
      </c>
      <c r="L10217">
        <v>371</v>
      </c>
      <c r="M10217">
        <v>0</v>
      </c>
      <c r="N10217" s="98" t="str">
        <f>IF(record[[#This Row],[Memo]]="Browser:chrome os:android","平板報工",IF(record[[#This Row],[Memo]]=0,"委外",record[[#This Row],[Memo]]))</f>
        <v/>
      </c>
      <c r="O10217" t="s">
        <v>58</v>
      </c>
      <c r="P10217" t="s">
        <v>121</v>
      </c>
      <c r="Q10217" t="s">
        <v>58</v>
      </c>
      <c r="R10217" t="str">
        <f>IFERROR(VLOOKUP(record[[#This Row],[PCUSTID]],廠商[],2,FALSE),"")</f>
        <v/>
      </c>
      <c r="S10217" t="str">
        <f>VLOOKUP(record[[#This Row],[employeeID]],員工[],2,FALSE)</f>
        <v>謝素卿</v>
      </c>
    </row>
    <row r="10218" spans="6:19" hidden="1" x14ac:dyDescent="0.25">
      <c r="F10218" t="s">
        <v>613</v>
      </c>
      <c r="G10218" t="s">
        <v>401</v>
      </c>
      <c r="H10218" t="str">
        <f>VLOOKUP(record[[#This Row],[ProcessSN]],表格2_7[],2,FALSE)</f>
        <v>30-4118-018-550</v>
      </c>
      <c r="I10218" t="str">
        <f>VLOOKUP(record[[#This Row],[ProcessSN]],表格2_7[],3,FALSE)</f>
        <v>#100OQC</v>
      </c>
      <c r="J10218" t="s">
        <v>599</v>
      </c>
      <c r="K10218" s="195">
        <v>45714.720717592594</v>
      </c>
      <c r="L10218">
        <v>1</v>
      </c>
      <c r="M10218">
        <v>0</v>
      </c>
      <c r="N10218" s="98" t="str">
        <f>IF(record[[#This Row],[Memo]]="Browser:chrome os:android","平板報工",IF(record[[#This Row],[Memo]]=0,"委外",record[[#This Row],[Memo]]))</f>
        <v/>
      </c>
      <c r="O10218" t="s">
        <v>58</v>
      </c>
      <c r="P10218" t="s">
        <v>121</v>
      </c>
      <c r="Q10218" t="s">
        <v>58</v>
      </c>
      <c r="R10218" t="str">
        <f>IFERROR(VLOOKUP(record[[#This Row],[PCUSTID]],廠商[],2,FALSE),"")</f>
        <v/>
      </c>
      <c r="S10218" t="str">
        <f>VLOOKUP(record[[#This Row],[employeeID]],員工[],2,FALSE)</f>
        <v>謝素卿</v>
      </c>
    </row>
    <row r="10219" spans="6:19" hidden="1" x14ac:dyDescent="0.25">
      <c r="F10219" t="s">
        <v>618</v>
      </c>
      <c r="G10219" t="s">
        <v>401</v>
      </c>
      <c r="H10219" t="str">
        <f>VLOOKUP(record[[#This Row],[ProcessSN]],表格2_7[],2,FALSE)</f>
        <v>30-4118-018-550</v>
      </c>
      <c r="I10219" t="str">
        <f>VLOOKUP(record[[#This Row],[ProcessSN]],表格2_7[],3,FALSE)</f>
        <v>#100OQC</v>
      </c>
      <c r="J10219" t="s">
        <v>599</v>
      </c>
      <c r="K10219" s="195">
        <v>45714.720543981479</v>
      </c>
      <c r="L10219">
        <v>16</v>
      </c>
      <c r="M10219">
        <v>0</v>
      </c>
      <c r="N10219" s="98" t="str">
        <f>IF(record[[#This Row],[Memo]]="Browser:chrome os:android","平板報工",IF(record[[#This Row],[Memo]]=0,"委外",record[[#This Row],[Memo]]))</f>
        <v/>
      </c>
      <c r="O10219" t="s">
        <v>58</v>
      </c>
      <c r="P10219" t="s">
        <v>121</v>
      </c>
      <c r="Q10219" t="s">
        <v>58</v>
      </c>
      <c r="R10219" t="str">
        <f>IFERROR(VLOOKUP(record[[#This Row],[PCUSTID]],廠商[],2,FALSE),"")</f>
        <v/>
      </c>
      <c r="S10219" t="str">
        <f>VLOOKUP(record[[#This Row],[employeeID]],員工[],2,FALSE)</f>
        <v>謝素卿</v>
      </c>
    </row>
    <row r="10220" spans="6:19" hidden="1" x14ac:dyDescent="0.25">
      <c r="F10220" t="s">
        <v>744</v>
      </c>
      <c r="G10220" t="s">
        <v>424</v>
      </c>
      <c r="H10220" t="str">
        <f>VLOOKUP(record[[#This Row],[ProcessSN]],表格2_7[],2,FALSE)</f>
        <v>30-4118-018-600</v>
      </c>
      <c r="I10220" t="str">
        <f>VLOOKUP(record[[#This Row],[ProcessSN]],表格2_7[],3,FALSE)</f>
        <v>#08IQC</v>
      </c>
      <c r="J10220" t="s">
        <v>583</v>
      </c>
      <c r="K10220" s="195">
        <v>45714.660833333335</v>
      </c>
      <c r="L10220">
        <v>270</v>
      </c>
      <c r="M10220">
        <v>0</v>
      </c>
      <c r="N10220" s="98" t="str">
        <f>IF(record[[#This Row],[Memo]]="Browser:chrome os:android","平板報工",IF(record[[#This Row],[Memo]]=0,"委外",record[[#This Row],[Memo]]))</f>
        <v/>
      </c>
      <c r="O10220" t="s">
        <v>58</v>
      </c>
      <c r="P10220" t="s">
        <v>143</v>
      </c>
      <c r="Q10220" t="s">
        <v>58</v>
      </c>
      <c r="R10220" t="str">
        <f>IFERROR(VLOOKUP(record[[#This Row],[PCUSTID]],廠商[],2,FALSE),"")</f>
        <v/>
      </c>
      <c r="S10220" t="str">
        <f>VLOOKUP(record[[#This Row],[employeeID]],員工[],2,FALSE)</f>
        <v>潘佳琪</v>
      </c>
    </row>
    <row r="10221" spans="6:19" hidden="1" x14ac:dyDescent="0.25">
      <c r="F10221" t="s">
        <v>744</v>
      </c>
      <c r="G10221" t="s">
        <v>423</v>
      </c>
      <c r="H10221" t="str">
        <f>VLOOKUP(record[[#This Row],[ProcessSN]],表格2_7[],2,FALSE)</f>
        <v>30-4118-018-600</v>
      </c>
      <c r="I10221" t="str">
        <f>VLOOKUP(record[[#This Row],[ProcessSN]],表格2_7[],3,FALSE)</f>
        <v>#08RCV</v>
      </c>
      <c r="J10221" t="s">
        <v>591</v>
      </c>
      <c r="K10221" s="195">
        <v>45714.621828703705</v>
      </c>
      <c r="L10221">
        <v>0</v>
      </c>
      <c r="M10221">
        <v>13</v>
      </c>
      <c r="N10221" s="98" t="str">
        <f>IF(record[[#This Row],[Memo]]="Browser:chrome os:android","平板報工",IF(record[[#This Row],[Memo]]=0,"委外",record[[#This Row],[Memo]]))</f>
        <v>素材不良*7 陽極不良*6</v>
      </c>
      <c r="O10221" t="s">
        <v>747</v>
      </c>
      <c r="P10221" t="s">
        <v>202</v>
      </c>
      <c r="Q10221" t="s">
        <v>58</v>
      </c>
      <c r="R10221" t="str">
        <f>IFERROR(VLOOKUP(record[[#This Row],[PCUSTID]],廠商[],2,FALSE),"")</f>
        <v/>
      </c>
      <c r="S10221" t="str">
        <f>VLOOKUP(record[[#This Row],[employeeID]],員工[],2,FALSE)</f>
        <v>游惠茹</v>
      </c>
    </row>
    <row r="10222" spans="6:19" hidden="1" x14ac:dyDescent="0.25">
      <c r="F10222" t="s">
        <v>744</v>
      </c>
      <c r="G10222" t="s">
        <v>423</v>
      </c>
      <c r="H10222" t="str">
        <f>VLOOKUP(record[[#This Row],[ProcessSN]],表格2_7[],2,FALSE)</f>
        <v>30-4118-018-600</v>
      </c>
      <c r="I10222" t="str">
        <f>VLOOKUP(record[[#This Row],[ProcessSN]],表格2_7[],3,FALSE)</f>
        <v>#08RCV</v>
      </c>
      <c r="J10222" t="s">
        <v>591</v>
      </c>
      <c r="K10222" s="195">
        <v>45714.621261574073</v>
      </c>
      <c r="L10222">
        <v>270</v>
      </c>
      <c r="M10222">
        <v>0</v>
      </c>
      <c r="N10222" s="98" t="str">
        <f>IF(record[[#This Row],[Memo]]="Browser:chrome os:android","平板報工",IF(record[[#This Row],[Memo]]=0,"委外",record[[#This Row],[Memo]]))</f>
        <v/>
      </c>
      <c r="O10222" t="s">
        <v>58</v>
      </c>
      <c r="P10222" t="s">
        <v>202</v>
      </c>
      <c r="Q10222" t="s">
        <v>58</v>
      </c>
      <c r="R10222" t="str">
        <f>IFERROR(VLOOKUP(record[[#This Row],[PCUSTID]],廠商[],2,FALSE),"")</f>
        <v/>
      </c>
      <c r="S10222" t="str">
        <f>VLOOKUP(record[[#This Row],[employeeID]],員工[],2,FALSE)</f>
        <v>游惠茹</v>
      </c>
    </row>
    <row r="10223" spans="6:19" hidden="1" x14ac:dyDescent="0.25">
      <c r="F10223" t="s">
        <v>662</v>
      </c>
      <c r="G10223" t="s">
        <v>400</v>
      </c>
      <c r="H10223" t="str">
        <f>VLOOKUP(record[[#This Row],[ProcessSN]],表格2_7[],2,FALSE)</f>
        <v>30-4118-018-550</v>
      </c>
      <c r="I10223" t="str">
        <f>VLOOKUP(record[[#This Row],[ProcessSN]],表格2_7[],3,FALSE)</f>
        <v>#100</v>
      </c>
      <c r="J10223" t="s">
        <v>598</v>
      </c>
      <c r="K10223" s="195">
        <v>45714.61824074074</v>
      </c>
      <c r="L10223">
        <v>341</v>
      </c>
      <c r="M10223">
        <v>0</v>
      </c>
      <c r="N10223" s="98" t="str">
        <f>IF(record[[#This Row],[Memo]]="Browser:chrome os:android","平板報工",IF(record[[#This Row],[Memo]]=0,"委外",record[[#This Row],[Memo]]))</f>
        <v/>
      </c>
      <c r="O10223" t="s">
        <v>58</v>
      </c>
      <c r="P10223" t="s">
        <v>141</v>
      </c>
      <c r="Q10223" t="s">
        <v>58</v>
      </c>
      <c r="R10223" t="str">
        <f>IFERROR(VLOOKUP(record[[#This Row],[PCUSTID]],廠商[],2,FALSE),"")</f>
        <v/>
      </c>
      <c r="S10223" t="str">
        <f>VLOOKUP(record[[#This Row],[employeeID]],員工[],2,FALSE)</f>
        <v>蔣梅</v>
      </c>
    </row>
    <row r="10224" spans="6:19" hidden="1" x14ac:dyDescent="0.25">
      <c r="F10224" t="s">
        <v>660</v>
      </c>
      <c r="G10224" t="s">
        <v>400</v>
      </c>
      <c r="H10224" t="str">
        <f>VLOOKUP(record[[#This Row],[ProcessSN]],表格2_7[],2,FALSE)</f>
        <v>30-4118-018-550</v>
      </c>
      <c r="I10224" t="str">
        <f>VLOOKUP(record[[#This Row],[ProcessSN]],表格2_7[],3,FALSE)</f>
        <v>#100</v>
      </c>
      <c r="J10224" t="s">
        <v>598</v>
      </c>
      <c r="K10224" s="195">
        <v>45714.617662037039</v>
      </c>
      <c r="L10224">
        <v>0</v>
      </c>
      <c r="M10224">
        <v>9</v>
      </c>
      <c r="N10224" s="98" t="str">
        <f>IF(record[[#This Row],[Memo]]="Browser:chrome os:android","平板報工",IF(record[[#This Row],[Memo]]=0,"委外",record[[#This Row],[Memo]]))</f>
        <v/>
      </c>
      <c r="O10224" t="s">
        <v>58</v>
      </c>
      <c r="P10224" t="s">
        <v>141</v>
      </c>
      <c r="Q10224" t="s">
        <v>58</v>
      </c>
      <c r="R10224" t="str">
        <f>IFERROR(VLOOKUP(record[[#This Row],[PCUSTID]],廠商[],2,FALSE),"")</f>
        <v/>
      </c>
      <c r="S10224" t="str">
        <f>VLOOKUP(record[[#This Row],[employeeID]],員工[],2,FALSE)</f>
        <v>蔣梅</v>
      </c>
    </row>
    <row r="10225" spans="6:19" hidden="1" x14ac:dyDescent="0.25">
      <c r="F10225" t="s">
        <v>660</v>
      </c>
      <c r="G10225" t="s">
        <v>400</v>
      </c>
      <c r="H10225" t="str">
        <f>VLOOKUP(record[[#This Row],[ProcessSN]],表格2_7[],2,FALSE)</f>
        <v>30-4118-018-550</v>
      </c>
      <c r="I10225" t="str">
        <f>VLOOKUP(record[[#This Row],[ProcessSN]],表格2_7[],3,FALSE)</f>
        <v>#100</v>
      </c>
      <c r="J10225" t="s">
        <v>598</v>
      </c>
      <c r="K10225" s="195">
        <v>45714.617372685185</v>
      </c>
      <c r="L10225">
        <v>443</v>
      </c>
      <c r="M10225">
        <v>0</v>
      </c>
      <c r="N10225" s="98" t="str">
        <f>IF(record[[#This Row],[Memo]]="Browser:chrome os:android","平板報工",IF(record[[#This Row],[Memo]]=0,"委外",record[[#This Row],[Memo]]))</f>
        <v/>
      </c>
      <c r="O10225" t="s">
        <v>58</v>
      </c>
      <c r="P10225" t="s">
        <v>141</v>
      </c>
      <c r="Q10225" t="s">
        <v>58</v>
      </c>
      <c r="R10225" t="str">
        <f>IFERROR(VLOOKUP(record[[#This Row],[PCUSTID]],廠商[],2,FALSE),"")</f>
        <v/>
      </c>
      <c r="S10225" t="str">
        <f>VLOOKUP(record[[#This Row],[employeeID]],員工[],2,FALSE)</f>
        <v>蔣梅</v>
      </c>
    </row>
    <row r="10226" spans="6:19" hidden="1" x14ac:dyDescent="0.25">
      <c r="F10226" t="s">
        <v>660</v>
      </c>
      <c r="G10226" t="s">
        <v>400</v>
      </c>
      <c r="H10226" t="str">
        <f>VLOOKUP(record[[#This Row],[ProcessSN]],表格2_7[],2,FALSE)</f>
        <v>30-4118-018-550</v>
      </c>
      <c r="I10226" t="str">
        <f>VLOOKUP(record[[#This Row],[ProcessSN]],表格2_7[],3,FALSE)</f>
        <v>#100</v>
      </c>
      <c r="J10226" t="s">
        <v>598</v>
      </c>
      <c r="K10226" s="195">
        <v>45714.613912037035</v>
      </c>
      <c r="L10226">
        <v>5</v>
      </c>
      <c r="M10226">
        <v>0</v>
      </c>
      <c r="N10226" s="98" t="str">
        <f>IF(record[[#This Row],[Memo]]="Browser:chrome os:android","平板報工",IF(record[[#This Row],[Memo]]=0,"委外",record[[#This Row],[Memo]]))</f>
        <v/>
      </c>
      <c r="O10226" t="s">
        <v>58</v>
      </c>
      <c r="P10226" t="s">
        <v>141</v>
      </c>
      <c r="Q10226" t="s">
        <v>58</v>
      </c>
      <c r="R10226" t="str">
        <f>IFERROR(VLOOKUP(record[[#This Row],[PCUSTID]],廠商[],2,FALSE),"")</f>
        <v/>
      </c>
      <c r="S10226" t="str">
        <f>VLOOKUP(record[[#This Row],[employeeID]],員工[],2,FALSE)</f>
        <v>蔣梅</v>
      </c>
    </row>
    <row r="10227" spans="6:19" hidden="1" x14ac:dyDescent="0.25">
      <c r="F10227" t="s">
        <v>662</v>
      </c>
      <c r="G10227" t="s">
        <v>400</v>
      </c>
      <c r="H10227" t="str">
        <f>VLOOKUP(record[[#This Row],[ProcessSN]],表格2_7[],2,FALSE)</f>
        <v>30-4118-018-550</v>
      </c>
      <c r="I10227" t="str">
        <f>VLOOKUP(record[[#This Row],[ProcessSN]],表格2_7[],3,FALSE)</f>
        <v>#100</v>
      </c>
      <c r="J10227" t="s">
        <v>598</v>
      </c>
      <c r="K10227" s="195">
        <v>45714.613310185188</v>
      </c>
      <c r="L10227">
        <v>0</v>
      </c>
      <c r="M10227">
        <v>1</v>
      </c>
      <c r="N10227" s="98" t="str">
        <f>IF(record[[#This Row],[Memo]]="Browser:chrome os:android","平板報工",IF(record[[#This Row],[Memo]]=0,"委外",record[[#This Row],[Memo]]))</f>
        <v/>
      </c>
      <c r="O10227" t="s">
        <v>58</v>
      </c>
      <c r="P10227" t="s">
        <v>141</v>
      </c>
      <c r="Q10227" t="s">
        <v>58</v>
      </c>
      <c r="R10227" t="str">
        <f>IFERROR(VLOOKUP(record[[#This Row],[PCUSTID]],廠商[],2,FALSE),"")</f>
        <v/>
      </c>
      <c r="S10227" t="str">
        <f>VLOOKUP(record[[#This Row],[employeeID]],員工[],2,FALSE)</f>
        <v>蔣梅</v>
      </c>
    </row>
    <row r="10228" spans="6:19" hidden="1" x14ac:dyDescent="0.25">
      <c r="F10228" t="s">
        <v>662</v>
      </c>
      <c r="G10228" t="s">
        <v>400</v>
      </c>
      <c r="H10228" t="str">
        <f>VLOOKUP(record[[#This Row],[ProcessSN]],表格2_7[],2,FALSE)</f>
        <v>30-4118-018-550</v>
      </c>
      <c r="I10228" t="str">
        <f>VLOOKUP(record[[#This Row],[ProcessSN]],表格2_7[],3,FALSE)</f>
        <v>#100</v>
      </c>
      <c r="J10228" t="s">
        <v>598</v>
      </c>
      <c r="K10228" s="195">
        <v>45714.613078703704</v>
      </c>
      <c r="L10228">
        <v>6</v>
      </c>
      <c r="M10228">
        <v>0</v>
      </c>
      <c r="N10228" s="98" t="str">
        <f>IF(record[[#This Row],[Memo]]="Browser:chrome os:android","平板報工",IF(record[[#This Row],[Memo]]=0,"委外",record[[#This Row],[Memo]]))</f>
        <v/>
      </c>
      <c r="O10228" t="s">
        <v>58</v>
      </c>
      <c r="P10228" t="s">
        <v>141</v>
      </c>
      <c r="Q10228" t="s">
        <v>58</v>
      </c>
      <c r="R10228" t="str">
        <f>IFERROR(VLOOKUP(record[[#This Row],[PCUSTID]],廠商[],2,FALSE),"")</f>
        <v/>
      </c>
      <c r="S10228" t="str">
        <f>VLOOKUP(record[[#This Row],[employeeID]],員工[],2,FALSE)</f>
        <v>蔣梅</v>
      </c>
    </row>
    <row r="10229" spans="6:19" hidden="1" x14ac:dyDescent="0.25">
      <c r="F10229" t="s">
        <v>701</v>
      </c>
      <c r="G10229" t="s">
        <v>400</v>
      </c>
      <c r="H10229" t="str">
        <f>VLOOKUP(record[[#This Row],[ProcessSN]],表格2_7[],2,FALSE)</f>
        <v>30-4118-018-550</v>
      </c>
      <c r="I10229" t="str">
        <f>VLOOKUP(record[[#This Row],[ProcessSN]],表格2_7[],3,FALSE)</f>
        <v>#100</v>
      </c>
      <c r="J10229" t="s">
        <v>598</v>
      </c>
      <c r="K10229" s="195">
        <v>45714.612407407411</v>
      </c>
      <c r="L10229">
        <v>2</v>
      </c>
      <c r="M10229">
        <v>0</v>
      </c>
      <c r="N10229" s="98" t="str">
        <f>IF(record[[#This Row],[Memo]]="Browser:chrome os:android","平板報工",IF(record[[#This Row],[Memo]]=0,"委外",record[[#This Row],[Memo]]))</f>
        <v/>
      </c>
      <c r="O10229" t="s">
        <v>58</v>
      </c>
      <c r="P10229" t="s">
        <v>141</v>
      </c>
      <c r="Q10229" t="s">
        <v>58</v>
      </c>
      <c r="R10229" t="str">
        <f>IFERROR(VLOOKUP(record[[#This Row],[PCUSTID]],廠商[],2,FALSE),"")</f>
        <v/>
      </c>
      <c r="S10229" t="str">
        <f>VLOOKUP(record[[#This Row],[employeeID]],員工[],2,FALSE)</f>
        <v>蔣梅</v>
      </c>
    </row>
    <row r="10230" spans="6:19" hidden="1" x14ac:dyDescent="0.25">
      <c r="F10230" t="s">
        <v>699</v>
      </c>
      <c r="G10230" t="s">
        <v>400</v>
      </c>
      <c r="H10230" t="str">
        <f>VLOOKUP(record[[#This Row],[ProcessSN]],表格2_7[],2,FALSE)</f>
        <v>30-4118-018-550</v>
      </c>
      <c r="I10230" t="str">
        <f>VLOOKUP(record[[#This Row],[ProcessSN]],表格2_7[],3,FALSE)</f>
        <v>#100</v>
      </c>
      <c r="J10230" t="s">
        <v>598</v>
      </c>
      <c r="K10230" s="195">
        <v>45714.612025462964</v>
      </c>
      <c r="L10230">
        <v>11</v>
      </c>
      <c r="M10230">
        <v>0</v>
      </c>
      <c r="N10230" s="98" t="str">
        <f>IF(record[[#This Row],[Memo]]="Browser:chrome os:android","平板報工",IF(record[[#This Row],[Memo]]=0,"委外",record[[#This Row],[Memo]]))</f>
        <v/>
      </c>
      <c r="O10230" t="s">
        <v>58</v>
      </c>
      <c r="P10230" t="s">
        <v>141</v>
      </c>
      <c r="Q10230" t="s">
        <v>58</v>
      </c>
      <c r="R10230" t="str">
        <f>IFERROR(VLOOKUP(record[[#This Row],[PCUSTID]],廠商[],2,FALSE),"")</f>
        <v/>
      </c>
      <c r="S10230" t="str">
        <f>VLOOKUP(record[[#This Row],[employeeID]],員工[],2,FALSE)</f>
        <v>蔣梅</v>
      </c>
    </row>
    <row r="10231" spans="6:19" hidden="1" x14ac:dyDescent="0.25">
      <c r="F10231" t="s">
        <v>689</v>
      </c>
      <c r="G10231" t="s">
        <v>400</v>
      </c>
      <c r="H10231" t="str">
        <f>VLOOKUP(record[[#This Row],[ProcessSN]],表格2_7[],2,FALSE)</f>
        <v>30-4118-018-550</v>
      </c>
      <c r="I10231" t="str">
        <f>VLOOKUP(record[[#This Row],[ProcessSN]],表格2_7[],3,FALSE)</f>
        <v>#100</v>
      </c>
      <c r="J10231" t="s">
        <v>598</v>
      </c>
      <c r="K10231" s="195">
        <v>45714.611226851855</v>
      </c>
      <c r="L10231">
        <v>2</v>
      </c>
      <c r="M10231">
        <v>0</v>
      </c>
      <c r="N10231" s="98" t="str">
        <f>IF(record[[#This Row],[Memo]]="Browser:chrome os:android","平板報工",IF(record[[#This Row],[Memo]]=0,"委外",record[[#This Row],[Memo]]))</f>
        <v/>
      </c>
      <c r="O10231" t="s">
        <v>58</v>
      </c>
      <c r="P10231" t="s">
        <v>141</v>
      </c>
      <c r="Q10231" t="s">
        <v>58</v>
      </c>
      <c r="R10231" t="str">
        <f>IFERROR(VLOOKUP(record[[#This Row],[PCUSTID]],廠商[],2,FALSE),"")</f>
        <v/>
      </c>
      <c r="S10231" t="str">
        <f>VLOOKUP(record[[#This Row],[employeeID]],員工[],2,FALSE)</f>
        <v>蔣梅</v>
      </c>
    </row>
    <row r="10232" spans="6:19" hidden="1" x14ac:dyDescent="0.25">
      <c r="F10232" t="s">
        <v>684</v>
      </c>
      <c r="G10232" t="s">
        <v>400</v>
      </c>
      <c r="H10232" t="str">
        <f>VLOOKUP(record[[#This Row],[ProcessSN]],表格2_7[],2,FALSE)</f>
        <v>30-4118-018-550</v>
      </c>
      <c r="I10232" t="str">
        <f>VLOOKUP(record[[#This Row],[ProcessSN]],表格2_7[],3,FALSE)</f>
        <v>#100</v>
      </c>
      <c r="J10232" t="s">
        <v>598</v>
      </c>
      <c r="K10232" s="195">
        <v>45714.610636574071</v>
      </c>
      <c r="L10232">
        <v>6</v>
      </c>
      <c r="M10232">
        <v>0</v>
      </c>
      <c r="N10232" s="98" t="str">
        <f>IF(record[[#This Row],[Memo]]="Browser:chrome os:android","平板報工",IF(record[[#This Row],[Memo]]=0,"委外",record[[#This Row],[Memo]]))</f>
        <v/>
      </c>
      <c r="O10232" t="s">
        <v>58</v>
      </c>
      <c r="P10232" t="s">
        <v>141</v>
      </c>
      <c r="Q10232" t="s">
        <v>58</v>
      </c>
      <c r="R10232" t="str">
        <f>IFERROR(VLOOKUP(record[[#This Row],[PCUSTID]],廠商[],2,FALSE),"")</f>
        <v/>
      </c>
      <c r="S10232" t="str">
        <f>VLOOKUP(record[[#This Row],[employeeID]],員工[],2,FALSE)</f>
        <v>蔣梅</v>
      </c>
    </row>
    <row r="10233" spans="6:19" hidden="1" x14ac:dyDescent="0.25">
      <c r="F10233" t="s">
        <v>626</v>
      </c>
      <c r="G10233" t="s">
        <v>428</v>
      </c>
      <c r="H10233" t="str">
        <f>VLOOKUP(record[[#This Row],[ProcessSN]],表格2_7[],2,FALSE)</f>
        <v>30-4118-018-600</v>
      </c>
      <c r="I10233" t="str">
        <f>VLOOKUP(record[[#This Row],[ProcessSN]],表格2_7[],3,FALSE)</f>
        <v>#100SHIP</v>
      </c>
      <c r="J10233" t="s">
        <v>600</v>
      </c>
      <c r="K10233" s="195">
        <v>45714.443796296298</v>
      </c>
      <c r="L10233">
        <v>3</v>
      </c>
      <c r="M10233">
        <v>0</v>
      </c>
      <c r="N10233" s="98" t="str">
        <f>IF(record[[#This Row],[Memo]]="Browser:chrome os:android","平板報工",IF(record[[#This Row],[Memo]]=0,"委外",record[[#This Row],[Memo]]))</f>
        <v/>
      </c>
      <c r="O10233" t="s">
        <v>58</v>
      </c>
      <c r="P10233" t="s">
        <v>196</v>
      </c>
      <c r="Q10233" t="s">
        <v>58</v>
      </c>
      <c r="R10233" t="str">
        <f>IFERROR(VLOOKUP(record[[#This Row],[PCUSTID]],廠商[],2,FALSE),"")</f>
        <v/>
      </c>
      <c r="S10233" t="str">
        <f>VLOOKUP(record[[#This Row],[employeeID]],員工[],2,FALSE)</f>
        <v>張淑惠</v>
      </c>
    </row>
    <row r="10234" spans="6:19" hidden="1" x14ac:dyDescent="0.25">
      <c r="F10234" t="s">
        <v>655</v>
      </c>
      <c r="G10234" t="s">
        <v>403</v>
      </c>
      <c r="H10234" t="str">
        <f>VLOOKUP(record[[#This Row],[ProcessSN]],表格2_7[],2,FALSE)</f>
        <v>30-4118-018-550</v>
      </c>
      <c r="I10234" t="str">
        <f>VLOOKUP(record[[#This Row],[ProcessSN]],表格2_7[],3,FALSE)</f>
        <v>#100SHIP</v>
      </c>
      <c r="J10234" t="s">
        <v>600</v>
      </c>
      <c r="K10234" s="195">
        <v>45714.443495370368</v>
      </c>
      <c r="L10234">
        <v>75</v>
      </c>
      <c r="M10234">
        <v>0</v>
      </c>
      <c r="N10234" s="98" t="str">
        <f>IF(record[[#This Row],[Memo]]="Browser:chrome os:android","平板報工",IF(record[[#This Row],[Memo]]=0,"委外",record[[#This Row],[Memo]]))</f>
        <v/>
      </c>
      <c r="O10234" t="s">
        <v>58</v>
      </c>
      <c r="P10234" t="s">
        <v>196</v>
      </c>
      <c r="Q10234" t="s">
        <v>58</v>
      </c>
      <c r="R10234" t="str">
        <f>IFERROR(VLOOKUP(record[[#This Row],[PCUSTID]],廠商[],2,FALSE),"")</f>
        <v/>
      </c>
      <c r="S10234" t="str">
        <f>VLOOKUP(record[[#This Row],[employeeID]],員工[],2,FALSE)</f>
        <v>張淑惠</v>
      </c>
    </row>
    <row r="10235" spans="6:19" hidden="1" x14ac:dyDescent="0.25">
      <c r="F10235" t="s">
        <v>662</v>
      </c>
      <c r="G10235" t="s">
        <v>400</v>
      </c>
      <c r="H10235" t="str">
        <f>VLOOKUP(record[[#This Row],[ProcessSN]],表格2_7[],2,FALSE)</f>
        <v>30-4118-018-550</v>
      </c>
      <c r="I10235" t="str">
        <f>VLOOKUP(record[[#This Row],[ProcessSN]],表格2_7[],3,FALSE)</f>
        <v>#100</v>
      </c>
      <c r="J10235" t="s">
        <v>598</v>
      </c>
      <c r="K10235" s="195">
        <v>45714.399421296293</v>
      </c>
      <c r="L10235">
        <v>132</v>
      </c>
      <c r="M10235">
        <v>0</v>
      </c>
      <c r="N10235" s="98" t="str">
        <f>IF(record[[#This Row],[Memo]]="Browser:chrome os:android","平板報工",IF(record[[#This Row],[Memo]]=0,"委外",record[[#This Row],[Memo]]))</f>
        <v>平板報工</v>
      </c>
      <c r="O10235" t="s">
        <v>643</v>
      </c>
      <c r="P10235" t="s">
        <v>141</v>
      </c>
      <c r="Q10235" t="s">
        <v>644</v>
      </c>
      <c r="R10235" t="str">
        <f>IFERROR(VLOOKUP(record[[#This Row],[PCUSTID]],廠商[],2,FALSE),"")</f>
        <v/>
      </c>
      <c r="S10235" t="str">
        <f>VLOOKUP(record[[#This Row],[employeeID]],員工[],2,FALSE)</f>
        <v>蔣梅</v>
      </c>
    </row>
    <row r="10236" spans="6:19" hidden="1" x14ac:dyDescent="0.25">
      <c r="F10236" t="s">
        <v>614</v>
      </c>
      <c r="G10236" t="s">
        <v>400</v>
      </c>
      <c r="H10236" t="str">
        <f>VLOOKUP(record[[#This Row],[ProcessSN]],表格2_7[],2,FALSE)</f>
        <v>30-4118-018-550</v>
      </c>
      <c r="I10236" t="str">
        <f>VLOOKUP(record[[#This Row],[ProcessSN]],表格2_7[],3,FALSE)</f>
        <v>#100</v>
      </c>
      <c r="J10236" t="s">
        <v>598</v>
      </c>
      <c r="K10236" s="195">
        <v>45714.398842592593</v>
      </c>
      <c r="L10236">
        <v>371</v>
      </c>
      <c r="M10236">
        <v>0</v>
      </c>
      <c r="N10236" s="98" t="str">
        <f>IF(record[[#This Row],[Memo]]="Browser:chrome os:android","平板報工",IF(record[[#This Row],[Memo]]=0,"委外",record[[#This Row],[Memo]]))</f>
        <v>平板報工</v>
      </c>
      <c r="O10236" t="s">
        <v>643</v>
      </c>
      <c r="P10236" t="s">
        <v>141</v>
      </c>
      <c r="Q10236" t="s">
        <v>644</v>
      </c>
      <c r="R10236" t="str">
        <f>IFERROR(VLOOKUP(record[[#This Row],[PCUSTID]],廠商[],2,FALSE),"")</f>
        <v/>
      </c>
      <c r="S10236" t="str">
        <f>VLOOKUP(record[[#This Row],[employeeID]],員工[],2,FALSE)</f>
        <v>蔣梅</v>
      </c>
    </row>
    <row r="10237" spans="6:19" hidden="1" x14ac:dyDescent="0.25">
      <c r="F10237" t="s">
        <v>613</v>
      </c>
      <c r="G10237" t="s">
        <v>400</v>
      </c>
      <c r="H10237" t="str">
        <f>VLOOKUP(record[[#This Row],[ProcessSN]],表格2_7[],2,FALSE)</f>
        <v>30-4118-018-550</v>
      </c>
      <c r="I10237" t="str">
        <f>VLOOKUP(record[[#This Row],[ProcessSN]],表格2_7[],3,FALSE)</f>
        <v>#100</v>
      </c>
      <c r="J10237" t="s">
        <v>598</v>
      </c>
      <c r="K10237" s="195">
        <v>45714.398541666669</v>
      </c>
      <c r="L10237">
        <v>1</v>
      </c>
      <c r="M10237">
        <v>0</v>
      </c>
      <c r="N10237" s="98" t="str">
        <f>IF(record[[#This Row],[Memo]]="Browser:chrome os:android","平板報工",IF(record[[#This Row],[Memo]]=0,"委外",record[[#This Row],[Memo]]))</f>
        <v>平板報工</v>
      </c>
      <c r="O10237" t="s">
        <v>643</v>
      </c>
      <c r="P10237" t="s">
        <v>141</v>
      </c>
      <c r="Q10237" t="s">
        <v>644</v>
      </c>
      <c r="R10237" t="str">
        <f>IFERROR(VLOOKUP(record[[#This Row],[PCUSTID]],廠商[],2,FALSE),"")</f>
        <v/>
      </c>
      <c r="S10237" t="str">
        <f>VLOOKUP(record[[#This Row],[employeeID]],員工[],2,FALSE)</f>
        <v>蔣梅</v>
      </c>
    </row>
    <row r="10238" spans="6:19" hidden="1" x14ac:dyDescent="0.25">
      <c r="F10238" t="s">
        <v>739</v>
      </c>
      <c r="G10238" t="s">
        <v>424</v>
      </c>
      <c r="H10238" t="str">
        <f>VLOOKUP(record[[#This Row],[ProcessSN]],表格2_7[],2,FALSE)</f>
        <v>30-4118-018-600</v>
      </c>
      <c r="I10238" t="str">
        <f>VLOOKUP(record[[#This Row],[ProcessSN]],表格2_7[],3,FALSE)</f>
        <v>#08IQC</v>
      </c>
      <c r="J10238" t="s">
        <v>583</v>
      </c>
      <c r="K10238" s="195">
        <v>45712.70579861111</v>
      </c>
      <c r="L10238">
        <v>312</v>
      </c>
      <c r="M10238">
        <v>0</v>
      </c>
      <c r="N10238" s="98" t="str">
        <f>IF(record[[#This Row],[Memo]]="Browser:chrome os:android","平板報工",IF(record[[#This Row],[Memo]]=0,"委外",record[[#This Row],[Memo]]))</f>
        <v/>
      </c>
      <c r="O10238" t="s">
        <v>58</v>
      </c>
      <c r="P10238" t="s">
        <v>143</v>
      </c>
      <c r="Q10238" t="s">
        <v>58</v>
      </c>
      <c r="R10238" t="str">
        <f>IFERROR(VLOOKUP(record[[#This Row],[PCUSTID]],廠商[],2,FALSE),"")</f>
        <v/>
      </c>
      <c r="S10238" t="str">
        <f>VLOOKUP(record[[#This Row],[employeeID]],員工[],2,FALSE)</f>
        <v>潘佳琪</v>
      </c>
    </row>
    <row r="10239" spans="6:19" hidden="1" x14ac:dyDescent="0.25">
      <c r="F10239" t="s">
        <v>739</v>
      </c>
      <c r="G10239" t="s">
        <v>423</v>
      </c>
      <c r="H10239" t="str">
        <f>VLOOKUP(record[[#This Row],[ProcessSN]],表格2_7[],2,FALSE)</f>
        <v>30-4118-018-600</v>
      </c>
      <c r="I10239" t="str">
        <f>VLOOKUP(record[[#This Row],[ProcessSN]],表格2_7[],3,FALSE)</f>
        <v>#08RCV</v>
      </c>
      <c r="J10239" t="s">
        <v>591</v>
      </c>
      <c r="K10239" s="195">
        <v>45712.601122685184</v>
      </c>
      <c r="L10239">
        <v>0</v>
      </c>
      <c r="M10239">
        <v>15</v>
      </c>
      <c r="N10239" s="98" t="str">
        <f>IF(record[[#This Row],[Memo]]="Browser:chrome os:android","平板報工",IF(record[[#This Row],[Memo]]=0,"委外",record[[#This Row],[Memo]]))</f>
        <v>素材不良*4 陽極不良*11</v>
      </c>
      <c r="O10239" t="s">
        <v>746</v>
      </c>
      <c r="P10239" t="s">
        <v>202</v>
      </c>
      <c r="Q10239" t="s">
        <v>58</v>
      </c>
      <c r="R10239" t="str">
        <f>IFERROR(VLOOKUP(record[[#This Row],[PCUSTID]],廠商[],2,FALSE),"")</f>
        <v/>
      </c>
      <c r="S10239" t="str">
        <f>VLOOKUP(record[[#This Row],[employeeID]],員工[],2,FALSE)</f>
        <v>游惠茹</v>
      </c>
    </row>
    <row r="10240" spans="6:19" hidden="1" x14ac:dyDescent="0.25">
      <c r="F10240" t="s">
        <v>739</v>
      </c>
      <c r="G10240" t="s">
        <v>423</v>
      </c>
      <c r="H10240" t="str">
        <f>VLOOKUP(record[[#This Row],[ProcessSN]],表格2_7[],2,FALSE)</f>
        <v>30-4118-018-600</v>
      </c>
      <c r="I10240" t="str">
        <f>VLOOKUP(record[[#This Row],[ProcessSN]],表格2_7[],3,FALSE)</f>
        <v>#08RCV</v>
      </c>
      <c r="J10240" t="s">
        <v>591</v>
      </c>
      <c r="K10240" s="195">
        <v>45712.600405092591</v>
      </c>
      <c r="L10240">
        <v>312</v>
      </c>
      <c r="M10240">
        <v>0</v>
      </c>
      <c r="N10240" s="98" t="str">
        <f>IF(record[[#This Row],[Memo]]="Browser:chrome os:android","平板報工",IF(record[[#This Row],[Memo]]=0,"委外",record[[#This Row],[Memo]]))</f>
        <v/>
      </c>
      <c r="O10240" t="s">
        <v>58</v>
      </c>
      <c r="P10240" t="s">
        <v>202</v>
      </c>
      <c r="Q10240" t="s">
        <v>58</v>
      </c>
      <c r="R10240" t="str">
        <f>IFERROR(VLOOKUP(record[[#This Row],[PCUSTID]],廠商[],2,FALSE),"")</f>
        <v/>
      </c>
      <c r="S10240" t="str">
        <f>VLOOKUP(record[[#This Row],[employeeID]],員工[],2,FALSE)</f>
        <v>游惠茹</v>
      </c>
    </row>
    <row r="10241" spans="6:19" hidden="1" x14ac:dyDescent="0.25">
      <c r="F10241" t="s">
        <v>626</v>
      </c>
      <c r="G10241" t="s">
        <v>428</v>
      </c>
      <c r="H10241" t="str">
        <f>VLOOKUP(record[[#This Row],[ProcessSN]],表格2_7[],2,FALSE)</f>
        <v>30-4118-018-600</v>
      </c>
      <c r="I10241" t="str">
        <f>VLOOKUP(record[[#This Row],[ProcessSN]],表格2_7[],3,FALSE)</f>
        <v>#100SHIP</v>
      </c>
      <c r="J10241" t="s">
        <v>600</v>
      </c>
      <c r="K10241" s="195">
        <v>45712.364004629628</v>
      </c>
      <c r="L10241">
        <v>3</v>
      </c>
      <c r="M10241">
        <v>0</v>
      </c>
      <c r="N10241" s="98" t="str">
        <f>IF(record[[#This Row],[Memo]]="Browser:chrome os:android","平板報工",IF(record[[#This Row],[Memo]]=0,"委外",record[[#This Row],[Memo]]))</f>
        <v/>
      </c>
      <c r="O10241" t="s">
        <v>58</v>
      </c>
      <c r="P10241" t="s">
        <v>196</v>
      </c>
      <c r="Q10241" t="s">
        <v>58</v>
      </c>
      <c r="R10241" t="str">
        <f>IFERROR(VLOOKUP(record[[#This Row],[PCUSTID]],廠商[],2,FALSE),"")</f>
        <v/>
      </c>
      <c r="S10241" t="str">
        <f>VLOOKUP(record[[#This Row],[employeeID]],員工[],2,FALSE)</f>
        <v>張淑惠</v>
      </c>
    </row>
    <row r="10242" spans="6:19" hidden="1" x14ac:dyDescent="0.25">
      <c r="F10242" t="s">
        <v>737</v>
      </c>
      <c r="G10242" t="s">
        <v>423</v>
      </c>
      <c r="H10242" t="str">
        <f>VLOOKUP(record[[#This Row],[ProcessSN]],表格2_7[],2,FALSE)</f>
        <v>30-4118-018-600</v>
      </c>
      <c r="I10242" t="str">
        <f>VLOOKUP(record[[#This Row],[ProcessSN]],表格2_7[],3,FALSE)</f>
        <v>#08RCV</v>
      </c>
      <c r="J10242" t="s">
        <v>591</v>
      </c>
      <c r="K10242" s="195">
        <v>45709.652025462965</v>
      </c>
      <c r="L10242">
        <v>0</v>
      </c>
      <c r="M10242">
        <v>198</v>
      </c>
      <c r="N10242" s="98" t="str">
        <f>IF(record[[#This Row],[Memo]]="Browser:chrome os:android","平板報工",IF(record[[#This Row],[Memo]]=0,"委外",record[[#This Row],[Memo]]))</f>
        <v>陽極不良</v>
      </c>
      <c r="O10242" t="s">
        <v>745</v>
      </c>
      <c r="P10242" t="s">
        <v>202</v>
      </c>
      <c r="Q10242" t="s">
        <v>58</v>
      </c>
      <c r="R10242" t="str">
        <f>IFERROR(VLOOKUP(record[[#This Row],[PCUSTID]],廠商[],2,FALSE),"")</f>
        <v/>
      </c>
      <c r="S10242" t="str">
        <f>VLOOKUP(record[[#This Row],[employeeID]],員工[],2,FALSE)</f>
        <v>游惠茹</v>
      </c>
    </row>
    <row r="10243" spans="6:19" hidden="1" x14ac:dyDescent="0.25">
      <c r="F10243" t="s">
        <v>737</v>
      </c>
      <c r="G10243" t="s">
        <v>424</v>
      </c>
      <c r="H10243" t="str">
        <f>VLOOKUP(record[[#This Row],[ProcessSN]],表格2_7[],2,FALSE)</f>
        <v>30-4118-018-600</v>
      </c>
      <c r="I10243" t="str">
        <f>VLOOKUP(record[[#This Row],[ProcessSN]],表格2_7[],3,FALSE)</f>
        <v>#08IQC</v>
      </c>
      <c r="J10243" t="s">
        <v>583</v>
      </c>
      <c r="K10243" s="195">
        <v>45709.637685185182</v>
      </c>
      <c r="L10243">
        <v>124</v>
      </c>
      <c r="M10243">
        <v>0</v>
      </c>
      <c r="N10243" s="98" t="str">
        <f>IF(record[[#This Row],[Memo]]="Browser:chrome os:android","平板報工",IF(record[[#This Row],[Memo]]=0,"委外",record[[#This Row],[Memo]]))</f>
        <v/>
      </c>
      <c r="O10243" t="s">
        <v>58</v>
      </c>
      <c r="P10243" t="s">
        <v>143</v>
      </c>
      <c r="Q10243" t="s">
        <v>58</v>
      </c>
      <c r="R10243" t="str">
        <f>IFERROR(VLOOKUP(record[[#This Row],[PCUSTID]],廠商[],2,FALSE),"")</f>
        <v/>
      </c>
      <c r="S10243" t="str">
        <f>VLOOKUP(record[[#This Row],[employeeID]],員工[],2,FALSE)</f>
        <v>潘佳琪</v>
      </c>
    </row>
    <row r="10244" spans="6:19" hidden="1" x14ac:dyDescent="0.25">
      <c r="F10244" t="s">
        <v>733</v>
      </c>
      <c r="G10244" t="s">
        <v>424</v>
      </c>
      <c r="H10244" t="str">
        <f>VLOOKUP(record[[#This Row],[ProcessSN]],表格2_7[],2,FALSE)</f>
        <v>30-4118-018-600</v>
      </c>
      <c r="I10244" t="str">
        <f>VLOOKUP(record[[#This Row],[ProcessSN]],表格2_7[],3,FALSE)</f>
        <v>#08IQC</v>
      </c>
      <c r="J10244" t="s">
        <v>583</v>
      </c>
      <c r="K10244" s="195">
        <v>45709.637592592589</v>
      </c>
      <c r="L10244">
        <v>165</v>
      </c>
      <c r="M10244">
        <v>0</v>
      </c>
      <c r="N10244" s="98" t="str">
        <f>IF(record[[#This Row],[Memo]]="Browser:chrome os:android","平板報工",IF(record[[#This Row],[Memo]]=0,"委外",record[[#This Row],[Memo]]))</f>
        <v/>
      </c>
      <c r="O10244" t="s">
        <v>58</v>
      </c>
      <c r="P10244" t="s">
        <v>143</v>
      </c>
      <c r="Q10244" t="s">
        <v>58</v>
      </c>
      <c r="R10244" t="str">
        <f>IFERROR(VLOOKUP(record[[#This Row],[PCUSTID]],廠商[],2,FALSE),"")</f>
        <v/>
      </c>
      <c r="S10244" t="str">
        <f>VLOOKUP(record[[#This Row],[employeeID]],員工[],2,FALSE)</f>
        <v>潘佳琪</v>
      </c>
    </row>
    <row r="10245" spans="6:19" hidden="1" x14ac:dyDescent="0.25">
      <c r="F10245" t="s">
        <v>737</v>
      </c>
      <c r="G10245" t="s">
        <v>423</v>
      </c>
      <c r="H10245" t="str">
        <f>VLOOKUP(record[[#This Row],[ProcessSN]],表格2_7[],2,FALSE)</f>
        <v>30-4118-018-600</v>
      </c>
      <c r="I10245" t="str">
        <f>VLOOKUP(record[[#This Row],[ProcessSN]],表格2_7[],3,FALSE)</f>
        <v>#08RCV</v>
      </c>
      <c r="J10245" t="s">
        <v>591</v>
      </c>
      <c r="K10245" s="195">
        <v>45709.622916666667</v>
      </c>
      <c r="L10245">
        <v>124</v>
      </c>
      <c r="M10245">
        <v>0</v>
      </c>
      <c r="N10245" s="98" t="str">
        <f>IF(record[[#This Row],[Memo]]="Browser:chrome os:android","平板報工",IF(record[[#This Row],[Memo]]=0,"委外",record[[#This Row],[Memo]]))</f>
        <v/>
      </c>
      <c r="O10245" t="s">
        <v>58</v>
      </c>
      <c r="P10245" t="s">
        <v>202</v>
      </c>
      <c r="Q10245" t="s">
        <v>58</v>
      </c>
      <c r="R10245" t="str">
        <f>IFERROR(VLOOKUP(record[[#This Row],[PCUSTID]],廠商[],2,FALSE),"")</f>
        <v/>
      </c>
      <c r="S10245" t="str">
        <f>VLOOKUP(record[[#This Row],[employeeID]],員工[],2,FALSE)</f>
        <v>游惠茹</v>
      </c>
    </row>
    <row r="10246" spans="6:19" hidden="1" x14ac:dyDescent="0.25">
      <c r="F10246" t="s">
        <v>733</v>
      </c>
      <c r="G10246" t="s">
        <v>423</v>
      </c>
      <c r="H10246" t="str">
        <f>VLOOKUP(record[[#This Row],[ProcessSN]],表格2_7[],2,FALSE)</f>
        <v>30-4118-018-600</v>
      </c>
      <c r="I10246" t="str">
        <f>VLOOKUP(record[[#This Row],[ProcessSN]],表格2_7[],3,FALSE)</f>
        <v>#08RCV</v>
      </c>
      <c r="J10246" t="s">
        <v>591</v>
      </c>
      <c r="K10246" s="195">
        <v>45709.62259259259</v>
      </c>
      <c r="L10246">
        <v>165</v>
      </c>
      <c r="M10246">
        <v>0</v>
      </c>
      <c r="N10246" s="98" t="str">
        <f>IF(record[[#This Row],[Memo]]="Browser:chrome os:android","平板報工",IF(record[[#This Row],[Memo]]=0,"委外",record[[#This Row],[Memo]]))</f>
        <v/>
      </c>
      <c r="O10246" t="s">
        <v>58</v>
      </c>
      <c r="P10246" t="s">
        <v>202</v>
      </c>
      <c r="Q10246" t="s">
        <v>58</v>
      </c>
      <c r="R10246" t="str">
        <f>IFERROR(VLOOKUP(record[[#This Row],[PCUSTID]],廠商[],2,FALSE),"")</f>
        <v/>
      </c>
      <c r="S10246" t="str">
        <f>VLOOKUP(record[[#This Row],[employeeID]],員工[],2,FALSE)</f>
        <v>游惠茹</v>
      </c>
    </row>
    <row r="10247" spans="6:19" hidden="1" x14ac:dyDescent="0.25">
      <c r="F10247" t="s">
        <v>683</v>
      </c>
      <c r="G10247" t="s">
        <v>359</v>
      </c>
      <c r="H10247" t="str">
        <f>VLOOKUP(record[[#This Row],[ProcessSN]],表格2_7[],2,FALSE)</f>
        <v>30-4118-018-450</v>
      </c>
      <c r="I10247" t="str">
        <f>VLOOKUP(record[[#This Row],[ProcessSN]],表格2_7[],3,FALSE)</f>
        <v>#100</v>
      </c>
      <c r="J10247" t="s">
        <v>598</v>
      </c>
      <c r="K10247" s="195">
        <v>45709.577106481483</v>
      </c>
      <c r="L10247">
        <v>0</v>
      </c>
      <c r="M10247">
        <v>1</v>
      </c>
      <c r="N10247" s="98" t="str">
        <f>IF(record[[#This Row],[Memo]]="Browser:chrome os:android","平板報工",IF(record[[#This Row],[Memo]]=0,"委外",record[[#This Row],[Memo]]))</f>
        <v/>
      </c>
      <c r="O10247" t="s">
        <v>58</v>
      </c>
      <c r="P10247" t="s">
        <v>65</v>
      </c>
      <c r="Q10247" t="s">
        <v>58</v>
      </c>
      <c r="R10247" t="str">
        <f>IFERROR(VLOOKUP(record[[#This Row],[PCUSTID]],廠商[],2,FALSE),"")</f>
        <v/>
      </c>
      <c r="S10247" t="str">
        <f>VLOOKUP(record[[#This Row],[employeeID]],員工[],2,FALSE)</f>
        <v>蘇進昌</v>
      </c>
    </row>
    <row r="10248" spans="6:19" hidden="1" x14ac:dyDescent="0.25">
      <c r="F10248" t="s">
        <v>744</v>
      </c>
      <c r="G10248" t="s">
        <v>422</v>
      </c>
      <c r="H10248" t="str">
        <f>VLOOKUP(record[[#This Row],[ProcessSN]],表格2_7[],2,FALSE)</f>
        <v>30-4118-018-600</v>
      </c>
      <c r="I10248" t="str">
        <f>VLOOKUP(record[[#This Row],[ProcessSN]],表格2_7[],3,FALSE)</f>
        <v>#08</v>
      </c>
      <c r="J10248" t="s">
        <v>597</v>
      </c>
      <c r="K10248" s="195">
        <v>45709.565995370373</v>
      </c>
      <c r="L10248">
        <v>283</v>
      </c>
      <c r="M10248">
        <v>0</v>
      </c>
      <c r="N10248" s="98" t="str">
        <f>IF(record[[#This Row],[Memo]]="Browser:chrome os:android","平板報工",IF(record[[#This Row],[Memo]]=0,"委外",record[[#This Row],[Memo]]))</f>
        <v>委外</v>
      </c>
      <c r="P10248" t="s">
        <v>202</v>
      </c>
      <c r="Q10248" t="s">
        <v>287</v>
      </c>
      <c r="R10248" t="str">
        <f>IFERROR(VLOOKUP(record[[#This Row],[PCUSTID]],廠商[],2,FALSE),"")</f>
        <v>泉盛</v>
      </c>
      <c r="S10248" t="str">
        <f>VLOOKUP(record[[#This Row],[employeeID]],員工[],2,FALSE)</f>
        <v>游惠茹</v>
      </c>
    </row>
    <row r="10249" spans="6:19" hidden="1" x14ac:dyDescent="0.25">
      <c r="F10249" t="s">
        <v>744</v>
      </c>
      <c r="G10249" t="s">
        <v>421</v>
      </c>
      <c r="H10249" t="str">
        <f>VLOOKUP(record[[#This Row],[ProcessSN]],表格2_7[],2,FALSE)</f>
        <v>30-4118-018-600</v>
      </c>
      <c r="I10249" t="str">
        <f>VLOOKUP(record[[#This Row],[ProcessSN]],表格2_7[],3,FALSE)</f>
        <v>#08PICK</v>
      </c>
      <c r="J10249" t="s">
        <v>582</v>
      </c>
      <c r="K10249" s="195">
        <v>45709.561377314814</v>
      </c>
      <c r="L10249">
        <v>283</v>
      </c>
      <c r="M10249">
        <v>0</v>
      </c>
      <c r="N10249" s="98" t="str">
        <f>IF(record[[#This Row],[Memo]]="Browser:chrome os:android","平板報工",IF(record[[#This Row],[Memo]]=0,"委外",record[[#This Row],[Memo]]))</f>
        <v/>
      </c>
      <c r="O10249" t="s">
        <v>58</v>
      </c>
      <c r="P10249" t="s">
        <v>113</v>
      </c>
      <c r="Q10249" t="s">
        <v>58</v>
      </c>
      <c r="R10249" t="str">
        <f>IFERROR(VLOOKUP(record[[#This Row],[PCUSTID]],廠商[],2,FALSE),"")</f>
        <v/>
      </c>
      <c r="S10249" t="str">
        <f>VLOOKUP(record[[#This Row],[employeeID]],員工[],2,FALSE)</f>
        <v>王奕蓁</v>
      </c>
    </row>
    <row r="10250" spans="6:19" hidden="1" x14ac:dyDescent="0.25">
      <c r="F10250" t="s">
        <v>595</v>
      </c>
      <c r="G10250" t="s">
        <v>453</v>
      </c>
      <c r="H10250" t="str">
        <f>VLOOKUP(record[[#This Row],[ProcessSN]],表格2_7[],2,FALSE)</f>
        <v>30-4118-018-6XX</v>
      </c>
      <c r="I10250" t="str">
        <f>VLOOKUP(record[[#This Row],[ProcessSN]],表格2_7[],3,FALSE)</f>
        <v>#07STOCK</v>
      </c>
      <c r="J10250" t="s">
        <v>592</v>
      </c>
      <c r="K10250" s="195">
        <v>45709.560127314813</v>
      </c>
      <c r="L10250">
        <v>8</v>
      </c>
      <c r="M10250">
        <v>0</v>
      </c>
      <c r="N10250" s="98" t="str">
        <f>IF(record[[#This Row],[Memo]]="Browser:chrome os:android","平板報工",IF(record[[#This Row],[Memo]]=0,"委外",record[[#This Row],[Memo]]))</f>
        <v/>
      </c>
      <c r="O10250" t="s">
        <v>58</v>
      </c>
      <c r="P10250" t="s">
        <v>113</v>
      </c>
      <c r="Q10250" t="s">
        <v>58</v>
      </c>
      <c r="R10250" t="str">
        <f>IFERROR(VLOOKUP(record[[#This Row],[PCUSTID]],廠商[],2,FALSE),"")</f>
        <v/>
      </c>
      <c r="S10250" t="str">
        <f>VLOOKUP(record[[#This Row],[employeeID]],員工[],2,FALSE)</f>
        <v>王奕蓁</v>
      </c>
    </row>
    <row r="10251" spans="6:19" hidden="1" x14ac:dyDescent="0.25">
      <c r="F10251" t="s">
        <v>595</v>
      </c>
      <c r="G10251" t="s">
        <v>452</v>
      </c>
      <c r="H10251" t="str">
        <f>VLOOKUP(record[[#This Row],[ProcessSN]],表格2_7[],2,FALSE)</f>
        <v>30-4118-018-6XX</v>
      </c>
      <c r="I10251" t="str">
        <f>VLOOKUP(record[[#This Row],[ProcessSN]],表格2_7[],3,FALSE)</f>
        <v>#07QC</v>
      </c>
      <c r="J10251" t="s">
        <v>589</v>
      </c>
      <c r="K10251" s="195">
        <v>45709.559756944444</v>
      </c>
      <c r="L10251">
        <v>8</v>
      </c>
      <c r="M10251">
        <v>0</v>
      </c>
      <c r="N10251" s="98" t="str">
        <f>IF(record[[#This Row],[Memo]]="Browser:chrome os:android","平板報工",IF(record[[#This Row],[Memo]]=0,"委外",record[[#This Row],[Memo]]))</f>
        <v>覆回</v>
      </c>
      <c r="O10251" t="s">
        <v>682</v>
      </c>
      <c r="P10251" t="s">
        <v>113</v>
      </c>
      <c r="Q10251" t="s">
        <v>58</v>
      </c>
      <c r="R10251" t="str">
        <f>IFERROR(VLOOKUP(record[[#This Row],[PCUSTID]],廠商[],2,FALSE),"")</f>
        <v/>
      </c>
      <c r="S10251" t="str">
        <f>VLOOKUP(record[[#This Row],[employeeID]],員工[],2,FALSE)</f>
        <v>王奕蓁</v>
      </c>
    </row>
    <row r="10252" spans="6:19" hidden="1" x14ac:dyDescent="0.25">
      <c r="F10252" t="s">
        <v>595</v>
      </c>
      <c r="G10252" t="s">
        <v>453</v>
      </c>
      <c r="H10252" t="str">
        <f>VLOOKUP(record[[#This Row],[ProcessSN]],表格2_7[],2,FALSE)</f>
        <v>30-4118-018-6XX</v>
      </c>
      <c r="I10252" t="str">
        <f>VLOOKUP(record[[#This Row],[ProcessSN]],表格2_7[],3,FALSE)</f>
        <v>#07STOCK</v>
      </c>
      <c r="J10252" t="s">
        <v>592</v>
      </c>
      <c r="K10252" s="195">
        <v>45709.499074074076</v>
      </c>
      <c r="L10252">
        <v>275</v>
      </c>
      <c r="M10252">
        <v>0</v>
      </c>
      <c r="N10252" s="98" t="str">
        <f>IF(record[[#This Row],[Memo]]="Browser:chrome os:android","平板報工",IF(record[[#This Row],[Memo]]=0,"委外",record[[#This Row],[Memo]]))</f>
        <v/>
      </c>
      <c r="O10252" t="s">
        <v>58</v>
      </c>
      <c r="P10252" t="s">
        <v>202</v>
      </c>
      <c r="Q10252" t="s">
        <v>58</v>
      </c>
      <c r="R10252" t="str">
        <f>IFERROR(VLOOKUP(record[[#This Row],[PCUSTID]],廠商[],2,FALSE),"")</f>
        <v/>
      </c>
      <c r="S10252" t="str">
        <f>VLOOKUP(record[[#This Row],[employeeID]],員工[],2,FALSE)</f>
        <v>游惠茹</v>
      </c>
    </row>
    <row r="10253" spans="6:19" hidden="1" x14ac:dyDescent="0.25">
      <c r="F10253" t="s">
        <v>595</v>
      </c>
      <c r="G10253" t="s">
        <v>452</v>
      </c>
      <c r="H10253" t="str">
        <f>VLOOKUP(record[[#This Row],[ProcessSN]],表格2_7[],2,FALSE)</f>
        <v>30-4118-018-6XX</v>
      </c>
      <c r="I10253" t="str">
        <f>VLOOKUP(record[[#This Row],[ProcessSN]],表格2_7[],3,FALSE)</f>
        <v>#07QC</v>
      </c>
      <c r="J10253" t="s">
        <v>589</v>
      </c>
      <c r="K10253" s="195">
        <v>45709.467256944445</v>
      </c>
      <c r="L10253">
        <v>275</v>
      </c>
      <c r="M10253">
        <v>0</v>
      </c>
      <c r="N10253" s="98" t="str">
        <f>IF(record[[#This Row],[Memo]]="Browser:chrome os:android","平板報工",IF(record[[#This Row],[Memo]]=0,"委外",record[[#This Row],[Memo]]))</f>
        <v>平板報工</v>
      </c>
      <c r="O10253" t="s">
        <v>643</v>
      </c>
      <c r="P10253" t="s">
        <v>109</v>
      </c>
      <c r="Q10253" t="s">
        <v>644</v>
      </c>
      <c r="R10253" t="str">
        <f>IFERROR(VLOOKUP(record[[#This Row],[PCUSTID]],廠商[],2,FALSE),"")</f>
        <v/>
      </c>
      <c r="S10253" t="str">
        <f>VLOOKUP(record[[#This Row],[employeeID]],員工[],2,FALSE)</f>
        <v>裴氏璧鳳</v>
      </c>
    </row>
    <row r="10254" spans="6:19" hidden="1" x14ac:dyDescent="0.25">
      <c r="F10254" t="s">
        <v>626</v>
      </c>
      <c r="G10254" t="s">
        <v>428</v>
      </c>
      <c r="H10254" t="str">
        <f>VLOOKUP(record[[#This Row],[ProcessSN]],表格2_7[],2,FALSE)</f>
        <v>30-4118-018-600</v>
      </c>
      <c r="I10254" t="str">
        <f>VLOOKUP(record[[#This Row],[ProcessSN]],表格2_7[],3,FALSE)</f>
        <v>#100SHIP</v>
      </c>
      <c r="J10254" t="s">
        <v>600</v>
      </c>
      <c r="K10254" s="195">
        <v>45709.46130787037</v>
      </c>
      <c r="L10254">
        <v>53</v>
      </c>
      <c r="M10254">
        <v>0</v>
      </c>
      <c r="N10254" s="98" t="str">
        <f>IF(record[[#This Row],[Memo]]="Browser:chrome os:android","平板報工",IF(record[[#This Row],[Memo]]=0,"委外",record[[#This Row],[Memo]]))</f>
        <v/>
      </c>
      <c r="O10254" t="s">
        <v>58</v>
      </c>
      <c r="P10254" t="s">
        <v>196</v>
      </c>
      <c r="Q10254" t="s">
        <v>58</v>
      </c>
      <c r="R10254" t="str">
        <f>IFERROR(VLOOKUP(record[[#This Row],[PCUSTID]],廠商[],2,FALSE),"")</f>
        <v/>
      </c>
      <c r="S10254" t="str">
        <f>VLOOKUP(record[[#This Row],[employeeID]],員工[],2,FALSE)</f>
        <v>張淑惠</v>
      </c>
    </row>
    <row r="10255" spans="6:19" hidden="1" x14ac:dyDescent="0.25">
      <c r="F10255" t="s">
        <v>625</v>
      </c>
      <c r="G10255" t="s">
        <v>428</v>
      </c>
      <c r="H10255" t="str">
        <f>VLOOKUP(record[[#This Row],[ProcessSN]],表格2_7[],2,FALSE)</f>
        <v>30-4118-018-600</v>
      </c>
      <c r="I10255" t="str">
        <f>VLOOKUP(record[[#This Row],[ProcessSN]],表格2_7[],3,FALSE)</f>
        <v>#100SHIP</v>
      </c>
      <c r="J10255" t="s">
        <v>600</v>
      </c>
      <c r="K10255" s="195">
        <v>45709.461030092592</v>
      </c>
      <c r="L10255">
        <v>20</v>
      </c>
      <c r="M10255">
        <v>0</v>
      </c>
      <c r="N10255" s="98" t="str">
        <f>IF(record[[#This Row],[Memo]]="Browser:chrome os:android","平板報工",IF(record[[#This Row],[Memo]]=0,"委外",record[[#This Row],[Memo]]))</f>
        <v/>
      </c>
      <c r="O10255" t="s">
        <v>58</v>
      </c>
      <c r="P10255" t="s">
        <v>196</v>
      </c>
      <c r="Q10255" t="s">
        <v>58</v>
      </c>
      <c r="R10255" t="str">
        <f>IFERROR(VLOOKUP(record[[#This Row],[PCUSTID]],廠商[],2,FALSE),"")</f>
        <v/>
      </c>
      <c r="S10255" t="str">
        <f>VLOOKUP(record[[#This Row],[employeeID]],員工[],2,FALSE)</f>
        <v>張淑惠</v>
      </c>
    </row>
    <row r="10256" spans="6:19" hidden="1" x14ac:dyDescent="0.25">
      <c r="F10256" t="s">
        <v>655</v>
      </c>
      <c r="G10256" t="s">
        <v>403</v>
      </c>
      <c r="H10256" t="str">
        <f>VLOOKUP(record[[#This Row],[ProcessSN]],表格2_7[],2,FALSE)</f>
        <v>30-4118-018-550</v>
      </c>
      <c r="I10256" t="str">
        <f>VLOOKUP(record[[#This Row],[ProcessSN]],表格2_7[],3,FALSE)</f>
        <v>#100SHIP</v>
      </c>
      <c r="J10256" t="s">
        <v>600</v>
      </c>
      <c r="K10256" s="195">
        <v>45709.460682870369</v>
      </c>
      <c r="L10256">
        <v>243</v>
      </c>
      <c r="M10256">
        <v>0</v>
      </c>
      <c r="N10256" s="98" t="str">
        <f>IF(record[[#This Row],[Memo]]="Browser:chrome os:android","平板報工",IF(record[[#This Row],[Memo]]=0,"委外",record[[#This Row],[Memo]]))</f>
        <v/>
      </c>
      <c r="O10256" t="s">
        <v>58</v>
      </c>
      <c r="P10256" t="s">
        <v>196</v>
      </c>
      <c r="Q10256" t="s">
        <v>58</v>
      </c>
      <c r="R10256" t="str">
        <f>IFERROR(VLOOKUP(record[[#This Row],[PCUSTID]],廠商[],2,FALSE),"")</f>
        <v/>
      </c>
      <c r="S10256" t="str">
        <f>VLOOKUP(record[[#This Row],[employeeID]],員工[],2,FALSE)</f>
        <v>張淑惠</v>
      </c>
    </row>
    <row r="10257" spans="6:19" hidden="1" x14ac:dyDescent="0.25">
      <c r="F10257" t="s">
        <v>654</v>
      </c>
      <c r="G10257" t="s">
        <v>403</v>
      </c>
      <c r="H10257" t="str">
        <f>VLOOKUP(record[[#This Row],[ProcessSN]],表格2_7[],2,FALSE)</f>
        <v>30-4118-018-550</v>
      </c>
      <c r="I10257" t="str">
        <f>VLOOKUP(record[[#This Row],[ProcessSN]],表格2_7[],3,FALSE)</f>
        <v>#100SHIP</v>
      </c>
      <c r="J10257" t="s">
        <v>600</v>
      </c>
      <c r="K10257" s="195">
        <v>45709.460428240738</v>
      </c>
      <c r="L10257">
        <v>167</v>
      </c>
      <c r="M10257">
        <v>0</v>
      </c>
      <c r="N10257" s="98" t="str">
        <f>IF(record[[#This Row],[Memo]]="Browser:chrome os:android","平板報工",IF(record[[#This Row],[Memo]]=0,"委外",record[[#This Row],[Memo]]))</f>
        <v/>
      </c>
      <c r="O10257" t="s">
        <v>58</v>
      </c>
      <c r="P10257" t="s">
        <v>196</v>
      </c>
      <c r="Q10257" t="s">
        <v>58</v>
      </c>
      <c r="R10257" t="str">
        <f>IFERROR(VLOOKUP(record[[#This Row],[PCUSTID]],廠商[],2,FALSE),"")</f>
        <v/>
      </c>
      <c r="S10257" t="str">
        <f>VLOOKUP(record[[#This Row],[employeeID]],員工[],2,FALSE)</f>
        <v>張淑惠</v>
      </c>
    </row>
    <row r="10258" spans="6:19" hidden="1" x14ac:dyDescent="0.25">
      <c r="F10258" t="s">
        <v>653</v>
      </c>
      <c r="G10258" t="s">
        <v>403</v>
      </c>
      <c r="H10258" t="str">
        <f>VLOOKUP(record[[#This Row],[ProcessSN]],表格2_7[],2,FALSE)</f>
        <v>30-4118-018-550</v>
      </c>
      <c r="I10258" t="str">
        <f>VLOOKUP(record[[#This Row],[ProcessSN]],表格2_7[],3,FALSE)</f>
        <v>#100SHIP</v>
      </c>
      <c r="J10258" t="s">
        <v>600</v>
      </c>
      <c r="K10258" s="195">
        <v>45709.460115740738</v>
      </c>
      <c r="L10258">
        <v>124</v>
      </c>
      <c r="M10258">
        <v>0</v>
      </c>
      <c r="N10258" s="98" t="str">
        <f>IF(record[[#This Row],[Memo]]="Browser:chrome os:android","平板報工",IF(record[[#This Row],[Memo]]=0,"委外",record[[#This Row],[Memo]]))</f>
        <v/>
      </c>
      <c r="O10258" t="s">
        <v>58</v>
      </c>
      <c r="P10258" t="s">
        <v>196</v>
      </c>
      <c r="Q10258" t="s">
        <v>58</v>
      </c>
      <c r="R10258" t="str">
        <f>IFERROR(VLOOKUP(record[[#This Row],[PCUSTID]],廠商[],2,FALSE),"")</f>
        <v/>
      </c>
      <c r="S10258" t="str">
        <f>VLOOKUP(record[[#This Row],[employeeID]],員工[],2,FALSE)</f>
        <v>張淑惠</v>
      </c>
    </row>
    <row r="10259" spans="6:19" hidden="1" x14ac:dyDescent="0.25">
      <c r="F10259" t="s">
        <v>609</v>
      </c>
      <c r="G10259" t="s">
        <v>403</v>
      </c>
      <c r="H10259" t="str">
        <f>VLOOKUP(record[[#This Row],[ProcessSN]],表格2_7[],2,FALSE)</f>
        <v>30-4118-018-550</v>
      </c>
      <c r="I10259" t="str">
        <f>VLOOKUP(record[[#This Row],[ProcessSN]],表格2_7[],3,FALSE)</f>
        <v>#100SHIP</v>
      </c>
      <c r="J10259" t="s">
        <v>600</v>
      </c>
      <c r="K10259" s="195">
        <v>45709.459803240738</v>
      </c>
      <c r="L10259">
        <v>2</v>
      </c>
      <c r="M10259">
        <v>0</v>
      </c>
      <c r="N10259" s="98" t="str">
        <f>IF(record[[#This Row],[Memo]]="Browser:chrome os:android","平板報工",IF(record[[#This Row],[Memo]]=0,"委外",record[[#This Row],[Memo]]))</f>
        <v/>
      </c>
      <c r="O10259" t="s">
        <v>58</v>
      </c>
      <c r="P10259" t="s">
        <v>196</v>
      </c>
      <c r="Q10259" t="s">
        <v>58</v>
      </c>
      <c r="R10259" t="str">
        <f>IFERROR(VLOOKUP(record[[#This Row],[PCUSTID]],廠商[],2,FALSE),"")</f>
        <v/>
      </c>
      <c r="S10259" t="str">
        <f>VLOOKUP(record[[#This Row],[employeeID]],員工[],2,FALSE)</f>
        <v>張淑惠</v>
      </c>
    </row>
    <row r="10260" spans="6:19" hidden="1" x14ac:dyDescent="0.25">
      <c r="F10260" t="s">
        <v>608</v>
      </c>
      <c r="G10260" t="s">
        <v>403</v>
      </c>
      <c r="H10260" t="str">
        <f>VLOOKUP(record[[#This Row],[ProcessSN]],表格2_7[],2,FALSE)</f>
        <v>30-4118-018-550</v>
      </c>
      <c r="I10260" t="str">
        <f>VLOOKUP(record[[#This Row],[ProcessSN]],表格2_7[],3,FALSE)</f>
        <v>#100SHIP</v>
      </c>
      <c r="J10260" t="s">
        <v>600</v>
      </c>
      <c r="K10260" s="195">
        <v>45709.45952546296</v>
      </c>
      <c r="L10260">
        <v>7</v>
      </c>
      <c r="M10260">
        <v>0</v>
      </c>
      <c r="N10260" s="98" t="str">
        <f>IF(record[[#This Row],[Memo]]="Browser:chrome os:android","平板報工",IF(record[[#This Row],[Memo]]=0,"委外",record[[#This Row],[Memo]]))</f>
        <v/>
      </c>
      <c r="O10260" t="s">
        <v>58</v>
      </c>
      <c r="P10260" t="s">
        <v>196</v>
      </c>
      <c r="Q10260" t="s">
        <v>58</v>
      </c>
      <c r="R10260" t="str">
        <f>IFERROR(VLOOKUP(record[[#This Row],[PCUSTID]],廠商[],2,FALSE),"")</f>
        <v/>
      </c>
      <c r="S10260" t="str">
        <f>VLOOKUP(record[[#This Row],[employeeID]],員工[],2,FALSE)</f>
        <v>張淑惠</v>
      </c>
    </row>
    <row r="10261" spans="6:19" hidden="1" x14ac:dyDescent="0.25">
      <c r="F10261" t="s">
        <v>604</v>
      </c>
      <c r="G10261" t="s">
        <v>403</v>
      </c>
      <c r="H10261" t="str">
        <f>VLOOKUP(record[[#This Row],[ProcessSN]],表格2_7[],2,FALSE)</f>
        <v>30-4118-018-550</v>
      </c>
      <c r="I10261" t="str">
        <f>VLOOKUP(record[[#This Row],[ProcessSN]],表格2_7[],3,FALSE)</f>
        <v>#100SHIP</v>
      </c>
      <c r="J10261" t="s">
        <v>600</v>
      </c>
      <c r="K10261" s="195">
        <v>45709.45925925926</v>
      </c>
      <c r="L10261">
        <v>26</v>
      </c>
      <c r="M10261">
        <v>0</v>
      </c>
      <c r="N10261" s="98" t="str">
        <f>IF(record[[#This Row],[Memo]]="Browser:chrome os:android","平板報工",IF(record[[#This Row],[Memo]]=0,"委外",record[[#This Row],[Memo]]))</f>
        <v/>
      </c>
      <c r="O10261" t="s">
        <v>58</v>
      </c>
      <c r="P10261" t="s">
        <v>196</v>
      </c>
      <c r="Q10261" t="s">
        <v>58</v>
      </c>
      <c r="R10261" t="str">
        <f>IFERROR(VLOOKUP(record[[#This Row],[PCUSTID]],廠商[],2,FALSE),"")</f>
        <v/>
      </c>
      <c r="S10261" t="str">
        <f>VLOOKUP(record[[#This Row],[employeeID]],員工[],2,FALSE)</f>
        <v>張淑惠</v>
      </c>
    </row>
    <row r="10262" spans="6:19" hidden="1" x14ac:dyDescent="0.25">
      <c r="F10262" t="s">
        <v>609</v>
      </c>
      <c r="G10262" t="s">
        <v>402</v>
      </c>
      <c r="H10262" t="str">
        <f>VLOOKUP(record[[#This Row],[ProcessSN]],表格2_7[],2,FALSE)</f>
        <v>30-4118-018-550</v>
      </c>
      <c r="I10262" t="str">
        <f>VLOOKUP(record[[#This Row],[ProcessSN]],表格2_7[],3,FALSE)</f>
        <v>#100STOCK</v>
      </c>
      <c r="J10262" t="s">
        <v>592</v>
      </c>
      <c r="K10262" s="195">
        <v>45709.459027777775</v>
      </c>
      <c r="L10262">
        <v>2</v>
      </c>
      <c r="M10262">
        <v>0</v>
      </c>
      <c r="N10262" s="98" t="str">
        <f>IF(record[[#This Row],[Memo]]="Browser:chrome os:android","平板報工",IF(record[[#This Row],[Memo]]=0,"委外",record[[#This Row],[Memo]]))</f>
        <v/>
      </c>
      <c r="O10262" t="s">
        <v>58</v>
      </c>
      <c r="P10262" t="s">
        <v>196</v>
      </c>
      <c r="Q10262" t="s">
        <v>58</v>
      </c>
      <c r="R10262" t="str">
        <f>IFERROR(VLOOKUP(record[[#This Row],[PCUSTID]],廠商[],2,FALSE),"")</f>
        <v/>
      </c>
      <c r="S10262" t="str">
        <f>VLOOKUP(record[[#This Row],[employeeID]],員工[],2,FALSE)</f>
        <v>張淑惠</v>
      </c>
    </row>
    <row r="10263" spans="6:19" hidden="1" x14ac:dyDescent="0.25">
      <c r="F10263" t="s">
        <v>608</v>
      </c>
      <c r="G10263" t="s">
        <v>402</v>
      </c>
      <c r="H10263" t="str">
        <f>VLOOKUP(record[[#This Row],[ProcessSN]],表格2_7[],2,FALSE)</f>
        <v>30-4118-018-550</v>
      </c>
      <c r="I10263" t="str">
        <f>VLOOKUP(record[[#This Row],[ProcessSN]],表格2_7[],3,FALSE)</f>
        <v>#100STOCK</v>
      </c>
      <c r="J10263" t="s">
        <v>592</v>
      </c>
      <c r="K10263" s="195">
        <v>45709.458865740744</v>
      </c>
      <c r="L10263">
        <v>7</v>
      </c>
      <c r="M10263">
        <v>0</v>
      </c>
      <c r="N10263" s="98" t="str">
        <f>IF(record[[#This Row],[Memo]]="Browser:chrome os:android","平板報工",IF(record[[#This Row],[Memo]]=0,"委外",record[[#This Row],[Memo]]))</f>
        <v/>
      </c>
      <c r="O10263" t="s">
        <v>58</v>
      </c>
      <c r="P10263" t="s">
        <v>196</v>
      </c>
      <c r="Q10263" t="s">
        <v>58</v>
      </c>
      <c r="R10263" t="str">
        <f>IFERROR(VLOOKUP(record[[#This Row],[PCUSTID]],廠商[],2,FALSE),"")</f>
        <v/>
      </c>
      <c r="S10263" t="str">
        <f>VLOOKUP(record[[#This Row],[employeeID]],員工[],2,FALSE)</f>
        <v>張淑惠</v>
      </c>
    </row>
    <row r="10264" spans="6:19" hidden="1" x14ac:dyDescent="0.25">
      <c r="F10264" t="s">
        <v>604</v>
      </c>
      <c r="G10264" t="s">
        <v>402</v>
      </c>
      <c r="H10264" t="str">
        <f>VLOOKUP(record[[#This Row],[ProcessSN]],表格2_7[],2,FALSE)</f>
        <v>30-4118-018-550</v>
      </c>
      <c r="I10264" t="str">
        <f>VLOOKUP(record[[#This Row],[ProcessSN]],表格2_7[],3,FALSE)</f>
        <v>#100STOCK</v>
      </c>
      <c r="J10264" t="s">
        <v>592</v>
      </c>
      <c r="K10264" s="195">
        <v>45709.458680555559</v>
      </c>
      <c r="L10264">
        <v>26</v>
      </c>
      <c r="M10264">
        <v>0</v>
      </c>
      <c r="N10264" s="98" t="str">
        <f>IF(record[[#This Row],[Memo]]="Browser:chrome os:android","平板報工",IF(record[[#This Row],[Memo]]=0,"委外",record[[#This Row],[Memo]]))</f>
        <v/>
      </c>
      <c r="O10264" t="s">
        <v>58</v>
      </c>
      <c r="P10264" t="s">
        <v>196</v>
      </c>
      <c r="Q10264" t="s">
        <v>58</v>
      </c>
      <c r="R10264" t="str">
        <f>IFERROR(VLOOKUP(record[[#This Row],[PCUSTID]],廠商[],2,FALSE),"")</f>
        <v/>
      </c>
      <c r="S10264" t="str">
        <f>VLOOKUP(record[[#This Row],[employeeID]],員工[],2,FALSE)</f>
        <v>張淑惠</v>
      </c>
    </row>
    <row r="10265" spans="6:19" hidden="1" x14ac:dyDescent="0.25">
      <c r="F10265" t="s">
        <v>595</v>
      </c>
      <c r="G10265" t="s">
        <v>451</v>
      </c>
      <c r="H10265" t="str">
        <f>VLOOKUP(record[[#This Row],[ProcessSN]],表格2_7[],2,FALSE)</f>
        <v>30-4118-018-6XX</v>
      </c>
      <c r="I10265" t="str">
        <f>VLOOKUP(record[[#This Row],[ProcessSN]],表格2_7[],3,FALSE)</f>
        <v>#07</v>
      </c>
      <c r="J10265" t="s">
        <v>588</v>
      </c>
      <c r="K10265" s="195">
        <v>45708.822164351855</v>
      </c>
      <c r="L10265">
        <v>54</v>
      </c>
      <c r="M10265">
        <v>1</v>
      </c>
      <c r="N10265" s="98" t="str">
        <f>IF(record[[#This Row],[Memo]]="Browser:chrome os:android","平板報工",IF(record[[#This Row],[Memo]]=0,"委外",record[[#This Row],[Memo]]))</f>
        <v>總數64料多10PCS</v>
      </c>
      <c r="O10265" t="s">
        <v>742</v>
      </c>
      <c r="P10265" t="s">
        <v>127</v>
      </c>
      <c r="Q10265" t="s">
        <v>58</v>
      </c>
      <c r="R10265" t="str">
        <f>IFERROR(VLOOKUP(record[[#This Row],[PCUSTID]],廠商[],2,FALSE),"")</f>
        <v/>
      </c>
      <c r="S10265" t="str">
        <f>VLOOKUP(record[[#This Row],[employeeID]],員工[],2,FALSE)</f>
        <v>潘雪梅</v>
      </c>
    </row>
    <row r="10266" spans="6:19" hidden="1" x14ac:dyDescent="0.25">
      <c r="F10266" t="s">
        <v>618</v>
      </c>
      <c r="G10266" t="s">
        <v>400</v>
      </c>
      <c r="H10266" t="str">
        <f>VLOOKUP(record[[#This Row],[ProcessSN]],表格2_7[],2,FALSE)</f>
        <v>30-4118-018-550</v>
      </c>
      <c r="I10266" t="str">
        <f>VLOOKUP(record[[#This Row],[ProcessSN]],表格2_7[],3,FALSE)</f>
        <v>#100</v>
      </c>
      <c r="J10266" t="s">
        <v>598</v>
      </c>
      <c r="K10266" s="195">
        <v>45708.691493055558</v>
      </c>
      <c r="L10266">
        <v>16</v>
      </c>
      <c r="M10266">
        <v>0</v>
      </c>
      <c r="N10266" s="98" t="str">
        <f>IF(record[[#This Row],[Memo]]="Browser:chrome os:android","平板報工",IF(record[[#This Row],[Memo]]=0,"委外",record[[#This Row],[Memo]]))</f>
        <v>平板報工</v>
      </c>
      <c r="O10266" t="s">
        <v>643</v>
      </c>
      <c r="P10266" t="s">
        <v>141</v>
      </c>
      <c r="Q10266" t="s">
        <v>644</v>
      </c>
      <c r="R10266" t="str">
        <f>IFERROR(VLOOKUP(record[[#This Row],[PCUSTID]],廠商[],2,FALSE),"")</f>
        <v/>
      </c>
      <c r="S10266" t="str">
        <f>VLOOKUP(record[[#This Row],[employeeID]],員工[],2,FALSE)</f>
        <v>蔣梅</v>
      </c>
    </row>
    <row r="10267" spans="6:19" hidden="1" x14ac:dyDescent="0.25">
      <c r="F10267" t="s">
        <v>618</v>
      </c>
      <c r="G10267" t="s">
        <v>399</v>
      </c>
      <c r="H10267" t="str">
        <f>VLOOKUP(record[[#This Row],[ProcessSN]],表格2_7[],2,FALSE)</f>
        <v>30-4118-018-550</v>
      </c>
      <c r="I10267" t="str">
        <f>VLOOKUP(record[[#This Row],[ProcessSN]],表格2_7[],3,FALSE)</f>
        <v>#08IQC</v>
      </c>
      <c r="J10267" t="s">
        <v>583</v>
      </c>
      <c r="K10267" s="195">
        <v>45708.68990740741</v>
      </c>
      <c r="L10267">
        <v>16</v>
      </c>
      <c r="M10267">
        <v>0</v>
      </c>
      <c r="N10267" s="98" t="str">
        <f>IF(record[[#This Row],[Memo]]="Browser:chrome os:android","平板報工",IF(record[[#This Row],[Memo]]=0,"委外",record[[#This Row],[Memo]]))</f>
        <v/>
      </c>
      <c r="O10267" t="s">
        <v>58</v>
      </c>
      <c r="P10267" t="s">
        <v>65</v>
      </c>
      <c r="Q10267" t="s">
        <v>58</v>
      </c>
      <c r="R10267" t="str">
        <f>IFERROR(VLOOKUP(record[[#This Row],[PCUSTID]],廠商[],2,FALSE),"")</f>
        <v/>
      </c>
      <c r="S10267" t="str">
        <f>VLOOKUP(record[[#This Row],[employeeID]],員工[],2,FALSE)</f>
        <v>蘇進昌</v>
      </c>
    </row>
    <row r="10268" spans="6:19" hidden="1" x14ac:dyDescent="0.25">
      <c r="F10268" t="s">
        <v>653</v>
      </c>
      <c r="G10268" t="s">
        <v>403</v>
      </c>
      <c r="H10268" t="str">
        <f>VLOOKUP(record[[#This Row],[ProcessSN]],表格2_7[],2,FALSE)</f>
        <v>30-4118-018-550</v>
      </c>
      <c r="I10268" t="str">
        <f>VLOOKUP(record[[#This Row],[ProcessSN]],表格2_7[],3,FALSE)</f>
        <v>#100SHIP</v>
      </c>
      <c r="J10268" t="s">
        <v>600</v>
      </c>
      <c r="K10268" s="195">
        <v>45708.661712962959</v>
      </c>
      <c r="L10268">
        <v>190</v>
      </c>
      <c r="M10268">
        <v>0</v>
      </c>
      <c r="N10268" s="98" t="str">
        <f>IF(record[[#This Row],[Memo]]="Browser:chrome os:android","平板報工",IF(record[[#This Row],[Memo]]=0,"委外",record[[#This Row],[Memo]]))</f>
        <v>補2/17出貨</v>
      </c>
      <c r="O10268" t="s">
        <v>741</v>
      </c>
      <c r="P10268" t="s">
        <v>196</v>
      </c>
      <c r="Q10268" t="s">
        <v>58</v>
      </c>
      <c r="R10268" t="str">
        <f>IFERROR(VLOOKUP(record[[#This Row],[PCUSTID]],廠商[],2,FALSE),"")</f>
        <v/>
      </c>
      <c r="S10268" t="str">
        <f>VLOOKUP(record[[#This Row],[employeeID]],員工[],2,FALSE)</f>
        <v>張淑惠</v>
      </c>
    </row>
    <row r="10269" spans="6:19" hidden="1" x14ac:dyDescent="0.25">
      <c r="F10269" t="s">
        <v>652</v>
      </c>
      <c r="G10269" t="s">
        <v>403</v>
      </c>
      <c r="H10269" t="str">
        <f>VLOOKUP(record[[#This Row],[ProcessSN]],表格2_7[],2,FALSE)</f>
        <v>30-4118-018-550</v>
      </c>
      <c r="I10269" t="str">
        <f>VLOOKUP(record[[#This Row],[ProcessSN]],表格2_7[],3,FALSE)</f>
        <v>#100SHIP</v>
      </c>
      <c r="J10269" t="s">
        <v>600</v>
      </c>
      <c r="K10269" s="195">
        <v>45708.661516203705</v>
      </c>
      <c r="L10269">
        <v>148</v>
      </c>
      <c r="M10269">
        <v>0</v>
      </c>
      <c r="N10269" s="98" t="str">
        <f>IF(record[[#This Row],[Memo]]="Browser:chrome os:android","平板報工",IF(record[[#This Row],[Memo]]=0,"委外",record[[#This Row],[Memo]]))</f>
        <v>補2/17出貨</v>
      </c>
      <c r="O10269" t="s">
        <v>741</v>
      </c>
      <c r="P10269" t="s">
        <v>196</v>
      </c>
      <c r="Q10269" t="s">
        <v>58</v>
      </c>
      <c r="R10269" t="str">
        <f>IFERROR(VLOOKUP(record[[#This Row],[PCUSTID]],廠商[],2,FALSE),"")</f>
        <v/>
      </c>
      <c r="S10269" t="str">
        <f>VLOOKUP(record[[#This Row],[employeeID]],員工[],2,FALSE)</f>
        <v>張淑惠</v>
      </c>
    </row>
    <row r="10270" spans="6:19" hidden="1" x14ac:dyDescent="0.25">
      <c r="F10270" t="s">
        <v>618</v>
      </c>
      <c r="G10270" t="s">
        <v>403</v>
      </c>
      <c r="H10270" t="str">
        <f>VLOOKUP(record[[#This Row],[ProcessSN]],表格2_7[],2,FALSE)</f>
        <v>30-4118-018-550</v>
      </c>
      <c r="I10270" t="str">
        <f>VLOOKUP(record[[#This Row],[ProcessSN]],表格2_7[],3,FALSE)</f>
        <v>#100SHIP</v>
      </c>
      <c r="J10270" t="s">
        <v>600</v>
      </c>
      <c r="K10270" s="195">
        <v>45708.661273148151</v>
      </c>
      <c r="L10270">
        <v>138</v>
      </c>
      <c r="M10270">
        <v>0</v>
      </c>
      <c r="N10270" s="98" t="str">
        <f>IF(record[[#This Row],[Memo]]="Browser:chrome os:android","平板報工",IF(record[[#This Row],[Memo]]=0,"委外",record[[#This Row],[Memo]]))</f>
        <v>補2/17出貨</v>
      </c>
      <c r="O10270" t="s">
        <v>741</v>
      </c>
      <c r="P10270" t="s">
        <v>196</v>
      </c>
      <c r="Q10270" t="s">
        <v>58</v>
      </c>
      <c r="R10270" t="str">
        <f>IFERROR(VLOOKUP(record[[#This Row],[PCUSTID]],廠商[],2,FALSE),"")</f>
        <v/>
      </c>
      <c r="S10270" t="str">
        <f>VLOOKUP(record[[#This Row],[employeeID]],員工[],2,FALSE)</f>
        <v>張淑惠</v>
      </c>
    </row>
    <row r="10271" spans="6:19" hidden="1" x14ac:dyDescent="0.25">
      <c r="F10271" t="s">
        <v>617</v>
      </c>
      <c r="G10271" t="s">
        <v>403</v>
      </c>
      <c r="H10271" t="str">
        <f>VLOOKUP(record[[#This Row],[ProcessSN]],表格2_7[],2,FALSE)</f>
        <v>30-4118-018-550</v>
      </c>
      <c r="I10271" t="str">
        <f>VLOOKUP(record[[#This Row],[ProcessSN]],表格2_7[],3,FALSE)</f>
        <v>#100SHIP</v>
      </c>
      <c r="J10271" t="s">
        <v>600</v>
      </c>
      <c r="K10271" s="195">
        <v>45708.660960648151</v>
      </c>
      <c r="L10271">
        <v>367</v>
      </c>
      <c r="M10271">
        <v>0</v>
      </c>
      <c r="N10271" s="98" t="str">
        <f>IF(record[[#This Row],[Memo]]="Browser:chrome os:android","平板報工",IF(record[[#This Row],[Memo]]=0,"委外",record[[#This Row],[Memo]]))</f>
        <v/>
      </c>
      <c r="O10271" t="s">
        <v>58</v>
      </c>
      <c r="P10271" t="s">
        <v>196</v>
      </c>
      <c r="Q10271" t="s">
        <v>58</v>
      </c>
      <c r="R10271" t="str">
        <f>IFERROR(VLOOKUP(record[[#This Row],[PCUSTID]],廠商[],2,FALSE),"")</f>
        <v/>
      </c>
      <c r="S10271" t="str">
        <f>VLOOKUP(record[[#This Row],[employeeID]],員工[],2,FALSE)</f>
        <v>張淑惠</v>
      </c>
    </row>
    <row r="10272" spans="6:19" hidden="1" x14ac:dyDescent="0.25">
      <c r="F10272" t="s">
        <v>655</v>
      </c>
      <c r="G10272" t="s">
        <v>402</v>
      </c>
      <c r="H10272" t="str">
        <f>VLOOKUP(record[[#This Row],[ProcessSN]],表格2_7[],2,FALSE)</f>
        <v>30-4118-018-550</v>
      </c>
      <c r="I10272" t="str">
        <f>VLOOKUP(record[[#This Row],[ProcessSN]],表格2_7[],3,FALSE)</f>
        <v>#100STOCK</v>
      </c>
      <c r="J10272" t="s">
        <v>592</v>
      </c>
      <c r="K10272" s="195">
        <v>45708.660416666666</v>
      </c>
      <c r="L10272">
        <v>318</v>
      </c>
      <c r="M10272">
        <v>0</v>
      </c>
      <c r="N10272" s="98" t="str">
        <f>IF(record[[#This Row],[Memo]]="Browser:chrome os:android","平板報工",IF(record[[#This Row],[Memo]]=0,"委外",record[[#This Row],[Memo]]))</f>
        <v/>
      </c>
      <c r="O10272" t="s">
        <v>58</v>
      </c>
      <c r="P10272" t="s">
        <v>196</v>
      </c>
      <c r="Q10272" t="s">
        <v>58</v>
      </c>
      <c r="R10272" t="str">
        <f>IFERROR(VLOOKUP(record[[#This Row],[PCUSTID]],廠商[],2,FALSE),"")</f>
        <v/>
      </c>
      <c r="S10272" t="str">
        <f>VLOOKUP(record[[#This Row],[employeeID]],員工[],2,FALSE)</f>
        <v>張淑惠</v>
      </c>
    </row>
    <row r="10273" spans="6:19" hidden="1" x14ac:dyDescent="0.25">
      <c r="F10273" t="s">
        <v>654</v>
      </c>
      <c r="G10273" t="s">
        <v>402</v>
      </c>
      <c r="H10273" t="str">
        <f>VLOOKUP(record[[#This Row],[ProcessSN]],表格2_7[],2,FALSE)</f>
        <v>30-4118-018-550</v>
      </c>
      <c r="I10273" t="str">
        <f>VLOOKUP(record[[#This Row],[ProcessSN]],表格2_7[],3,FALSE)</f>
        <v>#100STOCK</v>
      </c>
      <c r="J10273" t="s">
        <v>592</v>
      </c>
      <c r="K10273" s="195">
        <v>45708.660266203704</v>
      </c>
      <c r="L10273">
        <v>167</v>
      </c>
      <c r="M10273">
        <v>0</v>
      </c>
      <c r="N10273" s="98" t="str">
        <f>IF(record[[#This Row],[Memo]]="Browser:chrome os:android","平板報工",IF(record[[#This Row],[Memo]]=0,"委外",record[[#This Row],[Memo]]))</f>
        <v/>
      </c>
      <c r="O10273" t="s">
        <v>58</v>
      </c>
      <c r="P10273" t="s">
        <v>196</v>
      </c>
      <c r="Q10273" t="s">
        <v>58</v>
      </c>
      <c r="R10273" t="str">
        <f>IFERROR(VLOOKUP(record[[#This Row],[PCUSTID]],廠商[],2,FALSE),"")</f>
        <v/>
      </c>
      <c r="S10273" t="str">
        <f>VLOOKUP(record[[#This Row],[employeeID]],員工[],2,FALSE)</f>
        <v>張淑惠</v>
      </c>
    </row>
    <row r="10274" spans="6:19" hidden="1" x14ac:dyDescent="0.25">
      <c r="F10274" t="s">
        <v>653</v>
      </c>
      <c r="G10274" t="s">
        <v>402</v>
      </c>
      <c r="H10274" t="str">
        <f>VLOOKUP(record[[#This Row],[ProcessSN]],表格2_7[],2,FALSE)</f>
        <v>30-4118-018-550</v>
      </c>
      <c r="I10274" t="str">
        <f>VLOOKUP(record[[#This Row],[ProcessSN]],表格2_7[],3,FALSE)</f>
        <v>#100STOCK</v>
      </c>
      <c r="J10274" t="s">
        <v>592</v>
      </c>
      <c r="K10274" s="195">
        <v>45708.660127314812</v>
      </c>
      <c r="L10274">
        <v>314</v>
      </c>
      <c r="M10274">
        <v>0</v>
      </c>
      <c r="N10274" s="98" t="str">
        <f>IF(record[[#This Row],[Memo]]="Browser:chrome os:android","平板報工",IF(record[[#This Row],[Memo]]=0,"委外",record[[#This Row],[Memo]]))</f>
        <v/>
      </c>
      <c r="O10274" t="s">
        <v>58</v>
      </c>
      <c r="P10274" t="s">
        <v>196</v>
      </c>
      <c r="Q10274" t="s">
        <v>58</v>
      </c>
      <c r="R10274" t="str">
        <f>IFERROR(VLOOKUP(record[[#This Row],[PCUSTID]],廠商[],2,FALSE),"")</f>
        <v/>
      </c>
      <c r="S10274" t="str">
        <f>VLOOKUP(record[[#This Row],[employeeID]],員工[],2,FALSE)</f>
        <v>張淑惠</v>
      </c>
    </row>
    <row r="10275" spans="6:19" hidden="1" x14ac:dyDescent="0.25">
      <c r="F10275" t="s">
        <v>652</v>
      </c>
      <c r="G10275" t="s">
        <v>402</v>
      </c>
      <c r="H10275" t="str">
        <f>VLOOKUP(record[[#This Row],[ProcessSN]],表格2_7[],2,FALSE)</f>
        <v>30-4118-018-550</v>
      </c>
      <c r="I10275" t="str">
        <f>VLOOKUP(record[[#This Row],[ProcessSN]],表格2_7[],3,FALSE)</f>
        <v>#100STOCK</v>
      </c>
      <c r="J10275" t="s">
        <v>592</v>
      </c>
      <c r="K10275" s="195">
        <v>45708.65997685185</v>
      </c>
      <c r="L10275">
        <v>148</v>
      </c>
      <c r="M10275">
        <v>0</v>
      </c>
      <c r="N10275" s="98" t="str">
        <f>IF(record[[#This Row],[Memo]]="Browser:chrome os:android","平板報工",IF(record[[#This Row],[Memo]]=0,"委外",record[[#This Row],[Memo]]))</f>
        <v/>
      </c>
      <c r="O10275" t="s">
        <v>58</v>
      </c>
      <c r="P10275" t="s">
        <v>196</v>
      </c>
      <c r="Q10275" t="s">
        <v>58</v>
      </c>
      <c r="R10275" t="str">
        <f>IFERROR(VLOOKUP(record[[#This Row],[PCUSTID]],廠商[],2,FALSE),"")</f>
        <v/>
      </c>
      <c r="S10275" t="str">
        <f>VLOOKUP(record[[#This Row],[employeeID]],員工[],2,FALSE)</f>
        <v>張淑惠</v>
      </c>
    </row>
    <row r="10276" spans="6:19" hidden="1" x14ac:dyDescent="0.25">
      <c r="F10276" t="s">
        <v>617</v>
      </c>
      <c r="G10276" t="s">
        <v>402</v>
      </c>
      <c r="H10276" t="str">
        <f>VLOOKUP(record[[#This Row],[ProcessSN]],表格2_7[],2,FALSE)</f>
        <v>30-4118-018-550</v>
      </c>
      <c r="I10276" t="str">
        <f>VLOOKUP(record[[#This Row],[ProcessSN]],表格2_7[],3,FALSE)</f>
        <v>#100STOCK</v>
      </c>
      <c r="J10276" t="s">
        <v>592</v>
      </c>
      <c r="K10276" s="195">
        <v>45708.659780092596</v>
      </c>
      <c r="L10276">
        <v>311</v>
      </c>
      <c r="M10276">
        <v>0</v>
      </c>
      <c r="N10276" s="98" t="str">
        <f>IF(record[[#This Row],[Memo]]="Browser:chrome os:android","平板報工",IF(record[[#This Row],[Memo]]=0,"委外",record[[#This Row],[Memo]]))</f>
        <v/>
      </c>
      <c r="O10276" t="s">
        <v>58</v>
      </c>
      <c r="P10276" t="s">
        <v>196</v>
      </c>
      <c r="Q10276" t="s">
        <v>58</v>
      </c>
      <c r="R10276" t="str">
        <f>IFERROR(VLOOKUP(record[[#This Row],[PCUSTID]],廠商[],2,FALSE),"")</f>
        <v/>
      </c>
      <c r="S10276" t="str">
        <f>VLOOKUP(record[[#This Row],[employeeID]],員工[],2,FALSE)</f>
        <v>張淑惠</v>
      </c>
    </row>
    <row r="10277" spans="6:19" hidden="1" x14ac:dyDescent="0.25">
      <c r="F10277" t="s">
        <v>595</v>
      </c>
      <c r="G10277" t="s">
        <v>451</v>
      </c>
      <c r="H10277" t="str">
        <f>VLOOKUP(record[[#This Row],[ProcessSN]],表格2_7[],2,FALSE)</f>
        <v>30-4118-018-6XX</v>
      </c>
      <c r="I10277" t="str">
        <f>VLOOKUP(record[[#This Row],[ProcessSN]],表格2_7[],3,FALSE)</f>
        <v>#07</v>
      </c>
      <c r="J10277" t="s">
        <v>588</v>
      </c>
      <c r="K10277" s="195">
        <v>45708.647048611114</v>
      </c>
      <c r="L10277">
        <v>190</v>
      </c>
      <c r="M10277">
        <v>3</v>
      </c>
      <c r="N10277" s="98" t="str">
        <f>IF(record[[#This Row],[Memo]]="Browser:chrome os:android","平板報工",IF(record[[#This Row],[Memo]]=0,"委外",record[[#This Row],[Memo]]))</f>
        <v/>
      </c>
      <c r="O10277" t="s">
        <v>58</v>
      </c>
      <c r="P10277" t="s">
        <v>119</v>
      </c>
      <c r="Q10277" t="s">
        <v>58</v>
      </c>
      <c r="R10277" t="str">
        <f>IFERROR(VLOOKUP(record[[#This Row],[PCUSTID]],廠商[],2,FALSE),"")</f>
        <v/>
      </c>
      <c r="S10277" t="str">
        <f>VLOOKUP(record[[#This Row],[employeeID]],員工[],2,FALSE)</f>
        <v>廖俊彥</v>
      </c>
    </row>
    <row r="10278" spans="6:19" hidden="1" x14ac:dyDescent="0.25">
      <c r="F10278" t="s">
        <v>604</v>
      </c>
      <c r="G10278" t="s">
        <v>401</v>
      </c>
      <c r="H10278" t="str">
        <f>VLOOKUP(record[[#This Row],[ProcessSN]],表格2_7[],2,FALSE)</f>
        <v>30-4118-018-550</v>
      </c>
      <c r="I10278" t="str">
        <f>VLOOKUP(record[[#This Row],[ProcessSN]],表格2_7[],3,FALSE)</f>
        <v>#100OQC</v>
      </c>
      <c r="J10278" t="s">
        <v>599</v>
      </c>
      <c r="K10278" s="195">
        <v>45708.643136574072</v>
      </c>
      <c r="L10278">
        <v>26</v>
      </c>
      <c r="M10278">
        <v>0</v>
      </c>
      <c r="N10278" s="98" t="str">
        <f>IF(record[[#This Row],[Memo]]="Browser:chrome os:android","平板報工",IF(record[[#This Row],[Memo]]=0,"委外",record[[#This Row],[Memo]]))</f>
        <v/>
      </c>
      <c r="O10278" t="s">
        <v>58</v>
      </c>
      <c r="P10278" t="s">
        <v>121</v>
      </c>
      <c r="Q10278" t="s">
        <v>58</v>
      </c>
      <c r="R10278" t="str">
        <f>IFERROR(VLOOKUP(record[[#This Row],[PCUSTID]],廠商[],2,FALSE),"")</f>
        <v/>
      </c>
      <c r="S10278" t="str">
        <f>VLOOKUP(record[[#This Row],[employeeID]],員工[],2,FALSE)</f>
        <v>謝素卿</v>
      </c>
    </row>
    <row r="10279" spans="6:19" hidden="1" x14ac:dyDescent="0.25">
      <c r="F10279" t="s">
        <v>608</v>
      </c>
      <c r="G10279" t="s">
        <v>401</v>
      </c>
      <c r="H10279" t="str">
        <f>VLOOKUP(record[[#This Row],[ProcessSN]],表格2_7[],2,FALSE)</f>
        <v>30-4118-018-550</v>
      </c>
      <c r="I10279" t="str">
        <f>VLOOKUP(record[[#This Row],[ProcessSN]],表格2_7[],3,FALSE)</f>
        <v>#100OQC</v>
      </c>
      <c r="J10279" t="s">
        <v>599</v>
      </c>
      <c r="K10279" s="195">
        <v>45708.642905092594</v>
      </c>
      <c r="L10279">
        <v>7</v>
      </c>
      <c r="M10279">
        <v>0</v>
      </c>
      <c r="N10279" s="98" t="str">
        <f>IF(record[[#This Row],[Memo]]="Browser:chrome os:android","平板報工",IF(record[[#This Row],[Memo]]=0,"委外",record[[#This Row],[Memo]]))</f>
        <v/>
      </c>
      <c r="O10279" t="s">
        <v>58</v>
      </c>
      <c r="P10279" t="s">
        <v>121</v>
      </c>
      <c r="Q10279" t="s">
        <v>58</v>
      </c>
      <c r="R10279" t="str">
        <f>IFERROR(VLOOKUP(record[[#This Row],[PCUSTID]],廠商[],2,FALSE),"")</f>
        <v/>
      </c>
      <c r="S10279" t="str">
        <f>VLOOKUP(record[[#This Row],[employeeID]],員工[],2,FALSE)</f>
        <v>謝素卿</v>
      </c>
    </row>
    <row r="10280" spans="6:19" hidden="1" x14ac:dyDescent="0.25">
      <c r="F10280" t="s">
        <v>609</v>
      </c>
      <c r="G10280" t="s">
        <v>401</v>
      </c>
      <c r="H10280" t="str">
        <f>VLOOKUP(record[[#This Row],[ProcessSN]],表格2_7[],2,FALSE)</f>
        <v>30-4118-018-550</v>
      </c>
      <c r="I10280" t="str">
        <f>VLOOKUP(record[[#This Row],[ProcessSN]],表格2_7[],3,FALSE)</f>
        <v>#100OQC</v>
      </c>
      <c r="J10280" t="s">
        <v>599</v>
      </c>
      <c r="K10280" s="195">
        <v>45708.642696759256</v>
      </c>
      <c r="L10280">
        <v>2</v>
      </c>
      <c r="M10280">
        <v>0</v>
      </c>
      <c r="N10280" s="98" t="str">
        <f>IF(record[[#This Row],[Memo]]="Browser:chrome os:android","平板報工",IF(record[[#This Row],[Memo]]=0,"委外",record[[#This Row],[Memo]]))</f>
        <v/>
      </c>
      <c r="O10280" t="s">
        <v>58</v>
      </c>
      <c r="P10280" t="s">
        <v>121</v>
      </c>
      <c r="Q10280" t="s">
        <v>58</v>
      </c>
      <c r="R10280" t="str">
        <f>IFERROR(VLOOKUP(record[[#This Row],[PCUSTID]],廠商[],2,FALSE),"")</f>
        <v/>
      </c>
      <c r="S10280" t="str">
        <f>VLOOKUP(record[[#This Row],[employeeID]],員工[],2,FALSE)</f>
        <v>謝素卿</v>
      </c>
    </row>
    <row r="10281" spans="6:19" hidden="1" x14ac:dyDescent="0.25">
      <c r="F10281" t="s">
        <v>655</v>
      </c>
      <c r="G10281" t="s">
        <v>401</v>
      </c>
      <c r="H10281" t="str">
        <f>VLOOKUP(record[[#This Row],[ProcessSN]],表格2_7[],2,FALSE)</f>
        <v>30-4118-018-550</v>
      </c>
      <c r="I10281" t="str">
        <f>VLOOKUP(record[[#This Row],[ProcessSN]],表格2_7[],3,FALSE)</f>
        <v>#100OQC</v>
      </c>
      <c r="J10281" t="s">
        <v>599</v>
      </c>
      <c r="K10281" s="195">
        <v>45708.642557870371</v>
      </c>
      <c r="L10281">
        <v>318</v>
      </c>
      <c r="M10281">
        <v>0</v>
      </c>
      <c r="N10281" s="98" t="str">
        <f>IF(record[[#This Row],[Memo]]="Browser:chrome os:android","平板報工",IF(record[[#This Row],[Memo]]=0,"委外",record[[#This Row],[Memo]]))</f>
        <v/>
      </c>
      <c r="O10281" t="s">
        <v>58</v>
      </c>
      <c r="P10281" t="s">
        <v>121</v>
      </c>
      <c r="Q10281" t="s">
        <v>58</v>
      </c>
      <c r="R10281" t="str">
        <f>IFERROR(VLOOKUP(record[[#This Row],[PCUSTID]],廠商[],2,FALSE),"")</f>
        <v/>
      </c>
      <c r="S10281" t="str">
        <f>VLOOKUP(record[[#This Row],[employeeID]],員工[],2,FALSE)</f>
        <v>謝素卿</v>
      </c>
    </row>
    <row r="10282" spans="6:19" hidden="1" x14ac:dyDescent="0.25">
      <c r="F10282" t="s">
        <v>652</v>
      </c>
      <c r="G10282" t="s">
        <v>401</v>
      </c>
      <c r="H10282" t="str">
        <f>VLOOKUP(record[[#This Row],[ProcessSN]],表格2_7[],2,FALSE)</f>
        <v>30-4118-018-550</v>
      </c>
      <c r="I10282" t="str">
        <f>VLOOKUP(record[[#This Row],[ProcessSN]],表格2_7[],3,FALSE)</f>
        <v>#100OQC</v>
      </c>
      <c r="J10282" t="s">
        <v>599</v>
      </c>
      <c r="K10282" s="195">
        <v>45708.641643518517</v>
      </c>
      <c r="L10282">
        <v>148</v>
      </c>
      <c r="M10282">
        <v>0</v>
      </c>
      <c r="N10282" s="98" t="str">
        <f>IF(record[[#This Row],[Memo]]="Browser:chrome os:android","平板報工",IF(record[[#This Row],[Memo]]=0,"委外",record[[#This Row],[Memo]]))</f>
        <v/>
      </c>
      <c r="O10282" t="s">
        <v>58</v>
      </c>
      <c r="P10282" t="s">
        <v>121</v>
      </c>
      <c r="Q10282" t="s">
        <v>58</v>
      </c>
      <c r="R10282" t="str">
        <f>IFERROR(VLOOKUP(record[[#This Row],[PCUSTID]],廠商[],2,FALSE),"")</f>
        <v/>
      </c>
      <c r="S10282" t="str">
        <f>VLOOKUP(record[[#This Row],[employeeID]],員工[],2,FALSE)</f>
        <v>謝素卿</v>
      </c>
    </row>
    <row r="10283" spans="6:19" hidden="1" x14ac:dyDescent="0.25">
      <c r="F10283" t="s">
        <v>654</v>
      </c>
      <c r="G10283" t="s">
        <v>401</v>
      </c>
      <c r="H10283" t="str">
        <f>VLOOKUP(record[[#This Row],[ProcessSN]],表格2_7[],2,FALSE)</f>
        <v>30-4118-018-550</v>
      </c>
      <c r="I10283" t="str">
        <f>VLOOKUP(record[[#This Row],[ProcessSN]],表格2_7[],3,FALSE)</f>
        <v>#100OQC</v>
      </c>
      <c r="J10283" t="s">
        <v>599</v>
      </c>
      <c r="K10283" s="195">
        <v>45708.641481481478</v>
      </c>
      <c r="L10283">
        <v>167</v>
      </c>
      <c r="M10283">
        <v>0</v>
      </c>
      <c r="N10283" s="98" t="str">
        <f>IF(record[[#This Row],[Memo]]="Browser:chrome os:android","平板報工",IF(record[[#This Row],[Memo]]=0,"委外",record[[#This Row],[Memo]]))</f>
        <v/>
      </c>
      <c r="O10283" t="s">
        <v>58</v>
      </c>
      <c r="P10283" t="s">
        <v>121</v>
      </c>
      <c r="Q10283" t="s">
        <v>58</v>
      </c>
      <c r="R10283" t="str">
        <f>IFERROR(VLOOKUP(record[[#This Row],[PCUSTID]],廠商[],2,FALSE),"")</f>
        <v/>
      </c>
      <c r="S10283" t="str">
        <f>VLOOKUP(record[[#This Row],[employeeID]],員工[],2,FALSE)</f>
        <v>謝素卿</v>
      </c>
    </row>
    <row r="10284" spans="6:19" hidden="1" x14ac:dyDescent="0.25">
      <c r="F10284" t="s">
        <v>653</v>
      </c>
      <c r="G10284" t="s">
        <v>401</v>
      </c>
      <c r="H10284" t="str">
        <f>VLOOKUP(record[[#This Row],[ProcessSN]],表格2_7[],2,FALSE)</f>
        <v>30-4118-018-550</v>
      </c>
      <c r="I10284" t="str">
        <f>VLOOKUP(record[[#This Row],[ProcessSN]],表格2_7[],3,FALSE)</f>
        <v>#100OQC</v>
      </c>
      <c r="J10284" t="s">
        <v>599</v>
      </c>
      <c r="K10284" s="195">
        <v>45708.64130787037</v>
      </c>
      <c r="L10284">
        <v>314</v>
      </c>
      <c r="M10284">
        <v>0</v>
      </c>
      <c r="N10284" s="98" t="str">
        <f>IF(record[[#This Row],[Memo]]="Browser:chrome os:android","平板報工",IF(record[[#This Row],[Memo]]=0,"委外",record[[#This Row],[Memo]]))</f>
        <v/>
      </c>
      <c r="O10284" t="s">
        <v>58</v>
      </c>
      <c r="P10284" t="s">
        <v>121</v>
      </c>
      <c r="Q10284" t="s">
        <v>58</v>
      </c>
      <c r="R10284" t="str">
        <f>IFERROR(VLOOKUP(record[[#This Row],[PCUSTID]],廠商[],2,FALSE),"")</f>
        <v/>
      </c>
      <c r="S10284" t="str">
        <f>VLOOKUP(record[[#This Row],[employeeID]],員工[],2,FALSE)</f>
        <v>謝素卿</v>
      </c>
    </row>
    <row r="10285" spans="6:19" hidden="1" x14ac:dyDescent="0.25">
      <c r="F10285" t="s">
        <v>617</v>
      </c>
      <c r="G10285" t="s">
        <v>401</v>
      </c>
      <c r="H10285" t="str">
        <f>VLOOKUP(record[[#This Row],[ProcessSN]],表格2_7[],2,FALSE)</f>
        <v>30-4118-018-550</v>
      </c>
      <c r="I10285" t="str">
        <f>VLOOKUP(record[[#This Row],[ProcessSN]],表格2_7[],3,FALSE)</f>
        <v>#100OQC</v>
      </c>
      <c r="J10285" t="s">
        <v>599</v>
      </c>
      <c r="K10285" s="195">
        <v>45708.641157407408</v>
      </c>
      <c r="L10285">
        <v>311</v>
      </c>
      <c r="M10285">
        <v>0</v>
      </c>
      <c r="N10285" s="98" t="str">
        <f>IF(record[[#This Row],[Memo]]="Browser:chrome os:android","平板報工",IF(record[[#This Row],[Memo]]=0,"委外",record[[#This Row],[Memo]]))</f>
        <v/>
      </c>
      <c r="O10285" t="s">
        <v>58</v>
      </c>
      <c r="P10285" t="s">
        <v>121</v>
      </c>
      <c r="Q10285" t="s">
        <v>58</v>
      </c>
      <c r="R10285" t="str">
        <f>IFERROR(VLOOKUP(record[[#This Row],[PCUSTID]],廠商[],2,FALSE),"")</f>
        <v/>
      </c>
      <c r="S10285" t="str">
        <f>VLOOKUP(record[[#This Row],[employeeID]],員工[],2,FALSE)</f>
        <v>謝素卿</v>
      </c>
    </row>
    <row r="10286" spans="6:19" hidden="1" x14ac:dyDescent="0.25">
      <c r="F10286" t="s">
        <v>739</v>
      </c>
      <c r="G10286" t="s">
        <v>422</v>
      </c>
      <c r="H10286" t="str">
        <f>VLOOKUP(record[[#This Row],[ProcessSN]],表格2_7[],2,FALSE)</f>
        <v>30-4118-018-600</v>
      </c>
      <c r="I10286" t="str">
        <f>VLOOKUP(record[[#This Row],[ProcessSN]],表格2_7[],3,FALSE)</f>
        <v>#08</v>
      </c>
      <c r="J10286" t="s">
        <v>597</v>
      </c>
      <c r="K10286" s="195">
        <v>45708.631562499999</v>
      </c>
      <c r="L10286">
        <v>327</v>
      </c>
      <c r="M10286">
        <v>0</v>
      </c>
      <c r="N10286" s="98" t="str">
        <f>IF(record[[#This Row],[Memo]]="Browser:chrome os:android","平板報工",IF(record[[#This Row],[Memo]]=0,"委外",record[[#This Row],[Memo]]))</f>
        <v>委外</v>
      </c>
      <c r="P10286" t="s">
        <v>65</v>
      </c>
      <c r="Q10286" t="s">
        <v>287</v>
      </c>
      <c r="R10286" t="str">
        <f>IFERROR(VLOOKUP(record[[#This Row],[PCUSTID]],廠商[],2,FALSE),"")</f>
        <v>泉盛</v>
      </c>
      <c r="S10286" t="str">
        <f>VLOOKUP(record[[#This Row],[employeeID]],員工[],2,FALSE)</f>
        <v>蘇進昌</v>
      </c>
    </row>
    <row r="10287" spans="6:19" hidden="1" x14ac:dyDescent="0.25">
      <c r="F10287" t="s">
        <v>654</v>
      </c>
      <c r="G10287" t="s">
        <v>400</v>
      </c>
      <c r="H10287" t="str">
        <f>VLOOKUP(record[[#This Row],[ProcessSN]],表格2_7[],2,FALSE)</f>
        <v>30-4118-018-550</v>
      </c>
      <c r="I10287" t="str">
        <f>VLOOKUP(record[[#This Row],[ProcessSN]],表格2_7[],3,FALSE)</f>
        <v>#100</v>
      </c>
      <c r="J10287" t="s">
        <v>598</v>
      </c>
      <c r="K10287" s="195">
        <v>45708.602222222224</v>
      </c>
      <c r="L10287">
        <v>1</v>
      </c>
      <c r="M10287">
        <v>0</v>
      </c>
      <c r="N10287" s="98" t="str">
        <f>IF(record[[#This Row],[Memo]]="Browser:chrome os:android","平板報工",IF(record[[#This Row],[Memo]]=0,"委外",record[[#This Row],[Memo]]))</f>
        <v>平板報工</v>
      </c>
      <c r="O10287" t="s">
        <v>643</v>
      </c>
      <c r="P10287" t="s">
        <v>141</v>
      </c>
      <c r="Q10287" t="s">
        <v>644</v>
      </c>
      <c r="R10287" t="str">
        <f>IFERROR(VLOOKUP(record[[#This Row],[PCUSTID]],廠商[],2,FALSE),"")</f>
        <v/>
      </c>
      <c r="S10287" t="str">
        <f>VLOOKUP(record[[#This Row],[employeeID]],員工[],2,FALSE)</f>
        <v>蔣梅</v>
      </c>
    </row>
    <row r="10288" spans="6:19" hidden="1" x14ac:dyDescent="0.25">
      <c r="F10288" t="s">
        <v>604</v>
      </c>
      <c r="G10288" t="s">
        <v>400</v>
      </c>
      <c r="H10288" t="str">
        <f>VLOOKUP(record[[#This Row],[ProcessSN]],表格2_7[],2,FALSE)</f>
        <v>30-4118-018-550</v>
      </c>
      <c r="I10288" t="str">
        <f>VLOOKUP(record[[#This Row],[ProcessSN]],表格2_7[],3,FALSE)</f>
        <v>#100</v>
      </c>
      <c r="J10288" t="s">
        <v>598</v>
      </c>
      <c r="K10288" s="195">
        <v>45708.601979166669</v>
      </c>
      <c r="L10288">
        <v>26</v>
      </c>
      <c r="M10288">
        <v>0</v>
      </c>
      <c r="N10288" s="98" t="str">
        <f>IF(record[[#This Row],[Memo]]="Browser:chrome os:android","平板報工",IF(record[[#This Row],[Memo]]=0,"委外",record[[#This Row],[Memo]]))</f>
        <v>平板報工</v>
      </c>
      <c r="O10288" t="s">
        <v>643</v>
      </c>
      <c r="P10288" t="s">
        <v>141</v>
      </c>
      <c r="Q10288" t="s">
        <v>644</v>
      </c>
      <c r="R10288" t="str">
        <f>IFERROR(VLOOKUP(record[[#This Row],[PCUSTID]],廠商[],2,FALSE),"")</f>
        <v/>
      </c>
      <c r="S10288" t="str">
        <f>VLOOKUP(record[[#This Row],[employeeID]],員工[],2,FALSE)</f>
        <v>蔣梅</v>
      </c>
    </row>
    <row r="10289" spans="6:19" hidden="1" x14ac:dyDescent="0.25">
      <c r="F10289" t="s">
        <v>608</v>
      </c>
      <c r="G10289" t="s">
        <v>400</v>
      </c>
      <c r="H10289" t="str">
        <f>VLOOKUP(record[[#This Row],[ProcessSN]],表格2_7[],2,FALSE)</f>
        <v>30-4118-018-550</v>
      </c>
      <c r="I10289" t="str">
        <f>VLOOKUP(record[[#This Row],[ProcessSN]],表格2_7[],3,FALSE)</f>
        <v>#100</v>
      </c>
      <c r="J10289" t="s">
        <v>598</v>
      </c>
      <c r="K10289" s="195">
        <v>45708.601712962962</v>
      </c>
      <c r="L10289">
        <v>7</v>
      </c>
      <c r="M10289">
        <v>0</v>
      </c>
      <c r="N10289" s="98" t="str">
        <f>IF(record[[#This Row],[Memo]]="Browser:chrome os:android","平板報工",IF(record[[#This Row],[Memo]]=0,"委外",record[[#This Row],[Memo]]))</f>
        <v>平板報工</v>
      </c>
      <c r="O10289" t="s">
        <v>643</v>
      </c>
      <c r="P10289" t="s">
        <v>141</v>
      </c>
      <c r="Q10289" t="s">
        <v>644</v>
      </c>
      <c r="R10289" t="str">
        <f>IFERROR(VLOOKUP(record[[#This Row],[PCUSTID]],廠商[],2,FALSE),"")</f>
        <v/>
      </c>
      <c r="S10289" t="str">
        <f>VLOOKUP(record[[#This Row],[employeeID]],員工[],2,FALSE)</f>
        <v>蔣梅</v>
      </c>
    </row>
    <row r="10290" spans="6:19" hidden="1" x14ac:dyDescent="0.25">
      <c r="F10290" t="s">
        <v>609</v>
      </c>
      <c r="G10290" t="s">
        <v>400</v>
      </c>
      <c r="H10290" t="str">
        <f>VLOOKUP(record[[#This Row],[ProcessSN]],表格2_7[],2,FALSE)</f>
        <v>30-4118-018-550</v>
      </c>
      <c r="I10290" t="str">
        <f>VLOOKUP(record[[#This Row],[ProcessSN]],表格2_7[],3,FALSE)</f>
        <v>#100</v>
      </c>
      <c r="J10290" t="s">
        <v>598</v>
      </c>
      <c r="K10290" s="195">
        <v>45708.601469907408</v>
      </c>
      <c r="L10290">
        <v>2</v>
      </c>
      <c r="M10290">
        <v>0</v>
      </c>
      <c r="N10290" s="98" t="str">
        <f>IF(record[[#This Row],[Memo]]="Browser:chrome os:android","平板報工",IF(record[[#This Row],[Memo]]=0,"委外",record[[#This Row],[Memo]]))</f>
        <v>平板報工</v>
      </c>
      <c r="O10290" t="s">
        <v>643</v>
      </c>
      <c r="P10290" t="s">
        <v>141</v>
      </c>
      <c r="Q10290" t="s">
        <v>644</v>
      </c>
      <c r="R10290" t="str">
        <f>IFERROR(VLOOKUP(record[[#This Row],[PCUSTID]],廠商[],2,FALSE),"")</f>
        <v/>
      </c>
      <c r="S10290" t="str">
        <f>VLOOKUP(record[[#This Row],[employeeID]],員工[],2,FALSE)</f>
        <v>蔣梅</v>
      </c>
    </row>
    <row r="10291" spans="6:19" hidden="1" x14ac:dyDescent="0.25">
      <c r="F10291" t="s">
        <v>654</v>
      </c>
      <c r="G10291" t="s">
        <v>399</v>
      </c>
      <c r="H10291" t="str">
        <f>VLOOKUP(record[[#This Row],[ProcessSN]],表格2_7[],2,FALSE)</f>
        <v>30-4118-018-550</v>
      </c>
      <c r="I10291" t="str">
        <f>VLOOKUP(record[[#This Row],[ProcessSN]],表格2_7[],3,FALSE)</f>
        <v>#08IQC</v>
      </c>
      <c r="J10291" t="s">
        <v>583</v>
      </c>
      <c r="K10291" s="195">
        <v>45708.598043981481</v>
      </c>
      <c r="L10291">
        <v>1</v>
      </c>
      <c r="M10291">
        <v>0</v>
      </c>
      <c r="N10291" s="98" t="str">
        <f>IF(record[[#This Row],[Memo]]="Browser:chrome os:android","平板報工",IF(record[[#This Row],[Memo]]=0,"委外",record[[#This Row],[Memo]]))</f>
        <v/>
      </c>
      <c r="O10291" t="s">
        <v>58</v>
      </c>
      <c r="P10291" t="s">
        <v>65</v>
      </c>
      <c r="Q10291" t="s">
        <v>58</v>
      </c>
      <c r="R10291" t="str">
        <f>IFERROR(VLOOKUP(record[[#This Row],[PCUSTID]],廠商[],2,FALSE),"")</f>
        <v/>
      </c>
      <c r="S10291" t="str">
        <f>VLOOKUP(record[[#This Row],[employeeID]],員工[],2,FALSE)</f>
        <v>蘇進昌</v>
      </c>
    </row>
    <row r="10292" spans="6:19" hidden="1" x14ac:dyDescent="0.25">
      <c r="F10292" t="s">
        <v>655</v>
      </c>
      <c r="G10292" t="s">
        <v>400</v>
      </c>
      <c r="H10292" t="str">
        <f>VLOOKUP(record[[#This Row],[ProcessSN]],表格2_7[],2,FALSE)</f>
        <v>30-4118-018-550</v>
      </c>
      <c r="I10292" t="str">
        <f>VLOOKUP(record[[#This Row],[ProcessSN]],表格2_7[],3,FALSE)</f>
        <v>#100</v>
      </c>
      <c r="J10292" t="s">
        <v>598</v>
      </c>
      <c r="K10292" s="195">
        <v>45708.596134259256</v>
      </c>
      <c r="L10292">
        <v>0</v>
      </c>
      <c r="M10292">
        <v>1</v>
      </c>
      <c r="N10292" s="98" t="str">
        <f>IF(record[[#This Row],[Memo]]="Browser:chrome os:android","平板報工",IF(record[[#This Row],[Memo]]=0,"委外",record[[#This Row],[Memo]]))</f>
        <v>平板報工</v>
      </c>
      <c r="O10292" t="s">
        <v>643</v>
      </c>
      <c r="P10292" t="s">
        <v>141</v>
      </c>
      <c r="Q10292" t="s">
        <v>644</v>
      </c>
      <c r="R10292" t="str">
        <f>IFERROR(VLOOKUP(record[[#This Row],[PCUSTID]],廠商[],2,FALSE),"")</f>
        <v/>
      </c>
      <c r="S10292" t="str">
        <f>VLOOKUP(record[[#This Row],[employeeID]],員工[],2,FALSE)</f>
        <v>蔣梅</v>
      </c>
    </row>
    <row r="10293" spans="6:19" hidden="1" x14ac:dyDescent="0.25">
      <c r="F10293" t="s">
        <v>655</v>
      </c>
      <c r="G10293" t="s">
        <v>400</v>
      </c>
      <c r="H10293" t="str">
        <f>VLOOKUP(record[[#This Row],[ProcessSN]],表格2_7[],2,FALSE)</f>
        <v>30-4118-018-550</v>
      </c>
      <c r="I10293" t="str">
        <f>VLOOKUP(record[[#This Row],[ProcessSN]],表格2_7[],3,FALSE)</f>
        <v>#100</v>
      </c>
      <c r="J10293" t="s">
        <v>598</v>
      </c>
      <c r="K10293" s="195">
        <v>45708.59584490741</v>
      </c>
      <c r="L10293">
        <v>318</v>
      </c>
      <c r="M10293">
        <v>0</v>
      </c>
      <c r="N10293" s="98" t="str">
        <f>IF(record[[#This Row],[Memo]]="Browser:chrome os:android","平板報工",IF(record[[#This Row],[Memo]]=0,"委外",record[[#This Row],[Memo]]))</f>
        <v>平板報工</v>
      </c>
      <c r="O10293" t="s">
        <v>643</v>
      </c>
      <c r="P10293" t="s">
        <v>141</v>
      </c>
      <c r="Q10293" t="s">
        <v>644</v>
      </c>
      <c r="R10293" t="str">
        <f>IFERROR(VLOOKUP(record[[#This Row],[PCUSTID]],廠商[],2,FALSE),"")</f>
        <v/>
      </c>
      <c r="S10293" t="str">
        <f>VLOOKUP(record[[#This Row],[employeeID]],員工[],2,FALSE)</f>
        <v>蔣梅</v>
      </c>
    </row>
    <row r="10294" spans="6:19" hidden="1" x14ac:dyDescent="0.25">
      <c r="F10294" t="s">
        <v>739</v>
      </c>
      <c r="G10294" t="s">
        <v>421</v>
      </c>
      <c r="H10294" t="str">
        <f>VLOOKUP(record[[#This Row],[ProcessSN]],表格2_7[],2,FALSE)</f>
        <v>30-4118-018-600</v>
      </c>
      <c r="I10294" t="str">
        <f>VLOOKUP(record[[#This Row],[ProcessSN]],表格2_7[],3,FALSE)</f>
        <v>#08PICK</v>
      </c>
      <c r="J10294" t="s">
        <v>582</v>
      </c>
      <c r="K10294" s="195">
        <v>45708.593576388892</v>
      </c>
      <c r="L10294">
        <v>327</v>
      </c>
      <c r="M10294">
        <v>0</v>
      </c>
      <c r="N10294" s="98" t="str">
        <f>IF(record[[#This Row],[Memo]]="Browser:chrome os:android","平板報工",IF(record[[#This Row],[Memo]]=0,"委外",record[[#This Row],[Memo]]))</f>
        <v/>
      </c>
      <c r="O10294" t="s">
        <v>58</v>
      </c>
      <c r="P10294" t="s">
        <v>202</v>
      </c>
      <c r="Q10294" t="s">
        <v>58</v>
      </c>
      <c r="R10294" t="str">
        <f>IFERROR(VLOOKUP(record[[#This Row],[PCUSTID]],廠商[],2,FALSE),"")</f>
        <v/>
      </c>
      <c r="S10294" t="str">
        <f>VLOOKUP(record[[#This Row],[employeeID]],員工[],2,FALSE)</f>
        <v>游惠茹</v>
      </c>
    </row>
    <row r="10295" spans="6:19" hidden="1" x14ac:dyDescent="0.25">
      <c r="F10295" t="s">
        <v>595</v>
      </c>
      <c r="G10295" t="s">
        <v>453</v>
      </c>
      <c r="H10295" t="str">
        <f>VLOOKUP(record[[#This Row],[ProcessSN]],表格2_7[],2,FALSE)</f>
        <v>30-4118-018-6XX</v>
      </c>
      <c r="I10295" t="str">
        <f>VLOOKUP(record[[#This Row],[ProcessSN]],表格2_7[],3,FALSE)</f>
        <v>#07STOCK</v>
      </c>
      <c r="J10295" t="s">
        <v>592</v>
      </c>
      <c r="K10295" s="195">
        <v>45708.565949074073</v>
      </c>
      <c r="L10295">
        <v>327</v>
      </c>
      <c r="M10295">
        <v>0</v>
      </c>
      <c r="N10295" s="98" t="str">
        <f>IF(record[[#This Row],[Memo]]="Browser:chrome os:android","平板報工",IF(record[[#This Row],[Memo]]=0,"委外",record[[#This Row],[Memo]]))</f>
        <v/>
      </c>
      <c r="O10295" t="s">
        <v>58</v>
      </c>
      <c r="P10295" t="s">
        <v>113</v>
      </c>
      <c r="Q10295" t="s">
        <v>58</v>
      </c>
      <c r="R10295" t="str">
        <f>IFERROR(VLOOKUP(record[[#This Row],[PCUSTID]],廠商[],2,FALSE),"")</f>
        <v/>
      </c>
      <c r="S10295" t="str">
        <f>VLOOKUP(record[[#This Row],[employeeID]],員工[],2,FALSE)</f>
        <v>王奕蓁</v>
      </c>
    </row>
    <row r="10296" spans="6:19" hidden="1" x14ac:dyDescent="0.25">
      <c r="F10296" t="s">
        <v>680</v>
      </c>
      <c r="G10296" t="s">
        <v>358</v>
      </c>
      <c r="H10296" t="str">
        <f>VLOOKUP(record[[#This Row],[ProcessSN]],表格2_7[],2,FALSE)</f>
        <v>30-4118-018-450</v>
      </c>
      <c r="I10296" t="str">
        <f>VLOOKUP(record[[#This Row],[ProcessSN]],表格2_7[],3,FALSE)</f>
        <v>#08IQC</v>
      </c>
      <c r="J10296" t="s">
        <v>583</v>
      </c>
      <c r="K10296" s="195">
        <v>45708.545208333337</v>
      </c>
      <c r="L10296">
        <v>3</v>
      </c>
      <c r="M10296">
        <v>0</v>
      </c>
      <c r="N10296" s="98" t="str">
        <f>IF(record[[#This Row],[Memo]]="Browser:chrome os:android","平板報工",IF(record[[#This Row],[Memo]]=0,"委外",record[[#This Row],[Memo]]))</f>
        <v>補</v>
      </c>
      <c r="O10296" t="s">
        <v>690</v>
      </c>
      <c r="P10296" t="s">
        <v>113</v>
      </c>
      <c r="Q10296" t="s">
        <v>58</v>
      </c>
      <c r="R10296" t="str">
        <f>IFERROR(VLOOKUP(record[[#This Row],[PCUSTID]],廠商[],2,FALSE),"")</f>
        <v/>
      </c>
      <c r="S10296" t="str">
        <f>VLOOKUP(record[[#This Row],[employeeID]],員工[],2,FALSE)</f>
        <v>王奕蓁</v>
      </c>
    </row>
    <row r="10297" spans="6:19" hidden="1" x14ac:dyDescent="0.25">
      <c r="F10297" t="s">
        <v>642</v>
      </c>
      <c r="G10297" t="s">
        <v>419</v>
      </c>
      <c r="H10297" t="str">
        <f>VLOOKUP(record[[#This Row],[ProcessSN]],表格2_7[],2,FALSE)</f>
        <v>30-4118-018-5XX</v>
      </c>
      <c r="I10297" t="str">
        <f>VLOOKUP(record[[#This Row],[ProcessSN]],表格2_7[],3,FALSE)</f>
        <v>#07QC</v>
      </c>
      <c r="J10297" t="s">
        <v>589</v>
      </c>
      <c r="K10297" s="195">
        <v>45708.453935185185</v>
      </c>
      <c r="L10297">
        <v>7</v>
      </c>
      <c r="M10297">
        <v>0</v>
      </c>
      <c r="N10297" s="98" t="str">
        <f>IF(record[[#This Row],[Memo]]="Browser:chrome os:android","平板報工",IF(record[[#This Row],[Memo]]=0,"委外",record[[#This Row],[Memo]]))</f>
        <v>平板報工</v>
      </c>
      <c r="O10297" t="s">
        <v>643</v>
      </c>
      <c r="P10297" t="s">
        <v>109</v>
      </c>
      <c r="Q10297" t="s">
        <v>644</v>
      </c>
      <c r="R10297" t="str">
        <f>IFERROR(VLOOKUP(record[[#This Row],[PCUSTID]],廠商[],2,FALSE),"")</f>
        <v/>
      </c>
      <c r="S10297" t="str">
        <f>VLOOKUP(record[[#This Row],[employeeID]],員工[],2,FALSE)</f>
        <v>裴氏璧鳳</v>
      </c>
    </row>
    <row r="10298" spans="6:19" hidden="1" x14ac:dyDescent="0.25">
      <c r="F10298" t="s">
        <v>715</v>
      </c>
      <c r="G10298" t="s">
        <v>419</v>
      </c>
      <c r="H10298" t="str">
        <f>VLOOKUP(record[[#This Row],[ProcessSN]],表格2_7[],2,FALSE)</f>
        <v>30-4118-018-5XX</v>
      </c>
      <c r="I10298" t="str">
        <f>VLOOKUP(record[[#This Row],[ProcessSN]],表格2_7[],3,FALSE)</f>
        <v>#07QC</v>
      </c>
      <c r="J10298" t="s">
        <v>589</v>
      </c>
      <c r="K10298" s="195">
        <v>45708.453657407408</v>
      </c>
      <c r="L10298">
        <v>24</v>
      </c>
      <c r="M10298">
        <v>0</v>
      </c>
      <c r="N10298" s="98" t="str">
        <f>IF(record[[#This Row],[Memo]]="Browser:chrome os:android","平板報工",IF(record[[#This Row],[Memo]]=0,"委外",record[[#This Row],[Memo]]))</f>
        <v>平板報工</v>
      </c>
      <c r="O10298" t="s">
        <v>643</v>
      </c>
      <c r="P10298" t="s">
        <v>109</v>
      </c>
      <c r="Q10298" t="s">
        <v>644</v>
      </c>
      <c r="R10298" t="str">
        <f>IFERROR(VLOOKUP(record[[#This Row],[PCUSTID]],廠商[],2,FALSE),"")</f>
        <v/>
      </c>
      <c r="S10298" t="str">
        <f>VLOOKUP(record[[#This Row],[employeeID]],員工[],2,FALSE)</f>
        <v>裴氏璧鳳</v>
      </c>
    </row>
    <row r="10299" spans="6:19" hidden="1" x14ac:dyDescent="0.25">
      <c r="F10299" t="s">
        <v>594</v>
      </c>
      <c r="G10299" t="s">
        <v>419</v>
      </c>
      <c r="H10299" t="str">
        <f>VLOOKUP(record[[#This Row],[ProcessSN]],表格2_7[],2,FALSE)</f>
        <v>30-4118-018-5XX</v>
      </c>
      <c r="I10299" t="str">
        <f>VLOOKUP(record[[#This Row],[ProcessSN]],表格2_7[],3,FALSE)</f>
        <v>#07QC</v>
      </c>
      <c r="J10299" t="s">
        <v>589</v>
      </c>
      <c r="K10299" s="195">
        <v>45708.453356481485</v>
      </c>
      <c r="L10299">
        <v>5</v>
      </c>
      <c r="M10299">
        <v>0</v>
      </c>
      <c r="N10299" s="98" t="str">
        <f>IF(record[[#This Row],[Memo]]="Browser:chrome os:android","平板報工",IF(record[[#This Row],[Memo]]=0,"委外",record[[#This Row],[Memo]]))</f>
        <v>平板報工</v>
      </c>
      <c r="O10299" t="s">
        <v>643</v>
      </c>
      <c r="P10299" t="s">
        <v>109</v>
      </c>
      <c r="Q10299" t="s">
        <v>644</v>
      </c>
      <c r="R10299" t="str">
        <f>IFERROR(VLOOKUP(record[[#This Row],[PCUSTID]],廠商[],2,FALSE),"")</f>
        <v/>
      </c>
      <c r="S10299" t="str">
        <f>VLOOKUP(record[[#This Row],[employeeID]],員工[],2,FALSE)</f>
        <v>裴氏璧鳳</v>
      </c>
    </row>
    <row r="10300" spans="6:19" hidden="1" x14ac:dyDescent="0.25">
      <c r="F10300" t="s">
        <v>595</v>
      </c>
      <c r="G10300" t="s">
        <v>452</v>
      </c>
      <c r="H10300" t="str">
        <f>VLOOKUP(record[[#This Row],[ProcessSN]],表格2_7[],2,FALSE)</f>
        <v>30-4118-018-6XX</v>
      </c>
      <c r="I10300" t="str">
        <f>VLOOKUP(record[[#This Row],[ProcessSN]],表格2_7[],3,FALSE)</f>
        <v>#07QC</v>
      </c>
      <c r="J10300" t="s">
        <v>589</v>
      </c>
      <c r="K10300" s="195">
        <v>45708.414490740739</v>
      </c>
      <c r="L10300">
        <v>327</v>
      </c>
      <c r="M10300">
        <v>0</v>
      </c>
      <c r="N10300" s="98" t="str">
        <f>IF(record[[#This Row],[Memo]]="Browser:chrome os:android","平板報工",IF(record[[#This Row],[Memo]]=0,"委外",record[[#This Row],[Memo]]))</f>
        <v>平板報工</v>
      </c>
      <c r="O10300" t="s">
        <v>643</v>
      </c>
      <c r="P10300" t="s">
        <v>109</v>
      </c>
      <c r="Q10300" t="s">
        <v>644</v>
      </c>
      <c r="R10300" t="str">
        <f>IFERROR(VLOOKUP(record[[#This Row],[PCUSTID]],廠商[],2,FALSE),"")</f>
        <v/>
      </c>
      <c r="S10300" t="str">
        <f>VLOOKUP(record[[#This Row],[employeeID]],員工[],2,FALSE)</f>
        <v>裴氏璧鳳</v>
      </c>
    </row>
    <row r="10301" spans="6:19" hidden="1" x14ac:dyDescent="0.25">
      <c r="F10301" t="s">
        <v>642</v>
      </c>
      <c r="G10301" t="s">
        <v>419</v>
      </c>
      <c r="H10301" t="str">
        <f>VLOOKUP(record[[#This Row],[ProcessSN]],表格2_7[],2,FALSE)</f>
        <v>30-4118-018-5XX</v>
      </c>
      <c r="I10301" t="str">
        <f>VLOOKUP(record[[#This Row],[ProcessSN]],表格2_7[],3,FALSE)</f>
        <v>#07QC</v>
      </c>
      <c r="J10301" t="s">
        <v>589</v>
      </c>
      <c r="K10301" s="195">
        <v>45708.403761574074</v>
      </c>
      <c r="L10301">
        <v>0</v>
      </c>
      <c r="M10301">
        <v>2</v>
      </c>
      <c r="N10301" s="98" t="str">
        <f>IF(record[[#This Row],[Memo]]="Browser:chrome os:android","平板報工",IF(record[[#This Row],[Memo]]=0,"委外",record[[#This Row],[Memo]]))</f>
        <v/>
      </c>
      <c r="O10301" t="s">
        <v>58</v>
      </c>
      <c r="P10301" t="s">
        <v>113</v>
      </c>
      <c r="Q10301" t="s">
        <v>58</v>
      </c>
      <c r="R10301" t="str">
        <f>IFERROR(VLOOKUP(record[[#This Row],[PCUSTID]],廠商[],2,FALSE),"")</f>
        <v/>
      </c>
      <c r="S10301" t="str">
        <f>VLOOKUP(record[[#This Row],[employeeID]],員工[],2,FALSE)</f>
        <v>王奕蓁</v>
      </c>
    </row>
    <row r="10302" spans="6:19" hidden="1" x14ac:dyDescent="0.25">
      <c r="F10302" t="s">
        <v>642</v>
      </c>
      <c r="G10302" t="s">
        <v>419</v>
      </c>
      <c r="H10302" t="str">
        <f>VLOOKUP(record[[#This Row],[ProcessSN]],表格2_7[],2,FALSE)</f>
        <v>30-4118-018-5XX</v>
      </c>
      <c r="I10302" t="str">
        <f>VLOOKUP(record[[#This Row],[ProcessSN]],表格2_7[],3,FALSE)</f>
        <v>#07QC</v>
      </c>
      <c r="J10302" t="s">
        <v>589</v>
      </c>
      <c r="K10302" s="195">
        <v>45708.403333333335</v>
      </c>
      <c r="L10302">
        <v>159</v>
      </c>
      <c r="M10302">
        <v>0</v>
      </c>
      <c r="N10302" s="98" t="str">
        <f>IF(record[[#This Row],[Memo]]="Browser:chrome os:android","平板報工",IF(record[[#This Row],[Memo]]=0,"委外",record[[#This Row],[Memo]]))</f>
        <v/>
      </c>
      <c r="O10302" t="s">
        <v>58</v>
      </c>
      <c r="P10302" t="s">
        <v>113</v>
      </c>
      <c r="Q10302" t="s">
        <v>58</v>
      </c>
      <c r="R10302" t="str">
        <f>IFERROR(VLOOKUP(record[[#This Row],[PCUSTID]],廠商[],2,FALSE),"")</f>
        <v/>
      </c>
      <c r="S10302" t="str">
        <f>VLOOKUP(record[[#This Row],[employeeID]],員工[],2,FALSE)</f>
        <v>王奕蓁</v>
      </c>
    </row>
    <row r="10303" spans="6:19" hidden="1" x14ac:dyDescent="0.25">
      <c r="F10303" t="s">
        <v>650</v>
      </c>
      <c r="G10303" t="s">
        <v>419</v>
      </c>
      <c r="H10303" t="str">
        <f>VLOOKUP(record[[#This Row],[ProcessSN]],表格2_7[],2,FALSE)</f>
        <v>30-4118-018-5XX</v>
      </c>
      <c r="I10303" t="str">
        <f>VLOOKUP(record[[#This Row],[ProcessSN]],表格2_7[],3,FALSE)</f>
        <v>#07QC</v>
      </c>
      <c r="J10303" t="s">
        <v>589</v>
      </c>
      <c r="K10303" s="195">
        <v>45708.40252314815</v>
      </c>
      <c r="L10303">
        <v>0</v>
      </c>
      <c r="M10303">
        <v>5</v>
      </c>
      <c r="N10303" s="98" t="str">
        <f>IF(record[[#This Row],[Memo]]="Browser:chrome os:android","平板報工",IF(record[[#This Row],[Memo]]=0,"委外",record[[#This Row],[Memo]]))</f>
        <v/>
      </c>
      <c r="O10303" t="s">
        <v>58</v>
      </c>
      <c r="P10303" t="s">
        <v>113</v>
      </c>
      <c r="Q10303" t="s">
        <v>58</v>
      </c>
      <c r="R10303" t="str">
        <f>IFERROR(VLOOKUP(record[[#This Row],[PCUSTID]],廠商[],2,FALSE),"")</f>
        <v/>
      </c>
      <c r="S10303" t="str">
        <f>VLOOKUP(record[[#This Row],[employeeID]],員工[],2,FALSE)</f>
        <v>王奕蓁</v>
      </c>
    </row>
    <row r="10304" spans="6:19" hidden="1" x14ac:dyDescent="0.25">
      <c r="F10304" t="s">
        <v>650</v>
      </c>
      <c r="G10304" t="s">
        <v>419</v>
      </c>
      <c r="H10304" t="str">
        <f>VLOOKUP(record[[#This Row],[ProcessSN]],表格2_7[],2,FALSE)</f>
        <v>30-4118-018-5XX</v>
      </c>
      <c r="I10304" t="str">
        <f>VLOOKUP(record[[#This Row],[ProcessSN]],表格2_7[],3,FALSE)</f>
        <v>#07QC</v>
      </c>
      <c r="J10304" t="s">
        <v>589</v>
      </c>
      <c r="K10304" s="195">
        <v>45708.402175925927</v>
      </c>
      <c r="L10304">
        <v>18</v>
      </c>
      <c r="M10304">
        <v>0</v>
      </c>
      <c r="N10304" s="98" t="str">
        <f>IF(record[[#This Row],[Memo]]="Browser:chrome os:android","平板報工",IF(record[[#This Row],[Memo]]=0,"委外",record[[#This Row],[Memo]]))</f>
        <v>覆回</v>
      </c>
      <c r="O10304" t="s">
        <v>682</v>
      </c>
      <c r="P10304" t="s">
        <v>113</v>
      </c>
      <c r="Q10304" t="s">
        <v>58</v>
      </c>
      <c r="R10304" t="str">
        <f>IFERROR(VLOOKUP(record[[#This Row],[PCUSTID]],廠商[],2,FALSE),"")</f>
        <v/>
      </c>
      <c r="S10304" t="str">
        <f>VLOOKUP(record[[#This Row],[employeeID]],員工[],2,FALSE)</f>
        <v>王奕蓁</v>
      </c>
    </row>
    <row r="10305" spans="6:19" hidden="1" x14ac:dyDescent="0.25">
      <c r="F10305" t="s">
        <v>650</v>
      </c>
      <c r="G10305" t="s">
        <v>419</v>
      </c>
      <c r="H10305" t="str">
        <f>VLOOKUP(record[[#This Row],[ProcessSN]],表格2_7[],2,FALSE)</f>
        <v>30-4118-018-5XX</v>
      </c>
      <c r="I10305" t="str">
        <f>VLOOKUP(record[[#This Row],[ProcessSN]],表格2_7[],3,FALSE)</f>
        <v>#07QC</v>
      </c>
      <c r="J10305" t="s">
        <v>589</v>
      </c>
      <c r="K10305" s="195">
        <v>45708.401805555557</v>
      </c>
      <c r="L10305">
        <v>157</v>
      </c>
      <c r="M10305">
        <v>0</v>
      </c>
      <c r="N10305" s="98" t="str">
        <f>IF(record[[#This Row],[Memo]]="Browser:chrome os:android","平板報工",IF(record[[#This Row],[Memo]]=0,"委外",record[[#This Row],[Memo]]))</f>
        <v/>
      </c>
      <c r="O10305" t="s">
        <v>58</v>
      </c>
      <c r="P10305" t="s">
        <v>113</v>
      </c>
      <c r="Q10305" t="s">
        <v>58</v>
      </c>
      <c r="R10305" t="str">
        <f>IFERROR(VLOOKUP(record[[#This Row],[PCUSTID]],廠商[],2,FALSE),"")</f>
        <v/>
      </c>
      <c r="S10305" t="str">
        <f>VLOOKUP(record[[#This Row],[employeeID]],員工[],2,FALSE)</f>
        <v>王奕蓁</v>
      </c>
    </row>
    <row r="10306" spans="6:19" hidden="1" x14ac:dyDescent="0.25">
      <c r="F10306" t="s">
        <v>654</v>
      </c>
      <c r="G10306" t="s">
        <v>398</v>
      </c>
      <c r="H10306" t="str">
        <f>VLOOKUP(record[[#This Row],[ProcessSN]],表格2_7[],2,FALSE)</f>
        <v>30-4118-018-550</v>
      </c>
      <c r="I10306" t="str">
        <f>VLOOKUP(record[[#This Row],[ProcessSN]],表格2_7[],3,FALSE)</f>
        <v>#08RCV</v>
      </c>
      <c r="J10306" t="s">
        <v>591</v>
      </c>
      <c r="K10306" s="195">
        <v>45708.351921296293</v>
      </c>
      <c r="L10306">
        <v>1</v>
      </c>
      <c r="M10306">
        <v>-1</v>
      </c>
      <c r="N10306" s="98" t="str">
        <f>IF(record[[#This Row],[Memo]]="Browser:chrome os:android","平板報工",IF(record[[#This Row],[Memo]]=0,"委外",record[[#This Row],[Memo]]))</f>
        <v>覆回品</v>
      </c>
      <c r="O10306" t="s">
        <v>664</v>
      </c>
      <c r="P10306" t="s">
        <v>65</v>
      </c>
      <c r="Q10306" t="s">
        <v>58</v>
      </c>
      <c r="R10306" t="str">
        <f>IFERROR(VLOOKUP(record[[#This Row],[PCUSTID]],廠商[],2,FALSE),"")</f>
        <v/>
      </c>
      <c r="S10306" t="str">
        <f>VLOOKUP(record[[#This Row],[employeeID]],員工[],2,FALSE)</f>
        <v>蘇進昌</v>
      </c>
    </row>
    <row r="10307" spans="6:19" hidden="1" x14ac:dyDescent="0.25">
      <c r="F10307" t="s">
        <v>595</v>
      </c>
      <c r="G10307" t="s">
        <v>451</v>
      </c>
      <c r="H10307" t="str">
        <f>VLOOKUP(record[[#This Row],[ProcessSN]],表格2_7[],2,FALSE)</f>
        <v>30-4118-018-6XX</v>
      </c>
      <c r="I10307" t="str">
        <f>VLOOKUP(record[[#This Row],[ProcessSN]],表格2_7[],3,FALSE)</f>
        <v>#07</v>
      </c>
      <c r="J10307" t="s">
        <v>588</v>
      </c>
      <c r="K10307" s="195">
        <v>45707.924050925925</v>
      </c>
      <c r="L10307">
        <v>180</v>
      </c>
      <c r="M10307">
        <v>0</v>
      </c>
      <c r="N10307" s="98" t="str">
        <f>IF(record[[#This Row],[Memo]]="Browser:chrome os:android","平板報工",IF(record[[#This Row],[Memo]]=0,"委外",record[[#This Row],[Memo]]))</f>
        <v/>
      </c>
      <c r="O10307" t="s">
        <v>58</v>
      </c>
      <c r="P10307" t="s">
        <v>127</v>
      </c>
      <c r="Q10307" t="s">
        <v>58</v>
      </c>
      <c r="R10307" t="str">
        <f>IFERROR(VLOOKUP(record[[#This Row],[PCUSTID]],廠商[],2,FALSE),"")</f>
        <v/>
      </c>
      <c r="S10307" t="str">
        <f>VLOOKUP(record[[#This Row],[employeeID]],員工[],2,FALSE)</f>
        <v>潘雪梅</v>
      </c>
    </row>
    <row r="10308" spans="6:19" hidden="1" x14ac:dyDescent="0.25">
      <c r="F10308" t="s">
        <v>683</v>
      </c>
      <c r="G10308" t="s">
        <v>359</v>
      </c>
      <c r="H10308" t="str">
        <f>VLOOKUP(record[[#This Row],[ProcessSN]],表格2_7[],2,FALSE)</f>
        <v>30-4118-018-450</v>
      </c>
      <c r="I10308" t="str">
        <f>VLOOKUP(record[[#This Row],[ProcessSN]],表格2_7[],3,FALSE)</f>
        <v>#100</v>
      </c>
      <c r="J10308" t="s">
        <v>598</v>
      </c>
      <c r="K10308" s="195">
        <v>45707.732604166667</v>
      </c>
      <c r="L10308">
        <v>219</v>
      </c>
      <c r="M10308">
        <v>0</v>
      </c>
      <c r="N10308" s="98" t="str">
        <f>IF(record[[#This Row],[Memo]]="Browser:chrome os:android","平板報工",IF(record[[#This Row],[Memo]]=0,"委外",record[[#This Row],[Memo]]))</f>
        <v/>
      </c>
      <c r="O10308" t="s">
        <v>58</v>
      </c>
      <c r="P10308" t="s">
        <v>141</v>
      </c>
      <c r="Q10308" t="s">
        <v>58</v>
      </c>
      <c r="R10308" t="str">
        <f>IFERROR(VLOOKUP(record[[#This Row],[PCUSTID]],廠商[],2,FALSE),"")</f>
        <v/>
      </c>
      <c r="S10308" t="str">
        <f>VLOOKUP(record[[#This Row],[employeeID]],員工[],2,FALSE)</f>
        <v>蔣梅</v>
      </c>
    </row>
    <row r="10309" spans="6:19" hidden="1" x14ac:dyDescent="0.25">
      <c r="F10309" t="s">
        <v>678</v>
      </c>
      <c r="G10309" t="s">
        <v>359</v>
      </c>
      <c r="H10309" t="str">
        <f>VLOOKUP(record[[#This Row],[ProcessSN]],表格2_7[],2,FALSE)</f>
        <v>30-4118-018-450</v>
      </c>
      <c r="I10309" t="str">
        <f>VLOOKUP(record[[#This Row],[ProcessSN]],表格2_7[],3,FALSE)</f>
        <v>#100</v>
      </c>
      <c r="J10309" t="s">
        <v>598</v>
      </c>
      <c r="K10309" s="195">
        <v>45707.725231481483</v>
      </c>
      <c r="L10309">
        <v>8</v>
      </c>
      <c r="M10309">
        <v>0</v>
      </c>
      <c r="N10309" s="98" t="str">
        <f>IF(record[[#This Row],[Memo]]="Browser:chrome os:android","平板報工",IF(record[[#This Row],[Memo]]=0,"委外",record[[#This Row],[Memo]]))</f>
        <v>平板報工</v>
      </c>
      <c r="O10309" t="s">
        <v>643</v>
      </c>
      <c r="P10309" t="s">
        <v>141</v>
      </c>
      <c r="Q10309" t="s">
        <v>644</v>
      </c>
      <c r="R10309" t="str">
        <f>IFERROR(VLOOKUP(record[[#This Row],[PCUSTID]],廠商[],2,FALSE),"")</f>
        <v/>
      </c>
      <c r="S10309" t="str">
        <f>VLOOKUP(record[[#This Row],[employeeID]],員工[],2,FALSE)</f>
        <v>蔣梅</v>
      </c>
    </row>
    <row r="10310" spans="6:19" hidden="1" x14ac:dyDescent="0.25">
      <c r="F10310" t="s">
        <v>678</v>
      </c>
      <c r="G10310" t="s">
        <v>358</v>
      </c>
      <c r="H10310" t="str">
        <f>VLOOKUP(record[[#This Row],[ProcessSN]],表格2_7[],2,FALSE)</f>
        <v>30-4118-018-450</v>
      </c>
      <c r="I10310" t="str">
        <f>VLOOKUP(record[[#This Row],[ProcessSN]],表格2_7[],3,FALSE)</f>
        <v>#08IQC</v>
      </c>
      <c r="J10310" t="s">
        <v>583</v>
      </c>
      <c r="K10310" s="195">
        <v>45707.716689814813</v>
      </c>
      <c r="L10310">
        <v>10</v>
      </c>
      <c r="M10310">
        <v>0</v>
      </c>
      <c r="N10310" s="98" t="str">
        <f>IF(record[[#This Row],[Memo]]="Browser:chrome os:android","平板報工",IF(record[[#This Row],[Memo]]=0,"委外",record[[#This Row],[Memo]]))</f>
        <v/>
      </c>
      <c r="O10310" t="s">
        <v>58</v>
      </c>
      <c r="P10310" t="s">
        <v>65</v>
      </c>
      <c r="Q10310" t="s">
        <v>58</v>
      </c>
      <c r="R10310" t="str">
        <f>IFERROR(VLOOKUP(record[[#This Row],[PCUSTID]],廠商[],2,FALSE),"")</f>
        <v/>
      </c>
      <c r="S10310" t="str">
        <f>VLOOKUP(record[[#This Row],[employeeID]],員工[],2,FALSE)</f>
        <v>蘇進昌</v>
      </c>
    </row>
    <row r="10311" spans="6:19" hidden="1" x14ac:dyDescent="0.25">
      <c r="F10311" t="s">
        <v>678</v>
      </c>
      <c r="G10311" t="s">
        <v>359</v>
      </c>
      <c r="H10311" t="str">
        <f>VLOOKUP(record[[#This Row],[ProcessSN]],表格2_7[],2,FALSE)</f>
        <v>30-4118-018-450</v>
      </c>
      <c r="I10311" t="str">
        <f>VLOOKUP(record[[#This Row],[ProcessSN]],表格2_7[],3,FALSE)</f>
        <v>#100</v>
      </c>
      <c r="J10311" t="s">
        <v>598</v>
      </c>
      <c r="K10311" s="195">
        <v>45707.706458333334</v>
      </c>
      <c r="L10311">
        <v>305</v>
      </c>
      <c r="M10311">
        <v>0</v>
      </c>
      <c r="N10311" s="98" t="str">
        <f>IF(record[[#This Row],[Memo]]="Browser:chrome os:android","平板報工",IF(record[[#This Row],[Memo]]=0,"委外",record[[#This Row],[Memo]]))</f>
        <v/>
      </c>
      <c r="O10311" t="s">
        <v>58</v>
      </c>
      <c r="P10311" t="s">
        <v>141</v>
      </c>
      <c r="Q10311" t="s">
        <v>58</v>
      </c>
      <c r="R10311" t="str">
        <f>IFERROR(VLOOKUP(record[[#This Row],[PCUSTID]],廠商[],2,FALSE),"")</f>
        <v/>
      </c>
      <c r="S10311" t="str">
        <f>VLOOKUP(record[[#This Row],[employeeID]],員工[],2,FALSE)</f>
        <v>蔣梅</v>
      </c>
    </row>
    <row r="10312" spans="6:19" hidden="1" x14ac:dyDescent="0.25">
      <c r="F10312" t="s">
        <v>595</v>
      </c>
      <c r="G10312" t="s">
        <v>451</v>
      </c>
      <c r="H10312" t="str">
        <f>VLOOKUP(record[[#This Row],[ProcessSN]],表格2_7[],2,FALSE)</f>
        <v>30-4118-018-6XX</v>
      </c>
      <c r="I10312" t="str">
        <f>VLOOKUP(record[[#This Row],[ProcessSN]],表格2_7[],3,FALSE)</f>
        <v>#07</v>
      </c>
      <c r="J10312" t="s">
        <v>588</v>
      </c>
      <c r="K10312" s="195">
        <v>45707.649664351855</v>
      </c>
      <c r="L10312">
        <v>170</v>
      </c>
      <c r="M10312">
        <v>0</v>
      </c>
      <c r="N10312" s="98" t="str">
        <f>IF(record[[#This Row],[Memo]]="Browser:chrome os:android","平板報工",IF(record[[#This Row],[Memo]]=0,"委外",record[[#This Row],[Memo]]))</f>
        <v/>
      </c>
      <c r="O10312" t="s">
        <v>58</v>
      </c>
      <c r="P10312" t="s">
        <v>119</v>
      </c>
      <c r="Q10312" t="s">
        <v>58</v>
      </c>
      <c r="R10312" t="str">
        <f>IFERROR(VLOOKUP(record[[#This Row],[PCUSTID]],廠商[],2,FALSE),"")</f>
        <v/>
      </c>
      <c r="S10312" t="str">
        <f>VLOOKUP(record[[#This Row],[employeeID]],員工[],2,FALSE)</f>
        <v>廖俊彥</v>
      </c>
    </row>
    <row r="10313" spans="6:19" hidden="1" x14ac:dyDescent="0.25">
      <c r="F10313" t="s">
        <v>668</v>
      </c>
      <c r="G10313" t="s">
        <v>359</v>
      </c>
      <c r="H10313" t="str">
        <f>VLOOKUP(record[[#This Row],[ProcessSN]],表格2_7[],2,FALSE)</f>
        <v>30-4118-018-450</v>
      </c>
      <c r="I10313" t="str">
        <f>VLOOKUP(record[[#This Row],[ProcessSN]],表格2_7[],3,FALSE)</f>
        <v>#100</v>
      </c>
      <c r="J10313" t="s">
        <v>598</v>
      </c>
      <c r="K10313" s="195">
        <v>45707.499548611115</v>
      </c>
      <c r="L10313">
        <v>0</v>
      </c>
      <c r="M10313">
        <v>4</v>
      </c>
      <c r="N10313" s="98" t="str">
        <f>IF(record[[#This Row],[Memo]]="Browser:chrome os:android","平板報工",IF(record[[#This Row],[Memo]]=0,"委外",record[[#This Row],[Memo]]))</f>
        <v>平板報工</v>
      </c>
      <c r="O10313" t="s">
        <v>643</v>
      </c>
      <c r="P10313" t="s">
        <v>141</v>
      </c>
      <c r="Q10313" t="s">
        <v>644</v>
      </c>
      <c r="R10313" t="str">
        <f>IFERROR(VLOOKUP(record[[#This Row],[PCUSTID]],廠商[],2,FALSE),"")</f>
        <v/>
      </c>
      <c r="S10313" t="str">
        <f>VLOOKUP(record[[#This Row],[employeeID]],員工[],2,FALSE)</f>
        <v>蔣梅</v>
      </c>
    </row>
    <row r="10314" spans="6:19" hidden="1" x14ac:dyDescent="0.25">
      <c r="F10314" t="s">
        <v>668</v>
      </c>
      <c r="G10314" t="s">
        <v>359</v>
      </c>
      <c r="H10314" t="str">
        <f>VLOOKUP(record[[#This Row],[ProcessSN]],表格2_7[],2,FALSE)</f>
        <v>30-4118-018-450</v>
      </c>
      <c r="I10314" t="str">
        <f>VLOOKUP(record[[#This Row],[ProcessSN]],表格2_7[],3,FALSE)</f>
        <v>#100</v>
      </c>
      <c r="J10314" t="s">
        <v>598</v>
      </c>
      <c r="K10314" s="195">
        <v>45707.499085648145</v>
      </c>
      <c r="L10314">
        <v>159</v>
      </c>
      <c r="M10314">
        <v>0</v>
      </c>
      <c r="N10314" s="98" t="str">
        <f>IF(record[[#This Row],[Memo]]="Browser:chrome os:android","平板報工",IF(record[[#This Row],[Memo]]=0,"委外",record[[#This Row],[Memo]]))</f>
        <v>平板報工</v>
      </c>
      <c r="O10314" t="s">
        <v>643</v>
      </c>
      <c r="P10314" t="s">
        <v>141</v>
      </c>
      <c r="Q10314" t="s">
        <v>644</v>
      </c>
      <c r="R10314" t="str">
        <f>IFERROR(VLOOKUP(record[[#This Row],[PCUSTID]],廠商[],2,FALSE),"")</f>
        <v/>
      </c>
      <c r="S10314" t="str">
        <f>VLOOKUP(record[[#This Row],[employeeID]],員工[],2,FALSE)</f>
        <v>蔣梅</v>
      </c>
    </row>
    <row r="10315" spans="6:19" hidden="1" x14ac:dyDescent="0.25">
      <c r="F10315" t="s">
        <v>737</v>
      </c>
      <c r="G10315" t="s">
        <v>422</v>
      </c>
      <c r="H10315" t="str">
        <f>VLOOKUP(record[[#This Row],[ProcessSN]],表格2_7[],2,FALSE)</f>
        <v>30-4118-018-600</v>
      </c>
      <c r="I10315" t="str">
        <f>VLOOKUP(record[[#This Row],[ProcessSN]],表格2_7[],3,FALSE)</f>
        <v>#08</v>
      </c>
      <c r="J10315" t="s">
        <v>597</v>
      </c>
      <c r="K10315" s="195">
        <v>45707.421550925923</v>
      </c>
      <c r="L10315">
        <v>336</v>
      </c>
      <c r="M10315">
        <v>0</v>
      </c>
      <c r="N10315" s="98" t="str">
        <f>IF(record[[#This Row],[Memo]]="Browser:chrome os:android","平板報工",IF(record[[#This Row],[Memo]]=0,"委外",record[[#This Row],[Memo]]))</f>
        <v>委外</v>
      </c>
      <c r="P10315" t="s">
        <v>202</v>
      </c>
      <c r="Q10315" t="s">
        <v>287</v>
      </c>
      <c r="R10315" t="str">
        <f>IFERROR(VLOOKUP(record[[#This Row],[PCUSTID]],廠商[],2,FALSE),"")</f>
        <v>泉盛</v>
      </c>
      <c r="S10315" t="str">
        <f>VLOOKUP(record[[#This Row],[employeeID]],員工[],2,FALSE)</f>
        <v>游惠茹</v>
      </c>
    </row>
    <row r="10316" spans="6:19" hidden="1" x14ac:dyDescent="0.25">
      <c r="F10316" t="s">
        <v>737</v>
      </c>
      <c r="G10316" t="s">
        <v>421</v>
      </c>
      <c r="H10316" t="str">
        <f>VLOOKUP(record[[#This Row],[ProcessSN]],表格2_7[],2,FALSE)</f>
        <v>30-4118-018-600</v>
      </c>
      <c r="I10316" t="str">
        <f>VLOOKUP(record[[#This Row],[ProcessSN]],表格2_7[],3,FALSE)</f>
        <v>#08PICK</v>
      </c>
      <c r="J10316" t="s">
        <v>582</v>
      </c>
      <c r="K10316" s="195">
        <v>45707.419722222221</v>
      </c>
      <c r="L10316">
        <v>336</v>
      </c>
      <c r="M10316">
        <v>0</v>
      </c>
      <c r="N10316" s="98" t="str">
        <f>IF(record[[#This Row],[Memo]]="Browser:chrome os:android","平板報工",IF(record[[#This Row],[Memo]]=0,"委外",record[[#This Row],[Memo]]))</f>
        <v/>
      </c>
      <c r="O10316" t="s">
        <v>58</v>
      </c>
      <c r="P10316" t="s">
        <v>202</v>
      </c>
      <c r="Q10316" t="s">
        <v>58</v>
      </c>
      <c r="R10316" t="str">
        <f>IFERROR(VLOOKUP(record[[#This Row],[PCUSTID]],廠商[],2,FALSE),"")</f>
        <v/>
      </c>
      <c r="S10316" t="str">
        <f>VLOOKUP(record[[#This Row],[employeeID]],員工[],2,FALSE)</f>
        <v>游惠茹</v>
      </c>
    </row>
    <row r="10317" spans="6:19" hidden="1" x14ac:dyDescent="0.25">
      <c r="F10317" t="s">
        <v>595</v>
      </c>
      <c r="G10317" t="s">
        <v>453</v>
      </c>
      <c r="H10317" t="str">
        <f>VLOOKUP(record[[#This Row],[ProcessSN]],表格2_7[],2,FALSE)</f>
        <v>30-4118-018-6XX</v>
      </c>
      <c r="I10317" t="str">
        <f>VLOOKUP(record[[#This Row],[ProcessSN]],表格2_7[],3,FALSE)</f>
        <v>#07STOCK</v>
      </c>
      <c r="J10317" t="s">
        <v>592</v>
      </c>
      <c r="K10317" s="195">
        <v>45707.41851851852</v>
      </c>
      <c r="L10317">
        <v>336</v>
      </c>
      <c r="M10317">
        <v>0</v>
      </c>
      <c r="N10317" s="98" t="str">
        <f>IF(record[[#This Row],[Memo]]="Browser:chrome os:android","平板報工",IF(record[[#This Row],[Memo]]=0,"委外",record[[#This Row],[Memo]]))</f>
        <v/>
      </c>
      <c r="O10317" t="s">
        <v>58</v>
      </c>
      <c r="P10317" t="s">
        <v>202</v>
      </c>
      <c r="Q10317" t="s">
        <v>58</v>
      </c>
      <c r="R10317" t="str">
        <f>IFERROR(VLOOKUP(record[[#This Row],[PCUSTID]],廠商[],2,FALSE),"")</f>
        <v/>
      </c>
      <c r="S10317" t="str">
        <f>VLOOKUP(record[[#This Row],[employeeID]],員工[],2,FALSE)</f>
        <v>游惠茹</v>
      </c>
    </row>
    <row r="10318" spans="6:19" hidden="1" x14ac:dyDescent="0.25">
      <c r="F10318" t="s">
        <v>595</v>
      </c>
      <c r="G10318" t="s">
        <v>452</v>
      </c>
      <c r="H10318" t="str">
        <f>VLOOKUP(record[[#This Row],[ProcessSN]],表格2_7[],2,FALSE)</f>
        <v>30-4118-018-6XX</v>
      </c>
      <c r="I10318" t="str">
        <f>VLOOKUP(record[[#This Row],[ProcessSN]],表格2_7[],3,FALSE)</f>
        <v>#07QC</v>
      </c>
      <c r="J10318" t="s">
        <v>589</v>
      </c>
      <c r="K10318" s="195">
        <v>45707.401724537034</v>
      </c>
      <c r="L10318">
        <v>336</v>
      </c>
      <c r="M10318">
        <v>0</v>
      </c>
      <c r="N10318" s="98" t="str">
        <f>IF(record[[#This Row],[Memo]]="Browser:chrome os:android","平板報工",IF(record[[#This Row],[Memo]]=0,"委外",record[[#This Row],[Memo]]))</f>
        <v>平板報工</v>
      </c>
      <c r="O10318" t="s">
        <v>643</v>
      </c>
      <c r="P10318" t="s">
        <v>109</v>
      </c>
      <c r="Q10318" t="s">
        <v>644</v>
      </c>
      <c r="R10318" t="str">
        <f>IFERROR(VLOOKUP(record[[#This Row],[PCUSTID]],廠商[],2,FALSE),"")</f>
        <v/>
      </c>
      <c r="S10318" t="str">
        <f>VLOOKUP(record[[#This Row],[employeeID]],員工[],2,FALSE)</f>
        <v>裴氏璧鳳</v>
      </c>
    </row>
    <row r="10319" spans="6:19" hidden="1" x14ac:dyDescent="0.25">
      <c r="F10319" t="s">
        <v>595</v>
      </c>
      <c r="G10319" t="s">
        <v>451</v>
      </c>
      <c r="H10319" t="str">
        <f>VLOOKUP(record[[#This Row],[ProcessSN]],表格2_7[],2,FALSE)</f>
        <v>30-4118-018-6XX</v>
      </c>
      <c r="I10319" t="str">
        <f>VLOOKUP(record[[#This Row],[ProcessSN]],表格2_7[],3,FALSE)</f>
        <v>#07</v>
      </c>
      <c r="J10319" t="s">
        <v>588</v>
      </c>
      <c r="K10319" s="195">
        <v>45706.987662037034</v>
      </c>
      <c r="L10319">
        <v>198</v>
      </c>
      <c r="M10319">
        <v>2</v>
      </c>
      <c r="N10319" s="98" t="str">
        <f>IF(record[[#This Row],[Memo]]="Browser:chrome os:android","平板報工",IF(record[[#This Row],[Memo]]=0,"委外",record[[#This Row],[Memo]]))</f>
        <v/>
      </c>
      <c r="O10319" t="s">
        <v>58</v>
      </c>
      <c r="P10319" t="s">
        <v>127</v>
      </c>
      <c r="Q10319" t="s">
        <v>58</v>
      </c>
      <c r="R10319" t="str">
        <f>IFERROR(VLOOKUP(record[[#This Row],[PCUSTID]],廠商[],2,FALSE),"")</f>
        <v/>
      </c>
      <c r="S10319" t="str">
        <f>VLOOKUP(record[[#This Row],[employeeID]],員工[],2,FALSE)</f>
        <v>潘雪梅</v>
      </c>
    </row>
    <row r="10320" spans="6:19" hidden="1" x14ac:dyDescent="0.25">
      <c r="F10320" t="s">
        <v>689</v>
      </c>
      <c r="G10320" t="s">
        <v>399</v>
      </c>
      <c r="H10320" t="str">
        <f>VLOOKUP(record[[#This Row],[ProcessSN]],表格2_7[],2,FALSE)</f>
        <v>30-4118-018-550</v>
      </c>
      <c r="I10320" t="str">
        <f>VLOOKUP(record[[#This Row],[ProcessSN]],表格2_7[],3,FALSE)</f>
        <v>#08IQC</v>
      </c>
      <c r="J10320" t="s">
        <v>583</v>
      </c>
      <c r="K10320" s="195">
        <v>45706.831574074073</v>
      </c>
      <c r="L10320">
        <v>2</v>
      </c>
      <c r="M10320">
        <v>0</v>
      </c>
      <c r="N10320" s="98" t="str">
        <f>IF(record[[#This Row],[Memo]]="Browser:chrome os:android","平板報工",IF(record[[#This Row],[Memo]]=0,"委外",record[[#This Row],[Memo]]))</f>
        <v/>
      </c>
      <c r="O10320" t="s">
        <v>58</v>
      </c>
      <c r="P10320" t="s">
        <v>125</v>
      </c>
      <c r="Q10320" t="s">
        <v>58</v>
      </c>
      <c r="R10320" t="str">
        <f>IFERROR(VLOOKUP(record[[#This Row],[PCUSTID]],廠商[],2,FALSE),"")</f>
        <v/>
      </c>
      <c r="S10320" t="str">
        <f>VLOOKUP(record[[#This Row],[employeeID]],員工[],2,FALSE)</f>
        <v>黃瓈巧</v>
      </c>
    </row>
    <row r="10321" spans="6:19" hidden="1" x14ac:dyDescent="0.25">
      <c r="F10321" t="s">
        <v>699</v>
      </c>
      <c r="G10321" t="s">
        <v>399</v>
      </c>
      <c r="H10321" t="str">
        <f>VLOOKUP(record[[#This Row],[ProcessSN]],表格2_7[],2,FALSE)</f>
        <v>30-4118-018-550</v>
      </c>
      <c r="I10321" t="str">
        <f>VLOOKUP(record[[#This Row],[ProcessSN]],表格2_7[],3,FALSE)</f>
        <v>#08IQC</v>
      </c>
      <c r="J10321" t="s">
        <v>583</v>
      </c>
      <c r="K10321" s="195">
        <v>45706.830891203703</v>
      </c>
      <c r="L10321">
        <v>4</v>
      </c>
      <c r="M10321">
        <v>0</v>
      </c>
      <c r="N10321" s="98" t="str">
        <f>IF(record[[#This Row],[Memo]]="Browser:chrome os:android","平板報工",IF(record[[#This Row],[Memo]]=0,"委外",record[[#This Row],[Memo]]))</f>
        <v/>
      </c>
      <c r="O10321" t="s">
        <v>58</v>
      </c>
      <c r="P10321" t="s">
        <v>125</v>
      </c>
      <c r="Q10321" t="s">
        <v>58</v>
      </c>
      <c r="R10321" t="str">
        <f>IFERROR(VLOOKUP(record[[#This Row],[PCUSTID]],廠商[],2,FALSE),"")</f>
        <v/>
      </c>
      <c r="S10321" t="str">
        <f>VLOOKUP(record[[#This Row],[employeeID]],員工[],2,FALSE)</f>
        <v>黃瓈巧</v>
      </c>
    </row>
    <row r="10322" spans="6:19" hidden="1" x14ac:dyDescent="0.25">
      <c r="F10322" t="s">
        <v>699</v>
      </c>
      <c r="G10322" t="s">
        <v>399</v>
      </c>
      <c r="H10322" t="str">
        <f>VLOOKUP(record[[#This Row],[ProcessSN]],表格2_7[],2,FALSE)</f>
        <v>30-4118-018-550</v>
      </c>
      <c r="I10322" t="str">
        <f>VLOOKUP(record[[#This Row],[ProcessSN]],表格2_7[],3,FALSE)</f>
        <v>#08IQC</v>
      </c>
      <c r="J10322" t="s">
        <v>583</v>
      </c>
      <c r="K10322" s="195">
        <v>45706.82267361111</v>
      </c>
      <c r="L10322">
        <v>7</v>
      </c>
      <c r="M10322">
        <v>0</v>
      </c>
      <c r="N10322" s="98" t="str">
        <f>IF(record[[#This Row],[Memo]]="Browser:chrome os:android","平板報工",IF(record[[#This Row],[Memo]]=0,"委外",record[[#This Row],[Memo]]))</f>
        <v/>
      </c>
      <c r="O10322" t="s">
        <v>58</v>
      </c>
      <c r="P10322" t="s">
        <v>125</v>
      </c>
      <c r="Q10322" t="s">
        <v>58</v>
      </c>
      <c r="R10322" t="str">
        <f>IFERROR(VLOOKUP(record[[#This Row],[PCUSTID]],廠商[],2,FALSE),"")</f>
        <v/>
      </c>
      <c r="S10322" t="str">
        <f>VLOOKUP(record[[#This Row],[employeeID]],員工[],2,FALSE)</f>
        <v>黃瓈巧</v>
      </c>
    </row>
    <row r="10323" spans="6:19" hidden="1" x14ac:dyDescent="0.25">
      <c r="F10323" t="s">
        <v>660</v>
      </c>
      <c r="G10323" t="s">
        <v>399</v>
      </c>
      <c r="H10323" t="str">
        <f>VLOOKUP(record[[#This Row],[ProcessSN]],表格2_7[],2,FALSE)</f>
        <v>30-4118-018-550</v>
      </c>
      <c r="I10323" t="str">
        <f>VLOOKUP(record[[#This Row],[ProcessSN]],表格2_7[],3,FALSE)</f>
        <v>#08IQC</v>
      </c>
      <c r="J10323" t="s">
        <v>583</v>
      </c>
      <c r="K10323" s="195">
        <v>45706.819780092592</v>
      </c>
      <c r="L10323">
        <v>5</v>
      </c>
      <c r="M10323">
        <v>0</v>
      </c>
      <c r="N10323" s="98" t="str">
        <f>IF(record[[#This Row],[Memo]]="Browser:chrome os:android","平板報工",IF(record[[#This Row],[Memo]]=0,"委外",record[[#This Row],[Memo]]))</f>
        <v/>
      </c>
      <c r="O10323" t="s">
        <v>58</v>
      </c>
      <c r="P10323" t="s">
        <v>125</v>
      </c>
      <c r="Q10323" t="s">
        <v>58</v>
      </c>
      <c r="R10323" t="str">
        <f>IFERROR(VLOOKUP(record[[#This Row],[PCUSTID]],廠商[],2,FALSE),"")</f>
        <v/>
      </c>
      <c r="S10323" t="str">
        <f>VLOOKUP(record[[#This Row],[employeeID]],員工[],2,FALSE)</f>
        <v>黃瓈巧</v>
      </c>
    </row>
    <row r="10324" spans="6:19" hidden="1" x14ac:dyDescent="0.25">
      <c r="F10324" t="s">
        <v>701</v>
      </c>
      <c r="G10324" t="s">
        <v>399</v>
      </c>
      <c r="H10324" t="str">
        <f>VLOOKUP(record[[#This Row],[ProcessSN]],表格2_7[],2,FALSE)</f>
        <v>30-4118-018-550</v>
      </c>
      <c r="I10324" t="str">
        <f>VLOOKUP(record[[#This Row],[ProcessSN]],表格2_7[],3,FALSE)</f>
        <v>#08IQC</v>
      </c>
      <c r="J10324" t="s">
        <v>583</v>
      </c>
      <c r="K10324" s="195">
        <v>45706.814895833333</v>
      </c>
      <c r="L10324">
        <v>2</v>
      </c>
      <c r="M10324">
        <v>0</v>
      </c>
      <c r="N10324" s="98" t="str">
        <f>IF(record[[#This Row],[Memo]]="Browser:chrome os:android","平板報工",IF(record[[#This Row],[Memo]]=0,"委外",record[[#This Row],[Memo]]))</f>
        <v/>
      </c>
      <c r="O10324" t="s">
        <v>58</v>
      </c>
      <c r="P10324" t="s">
        <v>125</v>
      </c>
      <c r="Q10324" t="s">
        <v>58</v>
      </c>
      <c r="R10324" t="str">
        <f>IFERROR(VLOOKUP(record[[#This Row],[PCUSTID]],廠商[],2,FALSE),"")</f>
        <v/>
      </c>
      <c r="S10324" t="str">
        <f>VLOOKUP(record[[#This Row],[employeeID]],員工[],2,FALSE)</f>
        <v>黃瓈巧</v>
      </c>
    </row>
    <row r="10325" spans="6:19" hidden="1" x14ac:dyDescent="0.25">
      <c r="F10325" t="s">
        <v>684</v>
      </c>
      <c r="G10325" t="s">
        <v>399</v>
      </c>
      <c r="H10325" t="str">
        <f>VLOOKUP(record[[#This Row],[ProcessSN]],表格2_7[],2,FALSE)</f>
        <v>30-4118-018-550</v>
      </c>
      <c r="I10325" t="str">
        <f>VLOOKUP(record[[#This Row],[ProcessSN]],表格2_7[],3,FALSE)</f>
        <v>#08IQC</v>
      </c>
      <c r="J10325" t="s">
        <v>583</v>
      </c>
      <c r="K10325" s="195">
        <v>45706.799756944441</v>
      </c>
      <c r="L10325">
        <v>6</v>
      </c>
      <c r="M10325">
        <v>0</v>
      </c>
      <c r="N10325" s="98" t="str">
        <f>IF(record[[#This Row],[Memo]]="Browser:chrome os:android","平板報工",IF(record[[#This Row],[Memo]]=0,"委外",record[[#This Row],[Memo]]))</f>
        <v/>
      </c>
      <c r="O10325" t="s">
        <v>58</v>
      </c>
      <c r="P10325" t="s">
        <v>125</v>
      </c>
      <c r="Q10325" t="s">
        <v>58</v>
      </c>
      <c r="R10325" t="str">
        <f>IFERROR(VLOOKUP(record[[#This Row],[PCUSTID]],廠商[],2,FALSE),"")</f>
        <v/>
      </c>
      <c r="S10325" t="str">
        <f>VLOOKUP(record[[#This Row],[employeeID]],員工[],2,FALSE)</f>
        <v>黃瓈巧</v>
      </c>
    </row>
    <row r="10326" spans="6:19" hidden="1" x14ac:dyDescent="0.25">
      <c r="F10326" t="s">
        <v>732</v>
      </c>
      <c r="G10326" t="s">
        <v>464</v>
      </c>
      <c r="H10326" t="str">
        <f>VLOOKUP(record[[#This Row],[ProcessSN]],表格2_7[],2,FALSE)</f>
        <v>30-4118-018-XXX</v>
      </c>
      <c r="I10326" t="str">
        <f>VLOOKUP(record[[#This Row],[ProcessSN]],表格2_7[],3,FALSE)</f>
        <v>#01GIVE</v>
      </c>
      <c r="J10326" t="s">
        <v>587</v>
      </c>
      <c r="K10326" s="195">
        <v>45706.707511574074</v>
      </c>
      <c r="L10326">
        <v>1920</v>
      </c>
      <c r="M10326">
        <v>0</v>
      </c>
      <c r="N10326" s="98" t="str">
        <f>IF(record[[#This Row],[Memo]]="Browser:chrome os:android","平板報工",IF(record[[#This Row],[Memo]]=0,"委外",record[[#This Row],[Memo]]))</f>
        <v/>
      </c>
      <c r="O10326" t="s">
        <v>58</v>
      </c>
      <c r="P10326" t="s">
        <v>113</v>
      </c>
      <c r="Q10326" t="s">
        <v>58</v>
      </c>
      <c r="R10326" t="str">
        <f>IFERROR(VLOOKUP(record[[#This Row],[PCUSTID]],廠商[],2,FALSE),"")</f>
        <v/>
      </c>
      <c r="S10326" t="str">
        <f>VLOOKUP(record[[#This Row],[employeeID]],員工[],2,FALSE)</f>
        <v>王奕蓁</v>
      </c>
    </row>
    <row r="10327" spans="6:19" hidden="1" x14ac:dyDescent="0.25">
      <c r="F10327" t="s">
        <v>732</v>
      </c>
      <c r="G10327" t="s">
        <v>463</v>
      </c>
      <c r="H10327" t="str">
        <f>VLOOKUP(record[[#This Row],[ProcessSN]],表格2_7[],2,FALSE)</f>
        <v>30-4118-018-XXX</v>
      </c>
      <c r="I10327" t="str">
        <f>VLOOKUP(record[[#This Row],[ProcessSN]],表格2_7[],3,FALSE)</f>
        <v>#00IQC</v>
      </c>
      <c r="J10327" t="s">
        <v>583</v>
      </c>
      <c r="K10327" s="195">
        <v>45706.703113425923</v>
      </c>
      <c r="L10327">
        <v>1920</v>
      </c>
      <c r="M10327">
        <v>0</v>
      </c>
      <c r="N10327" s="98" t="str">
        <f>IF(record[[#This Row],[Memo]]="Browser:chrome os:android","平板報工",IF(record[[#This Row],[Memo]]=0,"委外",record[[#This Row],[Memo]]))</f>
        <v/>
      </c>
      <c r="O10327" t="s">
        <v>58</v>
      </c>
      <c r="P10327" t="s">
        <v>143</v>
      </c>
      <c r="Q10327" t="s">
        <v>58</v>
      </c>
      <c r="R10327" t="str">
        <f>IFERROR(VLOOKUP(record[[#This Row],[PCUSTID]],廠商[],2,FALSE),"")</f>
        <v/>
      </c>
      <c r="S10327" t="str">
        <f>VLOOKUP(record[[#This Row],[employeeID]],員工[],2,FALSE)</f>
        <v>潘佳琪</v>
      </c>
    </row>
    <row r="10328" spans="6:19" hidden="1" x14ac:dyDescent="0.25">
      <c r="F10328" t="s">
        <v>732</v>
      </c>
      <c r="G10328" t="s">
        <v>462</v>
      </c>
      <c r="H10328" t="str">
        <f>VLOOKUP(record[[#This Row],[ProcessSN]],表格2_7[],2,FALSE)</f>
        <v>30-4118-018-XXX</v>
      </c>
      <c r="I10328" t="str">
        <f>VLOOKUP(record[[#This Row],[ProcessSN]],表格2_7[],3,FALSE)</f>
        <v>#00PICK</v>
      </c>
      <c r="J10328" t="s">
        <v>582</v>
      </c>
      <c r="K10328" s="195">
        <v>45706.688668981478</v>
      </c>
      <c r="L10328">
        <v>1920</v>
      </c>
      <c r="M10328">
        <v>0</v>
      </c>
      <c r="N10328" s="98" t="str">
        <f>IF(record[[#This Row],[Memo]]="Browser:chrome os:android","平板報工",IF(record[[#This Row],[Memo]]=0,"委外",record[[#This Row],[Memo]]))</f>
        <v/>
      </c>
      <c r="O10328" t="s">
        <v>58</v>
      </c>
      <c r="P10328" t="s">
        <v>202</v>
      </c>
      <c r="Q10328" t="s">
        <v>58</v>
      </c>
      <c r="R10328" t="str">
        <f>IFERROR(VLOOKUP(record[[#This Row],[PCUSTID]],廠商[],2,FALSE),"")</f>
        <v/>
      </c>
      <c r="S10328" t="str">
        <f>VLOOKUP(record[[#This Row],[employeeID]],員工[],2,FALSE)</f>
        <v>游惠茹</v>
      </c>
    </row>
    <row r="10329" spans="6:19" hidden="1" x14ac:dyDescent="0.25">
      <c r="F10329" t="s">
        <v>684</v>
      </c>
      <c r="G10329" t="s">
        <v>398</v>
      </c>
      <c r="H10329" t="str">
        <f>VLOOKUP(record[[#This Row],[ProcessSN]],表格2_7[],2,FALSE)</f>
        <v>30-4118-018-550</v>
      </c>
      <c r="I10329" t="str">
        <f>VLOOKUP(record[[#This Row],[ProcessSN]],表格2_7[],3,FALSE)</f>
        <v>#08RCV</v>
      </c>
      <c r="J10329" t="s">
        <v>591</v>
      </c>
      <c r="K10329" s="195">
        <v>45706.661365740743</v>
      </c>
      <c r="L10329">
        <v>6</v>
      </c>
      <c r="M10329">
        <v>-6</v>
      </c>
      <c r="N10329" s="98" t="str">
        <f>IF(record[[#This Row],[Memo]]="Browser:chrome os:android","平板報工",IF(record[[#This Row],[Memo]]=0,"委外",record[[#This Row],[Memo]]))</f>
        <v>覆回</v>
      </c>
      <c r="O10329" t="s">
        <v>682</v>
      </c>
      <c r="P10329" t="s">
        <v>125</v>
      </c>
      <c r="Q10329" t="s">
        <v>58</v>
      </c>
      <c r="R10329" t="str">
        <f>IFERROR(VLOOKUP(record[[#This Row],[PCUSTID]],廠商[],2,FALSE),"")</f>
        <v/>
      </c>
      <c r="S10329" t="str">
        <f>VLOOKUP(record[[#This Row],[employeeID]],員工[],2,FALSE)</f>
        <v>黃瓈巧</v>
      </c>
    </row>
    <row r="10330" spans="6:19" hidden="1" x14ac:dyDescent="0.25">
      <c r="F10330" t="s">
        <v>689</v>
      </c>
      <c r="G10330" t="s">
        <v>398</v>
      </c>
      <c r="H10330" t="str">
        <f>VLOOKUP(record[[#This Row],[ProcessSN]],表格2_7[],2,FALSE)</f>
        <v>30-4118-018-550</v>
      </c>
      <c r="I10330" t="str">
        <f>VLOOKUP(record[[#This Row],[ProcessSN]],表格2_7[],3,FALSE)</f>
        <v>#08RCV</v>
      </c>
      <c r="J10330" t="s">
        <v>591</v>
      </c>
      <c r="K10330" s="195">
        <v>45706.651296296295</v>
      </c>
      <c r="L10330">
        <v>2</v>
      </c>
      <c r="M10330">
        <v>-2</v>
      </c>
      <c r="N10330" s="98" t="str">
        <f>IF(record[[#This Row],[Memo]]="Browser:chrome os:android","平板報工",IF(record[[#This Row],[Memo]]=0,"委外",record[[#This Row],[Memo]]))</f>
        <v>覆回</v>
      </c>
      <c r="O10330" t="s">
        <v>682</v>
      </c>
      <c r="P10330" t="s">
        <v>125</v>
      </c>
      <c r="Q10330" t="s">
        <v>58</v>
      </c>
      <c r="R10330" t="str">
        <f>IFERROR(VLOOKUP(record[[#This Row],[PCUSTID]],廠商[],2,FALSE),"")</f>
        <v/>
      </c>
      <c r="S10330" t="str">
        <f>VLOOKUP(record[[#This Row],[employeeID]],員工[],2,FALSE)</f>
        <v>黃瓈巧</v>
      </c>
    </row>
    <row r="10331" spans="6:19" hidden="1" x14ac:dyDescent="0.25">
      <c r="F10331" t="s">
        <v>595</v>
      </c>
      <c r="G10331" t="s">
        <v>451</v>
      </c>
      <c r="H10331" t="str">
        <f>VLOOKUP(record[[#This Row],[ProcessSN]],表格2_7[],2,FALSE)</f>
        <v>30-4118-018-6XX</v>
      </c>
      <c r="I10331" t="str">
        <f>VLOOKUP(record[[#This Row],[ProcessSN]],表格2_7[],3,FALSE)</f>
        <v>#07</v>
      </c>
      <c r="J10331" t="s">
        <v>588</v>
      </c>
      <c r="K10331" s="195">
        <v>45706.65016203704</v>
      </c>
      <c r="L10331">
        <v>144</v>
      </c>
      <c r="M10331">
        <v>0</v>
      </c>
      <c r="N10331" s="98" t="str">
        <f>IF(record[[#This Row],[Memo]]="Browser:chrome os:android","平板報工",IF(record[[#This Row],[Memo]]=0,"委外",record[[#This Row],[Memo]]))</f>
        <v/>
      </c>
      <c r="O10331" t="s">
        <v>58</v>
      </c>
      <c r="P10331" t="s">
        <v>119</v>
      </c>
      <c r="Q10331" t="s">
        <v>58</v>
      </c>
      <c r="R10331" t="str">
        <f>IFERROR(VLOOKUP(record[[#This Row],[PCUSTID]],廠商[],2,FALSE),"")</f>
        <v/>
      </c>
      <c r="S10331" t="str">
        <f>VLOOKUP(record[[#This Row],[employeeID]],員工[],2,FALSE)</f>
        <v>廖俊彥</v>
      </c>
    </row>
    <row r="10332" spans="6:19" hidden="1" x14ac:dyDescent="0.25">
      <c r="F10332" t="s">
        <v>720</v>
      </c>
      <c r="G10332" t="s">
        <v>424</v>
      </c>
      <c r="H10332" t="str">
        <f>VLOOKUP(record[[#This Row],[ProcessSN]],表格2_7[],2,FALSE)</f>
        <v>30-4118-018-600</v>
      </c>
      <c r="I10332" t="str">
        <f>VLOOKUP(record[[#This Row],[ProcessSN]],表格2_7[],3,FALSE)</f>
        <v>#08IQC</v>
      </c>
      <c r="J10332" t="s">
        <v>583</v>
      </c>
      <c r="K10332" s="195">
        <v>45706.641377314816</v>
      </c>
      <c r="L10332">
        <v>162</v>
      </c>
      <c r="M10332">
        <v>0</v>
      </c>
      <c r="N10332" s="98" t="str">
        <f>IF(record[[#This Row],[Memo]]="Browser:chrome os:android","平板報工",IF(record[[#This Row],[Memo]]=0,"委外",record[[#This Row],[Memo]]))</f>
        <v/>
      </c>
      <c r="O10332" t="s">
        <v>58</v>
      </c>
      <c r="P10332" t="s">
        <v>143</v>
      </c>
      <c r="Q10332" t="s">
        <v>58</v>
      </c>
      <c r="R10332" t="str">
        <f>IFERROR(VLOOKUP(record[[#This Row],[PCUSTID]],廠商[],2,FALSE),"")</f>
        <v/>
      </c>
      <c r="S10332" t="str">
        <f>VLOOKUP(record[[#This Row],[employeeID]],員工[],2,FALSE)</f>
        <v>潘佳琪</v>
      </c>
    </row>
    <row r="10333" spans="6:19" hidden="1" x14ac:dyDescent="0.25">
      <c r="F10333" t="s">
        <v>680</v>
      </c>
      <c r="G10333" t="s">
        <v>357</v>
      </c>
      <c r="H10333" t="str">
        <f>VLOOKUP(record[[#This Row],[ProcessSN]],表格2_7[],2,FALSE)</f>
        <v>30-4118-018-450</v>
      </c>
      <c r="I10333" t="str">
        <f>VLOOKUP(record[[#This Row],[ProcessSN]],表格2_7[],3,FALSE)</f>
        <v>#08RCV</v>
      </c>
      <c r="J10333" t="s">
        <v>591</v>
      </c>
      <c r="K10333" s="195">
        <v>45706.631979166668</v>
      </c>
      <c r="L10333">
        <v>3</v>
      </c>
      <c r="M10333">
        <v>-3</v>
      </c>
      <c r="N10333" s="98" t="str">
        <f>IF(record[[#This Row],[Memo]]="Browser:chrome os:android","平板報工",IF(record[[#This Row],[Memo]]=0,"委外",record[[#This Row],[Memo]]))</f>
        <v>覆回</v>
      </c>
      <c r="O10333" t="s">
        <v>682</v>
      </c>
      <c r="P10333" t="s">
        <v>125</v>
      </c>
      <c r="Q10333" t="s">
        <v>58</v>
      </c>
      <c r="R10333" t="str">
        <f>IFERROR(VLOOKUP(record[[#This Row],[PCUSTID]],廠商[],2,FALSE),"")</f>
        <v/>
      </c>
      <c r="S10333" t="str">
        <f>VLOOKUP(record[[#This Row],[employeeID]],員工[],2,FALSE)</f>
        <v>黃瓈巧</v>
      </c>
    </row>
    <row r="10334" spans="6:19" hidden="1" x14ac:dyDescent="0.25">
      <c r="F10334" t="s">
        <v>699</v>
      </c>
      <c r="G10334" t="s">
        <v>398</v>
      </c>
      <c r="H10334" t="str">
        <f>VLOOKUP(record[[#This Row],[ProcessSN]],表格2_7[],2,FALSE)</f>
        <v>30-4118-018-550</v>
      </c>
      <c r="I10334" t="str">
        <f>VLOOKUP(record[[#This Row],[ProcessSN]],表格2_7[],3,FALSE)</f>
        <v>#08RCV</v>
      </c>
      <c r="J10334" t="s">
        <v>591</v>
      </c>
      <c r="K10334" s="195">
        <v>45706.627581018518</v>
      </c>
      <c r="L10334">
        <v>7</v>
      </c>
      <c r="M10334">
        <v>-7</v>
      </c>
      <c r="N10334" s="98" t="str">
        <f>IF(record[[#This Row],[Memo]]="Browser:chrome os:android","平板報工",IF(record[[#This Row],[Memo]]=0,"委外",record[[#This Row],[Memo]]))</f>
        <v>覆回</v>
      </c>
      <c r="O10334" t="s">
        <v>682</v>
      </c>
      <c r="P10334" t="s">
        <v>125</v>
      </c>
      <c r="Q10334" t="s">
        <v>58</v>
      </c>
      <c r="R10334" t="str">
        <f>IFERROR(VLOOKUP(record[[#This Row],[PCUSTID]],廠商[],2,FALSE),"")</f>
        <v/>
      </c>
      <c r="S10334" t="str">
        <f>VLOOKUP(record[[#This Row],[employeeID]],員工[],2,FALSE)</f>
        <v>黃瓈巧</v>
      </c>
    </row>
    <row r="10335" spans="6:19" hidden="1" x14ac:dyDescent="0.25">
      <c r="F10335" t="s">
        <v>699</v>
      </c>
      <c r="G10335" t="s">
        <v>398</v>
      </c>
      <c r="H10335" t="str">
        <f>VLOOKUP(record[[#This Row],[ProcessSN]],表格2_7[],2,FALSE)</f>
        <v>30-4118-018-550</v>
      </c>
      <c r="I10335" t="str">
        <f>VLOOKUP(record[[#This Row],[ProcessSN]],表格2_7[],3,FALSE)</f>
        <v>#08RCV</v>
      </c>
      <c r="J10335" t="s">
        <v>591</v>
      </c>
      <c r="K10335" s="195">
        <v>45706.627581018518</v>
      </c>
      <c r="L10335">
        <v>4</v>
      </c>
      <c r="M10335">
        <v>-4</v>
      </c>
      <c r="N10335" s="98" t="str">
        <f>IF(record[[#This Row],[Memo]]="Browser:chrome os:android","平板報工",IF(record[[#This Row],[Memo]]=0,"委外",record[[#This Row],[Memo]]))</f>
        <v>覆回</v>
      </c>
      <c r="O10335" t="s">
        <v>682</v>
      </c>
      <c r="P10335" t="s">
        <v>125</v>
      </c>
      <c r="Q10335" t="s">
        <v>58</v>
      </c>
      <c r="R10335" t="str">
        <f>IFERROR(VLOOKUP(record[[#This Row],[PCUSTID]],廠商[],2,FALSE),"")</f>
        <v/>
      </c>
      <c r="S10335" t="str">
        <f>VLOOKUP(record[[#This Row],[employeeID]],員工[],2,FALSE)</f>
        <v>黃瓈巧</v>
      </c>
    </row>
    <row r="10336" spans="6:19" hidden="1" x14ac:dyDescent="0.25">
      <c r="F10336" t="s">
        <v>720</v>
      </c>
      <c r="G10336" t="s">
        <v>423</v>
      </c>
      <c r="H10336" t="str">
        <f>VLOOKUP(record[[#This Row],[ProcessSN]],表格2_7[],2,FALSE)</f>
        <v>30-4118-018-600</v>
      </c>
      <c r="I10336" t="str">
        <f>VLOOKUP(record[[#This Row],[ProcessSN]],表格2_7[],3,FALSE)</f>
        <v>#08RCV</v>
      </c>
      <c r="J10336" t="s">
        <v>591</v>
      </c>
      <c r="K10336" s="195">
        <v>45706.623020833336</v>
      </c>
      <c r="L10336">
        <v>0</v>
      </c>
      <c r="M10336">
        <v>1</v>
      </c>
      <c r="N10336" s="98" t="str">
        <f>IF(record[[#This Row],[Memo]]="Browser:chrome os:android","平板報工",IF(record[[#This Row],[Memo]]=0,"委外",record[[#This Row],[Memo]]))</f>
        <v/>
      </c>
      <c r="O10336" t="s">
        <v>58</v>
      </c>
      <c r="P10336" t="s">
        <v>113</v>
      </c>
      <c r="Q10336" t="s">
        <v>58</v>
      </c>
      <c r="R10336" t="str">
        <f>IFERROR(VLOOKUP(record[[#This Row],[PCUSTID]],廠商[],2,FALSE),"")</f>
        <v/>
      </c>
      <c r="S10336" t="str">
        <f>VLOOKUP(record[[#This Row],[employeeID]],員工[],2,FALSE)</f>
        <v>王奕蓁</v>
      </c>
    </row>
    <row r="10337" spans="6:19" hidden="1" x14ac:dyDescent="0.25">
      <c r="F10337" t="s">
        <v>720</v>
      </c>
      <c r="G10337" t="s">
        <v>423</v>
      </c>
      <c r="H10337" t="str">
        <f>VLOOKUP(record[[#This Row],[ProcessSN]],表格2_7[],2,FALSE)</f>
        <v>30-4118-018-600</v>
      </c>
      <c r="I10337" t="str">
        <f>VLOOKUP(record[[#This Row],[ProcessSN]],表格2_7[],3,FALSE)</f>
        <v>#08RCV</v>
      </c>
      <c r="J10337" t="s">
        <v>591</v>
      </c>
      <c r="K10337" s="195">
        <v>45706.622916666667</v>
      </c>
      <c r="L10337">
        <v>162</v>
      </c>
      <c r="M10337">
        <v>0</v>
      </c>
      <c r="N10337" s="98" t="str">
        <f>IF(record[[#This Row],[Memo]]="Browser:chrome os:android","平板報工",IF(record[[#This Row],[Memo]]=0,"委外",record[[#This Row],[Memo]]))</f>
        <v/>
      </c>
      <c r="O10337" t="s">
        <v>58</v>
      </c>
      <c r="P10337" t="s">
        <v>113</v>
      </c>
      <c r="Q10337" t="s">
        <v>58</v>
      </c>
      <c r="R10337" t="str">
        <f>IFERROR(VLOOKUP(record[[#This Row],[PCUSTID]],廠商[],2,FALSE),"")</f>
        <v/>
      </c>
      <c r="S10337" t="str">
        <f>VLOOKUP(record[[#This Row],[employeeID]],員工[],2,FALSE)</f>
        <v>王奕蓁</v>
      </c>
    </row>
    <row r="10338" spans="6:19" hidden="1" x14ac:dyDescent="0.25">
      <c r="F10338" t="s">
        <v>701</v>
      </c>
      <c r="G10338" t="s">
        <v>398</v>
      </c>
      <c r="H10338" t="str">
        <f>VLOOKUP(record[[#This Row],[ProcessSN]],表格2_7[],2,FALSE)</f>
        <v>30-4118-018-550</v>
      </c>
      <c r="I10338" t="str">
        <f>VLOOKUP(record[[#This Row],[ProcessSN]],表格2_7[],3,FALSE)</f>
        <v>#08RCV</v>
      </c>
      <c r="J10338" t="s">
        <v>591</v>
      </c>
      <c r="K10338" s="195">
        <v>45706.615729166668</v>
      </c>
      <c r="L10338">
        <v>2</v>
      </c>
      <c r="M10338">
        <v>-2</v>
      </c>
      <c r="N10338" s="98" t="str">
        <f>IF(record[[#This Row],[Memo]]="Browser:chrome os:android","平板報工",IF(record[[#This Row],[Memo]]=0,"委外",record[[#This Row],[Memo]]))</f>
        <v>覆回</v>
      </c>
      <c r="O10338" t="s">
        <v>682</v>
      </c>
      <c r="P10338" t="s">
        <v>125</v>
      </c>
      <c r="Q10338" t="s">
        <v>58</v>
      </c>
      <c r="R10338" t="str">
        <f>IFERROR(VLOOKUP(record[[#This Row],[PCUSTID]],廠商[],2,FALSE),"")</f>
        <v/>
      </c>
      <c r="S10338" t="str">
        <f>VLOOKUP(record[[#This Row],[employeeID]],員工[],2,FALSE)</f>
        <v>黃瓈巧</v>
      </c>
    </row>
    <row r="10339" spans="6:19" hidden="1" x14ac:dyDescent="0.25">
      <c r="F10339" t="s">
        <v>678</v>
      </c>
      <c r="G10339" t="s">
        <v>357</v>
      </c>
      <c r="H10339" t="str">
        <f>VLOOKUP(record[[#This Row],[ProcessSN]],表格2_7[],2,FALSE)</f>
        <v>30-4118-018-450</v>
      </c>
      <c r="I10339" t="str">
        <f>VLOOKUP(record[[#This Row],[ProcessSN]],表格2_7[],3,FALSE)</f>
        <v>#08RCV</v>
      </c>
      <c r="J10339" t="s">
        <v>591</v>
      </c>
      <c r="K10339" s="195">
        <v>45706.609652777777</v>
      </c>
      <c r="L10339">
        <v>1</v>
      </c>
      <c r="M10339">
        <v>-1</v>
      </c>
      <c r="N10339" s="98" t="str">
        <f>IF(record[[#This Row],[Memo]]="Browser:chrome os:android","平板報工",IF(record[[#This Row],[Memo]]=0,"委外",record[[#This Row],[Memo]]))</f>
        <v>覆回</v>
      </c>
      <c r="O10339" t="s">
        <v>682</v>
      </c>
      <c r="P10339" t="s">
        <v>125</v>
      </c>
      <c r="Q10339" t="s">
        <v>58</v>
      </c>
      <c r="R10339" t="str">
        <f>IFERROR(VLOOKUP(record[[#This Row],[PCUSTID]],廠商[],2,FALSE),"")</f>
        <v/>
      </c>
      <c r="S10339" t="str">
        <f>VLOOKUP(record[[#This Row],[employeeID]],員工[],2,FALSE)</f>
        <v>黃瓈巧</v>
      </c>
    </row>
    <row r="10340" spans="6:19" hidden="1" x14ac:dyDescent="0.25">
      <c r="F10340" t="s">
        <v>678</v>
      </c>
      <c r="G10340" t="s">
        <v>357</v>
      </c>
      <c r="H10340" t="str">
        <f>VLOOKUP(record[[#This Row],[ProcessSN]],表格2_7[],2,FALSE)</f>
        <v>30-4118-018-450</v>
      </c>
      <c r="I10340" t="str">
        <f>VLOOKUP(record[[#This Row],[ProcessSN]],表格2_7[],3,FALSE)</f>
        <v>#08RCV</v>
      </c>
      <c r="J10340" t="s">
        <v>591</v>
      </c>
      <c r="K10340" s="195">
        <v>45706.609652777777</v>
      </c>
      <c r="L10340">
        <v>2</v>
      </c>
      <c r="M10340">
        <v>-2</v>
      </c>
      <c r="N10340" s="98" t="str">
        <f>IF(record[[#This Row],[Memo]]="Browser:chrome os:android","平板報工",IF(record[[#This Row],[Memo]]=0,"委外",record[[#This Row],[Memo]]))</f>
        <v>覆回</v>
      </c>
      <c r="O10340" t="s">
        <v>682</v>
      </c>
      <c r="P10340" t="s">
        <v>125</v>
      </c>
      <c r="Q10340" t="s">
        <v>58</v>
      </c>
      <c r="R10340" t="str">
        <f>IFERROR(VLOOKUP(record[[#This Row],[PCUSTID]],廠商[],2,FALSE),"")</f>
        <v/>
      </c>
      <c r="S10340" t="str">
        <f>VLOOKUP(record[[#This Row],[employeeID]],員工[],2,FALSE)</f>
        <v>黃瓈巧</v>
      </c>
    </row>
    <row r="10341" spans="6:19" hidden="1" x14ac:dyDescent="0.25">
      <c r="F10341" t="s">
        <v>660</v>
      </c>
      <c r="G10341" t="s">
        <v>398</v>
      </c>
      <c r="H10341" t="str">
        <f>VLOOKUP(record[[#This Row],[ProcessSN]],表格2_7[],2,FALSE)</f>
        <v>30-4118-018-550</v>
      </c>
      <c r="I10341" t="str">
        <f>VLOOKUP(record[[#This Row],[ProcessSN]],表格2_7[],3,FALSE)</f>
        <v>#08RCV</v>
      </c>
      <c r="J10341" t="s">
        <v>591</v>
      </c>
      <c r="K10341" s="195">
        <v>45706.609548611108</v>
      </c>
      <c r="L10341">
        <v>5</v>
      </c>
      <c r="M10341">
        <v>-5</v>
      </c>
      <c r="N10341" s="98" t="str">
        <f>IF(record[[#This Row],[Memo]]="Browser:chrome os:android","平板報工",IF(record[[#This Row],[Memo]]=0,"委外",record[[#This Row],[Memo]]))</f>
        <v>覆回</v>
      </c>
      <c r="O10341" t="s">
        <v>682</v>
      </c>
      <c r="P10341" t="s">
        <v>125</v>
      </c>
      <c r="Q10341" t="s">
        <v>58</v>
      </c>
      <c r="R10341" t="str">
        <f>IFERROR(VLOOKUP(record[[#This Row],[PCUSTID]],廠商[],2,FALSE),"")</f>
        <v/>
      </c>
      <c r="S10341" t="str">
        <f>VLOOKUP(record[[#This Row],[employeeID]],員工[],2,FALSE)</f>
        <v>黃瓈巧</v>
      </c>
    </row>
    <row r="10342" spans="6:19" hidden="1" x14ac:dyDescent="0.25">
      <c r="F10342" t="s">
        <v>654</v>
      </c>
      <c r="G10342" t="s">
        <v>400</v>
      </c>
      <c r="H10342" t="str">
        <f>VLOOKUP(record[[#This Row],[ProcessSN]],表格2_7[],2,FALSE)</f>
        <v>30-4118-018-550</v>
      </c>
      <c r="I10342" t="str">
        <f>VLOOKUP(record[[#This Row],[ProcessSN]],表格2_7[],3,FALSE)</f>
        <v>#100</v>
      </c>
      <c r="J10342" t="s">
        <v>598</v>
      </c>
      <c r="K10342" s="195">
        <v>45706.436944444446</v>
      </c>
      <c r="L10342">
        <v>142</v>
      </c>
      <c r="M10342">
        <v>0</v>
      </c>
      <c r="N10342" s="98" t="str">
        <f>IF(record[[#This Row],[Memo]]="Browser:chrome os:android","平板報工",IF(record[[#This Row],[Memo]]=0,"委外",record[[#This Row],[Memo]]))</f>
        <v>平板報工</v>
      </c>
      <c r="O10342" t="s">
        <v>643</v>
      </c>
      <c r="P10342" t="s">
        <v>141</v>
      </c>
      <c r="Q10342" t="s">
        <v>644</v>
      </c>
      <c r="R10342" t="str">
        <f>IFERROR(VLOOKUP(record[[#This Row],[PCUSTID]],廠商[],2,FALSE),"")</f>
        <v/>
      </c>
      <c r="S10342" t="str">
        <f>VLOOKUP(record[[#This Row],[employeeID]],員工[],2,FALSE)</f>
        <v>蔣梅</v>
      </c>
    </row>
    <row r="10343" spans="6:19" hidden="1" x14ac:dyDescent="0.25">
      <c r="F10343" t="s">
        <v>652</v>
      </c>
      <c r="G10343" t="s">
        <v>400</v>
      </c>
      <c r="H10343" t="str">
        <f>VLOOKUP(record[[#This Row],[ProcessSN]],表格2_7[],2,FALSE)</f>
        <v>30-4118-018-550</v>
      </c>
      <c r="I10343" t="str">
        <f>VLOOKUP(record[[#This Row],[ProcessSN]],表格2_7[],3,FALSE)</f>
        <v>#100</v>
      </c>
      <c r="J10343" t="s">
        <v>598</v>
      </c>
      <c r="K10343" s="195">
        <v>45706.436481481483</v>
      </c>
      <c r="L10343">
        <v>148</v>
      </c>
      <c r="M10343">
        <v>0</v>
      </c>
      <c r="N10343" s="98" t="str">
        <f>IF(record[[#This Row],[Memo]]="Browser:chrome os:android","平板報工",IF(record[[#This Row],[Memo]]=0,"委外",record[[#This Row],[Memo]]))</f>
        <v>平板報工</v>
      </c>
      <c r="O10343" t="s">
        <v>643</v>
      </c>
      <c r="P10343" t="s">
        <v>141</v>
      </c>
      <c r="Q10343" t="s">
        <v>644</v>
      </c>
      <c r="R10343" t="str">
        <f>IFERROR(VLOOKUP(record[[#This Row],[PCUSTID]],廠商[],2,FALSE),"")</f>
        <v/>
      </c>
      <c r="S10343" t="str">
        <f>VLOOKUP(record[[#This Row],[employeeID]],員工[],2,FALSE)</f>
        <v>蔣梅</v>
      </c>
    </row>
    <row r="10344" spans="6:19" hidden="1" x14ac:dyDescent="0.25">
      <c r="F10344" t="s">
        <v>733</v>
      </c>
      <c r="G10344" t="s">
        <v>422</v>
      </c>
      <c r="H10344" t="str">
        <f>VLOOKUP(record[[#This Row],[ProcessSN]],表格2_7[],2,FALSE)</f>
        <v>30-4118-018-600</v>
      </c>
      <c r="I10344" t="str">
        <f>VLOOKUP(record[[#This Row],[ProcessSN]],表格2_7[],3,FALSE)</f>
        <v>#08</v>
      </c>
      <c r="J10344" t="s">
        <v>597</v>
      </c>
      <c r="K10344" s="195">
        <v>45706.403645833336</v>
      </c>
      <c r="L10344">
        <v>165</v>
      </c>
      <c r="M10344">
        <v>0</v>
      </c>
      <c r="N10344" s="98" t="str">
        <f>IF(record[[#This Row],[Memo]]="Browser:chrome os:android","平板報工",IF(record[[#This Row],[Memo]]=0,"委外",record[[#This Row],[Memo]]))</f>
        <v>委外</v>
      </c>
      <c r="P10344" t="s">
        <v>113</v>
      </c>
      <c r="Q10344" t="s">
        <v>287</v>
      </c>
      <c r="R10344" t="str">
        <f>IFERROR(VLOOKUP(record[[#This Row],[PCUSTID]],廠商[],2,FALSE),"")</f>
        <v>泉盛</v>
      </c>
      <c r="S10344" t="str">
        <f>VLOOKUP(record[[#This Row],[employeeID]],員工[],2,FALSE)</f>
        <v>王奕蓁</v>
      </c>
    </row>
    <row r="10345" spans="6:19" hidden="1" x14ac:dyDescent="0.25">
      <c r="F10345" t="s">
        <v>733</v>
      </c>
      <c r="G10345" t="s">
        <v>421</v>
      </c>
      <c r="H10345" t="str">
        <f>VLOOKUP(record[[#This Row],[ProcessSN]],表格2_7[],2,FALSE)</f>
        <v>30-4118-018-600</v>
      </c>
      <c r="I10345" t="str">
        <f>VLOOKUP(record[[#This Row],[ProcessSN]],表格2_7[],3,FALSE)</f>
        <v>#08PICK</v>
      </c>
      <c r="J10345" t="s">
        <v>582</v>
      </c>
      <c r="K10345" s="195">
        <v>45706.40353009259</v>
      </c>
      <c r="L10345">
        <v>165</v>
      </c>
      <c r="M10345">
        <v>0</v>
      </c>
      <c r="N10345" s="98" t="str">
        <f>IF(record[[#This Row],[Memo]]="Browser:chrome os:android","平板報工",IF(record[[#This Row],[Memo]]=0,"委外",record[[#This Row],[Memo]]))</f>
        <v/>
      </c>
      <c r="O10345" t="s">
        <v>58</v>
      </c>
      <c r="P10345" t="s">
        <v>113</v>
      </c>
      <c r="Q10345" t="s">
        <v>58</v>
      </c>
      <c r="R10345" t="str">
        <f>IFERROR(VLOOKUP(record[[#This Row],[PCUSTID]],廠商[],2,FALSE),"")</f>
        <v/>
      </c>
      <c r="S10345" t="str">
        <f>VLOOKUP(record[[#This Row],[employeeID]],員工[],2,FALSE)</f>
        <v>王奕蓁</v>
      </c>
    </row>
    <row r="10346" spans="6:19" hidden="1" x14ac:dyDescent="0.25">
      <c r="F10346" t="s">
        <v>595</v>
      </c>
      <c r="G10346" t="s">
        <v>453</v>
      </c>
      <c r="H10346" t="str">
        <f>VLOOKUP(record[[#This Row],[ProcessSN]],表格2_7[],2,FALSE)</f>
        <v>30-4118-018-6XX</v>
      </c>
      <c r="I10346" t="str">
        <f>VLOOKUP(record[[#This Row],[ProcessSN]],表格2_7[],3,FALSE)</f>
        <v>#07STOCK</v>
      </c>
      <c r="J10346" t="s">
        <v>592</v>
      </c>
      <c r="K10346" s="195">
        <v>45706.38826388889</v>
      </c>
      <c r="L10346">
        <v>165</v>
      </c>
      <c r="M10346">
        <v>0</v>
      </c>
      <c r="N10346" s="98" t="str">
        <f>IF(record[[#This Row],[Memo]]="Browser:chrome os:android","平板報工",IF(record[[#This Row],[Memo]]=0,"委外",record[[#This Row],[Memo]]))</f>
        <v/>
      </c>
      <c r="O10346" t="s">
        <v>58</v>
      </c>
      <c r="P10346" t="s">
        <v>202</v>
      </c>
      <c r="Q10346" t="s">
        <v>58</v>
      </c>
      <c r="R10346" t="str">
        <f>IFERROR(VLOOKUP(record[[#This Row],[PCUSTID]],廠商[],2,FALSE),"")</f>
        <v/>
      </c>
      <c r="S10346" t="str">
        <f>VLOOKUP(record[[#This Row],[employeeID]],員工[],2,FALSE)</f>
        <v>游惠茹</v>
      </c>
    </row>
    <row r="10347" spans="6:19" hidden="1" x14ac:dyDescent="0.25">
      <c r="F10347" t="s">
        <v>595</v>
      </c>
      <c r="G10347" t="s">
        <v>452</v>
      </c>
      <c r="H10347" t="str">
        <f>VLOOKUP(record[[#This Row],[ProcessSN]],表格2_7[],2,FALSE)</f>
        <v>30-4118-018-6XX</v>
      </c>
      <c r="I10347" t="str">
        <f>VLOOKUP(record[[#This Row],[ProcessSN]],表格2_7[],3,FALSE)</f>
        <v>#07QC</v>
      </c>
      <c r="J10347" t="s">
        <v>589</v>
      </c>
      <c r="K10347" s="195">
        <v>45706.374803240738</v>
      </c>
      <c r="L10347">
        <v>165</v>
      </c>
      <c r="M10347">
        <v>0</v>
      </c>
      <c r="N10347" s="98" t="str">
        <f>IF(record[[#This Row],[Memo]]="Browser:chrome os:android","平板報工",IF(record[[#This Row],[Memo]]=0,"委外",record[[#This Row],[Memo]]))</f>
        <v>平板報工</v>
      </c>
      <c r="O10347" t="s">
        <v>643</v>
      </c>
      <c r="P10347" t="s">
        <v>109</v>
      </c>
      <c r="Q10347" t="s">
        <v>644</v>
      </c>
      <c r="R10347" t="str">
        <f>IFERROR(VLOOKUP(record[[#This Row],[PCUSTID]],廠商[],2,FALSE),"")</f>
        <v/>
      </c>
      <c r="S10347" t="str">
        <f>VLOOKUP(record[[#This Row],[employeeID]],員工[],2,FALSE)</f>
        <v>裴氏璧鳳</v>
      </c>
    </row>
    <row r="10348" spans="6:19" hidden="1" x14ac:dyDescent="0.25">
      <c r="F10348" t="s">
        <v>595</v>
      </c>
      <c r="G10348" t="s">
        <v>451</v>
      </c>
      <c r="H10348" t="str">
        <f>VLOOKUP(record[[#This Row],[ProcessSN]],表格2_7[],2,FALSE)</f>
        <v>30-4118-018-6XX</v>
      </c>
      <c r="I10348" t="str">
        <f>VLOOKUP(record[[#This Row],[ProcessSN]],表格2_7[],3,FALSE)</f>
        <v>#07</v>
      </c>
      <c r="J10348" t="s">
        <v>588</v>
      </c>
      <c r="K10348" s="195">
        <v>45705.663645833331</v>
      </c>
      <c r="L10348">
        <v>56</v>
      </c>
      <c r="M10348">
        <v>0</v>
      </c>
      <c r="N10348" s="98" t="str">
        <f>IF(record[[#This Row],[Memo]]="Browser:chrome os:android","平板報工",IF(record[[#This Row],[Memo]]=0,"委外",record[[#This Row],[Memo]]))</f>
        <v/>
      </c>
      <c r="O10348" t="s">
        <v>58</v>
      </c>
      <c r="P10348" t="s">
        <v>119</v>
      </c>
      <c r="Q10348" t="s">
        <v>58</v>
      </c>
      <c r="R10348" t="str">
        <f>IFERROR(VLOOKUP(record[[#This Row],[PCUSTID]],廠商[],2,FALSE),"")</f>
        <v/>
      </c>
      <c r="S10348" t="str">
        <f>VLOOKUP(record[[#This Row],[employeeID]],員工[],2,FALSE)</f>
        <v>廖俊彥</v>
      </c>
    </row>
    <row r="10349" spans="6:19" hidden="1" x14ac:dyDescent="0.25">
      <c r="F10349" t="s">
        <v>721</v>
      </c>
      <c r="G10349" t="s">
        <v>424</v>
      </c>
      <c r="H10349" t="str">
        <f>VLOOKUP(record[[#This Row],[ProcessSN]],表格2_7[],2,FALSE)</f>
        <v>30-4118-018-600</v>
      </c>
      <c r="I10349" t="str">
        <f>VLOOKUP(record[[#This Row],[ProcessSN]],表格2_7[],3,FALSE)</f>
        <v>#08IQC</v>
      </c>
      <c r="J10349" t="s">
        <v>583</v>
      </c>
      <c r="K10349" s="195">
        <v>45705.617048611108</v>
      </c>
      <c r="L10349">
        <v>10</v>
      </c>
      <c r="M10349">
        <v>0</v>
      </c>
      <c r="N10349" s="98" t="str">
        <f>IF(record[[#This Row],[Memo]]="Browser:chrome os:android","平板報工",IF(record[[#This Row],[Memo]]=0,"委外",record[[#This Row],[Memo]]))</f>
        <v/>
      </c>
      <c r="O10349" t="s">
        <v>58</v>
      </c>
      <c r="P10349" t="s">
        <v>65</v>
      </c>
      <c r="Q10349" t="s">
        <v>58</v>
      </c>
      <c r="R10349" t="str">
        <f>IFERROR(VLOOKUP(record[[#This Row],[PCUSTID]],廠商[],2,FALSE),"")</f>
        <v/>
      </c>
      <c r="S10349" t="str">
        <f>VLOOKUP(record[[#This Row],[employeeID]],員工[],2,FALSE)</f>
        <v>蘇進昌</v>
      </c>
    </row>
    <row r="10350" spans="6:19" hidden="1" x14ac:dyDescent="0.25">
      <c r="F10350" t="s">
        <v>595</v>
      </c>
      <c r="G10350" t="s">
        <v>453</v>
      </c>
      <c r="H10350" t="str">
        <f>VLOOKUP(record[[#This Row],[ProcessSN]],表格2_7[],2,FALSE)</f>
        <v>30-4118-018-6XX</v>
      </c>
      <c r="I10350" t="str">
        <f>VLOOKUP(record[[#This Row],[ProcessSN]],表格2_7[],3,FALSE)</f>
        <v>#07STOCK</v>
      </c>
      <c r="J10350" t="s">
        <v>592</v>
      </c>
      <c r="K10350" s="195">
        <v>45705.588206018518</v>
      </c>
      <c r="L10350">
        <v>163</v>
      </c>
      <c r="M10350">
        <v>0</v>
      </c>
      <c r="N10350" s="98" t="str">
        <f>IF(record[[#This Row],[Memo]]="Browser:chrome os:android","平板報工",IF(record[[#This Row],[Memo]]=0,"委外",record[[#This Row],[Memo]]))</f>
        <v/>
      </c>
      <c r="O10350" t="s">
        <v>58</v>
      </c>
      <c r="P10350" t="s">
        <v>65</v>
      </c>
      <c r="Q10350" t="s">
        <v>58</v>
      </c>
      <c r="R10350" t="str">
        <f>IFERROR(VLOOKUP(record[[#This Row],[PCUSTID]],廠商[],2,FALSE),"")</f>
        <v/>
      </c>
      <c r="S10350" t="str">
        <f>VLOOKUP(record[[#This Row],[employeeID]],員工[],2,FALSE)</f>
        <v>蘇進昌</v>
      </c>
    </row>
    <row r="10351" spans="6:19" hidden="1" x14ac:dyDescent="0.25">
      <c r="F10351" t="s">
        <v>595</v>
      </c>
      <c r="G10351" t="s">
        <v>450</v>
      </c>
      <c r="H10351" t="str">
        <f>VLOOKUP(record[[#This Row],[ProcessSN]],表格2_7[],2,FALSE)</f>
        <v>30-4118-018-6XX</v>
      </c>
      <c r="I10351" t="str">
        <f>VLOOKUP(record[[#This Row],[ProcessSN]],表格2_7[],3,FALSE)</f>
        <v>#06</v>
      </c>
      <c r="J10351" t="s">
        <v>593</v>
      </c>
      <c r="K10351" s="195">
        <v>45705.545486111114</v>
      </c>
      <c r="L10351">
        <v>133</v>
      </c>
      <c r="M10351">
        <v>0</v>
      </c>
      <c r="N10351" s="98" t="str">
        <f>IF(record[[#This Row],[Memo]]="Browser:chrome os:android","平板報工",IF(record[[#This Row],[Memo]]=0,"委外",record[[#This Row],[Memo]]))</f>
        <v>2/12 中</v>
      </c>
      <c r="O10351" t="s">
        <v>730</v>
      </c>
      <c r="P10351" t="s">
        <v>119</v>
      </c>
      <c r="Q10351" t="s">
        <v>58</v>
      </c>
      <c r="R10351" t="str">
        <f>IFERROR(VLOOKUP(record[[#This Row],[PCUSTID]],廠商[],2,FALSE),"")</f>
        <v/>
      </c>
      <c r="S10351" t="str">
        <f>VLOOKUP(record[[#This Row],[employeeID]],員工[],2,FALSE)</f>
        <v>廖俊彥</v>
      </c>
    </row>
    <row r="10352" spans="6:19" hidden="1" x14ac:dyDescent="0.25">
      <c r="F10352" t="s">
        <v>721</v>
      </c>
      <c r="G10352" t="s">
        <v>423</v>
      </c>
      <c r="H10352" t="str">
        <f>VLOOKUP(record[[#This Row],[ProcessSN]],表格2_7[],2,FALSE)</f>
        <v>30-4118-018-600</v>
      </c>
      <c r="I10352" t="str">
        <f>VLOOKUP(record[[#This Row],[ProcessSN]],表格2_7[],3,FALSE)</f>
        <v>#08RCV</v>
      </c>
      <c r="J10352" t="s">
        <v>591</v>
      </c>
      <c r="K10352" s="195">
        <v>45705.401597222219</v>
      </c>
      <c r="L10352">
        <v>10</v>
      </c>
      <c r="M10352">
        <v>-10</v>
      </c>
      <c r="N10352" s="98" t="str">
        <f>IF(record[[#This Row],[Memo]]="Browser:chrome os:android","平板報工",IF(record[[#This Row],[Memo]]=0,"委外",record[[#This Row],[Memo]]))</f>
        <v>覆回品</v>
      </c>
      <c r="O10352" t="s">
        <v>664</v>
      </c>
      <c r="P10352" t="s">
        <v>65</v>
      </c>
      <c r="Q10352" t="s">
        <v>58</v>
      </c>
      <c r="R10352" t="str">
        <f>IFERROR(VLOOKUP(record[[#This Row],[PCUSTID]],廠商[],2,FALSE),"")</f>
        <v/>
      </c>
      <c r="S10352" t="str">
        <f>VLOOKUP(record[[#This Row],[employeeID]],員工[],2,FALSE)</f>
        <v>蘇進昌</v>
      </c>
    </row>
    <row r="10353" spans="6:19" hidden="1" x14ac:dyDescent="0.25">
      <c r="F10353" t="s">
        <v>654</v>
      </c>
      <c r="G10353" t="s">
        <v>400</v>
      </c>
      <c r="H10353" t="str">
        <f>VLOOKUP(record[[#This Row],[ProcessSN]],表格2_7[],2,FALSE)</f>
        <v>30-4118-018-550</v>
      </c>
      <c r="I10353" t="str">
        <f>VLOOKUP(record[[#This Row],[ProcessSN]],表格2_7[],3,FALSE)</f>
        <v>#100</v>
      </c>
      <c r="J10353" t="s">
        <v>598</v>
      </c>
      <c r="K10353" s="195">
        <v>45705.372650462959</v>
      </c>
      <c r="L10353">
        <v>24</v>
      </c>
      <c r="M10353">
        <v>0</v>
      </c>
      <c r="N10353" s="98" t="str">
        <f>IF(record[[#This Row],[Memo]]="Browser:chrome os:android","平板報工",IF(record[[#This Row],[Memo]]=0,"委外",record[[#This Row],[Memo]]))</f>
        <v>平板報工</v>
      </c>
      <c r="O10353" t="s">
        <v>643</v>
      </c>
      <c r="P10353" t="s">
        <v>141</v>
      </c>
      <c r="Q10353" t="s">
        <v>644</v>
      </c>
      <c r="R10353" t="str">
        <f>IFERROR(VLOOKUP(record[[#This Row],[PCUSTID]],廠商[],2,FALSE),"")</f>
        <v/>
      </c>
      <c r="S10353" t="str">
        <f>VLOOKUP(record[[#This Row],[employeeID]],員工[],2,FALSE)</f>
        <v>蔣梅</v>
      </c>
    </row>
    <row r="10354" spans="6:19" hidden="1" x14ac:dyDescent="0.25">
      <c r="F10354" t="s">
        <v>653</v>
      </c>
      <c r="G10354" t="s">
        <v>400</v>
      </c>
      <c r="H10354" t="str">
        <f>VLOOKUP(record[[#This Row],[ProcessSN]],表格2_7[],2,FALSE)</f>
        <v>30-4118-018-550</v>
      </c>
      <c r="I10354" t="str">
        <f>VLOOKUP(record[[#This Row],[ProcessSN]],表格2_7[],3,FALSE)</f>
        <v>#100</v>
      </c>
      <c r="J10354" t="s">
        <v>598</v>
      </c>
      <c r="K10354" s="195">
        <v>45705.37127314815</v>
      </c>
      <c r="L10354">
        <v>314</v>
      </c>
      <c r="M10354">
        <v>0</v>
      </c>
      <c r="N10354" s="98" t="str">
        <f>IF(record[[#This Row],[Memo]]="Browser:chrome os:android","平板報工",IF(record[[#This Row],[Memo]]=0,"委外",record[[#This Row],[Memo]]))</f>
        <v>平板報工</v>
      </c>
      <c r="O10354" t="s">
        <v>643</v>
      </c>
      <c r="P10354" t="s">
        <v>141</v>
      </c>
      <c r="Q10354" t="s">
        <v>644</v>
      </c>
      <c r="R10354" t="str">
        <f>IFERROR(VLOOKUP(record[[#This Row],[PCUSTID]],廠商[],2,FALSE),"")</f>
        <v/>
      </c>
      <c r="S10354" t="str">
        <f>VLOOKUP(record[[#This Row],[employeeID]],員工[],2,FALSE)</f>
        <v>蔣梅</v>
      </c>
    </row>
    <row r="10355" spans="6:19" hidden="1" x14ac:dyDescent="0.25">
      <c r="F10355" t="s">
        <v>617</v>
      </c>
      <c r="G10355" t="s">
        <v>400</v>
      </c>
      <c r="H10355" t="str">
        <f>VLOOKUP(record[[#This Row],[ProcessSN]],表格2_7[],2,FALSE)</f>
        <v>30-4118-018-550</v>
      </c>
      <c r="I10355" t="str">
        <f>VLOOKUP(record[[#This Row],[ProcessSN]],表格2_7[],3,FALSE)</f>
        <v>#100</v>
      </c>
      <c r="J10355" t="s">
        <v>598</v>
      </c>
      <c r="K10355" s="195">
        <v>45705.368784722225</v>
      </c>
      <c r="L10355">
        <v>0</v>
      </c>
      <c r="M10355">
        <v>5</v>
      </c>
      <c r="N10355" s="98" t="str">
        <f>IF(record[[#This Row],[Memo]]="Browser:chrome os:android","平板報工",IF(record[[#This Row],[Memo]]=0,"委外",record[[#This Row],[Memo]]))</f>
        <v>平板報工</v>
      </c>
      <c r="O10355" t="s">
        <v>643</v>
      </c>
      <c r="P10355" t="s">
        <v>141</v>
      </c>
      <c r="Q10355" t="s">
        <v>644</v>
      </c>
      <c r="R10355" t="str">
        <f>IFERROR(VLOOKUP(record[[#This Row],[PCUSTID]],廠商[],2,FALSE),"")</f>
        <v/>
      </c>
      <c r="S10355" t="str">
        <f>VLOOKUP(record[[#This Row],[employeeID]],員工[],2,FALSE)</f>
        <v>蔣梅</v>
      </c>
    </row>
    <row r="10356" spans="6:19" hidden="1" x14ac:dyDescent="0.25">
      <c r="F10356" t="s">
        <v>617</v>
      </c>
      <c r="G10356" t="s">
        <v>400</v>
      </c>
      <c r="H10356" t="str">
        <f>VLOOKUP(record[[#This Row],[ProcessSN]],表格2_7[],2,FALSE)</f>
        <v>30-4118-018-550</v>
      </c>
      <c r="I10356" t="str">
        <f>VLOOKUP(record[[#This Row],[ProcessSN]],表格2_7[],3,FALSE)</f>
        <v>#100</v>
      </c>
      <c r="J10356" t="s">
        <v>598</v>
      </c>
      <c r="K10356" s="195">
        <v>45705.368495370371</v>
      </c>
      <c r="L10356">
        <v>311</v>
      </c>
      <c r="M10356">
        <v>0</v>
      </c>
      <c r="N10356" s="98" t="str">
        <f>IF(record[[#This Row],[Memo]]="Browser:chrome os:android","平板報工",IF(record[[#This Row],[Memo]]=0,"委外",record[[#This Row],[Memo]]))</f>
        <v>平板報工</v>
      </c>
      <c r="O10356" t="s">
        <v>643</v>
      </c>
      <c r="P10356" t="s">
        <v>141</v>
      </c>
      <c r="Q10356" t="s">
        <v>644</v>
      </c>
      <c r="R10356" t="str">
        <f>IFERROR(VLOOKUP(record[[#This Row],[PCUSTID]],廠商[],2,FALSE),"")</f>
        <v/>
      </c>
      <c r="S10356" t="str">
        <f>VLOOKUP(record[[#This Row],[employeeID]],員工[],2,FALSE)</f>
        <v>蔣梅</v>
      </c>
    </row>
    <row r="10357" spans="6:19" hidden="1" x14ac:dyDescent="0.25">
      <c r="F10357" t="s">
        <v>678</v>
      </c>
      <c r="G10357" t="s">
        <v>357</v>
      </c>
      <c r="H10357" t="str">
        <f>VLOOKUP(record[[#This Row],[ProcessSN]],表格2_7[],2,FALSE)</f>
        <v>30-4118-018-450</v>
      </c>
      <c r="I10357" t="str">
        <f>VLOOKUP(record[[#This Row],[ProcessSN]],表格2_7[],3,FALSE)</f>
        <v>#08RCV</v>
      </c>
      <c r="J10357" t="s">
        <v>591</v>
      </c>
      <c r="K10357" s="195">
        <v>45702.609652777777</v>
      </c>
      <c r="L10357">
        <v>7</v>
      </c>
      <c r="M10357">
        <v>-7</v>
      </c>
      <c r="N10357" s="98" t="str">
        <f>IF(record[[#This Row],[Memo]]="Browser:chrome os:android","平板報工",IF(record[[#This Row],[Memo]]=0,"委外",record[[#This Row],[Memo]]))</f>
        <v>覆回</v>
      </c>
      <c r="O10357" t="s">
        <v>682</v>
      </c>
      <c r="P10357" t="s">
        <v>125</v>
      </c>
      <c r="Q10357" t="s">
        <v>58</v>
      </c>
      <c r="R10357" t="str">
        <f>IFERROR(VLOOKUP(record[[#This Row],[PCUSTID]],廠商[],2,FALSE),"")</f>
        <v/>
      </c>
      <c r="S10357" t="str">
        <f>VLOOKUP(record[[#This Row],[employeeID]],員工[],2,FALSE)</f>
        <v>黃瓈巧</v>
      </c>
    </row>
    <row r="10358" spans="6:19" hidden="1" x14ac:dyDescent="0.25">
      <c r="F10358" t="s">
        <v>720</v>
      </c>
      <c r="G10358" t="s">
        <v>422</v>
      </c>
      <c r="H10358" t="str">
        <f>VLOOKUP(record[[#This Row],[ProcessSN]],表格2_7[],2,FALSE)</f>
        <v>30-4118-018-600</v>
      </c>
      <c r="I10358" t="str">
        <f>VLOOKUP(record[[#This Row],[ProcessSN]],表格2_7[],3,FALSE)</f>
        <v>#08</v>
      </c>
      <c r="J10358" t="s">
        <v>597</v>
      </c>
      <c r="K10358" s="195">
        <v>45702.470833333333</v>
      </c>
      <c r="L10358">
        <v>163</v>
      </c>
      <c r="M10358">
        <v>0</v>
      </c>
      <c r="N10358" s="98" t="str">
        <f>IF(record[[#This Row],[Memo]]="Browser:chrome os:android","平板報工",IF(record[[#This Row],[Memo]]=0,"委外",record[[#This Row],[Memo]]))</f>
        <v>委外</v>
      </c>
      <c r="P10358" t="s">
        <v>113</v>
      </c>
      <c r="Q10358" t="s">
        <v>287</v>
      </c>
      <c r="R10358" t="str">
        <f>IFERROR(VLOOKUP(record[[#This Row],[PCUSTID]],廠商[],2,FALSE),"")</f>
        <v>泉盛</v>
      </c>
      <c r="S10358" t="str">
        <f>VLOOKUP(record[[#This Row],[employeeID]],員工[],2,FALSE)</f>
        <v>王奕蓁</v>
      </c>
    </row>
    <row r="10359" spans="6:19" hidden="1" x14ac:dyDescent="0.25">
      <c r="F10359" t="s">
        <v>720</v>
      </c>
      <c r="G10359" t="s">
        <v>421</v>
      </c>
      <c r="H10359" t="str">
        <f>VLOOKUP(record[[#This Row],[ProcessSN]],表格2_7[],2,FALSE)</f>
        <v>30-4118-018-600</v>
      </c>
      <c r="I10359" t="str">
        <f>VLOOKUP(record[[#This Row],[ProcessSN]],表格2_7[],3,FALSE)</f>
        <v>#08PICK</v>
      </c>
      <c r="J10359" t="s">
        <v>582</v>
      </c>
      <c r="K10359" s="195">
        <v>45702.449097222219</v>
      </c>
      <c r="L10359">
        <v>163</v>
      </c>
      <c r="M10359">
        <v>0</v>
      </c>
      <c r="N10359" s="98" t="str">
        <f>IF(record[[#This Row],[Memo]]="Browser:chrome os:android","平板報工",IF(record[[#This Row],[Memo]]=0,"委外",record[[#This Row],[Memo]]))</f>
        <v/>
      </c>
      <c r="O10359" t="s">
        <v>58</v>
      </c>
      <c r="P10359" t="s">
        <v>202</v>
      </c>
      <c r="Q10359" t="s">
        <v>58</v>
      </c>
      <c r="R10359" t="str">
        <f>IFERROR(VLOOKUP(record[[#This Row],[PCUSTID]],廠商[],2,FALSE),"")</f>
        <v/>
      </c>
      <c r="S10359" t="str">
        <f>VLOOKUP(record[[#This Row],[employeeID]],員工[],2,FALSE)</f>
        <v>游惠茹</v>
      </c>
    </row>
    <row r="10360" spans="6:19" hidden="1" x14ac:dyDescent="0.25">
      <c r="F10360" t="s">
        <v>617</v>
      </c>
      <c r="G10360" t="s">
        <v>403</v>
      </c>
      <c r="H10360" t="str">
        <f>VLOOKUP(record[[#This Row],[ProcessSN]],表格2_7[],2,FALSE)</f>
        <v>30-4118-018-550</v>
      </c>
      <c r="I10360" t="str">
        <f>VLOOKUP(record[[#This Row],[ProcessSN]],表格2_7[],3,FALSE)</f>
        <v>#100SHIP</v>
      </c>
      <c r="J10360" t="s">
        <v>600</v>
      </c>
      <c r="K10360" s="195">
        <v>45702.420416666668</v>
      </c>
      <c r="L10360">
        <v>12</v>
      </c>
      <c r="M10360">
        <v>0</v>
      </c>
      <c r="N10360" s="98" t="str">
        <f>IF(record[[#This Row],[Memo]]="Browser:chrome os:android","平板報工",IF(record[[#This Row],[Memo]]=0,"委外",record[[#This Row],[Memo]]))</f>
        <v/>
      </c>
      <c r="O10360" t="s">
        <v>58</v>
      </c>
      <c r="P10360" t="s">
        <v>196</v>
      </c>
      <c r="Q10360" t="s">
        <v>58</v>
      </c>
      <c r="R10360" t="str">
        <f>IFERROR(VLOOKUP(record[[#This Row],[PCUSTID]],廠商[],2,FALSE),"")</f>
        <v/>
      </c>
      <c r="S10360" t="str">
        <f>VLOOKUP(record[[#This Row],[employeeID]],員工[],2,FALSE)</f>
        <v>張淑惠</v>
      </c>
    </row>
    <row r="10361" spans="6:19" hidden="1" x14ac:dyDescent="0.25">
      <c r="F10361" t="s">
        <v>595</v>
      </c>
      <c r="G10361" t="s">
        <v>452</v>
      </c>
      <c r="H10361" t="str">
        <f>VLOOKUP(record[[#This Row],[ProcessSN]],表格2_7[],2,FALSE)</f>
        <v>30-4118-018-6XX</v>
      </c>
      <c r="I10361" t="str">
        <f>VLOOKUP(record[[#This Row],[ProcessSN]],表格2_7[],3,FALSE)</f>
        <v>#07QC</v>
      </c>
      <c r="J10361" t="s">
        <v>589</v>
      </c>
      <c r="K10361" s="195">
        <v>45702.385648148149</v>
      </c>
      <c r="L10361">
        <v>163</v>
      </c>
      <c r="M10361">
        <v>0</v>
      </c>
      <c r="N10361" s="98" t="str">
        <f>IF(record[[#This Row],[Memo]]="Browser:chrome os:android","平板報工",IF(record[[#This Row],[Memo]]=0,"委外",record[[#This Row],[Memo]]))</f>
        <v>平板報工</v>
      </c>
      <c r="O10361" t="s">
        <v>643</v>
      </c>
      <c r="P10361" t="s">
        <v>109</v>
      </c>
      <c r="Q10361" t="s">
        <v>644</v>
      </c>
      <c r="R10361" t="str">
        <f>IFERROR(VLOOKUP(record[[#This Row],[PCUSTID]],廠商[],2,FALSE),"")</f>
        <v/>
      </c>
      <c r="S10361" t="str">
        <f>VLOOKUP(record[[#This Row],[employeeID]],員工[],2,FALSE)</f>
        <v>裴氏璧鳳</v>
      </c>
    </row>
    <row r="10362" spans="6:19" hidden="1" x14ac:dyDescent="0.25">
      <c r="F10362" t="s">
        <v>617</v>
      </c>
      <c r="G10362" t="s">
        <v>403</v>
      </c>
      <c r="H10362" t="str">
        <f>VLOOKUP(record[[#This Row],[ProcessSN]],表格2_7[],2,FALSE)</f>
        <v>30-4118-018-550</v>
      </c>
      <c r="I10362" t="str">
        <f>VLOOKUP(record[[#This Row],[ProcessSN]],表格2_7[],3,FALSE)</f>
        <v>#100SHIP</v>
      </c>
      <c r="J10362" t="s">
        <v>600</v>
      </c>
      <c r="K10362" s="195">
        <v>45701.708634259259</v>
      </c>
      <c r="L10362">
        <v>130</v>
      </c>
      <c r="M10362">
        <v>0</v>
      </c>
      <c r="N10362" s="98" t="str">
        <f>IF(record[[#This Row],[Memo]]="Browser:chrome os:android","平板報工",IF(record[[#This Row],[Memo]]=0,"委外",record[[#This Row],[Memo]]))</f>
        <v/>
      </c>
      <c r="O10362" t="s">
        <v>58</v>
      </c>
      <c r="P10362" t="s">
        <v>196</v>
      </c>
      <c r="Q10362" t="s">
        <v>58</v>
      </c>
      <c r="R10362" t="str">
        <f>IFERROR(VLOOKUP(record[[#This Row],[PCUSTID]],廠商[],2,FALSE),"")</f>
        <v/>
      </c>
      <c r="S10362" t="str">
        <f>VLOOKUP(record[[#This Row],[employeeID]],員工[],2,FALSE)</f>
        <v>張淑惠</v>
      </c>
    </row>
    <row r="10363" spans="6:19" hidden="1" x14ac:dyDescent="0.25">
      <c r="F10363" t="s">
        <v>616</v>
      </c>
      <c r="G10363" t="s">
        <v>403</v>
      </c>
      <c r="H10363" t="str">
        <f>VLOOKUP(record[[#This Row],[ProcessSN]],表格2_7[],2,FALSE)</f>
        <v>30-4118-018-550</v>
      </c>
      <c r="I10363" t="str">
        <f>VLOOKUP(record[[#This Row],[ProcessSN]],表格2_7[],3,FALSE)</f>
        <v>#100SHIP</v>
      </c>
      <c r="J10363" t="s">
        <v>600</v>
      </c>
      <c r="K10363" s="195">
        <v>45701.708460648151</v>
      </c>
      <c r="L10363">
        <v>89</v>
      </c>
      <c r="M10363">
        <v>0</v>
      </c>
      <c r="N10363" s="98" t="str">
        <f>IF(record[[#This Row],[Memo]]="Browser:chrome os:android","平板報工",IF(record[[#This Row],[Memo]]=0,"委外",record[[#This Row],[Memo]]))</f>
        <v/>
      </c>
      <c r="O10363" t="s">
        <v>58</v>
      </c>
      <c r="P10363" t="s">
        <v>196</v>
      </c>
      <c r="Q10363" t="s">
        <v>58</v>
      </c>
      <c r="R10363" t="str">
        <f>IFERROR(VLOOKUP(record[[#This Row],[PCUSTID]],廠商[],2,FALSE),"")</f>
        <v/>
      </c>
      <c r="S10363" t="str">
        <f>VLOOKUP(record[[#This Row],[employeeID]],員工[],2,FALSE)</f>
        <v>張淑惠</v>
      </c>
    </row>
    <row r="10364" spans="6:19" hidden="1" x14ac:dyDescent="0.25">
      <c r="F10364" t="s">
        <v>618</v>
      </c>
      <c r="G10364" t="s">
        <v>402</v>
      </c>
      <c r="H10364" t="str">
        <f>VLOOKUP(record[[#This Row],[ProcessSN]],表格2_7[],2,FALSE)</f>
        <v>30-4118-018-550</v>
      </c>
      <c r="I10364" t="str">
        <f>VLOOKUP(record[[#This Row],[ProcessSN]],表格2_7[],3,FALSE)</f>
        <v>#100STOCK</v>
      </c>
      <c r="J10364" t="s">
        <v>592</v>
      </c>
      <c r="K10364" s="195">
        <v>45701.708310185182</v>
      </c>
      <c r="L10364">
        <v>138</v>
      </c>
      <c r="M10364">
        <v>0</v>
      </c>
      <c r="N10364" s="98" t="str">
        <f>IF(record[[#This Row],[Memo]]="Browser:chrome os:android","平板報工",IF(record[[#This Row],[Memo]]=0,"委外",record[[#This Row],[Memo]]))</f>
        <v/>
      </c>
      <c r="O10364" t="s">
        <v>58</v>
      </c>
      <c r="P10364" t="s">
        <v>196</v>
      </c>
      <c r="Q10364" t="s">
        <v>58</v>
      </c>
      <c r="R10364" t="str">
        <f>IFERROR(VLOOKUP(record[[#This Row],[PCUSTID]],廠商[],2,FALSE),"")</f>
        <v/>
      </c>
      <c r="S10364" t="str">
        <f>VLOOKUP(record[[#This Row],[employeeID]],員工[],2,FALSE)</f>
        <v>張淑惠</v>
      </c>
    </row>
    <row r="10365" spans="6:19" hidden="1" x14ac:dyDescent="0.25">
      <c r="F10365" t="s">
        <v>617</v>
      </c>
      <c r="G10365" t="s">
        <v>402</v>
      </c>
      <c r="H10365" t="str">
        <f>VLOOKUP(record[[#This Row],[ProcessSN]],表格2_7[],2,FALSE)</f>
        <v>30-4118-018-550</v>
      </c>
      <c r="I10365" t="str">
        <f>VLOOKUP(record[[#This Row],[ProcessSN]],表格2_7[],3,FALSE)</f>
        <v>#100STOCK</v>
      </c>
      <c r="J10365" t="s">
        <v>592</v>
      </c>
      <c r="K10365" s="195">
        <v>45701.708171296297</v>
      </c>
      <c r="L10365">
        <v>198</v>
      </c>
      <c r="M10365">
        <v>0</v>
      </c>
      <c r="N10365" s="98" t="str">
        <f>IF(record[[#This Row],[Memo]]="Browser:chrome os:android","平板報工",IF(record[[#This Row],[Memo]]=0,"委外",record[[#This Row],[Memo]]))</f>
        <v/>
      </c>
      <c r="O10365" t="s">
        <v>58</v>
      </c>
      <c r="P10365" t="s">
        <v>196</v>
      </c>
      <c r="Q10365" t="s">
        <v>58</v>
      </c>
      <c r="R10365" t="str">
        <f>IFERROR(VLOOKUP(record[[#This Row],[PCUSTID]],廠商[],2,FALSE),"")</f>
        <v/>
      </c>
      <c r="S10365" t="str">
        <f>VLOOKUP(record[[#This Row],[employeeID]],員工[],2,FALSE)</f>
        <v>張淑惠</v>
      </c>
    </row>
    <row r="10366" spans="6:19" hidden="1" x14ac:dyDescent="0.25">
      <c r="F10366" t="s">
        <v>617</v>
      </c>
      <c r="G10366" t="s">
        <v>401</v>
      </c>
      <c r="H10366" t="str">
        <f>VLOOKUP(record[[#This Row],[ProcessSN]],表格2_7[],2,FALSE)</f>
        <v>30-4118-018-550</v>
      </c>
      <c r="I10366" t="str">
        <f>VLOOKUP(record[[#This Row],[ProcessSN]],表格2_7[],3,FALSE)</f>
        <v>#100OQC</v>
      </c>
      <c r="J10366" t="s">
        <v>599</v>
      </c>
      <c r="K10366" s="195">
        <v>45701.706319444442</v>
      </c>
      <c r="L10366">
        <v>198</v>
      </c>
      <c r="M10366">
        <v>0</v>
      </c>
      <c r="N10366" s="98" t="str">
        <f>IF(record[[#This Row],[Memo]]="Browser:chrome os:android","平板報工",IF(record[[#This Row],[Memo]]=0,"委外",record[[#This Row],[Memo]]))</f>
        <v/>
      </c>
      <c r="O10366" t="s">
        <v>58</v>
      </c>
      <c r="P10366" t="s">
        <v>121</v>
      </c>
      <c r="Q10366" t="s">
        <v>58</v>
      </c>
      <c r="R10366" t="str">
        <f>IFERROR(VLOOKUP(record[[#This Row],[PCUSTID]],廠商[],2,FALSE),"")</f>
        <v/>
      </c>
      <c r="S10366" t="str">
        <f>VLOOKUP(record[[#This Row],[employeeID]],員工[],2,FALSE)</f>
        <v>謝素卿</v>
      </c>
    </row>
    <row r="10367" spans="6:19" hidden="1" x14ac:dyDescent="0.25">
      <c r="F10367" t="s">
        <v>618</v>
      </c>
      <c r="G10367" t="s">
        <v>401</v>
      </c>
      <c r="H10367" t="str">
        <f>VLOOKUP(record[[#This Row],[ProcessSN]],表格2_7[],2,FALSE)</f>
        <v>30-4118-018-550</v>
      </c>
      <c r="I10367" t="str">
        <f>VLOOKUP(record[[#This Row],[ProcessSN]],表格2_7[],3,FALSE)</f>
        <v>#100OQC</v>
      </c>
      <c r="J10367" t="s">
        <v>599</v>
      </c>
      <c r="K10367" s="195">
        <v>45701.702800925923</v>
      </c>
      <c r="L10367">
        <v>138</v>
      </c>
      <c r="M10367">
        <v>0</v>
      </c>
      <c r="N10367" s="98" t="str">
        <f>IF(record[[#This Row],[Memo]]="Browser:chrome os:android","平板報工",IF(record[[#This Row],[Memo]]=0,"委外",record[[#This Row],[Memo]]))</f>
        <v/>
      </c>
      <c r="O10367" t="s">
        <v>58</v>
      </c>
      <c r="P10367" t="s">
        <v>121</v>
      </c>
      <c r="Q10367" t="s">
        <v>58</v>
      </c>
      <c r="R10367" t="str">
        <f>IFERROR(VLOOKUP(record[[#This Row],[PCUSTID]],廠商[],2,FALSE),"")</f>
        <v/>
      </c>
      <c r="S10367" t="str">
        <f>VLOOKUP(record[[#This Row],[employeeID]],員工[],2,FALSE)</f>
        <v>謝素卿</v>
      </c>
    </row>
    <row r="10368" spans="6:19" hidden="1" x14ac:dyDescent="0.25">
      <c r="F10368" t="s">
        <v>595</v>
      </c>
      <c r="G10368" t="s">
        <v>451</v>
      </c>
      <c r="H10368" t="str">
        <f>VLOOKUP(record[[#This Row],[ProcessSN]],表格2_7[],2,FALSE)</f>
        <v>30-4118-018-6XX</v>
      </c>
      <c r="I10368" t="str">
        <f>VLOOKUP(record[[#This Row],[ProcessSN]],表格2_7[],3,FALSE)</f>
        <v>#07</v>
      </c>
      <c r="J10368" t="s">
        <v>588</v>
      </c>
      <c r="K10368" s="195">
        <v>45701.654293981483</v>
      </c>
      <c r="L10368">
        <v>148</v>
      </c>
      <c r="M10368">
        <v>1</v>
      </c>
      <c r="N10368" s="98" t="str">
        <f>IF(record[[#This Row],[Memo]]="Browser:chrome os:android","平板報工",IF(record[[#This Row],[Memo]]=0,"委外",record[[#This Row],[Memo]]))</f>
        <v/>
      </c>
      <c r="O10368" t="s">
        <v>58</v>
      </c>
      <c r="P10368" t="s">
        <v>119</v>
      </c>
      <c r="Q10368" t="s">
        <v>58</v>
      </c>
      <c r="R10368" t="str">
        <f>IFERROR(VLOOKUP(record[[#This Row],[PCUSTID]],廠商[],2,FALSE),"")</f>
        <v/>
      </c>
      <c r="S10368" t="str">
        <f>VLOOKUP(record[[#This Row],[employeeID]],員工[],2,FALSE)</f>
        <v>廖俊彥</v>
      </c>
    </row>
    <row r="10369" spans="6:19" hidden="1" x14ac:dyDescent="0.25">
      <c r="F10369" t="s">
        <v>721</v>
      </c>
      <c r="G10369" t="s">
        <v>424</v>
      </c>
      <c r="H10369" t="str">
        <f>VLOOKUP(record[[#This Row],[ProcessSN]],表格2_7[],2,FALSE)</f>
        <v>30-4118-018-600</v>
      </c>
      <c r="I10369" t="str">
        <f>VLOOKUP(record[[#This Row],[ProcessSN]],表格2_7[],3,FALSE)</f>
        <v>#08IQC</v>
      </c>
      <c r="J10369" t="s">
        <v>583</v>
      </c>
      <c r="K10369" s="195">
        <v>45701.624259259261</v>
      </c>
      <c r="L10369">
        <v>308</v>
      </c>
      <c r="M10369">
        <v>0</v>
      </c>
      <c r="N10369" s="98" t="str">
        <f>IF(record[[#This Row],[Memo]]="Browser:chrome os:android","平板報工",IF(record[[#This Row],[Memo]]=0,"委外",record[[#This Row],[Memo]]))</f>
        <v/>
      </c>
      <c r="O10369" t="s">
        <v>58</v>
      </c>
      <c r="P10369" t="s">
        <v>143</v>
      </c>
      <c r="Q10369" t="s">
        <v>58</v>
      </c>
      <c r="R10369" t="str">
        <f>IFERROR(VLOOKUP(record[[#This Row],[PCUSTID]],廠商[],2,FALSE),"")</f>
        <v/>
      </c>
      <c r="S10369" t="str">
        <f>VLOOKUP(record[[#This Row],[employeeID]],員工[],2,FALSE)</f>
        <v>潘佳琪</v>
      </c>
    </row>
    <row r="10370" spans="6:19" hidden="1" x14ac:dyDescent="0.25">
      <c r="F10370" t="s">
        <v>721</v>
      </c>
      <c r="G10370" t="s">
        <v>423</v>
      </c>
      <c r="H10370" t="str">
        <f>VLOOKUP(record[[#This Row],[ProcessSN]],表格2_7[],2,FALSE)</f>
        <v>30-4118-018-600</v>
      </c>
      <c r="I10370" t="str">
        <f>VLOOKUP(record[[#This Row],[ProcessSN]],表格2_7[],3,FALSE)</f>
        <v>#08RCV</v>
      </c>
      <c r="J10370" t="s">
        <v>591</v>
      </c>
      <c r="K10370" s="195">
        <v>45701.609930555554</v>
      </c>
      <c r="L10370">
        <v>0</v>
      </c>
      <c r="M10370">
        <v>17</v>
      </c>
      <c r="N10370" s="98" t="str">
        <f>IF(record[[#This Row],[Memo]]="Browser:chrome os:android","平板報工",IF(record[[#This Row],[Memo]]=0,"委外",record[[#This Row],[Memo]]))</f>
        <v/>
      </c>
      <c r="O10370" t="s">
        <v>58</v>
      </c>
      <c r="P10370" t="s">
        <v>113</v>
      </c>
      <c r="Q10370" t="s">
        <v>58</v>
      </c>
      <c r="R10370" t="str">
        <f>IFERROR(VLOOKUP(record[[#This Row],[PCUSTID]],廠商[],2,FALSE),"")</f>
        <v/>
      </c>
      <c r="S10370" t="str">
        <f>VLOOKUP(record[[#This Row],[employeeID]],員工[],2,FALSE)</f>
        <v>王奕蓁</v>
      </c>
    </row>
    <row r="10371" spans="6:19" hidden="1" x14ac:dyDescent="0.25">
      <c r="F10371" t="s">
        <v>721</v>
      </c>
      <c r="G10371" t="s">
        <v>423</v>
      </c>
      <c r="H10371" t="str">
        <f>VLOOKUP(record[[#This Row],[ProcessSN]],表格2_7[],2,FALSE)</f>
        <v>30-4118-018-600</v>
      </c>
      <c r="I10371" t="str">
        <f>VLOOKUP(record[[#This Row],[ProcessSN]],表格2_7[],3,FALSE)</f>
        <v>#08RCV</v>
      </c>
      <c r="J10371" t="s">
        <v>591</v>
      </c>
      <c r="K10371" s="195">
        <v>45701.606238425928</v>
      </c>
      <c r="L10371">
        <v>308</v>
      </c>
      <c r="M10371">
        <v>0</v>
      </c>
      <c r="N10371" s="98" t="str">
        <f>IF(record[[#This Row],[Memo]]="Browser:chrome os:android","平板報工",IF(record[[#This Row],[Memo]]=0,"委外",record[[#This Row],[Memo]]))</f>
        <v/>
      </c>
      <c r="O10371" t="s">
        <v>58</v>
      </c>
      <c r="P10371" t="s">
        <v>113</v>
      </c>
      <c r="Q10371" t="s">
        <v>58</v>
      </c>
      <c r="R10371" t="str">
        <f>IFERROR(VLOOKUP(record[[#This Row],[PCUSTID]],廠商[],2,FALSE),"")</f>
        <v/>
      </c>
      <c r="S10371" t="str">
        <f>VLOOKUP(record[[#This Row],[employeeID]],員工[],2,FALSE)</f>
        <v>王奕蓁</v>
      </c>
    </row>
    <row r="10372" spans="6:19" hidden="1" x14ac:dyDescent="0.25">
      <c r="F10372" t="s">
        <v>595</v>
      </c>
      <c r="G10372" t="s">
        <v>450</v>
      </c>
      <c r="H10372" t="str">
        <f>VLOOKUP(record[[#This Row],[ProcessSN]],表格2_7[],2,FALSE)</f>
        <v>30-4118-018-6XX</v>
      </c>
      <c r="I10372" t="str">
        <f>VLOOKUP(record[[#This Row],[ProcessSN]],表格2_7[],3,FALSE)</f>
        <v>#06</v>
      </c>
      <c r="J10372" t="s">
        <v>593</v>
      </c>
      <c r="K10372" s="195">
        <v>45701.321504629632</v>
      </c>
      <c r="L10372">
        <v>141</v>
      </c>
      <c r="M10372">
        <v>0</v>
      </c>
      <c r="N10372" s="98" t="str">
        <f>IF(record[[#This Row],[Memo]]="Browser:chrome os:android","平板報工",IF(record[[#This Row],[Memo]]=0,"委外",record[[#This Row],[Memo]]))</f>
        <v/>
      </c>
      <c r="O10372" t="s">
        <v>58</v>
      </c>
      <c r="P10372" t="s">
        <v>135</v>
      </c>
      <c r="Q10372" t="s">
        <v>58</v>
      </c>
      <c r="R10372" t="str">
        <f>IFERROR(VLOOKUP(record[[#This Row],[PCUSTID]],廠商[],2,FALSE),"")</f>
        <v/>
      </c>
      <c r="S10372" t="str">
        <f>VLOOKUP(record[[#This Row],[employeeID]],員工[],2,FALSE)</f>
        <v>阮士文</v>
      </c>
    </row>
    <row r="10373" spans="6:19" hidden="1" x14ac:dyDescent="0.25">
      <c r="F10373" t="s">
        <v>617</v>
      </c>
      <c r="G10373" t="s">
        <v>400</v>
      </c>
      <c r="H10373" t="str">
        <f>VLOOKUP(record[[#This Row],[ProcessSN]],表格2_7[],2,FALSE)</f>
        <v>30-4118-018-550</v>
      </c>
      <c r="I10373" t="str">
        <f>VLOOKUP(record[[#This Row],[ProcessSN]],表格2_7[],3,FALSE)</f>
        <v>#100</v>
      </c>
      <c r="J10373" t="s">
        <v>598</v>
      </c>
      <c r="K10373" s="195">
        <v>45700.678703703707</v>
      </c>
      <c r="L10373">
        <v>168</v>
      </c>
      <c r="M10373">
        <v>0</v>
      </c>
      <c r="N10373" s="98" t="str">
        <f>IF(record[[#This Row],[Memo]]="Browser:chrome os:android","平板報工",IF(record[[#This Row],[Memo]]=0,"委外",record[[#This Row],[Memo]]))</f>
        <v>平板報工</v>
      </c>
      <c r="O10373" t="s">
        <v>643</v>
      </c>
      <c r="P10373" t="s">
        <v>141</v>
      </c>
      <c r="Q10373" t="s">
        <v>644</v>
      </c>
      <c r="R10373" t="str">
        <f>IFERROR(VLOOKUP(record[[#This Row],[PCUSTID]],廠商[],2,FALSE),"")</f>
        <v/>
      </c>
      <c r="S10373" t="str">
        <f>VLOOKUP(record[[#This Row],[employeeID]],員工[],2,FALSE)</f>
        <v>蔣梅</v>
      </c>
    </row>
    <row r="10374" spans="6:19" hidden="1" x14ac:dyDescent="0.25">
      <c r="F10374" t="s">
        <v>595</v>
      </c>
      <c r="G10374" t="s">
        <v>450</v>
      </c>
      <c r="H10374" t="str">
        <f>VLOOKUP(record[[#This Row],[ProcessSN]],表格2_7[],2,FALSE)</f>
        <v>30-4118-018-6XX</v>
      </c>
      <c r="I10374" t="str">
        <f>VLOOKUP(record[[#This Row],[ProcessSN]],表格2_7[],3,FALSE)</f>
        <v>#06</v>
      </c>
      <c r="J10374" t="s">
        <v>593</v>
      </c>
      <c r="K10374" s="195">
        <v>45700.655902777777</v>
      </c>
      <c r="L10374">
        <v>90</v>
      </c>
      <c r="M10374">
        <v>0</v>
      </c>
      <c r="N10374" s="98" t="str">
        <f>IF(record[[#This Row],[Memo]]="Browser:chrome os:android","平板報工",IF(record[[#This Row],[Memo]]=0,"委外",record[[#This Row],[Memo]]))</f>
        <v/>
      </c>
      <c r="O10374" t="s">
        <v>58</v>
      </c>
      <c r="P10374" t="s">
        <v>119</v>
      </c>
      <c r="Q10374" t="s">
        <v>58</v>
      </c>
      <c r="R10374" t="str">
        <f>IFERROR(VLOOKUP(record[[#This Row],[PCUSTID]],廠商[],2,FALSE),"")</f>
        <v/>
      </c>
      <c r="S10374" t="str">
        <f>VLOOKUP(record[[#This Row],[employeeID]],員工[],2,FALSE)</f>
        <v>廖俊彥</v>
      </c>
    </row>
    <row r="10375" spans="6:19" hidden="1" x14ac:dyDescent="0.25">
      <c r="F10375" t="s">
        <v>718</v>
      </c>
      <c r="G10375" t="s">
        <v>424</v>
      </c>
      <c r="H10375" t="str">
        <f>VLOOKUP(record[[#This Row],[ProcessSN]],表格2_7[],2,FALSE)</f>
        <v>30-4118-018-600</v>
      </c>
      <c r="I10375" t="str">
        <f>VLOOKUP(record[[#This Row],[ProcessSN]],表格2_7[],3,FALSE)</f>
        <v>#08IQC</v>
      </c>
      <c r="J10375" t="s">
        <v>583</v>
      </c>
      <c r="K10375" s="195">
        <v>45700.648842592593</v>
      </c>
      <c r="L10375">
        <v>174</v>
      </c>
      <c r="M10375">
        <v>0</v>
      </c>
      <c r="N10375" s="98" t="str">
        <f>IF(record[[#This Row],[Memo]]="Browser:chrome os:android","平板報工",IF(record[[#This Row],[Memo]]=0,"委外",record[[#This Row],[Memo]]))</f>
        <v/>
      </c>
      <c r="O10375" t="s">
        <v>58</v>
      </c>
      <c r="P10375" t="s">
        <v>143</v>
      </c>
      <c r="Q10375" t="s">
        <v>58</v>
      </c>
      <c r="R10375" t="str">
        <f>IFERROR(VLOOKUP(record[[#This Row],[PCUSTID]],廠商[],2,FALSE),"")</f>
        <v/>
      </c>
      <c r="S10375" t="str">
        <f>VLOOKUP(record[[#This Row],[employeeID]],員工[],2,FALSE)</f>
        <v>潘佳琪</v>
      </c>
    </row>
    <row r="10376" spans="6:19" hidden="1" x14ac:dyDescent="0.25">
      <c r="F10376" t="s">
        <v>717</v>
      </c>
      <c r="G10376" t="s">
        <v>424</v>
      </c>
      <c r="H10376" t="str">
        <f>VLOOKUP(record[[#This Row],[ProcessSN]],表格2_7[],2,FALSE)</f>
        <v>30-4118-018-600</v>
      </c>
      <c r="I10376" t="str">
        <f>VLOOKUP(record[[#This Row],[ProcessSN]],表格2_7[],3,FALSE)</f>
        <v>#08IQC</v>
      </c>
      <c r="J10376" t="s">
        <v>583</v>
      </c>
      <c r="K10376" s="195">
        <v>45700.64875</v>
      </c>
      <c r="L10376">
        <v>312</v>
      </c>
      <c r="M10376">
        <v>0</v>
      </c>
      <c r="N10376" s="98" t="str">
        <f>IF(record[[#This Row],[Memo]]="Browser:chrome os:android","平板報工",IF(record[[#This Row],[Memo]]=0,"委外",record[[#This Row],[Memo]]))</f>
        <v/>
      </c>
      <c r="O10376" t="s">
        <v>58</v>
      </c>
      <c r="P10376" t="s">
        <v>143</v>
      </c>
      <c r="Q10376" t="s">
        <v>58</v>
      </c>
      <c r="R10376" t="str">
        <f>IFERROR(VLOOKUP(record[[#This Row],[PCUSTID]],廠商[],2,FALSE),"")</f>
        <v/>
      </c>
      <c r="S10376" t="str">
        <f>VLOOKUP(record[[#This Row],[employeeID]],員工[],2,FALSE)</f>
        <v>潘佳琪</v>
      </c>
    </row>
    <row r="10377" spans="6:19" hidden="1" x14ac:dyDescent="0.25">
      <c r="F10377" t="s">
        <v>617</v>
      </c>
      <c r="G10377" t="s">
        <v>400</v>
      </c>
      <c r="H10377" t="str">
        <f>VLOOKUP(record[[#This Row],[ProcessSN]],表格2_7[],2,FALSE)</f>
        <v>30-4118-018-550</v>
      </c>
      <c r="I10377" t="str">
        <f>VLOOKUP(record[[#This Row],[ProcessSN]],表格2_7[],3,FALSE)</f>
        <v>#100</v>
      </c>
      <c r="J10377" t="s">
        <v>598</v>
      </c>
      <c r="K10377" s="195">
        <v>45700.645196759258</v>
      </c>
      <c r="L10377">
        <v>30</v>
      </c>
      <c r="M10377">
        <v>0</v>
      </c>
      <c r="N10377" s="98" t="str">
        <f>IF(record[[#This Row],[Memo]]="Browser:chrome os:android","平板報工",IF(record[[#This Row],[Memo]]=0,"委外",record[[#This Row],[Memo]]))</f>
        <v>平板報工</v>
      </c>
      <c r="O10377" t="s">
        <v>643</v>
      </c>
      <c r="P10377" t="s">
        <v>141</v>
      </c>
      <c r="Q10377" t="s">
        <v>644</v>
      </c>
      <c r="R10377" t="str">
        <f>IFERROR(VLOOKUP(record[[#This Row],[PCUSTID]],廠商[],2,FALSE),"")</f>
        <v/>
      </c>
      <c r="S10377" t="str">
        <f>VLOOKUP(record[[#This Row],[employeeID]],員工[],2,FALSE)</f>
        <v>蔣梅</v>
      </c>
    </row>
    <row r="10378" spans="6:19" hidden="1" x14ac:dyDescent="0.25">
      <c r="F10378" t="s">
        <v>618</v>
      </c>
      <c r="G10378" t="s">
        <v>400</v>
      </c>
      <c r="H10378" t="str">
        <f>VLOOKUP(record[[#This Row],[ProcessSN]],表格2_7[],2,FALSE)</f>
        <v>30-4118-018-550</v>
      </c>
      <c r="I10378" t="str">
        <f>VLOOKUP(record[[#This Row],[ProcessSN]],表格2_7[],3,FALSE)</f>
        <v>#100</v>
      </c>
      <c r="J10378" t="s">
        <v>598</v>
      </c>
      <c r="K10378" s="195">
        <v>45700.637743055559</v>
      </c>
      <c r="L10378">
        <v>138</v>
      </c>
      <c r="M10378">
        <v>0</v>
      </c>
      <c r="N10378" s="98" t="str">
        <f>IF(record[[#This Row],[Memo]]="Browser:chrome os:android","平板報工",IF(record[[#This Row],[Memo]]=0,"委外",record[[#This Row],[Memo]]))</f>
        <v>平板報工</v>
      </c>
      <c r="O10378" t="s">
        <v>643</v>
      </c>
      <c r="P10378" t="s">
        <v>141</v>
      </c>
      <c r="Q10378" t="s">
        <v>644</v>
      </c>
      <c r="R10378" t="str">
        <f>IFERROR(VLOOKUP(record[[#This Row],[PCUSTID]],廠商[],2,FALSE),"")</f>
        <v/>
      </c>
      <c r="S10378" t="str">
        <f>VLOOKUP(record[[#This Row],[employeeID]],員工[],2,FALSE)</f>
        <v>蔣梅</v>
      </c>
    </row>
    <row r="10379" spans="6:19" hidden="1" x14ac:dyDescent="0.25">
      <c r="F10379" t="s">
        <v>718</v>
      </c>
      <c r="G10379" t="s">
        <v>423</v>
      </c>
      <c r="H10379" t="str">
        <f>VLOOKUP(record[[#This Row],[ProcessSN]],表格2_7[],2,FALSE)</f>
        <v>30-4118-018-600</v>
      </c>
      <c r="I10379" t="str">
        <f>VLOOKUP(record[[#This Row],[ProcessSN]],表格2_7[],3,FALSE)</f>
        <v>#08RCV</v>
      </c>
      <c r="J10379" t="s">
        <v>591</v>
      </c>
      <c r="K10379" s="195">
        <v>45700.622118055559</v>
      </c>
      <c r="L10379">
        <v>0</v>
      </c>
      <c r="M10379">
        <v>3</v>
      </c>
      <c r="N10379" s="98" t="str">
        <f>IF(record[[#This Row],[Memo]]="Browser:chrome os:android","平板報工",IF(record[[#This Row],[Memo]]=0,"委外",record[[#This Row],[Memo]]))</f>
        <v/>
      </c>
      <c r="O10379" t="s">
        <v>58</v>
      </c>
      <c r="P10379" t="s">
        <v>722</v>
      </c>
      <c r="Q10379" t="s">
        <v>58</v>
      </c>
      <c r="R10379" t="str">
        <f>IFERROR(VLOOKUP(record[[#This Row],[PCUSTID]],廠商[],2,FALSE),"")</f>
        <v/>
      </c>
      <c r="S10379" t="str">
        <f>VLOOKUP(record[[#This Row],[employeeID]],員工[],2,FALSE)</f>
        <v>林麗娟</v>
      </c>
    </row>
    <row r="10380" spans="6:19" hidden="1" x14ac:dyDescent="0.25">
      <c r="F10380" t="s">
        <v>717</v>
      </c>
      <c r="G10380" t="s">
        <v>423</v>
      </c>
      <c r="H10380" t="str">
        <f>VLOOKUP(record[[#This Row],[ProcessSN]],表格2_7[],2,FALSE)</f>
        <v>30-4118-018-600</v>
      </c>
      <c r="I10380" t="str">
        <f>VLOOKUP(record[[#This Row],[ProcessSN]],表格2_7[],3,FALSE)</f>
        <v>#08RCV</v>
      </c>
      <c r="J10380" t="s">
        <v>591</v>
      </c>
      <c r="K10380" s="195">
        <v>45700.621620370373</v>
      </c>
      <c r="L10380">
        <v>0</v>
      </c>
      <c r="M10380">
        <v>8</v>
      </c>
      <c r="N10380" s="98" t="str">
        <f>IF(record[[#This Row],[Memo]]="Browser:chrome os:android","平板報工",IF(record[[#This Row],[Memo]]=0,"委外",record[[#This Row],[Memo]]))</f>
        <v/>
      </c>
      <c r="O10380" t="s">
        <v>58</v>
      </c>
      <c r="P10380" t="s">
        <v>722</v>
      </c>
      <c r="Q10380" t="s">
        <v>58</v>
      </c>
      <c r="R10380" t="str">
        <f>IFERROR(VLOOKUP(record[[#This Row],[PCUSTID]],廠商[],2,FALSE),"")</f>
        <v/>
      </c>
      <c r="S10380" t="str">
        <f>VLOOKUP(record[[#This Row],[employeeID]],員工[],2,FALSE)</f>
        <v>林麗娟</v>
      </c>
    </row>
    <row r="10381" spans="6:19" hidden="1" x14ac:dyDescent="0.25">
      <c r="F10381" t="s">
        <v>717</v>
      </c>
      <c r="G10381" t="s">
        <v>423</v>
      </c>
      <c r="H10381" t="str">
        <f>VLOOKUP(record[[#This Row],[ProcessSN]],表格2_7[],2,FALSE)</f>
        <v>30-4118-018-600</v>
      </c>
      <c r="I10381" t="str">
        <f>VLOOKUP(record[[#This Row],[ProcessSN]],表格2_7[],3,FALSE)</f>
        <v>#08RCV</v>
      </c>
      <c r="J10381" t="s">
        <v>591</v>
      </c>
      <c r="K10381" s="195">
        <v>45700.621215277781</v>
      </c>
      <c r="L10381">
        <v>0</v>
      </c>
      <c r="M10381">
        <v>12</v>
      </c>
      <c r="N10381" s="98" t="str">
        <f>IF(record[[#This Row],[Memo]]="Browser:chrome os:android","平板報工",IF(record[[#This Row],[Memo]]=0,"委外",record[[#This Row],[Memo]]))</f>
        <v/>
      </c>
      <c r="O10381" t="s">
        <v>58</v>
      </c>
      <c r="P10381" t="s">
        <v>722</v>
      </c>
      <c r="Q10381" t="s">
        <v>58</v>
      </c>
      <c r="R10381" t="str">
        <f>IFERROR(VLOOKUP(record[[#This Row],[PCUSTID]],廠商[],2,FALSE),"")</f>
        <v/>
      </c>
      <c r="S10381" t="str">
        <f>VLOOKUP(record[[#This Row],[employeeID]],員工[],2,FALSE)</f>
        <v>林麗娟</v>
      </c>
    </row>
    <row r="10382" spans="6:19" hidden="1" x14ac:dyDescent="0.25">
      <c r="F10382" t="s">
        <v>718</v>
      </c>
      <c r="G10382" t="s">
        <v>423</v>
      </c>
      <c r="H10382" t="str">
        <f>VLOOKUP(record[[#This Row],[ProcessSN]],表格2_7[],2,FALSE)</f>
        <v>30-4118-018-600</v>
      </c>
      <c r="I10382" t="str">
        <f>VLOOKUP(record[[#This Row],[ProcessSN]],表格2_7[],3,FALSE)</f>
        <v>#08RCV</v>
      </c>
      <c r="J10382" t="s">
        <v>591</v>
      </c>
      <c r="K10382" s="195">
        <v>45700.620706018519</v>
      </c>
      <c r="L10382">
        <v>174</v>
      </c>
      <c r="M10382">
        <v>0</v>
      </c>
      <c r="N10382" s="98" t="str">
        <f>IF(record[[#This Row],[Memo]]="Browser:chrome os:android","平板報工",IF(record[[#This Row],[Memo]]=0,"委外",record[[#This Row],[Memo]]))</f>
        <v/>
      </c>
      <c r="O10382" t="s">
        <v>58</v>
      </c>
      <c r="P10382" t="s">
        <v>722</v>
      </c>
      <c r="Q10382" t="s">
        <v>58</v>
      </c>
      <c r="R10382" t="str">
        <f>IFERROR(VLOOKUP(record[[#This Row],[PCUSTID]],廠商[],2,FALSE),"")</f>
        <v/>
      </c>
      <c r="S10382" t="str">
        <f>VLOOKUP(record[[#This Row],[employeeID]],員工[],2,FALSE)</f>
        <v>林麗娟</v>
      </c>
    </row>
    <row r="10383" spans="6:19" hidden="1" x14ac:dyDescent="0.25">
      <c r="F10383" t="s">
        <v>717</v>
      </c>
      <c r="G10383" t="s">
        <v>423</v>
      </c>
      <c r="H10383" t="str">
        <f>VLOOKUP(record[[#This Row],[ProcessSN]],表格2_7[],2,FALSE)</f>
        <v>30-4118-018-600</v>
      </c>
      <c r="I10383" t="str">
        <f>VLOOKUP(record[[#This Row],[ProcessSN]],表格2_7[],3,FALSE)</f>
        <v>#08RCV</v>
      </c>
      <c r="J10383" t="s">
        <v>591</v>
      </c>
      <c r="K10383" s="195">
        <v>45700.620428240742</v>
      </c>
      <c r="L10383">
        <v>312</v>
      </c>
      <c r="M10383">
        <v>0</v>
      </c>
      <c r="N10383" s="98" t="str">
        <f>IF(record[[#This Row],[Memo]]="Browser:chrome os:android","平板報工",IF(record[[#This Row],[Memo]]=0,"委外",record[[#This Row],[Memo]]))</f>
        <v/>
      </c>
      <c r="O10383" t="s">
        <v>58</v>
      </c>
      <c r="P10383" t="s">
        <v>722</v>
      </c>
      <c r="Q10383" t="s">
        <v>58</v>
      </c>
      <c r="R10383" t="str">
        <f>IFERROR(VLOOKUP(record[[#This Row],[PCUSTID]],廠商[],2,FALSE),"")</f>
        <v/>
      </c>
      <c r="S10383" t="str">
        <f>VLOOKUP(record[[#This Row],[employeeID]],員工[],2,FALSE)</f>
        <v>林麗娟</v>
      </c>
    </row>
    <row r="10384" spans="6:19" hidden="1" x14ac:dyDescent="0.25">
      <c r="F10384" t="s">
        <v>595</v>
      </c>
      <c r="G10384" t="s">
        <v>450</v>
      </c>
      <c r="H10384" t="str">
        <f>VLOOKUP(record[[#This Row],[ProcessSN]],表格2_7[],2,FALSE)</f>
        <v>30-4118-018-6XX</v>
      </c>
      <c r="I10384" t="str">
        <f>VLOOKUP(record[[#This Row],[ProcessSN]],表格2_7[],3,FALSE)</f>
        <v>#06</v>
      </c>
      <c r="J10384" t="s">
        <v>593</v>
      </c>
      <c r="K10384" s="195">
        <v>45700.324224537035</v>
      </c>
      <c r="L10384">
        <v>67</v>
      </c>
      <c r="M10384">
        <v>0</v>
      </c>
      <c r="N10384" s="98" t="str">
        <f>IF(record[[#This Row],[Memo]]="Browser:chrome os:android","平板報工",IF(record[[#This Row],[Memo]]=0,"委外",record[[#This Row],[Memo]]))</f>
        <v/>
      </c>
      <c r="O10384" t="s">
        <v>58</v>
      </c>
      <c r="P10384" t="s">
        <v>135</v>
      </c>
      <c r="Q10384" t="s">
        <v>58</v>
      </c>
      <c r="R10384" t="str">
        <f>IFERROR(VLOOKUP(record[[#This Row],[PCUSTID]],廠商[],2,FALSE),"")</f>
        <v/>
      </c>
      <c r="S10384" t="str">
        <f>VLOOKUP(record[[#This Row],[employeeID]],員工[],2,FALSE)</f>
        <v>阮士文</v>
      </c>
    </row>
    <row r="10385" spans="6:19" hidden="1" x14ac:dyDescent="0.25">
      <c r="F10385" t="s">
        <v>595</v>
      </c>
      <c r="G10385" t="s">
        <v>450</v>
      </c>
      <c r="H10385" t="str">
        <f>VLOOKUP(record[[#This Row],[ProcessSN]],表格2_7[],2,FALSE)</f>
        <v>30-4118-018-6XX</v>
      </c>
      <c r="I10385" t="str">
        <f>VLOOKUP(record[[#This Row],[ProcessSN]],表格2_7[],3,FALSE)</f>
        <v>#06</v>
      </c>
      <c r="J10385" t="s">
        <v>593</v>
      </c>
      <c r="K10385" s="195">
        <v>45699.664282407408</v>
      </c>
      <c r="L10385">
        <v>110</v>
      </c>
      <c r="M10385">
        <v>0</v>
      </c>
      <c r="N10385" s="98" t="str">
        <f>IF(record[[#This Row],[Memo]]="Browser:chrome os:android","平板報工",IF(record[[#This Row],[Memo]]=0,"委外",record[[#This Row],[Memo]]))</f>
        <v/>
      </c>
      <c r="O10385" t="s">
        <v>58</v>
      </c>
      <c r="P10385" t="s">
        <v>119</v>
      </c>
      <c r="Q10385" t="s">
        <v>58</v>
      </c>
      <c r="R10385" t="str">
        <f>IFERROR(VLOOKUP(record[[#This Row],[PCUSTID]],廠商[],2,FALSE),"")</f>
        <v/>
      </c>
      <c r="S10385" t="str">
        <f>VLOOKUP(record[[#This Row],[employeeID]],員工[],2,FALSE)</f>
        <v>廖俊彥</v>
      </c>
    </row>
    <row r="10386" spans="6:19" hidden="1" x14ac:dyDescent="0.25">
      <c r="F10386" t="s">
        <v>668</v>
      </c>
      <c r="G10386" t="s">
        <v>362</v>
      </c>
      <c r="H10386" t="str">
        <f>VLOOKUP(record[[#This Row],[ProcessSN]],表格2_7[],2,FALSE)</f>
        <v>30-4118-018-450</v>
      </c>
      <c r="I10386" t="str">
        <f>VLOOKUP(record[[#This Row],[ProcessSN]],表格2_7[],3,FALSE)</f>
        <v>#100SHIP</v>
      </c>
      <c r="J10386" t="s">
        <v>600</v>
      </c>
      <c r="K10386" s="195">
        <v>45698.709317129629</v>
      </c>
      <c r="L10386">
        <v>454</v>
      </c>
      <c r="M10386">
        <v>0</v>
      </c>
      <c r="N10386" s="98" t="str">
        <f>IF(record[[#This Row],[Memo]]="Browser:chrome os:android","平板報工",IF(record[[#This Row],[Memo]]=0,"委外",record[[#This Row],[Memo]]))</f>
        <v/>
      </c>
      <c r="O10386" t="s">
        <v>58</v>
      </c>
      <c r="P10386" t="s">
        <v>196</v>
      </c>
      <c r="Q10386" t="s">
        <v>58</v>
      </c>
      <c r="R10386" t="str">
        <f>IFERROR(VLOOKUP(record[[#This Row],[PCUSTID]],廠商[],2,FALSE),"")</f>
        <v/>
      </c>
      <c r="S10386" t="str">
        <f>VLOOKUP(record[[#This Row],[employeeID]],員工[],2,FALSE)</f>
        <v>張淑惠</v>
      </c>
    </row>
    <row r="10387" spans="6:19" hidden="1" x14ac:dyDescent="0.25">
      <c r="F10387" t="s">
        <v>668</v>
      </c>
      <c r="G10387" t="s">
        <v>361</v>
      </c>
      <c r="H10387" t="str">
        <f>VLOOKUP(record[[#This Row],[ProcessSN]],表格2_7[],2,FALSE)</f>
        <v>30-4118-018-450</v>
      </c>
      <c r="I10387" t="str">
        <f>VLOOKUP(record[[#This Row],[ProcessSN]],表格2_7[],3,FALSE)</f>
        <v>#100STOCK</v>
      </c>
      <c r="J10387" t="s">
        <v>592</v>
      </c>
      <c r="K10387" s="195">
        <v>45698.70921296296</v>
      </c>
      <c r="L10387">
        <v>459</v>
      </c>
      <c r="M10387">
        <v>0</v>
      </c>
      <c r="N10387" s="98" t="str">
        <f>IF(record[[#This Row],[Memo]]="Browser:chrome os:android","平板報工",IF(record[[#This Row],[Memo]]=0,"委外",record[[#This Row],[Memo]]))</f>
        <v/>
      </c>
      <c r="O10387" t="s">
        <v>58</v>
      </c>
      <c r="P10387" t="s">
        <v>196</v>
      </c>
      <c r="Q10387" t="s">
        <v>58</v>
      </c>
      <c r="R10387" t="str">
        <f>IFERROR(VLOOKUP(record[[#This Row],[PCUSTID]],廠商[],2,FALSE),"")</f>
        <v/>
      </c>
      <c r="S10387" t="str">
        <f>VLOOKUP(record[[#This Row],[employeeID]],員工[],2,FALSE)</f>
        <v>張淑惠</v>
      </c>
    </row>
    <row r="10388" spans="6:19" hidden="1" x14ac:dyDescent="0.25">
      <c r="F10388" t="s">
        <v>603</v>
      </c>
      <c r="G10388" t="s">
        <v>362</v>
      </c>
      <c r="H10388" t="str">
        <f>VLOOKUP(record[[#This Row],[ProcessSN]],表格2_7[],2,FALSE)</f>
        <v>30-4118-018-450</v>
      </c>
      <c r="I10388" t="str">
        <f>VLOOKUP(record[[#This Row],[ProcessSN]],表格2_7[],3,FALSE)</f>
        <v>#100SHIP</v>
      </c>
      <c r="J10388" t="s">
        <v>600</v>
      </c>
      <c r="K10388" s="195">
        <v>45698.709027777775</v>
      </c>
      <c r="L10388">
        <v>54</v>
      </c>
      <c r="M10388">
        <v>0</v>
      </c>
      <c r="N10388" s="98" t="str">
        <f>IF(record[[#This Row],[Memo]]="Browser:chrome os:android","平板報工",IF(record[[#This Row],[Memo]]=0,"委外",record[[#This Row],[Memo]]))</f>
        <v/>
      </c>
      <c r="O10388" t="s">
        <v>58</v>
      </c>
      <c r="P10388" t="s">
        <v>196</v>
      </c>
      <c r="Q10388" t="s">
        <v>58</v>
      </c>
      <c r="R10388" t="str">
        <f>IFERROR(VLOOKUP(record[[#This Row],[PCUSTID]],廠商[],2,FALSE),"")</f>
        <v/>
      </c>
      <c r="S10388" t="str">
        <f>VLOOKUP(record[[#This Row],[employeeID]],員工[],2,FALSE)</f>
        <v>張淑惠</v>
      </c>
    </row>
    <row r="10389" spans="6:19" hidden="1" x14ac:dyDescent="0.25">
      <c r="F10389" t="s">
        <v>603</v>
      </c>
      <c r="G10389" t="s">
        <v>361</v>
      </c>
      <c r="H10389" t="str">
        <f>VLOOKUP(record[[#This Row],[ProcessSN]],表格2_7[],2,FALSE)</f>
        <v>30-4118-018-450</v>
      </c>
      <c r="I10389" t="str">
        <f>VLOOKUP(record[[#This Row],[ProcessSN]],表格2_7[],3,FALSE)</f>
        <v>#100STOCK</v>
      </c>
      <c r="J10389" t="s">
        <v>592</v>
      </c>
      <c r="K10389" s="195">
        <v>45698.708912037036</v>
      </c>
      <c r="L10389">
        <v>54</v>
      </c>
      <c r="M10389">
        <v>0</v>
      </c>
      <c r="N10389" s="98" t="str">
        <f>IF(record[[#This Row],[Memo]]="Browser:chrome os:android","平板報工",IF(record[[#This Row],[Memo]]=0,"委外",record[[#This Row],[Memo]]))</f>
        <v/>
      </c>
      <c r="O10389" t="s">
        <v>58</v>
      </c>
      <c r="P10389" t="s">
        <v>196</v>
      </c>
      <c r="Q10389" t="s">
        <v>58</v>
      </c>
      <c r="R10389" t="str">
        <f>IFERROR(VLOOKUP(record[[#This Row],[PCUSTID]],廠商[],2,FALSE),"")</f>
        <v/>
      </c>
      <c r="S10389" t="str">
        <f>VLOOKUP(record[[#This Row],[employeeID]],員工[],2,FALSE)</f>
        <v>張淑惠</v>
      </c>
    </row>
    <row r="10390" spans="6:19" hidden="1" x14ac:dyDescent="0.25">
      <c r="F10390" t="s">
        <v>601</v>
      </c>
      <c r="G10390" t="s">
        <v>362</v>
      </c>
      <c r="H10390" t="str">
        <f>VLOOKUP(record[[#This Row],[ProcessSN]],表格2_7[],2,FALSE)</f>
        <v>30-4118-018-450</v>
      </c>
      <c r="I10390" t="str">
        <f>VLOOKUP(record[[#This Row],[ProcessSN]],表格2_7[],3,FALSE)</f>
        <v>#100SHIP</v>
      </c>
      <c r="J10390" t="s">
        <v>600</v>
      </c>
      <c r="K10390" s="195">
        <v>45698.708738425928</v>
      </c>
      <c r="L10390">
        <v>123</v>
      </c>
      <c r="M10390">
        <v>0</v>
      </c>
      <c r="N10390" s="98" t="str">
        <f>IF(record[[#This Row],[Memo]]="Browser:chrome os:android","平板報工",IF(record[[#This Row],[Memo]]=0,"委外",record[[#This Row],[Memo]]))</f>
        <v/>
      </c>
      <c r="O10390" t="s">
        <v>58</v>
      </c>
      <c r="P10390" t="s">
        <v>196</v>
      </c>
      <c r="Q10390" t="s">
        <v>58</v>
      </c>
      <c r="R10390" t="str">
        <f>IFERROR(VLOOKUP(record[[#This Row],[PCUSTID]],廠商[],2,FALSE),"")</f>
        <v/>
      </c>
      <c r="S10390" t="str">
        <f>VLOOKUP(record[[#This Row],[employeeID]],員工[],2,FALSE)</f>
        <v>張淑惠</v>
      </c>
    </row>
    <row r="10391" spans="6:19" hidden="1" x14ac:dyDescent="0.25">
      <c r="F10391" t="s">
        <v>668</v>
      </c>
      <c r="G10391" t="s">
        <v>360</v>
      </c>
      <c r="H10391" t="str">
        <f>VLOOKUP(record[[#This Row],[ProcessSN]],表格2_7[],2,FALSE)</f>
        <v>30-4118-018-450</v>
      </c>
      <c r="I10391" t="str">
        <f>VLOOKUP(record[[#This Row],[ProcessSN]],表格2_7[],3,FALSE)</f>
        <v>#100OQC</v>
      </c>
      <c r="J10391" t="s">
        <v>599</v>
      </c>
      <c r="K10391" s="195">
        <v>45698.707986111112</v>
      </c>
      <c r="L10391">
        <v>459</v>
      </c>
      <c r="M10391">
        <v>0</v>
      </c>
      <c r="N10391" s="98" t="str">
        <f>IF(record[[#This Row],[Memo]]="Browser:chrome os:android","平板報工",IF(record[[#This Row],[Memo]]=0,"委外",record[[#This Row],[Memo]]))</f>
        <v/>
      </c>
      <c r="O10391" t="s">
        <v>58</v>
      </c>
      <c r="P10391" t="s">
        <v>121</v>
      </c>
      <c r="Q10391" t="s">
        <v>58</v>
      </c>
      <c r="R10391" t="str">
        <f>IFERROR(VLOOKUP(record[[#This Row],[PCUSTID]],廠商[],2,FALSE),"")</f>
        <v/>
      </c>
      <c r="S10391" t="str">
        <f>VLOOKUP(record[[#This Row],[employeeID]],員工[],2,FALSE)</f>
        <v>謝素卿</v>
      </c>
    </row>
    <row r="10392" spans="6:19" hidden="1" x14ac:dyDescent="0.25">
      <c r="F10392" t="s">
        <v>603</v>
      </c>
      <c r="G10392" t="s">
        <v>360</v>
      </c>
      <c r="H10392" t="str">
        <f>VLOOKUP(record[[#This Row],[ProcessSN]],表格2_7[],2,FALSE)</f>
        <v>30-4118-018-450</v>
      </c>
      <c r="I10392" t="str">
        <f>VLOOKUP(record[[#This Row],[ProcessSN]],表格2_7[],3,FALSE)</f>
        <v>#100OQC</v>
      </c>
      <c r="J10392" t="s">
        <v>599</v>
      </c>
      <c r="K10392" s="195">
        <v>45698.707650462966</v>
      </c>
      <c r="L10392">
        <v>54</v>
      </c>
      <c r="M10392">
        <v>0</v>
      </c>
      <c r="N10392" s="98" t="str">
        <f>IF(record[[#This Row],[Memo]]="Browser:chrome os:android","平板報工",IF(record[[#This Row],[Memo]]=0,"委外",record[[#This Row],[Memo]]))</f>
        <v/>
      </c>
      <c r="O10392" t="s">
        <v>58</v>
      </c>
      <c r="P10392" t="s">
        <v>121</v>
      </c>
      <c r="Q10392" t="s">
        <v>58</v>
      </c>
      <c r="R10392" t="str">
        <f>IFERROR(VLOOKUP(record[[#This Row],[PCUSTID]],廠商[],2,FALSE),"")</f>
        <v/>
      </c>
      <c r="S10392" t="str">
        <f>VLOOKUP(record[[#This Row],[employeeID]],員工[],2,FALSE)</f>
        <v>謝素卿</v>
      </c>
    </row>
    <row r="10393" spans="6:19" hidden="1" x14ac:dyDescent="0.25">
      <c r="F10393" t="s">
        <v>721</v>
      </c>
      <c r="G10393" t="s">
        <v>422</v>
      </c>
      <c r="H10393" t="str">
        <f>VLOOKUP(record[[#This Row],[ProcessSN]],表格2_7[],2,FALSE)</f>
        <v>30-4118-018-600</v>
      </c>
      <c r="I10393" t="str">
        <f>VLOOKUP(record[[#This Row],[ProcessSN]],表格2_7[],3,FALSE)</f>
        <v>#08</v>
      </c>
      <c r="J10393" t="s">
        <v>597</v>
      </c>
      <c r="K10393" s="195">
        <v>45698.615208333336</v>
      </c>
      <c r="L10393">
        <v>325</v>
      </c>
      <c r="M10393">
        <v>0</v>
      </c>
      <c r="N10393" s="98" t="str">
        <f>IF(record[[#This Row],[Memo]]="Browser:chrome os:android","平板報工",IF(record[[#This Row],[Memo]]=0,"委外",record[[#This Row],[Memo]]))</f>
        <v>委外</v>
      </c>
      <c r="P10393" t="s">
        <v>113</v>
      </c>
      <c r="Q10393" t="s">
        <v>287</v>
      </c>
      <c r="R10393" t="str">
        <f>IFERROR(VLOOKUP(record[[#This Row],[PCUSTID]],廠商[],2,FALSE),"")</f>
        <v>泉盛</v>
      </c>
      <c r="S10393" t="str">
        <f>VLOOKUP(record[[#This Row],[employeeID]],員工[],2,FALSE)</f>
        <v>王奕蓁</v>
      </c>
    </row>
    <row r="10394" spans="6:19" hidden="1" x14ac:dyDescent="0.25">
      <c r="F10394" t="s">
        <v>721</v>
      </c>
      <c r="G10394" t="s">
        <v>421</v>
      </c>
      <c r="H10394" t="str">
        <f>VLOOKUP(record[[#This Row],[ProcessSN]],表格2_7[],2,FALSE)</f>
        <v>30-4118-018-600</v>
      </c>
      <c r="I10394" t="str">
        <f>VLOOKUP(record[[#This Row],[ProcessSN]],表格2_7[],3,FALSE)</f>
        <v>#08PICK</v>
      </c>
      <c r="J10394" t="s">
        <v>582</v>
      </c>
      <c r="K10394" s="195">
        <v>45698.614803240744</v>
      </c>
      <c r="L10394">
        <v>325</v>
      </c>
      <c r="M10394">
        <v>0</v>
      </c>
      <c r="N10394" s="98" t="str">
        <f>IF(record[[#This Row],[Memo]]="Browser:chrome os:android","平板報工",IF(record[[#This Row],[Memo]]=0,"委外",record[[#This Row],[Memo]]))</f>
        <v/>
      </c>
      <c r="O10394" t="s">
        <v>58</v>
      </c>
      <c r="P10394" t="s">
        <v>113</v>
      </c>
      <c r="Q10394" t="s">
        <v>58</v>
      </c>
      <c r="R10394" t="str">
        <f>IFERROR(VLOOKUP(record[[#This Row],[PCUSTID]],廠商[],2,FALSE),"")</f>
        <v/>
      </c>
      <c r="S10394" t="str">
        <f>VLOOKUP(record[[#This Row],[employeeID]],員工[],2,FALSE)</f>
        <v>王奕蓁</v>
      </c>
    </row>
    <row r="10395" spans="6:19" hidden="1" x14ac:dyDescent="0.25">
      <c r="F10395" t="s">
        <v>595</v>
      </c>
      <c r="G10395" t="s">
        <v>453</v>
      </c>
      <c r="H10395" t="str">
        <f>VLOOKUP(record[[#This Row],[ProcessSN]],表格2_7[],2,FALSE)</f>
        <v>30-4118-018-6XX</v>
      </c>
      <c r="I10395" t="str">
        <f>VLOOKUP(record[[#This Row],[ProcessSN]],表格2_7[],3,FALSE)</f>
        <v>#07STOCK</v>
      </c>
      <c r="J10395" t="s">
        <v>592</v>
      </c>
      <c r="K10395" s="195">
        <v>45698.613611111112</v>
      </c>
      <c r="L10395">
        <v>325</v>
      </c>
      <c r="M10395">
        <v>0</v>
      </c>
      <c r="N10395" s="98" t="str">
        <f>IF(record[[#This Row],[Memo]]="Browser:chrome os:android","平板報工",IF(record[[#This Row],[Memo]]=0,"委外",record[[#This Row],[Memo]]))</f>
        <v/>
      </c>
      <c r="O10395" t="s">
        <v>58</v>
      </c>
      <c r="P10395" t="s">
        <v>113</v>
      </c>
      <c r="Q10395" t="s">
        <v>58</v>
      </c>
      <c r="R10395" t="str">
        <f>IFERROR(VLOOKUP(record[[#This Row],[PCUSTID]],廠商[],2,FALSE),"")</f>
        <v/>
      </c>
      <c r="S10395" t="str">
        <f>VLOOKUP(record[[#This Row],[employeeID]],員工[],2,FALSE)</f>
        <v>王奕蓁</v>
      </c>
    </row>
    <row r="10396" spans="6:19" hidden="1" x14ac:dyDescent="0.25">
      <c r="F10396" t="s">
        <v>595</v>
      </c>
      <c r="G10396" t="s">
        <v>452</v>
      </c>
      <c r="H10396" t="str">
        <f>VLOOKUP(record[[#This Row],[ProcessSN]],表格2_7[],2,FALSE)</f>
        <v>30-4118-018-6XX</v>
      </c>
      <c r="I10396" t="str">
        <f>VLOOKUP(record[[#This Row],[ProcessSN]],表格2_7[],3,FALSE)</f>
        <v>#07QC</v>
      </c>
      <c r="J10396" t="s">
        <v>589</v>
      </c>
      <c r="K10396" s="195">
        <v>45698.430833333332</v>
      </c>
      <c r="L10396">
        <v>0</v>
      </c>
      <c r="M10396">
        <v>2</v>
      </c>
      <c r="N10396" s="98" t="str">
        <f>IF(record[[#This Row],[Memo]]="Browser:chrome os:android","平板報工",IF(record[[#This Row],[Memo]]=0,"委外",record[[#This Row],[Memo]]))</f>
        <v>平板報工</v>
      </c>
      <c r="O10396" t="s">
        <v>643</v>
      </c>
      <c r="P10396" t="s">
        <v>109</v>
      </c>
      <c r="Q10396" t="s">
        <v>644</v>
      </c>
      <c r="R10396" t="str">
        <f>IFERROR(VLOOKUP(record[[#This Row],[PCUSTID]],廠商[],2,FALSE),"")</f>
        <v/>
      </c>
      <c r="S10396" t="str">
        <f>VLOOKUP(record[[#This Row],[employeeID]],員工[],2,FALSE)</f>
        <v>裴氏璧鳳</v>
      </c>
    </row>
    <row r="10397" spans="6:19" hidden="1" x14ac:dyDescent="0.25">
      <c r="F10397" t="s">
        <v>595</v>
      </c>
      <c r="G10397" t="s">
        <v>452</v>
      </c>
      <c r="H10397" t="str">
        <f>VLOOKUP(record[[#This Row],[ProcessSN]],表格2_7[],2,FALSE)</f>
        <v>30-4118-018-6XX</v>
      </c>
      <c r="I10397" t="str">
        <f>VLOOKUP(record[[#This Row],[ProcessSN]],表格2_7[],3,FALSE)</f>
        <v>#07QC</v>
      </c>
      <c r="J10397" t="s">
        <v>589</v>
      </c>
      <c r="K10397" s="195">
        <v>45698.430671296293</v>
      </c>
      <c r="L10397">
        <v>325</v>
      </c>
      <c r="M10397">
        <v>0</v>
      </c>
      <c r="N10397" s="98" t="str">
        <f>IF(record[[#This Row],[Memo]]="Browser:chrome os:android","平板報工",IF(record[[#This Row],[Memo]]=0,"委外",record[[#This Row],[Memo]]))</f>
        <v>平板報工</v>
      </c>
      <c r="O10397" t="s">
        <v>643</v>
      </c>
      <c r="P10397" t="s">
        <v>109</v>
      </c>
      <c r="Q10397" t="s">
        <v>644</v>
      </c>
      <c r="R10397" t="str">
        <f>IFERROR(VLOOKUP(record[[#This Row],[PCUSTID]],廠商[],2,FALSE),"")</f>
        <v/>
      </c>
      <c r="S10397" t="str">
        <f>VLOOKUP(record[[#This Row],[employeeID]],員工[],2,FALSE)</f>
        <v>裴氏璧鳳</v>
      </c>
    </row>
    <row r="10398" spans="6:19" hidden="1" x14ac:dyDescent="0.25">
      <c r="F10398" t="s">
        <v>595</v>
      </c>
      <c r="G10398" t="s">
        <v>451</v>
      </c>
      <c r="H10398" t="str">
        <f>VLOOKUP(record[[#This Row],[ProcessSN]],表格2_7[],2,FALSE)</f>
        <v>30-4118-018-6XX</v>
      </c>
      <c r="I10398" t="str">
        <f>VLOOKUP(record[[#This Row],[ProcessSN]],表格2_7[],3,FALSE)</f>
        <v>#07</v>
      </c>
      <c r="J10398" t="s">
        <v>588</v>
      </c>
      <c r="K10398" s="195">
        <v>45696.985393518517</v>
      </c>
      <c r="L10398">
        <v>180</v>
      </c>
      <c r="M10398">
        <v>1</v>
      </c>
      <c r="N10398" s="98" t="str">
        <f>IF(record[[#This Row],[Memo]]="Browser:chrome os:android","平板報工",IF(record[[#This Row],[Memo]]=0,"委外",record[[#This Row],[Memo]]))</f>
        <v>平板報工</v>
      </c>
      <c r="O10398" t="s">
        <v>643</v>
      </c>
      <c r="P10398" t="s">
        <v>89</v>
      </c>
      <c r="Q10398" t="s">
        <v>644</v>
      </c>
      <c r="R10398" t="str">
        <f>IFERROR(VLOOKUP(record[[#This Row],[PCUSTID]],廠商[],2,FALSE),"")</f>
        <v/>
      </c>
      <c r="S10398" t="str">
        <f>VLOOKUP(record[[#This Row],[employeeID]],員工[],2,FALSE)</f>
        <v>李美蓮</v>
      </c>
    </row>
    <row r="10399" spans="6:19" hidden="1" x14ac:dyDescent="0.25">
      <c r="F10399" t="s">
        <v>668</v>
      </c>
      <c r="G10399" t="s">
        <v>359</v>
      </c>
      <c r="H10399" t="str">
        <f>VLOOKUP(record[[#This Row],[ProcessSN]],表格2_7[],2,FALSE)</f>
        <v>30-4118-018-450</v>
      </c>
      <c r="I10399" t="str">
        <f>VLOOKUP(record[[#This Row],[ProcessSN]],表格2_7[],3,FALSE)</f>
        <v>#100</v>
      </c>
      <c r="J10399" t="s">
        <v>598</v>
      </c>
      <c r="K10399" s="195">
        <v>45696.689155092594</v>
      </c>
      <c r="L10399">
        <v>0</v>
      </c>
      <c r="M10399">
        <v>3</v>
      </c>
      <c r="N10399" s="98" t="str">
        <f>IF(record[[#This Row],[Memo]]="Browser:chrome os:android","平板報工",IF(record[[#This Row],[Memo]]=0,"委外",record[[#This Row],[Memo]]))</f>
        <v>平板報工</v>
      </c>
      <c r="O10399" t="s">
        <v>643</v>
      </c>
      <c r="P10399" t="s">
        <v>109</v>
      </c>
      <c r="Q10399" t="s">
        <v>644</v>
      </c>
      <c r="R10399" t="str">
        <f>IFERROR(VLOOKUP(record[[#This Row],[PCUSTID]],廠商[],2,FALSE),"")</f>
        <v/>
      </c>
      <c r="S10399" t="str">
        <f>VLOOKUP(record[[#This Row],[employeeID]],員工[],2,FALSE)</f>
        <v>裴氏璧鳳</v>
      </c>
    </row>
    <row r="10400" spans="6:19" hidden="1" x14ac:dyDescent="0.25">
      <c r="F10400" t="s">
        <v>668</v>
      </c>
      <c r="G10400" t="s">
        <v>359</v>
      </c>
      <c r="H10400" t="str">
        <f>VLOOKUP(record[[#This Row],[ProcessSN]],表格2_7[],2,FALSE)</f>
        <v>30-4118-018-450</v>
      </c>
      <c r="I10400" t="str">
        <f>VLOOKUP(record[[#This Row],[ProcessSN]],表格2_7[],3,FALSE)</f>
        <v>#100</v>
      </c>
      <c r="J10400" t="s">
        <v>598</v>
      </c>
      <c r="K10400" s="195">
        <v>45696.688923611109</v>
      </c>
      <c r="L10400">
        <v>459</v>
      </c>
      <c r="M10400">
        <v>0</v>
      </c>
      <c r="N10400" s="98" t="str">
        <f>IF(record[[#This Row],[Memo]]="Browser:chrome os:android","平板報工",IF(record[[#This Row],[Memo]]=0,"委外",record[[#This Row],[Memo]]))</f>
        <v>平板報工</v>
      </c>
      <c r="O10400" t="s">
        <v>643</v>
      </c>
      <c r="P10400" t="s">
        <v>109</v>
      </c>
      <c r="Q10400" t="s">
        <v>644</v>
      </c>
      <c r="R10400" t="str">
        <f>IFERROR(VLOOKUP(record[[#This Row],[PCUSTID]],廠商[],2,FALSE),"")</f>
        <v/>
      </c>
      <c r="S10400" t="str">
        <f>VLOOKUP(record[[#This Row],[employeeID]],員工[],2,FALSE)</f>
        <v>裴氏璧鳳</v>
      </c>
    </row>
    <row r="10401" spans="6:19" hidden="1" x14ac:dyDescent="0.25">
      <c r="F10401" t="s">
        <v>603</v>
      </c>
      <c r="G10401" t="s">
        <v>359</v>
      </c>
      <c r="H10401" t="str">
        <f>VLOOKUP(record[[#This Row],[ProcessSN]],表格2_7[],2,FALSE)</f>
        <v>30-4118-018-450</v>
      </c>
      <c r="I10401" t="str">
        <f>VLOOKUP(record[[#This Row],[ProcessSN]],表格2_7[],3,FALSE)</f>
        <v>#100</v>
      </c>
      <c r="J10401" t="s">
        <v>598</v>
      </c>
      <c r="K10401" s="195">
        <v>45696.687986111108</v>
      </c>
      <c r="L10401">
        <v>54</v>
      </c>
      <c r="M10401">
        <v>0</v>
      </c>
      <c r="N10401" s="98" t="str">
        <f>IF(record[[#This Row],[Memo]]="Browser:chrome os:android","平板報工",IF(record[[#This Row],[Memo]]=0,"委外",record[[#This Row],[Memo]]))</f>
        <v>平板報工</v>
      </c>
      <c r="O10401" t="s">
        <v>643</v>
      </c>
      <c r="P10401" t="s">
        <v>109</v>
      </c>
      <c r="Q10401" t="s">
        <v>644</v>
      </c>
      <c r="R10401" t="str">
        <f>IFERROR(VLOOKUP(record[[#This Row],[PCUSTID]],廠商[],2,FALSE),"")</f>
        <v/>
      </c>
      <c r="S10401" t="str">
        <f>VLOOKUP(record[[#This Row],[employeeID]],員工[],2,FALSE)</f>
        <v>裴氏璧鳳</v>
      </c>
    </row>
    <row r="10402" spans="6:19" hidden="1" x14ac:dyDescent="0.25">
      <c r="F10402" t="s">
        <v>616</v>
      </c>
      <c r="G10402" t="s">
        <v>403</v>
      </c>
      <c r="H10402" t="str">
        <f>VLOOKUP(record[[#This Row],[ProcessSN]],表格2_7[],2,FALSE)</f>
        <v>30-4118-018-550</v>
      </c>
      <c r="I10402" t="str">
        <f>VLOOKUP(record[[#This Row],[ProcessSN]],表格2_7[],3,FALSE)</f>
        <v>#100SHIP</v>
      </c>
      <c r="J10402" t="s">
        <v>600</v>
      </c>
      <c r="K10402" s="195">
        <v>45696.665092592593</v>
      </c>
      <c r="L10402">
        <v>71</v>
      </c>
      <c r="M10402">
        <v>0</v>
      </c>
      <c r="N10402" s="98" t="str">
        <f>IF(record[[#This Row],[Memo]]="Browser:chrome os:android","平板報工",IF(record[[#This Row],[Memo]]=0,"委外",record[[#This Row],[Memo]]))</f>
        <v/>
      </c>
      <c r="O10402" t="s">
        <v>58</v>
      </c>
      <c r="P10402" t="s">
        <v>196</v>
      </c>
      <c r="Q10402" t="s">
        <v>58</v>
      </c>
      <c r="R10402" t="str">
        <f>IFERROR(VLOOKUP(record[[#This Row],[PCUSTID]],廠商[],2,FALSE),"")</f>
        <v/>
      </c>
      <c r="S10402" t="str">
        <f>VLOOKUP(record[[#This Row],[employeeID]],員工[],2,FALSE)</f>
        <v>張淑惠</v>
      </c>
    </row>
    <row r="10403" spans="6:19" hidden="1" x14ac:dyDescent="0.25">
      <c r="F10403" t="s">
        <v>616</v>
      </c>
      <c r="G10403" t="s">
        <v>402</v>
      </c>
      <c r="H10403" t="str">
        <f>VLOOKUP(record[[#This Row],[ProcessSN]],表格2_7[],2,FALSE)</f>
        <v>30-4118-018-550</v>
      </c>
      <c r="I10403" t="str">
        <f>VLOOKUP(record[[#This Row],[ProcessSN]],表格2_7[],3,FALSE)</f>
        <v>#100STOCK</v>
      </c>
      <c r="J10403" t="s">
        <v>592</v>
      </c>
      <c r="K10403" s="195">
        <v>45696.66479166667</v>
      </c>
      <c r="L10403">
        <v>160</v>
      </c>
      <c r="M10403">
        <v>0</v>
      </c>
      <c r="N10403" s="98" t="str">
        <f>IF(record[[#This Row],[Memo]]="Browser:chrome os:android","平板報工",IF(record[[#This Row],[Memo]]=0,"委外",record[[#This Row],[Memo]]))</f>
        <v/>
      </c>
      <c r="O10403" t="s">
        <v>58</v>
      </c>
      <c r="P10403" t="s">
        <v>196</v>
      </c>
      <c r="Q10403" t="s">
        <v>58</v>
      </c>
      <c r="R10403" t="str">
        <f>IFERROR(VLOOKUP(record[[#This Row],[PCUSTID]],廠商[],2,FALSE),"")</f>
        <v/>
      </c>
      <c r="S10403" t="str">
        <f>VLOOKUP(record[[#This Row],[employeeID]],員工[],2,FALSE)</f>
        <v>張淑惠</v>
      </c>
    </row>
    <row r="10404" spans="6:19" hidden="1" x14ac:dyDescent="0.25">
      <c r="F10404" t="s">
        <v>613</v>
      </c>
      <c r="G10404" t="s">
        <v>403</v>
      </c>
      <c r="H10404" t="str">
        <f>VLOOKUP(record[[#This Row],[ProcessSN]],表格2_7[],2,FALSE)</f>
        <v>30-4118-018-550</v>
      </c>
      <c r="I10404" t="str">
        <f>VLOOKUP(record[[#This Row],[ProcessSN]],表格2_7[],3,FALSE)</f>
        <v>#100SHIP</v>
      </c>
      <c r="J10404" t="s">
        <v>600</v>
      </c>
      <c r="K10404" s="195">
        <v>45696.664618055554</v>
      </c>
      <c r="L10404">
        <v>126</v>
      </c>
      <c r="M10404">
        <v>0</v>
      </c>
      <c r="N10404" s="98" t="str">
        <f>IF(record[[#This Row],[Memo]]="Browser:chrome os:android","平板報工",IF(record[[#This Row],[Memo]]=0,"委外",record[[#This Row],[Memo]]))</f>
        <v/>
      </c>
      <c r="O10404" t="s">
        <v>58</v>
      </c>
      <c r="P10404" t="s">
        <v>196</v>
      </c>
      <c r="Q10404" t="s">
        <v>58</v>
      </c>
      <c r="R10404" t="str">
        <f>IFERROR(VLOOKUP(record[[#This Row],[PCUSTID]],廠商[],2,FALSE),"")</f>
        <v/>
      </c>
      <c r="S10404" t="str">
        <f>VLOOKUP(record[[#This Row],[employeeID]],員工[],2,FALSE)</f>
        <v>張淑惠</v>
      </c>
    </row>
    <row r="10405" spans="6:19" hidden="1" x14ac:dyDescent="0.25">
      <c r="F10405" t="s">
        <v>616</v>
      </c>
      <c r="G10405" t="s">
        <v>401</v>
      </c>
      <c r="H10405" t="str">
        <f>VLOOKUP(record[[#This Row],[ProcessSN]],表格2_7[],2,FALSE)</f>
        <v>30-4118-018-550</v>
      </c>
      <c r="I10405" t="str">
        <f>VLOOKUP(record[[#This Row],[ProcessSN]],表格2_7[],3,FALSE)</f>
        <v>#100OQC</v>
      </c>
      <c r="J10405" t="s">
        <v>599</v>
      </c>
      <c r="K10405" s="195">
        <v>45696.639907407407</v>
      </c>
      <c r="L10405">
        <v>160</v>
      </c>
      <c r="M10405">
        <v>0</v>
      </c>
      <c r="N10405" s="98" t="str">
        <f>IF(record[[#This Row],[Memo]]="Browser:chrome os:android","平板報工",IF(record[[#This Row],[Memo]]=0,"委外",record[[#This Row],[Memo]]))</f>
        <v/>
      </c>
      <c r="O10405" t="s">
        <v>58</v>
      </c>
      <c r="P10405" t="s">
        <v>121</v>
      </c>
      <c r="Q10405" t="s">
        <v>58</v>
      </c>
      <c r="R10405" t="str">
        <f>IFERROR(VLOOKUP(record[[#This Row],[PCUSTID]],廠商[],2,FALSE),"")</f>
        <v/>
      </c>
      <c r="S10405" t="str">
        <f>VLOOKUP(record[[#This Row],[employeeID]],員工[],2,FALSE)</f>
        <v>謝素卿</v>
      </c>
    </row>
    <row r="10406" spans="6:19" hidden="1" x14ac:dyDescent="0.25">
      <c r="F10406" t="s">
        <v>595</v>
      </c>
      <c r="G10406" t="s">
        <v>450</v>
      </c>
      <c r="H10406" t="str">
        <f>VLOOKUP(record[[#This Row],[ProcessSN]],表格2_7[],2,FALSE)</f>
        <v>30-4118-018-6XX</v>
      </c>
      <c r="I10406" t="str">
        <f>VLOOKUP(record[[#This Row],[ProcessSN]],表格2_7[],3,FALSE)</f>
        <v>#06</v>
      </c>
      <c r="J10406" t="s">
        <v>593</v>
      </c>
      <c r="K10406" s="195">
        <v>45696.638912037037</v>
      </c>
      <c r="L10406">
        <v>33</v>
      </c>
      <c r="M10406">
        <v>0</v>
      </c>
      <c r="N10406" s="98" t="str">
        <f>IF(record[[#This Row],[Memo]]="Browser:chrome os:android","平板報工",IF(record[[#This Row],[Memo]]=0,"委外",record[[#This Row],[Memo]]))</f>
        <v>平板報工</v>
      </c>
      <c r="O10406" t="s">
        <v>643</v>
      </c>
      <c r="P10406" t="s">
        <v>199</v>
      </c>
      <c r="Q10406" t="s">
        <v>644</v>
      </c>
      <c r="R10406" t="str">
        <f>IFERROR(VLOOKUP(record[[#This Row],[PCUSTID]],廠商[],2,FALSE),"")</f>
        <v/>
      </c>
      <c r="S10406" t="str">
        <f>VLOOKUP(record[[#This Row],[employeeID]],員工[],2,FALSE)</f>
        <v>賴彥君</v>
      </c>
    </row>
    <row r="10407" spans="6:19" hidden="1" x14ac:dyDescent="0.25">
      <c r="F10407" t="s">
        <v>595</v>
      </c>
      <c r="G10407" t="s">
        <v>451</v>
      </c>
      <c r="H10407" t="str">
        <f>VLOOKUP(record[[#This Row],[ProcessSN]],表格2_7[],2,FALSE)</f>
        <v>30-4118-018-6XX</v>
      </c>
      <c r="I10407" t="str">
        <f>VLOOKUP(record[[#This Row],[ProcessSN]],表格2_7[],3,FALSE)</f>
        <v>#07</v>
      </c>
      <c r="J10407" t="s">
        <v>588</v>
      </c>
      <c r="K10407" s="195">
        <v>45696.62976851852</v>
      </c>
      <c r="L10407">
        <v>153</v>
      </c>
      <c r="M10407">
        <v>0</v>
      </c>
      <c r="N10407" s="98" t="str">
        <f>IF(record[[#This Row],[Memo]]="Browser:chrome os:android","平板報工",IF(record[[#This Row],[Memo]]=0,"委外",record[[#This Row],[Memo]]))</f>
        <v>平板報工</v>
      </c>
      <c r="O10407" t="s">
        <v>643</v>
      </c>
      <c r="P10407" t="s">
        <v>192</v>
      </c>
      <c r="Q10407" t="s">
        <v>644</v>
      </c>
      <c r="R10407" t="str">
        <f>IFERROR(VLOOKUP(record[[#This Row],[PCUSTID]],廠商[],2,FALSE),"")</f>
        <v/>
      </c>
      <c r="S10407" t="str">
        <f>VLOOKUP(record[[#This Row],[employeeID]],員工[],2,FALSE)</f>
        <v>許育綸</v>
      </c>
    </row>
    <row r="10408" spans="6:19" hidden="1" x14ac:dyDescent="0.25">
      <c r="F10408" t="s">
        <v>595</v>
      </c>
      <c r="G10408" t="s">
        <v>450</v>
      </c>
      <c r="H10408" t="str">
        <f>VLOOKUP(record[[#This Row],[ProcessSN]],表格2_7[],2,FALSE)</f>
        <v>30-4118-018-6XX</v>
      </c>
      <c r="I10408" t="str">
        <f>VLOOKUP(record[[#This Row],[ProcessSN]],表格2_7[],3,FALSE)</f>
        <v>#06</v>
      </c>
      <c r="J10408" t="s">
        <v>593</v>
      </c>
      <c r="K10408" s="195">
        <v>45696.549629629626</v>
      </c>
      <c r="L10408">
        <v>66</v>
      </c>
      <c r="M10408">
        <v>0</v>
      </c>
      <c r="N10408" s="98" t="str">
        <f>IF(record[[#This Row],[Memo]]="Browser:chrome os:android","平板報工",IF(record[[#This Row],[Memo]]=0,"委外",record[[#This Row],[Memo]]))</f>
        <v>華</v>
      </c>
      <c r="O10408" t="s">
        <v>719</v>
      </c>
      <c r="P10408" t="s">
        <v>119</v>
      </c>
      <c r="Q10408" t="s">
        <v>58</v>
      </c>
      <c r="R10408" t="str">
        <f>IFERROR(VLOOKUP(record[[#This Row],[PCUSTID]],廠商[],2,FALSE),"")</f>
        <v/>
      </c>
      <c r="S10408" t="str">
        <f>VLOOKUP(record[[#This Row],[employeeID]],員工[],2,FALSE)</f>
        <v>廖俊彥</v>
      </c>
    </row>
    <row r="10409" spans="6:19" hidden="1" x14ac:dyDescent="0.25">
      <c r="F10409" t="s">
        <v>718</v>
      </c>
      <c r="G10409" t="s">
        <v>422</v>
      </c>
      <c r="H10409" t="str">
        <f>VLOOKUP(record[[#This Row],[ProcessSN]],表格2_7[],2,FALSE)</f>
        <v>30-4118-018-600</v>
      </c>
      <c r="I10409" t="str">
        <f>VLOOKUP(record[[#This Row],[ProcessSN]],表格2_7[],3,FALSE)</f>
        <v>#08</v>
      </c>
      <c r="J10409" t="s">
        <v>597</v>
      </c>
      <c r="K10409" s="195">
        <v>45696.503078703703</v>
      </c>
      <c r="L10409">
        <v>177</v>
      </c>
      <c r="M10409">
        <v>0</v>
      </c>
      <c r="N10409" s="98" t="str">
        <f>IF(record[[#This Row],[Memo]]="Browser:chrome os:android","平板報工",IF(record[[#This Row],[Memo]]=0,"委外",record[[#This Row],[Memo]]))</f>
        <v>委外</v>
      </c>
      <c r="P10409" t="s">
        <v>113</v>
      </c>
      <c r="Q10409" t="s">
        <v>287</v>
      </c>
      <c r="R10409" t="str">
        <f>IFERROR(VLOOKUP(record[[#This Row],[PCUSTID]],廠商[],2,FALSE),"")</f>
        <v>泉盛</v>
      </c>
      <c r="S10409" t="str">
        <f>VLOOKUP(record[[#This Row],[employeeID]],員工[],2,FALSE)</f>
        <v>王奕蓁</v>
      </c>
    </row>
    <row r="10410" spans="6:19" hidden="1" x14ac:dyDescent="0.25">
      <c r="F10410" t="s">
        <v>718</v>
      </c>
      <c r="G10410" t="s">
        <v>421</v>
      </c>
      <c r="H10410" t="str">
        <f>VLOOKUP(record[[#This Row],[ProcessSN]],表格2_7[],2,FALSE)</f>
        <v>30-4118-018-600</v>
      </c>
      <c r="I10410" t="str">
        <f>VLOOKUP(record[[#This Row],[ProcessSN]],表格2_7[],3,FALSE)</f>
        <v>#08PICK</v>
      </c>
      <c r="J10410" t="s">
        <v>582</v>
      </c>
      <c r="K10410" s="195">
        <v>45696.502789351849</v>
      </c>
      <c r="L10410">
        <v>177</v>
      </c>
      <c r="M10410">
        <v>0</v>
      </c>
      <c r="N10410" s="98" t="str">
        <f>IF(record[[#This Row],[Memo]]="Browser:chrome os:android","平板報工",IF(record[[#This Row],[Memo]]=0,"委外",record[[#This Row],[Memo]]))</f>
        <v/>
      </c>
      <c r="O10410" t="s">
        <v>58</v>
      </c>
      <c r="P10410" t="s">
        <v>113</v>
      </c>
      <c r="Q10410" t="s">
        <v>58</v>
      </c>
      <c r="R10410" t="str">
        <f>IFERROR(VLOOKUP(record[[#This Row],[PCUSTID]],廠商[],2,FALSE),"")</f>
        <v/>
      </c>
      <c r="S10410" t="str">
        <f>VLOOKUP(record[[#This Row],[employeeID]],員工[],2,FALSE)</f>
        <v>王奕蓁</v>
      </c>
    </row>
    <row r="10411" spans="6:19" hidden="1" x14ac:dyDescent="0.25">
      <c r="F10411" t="s">
        <v>716</v>
      </c>
      <c r="G10411" t="s">
        <v>453</v>
      </c>
      <c r="H10411" t="str">
        <f>VLOOKUP(record[[#This Row],[ProcessSN]],表格2_7[],2,FALSE)</f>
        <v>30-4118-018-6XX</v>
      </c>
      <c r="I10411" t="str">
        <f>VLOOKUP(record[[#This Row],[ProcessSN]],表格2_7[],3,FALSE)</f>
        <v>#07STOCK</v>
      </c>
      <c r="J10411" t="s">
        <v>592</v>
      </c>
      <c r="K10411" s="195">
        <v>45696.501284722224</v>
      </c>
      <c r="L10411">
        <v>9</v>
      </c>
      <c r="M10411">
        <v>0</v>
      </c>
      <c r="N10411" s="98" t="str">
        <f>IF(record[[#This Row],[Memo]]="Browser:chrome os:android","平板報工",IF(record[[#This Row],[Memo]]=0,"委外",record[[#This Row],[Memo]]))</f>
        <v/>
      </c>
      <c r="O10411" t="s">
        <v>58</v>
      </c>
      <c r="P10411" t="s">
        <v>113</v>
      </c>
      <c r="Q10411" t="s">
        <v>58</v>
      </c>
      <c r="R10411" t="str">
        <f>IFERROR(VLOOKUP(record[[#This Row],[PCUSTID]],廠商[],2,FALSE),"")</f>
        <v/>
      </c>
      <c r="S10411" t="str">
        <f>VLOOKUP(record[[#This Row],[employeeID]],員工[],2,FALSE)</f>
        <v>王奕蓁</v>
      </c>
    </row>
    <row r="10412" spans="6:19" hidden="1" x14ac:dyDescent="0.25">
      <c r="F10412" t="s">
        <v>595</v>
      </c>
      <c r="G10412" t="s">
        <v>453</v>
      </c>
      <c r="H10412" t="str">
        <f>VLOOKUP(record[[#This Row],[ProcessSN]],表格2_7[],2,FALSE)</f>
        <v>30-4118-018-6XX</v>
      </c>
      <c r="I10412" t="str">
        <f>VLOOKUP(record[[#This Row],[ProcessSN]],表格2_7[],3,FALSE)</f>
        <v>#07STOCK</v>
      </c>
      <c r="J10412" t="s">
        <v>592</v>
      </c>
      <c r="K10412" s="195">
        <v>45696.501168981478</v>
      </c>
      <c r="L10412">
        <v>168</v>
      </c>
      <c r="M10412">
        <v>0</v>
      </c>
      <c r="N10412" s="98" t="str">
        <f>IF(record[[#This Row],[Memo]]="Browser:chrome os:android","平板報工",IF(record[[#This Row],[Memo]]=0,"委外",record[[#This Row],[Memo]]))</f>
        <v/>
      </c>
      <c r="O10412" t="s">
        <v>58</v>
      </c>
      <c r="P10412" t="s">
        <v>113</v>
      </c>
      <c r="Q10412" t="s">
        <v>58</v>
      </c>
      <c r="R10412" t="str">
        <f>IFERROR(VLOOKUP(record[[#This Row],[PCUSTID]],廠商[],2,FALSE),"")</f>
        <v/>
      </c>
      <c r="S10412" t="str">
        <f>VLOOKUP(record[[#This Row],[employeeID]],員工[],2,FALSE)</f>
        <v>王奕蓁</v>
      </c>
    </row>
    <row r="10413" spans="6:19" hidden="1" x14ac:dyDescent="0.25">
      <c r="F10413" t="s">
        <v>595</v>
      </c>
      <c r="G10413" t="s">
        <v>452</v>
      </c>
      <c r="H10413" t="str">
        <f>VLOOKUP(record[[#This Row],[ProcessSN]],表格2_7[],2,FALSE)</f>
        <v>30-4118-018-6XX</v>
      </c>
      <c r="I10413" t="str">
        <f>VLOOKUP(record[[#This Row],[ProcessSN]],表格2_7[],3,FALSE)</f>
        <v>#07QC</v>
      </c>
      <c r="J10413" t="s">
        <v>589</v>
      </c>
      <c r="K10413" s="195">
        <v>45696.439849537041</v>
      </c>
      <c r="L10413">
        <v>168</v>
      </c>
      <c r="M10413">
        <v>0</v>
      </c>
      <c r="N10413" s="98" t="str">
        <f>IF(record[[#This Row],[Memo]]="Browser:chrome os:android","平板報工",IF(record[[#This Row],[Memo]]=0,"委外",record[[#This Row],[Memo]]))</f>
        <v>平板報工</v>
      </c>
      <c r="O10413" t="s">
        <v>643</v>
      </c>
      <c r="P10413" t="s">
        <v>109</v>
      </c>
      <c r="Q10413" t="s">
        <v>644</v>
      </c>
      <c r="R10413" t="str">
        <f>IFERROR(VLOOKUP(record[[#This Row],[PCUSTID]],廠商[],2,FALSE),"")</f>
        <v/>
      </c>
      <c r="S10413" t="str">
        <f>VLOOKUP(record[[#This Row],[employeeID]],員工[],2,FALSE)</f>
        <v>裴氏璧鳳</v>
      </c>
    </row>
    <row r="10414" spans="6:19" hidden="1" x14ac:dyDescent="0.25">
      <c r="F10414" t="s">
        <v>716</v>
      </c>
      <c r="G10414" t="s">
        <v>452</v>
      </c>
      <c r="H10414" t="str">
        <f>VLOOKUP(record[[#This Row],[ProcessSN]],表格2_7[],2,FALSE)</f>
        <v>30-4118-018-6XX</v>
      </c>
      <c r="I10414" t="str">
        <f>VLOOKUP(record[[#This Row],[ProcessSN]],表格2_7[],3,FALSE)</f>
        <v>#07QC</v>
      </c>
      <c r="J10414" t="s">
        <v>589</v>
      </c>
      <c r="K10414" s="195">
        <v>45696.439583333333</v>
      </c>
      <c r="L10414">
        <v>9</v>
      </c>
      <c r="M10414">
        <v>0</v>
      </c>
      <c r="N10414" s="98" t="str">
        <f>IF(record[[#This Row],[Memo]]="Browser:chrome os:android","平板報工",IF(record[[#This Row],[Memo]]=0,"委外",record[[#This Row],[Memo]]))</f>
        <v>平板報工</v>
      </c>
      <c r="O10414" t="s">
        <v>643</v>
      </c>
      <c r="P10414" t="s">
        <v>109</v>
      </c>
      <c r="Q10414" t="s">
        <v>644</v>
      </c>
      <c r="R10414" t="str">
        <f>IFERROR(VLOOKUP(record[[#This Row],[PCUSTID]],廠商[],2,FALSE),"")</f>
        <v/>
      </c>
      <c r="S10414" t="str">
        <f>VLOOKUP(record[[#This Row],[employeeID]],員工[],2,FALSE)</f>
        <v>裴氏璧鳳</v>
      </c>
    </row>
    <row r="10415" spans="6:19" hidden="1" x14ac:dyDescent="0.25">
      <c r="F10415" t="s">
        <v>595</v>
      </c>
      <c r="G10415" t="s">
        <v>451</v>
      </c>
      <c r="H10415" t="str">
        <f>VLOOKUP(record[[#This Row],[ProcessSN]],表格2_7[],2,FALSE)</f>
        <v>30-4118-018-6XX</v>
      </c>
      <c r="I10415" t="str">
        <f>VLOOKUP(record[[#This Row],[ProcessSN]],表格2_7[],3,FALSE)</f>
        <v>#07</v>
      </c>
      <c r="J10415" t="s">
        <v>588</v>
      </c>
      <c r="K10415" s="195">
        <v>45695.988958333335</v>
      </c>
      <c r="L10415">
        <v>158</v>
      </c>
      <c r="M10415">
        <v>0</v>
      </c>
      <c r="N10415" s="98" t="str">
        <f>IF(record[[#This Row],[Memo]]="Browser:chrome os:android","平板報工",IF(record[[#This Row],[Memo]]=0,"委外",record[[#This Row],[Memo]]))</f>
        <v>平板報工</v>
      </c>
      <c r="O10415" t="s">
        <v>643</v>
      </c>
      <c r="P10415" t="s">
        <v>89</v>
      </c>
      <c r="Q10415" t="s">
        <v>644</v>
      </c>
      <c r="R10415" t="str">
        <f>IFERROR(VLOOKUP(record[[#This Row],[PCUSTID]],廠商[],2,FALSE),"")</f>
        <v/>
      </c>
      <c r="S10415" t="str">
        <f>VLOOKUP(record[[#This Row],[employeeID]],員工[],2,FALSE)</f>
        <v>李美蓮</v>
      </c>
    </row>
    <row r="10416" spans="6:19" hidden="1" x14ac:dyDescent="0.25">
      <c r="F10416" t="s">
        <v>595</v>
      </c>
      <c r="G10416" t="s">
        <v>450</v>
      </c>
      <c r="H10416" t="str">
        <f>VLOOKUP(record[[#This Row],[ProcessSN]],表格2_7[],2,FALSE)</f>
        <v>30-4118-018-6XX</v>
      </c>
      <c r="I10416" t="str">
        <f>VLOOKUP(record[[#This Row],[ProcessSN]],表格2_7[],3,FALSE)</f>
        <v>#06</v>
      </c>
      <c r="J10416" t="s">
        <v>593</v>
      </c>
      <c r="K10416" s="195">
        <v>45695.909155092595</v>
      </c>
      <c r="L10416">
        <v>70</v>
      </c>
      <c r="M10416">
        <v>0</v>
      </c>
      <c r="N10416" s="98" t="str">
        <f>IF(record[[#This Row],[Memo]]="Browser:chrome os:android","平板報工",IF(record[[#This Row],[Memo]]=0,"委外",record[[#This Row],[Memo]]))</f>
        <v>平板報工</v>
      </c>
      <c r="O10416" t="s">
        <v>643</v>
      </c>
      <c r="P10416" t="s">
        <v>133</v>
      </c>
      <c r="Q10416" t="s">
        <v>644</v>
      </c>
      <c r="R10416" t="str">
        <f>IFERROR(VLOOKUP(record[[#This Row],[PCUSTID]],廠商[],2,FALSE),"")</f>
        <v/>
      </c>
      <c r="S10416" t="str">
        <f>VLOOKUP(record[[#This Row],[employeeID]],員工[],2,FALSE)</f>
        <v>黎長維</v>
      </c>
    </row>
    <row r="10417" spans="6:19" hidden="1" x14ac:dyDescent="0.25">
      <c r="F10417" t="s">
        <v>715</v>
      </c>
      <c r="G10417" t="s">
        <v>412</v>
      </c>
      <c r="H10417" t="str">
        <f>VLOOKUP(record[[#This Row],[ProcessSN]],表格2_7[],2,FALSE)</f>
        <v>30-4118-018-5XX</v>
      </c>
      <c r="I10417" t="str">
        <f>VLOOKUP(record[[#This Row],[ProcessSN]],表格2_7[],3,FALSE)</f>
        <v>#03PICK</v>
      </c>
      <c r="J10417" t="s">
        <v>582</v>
      </c>
      <c r="K10417" s="195">
        <v>45695.756979166668</v>
      </c>
      <c r="L10417">
        <v>26</v>
      </c>
      <c r="M10417">
        <v>-24</v>
      </c>
      <c r="N10417" s="98" t="str">
        <f>IF(record[[#This Row],[Memo]]="Browser:chrome os:android","平板報工",IF(record[[#This Row],[Memo]]=0,"委外",record[[#This Row],[Memo]]))</f>
        <v/>
      </c>
      <c r="O10417" t="s">
        <v>58</v>
      </c>
      <c r="P10417" t="s">
        <v>125</v>
      </c>
      <c r="Q10417" t="s">
        <v>58</v>
      </c>
      <c r="R10417" t="str">
        <f>IFERROR(VLOOKUP(record[[#This Row],[PCUSTID]],廠商[],2,FALSE),"")</f>
        <v/>
      </c>
      <c r="S10417" t="str">
        <f>VLOOKUP(record[[#This Row],[employeeID]],員工[],2,FALSE)</f>
        <v>黃瓈巧</v>
      </c>
    </row>
    <row r="10418" spans="6:19" hidden="1" x14ac:dyDescent="0.25">
      <c r="F10418" t="s">
        <v>715</v>
      </c>
      <c r="G10418" t="s">
        <v>418</v>
      </c>
      <c r="H10418" t="str">
        <f>VLOOKUP(record[[#This Row],[ProcessSN]],表格2_7[],2,FALSE)</f>
        <v>30-4118-018-5XX</v>
      </c>
      <c r="I10418" t="str">
        <f>VLOOKUP(record[[#This Row],[ProcessSN]],表格2_7[],3,FALSE)</f>
        <v>#07</v>
      </c>
      <c r="J10418" t="s">
        <v>588</v>
      </c>
      <c r="K10418" s="195">
        <v>45695.754652777781</v>
      </c>
      <c r="L10418">
        <v>5</v>
      </c>
      <c r="M10418">
        <v>0</v>
      </c>
      <c r="N10418" s="98" t="str">
        <f>IF(record[[#This Row],[Memo]]="Browser:chrome os:android","平板報工",IF(record[[#This Row],[Memo]]=0,"委外",record[[#This Row],[Memo]]))</f>
        <v/>
      </c>
      <c r="O10418" t="s">
        <v>58</v>
      </c>
      <c r="P10418" t="s">
        <v>125</v>
      </c>
      <c r="Q10418" t="s">
        <v>58</v>
      </c>
      <c r="R10418" t="str">
        <f>IFERROR(VLOOKUP(record[[#This Row],[PCUSTID]],廠商[],2,FALSE),"")</f>
        <v/>
      </c>
      <c r="S10418" t="str">
        <f>VLOOKUP(record[[#This Row],[employeeID]],員工[],2,FALSE)</f>
        <v>黃瓈巧</v>
      </c>
    </row>
    <row r="10419" spans="6:19" hidden="1" x14ac:dyDescent="0.25">
      <c r="F10419" t="s">
        <v>715</v>
      </c>
      <c r="G10419" t="s">
        <v>417</v>
      </c>
      <c r="H10419" t="str">
        <f>VLOOKUP(record[[#This Row],[ProcessSN]],表格2_7[],2,FALSE)</f>
        <v>30-4118-018-5XX</v>
      </c>
      <c r="I10419" t="str">
        <f>VLOOKUP(record[[#This Row],[ProcessSN]],表格2_7[],3,FALSE)</f>
        <v>#06</v>
      </c>
      <c r="J10419" t="s">
        <v>593</v>
      </c>
      <c r="K10419" s="195">
        <v>45695.75445601852</v>
      </c>
      <c r="L10419">
        <v>5</v>
      </c>
      <c r="M10419">
        <v>0</v>
      </c>
      <c r="N10419" s="98" t="str">
        <f>IF(record[[#This Row],[Memo]]="Browser:chrome os:android","平板報工",IF(record[[#This Row],[Memo]]=0,"委外",record[[#This Row],[Memo]]))</f>
        <v/>
      </c>
      <c r="O10419" t="s">
        <v>58</v>
      </c>
      <c r="P10419" t="s">
        <v>125</v>
      </c>
      <c r="Q10419" t="s">
        <v>58</v>
      </c>
      <c r="R10419" t="str">
        <f>IFERROR(VLOOKUP(record[[#This Row],[PCUSTID]],廠商[],2,FALSE),"")</f>
        <v/>
      </c>
      <c r="S10419" t="str">
        <f>VLOOKUP(record[[#This Row],[employeeID]],員工[],2,FALSE)</f>
        <v>黃瓈巧</v>
      </c>
    </row>
    <row r="10420" spans="6:19" hidden="1" x14ac:dyDescent="0.25">
      <c r="F10420" t="s">
        <v>715</v>
      </c>
      <c r="G10420" t="s">
        <v>416</v>
      </c>
      <c r="H10420" t="str">
        <f>VLOOKUP(record[[#This Row],[ProcessSN]],表格2_7[],2,FALSE)</f>
        <v>30-4118-018-5XX</v>
      </c>
      <c r="I10420" t="str">
        <f>VLOOKUP(record[[#This Row],[ProcessSN]],表格2_7[],3,FALSE)</f>
        <v>#05</v>
      </c>
      <c r="J10420" t="s">
        <v>588</v>
      </c>
      <c r="K10420" s="195">
        <v>45695.754212962966</v>
      </c>
      <c r="L10420">
        <v>5</v>
      </c>
      <c r="M10420">
        <v>0</v>
      </c>
      <c r="N10420" s="98" t="str">
        <f>IF(record[[#This Row],[Memo]]="Browser:chrome os:android","平板報工",IF(record[[#This Row],[Memo]]=0,"委外",record[[#This Row],[Memo]]))</f>
        <v/>
      </c>
      <c r="O10420" t="s">
        <v>58</v>
      </c>
      <c r="P10420" t="s">
        <v>125</v>
      </c>
      <c r="Q10420" t="s">
        <v>58</v>
      </c>
      <c r="R10420" t="str">
        <f>IFERROR(VLOOKUP(record[[#This Row],[PCUSTID]],廠商[],2,FALSE),"")</f>
        <v/>
      </c>
      <c r="S10420" t="str">
        <f>VLOOKUP(record[[#This Row],[employeeID]],員工[],2,FALSE)</f>
        <v>黃瓈巧</v>
      </c>
    </row>
    <row r="10421" spans="6:19" hidden="1" x14ac:dyDescent="0.25">
      <c r="F10421" t="s">
        <v>715</v>
      </c>
      <c r="G10421" t="s">
        <v>415</v>
      </c>
      <c r="H10421" t="str">
        <f>VLOOKUP(record[[#This Row],[ProcessSN]],表格2_7[],2,FALSE)</f>
        <v>30-4118-018-5XX</v>
      </c>
      <c r="I10421" t="str">
        <f>VLOOKUP(record[[#This Row],[ProcessSN]],表格2_7[],3,FALSE)</f>
        <v>#04</v>
      </c>
      <c r="J10421" t="s">
        <v>588</v>
      </c>
      <c r="K10421" s="195">
        <v>45695.75408564815</v>
      </c>
      <c r="L10421">
        <v>5</v>
      </c>
      <c r="M10421">
        <v>0</v>
      </c>
      <c r="N10421" s="98" t="str">
        <f>IF(record[[#This Row],[Memo]]="Browser:chrome os:android","平板報工",IF(record[[#This Row],[Memo]]=0,"委外",record[[#This Row],[Memo]]))</f>
        <v/>
      </c>
      <c r="O10421" t="s">
        <v>58</v>
      </c>
      <c r="P10421" t="s">
        <v>125</v>
      </c>
      <c r="Q10421" t="s">
        <v>58</v>
      </c>
      <c r="R10421" t="str">
        <f>IFERROR(VLOOKUP(record[[#This Row],[PCUSTID]],廠商[],2,FALSE),"")</f>
        <v/>
      </c>
      <c r="S10421" t="str">
        <f>VLOOKUP(record[[#This Row],[employeeID]],員工[],2,FALSE)</f>
        <v>黃瓈巧</v>
      </c>
    </row>
    <row r="10422" spans="6:19" hidden="1" x14ac:dyDescent="0.25">
      <c r="F10422" t="s">
        <v>715</v>
      </c>
      <c r="G10422" t="s">
        <v>414</v>
      </c>
      <c r="H10422" t="str">
        <f>VLOOKUP(record[[#This Row],[ProcessSN]],表格2_7[],2,FALSE)</f>
        <v>30-4118-018-5XX</v>
      </c>
      <c r="I10422" t="str">
        <f>VLOOKUP(record[[#This Row],[ProcessSN]],表格2_7[],3,FALSE)</f>
        <v>#03</v>
      </c>
      <c r="J10422" t="s">
        <v>588</v>
      </c>
      <c r="K10422" s="195">
        <v>45695.753935185188</v>
      </c>
      <c r="L10422">
        <v>5</v>
      </c>
      <c r="M10422">
        <v>0</v>
      </c>
      <c r="N10422" s="98" t="str">
        <f>IF(record[[#This Row],[Memo]]="Browser:chrome os:android","平板報工",IF(record[[#This Row],[Memo]]=0,"委外",record[[#This Row],[Memo]]))</f>
        <v/>
      </c>
      <c r="O10422" t="s">
        <v>58</v>
      </c>
      <c r="P10422" t="s">
        <v>125</v>
      </c>
      <c r="Q10422" t="s">
        <v>58</v>
      </c>
      <c r="R10422" t="str">
        <f>IFERROR(VLOOKUP(record[[#This Row],[PCUSTID]],廠商[],2,FALSE),"")</f>
        <v/>
      </c>
      <c r="S10422" t="str">
        <f>VLOOKUP(record[[#This Row],[employeeID]],員工[],2,FALSE)</f>
        <v>黃瓈巧</v>
      </c>
    </row>
    <row r="10423" spans="6:19" hidden="1" x14ac:dyDescent="0.25">
      <c r="F10423" t="s">
        <v>715</v>
      </c>
      <c r="G10423" t="s">
        <v>413</v>
      </c>
      <c r="H10423" t="str">
        <f>VLOOKUP(record[[#This Row],[ProcessSN]],表格2_7[],2,FALSE)</f>
        <v>30-4118-018-5XX</v>
      </c>
      <c r="I10423" t="str">
        <f>VLOOKUP(record[[#This Row],[ProcessSN]],表格2_7[],3,FALSE)</f>
        <v>#03GIVE</v>
      </c>
      <c r="J10423" t="s">
        <v>587</v>
      </c>
      <c r="K10423" s="195">
        <v>45695.753796296296</v>
      </c>
      <c r="L10423">
        <v>5</v>
      </c>
      <c r="M10423">
        <v>0</v>
      </c>
      <c r="N10423" s="98" t="str">
        <f>IF(record[[#This Row],[Memo]]="Browser:chrome os:android","平板報工",IF(record[[#This Row],[Memo]]=0,"委外",record[[#This Row],[Memo]]))</f>
        <v/>
      </c>
      <c r="O10423" t="s">
        <v>58</v>
      </c>
      <c r="P10423" t="s">
        <v>125</v>
      </c>
      <c r="Q10423" t="s">
        <v>58</v>
      </c>
      <c r="R10423" t="str">
        <f>IFERROR(VLOOKUP(record[[#This Row],[PCUSTID]],廠商[],2,FALSE),"")</f>
        <v/>
      </c>
      <c r="S10423" t="str">
        <f>VLOOKUP(record[[#This Row],[employeeID]],員工[],2,FALSE)</f>
        <v>黃瓈巧</v>
      </c>
    </row>
    <row r="10424" spans="6:19" hidden="1" x14ac:dyDescent="0.25">
      <c r="F10424" t="s">
        <v>715</v>
      </c>
      <c r="G10424" t="s">
        <v>412</v>
      </c>
      <c r="H10424" t="str">
        <f>VLOOKUP(record[[#This Row],[ProcessSN]],表格2_7[],2,FALSE)</f>
        <v>30-4118-018-5XX</v>
      </c>
      <c r="I10424" t="str">
        <f>VLOOKUP(record[[#This Row],[ProcessSN]],表格2_7[],3,FALSE)</f>
        <v>#03PICK</v>
      </c>
      <c r="J10424" t="s">
        <v>582</v>
      </c>
      <c r="K10424" s="195">
        <v>45695.751423611109</v>
      </c>
      <c r="L10424">
        <v>0</v>
      </c>
      <c r="M10424">
        <v>24</v>
      </c>
      <c r="N10424" s="98" t="str">
        <f>IF(record[[#This Row],[Memo]]="Browser:chrome os:android","平板報工",IF(record[[#This Row],[Memo]]=0,"委外",record[[#This Row],[Memo]]))</f>
        <v/>
      </c>
      <c r="O10424" t="s">
        <v>58</v>
      </c>
      <c r="P10424" t="s">
        <v>125</v>
      </c>
      <c r="Q10424" t="s">
        <v>58</v>
      </c>
      <c r="R10424" t="str">
        <f>IFERROR(VLOOKUP(record[[#This Row],[PCUSTID]],廠商[],2,FALSE),"")</f>
        <v/>
      </c>
      <c r="S10424" t="str">
        <f>VLOOKUP(record[[#This Row],[employeeID]],員工[],2,FALSE)</f>
        <v>黃瓈巧</v>
      </c>
    </row>
    <row r="10425" spans="6:19" hidden="1" x14ac:dyDescent="0.25">
      <c r="F10425" t="s">
        <v>595</v>
      </c>
      <c r="G10425" t="s">
        <v>450</v>
      </c>
      <c r="H10425" t="str">
        <f>VLOOKUP(record[[#This Row],[ProcessSN]],表格2_7[],2,FALSE)</f>
        <v>30-4118-018-6XX</v>
      </c>
      <c r="I10425" t="str">
        <f>VLOOKUP(record[[#This Row],[ProcessSN]],表格2_7[],3,FALSE)</f>
        <v>#06</v>
      </c>
      <c r="J10425" t="s">
        <v>593</v>
      </c>
      <c r="K10425" s="195">
        <v>45695.635439814818</v>
      </c>
      <c r="L10425">
        <v>120</v>
      </c>
      <c r="M10425">
        <v>0</v>
      </c>
      <c r="N10425" s="98" t="str">
        <f>IF(record[[#This Row],[Memo]]="Browser:chrome os:android","平板報工",IF(record[[#This Row],[Memo]]=0,"委外",record[[#This Row],[Memo]]))</f>
        <v>平板報工</v>
      </c>
      <c r="O10425" t="s">
        <v>643</v>
      </c>
      <c r="P10425" t="s">
        <v>137</v>
      </c>
      <c r="Q10425" t="s">
        <v>644</v>
      </c>
      <c r="R10425" t="str">
        <f>IFERROR(VLOOKUP(record[[#This Row],[PCUSTID]],廠商[],2,FALSE),"")</f>
        <v/>
      </c>
      <c r="S10425" t="str">
        <f>VLOOKUP(record[[#This Row],[employeeID]],員工[],2,FALSE)</f>
        <v>鄭美華</v>
      </c>
    </row>
    <row r="10426" spans="6:19" hidden="1" x14ac:dyDescent="0.25">
      <c r="F10426" t="s">
        <v>595</v>
      </c>
      <c r="G10426" t="s">
        <v>451</v>
      </c>
      <c r="H10426" t="str">
        <f>VLOOKUP(record[[#This Row],[ProcessSN]],表格2_7[],2,FALSE)</f>
        <v>30-4118-018-6XX</v>
      </c>
      <c r="I10426" t="str">
        <f>VLOOKUP(record[[#This Row],[ProcessSN]],表格2_7[],3,FALSE)</f>
        <v>#07</v>
      </c>
      <c r="J10426" t="s">
        <v>588</v>
      </c>
      <c r="K10426" s="195">
        <v>45695.627395833333</v>
      </c>
      <c r="L10426">
        <v>130</v>
      </c>
      <c r="M10426">
        <v>0</v>
      </c>
      <c r="N10426" s="98" t="str">
        <f>IF(record[[#This Row],[Memo]]="Browser:chrome os:android","平板報工",IF(record[[#This Row],[Memo]]=0,"委外",record[[#This Row],[Memo]]))</f>
        <v>平板報工</v>
      </c>
      <c r="O10426" t="s">
        <v>643</v>
      </c>
      <c r="P10426" t="s">
        <v>192</v>
      </c>
      <c r="Q10426" t="s">
        <v>644</v>
      </c>
      <c r="R10426" t="str">
        <f>IFERROR(VLOOKUP(record[[#This Row],[PCUSTID]],廠商[],2,FALSE),"")</f>
        <v/>
      </c>
      <c r="S10426" t="str">
        <f>VLOOKUP(record[[#This Row],[employeeID]],員工[],2,FALSE)</f>
        <v>許育綸</v>
      </c>
    </row>
    <row r="10427" spans="6:19" hidden="1" x14ac:dyDescent="0.25">
      <c r="F10427" t="s">
        <v>616</v>
      </c>
      <c r="G10427" t="s">
        <v>400</v>
      </c>
      <c r="H10427" t="str">
        <f>VLOOKUP(record[[#This Row],[ProcessSN]],表格2_7[],2,FALSE)</f>
        <v>30-4118-018-550</v>
      </c>
      <c r="I10427" t="str">
        <f>VLOOKUP(record[[#This Row],[ProcessSN]],表格2_7[],3,FALSE)</f>
        <v>#100</v>
      </c>
      <c r="J10427" t="s">
        <v>598</v>
      </c>
      <c r="K10427" s="195">
        <v>45695.452152777776</v>
      </c>
      <c r="L10427">
        <v>160</v>
      </c>
      <c r="M10427">
        <v>0</v>
      </c>
      <c r="N10427" s="98" t="str">
        <f>IF(record[[#This Row],[Memo]]="Browser:chrome os:android","平板報工",IF(record[[#This Row],[Memo]]=0,"委外",record[[#This Row],[Memo]]))</f>
        <v>平板報工</v>
      </c>
      <c r="O10427" t="s">
        <v>643</v>
      </c>
      <c r="P10427" t="s">
        <v>141</v>
      </c>
      <c r="Q10427" t="s">
        <v>644</v>
      </c>
      <c r="R10427" t="str">
        <f>IFERROR(VLOOKUP(record[[#This Row],[PCUSTID]],廠商[],2,FALSE),"")</f>
        <v/>
      </c>
      <c r="S10427" t="str">
        <f>VLOOKUP(record[[#This Row],[employeeID]],員工[],2,FALSE)</f>
        <v>蔣梅</v>
      </c>
    </row>
    <row r="10428" spans="6:19" hidden="1" x14ac:dyDescent="0.25">
      <c r="F10428" t="s">
        <v>717</v>
      </c>
      <c r="G10428" t="s">
        <v>422</v>
      </c>
      <c r="H10428" t="str">
        <f>VLOOKUP(record[[#This Row],[ProcessSN]],表格2_7[],2,FALSE)</f>
        <v>30-4118-018-600</v>
      </c>
      <c r="I10428" t="str">
        <f>VLOOKUP(record[[#This Row],[ProcessSN]],表格2_7[],3,FALSE)</f>
        <v>#08</v>
      </c>
      <c r="J10428" t="s">
        <v>597</v>
      </c>
      <c r="K10428" s="195">
        <v>45695.443506944444</v>
      </c>
      <c r="L10428">
        <v>332</v>
      </c>
      <c r="M10428">
        <v>0</v>
      </c>
      <c r="N10428" s="98" t="str">
        <f>IF(record[[#This Row],[Memo]]="Browser:chrome os:android","平板報工",IF(record[[#This Row],[Memo]]=0,"委外",record[[#This Row],[Memo]]))</f>
        <v>委外</v>
      </c>
      <c r="P10428" t="s">
        <v>113</v>
      </c>
      <c r="Q10428" t="s">
        <v>287</v>
      </c>
      <c r="R10428" t="str">
        <f>IFERROR(VLOOKUP(record[[#This Row],[PCUSTID]],廠商[],2,FALSE),"")</f>
        <v>泉盛</v>
      </c>
      <c r="S10428" t="str">
        <f>VLOOKUP(record[[#This Row],[employeeID]],員工[],2,FALSE)</f>
        <v>王奕蓁</v>
      </c>
    </row>
    <row r="10429" spans="6:19" hidden="1" x14ac:dyDescent="0.25">
      <c r="F10429" t="s">
        <v>717</v>
      </c>
      <c r="G10429" t="s">
        <v>421</v>
      </c>
      <c r="H10429" t="str">
        <f>VLOOKUP(record[[#This Row],[ProcessSN]],表格2_7[],2,FALSE)</f>
        <v>30-4118-018-600</v>
      </c>
      <c r="I10429" t="str">
        <f>VLOOKUP(record[[#This Row],[ProcessSN]],表格2_7[],3,FALSE)</f>
        <v>#08PICK</v>
      </c>
      <c r="J10429" t="s">
        <v>582</v>
      </c>
      <c r="K10429" s="195">
        <v>45695.443090277775</v>
      </c>
      <c r="L10429">
        <v>332</v>
      </c>
      <c r="M10429">
        <v>0</v>
      </c>
      <c r="N10429" s="98" t="str">
        <f>IF(record[[#This Row],[Memo]]="Browser:chrome os:android","平板報工",IF(record[[#This Row],[Memo]]=0,"委外",record[[#This Row],[Memo]]))</f>
        <v/>
      </c>
      <c r="O10429" t="s">
        <v>58</v>
      </c>
      <c r="P10429" t="s">
        <v>113</v>
      </c>
      <c r="Q10429" t="s">
        <v>58</v>
      </c>
      <c r="R10429" t="str">
        <f>IFERROR(VLOOKUP(record[[#This Row],[PCUSTID]],廠商[],2,FALSE),"")</f>
        <v/>
      </c>
      <c r="S10429" t="str">
        <f>VLOOKUP(record[[#This Row],[employeeID]],員工[],2,FALSE)</f>
        <v>王奕蓁</v>
      </c>
    </row>
    <row r="10430" spans="6:19" hidden="1" x14ac:dyDescent="0.25">
      <c r="F10430" t="s">
        <v>595</v>
      </c>
      <c r="G10430" t="s">
        <v>453</v>
      </c>
      <c r="H10430" t="str">
        <f>VLOOKUP(record[[#This Row],[ProcessSN]],表格2_7[],2,FALSE)</f>
        <v>30-4118-018-6XX</v>
      </c>
      <c r="I10430" t="str">
        <f>VLOOKUP(record[[#This Row],[ProcessSN]],表格2_7[],3,FALSE)</f>
        <v>#07STOCK</v>
      </c>
      <c r="J10430" t="s">
        <v>592</v>
      </c>
      <c r="K10430" s="195">
        <v>45695.44226851852</v>
      </c>
      <c r="L10430">
        <v>332</v>
      </c>
      <c r="M10430">
        <v>0</v>
      </c>
      <c r="N10430" s="98" t="str">
        <f>IF(record[[#This Row],[Memo]]="Browser:chrome os:android","平板報工",IF(record[[#This Row],[Memo]]=0,"委外",record[[#This Row],[Memo]]))</f>
        <v/>
      </c>
      <c r="O10430" t="s">
        <v>58</v>
      </c>
      <c r="P10430" t="s">
        <v>113</v>
      </c>
      <c r="Q10430" t="s">
        <v>58</v>
      </c>
      <c r="R10430" t="str">
        <f>IFERROR(VLOOKUP(record[[#This Row],[PCUSTID]],廠商[],2,FALSE),"")</f>
        <v/>
      </c>
      <c r="S10430" t="str">
        <f>VLOOKUP(record[[#This Row],[employeeID]],員工[],2,FALSE)</f>
        <v>王奕蓁</v>
      </c>
    </row>
    <row r="10431" spans="6:19" hidden="1" x14ac:dyDescent="0.25">
      <c r="F10431" t="s">
        <v>595</v>
      </c>
      <c r="G10431" t="s">
        <v>452</v>
      </c>
      <c r="H10431" t="str">
        <f>VLOOKUP(record[[#This Row],[ProcessSN]],表格2_7[],2,FALSE)</f>
        <v>30-4118-018-6XX</v>
      </c>
      <c r="I10431" t="str">
        <f>VLOOKUP(record[[#This Row],[ProcessSN]],表格2_7[],3,FALSE)</f>
        <v>#07QC</v>
      </c>
      <c r="J10431" t="s">
        <v>589</v>
      </c>
      <c r="K10431" s="195">
        <v>45695.441678240742</v>
      </c>
      <c r="L10431">
        <v>166</v>
      </c>
      <c r="M10431">
        <v>0</v>
      </c>
      <c r="N10431" s="98" t="str">
        <f>IF(record[[#This Row],[Memo]]="Browser:chrome os:android","平板報工",IF(record[[#This Row],[Memo]]=0,"委外",record[[#This Row],[Memo]]))</f>
        <v/>
      </c>
      <c r="O10431" t="s">
        <v>58</v>
      </c>
      <c r="P10431" t="s">
        <v>113</v>
      </c>
      <c r="Q10431" t="s">
        <v>58</v>
      </c>
      <c r="R10431" t="str">
        <f>IFERROR(VLOOKUP(record[[#This Row],[PCUSTID]],廠商[],2,FALSE),"")</f>
        <v/>
      </c>
      <c r="S10431" t="str">
        <f>VLOOKUP(record[[#This Row],[employeeID]],員工[],2,FALSE)</f>
        <v>王奕蓁</v>
      </c>
    </row>
    <row r="10432" spans="6:19" hidden="1" x14ac:dyDescent="0.25">
      <c r="F10432" t="s">
        <v>595</v>
      </c>
      <c r="G10432" t="s">
        <v>451</v>
      </c>
      <c r="H10432" t="str">
        <f>VLOOKUP(record[[#This Row],[ProcessSN]],表格2_7[],2,FALSE)</f>
        <v>30-4118-018-6XX</v>
      </c>
      <c r="I10432" t="str">
        <f>VLOOKUP(record[[#This Row],[ProcessSN]],表格2_7[],3,FALSE)</f>
        <v>#07</v>
      </c>
      <c r="J10432" t="s">
        <v>588</v>
      </c>
      <c r="K10432" s="195">
        <v>45695.44159722222</v>
      </c>
      <c r="L10432">
        <v>10</v>
      </c>
      <c r="M10432">
        <v>0</v>
      </c>
      <c r="N10432" s="98" t="str">
        <f>IF(record[[#This Row],[Memo]]="Browser:chrome os:android","平板報工",IF(record[[#This Row],[Memo]]=0,"委外",record[[#This Row],[Memo]]))</f>
        <v/>
      </c>
      <c r="O10432" t="s">
        <v>58</v>
      </c>
      <c r="P10432" t="s">
        <v>113</v>
      </c>
      <c r="Q10432" t="s">
        <v>58</v>
      </c>
      <c r="R10432" t="str">
        <f>IFERROR(VLOOKUP(record[[#This Row],[PCUSTID]],廠商[],2,FALSE),"")</f>
        <v/>
      </c>
      <c r="S10432" t="str">
        <f>VLOOKUP(record[[#This Row],[employeeID]],員工[],2,FALSE)</f>
        <v>王奕蓁</v>
      </c>
    </row>
    <row r="10433" spans="6:19" hidden="1" x14ac:dyDescent="0.25">
      <c r="F10433" t="s">
        <v>625</v>
      </c>
      <c r="G10433" t="s">
        <v>428</v>
      </c>
      <c r="H10433" t="str">
        <f>VLOOKUP(record[[#This Row],[ProcessSN]],表格2_7[],2,FALSE)</f>
        <v>30-4118-018-600</v>
      </c>
      <c r="I10433" t="str">
        <f>VLOOKUP(record[[#This Row],[ProcessSN]],表格2_7[],3,FALSE)</f>
        <v>#100SHIP</v>
      </c>
      <c r="J10433" t="s">
        <v>600</v>
      </c>
      <c r="K10433" s="195">
        <v>45695.387824074074</v>
      </c>
      <c r="L10433">
        <v>302</v>
      </c>
      <c r="M10433">
        <v>0</v>
      </c>
      <c r="N10433" s="98" t="str">
        <f>IF(record[[#This Row],[Memo]]="Browser:chrome os:android","平板報工",IF(record[[#This Row],[Memo]]=0,"委外",record[[#This Row],[Memo]]))</f>
        <v/>
      </c>
      <c r="O10433" t="s">
        <v>58</v>
      </c>
      <c r="P10433" t="s">
        <v>196</v>
      </c>
      <c r="Q10433" t="s">
        <v>58</v>
      </c>
      <c r="R10433" t="str">
        <f>IFERROR(VLOOKUP(record[[#This Row],[PCUSTID]],廠商[],2,FALSE),"")</f>
        <v/>
      </c>
      <c r="S10433" t="str">
        <f>VLOOKUP(record[[#This Row],[employeeID]],員工[],2,FALSE)</f>
        <v>張淑惠</v>
      </c>
    </row>
    <row r="10434" spans="6:19" hidden="1" x14ac:dyDescent="0.25">
      <c r="F10434" t="s">
        <v>629</v>
      </c>
      <c r="G10434" t="s">
        <v>428</v>
      </c>
      <c r="H10434" t="str">
        <f>VLOOKUP(record[[#This Row],[ProcessSN]],表格2_7[],2,FALSE)</f>
        <v>30-4118-018-600</v>
      </c>
      <c r="I10434" t="str">
        <f>VLOOKUP(record[[#This Row],[ProcessSN]],表格2_7[],3,FALSE)</f>
        <v>#100SHIP</v>
      </c>
      <c r="J10434" t="s">
        <v>600</v>
      </c>
      <c r="K10434" s="195">
        <v>45695.387638888889</v>
      </c>
      <c r="L10434">
        <v>138</v>
      </c>
      <c r="M10434">
        <v>0</v>
      </c>
      <c r="N10434" s="98" t="str">
        <f>IF(record[[#This Row],[Memo]]="Browser:chrome os:android","平板報工",IF(record[[#This Row],[Memo]]=0,"委外",record[[#This Row],[Memo]]))</f>
        <v/>
      </c>
      <c r="O10434" t="s">
        <v>58</v>
      </c>
      <c r="P10434" t="s">
        <v>196</v>
      </c>
      <c r="Q10434" t="s">
        <v>58</v>
      </c>
      <c r="R10434" t="str">
        <f>IFERROR(VLOOKUP(record[[#This Row],[PCUSTID]],廠商[],2,FALSE),"")</f>
        <v/>
      </c>
      <c r="S10434" t="str">
        <f>VLOOKUP(record[[#This Row],[employeeID]],員工[],2,FALSE)</f>
        <v>張淑惠</v>
      </c>
    </row>
    <row r="10435" spans="6:19" hidden="1" x14ac:dyDescent="0.25">
      <c r="F10435" t="s">
        <v>601</v>
      </c>
      <c r="G10435" t="s">
        <v>362</v>
      </c>
      <c r="H10435" t="str">
        <f>VLOOKUP(record[[#This Row],[ProcessSN]],表格2_7[],2,FALSE)</f>
        <v>30-4118-018-450</v>
      </c>
      <c r="I10435" t="str">
        <f>VLOOKUP(record[[#This Row],[ProcessSN]],表格2_7[],3,FALSE)</f>
        <v>#100SHIP</v>
      </c>
      <c r="J10435" t="s">
        <v>600</v>
      </c>
      <c r="K10435" s="195">
        <v>45695.386944444443</v>
      </c>
      <c r="L10435">
        <v>112</v>
      </c>
      <c r="M10435">
        <v>0</v>
      </c>
      <c r="N10435" s="98" t="str">
        <f>IF(record[[#This Row],[Memo]]="Browser:chrome os:android","平板報工",IF(record[[#This Row],[Memo]]=0,"委外",record[[#This Row],[Memo]]))</f>
        <v/>
      </c>
      <c r="O10435" t="s">
        <v>58</v>
      </c>
      <c r="P10435" t="s">
        <v>196</v>
      </c>
      <c r="Q10435" t="s">
        <v>58</v>
      </c>
      <c r="R10435" t="str">
        <f>IFERROR(VLOOKUP(record[[#This Row],[PCUSTID]],廠商[],2,FALSE),"")</f>
        <v/>
      </c>
      <c r="S10435" t="str">
        <f>VLOOKUP(record[[#This Row],[employeeID]],員工[],2,FALSE)</f>
        <v>張淑惠</v>
      </c>
    </row>
    <row r="10436" spans="6:19" hidden="1" x14ac:dyDescent="0.25">
      <c r="F10436" t="s">
        <v>595</v>
      </c>
      <c r="G10436" t="s">
        <v>450</v>
      </c>
      <c r="H10436" t="str">
        <f>VLOOKUP(record[[#This Row],[ProcessSN]],表格2_7[],2,FALSE)</f>
        <v>30-4118-018-6XX</v>
      </c>
      <c r="I10436" t="str">
        <f>VLOOKUP(record[[#This Row],[ProcessSN]],表格2_7[],3,FALSE)</f>
        <v>#06</v>
      </c>
      <c r="J10436" t="s">
        <v>593</v>
      </c>
      <c r="K10436" s="195">
        <v>45695.321261574078</v>
      </c>
      <c r="L10436">
        <v>122</v>
      </c>
      <c r="M10436">
        <v>0</v>
      </c>
      <c r="N10436" s="98" t="str">
        <f>IF(record[[#This Row],[Memo]]="Browser:chrome os:android","平板報工",IF(record[[#This Row],[Memo]]=0,"委外",record[[#This Row],[Memo]]))</f>
        <v>平板報工</v>
      </c>
      <c r="O10436" t="s">
        <v>643</v>
      </c>
      <c r="P10436" t="s">
        <v>180</v>
      </c>
      <c r="Q10436" t="s">
        <v>644</v>
      </c>
      <c r="R10436" t="str">
        <f>IFERROR(VLOOKUP(record[[#This Row],[PCUSTID]],廠商[],2,FALSE),"")</f>
        <v/>
      </c>
      <c r="S10436" t="str">
        <f>VLOOKUP(record[[#This Row],[employeeID]],員工[],2,FALSE)</f>
        <v>黎功江</v>
      </c>
    </row>
    <row r="10437" spans="6:19" hidden="1" x14ac:dyDescent="0.25">
      <c r="F10437" t="s">
        <v>595</v>
      </c>
      <c r="G10437" t="s">
        <v>450</v>
      </c>
      <c r="H10437" t="str">
        <f>VLOOKUP(record[[#This Row],[ProcessSN]],表格2_7[],2,FALSE)</f>
        <v>30-4118-018-6XX</v>
      </c>
      <c r="I10437" t="str">
        <f>VLOOKUP(record[[#This Row],[ProcessSN]],表格2_7[],3,FALSE)</f>
        <v>#06</v>
      </c>
      <c r="J10437" t="s">
        <v>593</v>
      </c>
      <c r="K10437" s="195">
        <v>45694.968124999999</v>
      </c>
      <c r="L10437">
        <v>132</v>
      </c>
      <c r="M10437">
        <v>0</v>
      </c>
      <c r="N10437" s="98" t="str">
        <f>IF(record[[#This Row],[Memo]]="Browser:chrome os:android","平板報工",IF(record[[#This Row],[Memo]]=0,"委外",record[[#This Row],[Memo]]))</f>
        <v>平板報工</v>
      </c>
      <c r="O10437" t="s">
        <v>643</v>
      </c>
      <c r="P10437" t="s">
        <v>133</v>
      </c>
      <c r="Q10437" t="s">
        <v>644</v>
      </c>
      <c r="R10437" t="str">
        <f>IFERROR(VLOOKUP(record[[#This Row],[PCUSTID]],廠商[],2,FALSE),"")</f>
        <v/>
      </c>
      <c r="S10437" t="str">
        <f>VLOOKUP(record[[#This Row],[employeeID]],員工[],2,FALSE)</f>
        <v>黎長維</v>
      </c>
    </row>
    <row r="10438" spans="6:19" hidden="1" x14ac:dyDescent="0.25">
      <c r="F10438" t="s">
        <v>716</v>
      </c>
      <c r="G10438" t="s">
        <v>451</v>
      </c>
      <c r="H10438" t="str">
        <f>VLOOKUP(record[[#This Row],[ProcessSN]],表格2_7[],2,FALSE)</f>
        <v>30-4118-018-6XX</v>
      </c>
      <c r="I10438" t="str">
        <f>VLOOKUP(record[[#This Row],[ProcessSN]],表格2_7[],3,FALSE)</f>
        <v>#07</v>
      </c>
      <c r="J10438" t="s">
        <v>588</v>
      </c>
      <c r="K10438" s="195">
        <v>45694.664247685185</v>
      </c>
      <c r="L10438">
        <v>9</v>
      </c>
      <c r="M10438">
        <v>0</v>
      </c>
      <c r="N10438" s="98" t="str">
        <f>IF(record[[#This Row],[Memo]]="Browser:chrome os:android","平板報工",IF(record[[#This Row],[Memo]]=0,"委外",record[[#This Row],[Memo]]))</f>
        <v/>
      </c>
      <c r="O10438" t="s">
        <v>58</v>
      </c>
      <c r="P10438" t="s">
        <v>65</v>
      </c>
      <c r="Q10438" t="s">
        <v>58</v>
      </c>
      <c r="R10438" t="str">
        <f>IFERROR(VLOOKUP(record[[#This Row],[PCUSTID]],廠商[],2,FALSE),"")</f>
        <v/>
      </c>
      <c r="S10438" t="str">
        <f>VLOOKUP(record[[#This Row],[employeeID]],員工[],2,FALSE)</f>
        <v>蘇進昌</v>
      </c>
    </row>
    <row r="10439" spans="6:19" hidden="1" x14ac:dyDescent="0.25">
      <c r="F10439" t="s">
        <v>716</v>
      </c>
      <c r="G10439" t="s">
        <v>450</v>
      </c>
      <c r="H10439" t="str">
        <f>VLOOKUP(record[[#This Row],[ProcessSN]],表格2_7[],2,FALSE)</f>
        <v>30-4118-018-6XX</v>
      </c>
      <c r="I10439" t="str">
        <f>VLOOKUP(record[[#This Row],[ProcessSN]],表格2_7[],3,FALSE)</f>
        <v>#06</v>
      </c>
      <c r="J10439" t="s">
        <v>593</v>
      </c>
      <c r="K10439" s="195">
        <v>45694.664189814815</v>
      </c>
      <c r="L10439">
        <v>9</v>
      </c>
      <c r="M10439">
        <v>0</v>
      </c>
      <c r="N10439" s="98" t="str">
        <f>IF(record[[#This Row],[Memo]]="Browser:chrome os:android","平板報工",IF(record[[#This Row],[Memo]]=0,"委外",record[[#This Row],[Memo]]))</f>
        <v/>
      </c>
      <c r="O10439" t="s">
        <v>58</v>
      </c>
      <c r="P10439" t="s">
        <v>65</v>
      </c>
      <c r="Q10439" t="s">
        <v>58</v>
      </c>
      <c r="R10439" t="str">
        <f>IFERROR(VLOOKUP(record[[#This Row],[PCUSTID]],廠商[],2,FALSE),"")</f>
        <v/>
      </c>
      <c r="S10439" t="str">
        <f>VLOOKUP(record[[#This Row],[employeeID]],員工[],2,FALSE)</f>
        <v>蘇進昌</v>
      </c>
    </row>
    <row r="10440" spans="6:19" hidden="1" x14ac:dyDescent="0.25">
      <c r="F10440" t="s">
        <v>716</v>
      </c>
      <c r="G10440" t="s">
        <v>449</v>
      </c>
      <c r="H10440" t="str">
        <f>VLOOKUP(record[[#This Row],[ProcessSN]],表格2_7[],2,FALSE)</f>
        <v>30-4118-018-6XX</v>
      </c>
      <c r="I10440" t="str">
        <f>VLOOKUP(record[[#This Row],[ProcessSN]],表格2_7[],3,FALSE)</f>
        <v>#05</v>
      </c>
      <c r="J10440" t="s">
        <v>588</v>
      </c>
      <c r="K10440" s="195">
        <v>45694.6641087963</v>
      </c>
      <c r="L10440">
        <v>9</v>
      </c>
      <c r="M10440">
        <v>0</v>
      </c>
      <c r="N10440" s="98" t="str">
        <f>IF(record[[#This Row],[Memo]]="Browser:chrome os:android","平板報工",IF(record[[#This Row],[Memo]]=0,"委外",record[[#This Row],[Memo]]))</f>
        <v/>
      </c>
      <c r="O10440" t="s">
        <v>58</v>
      </c>
      <c r="P10440" t="s">
        <v>65</v>
      </c>
      <c r="Q10440" t="s">
        <v>58</v>
      </c>
      <c r="R10440" t="str">
        <f>IFERROR(VLOOKUP(record[[#This Row],[PCUSTID]],廠商[],2,FALSE),"")</f>
        <v/>
      </c>
      <c r="S10440" t="str">
        <f>VLOOKUP(record[[#This Row],[employeeID]],員工[],2,FALSE)</f>
        <v>蘇進昌</v>
      </c>
    </row>
    <row r="10441" spans="6:19" hidden="1" x14ac:dyDescent="0.25">
      <c r="F10441" t="s">
        <v>716</v>
      </c>
      <c r="G10441" t="s">
        <v>448</v>
      </c>
      <c r="H10441" t="str">
        <f>VLOOKUP(record[[#This Row],[ProcessSN]],表格2_7[],2,FALSE)</f>
        <v>30-4118-018-6XX</v>
      </c>
      <c r="I10441" t="str">
        <f>VLOOKUP(record[[#This Row],[ProcessSN]],表格2_7[],3,FALSE)</f>
        <v>#04</v>
      </c>
      <c r="J10441" t="s">
        <v>588</v>
      </c>
      <c r="K10441" s="195">
        <v>45694.664039351854</v>
      </c>
      <c r="L10441">
        <v>9</v>
      </c>
      <c r="M10441">
        <v>0</v>
      </c>
      <c r="N10441" s="98" t="str">
        <f>IF(record[[#This Row],[Memo]]="Browser:chrome os:android","平板報工",IF(record[[#This Row],[Memo]]=0,"委外",record[[#This Row],[Memo]]))</f>
        <v/>
      </c>
      <c r="O10441" t="s">
        <v>58</v>
      </c>
      <c r="P10441" t="s">
        <v>65</v>
      </c>
      <c r="Q10441" t="s">
        <v>58</v>
      </c>
      <c r="R10441" t="str">
        <f>IFERROR(VLOOKUP(record[[#This Row],[PCUSTID]],廠商[],2,FALSE),"")</f>
        <v/>
      </c>
      <c r="S10441" t="str">
        <f>VLOOKUP(record[[#This Row],[employeeID]],員工[],2,FALSE)</f>
        <v>蘇進昌</v>
      </c>
    </row>
    <row r="10442" spans="6:19" hidden="1" x14ac:dyDescent="0.25">
      <c r="F10442" t="s">
        <v>716</v>
      </c>
      <c r="G10442" t="s">
        <v>447</v>
      </c>
      <c r="H10442" t="str">
        <f>VLOOKUP(record[[#This Row],[ProcessSN]],表格2_7[],2,FALSE)</f>
        <v>30-4118-018-6XX</v>
      </c>
      <c r="I10442" t="str">
        <f>VLOOKUP(record[[#This Row],[ProcessSN]],表格2_7[],3,FALSE)</f>
        <v>#03</v>
      </c>
      <c r="J10442" t="s">
        <v>588</v>
      </c>
      <c r="K10442" s="195">
        <v>45694.663969907408</v>
      </c>
      <c r="L10442">
        <v>9</v>
      </c>
      <c r="M10442">
        <v>0</v>
      </c>
      <c r="N10442" s="98" t="str">
        <f>IF(record[[#This Row],[Memo]]="Browser:chrome os:android","平板報工",IF(record[[#This Row],[Memo]]=0,"委外",record[[#This Row],[Memo]]))</f>
        <v/>
      </c>
      <c r="O10442" t="s">
        <v>58</v>
      </c>
      <c r="P10442" t="s">
        <v>65</v>
      </c>
      <c r="Q10442" t="s">
        <v>58</v>
      </c>
      <c r="R10442" t="str">
        <f>IFERROR(VLOOKUP(record[[#This Row],[PCUSTID]],廠商[],2,FALSE),"")</f>
        <v/>
      </c>
      <c r="S10442" t="str">
        <f>VLOOKUP(record[[#This Row],[employeeID]],員工[],2,FALSE)</f>
        <v>蘇進昌</v>
      </c>
    </row>
    <row r="10443" spans="6:19" hidden="1" x14ac:dyDescent="0.25">
      <c r="F10443" t="s">
        <v>716</v>
      </c>
      <c r="G10443" t="s">
        <v>446</v>
      </c>
      <c r="H10443" t="str">
        <f>VLOOKUP(record[[#This Row],[ProcessSN]],表格2_7[],2,FALSE)</f>
        <v>30-4118-018-6XX</v>
      </c>
      <c r="I10443" t="str">
        <f>VLOOKUP(record[[#This Row],[ProcessSN]],表格2_7[],3,FALSE)</f>
        <v>#03GIVE</v>
      </c>
      <c r="J10443" t="s">
        <v>587</v>
      </c>
      <c r="K10443" s="195">
        <v>45694.663923611108</v>
      </c>
      <c r="L10443">
        <v>9</v>
      </c>
      <c r="M10443">
        <v>0</v>
      </c>
      <c r="N10443" s="98" t="str">
        <f>IF(record[[#This Row],[Memo]]="Browser:chrome os:android","平板報工",IF(record[[#This Row],[Memo]]=0,"委外",record[[#This Row],[Memo]]))</f>
        <v/>
      </c>
      <c r="O10443" t="s">
        <v>58</v>
      </c>
      <c r="P10443" t="s">
        <v>65</v>
      </c>
      <c r="Q10443" t="s">
        <v>58</v>
      </c>
      <c r="R10443" t="str">
        <f>IFERROR(VLOOKUP(record[[#This Row],[PCUSTID]],廠商[],2,FALSE),"")</f>
        <v/>
      </c>
      <c r="S10443" t="str">
        <f>VLOOKUP(record[[#This Row],[employeeID]],員工[],2,FALSE)</f>
        <v>蘇進昌</v>
      </c>
    </row>
    <row r="10444" spans="6:19" hidden="1" x14ac:dyDescent="0.25">
      <c r="F10444" t="s">
        <v>716</v>
      </c>
      <c r="G10444" t="s">
        <v>445</v>
      </c>
      <c r="H10444" t="str">
        <f>VLOOKUP(record[[#This Row],[ProcessSN]],表格2_7[],2,FALSE)</f>
        <v>30-4118-018-6XX</v>
      </c>
      <c r="I10444" t="str">
        <f>VLOOKUP(record[[#This Row],[ProcessSN]],表格2_7[],3,FALSE)</f>
        <v>#03PICK</v>
      </c>
      <c r="J10444" t="s">
        <v>582</v>
      </c>
      <c r="K10444" s="195">
        <v>45694.663865740738</v>
      </c>
      <c r="L10444">
        <v>9</v>
      </c>
      <c r="M10444">
        <v>0</v>
      </c>
      <c r="N10444" s="98" t="str">
        <f>IF(record[[#This Row],[Memo]]="Browser:chrome os:android","平板報工",IF(record[[#This Row],[Memo]]=0,"委外",record[[#This Row],[Memo]]))</f>
        <v/>
      </c>
      <c r="O10444" t="s">
        <v>58</v>
      </c>
      <c r="P10444" t="s">
        <v>65</v>
      </c>
      <c r="Q10444" t="s">
        <v>58</v>
      </c>
      <c r="R10444" t="str">
        <f>IFERROR(VLOOKUP(record[[#This Row],[PCUSTID]],廠商[],2,FALSE),"")</f>
        <v/>
      </c>
      <c r="S10444" t="str">
        <f>VLOOKUP(record[[#This Row],[employeeID]],員工[],2,FALSE)</f>
        <v>蘇進昌</v>
      </c>
    </row>
    <row r="10445" spans="6:19" hidden="1" x14ac:dyDescent="0.25">
      <c r="F10445" t="s">
        <v>595</v>
      </c>
      <c r="G10445" t="s">
        <v>450</v>
      </c>
      <c r="H10445" t="str">
        <f>VLOOKUP(record[[#This Row],[ProcessSN]],表格2_7[],2,FALSE)</f>
        <v>30-4118-018-6XX</v>
      </c>
      <c r="I10445" t="str">
        <f>VLOOKUP(record[[#This Row],[ProcessSN]],表格2_7[],3,FALSE)</f>
        <v>#06</v>
      </c>
      <c r="J10445" t="s">
        <v>593</v>
      </c>
      <c r="K10445" s="195">
        <v>45694.653784722221</v>
      </c>
      <c r="L10445">
        <v>120</v>
      </c>
      <c r="M10445">
        <v>0</v>
      </c>
      <c r="N10445" s="98" t="str">
        <f>IF(record[[#This Row],[Memo]]="Browser:chrome os:android","平板報工",IF(record[[#This Row],[Memo]]=0,"委外",record[[#This Row],[Memo]]))</f>
        <v>平板報工</v>
      </c>
      <c r="O10445" t="s">
        <v>643</v>
      </c>
      <c r="P10445" t="s">
        <v>137</v>
      </c>
      <c r="Q10445" t="s">
        <v>644</v>
      </c>
      <c r="R10445" t="str">
        <f>IFERROR(VLOOKUP(record[[#This Row],[PCUSTID]],廠商[],2,FALSE),"")</f>
        <v/>
      </c>
      <c r="S10445" t="str">
        <f>VLOOKUP(record[[#This Row],[employeeID]],員工[],2,FALSE)</f>
        <v>鄭美華</v>
      </c>
    </row>
    <row r="10446" spans="6:19" hidden="1" x14ac:dyDescent="0.25">
      <c r="F10446" t="s">
        <v>715</v>
      </c>
      <c r="G10446" t="s">
        <v>418</v>
      </c>
      <c r="H10446" t="str">
        <f>VLOOKUP(record[[#This Row],[ProcessSN]],表格2_7[],2,FALSE)</f>
        <v>30-4118-018-5XX</v>
      </c>
      <c r="I10446" t="str">
        <f>VLOOKUP(record[[#This Row],[ProcessSN]],表格2_7[],3,FALSE)</f>
        <v>#07</v>
      </c>
      <c r="J10446" t="s">
        <v>588</v>
      </c>
      <c r="K10446" s="195">
        <v>45694.653240740743</v>
      </c>
      <c r="L10446">
        <v>21</v>
      </c>
      <c r="M10446">
        <v>0</v>
      </c>
      <c r="N10446" s="98" t="str">
        <f>IF(record[[#This Row],[Memo]]="Browser:chrome os:android","平板報工",IF(record[[#This Row],[Memo]]=0,"委外",record[[#This Row],[Memo]]))</f>
        <v/>
      </c>
      <c r="O10446" t="s">
        <v>58</v>
      </c>
      <c r="P10446" t="s">
        <v>65</v>
      </c>
      <c r="Q10446" t="s">
        <v>58</v>
      </c>
      <c r="R10446" t="str">
        <f>IFERROR(VLOOKUP(record[[#This Row],[PCUSTID]],廠商[],2,FALSE),"")</f>
        <v/>
      </c>
      <c r="S10446" t="str">
        <f>VLOOKUP(record[[#This Row],[employeeID]],員工[],2,FALSE)</f>
        <v>蘇進昌</v>
      </c>
    </row>
    <row r="10447" spans="6:19" hidden="1" x14ac:dyDescent="0.25">
      <c r="F10447" t="s">
        <v>715</v>
      </c>
      <c r="G10447" t="s">
        <v>417</v>
      </c>
      <c r="H10447" t="str">
        <f>VLOOKUP(record[[#This Row],[ProcessSN]],表格2_7[],2,FALSE)</f>
        <v>30-4118-018-5XX</v>
      </c>
      <c r="I10447" t="str">
        <f>VLOOKUP(record[[#This Row],[ProcessSN]],表格2_7[],3,FALSE)</f>
        <v>#06</v>
      </c>
      <c r="J10447" t="s">
        <v>593</v>
      </c>
      <c r="K10447" s="195">
        <v>45694.653171296297</v>
      </c>
      <c r="L10447">
        <v>21</v>
      </c>
      <c r="M10447">
        <v>0</v>
      </c>
      <c r="N10447" s="98" t="str">
        <f>IF(record[[#This Row],[Memo]]="Browser:chrome os:android","平板報工",IF(record[[#This Row],[Memo]]=0,"委外",record[[#This Row],[Memo]]))</f>
        <v/>
      </c>
      <c r="O10447" t="s">
        <v>58</v>
      </c>
      <c r="P10447" t="s">
        <v>65</v>
      </c>
      <c r="Q10447" t="s">
        <v>58</v>
      </c>
      <c r="R10447" t="str">
        <f>IFERROR(VLOOKUP(record[[#This Row],[PCUSTID]],廠商[],2,FALSE),"")</f>
        <v/>
      </c>
      <c r="S10447" t="str">
        <f>VLOOKUP(record[[#This Row],[employeeID]],員工[],2,FALSE)</f>
        <v>蘇進昌</v>
      </c>
    </row>
    <row r="10448" spans="6:19" hidden="1" x14ac:dyDescent="0.25">
      <c r="F10448" t="s">
        <v>715</v>
      </c>
      <c r="G10448" t="s">
        <v>416</v>
      </c>
      <c r="H10448" t="str">
        <f>VLOOKUP(record[[#This Row],[ProcessSN]],表格2_7[],2,FALSE)</f>
        <v>30-4118-018-5XX</v>
      </c>
      <c r="I10448" t="str">
        <f>VLOOKUP(record[[#This Row],[ProcessSN]],表格2_7[],3,FALSE)</f>
        <v>#05</v>
      </c>
      <c r="J10448" t="s">
        <v>588</v>
      </c>
      <c r="K10448" s="195">
        <v>45694.653101851851</v>
      </c>
      <c r="L10448">
        <v>21</v>
      </c>
      <c r="M10448">
        <v>0</v>
      </c>
      <c r="N10448" s="98" t="str">
        <f>IF(record[[#This Row],[Memo]]="Browser:chrome os:android","平板報工",IF(record[[#This Row],[Memo]]=0,"委外",record[[#This Row],[Memo]]))</f>
        <v/>
      </c>
      <c r="O10448" t="s">
        <v>58</v>
      </c>
      <c r="P10448" t="s">
        <v>65</v>
      </c>
      <c r="Q10448" t="s">
        <v>58</v>
      </c>
      <c r="R10448" t="str">
        <f>IFERROR(VLOOKUP(record[[#This Row],[PCUSTID]],廠商[],2,FALSE),"")</f>
        <v/>
      </c>
      <c r="S10448" t="str">
        <f>VLOOKUP(record[[#This Row],[employeeID]],員工[],2,FALSE)</f>
        <v>蘇進昌</v>
      </c>
    </row>
    <row r="10449" spans="6:19" hidden="1" x14ac:dyDescent="0.25">
      <c r="F10449" t="s">
        <v>715</v>
      </c>
      <c r="G10449" t="s">
        <v>415</v>
      </c>
      <c r="H10449" t="str">
        <f>VLOOKUP(record[[#This Row],[ProcessSN]],表格2_7[],2,FALSE)</f>
        <v>30-4118-018-5XX</v>
      </c>
      <c r="I10449" t="str">
        <f>VLOOKUP(record[[#This Row],[ProcessSN]],表格2_7[],3,FALSE)</f>
        <v>#04</v>
      </c>
      <c r="J10449" t="s">
        <v>588</v>
      </c>
      <c r="K10449" s="195">
        <v>45694.653043981481</v>
      </c>
      <c r="L10449">
        <v>21</v>
      </c>
      <c r="M10449">
        <v>0</v>
      </c>
      <c r="N10449" s="98" t="str">
        <f>IF(record[[#This Row],[Memo]]="Browser:chrome os:android","平板報工",IF(record[[#This Row],[Memo]]=0,"委外",record[[#This Row],[Memo]]))</f>
        <v/>
      </c>
      <c r="O10449" t="s">
        <v>58</v>
      </c>
      <c r="P10449" t="s">
        <v>65</v>
      </c>
      <c r="Q10449" t="s">
        <v>58</v>
      </c>
      <c r="R10449" t="str">
        <f>IFERROR(VLOOKUP(record[[#This Row],[PCUSTID]],廠商[],2,FALSE),"")</f>
        <v/>
      </c>
      <c r="S10449" t="str">
        <f>VLOOKUP(record[[#This Row],[employeeID]],員工[],2,FALSE)</f>
        <v>蘇進昌</v>
      </c>
    </row>
    <row r="10450" spans="6:19" hidden="1" x14ac:dyDescent="0.25">
      <c r="F10450" t="s">
        <v>715</v>
      </c>
      <c r="G10450" t="s">
        <v>414</v>
      </c>
      <c r="H10450" t="str">
        <f>VLOOKUP(record[[#This Row],[ProcessSN]],表格2_7[],2,FALSE)</f>
        <v>30-4118-018-5XX</v>
      </c>
      <c r="I10450" t="str">
        <f>VLOOKUP(record[[#This Row],[ProcessSN]],表格2_7[],3,FALSE)</f>
        <v>#03</v>
      </c>
      <c r="J10450" t="s">
        <v>588</v>
      </c>
      <c r="K10450" s="195">
        <v>45694.652974537035</v>
      </c>
      <c r="L10450">
        <v>21</v>
      </c>
      <c r="M10450">
        <v>0</v>
      </c>
      <c r="N10450" s="98" t="str">
        <f>IF(record[[#This Row],[Memo]]="Browser:chrome os:android","平板報工",IF(record[[#This Row],[Memo]]=0,"委外",record[[#This Row],[Memo]]))</f>
        <v/>
      </c>
      <c r="O10450" t="s">
        <v>58</v>
      </c>
      <c r="P10450" t="s">
        <v>65</v>
      </c>
      <c r="Q10450" t="s">
        <v>58</v>
      </c>
      <c r="R10450" t="str">
        <f>IFERROR(VLOOKUP(record[[#This Row],[PCUSTID]],廠商[],2,FALSE),"")</f>
        <v/>
      </c>
      <c r="S10450" t="str">
        <f>VLOOKUP(record[[#This Row],[employeeID]],員工[],2,FALSE)</f>
        <v>蘇進昌</v>
      </c>
    </row>
    <row r="10451" spans="6:19" hidden="1" x14ac:dyDescent="0.25">
      <c r="F10451" t="s">
        <v>715</v>
      </c>
      <c r="G10451" t="s">
        <v>413</v>
      </c>
      <c r="H10451" t="str">
        <f>VLOOKUP(record[[#This Row],[ProcessSN]],表格2_7[],2,FALSE)</f>
        <v>30-4118-018-5XX</v>
      </c>
      <c r="I10451" t="str">
        <f>VLOOKUP(record[[#This Row],[ProcessSN]],表格2_7[],3,FALSE)</f>
        <v>#03GIVE</v>
      </c>
      <c r="J10451" t="s">
        <v>587</v>
      </c>
      <c r="K10451" s="195">
        <v>45694.652881944443</v>
      </c>
      <c r="L10451">
        <v>21</v>
      </c>
      <c r="M10451">
        <v>0</v>
      </c>
      <c r="N10451" s="98" t="str">
        <f>IF(record[[#This Row],[Memo]]="Browser:chrome os:android","平板報工",IF(record[[#This Row],[Memo]]=0,"委外",record[[#This Row],[Memo]]))</f>
        <v/>
      </c>
      <c r="O10451" t="s">
        <v>58</v>
      </c>
      <c r="P10451" t="s">
        <v>65</v>
      </c>
      <c r="Q10451" t="s">
        <v>58</v>
      </c>
      <c r="R10451" t="str">
        <f>IFERROR(VLOOKUP(record[[#This Row],[PCUSTID]],廠商[],2,FALSE),"")</f>
        <v/>
      </c>
      <c r="S10451" t="str">
        <f>VLOOKUP(record[[#This Row],[employeeID]],員工[],2,FALSE)</f>
        <v>蘇進昌</v>
      </c>
    </row>
    <row r="10452" spans="6:19" hidden="1" x14ac:dyDescent="0.25">
      <c r="F10452" t="s">
        <v>595</v>
      </c>
      <c r="G10452" t="s">
        <v>451</v>
      </c>
      <c r="H10452" t="str">
        <f>VLOOKUP(record[[#This Row],[ProcessSN]],表格2_7[],2,FALSE)</f>
        <v>30-4118-018-6XX</v>
      </c>
      <c r="I10452" t="str">
        <f>VLOOKUP(record[[#This Row],[ProcessSN]],表格2_7[],3,FALSE)</f>
        <v>#07</v>
      </c>
      <c r="J10452" t="s">
        <v>588</v>
      </c>
      <c r="K10452" s="195">
        <v>45694.634814814817</v>
      </c>
      <c r="L10452">
        <v>134</v>
      </c>
      <c r="M10452">
        <v>0</v>
      </c>
      <c r="N10452" s="98" t="str">
        <f>IF(record[[#This Row],[Memo]]="Browser:chrome os:android","平板報工",IF(record[[#This Row],[Memo]]=0,"委外",record[[#This Row],[Memo]]))</f>
        <v>平板報工</v>
      </c>
      <c r="O10452" t="s">
        <v>643</v>
      </c>
      <c r="P10452" t="s">
        <v>192</v>
      </c>
      <c r="Q10452" t="s">
        <v>644</v>
      </c>
      <c r="R10452" t="str">
        <f>IFERROR(VLOOKUP(record[[#This Row],[PCUSTID]],廠商[],2,FALSE),"")</f>
        <v/>
      </c>
      <c r="S10452" t="str">
        <f>VLOOKUP(record[[#This Row],[employeeID]],員工[],2,FALSE)</f>
        <v>許育綸</v>
      </c>
    </row>
    <row r="10453" spans="6:19" hidden="1" x14ac:dyDescent="0.25">
      <c r="F10453" t="s">
        <v>594</v>
      </c>
      <c r="G10453" t="s">
        <v>419</v>
      </c>
      <c r="H10453" t="str">
        <f>VLOOKUP(record[[#This Row],[ProcessSN]],表格2_7[],2,FALSE)</f>
        <v>30-4118-018-5XX</v>
      </c>
      <c r="I10453" t="str">
        <f>VLOOKUP(record[[#This Row],[ProcessSN]],表格2_7[],3,FALSE)</f>
        <v>#07QC</v>
      </c>
      <c r="J10453" t="s">
        <v>589</v>
      </c>
      <c r="K10453" s="195">
        <v>45694.57640046296</v>
      </c>
      <c r="L10453">
        <v>0</v>
      </c>
      <c r="M10453">
        <v>-2</v>
      </c>
      <c r="N10453" s="98" t="str">
        <f>IF(record[[#This Row],[Memo]]="Browser:chrome os:android","平板報工",IF(record[[#This Row],[Memo]]=0,"委外",record[[#This Row],[Memo]]))</f>
        <v>覆回品</v>
      </c>
      <c r="O10453" t="s">
        <v>664</v>
      </c>
      <c r="P10453" t="s">
        <v>65</v>
      </c>
      <c r="Q10453" t="s">
        <v>58</v>
      </c>
      <c r="R10453" t="str">
        <f>IFERROR(VLOOKUP(record[[#This Row],[PCUSTID]],廠商[],2,FALSE),"")</f>
        <v/>
      </c>
      <c r="S10453" t="str">
        <f>VLOOKUP(record[[#This Row],[employeeID]],員工[],2,FALSE)</f>
        <v>蘇進昌</v>
      </c>
    </row>
    <row r="10454" spans="6:19" hidden="1" x14ac:dyDescent="0.25">
      <c r="F10454" t="s">
        <v>595</v>
      </c>
      <c r="G10454" t="s">
        <v>452</v>
      </c>
      <c r="H10454" t="str">
        <f>VLOOKUP(record[[#This Row],[ProcessSN]],表格2_7[],2,FALSE)</f>
        <v>30-4118-018-6XX</v>
      </c>
      <c r="I10454" t="str">
        <f>VLOOKUP(record[[#This Row],[ProcessSN]],表格2_7[],3,FALSE)</f>
        <v>#07QC</v>
      </c>
      <c r="J10454" t="s">
        <v>589</v>
      </c>
      <c r="K10454" s="195">
        <v>45694.563472222224</v>
      </c>
      <c r="L10454">
        <v>166</v>
      </c>
      <c r="M10454">
        <v>0</v>
      </c>
      <c r="N10454" s="98" t="str">
        <f>IF(record[[#This Row],[Memo]]="Browser:chrome os:android","平板報工",IF(record[[#This Row],[Memo]]=0,"委外",record[[#This Row],[Memo]]))</f>
        <v>平板報工</v>
      </c>
      <c r="O10454" t="s">
        <v>643</v>
      </c>
      <c r="P10454" t="s">
        <v>109</v>
      </c>
      <c r="Q10454" t="s">
        <v>644</v>
      </c>
      <c r="R10454" t="str">
        <f>IFERROR(VLOOKUP(record[[#This Row],[PCUSTID]],廠商[],2,FALSE),"")</f>
        <v/>
      </c>
      <c r="S10454" t="str">
        <f>VLOOKUP(record[[#This Row],[employeeID]],員工[],2,FALSE)</f>
        <v>裴氏璧鳳</v>
      </c>
    </row>
    <row r="10455" spans="6:19" hidden="1" x14ac:dyDescent="0.25">
      <c r="F10455" t="s">
        <v>668</v>
      </c>
      <c r="G10455" t="s">
        <v>358</v>
      </c>
      <c r="H10455" t="str">
        <f>VLOOKUP(record[[#This Row],[ProcessSN]],表格2_7[],2,FALSE)</f>
        <v>30-4118-018-450</v>
      </c>
      <c r="I10455" t="str">
        <f>VLOOKUP(record[[#This Row],[ProcessSN]],表格2_7[],3,FALSE)</f>
        <v>#08IQC</v>
      </c>
      <c r="J10455" t="s">
        <v>583</v>
      </c>
      <c r="K10455" s="195">
        <v>45694.499537037038</v>
      </c>
      <c r="L10455">
        <v>11</v>
      </c>
      <c r="M10455">
        <v>0</v>
      </c>
      <c r="N10455" s="98" t="str">
        <f>IF(record[[#This Row],[Memo]]="Browser:chrome os:android","平板報工",IF(record[[#This Row],[Memo]]=0,"委外",record[[#This Row],[Memo]]))</f>
        <v>覆回</v>
      </c>
      <c r="O10455" t="s">
        <v>682</v>
      </c>
      <c r="P10455" t="s">
        <v>113</v>
      </c>
      <c r="Q10455" t="s">
        <v>58</v>
      </c>
      <c r="R10455" t="str">
        <f>IFERROR(VLOOKUP(record[[#This Row],[PCUSTID]],廠商[],2,FALSE),"")</f>
        <v/>
      </c>
      <c r="S10455" t="str">
        <f>VLOOKUP(record[[#This Row],[employeeID]],員工[],2,FALSE)</f>
        <v>王奕蓁</v>
      </c>
    </row>
    <row r="10456" spans="6:19" hidden="1" x14ac:dyDescent="0.25">
      <c r="F10456" t="s">
        <v>594</v>
      </c>
      <c r="G10456" t="s">
        <v>419</v>
      </c>
      <c r="H10456" t="str">
        <f>VLOOKUP(record[[#This Row],[ProcessSN]],表格2_7[],2,FALSE)</f>
        <v>30-4118-018-5XX</v>
      </c>
      <c r="I10456" t="str">
        <f>VLOOKUP(record[[#This Row],[ProcessSN]],表格2_7[],3,FALSE)</f>
        <v>#07QC</v>
      </c>
      <c r="J10456" t="s">
        <v>589</v>
      </c>
      <c r="K10456" s="195">
        <v>45694.425162037034</v>
      </c>
      <c r="L10456">
        <v>0</v>
      </c>
      <c r="M10456">
        <v>-9</v>
      </c>
      <c r="N10456" s="98" t="str">
        <f>IF(record[[#This Row],[Memo]]="Browser:chrome os:android","平板報工",IF(record[[#This Row],[Memo]]=0,"委外",record[[#This Row],[Memo]]))</f>
        <v>覆回品</v>
      </c>
      <c r="O10456" t="s">
        <v>664</v>
      </c>
      <c r="P10456" t="s">
        <v>65</v>
      </c>
      <c r="Q10456" t="s">
        <v>644</v>
      </c>
      <c r="R10456" t="str">
        <f>IFERROR(VLOOKUP(record[[#This Row],[PCUSTID]],廠商[],2,FALSE),"")</f>
        <v/>
      </c>
      <c r="S10456" t="str">
        <f>VLOOKUP(record[[#This Row],[employeeID]],員工[],2,FALSE)</f>
        <v>蘇進昌</v>
      </c>
    </row>
    <row r="10457" spans="6:19" hidden="1" x14ac:dyDescent="0.25">
      <c r="F10457" t="s">
        <v>595</v>
      </c>
      <c r="G10457" t="s">
        <v>450</v>
      </c>
      <c r="H10457" t="str">
        <f>VLOOKUP(record[[#This Row],[ProcessSN]],表格2_7[],2,FALSE)</f>
        <v>30-4118-018-6XX</v>
      </c>
      <c r="I10457" t="str">
        <f>VLOOKUP(record[[#This Row],[ProcessSN]],表格2_7[],3,FALSE)</f>
        <v>#06</v>
      </c>
      <c r="J10457" t="s">
        <v>593</v>
      </c>
      <c r="K10457" s="195">
        <v>45694.309560185182</v>
      </c>
      <c r="L10457">
        <v>126</v>
      </c>
      <c r="M10457">
        <v>0</v>
      </c>
      <c r="N10457" s="98" t="str">
        <f>IF(record[[#This Row],[Memo]]="Browser:chrome os:android","平板報工",IF(record[[#This Row],[Memo]]=0,"委外",record[[#This Row],[Memo]]))</f>
        <v>平板報工</v>
      </c>
      <c r="O10457" t="s">
        <v>643</v>
      </c>
      <c r="P10457" t="s">
        <v>180</v>
      </c>
      <c r="Q10457" t="s">
        <v>644</v>
      </c>
      <c r="R10457" t="str">
        <f>IFERROR(VLOOKUP(record[[#This Row],[PCUSTID]],廠商[],2,FALSE),"")</f>
        <v/>
      </c>
      <c r="S10457" t="str">
        <f>VLOOKUP(record[[#This Row],[employeeID]],員工[],2,FALSE)</f>
        <v>黎功江</v>
      </c>
    </row>
    <row r="10458" spans="6:19" hidden="1" x14ac:dyDescent="0.25">
      <c r="F10458" t="s">
        <v>595</v>
      </c>
      <c r="G10458" t="s">
        <v>450</v>
      </c>
      <c r="H10458" t="str">
        <f>VLOOKUP(record[[#This Row],[ProcessSN]],表格2_7[],2,FALSE)</f>
        <v>30-4118-018-6XX</v>
      </c>
      <c r="I10458" t="str">
        <f>VLOOKUP(record[[#This Row],[ProcessSN]],表格2_7[],3,FALSE)</f>
        <v>#06</v>
      </c>
      <c r="J10458" t="s">
        <v>593</v>
      </c>
      <c r="K10458" s="195">
        <v>45693.960879629631</v>
      </c>
      <c r="L10458">
        <v>133</v>
      </c>
      <c r="M10458">
        <v>0</v>
      </c>
      <c r="N10458" s="98" t="str">
        <f>IF(record[[#This Row],[Memo]]="Browser:chrome os:android","平板報工",IF(record[[#This Row],[Memo]]=0,"委外",record[[#This Row],[Memo]]))</f>
        <v>平板報工</v>
      </c>
      <c r="O10458" t="s">
        <v>643</v>
      </c>
      <c r="P10458" t="s">
        <v>133</v>
      </c>
      <c r="Q10458" t="s">
        <v>644</v>
      </c>
      <c r="R10458" t="str">
        <f>IFERROR(VLOOKUP(record[[#This Row],[PCUSTID]],廠商[],2,FALSE),"")</f>
        <v/>
      </c>
      <c r="S10458" t="str">
        <f>VLOOKUP(record[[#This Row],[employeeID]],員工[],2,FALSE)</f>
        <v>黎長維</v>
      </c>
    </row>
    <row r="10459" spans="6:19" hidden="1" x14ac:dyDescent="0.25">
      <c r="F10459" t="s">
        <v>613</v>
      </c>
      <c r="G10459" t="s">
        <v>403</v>
      </c>
      <c r="H10459" t="str">
        <f>VLOOKUP(record[[#This Row],[ProcessSN]],表格2_7[],2,FALSE)</f>
        <v>30-4118-018-550</v>
      </c>
      <c r="I10459" t="str">
        <f>VLOOKUP(record[[#This Row],[ProcessSN]],表格2_7[],3,FALSE)</f>
        <v>#100SHIP</v>
      </c>
      <c r="J10459" t="s">
        <v>600</v>
      </c>
      <c r="K10459" s="195">
        <v>45693.703784722224</v>
      </c>
      <c r="L10459">
        <v>422</v>
      </c>
      <c r="M10459">
        <v>0</v>
      </c>
      <c r="N10459" s="98" t="str">
        <f>IF(record[[#This Row],[Memo]]="Browser:chrome os:android","平板報工",IF(record[[#This Row],[Memo]]=0,"委外",record[[#This Row],[Memo]]))</f>
        <v/>
      </c>
      <c r="O10459" t="s">
        <v>58</v>
      </c>
      <c r="P10459" t="s">
        <v>196</v>
      </c>
      <c r="Q10459" t="s">
        <v>58</v>
      </c>
      <c r="R10459" t="str">
        <f>IFERROR(VLOOKUP(record[[#This Row],[PCUSTID]],廠商[],2,FALSE),"")</f>
        <v/>
      </c>
      <c r="S10459" t="str">
        <f>VLOOKUP(record[[#This Row],[employeeID]],員工[],2,FALSE)</f>
        <v>張淑惠</v>
      </c>
    </row>
    <row r="10460" spans="6:19" hidden="1" x14ac:dyDescent="0.25">
      <c r="F10460" t="s">
        <v>611</v>
      </c>
      <c r="G10460" t="s">
        <v>403</v>
      </c>
      <c r="H10460" t="str">
        <f>VLOOKUP(record[[#This Row],[ProcessSN]],表格2_7[],2,FALSE)</f>
        <v>30-4118-018-550</v>
      </c>
      <c r="I10460" t="str">
        <f>VLOOKUP(record[[#This Row],[ProcessSN]],表格2_7[],3,FALSE)</f>
        <v>#100SHIP</v>
      </c>
      <c r="J10460" t="s">
        <v>600</v>
      </c>
      <c r="K10460" s="195">
        <v>45693.703553240739</v>
      </c>
      <c r="L10460">
        <v>20</v>
      </c>
      <c r="M10460">
        <v>0</v>
      </c>
      <c r="N10460" s="98" t="str">
        <f>IF(record[[#This Row],[Memo]]="Browser:chrome os:android","平板報工",IF(record[[#This Row],[Memo]]=0,"委外",record[[#This Row],[Memo]]))</f>
        <v/>
      </c>
      <c r="O10460" t="s">
        <v>58</v>
      </c>
      <c r="P10460" t="s">
        <v>196</v>
      </c>
      <c r="Q10460" t="s">
        <v>58</v>
      </c>
      <c r="R10460" t="str">
        <f>IFERROR(VLOOKUP(record[[#This Row],[PCUSTID]],廠商[],2,FALSE),"")</f>
        <v/>
      </c>
      <c r="S10460" t="str">
        <f>VLOOKUP(record[[#This Row],[employeeID]],員工[],2,FALSE)</f>
        <v>張淑惠</v>
      </c>
    </row>
    <row r="10461" spans="6:19" hidden="1" x14ac:dyDescent="0.25">
      <c r="F10461" t="s">
        <v>613</v>
      </c>
      <c r="G10461" t="s">
        <v>402</v>
      </c>
      <c r="H10461" t="str">
        <f>VLOOKUP(record[[#This Row],[ProcessSN]],表格2_7[],2,FALSE)</f>
        <v>30-4118-018-550</v>
      </c>
      <c r="I10461" t="str">
        <f>VLOOKUP(record[[#This Row],[ProcessSN]],表格2_7[],3,FALSE)</f>
        <v>#100STOCK</v>
      </c>
      <c r="J10461" t="s">
        <v>592</v>
      </c>
      <c r="K10461" s="195">
        <v>45693.703298611108</v>
      </c>
      <c r="L10461">
        <v>548</v>
      </c>
      <c r="M10461">
        <v>0</v>
      </c>
      <c r="N10461" s="98" t="str">
        <f>IF(record[[#This Row],[Memo]]="Browser:chrome os:android","平板報工",IF(record[[#This Row],[Memo]]=0,"委外",record[[#This Row],[Memo]]))</f>
        <v/>
      </c>
      <c r="O10461" t="s">
        <v>58</v>
      </c>
      <c r="P10461" t="s">
        <v>196</v>
      </c>
      <c r="Q10461" t="s">
        <v>58</v>
      </c>
      <c r="R10461" t="str">
        <f>IFERROR(VLOOKUP(record[[#This Row],[PCUSTID]],廠商[],2,FALSE),"")</f>
        <v/>
      </c>
      <c r="S10461" t="str">
        <f>VLOOKUP(record[[#This Row],[employeeID]],員工[],2,FALSE)</f>
        <v>張淑惠</v>
      </c>
    </row>
    <row r="10462" spans="6:19" hidden="1" x14ac:dyDescent="0.25">
      <c r="F10462" t="s">
        <v>613</v>
      </c>
      <c r="G10462" t="s">
        <v>401</v>
      </c>
      <c r="H10462" t="str">
        <f>VLOOKUP(record[[#This Row],[ProcessSN]],表格2_7[],2,FALSE)</f>
        <v>30-4118-018-550</v>
      </c>
      <c r="I10462" t="str">
        <f>VLOOKUP(record[[#This Row],[ProcessSN]],表格2_7[],3,FALSE)</f>
        <v>#100OQC</v>
      </c>
      <c r="J10462" t="s">
        <v>599</v>
      </c>
      <c r="K10462" s="195">
        <v>45693.696064814816</v>
      </c>
      <c r="L10462">
        <v>548</v>
      </c>
      <c r="M10462">
        <v>0</v>
      </c>
      <c r="N10462" s="98" t="str">
        <f>IF(record[[#This Row],[Memo]]="Browser:chrome os:android","平板報工",IF(record[[#This Row],[Memo]]=0,"委外",record[[#This Row],[Memo]]))</f>
        <v/>
      </c>
      <c r="O10462" t="s">
        <v>58</v>
      </c>
      <c r="P10462" t="s">
        <v>172</v>
      </c>
      <c r="Q10462" t="s">
        <v>58</v>
      </c>
      <c r="R10462" t="str">
        <f>IFERROR(VLOOKUP(record[[#This Row],[PCUSTID]],廠商[],2,FALSE),"")</f>
        <v/>
      </c>
      <c r="S10462" t="str">
        <f>VLOOKUP(record[[#This Row],[employeeID]],員工[],2,FALSE)</f>
        <v>李采玲</v>
      </c>
    </row>
    <row r="10463" spans="6:19" hidden="1" x14ac:dyDescent="0.25">
      <c r="F10463" t="s">
        <v>613</v>
      </c>
      <c r="G10463" t="s">
        <v>400</v>
      </c>
      <c r="H10463" t="str">
        <f>VLOOKUP(record[[#This Row],[ProcessSN]],表格2_7[],2,FALSE)</f>
        <v>30-4118-018-550</v>
      </c>
      <c r="I10463" t="str">
        <f>VLOOKUP(record[[#This Row],[ProcessSN]],表格2_7[],3,FALSE)</f>
        <v>#100</v>
      </c>
      <c r="J10463" t="s">
        <v>598</v>
      </c>
      <c r="K10463" s="195">
        <v>45693.682303240741</v>
      </c>
      <c r="L10463">
        <v>548</v>
      </c>
      <c r="M10463">
        <v>9</v>
      </c>
      <c r="N10463" s="98" t="str">
        <f>IF(record[[#This Row],[Memo]]="Browser:chrome os:android","平板報工",IF(record[[#This Row],[Memo]]=0,"委外",record[[#This Row],[Memo]]))</f>
        <v>平板報工</v>
      </c>
      <c r="O10463" t="s">
        <v>643</v>
      </c>
      <c r="P10463" t="s">
        <v>109</v>
      </c>
      <c r="Q10463" t="s">
        <v>644</v>
      </c>
      <c r="R10463" t="str">
        <f>IFERROR(VLOOKUP(record[[#This Row],[PCUSTID]],廠商[],2,FALSE),"")</f>
        <v/>
      </c>
      <c r="S10463" t="str">
        <f>VLOOKUP(record[[#This Row],[employeeID]],員工[],2,FALSE)</f>
        <v>裴氏璧鳳</v>
      </c>
    </row>
    <row r="10464" spans="6:19" hidden="1" x14ac:dyDescent="0.25">
      <c r="F10464" t="s">
        <v>595</v>
      </c>
      <c r="G10464" t="s">
        <v>450</v>
      </c>
      <c r="H10464" t="str">
        <f>VLOOKUP(record[[#This Row],[ProcessSN]],表格2_7[],2,FALSE)</f>
        <v>30-4118-018-6XX</v>
      </c>
      <c r="I10464" t="str">
        <f>VLOOKUP(record[[#This Row],[ProcessSN]],表格2_7[],3,FALSE)</f>
        <v>#06</v>
      </c>
      <c r="J10464" t="s">
        <v>593</v>
      </c>
      <c r="K10464" s="195">
        <v>45693.633738425924</v>
      </c>
      <c r="L10464">
        <v>108</v>
      </c>
      <c r="M10464">
        <v>0</v>
      </c>
      <c r="N10464" s="98" t="str">
        <f>IF(record[[#This Row],[Memo]]="Browser:chrome os:android","平板報工",IF(record[[#This Row],[Memo]]=0,"委外",record[[#This Row],[Memo]]))</f>
        <v>平板報工</v>
      </c>
      <c r="O10464" t="s">
        <v>643</v>
      </c>
      <c r="P10464" t="s">
        <v>137</v>
      </c>
      <c r="Q10464" t="s">
        <v>644</v>
      </c>
      <c r="R10464" t="str">
        <f>IFERROR(VLOOKUP(record[[#This Row],[PCUSTID]],廠商[],2,FALSE),"")</f>
        <v/>
      </c>
      <c r="S10464" t="str">
        <f>VLOOKUP(record[[#This Row],[employeeID]],員工[],2,FALSE)</f>
        <v>鄭美華</v>
      </c>
    </row>
    <row r="10465" spans="6:19" hidden="1" x14ac:dyDescent="0.25">
      <c r="F10465" t="s">
        <v>595</v>
      </c>
      <c r="G10465" t="s">
        <v>451</v>
      </c>
      <c r="H10465" t="str">
        <f>VLOOKUP(record[[#This Row],[ProcessSN]],表格2_7[],2,FALSE)</f>
        <v>30-4118-018-6XX</v>
      </c>
      <c r="I10465" t="str">
        <f>VLOOKUP(record[[#This Row],[ProcessSN]],表格2_7[],3,FALSE)</f>
        <v>#07</v>
      </c>
      <c r="J10465" t="s">
        <v>588</v>
      </c>
      <c r="K10465" s="195">
        <v>45693.62462962963</v>
      </c>
      <c r="L10465">
        <v>116</v>
      </c>
      <c r="M10465">
        <v>2</v>
      </c>
      <c r="N10465" s="98" t="str">
        <f>IF(record[[#This Row],[Memo]]="Browser:chrome os:android","平板報工",IF(record[[#This Row],[Memo]]=0,"委外",record[[#This Row],[Memo]]))</f>
        <v>平板報工</v>
      </c>
      <c r="O10465" t="s">
        <v>643</v>
      </c>
      <c r="P10465" t="s">
        <v>192</v>
      </c>
      <c r="Q10465" t="s">
        <v>644</v>
      </c>
      <c r="R10465" t="str">
        <f>IFERROR(VLOOKUP(record[[#This Row],[PCUSTID]],廠商[],2,FALSE),"")</f>
        <v/>
      </c>
      <c r="S10465" t="str">
        <f>VLOOKUP(record[[#This Row],[employeeID]],員工[],2,FALSE)</f>
        <v>許育綸</v>
      </c>
    </row>
    <row r="10466" spans="6:19" hidden="1" x14ac:dyDescent="0.25">
      <c r="F10466" t="s">
        <v>595</v>
      </c>
      <c r="G10466" t="s">
        <v>450</v>
      </c>
      <c r="H10466" t="str">
        <f>VLOOKUP(record[[#This Row],[ProcessSN]],表格2_7[],2,FALSE)</f>
        <v>30-4118-018-6XX</v>
      </c>
      <c r="I10466" t="str">
        <f>VLOOKUP(record[[#This Row],[ProcessSN]],表格2_7[],3,FALSE)</f>
        <v>#06</v>
      </c>
      <c r="J10466" t="s">
        <v>593</v>
      </c>
      <c r="K10466" s="195">
        <v>45693.292951388888</v>
      </c>
      <c r="L10466">
        <v>125</v>
      </c>
      <c r="M10466">
        <v>0</v>
      </c>
      <c r="N10466" s="98" t="str">
        <f>IF(record[[#This Row],[Memo]]="Browser:chrome os:android","平板報工",IF(record[[#This Row],[Memo]]=0,"委外",record[[#This Row],[Memo]]))</f>
        <v>平板報工</v>
      </c>
      <c r="O10466" t="s">
        <v>643</v>
      </c>
      <c r="P10466" t="s">
        <v>180</v>
      </c>
      <c r="Q10466" t="s">
        <v>644</v>
      </c>
      <c r="R10466" t="str">
        <f>IFERROR(VLOOKUP(record[[#This Row],[PCUSTID]],廠商[],2,FALSE),"")</f>
        <v/>
      </c>
      <c r="S10466" t="str">
        <f>VLOOKUP(record[[#This Row],[employeeID]],員工[],2,FALSE)</f>
        <v>黎功江</v>
      </c>
    </row>
    <row r="10467" spans="6:19" hidden="1" x14ac:dyDescent="0.25">
      <c r="F10467" t="s">
        <v>595</v>
      </c>
      <c r="G10467" t="s">
        <v>450</v>
      </c>
      <c r="H10467" t="str">
        <f>VLOOKUP(record[[#This Row],[ProcessSN]],表格2_7[],2,FALSE)</f>
        <v>30-4118-018-6XX</v>
      </c>
      <c r="I10467" t="str">
        <f>VLOOKUP(record[[#This Row],[ProcessSN]],表格2_7[],3,FALSE)</f>
        <v>#06</v>
      </c>
      <c r="J10467" t="s">
        <v>593</v>
      </c>
      <c r="K10467" s="195">
        <v>45692.981562499997</v>
      </c>
      <c r="L10467">
        <v>122</v>
      </c>
      <c r="M10467">
        <v>0</v>
      </c>
      <c r="N10467" s="98" t="str">
        <f>IF(record[[#This Row],[Memo]]="Browser:chrome os:android","平板報工",IF(record[[#This Row],[Memo]]=0,"委外",record[[#This Row],[Memo]]))</f>
        <v>平板報工</v>
      </c>
      <c r="O10467" t="s">
        <v>643</v>
      </c>
      <c r="P10467" t="s">
        <v>115</v>
      </c>
      <c r="Q10467" t="s">
        <v>644</v>
      </c>
      <c r="R10467" t="str">
        <f>IFERROR(VLOOKUP(record[[#This Row],[PCUSTID]],廠商[],2,FALSE),"")</f>
        <v/>
      </c>
      <c r="S10467" t="str">
        <f>VLOOKUP(record[[#This Row],[employeeID]],員工[],2,FALSE)</f>
        <v>溫智淵</v>
      </c>
    </row>
    <row r="10468" spans="6:19" hidden="1" x14ac:dyDescent="0.25">
      <c r="F10468" t="s">
        <v>595</v>
      </c>
      <c r="G10468" t="s">
        <v>450</v>
      </c>
      <c r="H10468" t="str">
        <f>VLOOKUP(record[[#This Row],[ProcessSN]],表格2_7[],2,FALSE)</f>
        <v>30-4118-018-6XX</v>
      </c>
      <c r="I10468" t="str">
        <f>VLOOKUP(record[[#This Row],[ProcessSN]],表格2_7[],3,FALSE)</f>
        <v>#06</v>
      </c>
      <c r="J10468" t="s">
        <v>593</v>
      </c>
      <c r="K10468" s="195">
        <v>45692.663518518515</v>
      </c>
      <c r="L10468">
        <v>105</v>
      </c>
      <c r="M10468">
        <v>0</v>
      </c>
      <c r="N10468" s="98" t="str">
        <f>IF(record[[#This Row],[Memo]]="Browser:chrome os:android","平板報工",IF(record[[#This Row],[Memo]]=0,"委外",record[[#This Row],[Memo]]))</f>
        <v>平板報工</v>
      </c>
      <c r="O10468" t="s">
        <v>643</v>
      </c>
      <c r="P10468" t="s">
        <v>137</v>
      </c>
      <c r="Q10468" t="s">
        <v>644</v>
      </c>
      <c r="R10468" t="str">
        <f>IFERROR(VLOOKUP(record[[#This Row],[PCUSTID]],廠商[],2,FALSE),"")</f>
        <v/>
      </c>
      <c r="S10468" t="str">
        <f>VLOOKUP(record[[#This Row],[employeeID]],員工[],2,FALSE)</f>
        <v>鄭美華</v>
      </c>
    </row>
    <row r="10469" spans="6:19" hidden="1" x14ac:dyDescent="0.25">
      <c r="F10469" t="s">
        <v>595</v>
      </c>
      <c r="G10469" t="s">
        <v>451</v>
      </c>
      <c r="H10469" t="str">
        <f>VLOOKUP(record[[#This Row],[ProcessSN]],表格2_7[],2,FALSE)</f>
        <v>30-4118-018-6XX</v>
      </c>
      <c r="I10469" t="str">
        <f>VLOOKUP(record[[#This Row],[ProcessSN]],表格2_7[],3,FALSE)</f>
        <v>#07</v>
      </c>
      <c r="J10469" t="s">
        <v>588</v>
      </c>
      <c r="K10469" s="195">
        <v>45692.644270833334</v>
      </c>
      <c r="L10469">
        <v>72</v>
      </c>
      <c r="M10469">
        <v>0</v>
      </c>
      <c r="N10469" s="98" t="str">
        <f>IF(record[[#This Row],[Memo]]="Browser:chrome os:android","平板報工",IF(record[[#This Row],[Memo]]=0,"委外",record[[#This Row],[Memo]]))</f>
        <v>平板報工</v>
      </c>
      <c r="O10469" t="s">
        <v>643</v>
      </c>
      <c r="P10469" t="s">
        <v>192</v>
      </c>
      <c r="Q10469" t="s">
        <v>644</v>
      </c>
      <c r="R10469" t="str">
        <f>IFERROR(VLOOKUP(record[[#This Row],[PCUSTID]],廠商[],2,FALSE),"")</f>
        <v/>
      </c>
      <c r="S10469" t="str">
        <f>VLOOKUP(record[[#This Row],[employeeID]],員工[],2,FALSE)</f>
        <v>許育綸</v>
      </c>
    </row>
    <row r="10470" spans="6:19" hidden="1" x14ac:dyDescent="0.25">
      <c r="F10470" t="s">
        <v>595</v>
      </c>
      <c r="G10470" t="s">
        <v>451</v>
      </c>
      <c r="H10470" t="str">
        <f>VLOOKUP(record[[#This Row],[ProcessSN]],表格2_7[],2,FALSE)</f>
        <v>30-4118-018-6XX</v>
      </c>
      <c r="I10470" t="str">
        <f>VLOOKUP(record[[#This Row],[ProcessSN]],表格2_7[],3,FALSE)</f>
        <v>#07</v>
      </c>
      <c r="J10470" t="s">
        <v>588</v>
      </c>
      <c r="K10470" s="195">
        <v>45692.644270833334</v>
      </c>
      <c r="L10470">
        <v>8</v>
      </c>
      <c r="M10470">
        <v>0</v>
      </c>
      <c r="N10470" s="98" t="str">
        <f>IF(record[[#This Row],[Memo]]="Browser:chrome os:android","平板報工",IF(record[[#This Row],[Memo]]=0,"委外",record[[#This Row],[Memo]]))</f>
        <v>覆回品</v>
      </c>
      <c r="O10470" t="s">
        <v>664</v>
      </c>
      <c r="P10470" t="s">
        <v>65</v>
      </c>
      <c r="Q10470" t="s">
        <v>644</v>
      </c>
      <c r="R10470" t="str">
        <f>IFERROR(VLOOKUP(record[[#This Row],[PCUSTID]],廠商[],2,FALSE),"")</f>
        <v/>
      </c>
      <c r="S10470" t="str">
        <f>VLOOKUP(record[[#This Row],[employeeID]],員工[],2,FALSE)</f>
        <v>蘇進昌</v>
      </c>
    </row>
    <row r="10471" spans="6:19" hidden="1" x14ac:dyDescent="0.25">
      <c r="F10471" t="s">
        <v>713</v>
      </c>
      <c r="G10471" t="s">
        <v>399</v>
      </c>
      <c r="H10471" t="str">
        <f>VLOOKUP(record[[#This Row],[ProcessSN]],表格2_7[],2,FALSE)</f>
        <v>30-4118-018-550</v>
      </c>
      <c r="I10471" t="str">
        <f>VLOOKUP(record[[#This Row],[ProcessSN]],表格2_7[],3,FALSE)</f>
        <v>#08IQC</v>
      </c>
      <c r="J10471" t="s">
        <v>583</v>
      </c>
      <c r="K10471" s="195">
        <v>45692.573680555557</v>
      </c>
      <c r="L10471">
        <v>83</v>
      </c>
      <c r="M10471">
        <v>0</v>
      </c>
      <c r="N10471" s="98" t="str">
        <f>IF(record[[#This Row],[Memo]]="Browser:chrome os:android","平板報工",IF(record[[#This Row],[Memo]]=0,"委外",record[[#This Row],[Memo]]))</f>
        <v/>
      </c>
      <c r="O10471" t="s">
        <v>58</v>
      </c>
      <c r="P10471" t="s">
        <v>143</v>
      </c>
      <c r="Q10471" t="s">
        <v>58</v>
      </c>
      <c r="R10471" t="str">
        <f>IFERROR(VLOOKUP(record[[#This Row],[PCUSTID]],廠商[],2,FALSE),"")</f>
        <v/>
      </c>
      <c r="S10471" t="str">
        <f>VLOOKUP(record[[#This Row],[employeeID]],員工[],2,FALSE)</f>
        <v>潘佳琪</v>
      </c>
    </row>
    <row r="10472" spans="6:19" hidden="1" x14ac:dyDescent="0.25">
      <c r="F10472" t="s">
        <v>629</v>
      </c>
      <c r="G10472" t="s">
        <v>428</v>
      </c>
      <c r="H10472" t="str">
        <f>VLOOKUP(record[[#This Row],[ProcessSN]],表格2_7[],2,FALSE)</f>
        <v>30-4118-018-600</v>
      </c>
      <c r="I10472" t="str">
        <f>VLOOKUP(record[[#This Row],[ProcessSN]],表格2_7[],3,FALSE)</f>
        <v>#100SHIP</v>
      </c>
      <c r="J10472" t="s">
        <v>600</v>
      </c>
      <c r="K10472" s="195">
        <v>45692.406643518516</v>
      </c>
      <c r="L10472">
        <v>181</v>
      </c>
      <c r="M10472">
        <v>0</v>
      </c>
      <c r="N10472" s="98" t="str">
        <f>IF(record[[#This Row],[Memo]]="Browser:chrome os:android","平板報工",IF(record[[#This Row],[Memo]]=0,"委外",record[[#This Row],[Memo]]))</f>
        <v/>
      </c>
      <c r="O10472" t="s">
        <v>58</v>
      </c>
      <c r="P10472" t="s">
        <v>196</v>
      </c>
      <c r="Q10472" t="s">
        <v>58</v>
      </c>
      <c r="R10472" t="str">
        <f>IFERROR(VLOOKUP(record[[#This Row],[PCUSTID]],廠商[],2,FALSE),"")</f>
        <v/>
      </c>
      <c r="S10472" t="str">
        <f>VLOOKUP(record[[#This Row],[employeeID]],員工[],2,FALSE)</f>
        <v>張淑惠</v>
      </c>
    </row>
    <row r="10473" spans="6:19" hidden="1" x14ac:dyDescent="0.25">
      <c r="F10473" t="s">
        <v>611</v>
      </c>
      <c r="G10473" t="s">
        <v>403</v>
      </c>
      <c r="H10473" t="str">
        <f>VLOOKUP(record[[#This Row],[ProcessSN]],表格2_7[],2,FALSE)</f>
        <v>30-4118-018-550</v>
      </c>
      <c r="I10473" t="str">
        <f>VLOOKUP(record[[#This Row],[ProcessSN]],表格2_7[],3,FALSE)</f>
        <v>#100SHIP</v>
      </c>
      <c r="J10473" t="s">
        <v>600</v>
      </c>
      <c r="K10473" s="195">
        <v>45692.406226851854</v>
      </c>
      <c r="L10473">
        <v>152</v>
      </c>
      <c r="M10473">
        <v>0</v>
      </c>
      <c r="N10473" s="98" t="str">
        <f>IF(record[[#This Row],[Memo]]="Browser:chrome os:android","平板報工",IF(record[[#This Row],[Memo]]=0,"委外",record[[#This Row],[Memo]]))</f>
        <v/>
      </c>
      <c r="O10473" t="s">
        <v>58</v>
      </c>
      <c r="P10473" t="s">
        <v>196</v>
      </c>
      <c r="Q10473" t="s">
        <v>58</v>
      </c>
      <c r="R10473" t="str">
        <f>IFERROR(VLOOKUP(record[[#This Row],[PCUSTID]],廠商[],2,FALSE),"")</f>
        <v/>
      </c>
      <c r="S10473" t="str">
        <f>VLOOKUP(record[[#This Row],[employeeID]],員工[],2,FALSE)</f>
        <v>張淑惠</v>
      </c>
    </row>
    <row r="10474" spans="6:19" hidden="1" x14ac:dyDescent="0.25">
      <c r="F10474" t="s">
        <v>595</v>
      </c>
      <c r="G10474" t="s">
        <v>450</v>
      </c>
      <c r="H10474" t="str">
        <f>VLOOKUP(record[[#This Row],[ProcessSN]],表格2_7[],2,FALSE)</f>
        <v>30-4118-018-6XX</v>
      </c>
      <c r="I10474" t="str">
        <f>VLOOKUP(record[[#This Row],[ProcessSN]],表格2_7[],3,FALSE)</f>
        <v>#06</v>
      </c>
      <c r="J10474" t="s">
        <v>593</v>
      </c>
      <c r="K10474" s="195">
        <v>45692.320127314815</v>
      </c>
      <c r="L10474">
        <v>120</v>
      </c>
      <c r="M10474">
        <v>0</v>
      </c>
      <c r="N10474" s="98" t="str">
        <f>IF(record[[#This Row],[Memo]]="Browser:chrome os:android","平板報工",IF(record[[#This Row],[Memo]]=0,"委外",record[[#This Row],[Memo]]))</f>
        <v/>
      </c>
      <c r="O10474" t="s">
        <v>58</v>
      </c>
      <c r="P10474" t="s">
        <v>135</v>
      </c>
      <c r="Q10474" t="s">
        <v>58</v>
      </c>
      <c r="R10474" t="str">
        <f>IFERROR(VLOOKUP(record[[#This Row],[PCUSTID]],廠商[],2,FALSE),"")</f>
        <v/>
      </c>
      <c r="S10474" t="str">
        <f>VLOOKUP(record[[#This Row],[employeeID]],員工[],2,FALSE)</f>
        <v>阮士文</v>
      </c>
    </row>
    <row r="10475" spans="6:19" hidden="1" x14ac:dyDescent="0.25">
      <c r="F10475" t="s">
        <v>595</v>
      </c>
      <c r="G10475" t="s">
        <v>450</v>
      </c>
      <c r="H10475" t="str">
        <f>VLOOKUP(record[[#This Row],[ProcessSN]],表格2_7[],2,FALSE)</f>
        <v>30-4118-018-6XX</v>
      </c>
      <c r="I10475" t="str">
        <f>VLOOKUP(record[[#This Row],[ProcessSN]],表格2_7[],3,FALSE)</f>
        <v>#06</v>
      </c>
      <c r="J10475" t="s">
        <v>593</v>
      </c>
      <c r="K10475" s="195">
        <v>45691.974421296298</v>
      </c>
      <c r="L10475">
        <v>60</v>
      </c>
      <c r="M10475">
        <v>12</v>
      </c>
      <c r="N10475" s="98" t="str">
        <f>IF(record[[#This Row],[Memo]]="Browser:chrome os:android","平板報工",IF(record[[#This Row],[Memo]]=0,"委外",record[[#This Row],[Memo]]))</f>
        <v>平板報工</v>
      </c>
      <c r="O10475" t="s">
        <v>643</v>
      </c>
      <c r="P10475" t="s">
        <v>89</v>
      </c>
      <c r="Q10475" t="s">
        <v>644</v>
      </c>
      <c r="R10475" t="str">
        <f>IFERROR(VLOOKUP(record[[#This Row],[PCUSTID]],廠商[],2,FALSE),"")</f>
        <v/>
      </c>
      <c r="S10475" t="str">
        <f>VLOOKUP(record[[#This Row],[employeeID]],員工[],2,FALSE)</f>
        <v>李美蓮</v>
      </c>
    </row>
    <row r="10476" spans="6:19" hidden="1" x14ac:dyDescent="0.25">
      <c r="F10476" t="s">
        <v>595</v>
      </c>
      <c r="G10476" t="s">
        <v>450</v>
      </c>
      <c r="H10476" t="str">
        <f>VLOOKUP(record[[#This Row],[ProcessSN]],表格2_7[],2,FALSE)</f>
        <v>30-4118-018-6XX</v>
      </c>
      <c r="I10476" t="str">
        <f>VLOOKUP(record[[#This Row],[ProcessSN]],表格2_7[],3,FALSE)</f>
        <v>#06</v>
      </c>
      <c r="J10476" t="s">
        <v>593</v>
      </c>
      <c r="K10476" s="195">
        <v>45691.974421296298</v>
      </c>
      <c r="L10476">
        <v>8</v>
      </c>
      <c r="M10476">
        <v>-8</v>
      </c>
      <c r="N10476" s="98" t="str">
        <f>IF(record[[#This Row],[Memo]]="Browser:chrome os:android","平板報工",IF(record[[#This Row],[Memo]]=0,"委外",record[[#This Row],[Memo]]))</f>
        <v>覆回品</v>
      </c>
      <c r="O10476" t="s">
        <v>664</v>
      </c>
      <c r="P10476" t="s">
        <v>65</v>
      </c>
      <c r="Q10476" t="s">
        <v>644</v>
      </c>
      <c r="R10476" t="str">
        <f>IFERROR(VLOOKUP(record[[#This Row],[PCUSTID]],廠商[],2,FALSE),"")</f>
        <v/>
      </c>
      <c r="S10476" t="str">
        <f>VLOOKUP(record[[#This Row],[employeeID]],員工[],2,FALSE)</f>
        <v>蘇進昌</v>
      </c>
    </row>
    <row r="10477" spans="6:19" hidden="1" x14ac:dyDescent="0.25">
      <c r="F10477" t="s">
        <v>713</v>
      </c>
      <c r="G10477" t="s">
        <v>399</v>
      </c>
      <c r="H10477" t="str">
        <f>VLOOKUP(record[[#This Row],[ProcessSN]],表格2_7[],2,FALSE)</f>
        <v>30-4118-018-550</v>
      </c>
      <c r="I10477" t="str">
        <f>VLOOKUP(record[[#This Row],[ProcessSN]],表格2_7[],3,FALSE)</f>
        <v>#08IQC</v>
      </c>
      <c r="J10477" t="s">
        <v>583</v>
      </c>
      <c r="K10477" s="195">
        <v>45691.746446759258</v>
      </c>
      <c r="L10477">
        <v>414</v>
      </c>
      <c r="M10477">
        <v>0</v>
      </c>
      <c r="N10477" s="98" t="str">
        <f>IF(record[[#This Row],[Memo]]="Browser:chrome os:android","平板報工",IF(record[[#This Row],[Memo]]=0,"委外",record[[#This Row],[Memo]]))</f>
        <v/>
      </c>
      <c r="O10477" t="s">
        <v>58</v>
      </c>
      <c r="P10477" t="s">
        <v>143</v>
      </c>
      <c r="Q10477" t="s">
        <v>58</v>
      </c>
      <c r="R10477" t="str">
        <f>IFERROR(VLOOKUP(record[[#This Row],[PCUSTID]],廠商[],2,FALSE),"")</f>
        <v/>
      </c>
      <c r="S10477" t="str">
        <f>VLOOKUP(record[[#This Row],[employeeID]],員工[],2,FALSE)</f>
        <v>潘佳琪</v>
      </c>
    </row>
    <row r="10478" spans="6:19" hidden="1" x14ac:dyDescent="0.25">
      <c r="F10478" t="s">
        <v>713</v>
      </c>
      <c r="G10478" t="s">
        <v>398</v>
      </c>
      <c r="H10478" t="str">
        <f>VLOOKUP(record[[#This Row],[ProcessSN]],表格2_7[],2,FALSE)</f>
        <v>30-4118-018-550</v>
      </c>
      <c r="I10478" t="str">
        <f>VLOOKUP(record[[#This Row],[ProcessSN]],表格2_7[],3,FALSE)</f>
        <v>#08RCV</v>
      </c>
      <c r="J10478" t="s">
        <v>591</v>
      </c>
      <c r="K10478" s="195">
        <v>45691.43109953704</v>
      </c>
      <c r="L10478">
        <v>414</v>
      </c>
      <c r="M10478">
        <v>114</v>
      </c>
      <c r="N10478" s="98" t="str">
        <f>IF(record[[#This Row],[Memo]]="Browser:chrome os:android","平板報工",IF(record[[#This Row],[Memo]]=0,"委外",record[[#This Row],[Memo]]))</f>
        <v/>
      </c>
      <c r="O10478" t="s">
        <v>58</v>
      </c>
      <c r="P10478" t="s">
        <v>125</v>
      </c>
      <c r="Q10478" t="s">
        <v>58</v>
      </c>
      <c r="R10478" t="str">
        <f>IFERROR(VLOOKUP(record[[#This Row],[PCUSTID]],廠商[],2,FALSE),"")</f>
        <v/>
      </c>
      <c r="S10478" t="str">
        <f>VLOOKUP(record[[#This Row],[employeeID]],員工[],2,FALSE)</f>
        <v>黃瓈巧</v>
      </c>
    </row>
    <row r="10479" spans="6:19" hidden="1" x14ac:dyDescent="0.25">
      <c r="F10479" t="s">
        <v>713</v>
      </c>
      <c r="G10479" t="s">
        <v>398</v>
      </c>
      <c r="H10479" t="str">
        <f>VLOOKUP(record[[#This Row],[ProcessSN]],表格2_7[],2,FALSE)</f>
        <v>30-4118-018-550</v>
      </c>
      <c r="I10479" t="str">
        <f>VLOOKUP(record[[#This Row],[ProcessSN]],表格2_7[],3,FALSE)</f>
        <v>#08RCV</v>
      </c>
      <c r="J10479" t="s">
        <v>591</v>
      </c>
      <c r="K10479" s="195">
        <v>45691.43109953704</v>
      </c>
      <c r="L10479">
        <v>83</v>
      </c>
      <c r="M10479">
        <v>-83</v>
      </c>
      <c r="N10479" s="98" t="str">
        <f>IF(record[[#This Row],[Memo]]="Browser:chrome os:android","平板報工",IF(record[[#This Row],[Memo]]=0,"委外",record[[#This Row],[Memo]]))</f>
        <v/>
      </c>
      <c r="O10479" t="s">
        <v>58</v>
      </c>
      <c r="P10479" t="s">
        <v>65</v>
      </c>
      <c r="Q10479" t="s">
        <v>58</v>
      </c>
      <c r="R10479" t="str">
        <f>IFERROR(VLOOKUP(record[[#This Row],[PCUSTID]],廠商[],2,FALSE),"")</f>
        <v/>
      </c>
      <c r="S10479" t="str">
        <f>VLOOKUP(record[[#This Row],[employeeID]],員工[],2,FALSE)</f>
        <v>蘇進昌</v>
      </c>
    </row>
    <row r="10480" spans="6:19" hidden="1" x14ac:dyDescent="0.25">
      <c r="F10480" t="s">
        <v>707</v>
      </c>
      <c r="G10480" t="s">
        <v>399</v>
      </c>
      <c r="H10480" t="str">
        <f>VLOOKUP(record[[#This Row],[ProcessSN]],表格2_7[],2,FALSE)</f>
        <v>30-4118-018-550</v>
      </c>
      <c r="I10480" t="str">
        <f>VLOOKUP(record[[#This Row],[ProcessSN]],表格2_7[],3,FALSE)</f>
        <v>#08IQC</v>
      </c>
      <c r="J10480" t="s">
        <v>583</v>
      </c>
      <c r="K10480" s="195">
        <v>45680.673206018517</v>
      </c>
      <c r="L10480">
        <v>314</v>
      </c>
      <c r="M10480">
        <v>0</v>
      </c>
      <c r="N10480" s="98" t="str">
        <f>IF(record[[#This Row],[Memo]]="Browser:chrome os:android","平板報工",IF(record[[#This Row],[Memo]]=0,"委外",record[[#This Row],[Memo]]))</f>
        <v/>
      </c>
      <c r="O10480" t="s">
        <v>58</v>
      </c>
      <c r="P10480" t="s">
        <v>143</v>
      </c>
      <c r="Q10480" t="s">
        <v>58</v>
      </c>
      <c r="R10480" t="str">
        <f>IFERROR(VLOOKUP(record[[#This Row],[PCUSTID]],廠商[],2,FALSE),"")</f>
        <v/>
      </c>
      <c r="S10480" t="str">
        <f>VLOOKUP(record[[#This Row],[employeeID]],員工[],2,FALSE)</f>
        <v>潘佳琪</v>
      </c>
    </row>
    <row r="10481" spans="6:19" hidden="1" x14ac:dyDescent="0.25">
      <c r="F10481" t="s">
        <v>707</v>
      </c>
      <c r="G10481" t="s">
        <v>398</v>
      </c>
      <c r="H10481" t="str">
        <f>VLOOKUP(record[[#This Row],[ProcessSN]],表格2_7[],2,FALSE)</f>
        <v>30-4118-018-550</v>
      </c>
      <c r="I10481" t="str">
        <f>VLOOKUP(record[[#This Row],[ProcessSN]],表格2_7[],3,FALSE)</f>
        <v>#08RCV</v>
      </c>
      <c r="J10481" t="s">
        <v>591</v>
      </c>
      <c r="K10481" s="195">
        <v>45680.485358796293</v>
      </c>
      <c r="L10481">
        <v>314</v>
      </c>
      <c r="M10481">
        <v>3</v>
      </c>
      <c r="N10481" s="98" t="str">
        <f>IF(record[[#This Row],[Memo]]="Browser:chrome os:android","平板報工",IF(record[[#This Row],[Memo]]=0,"委外",record[[#This Row],[Memo]]))</f>
        <v/>
      </c>
      <c r="O10481" t="s">
        <v>58</v>
      </c>
      <c r="P10481" t="s">
        <v>113</v>
      </c>
      <c r="Q10481" t="s">
        <v>58</v>
      </c>
      <c r="R10481" t="str">
        <f>IFERROR(VLOOKUP(record[[#This Row],[PCUSTID]],廠商[],2,FALSE),"")</f>
        <v/>
      </c>
      <c r="S10481" t="str">
        <f>VLOOKUP(record[[#This Row],[employeeID]],員工[],2,FALSE)</f>
        <v>王奕蓁</v>
      </c>
    </row>
    <row r="10482" spans="6:19" hidden="1" x14ac:dyDescent="0.25">
      <c r="F10482" t="s">
        <v>629</v>
      </c>
      <c r="G10482" t="s">
        <v>428</v>
      </c>
      <c r="H10482" t="str">
        <f>VLOOKUP(record[[#This Row],[ProcessSN]],表格2_7[],2,FALSE)</f>
        <v>30-4118-018-600</v>
      </c>
      <c r="I10482" t="str">
        <f>VLOOKUP(record[[#This Row],[ProcessSN]],表格2_7[],3,FALSE)</f>
        <v>#100SHIP</v>
      </c>
      <c r="J10482" t="s">
        <v>600</v>
      </c>
      <c r="K10482" s="195">
        <v>45680.45244212963</v>
      </c>
      <c r="L10482">
        <v>28</v>
      </c>
      <c r="M10482">
        <v>0</v>
      </c>
      <c r="N10482" s="98" t="str">
        <f>IF(record[[#This Row],[Memo]]="Browser:chrome os:android","平板報工",IF(record[[#This Row],[Memo]]=0,"委外",record[[#This Row],[Memo]]))</f>
        <v/>
      </c>
      <c r="O10482" t="s">
        <v>58</v>
      </c>
      <c r="P10482" t="s">
        <v>196</v>
      </c>
      <c r="Q10482" t="s">
        <v>58</v>
      </c>
      <c r="R10482" t="str">
        <f>IFERROR(VLOOKUP(record[[#This Row],[PCUSTID]],廠商[],2,FALSE),"")</f>
        <v/>
      </c>
      <c r="S10482" t="str">
        <f>VLOOKUP(record[[#This Row],[employeeID]],員工[],2,FALSE)</f>
        <v>張淑惠</v>
      </c>
    </row>
    <row r="10483" spans="6:19" hidden="1" x14ac:dyDescent="0.25">
      <c r="F10483" t="s">
        <v>701</v>
      </c>
      <c r="G10483" t="s">
        <v>399</v>
      </c>
      <c r="H10483" t="str">
        <f>VLOOKUP(record[[#This Row],[ProcessSN]],表格2_7[],2,FALSE)</f>
        <v>30-4118-018-550</v>
      </c>
      <c r="I10483" t="str">
        <f>VLOOKUP(record[[#This Row],[ProcessSN]],表格2_7[],3,FALSE)</f>
        <v>#08IQC</v>
      </c>
      <c r="J10483" t="s">
        <v>583</v>
      </c>
      <c r="K10483" s="195">
        <v>45679.694097222222</v>
      </c>
      <c r="L10483">
        <v>162</v>
      </c>
      <c r="M10483">
        <v>0</v>
      </c>
      <c r="N10483" s="98" t="str">
        <f>IF(record[[#This Row],[Memo]]="Browser:chrome os:android","平板報工",IF(record[[#This Row],[Memo]]=0,"委外",record[[#This Row],[Memo]]))</f>
        <v/>
      </c>
      <c r="O10483" t="s">
        <v>58</v>
      </c>
      <c r="P10483" t="s">
        <v>143</v>
      </c>
      <c r="Q10483" t="s">
        <v>58</v>
      </c>
      <c r="R10483" t="str">
        <f>IFERROR(VLOOKUP(record[[#This Row],[PCUSTID]],廠商[],2,FALSE),"")</f>
        <v/>
      </c>
      <c r="S10483" t="str">
        <f>VLOOKUP(record[[#This Row],[employeeID]],員工[],2,FALSE)</f>
        <v>潘佳琪</v>
      </c>
    </row>
    <row r="10484" spans="6:19" hidden="1" x14ac:dyDescent="0.25">
      <c r="F10484" t="s">
        <v>701</v>
      </c>
      <c r="G10484" t="s">
        <v>398</v>
      </c>
      <c r="H10484" t="str">
        <f>VLOOKUP(record[[#This Row],[ProcessSN]],表格2_7[],2,FALSE)</f>
        <v>30-4118-018-550</v>
      </c>
      <c r="I10484" t="str">
        <f>VLOOKUP(record[[#This Row],[ProcessSN]],表格2_7[],3,FALSE)</f>
        <v>#08RCV</v>
      </c>
      <c r="J10484" t="s">
        <v>591</v>
      </c>
      <c r="K10484" s="195">
        <v>45679.615729166668</v>
      </c>
      <c r="L10484">
        <v>162</v>
      </c>
      <c r="M10484">
        <v>3</v>
      </c>
      <c r="N10484" s="98" t="str">
        <f>IF(record[[#This Row],[Memo]]="Browser:chrome os:android","平板報工",IF(record[[#This Row],[Memo]]=0,"委外",record[[#This Row],[Memo]]))</f>
        <v/>
      </c>
      <c r="O10484" t="s">
        <v>58</v>
      </c>
      <c r="P10484" t="s">
        <v>113</v>
      </c>
      <c r="Q10484" t="s">
        <v>58</v>
      </c>
      <c r="R10484" t="str">
        <f>IFERROR(VLOOKUP(record[[#This Row],[PCUSTID]],廠商[],2,FALSE),"")</f>
        <v/>
      </c>
      <c r="S10484" t="str">
        <f>VLOOKUP(record[[#This Row],[employeeID]],員工[],2,FALSE)</f>
        <v>王奕蓁</v>
      </c>
    </row>
    <row r="10485" spans="6:19" hidden="1" x14ac:dyDescent="0.25">
      <c r="F10485" t="s">
        <v>594</v>
      </c>
      <c r="G10485" t="s">
        <v>420</v>
      </c>
      <c r="H10485" t="str">
        <f>VLOOKUP(record[[#This Row],[ProcessSN]],表格2_7[],2,FALSE)</f>
        <v>30-4118-018-5XX</v>
      </c>
      <c r="I10485" t="str">
        <f>VLOOKUP(record[[#This Row],[ProcessSN]],表格2_7[],3,FALSE)</f>
        <v>#07STOCK</v>
      </c>
      <c r="J10485" t="s">
        <v>592</v>
      </c>
      <c r="K10485" s="195">
        <v>45679.609189814815</v>
      </c>
      <c r="L10485">
        <v>3</v>
      </c>
      <c r="M10485">
        <v>0</v>
      </c>
      <c r="N10485" s="98" t="str">
        <f>IF(record[[#This Row],[Memo]]="Browser:chrome os:android","平板報工",IF(record[[#This Row],[Memo]]=0,"委外",record[[#This Row],[Memo]]))</f>
        <v/>
      </c>
      <c r="O10485" t="s">
        <v>58</v>
      </c>
      <c r="P10485" t="s">
        <v>65</v>
      </c>
      <c r="Q10485" t="s">
        <v>58</v>
      </c>
      <c r="R10485" t="str">
        <f>IFERROR(VLOOKUP(record[[#This Row],[PCUSTID]],廠商[],2,FALSE),"")</f>
        <v/>
      </c>
      <c r="S10485" t="str">
        <f>VLOOKUP(record[[#This Row],[employeeID]],員工[],2,FALSE)</f>
        <v>蘇進昌</v>
      </c>
    </row>
    <row r="10486" spans="6:19" hidden="1" x14ac:dyDescent="0.25">
      <c r="F10486" t="s">
        <v>594</v>
      </c>
      <c r="G10486" t="s">
        <v>419</v>
      </c>
      <c r="H10486" t="str">
        <f>VLOOKUP(record[[#This Row],[ProcessSN]],表格2_7[],2,FALSE)</f>
        <v>30-4118-018-5XX</v>
      </c>
      <c r="I10486" t="str">
        <f>VLOOKUP(record[[#This Row],[ProcessSN]],表格2_7[],3,FALSE)</f>
        <v>#07QC</v>
      </c>
      <c r="J10486" t="s">
        <v>589</v>
      </c>
      <c r="K10486" s="195">
        <v>45679.605949074074</v>
      </c>
      <c r="L10486">
        <v>3</v>
      </c>
      <c r="M10486">
        <v>0</v>
      </c>
      <c r="N10486" s="98" t="str">
        <f>IF(record[[#This Row],[Memo]]="Browser:chrome os:android","平板報工",IF(record[[#This Row],[Memo]]=0,"委外",record[[#This Row],[Memo]]))</f>
        <v>平板報工</v>
      </c>
      <c r="O10486" t="s">
        <v>643</v>
      </c>
      <c r="P10486" t="s">
        <v>109</v>
      </c>
      <c r="Q10486" t="s">
        <v>644</v>
      </c>
      <c r="R10486" t="str">
        <f>IFERROR(VLOOKUP(record[[#This Row],[PCUSTID]],廠商[],2,FALSE),"")</f>
        <v/>
      </c>
      <c r="S10486" t="str">
        <f>VLOOKUP(record[[#This Row],[employeeID]],員工[],2,FALSE)</f>
        <v>裴氏璧鳳</v>
      </c>
    </row>
    <row r="10487" spans="6:19" hidden="1" x14ac:dyDescent="0.25">
      <c r="F10487" t="s">
        <v>713</v>
      </c>
      <c r="G10487" t="s">
        <v>397</v>
      </c>
      <c r="H10487" t="str">
        <f>VLOOKUP(record[[#This Row],[ProcessSN]],表格2_7[],2,FALSE)</f>
        <v>30-4118-018-550</v>
      </c>
      <c r="I10487" t="str">
        <f>VLOOKUP(record[[#This Row],[ProcessSN]],表格2_7[],3,FALSE)</f>
        <v>#08</v>
      </c>
      <c r="J10487" t="s">
        <v>597</v>
      </c>
      <c r="K10487" s="195">
        <v>45679.593865740739</v>
      </c>
      <c r="L10487">
        <v>528</v>
      </c>
      <c r="M10487">
        <v>0</v>
      </c>
      <c r="N10487" s="98" t="str">
        <f>IF(record[[#This Row],[Memo]]="Browser:chrome os:android","平板報工",IF(record[[#This Row],[Memo]]=0,"委外",record[[#This Row],[Memo]]))</f>
        <v>委外</v>
      </c>
      <c r="P10487" t="s">
        <v>113</v>
      </c>
      <c r="Q10487" t="s">
        <v>702</v>
      </c>
      <c r="R10487" t="str">
        <f>IFERROR(VLOOKUP(record[[#This Row],[PCUSTID]],廠商[],2,FALSE),"")</f>
        <v>泉盛</v>
      </c>
      <c r="S10487" t="str">
        <f>VLOOKUP(record[[#This Row],[employeeID]],員工[],2,FALSE)</f>
        <v>王奕蓁</v>
      </c>
    </row>
    <row r="10488" spans="6:19" hidden="1" x14ac:dyDescent="0.25">
      <c r="F10488" t="s">
        <v>713</v>
      </c>
      <c r="G10488" t="s">
        <v>396</v>
      </c>
      <c r="H10488" t="str">
        <f>VLOOKUP(record[[#This Row],[ProcessSN]],表格2_7[],2,FALSE)</f>
        <v>30-4118-018-550</v>
      </c>
      <c r="I10488" t="str">
        <f>VLOOKUP(record[[#This Row],[ProcessSN]],表格2_7[],3,FALSE)</f>
        <v>#08PICK</v>
      </c>
      <c r="J10488" t="s">
        <v>582</v>
      </c>
      <c r="K10488" s="195">
        <v>45679.500833333332</v>
      </c>
      <c r="L10488">
        <v>528</v>
      </c>
      <c r="M10488">
        <v>0</v>
      </c>
      <c r="N10488" s="98" t="str">
        <f>IF(record[[#This Row],[Memo]]="Browser:chrome os:android","平板報工",IF(record[[#This Row],[Memo]]=0,"委外",record[[#This Row],[Memo]]))</f>
        <v/>
      </c>
      <c r="O10488" t="s">
        <v>58</v>
      </c>
      <c r="P10488" t="s">
        <v>65</v>
      </c>
      <c r="Q10488" t="s">
        <v>58</v>
      </c>
      <c r="R10488" t="str">
        <f>IFERROR(VLOOKUP(record[[#This Row],[PCUSTID]],廠商[],2,FALSE),"")</f>
        <v/>
      </c>
      <c r="S10488" t="str">
        <f>VLOOKUP(record[[#This Row],[employeeID]],員工[],2,FALSE)</f>
        <v>蘇進昌</v>
      </c>
    </row>
    <row r="10489" spans="6:19" hidden="1" x14ac:dyDescent="0.25">
      <c r="F10489" t="s">
        <v>650</v>
      </c>
      <c r="G10489" t="s">
        <v>420</v>
      </c>
      <c r="H10489" t="str">
        <f>VLOOKUP(record[[#This Row],[ProcessSN]],表格2_7[],2,FALSE)</f>
        <v>30-4118-018-5XX</v>
      </c>
      <c r="I10489" t="str">
        <f>VLOOKUP(record[[#This Row],[ProcessSN]],表格2_7[],3,FALSE)</f>
        <v>#07STOCK</v>
      </c>
      <c r="J10489" t="s">
        <v>592</v>
      </c>
      <c r="K10489" s="195">
        <v>45679.500532407408</v>
      </c>
      <c r="L10489">
        <v>525</v>
      </c>
      <c r="M10489">
        <v>0</v>
      </c>
      <c r="N10489" s="98" t="str">
        <f>IF(record[[#This Row],[Memo]]="Browser:chrome os:android","平板報工",IF(record[[#This Row],[Memo]]=0,"委外",record[[#This Row],[Memo]]))</f>
        <v/>
      </c>
      <c r="O10489" t="s">
        <v>58</v>
      </c>
      <c r="P10489" t="s">
        <v>65</v>
      </c>
      <c r="Q10489" t="s">
        <v>58</v>
      </c>
      <c r="R10489" t="str">
        <f>IFERROR(VLOOKUP(record[[#This Row],[PCUSTID]],廠商[],2,FALSE),"")</f>
        <v/>
      </c>
      <c r="S10489" t="str">
        <f>VLOOKUP(record[[#This Row],[employeeID]],員工[],2,FALSE)</f>
        <v>蘇進昌</v>
      </c>
    </row>
    <row r="10490" spans="6:19" hidden="1" x14ac:dyDescent="0.25">
      <c r="F10490" t="s">
        <v>650</v>
      </c>
      <c r="G10490" t="s">
        <v>419</v>
      </c>
      <c r="H10490" t="str">
        <f>VLOOKUP(record[[#This Row],[ProcessSN]],表格2_7[],2,FALSE)</f>
        <v>30-4118-018-5XX</v>
      </c>
      <c r="I10490" t="str">
        <f>VLOOKUP(record[[#This Row],[ProcessSN]],表格2_7[],3,FALSE)</f>
        <v>#07QC</v>
      </c>
      <c r="J10490" t="s">
        <v>589</v>
      </c>
      <c r="K10490" s="195">
        <v>45679.478148148148</v>
      </c>
      <c r="L10490">
        <v>207</v>
      </c>
      <c r="M10490">
        <v>7</v>
      </c>
      <c r="N10490" s="98" t="str">
        <f>IF(record[[#This Row],[Memo]]="Browser:chrome os:android","平板報工",IF(record[[#This Row],[Memo]]=0,"委外",record[[#This Row],[Memo]]))</f>
        <v>平板報工</v>
      </c>
      <c r="O10490" t="s">
        <v>643</v>
      </c>
      <c r="P10490" t="s">
        <v>109</v>
      </c>
      <c r="Q10490" t="s">
        <v>644</v>
      </c>
      <c r="R10490" t="str">
        <f>IFERROR(VLOOKUP(record[[#This Row],[PCUSTID]],廠商[],2,FALSE),"")</f>
        <v/>
      </c>
      <c r="S10490" t="str">
        <f>VLOOKUP(record[[#This Row],[employeeID]],員工[],2,FALSE)</f>
        <v>裴氏璧鳳</v>
      </c>
    </row>
    <row r="10491" spans="6:19" hidden="1" x14ac:dyDescent="0.25">
      <c r="F10491" t="s">
        <v>594</v>
      </c>
      <c r="G10491" t="s">
        <v>418</v>
      </c>
      <c r="H10491" t="str">
        <f>VLOOKUP(record[[#This Row],[ProcessSN]],表格2_7[],2,FALSE)</f>
        <v>30-4118-018-5XX</v>
      </c>
      <c r="I10491" t="str">
        <f>VLOOKUP(record[[#This Row],[ProcessSN]],表格2_7[],3,FALSE)</f>
        <v>#07</v>
      </c>
      <c r="J10491" t="s">
        <v>588</v>
      </c>
      <c r="K10491" s="195">
        <v>45679.460358796299</v>
      </c>
      <c r="L10491">
        <v>0</v>
      </c>
      <c r="M10491">
        <v>1</v>
      </c>
      <c r="N10491" s="98" t="str">
        <f>IF(record[[#This Row],[Memo]]="Browser:chrome os:android","平板報工",IF(record[[#This Row],[Memo]]=0,"委外",record[[#This Row],[Memo]]))</f>
        <v>領1140020</v>
      </c>
      <c r="O10491" t="s">
        <v>712</v>
      </c>
      <c r="P10491" t="s">
        <v>202</v>
      </c>
      <c r="Q10491" t="s">
        <v>58</v>
      </c>
      <c r="R10491" t="str">
        <f>IFERROR(VLOOKUP(record[[#This Row],[PCUSTID]],廠商[],2,FALSE),"")</f>
        <v/>
      </c>
      <c r="S10491" t="str">
        <f>VLOOKUP(record[[#This Row],[employeeID]],員工[],2,FALSE)</f>
        <v>游惠茹</v>
      </c>
    </row>
    <row r="10492" spans="6:19" hidden="1" x14ac:dyDescent="0.25">
      <c r="F10492" t="s">
        <v>650</v>
      </c>
      <c r="G10492" t="s">
        <v>417</v>
      </c>
      <c r="H10492" t="str">
        <f>VLOOKUP(record[[#This Row],[ProcessSN]],表格2_7[],2,FALSE)</f>
        <v>30-4118-018-5XX</v>
      </c>
      <c r="I10492" t="str">
        <f>VLOOKUP(record[[#This Row],[ProcessSN]],表格2_7[],3,FALSE)</f>
        <v>#06</v>
      </c>
      <c r="J10492" t="s">
        <v>593</v>
      </c>
      <c r="K10492" s="195">
        <v>45679.459074074075</v>
      </c>
      <c r="L10492">
        <v>0</v>
      </c>
      <c r="M10492">
        <v>2</v>
      </c>
      <c r="N10492" s="98" t="str">
        <f>IF(record[[#This Row],[Memo]]="Browser:chrome os:android","平板報工",IF(record[[#This Row],[Memo]]=0,"委外",record[[#This Row],[Memo]]))</f>
        <v>領1140019</v>
      </c>
      <c r="O10492" t="s">
        <v>711</v>
      </c>
      <c r="P10492" t="s">
        <v>202</v>
      </c>
      <c r="Q10492" t="s">
        <v>58</v>
      </c>
      <c r="R10492" t="str">
        <f>IFERROR(VLOOKUP(record[[#This Row],[PCUSTID]],廠商[],2,FALSE),"")</f>
        <v/>
      </c>
      <c r="S10492" t="str">
        <f>VLOOKUP(record[[#This Row],[employeeID]],員工[],2,FALSE)</f>
        <v>游惠茹</v>
      </c>
    </row>
    <row r="10493" spans="6:19" hidden="1" x14ac:dyDescent="0.25">
      <c r="F10493" t="s">
        <v>642</v>
      </c>
      <c r="G10493" t="s">
        <v>417</v>
      </c>
      <c r="H10493" t="str">
        <f>VLOOKUP(record[[#This Row],[ProcessSN]],表格2_7[],2,FALSE)</f>
        <v>30-4118-018-5XX</v>
      </c>
      <c r="I10493" t="str">
        <f>VLOOKUP(record[[#This Row],[ProcessSN]],表格2_7[],3,FALSE)</f>
        <v>#06</v>
      </c>
      <c r="J10493" t="s">
        <v>593</v>
      </c>
      <c r="K10493" s="195">
        <v>45679.458761574075</v>
      </c>
      <c r="L10493">
        <v>0</v>
      </c>
      <c r="M10493">
        <v>1</v>
      </c>
      <c r="N10493" s="98" t="str">
        <f>IF(record[[#This Row],[Memo]]="Browser:chrome os:android","平板報工",IF(record[[#This Row],[Memo]]=0,"委外",record[[#This Row],[Memo]]))</f>
        <v>領1140018</v>
      </c>
      <c r="O10493" t="s">
        <v>710</v>
      </c>
      <c r="P10493" t="s">
        <v>202</v>
      </c>
      <c r="Q10493" t="s">
        <v>58</v>
      </c>
      <c r="R10493" t="str">
        <f>IFERROR(VLOOKUP(record[[#This Row],[PCUSTID]],廠商[],2,FALSE),"")</f>
        <v/>
      </c>
      <c r="S10493" t="str">
        <f>VLOOKUP(record[[#This Row],[employeeID]],員工[],2,FALSE)</f>
        <v>游惠茹</v>
      </c>
    </row>
    <row r="10494" spans="6:19" hidden="1" x14ac:dyDescent="0.25">
      <c r="F10494" t="s">
        <v>642</v>
      </c>
      <c r="G10494" t="s">
        <v>416</v>
      </c>
      <c r="H10494" t="str">
        <f>VLOOKUP(record[[#This Row],[ProcessSN]],表格2_7[],2,FALSE)</f>
        <v>30-4118-018-5XX</v>
      </c>
      <c r="I10494" t="str">
        <f>VLOOKUP(record[[#This Row],[ProcessSN]],表格2_7[],3,FALSE)</f>
        <v>#05</v>
      </c>
      <c r="J10494" t="s">
        <v>588</v>
      </c>
      <c r="K10494" s="195">
        <v>45679.45175925926</v>
      </c>
      <c r="L10494">
        <v>0</v>
      </c>
      <c r="M10494">
        <v>8</v>
      </c>
      <c r="N10494" s="98" t="str">
        <f>IF(record[[#This Row],[Memo]]="Browser:chrome os:android","平板報工",IF(record[[#This Row],[Memo]]=0,"委外",record[[#This Row],[Memo]]))</f>
        <v>領1140017</v>
      </c>
      <c r="O10494" t="s">
        <v>709</v>
      </c>
      <c r="P10494" t="s">
        <v>202</v>
      </c>
      <c r="Q10494" t="s">
        <v>58</v>
      </c>
      <c r="R10494" t="str">
        <f>IFERROR(VLOOKUP(record[[#This Row],[PCUSTID]],廠商[],2,FALSE),"")</f>
        <v/>
      </c>
      <c r="S10494" t="str">
        <f>VLOOKUP(record[[#This Row],[employeeID]],員工[],2,FALSE)</f>
        <v>游惠茹</v>
      </c>
    </row>
    <row r="10495" spans="6:19" hidden="1" x14ac:dyDescent="0.25">
      <c r="F10495" t="s">
        <v>642</v>
      </c>
      <c r="G10495" t="s">
        <v>415</v>
      </c>
      <c r="H10495" t="str">
        <f>VLOOKUP(record[[#This Row],[ProcessSN]],表格2_7[],2,FALSE)</f>
        <v>30-4118-018-5XX</v>
      </c>
      <c r="I10495" t="str">
        <f>VLOOKUP(record[[#This Row],[ProcessSN]],表格2_7[],3,FALSE)</f>
        <v>#04</v>
      </c>
      <c r="J10495" t="s">
        <v>588</v>
      </c>
      <c r="K10495" s="195">
        <v>45679.450208333335</v>
      </c>
      <c r="L10495">
        <v>0</v>
      </c>
      <c r="M10495">
        <v>1</v>
      </c>
      <c r="N10495" s="98" t="str">
        <f>IF(record[[#This Row],[Memo]]="Browser:chrome os:android","平板報工",IF(record[[#This Row],[Memo]]=0,"委外",record[[#This Row],[Memo]]))</f>
        <v>領1140016</v>
      </c>
      <c r="O10495" t="s">
        <v>708</v>
      </c>
      <c r="P10495" t="s">
        <v>202</v>
      </c>
      <c r="Q10495" t="s">
        <v>58</v>
      </c>
      <c r="R10495" t="str">
        <f>IFERROR(VLOOKUP(record[[#This Row],[PCUSTID]],廠商[],2,FALSE),"")</f>
        <v/>
      </c>
      <c r="S10495" t="str">
        <f>VLOOKUP(record[[#This Row],[employeeID]],員工[],2,FALSE)</f>
        <v>游惠茹</v>
      </c>
    </row>
    <row r="10496" spans="6:19" hidden="1" x14ac:dyDescent="0.25">
      <c r="F10496" t="s">
        <v>650</v>
      </c>
      <c r="G10496" t="s">
        <v>418</v>
      </c>
      <c r="H10496" t="str">
        <f>VLOOKUP(record[[#This Row],[ProcessSN]],表格2_7[],2,FALSE)</f>
        <v>30-4118-018-5XX</v>
      </c>
      <c r="I10496" t="str">
        <f>VLOOKUP(record[[#This Row],[ProcessSN]],表格2_7[],3,FALSE)</f>
        <v>#07</v>
      </c>
      <c r="J10496" t="s">
        <v>588</v>
      </c>
      <c r="K10496" s="195">
        <v>45678.947592592594</v>
      </c>
      <c r="L10496">
        <v>14</v>
      </c>
      <c r="M10496">
        <v>0</v>
      </c>
      <c r="N10496" s="98" t="str">
        <f>IF(record[[#This Row],[Memo]]="Browser:chrome os:android","平板報工",IF(record[[#This Row],[Memo]]=0,"委外",record[[#This Row],[Memo]]))</f>
        <v>平板報工</v>
      </c>
      <c r="O10496" t="s">
        <v>643</v>
      </c>
      <c r="P10496" t="s">
        <v>127</v>
      </c>
      <c r="Q10496" t="s">
        <v>644</v>
      </c>
      <c r="R10496" t="str">
        <f>IFERROR(VLOOKUP(record[[#This Row],[PCUSTID]],廠商[],2,FALSE),"")</f>
        <v/>
      </c>
      <c r="S10496" t="str">
        <f>VLOOKUP(record[[#This Row],[employeeID]],員工[],2,FALSE)</f>
        <v>潘雪梅</v>
      </c>
    </row>
    <row r="10497" spans="6:19" hidden="1" x14ac:dyDescent="0.25">
      <c r="F10497" t="s">
        <v>699</v>
      </c>
      <c r="G10497" t="s">
        <v>399</v>
      </c>
      <c r="H10497" t="str">
        <f>VLOOKUP(record[[#This Row],[ProcessSN]],表格2_7[],2,FALSE)</f>
        <v>30-4118-018-550</v>
      </c>
      <c r="I10497" t="str">
        <f>VLOOKUP(record[[#This Row],[ProcessSN]],表格2_7[],3,FALSE)</f>
        <v>#08IQC</v>
      </c>
      <c r="J10497" t="s">
        <v>583</v>
      </c>
      <c r="K10497" s="195">
        <v>45678.68341435185</v>
      </c>
      <c r="L10497">
        <v>301</v>
      </c>
      <c r="M10497">
        <v>0</v>
      </c>
      <c r="N10497" s="98" t="str">
        <f>IF(record[[#This Row],[Memo]]="Browser:chrome os:android","平板報工",IF(record[[#This Row],[Memo]]=0,"委外",record[[#This Row],[Memo]]))</f>
        <v/>
      </c>
      <c r="O10497" t="s">
        <v>58</v>
      </c>
      <c r="P10497" t="s">
        <v>143</v>
      </c>
      <c r="Q10497" t="s">
        <v>58</v>
      </c>
      <c r="R10497" t="str">
        <f>IFERROR(VLOOKUP(record[[#This Row],[PCUSTID]],廠商[],2,FALSE),"")</f>
        <v/>
      </c>
      <c r="S10497" t="str">
        <f>VLOOKUP(record[[#This Row],[employeeID]],員工[],2,FALSE)</f>
        <v>潘佳琪</v>
      </c>
    </row>
    <row r="10498" spans="6:19" hidden="1" x14ac:dyDescent="0.25">
      <c r="F10498" t="s">
        <v>697</v>
      </c>
      <c r="G10498" t="s">
        <v>399</v>
      </c>
      <c r="H10498" t="str">
        <f>VLOOKUP(record[[#This Row],[ProcessSN]],表格2_7[],2,FALSE)</f>
        <v>30-4118-018-550</v>
      </c>
      <c r="I10498" t="str">
        <f>VLOOKUP(record[[#This Row],[ProcessSN]],表格2_7[],3,FALSE)</f>
        <v>#08IQC</v>
      </c>
      <c r="J10498" t="s">
        <v>583</v>
      </c>
      <c r="K10498" s="195">
        <v>45678.683287037034</v>
      </c>
      <c r="L10498">
        <v>159</v>
      </c>
      <c r="M10498">
        <v>0</v>
      </c>
      <c r="N10498" s="98" t="str">
        <f>IF(record[[#This Row],[Memo]]="Browser:chrome os:android","平板報工",IF(record[[#This Row],[Memo]]=0,"委外",record[[#This Row],[Memo]]))</f>
        <v/>
      </c>
      <c r="O10498" t="s">
        <v>58</v>
      </c>
      <c r="P10498" t="s">
        <v>143</v>
      </c>
      <c r="Q10498" t="s">
        <v>58</v>
      </c>
      <c r="R10498" t="str">
        <f>IFERROR(VLOOKUP(record[[#This Row],[PCUSTID]],廠商[],2,FALSE),"")</f>
        <v/>
      </c>
      <c r="S10498" t="str">
        <f>VLOOKUP(record[[#This Row],[employeeID]],員工[],2,FALSE)</f>
        <v>潘佳琪</v>
      </c>
    </row>
    <row r="10499" spans="6:19" hidden="1" x14ac:dyDescent="0.25">
      <c r="F10499" t="s">
        <v>650</v>
      </c>
      <c r="G10499" t="s">
        <v>418</v>
      </c>
      <c r="H10499" t="str">
        <f>VLOOKUP(record[[#This Row],[ProcessSN]],表格2_7[],2,FALSE)</f>
        <v>30-4118-018-5XX</v>
      </c>
      <c r="I10499" t="str">
        <f>VLOOKUP(record[[#This Row],[ProcessSN]],表格2_7[],3,FALSE)</f>
        <v>#07</v>
      </c>
      <c r="J10499" t="s">
        <v>588</v>
      </c>
      <c r="K10499" s="195">
        <v>45678.64303240741</v>
      </c>
      <c r="L10499">
        <v>184</v>
      </c>
      <c r="M10499">
        <v>1</v>
      </c>
      <c r="N10499" s="98" t="str">
        <f>IF(record[[#This Row],[Memo]]="Browser:chrome os:android","平板報工",IF(record[[#This Row],[Memo]]=0,"委外",record[[#This Row],[Memo]]))</f>
        <v>平板報工</v>
      </c>
      <c r="O10499" t="s">
        <v>643</v>
      </c>
      <c r="P10499" t="s">
        <v>119</v>
      </c>
      <c r="Q10499" t="s">
        <v>644</v>
      </c>
      <c r="R10499" t="str">
        <f>IFERROR(VLOOKUP(record[[#This Row],[PCUSTID]],廠商[],2,FALSE),"")</f>
        <v/>
      </c>
      <c r="S10499" t="str">
        <f>VLOOKUP(record[[#This Row],[employeeID]],員工[],2,FALSE)</f>
        <v>廖俊彥</v>
      </c>
    </row>
    <row r="10500" spans="6:19" hidden="1" x14ac:dyDescent="0.25">
      <c r="F10500" t="s">
        <v>699</v>
      </c>
      <c r="G10500" t="s">
        <v>398</v>
      </c>
      <c r="H10500" t="str">
        <f>VLOOKUP(record[[#This Row],[ProcessSN]],表格2_7[],2,FALSE)</f>
        <v>30-4118-018-550</v>
      </c>
      <c r="I10500" t="str">
        <f>VLOOKUP(record[[#This Row],[ProcessSN]],表格2_7[],3,FALSE)</f>
        <v>#08RCV</v>
      </c>
      <c r="J10500" t="s">
        <v>591</v>
      </c>
      <c r="K10500" s="195">
        <v>45678.627581018518</v>
      </c>
      <c r="L10500">
        <v>301</v>
      </c>
      <c r="M10500">
        <v>13</v>
      </c>
      <c r="N10500" s="98" t="str">
        <f>IF(record[[#This Row],[Memo]]="Browser:chrome os:android","平板報工",IF(record[[#This Row],[Memo]]=0,"委外",record[[#This Row],[Memo]]))</f>
        <v/>
      </c>
      <c r="O10500" t="s">
        <v>58</v>
      </c>
      <c r="P10500" t="s">
        <v>113</v>
      </c>
      <c r="Q10500" t="s">
        <v>58</v>
      </c>
      <c r="R10500" t="str">
        <f>IFERROR(VLOOKUP(record[[#This Row],[PCUSTID]],廠商[],2,FALSE),"")</f>
        <v/>
      </c>
      <c r="S10500" t="str">
        <f>VLOOKUP(record[[#This Row],[employeeID]],員工[],2,FALSE)</f>
        <v>王奕蓁</v>
      </c>
    </row>
    <row r="10501" spans="6:19" hidden="1" x14ac:dyDescent="0.25">
      <c r="F10501" t="s">
        <v>697</v>
      </c>
      <c r="G10501" t="s">
        <v>398</v>
      </c>
      <c r="H10501" t="str">
        <f>VLOOKUP(record[[#This Row],[ProcessSN]],表格2_7[],2,FALSE)</f>
        <v>30-4118-018-550</v>
      </c>
      <c r="I10501" t="str">
        <f>VLOOKUP(record[[#This Row],[ProcessSN]],表格2_7[],3,FALSE)</f>
        <v>#08RCV</v>
      </c>
      <c r="J10501" t="s">
        <v>591</v>
      </c>
      <c r="K10501" s="195">
        <v>45678.626921296294</v>
      </c>
      <c r="L10501">
        <v>159</v>
      </c>
      <c r="M10501">
        <v>0</v>
      </c>
      <c r="N10501" s="98" t="str">
        <f>IF(record[[#This Row],[Memo]]="Browser:chrome os:android","平板報工",IF(record[[#This Row],[Memo]]=0,"委外",record[[#This Row],[Memo]]))</f>
        <v/>
      </c>
      <c r="O10501" t="s">
        <v>58</v>
      </c>
      <c r="P10501" t="s">
        <v>113</v>
      </c>
      <c r="Q10501" t="s">
        <v>58</v>
      </c>
      <c r="R10501" t="str">
        <f>IFERROR(VLOOKUP(record[[#This Row],[PCUSTID]],廠商[],2,FALSE),"")</f>
        <v/>
      </c>
      <c r="S10501" t="str">
        <f>VLOOKUP(record[[#This Row],[employeeID]],員工[],2,FALSE)</f>
        <v>王奕蓁</v>
      </c>
    </row>
    <row r="10502" spans="6:19" hidden="1" x14ac:dyDescent="0.25">
      <c r="F10502" t="s">
        <v>707</v>
      </c>
      <c r="G10502" t="s">
        <v>397</v>
      </c>
      <c r="H10502" t="str">
        <f>VLOOKUP(record[[#This Row],[ProcessSN]],表格2_7[],2,FALSE)</f>
        <v>30-4118-018-550</v>
      </c>
      <c r="I10502" t="str">
        <f>VLOOKUP(record[[#This Row],[ProcessSN]],表格2_7[],3,FALSE)</f>
        <v>#08</v>
      </c>
      <c r="J10502" t="s">
        <v>597</v>
      </c>
      <c r="K10502" s="195">
        <v>45678.622175925928</v>
      </c>
      <c r="L10502">
        <v>317</v>
      </c>
      <c r="M10502">
        <v>0</v>
      </c>
      <c r="N10502" s="98" t="str">
        <f>IF(record[[#This Row],[Memo]]="Browser:chrome os:android","平板報工",IF(record[[#This Row],[Memo]]=0,"委外",record[[#This Row],[Memo]]))</f>
        <v>委外</v>
      </c>
      <c r="P10502" t="s">
        <v>113</v>
      </c>
      <c r="Q10502" t="s">
        <v>287</v>
      </c>
      <c r="R10502" t="str">
        <f>IFERROR(VLOOKUP(record[[#This Row],[PCUSTID]],廠商[],2,FALSE),"")</f>
        <v>泉盛</v>
      </c>
      <c r="S10502" t="str">
        <f>VLOOKUP(record[[#This Row],[employeeID]],員工[],2,FALSE)</f>
        <v>王奕蓁</v>
      </c>
    </row>
    <row r="10503" spans="6:19" hidden="1" x14ac:dyDescent="0.25">
      <c r="F10503" t="s">
        <v>707</v>
      </c>
      <c r="G10503" t="s">
        <v>396</v>
      </c>
      <c r="H10503" t="str">
        <f>VLOOKUP(record[[#This Row],[ProcessSN]],表格2_7[],2,FALSE)</f>
        <v>30-4118-018-550</v>
      </c>
      <c r="I10503" t="str">
        <f>VLOOKUP(record[[#This Row],[ProcessSN]],表格2_7[],3,FALSE)</f>
        <v>#08PICK</v>
      </c>
      <c r="J10503" t="s">
        <v>582</v>
      </c>
      <c r="K10503" s="195">
        <v>45678.621388888889</v>
      </c>
      <c r="L10503">
        <v>317</v>
      </c>
      <c r="M10503">
        <v>0</v>
      </c>
      <c r="N10503" s="98" t="str">
        <f>IF(record[[#This Row],[Memo]]="Browser:chrome os:android","平板報工",IF(record[[#This Row],[Memo]]=0,"委外",record[[#This Row],[Memo]]))</f>
        <v/>
      </c>
      <c r="O10503" t="s">
        <v>58</v>
      </c>
      <c r="P10503" t="s">
        <v>65</v>
      </c>
      <c r="Q10503" t="s">
        <v>58</v>
      </c>
      <c r="R10503" t="str">
        <f>IFERROR(VLOOKUP(record[[#This Row],[PCUSTID]],廠商[],2,FALSE),"")</f>
        <v/>
      </c>
      <c r="S10503" t="str">
        <f>VLOOKUP(record[[#This Row],[employeeID]],員工[],2,FALSE)</f>
        <v>蘇進昌</v>
      </c>
    </row>
    <row r="10504" spans="6:19" hidden="1" x14ac:dyDescent="0.25">
      <c r="F10504" t="s">
        <v>650</v>
      </c>
      <c r="G10504" t="s">
        <v>420</v>
      </c>
      <c r="H10504" t="str">
        <f>VLOOKUP(record[[#This Row],[ProcessSN]],表格2_7[],2,FALSE)</f>
        <v>30-4118-018-5XX</v>
      </c>
      <c r="I10504" t="str">
        <f>VLOOKUP(record[[#This Row],[ProcessSN]],表格2_7[],3,FALSE)</f>
        <v>#07STOCK</v>
      </c>
      <c r="J10504" t="s">
        <v>592</v>
      </c>
      <c r="K10504" s="195">
        <v>45678.620416666665</v>
      </c>
      <c r="L10504">
        <v>317</v>
      </c>
      <c r="M10504">
        <v>0</v>
      </c>
      <c r="N10504" s="98" t="str">
        <f>IF(record[[#This Row],[Memo]]="Browser:chrome os:android","平板報工",IF(record[[#This Row],[Memo]]=0,"委外",record[[#This Row],[Memo]]))</f>
        <v/>
      </c>
      <c r="O10504" t="s">
        <v>58</v>
      </c>
      <c r="P10504" t="s">
        <v>65</v>
      </c>
      <c r="Q10504" t="s">
        <v>58</v>
      </c>
      <c r="R10504" t="str">
        <f>IFERROR(VLOOKUP(record[[#This Row],[PCUSTID]],廠商[],2,FALSE),"")</f>
        <v/>
      </c>
      <c r="S10504" t="str">
        <f>VLOOKUP(record[[#This Row],[employeeID]],員工[],2,FALSE)</f>
        <v>蘇進昌</v>
      </c>
    </row>
    <row r="10505" spans="6:19" hidden="1" x14ac:dyDescent="0.25">
      <c r="F10505" t="s">
        <v>650</v>
      </c>
      <c r="G10505" t="s">
        <v>419</v>
      </c>
      <c r="H10505" t="str">
        <f>VLOOKUP(record[[#This Row],[ProcessSN]],表格2_7[],2,FALSE)</f>
        <v>30-4118-018-5XX</v>
      </c>
      <c r="I10505" t="str">
        <f>VLOOKUP(record[[#This Row],[ProcessSN]],表格2_7[],3,FALSE)</f>
        <v>#07QC</v>
      </c>
      <c r="J10505" t="s">
        <v>589</v>
      </c>
      <c r="K10505" s="195">
        <v>45678.619895833333</v>
      </c>
      <c r="L10505">
        <v>317</v>
      </c>
      <c r="M10505">
        <v>0</v>
      </c>
      <c r="N10505" s="98" t="str">
        <f>IF(record[[#This Row],[Memo]]="Browser:chrome os:android","平板報工",IF(record[[#This Row],[Memo]]=0,"委外",record[[#This Row],[Memo]]))</f>
        <v/>
      </c>
      <c r="O10505" t="s">
        <v>58</v>
      </c>
      <c r="P10505" t="s">
        <v>113</v>
      </c>
      <c r="Q10505" t="s">
        <v>58</v>
      </c>
      <c r="R10505" t="str">
        <f>IFERROR(VLOOKUP(record[[#This Row],[PCUSTID]],廠商[],2,FALSE),"")</f>
        <v/>
      </c>
      <c r="S10505" t="str">
        <f>VLOOKUP(record[[#This Row],[employeeID]],員工[],2,FALSE)</f>
        <v>王奕蓁</v>
      </c>
    </row>
    <row r="10506" spans="6:19" hidden="1" x14ac:dyDescent="0.25">
      <c r="F10506" t="s">
        <v>650</v>
      </c>
      <c r="G10506" t="s">
        <v>418</v>
      </c>
      <c r="H10506" t="str">
        <f>VLOOKUP(record[[#This Row],[ProcessSN]],表格2_7[],2,FALSE)</f>
        <v>30-4118-018-5XX</v>
      </c>
      <c r="I10506" t="str">
        <f>VLOOKUP(record[[#This Row],[ProcessSN]],表格2_7[],3,FALSE)</f>
        <v>#07</v>
      </c>
      <c r="J10506" t="s">
        <v>588</v>
      </c>
      <c r="K10506" s="195">
        <v>45678.316782407404</v>
      </c>
      <c r="L10506">
        <v>100</v>
      </c>
      <c r="M10506">
        <v>0</v>
      </c>
      <c r="N10506" s="98" t="str">
        <f>IF(record[[#This Row],[Memo]]="Browser:chrome os:android","平板報工",IF(record[[#This Row],[Memo]]=0,"委外",record[[#This Row],[Memo]]))</f>
        <v/>
      </c>
      <c r="O10506" t="s">
        <v>58</v>
      </c>
      <c r="P10506" t="s">
        <v>135</v>
      </c>
      <c r="Q10506" t="s">
        <v>58</v>
      </c>
      <c r="R10506" t="str">
        <f>IFERROR(VLOOKUP(record[[#This Row],[PCUSTID]],廠商[],2,FALSE),"")</f>
        <v/>
      </c>
      <c r="S10506" t="str">
        <f>VLOOKUP(record[[#This Row],[employeeID]],員工[],2,FALSE)</f>
        <v>阮士文</v>
      </c>
    </row>
    <row r="10507" spans="6:19" hidden="1" x14ac:dyDescent="0.25">
      <c r="F10507" t="s">
        <v>650</v>
      </c>
      <c r="G10507" t="s">
        <v>418</v>
      </c>
      <c r="H10507" t="str">
        <f>VLOOKUP(record[[#This Row],[ProcessSN]],表格2_7[],2,FALSE)</f>
        <v>30-4118-018-5XX</v>
      </c>
      <c r="I10507" t="str">
        <f>VLOOKUP(record[[#This Row],[ProcessSN]],表格2_7[],3,FALSE)</f>
        <v>#07</v>
      </c>
      <c r="J10507" t="s">
        <v>588</v>
      </c>
      <c r="K10507" s="195">
        <v>45677.967743055553</v>
      </c>
      <c r="L10507">
        <v>177</v>
      </c>
      <c r="M10507">
        <v>0</v>
      </c>
      <c r="N10507" s="98" t="str">
        <f>IF(record[[#This Row],[Memo]]="Browser:chrome os:android","平板報工",IF(record[[#This Row],[Memo]]=0,"委外",record[[#This Row],[Memo]]))</f>
        <v>平板報工</v>
      </c>
      <c r="O10507" t="s">
        <v>643</v>
      </c>
      <c r="P10507" t="s">
        <v>127</v>
      </c>
      <c r="Q10507" t="s">
        <v>644</v>
      </c>
      <c r="R10507" t="str">
        <f>IFERROR(VLOOKUP(record[[#This Row],[PCUSTID]],廠商[],2,FALSE),"")</f>
        <v/>
      </c>
      <c r="S10507" t="str">
        <f>VLOOKUP(record[[#This Row],[employeeID]],員工[],2,FALSE)</f>
        <v>潘雪梅</v>
      </c>
    </row>
    <row r="10508" spans="6:19" hidden="1" x14ac:dyDescent="0.25">
      <c r="F10508" t="s">
        <v>650</v>
      </c>
      <c r="G10508" t="s">
        <v>417</v>
      </c>
      <c r="H10508" t="str">
        <f>VLOOKUP(record[[#This Row],[ProcessSN]],表格2_7[],2,FALSE)</f>
        <v>30-4118-018-5XX</v>
      </c>
      <c r="I10508" t="str">
        <f>VLOOKUP(record[[#This Row],[ProcessSN]],表格2_7[],3,FALSE)</f>
        <v>#06</v>
      </c>
      <c r="J10508" t="s">
        <v>593</v>
      </c>
      <c r="K10508" s="195">
        <v>45677.929768518516</v>
      </c>
      <c r="L10508">
        <v>16</v>
      </c>
      <c r="M10508">
        <v>0</v>
      </c>
      <c r="N10508" s="98" t="str">
        <f>IF(record[[#This Row],[Memo]]="Browser:chrome os:android","平板報工",IF(record[[#This Row],[Memo]]=0,"委外",record[[#This Row],[Memo]]))</f>
        <v>收尾少2pcs</v>
      </c>
      <c r="O10508" t="s">
        <v>703</v>
      </c>
      <c r="P10508" t="s">
        <v>127</v>
      </c>
      <c r="Q10508" t="s">
        <v>58</v>
      </c>
      <c r="R10508" t="str">
        <f>IFERROR(VLOOKUP(record[[#This Row],[PCUSTID]],廠商[],2,FALSE),"")</f>
        <v/>
      </c>
      <c r="S10508" t="str">
        <f>VLOOKUP(record[[#This Row],[employeeID]],員工[],2,FALSE)</f>
        <v>潘雪梅</v>
      </c>
    </row>
    <row r="10509" spans="6:19" hidden="1" x14ac:dyDescent="0.25">
      <c r="F10509" t="s">
        <v>650</v>
      </c>
      <c r="G10509" t="s">
        <v>420</v>
      </c>
      <c r="H10509" t="str">
        <f>VLOOKUP(record[[#This Row],[ProcessSN]],表格2_7[],2,FALSE)</f>
        <v>30-4118-018-5XX</v>
      </c>
      <c r="I10509" t="str">
        <f>VLOOKUP(record[[#This Row],[ProcessSN]],表格2_7[],3,FALSE)</f>
        <v>#07STOCK</v>
      </c>
      <c r="J10509" t="s">
        <v>592</v>
      </c>
      <c r="K10509" s="195">
        <v>45677.663263888891</v>
      </c>
      <c r="L10509">
        <v>165</v>
      </c>
      <c r="M10509">
        <v>0</v>
      </c>
      <c r="N10509" s="98" t="str">
        <f>IF(record[[#This Row],[Memo]]="Browser:chrome os:android","平板報工",IF(record[[#This Row],[Memo]]=0,"委外",record[[#This Row],[Memo]]))</f>
        <v/>
      </c>
      <c r="O10509" t="s">
        <v>58</v>
      </c>
      <c r="P10509" t="s">
        <v>113</v>
      </c>
      <c r="Q10509" t="s">
        <v>58</v>
      </c>
      <c r="R10509" t="str">
        <f>IFERROR(VLOOKUP(record[[#This Row],[PCUSTID]],廠商[],2,FALSE),"")</f>
        <v/>
      </c>
      <c r="S10509" t="str">
        <f>VLOOKUP(record[[#This Row],[employeeID]],員工[],2,FALSE)</f>
        <v>王奕蓁</v>
      </c>
    </row>
    <row r="10510" spans="6:19" hidden="1" x14ac:dyDescent="0.25">
      <c r="F10510" t="s">
        <v>668</v>
      </c>
      <c r="G10510" t="s">
        <v>357</v>
      </c>
      <c r="H10510" t="str">
        <f>VLOOKUP(record[[#This Row],[ProcessSN]],表格2_7[],2,FALSE)</f>
        <v>30-4118-018-450</v>
      </c>
      <c r="I10510" t="str">
        <f>VLOOKUP(record[[#This Row],[ProcessSN]],表格2_7[],3,FALSE)</f>
        <v>#08RCV</v>
      </c>
      <c r="J10510" t="s">
        <v>591</v>
      </c>
      <c r="K10510" s="195">
        <v>45677.661597222221</v>
      </c>
      <c r="L10510">
        <v>11</v>
      </c>
      <c r="M10510">
        <v>-11</v>
      </c>
      <c r="N10510" s="98" t="str">
        <f>IF(record[[#This Row],[Memo]]="Browser:chrome os:android","平板報工",IF(record[[#This Row],[Memo]]=0,"委外",record[[#This Row],[Memo]]))</f>
        <v>覆回品</v>
      </c>
      <c r="O10510" t="s">
        <v>664</v>
      </c>
      <c r="P10510" t="s">
        <v>65</v>
      </c>
      <c r="Q10510" t="s">
        <v>58</v>
      </c>
      <c r="R10510" t="str">
        <f>IFERROR(VLOOKUP(record[[#This Row],[PCUSTID]],廠商[],2,FALSE),"")</f>
        <v/>
      </c>
      <c r="S10510" t="str">
        <f>VLOOKUP(record[[#This Row],[employeeID]],員工[],2,FALSE)</f>
        <v>蘇進昌</v>
      </c>
    </row>
    <row r="10511" spans="6:19" hidden="1" x14ac:dyDescent="0.25">
      <c r="F10511" t="s">
        <v>701</v>
      </c>
      <c r="G10511" t="s">
        <v>397</v>
      </c>
      <c r="H10511" t="str">
        <f>VLOOKUP(record[[#This Row],[ProcessSN]],表格2_7[],2,FALSE)</f>
        <v>30-4118-018-550</v>
      </c>
      <c r="I10511" t="str">
        <f>VLOOKUP(record[[#This Row],[ProcessSN]],表格2_7[],3,FALSE)</f>
        <v>#08</v>
      </c>
      <c r="J10511" t="s">
        <v>597</v>
      </c>
      <c r="K10511" s="195">
        <v>45677.647986111115</v>
      </c>
      <c r="L10511">
        <v>165</v>
      </c>
      <c r="M10511">
        <v>0</v>
      </c>
      <c r="N10511" s="98" t="str">
        <f>IF(record[[#This Row],[Memo]]="Browser:chrome os:android","平板報工",IF(record[[#This Row],[Memo]]=0,"委外",record[[#This Row],[Memo]]))</f>
        <v>委外</v>
      </c>
      <c r="P10511" t="s">
        <v>113</v>
      </c>
      <c r="Q10511" t="s">
        <v>702</v>
      </c>
      <c r="R10511" t="str">
        <f>IFERROR(VLOOKUP(record[[#This Row],[PCUSTID]],廠商[],2,FALSE),"")</f>
        <v>泉盛</v>
      </c>
      <c r="S10511" t="str">
        <f>VLOOKUP(record[[#This Row],[employeeID]],員工[],2,FALSE)</f>
        <v>王奕蓁</v>
      </c>
    </row>
    <row r="10512" spans="6:19" hidden="1" x14ac:dyDescent="0.25">
      <c r="F10512" t="s">
        <v>701</v>
      </c>
      <c r="G10512" t="s">
        <v>396</v>
      </c>
      <c r="H10512" t="str">
        <f>VLOOKUP(record[[#This Row],[ProcessSN]],表格2_7[],2,FALSE)</f>
        <v>30-4118-018-550</v>
      </c>
      <c r="I10512" t="str">
        <f>VLOOKUP(record[[#This Row],[ProcessSN]],表格2_7[],3,FALSE)</f>
        <v>#08PICK</v>
      </c>
      <c r="J10512" t="s">
        <v>582</v>
      </c>
      <c r="K10512" s="195">
        <v>45677.647106481483</v>
      </c>
      <c r="L10512">
        <v>165</v>
      </c>
      <c r="M10512">
        <v>0</v>
      </c>
      <c r="N10512" s="98" t="str">
        <f>IF(record[[#This Row],[Memo]]="Browser:chrome os:android","平板報工",IF(record[[#This Row],[Memo]]=0,"委外",record[[#This Row],[Memo]]))</f>
        <v/>
      </c>
      <c r="O10512" t="s">
        <v>58</v>
      </c>
      <c r="P10512" t="s">
        <v>113</v>
      </c>
      <c r="Q10512" t="s">
        <v>58</v>
      </c>
      <c r="R10512" t="str">
        <f>IFERROR(VLOOKUP(record[[#This Row],[PCUSTID]],廠商[],2,FALSE),"")</f>
        <v/>
      </c>
      <c r="S10512" t="str">
        <f>VLOOKUP(record[[#This Row],[employeeID]],員工[],2,FALSE)</f>
        <v>王奕蓁</v>
      </c>
    </row>
    <row r="10513" spans="6:19" hidden="1" x14ac:dyDescent="0.25">
      <c r="F10513" t="s">
        <v>650</v>
      </c>
      <c r="G10513" t="s">
        <v>417</v>
      </c>
      <c r="H10513" t="str">
        <f>VLOOKUP(record[[#This Row],[ProcessSN]],表格2_7[],2,FALSE)</f>
        <v>30-4118-018-5XX</v>
      </c>
      <c r="I10513" t="str">
        <f>VLOOKUP(record[[#This Row],[ProcessSN]],表格2_7[],3,FALSE)</f>
        <v>#06</v>
      </c>
      <c r="J10513" t="s">
        <v>593</v>
      </c>
      <c r="K10513" s="195">
        <v>45677.642210648148</v>
      </c>
      <c r="L10513">
        <v>120</v>
      </c>
      <c r="M10513">
        <v>2</v>
      </c>
      <c r="N10513" s="98" t="str">
        <f>IF(record[[#This Row],[Memo]]="Browser:chrome os:android","平板報工",IF(record[[#This Row],[Memo]]=0,"委外",record[[#This Row],[Memo]]))</f>
        <v/>
      </c>
      <c r="O10513" t="s">
        <v>58</v>
      </c>
      <c r="P10513" t="s">
        <v>119</v>
      </c>
      <c r="Q10513" t="s">
        <v>58</v>
      </c>
      <c r="R10513" t="str">
        <f>IFERROR(VLOOKUP(record[[#This Row],[PCUSTID]],廠商[],2,FALSE),"")</f>
        <v/>
      </c>
      <c r="S10513" t="str">
        <f>VLOOKUP(record[[#This Row],[employeeID]],員工[],2,FALSE)</f>
        <v>廖俊彥</v>
      </c>
    </row>
    <row r="10514" spans="6:19" hidden="1" x14ac:dyDescent="0.25">
      <c r="F10514" t="s">
        <v>650</v>
      </c>
      <c r="G10514" t="s">
        <v>418</v>
      </c>
      <c r="H10514" t="str">
        <f>VLOOKUP(record[[#This Row],[ProcessSN]],表格2_7[],2,FALSE)</f>
        <v>30-4118-018-5XX</v>
      </c>
      <c r="I10514" t="str">
        <f>VLOOKUP(record[[#This Row],[ProcessSN]],表格2_7[],3,FALSE)</f>
        <v>#07</v>
      </c>
      <c r="J10514" t="s">
        <v>588</v>
      </c>
      <c r="K10514" s="195">
        <v>45677.64099537037</v>
      </c>
      <c r="L10514">
        <v>133</v>
      </c>
      <c r="M10514">
        <v>0</v>
      </c>
      <c r="N10514" s="98" t="str">
        <f>IF(record[[#This Row],[Memo]]="Browser:chrome os:android","平板報工",IF(record[[#This Row],[Memo]]=0,"委外",record[[#This Row],[Memo]]))</f>
        <v/>
      </c>
      <c r="O10514" t="s">
        <v>58</v>
      </c>
      <c r="P10514" t="s">
        <v>119</v>
      </c>
      <c r="Q10514" t="s">
        <v>58</v>
      </c>
      <c r="R10514" t="str">
        <f>IFERROR(VLOOKUP(record[[#This Row],[PCUSTID]],廠商[],2,FALSE),"")</f>
        <v/>
      </c>
      <c r="S10514" t="str">
        <f>VLOOKUP(record[[#This Row],[employeeID]],員工[],2,FALSE)</f>
        <v>廖俊彥</v>
      </c>
    </row>
    <row r="10515" spans="6:19" hidden="1" x14ac:dyDescent="0.25">
      <c r="F10515" t="s">
        <v>650</v>
      </c>
      <c r="G10515" t="s">
        <v>419</v>
      </c>
      <c r="H10515" t="str">
        <f>VLOOKUP(record[[#This Row],[ProcessSN]],表格2_7[],2,FALSE)</f>
        <v>30-4118-018-5XX</v>
      </c>
      <c r="I10515" t="str">
        <f>VLOOKUP(record[[#This Row],[ProcessSN]],表格2_7[],3,FALSE)</f>
        <v>#07QC</v>
      </c>
      <c r="J10515" t="s">
        <v>589</v>
      </c>
      <c r="K10515" s="195">
        <v>45677.625104166669</v>
      </c>
      <c r="L10515">
        <v>161</v>
      </c>
      <c r="M10515">
        <v>3</v>
      </c>
      <c r="N10515" s="98" t="str">
        <f>IF(record[[#This Row],[Memo]]="Browser:chrome os:android","平板報工",IF(record[[#This Row],[Memo]]=0,"委外",record[[#This Row],[Memo]]))</f>
        <v>平板報工</v>
      </c>
      <c r="O10515" t="s">
        <v>643</v>
      </c>
      <c r="P10515" t="s">
        <v>109</v>
      </c>
      <c r="Q10515" t="s">
        <v>644</v>
      </c>
      <c r="R10515" t="str">
        <f>IFERROR(VLOOKUP(record[[#This Row],[PCUSTID]],廠商[],2,FALSE),"")</f>
        <v/>
      </c>
      <c r="S10515" t="str">
        <f>VLOOKUP(record[[#This Row],[employeeID]],員工[],2,FALSE)</f>
        <v>裴氏璧鳳</v>
      </c>
    </row>
    <row r="10516" spans="6:19" hidden="1" x14ac:dyDescent="0.25">
      <c r="F10516" t="s">
        <v>650</v>
      </c>
      <c r="G10516" t="s">
        <v>419</v>
      </c>
      <c r="H10516" t="str">
        <f>VLOOKUP(record[[#This Row],[ProcessSN]],表格2_7[],2,FALSE)</f>
        <v>30-4118-018-5XX</v>
      </c>
      <c r="I10516" t="str">
        <f>VLOOKUP(record[[#This Row],[ProcessSN]],表格2_7[],3,FALSE)</f>
        <v>#07QC</v>
      </c>
      <c r="J10516" t="s">
        <v>589</v>
      </c>
      <c r="K10516" s="195">
        <v>45677.592812499999</v>
      </c>
      <c r="L10516">
        <v>165</v>
      </c>
      <c r="M10516">
        <v>0</v>
      </c>
      <c r="N10516" s="98" t="str">
        <f>IF(record[[#This Row],[Memo]]="Browser:chrome os:android","平板報工",IF(record[[#This Row],[Memo]]=0,"委外",record[[#This Row],[Memo]]))</f>
        <v>平板報工</v>
      </c>
      <c r="O10516" t="s">
        <v>643</v>
      </c>
      <c r="P10516" t="s">
        <v>109</v>
      </c>
      <c r="Q10516" t="s">
        <v>644</v>
      </c>
      <c r="R10516" t="str">
        <f>IFERROR(VLOOKUP(record[[#This Row],[PCUSTID]],廠商[],2,FALSE),"")</f>
        <v/>
      </c>
      <c r="S10516" t="str">
        <f>VLOOKUP(record[[#This Row],[employeeID]],員工[],2,FALSE)</f>
        <v>裴氏璧鳳</v>
      </c>
    </row>
    <row r="10517" spans="6:19" hidden="1" x14ac:dyDescent="0.25">
      <c r="F10517" t="s">
        <v>629</v>
      </c>
      <c r="G10517" t="s">
        <v>428</v>
      </c>
      <c r="H10517" t="str">
        <f>VLOOKUP(record[[#This Row],[ProcessSN]],表格2_7[],2,FALSE)</f>
        <v>30-4118-018-600</v>
      </c>
      <c r="I10517" t="str">
        <f>VLOOKUP(record[[#This Row],[ProcessSN]],表格2_7[],3,FALSE)</f>
        <v>#100SHIP</v>
      </c>
      <c r="J10517" t="s">
        <v>600</v>
      </c>
      <c r="K10517" s="195">
        <v>45677.425057870372</v>
      </c>
      <c r="L10517">
        <v>90</v>
      </c>
      <c r="M10517">
        <v>0</v>
      </c>
      <c r="N10517" s="98" t="str">
        <f>IF(record[[#This Row],[Memo]]="Browser:chrome os:android","平板報工",IF(record[[#This Row],[Memo]]=0,"委外",record[[#This Row],[Memo]]))</f>
        <v/>
      </c>
      <c r="O10517" t="s">
        <v>58</v>
      </c>
      <c r="P10517" t="s">
        <v>196</v>
      </c>
      <c r="Q10517" t="s">
        <v>58</v>
      </c>
      <c r="R10517" t="str">
        <f>IFERROR(VLOOKUP(record[[#This Row],[PCUSTID]],廠商[],2,FALSE),"")</f>
        <v/>
      </c>
      <c r="S10517" t="str">
        <f>VLOOKUP(record[[#This Row],[employeeID]],員工[],2,FALSE)</f>
        <v>張淑惠</v>
      </c>
    </row>
    <row r="10518" spans="6:19" hidden="1" x14ac:dyDescent="0.25">
      <c r="F10518" t="s">
        <v>650</v>
      </c>
      <c r="G10518" t="s">
        <v>417</v>
      </c>
      <c r="H10518" t="str">
        <f>VLOOKUP(record[[#This Row],[ProcessSN]],表格2_7[],2,FALSE)</f>
        <v>30-4118-018-5XX</v>
      </c>
      <c r="I10518" t="str">
        <f>VLOOKUP(record[[#This Row],[ProcessSN]],表格2_7[],3,FALSE)</f>
        <v>#06</v>
      </c>
      <c r="J10518" t="s">
        <v>593</v>
      </c>
      <c r="K10518" s="195">
        <v>45675.292314814818</v>
      </c>
      <c r="L10518">
        <v>125</v>
      </c>
      <c r="M10518">
        <v>0</v>
      </c>
      <c r="N10518" s="98" t="str">
        <f>IF(record[[#This Row],[Memo]]="Browser:chrome os:android","平板報工",IF(record[[#This Row],[Memo]]=0,"委外",record[[#This Row],[Memo]]))</f>
        <v>平板報工</v>
      </c>
      <c r="O10518" t="s">
        <v>643</v>
      </c>
      <c r="P10518" t="s">
        <v>180</v>
      </c>
      <c r="Q10518" t="s">
        <v>644</v>
      </c>
      <c r="R10518" t="str">
        <f>IFERROR(VLOOKUP(record[[#This Row],[PCUSTID]],廠商[],2,FALSE),"")</f>
        <v/>
      </c>
      <c r="S10518" t="str">
        <f>VLOOKUP(record[[#This Row],[employeeID]],員工[],2,FALSE)</f>
        <v>黎功江</v>
      </c>
    </row>
    <row r="10519" spans="6:19" hidden="1" x14ac:dyDescent="0.25">
      <c r="F10519" t="s">
        <v>650</v>
      </c>
      <c r="G10519" t="s">
        <v>418</v>
      </c>
      <c r="H10519" t="str">
        <f>VLOOKUP(record[[#This Row],[ProcessSN]],表格2_7[],2,FALSE)</f>
        <v>30-4118-018-5XX</v>
      </c>
      <c r="I10519" t="str">
        <f>VLOOKUP(record[[#This Row],[ProcessSN]],表格2_7[],3,FALSE)</f>
        <v>#07</v>
      </c>
      <c r="J10519" t="s">
        <v>588</v>
      </c>
      <c r="K10519" s="195">
        <v>45674.987337962964</v>
      </c>
      <c r="L10519">
        <v>168</v>
      </c>
      <c r="M10519">
        <v>1</v>
      </c>
      <c r="N10519" s="98" t="str">
        <f>IF(record[[#This Row],[Memo]]="Browser:chrome os:android","平板報工",IF(record[[#This Row],[Memo]]=0,"委外",record[[#This Row],[Memo]]))</f>
        <v>平板報工</v>
      </c>
      <c r="O10519" t="s">
        <v>643</v>
      </c>
      <c r="P10519" t="s">
        <v>89</v>
      </c>
      <c r="Q10519" t="s">
        <v>644</v>
      </c>
      <c r="R10519" t="str">
        <f>IFERROR(VLOOKUP(record[[#This Row],[PCUSTID]],廠商[],2,FALSE),"")</f>
        <v/>
      </c>
      <c r="S10519" t="str">
        <f>VLOOKUP(record[[#This Row],[employeeID]],員工[],2,FALSE)</f>
        <v>李美蓮</v>
      </c>
    </row>
    <row r="10520" spans="6:19" hidden="1" x14ac:dyDescent="0.25">
      <c r="F10520" t="s">
        <v>650</v>
      </c>
      <c r="G10520" t="s">
        <v>417</v>
      </c>
      <c r="H10520" t="str">
        <f>VLOOKUP(record[[#This Row],[ProcessSN]],表格2_7[],2,FALSE)</f>
        <v>30-4118-018-5XX</v>
      </c>
      <c r="I10520" t="str">
        <f>VLOOKUP(record[[#This Row],[ProcessSN]],表格2_7[],3,FALSE)</f>
        <v>#06</v>
      </c>
      <c r="J10520" t="s">
        <v>593</v>
      </c>
      <c r="K10520" s="195">
        <v>45674.960231481484</v>
      </c>
      <c r="L10520">
        <v>133</v>
      </c>
      <c r="M10520">
        <v>0</v>
      </c>
      <c r="N10520" s="98" t="str">
        <f>IF(record[[#This Row],[Memo]]="Browser:chrome os:android","平板報工",IF(record[[#This Row],[Memo]]=0,"委外",record[[#This Row],[Memo]]))</f>
        <v>平板報工</v>
      </c>
      <c r="O10520" t="s">
        <v>643</v>
      </c>
      <c r="P10520" t="s">
        <v>127</v>
      </c>
      <c r="Q10520" t="s">
        <v>644</v>
      </c>
      <c r="R10520" t="str">
        <f>IFERROR(VLOOKUP(record[[#This Row],[PCUSTID]],廠商[],2,FALSE),"")</f>
        <v/>
      </c>
      <c r="S10520" t="str">
        <f>VLOOKUP(record[[#This Row],[employeeID]],員工[],2,FALSE)</f>
        <v>潘雪梅</v>
      </c>
    </row>
    <row r="10521" spans="6:19" hidden="1" x14ac:dyDescent="0.25">
      <c r="F10521" t="s">
        <v>684</v>
      </c>
      <c r="G10521" t="s">
        <v>399</v>
      </c>
      <c r="H10521" t="str">
        <f>VLOOKUP(record[[#This Row],[ProcessSN]],表格2_7[],2,FALSE)</f>
        <v>30-4118-018-550</v>
      </c>
      <c r="I10521" t="str">
        <f>VLOOKUP(record[[#This Row],[ProcessSN]],表格2_7[],3,FALSE)</f>
        <v>#08IQC</v>
      </c>
      <c r="J10521" t="s">
        <v>583</v>
      </c>
      <c r="K10521" s="195">
        <v>45674.695138888892</v>
      </c>
      <c r="L10521">
        <v>346</v>
      </c>
      <c r="M10521">
        <v>0</v>
      </c>
      <c r="N10521" s="98" t="str">
        <f>IF(record[[#This Row],[Memo]]="Browser:chrome os:android","平板報工",IF(record[[#This Row],[Memo]]=0,"委外",record[[#This Row],[Memo]]))</f>
        <v/>
      </c>
      <c r="O10521" t="s">
        <v>58</v>
      </c>
      <c r="P10521" t="s">
        <v>143</v>
      </c>
      <c r="Q10521" t="s">
        <v>58</v>
      </c>
      <c r="R10521" t="str">
        <f>IFERROR(VLOOKUP(record[[#This Row],[PCUSTID]],廠商[],2,FALSE),"")</f>
        <v/>
      </c>
      <c r="S10521" t="str">
        <f>VLOOKUP(record[[#This Row],[employeeID]],員工[],2,FALSE)</f>
        <v>潘佳琪</v>
      </c>
    </row>
    <row r="10522" spans="6:19" hidden="1" x14ac:dyDescent="0.25">
      <c r="F10522" t="s">
        <v>689</v>
      </c>
      <c r="G10522" t="s">
        <v>399</v>
      </c>
      <c r="H10522" t="str">
        <f>VLOOKUP(record[[#This Row],[ProcessSN]],表格2_7[],2,FALSE)</f>
        <v>30-4118-018-550</v>
      </c>
      <c r="I10522" t="str">
        <f>VLOOKUP(record[[#This Row],[ProcessSN]],表格2_7[],3,FALSE)</f>
        <v>#08IQC</v>
      </c>
      <c r="J10522" t="s">
        <v>583</v>
      </c>
      <c r="K10522" s="195">
        <v>45674.695057870369</v>
      </c>
      <c r="L10522">
        <v>152</v>
      </c>
      <c r="M10522">
        <v>0</v>
      </c>
      <c r="N10522" s="98" t="str">
        <f>IF(record[[#This Row],[Memo]]="Browser:chrome os:android","平板報工",IF(record[[#This Row],[Memo]]=0,"委外",record[[#This Row],[Memo]]))</f>
        <v/>
      </c>
      <c r="O10522" t="s">
        <v>58</v>
      </c>
      <c r="P10522" t="s">
        <v>143</v>
      </c>
      <c r="Q10522" t="s">
        <v>58</v>
      </c>
      <c r="R10522" t="str">
        <f>IFERROR(VLOOKUP(record[[#This Row],[PCUSTID]],廠商[],2,FALSE),"")</f>
        <v/>
      </c>
      <c r="S10522" t="str">
        <f>VLOOKUP(record[[#This Row],[employeeID]],員工[],2,FALSE)</f>
        <v>潘佳琪</v>
      </c>
    </row>
    <row r="10523" spans="6:19" hidden="1" x14ac:dyDescent="0.25">
      <c r="F10523" t="s">
        <v>684</v>
      </c>
      <c r="G10523" t="s">
        <v>398</v>
      </c>
      <c r="H10523" t="str">
        <f>VLOOKUP(record[[#This Row],[ProcessSN]],表格2_7[],2,FALSE)</f>
        <v>30-4118-018-550</v>
      </c>
      <c r="I10523" t="str">
        <f>VLOOKUP(record[[#This Row],[ProcessSN]],表格2_7[],3,FALSE)</f>
        <v>#08RCV</v>
      </c>
      <c r="J10523" t="s">
        <v>591</v>
      </c>
      <c r="K10523" s="195">
        <v>45674.661365740743</v>
      </c>
      <c r="L10523">
        <v>346</v>
      </c>
      <c r="M10523">
        <v>6</v>
      </c>
      <c r="N10523" s="98" t="str">
        <f>IF(record[[#This Row],[Memo]]="Browser:chrome os:android","平板報工",IF(record[[#This Row],[Memo]]=0,"委外",record[[#This Row],[Memo]]))</f>
        <v/>
      </c>
      <c r="O10523" t="s">
        <v>58</v>
      </c>
      <c r="P10523" t="s">
        <v>206</v>
      </c>
      <c r="Q10523" t="s">
        <v>58</v>
      </c>
      <c r="R10523" t="str">
        <f>IFERROR(VLOOKUP(record[[#This Row],[PCUSTID]],廠商[],2,FALSE),"")</f>
        <v/>
      </c>
      <c r="S10523" t="str">
        <f>VLOOKUP(record[[#This Row],[employeeID]],員工[],2,FALSE)</f>
        <v>曾婉筠</v>
      </c>
    </row>
    <row r="10524" spans="6:19" hidden="1" x14ac:dyDescent="0.25">
      <c r="F10524" t="s">
        <v>689</v>
      </c>
      <c r="G10524" t="s">
        <v>398</v>
      </c>
      <c r="H10524" t="str">
        <f>VLOOKUP(record[[#This Row],[ProcessSN]],表格2_7[],2,FALSE)</f>
        <v>30-4118-018-550</v>
      </c>
      <c r="I10524" t="str">
        <f>VLOOKUP(record[[#This Row],[ProcessSN]],表格2_7[],3,FALSE)</f>
        <v>#08RCV</v>
      </c>
      <c r="J10524" t="s">
        <v>591</v>
      </c>
      <c r="K10524" s="195">
        <v>45674.651296296295</v>
      </c>
      <c r="L10524">
        <v>152</v>
      </c>
      <c r="M10524">
        <v>10</v>
      </c>
      <c r="N10524" s="98" t="str">
        <f>IF(record[[#This Row],[Memo]]="Browser:chrome os:android","平板報工",IF(record[[#This Row],[Memo]]=0,"委外",record[[#This Row],[Memo]]))</f>
        <v/>
      </c>
      <c r="O10524" t="s">
        <v>58</v>
      </c>
      <c r="P10524" t="s">
        <v>206</v>
      </c>
      <c r="Q10524" t="s">
        <v>58</v>
      </c>
      <c r="R10524" t="str">
        <f>IFERROR(VLOOKUP(record[[#This Row],[PCUSTID]],廠商[],2,FALSE),"")</f>
        <v/>
      </c>
      <c r="S10524" t="str">
        <f>VLOOKUP(record[[#This Row],[employeeID]],員工[],2,FALSE)</f>
        <v>曾婉筠</v>
      </c>
    </row>
    <row r="10525" spans="6:19" hidden="1" x14ac:dyDescent="0.25">
      <c r="F10525" t="s">
        <v>650</v>
      </c>
      <c r="G10525" t="s">
        <v>418</v>
      </c>
      <c r="H10525" t="str">
        <f>VLOOKUP(record[[#This Row],[ProcessSN]],表格2_7[],2,FALSE)</f>
        <v>30-4118-018-5XX</v>
      </c>
      <c r="I10525" t="str">
        <f>VLOOKUP(record[[#This Row],[ProcessSN]],表格2_7[],3,FALSE)</f>
        <v>#07</v>
      </c>
      <c r="J10525" t="s">
        <v>588</v>
      </c>
      <c r="K10525" s="195">
        <v>45674.637465277781</v>
      </c>
      <c r="L10525">
        <v>170</v>
      </c>
      <c r="M10525">
        <v>0</v>
      </c>
      <c r="N10525" s="98" t="str">
        <f>IF(record[[#This Row],[Memo]]="Browser:chrome os:android","平板報工",IF(record[[#This Row],[Memo]]=0,"委外",record[[#This Row],[Memo]]))</f>
        <v>平板報工</v>
      </c>
      <c r="O10525" t="s">
        <v>643</v>
      </c>
      <c r="P10525" t="s">
        <v>119</v>
      </c>
      <c r="Q10525" t="s">
        <v>644</v>
      </c>
      <c r="R10525" t="str">
        <f>IFERROR(VLOOKUP(record[[#This Row],[PCUSTID]],廠商[],2,FALSE),"")</f>
        <v/>
      </c>
      <c r="S10525" t="str">
        <f>VLOOKUP(record[[#This Row],[employeeID]],員工[],2,FALSE)</f>
        <v>廖俊彥</v>
      </c>
    </row>
    <row r="10526" spans="6:19" hidden="1" x14ac:dyDescent="0.25">
      <c r="F10526" t="s">
        <v>650</v>
      </c>
      <c r="G10526" t="s">
        <v>417</v>
      </c>
      <c r="H10526" t="str">
        <f>VLOOKUP(record[[#This Row],[ProcessSN]],表格2_7[],2,FALSE)</f>
        <v>30-4118-018-5XX</v>
      </c>
      <c r="I10526" t="str">
        <f>VLOOKUP(record[[#This Row],[ProcessSN]],表格2_7[],3,FALSE)</f>
        <v>#06</v>
      </c>
      <c r="J10526" t="s">
        <v>593</v>
      </c>
      <c r="K10526" s="195">
        <v>45674.620763888888</v>
      </c>
      <c r="L10526">
        <v>130</v>
      </c>
      <c r="M10526">
        <v>0</v>
      </c>
      <c r="N10526" s="98" t="str">
        <f>IF(record[[#This Row],[Memo]]="Browser:chrome os:android","平板報工",IF(record[[#This Row],[Memo]]=0,"委外",record[[#This Row],[Memo]]))</f>
        <v>平板報工</v>
      </c>
      <c r="O10526" t="s">
        <v>643</v>
      </c>
      <c r="P10526" t="s">
        <v>119</v>
      </c>
      <c r="Q10526" t="s">
        <v>644</v>
      </c>
      <c r="R10526" t="str">
        <f>IFERROR(VLOOKUP(record[[#This Row],[PCUSTID]],廠商[],2,FALSE),"")</f>
        <v/>
      </c>
      <c r="S10526" t="str">
        <f>VLOOKUP(record[[#This Row],[employeeID]],員工[],2,FALSE)</f>
        <v>廖俊彥</v>
      </c>
    </row>
    <row r="10527" spans="6:19" hidden="1" x14ac:dyDescent="0.25">
      <c r="F10527" t="s">
        <v>699</v>
      </c>
      <c r="G10527" t="s">
        <v>397</v>
      </c>
      <c r="H10527" t="str">
        <f>VLOOKUP(record[[#This Row],[ProcessSN]],表格2_7[],2,FALSE)</f>
        <v>30-4118-018-550</v>
      </c>
      <c r="I10527" t="str">
        <f>VLOOKUP(record[[#This Row],[ProcessSN]],表格2_7[],3,FALSE)</f>
        <v>#08</v>
      </c>
      <c r="J10527" t="s">
        <v>597</v>
      </c>
      <c r="K10527" s="195">
        <v>45674.606203703705</v>
      </c>
      <c r="L10527">
        <v>314</v>
      </c>
      <c r="M10527">
        <v>0</v>
      </c>
      <c r="N10527" s="98" t="str">
        <f>IF(record[[#This Row],[Memo]]="Browser:chrome os:android","平板報工",IF(record[[#This Row],[Memo]]=0,"委外",record[[#This Row],[Memo]]))</f>
        <v>委外</v>
      </c>
      <c r="P10527" t="s">
        <v>206</v>
      </c>
      <c r="Q10527" t="s">
        <v>287</v>
      </c>
      <c r="R10527" t="str">
        <f>IFERROR(VLOOKUP(record[[#This Row],[PCUSTID]],廠商[],2,FALSE),"")</f>
        <v>泉盛</v>
      </c>
      <c r="S10527" t="str">
        <f>VLOOKUP(record[[#This Row],[employeeID]],員工[],2,FALSE)</f>
        <v>曾婉筠</v>
      </c>
    </row>
    <row r="10528" spans="6:19" hidden="1" x14ac:dyDescent="0.25">
      <c r="F10528" t="s">
        <v>699</v>
      </c>
      <c r="G10528" t="s">
        <v>396</v>
      </c>
      <c r="H10528" t="str">
        <f>VLOOKUP(record[[#This Row],[ProcessSN]],表格2_7[],2,FALSE)</f>
        <v>30-4118-018-550</v>
      </c>
      <c r="I10528" t="str">
        <f>VLOOKUP(record[[#This Row],[ProcessSN]],表格2_7[],3,FALSE)</f>
        <v>#08PICK</v>
      </c>
      <c r="J10528" t="s">
        <v>582</v>
      </c>
      <c r="K10528" s="195">
        <v>45674.567766203705</v>
      </c>
      <c r="L10528">
        <v>314</v>
      </c>
      <c r="M10528">
        <v>0</v>
      </c>
      <c r="N10528" s="98" t="str">
        <f>IF(record[[#This Row],[Memo]]="Browser:chrome os:android","平板報工",IF(record[[#This Row],[Memo]]=0,"委外",record[[#This Row],[Memo]]))</f>
        <v>委外</v>
      </c>
      <c r="P10528" t="s">
        <v>206</v>
      </c>
      <c r="Q10528" t="s">
        <v>287</v>
      </c>
      <c r="R10528" t="str">
        <f>IFERROR(VLOOKUP(record[[#This Row],[PCUSTID]],廠商[],2,FALSE),"")</f>
        <v>泉盛</v>
      </c>
      <c r="S10528" t="str">
        <f>VLOOKUP(record[[#This Row],[employeeID]],員工[],2,FALSE)</f>
        <v>曾婉筠</v>
      </c>
    </row>
    <row r="10529" spans="6:19" hidden="1" x14ac:dyDescent="0.25">
      <c r="F10529" t="s">
        <v>642</v>
      </c>
      <c r="G10529" t="s">
        <v>420</v>
      </c>
      <c r="H10529" t="str">
        <f>VLOOKUP(record[[#This Row],[ProcessSN]],表格2_7[],2,FALSE)</f>
        <v>30-4118-018-5XX</v>
      </c>
      <c r="I10529" t="str">
        <f>VLOOKUP(record[[#This Row],[ProcessSN]],表格2_7[],3,FALSE)</f>
        <v>#07STOCK</v>
      </c>
      <c r="J10529" t="s">
        <v>592</v>
      </c>
      <c r="K10529" s="195">
        <v>45674.483946759261</v>
      </c>
      <c r="L10529">
        <v>160</v>
      </c>
      <c r="M10529">
        <v>0</v>
      </c>
      <c r="N10529" s="98" t="str">
        <f>IF(record[[#This Row],[Memo]]="Browser:chrome os:android","平板報工",IF(record[[#This Row],[Memo]]=0,"委外",record[[#This Row],[Memo]]))</f>
        <v/>
      </c>
      <c r="O10529" t="s">
        <v>58</v>
      </c>
      <c r="P10529" t="s">
        <v>65</v>
      </c>
      <c r="Q10529" t="s">
        <v>58</v>
      </c>
      <c r="R10529" t="str">
        <f>IFERROR(VLOOKUP(record[[#This Row],[PCUSTID]],廠商[],2,FALSE),"")</f>
        <v/>
      </c>
      <c r="S10529" t="str">
        <f>VLOOKUP(record[[#This Row],[employeeID]],員工[],2,FALSE)</f>
        <v>蘇進昌</v>
      </c>
    </row>
    <row r="10530" spans="6:19" hidden="1" x14ac:dyDescent="0.25">
      <c r="F10530" t="s">
        <v>650</v>
      </c>
      <c r="G10530" t="s">
        <v>420</v>
      </c>
      <c r="H10530" t="str">
        <f>VLOOKUP(record[[#This Row],[ProcessSN]],表格2_7[],2,FALSE)</f>
        <v>30-4118-018-5XX</v>
      </c>
      <c r="I10530" t="str">
        <f>VLOOKUP(record[[#This Row],[ProcessSN]],表格2_7[],3,FALSE)</f>
        <v>#07STOCK</v>
      </c>
      <c r="J10530" t="s">
        <v>592</v>
      </c>
      <c r="K10530" s="195">
        <v>45674.483819444446</v>
      </c>
      <c r="L10530">
        <v>154</v>
      </c>
      <c r="M10530">
        <v>0</v>
      </c>
      <c r="N10530" s="98" t="str">
        <f>IF(record[[#This Row],[Memo]]="Browser:chrome os:android","平板報工",IF(record[[#This Row],[Memo]]=0,"委外",record[[#This Row],[Memo]]))</f>
        <v/>
      </c>
      <c r="O10530" t="s">
        <v>58</v>
      </c>
      <c r="P10530" t="s">
        <v>65</v>
      </c>
      <c r="Q10530" t="s">
        <v>58</v>
      </c>
      <c r="R10530" t="str">
        <f>IFERROR(VLOOKUP(record[[#This Row],[PCUSTID]],廠商[],2,FALSE),"")</f>
        <v/>
      </c>
      <c r="S10530" t="str">
        <f>VLOOKUP(record[[#This Row],[employeeID]],員工[],2,FALSE)</f>
        <v>蘇進昌</v>
      </c>
    </row>
    <row r="10531" spans="6:19" hidden="1" x14ac:dyDescent="0.25">
      <c r="F10531" t="s">
        <v>642</v>
      </c>
      <c r="G10531" t="s">
        <v>419</v>
      </c>
      <c r="H10531" t="str">
        <f>VLOOKUP(record[[#This Row],[ProcessSN]],表格2_7[],2,FALSE)</f>
        <v>30-4118-018-5XX</v>
      </c>
      <c r="I10531" t="str">
        <f>VLOOKUP(record[[#This Row],[ProcessSN]],表格2_7[],3,FALSE)</f>
        <v>#07QC</v>
      </c>
      <c r="J10531" t="s">
        <v>589</v>
      </c>
      <c r="K10531" s="195">
        <v>45674.478171296294</v>
      </c>
      <c r="L10531">
        <v>160</v>
      </c>
      <c r="M10531">
        <v>0</v>
      </c>
      <c r="N10531" s="98" t="str">
        <f>IF(record[[#This Row],[Memo]]="Browser:chrome os:android","平板報工",IF(record[[#This Row],[Memo]]=0,"委外",record[[#This Row],[Memo]]))</f>
        <v>平板報工</v>
      </c>
      <c r="O10531" t="s">
        <v>643</v>
      </c>
      <c r="P10531" t="s">
        <v>109</v>
      </c>
      <c r="Q10531" t="s">
        <v>644</v>
      </c>
      <c r="R10531" t="str">
        <f>IFERROR(VLOOKUP(record[[#This Row],[PCUSTID]],廠商[],2,FALSE),"")</f>
        <v/>
      </c>
      <c r="S10531" t="str">
        <f>VLOOKUP(record[[#This Row],[employeeID]],員工[],2,FALSE)</f>
        <v>裴氏璧鳳</v>
      </c>
    </row>
    <row r="10532" spans="6:19" hidden="1" x14ac:dyDescent="0.25">
      <c r="F10532" t="s">
        <v>650</v>
      </c>
      <c r="G10532" t="s">
        <v>419</v>
      </c>
      <c r="H10532" t="str">
        <f>VLOOKUP(record[[#This Row],[ProcessSN]],表格2_7[],2,FALSE)</f>
        <v>30-4118-018-5XX</v>
      </c>
      <c r="I10532" t="str">
        <f>VLOOKUP(record[[#This Row],[ProcessSN]],表格2_7[],3,FALSE)</f>
        <v>#07QC</v>
      </c>
      <c r="J10532" t="s">
        <v>589</v>
      </c>
      <c r="K10532" s="195">
        <v>45674.477870370371</v>
      </c>
      <c r="L10532">
        <v>154</v>
      </c>
      <c r="M10532">
        <v>6</v>
      </c>
      <c r="N10532" s="98" t="str">
        <f>IF(record[[#This Row],[Memo]]="Browser:chrome os:android","平板報工",IF(record[[#This Row],[Memo]]=0,"委外",record[[#This Row],[Memo]]))</f>
        <v>平板報工</v>
      </c>
      <c r="O10532" t="s">
        <v>643</v>
      </c>
      <c r="P10532" t="s">
        <v>109</v>
      </c>
      <c r="Q10532" t="s">
        <v>644</v>
      </c>
      <c r="R10532" t="str">
        <f>IFERROR(VLOOKUP(record[[#This Row],[PCUSTID]],廠商[],2,FALSE),"")</f>
        <v/>
      </c>
      <c r="S10532" t="str">
        <f>VLOOKUP(record[[#This Row],[employeeID]],員工[],2,FALSE)</f>
        <v>裴氏璧鳳</v>
      </c>
    </row>
    <row r="10533" spans="6:19" hidden="1" x14ac:dyDescent="0.25">
      <c r="F10533" t="s">
        <v>629</v>
      </c>
      <c r="G10533" t="s">
        <v>428</v>
      </c>
      <c r="H10533" t="str">
        <f>VLOOKUP(record[[#This Row],[ProcessSN]],表格2_7[],2,FALSE)</f>
        <v>30-4118-018-600</v>
      </c>
      <c r="I10533" t="str">
        <f>VLOOKUP(record[[#This Row],[ProcessSN]],表格2_7[],3,FALSE)</f>
        <v>#100SHIP</v>
      </c>
      <c r="J10533" t="s">
        <v>600</v>
      </c>
      <c r="K10533" s="195">
        <v>45674.453298611108</v>
      </c>
      <c r="L10533">
        <v>6</v>
      </c>
      <c r="M10533">
        <v>0</v>
      </c>
      <c r="N10533" s="98" t="str">
        <f>IF(record[[#This Row],[Memo]]="Browser:chrome os:android","平板報工",IF(record[[#This Row],[Memo]]=0,"委外",record[[#This Row],[Memo]]))</f>
        <v/>
      </c>
      <c r="O10533" t="s">
        <v>58</v>
      </c>
      <c r="P10533" t="s">
        <v>196</v>
      </c>
      <c r="Q10533" t="s">
        <v>58</v>
      </c>
      <c r="R10533" t="str">
        <f>IFERROR(VLOOKUP(record[[#This Row],[PCUSTID]],廠商[],2,FALSE),"")</f>
        <v/>
      </c>
      <c r="S10533" t="str">
        <f>VLOOKUP(record[[#This Row],[employeeID]],員工[],2,FALSE)</f>
        <v>張淑惠</v>
      </c>
    </row>
    <row r="10534" spans="6:19" hidden="1" x14ac:dyDescent="0.25">
      <c r="F10534" t="s">
        <v>650</v>
      </c>
      <c r="G10534" t="s">
        <v>417</v>
      </c>
      <c r="H10534" t="str">
        <f>VLOOKUP(record[[#This Row],[ProcessSN]],表格2_7[],2,FALSE)</f>
        <v>30-4118-018-5XX</v>
      </c>
      <c r="I10534" t="str">
        <f>VLOOKUP(record[[#This Row],[ProcessSN]],表格2_7[],3,FALSE)</f>
        <v>#06</v>
      </c>
      <c r="J10534" t="s">
        <v>593</v>
      </c>
      <c r="K10534" s="195">
        <v>45674.323564814818</v>
      </c>
      <c r="L10534">
        <v>115</v>
      </c>
      <c r="M10534">
        <v>2</v>
      </c>
      <c r="N10534" s="98" t="str">
        <f>IF(record[[#This Row],[Memo]]="Browser:chrome os:android","平板報工",IF(record[[#This Row],[Memo]]=0,"委外",record[[#This Row],[Memo]]))</f>
        <v/>
      </c>
      <c r="O10534" t="s">
        <v>58</v>
      </c>
      <c r="P10534" t="s">
        <v>135</v>
      </c>
      <c r="Q10534" t="s">
        <v>58</v>
      </c>
      <c r="R10534" t="str">
        <f>IFERROR(VLOOKUP(record[[#This Row],[PCUSTID]],廠商[],2,FALSE),"")</f>
        <v/>
      </c>
      <c r="S10534" t="str">
        <f>VLOOKUP(record[[#This Row],[employeeID]],員工[],2,FALSE)</f>
        <v>阮士文</v>
      </c>
    </row>
    <row r="10535" spans="6:19" hidden="1" x14ac:dyDescent="0.25">
      <c r="F10535" t="s">
        <v>650</v>
      </c>
      <c r="G10535" t="s">
        <v>417</v>
      </c>
      <c r="H10535" t="str">
        <f>VLOOKUP(record[[#This Row],[ProcessSN]],表格2_7[],2,FALSE)</f>
        <v>30-4118-018-5XX</v>
      </c>
      <c r="I10535" t="str">
        <f>VLOOKUP(record[[#This Row],[ProcessSN]],表格2_7[],3,FALSE)</f>
        <v>#06</v>
      </c>
      <c r="J10535" t="s">
        <v>593</v>
      </c>
      <c r="K10535" s="195">
        <v>45673.991030092591</v>
      </c>
      <c r="L10535">
        <v>133</v>
      </c>
      <c r="M10535">
        <v>1</v>
      </c>
      <c r="N10535" s="98" t="str">
        <f>IF(record[[#This Row],[Memo]]="Browser:chrome os:android","平板報工",IF(record[[#This Row],[Memo]]=0,"委外",record[[#This Row],[Memo]]))</f>
        <v/>
      </c>
      <c r="O10535" t="s">
        <v>58</v>
      </c>
      <c r="P10535" t="s">
        <v>127</v>
      </c>
      <c r="Q10535" t="s">
        <v>58</v>
      </c>
      <c r="R10535" t="str">
        <f>IFERROR(VLOOKUP(record[[#This Row],[PCUSTID]],廠商[],2,FALSE),"")</f>
        <v/>
      </c>
      <c r="S10535" t="str">
        <f>VLOOKUP(record[[#This Row],[employeeID]],員工[],2,FALSE)</f>
        <v>潘雪梅</v>
      </c>
    </row>
    <row r="10536" spans="6:19" hidden="1" x14ac:dyDescent="0.25">
      <c r="F10536" t="s">
        <v>650</v>
      </c>
      <c r="G10536" t="s">
        <v>418</v>
      </c>
      <c r="H10536" t="str">
        <f>VLOOKUP(record[[#This Row],[ProcessSN]],表格2_7[],2,FALSE)</f>
        <v>30-4118-018-5XX</v>
      </c>
      <c r="I10536" t="str">
        <f>VLOOKUP(record[[#This Row],[ProcessSN]],表格2_7[],3,FALSE)</f>
        <v>#07</v>
      </c>
      <c r="J10536" t="s">
        <v>588</v>
      </c>
      <c r="K10536" s="195">
        <v>45673.635925925926</v>
      </c>
      <c r="L10536">
        <v>144</v>
      </c>
      <c r="M10536">
        <v>0</v>
      </c>
      <c r="N10536" s="98" t="str">
        <f>IF(record[[#This Row],[Memo]]="Browser:chrome os:android","平板報工",IF(record[[#This Row],[Memo]]=0,"委外",record[[#This Row],[Memo]]))</f>
        <v>平板報工</v>
      </c>
      <c r="O10536" t="s">
        <v>643</v>
      </c>
      <c r="P10536" t="s">
        <v>119</v>
      </c>
      <c r="Q10536" t="s">
        <v>644</v>
      </c>
      <c r="R10536" t="str">
        <f>IFERROR(VLOOKUP(record[[#This Row],[PCUSTID]],廠商[],2,FALSE),"")</f>
        <v/>
      </c>
      <c r="S10536" t="str">
        <f>VLOOKUP(record[[#This Row],[employeeID]],員工[],2,FALSE)</f>
        <v>廖俊彥</v>
      </c>
    </row>
    <row r="10537" spans="6:19" hidden="1" x14ac:dyDescent="0.25">
      <c r="F10537" t="s">
        <v>697</v>
      </c>
      <c r="G10537" t="s">
        <v>397</v>
      </c>
      <c r="H10537" t="str">
        <f>VLOOKUP(record[[#This Row],[ProcessSN]],表格2_7[],2,FALSE)</f>
        <v>30-4118-018-550</v>
      </c>
      <c r="I10537" t="str">
        <f>VLOOKUP(record[[#This Row],[ProcessSN]],表格2_7[],3,FALSE)</f>
        <v>#08</v>
      </c>
      <c r="J10537" t="s">
        <v>597</v>
      </c>
      <c r="K10537" s="195">
        <v>45673.625324074077</v>
      </c>
      <c r="L10537">
        <v>159</v>
      </c>
      <c r="M10537">
        <v>0</v>
      </c>
      <c r="N10537" s="98" t="str">
        <f>IF(record[[#This Row],[Memo]]="Browser:chrome os:android","平板報工",IF(record[[#This Row],[Memo]]=0,"委外",record[[#This Row],[Memo]]))</f>
        <v>委外</v>
      </c>
      <c r="P10537" t="s">
        <v>206</v>
      </c>
      <c r="Q10537" t="s">
        <v>287</v>
      </c>
      <c r="R10537" t="str">
        <f>IFERROR(VLOOKUP(record[[#This Row],[PCUSTID]],廠商[],2,FALSE),"")</f>
        <v>泉盛</v>
      </c>
      <c r="S10537" t="str">
        <f>VLOOKUP(record[[#This Row],[employeeID]],員工[],2,FALSE)</f>
        <v>曾婉筠</v>
      </c>
    </row>
    <row r="10538" spans="6:19" hidden="1" x14ac:dyDescent="0.25">
      <c r="F10538" t="s">
        <v>650</v>
      </c>
      <c r="G10538" t="s">
        <v>417</v>
      </c>
      <c r="H10538" t="str">
        <f>VLOOKUP(record[[#This Row],[ProcessSN]],表格2_7[],2,FALSE)</f>
        <v>30-4118-018-5XX</v>
      </c>
      <c r="I10538" t="str">
        <f>VLOOKUP(record[[#This Row],[ProcessSN]],表格2_7[],3,FALSE)</f>
        <v>#06</v>
      </c>
      <c r="J10538" t="s">
        <v>593</v>
      </c>
      <c r="K10538" s="195">
        <v>45673.61037037037</v>
      </c>
      <c r="L10538">
        <v>100</v>
      </c>
      <c r="M10538">
        <v>1</v>
      </c>
      <c r="N10538" s="98" t="str">
        <f>IF(record[[#This Row],[Memo]]="Browser:chrome os:android","平板報工",IF(record[[#This Row],[Memo]]=0,"委外",record[[#This Row],[Memo]]))</f>
        <v>平板報工</v>
      </c>
      <c r="O10538" t="s">
        <v>643</v>
      </c>
      <c r="P10538" t="s">
        <v>119</v>
      </c>
      <c r="Q10538" t="s">
        <v>644</v>
      </c>
      <c r="R10538" t="str">
        <f>IFERROR(VLOOKUP(record[[#This Row],[PCUSTID]],廠商[],2,FALSE),"")</f>
        <v/>
      </c>
      <c r="S10538" t="str">
        <f>VLOOKUP(record[[#This Row],[employeeID]],員工[],2,FALSE)</f>
        <v>廖俊彥</v>
      </c>
    </row>
    <row r="10539" spans="6:19" hidden="1" x14ac:dyDescent="0.25">
      <c r="F10539" t="s">
        <v>697</v>
      </c>
      <c r="G10539" t="s">
        <v>396</v>
      </c>
      <c r="H10539" t="str">
        <f>VLOOKUP(record[[#This Row],[ProcessSN]],表格2_7[],2,FALSE)</f>
        <v>30-4118-018-550</v>
      </c>
      <c r="I10539" t="str">
        <f>VLOOKUP(record[[#This Row],[ProcessSN]],表格2_7[],3,FALSE)</f>
        <v>#08PICK</v>
      </c>
      <c r="J10539" t="s">
        <v>582</v>
      </c>
      <c r="K10539" s="195">
        <v>45673.480567129627</v>
      </c>
      <c r="L10539">
        <v>159</v>
      </c>
      <c r="M10539">
        <v>0</v>
      </c>
      <c r="N10539" s="98" t="str">
        <f>IF(record[[#This Row],[Memo]]="Browser:chrome os:android","平板報工",IF(record[[#This Row],[Memo]]=0,"委外",record[[#This Row],[Memo]]))</f>
        <v/>
      </c>
      <c r="O10539" t="s">
        <v>58</v>
      </c>
      <c r="P10539" t="s">
        <v>65</v>
      </c>
      <c r="Q10539" t="s">
        <v>58</v>
      </c>
      <c r="R10539" t="str">
        <f>IFERROR(VLOOKUP(record[[#This Row],[PCUSTID]],廠商[],2,FALSE),"")</f>
        <v/>
      </c>
      <c r="S10539" t="str">
        <f>VLOOKUP(record[[#This Row],[employeeID]],員工[],2,FALSE)</f>
        <v>蘇進昌</v>
      </c>
    </row>
    <row r="10540" spans="6:19" hidden="1" x14ac:dyDescent="0.25">
      <c r="F10540" t="s">
        <v>642</v>
      </c>
      <c r="G10540" t="s">
        <v>420</v>
      </c>
      <c r="H10540" t="str">
        <f>VLOOKUP(record[[#This Row],[ProcessSN]],表格2_7[],2,FALSE)</f>
        <v>30-4118-018-5XX</v>
      </c>
      <c r="I10540" t="str">
        <f>VLOOKUP(record[[#This Row],[ProcessSN]],表格2_7[],3,FALSE)</f>
        <v>#07STOCK</v>
      </c>
      <c r="J10540" t="s">
        <v>592</v>
      </c>
      <c r="K10540" s="195">
        <v>45673.477523148147</v>
      </c>
      <c r="L10540">
        <v>159</v>
      </c>
      <c r="M10540">
        <v>0</v>
      </c>
      <c r="N10540" s="98" t="str">
        <f>IF(record[[#This Row],[Memo]]="Browser:chrome os:android","平板報工",IF(record[[#This Row],[Memo]]=0,"委外",record[[#This Row],[Memo]]))</f>
        <v/>
      </c>
      <c r="O10540" t="s">
        <v>58</v>
      </c>
      <c r="P10540" t="s">
        <v>65</v>
      </c>
      <c r="Q10540" t="s">
        <v>58</v>
      </c>
      <c r="R10540" t="str">
        <f>IFERROR(VLOOKUP(record[[#This Row],[PCUSTID]],廠商[],2,FALSE),"")</f>
        <v/>
      </c>
      <c r="S10540" t="str">
        <f>VLOOKUP(record[[#This Row],[employeeID]],員工[],2,FALSE)</f>
        <v>蘇進昌</v>
      </c>
    </row>
    <row r="10541" spans="6:19" hidden="1" x14ac:dyDescent="0.25">
      <c r="F10541" t="s">
        <v>642</v>
      </c>
      <c r="G10541" t="s">
        <v>418</v>
      </c>
      <c r="H10541" t="str">
        <f>VLOOKUP(record[[#This Row],[ProcessSN]],表格2_7[],2,FALSE)</f>
        <v>30-4118-018-5XX</v>
      </c>
      <c r="I10541" t="str">
        <f>VLOOKUP(record[[#This Row],[ProcessSN]],表格2_7[],3,FALSE)</f>
        <v>#07</v>
      </c>
      <c r="J10541" t="s">
        <v>588</v>
      </c>
      <c r="K10541" s="195">
        <v>45673.472777777781</v>
      </c>
      <c r="L10541">
        <v>40</v>
      </c>
      <c r="M10541">
        <v>1</v>
      </c>
      <c r="N10541" s="98" t="str">
        <f>IF(record[[#This Row],[Memo]]="Browser:chrome os:android","平板報工",IF(record[[#This Row],[Memo]]=0,"委外",record[[#This Row],[Memo]]))</f>
        <v>1/15 晚班</v>
      </c>
      <c r="O10541" t="s">
        <v>696</v>
      </c>
      <c r="P10541" t="s">
        <v>119</v>
      </c>
      <c r="Q10541" t="s">
        <v>58</v>
      </c>
      <c r="R10541" t="str">
        <f>IFERROR(VLOOKUP(record[[#This Row],[PCUSTID]],廠商[],2,FALSE),"")</f>
        <v/>
      </c>
      <c r="S10541" t="str">
        <f>VLOOKUP(record[[#This Row],[employeeID]],員工[],2,FALSE)</f>
        <v>廖俊彥</v>
      </c>
    </row>
    <row r="10542" spans="6:19" hidden="1" x14ac:dyDescent="0.25">
      <c r="F10542" t="s">
        <v>642</v>
      </c>
      <c r="G10542" t="s">
        <v>418</v>
      </c>
      <c r="H10542" t="str">
        <f>VLOOKUP(record[[#This Row],[ProcessSN]],表格2_7[],2,FALSE)</f>
        <v>30-4118-018-5XX</v>
      </c>
      <c r="I10542" t="str">
        <f>VLOOKUP(record[[#This Row],[ProcessSN]],表格2_7[],3,FALSE)</f>
        <v>#07</v>
      </c>
      <c r="J10542" t="s">
        <v>588</v>
      </c>
      <c r="K10542" s="195">
        <v>45673.472488425927</v>
      </c>
      <c r="L10542">
        <v>120</v>
      </c>
      <c r="M10542">
        <v>1</v>
      </c>
      <c r="N10542" s="98" t="str">
        <f>IF(record[[#This Row],[Memo]]="Browser:chrome os:android","平板報工",IF(record[[#This Row],[Memo]]=0,"委外",record[[#This Row],[Memo]]))</f>
        <v>1/15 中班</v>
      </c>
      <c r="O10542" t="s">
        <v>695</v>
      </c>
      <c r="P10542" t="s">
        <v>119</v>
      </c>
      <c r="Q10542" t="s">
        <v>58</v>
      </c>
      <c r="R10542" t="str">
        <f>IFERROR(VLOOKUP(record[[#This Row],[PCUSTID]],廠商[],2,FALSE),"")</f>
        <v/>
      </c>
      <c r="S10542" t="str">
        <f>VLOOKUP(record[[#This Row],[employeeID]],員工[],2,FALSE)</f>
        <v>廖俊彥</v>
      </c>
    </row>
    <row r="10543" spans="6:19" hidden="1" x14ac:dyDescent="0.25">
      <c r="F10543" t="s">
        <v>629</v>
      </c>
      <c r="G10543" t="s">
        <v>428</v>
      </c>
      <c r="H10543" t="str">
        <f>VLOOKUP(record[[#This Row],[ProcessSN]],表格2_7[],2,FALSE)</f>
        <v>30-4118-018-600</v>
      </c>
      <c r="I10543" t="str">
        <f>VLOOKUP(record[[#This Row],[ProcessSN]],表格2_7[],3,FALSE)</f>
        <v>#100SHIP</v>
      </c>
      <c r="J10543" t="s">
        <v>600</v>
      </c>
      <c r="K10543" s="195">
        <v>45673.472326388888</v>
      </c>
      <c r="L10543">
        <v>13</v>
      </c>
      <c r="M10543">
        <v>0</v>
      </c>
      <c r="N10543" s="98" t="str">
        <f>IF(record[[#This Row],[Memo]]="Browser:chrome os:android","平板報工",IF(record[[#This Row],[Memo]]=0,"委外",record[[#This Row],[Memo]]))</f>
        <v/>
      </c>
      <c r="O10543" t="s">
        <v>58</v>
      </c>
      <c r="P10543" t="s">
        <v>196</v>
      </c>
      <c r="Q10543" t="s">
        <v>58</v>
      </c>
      <c r="R10543" t="str">
        <f>IFERROR(VLOOKUP(record[[#This Row],[PCUSTID]],廠商[],2,FALSE),"")</f>
        <v/>
      </c>
      <c r="S10543" t="str">
        <f>VLOOKUP(record[[#This Row],[employeeID]],員工[],2,FALSE)</f>
        <v>張淑惠</v>
      </c>
    </row>
    <row r="10544" spans="6:19" hidden="1" x14ac:dyDescent="0.25">
      <c r="F10544" t="s">
        <v>624</v>
      </c>
      <c r="G10544" t="s">
        <v>428</v>
      </c>
      <c r="H10544" t="str">
        <f>VLOOKUP(record[[#This Row],[ProcessSN]],表格2_7[],2,FALSE)</f>
        <v>30-4118-018-600</v>
      </c>
      <c r="I10544" t="str">
        <f>VLOOKUP(record[[#This Row],[ProcessSN]],表格2_7[],3,FALSE)</f>
        <v>#100SHIP</v>
      </c>
      <c r="J10544" t="s">
        <v>600</v>
      </c>
      <c r="K10544" s="195">
        <v>45673.472175925926</v>
      </c>
      <c r="L10544">
        <v>48</v>
      </c>
      <c r="M10544">
        <v>0</v>
      </c>
      <c r="N10544" s="98" t="str">
        <f>IF(record[[#This Row],[Memo]]="Browser:chrome os:android","平板報工",IF(record[[#This Row],[Memo]]=0,"委外",record[[#This Row],[Memo]]))</f>
        <v/>
      </c>
      <c r="O10544" t="s">
        <v>58</v>
      </c>
      <c r="P10544" t="s">
        <v>196</v>
      </c>
      <c r="Q10544" t="s">
        <v>58</v>
      </c>
      <c r="R10544" t="str">
        <f>IFERROR(VLOOKUP(record[[#This Row],[PCUSTID]],廠商[],2,FALSE),"")</f>
        <v/>
      </c>
      <c r="S10544" t="str">
        <f>VLOOKUP(record[[#This Row],[employeeID]],員工[],2,FALSE)</f>
        <v>張淑惠</v>
      </c>
    </row>
    <row r="10545" spans="6:19" hidden="1" x14ac:dyDescent="0.25">
      <c r="F10545" t="s">
        <v>626</v>
      </c>
      <c r="G10545" t="s">
        <v>427</v>
      </c>
      <c r="H10545" t="str">
        <f>VLOOKUP(record[[#This Row],[ProcessSN]],表格2_7[],2,FALSE)</f>
        <v>30-4118-018-600</v>
      </c>
      <c r="I10545" t="str">
        <f>VLOOKUP(record[[#This Row],[ProcessSN]],表格2_7[],3,FALSE)</f>
        <v>#100STOCK</v>
      </c>
      <c r="J10545" t="s">
        <v>592</v>
      </c>
      <c r="K10545" s="195">
        <v>45673.472025462965</v>
      </c>
      <c r="L10545">
        <v>205</v>
      </c>
      <c r="M10545">
        <v>0</v>
      </c>
      <c r="N10545" s="98" t="str">
        <f>IF(record[[#This Row],[Memo]]="Browser:chrome os:android","平板報工",IF(record[[#This Row],[Memo]]=0,"委外",record[[#This Row],[Memo]]))</f>
        <v/>
      </c>
      <c r="O10545" t="s">
        <v>58</v>
      </c>
      <c r="P10545" t="s">
        <v>196</v>
      </c>
      <c r="Q10545" t="s">
        <v>58</v>
      </c>
      <c r="R10545" t="str">
        <f>IFERROR(VLOOKUP(record[[#This Row],[PCUSTID]],廠商[],2,FALSE),"")</f>
        <v/>
      </c>
      <c r="S10545" t="str">
        <f>VLOOKUP(record[[#This Row],[employeeID]],員工[],2,FALSE)</f>
        <v>張淑惠</v>
      </c>
    </row>
    <row r="10546" spans="6:19" hidden="1" x14ac:dyDescent="0.25">
      <c r="F10546" t="s">
        <v>642</v>
      </c>
      <c r="G10546" t="s">
        <v>418</v>
      </c>
      <c r="H10546" t="str">
        <f>VLOOKUP(record[[#This Row],[ProcessSN]],表格2_7[],2,FALSE)</f>
        <v>30-4118-018-5XX</v>
      </c>
      <c r="I10546" t="str">
        <f>VLOOKUP(record[[#This Row],[ProcessSN]],表格2_7[],3,FALSE)</f>
        <v>#07</v>
      </c>
      <c r="J10546" t="s">
        <v>588</v>
      </c>
      <c r="K10546" s="195">
        <v>45673.472013888888</v>
      </c>
      <c r="L10546">
        <v>93</v>
      </c>
      <c r="M10546">
        <v>0</v>
      </c>
      <c r="N10546" s="98" t="str">
        <f>IF(record[[#This Row],[Memo]]="Browser:chrome os:android","平板報工",IF(record[[#This Row],[Memo]]=0,"委外",record[[#This Row],[Memo]]))</f>
        <v>1/15 早班</v>
      </c>
      <c r="O10546" t="s">
        <v>694</v>
      </c>
      <c r="P10546" t="s">
        <v>119</v>
      </c>
      <c r="Q10546" t="s">
        <v>58</v>
      </c>
      <c r="R10546" t="str">
        <f>IFERROR(VLOOKUP(record[[#This Row],[PCUSTID]],廠商[],2,FALSE),"")</f>
        <v/>
      </c>
      <c r="S10546" t="str">
        <f>VLOOKUP(record[[#This Row],[employeeID]],員工[],2,FALSE)</f>
        <v>廖俊彥</v>
      </c>
    </row>
    <row r="10547" spans="6:19" hidden="1" x14ac:dyDescent="0.25">
      <c r="F10547" t="s">
        <v>625</v>
      </c>
      <c r="G10547" t="s">
        <v>427</v>
      </c>
      <c r="H10547" t="str">
        <f>VLOOKUP(record[[#This Row],[ProcessSN]],表格2_7[],2,FALSE)</f>
        <v>30-4118-018-600</v>
      </c>
      <c r="I10547" t="str">
        <f>VLOOKUP(record[[#This Row],[ProcessSN]],表格2_7[],3,FALSE)</f>
        <v>#100STOCK</v>
      </c>
      <c r="J10547" t="s">
        <v>592</v>
      </c>
      <c r="K10547" s="195">
        <v>45673.471851851849</v>
      </c>
      <c r="L10547">
        <v>322</v>
      </c>
      <c r="M10547">
        <v>0</v>
      </c>
      <c r="N10547" s="98" t="str">
        <f>IF(record[[#This Row],[Memo]]="Browser:chrome os:android","平板報工",IF(record[[#This Row],[Memo]]=0,"委外",record[[#This Row],[Memo]]))</f>
        <v/>
      </c>
      <c r="O10547" t="s">
        <v>58</v>
      </c>
      <c r="P10547" t="s">
        <v>196</v>
      </c>
      <c r="Q10547" t="s">
        <v>58</v>
      </c>
      <c r="R10547" t="str">
        <f>IFERROR(VLOOKUP(record[[#This Row],[PCUSTID]],廠商[],2,FALSE),"")</f>
        <v/>
      </c>
      <c r="S10547" t="str">
        <f>VLOOKUP(record[[#This Row],[employeeID]],員工[],2,FALSE)</f>
        <v>張淑惠</v>
      </c>
    </row>
    <row r="10548" spans="6:19" hidden="1" x14ac:dyDescent="0.25">
      <c r="F10548" t="s">
        <v>629</v>
      </c>
      <c r="G10548" t="s">
        <v>427</v>
      </c>
      <c r="H10548" t="str">
        <f>VLOOKUP(record[[#This Row],[ProcessSN]],表格2_7[],2,FALSE)</f>
        <v>30-4118-018-600</v>
      </c>
      <c r="I10548" t="str">
        <f>VLOOKUP(record[[#This Row],[ProcessSN]],表格2_7[],3,FALSE)</f>
        <v>#100STOCK</v>
      </c>
      <c r="J10548" t="s">
        <v>592</v>
      </c>
      <c r="K10548" s="195">
        <v>45673.47146990741</v>
      </c>
      <c r="L10548">
        <v>456</v>
      </c>
      <c r="M10548">
        <v>0</v>
      </c>
      <c r="N10548" s="98" t="str">
        <f>IF(record[[#This Row],[Memo]]="Browser:chrome os:android","平板報工",IF(record[[#This Row],[Memo]]=0,"委外",record[[#This Row],[Memo]]))</f>
        <v/>
      </c>
      <c r="O10548" t="s">
        <v>58</v>
      </c>
      <c r="P10548" t="s">
        <v>196</v>
      </c>
      <c r="Q10548" t="s">
        <v>58</v>
      </c>
      <c r="R10548" t="str">
        <f>IFERROR(VLOOKUP(record[[#This Row],[PCUSTID]],廠商[],2,FALSE),"")</f>
        <v/>
      </c>
      <c r="S10548" t="str">
        <f>VLOOKUP(record[[#This Row],[employeeID]],員工[],2,FALSE)</f>
        <v>張淑惠</v>
      </c>
    </row>
    <row r="10549" spans="6:19" hidden="1" x14ac:dyDescent="0.25">
      <c r="F10549" t="s">
        <v>611</v>
      </c>
      <c r="G10549" t="s">
        <v>403</v>
      </c>
      <c r="H10549" t="str">
        <f>VLOOKUP(record[[#This Row],[ProcessSN]],表格2_7[],2,FALSE)</f>
        <v>30-4118-018-550</v>
      </c>
      <c r="I10549" t="str">
        <f>VLOOKUP(record[[#This Row],[ProcessSN]],表格2_7[],3,FALSE)</f>
        <v>#100SHIP</v>
      </c>
      <c r="J10549" t="s">
        <v>600</v>
      </c>
      <c r="K10549" s="195">
        <v>45673.470856481479</v>
      </c>
      <c r="L10549">
        <v>542</v>
      </c>
      <c r="M10549">
        <v>0</v>
      </c>
      <c r="N10549" s="98" t="str">
        <f>IF(record[[#This Row],[Memo]]="Browser:chrome os:android","平板報工",IF(record[[#This Row],[Memo]]=0,"委外",record[[#This Row],[Memo]]))</f>
        <v/>
      </c>
      <c r="O10549" t="s">
        <v>58</v>
      </c>
      <c r="P10549" t="s">
        <v>196</v>
      </c>
      <c r="Q10549" t="s">
        <v>58</v>
      </c>
      <c r="R10549" t="str">
        <f>IFERROR(VLOOKUP(record[[#This Row],[PCUSTID]],廠商[],2,FALSE),"")</f>
        <v/>
      </c>
      <c r="S10549" t="str">
        <f>VLOOKUP(record[[#This Row],[employeeID]],員工[],2,FALSE)</f>
        <v>張淑惠</v>
      </c>
    </row>
    <row r="10550" spans="6:19" hidden="1" x14ac:dyDescent="0.25">
      <c r="F10550" t="s">
        <v>650</v>
      </c>
      <c r="G10550" t="s">
        <v>418</v>
      </c>
      <c r="H10550" t="str">
        <f>VLOOKUP(record[[#This Row],[ProcessSN]],表格2_7[],2,FALSE)</f>
        <v>30-4118-018-5XX</v>
      </c>
      <c r="I10550" t="str">
        <f>VLOOKUP(record[[#This Row],[ProcessSN]],表格2_7[],3,FALSE)</f>
        <v>#07</v>
      </c>
      <c r="J10550" t="s">
        <v>588</v>
      </c>
      <c r="K10550" s="195">
        <v>45673.309317129628</v>
      </c>
      <c r="L10550">
        <v>110</v>
      </c>
      <c r="M10550">
        <v>0</v>
      </c>
      <c r="N10550" s="98" t="str">
        <f>IF(record[[#This Row],[Memo]]="Browser:chrome os:android","平板報工",IF(record[[#This Row],[Memo]]=0,"委外",record[[#This Row],[Memo]]))</f>
        <v>平板報工</v>
      </c>
      <c r="O10550" t="s">
        <v>643</v>
      </c>
      <c r="P10550" t="s">
        <v>161</v>
      </c>
      <c r="Q10550" t="s">
        <v>644</v>
      </c>
      <c r="R10550" t="str">
        <f>IFERROR(VLOOKUP(record[[#This Row],[PCUSTID]],廠商[],2,FALSE),"")</f>
        <v/>
      </c>
      <c r="S10550" t="str">
        <f>VLOOKUP(record[[#This Row],[employeeID]],員工[],2,FALSE)</f>
        <v>阮沁如方</v>
      </c>
    </row>
    <row r="10551" spans="6:19" hidden="1" x14ac:dyDescent="0.25">
      <c r="F10551" t="s">
        <v>650</v>
      </c>
      <c r="G10551" t="s">
        <v>417</v>
      </c>
      <c r="H10551" t="str">
        <f>VLOOKUP(record[[#This Row],[ProcessSN]],表格2_7[],2,FALSE)</f>
        <v>30-4118-018-5XX</v>
      </c>
      <c r="I10551" t="str">
        <f>VLOOKUP(record[[#This Row],[ProcessSN]],表格2_7[],3,FALSE)</f>
        <v>#06</v>
      </c>
      <c r="J10551" t="s">
        <v>593</v>
      </c>
      <c r="K10551" s="195">
        <v>45673.302337962959</v>
      </c>
      <c r="L10551">
        <v>110</v>
      </c>
      <c r="M10551">
        <v>1</v>
      </c>
      <c r="N10551" s="98" t="str">
        <f>IF(record[[#This Row],[Memo]]="Browser:chrome os:android","平板報工",IF(record[[#This Row],[Memo]]=0,"委外",record[[#This Row],[Memo]]))</f>
        <v>平板報工</v>
      </c>
      <c r="O10551" t="s">
        <v>643</v>
      </c>
      <c r="P10551" t="s">
        <v>129</v>
      </c>
      <c r="Q10551" t="s">
        <v>644</v>
      </c>
      <c r="R10551" t="str">
        <f>IFERROR(VLOOKUP(record[[#This Row],[PCUSTID]],廠商[],2,FALSE),"")</f>
        <v/>
      </c>
      <c r="S10551" t="str">
        <f>VLOOKUP(record[[#This Row],[employeeID]],員工[],2,FALSE)</f>
        <v>蔡丞哲</v>
      </c>
    </row>
    <row r="10552" spans="6:19" hidden="1" x14ac:dyDescent="0.25">
      <c r="F10552" t="s">
        <v>650</v>
      </c>
      <c r="G10552" t="s">
        <v>417</v>
      </c>
      <c r="H10552" t="str">
        <f>VLOOKUP(record[[#This Row],[ProcessSN]],表格2_7[],2,FALSE)</f>
        <v>30-4118-018-5XX</v>
      </c>
      <c r="I10552" t="str">
        <f>VLOOKUP(record[[#This Row],[ProcessSN]],表格2_7[],3,FALSE)</f>
        <v>#06</v>
      </c>
      <c r="J10552" t="s">
        <v>593</v>
      </c>
      <c r="K10552" s="195">
        <v>45672.968657407408</v>
      </c>
      <c r="L10552">
        <v>110</v>
      </c>
      <c r="M10552">
        <v>0</v>
      </c>
      <c r="N10552" s="98" t="str">
        <f>IF(record[[#This Row],[Memo]]="Browser:chrome os:android","平板報工",IF(record[[#This Row],[Memo]]=0,"委外",record[[#This Row],[Memo]]))</f>
        <v>平板報工</v>
      </c>
      <c r="O10552" t="s">
        <v>643</v>
      </c>
      <c r="P10552" t="s">
        <v>133</v>
      </c>
      <c r="Q10552" t="s">
        <v>644</v>
      </c>
      <c r="R10552" t="str">
        <f>IFERROR(VLOOKUP(record[[#This Row],[PCUSTID]],廠商[],2,FALSE),"")</f>
        <v/>
      </c>
      <c r="S10552" t="str">
        <f>VLOOKUP(record[[#This Row],[employeeID]],員工[],2,FALSE)</f>
        <v>黎長維</v>
      </c>
    </row>
    <row r="10553" spans="6:19" hidden="1" x14ac:dyDescent="0.25">
      <c r="F10553" t="s">
        <v>680</v>
      </c>
      <c r="G10553" t="s">
        <v>358</v>
      </c>
      <c r="H10553" t="str">
        <f>VLOOKUP(record[[#This Row],[ProcessSN]],表格2_7[],2,FALSE)</f>
        <v>30-4118-018-450</v>
      </c>
      <c r="I10553" t="str">
        <f>VLOOKUP(record[[#This Row],[ProcessSN]],表格2_7[],3,FALSE)</f>
        <v>#08IQC</v>
      </c>
      <c r="J10553" t="s">
        <v>583</v>
      </c>
      <c r="K10553" s="195">
        <v>45672.721574074072</v>
      </c>
      <c r="L10553">
        <v>352</v>
      </c>
      <c r="M10553">
        <v>0</v>
      </c>
      <c r="N10553" s="98" t="str">
        <f>IF(record[[#This Row],[Memo]]="Browser:chrome os:android","平板報工",IF(record[[#This Row],[Memo]]=0,"委外",record[[#This Row],[Memo]]))</f>
        <v/>
      </c>
      <c r="O10553" t="s">
        <v>58</v>
      </c>
      <c r="P10553" t="s">
        <v>143</v>
      </c>
      <c r="Q10553" t="s">
        <v>58</v>
      </c>
      <c r="R10553" t="str">
        <f>IFERROR(VLOOKUP(record[[#This Row],[PCUSTID]],廠商[],2,FALSE),"")</f>
        <v/>
      </c>
      <c r="S10553" t="str">
        <f>VLOOKUP(record[[#This Row],[employeeID]],員工[],2,FALSE)</f>
        <v>潘佳琪</v>
      </c>
    </row>
    <row r="10554" spans="6:19" hidden="1" x14ac:dyDescent="0.25">
      <c r="F10554" t="s">
        <v>668</v>
      </c>
      <c r="G10554" t="s">
        <v>358</v>
      </c>
      <c r="H10554" t="str">
        <f>VLOOKUP(record[[#This Row],[ProcessSN]],表格2_7[],2,FALSE)</f>
        <v>30-4118-018-450</v>
      </c>
      <c r="I10554" t="str">
        <f>VLOOKUP(record[[#This Row],[ProcessSN]],表格2_7[],3,FALSE)</f>
        <v>#08IQC</v>
      </c>
      <c r="J10554" t="s">
        <v>583</v>
      </c>
      <c r="K10554" s="195">
        <v>45672.703750000001</v>
      </c>
      <c r="L10554">
        <v>9</v>
      </c>
      <c r="M10554">
        <v>0</v>
      </c>
      <c r="N10554" s="98" t="str">
        <f>IF(record[[#This Row],[Memo]]="Browser:chrome os:android","平板報工",IF(record[[#This Row],[Memo]]=0,"委外",record[[#This Row],[Memo]]))</f>
        <v>補</v>
      </c>
      <c r="O10554" t="s">
        <v>690</v>
      </c>
      <c r="P10554" t="s">
        <v>113</v>
      </c>
      <c r="Q10554" t="s">
        <v>58</v>
      </c>
      <c r="R10554" t="str">
        <f>IFERROR(VLOOKUP(record[[#This Row],[PCUSTID]],廠商[],2,FALSE),"")</f>
        <v/>
      </c>
      <c r="S10554" t="str">
        <f>VLOOKUP(record[[#This Row],[employeeID]],員工[],2,FALSE)</f>
        <v>王奕蓁</v>
      </c>
    </row>
    <row r="10555" spans="6:19" hidden="1" x14ac:dyDescent="0.25">
      <c r="F10555" t="s">
        <v>662</v>
      </c>
      <c r="G10555" t="s">
        <v>399</v>
      </c>
      <c r="H10555" t="str">
        <f>VLOOKUP(record[[#This Row],[ProcessSN]],表格2_7[],2,FALSE)</f>
        <v>30-4118-018-550</v>
      </c>
      <c r="I10555" t="str">
        <f>VLOOKUP(record[[#This Row],[ProcessSN]],表格2_7[],3,FALSE)</f>
        <v>#08IQC</v>
      </c>
      <c r="J10555" t="s">
        <v>583</v>
      </c>
      <c r="K10555" s="195">
        <v>45672.703483796293</v>
      </c>
      <c r="L10555">
        <v>7</v>
      </c>
      <c r="M10555">
        <v>0</v>
      </c>
      <c r="N10555" s="98" t="str">
        <f>IF(record[[#This Row],[Memo]]="Browser:chrome os:android","平板報工",IF(record[[#This Row],[Memo]]=0,"委外",record[[#This Row],[Memo]]))</f>
        <v>補</v>
      </c>
      <c r="O10555" t="s">
        <v>690</v>
      </c>
      <c r="P10555" t="s">
        <v>113</v>
      </c>
      <c r="Q10555" t="s">
        <v>58</v>
      </c>
      <c r="R10555" t="str">
        <f>IFERROR(VLOOKUP(record[[#This Row],[PCUSTID]],廠商[],2,FALSE),"")</f>
        <v/>
      </c>
      <c r="S10555" t="str">
        <f>VLOOKUP(record[[#This Row],[employeeID]],員工[],2,FALSE)</f>
        <v>王奕蓁</v>
      </c>
    </row>
    <row r="10556" spans="6:19" hidden="1" x14ac:dyDescent="0.25">
      <c r="F10556" t="s">
        <v>642</v>
      </c>
      <c r="G10556" t="s">
        <v>418</v>
      </c>
      <c r="H10556" t="str">
        <f>VLOOKUP(record[[#This Row],[ProcessSN]],表格2_7[],2,FALSE)</f>
        <v>30-4118-018-5XX</v>
      </c>
      <c r="I10556" t="str">
        <f>VLOOKUP(record[[#This Row],[ProcessSN]],表格2_7[],3,FALSE)</f>
        <v>#07</v>
      </c>
      <c r="J10556" t="s">
        <v>588</v>
      </c>
      <c r="K10556" s="195">
        <v>45672.641793981478</v>
      </c>
      <c r="L10556">
        <v>50</v>
      </c>
      <c r="M10556">
        <v>0</v>
      </c>
      <c r="N10556" s="98" t="str">
        <f>IF(record[[#This Row],[Memo]]="Browser:chrome os:android","平板報工",IF(record[[#This Row],[Memo]]=0,"委外",record[[#This Row],[Memo]]))</f>
        <v>平板報工</v>
      </c>
      <c r="O10556" t="s">
        <v>643</v>
      </c>
      <c r="P10556" t="s">
        <v>119</v>
      </c>
      <c r="Q10556" t="s">
        <v>644</v>
      </c>
      <c r="R10556" t="str">
        <f>IFERROR(VLOOKUP(record[[#This Row],[PCUSTID]],廠商[],2,FALSE),"")</f>
        <v/>
      </c>
      <c r="S10556" t="str">
        <f>VLOOKUP(record[[#This Row],[employeeID]],員工[],2,FALSE)</f>
        <v>廖俊彥</v>
      </c>
    </row>
    <row r="10557" spans="6:19" hidden="1" x14ac:dyDescent="0.25">
      <c r="F10557" t="s">
        <v>685</v>
      </c>
      <c r="G10557" t="s">
        <v>420</v>
      </c>
      <c r="H10557" t="str">
        <f>VLOOKUP(record[[#This Row],[ProcessSN]],表格2_7[],2,FALSE)</f>
        <v>30-4118-018-5XX</v>
      </c>
      <c r="I10557" t="str">
        <f>VLOOKUP(record[[#This Row],[ProcessSN]],表格2_7[],3,FALSE)</f>
        <v>#07STOCK</v>
      </c>
      <c r="J10557" t="s">
        <v>592</v>
      </c>
      <c r="K10557" s="195">
        <v>45672.639699074076</v>
      </c>
      <c r="L10557">
        <v>3</v>
      </c>
      <c r="M10557">
        <v>0</v>
      </c>
      <c r="N10557" s="98" t="str">
        <f>IF(record[[#This Row],[Memo]]="Browser:chrome os:android","平板報工",IF(record[[#This Row],[Memo]]=0,"委外",record[[#This Row],[Memo]]))</f>
        <v/>
      </c>
      <c r="O10557" t="s">
        <v>58</v>
      </c>
      <c r="P10557" t="s">
        <v>65</v>
      </c>
      <c r="Q10557" t="s">
        <v>58</v>
      </c>
      <c r="R10557" t="str">
        <f>IFERROR(VLOOKUP(record[[#This Row],[PCUSTID]],廠商[],2,FALSE),"")</f>
        <v/>
      </c>
      <c r="S10557" t="str">
        <f>VLOOKUP(record[[#This Row],[employeeID]],員工[],2,FALSE)</f>
        <v>蘇進昌</v>
      </c>
    </row>
    <row r="10558" spans="6:19" hidden="1" x14ac:dyDescent="0.25">
      <c r="F10558" t="s">
        <v>688</v>
      </c>
      <c r="G10558" t="s">
        <v>420</v>
      </c>
      <c r="H10558" t="str">
        <f>VLOOKUP(record[[#This Row],[ProcessSN]],表格2_7[],2,FALSE)</f>
        <v>30-4118-018-5XX</v>
      </c>
      <c r="I10558" t="str">
        <f>VLOOKUP(record[[#This Row],[ProcessSN]],表格2_7[],3,FALSE)</f>
        <v>#07STOCK</v>
      </c>
      <c r="J10558" t="s">
        <v>592</v>
      </c>
      <c r="K10558" s="195">
        <v>45672.63958333333</v>
      </c>
      <c r="L10558">
        <v>71</v>
      </c>
      <c r="M10558">
        <v>0</v>
      </c>
      <c r="N10558" s="98" t="str">
        <f>IF(record[[#This Row],[Memo]]="Browser:chrome os:android","平板報工",IF(record[[#This Row],[Memo]]=0,"委外",record[[#This Row],[Memo]]))</f>
        <v/>
      </c>
      <c r="O10558" t="s">
        <v>58</v>
      </c>
      <c r="P10558" t="s">
        <v>65</v>
      </c>
      <c r="Q10558" t="s">
        <v>58</v>
      </c>
      <c r="R10558" t="str">
        <f>IFERROR(VLOOKUP(record[[#This Row],[PCUSTID]],廠商[],2,FALSE),"")</f>
        <v/>
      </c>
      <c r="S10558" t="str">
        <f>VLOOKUP(record[[#This Row],[employeeID]],員工[],2,FALSE)</f>
        <v>蘇進昌</v>
      </c>
    </row>
    <row r="10559" spans="6:19" hidden="1" x14ac:dyDescent="0.25">
      <c r="F10559" t="s">
        <v>680</v>
      </c>
      <c r="G10559" t="s">
        <v>357</v>
      </c>
      <c r="H10559" t="str">
        <f>VLOOKUP(record[[#This Row],[ProcessSN]],表格2_7[],2,FALSE)</f>
        <v>30-4118-018-450</v>
      </c>
      <c r="I10559" t="str">
        <f>VLOOKUP(record[[#This Row],[ProcessSN]],表格2_7[],3,FALSE)</f>
        <v>#08RCV</v>
      </c>
      <c r="J10559" t="s">
        <v>591</v>
      </c>
      <c r="K10559" s="195">
        <v>45672.631979166668</v>
      </c>
      <c r="L10559">
        <v>352</v>
      </c>
      <c r="M10559">
        <v>8</v>
      </c>
      <c r="N10559" s="98" t="str">
        <f>IF(record[[#This Row],[Memo]]="Browser:chrome os:android","平板報工",IF(record[[#This Row],[Memo]]=0,"委外",record[[#This Row],[Memo]]))</f>
        <v/>
      </c>
      <c r="O10559" t="s">
        <v>58</v>
      </c>
      <c r="P10559" t="s">
        <v>206</v>
      </c>
      <c r="Q10559" t="s">
        <v>58</v>
      </c>
      <c r="R10559" t="str">
        <f>IFERROR(VLOOKUP(record[[#This Row],[PCUSTID]],廠商[],2,FALSE),"")</f>
        <v/>
      </c>
      <c r="S10559" t="str">
        <f>VLOOKUP(record[[#This Row],[employeeID]],員工[],2,FALSE)</f>
        <v>曾婉筠</v>
      </c>
    </row>
    <row r="10560" spans="6:19" hidden="1" x14ac:dyDescent="0.25">
      <c r="F10560" t="s">
        <v>595</v>
      </c>
      <c r="G10560" t="s">
        <v>449</v>
      </c>
      <c r="H10560" t="str">
        <f>VLOOKUP(record[[#This Row],[ProcessSN]],表格2_7[],2,FALSE)</f>
        <v>30-4118-018-6XX</v>
      </c>
      <c r="I10560" t="str">
        <f>VLOOKUP(record[[#This Row],[ProcessSN]],表格2_7[],3,FALSE)</f>
        <v>#05</v>
      </c>
      <c r="J10560" t="s">
        <v>588</v>
      </c>
      <c r="K10560" s="195">
        <v>45672.619756944441</v>
      </c>
      <c r="L10560">
        <v>127</v>
      </c>
      <c r="M10560">
        <v>0</v>
      </c>
      <c r="N10560" s="98" t="str">
        <f>IF(record[[#This Row],[Memo]]="Browser:chrome os:android","平板報工",IF(record[[#This Row],[Memo]]=0,"委外",record[[#This Row],[Memo]]))</f>
        <v>平板報工</v>
      </c>
      <c r="O10560" t="s">
        <v>643</v>
      </c>
      <c r="P10560" t="s">
        <v>119</v>
      </c>
      <c r="Q10560" t="s">
        <v>644</v>
      </c>
      <c r="R10560" t="str">
        <f>IFERROR(VLOOKUP(record[[#This Row],[PCUSTID]],廠商[],2,FALSE),"")</f>
        <v/>
      </c>
      <c r="S10560" t="str">
        <f>VLOOKUP(record[[#This Row],[employeeID]],員工[],2,FALSE)</f>
        <v>廖俊彥</v>
      </c>
    </row>
    <row r="10561" spans="6:19" hidden="1" x14ac:dyDescent="0.25">
      <c r="F10561" t="s">
        <v>650</v>
      </c>
      <c r="G10561" t="s">
        <v>417</v>
      </c>
      <c r="H10561" t="str">
        <f>VLOOKUP(record[[#This Row],[ProcessSN]],表格2_7[],2,FALSE)</f>
        <v>30-4118-018-5XX</v>
      </c>
      <c r="I10561" t="str">
        <f>VLOOKUP(record[[#This Row],[ProcessSN]],表格2_7[],3,FALSE)</f>
        <v>#06</v>
      </c>
      <c r="J10561" t="s">
        <v>593</v>
      </c>
      <c r="K10561" s="195">
        <v>45672.611689814818</v>
      </c>
      <c r="L10561">
        <v>72</v>
      </c>
      <c r="M10561">
        <v>0</v>
      </c>
      <c r="N10561" s="98" t="str">
        <f>IF(record[[#This Row],[Memo]]="Browser:chrome os:android","平板報工",IF(record[[#This Row],[Memo]]=0,"委外",record[[#This Row],[Memo]]))</f>
        <v>平板報工</v>
      </c>
      <c r="O10561" t="s">
        <v>643</v>
      </c>
      <c r="P10561" t="s">
        <v>119</v>
      </c>
      <c r="Q10561" t="s">
        <v>644</v>
      </c>
      <c r="R10561" t="str">
        <f>IFERROR(VLOOKUP(record[[#This Row],[PCUSTID]],廠商[],2,FALSE),"")</f>
        <v/>
      </c>
      <c r="S10561" t="str">
        <f>VLOOKUP(record[[#This Row],[employeeID]],員工[],2,FALSE)</f>
        <v>廖俊彥</v>
      </c>
    </row>
    <row r="10562" spans="6:19" hidden="1" x14ac:dyDescent="0.25">
      <c r="F10562" t="s">
        <v>689</v>
      </c>
      <c r="G10562" t="s">
        <v>397</v>
      </c>
      <c r="H10562" t="str">
        <f>VLOOKUP(record[[#This Row],[ProcessSN]],表格2_7[],2,FALSE)</f>
        <v>30-4118-018-550</v>
      </c>
      <c r="I10562" t="str">
        <f>VLOOKUP(record[[#This Row],[ProcessSN]],表格2_7[],3,FALSE)</f>
        <v>#08</v>
      </c>
      <c r="J10562" t="s">
        <v>597</v>
      </c>
      <c r="K10562" s="195">
        <v>45672.543854166666</v>
      </c>
      <c r="L10562">
        <v>162</v>
      </c>
      <c r="M10562">
        <v>0</v>
      </c>
      <c r="N10562" s="98" t="str">
        <f>IF(record[[#This Row],[Memo]]="Browser:chrome os:android","平板報工",IF(record[[#This Row],[Memo]]=0,"委外",record[[#This Row],[Memo]]))</f>
        <v>委外</v>
      </c>
      <c r="P10562" t="s">
        <v>206</v>
      </c>
      <c r="Q10562" t="s">
        <v>287</v>
      </c>
      <c r="R10562" t="str">
        <f>IFERROR(VLOOKUP(record[[#This Row],[PCUSTID]],廠商[],2,FALSE),"")</f>
        <v>泉盛</v>
      </c>
      <c r="S10562" t="str">
        <f>VLOOKUP(record[[#This Row],[employeeID]],員工[],2,FALSE)</f>
        <v>曾婉筠</v>
      </c>
    </row>
    <row r="10563" spans="6:19" hidden="1" x14ac:dyDescent="0.25">
      <c r="F10563" t="s">
        <v>689</v>
      </c>
      <c r="G10563" t="s">
        <v>396</v>
      </c>
      <c r="H10563" t="str">
        <f>VLOOKUP(record[[#This Row],[ProcessSN]],表格2_7[],2,FALSE)</f>
        <v>30-4118-018-550</v>
      </c>
      <c r="I10563" t="str">
        <f>VLOOKUP(record[[#This Row],[ProcessSN]],表格2_7[],3,FALSE)</f>
        <v>#08PICK</v>
      </c>
      <c r="J10563" t="s">
        <v>582</v>
      </c>
      <c r="K10563" s="195">
        <v>45672.485127314816</v>
      </c>
      <c r="L10563">
        <v>162</v>
      </c>
      <c r="M10563">
        <v>0</v>
      </c>
      <c r="N10563" s="98" t="str">
        <f>IF(record[[#This Row],[Memo]]="Browser:chrome os:android","平板報工",IF(record[[#This Row],[Memo]]=0,"委外",record[[#This Row],[Memo]]))</f>
        <v/>
      </c>
      <c r="O10563" t="s">
        <v>58</v>
      </c>
      <c r="P10563" t="s">
        <v>65</v>
      </c>
      <c r="Q10563" t="s">
        <v>58</v>
      </c>
      <c r="R10563" t="str">
        <f>IFERROR(VLOOKUP(record[[#This Row],[PCUSTID]],廠商[],2,FALSE),"")</f>
        <v/>
      </c>
      <c r="S10563" t="str">
        <f>VLOOKUP(record[[#This Row],[employeeID]],員工[],2,FALSE)</f>
        <v>蘇進昌</v>
      </c>
    </row>
    <row r="10564" spans="6:19" hidden="1" x14ac:dyDescent="0.25">
      <c r="F10564" t="s">
        <v>594</v>
      </c>
      <c r="G10564" t="s">
        <v>420</v>
      </c>
      <c r="H10564" t="str">
        <f>VLOOKUP(record[[#This Row],[ProcessSN]],表格2_7[],2,FALSE)</f>
        <v>30-4118-018-5XX</v>
      </c>
      <c r="I10564" t="str">
        <f>VLOOKUP(record[[#This Row],[ProcessSN]],表格2_7[],3,FALSE)</f>
        <v>#07STOCK</v>
      </c>
      <c r="J10564" t="s">
        <v>592</v>
      </c>
      <c r="K10564" s="195">
        <v>45672.483113425929</v>
      </c>
      <c r="L10564">
        <v>1</v>
      </c>
      <c r="M10564">
        <v>0</v>
      </c>
      <c r="N10564" s="98" t="str">
        <f>IF(record[[#This Row],[Memo]]="Browser:chrome os:android","平板報工",IF(record[[#This Row],[Memo]]=0,"委外",record[[#This Row],[Memo]]))</f>
        <v/>
      </c>
      <c r="O10564" t="s">
        <v>58</v>
      </c>
      <c r="P10564" t="s">
        <v>65</v>
      </c>
      <c r="Q10564" t="s">
        <v>58</v>
      </c>
      <c r="R10564" t="str">
        <f>IFERROR(VLOOKUP(record[[#This Row],[PCUSTID]],廠商[],2,FALSE),"")</f>
        <v/>
      </c>
      <c r="S10564" t="str">
        <f>VLOOKUP(record[[#This Row],[employeeID]],員工[],2,FALSE)</f>
        <v>蘇進昌</v>
      </c>
    </row>
    <row r="10565" spans="6:19" hidden="1" x14ac:dyDescent="0.25">
      <c r="F10565" t="s">
        <v>642</v>
      </c>
      <c r="G10565" t="s">
        <v>420</v>
      </c>
      <c r="H10565" t="str">
        <f>VLOOKUP(record[[#This Row],[ProcessSN]],表格2_7[],2,FALSE)</f>
        <v>30-4118-018-5XX</v>
      </c>
      <c r="I10565" t="str">
        <f>VLOOKUP(record[[#This Row],[ProcessSN]],表格2_7[],3,FALSE)</f>
        <v>#07STOCK</v>
      </c>
      <c r="J10565" t="s">
        <v>592</v>
      </c>
      <c r="K10565" s="195">
        <v>45672.483020833337</v>
      </c>
      <c r="L10565">
        <v>161</v>
      </c>
      <c r="M10565">
        <v>0</v>
      </c>
      <c r="N10565" s="98" t="str">
        <f>IF(record[[#This Row],[Memo]]="Browser:chrome os:android","平板報工",IF(record[[#This Row],[Memo]]=0,"委外",record[[#This Row],[Memo]]))</f>
        <v/>
      </c>
      <c r="O10565" t="s">
        <v>58</v>
      </c>
      <c r="P10565" t="s">
        <v>65</v>
      </c>
      <c r="Q10565" t="s">
        <v>58</v>
      </c>
      <c r="R10565" t="str">
        <f>IFERROR(VLOOKUP(record[[#This Row],[PCUSTID]],廠商[],2,FALSE),"")</f>
        <v/>
      </c>
      <c r="S10565" t="str">
        <f>VLOOKUP(record[[#This Row],[employeeID]],員工[],2,FALSE)</f>
        <v>蘇進昌</v>
      </c>
    </row>
    <row r="10566" spans="6:19" hidden="1" x14ac:dyDescent="0.25">
      <c r="F10566" t="s">
        <v>642</v>
      </c>
      <c r="G10566" t="s">
        <v>419</v>
      </c>
      <c r="H10566" t="str">
        <f>VLOOKUP(record[[#This Row],[ProcessSN]],表格2_7[],2,FALSE)</f>
        <v>30-4118-018-5XX</v>
      </c>
      <c r="I10566" t="str">
        <f>VLOOKUP(record[[#This Row],[ProcessSN]],表格2_7[],3,FALSE)</f>
        <v>#07QC</v>
      </c>
      <c r="J10566" t="s">
        <v>589</v>
      </c>
      <c r="K10566" s="195">
        <v>45672.467777777776</v>
      </c>
      <c r="L10566">
        <v>161</v>
      </c>
      <c r="M10566">
        <v>1</v>
      </c>
      <c r="N10566" s="98" t="str">
        <f>IF(record[[#This Row],[Memo]]="Browser:chrome os:android","平板報工",IF(record[[#This Row],[Memo]]=0,"委外",record[[#This Row],[Memo]]))</f>
        <v>平板報工</v>
      </c>
      <c r="O10566" t="s">
        <v>643</v>
      </c>
      <c r="P10566" t="s">
        <v>109</v>
      </c>
      <c r="Q10566" t="s">
        <v>644</v>
      </c>
      <c r="R10566" t="str">
        <f>IFERROR(VLOOKUP(record[[#This Row],[PCUSTID]],廠商[],2,FALSE),"")</f>
        <v/>
      </c>
      <c r="S10566" t="str">
        <f>VLOOKUP(record[[#This Row],[employeeID]],員工[],2,FALSE)</f>
        <v>裴氏璧鳳</v>
      </c>
    </row>
    <row r="10567" spans="6:19" hidden="1" x14ac:dyDescent="0.25">
      <c r="F10567" t="s">
        <v>594</v>
      </c>
      <c r="G10567" t="s">
        <v>419</v>
      </c>
      <c r="H10567" t="str">
        <f>VLOOKUP(record[[#This Row],[ProcessSN]],表格2_7[],2,FALSE)</f>
        <v>30-4118-018-5XX</v>
      </c>
      <c r="I10567" t="str">
        <f>VLOOKUP(record[[#This Row],[ProcessSN]],表格2_7[],3,FALSE)</f>
        <v>#07QC</v>
      </c>
      <c r="J10567" t="s">
        <v>589</v>
      </c>
      <c r="K10567" s="195">
        <v>45672.466597222221</v>
      </c>
      <c r="L10567">
        <v>1</v>
      </c>
      <c r="M10567">
        <v>0</v>
      </c>
      <c r="N10567" s="98" t="str">
        <f>IF(record[[#This Row],[Memo]]="Browser:chrome os:android","平板報工",IF(record[[#This Row],[Memo]]=0,"委外",record[[#This Row],[Memo]]))</f>
        <v>平板報工</v>
      </c>
      <c r="O10567" t="s">
        <v>643</v>
      </c>
      <c r="P10567" t="s">
        <v>109</v>
      </c>
      <c r="Q10567" t="s">
        <v>644</v>
      </c>
      <c r="R10567" t="str">
        <f>IFERROR(VLOOKUP(record[[#This Row],[PCUSTID]],廠商[],2,FALSE),"")</f>
        <v/>
      </c>
      <c r="S10567" t="str">
        <f>VLOOKUP(record[[#This Row],[employeeID]],員工[],2,FALSE)</f>
        <v>裴氏璧鳳</v>
      </c>
    </row>
    <row r="10568" spans="6:19" hidden="1" x14ac:dyDescent="0.25">
      <c r="F10568" t="s">
        <v>595</v>
      </c>
      <c r="G10568" t="s">
        <v>449</v>
      </c>
      <c r="H10568" t="str">
        <f>VLOOKUP(record[[#This Row],[ProcessSN]],表格2_7[],2,FALSE)</f>
        <v>30-4118-018-6XX</v>
      </c>
      <c r="I10568" t="str">
        <f>VLOOKUP(record[[#This Row],[ProcessSN]],表格2_7[],3,FALSE)</f>
        <v>#05</v>
      </c>
      <c r="J10568" t="s">
        <v>588</v>
      </c>
      <c r="K10568" s="195">
        <v>45672.434259259258</v>
      </c>
      <c r="L10568">
        <v>260</v>
      </c>
      <c r="M10568">
        <v>0</v>
      </c>
      <c r="N10568" s="98" t="str">
        <f>IF(record[[#This Row],[Memo]]="Browser:chrome os:android","平板報工",IF(record[[#This Row],[Memo]]=0,"委外",record[[#This Row],[Memo]]))</f>
        <v/>
      </c>
      <c r="O10568" t="s">
        <v>58</v>
      </c>
      <c r="P10568" t="s">
        <v>65</v>
      </c>
      <c r="Q10568" t="s">
        <v>58</v>
      </c>
      <c r="R10568" t="str">
        <f>IFERROR(VLOOKUP(record[[#This Row],[PCUSTID]],廠商[],2,FALSE),"")</f>
        <v/>
      </c>
      <c r="S10568" t="str">
        <f>VLOOKUP(record[[#This Row],[employeeID]],員工[],2,FALSE)</f>
        <v>蘇進昌</v>
      </c>
    </row>
    <row r="10569" spans="6:19" hidden="1" x14ac:dyDescent="0.25">
      <c r="F10569" t="s">
        <v>624</v>
      </c>
      <c r="G10569" t="s">
        <v>428</v>
      </c>
      <c r="H10569" t="str">
        <f>VLOOKUP(record[[#This Row],[ProcessSN]],表格2_7[],2,FALSE)</f>
        <v>30-4118-018-600</v>
      </c>
      <c r="I10569" t="str">
        <f>VLOOKUP(record[[#This Row],[ProcessSN]],表格2_7[],3,FALSE)</f>
        <v>#100SHIP</v>
      </c>
      <c r="J10569" t="s">
        <v>600</v>
      </c>
      <c r="K10569" s="195">
        <v>45672.380833333336</v>
      </c>
      <c r="L10569">
        <v>2</v>
      </c>
      <c r="M10569">
        <v>0</v>
      </c>
      <c r="N10569" s="98" t="str">
        <f>IF(record[[#This Row],[Memo]]="Browser:chrome os:android","平板報工",IF(record[[#This Row],[Memo]]=0,"委外",record[[#This Row],[Memo]]))</f>
        <v/>
      </c>
      <c r="O10569" t="s">
        <v>58</v>
      </c>
      <c r="P10569" t="s">
        <v>196</v>
      </c>
      <c r="Q10569" t="s">
        <v>58</v>
      </c>
      <c r="R10569" t="str">
        <f>IFERROR(VLOOKUP(record[[#This Row],[PCUSTID]],廠商[],2,FALSE),"")</f>
        <v/>
      </c>
      <c r="S10569" t="str">
        <f>VLOOKUP(record[[#This Row],[employeeID]],員工[],2,FALSE)</f>
        <v>張淑惠</v>
      </c>
    </row>
    <row r="10570" spans="6:19" hidden="1" x14ac:dyDescent="0.25">
      <c r="F10570" t="s">
        <v>611</v>
      </c>
      <c r="G10570" t="s">
        <v>402</v>
      </c>
      <c r="H10570" t="str">
        <f>VLOOKUP(record[[#This Row],[ProcessSN]],表格2_7[],2,FALSE)</f>
        <v>30-4118-018-550</v>
      </c>
      <c r="I10570" t="str">
        <f>VLOOKUP(record[[#This Row],[ProcessSN]],表格2_7[],3,FALSE)</f>
        <v>#100STOCK</v>
      </c>
      <c r="J10570" t="s">
        <v>592</v>
      </c>
      <c r="K10570" s="195">
        <v>45672.37736111111</v>
      </c>
      <c r="L10570">
        <v>714</v>
      </c>
      <c r="M10570">
        <v>0</v>
      </c>
      <c r="N10570" s="98" t="str">
        <f>IF(record[[#This Row],[Memo]]="Browser:chrome os:android","平板報工",IF(record[[#This Row],[Memo]]=0,"委外",record[[#This Row],[Memo]]))</f>
        <v/>
      </c>
      <c r="O10570" t="s">
        <v>58</v>
      </c>
      <c r="P10570" t="s">
        <v>196</v>
      </c>
      <c r="Q10570" t="s">
        <v>58</v>
      </c>
      <c r="R10570" t="str">
        <f>IFERROR(VLOOKUP(record[[#This Row],[PCUSTID]],廠商[],2,FALSE),"")</f>
        <v/>
      </c>
      <c r="S10570" t="str">
        <f>VLOOKUP(record[[#This Row],[employeeID]],員工[],2,FALSE)</f>
        <v>張淑惠</v>
      </c>
    </row>
    <row r="10571" spans="6:19" hidden="1" x14ac:dyDescent="0.25">
      <c r="F10571" t="s">
        <v>685</v>
      </c>
      <c r="G10571" t="s">
        <v>419</v>
      </c>
      <c r="H10571" t="str">
        <f>VLOOKUP(record[[#This Row],[ProcessSN]],表格2_7[],2,FALSE)</f>
        <v>30-4118-018-5XX</v>
      </c>
      <c r="I10571" t="str">
        <f>VLOOKUP(record[[#This Row],[ProcessSN]],表格2_7[],3,FALSE)</f>
        <v>#07QC</v>
      </c>
      <c r="J10571" t="s">
        <v>589</v>
      </c>
      <c r="K10571" s="195">
        <v>45672.345069444447</v>
      </c>
      <c r="L10571">
        <v>3</v>
      </c>
      <c r="M10571">
        <v>0</v>
      </c>
      <c r="N10571" s="98" t="str">
        <f>IF(record[[#This Row],[Memo]]="Browser:chrome os:android","平板報工",IF(record[[#This Row],[Memo]]=0,"委外",record[[#This Row],[Memo]]))</f>
        <v>平板報工</v>
      </c>
      <c r="O10571" t="s">
        <v>643</v>
      </c>
      <c r="P10571" t="s">
        <v>109</v>
      </c>
      <c r="Q10571" t="s">
        <v>644</v>
      </c>
      <c r="R10571" t="str">
        <f>IFERROR(VLOOKUP(record[[#This Row],[PCUSTID]],廠商[],2,FALSE),"")</f>
        <v/>
      </c>
      <c r="S10571" t="str">
        <f>VLOOKUP(record[[#This Row],[employeeID]],員工[],2,FALSE)</f>
        <v>裴氏璧鳳</v>
      </c>
    </row>
    <row r="10572" spans="6:19" hidden="1" x14ac:dyDescent="0.25">
      <c r="F10572" t="s">
        <v>688</v>
      </c>
      <c r="G10572" t="s">
        <v>419</v>
      </c>
      <c r="H10572" t="str">
        <f>VLOOKUP(record[[#This Row],[ProcessSN]],表格2_7[],2,FALSE)</f>
        <v>30-4118-018-5XX</v>
      </c>
      <c r="I10572" t="str">
        <f>VLOOKUP(record[[#This Row],[ProcessSN]],表格2_7[],3,FALSE)</f>
        <v>#07QC</v>
      </c>
      <c r="J10572" t="s">
        <v>589</v>
      </c>
      <c r="K10572" s="195">
        <v>45672.344583333332</v>
      </c>
      <c r="L10572">
        <v>71</v>
      </c>
      <c r="M10572">
        <v>0</v>
      </c>
      <c r="N10572" s="98" t="str">
        <f>IF(record[[#This Row],[Memo]]="Browser:chrome os:android","平板報工",IF(record[[#This Row],[Memo]]=0,"委外",record[[#This Row],[Memo]]))</f>
        <v>平板報工</v>
      </c>
      <c r="O10572" t="s">
        <v>643</v>
      </c>
      <c r="P10572" t="s">
        <v>109</v>
      </c>
      <c r="Q10572" t="s">
        <v>644</v>
      </c>
      <c r="R10572" t="str">
        <f>IFERROR(VLOOKUP(record[[#This Row],[PCUSTID]],廠商[],2,FALSE),"")</f>
        <v/>
      </c>
      <c r="S10572" t="str">
        <f>VLOOKUP(record[[#This Row],[employeeID]],員工[],2,FALSE)</f>
        <v>裴氏璧鳳</v>
      </c>
    </row>
    <row r="10573" spans="6:19" hidden="1" x14ac:dyDescent="0.25">
      <c r="F10573" t="s">
        <v>688</v>
      </c>
      <c r="G10573" t="s">
        <v>418</v>
      </c>
      <c r="H10573" t="str">
        <f>VLOOKUP(record[[#This Row],[ProcessSN]],表格2_7[],2,FALSE)</f>
        <v>30-4118-018-5XX</v>
      </c>
      <c r="I10573" t="str">
        <f>VLOOKUP(record[[#This Row],[ProcessSN]],表格2_7[],3,FALSE)</f>
        <v>#07</v>
      </c>
      <c r="J10573" t="s">
        <v>588</v>
      </c>
      <c r="K10573" s="195">
        <v>45672.342615740738</v>
      </c>
      <c r="L10573">
        <v>71</v>
      </c>
      <c r="M10573">
        <v>0</v>
      </c>
      <c r="N10573" s="98" t="str">
        <f>IF(record[[#This Row],[Memo]]="Browser:chrome os:android","平板報工",IF(record[[#This Row],[Memo]]=0,"委外",record[[#This Row],[Memo]]))</f>
        <v/>
      </c>
      <c r="O10573" t="s">
        <v>58</v>
      </c>
      <c r="P10573" t="s">
        <v>65</v>
      </c>
      <c r="Q10573" t="s">
        <v>58</v>
      </c>
      <c r="R10573" t="str">
        <f>IFERROR(VLOOKUP(record[[#This Row],[PCUSTID]],廠商[],2,FALSE),"")</f>
        <v/>
      </c>
      <c r="S10573" t="str">
        <f>VLOOKUP(record[[#This Row],[employeeID]],員工[],2,FALSE)</f>
        <v>蘇進昌</v>
      </c>
    </row>
    <row r="10574" spans="6:19" hidden="1" x14ac:dyDescent="0.25">
      <c r="F10574" t="s">
        <v>688</v>
      </c>
      <c r="G10574" t="s">
        <v>417</v>
      </c>
      <c r="H10574" t="str">
        <f>VLOOKUP(record[[#This Row],[ProcessSN]],表格2_7[],2,FALSE)</f>
        <v>30-4118-018-5XX</v>
      </c>
      <c r="I10574" t="str">
        <f>VLOOKUP(record[[#This Row],[ProcessSN]],表格2_7[],3,FALSE)</f>
        <v>#06</v>
      </c>
      <c r="J10574" t="s">
        <v>593</v>
      </c>
      <c r="K10574" s="195">
        <v>45672.342546296299</v>
      </c>
      <c r="L10574">
        <v>71</v>
      </c>
      <c r="M10574">
        <v>0</v>
      </c>
      <c r="N10574" s="98" t="str">
        <f>IF(record[[#This Row],[Memo]]="Browser:chrome os:android","平板報工",IF(record[[#This Row],[Memo]]=0,"委外",record[[#This Row],[Memo]]))</f>
        <v/>
      </c>
      <c r="O10574" t="s">
        <v>58</v>
      </c>
      <c r="P10574" t="s">
        <v>65</v>
      </c>
      <c r="Q10574" t="s">
        <v>58</v>
      </c>
      <c r="R10574" t="str">
        <f>IFERROR(VLOOKUP(record[[#This Row],[PCUSTID]],廠商[],2,FALSE),"")</f>
        <v/>
      </c>
      <c r="S10574" t="str">
        <f>VLOOKUP(record[[#This Row],[employeeID]],員工[],2,FALSE)</f>
        <v>蘇進昌</v>
      </c>
    </row>
    <row r="10575" spans="6:19" hidden="1" x14ac:dyDescent="0.25">
      <c r="F10575" t="s">
        <v>688</v>
      </c>
      <c r="G10575" t="s">
        <v>416</v>
      </c>
      <c r="H10575" t="str">
        <f>VLOOKUP(record[[#This Row],[ProcessSN]],表格2_7[],2,FALSE)</f>
        <v>30-4118-018-5XX</v>
      </c>
      <c r="I10575" t="str">
        <f>VLOOKUP(record[[#This Row],[ProcessSN]],表格2_7[],3,FALSE)</f>
        <v>#05</v>
      </c>
      <c r="J10575" t="s">
        <v>588</v>
      </c>
      <c r="K10575" s="195">
        <v>45672.342488425929</v>
      </c>
      <c r="L10575">
        <v>71</v>
      </c>
      <c r="M10575">
        <v>0</v>
      </c>
      <c r="N10575" s="98" t="str">
        <f>IF(record[[#This Row],[Memo]]="Browser:chrome os:android","平板報工",IF(record[[#This Row],[Memo]]=0,"委外",record[[#This Row],[Memo]]))</f>
        <v/>
      </c>
      <c r="O10575" t="s">
        <v>58</v>
      </c>
      <c r="P10575" t="s">
        <v>65</v>
      </c>
      <c r="Q10575" t="s">
        <v>58</v>
      </c>
      <c r="R10575" t="str">
        <f>IFERROR(VLOOKUP(record[[#This Row],[PCUSTID]],廠商[],2,FALSE),"")</f>
        <v/>
      </c>
      <c r="S10575" t="str">
        <f>VLOOKUP(record[[#This Row],[employeeID]],員工[],2,FALSE)</f>
        <v>蘇進昌</v>
      </c>
    </row>
    <row r="10576" spans="6:19" hidden="1" x14ac:dyDescent="0.25">
      <c r="F10576" t="s">
        <v>688</v>
      </c>
      <c r="G10576" t="s">
        <v>415</v>
      </c>
      <c r="H10576" t="str">
        <f>VLOOKUP(record[[#This Row],[ProcessSN]],表格2_7[],2,FALSE)</f>
        <v>30-4118-018-5XX</v>
      </c>
      <c r="I10576" t="str">
        <f>VLOOKUP(record[[#This Row],[ProcessSN]],表格2_7[],3,FALSE)</f>
        <v>#04</v>
      </c>
      <c r="J10576" t="s">
        <v>588</v>
      </c>
      <c r="K10576" s="195">
        <v>45672.342430555553</v>
      </c>
      <c r="L10576">
        <v>71</v>
      </c>
      <c r="M10576">
        <v>0</v>
      </c>
      <c r="N10576" s="98" t="str">
        <f>IF(record[[#This Row],[Memo]]="Browser:chrome os:android","平板報工",IF(record[[#This Row],[Memo]]=0,"委外",record[[#This Row],[Memo]]))</f>
        <v/>
      </c>
      <c r="O10576" t="s">
        <v>58</v>
      </c>
      <c r="P10576" t="s">
        <v>65</v>
      </c>
      <c r="Q10576" t="s">
        <v>58</v>
      </c>
      <c r="R10576" t="str">
        <f>IFERROR(VLOOKUP(record[[#This Row],[PCUSTID]],廠商[],2,FALSE),"")</f>
        <v/>
      </c>
      <c r="S10576" t="str">
        <f>VLOOKUP(record[[#This Row],[employeeID]],員工[],2,FALSE)</f>
        <v>蘇進昌</v>
      </c>
    </row>
    <row r="10577" spans="6:19" hidden="1" x14ac:dyDescent="0.25">
      <c r="F10577" t="s">
        <v>688</v>
      </c>
      <c r="G10577" t="s">
        <v>414</v>
      </c>
      <c r="H10577" t="str">
        <f>VLOOKUP(record[[#This Row],[ProcessSN]],表格2_7[],2,FALSE)</f>
        <v>30-4118-018-5XX</v>
      </c>
      <c r="I10577" t="str">
        <f>VLOOKUP(record[[#This Row],[ProcessSN]],表格2_7[],3,FALSE)</f>
        <v>#03</v>
      </c>
      <c r="J10577" t="s">
        <v>588</v>
      </c>
      <c r="K10577" s="195">
        <v>45672.342361111114</v>
      </c>
      <c r="L10577">
        <v>71</v>
      </c>
      <c r="M10577">
        <v>0</v>
      </c>
      <c r="N10577" s="98" t="str">
        <f>IF(record[[#This Row],[Memo]]="Browser:chrome os:android","平板報工",IF(record[[#This Row],[Memo]]=0,"委外",record[[#This Row],[Memo]]))</f>
        <v/>
      </c>
      <c r="O10577" t="s">
        <v>58</v>
      </c>
      <c r="P10577" t="s">
        <v>65</v>
      </c>
      <c r="Q10577" t="s">
        <v>58</v>
      </c>
      <c r="R10577" t="str">
        <f>IFERROR(VLOOKUP(record[[#This Row],[PCUSTID]],廠商[],2,FALSE),"")</f>
        <v/>
      </c>
      <c r="S10577" t="str">
        <f>VLOOKUP(record[[#This Row],[employeeID]],員工[],2,FALSE)</f>
        <v>蘇進昌</v>
      </c>
    </row>
    <row r="10578" spans="6:19" hidden="1" x14ac:dyDescent="0.25">
      <c r="F10578" t="s">
        <v>688</v>
      </c>
      <c r="G10578" t="s">
        <v>413</v>
      </c>
      <c r="H10578" t="str">
        <f>VLOOKUP(record[[#This Row],[ProcessSN]],表格2_7[],2,FALSE)</f>
        <v>30-4118-018-5XX</v>
      </c>
      <c r="I10578" t="str">
        <f>VLOOKUP(record[[#This Row],[ProcessSN]],表格2_7[],3,FALSE)</f>
        <v>#03GIVE</v>
      </c>
      <c r="J10578" t="s">
        <v>587</v>
      </c>
      <c r="K10578" s="195">
        <v>45672.342303240737</v>
      </c>
      <c r="L10578">
        <v>71</v>
      </c>
      <c r="M10578">
        <v>0</v>
      </c>
      <c r="N10578" s="98" t="str">
        <f>IF(record[[#This Row],[Memo]]="Browser:chrome os:android","平板報工",IF(record[[#This Row],[Memo]]=0,"委外",record[[#This Row],[Memo]]))</f>
        <v/>
      </c>
      <c r="O10578" t="s">
        <v>58</v>
      </c>
      <c r="P10578" t="s">
        <v>65</v>
      </c>
      <c r="Q10578" t="s">
        <v>58</v>
      </c>
      <c r="R10578" t="str">
        <f>IFERROR(VLOOKUP(record[[#This Row],[PCUSTID]],廠商[],2,FALSE),"")</f>
        <v/>
      </c>
      <c r="S10578" t="str">
        <f>VLOOKUP(record[[#This Row],[employeeID]],員工[],2,FALSE)</f>
        <v>蘇進昌</v>
      </c>
    </row>
    <row r="10579" spans="6:19" hidden="1" x14ac:dyDescent="0.25">
      <c r="F10579" t="s">
        <v>688</v>
      </c>
      <c r="G10579" t="s">
        <v>412</v>
      </c>
      <c r="H10579" t="str">
        <f>VLOOKUP(record[[#This Row],[ProcessSN]],表格2_7[],2,FALSE)</f>
        <v>30-4118-018-5XX</v>
      </c>
      <c r="I10579" t="str">
        <f>VLOOKUP(record[[#This Row],[ProcessSN]],表格2_7[],3,FALSE)</f>
        <v>#03PICK</v>
      </c>
      <c r="J10579" t="s">
        <v>582</v>
      </c>
      <c r="K10579" s="195">
        <v>45672.342233796298</v>
      </c>
      <c r="L10579">
        <v>71</v>
      </c>
      <c r="M10579">
        <v>0</v>
      </c>
      <c r="N10579" s="98" t="str">
        <f>IF(record[[#This Row],[Memo]]="Browser:chrome os:android","平板報工",IF(record[[#This Row],[Memo]]=0,"委外",record[[#This Row],[Memo]]))</f>
        <v/>
      </c>
      <c r="O10579" t="s">
        <v>58</v>
      </c>
      <c r="P10579" t="s">
        <v>65</v>
      </c>
      <c r="Q10579" t="s">
        <v>58</v>
      </c>
      <c r="R10579" t="str">
        <f>IFERROR(VLOOKUP(record[[#This Row],[PCUSTID]],廠商[],2,FALSE),"")</f>
        <v/>
      </c>
      <c r="S10579" t="str">
        <f>VLOOKUP(record[[#This Row],[employeeID]],員工[],2,FALSE)</f>
        <v>蘇進昌</v>
      </c>
    </row>
    <row r="10580" spans="6:19" hidden="1" x14ac:dyDescent="0.25">
      <c r="F10580" t="s">
        <v>595</v>
      </c>
      <c r="G10580" t="s">
        <v>449</v>
      </c>
      <c r="H10580" t="str">
        <f>VLOOKUP(record[[#This Row],[ProcessSN]],表格2_7[],2,FALSE)</f>
        <v>30-4118-018-6XX</v>
      </c>
      <c r="I10580" t="str">
        <f>VLOOKUP(record[[#This Row],[ProcessSN]],表格2_7[],3,FALSE)</f>
        <v>#05</v>
      </c>
      <c r="J10580" t="s">
        <v>588</v>
      </c>
      <c r="K10580" s="195">
        <v>45671.976354166669</v>
      </c>
      <c r="L10580">
        <v>268</v>
      </c>
      <c r="M10580">
        <v>1</v>
      </c>
      <c r="N10580" s="98" t="str">
        <f>IF(record[[#This Row],[Memo]]="Browser:chrome os:android","平板報工",IF(record[[#This Row],[Memo]]=0,"委外",record[[#This Row],[Memo]]))</f>
        <v>平板報工</v>
      </c>
      <c r="O10580" t="s">
        <v>643</v>
      </c>
      <c r="P10580" t="s">
        <v>89</v>
      </c>
      <c r="Q10580" t="s">
        <v>644</v>
      </c>
      <c r="R10580" t="str">
        <f>IFERROR(VLOOKUP(record[[#This Row],[PCUSTID]],廠商[],2,FALSE),"")</f>
        <v/>
      </c>
      <c r="S10580" t="str">
        <f>VLOOKUP(record[[#This Row],[employeeID]],員工[],2,FALSE)</f>
        <v>李美蓮</v>
      </c>
    </row>
    <row r="10581" spans="6:19" hidden="1" x14ac:dyDescent="0.25">
      <c r="F10581" t="s">
        <v>650</v>
      </c>
      <c r="G10581" t="s">
        <v>417</v>
      </c>
      <c r="H10581" t="str">
        <f>VLOOKUP(record[[#This Row],[ProcessSN]],表格2_7[],2,FALSE)</f>
        <v>30-4118-018-5XX</v>
      </c>
      <c r="I10581" t="str">
        <f>VLOOKUP(record[[#This Row],[ProcessSN]],表格2_7[],3,FALSE)</f>
        <v>#06</v>
      </c>
      <c r="J10581" t="s">
        <v>593</v>
      </c>
      <c r="K10581" s="195">
        <v>45671.968807870369</v>
      </c>
      <c r="L10581">
        <v>38</v>
      </c>
      <c r="M10581">
        <v>8</v>
      </c>
      <c r="N10581" s="98" t="str">
        <f>IF(record[[#This Row],[Memo]]="Browser:chrome os:android","平板報工",IF(record[[#This Row],[Memo]]=0,"委外",record[[#This Row],[Memo]]))</f>
        <v>平板報工</v>
      </c>
      <c r="O10581" t="s">
        <v>643</v>
      </c>
      <c r="P10581" t="s">
        <v>127</v>
      </c>
      <c r="Q10581" t="s">
        <v>644</v>
      </c>
      <c r="R10581" t="str">
        <f>IFERROR(VLOOKUP(record[[#This Row],[PCUSTID]],廠商[],2,FALSE),"")</f>
        <v/>
      </c>
      <c r="S10581" t="str">
        <f>VLOOKUP(record[[#This Row],[employeeID]],員工[],2,FALSE)</f>
        <v>潘雪梅</v>
      </c>
    </row>
    <row r="10582" spans="6:19" hidden="1" x14ac:dyDescent="0.25">
      <c r="F10582" t="s">
        <v>642</v>
      </c>
      <c r="G10582" t="s">
        <v>417</v>
      </c>
      <c r="H10582" t="str">
        <f>VLOOKUP(record[[#This Row],[ProcessSN]],表格2_7[],2,FALSE)</f>
        <v>30-4118-018-5XX</v>
      </c>
      <c r="I10582" t="str">
        <f>VLOOKUP(record[[#This Row],[ProcessSN]],表格2_7[],3,FALSE)</f>
        <v>#06</v>
      </c>
      <c r="J10582" t="s">
        <v>593</v>
      </c>
      <c r="K10582" s="195">
        <v>45671.770289351851</v>
      </c>
      <c r="L10582">
        <v>62</v>
      </c>
      <c r="M10582">
        <v>0</v>
      </c>
      <c r="N10582" s="98" t="str">
        <f>IF(record[[#This Row],[Memo]]="Browser:chrome os:android","平板報工",IF(record[[#This Row],[Memo]]=0,"委外",record[[#This Row],[Memo]]))</f>
        <v>平板報工</v>
      </c>
      <c r="O10582" t="s">
        <v>643</v>
      </c>
      <c r="P10582" t="s">
        <v>127</v>
      </c>
      <c r="Q10582" t="s">
        <v>644</v>
      </c>
      <c r="R10582" t="str">
        <f>IFERROR(VLOOKUP(record[[#This Row],[PCUSTID]],廠商[],2,FALSE),"")</f>
        <v/>
      </c>
      <c r="S10582" t="str">
        <f>VLOOKUP(record[[#This Row],[employeeID]],員工[],2,FALSE)</f>
        <v>潘雪梅</v>
      </c>
    </row>
    <row r="10583" spans="6:19" hidden="1" x14ac:dyDescent="0.25">
      <c r="F10583" t="s">
        <v>683</v>
      </c>
      <c r="G10583" t="s">
        <v>358</v>
      </c>
      <c r="H10583" t="str">
        <f>VLOOKUP(record[[#This Row],[ProcessSN]],表格2_7[],2,FALSE)</f>
        <v>30-4118-018-450</v>
      </c>
      <c r="I10583" t="str">
        <f>VLOOKUP(record[[#This Row],[ProcessSN]],表格2_7[],3,FALSE)</f>
        <v>#08IQC</v>
      </c>
      <c r="J10583" t="s">
        <v>583</v>
      </c>
      <c r="K10583" s="195">
        <v>45671.701736111114</v>
      </c>
      <c r="L10583">
        <v>220</v>
      </c>
      <c r="M10583">
        <v>0</v>
      </c>
      <c r="N10583" s="98" t="str">
        <f>IF(record[[#This Row],[Memo]]="Browser:chrome os:android","平板報工",IF(record[[#This Row],[Memo]]=0,"委外",record[[#This Row],[Memo]]))</f>
        <v/>
      </c>
      <c r="O10583" t="s">
        <v>58</v>
      </c>
      <c r="P10583" t="s">
        <v>143</v>
      </c>
      <c r="Q10583" t="s">
        <v>58</v>
      </c>
      <c r="R10583" t="str">
        <f>IFERROR(VLOOKUP(record[[#This Row],[PCUSTID]],廠商[],2,FALSE),"")</f>
        <v/>
      </c>
      <c r="S10583" t="str">
        <f>VLOOKUP(record[[#This Row],[employeeID]],員工[],2,FALSE)</f>
        <v>潘佳琪</v>
      </c>
    </row>
    <row r="10584" spans="6:19" hidden="1" x14ac:dyDescent="0.25">
      <c r="F10584" t="s">
        <v>685</v>
      </c>
      <c r="G10584" t="s">
        <v>418</v>
      </c>
      <c r="H10584" t="str">
        <f>VLOOKUP(record[[#This Row],[ProcessSN]],表格2_7[],2,FALSE)</f>
        <v>30-4118-018-5XX</v>
      </c>
      <c r="I10584" t="str">
        <f>VLOOKUP(record[[#This Row],[ProcessSN]],表格2_7[],3,FALSE)</f>
        <v>#07</v>
      </c>
      <c r="J10584" t="s">
        <v>588</v>
      </c>
      <c r="K10584" s="195">
        <v>45671.683379629627</v>
      </c>
      <c r="L10584">
        <v>9</v>
      </c>
      <c r="M10584">
        <v>0</v>
      </c>
      <c r="N10584" s="98" t="str">
        <f>IF(record[[#This Row],[Memo]]="Browser:chrome os:android","平板報工",IF(record[[#This Row],[Memo]]=0,"委外",record[[#This Row],[Memo]]))</f>
        <v/>
      </c>
      <c r="O10584" t="s">
        <v>58</v>
      </c>
      <c r="P10584" t="s">
        <v>65</v>
      </c>
      <c r="Q10584" t="s">
        <v>58</v>
      </c>
      <c r="R10584" t="str">
        <f>IFERROR(VLOOKUP(record[[#This Row],[PCUSTID]],廠商[],2,FALSE),"")</f>
        <v/>
      </c>
      <c r="S10584" t="str">
        <f>VLOOKUP(record[[#This Row],[employeeID]],員工[],2,FALSE)</f>
        <v>蘇進昌</v>
      </c>
    </row>
    <row r="10585" spans="6:19" hidden="1" x14ac:dyDescent="0.25">
      <c r="F10585" t="s">
        <v>685</v>
      </c>
      <c r="G10585" t="s">
        <v>417</v>
      </c>
      <c r="H10585" t="str">
        <f>VLOOKUP(record[[#This Row],[ProcessSN]],表格2_7[],2,FALSE)</f>
        <v>30-4118-018-5XX</v>
      </c>
      <c r="I10585" t="str">
        <f>VLOOKUP(record[[#This Row],[ProcessSN]],表格2_7[],3,FALSE)</f>
        <v>#06</v>
      </c>
      <c r="J10585" t="s">
        <v>593</v>
      </c>
      <c r="K10585" s="195">
        <v>45671.683310185188</v>
      </c>
      <c r="L10585">
        <v>9</v>
      </c>
      <c r="M10585">
        <v>0</v>
      </c>
      <c r="N10585" s="98" t="str">
        <f>IF(record[[#This Row],[Memo]]="Browser:chrome os:android","平板報工",IF(record[[#This Row],[Memo]]=0,"委外",record[[#This Row],[Memo]]))</f>
        <v/>
      </c>
      <c r="O10585" t="s">
        <v>58</v>
      </c>
      <c r="P10585" t="s">
        <v>65</v>
      </c>
      <c r="Q10585" t="s">
        <v>58</v>
      </c>
      <c r="R10585" t="str">
        <f>IFERROR(VLOOKUP(record[[#This Row],[PCUSTID]],廠商[],2,FALSE),"")</f>
        <v/>
      </c>
      <c r="S10585" t="str">
        <f>VLOOKUP(record[[#This Row],[employeeID]],員工[],2,FALSE)</f>
        <v>蘇進昌</v>
      </c>
    </row>
    <row r="10586" spans="6:19" hidden="1" x14ac:dyDescent="0.25">
      <c r="F10586" t="s">
        <v>685</v>
      </c>
      <c r="G10586" t="s">
        <v>416</v>
      </c>
      <c r="H10586" t="str">
        <f>VLOOKUP(record[[#This Row],[ProcessSN]],表格2_7[],2,FALSE)</f>
        <v>30-4118-018-5XX</v>
      </c>
      <c r="I10586" t="str">
        <f>VLOOKUP(record[[#This Row],[ProcessSN]],表格2_7[],3,FALSE)</f>
        <v>#05</v>
      </c>
      <c r="J10586" t="s">
        <v>588</v>
      </c>
      <c r="K10586" s="195">
        <v>45671.683229166665</v>
      </c>
      <c r="L10586">
        <v>9</v>
      </c>
      <c r="M10586">
        <v>0</v>
      </c>
      <c r="N10586" s="98" t="str">
        <f>IF(record[[#This Row],[Memo]]="Browser:chrome os:android","平板報工",IF(record[[#This Row],[Memo]]=0,"委外",record[[#This Row],[Memo]]))</f>
        <v/>
      </c>
      <c r="O10586" t="s">
        <v>58</v>
      </c>
      <c r="P10586" t="s">
        <v>65</v>
      </c>
      <c r="Q10586" t="s">
        <v>58</v>
      </c>
      <c r="R10586" t="str">
        <f>IFERROR(VLOOKUP(record[[#This Row],[PCUSTID]],廠商[],2,FALSE),"")</f>
        <v/>
      </c>
      <c r="S10586" t="str">
        <f>VLOOKUP(record[[#This Row],[employeeID]],員工[],2,FALSE)</f>
        <v>蘇進昌</v>
      </c>
    </row>
    <row r="10587" spans="6:19" hidden="1" x14ac:dyDescent="0.25">
      <c r="F10587" t="s">
        <v>685</v>
      </c>
      <c r="G10587" t="s">
        <v>415</v>
      </c>
      <c r="H10587" t="str">
        <f>VLOOKUP(record[[#This Row],[ProcessSN]],表格2_7[],2,FALSE)</f>
        <v>30-4118-018-5XX</v>
      </c>
      <c r="I10587" t="str">
        <f>VLOOKUP(record[[#This Row],[ProcessSN]],表格2_7[],3,FALSE)</f>
        <v>#04</v>
      </c>
      <c r="J10587" t="s">
        <v>588</v>
      </c>
      <c r="K10587" s="195">
        <v>45671.683159722219</v>
      </c>
      <c r="L10587">
        <v>9</v>
      </c>
      <c r="M10587">
        <v>0</v>
      </c>
      <c r="N10587" s="98" t="str">
        <f>IF(record[[#This Row],[Memo]]="Browser:chrome os:android","平板報工",IF(record[[#This Row],[Memo]]=0,"委外",record[[#This Row],[Memo]]))</f>
        <v/>
      </c>
      <c r="O10587" t="s">
        <v>58</v>
      </c>
      <c r="P10587" t="s">
        <v>65</v>
      </c>
      <c r="Q10587" t="s">
        <v>58</v>
      </c>
      <c r="R10587" t="str">
        <f>IFERROR(VLOOKUP(record[[#This Row],[PCUSTID]],廠商[],2,FALSE),"")</f>
        <v/>
      </c>
      <c r="S10587" t="str">
        <f>VLOOKUP(record[[#This Row],[employeeID]],員工[],2,FALSE)</f>
        <v>蘇進昌</v>
      </c>
    </row>
    <row r="10588" spans="6:19" hidden="1" x14ac:dyDescent="0.25">
      <c r="F10588" t="s">
        <v>685</v>
      </c>
      <c r="G10588" t="s">
        <v>414</v>
      </c>
      <c r="H10588" t="str">
        <f>VLOOKUP(record[[#This Row],[ProcessSN]],表格2_7[],2,FALSE)</f>
        <v>30-4118-018-5XX</v>
      </c>
      <c r="I10588" t="str">
        <f>VLOOKUP(record[[#This Row],[ProcessSN]],表格2_7[],3,FALSE)</f>
        <v>#03</v>
      </c>
      <c r="J10588" t="s">
        <v>588</v>
      </c>
      <c r="K10588" s="195">
        <v>45671.68310185185</v>
      </c>
      <c r="L10588">
        <v>9</v>
      </c>
      <c r="M10588">
        <v>0</v>
      </c>
      <c r="N10588" s="98" t="str">
        <f>IF(record[[#This Row],[Memo]]="Browser:chrome os:android","平板報工",IF(record[[#This Row],[Memo]]=0,"委外",record[[#This Row],[Memo]]))</f>
        <v/>
      </c>
      <c r="O10588" t="s">
        <v>58</v>
      </c>
      <c r="P10588" t="s">
        <v>65</v>
      </c>
      <c r="Q10588" t="s">
        <v>58</v>
      </c>
      <c r="R10588" t="str">
        <f>IFERROR(VLOOKUP(record[[#This Row],[PCUSTID]],廠商[],2,FALSE),"")</f>
        <v/>
      </c>
      <c r="S10588" t="str">
        <f>VLOOKUP(record[[#This Row],[employeeID]],員工[],2,FALSE)</f>
        <v>蘇進昌</v>
      </c>
    </row>
    <row r="10589" spans="6:19" hidden="1" x14ac:dyDescent="0.25">
      <c r="F10589" t="s">
        <v>685</v>
      </c>
      <c r="G10589" t="s">
        <v>413</v>
      </c>
      <c r="H10589" t="str">
        <f>VLOOKUP(record[[#This Row],[ProcessSN]],表格2_7[],2,FALSE)</f>
        <v>30-4118-018-5XX</v>
      </c>
      <c r="I10589" t="str">
        <f>VLOOKUP(record[[#This Row],[ProcessSN]],表格2_7[],3,FALSE)</f>
        <v>#03GIVE</v>
      </c>
      <c r="J10589" t="s">
        <v>587</v>
      </c>
      <c r="K10589" s="195">
        <v>45671.68304398148</v>
      </c>
      <c r="L10589">
        <v>9</v>
      </c>
      <c r="M10589">
        <v>0</v>
      </c>
      <c r="N10589" s="98" t="str">
        <f>IF(record[[#This Row],[Memo]]="Browser:chrome os:android","平板報工",IF(record[[#This Row],[Memo]]=0,"委外",record[[#This Row],[Memo]]))</f>
        <v/>
      </c>
      <c r="O10589" t="s">
        <v>58</v>
      </c>
      <c r="P10589" t="s">
        <v>65</v>
      </c>
      <c r="Q10589" t="s">
        <v>58</v>
      </c>
      <c r="R10589" t="str">
        <f>IFERROR(VLOOKUP(record[[#This Row],[PCUSTID]],廠商[],2,FALSE),"")</f>
        <v/>
      </c>
      <c r="S10589" t="str">
        <f>VLOOKUP(record[[#This Row],[employeeID]],員工[],2,FALSE)</f>
        <v>蘇進昌</v>
      </c>
    </row>
    <row r="10590" spans="6:19" hidden="1" x14ac:dyDescent="0.25">
      <c r="F10590" t="s">
        <v>685</v>
      </c>
      <c r="G10590" t="s">
        <v>412</v>
      </c>
      <c r="H10590" t="str">
        <f>VLOOKUP(record[[#This Row],[ProcessSN]],表格2_7[],2,FALSE)</f>
        <v>30-4118-018-5XX</v>
      </c>
      <c r="I10590" t="str">
        <f>VLOOKUP(record[[#This Row],[ProcessSN]],表格2_7[],3,FALSE)</f>
        <v>#03PICK</v>
      </c>
      <c r="J10590" t="s">
        <v>582</v>
      </c>
      <c r="K10590" s="195">
        <v>45671.682997685188</v>
      </c>
      <c r="L10590">
        <v>9</v>
      </c>
      <c r="M10590">
        <v>0</v>
      </c>
      <c r="N10590" s="98" t="str">
        <f>IF(record[[#This Row],[Memo]]="Browser:chrome os:android","平板報工",IF(record[[#This Row],[Memo]]=0,"委外",record[[#This Row],[Memo]]))</f>
        <v/>
      </c>
      <c r="O10590" t="s">
        <v>58</v>
      </c>
      <c r="P10590" t="s">
        <v>65</v>
      </c>
      <c r="Q10590" t="s">
        <v>58</v>
      </c>
      <c r="R10590" t="str">
        <f>IFERROR(VLOOKUP(record[[#This Row],[PCUSTID]],廠商[],2,FALSE),"")</f>
        <v/>
      </c>
      <c r="S10590" t="str">
        <f>VLOOKUP(record[[#This Row],[employeeID]],員工[],2,FALSE)</f>
        <v>蘇進昌</v>
      </c>
    </row>
    <row r="10591" spans="6:19" hidden="1" x14ac:dyDescent="0.25">
      <c r="F10591" t="s">
        <v>683</v>
      </c>
      <c r="G10591" t="s">
        <v>357</v>
      </c>
      <c r="H10591" t="str">
        <f>VLOOKUP(record[[#This Row],[ProcessSN]],表格2_7[],2,FALSE)</f>
        <v>30-4118-018-450</v>
      </c>
      <c r="I10591" t="str">
        <f>VLOOKUP(record[[#This Row],[ProcessSN]],表格2_7[],3,FALSE)</f>
        <v>#08RCV</v>
      </c>
      <c r="J10591" t="s">
        <v>591</v>
      </c>
      <c r="K10591" s="195">
        <v>45671.678171296298</v>
      </c>
      <c r="L10591">
        <v>220</v>
      </c>
      <c r="M10591">
        <v>0</v>
      </c>
      <c r="N10591" s="98" t="str">
        <f>IF(record[[#This Row],[Memo]]="Browser:chrome os:android","平板報工",IF(record[[#This Row],[Memo]]=0,"委外",record[[#This Row],[Memo]]))</f>
        <v/>
      </c>
      <c r="O10591" t="s">
        <v>58</v>
      </c>
      <c r="P10591" t="s">
        <v>113</v>
      </c>
      <c r="Q10591" t="s">
        <v>58</v>
      </c>
      <c r="R10591" t="str">
        <f>IFERROR(VLOOKUP(record[[#This Row],[PCUSTID]],廠商[],2,FALSE),"")</f>
        <v/>
      </c>
      <c r="S10591" t="str">
        <f>VLOOKUP(record[[#This Row],[employeeID]],員工[],2,FALSE)</f>
        <v>王奕蓁</v>
      </c>
    </row>
    <row r="10592" spans="6:19" hidden="1" x14ac:dyDescent="0.25">
      <c r="F10592" t="s">
        <v>668</v>
      </c>
      <c r="G10592" t="s">
        <v>357</v>
      </c>
      <c r="H10592" t="str">
        <f>VLOOKUP(record[[#This Row],[ProcessSN]],表格2_7[],2,FALSE)</f>
        <v>30-4118-018-450</v>
      </c>
      <c r="I10592" t="str">
        <f>VLOOKUP(record[[#This Row],[ProcessSN]],表格2_7[],3,FALSE)</f>
        <v>#08RCV</v>
      </c>
      <c r="J10592" t="s">
        <v>591</v>
      </c>
      <c r="K10592" s="195">
        <v>45671.661597222221</v>
      </c>
      <c r="L10592">
        <v>9</v>
      </c>
      <c r="M10592">
        <v>-9</v>
      </c>
      <c r="N10592" s="98" t="str">
        <f>IF(record[[#This Row],[Memo]]="Browser:chrome os:android","平板報工",IF(record[[#This Row],[Memo]]=0,"委外",record[[#This Row],[Memo]]))</f>
        <v>覆回品</v>
      </c>
      <c r="O10592" t="s">
        <v>664</v>
      </c>
      <c r="P10592" t="s">
        <v>65</v>
      </c>
      <c r="Q10592" t="s">
        <v>58</v>
      </c>
      <c r="R10592" t="str">
        <f>IFERROR(VLOOKUP(record[[#This Row],[PCUSTID]],廠商[],2,FALSE),"")</f>
        <v/>
      </c>
      <c r="S10592" t="str">
        <f>VLOOKUP(record[[#This Row],[employeeID]],員工[],2,FALSE)</f>
        <v>蘇進昌</v>
      </c>
    </row>
    <row r="10593" spans="6:19" hidden="1" x14ac:dyDescent="0.25">
      <c r="F10593" t="s">
        <v>662</v>
      </c>
      <c r="G10593" t="s">
        <v>398</v>
      </c>
      <c r="H10593" t="str">
        <f>VLOOKUP(record[[#This Row],[ProcessSN]],表格2_7[],2,FALSE)</f>
        <v>30-4118-018-550</v>
      </c>
      <c r="I10593" t="str">
        <f>VLOOKUP(record[[#This Row],[ProcessSN]],表格2_7[],3,FALSE)</f>
        <v>#08RCV</v>
      </c>
      <c r="J10593" t="s">
        <v>591</v>
      </c>
      <c r="K10593" s="195">
        <v>45671.642962962964</v>
      </c>
      <c r="L10593">
        <v>7</v>
      </c>
      <c r="M10593">
        <v>-7</v>
      </c>
      <c r="N10593" s="98" t="str">
        <f>IF(record[[#This Row],[Memo]]="Browser:chrome os:android","平板報工",IF(record[[#This Row],[Memo]]=0,"委外",record[[#This Row],[Memo]]))</f>
        <v>覆回品</v>
      </c>
      <c r="O10593" t="s">
        <v>664</v>
      </c>
      <c r="P10593" t="s">
        <v>65</v>
      </c>
      <c r="Q10593" t="s">
        <v>58</v>
      </c>
      <c r="R10593" t="str">
        <f>IFERROR(VLOOKUP(record[[#This Row],[PCUSTID]],廠商[],2,FALSE),"")</f>
        <v/>
      </c>
      <c r="S10593" t="str">
        <f>VLOOKUP(record[[#This Row],[employeeID]],員工[],2,FALSE)</f>
        <v>蘇進昌</v>
      </c>
    </row>
    <row r="10594" spans="6:19" hidden="1" x14ac:dyDescent="0.25">
      <c r="F10594" t="s">
        <v>642</v>
      </c>
      <c r="G10594" t="s">
        <v>418</v>
      </c>
      <c r="H10594" t="str">
        <f>VLOOKUP(record[[#This Row],[ProcessSN]],表格2_7[],2,FALSE)</f>
        <v>30-4118-018-5XX</v>
      </c>
      <c r="I10594" t="str">
        <f>VLOOKUP(record[[#This Row],[ProcessSN]],表格2_7[],3,FALSE)</f>
        <v>#07</v>
      </c>
      <c r="J10594" t="s">
        <v>588</v>
      </c>
      <c r="K10594" s="195">
        <v>45671.637002314812</v>
      </c>
      <c r="L10594">
        <v>140</v>
      </c>
      <c r="M10594">
        <v>0</v>
      </c>
      <c r="N10594" s="98" t="str">
        <f>IF(record[[#This Row],[Memo]]="Browser:chrome os:android","平板報工",IF(record[[#This Row],[Memo]]=0,"委外",record[[#This Row],[Memo]]))</f>
        <v>平板報工</v>
      </c>
      <c r="O10594" t="s">
        <v>643</v>
      </c>
      <c r="P10594" t="s">
        <v>119</v>
      </c>
      <c r="Q10594" t="s">
        <v>644</v>
      </c>
      <c r="R10594" t="str">
        <f>IFERROR(VLOOKUP(record[[#This Row],[PCUSTID]],廠商[],2,FALSE),"")</f>
        <v/>
      </c>
      <c r="S10594" t="str">
        <f>VLOOKUP(record[[#This Row],[employeeID]],員工[],2,FALSE)</f>
        <v>廖俊彥</v>
      </c>
    </row>
    <row r="10595" spans="6:19" hidden="1" x14ac:dyDescent="0.25">
      <c r="F10595" t="s">
        <v>626</v>
      </c>
      <c r="G10595" t="s">
        <v>426</v>
      </c>
      <c r="H10595" t="str">
        <f>VLOOKUP(record[[#This Row],[ProcessSN]],表格2_7[],2,FALSE)</f>
        <v>30-4118-018-600</v>
      </c>
      <c r="I10595" t="str">
        <f>VLOOKUP(record[[#This Row],[ProcessSN]],表格2_7[],3,FALSE)</f>
        <v>#100OQC</v>
      </c>
      <c r="J10595" t="s">
        <v>599</v>
      </c>
      <c r="K10595" s="195">
        <v>45671.636712962965</v>
      </c>
      <c r="L10595">
        <v>205</v>
      </c>
      <c r="M10595">
        <v>0</v>
      </c>
      <c r="N10595" s="98" t="str">
        <f>IF(record[[#This Row],[Memo]]="Browser:chrome os:android","平板報工",IF(record[[#This Row],[Memo]]=0,"委外",record[[#This Row],[Memo]]))</f>
        <v/>
      </c>
      <c r="O10595" t="s">
        <v>58</v>
      </c>
      <c r="P10595" t="s">
        <v>172</v>
      </c>
      <c r="Q10595" t="s">
        <v>58</v>
      </c>
      <c r="R10595" t="str">
        <f>IFERROR(VLOOKUP(record[[#This Row],[PCUSTID]],廠商[],2,FALSE),"")</f>
        <v/>
      </c>
      <c r="S10595" t="str">
        <f>VLOOKUP(record[[#This Row],[employeeID]],員工[],2,FALSE)</f>
        <v>李采玲</v>
      </c>
    </row>
    <row r="10596" spans="6:19" hidden="1" x14ac:dyDescent="0.25">
      <c r="F10596" t="s">
        <v>625</v>
      </c>
      <c r="G10596" t="s">
        <v>426</v>
      </c>
      <c r="H10596" t="str">
        <f>VLOOKUP(record[[#This Row],[ProcessSN]],表格2_7[],2,FALSE)</f>
        <v>30-4118-018-600</v>
      </c>
      <c r="I10596" t="str">
        <f>VLOOKUP(record[[#This Row],[ProcessSN]],表格2_7[],3,FALSE)</f>
        <v>#100OQC</v>
      </c>
      <c r="J10596" t="s">
        <v>599</v>
      </c>
      <c r="K10596" s="195">
        <v>45671.636608796296</v>
      </c>
      <c r="L10596">
        <v>322</v>
      </c>
      <c r="M10596">
        <v>0</v>
      </c>
      <c r="N10596" s="98" t="str">
        <f>IF(record[[#This Row],[Memo]]="Browser:chrome os:android","平板報工",IF(record[[#This Row],[Memo]]=0,"委外",record[[#This Row],[Memo]]))</f>
        <v/>
      </c>
      <c r="O10596" t="s">
        <v>58</v>
      </c>
      <c r="P10596" t="s">
        <v>172</v>
      </c>
      <c r="Q10596" t="s">
        <v>58</v>
      </c>
      <c r="R10596" t="str">
        <f>IFERROR(VLOOKUP(record[[#This Row],[PCUSTID]],廠商[],2,FALSE),"")</f>
        <v/>
      </c>
      <c r="S10596" t="str">
        <f>VLOOKUP(record[[#This Row],[employeeID]],員工[],2,FALSE)</f>
        <v>李采玲</v>
      </c>
    </row>
    <row r="10597" spans="6:19" hidden="1" x14ac:dyDescent="0.25">
      <c r="F10597" t="s">
        <v>594</v>
      </c>
      <c r="G10597" t="s">
        <v>418</v>
      </c>
      <c r="H10597" t="str">
        <f>VLOOKUP(record[[#This Row],[ProcessSN]],表格2_7[],2,FALSE)</f>
        <v>30-4118-018-5XX</v>
      </c>
      <c r="I10597" t="str">
        <f>VLOOKUP(record[[#This Row],[ProcessSN]],表格2_7[],3,FALSE)</f>
        <v>#07</v>
      </c>
      <c r="J10597" t="s">
        <v>588</v>
      </c>
      <c r="K10597" s="195">
        <v>45671.635787037034</v>
      </c>
      <c r="L10597">
        <v>1</v>
      </c>
      <c r="M10597">
        <v>-1</v>
      </c>
      <c r="N10597" s="98" t="str">
        <f>IF(record[[#This Row],[Memo]]="Browser:chrome os:android","平板報工",IF(record[[#This Row],[Memo]]=0,"委外",record[[#This Row],[Memo]]))</f>
        <v>覆回品</v>
      </c>
      <c r="O10597" t="s">
        <v>664</v>
      </c>
      <c r="P10597" t="s">
        <v>65</v>
      </c>
      <c r="Q10597" t="s">
        <v>644</v>
      </c>
      <c r="R10597" t="str">
        <f>IFERROR(VLOOKUP(record[[#This Row],[PCUSTID]],廠商[],2,FALSE),"")</f>
        <v/>
      </c>
      <c r="S10597" t="str">
        <f>VLOOKUP(record[[#This Row],[employeeID]],員工[],2,FALSE)</f>
        <v>蘇進昌</v>
      </c>
    </row>
    <row r="10598" spans="6:19" hidden="1" x14ac:dyDescent="0.25">
      <c r="F10598" t="s">
        <v>642</v>
      </c>
      <c r="G10598" t="s">
        <v>417</v>
      </c>
      <c r="H10598" t="str">
        <f>VLOOKUP(record[[#This Row],[ProcessSN]],表格2_7[],2,FALSE)</f>
        <v>30-4118-018-5XX</v>
      </c>
      <c r="I10598" t="str">
        <f>VLOOKUP(record[[#This Row],[ProcessSN]],表格2_7[],3,FALSE)</f>
        <v>#06</v>
      </c>
      <c r="J10598" t="s">
        <v>593</v>
      </c>
      <c r="K10598" s="195">
        <v>45671.608252314814</v>
      </c>
      <c r="L10598">
        <v>100</v>
      </c>
      <c r="M10598">
        <v>1</v>
      </c>
      <c r="N10598" s="98" t="str">
        <f>IF(record[[#This Row],[Memo]]="Browser:chrome os:android","平板報工",IF(record[[#This Row],[Memo]]=0,"委外",record[[#This Row],[Memo]]))</f>
        <v>平板報工</v>
      </c>
      <c r="O10598" t="s">
        <v>643</v>
      </c>
      <c r="P10598" t="s">
        <v>119</v>
      </c>
      <c r="Q10598" t="s">
        <v>644</v>
      </c>
      <c r="R10598" t="str">
        <f>IFERROR(VLOOKUP(record[[#This Row],[PCUSTID]],廠商[],2,FALSE),"")</f>
        <v/>
      </c>
      <c r="S10598" t="str">
        <f>VLOOKUP(record[[#This Row],[employeeID]],員工[],2,FALSE)</f>
        <v>廖俊彥</v>
      </c>
    </row>
    <row r="10599" spans="6:19" hidden="1" x14ac:dyDescent="0.25">
      <c r="F10599" t="s">
        <v>684</v>
      </c>
      <c r="G10599" t="s">
        <v>397</v>
      </c>
      <c r="H10599" t="str">
        <f>VLOOKUP(record[[#This Row],[ProcessSN]],表格2_7[],2,FALSE)</f>
        <v>30-4118-018-550</v>
      </c>
      <c r="I10599" t="str">
        <f>VLOOKUP(record[[#This Row],[ProcessSN]],表格2_7[],3,FALSE)</f>
        <v>#08</v>
      </c>
      <c r="J10599" t="s">
        <v>597</v>
      </c>
      <c r="K10599" s="195">
        <v>45671.492743055554</v>
      </c>
      <c r="L10599">
        <v>352</v>
      </c>
      <c r="M10599">
        <v>0</v>
      </c>
      <c r="N10599" s="98" t="str">
        <f>IF(record[[#This Row],[Memo]]="Browser:chrome os:android","平板報工",IF(record[[#This Row],[Memo]]=0,"委外",record[[#This Row],[Memo]]))</f>
        <v>委外</v>
      </c>
      <c r="P10599" t="s">
        <v>206</v>
      </c>
      <c r="Q10599" t="s">
        <v>287</v>
      </c>
      <c r="R10599" t="str">
        <f>IFERROR(VLOOKUP(record[[#This Row],[PCUSTID]],廠商[],2,FALSE),"")</f>
        <v>泉盛</v>
      </c>
      <c r="S10599" t="str">
        <f>VLOOKUP(record[[#This Row],[employeeID]],員工[],2,FALSE)</f>
        <v>曾婉筠</v>
      </c>
    </row>
    <row r="10600" spans="6:19" hidden="1" x14ac:dyDescent="0.25">
      <c r="F10600" t="s">
        <v>684</v>
      </c>
      <c r="G10600" t="s">
        <v>396</v>
      </c>
      <c r="H10600" t="str">
        <f>VLOOKUP(record[[#This Row],[ProcessSN]],表格2_7[],2,FALSE)</f>
        <v>30-4118-018-550</v>
      </c>
      <c r="I10600" t="str">
        <f>VLOOKUP(record[[#This Row],[ProcessSN]],表格2_7[],3,FALSE)</f>
        <v>#08PICK</v>
      </c>
      <c r="J10600" t="s">
        <v>582</v>
      </c>
      <c r="K10600" s="195">
        <v>45671.441041666665</v>
      </c>
      <c r="L10600">
        <v>352</v>
      </c>
      <c r="M10600">
        <v>0</v>
      </c>
      <c r="N10600" s="98" t="str">
        <f>IF(record[[#This Row],[Memo]]="Browser:chrome os:android","平板報工",IF(record[[#This Row],[Memo]]=0,"委外",record[[#This Row],[Memo]]))</f>
        <v/>
      </c>
      <c r="O10600" t="s">
        <v>58</v>
      </c>
      <c r="P10600" t="s">
        <v>65</v>
      </c>
      <c r="Q10600" t="s">
        <v>58</v>
      </c>
      <c r="R10600" t="str">
        <f>IFERROR(VLOOKUP(record[[#This Row],[PCUSTID]],廠商[],2,FALSE),"")</f>
        <v/>
      </c>
      <c r="S10600" t="str">
        <f>VLOOKUP(record[[#This Row],[employeeID]],員工[],2,FALSE)</f>
        <v>蘇進昌</v>
      </c>
    </row>
    <row r="10601" spans="6:19" hidden="1" x14ac:dyDescent="0.25">
      <c r="F10601" t="s">
        <v>594</v>
      </c>
      <c r="G10601" t="s">
        <v>420</v>
      </c>
      <c r="H10601" t="str">
        <f>VLOOKUP(record[[#This Row],[ProcessSN]],表格2_7[],2,FALSE)</f>
        <v>30-4118-018-5XX</v>
      </c>
      <c r="I10601" t="str">
        <f>VLOOKUP(record[[#This Row],[ProcessSN]],表格2_7[],3,FALSE)</f>
        <v>#07STOCK</v>
      </c>
      <c r="J10601" t="s">
        <v>592</v>
      </c>
      <c r="K10601" s="195">
        <v>45671.440358796295</v>
      </c>
      <c r="L10601">
        <v>1</v>
      </c>
      <c r="M10601">
        <v>0</v>
      </c>
      <c r="N10601" s="98" t="str">
        <f>IF(record[[#This Row],[Memo]]="Browser:chrome os:android","平板報工",IF(record[[#This Row],[Memo]]=0,"委外",record[[#This Row],[Memo]]))</f>
        <v/>
      </c>
      <c r="O10601" t="s">
        <v>58</v>
      </c>
      <c r="P10601" t="s">
        <v>65</v>
      </c>
      <c r="Q10601" t="s">
        <v>58</v>
      </c>
      <c r="R10601" t="str">
        <f>IFERROR(VLOOKUP(record[[#This Row],[PCUSTID]],廠商[],2,FALSE),"")</f>
        <v/>
      </c>
      <c r="S10601" t="str">
        <f>VLOOKUP(record[[#This Row],[employeeID]],員工[],2,FALSE)</f>
        <v>蘇進昌</v>
      </c>
    </row>
    <row r="10602" spans="6:19" hidden="1" x14ac:dyDescent="0.25">
      <c r="F10602" t="s">
        <v>642</v>
      </c>
      <c r="G10602" t="s">
        <v>420</v>
      </c>
      <c r="H10602" t="str">
        <f>VLOOKUP(record[[#This Row],[ProcessSN]],表格2_7[],2,FALSE)</f>
        <v>30-4118-018-5XX</v>
      </c>
      <c r="I10602" t="str">
        <f>VLOOKUP(record[[#This Row],[ProcessSN]],表格2_7[],3,FALSE)</f>
        <v>#07STOCK</v>
      </c>
      <c r="J10602" t="s">
        <v>592</v>
      </c>
      <c r="K10602" s="195">
        <v>45671.440127314818</v>
      </c>
      <c r="L10602">
        <v>277</v>
      </c>
      <c r="M10602">
        <v>0</v>
      </c>
      <c r="N10602" s="98" t="str">
        <f>IF(record[[#This Row],[Memo]]="Browser:chrome os:android","平板報工",IF(record[[#This Row],[Memo]]=0,"委外",record[[#This Row],[Memo]]))</f>
        <v/>
      </c>
      <c r="O10602" t="s">
        <v>58</v>
      </c>
      <c r="P10602" t="s">
        <v>65</v>
      </c>
      <c r="Q10602" t="s">
        <v>58</v>
      </c>
      <c r="R10602" t="str">
        <f>IFERROR(VLOOKUP(record[[#This Row],[PCUSTID]],廠商[],2,FALSE),"")</f>
        <v/>
      </c>
      <c r="S10602" t="str">
        <f>VLOOKUP(record[[#This Row],[employeeID]],員工[],2,FALSE)</f>
        <v>蘇進昌</v>
      </c>
    </row>
    <row r="10603" spans="6:19" hidden="1" x14ac:dyDescent="0.25">
      <c r="F10603" t="s">
        <v>594</v>
      </c>
      <c r="G10603" t="s">
        <v>419</v>
      </c>
      <c r="H10603" t="str">
        <f>VLOOKUP(record[[#This Row],[ProcessSN]],表格2_7[],2,FALSE)</f>
        <v>30-4118-018-5XX</v>
      </c>
      <c r="I10603" t="str">
        <f>VLOOKUP(record[[#This Row],[ProcessSN]],表格2_7[],3,FALSE)</f>
        <v>#07QC</v>
      </c>
      <c r="J10603" t="s">
        <v>589</v>
      </c>
      <c r="K10603" s="195">
        <v>45671.433275462965</v>
      </c>
      <c r="L10603">
        <v>1</v>
      </c>
      <c r="M10603">
        <v>0</v>
      </c>
      <c r="N10603" s="98" t="str">
        <f>IF(record[[#This Row],[Memo]]="Browser:chrome os:android","平板報工",IF(record[[#This Row],[Memo]]=0,"委外",record[[#This Row],[Memo]]))</f>
        <v>平板報工</v>
      </c>
      <c r="O10603" t="s">
        <v>643</v>
      </c>
      <c r="P10603" t="s">
        <v>109</v>
      </c>
      <c r="Q10603" t="s">
        <v>644</v>
      </c>
      <c r="R10603" t="str">
        <f>IFERROR(VLOOKUP(record[[#This Row],[PCUSTID]],廠商[],2,FALSE),"")</f>
        <v/>
      </c>
      <c r="S10603" t="str">
        <f>VLOOKUP(record[[#This Row],[employeeID]],員工[],2,FALSE)</f>
        <v>裴氏璧鳳</v>
      </c>
    </row>
    <row r="10604" spans="6:19" hidden="1" x14ac:dyDescent="0.25">
      <c r="F10604" t="s">
        <v>642</v>
      </c>
      <c r="G10604" t="s">
        <v>419</v>
      </c>
      <c r="H10604" t="str">
        <f>VLOOKUP(record[[#This Row],[ProcessSN]],表格2_7[],2,FALSE)</f>
        <v>30-4118-018-5XX</v>
      </c>
      <c r="I10604" t="str">
        <f>VLOOKUP(record[[#This Row],[ProcessSN]],表格2_7[],3,FALSE)</f>
        <v>#07QC</v>
      </c>
      <c r="J10604" t="s">
        <v>589</v>
      </c>
      <c r="K10604" s="195">
        <v>45671.432500000003</v>
      </c>
      <c r="L10604">
        <v>277</v>
      </c>
      <c r="M10604">
        <v>3</v>
      </c>
      <c r="N10604" s="98" t="str">
        <f>IF(record[[#This Row],[Memo]]="Browser:chrome os:android","平板報工",IF(record[[#This Row],[Memo]]=0,"委外",record[[#This Row],[Memo]]))</f>
        <v>平板報工</v>
      </c>
      <c r="O10604" t="s">
        <v>643</v>
      </c>
      <c r="P10604" t="s">
        <v>109</v>
      </c>
      <c r="Q10604" t="s">
        <v>644</v>
      </c>
      <c r="R10604" t="str">
        <f>IFERROR(VLOOKUP(record[[#This Row],[PCUSTID]],廠商[],2,FALSE),"")</f>
        <v/>
      </c>
      <c r="S10604" t="str">
        <f>VLOOKUP(record[[#This Row],[employeeID]],員工[],2,FALSE)</f>
        <v>裴氏璧鳳</v>
      </c>
    </row>
    <row r="10605" spans="6:19" hidden="1" x14ac:dyDescent="0.25">
      <c r="F10605" t="s">
        <v>595</v>
      </c>
      <c r="G10605" t="s">
        <v>449</v>
      </c>
      <c r="H10605" t="str">
        <f>VLOOKUP(record[[#This Row],[ProcessSN]],表格2_7[],2,FALSE)</f>
        <v>30-4118-018-6XX</v>
      </c>
      <c r="I10605" t="str">
        <f>VLOOKUP(record[[#This Row],[ProcessSN]],表格2_7[],3,FALSE)</f>
        <v>#05</v>
      </c>
      <c r="J10605" t="s">
        <v>588</v>
      </c>
      <c r="K10605" s="195">
        <v>45671.291296296295</v>
      </c>
      <c r="L10605">
        <v>254</v>
      </c>
      <c r="M10605">
        <v>0</v>
      </c>
      <c r="N10605" s="98" t="str">
        <f>IF(record[[#This Row],[Memo]]="Browser:chrome os:android","平板報工",IF(record[[#This Row],[Memo]]=0,"委外",record[[#This Row],[Memo]]))</f>
        <v>平板報工</v>
      </c>
      <c r="O10605" t="s">
        <v>643</v>
      </c>
      <c r="P10605" t="s">
        <v>161</v>
      </c>
      <c r="Q10605" t="s">
        <v>644</v>
      </c>
      <c r="R10605" t="str">
        <f>IFERROR(VLOOKUP(record[[#This Row],[PCUSTID]],廠商[],2,FALSE),"")</f>
        <v/>
      </c>
      <c r="S10605" t="str">
        <f>VLOOKUP(record[[#This Row],[employeeID]],員工[],2,FALSE)</f>
        <v>阮沁如方</v>
      </c>
    </row>
    <row r="10606" spans="6:19" hidden="1" x14ac:dyDescent="0.25">
      <c r="F10606" t="s">
        <v>595</v>
      </c>
      <c r="G10606" t="s">
        <v>449</v>
      </c>
      <c r="H10606" t="str">
        <f>VLOOKUP(record[[#This Row],[ProcessSN]],表格2_7[],2,FALSE)</f>
        <v>30-4118-018-6XX</v>
      </c>
      <c r="I10606" t="str">
        <f>VLOOKUP(record[[#This Row],[ProcessSN]],表格2_7[],3,FALSE)</f>
        <v>#05</v>
      </c>
      <c r="J10606" t="s">
        <v>588</v>
      </c>
      <c r="K10606" s="195">
        <v>45670.968333333331</v>
      </c>
      <c r="L10606">
        <v>201</v>
      </c>
      <c r="M10606">
        <v>0</v>
      </c>
      <c r="N10606" s="98" t="str">
        <f>IF(record[[#This Row],[Memo]]="Browser:chrome os:android","平板報工",IF(record[[#This Row],[Memo]]=0,"委外",record[[#This Row],[Memo]]))</f>
        <v>平板報工</v>
      </c>
      <c r="O10606" t="s">
        <v>643</v>
      </c>
      <c r="P10606" t="s">
        <v>89</v>
      </c>
      <c r="Q10606" t="s">
        <v>644</v>
      </c>
      <c r="R10606" t="str">
        <f>IFERROR(VLOOKUP(record[[#This Row],[PCUSTID]],廠商[],2,FALSE),"")</f>
        <v/>
      </c>
      <c r="S10606" t="str">
        <f>VLOOKUP(record[[#This Row],[employeeID]],員工[],2,FALSE)</f>
        <v>李美蓮</v>
      </c>
    </row>
    <row r="10607" spans="6:19" hidden="1" x14ac:dyDescent="0.25">
      <c r="F10607" t="s">
        <v>642</v>
      </c>
      <c r="G10607" t="s">
        <v>418</v>
      </c>
      <c r="H10607" t="str">
        <f>VLOOKUP(record[[#This Row],[ProcessSN]],表格2_7[],2,FALSE)</f>
        <v>30-4118-018-5XX</v>
      </c>
      <c r="I10607" t="str">
        <f>VLOOKUP(record[[#This Row],[ProcessSN]],表格2_7[],3,FALSE)</f>
        <v>#07</v>
      </c>
      <c r="J10607" t="s">
        <v>588</v>
      </c>
      <c r="K10607" s="195">
        <v>45670.966365740744</v>
      </c>
      <c r="L10607">
        <v>184</v>
      </c>
      <c r="M10607">
        <v>2</v>
      </c>
      <c r="N10607" s="98" t="str">
        <f>IF(record[[#This Row],[Memo]]="Browser:chrome os:android","平板報工",IF(record[[#This Row],[Memo]]=0,"委外",record[[#This Row],[Memo]]))</f>
        <v>平板報工</v>
      </c>
      <c r="O10607" t="s">
        <v>643</v>
      </c>
      <c r="P10607" t="s">
        <v>89</v>
      </c>
      <c r="Q10607" t="s">
        <v>644</v>
      </c>
      <c r="R10607" t="str">
        <f>IFERROR(VLOOKUP(record[[#This Row],[PCUSTID]],廠商[],2,FALSE),"")</f>
        <v/>
      </c>
      <c r="S10607" t="str">
        <f>VLOOKUP(record[[#This Row],[employeeID]],員工[],2,FALSE)</f>
        <v>李美蓮</v>
      </c>
    </row>
    <row r="10608" spans="6:19" hidden="1" x14ac:dyDescent="0.25">
      <c r="F10608" t="s">
        <v>678</v>
      </c>
      <c r="G10608" t="s">
        <v>358</v>
      </c>
      <c r="H10608" t="str">
        <f>VLOOKUP(record[[#This Row],[ProcessSN]],表格2_7[],2,FALSE)</f>
        <v>30-4118-018-450</v>
      </c>
      <c r="I10608" t="str">
        <f>VLOOKUP(record[[#This Row],[ProcessSN]],表格2_7[],3,FALSE)</f>
        <v>#08IQC</v>
      </c>
      <c r="J10608" t="s">
        <v>583</v>
      </c>
      <c r="K10608" s="195">
        <v>45670.729791666665</v>
      </c>
      <c r="L10608">
        <v>305</v>
      </c>
      <c r="M10608">
        <v>0</v>
      </c>
      <c r="N10608" s="98" t="str">
        <f>IF(record[[#This Row],[Memo]]="Browser:chrome os:android","平板報工",IF(record[[#This Row],[Memo]]=0,"委外",record[[#This Row],[Memo]]))</f>
        <v/>
      </c>
      <c r="O10608" t="s">
        <v>58</v>
      </c>
      <c r="P10608" t="s">
        <v>143</v>
      </c>
      <c r="Q10608" t="s">
        <v>58</v>
      </c>
      <c r="R10608" t="str">
        <f>IFERROR(VLOOKUP(record[[#This Row],[PCUSTID]],廠商[],2,FALSE),"")</f>
        <v/>
      </c>
      <c r="S10608" t="str">
        <f>VLOOKUP(record[[#This Row],[employeeID]],員工[],2,FALSE)</f>
        <v>潘佳琪</v>
      </c>
    </row>
    <row r="10609" spans="6:19" hidden="1" x14ac:dyDescent="0.25">
      <c r="F10609" t="s">
        <v>642</v>
      </c>
      <c r="G10609" t="s">
        <v>418</v>
      </c>
      <c r="H10609" t="str">
        <f>VLOOKUP(record[[#This Row],[ProcessSN]],表格2_7[],2,FALSE)</f>
        <v>30-4118-018-5XX</v>
      </c>
      <c r="I10609" t="str">
        <f>VLOOKUP(record[[#This Row],[ProcessSN]],表格2_7[],3,FALSE)</f>
        <v>#07</v>
      </c>
      <c r="J10609" t="s">
        <v>588</v>
      </c>
      <c r="K10609" s="195">
        <v>45670.705833333333</v>
      </c>
      <c r="L10609">
        <v>47</v>
      </c>
      <c r="M10609">
        <v>0</v>
      </c>
      <c r="N10609" s="98" t="str">
        <f>IF(record[[#This Row],[Memo]]="Browser:chrome os:android","平板報工",IF(record[[#This Row],[Memo]]=0,"委外",record[[#This Row],[Memo]]))</f>
        <v/>
      </c>
      <c r="O10609" t="s">
        <v>58</v>
      </c>
      <c r="P10609" t="s">
        <v>121</v>
      </c>
      <c r="Q10609" t="s">
        <v>58</v>
      </c>
      <c r="R10609" t="str">
        <f>IFERROR(VLOOKUP(record[[#This Row],[PCUSTID]],廠商[],2,FALSE),"")</f>
        <v/>
      </c>
      <c r="S10609" t="str">
        <f>VLOOKUP(record[[#This Row],[employeeID]],員工[],2,FALSE)</f>
        <v>謝素卿</v>
      </c>
    </row>
    <row r="10610" spans="6:19" hidden="1" x14ac:dyDescent="0.25">
      <c r="F10610" t="s">
        <v>678</v>
      </c>
      <c r="G10610" t="s">
        <v>357</v>
      </c>
      <c r="H10610" t="str">
        <f>VLOOKUP(record[[#This Row],[ProcessSN]],表格2_7[],2,FALSE)</f>
        <v>30-4118-018-450</v>
      </c>
      <c r="I10610" t="str">
        <f>VLOOKUP(record[[#This Row],[ProcessSN]],表格2_7[],3,FALSE)</f>
        <v>#08RCV</v>
      </c>
      <c r="J10610" t="s">
        <v>591</v>
      </c>
      <c r="K10610" s="195">
        <v>45670.609652777777</v>
      </c>
      <c r="L10610">
        <v>305</v>
      </c>
      <c r="M10610">
        <v>14</v>
      </c>
      <c r="N10610" s="98" t="str">
        <f>IF(record[[#This Row],[Memo]]="Browser:chrome os:android","平板報工",IF(record[[#This Row],[Memo]]=0,"委外",record[[#This Row],[Memo]]))</f>
        <v/>
      </c>
      <c r="O10610" t="s">
        <v>58</v>
      </c>
      <c r="P10610" t="s">
        <v>206</v>
      </c>
      <c r="Q10610" t="s">
        <v>58</v>
      </c>
      <c r="R10610" t="str">
        <f>IFERROR(VLOOKUP(record[[#This Row],[PCUSTID]],廠商[],2,FALSE),"")</f>
        <v/>
      </c>
      <c r="S10610" t="str">
        <f>VLOOKUP(record[[#This Row],[employeeID]],員工[],2,FALSE)</f>
        <v>曾婉筠</v>
      </c>
    </row>
    <row r="10611" spans="6:19" hidden="1" x14ac:dyDescent="0.25">
      <c r="F10611" t="s">
        <v>611</v>
      </c>
      <c r="G10611" t="s">
        <v>401</v>
      </c>
      <c r="H10611" t="str">
        <f>VLOOKUP(record[[#This Row],[ProcessSN]],表格2_7[],2,FALSE)</f>
        <v>30-4118-018-550</v>
      </c>
      <c r="I10611" t="str">
        <f>VLOOKUP(record[[#This Row],[ProcessSN]],表格2_7[],3,FALSE)</f>
        <v>#100OQC</v>
      </c>
      <c r="J10611" t="s">
        <v>599</v>
      </c>
      <c r="K10611" s="195">
        <v>45670.471030092594</v>
      </c>
      <c r="L10611">
        <v>714</v>
      </c>
      <c r="M10611">
        <v>0</v>
      </c>
      <c r="N10611" s="98" t="str">
        <f>IF(record[[#This Row],[Memo]]="Browser:chrome os:android","平板報工",IF(record[[#This Row],[Memo]]=0,"委外",record[[#This Row],[Memo]]))</f>
        <v/>
      </c>
      <c r="O10611" t="s">
        <v>58</v>
      </c>
      <c r="P10611" t="s">
        <v>172</v>
      </c>
      <c r="Q10611" t="s">
        <v>58</v>
      </c>
      <c r="R10611" t="str">
        <f>IFERROR(VLOOKUP(record[[#This Row],[PCUSTID]],廠商[],2,FALSE),"")</f>
        <v/>
      </c>
      <c r="S10611" t="str">
        <f>VLOOKUP(record[[#This Row],[employeeID]],員工[],2,FALSE)</f>
        <v>李采玲</v>
      </c>
    </row>
    <row r="10612" spans="6:19" hidden="1" x14ac:dyDescent="0.25">
      <c r="F10612" t="s">
        <v>683</v>
      </c>
      <c r="G10612" t="s">
        <v>356</v>
      </c>
      <c r="H10612" t="str">
        <f>VLOOKUP(record[[#This Row],[ProcessSN]],表格2_7[],2,FALSE)</f>
        <v>30-4118-018-450</v>
      </c>
      <c r="I10612" t="str">
        <f>VLOOKUP(record[[#This Row],[ProcessSN]],表格2_7[],3,FALSE)</f>
        <v>#08</v>
      </c>
      <c r="J10612" t="s">
        <v>597</v>
      </c>
      <c r="K10612" s="195">
        <v>45670.464444444442</v>
      </c>
      <c r="L10612">
        <v>220</v>
      </c>
      <c r="M10612">
        <v>0</v>
      </c>
      <c r="N10612" s="98" t="str">
        <f>IF(record[[#This Row],[Memo]]="Browser:chrome os:android","平板報工",IF(record[[#This Row],[Memo]]=0,"委外",record[[#This Row],[Memo]]))</f>
        <v>委外</v>
      </c>
      <c r="P10612" t="s">
        <v>206</v>
      </c>
      <c r="Q10612" t="s">
        <v>287</v>
      </c>
      <c r="R10612" t="str">
        <f>IFERROR(VLOOKUP(record[[#This Row],[PCUSTID]],廠商[],2,FALSE),"")</f>
        <v>泉盛</v>
      </c>
      <c r="S10612" t="str">
        <f>VLOOKUP(record[[#This Row],[employeeID]],員工[],2,FALSE)</f>
        <v>曾婉筠</v>
      </c>
    </row>
    <row r="10613" spans="6:19" hidden="1" x14ac:dyDescent="0.25">
      <c r="F10613" t="s">
        <v>624</v>
      </c>
      <c r="G10613" t="s">
        <v>428</v>
      </c>
      <c r="H10613" t="str">
        <f>VLOOKUP(record[[#This Row],[ProcessSN]],表格2_7[],2,FALSE)</f>
        <v>30-4118-018-600</v>
      </c>
      <c r="I10613" t="str">
        <f>VLOOKUP(record[[#This Row],[ProcessSN]],表格2_7[],3,FALSE)</f>
        <v>#100SHIP</v>
      </c>
      <c r="J10613" t="s">
        <v>600</v>
      </c>
      <c r="K10613" s="195">
        <v>45670.449745370373</v>
      </c>
      <c r="L10613">
        <v>21</v>
      </c>
      <c r="M10613">
        <v>0</v>
      </c>
      <c r="N10613" s="98" t="str">
        <f>IF(record[[#This Row],[Memo]]="Browser:chrome os:android","平板報工",IF(record[[#This Row],[Memo]]=0,"委外",record[[#This Row],[Memo]]))</f>
        <v/>
      </c>
      <c r="O10613" t="s">
        <v>58</v>
      </c>
      <c r="P10613" t="s">
        <v>196</v>
      </c>
      <c r="Q10613" t="s">
        <v>58</v>
      </c>
      <c r="R10613" t="str">
        <f>IFERROR(VLOOKUP(record[[#This Row],[PCUSTID]],廠商[],2,FALSE),"")</f>
        <v/>
      </c>
      <c r="S10613" t="str">
        <f>VLOOKUP(record[[#This Row],[employeeID]],員工[],2,FALSE)</f>
        <v>張淑惠</v>
      </c>
    </row>
    <row r="10614" spans="6:19" hidden="1" x14ac:dyDescent="0.25">
      <c r="F10614" t="s">
        <v>611</v>
      </c>
      <c r="G10614" t="s">
        <v>403</v>
      </c>
      <c r="H10614" t="str">
        <f>VLOOKUP(record[[#This Row],[ProcessSN]],表格2_7[],2,FALSE)</f>
        <v>30-4118-018-550</v>
      </c>
      <c r="I10614" t="str">
        <f>VLOOKUP(record[[#This Row],[ProcessSN]],表格2_7[],3,FALSE)</f>
        <v>#100SHIP</v>
      </c>
      <c r="J10614" t="s">
        <v>600</v>
      </c>
      <c r="K10614" s="195">
        <v>45670.449189814812</v>
      </c>
      <c r="L10614">
        <v>153</v>
      </c>
      <c r="M10614">
        <v>0</v>
      </c>
      <c r="N10614" s="98" t="str">
        <f>IF(record[[#This Row],[Memo]]="Browser:chrome os:android","平板報工",IF(record[[#This Row],[Memo]]=0,"委外",record[[#This Row],[Memo]]))</f>
        <v/>
      </c>
      <c r="O10614" t="s">
        <v>58</v>
      </c>
      <c r="P10614" t="s">
        <v>196</v>
      </c>
      <c r="Q10614" t="s">
        <v>58</v>
      </c>
      <c r="R10614" t="str">
        <f>IFERROR(VLOOKUP(record[[#This Row],[PCUSTID]],廠商[],2,FALSE),"")</f>
        <v/>
      </c>
      <c r="S10614" t="str">
        <f>VLOOKUP(record[[#This Row],[employeeID]],員工[],2,FALSE)</f>
        <v>張淑惠</v>
      </c>
    </row>
    <row r="10615" spans="6:19" hidden="1" x14ac:dyDescent="0.25">
      <c r="F10615" t="s">
        <v>611</v>
      </c>
      <c r="G10615" t="s">
        <v>402</v>
      </c>
      <c r="H10615" t="str">
        <f>VLOOKUP(record[[#This Row],[ProcessSN]],表格2_7[],2,FALSE)</f>
        <v>30-4118-018-550</v>
      </c>
      <c r="I10615" t="str">
        <f>VLOOKUP(record[[#This Row],[ProcessSN]],表格2_7[],3,FALSE)</f>
        <v>#100STOCK</v>
      </c>
      <c r="J10615" t="s">
        <v>592</v>
      </c>
      <c r="K10615" s="195">
        <v>45670.449062500003</v>
      </c>
      <c r="L10615">
        <v>153</v>
      </c>
      <c r="M10615">
        <v>0</v>
      </c>
      <c r="N10615" s="98" t="str">
        <f>IF(record[[#This Row],[Memo]]="Browser:chrome os:android","平板報工",IF(record[[#This Row],[Memo]]=0,"委外",record[[#This Row],[Memo]]))</f>
        <v/>
      </c>
      <c r="O10615" t="s">
        <v>58</v>
      </c>
      <c r="P10615" t="s">
        <v>196</v>
      </c>
      <c r="Q10615" t="s">
        <v>58</v>
      </c>
      <c r="R10615" t="str">
        <f>IFERROR(VLOOKUP(record[[#This Row],[PCUSTID]],廠商[],2,FALSE),"")</f>
        <v/>
      </c>
      <c r="S10615" t="str">
        <f>VLOOKUP(record[[#This Row],[employeeID]],員工[],2,FALSE)</f>
        <v>張淑惠</v>
      </c>
    </row>
    <row r="10616" spans="6:19" hidden="1" x14ac:dyDescent="0.25">
      <c r="F10616" t="s">
        <v>611</v>
      </c>
      <c r="G10616" t="s">
        <v>401</v>
      </c>
      <c r="H10616" t="str">
        <f>VLOOKUP(record[[#This Row],[ProcessSN]],表格2_7[],2,FALSE)</f>
        <v>30-4118-018-550</v>
      </c>
      <c r="I10616" t="str">
        <f>VLOOKUP(record[[#This Row],[ProcessSN]],表格2_7[],3,FALSE)</f>
        <v>#100OQC</v>
      </c>
      <c r="J10616" t="s">
        <v>599</v>
      </c>
      <c r="K10616" s="195">
        <v>45670.448958333334</v>
      </c>
      <c r="L10616">
        <v>153</v>
      </c>
      <c r="M10616">
        <v>0</v>
      </c>
      <c r="N10616" s="98" t="str">
        <f>IF(record[[#This Row],[Memo]]="Browser:chrome os:android","平板報工",IF(record[[#This Row],[Memo]]=0,"委外",record[[#This Row],[Memo]]))</f>
        <v/>
      </c>
      <c r="O10616" t="s">
        <v>58</v>
      </c>
      <c r="P10616" t="s">
        <v>196</v>
      </c>
      <c r="Q10616" t="s">
        <v>58</v>
      </c>
      <c r="R10616" t="str">
        <f>IFERROR(VLOOKUP(record[[#This Row],[PCUSTID]],廠商[],2,FALSE),"")</f>
        <v/>
      </c>
      <c r="S10616" t="str">
        <f>VLOOKUP(record[[#This Row],[employeeID]],員工[],2,FALSE)</f>
        <v>張淑惠</v>
      </c>
    </row>
    <row r="10617" spans="6:19" hidden="1" x14ac:dyDescent="0.25">
      <c r="F10617" t="s">
        <v>612</v>
      </c>
      <c r="G10617" t="s">
        <v>403</v>
      </c>
      <c r="H10617" t="str">
        <f>VLOOKUP(record[[#This Row],[ProcessSN]],表格2_7[],2,FALSE)</f>
        <v>30-4118-018-550</v>
      </c>
      <c r="I10617" t="str">
        <f>VLOOKUP(record[[#This Row],[ProcessSN]],表格2_7[],3,FALSE)</f>
        <v>#100SHIP</v>
      </c>
      <c r="J10617" t="s">
        <v>600</v>
      </c>
      <c r="K10617" s="195">
        <v>45670.444444444445</v>
      </c>
      <c r="L10617">
        <v>73</v>
      </c>
      <c r="M10617">
        <v>0</v>
      </c>
      <c r="N10617" s="98" t="str">
        <f>IF(record[[#This Row],[Memo]]="Browser:chrome os:android","平板報工",IF(record[[#This Row],[Memo]]=0,"委外",record[[#This Row],[Memo]]))</f>
        <v/>
      </c>
      <c r="O10617" t="s">
        <v>58</v>
      </c>
      <c r="P10617" t="s">
        <v>196</v>
      </c>
      <c r="Q10617" t="s">
        <v>58</v>
      </c>
      <c r="R10617" t="str">
        <f>IFERROR(VLOOKUP(record[[#This Row],[PCUSTID]],廠商[],2,FALSE),"")</f>
        <v/>
      </c>
      <c r="S10617" t="str">
        <f>VLOOKUP(record[[#This Row],[employeeID]],員工[],2,FALSE)</f>
        <v>張淑惠</v>
      </c>
    </row>
    <row r="10618" spans="6:19" hidden="1" x14ac:dyDescent="0.25">
      <c r="F10618" t="s">
        <v>683</v>
      </c>
      <c r="G10618" t="s">
        <v>355</v>
      </c>
      <c r="H10618" t="str">
        <f>VLOOKUP(record[[#This Row],[ProcessSN]],表格2_7[],2,FALSE)</f>
        <v>30-4118-018-450</v>
      </c>
      <c r="I10618" t="str">
        <f>VLOOKUP(record[[#This Row],[ProcessSN]],表格2_7[],3,FALSE)</f>
        <v>#08PICK</v>
      </c>
      <c r="J10618" t="s">
        <v>582</v>
      </c>
      <c r="K10618" s="195">
        <v>45670.426481481481</v>
      </c>
      <c r="L10618">
        <v>220</v>
      </c>
      <c r="M10618">
        <v>0</v>
      </c>
      <c r="N10618" s="98" t="str">
        <f>IF(record[[#This Row],[Memo]]="Browser:chrome os:android","平板報工",IF(record[[#This Row],[Memo]]=0,"委外",record[[#This Row],[Memo]]))</f>
        <v/>
      </c>
      <c r="O10618" t="s">
        <v>58</v>
      </c>
      <c r="P10618" t="s">
        <v>65</v>
      </c>
      <c r="Q10618" t="s">
        <v>58</v>
      </c>
      <c r="R10618" t="str">
        <f>IFERROR(VLOOKUP(record[[#This Row],[PCUSTID]],廠商[],2,FALSE),"")</f>
        <v/>
      </c>
      <c r="S10618" t="str">
        <f>VLOOKUP(record[[#This Row],[employeeID]],員工[],2,FALSE)</f>
        <v>蘇進昌</v>
      </c>
    </row>
    <row r="10619" spans="6:19" hidden="1" x14ac:dyDescent="0.25">
      <c r="F10619" t="s">
        <v>586</v>
      </c>
      <c r="G10619" t="s">
        <v>379</v>
      </c>
      <c r="H10619" t="str">
        <f>VLOOKUP(record[[#This Row],[ProcessSN]],表格2_7[],2,FALSE)</f>
        <v>30-4118-018-4XX</v>
      </c>
      <c r="I10619" t="str">
        <f>VLOOKUP(record[[#This Row],[ProcessSN]],表格2_7[],3,FALSE)</f>
        <v>#07STOCK</v>
      </c>
      <c r="J10619" t="s">
        <v>592</v>
      </c>
      <c r="K10619" s="195">
        <v>45670.426168981481</v>
      </c>
      <c r="L10619">
        <v>220</v>
      </c>
      <c r="M10619">
        <v>0</v>
      </c>
      <c r="N10619" s="98" t="str">
        <f>IF(record[[#This Row],[Memo]]="Browser:chrome os:android","平板報工",IF(record[[#This Row],[Memo]]=0,"委外",record[[#This Row],[Memo]]))</f>
        <v/>
      </c>
      <c r="O10619" t="s">
        <v>58</v>
      </c>
      <c r="P10619" t="s">
        <v>65</v>
      </c>
      <c r="Q10619" t="s">
        <v>58</v>
      </c>
      <c r="R10619" t="str">
        <f>IFERROR(VLOOKUP(record[[#This Row],[PCUSTID]],廠商[],2,FALSE),"")</f>
        <v/>
      </c>
      <c r="S10619" t="str">
        <f>VLOOKUP(record[[#This Row],[employeeID]],員工[],2,FALSE)</f>
        <v>蘇進昌</v>
      </c>
    </row>
    <row r="10620" spans="6:19" hidden="1" x14ac:dyDescent="0.25">
      <c r="F10620" t="s">
        <v>586</v>
      </c>
      <c r="G10620" t="s">
        <v>378</v>
      </c>
      <c r="H10620" t="str">
        <f>VLOOKUP(record[[#This Row],[ProcessSN]],表格2_7[],2,FALSE)</f>
        <v>30-4118-018-4XX</v>
      </c>
      <c r="I10620" t="str">
        <f>VLOOKUP(record[[#This Row],[ProcessSN]],表格2_7[],3,FALSE)</f>
        <v>#07QC</v>
      </c>
      <c r="J10620" t="s">
        <v>589</v>
      </c>
      <c r="K10620" s="195">
        <v>45670.405671296299</v>
      </c>
      <c r="L10620">
        <v>220</v>
      </c>
      <c r="M10620">
        <v>0</v>
      </c>
      <c r="N10620" s="98" t="str">
        <f>IF(record[[#This Row],[Memo]]="Browser:chrome os:android","平板報工",IF(record[[#This Row],[Memo]]=0,"委外",record[[#This Row],[Memo]]))</f>
        <v>平板報工</v>
      </c>
      <c r="O10620" t="s">
        <v>643</v>
      </c>
      <c r="P10620" t="s">
        <v>109</v>
      </c>
      <c r="Q10620" t="s">
        <v>644</v>
      </c>
      <c r="R10620" t="str">
        <f>IFERROR(VLOOKUP(record[[#This Row],[PCUSTID]],廠商[],2,FALSE),"")</f>
        <v/>
      </c>
      <c r="S10620" t="str">
        <f>VLOOKUP(record[[#This Row],[employeeID]],員工[],2,FALSE)</f>
        <v>裴氏璧鳳</v>
      </c>
    </row>
    <row r="10621" spans="6:19" hidden="1" x14ac:dyDescent="0.25">
      <c r="F10621" t="s">
        <v>642</v>
      </c>
      <c r="G10621" t="s">
        <v>418</v>
      </c>
      <c r="H10621" t="str">
        <f>VLOOKUP(record[[#This Row],[ProcessSN]],表格2_7[],2,FALSE)</f>
        <v>30-4118-018-5XX</v>
      </c>
      <c r="I10621" t="str">
        <f>VLOOKUP(record[[#This Row],[ProcessSN]],表格2_7[],3,FALSE)</f>
        <v>#07</v>
      </c>
      <c r="J10621" t="s">
        <v>588</v>
      </c>
      <c r="K10621" s="195">
        <v>45667.97246527778</v>
      </c>
      <c r="L10621">
        <v>96</v>
      </c>
      <c r="M10621">
        <v>0</v>
      </c>
      <c r="N10621" s="98" t="str">
        <f>IF(record[[#This Row],[Memo]]="Browser:chrome os:android","平板報工",IF(record[[#This Row],[Memo]]=0,"委外",record[[#This Row],[Memo]]))</f>
        <v>平板報工</v>
      </c>
      <c r="O10621" t="s">
        <v>643</v>
      </c>
      <c r="P10621" t="s">
        <v>89</v>
      </c>
      <c r="Q10621" t="s">
        <v>644</v>
      </c>
      <c r="R10621" t="str">
        <f>IFERROR(VLOOKUP(record[[#This Row],[PCUSTID]],廠商[],2,FALSE),"")</f>
        <v/>
      </c>
      <c r="S10621" t="str">
        <f>VLOOKUP(record[[#This Row],[employeeID]],員工[],2,FALSE)</f>
        <v>李美蓮</v>
      </c>
    </row>
    <row r="10622" spans="6:19" hidden="1" x14ac:dyDescent="0.25">
      <c r="F10622" t="s">
        <v>611</v>
      </c>
      <c r="G10622" t="s">
        <v>400</v>
      </c>
      <c r="H10622" t="str">
        <f>VLOOKUP(record[[#This Row],[ProcessSN]],表格2_7[],2,FALSE)</f>
        <v>30-4118-018-550</v>
      </c>
      <c r="I10622" t="str">
        <f>VLOOKUP(record[[#This Row],[ProcessSN]],表格2_7[],3,FALSE)</f>
        <v>#100</v>
      </c>
      <c r="J10622" t="s">
        <v>598</v>
      </c>
      <c r="K10622" s="195">
        <v>45667.815335648149</v>
      </c>
      <c r="L10622">
        <v>867</v>
      </c>
      <c r="M10622">
        <v>5</v>
      </c>
      <c r="N10622" s="98" t="str">
        <f>IF(record[[#This Row],[Memo]]="Browser:chrome os:android","平板報工",IF(record[[#This Row],[Memo]]=0,"委外",record[[#This Row],[Memo]]))</f>
        <v>平板報工</v>
      </c>
      <c r="O10622" t="s">
        <v>643</v>
      </c>
      <c r="P10622" t="s">
        <v>141</v>
      </c>
      <c r="Q10622" t="s">
        <v>644</v>
      </c>
      <c r="R10622" t="str">
        <f>IFERROR(VLOOKUP(record[[#This Row],[PCUSTID]],廠商[],2,FALSE),"")</f>
        <v/>
      </c>
      <c r="S10622" t="str">
        <f>VLOOKUP(record[[#This Row],[employeeID]],員工[],2,FALSE)</f>
        <v>蔣梅</v>
      </c>
    </row>
    <row r="10623" spans="6:19" hidden="1" x14ac:dyDescent="0.25">
      <c r="F10623" t="s">
        <v>652</v>
      </c>
      <c r="G10623" t="s">
        <v>399</v>
      </c>
      <c r="H10623" t="str">
        <f>VLOOKUP(record[[#This Row],[ProcessSN]],表格2_7[],2,FALSE)</f>
        <v>30-4118-018-550</v>
      </c>
      <c r="I10623" t="str">
        <f>VLOOKUP(record[[#This Row],[ProcessSN]],表格2_7[],3,FALSE)</f>
        <v>#08IQC</v>
      </c>
      <c r="J10623" t="s">
        <v>583</v>
      </c>
      <c r="K10623" s="195">
        <v>45667.779293981483</v>
      </c>
      <c r="L10623">
        <v>12</v>
      </c>
      <c r="M10623">
        <v>0</v>
      </c>
      <c r="N10623" s="98" t="str">
        <f>IF(record[[#This Row],[Memo]]="Browser:chrome os:android","平板報工",IF(record[[#This Row],[Memo]]=0,"委外",record[[#This Row],[Memo]]))</f>
        <v>覆回</v>
      </c>
      <c r="O10623" t="s">
        <v>682</v>
      </c>
      <c r="P10623" t="s">
        <v>113</v>
      </c>
      <c r="Q10623" t="s">
        <v>58</v>
      </c>
      <c r="R10623" t="str">
        <f>IFERROR(VLOOKUP(record[[#This Row],[PCUSTID]],廠商[],2,FALSE),"")</f>
        <v/>
      </c>
      <c r="S10623" t="str">
        <f>VLOOKUP(record[[#This Row],[employeeID]],員工[],2,FALSE)</f>
        <v>王奕蓁</v>
      </c>
    </row>
    <row r="10624" spans="6:19" hidden="1" x14ac:dyDescent="0.25">
      <c r="F10624" t="s">
        <v>581</v>
      </c>
      <c r="G10624" t="s">
        <v>470</v>
      </c>
      <c r="H10624" t="str">
        <f>VLOOKUP(record[[#This Row],[ProcessSN]],表格2_7[],2,FALSE)</f>
        <v>30-4118-018-XXX</v>
      </c>
      <c r="I10624" t="str">
        <f>VLOOKUP(record[[#This Row],[ProcessSN]],表格2_7[],3,FALSE)</f>
        <v>#02IQC</v>
      </c>
      <c r="J10624" t="s">
        <v>583</v>
      </c>
      <c r="K10624" s="195">
        <v>45667.734826388885</v>
      </c>
      <c r="L10624">
        <v>8</v>
      </c>
      <c r="M10624">
        <v>0</v>
      </c>
      <c r="N10624" s="98" t="str">
        <f>IF(record[[#This Row],[Memo]]="Browser:chrome os:android","平板報工",IF(record[[#This Row],[Memo]]=0,"委外",record[[#This Row],[Memo]]))</f>
        <v/>
      </c>
      <c r="O10624" t="s">
        <v>58</v>
      </c>
      <c r="P10624" t="s">
        <v>172</v>
      </c>
      <c r="Q10624" t="s">
        <v>58</v>
      </c>
      <c r="R10624" t="str">
        <f>IFERROR(VLOOKUP(record[[#This Row],[PCUSTID]],廠商[],2,FALSE),"")</f>
        <v/>
      </c>
      <c r="S10624" t="str">
        <f>VLOOKUP(record[[#This Row],[employeeID]],員工[],2,FALSE)</f>
        <v>李采玲</v>
      </c>
    </row>
    <row r="10625" spans="6:19" hidden="1" x14ac:dyDescent="0.25">
      <c r="F10625" t="s">
        <v>668</v>
      </c>
      <c r="G10625" t="s">
        <v>358</v>
      </c>
      <c r="H10625" t="str">
        <f>VLOOKUP(record[[#This Row],[ProcessSN]],表格2_7[],2,FALSE)</f>
        <v>30-4118-018-450</v>
      </c>
      <c r="I10625" t="str">
        <f>VLOOKUP(record[[#This Row],[ProcessSN]],表格2_7[],3,FALSE)</f>
        <v>#08IQC</v>
      </c>
      <c r="J10625" t="s">
        <v>583</v>
      </c>
      <c r="K10625" s="195">
        <v>45667.711030092592</v>
      </c>
      <c r="L10625">
        <v>605</v>
      </c>
      <c r="M10625">
        <v>0</v>
      </c>
      <c r="N10625" s="98" t="str">
        <f>IF(record[[#This Row],[Memo]]="Browser:chrome os:android","平板報工",IF(record[[#This Row],[Memo]]=0,"委外",record[[#This Row],[Memo]]))</f>
        <v/>
      </c>
      <c r="O10625" t="s">
        <v>58</v>
      </c>
      <c r="P10625" t="s">
        <v>172</v>
      </c>
      <c r="Q10625" t="s">
        <v>58</v>
      </c>
      <c r="R10625" t="str">
        <f>IFERROR(VLOOKUP(record[[#This Row],[PCUSTID]],廠商[],2,FALSE),"")</f>
        <v/>
      </c>
      <c r="S10625" t="str">
        <f>VLOOKUP(record[[#This Row],[employeeID]],員工[],2,FALSE)</f>
        <v>李采玲</v>
      </c>
    </row>
    <row r="10626" spans="6:19" hidden="1" x14ac:dyDescent="0.25">
      <c r="F10626" t="s">
        <v>603</v>
      </c>
      <c r="G10626" t="s">
        <v>358</v>
      </c>
      <c r="H10626" t="str">
        <f>VLOOKUP(record[[#This Row],[ProcessSN]],表格2_7[],2,FALSE)</f>
        <v>30-4118-018-450</v>
      </c>
      <c r="I10626" t="str">
        <f>VLOOKUP(record[[#This Row],[ProcessSN]],表格2_7[],3,FALSE)</f>
        <v>#08IQC</v>
      </c>
      <c r="J10626" t="s">
        <v>583</v>
      </c>
      <c r="K10626" s="195">
        <v>45667.710902777777</v>
      </c>
      <c r="L10626">
        <v>54</v>
      </c>
      <c r="M10626">
        <v>0</v>
      </c>
      <c r="N10626" s="98" t="str">
        <f>IF(record[[#This Row],[Memo]]="Browser:chrome os:android","平板報工",IF(record[[#This Row],[Memo]]=0,"委外",record[[#This Row],[Memo]]))</f>
        <v/>
      </c>
      <c r="O10626" t="s">
        <v>58</v>
      </c>
      <c r="P10626" t="s">
        <v>172</v>
      </c>
      <c r="Q10626" t="s">
        <v>58</v>
      </c>
      <c r="R10626" t="str">
        <f>IFERROR(VLOOKUP(record[[#This Row],[PCUSTID]],廠商[],2,FALSE),"")</f>
        <v/>
      </c>
      <c r="S10626" t="str">
        <f>VLOOKUP(record[[#This Row],[employeeID]],員工[],2,FALSE)</f>
        <v>李采玲</v>
      </c>
    </row>
    <row r="10627" spans="6:19" hidden="1" x14ac:dyDescent="0.25">
      <c r="F10627" t="s">
        <v>668</v>
      </c>
      <c r="G10627" t="s">
        <v>357</v>
      </c>
      <c r="H10627" t="str">
        <f>VLOOKUP(record[[#This Row],[ProcessSN]],表格2_7[],2,FALSE)</f>
        <v>30-4118-018-450</v>
      </c>
      <c r="I10627" t="str">
        <f>VLOOKUP(record[[#This Row],[ProcessSN]],表格2_7[],3,FALSE)</f>
        <v>#08RCV</v>
      </c>
      <c r="J10627" t="s">
        <v>591</v>
      </c>
      <c r="K10627" s="195">
        <v>45667.661597222221</v>
      </c>
      <c r="L10627">
        <v>605</v>
      </c>
      <c r="M10627">
        <v>36</v>
      </c>
      <c r="N10627" s="98" t="str">
        <f>IF(record[[#This Row],[Memo]]="Browser:chrome os:android","平板報工",IF(record[[#This Row],[Memo]]=0,"委外",record[[#This Row],[Memo]]))</f>
        <v/>
      </c>
      <c r="O10627" t="s">
        <v>58</v>
      </c>
      <c r="P10627" t="s">
        <v>206</v>
      </c>
      <c r="Q10627" t="s">
        <v>58</v>
      </c>
      <c r="R10627" t="str">
        <f>IFERROR(VLOOKUP(record[[#This Row],[PCUSTID]],廠商[],2,FALSE),"")</f>
        <v/>
      </c>
      <c r="S10627" t="str">
        <f>VLOOKUP(record[[#This Row],[employeeID]],員工[],2,FALSE)</f>
        <v>曾婉筠</v>
      </c>
    </row>
    <row r="10628" spans="6:19" hidden="1" x14ac:dyDescent="0.25">
      <c r="F10628" t="s">
        <v>603</v>
      </c>
      <c r="G10628" t="s">
        <v>357</v>
      </c>
      <c r="H10628" t="str">
        <f>VLOOKUP(record[[#This Row],[ProcessSN]],表格2_7[],2,FALSE)</f>
        <v>30-4118-018-450</v>
      </c>
      <c r="I10628" t="str">
        <f>VLOOKUP(record[[#This Row],[ProcessSN]],表格2_7[],3,FALSE)</f>
        <v>#08RCV</v>
      </c>
      <c r="J10628" t="s">
        <v>591</v>
      </c>
      <c r="K10628" s="195">
        <v>45667.657962962963</v>
      </c>
      <c r="L10628">
        <v>54</v>
      </c>
      <c r="M10628">
        <v>0</v>
      </c>
      <c r="N10628" s="98" t="str">
        <f>IF(record[[#This Row],[Memo]]="Browser:chrome os:android","平板報工",IF(record[[#This Row],[Memo]]=0,"委外",record[[#This Row],[Memo]]))</f>
        <v/>
      </c>
      <c r="O10628" t="s">
        <v>58</v>
      </c>
      <c r="P10628" t="s">
        <v>206</v>
      </c>
      <c r="Q10628" t="s">
        <v>58</v>
      </c>
      <c r="R10628" t="str">
        <f>IFERROR(VLOOKUP(record[[#This Row],[PCUSTID]],廠商[],2,FALSE),"")</f>
        <v/>
      </c>
      <c r="S10628" t="str">
        <f>VLOOKUP(record[[#This Row],[employeeID]],員工[],2,FALSE)</f>
        <v>曾婉筠</v>
      </c>
    </row>
    <row r="10629" spans="6:19" hidden="1" x14ac:dyDescent="0.25">
      <c r="F10629" t="s">
        <v>586</v>
      </c>
      <c r="G10629" t="s">
        <v>377</v>
      </c>
      <c r="H10629" t="str">
        <f>VLOOKUP(record[[#This Row],[ProcessSN]],表格2_7[],2,FALSE)</f>
        <v>30-4118-018-4XX</v>
      </c>
      <c r="I10629" t="str">
        <f>VLOOKUP(record[[#This Row],[ProcessSN]],表格2_7[],3,FALSE)</f>
        <v>#07</v>
      </c>
      <c r="J10629" t="s">
        <v>588</v>
      </c>
      <c r="K10629" s="195">
        <v>45667.614212962966</v>
      </c>
      <c r="L10629">
        <v>163</v>
      </c>
      <c r="M10629">
        <v>0</v>
      </c>
      <c r="N10629" s="98" t="str">
        <f>IF(record[[#This Row],[Memo]]="Browser:chrome os:android","平板報工",IF(record[[#This Row],[Memo]]=0,"委外",record[[#This Row],[Memo]]))</f>
        <v>平板報工</v>
      </c>
      <c r="O10629" t="s">
        <v>643</v>
      </c>
      <c r="P10629" t="s">
        <v>119</v>
      </c>
      <c r="Q10629" t="s">
        <v>644</v>
      </c>
      <c r="R10629" t="str">
        <f>IFERROR(VLOOKUP(record[[#This Row],[PCUSTID]],廠商[],2,FALSE),"")</f>
        <v/>
      </c>
      <c r="S10629" t="str">
        <f>VLOOKUP(record[[#This Row],[employeeID]],員工[],2,FALSE)</f>
        <v>廖俊彥</v>
      </c>
    </row>
    <row r="10630" spans="6:19" hidden="1" x14ac:dyDescent="0.25">
      <c r="F10630" t="s">
        <v>642</v>
      </c>
      <c r="G10630" t="s">
        <v>417</v>
      </c>
      <c r="H10630" t="str">
        <f>VLOOKUP(record[[#This Row],[ProcessSN]],表格2_7[],2,FALSE)</f>
        <v>30-4118-018-5XX</v>
      </c>
      <c r="I10630" t="str">
        <f>VLOOKUP(record[[#This Row],[ProcessSN]],表格2_7[],3,FALSE)</f>
        <v>#06</v>
      </c>
      <c r="J10630" t="s">
        <v>593</v>
      </c>
      <c r="K10630" s="195">
        <v>45667.564988425926</v>
      </c>
      <c r="L10630">
        <v>56</v>
      </c>
      <c r="M10630">
        <v>1</v>
      </c>
      <c r="N10630" s="98" t="str">
        <f>IF(record[[#This Row],[Memo]]="Browser:chrome os:android","平板報工",IF(record[[#This Row],[Memo]]=0,"委外",record[[#This Row],[Memo]]))</f>
        <v/>
      </c>
      <c r="O10630" t="s">
        <v>58</v>
      </c>
      <c r="P10630" t="s">
        <v>119</v>
      </c>
      <c r="Q10630" t="s">
        <v>58</v>
      </c>
      <c r="R10630" t="str">
        <f>IFERROR(VLOOKUP(record[[#This Row],[PCUSTID]],廠商[],2,FALSE),"")</f>
        <v/>
      </c>
      <c r="S10630" t="str">
        <f>VLOOKUP(record[[#This Row],[employeeID]],員工[],2,FALSE)</f>
        <v>廖俊彥</v>
      </c>
    </row>
    <row r="10631" spans="6:19" hidden="1" x14ac:dyDescent="0.25">
      <c r="F10631" t="s">
        <v>624</v>
      </c>
      <c r="G10631" t="s">
        <v>428</v>
      </c>
      <c r="H10631" t="str">
        <f>VLOOKUP(record[[#This Row],[ProcessSN]],表格2_7[],2,FALSE)</f>
        <v>30-4118-018-600</v>
      </c>
      <c r="I10631" t="str">
        <f>VLOOKUP(record[[#This Row],[ProcessSN]],表格2_7[],3,FALSE)</f>
        <v>#100SHIP</v>
      </c>
      <c r="J10631" t="s">
        <v>600</v>
      </c>
      <c r="K10631" s="195">
        <v>45667.563819444447</v>
      </c>
      <c r="L10631">
        <v>20</v>
      </c>
      <c r="M10631">
        <v>0</v>
      </c>
      <c r="N10631" s="98" t="str">
        <f>IF(record[[#This Row],[Memo]]="Browser:chrome os:android","平板報工",IF(record[[#This Row],[Memo]]=0,"委外",record[[#This Row],[Memo]]))</f>
        <v/>
      </c>
      <c r="O10631" t="s">
        <v>58</v>
      </c>
      <c r="P10631" t="s">
        <v>196</v>
      </c>
      <c r="Q10631" t="s">
        <v>58</v>
      </c>
      <c r="R10631" t="str">
        <f>IFERROR(VLOOKUP(record[[#This Row],[PCUSTID]],廠商[],2,FALSE),"")</f>
        <v/>
      </c>
      <c r="S10631" t="str">
        <f>VLOOKUP(record[[#This Row],[employeeID]],員工[],2,FALSE)</f>
        <v>張淑惠</v>
      </c>
    </row>
    <row r="10632" spans="6:19" hidden="1" x14ac:dyDescent="0.25">
      <c r="F10632" t="s">
        <v>581</v>
      </c>
      <c r="G10632" t="s">
        <v>469</v>
      </c>
      <c r="H10632" t="str">
        <f>VLOOKUP(record[[#This Row],[ProcessSN]],表格2_7[],2,FALSE)</f>
        <v>30-4118-018-XXX</v>
      </c>
      <c r="I10632" t="str">
        <f>VLOOKUP(record[[#This Row],[ProcessSN]],表格2_7[],3,FALSE)</f>
        <v>#02RCV</v>
      </c>
      <c r="J10632" t="s">
        <v>591</v>
      </c>
      <c r="K10632" s="195">
        <v>45667.556261574071</v>
      </c>
      <c r="L10632">
        <v>8</v>
      </c>
      <c r="M10632">
        <v>0</v>
      </c>
      <c r="N10632" s="98" t="str">
        <f>IF(record[[#This Row],[Memo]]="Browser:chrome os:android","平板報工",IF(record[[#This Row],[Memo]]=0,"委外",record[[#This Row],[Memo]]))</f>
        <v/>
      </c>
      <c r="O10632" t="s">
        <v>58</v>
      </c>
      <c r="P10632" t="s">
        <v>206</v>
      </c>
      <c r="Q10632" t="s">
        <v>58</v>
      </c>
      <c r="R10632" t="str">
        <f>IFERROR(VLOOKUP(record[[#This Row],[PCUSTID]],廠商[],2,FALSE),"")</f>
        <v/>
      </c>
      <c r="S10632" t="str">
        <f>VLOOKUP(record[[#This Row],[employeeID]],員工[],2,FALSE)</f>
        <v>曾婉筠</v>
      </c>
    </row>
    <row r="10633" spans="6:19" hidden="1" x14ac:dyDescent="0.25">
      <c r="F10633" t="s">
        <v>680</v>
      </c>
      <c r="G10633" t="s">
        <v>356</v>
      </c>
      <c r="H10633" t="str">
        <f>VLOOKUP(record[[#This Row],[ProcessSN]],表格2_7[],2,FALSE)</f>
        <v>30-4118-018-450</v>
      </c>
      <c r="I10633" t="str">
        <f>VLOOKUP(record[[#This Row],[ProcessSN]],表格2_7[],3,FALSE)</f>
        <v>#08</v>
      </c>
      <c r="J10633" t="s">
        <v>597</v>
      </c>
      <c r="K10633" s="195">
        <v>45667.543020833335</v>
      </c>
      <c r="L10633">
        <v>360</v>
      </c>
      <c r="M10633">
        <v>0</v>
      </c>
      <c r="N10633" s="98" t="str">
        <f>IF(record[[#This Row],[Memo]]="Browser:chrome os:android","平板報工",IF(record[[#This Row],[Memo]]=0,"委外",record[[#This Row],[Memo]]))</f>
        <v>委外</v>
      </c>
      <c r="P10633" t="s">
        <v>206</v>
      </c>
      <c r="Q10633" t="s">
        <v>287</v>
      </c>
      <c r="R10633" t="str">
        <f>IFERROR(VLOOKUP(record[[#This Row],[PCUSTID]],廠商[],2,FALSE),"")</f>
        <v>泉盛</v>
      </c>
      <c r="S10633" t="str">
        <f>VLOOKUP(record[[#This Row],[employeeID]],員工[],2,FALSE)</f>
        <v>曾婉筠</v>
      </c>
    </row>
    <row r="10634" spans="6:19" hidden="1" x14ac:dyDescent="0.25">
      <c r="F10634" t="s">
        <v>680</v>
      </c>
      <c r="G10634" t="s">
        <v>355</v>
      </c>
      <c r="H10634" t="str">
        <f>VLOOKUP(record[[#This Row],[ProcessSN]],表格2_7[],2,FALSE)</f>
        <v>30-4118-018-450</v>
      </c>
      <c r="I10634" t="str">
        <f>VLOOKUP(record[[#This Row],[ProcessSN]],表格2_7[],3,FALSE)</f>
        <v>#08PICK</v>
      </c>
      <c r="J10634" t="s">
        <v>582</v>
      </c>
      <c r="K10634" s="195">
        <v>45667.479745370372</v>
      </c>
      <c r="L10634">
        <v>360</v>
      </c>
      <c r="M10634">
        <v>0</v>
      </c>
      <c r="N10634" s="98" t="str">
        <f>IF(record[[#This Row],[Memo]]="Browser:chrome os:android","平板報工",IF(record[[#This Row],[Memo]]=0,"委外",record[[#This Row],[Memo]]))</f>
        <v/>
      </c>
      <c r="O10634" t="s">
        <v>58</v>
      </c>
      <c r="P10634" t="s">
        <v>65</v>
      </c>
      <c r="Q10634" t="s">
        <v>58</v>
      </c>
      <c r="R10634" t="str">
        <f>IFERROR(VLOOKUP(record[[#This Row],[PCUSTID]],廠商[],2,FALSE),"")</f>
        <v/>
      </c>
      <c r="S10634" t="str">
        <f>VLOOKUP(record[[#This Row],[employeeID]],員工[],2,FALSE)</f>
        <v>蘇進昌</v>
      </c>
    </row>
    <row r="10635" spans="6:19" hidden="1" x14ac:dyDescent="0.25">
      <c r="F10635" t="s">
        <v>586</v>
      </c>
      <c r="G10635" t="s">
        <v>379</v>
      </c>
      <c r="H10635" t="str">
        <f>VLOOKUP(record[[#This Row],[ProcessSN]],表格2_7[],2,FALSE)</f>
        <v>30-4118-018-4XX</v>
      </c>
      <c r="I10635" t="str">
        <f>VLOOKUP(record[[#This Row],[ProcessSN]],表格2_7[],3,FALSE)</f>
        <v>#07STOCK</v>
      </c>
      <c r="J10635" t="s">
        <v>592</v>
      </c>
      <c r="K10635" s="195">
        <v>45667.479178240741</v>
      </c>
      <c r="L10635">
        <v>360</v>
      </c>
      <c r="M10635">
        <v>0</v>
      </c>
      <c r="N10635" s="98" t="str">
        <f>IF(record[[#This Row],[Memo]]="Browser:chrome os:android","平板報工",IF(record[[#This Row],[Memo]]=0,"委外",record[[#This Row],[Memo]]))</f>
        <v/>
      </c>
      <c r="O10635" t="s">
        <v>58</v>
      </c>
      <c r="P10635" t="s">
        <v>65</v>
      </c>
      <c r="Q10635" t="s">
        <v>58</v>
      </c>
      <c r="R10635" t="str">
        <f>IFERROR(VLOOKUP(record[[#This Row],[PCUSTID]],廠商[],2,FALSE),"")</f>
        <v/>
      </c>
      <c r="S10635" t="str">
        <f>VLOOKUP(record[[#This Row],[employeeID]],員工[],2,FALSE)</f>
        <v>蘇進昌</v>
      </c>
    </row>
    <row r="10636" spans="6:19" hidden="1" x14ac:dyDescent="0.25">
      <c r="F10636" t="s">
        <v>652</v>
      </c>
      <c r="G10636" t="s">
        <v>398</v>
      </c>
      <c r="H10636" t="str">
        <f>VLOOKUP(record[[#This Row],[ProcessSN]],表格2_7[],2,FALSE)</f>
        <v>30-4118-018-550</v>
      </c>
      <c r="I10636" t="str">
        <f>VLOOKUP(record[[#This Row],[ProcessSN]],表格2_7[],3,FALSE)</f>
        <v>#08RCV</v>
      </c>
      <c r="J10636" t="s">
        <v>591</v>
      </c>
      <c r="K10636" s="195">
        <v>45667.456643518519</v>
      </c>
      <c r="L10636">
        <v>12</v>
      </c>
      <c r="M10636">
        <v>-12</v>
      </c>
      <c r="N10636" s="98" t="str">
        <f>IF(record[[#This Row],[Memo]]="Browser:chrome os:android","平板報工",IF(record[[#This Row],[Memo]]=0,"委外",record[[#This Row],[Memo]]))</f>
        <v>覆回品</v>
      </c>
      <c r="O10636" t="s">
        <v>664</v>
      </c>
      <c r="P10636" t="s">
        <v>65</v>
      </c>
      <c r="Q10636" t="s">
        <v>58</v>
      </c>
      <c r="R10636" t="str">
        <f>IFERROR(VLOOKUP(record[[#This Row],[PCUSTID]],廠商[],2,FALSE),"")</f>
        <v/>
      </c>
      <c r="S10636" t="str">
        <f>VLOOKUP(record[[#This Row],[employeeID]],員工[],2,FALSE)</f>
        <v>蘇進昌</v>
      </c>
    </row>
    <row r="10637" spans="6:19" hidden="1" x14ac:dyDescent="0.25">
      <c r="F10637" t="s">
        <v>586</v>
      </c>
      <c r="G10637" t="s">
        <v>378</v>
      </c>
      <c r="H10637" t="str">
        <f>VLOOKUP(record[[#This Row],[ProcessSN]],表格2_7[],2,FALSE)</f>
        <v>30-4118-018-4XX</v>
      </c>
      <c r="I10637" t="str">
        <f>VLOOKUP(record[[#This Row],[ProcessSN]],表格2_7[],3,FALSE)</f>
        <v>#07QC</v>
      </c>
      <c r="J10637" t="s">
        <v>589</v>
      </c>
      <c r="K10637" s="195">
        <v>45667.447326388887</v>
      </c>
      <c r="L10637">
        <v>360</v>
      </c>
      <c r="M10637">
        <v>14</v>
      </c>
      <c r="N10637" s="98" t="str">
        <f>IF(record[[#This Row],[Memo]]="Browser:chrome os:android","平板報工",IF(record[[#This Row],[Memo]]=0,"委外",record[[#This Row],[Memo]]))</f>
        <v>平板報工</v>
      </c>
      <c r="O10637" t="s">
        <v>643</v>
      </c>
      <c r="P10637" t="s">
        <v>141</v>
      </c>
      <c r="Q10637" t="s">
        <v>644</v>
      </c>
      <c r="R10637" t="str">
        <f>IFERROR(VLOOKUP(record[[#This Row],[PCUSTID]],廠商[],2,FALSE),"")</f>
        <v/>
      </c>
      <c r="S10637" t="str">
        <f>VLOOKUP(record[[#This Row],[employeeID]],員工[],2,FALSE)</f>
        <v>蔣梅</v>
      </c>
    </row>
    <row r="10638" spans="6:19" hidden="1" x14ac:dyDescent="0.25">
      <c r="F10638" t="s">
        <v>626</v>
      </c>
      <c r="G10638" t="s">
        <v>425</v>
      </c>
      <c r="H10638" t="str">
        <f>VLOOKUP(record[[#This Row],[ProcessSN]],表格2_7[],2,FALSE)</f>
        <v>30-4118-018-600</v>
      </c>
      <c r="I10638" t="str">
        <f>VLOOKUP(record[[#This Row],[ProcessSN]],表格2_7[],3,FALSE)</f>
        <v>#100</v>
      </c>
      <c r="J10638" t="s">
        <v>598</v>
      </c>
      <c r="K10638" s="195">
        <v>45667.338460648149</v>
      </c>
      <c r="L10638">
        <v>205</v>
      </c>
      <c r="M10638">
        <v>0</v>
      </c>
      <c r="N10638" s="98" t="str">
        <f>IF(record[[#This Row],[Memo]]="Browser:chrome os:android","平板報工",IF(record[[#This Row],[Memo]]=0,"委外",record[[#This Row],[Memo]]))</f>
        <v>平板報工</v>
      </c>
      <c r="O10638" t="s">
        <v>643</v>
      </c>
      <c r="P10638" t="s">
        <v>141</v>
      </c>
      <c r="Q10638" t="s">
        <v>644</v>
      </c>
      <c r="R10638" t="str">
        <f>IFERROR(VLOOKUP(record[[#This Row],[PCUSTID]],廠商[],2,FALSE),"")</f>
        <v/>
      </c>
      <c r="S10638" t="str">
        <f>VLOOKUP(record[[#This Row],[employeeID]],員工[],2,FALSE)</f>
        <v>蔣梅</v>
      </c>
    </row>
    <row r="10639" spans="6:19" hidden="1" x14ac:dyDescent="0.25">
      <c r="F10639" t="s">
        <v>586</v>
      </c>
      <c r="G10639" t="s">
        <v>377</v>
      </c>
      <c r="H10639" t="str">
        <f>VLOOKUP(record[[#This Row],[ProcessSN]],表格2_7[],2,FALSE)</f>
        <v>30-4118-018-4XX</v>
      </c>
      <c r="I10639" t="str">
        <f>VLOOKUP(record[[#This Row],[ProcessSN]],表格2_7[],3,FALSE)</f>
        <v>#07</v>
      </c>
      <c r="J10639" t="s">
        <v>588</v>
      </c>
      <c r="K10639" s="195">
        <v>45667.012291666666</v>
      </c>
      <c r="L10639">
        <v>184</v>
      </c>
      <c r="M10639">
        <v>0</v>
      </c>
      <c r="N10639" s="98" t="str">
        <f>IF(record[[#This Row],[Memo]]="Browser:chrome os:android","平板報工",IF(record[[#This Row],[Memo]]=0,"委外",record[[#This Row],[Memo]]))</f>
        <v/>
      </c>
      <c r="O10639" t="s">
        <v>58</v>
      </c>
      <c r="P10639" t="s">
        <v>127</v>
      </c>
      <c r="Q10639" t="s">
        <v>58</v>
      </c>
      <c r="R10639" t="str">
        <f>IFERROR(VLOOKUP(record[[#This Row],[PCUSTID]],廠商[],2,FALSE),"")</f>
        <v/>
      </c>
      <c r="S10639" t="str">
        <f>VLOOKUP(record[[#This Row],[employeeID]],員工[],2,FALSE)</f>
        <v>潘雪梅</v>
      </c>
    </row>
    <row r="10640" spans="6:19" hidden="1" x14ac:dyDescent="0.25">
      <c r="F10640" t="s">
        <v>625</v>
      </c>
      <c r="G10640" t="s">
        <v>425</v>
      </c>
      <c r="H10640" t="str">
        <f>VLOOKUP(record[[#This Row],[ProcessSN]],表格2_7[],2,FALSE)</f>
        <v>30-4118-018-600</v>
      </c>
      <c r="I10640" t="str">
        <f>VLOOKUP(record[[#This Row],[ProcessSN]],表格2_7[],3,FALSE)</f>
        <v>#100</v>
      </c>
      <c r="J10640" t="s">
        <v>598</v>
      </c>
      <c r="K10640" s="195">
        <v>45666.777025462965</v>
      </c>
      <c r="L10640">
        <v>322</v>
      </c>
      <c r="M10640">
        <v>0</v>
      </c>
      <c r="N10640" s="98" t="str">
        <f>IF(record[[#This Row],[Memo]]="Browser:chrome os:android","平板報工",IF(record[[#This Row],[Memo]]=0,"委外",record[[#This Row],[Memo]]))</f>
        <v>平板報工</v>
      </c>
      <c r="O10640" t="s">
        <v>643</v>
      </c>
      <c r="P10640" t="s">
        <v>141</v>
      </c>
      <c r="Q10640" t="s">
        <v>644</v>
      </c>
      <c r="R10640" t="str">
        <f>IFERROR(VLOOKUP(record[[#This Row],[PCUSTID]],廠商[],2,FALSE),"")</f>
        <v/>
      </c>
      <c r="S10640" t="str">
        <f>VLOOKUP(record[[#This Row],[employeeID]],員工[],2,FALSE)</f>
        <v>蔣梅</v>
      </c>
    </row>
    <row r="10641" spans="6:19" hidden="1" x14ac:dyDescent="0.25">
      <c r="F10641" t="s">
        <v>678</v>
      </c>
      <c r="G10641" t="s">
        <v>356</v>
      </c>
      <c r="H10641" t="str">
        <f>VLOOKUP(record[[#This Row],[ProcessSN]],表格2_7[],2,FALSE)</f>
        <v>30-4118-018-450</v>
      </c>
      <c r="I10641" t="str">
        <f>VLOOKUP(record[[#This Row],[ProcessSN]],表格2_7[],3,FALSE)</f>
        <v>#08</v>
      </c>
      <c r="J10641" t="s">
        <v>597</v>
      </c>
      <c r="K10641" s="195">
        <v>45666.646469907406</v>
      </c>
      <c r="L10641">
        <v>319</v>
      </c>
      <c r="M10641">
        <v>0</v>
      </c>
      <c r="N10641" s="98" t="str">
        <f>IF(record[[#This Row],[Memo]]="Browser:chrome os:android","平板報工",IF(record[[#This Row],[Memo]]=0,"委外",record[[#This Row],[Memo]]))</f>
        <v>委外</v>
      </c>
      <c r="P10641" t="s">
        <v>206</v>
      </c>
      <c r="Q10641" t="s">
        <v>287</v>
      </c>
      <c r="R10641" t="str">
        <f>IFERROR(VLOOKUP(record[[#This Row],[PCUSTID]],廠商[],2,FALSE),"")</f>
        <v>泉盛</v>
      </c>
      <c r="S10641" t="str">
        <f>VLOOKUP(record[[#This Row],[employeeID]],員工[],2,FALSE)</f>
        <v>曾婉筠</v>
      </c>
    </row>
    <row r="10642" spans="6:19" hidden="1" x14ac:dyDescent="0.25">
      <c r="F10642" t="s">
        <v>586</v>
      </c>
      <c r="G10642" t="s">
        <v>379</v>
      </c>
      <c r="H10642" t="str">
        <f>VLOOKUP(record[[#This Row],[ProcessSN]],表格2_7[],2,FALSE)</f>
        <v>30-4118-018-4XX</v>
      </c>
      <c r="I10642" t="str">
        <f>VLOOKUP(record[[#This Row],[ProcessSN]],表格2_7[],3,FALSE)</f>
        <v>#07STOCK</v>
      </c>
      <c r="J10642" t="s">
        <v>592</v>
      </c>
      <c r="K10642" s="195">
        <v>45666.643449074072</v>
      </c>
      <c r="L10642">
        <v>319</v>
      </c>
      <c r="M10642">
        <v>0</v>
      </c>
      <c r="N10642" s="98" t="str">
        <f>IF(record[[#This Row],[Memo]]="Browser:chrome os:android","平板報工",IF(record[[#This Row],[Memo]]=0,"委外",record[[#This Row],[Memo]]))</f>
        <v/>
      </c>
      <c r="O10642" t="s">
        <v>58</v>
      </c>
      <c r="P10642" t="s">
        <v>65</v>
      </c>
      <c r="Q10642" t="s">
        <v>58</v>
      </c>
      <c r="R10642" t="str">
        <f>IFERROR(VLOOKUP(record[[#This Row],[PCUSTID]],廠商[],2,FALSE),"")</f>
        <v/>
      </c>
      <c r="S10642" t="str">
        <f>VLOOKUP(record[[#This Row],[employeeID]],員工[],2,FALSE)</f>
        <v>蘇進昌</v>
      </c>
    </row>
    <row r="10643" spans="6:19" hidden="1" x14ac:dyDescent="0.25">
      <c r="F10643" t="s">
        <v>678</v>
      </c>
      <c r="G10643" t="s">
        <v>355</v>
      </c>
      <c r="H10643" t="str">
        <f>VLOOKUP(record[[#This Row],[ProcessSN]],表格2_7[],2,FALSE)</f>
        <v>30-4118-018-450</v>
      </c>
      <c r="I10643" t="str">
        <f>VLOOKUP(record[[#This Row],[ProcessSN]],表格2_7[],3,FALSE)</f>
        <v>#08PICK</v>
      </c>
      <c r="J10643" t="s">
        <v>582</v>
      </c>
      <c r="K10643" s="195">
        <v>45666.643136574072</v>
      </c>
      <c r="L10643">
        <v>319</v>
      </c>
      <c r="M10643">
        <v>0</v>
      </c>
      <c r="N10643" s="98" t="str">
        <f>IF(record[[#This Row],[Memo]]="Browser:chrome os:android","平板報工",IF(record[[#This Row],[Memo]]=0,"委外",record[[#This Row],[Memo]]))</f>
        <v/>
      </c>
      <c r="O10643" t="s">
        <v>58</v>
      </c>
      <c r="P10643" t="s">
        <v>65</v>
      </c>
      <c r="Q10643" t="s">
        <v>58</v>
      </c>
      <c r="R10643" t="str">
        <f>IFERROR(VLOOKUP(record[[#This Row],[PCUSTID]],廠商[],2,FALSE),"")</f>
        <v/>
      </c>
      <c r="S10643" t="str">
        <f>VLOOKUP(record[[#This Row],[employeeID]],員工[],2,FALSE)</f>
        <v>蘇進昌</v>
      </c>
    </row>
    <row r="10644" spans="6:19" hidden="1" x14ac:dyDescent="0.25">
      <c r="F10644" t="s">
        <v>586</v>
      </c>
      <c r="G10644" t="s">
        <v>377</v>
      </c>
      <c r="H10644" t="str">
        <f>VLOOKUP(record[[#This Row],[ProcessSN]],表格2_7[],2,FALSE)</f>
        <v>30-4118-018-4XX</v>
      </c>
      <c r="I10644" t="str">
        <f>VLOOKUP(record[[#This Row],[ProcessSN]],表格2_7[],3,FALSE)</f>
        <v>#07</v>
      </c>
      <c r="J10644" t="s">
        <v>588</v>
      </c>
      <c r="K10644" s="195">
        <v>45666.635347222225</v>
      </c>
      <c r="L10644">
        <v>185</v>
      </c>
      <c r="M10644">
        <v>0</v>
      </c>
      <c r="N10644" s="98" t="str">
        <f>IF(record[[#This Row],[Memo]]="Browser:chrome os:android","平板報工",IF(record[[#This Row],[Memo]]=0,"委外",record[[#This Row],[Memo]]))</f>
        <v>平板報工</v>
      </c>
      <c r="O10644" t="s">
        <v>643</v>
      </c>
      <c r="P10644" t="s">
        <v>119</v>
      </c>
      <c r="Q10644" t="s">
        <v>644</v>
      </c>
      <c r="R10644" t="str">
        <f>IFERROR(VLOOKUP(record[[#This Row],[PCUSTID]],廠商[],2,FALSE),"")</f>
        <v/>
      </c>
      <c r="S10644" t="str">
        <f>VLOOKUP(record[[#This Row],[employeeID]],員工[],2,FALSE)</f>
        <v>廖俊彥</v>
      </c>
    </row>
    <row r="10645" spans="6:19" hidden="1" x14ac:dyDescent="0.25">
      <c r="F10645" t="s">
        <v>595</v>
      </c>
      <c r="G10645" t="s">
        <v>449</v>
      </c>
      <c r="H10645" t="str">
        <f>VLOOKUP(record[[#This Row],[ProcessSN]],表格2_7[],2,FALSE)</f>
        <v>30-4118-018-6XX</v>
      </c>
      <c r="I10645" t="str">
        <f>VLOOKUP(record[[#This Row],[ProcessSN]],表格2_7[],3,FALSE)</f>
        <v>#05</v>
      </c>
      <c r="J10645" t="s">
        <v>588</v>
      </c>
      <c r="K10645" s="195">
        <v>45666.633726851855</v>
      </c>
      <c r="L10645">
        <v>85</v>
      </c>
      <c r="M10645">
        <v>2</v>
      </c>
      <c r="N10645" s="98" t="str">
        <f>IF(record[[#This Row],[Memo]]="Browser:chrome os:android","平板報工",IF(record[[#This Row],[Memo]]=0,"委外",record[[#This Row],[Memo]]))</f>
        <v>平板報工</v>
      </c>
      <c r="O10645" t="s">
        <v>643</v>
      </c>
      <c r="P10645" t="s">
        <v>119</v>
      </c>
      <c r="Q10645" t="s">
        <v>644</v>
      </c>
      <c r="R10645" t="str">
        <f>IFERROR(VLOOKUP(record[[#This Row],[PCUSTID]],廠商[],2,FALSE),"")</f>
        <v/>
      </c>
      <c r="S10645" t="str">
        <f>VLOOKUP(record[[#This Row],[employeeID]],員工[],2,FALSE)</f>
        <v>廖俊彥</v>
      </c>
    </row>
    <row r="10646" spans="6:19" hidden="1" x14ac:dyDescent="0.25">
      <c r="F10646" t="s">
        <v>642</v>
      </c>
      <c r="G10646" t="s">
        <v>417</v>
      </c>
      <c r="H10646" t="str">
        <f>VLOOKUP(record[[#This Row],[ProcessSN]],表格2_7[],2,FALSE)</f>
        <v>30-4118-018-5XX</v>
      </c>
      <c r="I10646" t="str">
        <f>VLOOKUP(record[[#This Row],[ProcessSN]],表格2_7[],3,FALSE)</f>
        <v>#06</v>
      </c>
      <c r="J10646" t="s">
        <v>593</v>
      </c>
      <c r="K10646" s="195">
        <v>45666.609606481485</v>
      </c>
      <c r="L10646">
        <v>120</v>
      </c>
      <c r="M10646">
        <v>0</v>
      </c>
      <c r="N10646" s="98" t="str">
        <f>IF(record[[#This Row],[Memo]]="Browser:chrome os:android","平板報工",IF(record[[#This Row],[Memo]]=0,"委外",record[[#This Row],[Memo]]))</f>
        <v>平板報工</v>
      </c>
      <c r="O10646" t="s">
        <v>643</v>
      </c>
      <c r="P10646" t="s">
        <v>119</v>
      </c>
      <c r="Q10646" t="s">
        <v>644</v>
      </c>
      <c r="R10646" t="str">
        <f>IFERROR(VLOOKUP(record[[#This Row],[PCUSTID]],廠商[],2,FALSE),"")</f>
        <v/>
      </c>
      <c r="S10646" t="str">
        <f>VLOOKUP(record[[#This Row],[employeeID]],員工[],2,FALSE)</f>
        <v>廖俊彥</v>
      </c>
    </row>
    <row r="10647" spans="6:19" hidden="1" x14ac:dyDescent="0.25">
      <c r="F10647" t="s">
        <v>586</v>
      </c>
      <c r="G10647" t="s">
        <v>378</v>
      </c>
      <c r="H10647" t="str">
        <f>VLOOKUP(record[[#This Row],[ProcessSN]],表格2_7[],2,FALSE)</f>
        <v>30-4118-018-4XX</v>
      </c>
      <c r="I10647" t="str">
        <f>VLOOKUP(record[[#This Row],[ProcessSN]],表格2_7[],3,FALSE)</f>
        <v>#07QC</v>
      </c>
      <c r="J10647" t="s">
        <v>589</v>
      </c>
      <c r="K10647" s="195">
        <v>45666.47016203704</v>
      </c>
      <c r="L10647">
        <v>319</v>
      </c>
      <c r="M10647">
        <v>17</v>
      </c>
      <c r="N10647" s="98" t="str">
        <f>IF(record[[#This Row],[Memo]]="Browser:chrome os:android","平板報工",IF(record[[#This Row],[Memo]]=0,"委外",record[[#This Row],[Memo]]))</f>
        <v>平板報工</v>
      </c>
      <c r="O10647" t="s">
        <v>643</v>
      </c>
      <c r="P10647" t="s">
        <v>141</v>
      </c>
      <c r="Q10647" t="s">
        <v>644</v>
      </c>
      <c r="R10647" t="str">
        <f>IFERROR(VLOOKUP(record[[#This Row],[PCUSTID]],廠商[],2,FALSE),"")</f>
        <v/>
      </c>
      <c r="S10647" t="str">
        <f>VLOOKUP(record[[#This Row],[employeeID]],員工[],2,FALSE)</f>
        <v>蔣梅</v>
      </c>
    </row>
    <row r="10648" spans="6:19" hidden="1" x14ac:dyDescent="0.25">
      <c r="F10648" t="s">
        <v>581</v>
      </c>
      <c r="G10648" t="s">
        <v>468</v>
      </c>
      <c r="H10648" t="str">
        <f>VLOOKUP(record[[#This Row],[ProcessSN]],表格2_7[],2,FALSE)</f>
        <v>30-4118-018-XXX</v>
      </c>
      <c r="I10648" t="str">
        <f>VLOOKUP(record[[#This Row],[ProcessSN]],表格2_7[],3,FALSE)</f>
        <v>#02</v>
      </c>
      <c r="J10648" t="s">
        <v>590</v>
      </c>
      <c r="K10648" s="195">
        <v>45666.450277777774</v>
      </c>
      <c r="L10648">
        <v>8</v>
      </c>
      <c r="M10648">
        <v>0</v>
      </c>
      <c r="N10648" s="98" t="str">
        <f>IF(record[[#This Row],[Memo]]="Browser:chrome os:android","平板報工",IF(record[[#This Row],[Memo]]=0,"委外",record[[#This Row],[Memo]]))</f>
        <v/>
      </c>
      <c r="O10648" t="s">
        <v>58</v>
      </c>
      <c r="P10648" t="s">
        <v>206</v>
      </c>
      <c r="Q10648" t="s">
        <v>58</v>
      </c>
      <c r="R10648" t="str">
        <f>IFERROR(VLOOKUP(record[[#This Row],[PCUSTID]],廠商[],2,FALSE),"")</f>
        <v/>
      </c>
      <c r="S10648" t="str">
        <f>VLOOKUP(record[[#This Row],[employeeID]],員工[],2,FALSE)</f>
        <v>曾婉筠</v>
      </c>
    </row>
    <row r="10649" spans="6:19" hidden="1" x14ac:dyDescent="0.25">
      <c r="F10649" t="s">
        <v>594</v>
      </c>
      <c r="G10649" t="s">
        <v>419</v>
      </c>
      <c r="H10649" t="str">
        <f>VLOOKUP(record[[#This Row],[ProcessSN]],表格2_7[],2,FALSE)</f>
        <v>30-4118-018-5XX</v>
      </c>
      <c r="I10649" t="str">
        <f>VLOOKUP(record[[#This Row],[ProcessSN]],表格2_7[],3,FALSE)</f>
        <v>#07QC</v>
      </c>
      <c r="J10649" t="s">
        <v>589</v>
      </c>
      <c r="K10649" s="195">
        <v>45666.425694444442</v>
      </c>
      <c r="L10649">
        <v>0</v>
      </c>
      <c r="M10649">
        <v>-3</v>
      </c>
      <c r="N10649" s="98" t="str">
        <f>IF(record[[#This Row],[Memo]]="Browser:chrome os:android","平板報工",IF(record[[#This Row],[Memo]]=0,"委外",record[[#This Row],[Memo]]))</f>
        <v>覆回品</v>
      </c>
      <c r="O10649" t="s">
        <v>664</v>
      </c>
      <c r="P10649" t="s">
        <v>65</v>
      </c>
      <c r="Q10649" t="s">
        <v>644</v>
      </c>
      <c r="R10649" t="str">
        <f>IFERROR(VLOOKUP(record[[#This Row],[PCUSTID]],廠商[],2,FALSE),"")</f>
        <v/>
      </c>
      <c r="S10649" t="str">
        <f>VLOOKUP(record[[#This Row],[employeeID]],員工[],2,FALSE)</f>
        <v>蘇進昌</v>
      </c>
    </row>
    <row r="10650" spans="6:19" hidden="1" x14ac:dyDescent="0.25">
      <c r="F10650" t="s">
        <v>594</v>
      </c>
      <c r="G10650" t="s">
        <v>419</v>
      </c>
      <c r="H10650" t="str">
        <f>VLOOKUP(record[[#This Row],[ProcessSN]],表格2_7[],2,FALSE)</f>
        <v>30-4118-018-5XX</v>
      </c>
      <c r="I10650" t="str">
        <f>VLOOKUP(record[[#This Row],[ProcessSN]],表格2_7[],3,FALSE)</f>
        <v>#07QC</v>
      </c>
      <c r="J10650" t="s">
        <v>589</v>
      </c>
      <c r="K10650" s="195">
        <v>45666.425694444442</v>
      </c>
      <c r="L10650">
        <v>0</v>
      </c>
      <c r="M10650">
        <v>-1</v>
      </c>
      <c r="N10650" s="98" t="str">
        <f>IF(record[[#This Row],[Memo]]="Browser:chrome os:android","平板報工",IF(record[[#This Row],[Memo]]=0,"委外",record[[#This Row],[Memo]]))</f>
        <v>覆回品</v>
      </c>
      <c r="O10650" t="s">
        <v>664</v>
      </c>
      <c r="P10650" t="s">
        <v>65</v>
      </c>
      <c r="Q10650" t="s">
        <v>644</v>
      </c>
      <c r="R10650" t="str">
        <f>IFERROR(VLOOKUP(record[[#This Row],[PCUSTID]],廠商[],2,FALSE),"")</f>
        <v/>
      </c>
      <c r="S10650" t="str">
        <f>VLOOKUP(record[[#This Row],[employeeID]],員工[],2,FALSE)</f>
        <v>蘇進昌</v>
      </c>
    </row>
    <row r="10651" spans="6:19" hidden="1" x14ac:dyDescent="0.25">
      <c r="F10651" t="s">
        <v>581</v>
      </c>
      <c r="G10651" t="s">
        <v>467</v>
      </c>
      <c r="H10651" t="str">
        <f>VLOOKUP(record[[#This Row],[ProcessSN]],表格2_7[],2,FALSE)</f>
        <v>30-4118-018-XXX</v>
      </c>
      <c r="I10651" t="str">
        <f>VLOOKUP(record[[#This Row],[ProcessSN]],表格2_7[],3,FALSE)</f>
        <v>#01QC</v>
      </c>
      <c r="J10651" t="s">
        <v>589</v>
      </c>
      <c r="K10651" s="195">
        <v>45666.40488425926</v>
      </c>
      <c r="L10651">
        <v>8</v>
      </c>
      <c r="M10651">
        <v>0</v>
      </c>
      <c r="N10651" s="98" t="str">
        <f>IF(record[[#This Row],[Memo]]="Browser:chrome os:android","平板報工",IF(record[[#This Row],[Memo]]=0,"委外",record[[#This Row],[Memo]]))</f>
        <v>平板報工</v>
      </c>
      <c r="O10651" t="s">
        <v>643</v>
      </c>
      <c r="P10651" t="s">
        <v>99</v>
      </c>
      <c r="Q10651" t="s">
        <v>644</v>
      </c>
      <c r="R10651" t="str">
        <f>IFERROR(VLOOKUP(record[[#This Row],[PCUSTID]],廠商[],2,FALSE),"")</f>
        <v/>
      </c>
      <c r="S10651" t="str">
        <f>VLOOKUP(record[[#This Row],[employeeID]],員工[],2,FALSE)</f>
        <v>阮氏河</v>
      </c>
    </row>
    <row r="10652" spans="6:19" hidden="1" x14ac:dyDescent="0.25">
      <c r="F10652" t="s">
        <v>581</v>
      </c>
      <c r="G10652" t="s">
        <v>466</v>
      </c>
      <c r="H10652" t="str">
        <f>VLOOKUP(record[[#This Row],[ProcessSN]],表格2_7[],2,FALSE)</f>
        <v>30-4118-018-XXX</v>
      </c>
      <c r="I10652" t="str">
        <f>VLOOKUP(record[[#This Row],[ProcessSN]],表格2_7[],3,FALSE)</f>
        <v>#01-2</v>
      </c>
      <c r="J10652" t="s">
        <v>588</v>
      </c>
      <c r="K10652" s="195">
        <v>45666.39739583333</v>
      </c>
      <c r="L10652">
        <v>8</v>
      </c>
      <c r="M10652">
        <v>0</v>
      </c>
      <c r="N10652" s="98" t="str">
        <f>IF(record[[#This Row],[Memo]]="Browser:chrome os:android","平板報工",IF(record[[#This Row],[Memo]]=0,"委外",record[[#This Row],[Memo]]))</f>
        <v>漏報工</v>
      </c>
      <c r="O10652" t="s">
        <v>677</v>
      </c>
      <c r="P10652" t="s">
        <v>65</v>
      </c>
      <c r="Q10652" t="s">
        <v>58</v>
      </c>
      <c r="R10652" t="str">
        <f>IFERROR(VLOOKUP(record[[#This Row],[PCUSTID]],廠商[],2,FALSE),"")</f>
        <v/>
      </c>
      <c r="S10652" t="str">
        <f>VLOOKUP(record[[#This Row],[employeeID]],員工[],2,FALSE)</f>
        <v>蘇進昌</v>
      </c>
    </row>
    <row r="10653" spans="6:19" hidden="1" x14ac:dyDescent="0.25">
      <c r="F10653" t="s">
        <v>642</v>
      </c>
      <c r="G10653" t="s">
        <v>417</v>
      </c>
      <c r="H10653" t="str">
        <f>VLOOKUP(record[[#This Row],[ProcessSN]],表格2_7[],2,FALSE)</f>
        <v>30-4118-018-5XX</v>
      </c>
      <c r="I10653" t="str">
        <f>VLOOKUP(record[[#This Row],[ProcessSN]],表格2_7[],3,FALSE)</f>
        <v>#06</v>
      </c>
      <c r="J10653" t="s">
        <v>593</v>
      </c>
      <c r="K10653" s="195">
        <v>45666.307928240742</v>
      </c>
      <c r="L10653">
        <v>126</v>
      </c>
      <c r="M10653">
        <v>4</v>
      </c>
      <c r="N10653" s="98" t="str">
        <f>IF(record[[#This Row],[Memo]]="Browser:chrome os:android","平板報工",IF(record[[#This Row],[Memo]]=0,"委外",record[[#This Row],[Memo]]))</f>
        <v/>
      </c>
      <c r="O10653" t="s">
        <v>58</v>
      </c>
      <c r="P10653" t="s">
        <v>135</v>
      </c>
      <c r="Q10653" t="s">
        <v>58</v>
      </c>
      <c r="R10653" t="str">
        <f>IFERROR(VLOOKUP(record[[#This Row],[PCUSTID]],廠商[],2,FALSE),"")</f>
        <v/>
      </c>
      <c r="S10653" t="str">
        <f>VLOOKUP(record[[#This Row],[employeeID]],員工[],2,FALSE)</f>
        <v>阮士文</v>
      </c>
    </row>
    <row r="10654" spans="6:19" hidden="1" x14ac:dyDescent="0.25">
      <c r="F10654" t="s">
        <v>586</v>
      </c>
      <c r="G10654" t="s">
        <v>377</v>
      </c>
      <c r="H10654" t="str">
        <f>VLOOKUP(record[[#This Row],[ProcessSN]],表格2_7[],2,FALSE)</f>
        <v>30-4118-018-4XX</v>
      </c>
      <c r="I10654" t="str">
        <f>VLOOKUP(record[[#This Row],[ProcessSN]],表格2_7[],3,FALSE)</f>
        <v>#07</v>
      </c>
      <c r="J10654" t="s">
        <v>588</v>
      </c>
      <c r="K10654" s="195">
        <v>45665.974108796298</v>
      </c>
      <c r="L10654">
        <v>184</v>
      </c>
      <c r="M10654">
        <v>0</v>
      </c>
      <c r="N10654" s="98" t="str">
        <f>IF(record[[#This Row],[Memo]]="Browser:chrome os:android","平板報工",IF(record[[#This Row],[Memo]]=0,"委外",record[[#This Row],[Memo]]))</f>
        <v/>
      </c>
      <c r="O10654" t="s">
        <v>58</v>
      </c>
      <c r="P10654" t="s">
        <v>127</v>
      </c>
      <c r="Q10654" t="s">
        <v>58</v>
      </c>
      <c r="R10654" t="str">
        <f>IFERROR(VLOOKUP(record[[#This Row],[PCUSTID]],廠商[],2,FALSE),"")</f>
        <v/>
      </c>
      <c r="S10654" t="str">
        <f>VLOOKUP(record[[#This Row],[employeeID]],員工[],2,FALSE)</f>
        <v>潘雪梅</v>
      </c>
    </row>
    <row r="10655" spans="6:19" hidden="1" x14ac:dyDescent="0.25">
      <c r="F10655" t="s">
        <v>595</v>
      </c>
      <c r="G10655" t="s">
        <v>449</v>
      </c>
      <c r="H10655" t="str">
        <f>VLOOKUP(record[[#This Row],[ProcessSN]],表格2_7[],2,FALSE)</f>
        <v>30-4118-018-6XX</v>
      </c>
      <c r="I10655" t="str">
        <f>VLOOKUP(record[[#This Row],[ProcessSN]],表格2_7[],3,FALSE)</f>
        <v>#05</v>
      </c>
      <c r="J10655" t="s">
        <v>588</v>
      </c>
      <c r="K10655" s="195">
        <v>45665.973483796297</v>
      </c>
      <c r="L10655">
        <v>218</v>
      </c>
      <c r="M10655">
        <v>0</v>
      </c>
      <c r="N10655" s="98" t="str">
        <f>IF(record[[#This Row],[Memo]]="Browser:chrome os:android","平板報工",IF(record[[#This Row],[Memo]]=0,"委外",record[[#This Row],[Memo]]))</f>
        <v/>
      </c>
      <c r="O10655" t="s">
        <v>58</v>
      </c>
      <c r="P10655" t="s">
        <v>127</v>
      </c>
      <c r="Q10655" t="s">
        <v>58</v>
      </c>
      <c r="R10655" t="str">
        <f>IFERROR(VLOOKUP(record[[#This Row],[PCUSTID]],廠商[],2,FALSE),"")</f>
        <v/>
      </c>
      <c r="S10655" t="str">
        <f>VLOOKUP(record[[#This Row],[employeeID]],員工[],2,FALSE)</f>
        <v>潘雪梅</v>
      </c>
    </row>
    <row r="10656" spans="6:19" hidden="1" x14ac:dyDescent="0.25">
      <c r="F10656" t="s">
        <v>652</v>
      </c>
      <c r="G10656" t="s">
        <v>399</v>
      </c>
      <c r="H10656" t="str">
        <f>VLOOKUP(record[[#This Row],[ProcessSN]],表格2_7[],2,FALSE)</f>
        <v>30-4118-018-550</v>
      </c>
      <c r="I10656" t="str">
        <f>VLOOKUP(record[[#This Row],[ProcessSN]],表格2_7[],3,FALSE)</f>
        <v>#08IQC</v>
      </c>
      <c r="J10656" t="s">
        <v>583</v>
      </c>
      <c r="K10656" s="195">
        <v>45665.806446759256</v>
      </c>
      <c r="L10656">
        <v>4</v>
      </c>
      <c r="M10656">
        <v>0</v>
      </c>
      <c r="N10656" s="98" t="str">
        <f>IF(record[[#This Row],[Memo]]="Browser:chrome os:android","平板報工",IF(record[[#This Row],[Memo]]=0,"委外",record[[#This Row],[Memo]]))</f>
        <v/>
      </c>
      <c r="O10656" t="s">
        <v>58</v>
      </c>
      <c r="P10656" t="s">
        <v>113</v>
      </c>
      <c r="Q10656" t="s">
        <v>58</v>
      </c>
      <c r="R10656" t="str">
        <f>IFERROR(VLOOKUP(record[[#This Row],[PCUSTID]],廠商[],2,FALSE),"")</f>
        <v/>
      </c>
      <c r="S10656" t="str">
        <f>VLOOKUP(record[[#This Row],[employeeID]],員工[],2,FALSE)</f>
        <v>王奕蓁</v>
      </c>
    </row>
    <row r="10657" spans="6:19" hidden="1" x14ac:dyDescent="0.25">
      <c r="F10657" t="s">
        <v>654</v>
      </c>
      <c r="G10657" t="s">
        <v>399</v>
      </c>
      <c r="H10657" t="str">
        <f>VLOOKUP(record[[#This Row],[ProcessSN]],表格2_7[],2,FALSE)</f>
        <v>30-4118-018-550</v>
      </c>
      <c r="I10657" t="str">
        <f>VLOOKUP(record[[#This Row],[ProcessSN]],表格2_7[],3,FALSE)</f>
        <v>#08IQC</v>
      </c>
      <c r="J10657" t="s">
        <v>583</v>
      </c>
      <c r="K10657" s="195">
        <v>45665.806296296294</v>
      </c>
      <c r="L10657">
        <v>1</v>
      </c>
      <c r="M10657">
        <v>0</v>
      </c>
      <c r="N10657" s="98" t="str">
        <f>IF(record[[#This Row],[Memo]]="Browser:chrome os:android","平板報工",IF(record[[#This Row],[Memo]]=0,"委外",record[[#This Row],[Memo]]))</f>
        <v/>
      </c>
      <c r="O10657" t="s">
        <v>58</v>
      </c>
      <c r="P10657" t="s">
        <v>113</v>
      </c>
      <c r="Q10657" t="s">
        <v>58</v>
      </c>
      <c r="R10657" t="str">
        <f>IFERROR(VLOOKUP(record[[#This Row],[PCUSTID]],廠商[],2,FALSE),"")</f>
        <v/>
      </c>
      <c r="S10657" t="str">
        <f>VLOOKUP(record[[#This Row],[employeeID]],員工[],2,FALSE)</f>
        <v>王奕蓁</v>
      </c>
    </row>
    <row r="10658" spans="6:19" hidden="1" x14ac:dyDescent="0.25">
      <c r="F10658" t="s">
        <v>655</v>
      </c>
      <c r="G10658" t="s">
        <v>399</v>
      </c>
      <c r="H10658" t="str">
        <f>VLOOKUP(record[[#This Row],[ProcessSN]],表格2_7[],2,FALSE)</f>
        <v>30-4118-018-550</v>
      </c>
      <c r="I10658" t="str">
        <f>VLOOKUP(record[[#This Row],[ProcessSN]],表格2_7[],3,FALSE)</f>
        <v>#08IQC</v>
      </c>
      <c r="J10658" t="s">
        <v>583</v>
      </c>
      <c r="K10658" s="195">
        <v>45665.806030092594</v>
      </c>
      <c r="L10658">
        <v>6</v>
      </c>
      <c r="M10658">
        <v>0</v>
      </c>
      <c r="N10658" s="98" t="str">
        <f>IF(record[[#This Row],[Memo]]="Browser:chrome os:android","平板報工",IF(record[[#This Row],[Memo]]=0,"委外",record[[#This Row],[Memo]]))</f>
        <v/>
      </c>
      <c r="O10658" t="s">
        <v>58</v>
      </c>
      <c r="P10658" t="s">
        <v>113</v>
      </c>
      <c r="Q10658" t="s">
        <v>58</v>
      </c>
      <c r="R10658" t="str">
        <f>IFERROR(VLOOKUP(record[[#This Row],[PCUSTID]],廠商[],2,FALSE),"")</f>
        <v/>
      </c>
      <c r="S10658" t="str">
        <f>VLOOKUP(record[[#This Row],[employeeID]],員工[],2,FALSE)</f>
        <v>王奕蓁</v>
      </c>
    </row>
    <row r="10659" spans="6:19" hidden="1" x14ac:dyDescent="0.25">
      <c r="F10659" t="s">
        <v>662</v>
      </c>
      <c r="G10659" t="s">
        <v>399</v>
      </c>
      <c r="H10659" t="str">
        <f>VLOOKUP(record[[#This Row],[ProcessSN]],表格2_7[],2,FALSE)</f>
        <v>30-4118-018-550</v>
      </c>
      <c r="I10659" t="str">
        <f>VLOOKUP(record[[#This Row],[ProcessSN]],表格2_7[],3,FALSE)</f>
        <v>#08IQC</v>
      </c>
      <c r="J10659" t="s">
        <v>583</v>
      </c>
      <c r="K10659" s="195">
        <v>45665.70484953704</v>
      </c>
      <c r="L10659">
        <v>473</v>
      </c>
      <c r="M10659">
        <v>0</v>
      </c>
      <c r="N10659" s="98" t="str">
        <f>IF(record[[#This Row],[Memo]]="Browser:chrome os:android","平板報工",IF(record[[#This Row],[Memo]]=0,"委外",record[[#This Row],[Memo]]))</f>
        <v/>
      </c>
      <c r="O10659" t="s">
        <v>58</v>
      </c>
      <c r="P10659" t="s">
        <v>143</v>
      </c>
      <c r="Q10659" t="s">
        <v>58</v>
      </c>
      <c r="R10659" t="str">
        <f>IFERROR(VLOOKUP(record[[#This Row],[PCUSTID]],廠商[],2,FALSE),"")</f>
        <v/>
      </c>
      <c r="S10659" t="str">
        <f>VLOOKUP(record[[#This Row],[employeeID]],員工[],2,FALSE)</f>
        <v>潘佳琪</v>
      </c>
    </row>
    <row r="10660" spans="6:19" hidden="1" x14ac:dyDescent="0.25">
      <c r="F10660" t="s">
        <v>586</v>
      </c>
      <c r="G10660" t="s">
        <v>379</v>
      </c>
      <c r="H10660" t="str">
        <f>VLOOKUP(record[[#This Row],[ProcessSN]],表格2_7[],2,FALSE)</f>
        <v>30-4118-018-4XX</v>
      </c>
      <c r="I10660" t="str">
        <f>VLOOKUP(record[[#This Row],[ProcessSN]],表格2_7[],3,FALSE)</f>
        <v>#07STOCK</v>
      </c>
      <c r="J10660" t="s">
        <v>592</v>
      </c>
      <c r="K10660" s="195">
        <v>45665.643379629626</v>
      </c>
      <c r="L10660">
        <v>641</v>
      </c>
      <c r="M10660">
        <v>0</v>
      </c>
      <c r="N10660" s="98" t="str">
        <f>IF(record[[#This Row],[Memo]]="Browser:chrome os:android","平板報工",IF(record[[#This Row],[Memo]]=0,"委外",record[[#This Row],[Memo]]))</f>
        <v/>
      </c>
      <c r="O10660" t="s">
        <v>58</v>
      </c>
      <c r="P10660" t="s">
        <v>65</v>
      </c>
      <c r="Q10660" t="s">
        <v>58</v>
      </c>
      <c r="R10660" t="str">
        <f>IFERROR(VLOOKUP(record[[#This Row],[PCUSTID]],廠商[],2,FALSE),"")</f>
        <v/>
      </c>
      <c r="S10660" t="str">
        <f>VLOOKUP(record[[#This Row],[employeeID]],員工[],2,FALSE)</f>
        <v>蘇進昌</v>
      </c>
    </row>
    <row r="10661" spans="6:19" hidden="1" x14ac:dyDescent="0.25">
      <c r="F10661" t="s">
        <v>662</v>
      </c>
      <c r="G10661" t="s">
        <v>398</v>
      </c>
      <c r="H10661" t="str">
        <f>VLOOKUP(record[[#This Row],[ProcessSN]],表格2_7[],2,FALSE)</f>
        <v>30-4118-018-550</v>
      </c>
      <c r="I10661" t="str">
        <f>VLOOKUP(record[[#This Row],[ProcessSN]],表格2_7[],3,FALSE)</f>
        <v>#08RCV</v>
      </c>
      <c r="J10661" t="s">
        <v>591</v>
      </c>
      <c r="K10661" s="195">
        <v>45665.642962962964</v>
      </c>
      <c r="L10661">
        <v>473</v>
      </c>
      <c r="M10661">
        <v>13</v>
      </c>
      <c r="N10661" s="98" t="str">
        <f>IF(record[[#This Row],[Memo]]="Browser:chrome os:android","平板報工",IF(record[[#This Row],[Memo]]=0,"委外",record[[#This Row],[Memo]]))</f>
        <v/>
      </c>
      <c r="O10661" t="s">
        <v>58</v>
      </c>
      <c r="P10661" t="s">
        <v>206</v>
      </c>
      <c r="Q10661" t="s">
        <v>58</v>
      </c>
      <c r="R10661" t="str">
        <f>IFERROR(VLOOKUP(record[[#This Row],[PCUSTID]],廠商[],2,FALSE),"")</f>
        <v/>
      </c>
      <c r="S10661" t="str">
        <f>VLOOKUP(record[[#This Row],[employeeID]],員工[],2,FALSE)</f>
        <v>曾婉筠</v>
      </c>
    </row>
    <row r="10662" spans="6:19" hidden="1" x14ac:dyDescent="0.25">
      <c r="F10662" t="s">
        <v>586</v>
      </c>
      <c r="G10662" t="s">
        <v>377</v>
      </c>
      <c r="H10662" t="str">
        <f>VLOOKUP(record[[#This Row],[ProcessSN]],表格2_7[],2,FALSE)</f>
        <v>30-4118-018-4XX</v>
      </c>
      <c r="I10662" t="str">
        <f>VLOOKUP(record[[#This Row],[ProcessSN]],表格2_7[],3,FALSE)</f>
        <v>#07</v>
      </c>
      <c r="J10662" t="s">
        <v>588</v>
      </c>
      <c r="K10662" s="195">
        <v>45665.636655092596</v>
      </c>
      <c r="L10662">
        <v>185</v>
      </c>
      <c r="M10662">
        <v>0</v>
      </c>
      <c r="N10662" s="98" t="str">
        <f>IF(record[[#This Row],[Memo]]="Browser:chrome os:android","平板報工",IF(record[[#This Row],[Memo]]=0,"委外",record[[#This Row],[Memo]]))</f>
        <v>平板報工</v>
      </c>
      <c r="O10662" t="s">
        <v>643</v>
      </c>
      <c r="P10662" t="s">
        <v>119</v>
      </c>
      <c r="Q10662" t="s">
        <v>644</v>
      </c>
      <c r="R10662" t="str">
        <f>IFERROR(VLOOKUP(record[[#This Row],[PCUSTID]],廠商[],2,FALSE),"")</f>
        <v/>
      </c>
      <c r="S10662" t="str">
        <f>VLOOKUP(record[[#This Row],[employeeID]],員工[],2,FALSE)</f>
        <v>廖俊彥</v>
      </c>
    </row>
    <row r="10663" spans="6:19" hidden="1" x14ac:dyDescent="0.25">
      <c r="F10663" t="s">
        <v>668</v>
      </c>
      <c r="G10663" t="s">
        <v>356</v>
      </c>
      <c r="H10663" t="str">
        <f>VLOOKUP(record[[#This Row],[ProcessSN]],表格2_7[],2,FALSE)</f>
        <v>30-4118-018-450</v>
      </c>
      <c r="I10663" t="str">
        <f>VLOOKUP(record[[#This Row],[ProcessSN]],表格2_7[],3,FALSE)</f>
        <v>#08</v>
      </c>
      <c r="J10663" t="s">
        <v>597</v>
      </c>
      <c r="K10663" s="195">
        <v>45665.634351851855</v>
      </c>
      <c r="L10663">
        <v>641</v>
      </c>
      <c r="M10663">
        <v>0</v>
      </c>
      <c r="N10663" s="98" t="str">
        <f>IF(record[[#This Row],[Memo]]="Browser:chrome os:android","平板報工",IF(record[[#This Row],[Memo]]=0,"委外",record[[#This Row],[Memo]]))</f>
        <v>委外</v>
      </c>
      <c r="P10663" t="s">
        <v>206</v>
      </c>
      <c r="Q10663" t="s">
        <v>287</v>
      </c>
      <c r="R10663" t="str">
        <f>IFERROR(VLOOKUP(record[[#This Row],[PCUSTID]],廠商[],2,FALSE),"")</f>
        <v>泉盛</v>
      </c>
      <c r="S10663" t="str">
        <f>VLOOKUP(record[[#This Row],[employeeID]],員工[],2,FALSE)</f>
        <v>曾婉筠</v>
      </c>
    </row>
    <row r="10664" spans="6:19" hidden="1" x14ac:dyDescent="0.25">
      <c r="F10664" t="s">
        <v>668</v>
      </c>
      <c r="G10664" t="s">
        <v>355</v>
      </c>
      <c r="H10664" t="str">
        <f>VLOOKUP(record[[#This Row],[ProcessSN]],表格2_7[],2,FALSE)</f>
        <v>30-4118-018-450</v>
      </c>
      <c r="I10664" t="str">
        <f>VLOOKUP(record[[#This Row],[ProcessSN]],表格2_7[],3,FALSE)</f>
        <v>#08PICK</v>
      </c>
      <c r="J10664" t="s">
        <v>582</v>
      </c>
      <c r="K10664" s="195">
        <v>45665.634201388886</v>
      </c>
      <c r="L10664">
        <v>641</v>
      </c>
      <c r="M10664">
        <v>0</v>
      </c>
      <c r="N10664" s="98" t="str">
        <f>IF(record[[#This Row],[Memo]]="Browser:chrome os:android","平板報工",IF(record[[#This Row],[Memo]]=0,"委外",record[[#This Row],[Memo]]))</f>
        <v/>
      </c>
      <c r="O10664" t="s">
        <v>58</v>
      </c>
      <c r="P10664" t="s">
        <v>206</v>
      </c>
      <c r="Q10664" t="s">
        <v>58</v>
      </c>
      <c r="R10664" t="str">
        <f>IFERROR(VLOOKUP(record[[#This Row],[PCUSTID]],廠商[],2,FALSE),"")</f>
        <v/>
      </c>
      <c r="S10664" t="str">
        <f>VLOOKUP(record[[#This Row],[employeeID]],員工[],2,FALSE)</f>
        <v>曾婉筠</v>
      </c>
    </row>
    <row r="10665" spans="6:19" hidden="1" x14ac:dyDescent="0.25">
      <c r="F10665" t="s">
        <v>595</v>
      </c>
      <c r="G10665" t="s">
        <v>449</v>
      </c>
      <c r="H10665" t="str">
        <f>VLOOKUP(record[[#This Row],[ProcessSN]],表格2_7[],2,FALSE)</f>
        <v>30-4118-018-6XX</v>
      </c>
      <c r="I10665" t="str">
        <f>VLOOKUP(record[[#This Row],[ProcessSN]],表格2_7[],3,FALSE)</f>
        <v>#05</v>
      </c>
      <c r="J10665" t="s">
        <v>588</v>
      </c>
      <c r="K10665" s="195">
        <v>45665.631932870368</v>
      </c>
      <c r="L10665">
        <v>246</v>
      </c>
      <c r="M10665">
        <v>0</v>
      </c>
      <c r="N10665" s="98" t="str">
        <f>IF(record[[#This Row],[Memo]]="Browser:chrome os:android","平板報工",IF(record[[#This Row],[Memo]]=0,"委外",record[[#This Row],[Memo]]))</f>
        <v>平板報工</v>
      </c>
      <c r="O10665" t="s">
        <v>643</v>
      </c>
      <c r="P10665" t="s">
        <v>119</v>
      </c>
      <c r="Q10665" t="s">
        <v>644</v>
      </c>
      <c r="R10665" t="str">
        <f>IFERROR(VLOOKUP(record[[#This Row],[PCUSTID]],廠商[],2,FALSE),"")</f>
        <v/>
      </c>
      <c r="S10665" t="str">
        <f>VLOOKUP(record[[#This Row],[employeeID]],員工[],2,FALSE)</f>
        <v>廖俊彥</v>
      </c>
    </row>
    <row r="10666" spans="6:19" hidden="1" x14ac:dyDescent="0.25">
      <c r="F10666" t="s">
        <v>642</v>
      </c>
      <c r="G10666" t="s">
        <v>417</v>
      </c>
      <c r="H10666" t="str">
        <f>VLOOKUP(record[[#This Row],[ProcessSN]],表格2_7[],2,FALSE)</f>
        <v>30-4118-018-5XX</v>
      </c>
      <c r="I10666" t="str">
        <f>VLOOKUP(record[[#This Row],[ProcessSN]],表格2_7[],3,FALSE)</f>
        <v>#06</v>
      </c>
      <c r="J10666" t="s">
        <v>593</v>
      </c>
      <c r="K10666" s="195">
        <v>45665.615243055552</v>
      </c>
      <c r="L10666">
        <v>127</v>
      </c>
      <c r="M10666">
        <v>1</v>
      </c>
      <c r="N10666" s="98" t="str">
        <f>IF(record[[#This Row],[Memo]]="Browser:chrome os:android","平板報工",IF(record[[#This Row],[Memo]]=0,"委外",record[[#This Row],[Memo]]))</f>
        <v>原報#7報錯</v>
      </c>
      <c r="O10666" t="s">
        <v>693</v>
      </c>
      <c r="P10666" t="s">
        <v>119</v>
      </c>
      <c r="Q10666" t="s">
        <v>644</v>
      </c>
      <c r="R10666" t="str">
        <f>IFERROR(VLOOKUP(record[[#This Row],[PCUSTID]],廠商[],2,FALSE),"")</f>
        <v/>
      </c>
      <c r="S10666" t="str">
        <f>VLOOKUP(record[[#This Row],[employeeID]],員工[],2,FALSE)</f>
        <v>廖俊彥</v>
      </c>
    </row>
    <row r="10667" spans="6:19" hidden="1" x14ac:dyDescent="0.25">
      <c r="F10667" t="s">
        <v>586</v>
      </c>
      <c r="G10667" t="s">
        <v>378</v>
      </c>
      <c r="H10667" t="str">
        <f>VLOOKUP(record[[#This Row],[ProcessSN]],表格2_7[],2,FALSE)</f>
        <v>30-4118-018-4XX</v>
      </c>
      <c r="I10667" t="str">
        <f>VLOOKUP(record[[#This Row],[ProcessSN]],表格2_7[],3,FALSE)</f>
        <v>#07QC</v>
      </c>
      <c r="J10667" t="s">
        <v>589</v>
      </c>
      <c r="K10667" s="195">
        <v>45665.614351851851</v>
      </c>
      <c r="L10667">
        <v>641</v>
      </c>
      <c r="M10667">
        <v>13</v>
      </c>
      <c r="N10667" s="98" t="str">
        <f>IF(record[[#This Row],[Memo]]="Browser:chrome os:android","平板報工",IF(record[[#This Row],[Memo]]=0,"委外",record[[#This Row],[Memo]]))</f>
        <v>平板報工</v>
      </c>
      <c r="O10667" t="s">
        <v>643</v>
      </c>
      <c r="P10667" t="s">
        <v>141</v>
      </c>
      <c r="Q10667" t="s">
        <v>644</v>
      </c>
      <c r="R10667" t="str">
        <f>IFERROR(VLOOKUP(record[[#This Row],[PCUSTID]],廠商[],2,FALSE),"")</f>
        <v/>
      </c>
      <c r="S10667" t="str">
        <f>VLOOKUP(record[[#This Row],[employeeID]],員工[],2,FALSE)</f>
        <v>蔣梅</v>
      </c>
    </row>
    <row r="10668" spans="6:19" hidden="1" x14ac:dyDescent="0.25">
      <c r="F10668" t="s">
        <v>624</v>
      </c>
      <c r="G10668" t="s">
        <v>428</v>
      </c>
      <c r="H10668" t="str">
        <f>VLOOKUP(record[[#This Row],[ProcessSN]],表格2_7[],2,FALSE)</f>
        <v>30-4118-018-600</v>
      </c>
      <c r="I10668" t="str">
        <f>VLOOKUP(record[[#This Row],[ProcessSN]],表格2_7[],3,FALSE)</f>
        <v>#100SHIP</v>
      </c>
      <c r="J10668" t="s">
        <v>600</v>
      </c>
      <c r="K10668" s="195">
        <v>45665.605914351851</v>
      </c>
      <c r="L10668">
        <v>178</v>
      </c>
      <c r="M10668">
        <v>0</v>
      </c>
      <c r="N10668" s="98" t="str">
        <f>IF(record[[#This Row],[Memo]]="Browser:chrome os:android","平板報工",IF(record[[#This Row],[Memo]]=0,"委外",record[[#This Row],[Memo]]))</f>
        <v/>
      </c>
      <c r="O10668" t="s">
        <v>58</v>
      </c>
      <c r="P10668" t="s">
        <v>196</v>
      </c>
      <c r="Q10668" t="s">
        <v>58</v>
      </c>
      <c r="R10668" t="str">
        <f>IFERROR(VLOOKUP(record[[#This Row],[PCUSTID]],廠商[],2,FALSE),"")</f>
        <v/>
      </c>
      <c r="S10668" t="str">
        <f>VLOOKUP(record[[#This Row],[employeeID]],員工[],2,FALSE)</f>
        <v>張淑惠</v>
      </c>
    </row>
    <row r="10669" spans="6:19" hidden="1" x14ac:dyDescent="0.25">
      <c r="F10669" t="s">
        <v>623</v>
      </c>
      <c r="G10669" t="s">
        <v>428</v>
      </c>
      <c r="H10669" t="str">
        <f>VLOOKUP(record[[#This Row],[ProcessSN]],表格2_7[],2,FALSE)</f>
        <v>30-4118-018-600</v>
      </c>
      <c r="I10669" t="str">
        <f>VLOOKUP(record[[#This Row],[ProcessSN]],表格2_7[],3,FALSE)</f>
        <v>#100SHIP</v>
      </c>
      <c r="J10669" t="s">
        <v>600</v>
      </c>
      <c r="K10669" s="195">
        <v>45665.605613425927</v>
      </c>
      <c r="L10669">
        <v>71</v>
      </c>
      <c r="M10669">
        <v>0</v>
      </c>
      <c r="N10669" s="98" t="str">
        <f>IF(record[[#This Row],[Memo]]="Browser:chrome os:android","平板報工",IF(record[[#This Row],[Memo]]=0,"委外",record[[#This Row],[Memo]]))</f>
        <v/>
      </c>
      <c r="O10669" t="s">
        <v>58</v>
      </c>
      <c r="P10669" t="s">
        <v>196</v>
      </c>
      <c r="Q10669" t="s">
        <v>58</v>
      </c>
      <c r="R10669" t="str">
        <f>IFERROR(VLOOKUP(record[[#This Row],[PCUSTID]],廠商[],2,FALSE),"")</f>
        <v/>
      </c>
      <c r="S10669" t="str">
        <f>VLOOKUP(record[[#This Row],[employeeID]],員工[],2,FALSE)</f>
        <v>張淑惠</v>
      </c>
    </row>
    <row r="10670" spans="6:19" hidden="1" x14ac:dyDescent="0.25">
      <c r="F10670" t="s">
        <v>624</v>
      </c>
      <c r="G10670" t="s">
        <v>427</v>
      </c>
      <c r="H10670" t="str">
        <f>VLOOKUP(record[[#This Row],[ProcessSN]],表格2_7[],2,FALSE)</f>
        <v>30-4118-018-600</v>
      </c>
      <c r="I10670" t="str">
        <f>VLOOKUP(record[[#This Row],[ProcessSN]],表格2_7[],3,FALSE)</f>
        <v>#100STOCK</v>
      </c>
      <c r="J10670" t="s">
        <v>592</v>
      </c>
      <c r="K10670" s="195">
        <v>45665.605451388888</v>
      </c>
      <c r="L10670">
        <v>269</v>
      </c>
      <c r="M10670">
        <v>0</v>
      </c>
      <c r="N10670" s="98" t="str">
        <f>IF(record[[#This Row],[Memo]]="Browser:chrome os:android","平板報工",IF(record[[#This Row],[Memo]]=0,"委外",record[[#This Row],[Memo]]))</f>
        <v/>
      </c>
      <c r="O10670" t="s">
        <v>58</v>
      </c>
      <c r="P10670" t="s">
        <v>196</v>
      </c>
      <c r="Q10670" t="s">
        <v>58</v>
      </c>
      <c r="R10670" t="str">
        <f>IFERROR(VLOOKUP(record[[#This Row],[PCUSTID]],廠商[],2,FALSE),"")</f>
        <v/>
      </c>
      <c r="S10670" t="str">
        <f>VLOOKUP(record[[#This Row],[employeeID]],員工[],2,FALSE)</f>
        <v>張淑惠</v>
      </c>
    </row>
    <row r="10671" spans="6:19" hidden="1" x14ac:dyDescent="0.25">
      <c r="F10671" t="s">
        <v>623</v>
      </c>
      <c r="G10671" t="s">
        <v>427</v>
      </c>
      <c r="H10671" t="str">
        <f>VLOOKUP(record[[#This Row],[ProcessSN]],表格2_7[],2,FALSE)</f>
        <v>30-4118-018-600</v>
      </c>
      <c r="I10671" t="str">
        <f>VLOOKUP(record[[#This Row],[ProcessSN]],表格2_7[],3,FALSE)</f>
        <v>#100STOCK</v>
      </c>
      <c r="J10671" t="s">
        <v>592</v>
      </c>
      <c r="K10671" s="195">
        <v>45665.605092592596</v>
      </c>
      <c r="L10671">
        <v>71</v>
      </c>
      <c r="M10671">
        <v>0</v>
      </c>
      <c r="N10671" s="98" t="str">
        <f>IF(record[[#This Row],[Memo]]="Browser:chrome os:android","平板報工",IF(record[[#This Row],[Memo]]=0,"委外",record[[#This Row],[Memo]]))</f>
        <v/>
      </c>
      <c r="O10671" t="s">
        <v>58</v>
      </c>
      <c r="P10671" t="s">
        <v>196</v>
      </c>
      <c r="Q10671" t="s">
        <v>58</v>
      </c>
      <c r="R10671" t="str">
        <f>IFERROR(VLOOKUP(record[[#This Row],[PCUSTID]],廠商[],2,FALSE),"")</f>
        <v/>
      </c>
      <c r="S10671" t="str">
        <f>VLOOKUP(record[[#This Row],[employeeID]],員工[],2,FALSE)</f>
        <v>張淑惠</v>
      </c>
    </row>
    <row r="10672" spans="6:19" hidden="1" x14ac:dyDescent="0.25">
      <c r="F10672" t="s">
        <v>612</v>
      </c>
      <c r="G10672" t="s">
        <v>403</v>
      </c>
      <c r="H10672" t="str">
        <f>VLOOKUP(record[[#This Row],[ProcessSN]],表格2_7[],2,FALSE)</f>
        <v>30-4118-018-550</v>
      </c>
      <c r="I10672" t="str">
        <f>VLOOKUP(record[[#This Row],[ProcessSN]],表格2_7[],3,FALSE)</f>
        <v>#100SHIP</v>
      </c>
      <c r="J10672" t="s">
        <v>600</v>
      </c>
      <c r="K10672" s="195">
        <v>45665.603958333333</v>
      </c>
      <c r="L10672">
        <v>418</v>
      </c>
      <c r="M10672">
        <v>0</v>
      </c>
      <c r="N10672" s="98" t="str">
        <f>IF(record[[#This Row],[Memo]]="Browser:chrome os:android","平板報工",IF(record[[#This Row],[Memo]]=0,"委外",record[[#This Row],[Memo]]))</f>
        <v/>
      </c>
      <c r="O10672" t="s">
        <v>58</v>
      </c>
      <c r="P10672" t="s">
        <v>196</v>
      </c>
      <c r="Q10672" t="s">
        <v>58</v>
      </c>
      <c r="R10672" t="str">
        <f>IFERROR(VLOOKUP(record[[#This Row],[PCUSTID]],廠商[],2,FALSE),"")</f>
        <v/>
      </c>
      <c r="S10672" t="str">
        <f>VLOOKUP(record[[#This Row],[employeeID]],員工[],2,FALSE)</f>
        <v>張淑惠</v>
      </c>
    </row>
    <row r="10673" spans="6:19" hidden="1" x14ac:dyDescent="0.25">
      <c r="F10673" t="s">
        <v>610</v>
      </c>
      <c r="G10673" t="s">
        <v>403</v>
      </c>
      <c r="H10673" t="str">
        <f>VLOOKUP(record[[#This Row],[ProcessSN]],表格2_7[],2,FALSE)</f>
        <v>30-4118-018-550</v>
      </c>
      <c r="I10673" t="str">
        <f>VLOOKUP(record[[#This Row],[ProcessSN]],表格2_7[],3,FALSE)</f>
        <v>#100SHIP</v>
      </c>
      <c r="J10673" t="s">
        <v>600</v>
      </c>
      <c r="K10673" s="195">
        <v>45665.603518518517</v>
      </c>
      <c r="L10673">
        <v>129</v>
      </c>
      <c r="M10673">
        <v>0</v>
      </c>
      <c r="N10673" s="98" t="str">
        <f>IF(record[[#This Row],[Memo]]="Browser:chrome os:android","平板報工",IF(record[[#This Row],[Memo]]=0,"委外",record[[#This Row],[Memo]]))</f>
        <v/>
      </c>
      <c r="O10673" t="s">
        <v>58</v>
      </c>
      <c r="P10673" t="s">
        <v>196</v>
      </c>
      <c r="Q10673" t="s">
        <v>58</v>
      </c>
      <c r="R10673" t="str">
        <f>IFERROR(VLOOKUP(record[[#This Row],[PCUSTID]],廠商[],2,FALSE),"")</f>
        <v/>
      </c>
      <c r="S10673" t="str">
        <f>VLOOKUP(record[[#This Row],[employeeID]],員工[],2,FALSE)</f>
        <v>張淑惠</v>
      </c>
    </row>
    <row r="10674" spans="6:19" hidden="1" x14ac:dyDescent="0.25">
      <c r="F10674" t="s">
        <v>609</v>
      </c>
      <c r="G10674" t="s">
        <v>403</v>
      </c>
      <c r="H10674" t="str">
        <f>VLOOKUP(record[[#This Row],[ProcessSN]],表格2_7[],2,FALSE)</f>
        <v>30-4118-018-550</v>
      </c>
      <c r="I10674" t="str">
        <f>VLOOKUP(record[[#This Row],[ProcessSN]],表格2_7[],3,FALSE)</f>
        <v>#100SHIP</v>
      </c>
      <c r="J10674" t="s">
        <v>600</v>
      </c>
      <c r="K10674" s="195">
        <v>45665.603263888886</v>
      </c>
      <c r="L10674">
        <v>20</v>
      </c>
      <c r="M10674">
        <v>0</v>
      </c>
      <c r="N10674" s="98" t="str">
        <f>IF(record[[#This Row],[Memo]]="Browser:chrome os:android","平板報工",IF(record[[#This Row],[Memo]]=0,"委外",record[[#This Row],[Memo]]))</f>
        <v/>
      </c>
      <c r="O10674" t="s">
        <v>58</v>
      </c>
      <c r="P10674" t="s">
        <v>196</v>
      </c>
      <c r="Q10674" t="s">
        <v>58</v>
      </c>
      <c r="R10674" t="str">
        <f>IFERROR(VLOOKUP(record[[#This Row],[PCUSTID]],廠商[],2,FALSE),"")</f>
        <v/>
      </c>
      <c r="S10674" t="str">
        <f>VLOOKUP(record[[#This Row],[employeeID]],員工[],2,FALSE)</f>
        <v>張淑惠</v>
      </c>
    </row>
    <row r="10675" spans="6:19" hidden="1" x14ac:dyDescent="0.25">
      <c r="F10675" t="s">
        <v>612</v>
      </c>
      <c r="G10675" t="s">
        <v>402</v>
      </c>
      <c r="H10675" t="str">
        <f>VLOOKUP(record[[#This Row],[ProcessSN]],表格2_7[],2,FALSE)</f>
        <v>30-4118-018-550</v>
      </c>
      <c r="I10675" t="str">
        <f>VLOOKUP(record[[#This Row],[ProcessSN]],表格2_7[],3,FALSE)</f>
        <v>#100STOCK</v>
      </c>
      <c r="J10675" t="s">
        <v>592</v>
      </c>
      <c r="K10675" s="195">
        <v>45665.601504629631</v>
      </c>
      <c r="L10675">
        <v>491</v>
      </c>
      <c r="M10675">
        <v>0</v>
      </c>
      <c r="N10675" s="98" t="str">
        <f>IF(record[[#This Row],[Memo]]="Browser:chrome os:android","平板報工",IF(record[[#This Row],[Memo]]=0,"委外",record[[#This Row],[Memo]]))</f>
        <v/>
      </c>
      <c r="O10675" t="s">
        <v>58</v>
      </c>
      <c r="P10675" t="s">
        <v>196</v>
      </c>
      <c r="Q10675" t="s">
        <v>58</v>
      </c>
      <c r="R10675" t="str">
        <f>IFERROR(VLOOKUP(record[[#This Row],[PCUSTID]],廠商[],2,FALSE),"")</f>
        <v/>
      </c>
      <c r="S10675" t="str">
        <f>VLOOKUP(record[[#This Row],[employeeID]],員工[],2,FALSE)</f>
        <v>張淑惠</v>
      </c>
    </row>
    <row r="10676" spans="6:19" hidden="1" x14ac:dyDescent="0.25">
      <c r="F10676" t="s">
        <v>610</v>
      </c>
      <c r="G10676" t="s">
        <v>402</v>
      </c>
      <c r="H10676" t="str">
        <f>VLOOKUP(record[[#This Row],[ProcessSN]],表格2_7[],2,FALSE)</f>
        <v>30-4118-018-550</v>
      </c>
      <c r="I10676" t="str">
        <f>VLOOKUP(record[[#This Row],[ProcessSN]],表格2_7[],3,FALSE)</f>
        <v>#100STOCK</v>
      </c>
      <c r="J10676" t="s">
        <v>592</v>
      </c>
      <c r="K10676" s="195">
        <v>45665.60015046296</v>
      </c>
      <c r="L10676">
        <v>129</v>
      </c>
      <c r="M10676">
        <v>0</v>
      </c>
      <c r="N10676" s="98" t="str">
        <f>IF(record[[#This Row],[Memo]]="Browser:chrome os:android","平板報工",IF(record[[#This Row],[Memo]]=0,"委外",record[[#This Row],[Memo]]))</f>
        <v/>
      </c>
      <c r="O10676" t="s">
        <v>58</v>
      </c>
      <c r="P10676" t="s">
        <v>196</v>
      </c>
      <c r="Q10676" t="s">
        <v>58</v>
      </c>
      <c r="R10676" t="str">
        <f>IFERROR(VLOOKUP(record[[#This Row],[PCUSTID]],廠商[],2,FALSE),"")</f>
        <v/>
      </c>
      <c r="S10676" t="str">
        <f>VLOOKUP(record[[#This Row],[employeeID]],員工[],2,FALSE)</f>
        <v>張淑惠</v>
      </c>
    </row>
    <row r="10677" spans="6:19" hidden="1" x14ac:dyDescent="0.25">
      <c r="F10677" t="s">
        <v>612</v>
      </c>
      <c r="G10677" t="s">
        <v>401</v>
      </c>
      <c r="H10677" t="str">
        <f>VLOOKUP(record[[#This Row],[ProcessSN]],表格2_7[],2,FALSE)</f>
        <v>30-4118-018-550</v>
      </c>
      <c r="I10677" t="str">
        <f>VLOOKUP(record[[#This Row],[ProcessSN]],表格2_7[],3,FALSE)</f>
        <v>#100OQC</v>
      </c>
      <c r="J10677" t="s">
        <v>599</v>
      </c>
      <c r="K10677" s="195">
        <v>45665.496527777781</v>
      </c>
      <c r="L10677">
        <v>491</v>
      </c>
      <c r="M10677">
        <v>0</v>
      </c>
      <c r="N10677" s="98" t="str">
        <f>IF(record[[#This Row],[Memo]]="Browser:chrome os:android","平板報工",IF(record[[#This Row],[Memo]]=0,"委外",record[[#This Row],[Memo]]))</f>
        <v/>
      </c>
      <c r="O10677" t="s">
        <v>58</v>
      </c>
      <c r="P10677" t="s">
        <v>172</v>
      </c>
      <c r="Q10677" t="s">
        <v>58</v>
      </c>
      <c r="R10677" t="str">
        <f>IFERROR(VLOOKUP(record[[#This Row],[PCUSTID]],廠商[],2,FALSE),"")</f>
        <v/>
      </c>
      <c r="S10677" t="str">
        <f>VLOOKUP(record[[#This Row],[employeeID]],員工[],2,FALSE)</f>
        <v>李采玲</v>
      </c>
    </row>
    <row r="10678" spans="6:19" hidden="1" x14ac:dyDescent="0.25">
      <c r="F10678" t="s">
        <v>610</v>
      </c>
      <c r="G10678" t="s">
        <v>401</v>
      </c>
      <c r="H10678" t="str">
        <f>VLOOKUP(record[[#This Row],[ProcessSN]],表格2_7[],2,FALSE)</f>
        <v>30-4118-018-550</v>
      </c>
      <c r="I10678" t="str">
        <f>VLOOKUP(record[[#This Row],[ProcessSN]],表格2_7[],3,FALSE)</f>
        <v>#100OQC</v>
      </c>
      <c r="J10678" t="s">
        <v>599</v>
      </c>
      <c r="K10678" s="195">
        <v>45665.495682870373</v>
      </c>
      <c r="L10678">
        <v>129</v>
      </c>
      <c r="M10678">
        <v>0</v>
      </c>
      <c r="N10678" s="98" t="str">
        <f>IF(record[[#This Row],[Memo]]="Browser:chrome os:android","平板報工",IF(record[[#This Row],[Memo]]=0,"委外",record[[#This Row],[Memo]]))</f>
        <v/>
      </c>
      <c r="O10678" t="s">
        <v>58</v>
      </c>
      <c r="P10678" t="s">
        <v>172</v>
      </c>
      <c r="Q10678" t="s">
        <v>58</v>
      </c>
      <c r="R10678" t="str">
        <f>IFERROR(VLOOKUP(record[[#This Row],[PCUSTID]],廠商[],2,FALSE),"")</f>
        <v/>
      </c>
      <c r="S10678" t="str">
        <f>VLOOKUP(record[[#This Row],[employeeID]],員工[],2,FALSE)</f>
        <v>李采玲</v>
      </c>
    </row>
    <row r="10679" spans="6:19" hidden="1" x14ac:dyDescent="0.25">
      <c r="F10679" t="s">
        <v>612</v>
      </c>
      <c r="G10679" t="s">
        <v>400</v>
      </c>
      <c r="H10679" t="str">
        <f>VLOOKUP(record[[#This Row],[ProcessSN]],表格2_7[],2,FALSE)</f>
        <v>30-4118-018-550</v>
      </c>
      <c r="I10679" t="str">
        <f>VLOOKUP(record[[#This Row],[ProcessSN]],表格2_7[],3,FALSE)</f>
        <v>#100</v>
      </c>
      <c r="J10679" t="s">
        <v>598</v>
      </c>
      <c r="K10679" s="195">
        <v>45665.441087962965</v>
      </c>
      <c r="L10679">
        <v>491</v>
      </c>
      <c r="M10679">
        <v>1</v>
      </c>
      <c r="N10679" s="98" t="str">
        <f>IF(record[[#This Row],[Memo]]="Browser:chrome os:android","平板報工",IF(record[[#This Row],[Memo]]=0,"委外",record[[#This Row],[Memo]]))</f>
        <v>平板報工</v>
      </c>
      <c r="O10679" t="s">
        <v>643</v>
      </c>
      <c r="P10679" t="s">
        <v>141</v>
      </c>
      <c r="Q10679" t="s">
        <v>644</v>
      </c>
      <c r="R10679" t="str">
        <f>IFERROR(VLOOKUP(record[[#This Row],[PCUSTID]],廠商[],2,FALSE),"")</f>
        <v/>
      </c>
      <c r="S10679" t="str">
        <f>VLOOKUP(record[[#This Row],[employeeID]],員工[],2,FALSE)</f>
        <v>蔣梅</v>
      </c>
    </row>
    <row r="10680" spans="6:19" hidden="1" x14ac:dyDescent="0.25">
      <c r="F10680" t="s">
        <v>581</v>
      </c>
      <c r="G10680" t="s">
        <v>465</v>
      </c>
      <c r="H10680" t="str">
        <f>VLOOKUP(record[[#This Row],[ProcessSN]],表格2_7[],2,FALSE)</f>
        <v>30-4118-018-XXX</v>
      </c>
      <c r="I10680" t="str">
        <f>VLOOKUP(record[[#This Row],[ProcessSN]],表格2_7[],3,FALSE)</f>
        <v>#01-1</v>
      </c>
      <c r="J10680" t="s">
        <v>588</v>
      </c>
      <c r="K10680" s="195">
        <v>45665.362083333333</v>
      </c>
      <c r="L10680">
        <v>8</v>
      </c>
      <c r="M10680">
        <v>-8</v>
      </c>
      <c r="N10680" s="98" t="str">
        <f>IF(record[[#This Row],[Memo]]="Browser:chrome os:android","平板報工",IF(record[[#This Row],[Memo]]=0,"委外",record[[#This Row],[Memo]]))</f>
        <v>覆回品</v>
      </c>
      <c r="O10680" t="s">
        <v>664</v>
      </c>
      <c r="P10680" t="s">
        <v>65</v>
      </c>
      <c r="Q10680" t="s">
        <v>58</v>
      </c>
      <c r="R10680" t="str">
        <f>IFERROR(VLOOKUP(record[[#This Row],[PCUSTID]],廠商[],2,FALSE),"")</f>
        <v/>
      </c>
      <c r="S10680" t="str">
        <f>VLOOKUP(record[[#This Row],[employeeID]],員工[],2,FALSE)</f>
        <v>蘇進昌</v>
      </c>
    </row>
    <row r="10681" spans="6:19" hidden="1" x14ac:dyDescent="0.25">
      <c r="F10681" t="s">
        <v>652</v>
      </c>
      <c r="G10681" t="s">
        <v>398</v>
      </c>
      <c r="H10681" t="str">
        <f>VLOOKUP(record[[#This Row],[ProcessSN]],表格2_7[],2,FALSE)</f>
        <v>30-4118-018-550</v>
      </c>
      <c r="I10681" t="str">
        <f>VLOOKUP(record[[#This Row],[ProcessSN]],表格2_7[],3,FALSE)</f>
        <v>#08RCV</v>
      </c>
      <c r="J10681" t="s">
        <v>591</v>
      </c>
      <c r="K10681" s="195">
        <v>45665.3594212963</v>
      </c>
      <c r="L10681">
        <v>4</v>
      </c>
      <c r="M10681">
        <v>-4</v>
      </c>
      <c r="N10681" s="98" t="str">
        <f>IF(record[[#This Row],[Memo]]="Browser:chrome os:android","平板報工",IF(record[[#This Row],[Memo]]=0,"委外",record[[#This Row],[Memo]]))</f>
        <v>覆回品</v>
      </c>
      <c r="O10681" t="s">
        <v>664</v>
      </c>
      <c r="P10681" t="s">
        <v>65</v>
      </c>
      <c r="Q10681" t="s">
        <v>58</v>
      </c>
      <c r="R10681" t="str">
        <f>IFERROR(VLOOKUP(record[[#This Row],[PCUSTID]],廠商[],2,FALSE),"")</f>
        <v/>
      </c>
      <c r="S10681" t="str">
        <f>VLOOKUP(record[[#This Row],[employeeID]],員工[],2,FALSE)</f>
        <v>蘇進昌</v>
      </c>
    </row>
    <row r="10682" spans="6:19" hidden="1" x14ac:dyDescent="0.25">
      <c r="F10682" t="s">
        <v>642</v>
      </c>
      <c r="G10682" t="s">
        <v>414</v>
      </c>
      <c r="H10682" t="str">
        <f>VLOOKUP(record[[#This Row],[ProcessSN]],表格2_7[],2,FALSE)</f>
        <v>30-4118-018-5XX</v>
      </c>
      <c r="I10682" t="str">
        <f>VLOOKUP(record[[#This Row],[ProcessSN]],表格2_7[],3,FALSE)</f>
        <v>#03</v>
      </c>
      <c r="J10682" t="s">
        <v>588</v>
      </c>
      <c r="K10682" s="195">
        <v>45665.355567129627</v>
      </c>
      <c r="L10682">
        <v>1</v>
      </c>
      <c r="M10682">
        <v>-1</v>
      </c>
      <c r="N10682" s="98" t="str">
        <f>IF(record[[#This Row],[Memo]]="Browser:chrome os:android","平板報工",IF(record[[#This Row],[Memo]]=0,"委外",record[[#This Row],[Memo]]))</f>
        <v>覆回品</v>
      </c>
      <c r="O10682" t="s">
        <v>664</v>
      </c>
      <c r="P10682" t="s">
        <v>65</v>
      </c>
      <c r="Q10682" t="s">
        <v>58</v>
      </c>
      <c r="R10682" t="str">
        <f>IFERROR(VLOOKUP(record[[#This Row],[PCUSTID]],廠商[],2,FALSE),"")</f>
        <v/>
      </c>
      <c r="S10682" t="str">
        <f>VLOOKUP(record[[#This Row],[employeeID]],員工[],2,FALSE)</f>
        <v>蘇進昌</v>
      </c>
    </row>
    <row r="10683" spans="6:19" hidden="1" x14ac:dyDescent="0.25">
      <c r="F10683" t="s">
        <v>642</v>
      </c>
      <c r="G10683" t="s">
        <v>415</v>
      </c>
      <c r="H10683" t="str">
        <f>VLOOKUP(record[[#This Row],[ProcessSN]],表格2_7[],2,FALSE)</f>
        <v>30-4118-018-5XX</v>
      </c>
      <c r="I10683" t="str">
        <f>VLOOKUP(record[[#This Row],[ProcessSN]],表格2_7[],3,FALSE)</f>
        <v>#04</v>
      </c>
      <c r="J10683" t="s">
        <v>588</v>
      </c>
      <c r="K10683" s="195">
        <v>45665.355567129627</v>
      </c>
      <c r="L10683">
        <v>8</v>
      </c>
      <c r="M10683">
        <v>-8</v>
      </c>
      <c r="N10683" s="98" t="str">
        <f>IF(record[[#This Row],[Memo]]="Browser:chrome os:android","平板報工",IF(record[[#This Row],[Memo]]=0,"委外",record[[#This Row],[Memo]]))</f>
        <v>覆回品</v>
      </c>
      <c r="O10683" t="s">
        <v>664</v>
      </c>
      <c r="P10683" t="s">
        <v>65</v>
      </c>
      <c r="Q10683" t="s">
        <v>58</v>
      </c>
      <c r="R10683" t="str">
        <f>IFERROR(VLOOKUP(record[[#This Row],[PCUSTID]],廠商[],2,FALSE),"")</f>
        <v/>
      </c>
      <c r="S10683" t="str">
        <f>VLOOKUP(record[[#This Row],[employeeID]],員工[],2,FALSE)</f>
        <v>蘇進昌</v>
      </c>
    </row>
    <row r="10684" spans="6:19" hidden="1" x14ac:dyDescent="0.25">
      <c r="F10684" t="s">
        <v>654</v>
      </c>
      <c r="G10684" t="s">
        <v>398</v>
      </c>
      <c r="H10684" t="str">
        <f>VLOOKUP(record[[#This Row],[ProcessSN]],表格2_7[],2,FALSE)</f>
        <v>30-4118-018-550</v>
      </c>
      <c r="I10684" t="str">
        <f>VLOOKUP(record[[#This Row],[ProcessSN]],表格2_7[],3,FALSE)</f>
        <v>#08RCV</v>
      </c>
      <c r="J10684" t="s">
        <v>591</v>
      </c>
      <c r="K10684" s="195">
        <v>45665.351921296293</v>
      </c>
      <c r="L10684">
        <v>1</v>
      </c>
      <c r="M10684">
        <v>-1</v>
      </c>
      <c r="N10684" s="98" t="str">
        <f>IF(record[[#This Row],[Memo]]="Browser:chrome os:android","平板報工",IF(record[[#This Row],[Memo]]=0,"委外",record[[#This Row],[Memo]]))</f>
        <v>覆回品</v>
      </c>
      <c r="O10684" t="s">
        <v>664</v>
      </c>
      <c r="P10684" t="s">
        <v>65</v>
      </c>
      <c r="Q10684" t="s">
        <v>58</v>
      </c>
      <c r="R10684" t="str">
        <f>IFERROR(VLOOKUP(record[[#This Row],[PCUSTID]],廠商[],2,FALSE),"")</f>
        <v/>
      </c>
      <c r="S10684" t="str">
        <f>VLOOKUP(record[[#This Row],[employeeID]],員工[],2,FALSE)</f>
        <v>蘇進昌</v>
      </c>
    </row>
    <row r="10685" spans="6:19" hidden="1" x14ac:dyDescent="0.25">
      <c r="F10685" t="s">
        <v>655</v>
      </c>
      <c r="G10685" t="s">
        <v>398</v>
      </c>
      <c r="H10685" t="str">
        <f>VLOOKUP(record[[#This Row],[ProcessSN]],表格2_7[],2,FALSE)</f>
        <v>30-4118-018-550</v>
      </c>
      <c r="I10685" t="str">
        <f>VLOOKUP(record[[#This Row],[ProcessSN]],表格2_7[],3,FALSE)</f>
        <v>#08RCV</v>
      </c>
      <c r="J10685" t="s">
        <v>591</v>
      </c>
      <c r="K10685" s="195">
        <v>45665.351597222223</v>
      </c>
      <c r="L10685">
        <v>6</v>
      </c>
      <c r="M10685">
        <v>-6</v>
      </c>
      <c r="N10685" s="98" t="str">
        <f>IF(record[[#This Row],[Memo]]="Browser:chrome os:android","平板報工",IF(record[[#This Row],[Memo]]=0,"委外",record[[#This Row],[Memo]]))</f>
        <v/>
      </c>
      <c r="O10685" t="s">
        <v>58</v>
      </c>
      <c r="P10685" t="s">
        <v>65</v>
      </c>
      <c r="Q10685" t="s">
        <v>58</v>
      </c>
      <c r="R10685" t="str">
        <f>IFERROR(VLOOKUP(record[[#This Row],[PCUSTID]],廠商[],2,FALSE),"")</f>
        <v/>
      </c>
      <c r="S10685" t="str">
        <f>VLOOKUP(record[[#This Row],[employeeID]],員工[],2,FALSE)</f>
        <v>蘇進昌</v>
      </c>
    </row>
    <row r="10686" spans="6:19" hidden="1" x14ac:dyDescent="0.25">
      <c r="F10686" t="s">
        <v>642</v>
      </c>
      <c r="G10686" t="s">
        <v>417</v>
      </c>
      <c r="H10686" t="str">
        <f>VLOOKUP(record[[#This Row],[ProcessSN]],表格2_7[],2,FALSE)</f>
        <v>30-4118-018-5XX</v>
      </c>
      <c r="I10686" t="str">
        <f>VLOOKUP(record[[#This Row],[ProcessSN]],表格2_7[],3,FALSE)</f>
        <v>#06</v>
      </c>
      <c r="J10686" t="s">
        <v>593</v>
      </c>
      <c r="K10686" s="195">
        <v>45665.336412037039</v>
      </c>
      <c r="L10686">
        <v>-32</v>
      </c>
      <c r="M10686">
        <v>32</v>
      </c>
      <c r="N10686" s="98" t="str">
        <f>IF(record[[#This Row],[Memo]]="Browser:chrome os:android","平板報工",IF(record[[#This Row],[Memo]]=0,"委外",record[[#This Row],[Memo]]))</f>
        <v>全檢不良</v>
      </c>
      <c r="O10686" t="s">
        <v>665</v>
      </c>
      <c r="P10686" t="s">
        <v>65</v>
      </c>
      <c r="Q10686" t="s">
        <v>58</v>
      </c>
      <c r="R10686" t="str">
        <f>IFERROR(VLOOKUP(record[[#This Row],[PCUSTID]],廠商[],2,FALSE),"")</f>
        <v/>
      </c>
      <c r="S10686" t="str">
        <f>VLOOKUP(record[[#This Row],[employeeID]],員工[],2,FALSE)</f>
        <v>蘇進昌</v>
      </c>
    </row>
    <row r="10687" spans="6:19" hidden="1" x14ac:dyDescent="0.25">
      <c r="F10687" t="s">
        <v>595</v>
      </c>
      <c r="G10687" t="s">
        <v>449</v>
      </c>
      <c r="H10687" t="str">
        <f>VLOOKUP(record[[#This Row],[ProcessSN]],表格2_7[],2,FALSE)</f>
        <v>30-4118-018-6XX</v>
      </c>
      <c r="I10687" t="str">
        <f>VLOOKUP(record[[#This Row],[ProcessSN]],表格2_7[],3,FALSE)</f>
        <v>#05</v>
      </c>
      <c r="J10687" t="s">
        <v>588</v>
      </c>
      <c r="K10687" s="195">
        <v>45665.304189814815</v>
      </c>
      <c r="L10687">
        <v>276</v>
      </c>
      <c r="M10687">
        <v>0</v>
      </c>
      <c r="N10687" s="98" t="str">
        <f>IF(record[[#This Row],[Memo]]="Browser:chrome os:android","平板報工",IF(record[[#This Row],[Memo]]=0,"委外",record[[#This Row],[Memo]]))</f>
        <v/>
      </c>
      <c r="O10687" t="s">
        <v>58</v>
      </c>
      <c r="P10687" t="s">
        <v>135</v>
      </c>
      <c r="Q10687" t="s">
        <v>58</v>
      </c>
      <c r="R10687" t="str">
        <f>IFERROR(VLOOKUP(record[[#This Row],[PCUSTID]],廠商[],2,FALSE),"")</f>
        <v/>
      </c>
      <c r="S10687" t="str">
        <f>VLOOKUP(record[[#This Row],[employeeID]],員工[],2,FALSE)</f>
        <v>阮士文</v>
      </c>
    </row>
    <row r="10688" spans="6:19" hidden="1" x14ac:dyDescent="0.25">
      <c r="F10688" t="s">
        <v>586</v>
      </c>
      <c r="G10688" t="s">
        <v>377</v>
      </c>
      <c r="H10688" t="str">
        <f>VLOOKUP(record[[#This Row],[ProcessSN]],表格2_7[],2,FALSE)</f>
        <v>30-4118-018-4XX</v>
      </c>
      <c r="I10688" t="str">
        <f>VLOOKUP(record[[#This Row],[ProcessSN]],表格2_7[],3,FALSE)</f>
        <v>#07</v>
      </c>
      <c r="J10688" t="s">
        <v>588</v>
      </c>
      <c r="K10688" s="195">
        <v>45664.999849537038</v>
      </c>
      <c r="L10688">
        <v>184</v>
      </c>
      <c r="M10688">
        <v>0</v>
      </c>
      <c r="N10688" s="98" t="str">
        <f>IF(record[[#This Row],[Memo]]="Browser:chrome os:android","平板報工",IF(record[[#This Row],[Memo]]=0,"委外",record[[#This Row],[Memo]]))</f>
        <v/>
      </c>
      <c r="O10688" t="s">
        <v>58</v>
      </c>
      <c r="P10688" t="s">
        <v>127</v>
      </c>
      <c r="Q10688" t="s">
        <v>58</v>
      </c>
      <c r="R10688" t="str">
        <f>IFERROR(VLOOKUP(record[[#This Row],[PCUSTID]],廠商[],2,FALSE),"")</f>
        <v/>
      </c>
      <c r="S10688" t="str">
        <f>VLOOKUP(record[[#This Row],[employeeID]],員工[],2,FALSE)</f>
        <v>潘雪梅</v>
      </c>
    </row>
    <row r="10689" spans="6:19" hidden="1" x14ac:dyDescent="0.25">
      <c r="F10689" t="s">
        <v>610</v>
      </c>
      <c r="G10689" t="s">
        <v>400</v>
      </c>
      <c r="H10689" t="str">
        <f>VLOOKUP(record[[#This Row],[ProcessSN]],表格2_7[],2,FALSE)</f>
        <v>30-4118-018-550</v>
      </c>
      <c r="I10689" t="str">
        <f>VLOOKUP(record[[#This Row],[ProcessSN]],表格2_7[],3,FALSE)</f>
        <v>#100</v>
      </c>
      <c r="J10689" t="s">
        <v>598</v>
      </c>
      <c r="K10689" s="195">
        <v>45664.73337962963</v>
      </c>
      <c r="L10689">
        <v>129</v>
      </c>
      <c r="M10689">
        <v>0</v>
      </c>
      <c r="N10689" s="98" t="str">
        <f>IF(record[[#This Row],[Memo]]="Browser:chrome os:android","平板報工",IF(record[[#This Row],[Memo]]=0,"委外",record[[#This Row],[Memo]]))</f>
        <v>平板報工</v>
      </c>
      <c r="O10689" t="s">
        <v>643</v>
      </c>
      <c r="P10689" t="s">
        <v>141</v>
      </c>
      <c r="Q10689" t="s">
        <v>644</v>
      </c>
      <c r="R10689" t="str">
        <f>IFERROR(VLOOKUP(record[[#This Row],[PCUSTID]],廠商[],2,FALSE),"")</f>
        <v/>
      </c>
      <c r="S10689" t="str">
        <f>VLOOKUP(record[[#This Row],[employeeID]],員工[],2,FALSE)</f>
        <v>蔣梅</v>
      </c>
    </row>
    <row r="10690" spans="6:19" hidden="1" x14ac:dyDescent="0.25">
      <c r="F10690" t="s">
        <v>660</v>
      </c>
      <c r="G10690" t="s">
        <v>399</v>
      </c>
      <c r="H10690" t="str">
        <f>VLOOKUP(record[[#This Row],[ProcessSN]],表格2_7[],2,FALSE)</f>
        <v>30-4118-018-550</v>
      </c>
      <c r="I10690" t="str">
        <f>VLOOKUP(record[[#This Row],[ProcessSN]],表格2_7[],3,FALSE)</f>
        <v>#08IQC</v>
      </c>
      <c r="J10690" t="s">
        <v>583</v>
      </c>
      <c r="K10690" s="195">
        <v>45664.73164351852</v>
      </c>
      <c r="L10690">
        <v>452</v>
      </c>
      <c r="M10690">
        <v>0</v>
      </c>
      <c r="N10690" s="98" t="str">
        <f>IF(record[[#This Row],[Memo]]="Browser:chrome os:android","平板報工",IF(record[[#This Row],[Memo]]=0,"委外",record[[#This Row],[Memo]]))</f>
        <v/>
      </c>
      <c r="O10690" t="s">
        <v>58</v>
      </c>
      <c r="P10690" t="s">
        <v>143</v>
      </c>
      <c r="Q10690" t="s">
        <v>58</v>
      </c>
      <c r="R10690" t="str">
        <f>IFERROR(VLOOKUP(record[[#This Row],[PCUSTID]],廠商[],2,FALSE),"")</f>
        <v/>
      </c>
      <c r="S10690" t="str">
        <f>VLOOKUP(record[[#This Row],[employeeID]],員工[],2,FALSE)</f>
        <v>潘佳琪</v>
      </c>
    </row>
    <row r="10691" spans="6:19" hidden="1" x14ac:dyDescent="0.25">
      <c r="F10691" t="s">
        <v>655</v>
      </c>
      <c r="G10691" t="s">
        <v>399</v>
      </c>
      <c r="H10691" t="str">
        <f>VLOOKUP(record[[#This Row],[ProcessSN]],表格2_7[],2,FALSE)</f>
        <v>30-4118-018-550</v>
      </c>
      <c r="I10691" t="str">
        <f>VLOOKUP(record[[#This Row],[ProcessSN]],表格2_7[],3,FALSE)</f>
        <v>#08IQC</v>
      </c>
      <c r="J10691" t="s">
        <v>583</v>
      </c>
      <c r="K10691" s="195">
        <v>45664.731539351851</v>
      </c>
      <c r="L10691">
        <v>313</v>
      </c>
      <c r="M10691">
        <v>0</v>
      </c>
      <c r="N10691" s="98" t="str">
        <f>IF(record[[#This Row],[Memo]]="Browser:chrome os:android","平板報工",IF(record[[#This Row],[Memo]]=0,"委外",record[[#This Row],[Memo]]))</f>
        <v/>
      </c>
      <c r="O10691" t="s">
        <v>58</v>
      </c>
      <c r="P10691" t="s">
        <v>143</v>
      </c>
      <c r="Q10691" t="s">
        <v>58</v>
      </c>
      <c r="R10691" t="str">
        <f>IFERROR(VLOOKUP(record[[#This Row],[PCUSTID]],廠商[],2,FALSE),"")</f>
        <v/>
      </c>
      <c r="S10691" t="str">
        <f>VLOOKUP(record[[#This Row],[employeeID]],員工[],2,FALSE)</f>
        <v>潘佳琪</v>
      </c>
    </row>
    <row r="10692" spans="6:19" hidden="1" x14ac:dyDescent="0.25">
      <c r="F10692" t="s">
        <v>623</v>
      </c>
      <c r="G10692" t="s">
        <v>428</v>
      </c>
      <c r="H10692" t="str">
        <f>VLOOKUP(record[[#This Row],[ProcessSN]],表格2_7[],2,FALSE)</f>
        <v>30-4118-018-600</v>
      </c>
      <c r="I10692" t="str">
        <f>VLOOKUP(record[[#This Row],[ProcessSN]],表格2_7[],3,FALSE)</f>
        <v>#100SHIP</v>
      </c>
      <c r="J10692" t="s">
        <v>600</v>
      </c>
      <c r="K10692" s="195">
        <v>45664.689988425926</v>
      </c>
      <c r="L10692">
        <v>7</v>
      </c>
      <c r="M10692">
        <v>0</v>
      </c>
      <c r="N10692" s="98" t="str">
        <f>IF(record[[#This Row],[Memo]]="Browser:chrome os:android","平板報工",IF(record[[#This Row],[Memo]]=0,"委外",record[[#This Row],[Memo]]))</f>
        <v/>
      </c>
      <c r="O10692" t="s">
        <v>58</v>
      </c>
      <c r="P10692" t="s">
        <v>196</v>
      </c>
      <c r="Q10692" t="s">
        <v>58</v>
      </c>
      <c r="R10692" t="str">
        <f>IFERROR(VLOOKUP(record[[#This Row],[PCUSTID]],廠商[],2,FALSE),"")</f>
        <v/>
      </c>
      <c r="S10692" t="str">
        <f>VLOOKUP(record[[#This Row],[employeeID]],員工[],2,FALSE)</f>
        <v>張淑惠</v>
      </c>
    </row>
    <row r="10693" spans="6:19" hidden="1" x14ac:dyDescent="0.25">
      <c r="F10693" t="s">
        <v>623</v>
      </c>
      <c r="G10693" t="s">
        <v>427</v>
      </c>
      <c r="H10693" t="str">
        <f>VLOOKUP(record[[#This Row],[ProcessSN]],表格2_7[],2,FALSE)</f>
        <v>30-4118-018-600</v>
      </c>
      <c r="I10693" t="str">
        <f>VLOOKUP(record[[#This Row],[ProcessSN]],表格2_7[],3,FALSE)</f>
        <v>#100STOCK</v>
      </c>
      <c r="J10693" t="s">
        <v>592</v>
      </c>
      <c r="K10693" s="195">
        <v>45664.689814814818</v>
      </c>
      <c r="L10693">
        <v>7</v>
      </c>
      <c r="M10693">
        <v>0</v>
      </c>
      <c r="N10693" s="98" t="str">
        <f>IF(record[[#This Row],[Memo]]="Browser:chrome os:android","平板報工",IF(record[[#This Row],[Memo]]=0,"委外",record[[#This Row],[Memo]]))</f>
        <v/>
      </c>
      <c r="O10693" t="s">
        <v>58</v>
      </c>
      <c r="P10693" t="s">
        <v>196</v>
      </c>
      <c r="Q10693" t="s">
        <v>58</v>
      </c>
      <c r="R10693" t="str">
        <f>IFERROR(VLOOKUP(record[[#This Row],[PCUSTID]],廠商[],2,FALSE),"")</f>
        <v/>
      </c>
      <c r="S10693" t="str">
        <f>VLOOKUP(record[[#This Row],[employeeID]],員工[],2,FALSE)</f>
        <v>張淑惠</v>
      </c>
    </row>
    <row r="10694" spans="6:19" hidden="1" x14ac:dyDescent="0.25">
      <c r="F10694" t="s">
        <v>609</v>
      </c>
      <c r="G10694" t="s">
        <v>403</v>
      </c>
      <c r="H10694" t="str">
        <f>VLOOKUP(record[[#This Row],[ProcessSN]],表格2_7[],2,FALSE)</f>
        <v>30-4118-018-550</v>
      </c>
      <c r="I10694" t="str">
        <f>VLOOKUP(record[[#This Row],[ProcessSN]],表格2_7[],3,FALSE)</f>
        <v>#100SHIP</v>
      </c>
      <c r="J10694" t="s">
        <v>600</v>
      </c>
      <c r="K10694" s="195">
        <v>45664.689085648148</v>
      </c>
      <c r="L10694">
        <v>79</v>
      </c>
      <c r="M10694">
        <v>0</v>
      </c>
      <c r="N10694" s="98" t="str">
        <f>IF(record[[#This Row],[Memo]]="Browser:chrome os:android","平板報工",IF(record[[#This Row],[Memo]]=0,"委外",record[[#This Row],[Memo]]))</f>
        <v/>
      </c>
      <c r="O10694" t="s">
        <v>58</v>
      </c>
      <c r="P10694" t="s">
        <v>196</v>
      </c>
      <c r="Q10694" t="s">
        <v>58</v>
      </c>
      <c r="R10694" t="str">
        <f>IFERROR(VLOOKUP(record[[#This Row],[PCUSTID]],廠商[],2,FALSE),"")</f>
        <v/>
      </c>
      <c r="S10694" t="str">
        <f>VLOOKUP(record[[#This Row],[employeeID]],員工[],2,FALSE)</f>
        <v>張淑惠</v>
      </c>
    </row>
    <row r="10695" spans="6:19" hidden="1" x14ac:dyDescent="0.25">
      <c r="F10695" t="s">
        <v>610</v>
      </c>
      <c r="G10695" t="s">
        <v>403</v>
      </c>
      <c r="H10695" t="str">
        <f>VLOOKUP(record[[#This Row],[ProcessSN]],表格2_7[],2,FALSE)</f>
        <v>30-4118-018-550</v>
      </c>
      <c r="I10695" t="str">
        <f>VLOOKUP(record[[#This Row],[ProcessSN]],表格2_7[],3,FALSE)</f>
        <v>#100SHIP</v>
      </c>
      <c r="J10695" t="s">
        <v>600</v>
      </c>
      <c r="K10695" s="195">
        <v>45664.688726851855</v>
      </c>
      <c r="L10695">
        <v>360</v>
      </c>
      <c r="M10695">
        <v>0</v>
      </c>
      <c r="N10695" s="98" t="str">
        <f>IF(record[[#This Row],[Memo]]="Browser:chrome os:android","平板報工",IF(record[[#This Row],[Memo]]=0,"委外",record[[#This Row],[Memo]]))</f>
        <v/>
      </c>
      <c r="O10695" t="s">
        <v>58</v>
      </c>
      <c r="P10695" t="s">
        <v>196</v>
      </c>
      <c r="Q10695" t="s">
        <v>58</v>
      </c>
      <c r="R10695" t="str">
        <f>IFERROR(VLOOKUP(record[[#This Row],[PCUSTID]],廠商[],2,FALSE),"")</f>
        <v/>
      </c>
      <c r="S10695" t="str">
        <f>VLOOKUP(record[[#This Row],[employeeID]],員工[],2,FALSE)</f>
        <v>張淑惠</v>
      </c>
    </row>
    <row r="10696" spans="6:19" hidden="1" x14ac:dyDescent="0.25">
      <c r="F10696" t="s">
        <v>610</v>
      </c>
      <c r="G10696" t="s">
        <v>402</v>
      </c>
      <c r="H10696" t="str">
        <f>VLOOKUP(record[[#This Row],[ProcessSN]],表格2_7[],2,FALSE)</f>
        <v>30-4118-018-550</v>
      </c>
      <c r="I10696" t="str">
        <f>VLOOKUP(record[[#This Row],[ProcessSN]],表格2_7[],3,FALSE)</f>
        <v>#100STOCK</v>
      </c>
      <c r="J10696" t="s">
        <v>592</v>
      </c>
      <c r="K10696" s="195">
        <v>45664.68818287037</v>
      </c>
      <c r="L10696">
        <v>360</v>
      </c>
      <c r="M10696">
        <v>0</v>
      </c>
      <c r="N10696" s="98" t="str">
        <f>IF(record[[#This Row],[Memo]]="Browser:chrome os:android","平板報工",IF(record[[#This Row],[Memo]]=0,"委外",record[[#This Row],[Memo]]))</f>
        <v/>
      </c>
      <c r="O10696" t="s">
        <v>58</v>
      </c>
      <c r="P10696" t="s">
        <v>196</v>
      </c>
      <c r="Q10696" t="s">
        <v>58</v>
      </c>
      <c r="R10696" t="str">
        <f>IFERROR(VLOOKUP(record[[#This Row],[PCUSTID]],廠商[],2,FALSE),"")</f>
        <v/>
      </c>
      <c r="S10696" t="str">
        <f>VLOOKUP(record[[#This Row],[employeeID]],員工[],2,FALSE)</f>
        <v>張淑惠</v>
      </c>
    </row>
    <row r="10697" spans="6:19" hidden="1" x14ac:dyDescent="0.25">
      <c r="F10697" t="s">
        <v>610</v>
      </c>
      <c r="G10697" t="s">
        <v>401</v>
      </c>
      <c r="H10697" t="str">
        <f>VLOOKUP(record[[#This Row],[ProcessSN]],表格2_7[],2,FALSE)</f>
        <v>30-4118-018-550</v>
      </c>
      <c r="I10697" t="str">
        <f>VLOOKUP(record[[#This Row],[ProcessSN]],表格2_7[],3,FALSE)</f>
        <v>#100OQC</v>
      </c>
      <c r="J10697" t="s">
        <v>599</v>
      </c>
      <c r="K10697" s="195">
        <v>45664.687962962962</v>
      </c>
      <c r="L10697">
        <v>360</v>
      </c>
      <c r="M10697">
        <v>0</v>
      </c>
      <c r="N10697" s="98" t="str">
        <f>IF(record[[#This Row],[Memo]]="Browser:chrome os:android","平板報工",IF(record[[#This Row],[Memo]]=0,"委外",record[[#This Row],[Memo]]))</f>
        <v/>
      </c>
      <c r="O10697" t="s">
        <v>58</v>
      </c>
      <c r="P10697" t="s">
        <v>196</v>
      </c>
      <c r="Q10697" t="s">
        <v>58</v>
      </c>
      <c r="R10697" t="str">
        <f>IFERROR(VLOOKUP(record[[#This Row],[PCUSTID]],廠商[],2,FALSE),"")</f>
        <v/>
      </c>
      <c r="S10697" t="str">
        <f>VLOOKUP(record[[#This Row],[employeeID]],員工[],2,FALSE)</f>
        <v>張淑惠</v>
      </c>
    </row>
    <row r="10698" spans="6:19" hidden="1" x14ac:dyDescent="0.25">
      <c r="F10698" t="s">
        <v>642</v>
      </c>
      <c r="G10698" t="s">
        <v>417</v>
      </c>
      <c r="H10698" t="str">
        <f>VLOOKUP(record[[#This Row],[ProcessSN]],表格2_7[],2,FALSE)</f>
        <v>30-4118-018-5XX</v>
      </c>
      <c r="I10698" t="str">
        <f>VLOOKUP(record[[#This Row],[ProcessSN]],表格2_7[],3,FALSE)</f>
        <v>#06</v>
      </c>
      <c r="J10698" t="s">
        <v>593</v>
      </c>
      <c r="K10698" s="195">
        <v>45664.660266203704</v>
      </c>
      <c r="L10698">
        <v>110</v>
      </c>
      <c r="M10698">
        <v>0</v>
      </c>
      <c r="N10698" s="98" t="str">
        <f>IF(record[[#This Row],[Memo]]="Browser:chrome os:android","平板報工",IF(record[[#This Row],[Memo]]=0,"委外",record[[#This Row],[Memo]]))</f>
        <v/>
      </c>
      <c r="O10698" t="s">
        <v>58</v>
      </c>
      <c r="P10698" t="s">
        <v>119</v>
      </c>
      <c r="Q10698" t="s">
        <v>58</v>
      </c>
      <c r="R10698" t="str">
        <f>IFERROR(VLOOKUP(record[[#This Row],[PCUSTID]],廠商[],2,FALSE),"")</f>
        <v/>
      </c>
      <c r="S10698" t="str">
        <f>VLOOKUP(record[[#This Row],[employeeID]],員工[],2,FALSE)</f>
        <v>廖俊彥</v>
      </c>
    </row>
    <row r="10699" spans="6:19" hidden="1" x14ac:dyDescent="0.25">
      <c r="F10699" t="s">
        <v>586</v>
      </c>
      <c r="G10699" t="s">
        <v>377</v>
      </c>
      <c r="H10699" t="str">
        <f>VLOOKUP(record[[#This Row],[ProcessSN]],表格2_7[],2,FALSE)</f>
        <v>30-4118-018-4XX</v>
      </c>
      <c r="I10699" t="str">
        <f>VLOOKUP(record[[#This Row],[ProcessSN]],表格2_7[],3,FALSE)</f>
        <v>#07</v>
      </c>
      <c r="J10699" t="s">
        <v>588</v>
      </c>
      <c r="K10699" s="195">
        <v>45664.656643518516</v>
      </c>
      <c r="L10699">
        <v>167</v>
      </c>
      <c r="M10699">
        <v>0</v>
      </c>
      <c r="N10699" s="98" t="str">
        <f>IF(record[[#This Row],[Memo]]="Browser:chrome os:android","平板報工",IF(record[[#This Row],[Memo]]=0,"委外",record[[#This Row],[Memo]]))</f>
        <v/>
      </c>
      <c r="O10699" t="s">
        <v>58</v>
      </c>
      <c r="P10699" t="s">
        <v>119</v>
      </c>
      <c r="Q10699" t="s">
        <v>58</v>
      </c>
      <c r="R10699" t="str">
        <f>IFERROR(VLOOKUP(record[[#This Row],[PCUSTID]],廠商[],2,FALSE),"")</f>
        <v/>
      </c>
      <c r="S10699" t="str">
        <f>VLOOKUP(record[[#This Row],[employeeID]],員工[],2,FALSE)</f>
        <v>廖俊彥</v>
      </c>
    </row>
    <row r="10700" spans="6:19" hidden="1" x14ac:dyDescent="0.25">
      <c r="F10700" t="s">
        <v>595</v>
      </c>
      <c r="G10700" t="s">
        <v>449</v>
      </c>
      <c r="H10700" t="str">
        <f>VLOOKUP(record[[#This Row],[ProcessSN]],表格2_7[],2,FALSE)</f>
        <v>30-4118-018-6XX</v>
      </c>
      <c r="I10700" t="str">
        <f>VLOOKUP(record[[#This Row],[ProcessSN]],表格2_7[],3,FALSE)</f>
        <v>#05</v>
      </c>
      <c r="J10700" t="s">
        <v>588</v>
      </c>
      <c r="K10700" s="195">
        <v>45664.656030092592</v>
      </c>
      <c r="L10700">
        <v>180</v>
      </c>
      <c r="M10700">
        <v>0</v>
      </c>
      <c r="N10700" s="98" t="str">
        <f>IF(record[[#This Row],[Memo]]="Browser:chrome os:android","平板報工",IF(record[[#This Row],[Memo]]=0,"委外",record[[#This Row],[Memo]]))</f>
        <v/>
      </c>
      <c r="O10700" t="s">
        <v>58</v>
      </c>
      <c r="P10700" t="s">
        <v>119</v>
      </c>
      <c r="Q10700" t="s">
        <v>58</v>
      </c>
      <c r="R10700" t="str">
        <f>IFERROR(VLOOKUP(record[[#This Row],[PCUSTID]],廠商[],2,FALSE),"")</f>
        <v/>
      </c>
      <c r="S10700" t="str">
        <f>VLOOKUP(record[[#This Row],[employeeID]],員工[],2,FALSE)</f>
        <v>廖俊彥</v>
      </c>
    </row>
    <row r="10701" spans="6:19" hidden="1" x14ac:dyDescent="0.25">
      <c r="F10701" t="s">
        <v>610</v>
      </c>
      <c r="G10701" t="s">
        <v>400</v>
      </c>
      <c r="H10701" t="str">
        <f>VLOOKUP(record[[#This Row],[ProcessSN]],表格2_7[],2,FALSE)</f>
        <v>30-4118-018-550</v>
      </c>
      <c r="I10701" t="str">
        <f>VLOOKUP(record[[#This Row],[ProcessSN]],表格2_7[],3,FALSE)</f>
        <v>#100</v>
      </c>
      <c r="J10701" t="s">
        <v>598</v>
      </c>
      <c r="K10701" s="195">
        <v>45664.613043981481</v>
      </c>
      <c r="L10701">
        <v>360</v>
      </c>
      <c r="M10701">
        <v>0</v>
      </c>
      <c r="N10701" s="98" t="str">
        <f>IF(record[[#This Row],[Memo]]="Browser:chrome os:android","平板報工",IF(record[[#This Row],[Memo]]=0,"委外",record[[#This Row],[Memo]]))</f>
        <v>平板報工</v>
      </c>
      <c r="O10701" t="s">
        <v>643</v>
      </c>
      <c r="P10701" t="s">
        <v>141</v>
      </c>
      <c r="Q10701" t="s">
        <v>644</v>
      </c>
      <c r="R10701" t="str">
        <f>IFERROR(VLOOKUP(record[[#This Row],[PCUSTID]],廠商[],2,FALSE),"")</f>
        <v/>
      </c>
      <c r="S10701" t="str">
        <f>VLOOKUP(record[[#This Row],[employeeID]],員工[],2,FALSE)</f>
        <v>蔣梅</v>
      </c>
    </row>
    <row r="10702" spans="6:19" hidden="1" x14ac:dyDescent="0.25">
      <c r="F10702" t="s">
        <v>660</v>
      </c>
      <c r="G10702" t="s">
        <v>398</v>
      </c>
      <c r="H10702" t="str">
        <f>VLOOKUP(record[[#This Row],[ProcessSN]],表格2_7[],2,FALSE)</f>
        <v>30-4118-018-550</v>
      </c>
      <c r="I10702" t="str">
        <f>VLOOKUP(record[[#This Row],[ProcessSN]],表格2_7[],3,FALSE)</f>
        <v>#08RCV</v>
      </c>
      <c r="J10702" t="s">
        <v>591</v>
      </c>
      <c r="K10702" s="195">
        <v>45664.609548611108</v>
      </c>
      <c r="L10702">
        <v>452</v>
      </c>
      <c r="M10702">
        <v>12</v>
      </c>
      <c r="N10702" s="98" t="str">
        <f>IF(record[[#This Row],[Memo]]="Browser:chrome os:android","平板報工",IF(record[[#This Row],[Memo]]=0,"委外",record[[#This Row],[Memo]]))</f>
        <v/>
      </c>
      <c r="O10702" t="s">
        <v>58</v>
      </c>
      <c r="P10702" t="s">
        <v>206</v>
      </c>
      <c r="Q10702" t="s">
        <v>58</v>
      </c>
      <c r="R10702" t="str">
        <f>IFERROR(VLOOKUP(record[[#This Row],[PCUSTID]],廠商[],2,FALSE),"")</f>
        <v/>
      </c>
      <c r="S10702" t="str">
        <f>VLOOKUP(record[[#This Row],[employeeID]],員工[],2,FALSE)</f>
        <v>曾婉筠</v>
      </c>
    </row>
    <row r="10703" spans="6:19" hidden="1" x14ac:dyDescent="0.25">
      <c r="F10703" t="s">
        <v>660</v>
      </c>
      <c r="G10703" t="s">
        <v>397</v>
      </c>
      <c r="H10703" t="str">
        <f>VLOOKUP(record[[#This Row],[ProcessSN]],表格2_7[],2,FALSE)</f>
        <v>30-4118-018-550</v>
      </c>
      <c r="I10703" t="str">
        <f>VLOOKUP(record[[#This Row],[ProcessSN]],表格2_7[],3,FALSE)</f>
        <v>#08</v>
      </c>
      <c r="J10703" t="s">
        <v>597</v>
      </c>
      <c r="K10703" s="195">
        <v>45664.608923611115</v>
      </c>
      <c r="L10703">
        <v>464</v>
      </c>
      <c r="M10703">
        <v>0</v>
      </c>
      <c r="N10703" s="98" t="str">
        <f>IF(record[[#This Row],[Memo]]="Browser:chrome os:android","平板報工",IF(record[[#This Row],[Memo]]=0,"委外",record[[#This Row],[Memo]]))</f>
        <v/>
      </c>
      <c r="O10703" t="s">
        <v>58</v>
      </c>
      <c r="P10703" t="s">
        <v>206</v>
      </c>
      <c r="Q10703" t="s">
        <v>287</v>
      </c>
      <c r="R10703" t="str">
        <f>IFERROR(VLOOKUP(record[[#This Row],[PCUSTID]],廠商[],2,FALSE),"")</f>
        <v>泉盛</v>
      </c>
      <c r="S10703" t="str">
        <f>VLOOKUP(record[[#This Row],[employeeID]],員工[],2,FALSE)</f>
        <v>曾婉筠</v>
      </c>
    </row>
    <row r="10704" spans="6:19" hidden="1" x14ac:dyDescent="0.25">
      <c r="F10704" t="s">
        <v>642</v>
      </c>
      <c r="G10704" t="s">
        <v>417</v>
      </c>
      <c r="H10704" t="str">
        <f>VLOOKUP(record[[#This Row],[ProcessSN]],表格2_7[],2,FALSE)</f>
        <v>30-4118-018-5XX</v>
      </c>
      <c r="I10704" t="str">
        <f>VLOOKUP(record[[#This Row],[ProcessSN]],表格2_7[],3,FALSE)</f>
        <v>#06</v>
      </c>
      <c r="J10704" t="s">
        <v>593</v>
      </c>
      <c r="K10704" s="195">
        <v>45664.309664351851</v>
      </c>
      <c r="L10704">
        <v>105</v>
      </c>
      <c r="M10704">
        <v>0</v>
      </c>
      <c r="N10704" s="98" t="str">
        <f>IF(record[[#This Row],[Memo]]="Browser:chrome os:android","平板報工",IF(record[[#This Row],[Memo]]=0,"委外",record[[#This Row],[Memo]]))</f>
        <v/>
      </c>
      <c r="O10704" t="s">
        <v>58</v>
      </c>
      <c r="P10704" t="s">
        <v>135</v>
      </c>
      <c r="Q10704" t="s">
        <v>58</v>
      </c>
      <c r="R10704" t="str">
        <f>IFERROR(VLOOKUP(record[[#This Row],[PCUSTID]],廠商[],2,FALSE),"")</f>
        <v/>
      </c>
      <c r="S10704" t="str">
        <f>VLOOKUP(record[[#This Row],[employeeID]],員工[],2,FALSE)</f>
        <v>阮士文</v>
      </c>
    </row>
    <row r="10705" spans="6:19" hidden="1" x14ac:dyDescent="0.25">
      <c r="F10705" t="s">
        <v>586</v>
      </c>
      <c r="G10705" t="s">
        <v>376</v>
      </c>
      <c r="H10705" t="str">
        <f>VLOOKUP(record[[#This Row],[ProcessSN]],表格2_7[],2,FALSE)</f>
        <v>30-4118-018-4XX</v>
      </c>
      <c r="I10705" t="str">
        <f>VLOOKUP(record[[#This Row],[ProcessSN]],表格2_7[],3,FALSE)</f>
        <v>#06</v>
      </c>
      <c r="J10705" t="s">
        <v>593</v>
      </c>
      <c r="K10705" s="195">
        <v>45664.309432870374</v>
      </c>
      <c r="L10705">
        <v>28</v>
      </c>
      <c r="M10705">
        <v>0</v>
      </c>
      <c r="N10705" s="98" t="str">
        <f>IF(record[[#This Row],[Memo]]="Browser:chrome os:android","平板報工",IF(record[[#This Row],[Memo]]=0,"委外",record[[#This Row],[Memo]]))</f>
        <v/>
      </c>
      <c r="O10705" t="s">
        <v>58</v>
      </c>
      <c r="P10705" t="s">
        <v>135</v>
      </c>
      <c r="Q10705" t="s">
        <v>58</v>
      </c>
      <c r="R10705" t="str">
        <f>IFERROR(VLOOKUP(record[[#This Row],[PCUSTID]],廠商[],2,FALSE),"")</f>
        <v/>
      </c>
      <c r="S10705" t="str">
        <f>VLOOKUP(record[[#This Row],[employeeID]],員工[],2,FALSE)</f>
        <v>阮士文</v>
      </c>
    </row>
    <row r="10706" spans="6:19" hidden="1" x14ac:dyDescent="0.25">
      <c r="F10706" t="s">
        <v>586</v>
      </c>
      <c r="G10706" t="s">
        <v>376</v>
      </c>
      <c r="H10706" t="str">
        <f>VLOOKUP(record[[#This Row],[ProcessSN]],表格2_7[],2,FALSE)</f>
        <v>30-4118-018-4XX</v>
      </c>
      <c r="I10706" t="str">
        <f>VLOOKUP(record[[#This Row],[ProcessSN]],表格2_7[],3,FALSE)</f>
        <v>#06</v>
      </c>
      <c r="J10706" t="s">
        <v>593</v>
      </c>
      <c r="K10706" s="195">
        <v>45663.987488425926</v>
      </c>
      <c r="L10706">
        <v>115</v>
      </c>
      <c r="M10706">
        <v>0</v>
      </c>
      <c r="N10706" s="98" t="str">
        <f>IF(record[[#This Row],[Memo]]="Browser:chrome os:android","平板報工",IF(record[[#This Row],[Memo]]=0,"委外",record[[#This Row],[Memo]]))</f>
        <v/>
      </c>
      <c r="O10706" t="s">
        <v>58</v>
      </c>
      <c r="P10706" t="s">
        <v>127</v>
      </c>
      <c r="Q10706" t="s">
        <v>58</v>
      </c>
      <c r="R10706" t="str">
        <f>IFERROR(VLOOKUP(record[[#This Row],[PCUSTID]],廠商[],2,FALSE),"")</f>
        <v/>
      </c>
      <c r="S10706" t="str">
        <f>VLOOKUP(record[[#This Row],[employeeID]],員工[],2,FALSE)</f>
        <v>潘雪梅</v>
      </c>
    </row>
    <row r="10707" spans="6:19" hidden="1" x14ac:dyDescent="0.25">
      <c r="F10707" t="s">
        <v>586</v>
      </c>
      <c r="G10707" t="s">
        <v>377</v>
      </c>
      <c r="H10707" t="str">
        <f>VLOOKUP(record[[#This Row],[ProcessSN]],表格2_7[],2,FALSE)</f>
        <v>30-4118-018-4XX</v>
      </c>
      <c r="I10707" t="str">
        <f>VLOOKUP(record[[#This Row],[ProcessSN]],表格2_7[],3,FALSE)</f>
        <v>#07</v>
      </c>
      <c r="J10707" t="s">
        <v>588</v>
      </c>
      <c r="K10707" s="195">
        <v>45663.979733796295</v>
      </c>
      <c r="L10707">
        <v>188</v>
      </c>
      <c r="M10707">
        <v>0</v>
      </c>
      <c r="N10707" s="98" t="str">
        <f>IF(record[[#This Row],[Memo]]="Browser:chrome os:android","平板報工",IF(record[[#This Row],[Memo]]=0,"委外",record[[#This Row],[Memo]]))</f>
        <v/>
      </c>
      <c r="O10707" t="s">
        <v>58</v>
      </c>
      <c r="P10707" t="s">
        <v>127</v>
      </c>
      <c r="Q10707" t="s">
        <v>58</v>
      </c>
      <c r="R10707" t="str">
        <f>IFERROR(VLOOKUP(record[[#This Row],[PCUSTID]],廠商[],2,FALSE),"")</f>
        <v/>
      </c>
      <c r="S10707" t="str">
        <f>VLOOKUP(record[[#This Row],[employeeID]],員工[],2,FALSE)</f>
        <v>潘雪梅</v>
      </c>
    </row>
    <row r="10708" spans="6:19" hidden="1" x14ac:dyDescent="0.25">
      <c r="F10708" t="s">
        <v>650</v>
      </c>
      <c r="G10708" t="s">
        <v>416</v>
      </c>
      <c r="H10708" t="str">
        <f>VLOOKUP(record[[#This Row],[ProcessSN]],表格2_7[],2,FALSE)</f>
        <v>30-4118-018-5XX</v>
      </c>
      <c r="I10708" t="str">
        <f>VLOOKUP(record[[#This Row],[ProcessSN]],表格2_7[],3,FALSE)</f>
        <v>#05</v>
      </c>
      <c r="J10708" t="s">
        <v>588</v>
      </c>
      <c r="K10708" s="195">
        <v>45663.978981481479</v>
      </c>
      <c r="L10708">
        <v>183</v>
      </c>
      <c r="M10708">
        <v>0</v>
      </c>
      <c r="N10708" s="98" t="str">
        <f>IF(record[[#This Row],[Memo]]="Browser:chrome os:android","平板報工",IF(record[[#This Row],[Memo]]=0,"委外",record[[#This Row],[Memo]]))</f>
        <v/>
      </c>
      <c r="O10708" t="s">
        <v>58</v>
      </c>
      <c r="P10708" t="s">
        <v>127</v>
      </c>
      <c r="Q10708" t="s">
        <v>58</v>
      </c>
      <c r="R10708" t="str">
        <f>IFERROR(VLOOKUP(record[[#This Row],[PCUSTID]],廠商[],2,FALSE),"")</f>
        <v/>
      </c>
      <c r="S10708" t="str">
        <f>VLOOKUP(record[[#This Row],[employeeID]],員工[],2,FALSE)</f>
        <v>潘雪梅</v>
      </c>
    </row>
    <row r="10709" spans="6:19" hidden="1" x14ac:dyDescent="0.25">
      <c r="F10709" t="s">
        <v>629</v>
      </c>
      <c r="G10709" t="s">
        <v>426</v>
      </c>
      <c r="H10709" t="str">
        <f>VLOOKUP(record[[#This Row],[ProcessSN]],表格2_7[],2,FALSE)</f>
        <v>30-4118-018-600</v>
      </c>
      <c r="I10709" t="str">
        <f>VLOOKUP(record[[#This Row],[ProcessSN]],表格2_7[],3,FALSE)</f>
        <v>#100OQC</v>
      </c>
      <c r="J10709" t="s">
        <v>599</v>
      </c>
      <c r="K10709" s="195">
        <v>45663.650659722225</v>
      </c>
      <c r="L10709">
        <v>456</v>
      </c>
      <c r="M10709">
        <v>0</v>
      </c>
      <c r="N10709" s="98" t="str">
        <f>IF(record[[#This Row],[Memo]]="Browser:chrome os:android","平板報工",IF(record[[#This Row],[Memo]]=0,"委外",record[[#This Row],[Memo]]))</f>
        <v/>
      </c>
      <c r="O10709" t="s">
        <v>58</v>
      </c>
      <c r="P10709" t="s">
        <v>172</v>
      </c>
      <c r="Q10709" t="s">
        <v>58</v>
      </c>
      <c r="R10709" t="str">
        <f>IFERROR(VLOOKUP(record[[#This Row],[PCUSTID]],廠商[],2,FALSE),"")</f>
        <v/>
      </c>
      <c r="S10709" t="str">
        <f>VLOOKUP(record[[#This Row],[employeeID]],員工[],2,FALSE)</f>
        <v>李采玲</v>
      </c>
    </row>
    <row r="10710" spans="6:19" hidden="1" x14ac:dyDescent="0.25">
      <c r="F10710" t="s">
        <v>624</v>
      </c>
      <c r="G10710" t="s">
        <v>426</v>
      </c>
      <c r="H10710" t="str">
        <f>VLOOKUP(record[[#This Row],[ProcessSN]],表格2_7[],2,FALSE)</f>
        <v>30-4118-018-600</v>
      </c>
      <c r="I10710" t="str">
        <f>VLOOKUP(record[[#This Row],[ProcessSN]],表格2_7[],3,FALSE)</f>
        <v>#100OQC</v>
      </c>
      <c r="J10710" t="s">
        <v>599</v>
      </c>
      <c r="K10710" s="195">
        <v>45663.65053240741</v>
      </c>
      <c r="L10710">
        <v>269</v>
      </c>
      <c r="M10710">
        <v>0</v>
      </c>
      <c r="N10710" s="98" t="str">
        <f>IF(record[[#This Row],[Memo]]="Browser:chrome os:android","平板報工",IF(record[[#This Row],[Memo]]=0,"委外",record[[#This Row],[Memo]]))</f>
        <v/>
      </c>
      <c r="O10710" t="s">
        <v>58</v>
      </c>
      <c r="P10710" t="s">
        <v>172</v>
      </c>
      <c r="Q10710" t="s">
        <v>58</v>
      </c>
      <c r="R10710" t="str">
        <f>IFERROR(VLOOKUP(record[[#This Row],[PCUSTID]],廠商[],2,FALSE),"")</f>
        <v/>
      </c>
      <c r="S10710" t="str">
        <f>VLOOKUP(record[[#This Row],[employeeID]],員工[],2,FALSE)</f>
        <v>李采玲</v>
      </c>
    </row>
    <row r="10711" spans="6:19" hidden="1" x14ac:dyDescent="0.25">
      <c r="F10711" t="s">
        <v>623</v>
      </c>
      <c r="G10711" t="s">
        <v>426</v>
      </c>
      <c r="H10711" t="str">
        <f>VLOOKUP(record[[#This Row],[ProcessSN]],表格2_7[],2,FALSE)</f>
        <v>30-4118-018-600</v>
      </c>
      <c r="I10711" t="str">
        <f>VLOOKUP(record[[#This Row],[ProcessSN]],表格2_7[],3,FALSE)</f>
        <v>#100OQC</v>
      </c>
      <c r="J10711" t="s">
        <v>599</v>
      </c>
      <c r="K10711" s="195">
        <v>45663.650439814817</v>
      </c>
      <c r="L10711">
        <v>78</v>
      </c>
      <c r="M10711">
        <v>0</v>
      </c>
      <c r="N10711" s="98" t="str">
        <f>IF(record[[#This Row],[Memo]]="Browser:chrome os:android","平板報工",IF(record[[#This Row],[Memo]]=0,"委外",record[[#This Row],[Memo]]))</f>
        <v/>
      </c>
      <c r="O10711" t="s">
        <v>58</v>
      </c>
      <c r="P10711" t="s">
        <v>172</v>
      </c>
      <c r="Q10711" t="s">
        <v>58</v>
      </c>
      <c r="R10711" t="str">
        <f>IFERROR(VLOOKUP(record[[#This Row],[PCUSTID]],廠商[],2,FALSE),"")</f>
        <v/>
      </c>
      <c r="S10711" t="str">
        <f>VLOOKUP(record[[#This Row],[employeeID]],員工[],2,FALSE)</f>
        <v>李采玲</v>
      </c>
    </row>
    <row r="10712" spans="6:19" hidden="1" x14ac:dyDescent="0.25">
      <c r="F10712" t="s">
        <v>586</v>
      </c>
      <c r="G10712" t="s">
        <v>376</v>
      </c>
      <c r="H10712" t="str">
        <f>VLOOKUP(record[[#This Row],[ProcessSN]],表格2_7[],2,FALSE)</f>
        <v>30-4118-018-4XX</v>
      </c>
      <c r="I10712" t="str">
        <f>VLOOKUP(record[[#This Row],[ProcessSN]],表格2_7[],3,FALSE)</f>
        <v>#06</v>
      </c>
      <c r="J10712" t="s">
        <v>593</v>
      </c>
      <c r="K10712" s="195">
        <v>45663.643368055556</v>
      </c>
      <c r="L10712">
        <v>110</v>
      </c>
      <c r="M10712">
        <v>0</v>
      </c>
      <c r="N10712" s="98" t="str">
        <f>IF(record[[#This Row],[Memo]]="Browser:chrome os:android","平板報工",IF(record[[#This Row],[Memo]]=0,"委外",record[[#This Row],[Memo]]))</f>
        <v/>
      </c>
      <c r="O10712" t="s">
        <v>58</v>
      </c>
      <c r="P10712" t="s">
        <v>119</v>
      </c>
      <c r="Q10712" t="s">
        <v>58</v>
      </c>
      <c r="R10712" t="str">
        <f>IFERROR(VLOOKUP(record[[#This Row],[PCUSTID]],廠商[],2,FALSE),"")</f>
        <v/>
      </c>
      <c r="S10712" t="str">
        <f>VLOOKUP(record[[#This Row],[employeeID]],員工[],2,FALSE)</f>
        <v>廖俊彥</v>
      </c>
    </row>
    <row r="10713" spans="6:19" hidden="1" x14ac:dyDescent="0.25">
      <c r="F10713" t="s">
        <v>655</v>
      </c>
      <c r="G10713" t="s">
        <v>398</v>
      </c>
      <c r="H10713" t="str">
        <f>VLOOKUP(record[[#This Row],[ProcessSN]],表格2_7[],2,FALSE)</f>
        <v>30-4118-018-550</v>
      </c>
      <c r="I10713" t="str">
        <f>VLOOKUP(record[[#This Row],[ProcessSN]],表格2_7[],3,FALSE)</f>
        <v>#08RCV</v>
      </c>
      <c r="J10713" t="s">
        <v>591</v>
      </c>
      <c r="K10713" s="195">
        <v>45663.643263888887</v>
      </c>
      <c r="L10713">
        <v>313</v>
      </c>
      <c r="M10713">
        <v>16</v>
      </c>
      <c r="N10713" s="98" t="str">
        <f>IF(record[[#This Row],[Memo]]="Browser:chrome os:android","平板報工",IF(record[[#This Row],[Memo]]=0,"委外",record[[#This Row],[Memo]]))</f>
        <v/>
      </c>
      <c r="O10713" t="s">
        <v>58</v>
      </c>
      <c r="P10713" t="s">
        <v>113</v>
      </c>
      <c r="Q10713" t="s">
        <v>58</v>
      </c>
      <c r="R10713" t="str">
        <f>IFERROR(VLOOKUP(record[[#This Row],[PCUSTID]],廠商[],2,FALSE),"")</f>
        <v/>
      </c>
      <c r="S10713" t="str">
        <f>VLOOKUP(record[[#This Row],[employeeID]],員工[],2,FALSE)</f>
        <v>王奕蓁</v>
      </c>
    </row>
    <row r="10714" spans="6:19" hidden="1" x14ac:dyDescent="0.25">
      <c r="F10714" t="s">
        <v>655</v>
      </c>
      <c r="G10714" t="s">
        <v>397</v>
      </c>
      <c r="H10714" t="str">
        <f>VLOOKUP(record[[#This Row],[ProcessSN]],表格2_7[],2,FALSE)</f>
        <v>30-4118-018-550</v>
      </c>
      <c r="I10714" t="str">
        <f>VLOOKUP(record[[#This Row],[ProcessSN]],表格2_7[],3,FALSE)</f>
        <v>#08</v>
      </c>
      <c r="J10714" t="s">
        <v>597</v>
      </c>
      <c r="K10714" s="195">
        <v>45663.643055555556</v>
      </c>
      <c r="L10714">
        <v>329</v>
      </c>
      <c r="M10714">
        <v>0</v>
      </c>
      <c r="N10714" s="98" t="str">
        <f>IF(record[[#This Row],[Memo]]="Browser:chrome os:android","平板報工",IF(record[[#This Row],[Memo]]=0,"委外",record[[#This Row],[Memo]]))</f>
        <v>委外</v>
      </c>
      <c r="P10714" t="s">
        <v>113</v>
      </c>
      <c r="Q10714" t="s">
        <v>287</v>
      </c>
      <c r="R10714" t="str">
        <f>IFERROR(VLOOKUP(record[[#This Row],[PCUSTID]],廠商[],2,FALSE),"")</f>
        <v>泉盛</v>
      </c>
      <c r="S10714" t="str">
        <f>VLOOKUP(record[[#This Row],[employeeID]],員工[],2,FALSE)</f>
        <v>王奕蓁</v>
      </c>
    </row>
    <row r="10715" spans="6:19" hidden="1" x14ac:dyDescent="0.25">
      <c r="F10715" t="s">
        <v>586</v>
      </c>
      <c r="G10715" t="s">
        <v>377</v>
      </c>
      <c r="H10715" t="str">
        <f>VLOOKUP(record[[#This Row],[ProcessSN]],表格2_7[],2,FALSE)</f>
        <v>30-4118-018-4XX</v>
      </c>
      <c r="I10715" t="str">
        <f>VLOOKUP(record[[#This Row],[ProcessSN]],表格2_7[],3,FALSE)</f>
        <v>#07</v>
      </c>
      <c r="J10715" t="s">
        <v>588</v>
      </c>
      <c r="K10715" s="195">
        <v>45663.641087962962</v>
      </c>
      <c r="L10715">
        <v>48</v>
      </c>
      <c r="M10715">
        <v>0</v>
      </c>
      <c r="N10715" s="98" t="str">
        <f>IF(record[[#This Row],[Memo]]="Browser:chrome os:android","平板報工",IF(record[[#This Row],[Memo]]=0,"委外",record[[#This Row],[Memo]]))</f>
        <v/>
      </c>
      <c r="O10715" t="s">
        <v>58</v>
      </c>
      <c r="P10715" t="s">
        <v>119</v>
      </c>
      <c r="Q10715" t="s">
        <v>58</v>
      </c>
      <c r="R10715" t="str">
        <f>IFERROR(VLOOKUP(record[[#This Row],[PCUSTID]],廠商[],2,FALSE),"")</f>
        <v/>
      </c>
      <c r="S10715" t="str">
        <f>VLOOKUP(record[[#This Row],[employeeID]],員工[],2,FALSE)</f>
        <v>廖俊彥</v>
      </c>
    </row>
    <row r="10716" spans="6:19" hidden="1" x14ac:dyDescent="0.25">
      <c r="F10716" t="s">
        <v>650</v>
      </c>
      <c r="G10716" t="s">
        <v>416</v>
      </c>
      <c r="H10716" t="str">
        <f>VLOOKUP(record[[#This Row],[ProcessSN]],表格2_7[],2,FALSE)</f>
        <v>30-4118-018-5XX</v>
      </c>
      <c r="I10716" t="str">
        <f>VLOOKUP(record[[#This Row],[ProcessSN]],表格2_7[],3,FALSE)</f>
        <v>#05</v>
      </c>
      <c r="J10716" t="s">
        <v>588</v>
      </c>
      <c r="K10716" s="195">
        <v>45663.639976851853</v>
      </c>
      <c r="L10716">
        <v>204</v>
      </c>
      <c r="M10716">
        <v>0</v>
      </c>
      <c r="N10716" s="98" t="str">
        <f>IF(record[[#This Row],[Memo]]="Browser:chrome os:android","平板報工",IF(record[[#This Row],[Memo]]=0,"委外",record[[#This Row],[Memo]]))</f>
        <v/>
      </c>
      <c r="O10716" t="s">
        <v>58</v>
      </c>
      <c r="P10716" t="s">
        <v>119</v>
      </c>
      <c r="Q10716" t="s">
        <v>58</v>
      </c>
      <c r="R10716" t="str">
        <f>IFERROR(VLOOKUP(record[[#This Row],[PCUSTID]],廠商[],2,FALSE),"")</f>
        <v/>
      </c>
      <c r="S10716" t="str">
        <f>VLOOKUP(record[[#This Row],[employeeID]],員工[],2,FALSE)</f>
        <v>廖俊彥</v>
      </c>
    </row>
    <row r="10717" spans="6:19" hidden="1" x14ac:dyDescent="0.25">
      <c r="F10717" t="s">
        <v>662</v>
      </c>
      <c r="G10717" t="s">
        <v>397</v>
      </c>
      <c r="H10717" t="str">
        <f>VLOOKUP(record[[#This Row],[ProcessSN]],表格2_7[],2,FALSE)</f>
        <v>30-4118-018-550</v>
      </c>
      <c r="I10717" t="str">
        <f>VLOOKUP(record[[#This Row],[ProcessSN]],表格2_7[],3,FALSE)</f>
        <v>#08</v>
      </c>
      <c r="J10717" t="s">
        <v>597</v>
      </c>
      <c r="K10717" s="195">
        <v>45663.567025462966</v>
      </c>
      <c r="L10717">
        <v>486</v>
      </c>
      <c r="M10717">
        <v>0</v>
      </c>
      <c r="N10717" s="98" t="str">
        <f>IF(record[[#This Row],[Memo]]="Browser:chrome os:android","平板報工",IF(record[[#This Row],[Memo]]=0,"委外",record[[#This Row],[Memo]]))</f>
        <v>委外</v>
      </c>
      <c r="P10717" t="s">
        <v>113</v>
      </c>
      <c r="Q10717" t="s">
        <v>287</v>
      </c>
      <c r="R10717" t="str">
        <f>IFERROR(VLOOKUP(record[[#This Row],[PCUSTID]],廠商[],2,FALSE),"")</f>
        <v>泉盛</v>
      </c>
      <c r="S10717" t="str">
        <f>VLOOKUP(record[[#This Row],[employeeID]],員工[],2,FALSE)</f>
        <v>王奕蓁</v>
      </c>
    </row>
    <row r="10718" spans="6:19" hidden="1" x14ac:dyDescent="0.25">
      <c r="F10718" t="s">
        <v>662</v>
      </c>
      <c r="G10718" t="s">
        <v>396</v>
      </c>
      <c r="H10718" t="str">
        <f>VLOOKUP(record[[#This Row],[ProcessSN]],表格2_7[],2,FALSE)</f>
        <v>30-4118-018-550</v>
      </c>
      <c r="I10718" t="str">
        <f>VLOOKUP(record[[#This Row],[ProcessSN]],表格2_7[],3,FALSE)</f>
        <v>#08PICK</v>
      </c>
      <c r="J10718" t="s">
        <v>582</v>
      </c>
      <c r="K10718" s="195">
        <v>45663.566782407404</v>
      </c>
      <c r="L10718">
        <v>486</v>
      </c>
      <c r="M10718">
        <v>0</v>
      </c>
      <c r="N10718" s="98" t="str">
        <f>IF(record[[#This Row],[Memo]]="Browser:chrome os:android","平板報工",IF(record[[#This Row],[Memo]]=0,"委外",record[[#This Row],[Memo]]))</f>
        <v>委外</v>
      </c>
      <c r="P10718" t="s">
        <v>113</v>
      </c>
      <c r="Q10718" t="s">
        <v>287</v>
      </c>
      <c r="R10718" t="str">
        <f>IFERROR(VLOOKUP(record[[#This Row],[PCUSTID]],廠商[],2,FALSE),"")</f>
        <v>泉盛</v>
      </c>
      <c r="S10718" t="str">
        <f>VLOOKUP(record[[#This Row],[employeeID]],員工[],2,FALSE)</f>
        <v>王奕蓁</v>
      </c>
    </row>
    <row r="10719" spans="6:19" hidden="1" x14ac:dyDescent="0.25">
      <c r="F10719" t="s">
        <v>594</v>
      </c>
      <c r="G10719" t="s">
        <v>420</v>
      </c>
      <c r="H10719" t="str">
        <f>VLOOKUP(record[[#This Row],[ProcessSN]],表格2_7[],2,FALSE)</f>
        <v>30-4118-018-5XX</v>
      </c>
      <c r="I10719" t="str">
        <f>VLOOKUP(record[[#This Row],[ProcessSN]],表格2_7[],3,FALSE)</f>
        <v>#07STOCK</v>
      </c>
      <c r="J10719" t="s">
        <v>592</v>
      </c>
      <c r="K10719" s="195">
        <v>45663.563206018516</v>
      </c>
      <c r="L10719">
        <v>486</v>
      </c>
      <c r="M10719">
        <v>0</v>
      </c>
      <c r="N10719" s="98" t="str">
        <f>IF(record[[#This Row],[Memo]]="Browser:chrome os:android","平板報工",IF(record[[#This Row],[Memo]]=0,"委外",record[[#This Row],[Memo]]))</f>
        <v/>
      </c>
      <c r="O10719" t="s">
        <v>58</v>
      </c>
      <c r="P10719" t="s">
        <v>65</v>
      </c>
      <c r="Q10719" t="s">
        <v>58</v>
      </c>
      <c r="R10719" t="str">
        <f>IFERROR(VLOOKUP(record[[#This Row],[PCUSTID]],廠商[],2,FALSE),"")</f>
        <v/>
      </c>
      <c r="S10719" t="str">
        <f>VLOOKUP(record[[#This Row],[employeeID]],員工[],2,FALSE)</f>
        <v>蘇進昌</v>
      </c>
    </row>
    <row r="10720" spans="6:19" hidden="1" x14ac:dyDescent="0.25">
      <c r="F10720" t="s">
        <v>659</v>
      </c>
      <c r="G10720" t="s">
        <v>420</v>
      </c>
      <c r="H10720" t="str">
        <f>VLOOKUP(record[[#This Row],[ProcessSN]],表格2_7[],2,FALSE)</f>
        <v>30-4118-018-5XX</v>
      </c>
      <c r="I10720" t="str">
        <f>VLOOKUP(record[[#This Row],[ProcessSN]],表格2_7[],3,FALSE)</f>
        <v>#07STOCK</v>
      </c>
      <c r="J10720" t="s">
        <v>592</v>
      </c>
      <c r="K10720" s="195">
        <v>45663.5621875</v>
      </c>
      <c r="L10720">
        <v>5</v>
      </c>
      <c r="M10720">
        <v>0</v>
      </c>
      <c r="N10720" s="98" t="str">
        <f>IF(record[[#This Row],[Memo]]="Browser:chrome os:android","平板報工",IF(record[[#This Row],[Memo]]=0,"委外",record[[#This Row],[Memo]]))</f>
        <v/>
      </c>
      <c r="O10720" t="s">
        <v>58</v>
      </c>
      <c r="P10720" t="s">
        <v>65</v>
      </c>
      <c r="Q10720" t="s">
        <v>58</v>
      </c>
      <c r="R10720" t="str">
        <f>IFERROR(VLOOKUP(record[[#This Row],[PCUSTID]],廠商[],2,FALSE),"")</f>
        <v/>
      </c>
      <c r="S10720" t="str">
        <f>VLOOKUP(record[[#This Row],[employeeID]],員工[],2,FALSE)</f>
        <v>蘇進昌</v>
      </c>
    </row>
    <row r="10721" spans="6:19" hidden="1" x14ac:dyDescent="0.25">
      <c r="F10721" t="s">
        <v>594</v>
      </c>
      <c r="G10721" t="s">
        <v>419</v>
      </c>
      <c r="H10721" t="str">
        <f>VLOOKUP(record[[#This Row],[ProcessSN]],表格2_7[],2,FALSE)</f>
        <v>30-4118-018-5XX</v>
      </c>
      <c r="I10721" t="str">
        <f>VLOOKUP(record[[#This Row],[ProcessSN]],表格2_7[],3,FALSE)</f>
        <v>#07QC</v>
      </c>
      <c r="J10721" t="s">
        <v>589</v>
      </c>
      <c r="K10721" s="195">
        <v>45663.562141203707</v>
      </c>
      <c r="L10721">
        <v>486</v>
      </c>
      <c r="M10721">
        <v>15</v>
      </c>
      <c r="N10721" s="98" t="str">
        <f>IF(record[[#This Row],[Memo]]="Browser:chrome os:android","平板報工",IF(record[[#This Row],[Memo]]=0,"委外",record[[#This Row],[Memo]]))</f>
        <v>平板報工</v>
      </c>
      <c r="O10721" t="s">
        <v>643</v>
      </c>
      <c r="P10721" t="s">
        <v>141</v>
      </c>
      <c r="Q10721" t="s">
        <v>644</v>
      </c>
      <c r="R10721" t="str">
        <f>IFERROR(VLOOKUP(record[[#This Row],[PCUSTID]],廠商[],2,FALSE),"")</f>
        <v/>
      </c>
      <c r="S10721" t="str">
        <f>VLOOKUP(record[[#This Row],[employeeID]],員工[],2,FALSE)</f>
        <v>蔣梅</v>
      </c>
    </row>
    <row r="10722" spans="6:19" hidden="1" x14ac:dyDescent="0.25">
      <c r="F10722" t="s">
        <v>586</v>
      </c>
      <c r="G10722" t="s">
        <v>376</v>
      </c>
      <c r="H10722" t="str">
        <f>VLOOKUP(record[[#This Row],[ProcessSN]],表格2_7[],2,FALSE)</f>
        <v>30-4118-018-4XX</v>
      </c>
      <c r="I10722" t="str">
        <f>VLOOKUP(record[[#This Row],[ProcessSN]],表格2_7[],3,FALSE)</f>
        <v>#06</v>
      </c>
      <c r="J10722" t="s">
        <v>593</v>
      </c>
      <c r="K10722" s="195">
        <v>45661.32335648148</v>
      </c>
      <c r="L10722">
        <v>133</v>
      </c>
      <c r="M10722">
        <v>3</v>
      </c>
      <c r="N10722" s="98" t="str">
        <f>IF(record[[#This Row],[Memo]]="Browser:chrome os:android","平板報工",IF(record[[#This Row],[Memo]]=0,"委外",record[[#This Row],[Memo]]))</f>
        <v/>
      </c>
      <c r="O10722" t="s">
        <v>58</v>
      </c>
      <c r="P10722" t="s">
        <v>135</v>
      </c>
      <c r="Q10722" t="s">
        <v>58</v>
      </c>
      <c r="R10722" t="str">
        <f>IFERROR(VLOOKUP(record[[#This Row],[PCUSTID]],廠商[],2,FALSE),"")</f>
        <v/>
      </c>
      <c r="S10722" t="str">
        <f>VLOOKUP(record[[#This Row],[employeeID]],員工[],2,FALSE)</f>
        <v>阮士文</v>
      </c>
    </row>
    <row r="10723" spans="6:19" hidden="1" x14ac:dyDescent="0.25">
      <c r="F10723" t="s">
        <v>586</v>
      </c>
      <c r="G10723" t="s">
        <v>377</v>
      </c>
      <c r="H10723" t="str">
        <f>VLOOKUP(record[[#This Row],[ProcessSN]],表格2_7[],2,FALSE)</f>
        <v>30-4118-018-4XX</v>
      </c>
      <c r="I10723" t="str">
        <f>VLOOKUP(record[[#This Row],[ProcessSN]],表格2_7[],3,FALSE)</f>
        <v>#07</v>
      </c>
      <c r="J10723" t="s">
        <v>588</v>
      </c>
      <c r="K10723" s="195">
        <v>45661.316134259258</v>
      </c>
      <c r="L10723">
        <v>96</v>
      </c>
      <c r="M10723">
        <v>2</v>
      </c>
      <c r="N10723" s="98" t="str">
        <f>IF(record[[#This Row],[Memo]]="Browser:chrome os:android","平板報工",IF(record[[#This Row],[Memo]]=0,"委外",record[[#This Row],[Memo]]))</f>
        <v/>
      </c>
      <c r="O10723" t="s">
        <v>58</v>
      </c>
      <c r="P10723" t="s">
        <v>135</v>
      </c>
      <c r="Q10723" t="s">
        <v>58</v>
      </c>
      <c r="R10723" t="str">
        <f>IFERROR(VLOOKUP(record[[#This Row],[PCUSTID]],廠商[],2,FALSE),"")</f>
        <v/>
      </c>
      <c r="S10723" t="str">
        <f>VLOOKUP(record[[#This Row],[employeeID]],員工[],2,FALSE)</f>
        <v>阮士文</v>
      </c>
    </row>
    <row r="10724" spans="6:19" hidden="1" x14ac:dyDescent="0.25">
      <c r="F10724" t="s">
        <v>594</v>
      </c>
      <c r="G10724" t="s">
        <v>418</v>
      </c>
      <c r="H10724" t="str">
        <f>VLOOKUP(record[[#This Row],[ProcessSN]],表格2_7[],2,FALSE)</f>
        <v>30-4118-018-5XX</v>
      </c>
      <c r="I10724" t="str">
        <f>VLOOKUP(record[[#This Row],[ProcessSN]],表格2_7[],3,FALSE)</f>
        <v>#07</v>
      </c>
      <c r="J10724" t="s">
        <v>588</v>
      </c>
      <c r="K10724" s="195">
        <v>45661.315740740742</v>
      </c>
      <c r="L10724">
        <v>29</v>
      </c>
      <c r="M10724">
        <v>0</v>
      </c>
      <c r="N10724" s="98" t="str">
        <f>IF(record[[#This Row],[Memo]]="Browser:chrome os:android","平板報工",IF(record[[#This Row],[Memo]]=0,"委外",record[[#This Row],[Memo]]))</f>
        <v>料少1PCS</v>
      </c>
      <c r="O10724" t="s">
        <v>635</v>
      </c>
      <c r="P10724" t="s">
        <v>135</v>
      </c>
      <c r="Q10724" t="s">
        <v>58</v>
      </c>
      <c r="R10724" t="str">
        <f>IFERROR(VLOOKUP(record[[#This Row],[PCUSTID]],廠商[],2,FALSE),"")</f>
        <v/>
      </c>
      <c r="S10724" t="str">
        <f>VLOOKUP(record[[#This Row],[employeeID]],員工[],2,FALSE)</f>
        <v>阮士文</v>
      </c>
    </row>
    <row r="10725" spans="6:19" hidden="1" x14ac:dyDescent="0.25">
      <c r="F10725" t="s">
        <v>650</v>
      </c>
      <c r="G10725" t="s">
        <v>416</v>
      </c>
      <c r="H10725" t="str">
        <f>VLOOKUP(record[[#This Row],[ProcessSN]],表格2_7[],2,FALSE)</f>
        <v>30-4118-018-5XX</v>
      </c>
      <c r="I10725" t="str">
        <f>VLOOKUP(record[[#This Row],[ProcessSN]],表格2_7[],3,FALSE)</f>
        <v>#05</v>
      </c>
      <c r="J10725" t="s">
        <v>588</v>
      </c>
      <c r="K10725" s="195">
        <v>45661.312789351854</v>
      </c>
      <c r="L10725">
        <v>203</v>
      </c>
      <c r="M10725">
        <v>1</v>
      </c>
      <c r="N10725" s="98" t="str">
        <f>IF(record[[#This Row],[Memo]]="Browser:chrome os:android","平板報工",IF(record[[#This Row],[Memo]]=0,"委外",record[[#This Row],[Memo]]))</f>
        <v/>
      </c>
      <c r="O10725" t="s">
        <v>58</v>
      </c>
      <c r="P10725" t="s">
        <v>135</v>
      </c>
      <c r="Q10725" t="s">
        <v>58</v>
      </c>
      <c r="R10725" t="str">
        <f>IFERROR(VLOOKUP(record[[#This Row],[PCUSTID]],廠商[],2,FALSE),"")</f>
        <v/>
      </c>
      <c r="S10725" t="str">
        <f>VLOOKUP(record[[#This Row],[employeeID]],員工[],2,FALSE)</f>
        <v>阮士文</v>
      </c>
    </row>
    <row r="10726" spans="6:19" hidden="1" x14ac:dyDescent="0.25">
      <c r="F10726" t="s">
        <v>594</v>
      </c>
      <c r="G10726" t="s">
        <v>418</v>
      </c>
      <c r="H10726" t="str">
        <f>VLOOKUP(record[[#This Row],[ProcessSN]],表格2_7[],2,FALSE)</f>
        <v>30-4118-018-5XX</v>
      </c>
      <c r="I10726" t="str">
        <f>VLOOKUP(record[[#This Row],[ProcessSN]],表格2_7[],3,FALSE)</f>
        <v>#07</v>
      </c>
      <c r="J10726" t="s">
        <v>588</v>
      </c>
      <c r="K10726" s="195">
        <v>45660.99863425926</v>
      </c>
      <c r="L10726">
        <v>184</v>
      </c>
      <c r="M10726">
        <v>0</v>
      </c>
      <c r="N10726" s="98" t="str">
        <f>IF(record[[#This Row],[Memo]]="Browser:chrome os:android","平板報工",IF(record[[#This Row],[Memo]]=0,"委外",record[[#This Row],[Memo]]))</f>
        <v/>
      </c>
      <c r="O10726" t="s">
        <v>58</v>
      </c>
      <c r="P10726" t="s">
        <v>127</v>
      </c>
      <c r="Q10726" t="s">
        <v>58</v>
      </c>
      <c r="R10726" t="str">
        <f>IFERROR(VLOOKUP(record[[#This Row],[PCUSTID]],廠商[],2,FALSE),"")</f>
        <v/>
      </c>
      <c r="S10726" t="str">
        <f>VLOOKUP(record[[#This Row],[employeeID]],員工[],2,FALSE)</f>
        <v>潘雪梅</v>
      </c>
    </row>
    <row r="10727" spans="6:19" hidden="1" x14ac:dyDescent="0.25">
      <c r="F10727" t="s">
        <v>650</v>
      </c>
      <c r="G10727" t="s">
        <v>416</v>
      </c>
      <c r="H10727" t="str">
        <f>VLOOKUP(record[[#This Row],[ProcessSN]],表格2_7[],2,FALSE)</f>
        <v>30-4118-018-5XX</v>
      </c>
      <c r="I10727" t="str">
        <f>VLOOKUP(record[[#This Row],[ProcessSN]],表格2_7[],3,FALSE)</f>
        <v>#05</v>
      </c>
      <c r="J10727" t="s">
        <v>588</v>
      </c>
      <c r="K10727" s="195">
        <v>45660.997766203705</v>
      </c>
      <c r="L10727">
        <v>226</v>
      </c>
      <c r="M10727">
        <v>0</v>
      </c>
      <c r="N10727" s="98" t="str">
        <f>IF(record[[#This Row],[Memo]]="Browser:chrome os:android","平板報工",IF(record[[#This Row],[Memo]]=0,"委外",record[[#This Row],[Memo]]))</f>
        <v/>
      </c>
      <c r="O10727" t="s">
        <v>58</v>
      </c>
      <c r="P10727" t="s">
        <v>127</v>
      </c>
      <c r="Q10727" t="s">
        <v>58</v>
      </c>
      <c r="R10727" t="str">
        <f>IFERROR(VLOOKUP(record[[#This Row],[PCUSTID]],廠商[],2,FALSE),"")</f>
        <v/>
      </c>
      <c r="S10727" t="str">
        <f>VLOOKUP(record[[#This Row],[employeeID]],員工[],2,FALSE)</f>
        <v>潘雪梅</v>
      </c>
    </row>
    <row r="10728" spans="6:19" hidden="1" x14ac:dyDescent="0.25">
      <c r="F10728" t="s">
        <v>654</v>
      </c>
      <c r="G10728" t="s">
        <v>399</v>
      </c>
      <c r="H10728" t="str">
        <f>VLOOKUP(record[[#This Row],[ProcessSN]],表格2_7[],2,FALSE)</f>
        <v>30-4118-018-550</v>
      </c>
      <c r="I10728" t="str">
        <f>VLOOKUP(record[[#This Row],[ProcessSN]],表格2_7[],3,FALSE)</f>
        <v>#08IQC</v>
      </c>
      <c r="J10728" t="s">
        <v>583</v>
      </c>
      <c r="K10728" s="195">
        <v>45660.66133101852</v>
      </c>
      <c r="L10728">
        <v>165</v>
      </c>
      <c r="M10728">
        <v>0</v>
      </c>
      <c r="N10728" s="98" t="str">
        <f>IF(record[[#This Row],[Memo]]="Browser:chrome os:android","平板報工",IF(record[[#This Row],[Memo]]=0,"委外",record[[#This Row],[Memo]]))</f>
        <v/>
      </c>
      <c r="O10728" t="s">
        <v>58</v>
      </c>
      <c r="P10728" t="s">
        <v>143</v>
      </c>
      <c r="Q10728" t="s">
        <v>58</v>
      </c>
      <c r="R10728" t="str">
        <f>IFERROR(VLOOKUP(record[[#This Row],[PCUSTID]],廠商[],2,FALSE),"")</f>
        <v/>
      </c>
      <c r="S10728" t="str">
        <f>VLOOKUP(record[[#This Row],[employeeID]],員工[],2,FALSE)</f>
        <v>潘佳琪</v>
      </c>
    </row>
    <row r="10729" spans="6:19" hidden="1" x14ac:dyDescent="0.25">
      <c r="F10729" t="s">
        <v>650</v>
      </c>
      <c r="G10729" t="s">
        <v>415</v>
      </c>
      <c r="H10729" t="str">
        <f>VLOOKUP(record[[#This Row],[ProcessSN]],表格2_7[],2,FALSE)</f>
        <v>30-4118-018-5XX</v>
      </c>
      <c r="I10729" t="str">
        <f>VLOOKUP(record[[#This Row],[ProcessSN]],表格2_7[],3,FALSE)</f>
        <v>#04</v>
      </c>
      <c r="J10729" t="s">
        <v>588</v>
      </c>
      <c r="K10729" s="195">
        <v>45660.646828703706</v>
      </c>
      <c r="L10729">
        <v>99</v>
      </c>
      <c r="M10729">
        <v>0</v>
      </c>
      <c r="N10729" s="98" t="str">
        <f>IF(record[[#This Row],[Memo]]="Browser:chrome os:android","平板報工",IF(record[[#This Row],[Memo]]=0,"委外",record[[#This Row],[Memo]]))</f>
        <v/>
      </c>
      <c r="O10729" t="s">
        <v>58</v>
      </c>
      <c r="P10729" t="s">
        <v>119</v>
      </c>
      <c r="Q10729" t="s">
        <v>58</v>
      </c>
      <c r="R10729" t="str">
        <f>IFERROR(VLOOKUP(record[[#This Row],[PCUSTID]],廠商[],2,FALSE),"")</f>
        <v/>
      </c>
      <c r="S10729" t="str">
        <f>VLOOKUP(record[[#This Row],[employeeID]],員工[],2,FALSE)</f>
        <v>廖俊彥</v>
      </c>
    </row>
    <row r="10730" spans="6:19" hidden="1" x14ac:dyDescent="0.25">
      <c r="F10730" t="s">
        <v>654</v>
      </c>
      <c r="G10730" t="s">
        <v>398</v>
      </c>
      <c r="H10730" t="str">
        <f>VLOOKUP(record[[#This Row],[ProcessSN]],表格2_7[],2,FALSE)</f>
        <v>30-4118-018-550</v>
      </c>
      <c r="I10730" t="str">
        <f>VLOOKUP(record[[#This Row],[ProcessSN]],表格2_7[],3,FALSE)</f>
        <v>#08RCV</v>
      </c>
      <c r="J10730" t="s">
        <v>591</v>
      </c>
      <c r="K10730" s="195">
        <v>45660.643587962964</v>
      </c>
      <c r="L10730">
        <v>165</v>
      </c>
      <c r="M10730">
        <v>2</v>
      </c>
      <c r="N10730" s="98" t="str">
        <f>IF(record[[#This Row],[Memo]]="Browser:chrome os:android","平板報工",IF(record[[#This Row],[Memo]]=0,"委外",record[[#This Row],[Memo]]))</f>
        <v/>
      </c>
      <c r="O10730" t="s">
        <v>58</v>
      </c>
      <c r="P10730" t="s">
        <v>206</v>
      </c>
      <c r="Q10730" t="s">
        <v>58</v>
      </c>
      <c r="R10730" t="str">
        <f>IFERROR(VLOOKUP(record[[#This Row],[PCUSTID]],廠商[],2,FALSE),"")</f>
        <v/>
      </c>
      <c r="S10730" t="str">
        <f>VLOOKUP(record[[#This Row],[employeeID]],員工[],2,FALSE)</f>
        <v>曾婉筠</v>
      </c>
    </row>
    <row r="10731" spans="6:19" hidden="1" x14ac:dyDescent="0.25">
      <c r="F10731" t="s">
        <v>594</v>
      </c>
      <c r="G10731" t="s">
        <v>418</v>
      </c>
      <c r="H10731" t="str">
        <f>VLOOKUP(record[[#This Row],[ProcessSN]],表格2_7[],2,FALSE)</f>
        <v>30-4118-018-5XX</v>
      </c>
      <c r="I10731" t="str">
        <f>VLOOKUP(record[[#This Row],[ProcessSN]],表格2_7[],3,FALSE)</f>
        <v>#07</v>
      </c>
      <c r="J10731" t="s">
        <v>588</v>
      </c>
      <c r="K10731" s="195">
        <v>45660.635787037034</v>
      </c>
      <c r="L10731">
        <v>155</v>
      </c>
      <c r="M10731">
        <v>2</v>
      </c>
      <c r="N10731" s="98" t="str">
        <f>IF(record[[#This Row],[Memo]]="Browser:chrome os:android","平板報工",IF(record[[#This Row],[Memo]]=0,"委外",record[[#This Row],[Memo]]))</f>
        <v>平板報工</v>
      </c>
      <c r="O10731" t="s">
        <v>643</v>
      </c>
      <c r="P10731" t="s">
        <v>119</v>
      </c>
      <c r="Q10731" t="s">
        <v>644</v>
      </c>
      <c r="R10731" t="str">
        <f>IFERROR(VLOOKUP(record[[#This Row],[PCUSTID]],廠商[],2,FALSE),"")</f>
        <v/>
      </c>
      <c r="S10731" t="str">
        <f>VLOOKUP(record[[#This Row],[employeeID]],員工[],2,FALSE)</f>
        <v>廖俊彥</v>
      </c>
    </row>
    <row r="10732" spans="6:19" hidden="1" x14ac:dyDescent="0.25">
      <c r="F10732" t="s">
        <v>650</v>
      </c>
      <c r="G10732" t="s">
        <v>416</v>
      </c>
      <c r="H10732" t="str">
        <f>VLOOKUP(record[[#This Row],[ProcessSN]],表格2_7[],2,FALSE)</f>
        <v>30-4118-018-5XX</v>
      </c>
      <c r="I10732" t="str">
        <f>VLOOKUP(record[[#This Row],[ProcessSN]],表格2_7[],3,FALSE)</f>
        <v>#05</v>
      </c>
      <c r="J10732" t="s">
        <v>588</v>
      </c>
      <c r="K10732" s="195">
        <v>45660.634502314817</v>
      </c>
      <c r="L10732">
        <v>239</v>
      </c>
      <c r="M10732">
        <v>0</v>
      </c>
      <c r="N10732" s="98" t="str">
        <f>IF(record[[#This Row],[Memo]]="Browser:chrome os:android","平板報工",IF(record[[#This Row],[Memo]]=0,"委外",record[[#This Row],[Memo]]))</f>
        <v>平板報工</v>
      </c>
      <c r="O10732" t="s">
        <v>643</v>
      </c>
      <c r="P10732" t="s">
        <v>119</v>
      </c>
      <c r="Q10732" t="s">
        <v>644</v>
      </c>
      <c r="R10732" t="str">
        <f>IFERROR(VLOOKUP(record[[#This Row],[PCUSTID]],廠商[],2,FALSE),"")</f>
        <v/>
      </c>
      <c r="S10732" t="str">
        <f>VLOOKUP(record[[#This Row],[employeeID]],員工[],2,FALSE)</f>
        <v>廖俊彥</v>
      </c>
    </row>
    <row r="10733" spans="6:19" hidden="1" x14ac:dyDescent="0.25">
      <c r="F10733" t="s">
        <v>586</v>
      </c>
      <c r="G10733" t="s">
        <v>376</v>
      </c>
      <c r="H10733" t="str">
        <f>VLOOKUP(record[[#This Row],[ProcessSN]],表格2_7[],2,FALSE)</f>
        <v>30-4118-018-4XX</v>
      </c>
      <c r="I10733" t="str">
        <f>VLOOKUP(record[[#This Row],[ProcessSN]],表格2_7[],3,FALSE)</f>
        <v>#06</v>
      </c>
      <c r="J10733" t="s">
        <v>593</v>
      </c>
      <c r="K10733" s="195">
        <v>45660.626134259262</v>
      </c>
      <c r="L10733">
        <v>115</v>
      </c>
      <c r="M10733">
        <v>0</v>
      </c>
      <c r="N10733" s="98" t="str">
        <f>IF(record[[#This Row],[Memo]]="Browser:chrome os:android","平板報工",IF(record[[#This Row],[Memo]]=0,"委外",record[[#This Row],[Memo]]))</f>
        <v>平板報工</v>
      </c>
      <c r="O10733" t="s">
        <v>643</v>
      </c>
      <c r="P10733" t="s">
        <v>119</v>
      </c>
      <c r="Q10733" t="s">
        <v>644</v>
      </c>
      <c r="R10733" t="str">
        <f>IFERROR(VLOOKUP(record[[#This Row],[PCUSTID]],廠商[],2,FALSE),"")</f>
        <v/>
      </c>
      <c r="S10733" t="str">
        <f>VLOOKUP(record[[#This Row],[employeeID]],員工[],2,FALSE)</f>
        <v>廖俊彥</v>
      </c>
    </row>
    <row r="10734" spans="6:19" hidden="1" x14ac:dyDescent="0.25">
      <c r="F10734" t="s">
        <v>609</v>
      </c>
      <c r="G10734" t="s">
        <v>403</v>
      </c>
      <c r="H10734" t="str">
        <f>VLOOKUP(record[[#This Row],[ProcessSN]],表格2_7[],2,FALSE)</f>
        <v>30-4118-018-550</v>
      </c>
      <c r="I10734" t="str">
        <f>VLOOKUP(record[[#This Row],[ProcessSN]],表格2_7[],3,FALSE)</f>
        <v>#100SHIP</v>
      </c>
      <c r="J10734" t="s">
        <v>600</v>
      </c>
      <c r="K10734" s="195">
        <v>45660.598043981481</v>
      </c>
      <c r="L10734">
        <v>60</v>
      </c>
      <c r="M10734">
        <v>0</v>
      </c>
      <c r="N10734" s="98" t="str">
        <f>IF(record[[#This Row],[Memo]]="Browser:chrome os:android","平板報工",IF(record[[#This Row],[Memo]]=0,"委外",record[[#This Row],[Memo]]))</f>
        <v/>
      </c>
      <c r="O10734" t="s">
        <v>58</v>
      </c>
      <c r="P10734" t="s">
        <v>196</v>
      </c>
      <c r="Q10734" t="s">
        <v>58</v>
      </c>
      <c r="R10734" t="str">
        <f>IFERROR(VLOOKUP(record[[#This Row],[PCUSTID]],廠商[],2,FALSE),"")</f>
        <v/>
      </c>
      <c r="S10734" t="str">
        <f>VLOOKUP(record[[#This Row],[employeeID]],員工[],2,FALSE)</f>
        <v>張淑惠</v>
      </c>
    </row>
    <row r="10735" spans="6:19" hidden="1" x14ac:dyDescent="0.25">
      <c r="F10735" t="s">
        <v>609</v>
      </c>
      <c r="G10735" t="s">
        <v>402</v>
      </c>
      <c r="H10735" t="str">
        <f>VLOOKUP(record[[#This Row],[ProcessSN]],表格2_7[],2,FALSE)</f>
        <v>30-4118-018-550</v>
      </c>
      <c r="I10735" t="str">
        <f>VLOOKUP(record[[#This Row],[ProcessSN]],表格2_7[],3,FALSE)</f>
        <v>#100STOCK</v>
      </c>
      <c r="J10735" t="s">
        <v>592</v>
      </c>
      <c r="K10735" s="195">
        <v>45660.597881944443</v>
      </c>
      <c r="L10735">
        <v>126</v>
      </c>
      <c r="M10735">
        <v>0</v>
      </c>
      <c r="N10735" s="98" t="str">
        <f>IF(record[[#This Row],[Memo]]="Browser:chrome os:android","平板報工",IF(record[[#This Row],[Memo]]=0,"委外",record[[#This Row],[Memo]]))</f>
        <v/>
      </c>
      <c r="O10735" t="s">
        <v>58</v>
      </c>
      <c r="P10735" t="s">
        <v>196</v>
      </c>
      <c r="Q10735" t="s">
        <v>58</v>
      </c>
      <c r="R10735" t="str">
        <f>IFERROR(VLOOKUP(record[[#This Row],[PCUSTID]],廠商[],2,FALSE),"")</f>
        <v/>
      </c>
      <c r="S10735" t="str">
        <f>VLOOKUP(record[[#This Row],[employeeID]],員工[],2,FALSE)</f>
        <v>張淑惠</v>
      </c>
    </row>
    <row r="10736" spans="6:19" hidden="1" x14ac:dyDescent="0.25">
      <c r="F10736" t="s">
        <v>609</v>
      </c>
      <c r="G10736" t="s">
        <v>401</v>
      </c>
      <c r="H10736" t="str">
        <f>VLOOKUP(record[[#This Row],[ProcessSN]],表格2_7[],2,FALSE)</f>
        <v>30-4118-018-550</v>
      </c>
      <c r="I10736" t="str">
        <f>VLOOKUP(record[[#This Row],[ProcessSN]],表格2_7[],3,FALSE)</f>
        <v>#100OQC</v>
      </c>
      <c r="J10736" t="s">
        <v>599</v>
      </c>
      <c r="K10736" s="195">
        <v>45660.597766203704</v>
      </c>
      <c r="L10736">
        <v>126</v>
      </c>
      <c r="M10736">
        <v>0</v>
      </c>
      <c r="N10736" s="98" t="str">
        <f>IF(record[[#This Row],[Memo]]="Browser:chrome os:android","平板報工",IF(record[[#This Row],[Memo]]=0,"委外",record[[#This Row],[Memo]]))</f>
        <v/>
      </c>
      <c r="O10736" t="s">
        <v>58</v>
      </c>
      <c r="P10736" t="s">
        <v>196</v>
      </c>
      <c r="Q10736" t="s">
        <v>58</v>
      </c>
      <c r="R10736" t="str">
        <f>IFERROR(VLOOKUP(record[[#This Row],[PCUSTID]],廠商[],2,FALSE),"")</f>
        <v/>
      </c>
      <c r="S10736" t="str">
        <f>VLOOKUP(record[[#This Row],[employeeID]],員工[],2,FALSE)</f>
        <v>張淑惠</v>
      </c>
    </row>
    <row r="10737" spans="6:19" hidden="1" x14ac:dyDescent="0.25">
      <c r="F10737" t="s">
        <v>623</v>
      </c>
      <c r="G10737" t="s">
        <v>428</v>
      </c>
      <c r="H10737" t="str">
        <f>VLOOKUP(record[[#This Row],[ProcessSN]],表格2_7[],2,FALSE)</f>
        <v>30-4118-018-600</v>
      </c>
      <c r="I10737" t="str">
        <f>VLOOKUP(record[[#This Row],[ProcessSN]],表格2_7[],3,FALSE)</f>
        <v>#100SHIP</v>
      </c>
      <c r="J10737" t="s">
        <v>600</v>
      </c>
      <c r="K10737" s="195">
        <v>45660.596053240741</v>
      </c>
      <c r="L10737">
        <v>86</v>
      </c>
      <c r="M10737">
        <v>0</v>
      </c>
      <c r="N10737" s="98" t="str">
        <f>IF(record[[#This Row],[Memo]]="Browser:chrome os:android","平板報工",IF(record[[#This Row],[Memo]]=0,"委外",record[[#This Row],[Memo]]))</f>
        <v>補1/2出貨</v>
      </c>
      <c r="O10737" t="s">
        <v>661</v>
      </c>
      <c r="P10737" t="s">
        <v>196</v>
      </c>
      <c r="Q10737" t="s">
        <v>58</v>
      </c>
      <c r="R10737" t="str">
        <f>IFERROR(VLOOKUP(record[[#This Row],[PCUSTID]],廠商[],2,FALSE),"")</f>
        <v/>
      </c>
      <c r="S10737" t="str">
        <f>VLOOKUP(record[[#This Row],[employeeID]],員工[],2,FALSE)</f>
        <v>張淑惠</v>
      </c>
    </row>
    <row r="10738" spans="6:19" hidden="1" x14ac:dyDescent="0.25">
      <c r="F10738" t="s">
        <v>624</v>
      </c>
      <c r="G10738" t="s">
        <v>428</v>
      </c>
      <c r="H10738" t="str">
        <f>VLOOKUP(record[[#This Row],[ProcessSN]],表格2_7[],2,FALSE)</f>
        <v>30-4118-018-600</v>
      </c>
      <c r="I10738" t="str">
        <f>VLOOKUP(record[[#This Row],[ProcessSN]],表格2_7[],3,FALSE)</f>
        <v>#100SHIP</v>
      </c>
      <c r="J10738" t="s">
        <v>600</v>
      </c>
      <c r="K10738" s="195">
        <v>45660.59574074074</v>
      </c>
      <c r="L10738">
        <v>52</v>
      </c>
      <c r="M10738">
        <v>0</v>
      </c>
      <c r="N10738" s="98" t="str">
        <f>IF(record[[#This Row],[Memo]]="Browser:chrome os:android","平板報工",IF(record[[#This Row],[Memo]]=0,"委外",record[[#This Row],[Memo]]))</f>
        <v>補1/2出貨</v>
      </c>
      <c r="O10738" t="s">
        <v>661</v>
      </c>
      <c r="P10738" t="s">
        <v>196</v>
      </c>
      <c r="Q10738" t="s">
        <v>58</v>
      </c>
      <c r="R10738" t="str">
        <f>IFERROR(VLOOKUP(record[[#This Row],[PCUSTID]],廠商[],2,FALSE),"")</f>
        <v/>
      </c>
      <c r="S10738" t="str">
        <f>VLOOKUP(record[[#This Row],[employeeID]],員工[],2,FALSE)</f>
        <v>張淑惠</v>
      </c>
    </row>
    <row r="10739" spans="6:19" hidden="1" x14ac:dyDescent="0.25">
      <c r="F10739" t="s">
        <v>622</v>
      </c>
      <c r="G10739" t="s">
        <v>428</v>
      </c>
      <c r="H10739" t="str">
        <f>VLOOKUP(record[[#This Row],[ProcessSN]],表格2_7[],2,FALSE)</f>
        <v>30-4118-018-600</v>
      </c>
      <c r="I10739" t="str">
        <f>VLOOKUP(record[[#This Row],[ProcessSN]],表格2_7[],3,FALSE)</f>
        <v>#100SHIP</v>
      </c>
      <c r="J10739" t="s">
        <v>600</v>
      </c>
      <c r="K10739" s="195">
        <v>45660.595439814817</v>
      </c>
      <c r="L10739">
        <v>116</v>
      </c>
      <c r="M10739">
        <v>0</v>
      </c>
      <c r="N10739" s="98" t="str">
        <f>IF(record[[#This Row],[Memo]]="Browser:chrome os:android","平板報工",IF(record[[#This Row],[Memo]]=0,"委外",record[[#This Row],[Memo]]))</f>
        <v>補1/2出貨</v>
      </c>
      <c r="O10739" t="s">
        <v>661</v>
      </c>
      <c r="P10739" t="s">
        <v>196</v>
      </c>
      <c r="Q10739" t="s">
        <v>58</v>
      </c>
      <c r="R10739" t="str">
        <f>IFERROR(VLOOKUP(record[[#This Row],[PCUSTID]],廠商[],2,FALSE),"")</f>
        <v/>
      </c>
      <c r="S10739" t="str">
        <f>VLOOKUP(record[[#This Row],[employeeID]],員工[],2,FALSE)</f>
        <v>張淑惠</v>
      </c>
    </row>
    <row r="10740" spans="6:19" hidden="1" x14ac:dyDescent="0.25">
      <c r="F10740" t="s">
        <v>621</v>
      </c>
      <c r="G10740" t="s">
        <v>428</v>
      </c>
      <c r="H10740" t="str">
        <f>VLOOKUP(record[[#This Row],[ProcessSN]],表格2_7[],2,FALSE)</f>
        <v>30-4118-018-600</v>
      </c>
      <c r="I10740" t="str">
        <f>VLOOKUP(record[[#This Row],[ProcessSN]],表格2_7[],3,FALSE)</f>
        <v>#100SHIP</v>
      </c>
      <c r="J10740" t="s">
        <v>600</v>
      </c>
      <c r="K10740" s="195">
        <v>45660.595127314817</v>
      </c>
      <c r="L10740">
        <v>226</v>
      </c>
      <c r="M10740">
        <v>0</v>
      </c>
      <c r="N10740" s="98" t="str">
        <f>IF(record[[#This Row],[Memo]]="Browser:chrome os:android","平板報工",IF(record[[#This Row],[Memo]]=0,"委外",record[[#This Row],[Memo]]))</f>
        <v>補1/2出貨</v>
      </c>
      <c r="O10740" t="s">
        <v>661</v>
      </c>
      <c r="P10740" t="s">
        <v>196</v>
      </c>
      <c r="Q10740" t="s">
        <v>58</v>
      </c>
      <c r="R10740" t="str">
        <f>IFERROR(VLOOKUP(record[[#This Row],[PCUSTID]],廠商[],2,FALSE),"")</f>
        <v/>
      </c>
      <c r="S10740" t="str">
        <f>VLOOKUP(record[[#This Row],[employeeID]],員工[],2,FALSE)</f>
        <v>張淑惠</v>
      </c>
    </row>
    <row r="10741" spans="6:19" hidden="1" x14ac:dyDescent="0.25">
      <c r="F10741" t="s">
        <v>620</v>
      </c>
      <c r="G10741" t="s">
        <v>428</v>
      </c>
      <c r="H10741" t="str">
        <f>VLOOKUP(record[[#This Row],[ProcessSN]],表格2_7[],2,FALSE)</f>
        <v>30-4118-018-600</v>
      </c>
      <c r="I10741" t="str">
        <f>VLOOKUP(record[[#This Row],[ProcessSN]],表格2_7[],3,FALSE)</f>
        <v>#100SHIP</v>
      </c>
      <c r="J10741" t="s">
        <v>600</v>
      </c>
      <c r="K10741" s="195">
        <v>45660.594826388886</v>
      </c>
      <c r="L10741">
        <v>41</v>
      </c>
      <c r="M10741">
        <v>0</v>
      </c>
      <c r="N10741" s="98" t="str">
        <f>IF(record[[#This Row],[Memo]]="Browser:chrome os:android","平板報工",IF(record[[#This Row],[Memo]]=0,"委外",record[[#This Row],[Memo]]))</f>
        <v>補1/2出貨</v>
      </c>
      <c r="O10741" t="s">
        <v>661</v>
      </c>
      <c r="P10741" t="s">
        <v>196</v>
      </c>
      <c r="Q10741" t="s">
        <v>58</v>
      </c>
      <c r="R10741" t="str">
        <f>IFERROR(VLOOKUP(record[[#This Row],[PCUSTID]],廠商[],2,FALSE),"")</f>
        <v/>
      </c>
      <c r="S10741" t="str">
        <f>VLOOKUP(record[[#This Row],[employeeID]],員工[],2,FALSE)</f>
        <v>張淑惠</v>
      </c>
    </row>
    <row r="10742" spans="6:19" hidden="1" x14ac:dyDescent="0.25">
      <c r="F10742" t="s">
        <v>623</v>
      </c>
      <c r="G10742" t="s">
        <v>427</v>
      </c>
      <c r="H10742" t="str">
        <f>VLOOKUP(record[[#This Row],[ProcessSN]],表格2_7[],2,FALSE)</f>
        <v>30-4118-018-600</v>
      </c>
      <c r="I10742" t="str">
        <f>VLOOKUP(record[[#This Row],[ProcessSN]],表格2_7[],3,FALSE)</f>
        <v>#100STOCK</v>
      </c>
      <c r="J10742" t="s">
        <v>592</v>
      </c>
      <c r="K10742" s="195">
        <v>45660.594525462962</v>
      </c>
      <c r="L10742">
        <v>86</v>
      </c>
      <c r="M10742">
        <v>0</v>
      </c>
      <c r="N10742" s="98" t="str">
        <f>IF(record[[#This Row],[Memo]]="Browser:chrome os:android","平板報工",IF(record[[#This Row],[Memo]]=0,"委外",record[[#This Row],[Memo]]))</f>
        <v/>
      </c>
      <c r="O10742" t="s">
        <v>58</v>
      </c>
      <c r="P10742" t="s">
        <v>196</v>
      </c>
      <c r="Q10742" t="s">
        <v>58</v>
      </c>
      <c r="R10742" t="str">
        <f>IFERROR(VLOOKUP(record[[#This Row],[PCUSTID]],廠商[],2,FALSE),"")</f>
        <v/>
      </c>
      <c r="S10742" t="str">
        <f>VLOOKUP(record[[#This Row],[employeeID]],員工[],2,FALSE)</f>
        <v>張淑惠</v>
      </c>
    </row>
    <row r="10743" spans="6:19" hidden="1" x14ac:dyDescent="0.25">
      <c r="F10743" t="s">
        <v>623</v>
      </c>
      <c r="G10743" t="s">
        <v>426</v>
      </c>
      <c r="H10743" t="str">
        <f>VLOOKUP(record[[#This Row],[ProcessSN]],表格2_7[],2,FALSE)</f>
        <v>30-4118-018-600</v>
      </c>
      <c r="I10743" t="str">
        <f>VLOOKUP(record[[#This Row],[ProcessSN]],表格2_7[],3,FALSE)</f>
        <v>#100OQC</v>
      </c>
      <c r="J10743" t="s">
        <v>599</v>
      </c>
      <c r="K10743" s="195">
        <v>45660.594421296293</v>
      </c>
      <c r="L10743">
        <v>86</v>
      </c>
      <c r="M10743">
        <v>0</v>
      </c>
      <c r="N10743" s="98" t="str">
        <f>IF(record[[#This Row],[Memo]]="Browser:chrome os:android","平板報工",IF(record[[#This Row],[Memo]]=0,"委外",record[[#This Row],[Memo]]))</f>
        <v/>
      </c>
      <c r="O10743" t="s">
        <v>58</v>
      </c>
      <c r="P10743" t="s">
        <v>196</v>
      </c>
      <c r="Q10743" t="s">
        <v>58</v>
      </c>
      <c r="R10743" t="str">
        <f>IFERROR(VLOOKUP(record[[#This Row],[PCUSTID]],廠商[],2,FALSE),"")</f>
        <v/>
      </c>
      <c r="S10743" t="str">
        <f>VLOOKUP(record[[#This Row],[employeeID]],員工[],2,FALSE)</f>
        <v>張淑惠</v>
      </c>
    </row>
    <row r="10744" spans="6:19" hidden="1" x14ac:dyDescent="0.25">
      <c r="F10744" t="s">
        <v>621</v>
      </c>
      <c r="G10744" t="s">
        <v>427</v>
      </c>
      <c r="H10744" t="str">
        <f>VLOOKUP(record[[#This Row],[ProcessSN]],表格2_7[],2,FALSE)</f>
        <v>30-4118-018-600</v>
      </c>
      <c r="I10744" t="str">
        <f>VLOOKUP(record[[#This Row],[ProcessSN]],表格2_7[],3,FALSE)</f>
        <v>#100STOCK</v>
      </c>
      <c r="J10744" t="s">
        <v>592</v>
      </c>
      <c r="K10744" s="195">
        <v>45660.594166666669</v>
      </c>
      <c r="L10744">
        <v>226</v>
      </c>
      <c r="M10744">
        <v>0</v>
      </c>
      <c r="N10744" s="98" t="str">
        <f>IF(record[[#This Row],[Memo]]="Browser:chrome os:android","平板報工",IF(record[[#This Row],[Memo]]=0,"委外",record[[#This Row],[Memo]]))</f>
        <v/>
      </c>
      <c r="O10744" t="s">
        <v>58</v>
      </c>
      <c r="P10744" t="s">
        <v>196</v>
      </c>
      <c r="Q10744" t="s">
        <v>58</v>
      </c>
      <c r="R10744" t="str">
        <f>IFERROR(VLOOKUP(record[[#This Row],[PCUSTID]],廠商[],2,FALSE),"")</f>
        <v/>
      </c>
      <c r="S10744" t="str">
        <f>VLOOKUP(record[[#This Row],[employeeID]],員工[],2,FALSE)</f>
        <v>張淑惠</v>
      </c>
    </row>
    <row r="10745" spans="6:19" hidden="1" x14ac:dyDescent="0.25">
      <c r="F10745" t="s">
        <v>621</v>
      </c>
      <c r="G10745" t="s">
        <v>426</v>
      </c>
      <c r="H10745" t="str">
        <f>VLOOKUP(record[[#This Row],[ProcessSN]],表格2_7[],2,FALSE)</f>
        <v>30-4118-018-600</v>
      </c>
      <c r="I10745" t="str">
        <f>VLOOKUP(record[[#This Row],[ProcessSN]],表格2_7[],3,FALSE)</f>
        <v>#100OQC</v>
      </c>
      <c r="J10745" t="s">
        <v>599</v>
      </c>
      <c r="K10745" s="195">
        <v>45660.594050925924</v>
      </c>
      <c r="L10745">
        <v>226</v>
      </c>
      <c r="M10745">
        <v>0</v>
      </c>
      <c r="N10745" s="98" t="str">
        <f>IF(record[[#This Row],[Memo]]="Browser:chrome os:android","平板報工",IF(record[[#This Row],[Memo]]=0,"委外",record[[#This Row],[Memo]]))</f>
        <v/>
      </c>
      <c r="O10745" t="s">
        <v>58</v>
      </c>
      <c r="P10745" t="s">
        <v>196</v>
      </c>
      <c r="Q10745" t="s">
        <v>58</v>
      </c>
      <c r="R10745" t="str">
        <f>IFERROR(VLOOKUP(record[[#This Row],[PCUSTID]],廠商[],2,FALSE),"")</f>
        <v/>
      </c>
      <c r="S10745" t="str">
        <f>VLOOKUP(record[[#This Row],[employeeID]],員工[],2,FALSE)</f>
        <v>張淑惠</v>
      </c>
    </row>
    <row r="10746" spans="6:19" hidden="1" x14ac:dyDescent="0.25">
      <c r="F10746" t="s">
        <v>601</v>
      </c>
      <c r="G10746" t="s">
        <v>362</v>
      </c>
      <c r="H10746" t="str">
        <f>VLOOKUP(record[[#This Row],[ProcessSN]],表格2_7[],2,FALSE)</f>
        <v>30-4118-018-450</v>
      </c>
      <c r="I10746" t="str">
        <f>VLOOKUP(record[[#This Row],[ProcessSN]],表格2_7[],3,FALSE)</f>
        <v>#100SHIP</v>
      </c>
      <c r="J10746" t="s">
        <v>600</v>
      </c>
      <c r="K10746" s="195">
        <v>45660.588634259257</v>
      </c>
      <c r="L10746">
        <v>77</v>
      </c>
      <c r="M10746">
        <v>0</v>
      </c>
      <c r="N10746" s="98" t="str">
        <f>IF(record[[#This Row],[Memo]]="Browser:chrome os:android","平板報工",IF(record[[#This Row],[Memo]]=0,"委外",record[[#This Row],[Memo]]))</f>
        <v>補1/2出貨</v>
      </c>
      <c r="O10746" t="s">
        <v>661</v>
      </c>
      <c r="P10746" t="s">
        <v>196</v>
      </c>
      <c r="Q10746" t="s">
        <v>58</v>
      </c>
      <c r="R10746" t="str">
        <f>IFERROR(VLOOKUP(record[[#This Row],[PCUSTID]],廠商[],2,FALSE),"")</f>
        <v/>
      </c>
      <c r="S10746" t="str">
        <f>VLOOKUP(record[[#This Row],[employeeID]],員工[],2,FALSE)</f>
        <v>張淑惠</v>
      </c>
    </row>
    <row r="10747" spans="6:19" hidden="1" x14ac:dyDescent="0.25">
      <c r="F10747" t="s">
        <v>596</v>
      </c>
      <c r="G10747" t="s">
        <v>362</v>
      </c>
      <c r="H10747" t="str">
        <f>VLOOKUP(record[[#This Row],[ProcessSN]],表格2_7[],2,FALSE)</f>
        <v>30-4118-018-450</v>
      </c>
      <c r="I10747" t="str">
        <f>VLOOKUP(record[[#This Row],[ProcessSN]],表格2_7[],3,FALSE)</f>
        <v>#100SHIP</v>
      </c>
      <c r="J10747" t="s">
        <v>600</v>
      </c>
      <c r="K10747" s="195">
        <v>45660.588263888887</v>
      </c>
      <c r="L10747">
        <v>91</v>
      </c>
      <c r="M10747">
        <v>0</v>
      </c>
      <c r="N10747" s="98" t="str">
        <f>IF(record[[#This Row],[Memo]]="Browser:chrome os:android","平板報工",IF(record[[#This Row],[Memo]]=0,"委外",record[[#This Row],[Memo]]))</f>
        <v>補1/2出貨</v>
      </c>
      <c r="O10747" t="s">
        <v>661</v>
      </c>
      <c r="P10747" t="s">
        <v>196</v>
      </c>
      <c r="Q10747" t="s">
        <v>58</v>
      </c>
      <c r="R10747" t="str">
        <f>IFERROR(VLOOKUP(record[[#This Row],[PCUSTID]],廠商[],2,FALSE),"")</f>
        <v/>
      </c>
      <c r="S10747" t="str">
        <f>VLOOKUP(record[[#This Row],[employeeID]],員工[],2,FALSE)</f>
        <v>張淑惠</v>
      </c>
    </row>
    <row r="10748" spans="6:19" hidden="1" x14ac:dyDescent="0.25">
      <c r="F10748" t="s">
        <v>659</v>
      </c>
      <c r="G10748" t="s">
        <v>419</v>
      </c>
      <c r="H10748" t="str">
        <f>VLOOKUP(record[[#This Row],[ProcessSN]],表格2_7[],2,FALSE)</f>
        <v>30-4118-018-5XX</v>
      </c>
      <c r="I10748" t="str">
        <f>VLOOKUP(record[[#This Row],[ProcessSN]],表格2_7[],3,FALSE)</f>
        <v>#07QC</v>
      </c>
      <c r="J10748" t="s">
        <v>589</v>
      </c>
      <c r="K10748" s="195">
        <v>45660.544479166667</v>
      </c>
      <c r="L10748">
        <v>5</v>
      </c>
      <c r="M10748">
        <v>0</v>
      </c>
      <c r="N10748" s="98" t="str">
        <f>IF(record[[#This Row],[Memo]]="Browser:chrome os:android","平板報工",IF(record[[#This Row],[Memo]]=0,"委外",record[[#This Row],[Memo]]))</f>
        <v>平板報工</v>
      </c>
      <c r="O10748" t="s">
        <v>643</v>
      </c>
      <c r="P10748" t="s">
        <v>141</v>
      </c>
      <c r="Q10748" t="s">
        <v>644</v>
      </c>
      <c r="R10748" t="str">
        <f>IFERROR(VLOOKUP(record[[#This Row],[PCUSTID]],廠商[],2,FALSE),"")</f>
        <v/>
      </c>
      <c r="S10748" t="str">
        <f>VLOOKUP(record[[#This Row],[employeeID]],員工[],2,FALSE)</f>
        <v>蔣梅</v>
      </c>
    </row>
    <row r="10749" spans="6:19" hidden="1" x14ac:dyDescent="0.25">
      <c r="F10749" t="s">
        <v>660</v>
      </c>
      <c r="G10749" t="s">
        <v>396</v>
      </c>
      <c r="H10749" t="str">
        <f>VLOOKUP(record[[#This Row],[ProcessSN]],表格2_7[],2,FALSE)</f>
        <v>30-4118-018-550</v>
      </c>
      <c r="I10749" t="str">
        <f>VLOOKUP(record[[#This Row],[ProcessSN]],表格2_7[],3,FALSE)</f>
        <v>#08PICK</v>
      </c>
      <c r="J10749" t="s">
        <v>582</v>
      </c>
      <c r="K10749" s="195">
        <v>45660.469467592593</v>
      </c>
      <c r="L10749">
        <v>464</v>
      </c>
      <c r="M10749">
        <v>0</v>
      </c>
      <c r="N10749" s="98" t="str">
        <f>IF(record[[#This Row],[Memo]]="Browser:chrome os:android","平板報工",IF(record[[#This Row],[Memo]]=0,"委外",record[[#This Row],[Memo]]))</f>
        <v>委外</v>
      </c>
      <c r="P10749" t="s">
        <v>206</v>
      </c>
      <c r="Q10749" t="s">
        <v>287</v>
      </c>
      <c r="R10749" t="str">
        <f>IFERROR(VLOOKUP(record[[#This Row],[PCUSTID]],廠商[],2,FALSE),"")</f>
        <v>泉盛</v>
      </c>
      <c r="S10749" t="str">
        <f>VLOOKUP(record[[#This Row],[employeeID]],員工[],2,FALSE)</f>
        <v>曾婉筠</v>
      </c>
    </row>
    <row r="10750" spans="6:19" hidden="1" x14ac:dyDescent="0.25">
      <c r="F10750" t="s">
        <v>659</v>
      </c>
      <c r="G10750" t="s">
        <v>418</v>
      </c>
      <c r="H10750" t="str">
        <f>VLOOKUP(record[[#This Row],[ProcessSN]],表格2_7[],2,FALSE)</f>
        <v>30-4118-018-5XX</v>
      </c>
      <c r="I10750" t="str">
        <f>VLOOKUP(record[[#This Row],[ProcessSN]],表格2_7[],3,FALSE)</f>
        <v>#07</v>
      </c>
      <c r="J10750" t="s">
        <v>588</v>
      </c>
      <c r="K10750" s="195">
        <v>45660.466967592591</v>
      </c>
      <c r="L10750">
        <v>9</v>
      </c>
      <c r="M10750">
        <v>0</v>
      </c>
      <c r="N10750" s="98" t="str">
        <f>IF(record[[#This Row],[Memo]]="Browser:chrome os:android","平板報工",IF(record[[#This Row],[Memo]]=0,"委外",record[[#This Row],[Memo]]))</f>
        <v/>
      </c>
      <c r="O10750" t="s">
        <v>58</v>
      </c>
      <c r="P10750" t="s">
        <v>65</v>
      </c>
      <c r="Q10750" t="s">
        <v>58</v>
      </c>
      <c r="R10750" t="str">
        <f>IFERROR(VLOOKUP(record[[#This Row],[PCUSTID]],廠商[],2,FALSE),"")</f>
        <v/>
      </c>
      <c r="S10750" t="str">
        <f>VLOOKUP(record[[#This Row],[employeeID]],員工[],2,FALSE)</f>
        <v>蘇進昌</v>
      </c>
    </row>
    <row r="10751" spans="6:19" hidden="1" x14ac:dyDescent="0.25">
      <c r="F10751" t="s">
        <v>659</v>
      </c>
      <c r="G10751" t="s">
        <v>417</v>
      </c>
      <c r="H10751" t="str">
        <f>VLOOKUP(record[[#This Row],[ProcessSN]],表格2_7[],2,FALSE)</f>
        <v>30-4118-018-5XX</v>
      </c>
      <c r="I10751" t="str">
        <f>VLOOKUP(record[[#This Row],[ProcessSN]],表格2_7[],3,FALSE)</f>
        <v>#06</v>
      </c>
      <c r="J10751" t="s">
        <v>593</v>
      </c>
      <c r="K10751" s="195">
        <v>45660.466898148145</v>
      </c>
      <c r="L10751">
        <v>9</v>
      </c>
      <c r="M10751">
        <v>0</v>
      </c>
      <c r="N10751" s="98" t="str">
        <f>IF(record[[#This Row],[Memo]]="Browser:chrome os:android","平板報工",IF(record[[#This Row],[Memo]]=0,"委外",record[[#This Row],[Memo]]))</f>
        <v/>
      </c>
      <c r="O10751" t="s">
        <v>58</v>
      </c>
      <c r="P10751" t="s">
        <v>65</v>
      </c>
      <c r="Q10751" t="s">
        <v>58</v>
      </c>
      <c r="R10751" t="str">
        <f>IFERROR(VLOOKUP(record[[#This Row],[PCUSTID]],廠商[],2,FALSE),"")</f>
        <v/>
      </c>
      <c r="S10751" t="str">
        <f>VLOOKUP(record[[#This Row],[employeeID]],員工[],2,FALSE)</f>
        <v>蘇進昌</v>
      </c>
    </row>
    <row r="10752" spans="6:19" hidden="1" x14ac:dyDescent="0.25">
      <c r="F10752" t="s">
        <v>659</v>
      </c>
      <c r="G10752" t="s">
        <v>416</v>
      </c>
      <c r="H10752" t="str">
        <f>VLOOKUP(record[[#This Row],[ProcessSN]],表格2_7[],2,FALSE)</f>
        <v>30-4118-018-5XX</v>
      </c>
      <c r="I10752" t="str">
        <f>VLOOKUP(record[[#This Row],[ProcessSN]],表格2_7[],3,FALSE)</f>
        <v>#05</v>
      </c>
      <c r="J10752" t="s">
        <v>588</v>
      </c>
      <c r="K10752" s="195">
        <v>45660.466805555552</v>
      </c>
      <c r="L10752">
        <v>9</v>
      </c>
      <c r="M10752">
        <v>0</v>
      </c>
      <c r="N10752" s="98" t="str">
        <f>IF(record[[#This Row],[Memo]]="Browser:chrome os:android","平板報工",IF(record[[#This Row],[Memo]]=0,"委外",record[[#This Row],[Memo]]))</f>
        <v/>
      </c>
      <c r="O10752" t="s">
        <v>58</v>
      </c>
      <c r="P10752" t="s">
        <v>65</v>
      </c>
      <c r="Q10752" t="s">
        <v>58</v>
      </c>
      <c r="R10752" t="str">
        <f>IFERROR(VLOOKUP(record[[#This Row],[PCUSTID]],廠商[],2,FALSE),"")</f>
        <v/>
      </c>
      <c r="S10752" t="str">
        <f>VLOOKUP(record[[#This Row],[employeeID]],員工[],2,FALSE)</f>
        <v>蘇進昌</v>
      </c>
    </row>
    <row r="10753" spans="6:19" hidden="1" x14ac:dyDescent="0.25">
      <c r="F10753" t="s">
        <v>659</v>
      </c>
      <c r="G10753" t="s">
        <v>415</v>
      </c>
      <c r="H10753" t="str">
        <f>VLOOKUP(record[[#This Row],[ProcessSN]],表格2_7[],2,FALSE)</f>
        <v>30-4118-018-5XX</v>
      </c>
      <c r="I10753" t="str">
        <f>VLOOKUP(record[[#This Row],[ProcessSN]],表格2_7[],3,FALSE)</f>
        <v>#04</v>
      </c>
      <c r="J10753" t="s">
        <v>588</v>
      </c>
      <c r="K10753" s="195">
        <v>45660.466736111113</v>
      </c>
      <c r="L10753">
        <v>9</v>
      </c>
      <c r="M10753">
        <v>0</v>
      </c>
      <c r="N10753" s="98" t="str">
        <f>IF(record[[#This Row],[Memo]]="Browser:chrome os:android","平板報工",IF(record[[#This Row],[Memo]]=0,"委外",record[[#This Row],[Memo]]))</f>
        <v/>
      </c>
      <c r="O10753" t="s">
        <v>58</v>
      </c>
      <c r="P10753" t="s">
        <v>65</v>
      </c>
      <c r="Q10753" t="s">
        <v>58</v>
      </c>
      <c r="R10753" t="str">
        <f>IFERROR(VLOOKUP(record[[#This Row],[PCUSTID]],廠商[],2,FALSE),"")</f>
        <v/>
      </c>
      <c r="S10753" t="str">
        <f>VLOOKUP(record[[#This Row],[employeeID]],員工[],2,FALSE)</f>
        <v>蘇進昌</v>
      </c>
    </row>
    <row r="10754" spans="6:19" hidden="1" x14ac:dyDescent="0.25">
      <c r="F10754" t="s">
        <v>659</v>
      </c>
      <c r="G10754" t="s">
        <v>414</v>
      </c>
      <c r="H10754" t="str">
        <f>VLOOKUP(record[[#This Row],[ProcessSN]],表格2_7[],2,FALSE)</f>
        <v>30-4118-018-5XX</v>
      </c>
      <c r="I10754" t="str">
        <f>VLOOKUP(record[[#This Row],[ProcessSN]],表格2_7[],3,FALSE)</f>
        <v>#03</v>
      </c>
      <c r="J10754" t="s">
        <v>588</v>
      </c>
      <c r="K10754" s="195">
        <v>45660.466678240744</v>
      </c>
      <c r="L10754">
        <v>9</v>
      </c>
      <c r="M10754">
        <v>0</v>
      </c>
      <c r="N10754" s="98" t="str">
        <f>IF(record[[#This Row],[Memo]]="Browser:chrome os:android","平板報工",IF(record[[#This Row],[Memo]]=0,"委外",record[[#This Row],[Memo]]))</f>
        <v/>
      </c>
      <c r="O10754" t="s">
        <v>58</v>
      </c>
      <c r="P10754" t="s">
        <v>65</v>
      </c>
      <c r="Q10754" t="s">
        <v>58</v>
      </c>
      <c r="R10754" t="str">
        <f>IFERROR(VLOOKUP(record[[#This Row],[PCUSTID]],廠商[],2,FALSE),"")</f>
        <v/>
      </c>
      <c r="S10754" t="str">
        <f>VLOOKUP(record[[#This Row],[employeeID]],員工[],2,FALSE)</f>
        <v>蘇進昌</v>
      </c>
    </row>
    <row r="10755" spans="6:19" hidden="1" x14ac:dyDescent="0.25">
      <c r="F10755" t="s">
        <v>659</v>
      </c>
      <c r="G10755" t="s">
        <v>413</v>
      </c>
      <c r="H10755" t="str">
        <f>VLOOKUP(record[[#This Row],[ProcessSN]],表格2_7[],2,FALSE)</f>
        <v>30-4118-018-5XX</v>
      </c>
      <c r="I10755" t="str">
        <f>VLOOKUP(record[[#This Row],[ProcessSN]],表格2_7[],3,FALSE)</f>
        <v>#03GIVE</v>
      </c>
      <c r="J10755" t="s">
        <v>587</v>
      </c>
      <c r="K10755" s="195">
        <v>45660.466574074075</v>
      </c>
      <c r="L10755">
        <v>9</v>
      </c>
      <c r="M10755">
        <v>0</v>
      </c>
      <c r="N10755" s="98" t="str">
        <f>IF(record[[#This Row],[Memo]]="Browser:chrome os:android","平板報工",IF(record[[#This Row],[Memo]]=0,"委外",record[[#This Row],[Memo]]))</f>
        <v/>
      </c>
      <c r="O10755" t="s">
        <v>58</v>
      </c>
      <c r="P10755" t="s">
        <v>65</v>
      </c>
      <c r="Q10755" t="s">
        <v>58</v>
      </c>
      <c r="R10755" t="str">
        <f>IFERROR(VLOOKUP(record[[#This Row],[PCUSTID]],廠商[],2,FALSE),"")</f>
        <v/>
      </c>
      <c r="S10755" t="str">
        <f>VLOOKUP(record[[#This Row],[employeeID]],員工[],2,FALSE)</f>
        <v>蘇進昌</v>
      </c>
    </row>
    <row r="10756" spans="6:19" hidden="1" x14ac:dyDescent="0.25">
      <c r="F10756" t="s">
        <v>659</v>
      </c>
      <c r="G10756" t="s">
        <v>412</v>
      </c>
      <c r="H10756" t="str">
        <f>VLOOKUP(record[[#This Row],[ProcessSN]],表格2_7[],2,FALSE)</f>
        <v>30-4118-018-5XX</v>
      </c>
      <c r="I10756" t="str">
        <f>VLOOKUP(record[[#This Row],[ProcessSN]],表格2_7[],3,FALSE)</f>
        <v>#03PICK</v>
      </c>
      <c r="J10756" t="s">
        <v>582</v>
      </c>
      <c r="K10756" s="195">
        <v>45660.466516203705</v>
      </c>
      <c r="L10756">
        <v>9</v>
      </c>
      <c r="M10756">
        <v>0</v>
      </c>
      <c r="N10756" s="98" t="str">
        <f>IF(record[[#This Row],[Memo]]="Browser:chrome os:android","平板報工",IF(record[[#This Row],[Memo]]=0,"委外",record[[#This Row],[Memo]]))</f>
        <v/>
      </c>
      <c r="O10756" t="s">
        <v>58</v>
      </c>
      <c r="P10756" t="s">
        <v>65</v>
      </c>
      <c r="Q10756" t="s">
        <v>58</v>
      </c>
      <c r="R10756" t="str">
        <f>IFERROR(VLOOKUP(record[[#This Row],[PCUSTID]],廠商[],2,FALSE),"")</f>
        <v/>
      </c>
      <c r="S10756" t="str">
        <f>VLOOKUP(record[[#This Row],[employeeID]],員工[],2,FALSE)</f>
        <v>蘇進昌</v>
      </c>
    </row>
    <row r="10757" spans="6:19" hidden="1" x14ac:dyDescent="0.25">
      <c r="F10757" t="s">
        <v>594</v>
      </c>
      <c r="G10757" t="s">
        <v>420</v>
      </c>
      <c r="H10757" t="str">
        <f>VLOOKUP(record[[#This Row],[ProcessSN]],表格2_7[],2,FALSE)</f>
        <v>30-4118-018-5XX</v>
      </c>
      <c r="I10757" t="str">
        <f>VLOOKUP(record[[#This Row],[ProcessSN]],表格2_7[],3,FALSE)</f>
        <v>#07STOCK</v>
      </c>
      <c r="J10757" t="s">
        <v>592</v>
      </c>
      <c r="K10757" s="195">
        <v>45660.435706018521</v>
      </c>
      <c r="L10757">
        <v>459</v>
      </c>
      <c r="M10757">
        <v>0</v>
      </c>
      <c r="N10757" s="98" t="str">
        <f>IF(record[[#This Row],[Memo]]="Browser:chrome os:android","平板報工",IF(record[[#This Row],[Memo]]=0,"委外",record[[#This Row],[Memo]]))</f>
        <v/>
      </c>
      <c r="O10757" t="s">
        <v>58</v>
      </c>
      <c r="P10757" t="s">
        <v>65</v>
      </c>
      <c r="Q10757" t="s">
        <v>58</v>
      </c>
      <c r="R10757" t="str">
        <f>IFERROR(VLOOKUP(record[[#This Row],[PCUSTID]],廠商[],2,FALSE),"")</f>
        <v/>
      </c>
      <c r="S10757" t="str">
        <f>VLOOKUP(record[[#This Row],[employeeID]],員工[],2,FALSE)</f>
        <v>蘇進昌</v>
      </c>
    </row>
    <row r="10758" spans="6:19" hidden="1" x14ac:dyDescent="0.25">
      <c r="F10758" t="s">
        <v>594</v>
      </c>
      <c r="G10758" t="s">
        <v>419</v>
      </c>
      <c r="H10758" t="str">
        <f>VLOOKUP(record[[#This Row],[ProcessSN]],表格2_7[],2,FALSE)</f>
        <v>30-4118-018-5XX</v>
      </c>
      <c r="I10758" t="str">
        <f>VLOOKUP(record[[#This Row],[ProcessSN]],表格2_7[],3,FALSE)</f>
        <v>#07QC</v>
      </c>
      <c r="J10758" t="s">
        <v>589</v>
      </c>
      <c r="K10758" s="195">
        <v>45660.429837962962</v>
      </c>
      <c r="L10758">
        <v>459</v>
      </c>
      <c r="M10758">
        <v>10</v>
      </c>
      <c r="N10758" s="98" t="str">
        <f>IF(record[[#This Row],[Memo]]="Browser:chrome os:android","平板報工",IF(record[[#This Row],[Memo]]=0,"委外",record[[#This Row],[Memo]]))</f>
        <v>平板報工</v>
      </c>
      <c r="O10758" t="s">
        <v>643</v>
      </c>
      <c r="P10758" t="s">
        <v>141</v>
      </c>
      <c r="Q10758" t="s">
        <v>644</v>
      </c>
      <c r="R10758" t="str">
        <f>IFERROR(VLOOKUP(record[[#This Row],[PCUSTID]],廠商[],2,FALSE),"")</f>
        <v/>
      </c>
      <c r="S10758" t="str">
        <f>VLOOKUP(record[[#This Row],[employeeID]],員工[],2,FALSE)</f>
        <v>蔣梅</v>
      </c>
    </row>
    <row r="10759" spans="6:19" hidden="1" x14ac:dyDescent="0.25">
      <c r="F10759" t="s">
        <v>586</v>
      </c>
      <c r="G10759" t="s">
        <v>376</v>
      </c>
      <c r="H10759" t="str">
        <f>VLOOKUP(record[[#This Row],[ProcessSN]],表格2_7[],2,FALSE)</f>
        <v>30-4118-018-4XX</v>
      </c>
      <c r="I10759" t="str">
        <f>VLOOKUP(record[[#This Row],[ProcessSN]],表格2_7[],3,FALSE)</f>
        <v>#06</v>
      </c>
      <c r="J10759" t="s">
        <v>593</v>
      </c>
      <c r="K10759" s="195">
        <v>45660.320949074077</v>
      </c>
      <c r="L10759">
        <v>107</v>
      </c>
      <c r="M10759">
        <v>14</v>
      </c>
      <c r="N10759" s="98" t="str">
        <f>IF(record[[#This Row],[Memo]]="Browser:chrome os:android","平板報工",IF(record[[#This Row],[Memo]]=0,"委外",record[[#This Row],[Memo]]))</f>
        <v/>
      </c>
      <c r="O10759" t="s">
        <v>58</v>
      </c>
      <c r="P10759" t="s">
        <v>135</v>
      </c>
      <c r="Q10759" t="s">
        <v>58</v>
      </c>
      <c r="R10759" t="str">
        <f>IFERROR(VLOOKUP(record[[#This Row],[PCUSTID]],廠商[],2,FALSE),"")</f>
        <v/>
      </c>
      <c r="S10759" t="str">
        <f>VLOOKUP(record[[#This Row],[employeeID]],員工[],2,FALSE)</f>
        <v>阮士文</v>
      </c>
    </row>
    <row r="10760" spans="6:19" hidden="1" x14ac:dyDescent="0.25">
      <c r="F10760" t="s">
        <v>650</v>
      </c>
      <c r="G10760" t="s">
        <v>415</v>
      </c>
      <c r="H10760" t="str">
        <f>VLOOKUP(record[[#This Row],[ProcessSN]],表格2_7[],2,FALSE)</f>
        <v>30-4118-018-5XX</v>
      </c>
      <c r="I10760" t="str">
        <f>VLOOKUP(record[[#This Row],[ProcessSN]],表格2_7[],3,FALSE)</f>
        <v>#04</v>
      </c>
      <c r="J10760" t="s">
        <v>588</v>
      </c>
      <c r="K10760" s="195">
        <v>45660.317986111113</v>
      </c>
      <c r="L10760">
        <v>150</v>
      </c>
      <c r="M10760">
        <v>0</v>
      </c>
      <c r="N10760" s="98" t="str">
        <f>IF(record[[#This Row],[Memo]]="Browser:chrome os:android","平板報工",IF(record[[#This Row],[Memo]]=0,"委外",record[[#This Row],[Memo]]))</f>
        <v/>
      </c>
      <c r="O10760" t="s">
        <v>58</v>
      </c>
      <c r="P10760" t="s">
        <v>135</v>
      </c>
      <c r="Q10760" t="s">
        <v>58</v>
      </c>
      <c r="R10760" t="str">
        <f>IFERROR(VLOOKUP(record[[#This Row],[PCUSTID]],廠商[],2,FALSE),"")</f>
        <v/>
      </c>
      <c r="S10760" t="str">
        <f>VLOOKUP(record[[#This Row],[employeeID]],員工[],2,FALSE)</f>
        <v>阮士文</v>
      </c>
    </row>
    <row r="10761" spans="6:19" hidden="1" x14ac:dyDescent="0.25">
      <c r="F10761" t="s">
        <v>594</v>
      </c>
      <c r="G10761" t="s">
        <v>418</v>
      </c>
      <c r="H10761" t="str">
        <f>VLOOKUP(record[[#This Row],[ProcessSN]],表格2_7[],2,FALSE)</f>
        <v>30-4118-018-5XX</v>
      </c>
      <c r="I10761" t="str">
        <f>VLOOKUP(record[[#This Row],[ProcessSN]],表格2_7[],3,FALSE)</f>
        <v>#07</v>
      </c>
      <c r="J10761" t="s">
        <v>588</v>
      </c>
      <c r="K10761" s="195">
        <v>45660.317708333336</v>
      </c>
      <c r="L10761">
        <v>187</v>
      </c>
      <c r="M10761">
        <v>0</v>
      </c>
      <c r="N10761" s="98" t="str">
        <f>IF(record[[#This Row],[Memo]]="Browser:chrome os:android","平板報工",IF(record[[#This Row],[Memo]]=0,"委外",record[[#This Row],[Memo]]))</f>
        <v/>
      </c>
      <c r="O10761" t="s">
        <v>58</v>
      </c>
      <c r="P10761" t="s">
        <v>135</v>
      </c>
      <c r="Q10761" t="s">
        <v>58</v>
      </c>
      <c r="R10761" t="str">
        <f>IFERROR(VLOOKUP(record[[#This Row],[PCUSTID]],廠商[],2,FALSE),"")</f>
        <v/>
      </c>
      <c r="S10761" t="str">
        <f>VLOOKUP(record[[#This Row],[employeeID]],員工[],2,FALSE)</f>
        <v>阮士文</v>
      </c>
    </row>
    <row r="10762" spans="6:19" hidden="1" x14ac:dyDescent="0.25">
      <c r="F10762" t="s">
        <v>650</v>
      </c>
      <c r="G10762" t="s">
        <v>416</v>
      </c>
      <c r="H10762" t="str">
        <f>VLOOKUP(record[[#This Row],[ProcessSN]],表格2_7[],2,FALSE)</f>
        <v>30-4118-018-5XX</v>
      </c>
      <c r="I10762" t="str">
        <f>VLOOKUP(record[[#This Row],[ProcessSN]],表格2_7[],3,FALSE)</f>
        <v>#05</v>
      </c>
      <c r="J10762" t="s">
        <v>588</v>
      </c>
      <c r="K10762" s="195">
        <v>45660.317175925928</v>
      </c>
      <c r="L10762">
        <v>164</v>
      </c>
      <c r="M10762">
        <v>0</v>
      </c>
      <c r="N10762" s="98" t="str">
        <f>IF(record[[#This Row],[Memo]]="Browser:chrome os:android","平板報工",IF(record[[#This Row],[Memo]]=0,"委外",record[[#This Row],[Memo]]))</f>
        <v/>
      </c>
      <c r="O10762" t="s">
        <v>58</v>
      </c>
      <c r="P10762" t="s">
        <v>135</v>
      </c>
      <c r="Q10762" t="s">
        <v>58</v>
      </c>
      <c r="R10762" t="str">
        <f>IFERROR(VLOOKUP(record[[#This Row],[PCUSTID]],廠商[],2,FALSE),"")</f>
        <v/>
      </c>
      <c r="S10762" t="str">
        <f>VLOOKUP(record[[#This Row],[employeeID]],員工[],2,FALSE)</f>
        <v>阮士文</v>
      </c>
    </row>
    <row r="10763" spans="6:19" hidden="1" x14ac:dyDescent="0.25">
      <c r="F10763" t="s">
        <v>642</v>
      </c>
      <c r="G10763" t="s">
        <v>416</v>
      </c>
      <c r="H10763" t="str">
        <f>VLOOKUP(record[[#This Row],[ProcessSN]],表格2_7[],2,FALSE)</f>
        <v>30-4118-018-5XX</v>
      </c>
      <c r="I10763" t="str">
        <f>VLOOKUP(record[[#This Row],[ProcessSN]],表格2_7[],3,FALSE)</f>
        <v>#05</v>
      </c>
      <c r="J10763" t="s">
        <v>588</v>
      </c>
      <c r="K10763" s="195">
        <v>45660.316990740743</v>
      </c>
      <c r="L10763">
        <v>45</v>
      </c>
      <c r="M10763">
        <v>0</v>
      </c>
      <c r="N10763" s="98" t="str">
        <f>IF(record[[#This Row],[Memo]]="Browser:chrome os:android","平板報工",IF(record[[#This Row],[Memo]]=0,"委外",record[[#This Row],[Memo]]))</f>
        <v/>
      </c>
      <c r="O10763" t="s">
        <v>58</v>
      </c>
      <c r="P10763" t="s">
        <v>135</v>
      </c>
      <c r="Q10763" t="s">
        <v>58</v>
      </c>
      <c r="R10763" t="str">
        <f>IFERROR(VLOOKUP(record[[#This Row],[PCUSTID]],廠商[],2,FALSE),"")</f>
        <v/>
      </c>
      <c r="S10763" t="str">
        <f>VLOOKUP(record[[#This Row],[employeeID]],員工[],2,FALSE)</f>
        <v>阮士文</v>
      </c>
    </row>
    <row r="10764" spans="6:19" hidden="1" x14ac:dyDescent="0.25">
      <c r="F10764" t="s">
        <v>586</v>
      </c>
      <c r="G10764" t="s">
        <v>376</v>
      </c>
      <c r="H10764" t="str">
        <f>VLOOKUP(record[[#This Row],[ProcessSN]],表格2_7[],2,FALSE)</f>
        <v>30-4118-018-4XX</v>
      </c>
      <c r="I10764" t="str">
        <f>VLOOKUP(record[[#This Row],[ProcessSN]],表格2_7[],3,FALSE)</f>
        <v>#06</v>
      </c>
      <c r="J10764" t="s">
        <v>593</v>
      </c>
      <c r="K10764" s="195">
        <v>45660.002233796295</v>
      </c>
      <c r="L10764">
        <v>114</v>
      </c>
      <c r="M10764">
        <v>0</v>
      </c>
      <c r="N10764" s="98" t="str">
        <f>IF(record[[#This Row],[Memo]]="Browser:chrome os:android","平板報工",IF(record[[#This Row],[Memo]]=0,"委外",record[[#This Row],[Memo]]))</f>
        <v/>
      </c>
      <c r="O10764" t="s">
        <v>58</v>
      </c>
      <c r="P10764" t="s">
        <v>127</v>
      </c>
      <c r="Q10764" t="s">
        <v>58</v>
      </c>
      <c r="R10764" t="str">
        <f>IFERROR(VLOOKUP(record[[#This Row],[PCUSTID]],廠商[],2,FALSE),"")</f>
        <v/>
      </c>
      <c r="S10764" t="str">
        <f>VLOOKUP(record[[#This Row],[employeeID]],員工[],2,FALSE)</f>
        <v>潘雪梅</v>
      </c>
    </row>
    <row r="10765" spans="6:19" hidden="1" x14ac:dyDescent="0.25">
      <c r="F10765" t="s">
        <v>650</v>
      </c>
      <c r="G10765" t="s">
        <v>415</v>
      </c>
      <c r="H10765" t="str">
        <f>VLOOKUP(record[[#This Row],[ProcessSN]],表格2_7[],2,FALSE)</f>
        <v>30-4118-018-5XX</v>
      </c>
      <c r="I10765" t="str">
        <f>VLOOKUP(record[[#This Row],[ProcessSN]],表格2_7[],3,FALSE)</f>
        <v>#04</v>
      </c>
      <c r="J10765" t="s">
        <v>588</v>
      </c>
      <c r="K10765" s="195">
        <v>45659.98704861111</v>
      </c>
      <c r="L10765">
        <v>150</v>
      </c>
      <c r="M10765">
        <v>0</v>
      </c>
      <c r="N10765" s="98" t="str">
        <f>IF(record[[#This Row],[Memo]]="Browser:chrome os:android","平板報工",IF(record[[#This Row],[Memo]]=0,"委外",record[[#This Row],[Memo]]))</f>
        <v/>
      </c>
      <c r="O10765" t="s">
        <v>58</v>
      </c>
      <c r="P10765" t="s">
        <v>127</v>
      </c>
      <c r="Q10765" t="s">
        <v>58</v>
      </c>
      <c r="R10765" t="str">
        <f>IFERROR(VLOOKUP(record[[#This Row],[PCUSTID]],廠商[],2,FALSE),"")</f>
        <v/>
      </c>
      <c r="S10765" t="str">
        <f>VLOOKUP(record[[#This Row],[employeeID]],員工[],2,FALSE)</f>
        <v>潘雪梅</v>
      </c>
    </row>
    <row r="10766" spans="6:19" hidden="1" x14ac:dyDescent="0.25">
      <c r="F10766" t="s">
        <v>594</v>
      </c>
      <c r="G10766" t="s">
        <v>418</v>
      </c>
      <c r="H10766" t="str">
        <f>VLOOKUP(record[[#This Row],[ProcessSN]],表格2_7[],2,FALSE)</f>
        <v>30-4118-018-5XX</v>
      </c>
      <c r="I10766" t="str">
        <f>VLOOKUP(record[[#This Row],[ProcessSN]],表格2_7[],3,FALSE)</f>
        <v>#07</v>
      </c>
      <c r="J10766" t="s">
        <v>588</v>
      </c>
      <c r="K10766" s="195">
        <v>45659.986643518518</v>
      </c>
      <c r="L10766">
        <v>152</v>
      </c>
      <c r="M10766">
        <v>0</v>
      </c>
      <c r="N10766" s="98" t="str">
        <f>IF(record[[#This Row],[Memo]]="Browser:chrome os:android","平板報工",IF(record[[#This Row],[Memo]]=0,"委外",record[[#This Row],[Memo]]))</f>
        <v/>
      </c>
      <c r="O10766" t="s">
        <v>58</v>
      </c>
      <c r="P10766" t="s">
        <v>127</v>
      </c>
      <c r="Q10766" t="s">
        <v>58</v>
      </c>
      <c r="R10766" t="str">
        <f>IFERROR(VLOOKUP(record[[#This Row],[PCUSTID]],廠商[],2,FALSE),"")</f>
        <v/>
      </c>
      <c r="S10766" t="str">
        <f>VLOOKUP(record[[#This Row],[employeeID]],員工[],2,FALSE)</f>
        <v>潘雪梅</v>
      </c>
    </row>
    <row r="10767" spans="6:19" hidden="1" x14ac:dyDescent="0.25">
      <c r="F10767" t="s">
        <v>642</v>
      </c>
      <c r="G10767" t="s">
        <v>416</v>
      </c>
      <c r="H10767" t="str">
        <f>VLOOKUP(record[[#This Row],[ProcessSN]],表格2_7[],2,FALSE)</f>
        <v>30-4118-018-5XX</v>
      </c>
      <c r="I10767" t="str">
        <f>VLOOKUP(record[[#This Row],[ProcessSN]],表格2_7[],3,FALSE)</f>
        <v>#05</v>
      </c>
      <c r="J10767" t="s">
        <v>588</v>
      </c>
      <c r="K10767" s="195">
        <v>45659.98578703704</v>
      </c>
      <c r="L10767">
        <v>185</v>
      </c>
      <c r="M10767">
        <v>0</v>
      </c>
      <c r="N10767" s="98" t="str">
        <f>IF(record[[#This Row],[Memo]]="Browser:chrome os:android","平板報工",IF(record[[#This Row],[Memo]]=0,"委外",record[[#This Row],[Memo]]))</f>
        <v/>
      </c>
      <c r="O10767" t="s">
        <v>58</v>
      </c>
      <c r="P10767" t="s">
        <v>127</v>
      </c>
      <c r="Q10767" t="s">
        <v>58</v>
      </c>
      <c r="R10767" t="str">
        <f>IFERROR(VLOOKUP(record[[#This Row],[PCUSTID]],廠商[],2,FALSE),"")</f>
        <v/>
      </c>
      <c r="S10767" t="str">
        <f>VLOOKUP(record[[#This Row],[employeeID]],員工[],2,FALSE)</f>
        <v>潘雪梅</v>
      </c>
    </row>
    <row r="10768" spans="6:19" hidden="1" x14ac:dyDescent="0.25">
      <c r="F10768" t="s">
        <v>609</v>
      </c>
      <c r="G10768" t="s">
        <v>402</v>
      </c>
      <c r="H10768" t="str">
        <f>VLOOKUP(record[[#This Row],[ProcessSN]],表格2_7[],2,FALSE)</f>
        <v>30-4118-018-550</v>
      </c>
      <c r="I10768" t="str">
        <f>VLOOKUP(record[[#This Row],[ProcessSN]],表格2_7[],3,FALSE)</f>
        <v>#100STOCK</v>
      </c>
      <c r="J10768" t="s">
        <v>592</v>
      </c>
      <c r="K10768" s="195">
        <v>45659.78833333333</v>
      </c>
      <c r="L10768">
        <v>33</v>
      </c>
      <c r="M10768">
        <v>0</v>
      </c>
      <c r="N10768" s="98" t="str">
        <f>IF(record[[#This Row],[Memo]]="Browser:chrome os:android","平板報工",IF(record[[#This Row],[Memo]]=0,"委外",record[[#This Row],[Memo]]))</f>
        <v/>
      </c>
      <c r="O10768" t="s">
        <v>58</v>
      </c>
      <c r="P10768" t="s">
        <v>65</v>
      </c>
      <c r="Q10768" t="s">
        <v>58</v>
      </c>
      <c r="R10768" t="str">
        <f>IFERROR(VLOOKUP(record[[#This Row],[PCUSTID]],廠商[],2,FALSE),"")</f>
        <v/>
      </c>
      <c r="S10768" t="str">
        <f>VLOOKUP(record[[#This Row],[employeeID]],員工[],2,FALSE)</f>
        <v>蘇進昌</v>
      </c>
    </row>
    <row r="10769" spans="6:19" hidden="1" x14ac:dyDescent="0.25">
      <c r="F10769" t="s">
        <v>609</v>
      </c>
      <c r="G10769" t="s">
        <v>401</v>
      </c>
      <c r="H10769" t="str">
        <f>VLOOKUP(record[[#This Row],[ProcessSN]],表格2_7[],2,FALSE)</f>
        <v>30-4118-018-550</v>
      </c>
      <c r="I10769" t="str">
        <f>VLOOKUP(record[[#This Row],[ProcessSN]],表格2_7[],3,FALSE)</f>
        <v>#100OQC</v>
      </c>
      <c r="J10769" t="s">
        <v>599</v>
      </c>
      <c r="K10769" s="195">
        <v>45659.788194444445</v>
      </c>
      <c r="L10769">
        <v>33</v>
      </c>
      <c r="M10769">
        <v>0</v>
      </c>
      <c r="N10769" s="98" t="str">
        <f>IF(record[[#This Row],[Memo]]="Browser:chrome os:android","平板報工",IF(record[[#This Row],[Memo]]=0,"委外",record[[#This Row],[Memo]]))</f>
        <v/>
      </c>
      <c r="O10769" t="s">
        <v>58</v>
      </c>
      <c r="P10769" t="s">
        <v>65</v>
      </c>
      <c r="Q10769" t="s">
        <v>58</v>
      </c>
      <c r="R10769" t="str">
        <f>IFERROR(VLOOKUP(record[[#This Row],[PCUSTID]],廠商[],2,FALSE),"")</f>
        <v/>
      </c>
      <c r="S10769" t="str">
        <f>VLOOKUP(record[[#This Row],[employeeID]],員工[],2,FALSE)</f>
        <v>蘇進昌</v>
      </c>
    </row>
    <row r="10770" spans="6:19" hidden="1" x14ac:dyDescent="0.25">
      <c r="F10770" t="s">
        <v>652</v>
      </c>
      <c r="G10770" t="s">
        <v>399</v>
      </c>
      <c r="H10770" t="str">
        <f>VLOOKUP(record[[#This Row],[ProcessSN]],表格2_7[],2,FALSE)</f>
        <v>30-4118-018-550</v>
      </c>
      <c r="I10770" t="str">
        <f>VLOOKUP(record[[#This Row],[ProcessSN]],表格2_7[],3,FALSE)</f>
        <v>#08IQC</v>
      </c>
      <c r="J10770" t="s">
        <v>583</v>
      </c>
      <c r="K10770" s="195">
        <v>45659.728043981479</v>
      </c>
      <c r="L10770">
        <v>132</v>
      </c>
      <c r="M10770">
        <v>0</v>
      </c>
      <c r="N10770" s="98" t="str">
        <f>IF(record[[#This Row],[Memo]]="Browser:chrome os:android","平板報工",IF(record[[#This Row],[Memo]]=0,"委外",record[[#This Row],[Memo]]))</f>
        <v/>
      </c>
      <c r="O10770" t="s">
        <v>58</v>
      </c>
      <c r="P10770" t="s">
        <v>143</v>
      </c>
      <c r="Q10770" t="s">
        <v>58</v>
      </c>
      <c r="R10770" t="str">
        <f>IFERROR(VLOOKUP(record[[#This Row],[PCUSTID]],廠商[],2,FALSE),"")</f>
        <v/>
      </c>
      <c r="S10770" t="str">
        <f>VLOOKUP(record[[#This Row],[employeeID]],員工[],2,FALSE)</f>
        <v>潘佳琪</v>
      </c>
    </row>
    <row r="10771" spans="6:19" hidden="1" x14ac:dyDescent="0.25">
      <c r="F10771" t="s">
        <v>653</v>
      </c>
      <c r="G10771" t="s">
        <v>399</v>
      </c>
      <c r="H10771" t="str">
        <f>VLOOKUP(record[[#This Row],[ProcessSN]],表格2_7[],2,FALSE)</f>
        <v>30-4118-018-550</v>
      </c>
      <c r="I10771" t="str">
        <f>VLOOKUP(record[[#This Row],[ProcessSN]],表格2_7[],3,FALSE)</f>
        <v>#08IQC</v>
      </c>
      <c r="J10771" t="s">
        <v>583</v>
      </c>
      <c r="K10771" s="195">
        <v>45659.727905092594</v>
      </c>
      <c r="L10771">
        <v>314</v>
      </c>
      <c r="M10771">
        <v>0</v>
      </c>
      <c r="N10771" s="98" t="str">
        <f>IF(record[[#This Row],[Memo]]="Browser:chrome os:android","平板報工",IF(record[[#This Row],[Memo]]=0,"委外",record[[#This Row],[Memo]]))</f>
        <v/>
      </c>
      <c r="O10771" t="s">
        <v>58</v>
      </c>
      <c r="P10771" t="s">
        <v>143</v>
      </c>
      <c r="Q10771" t="s">
        <v>58</v>
      </c>
      <c r="R10771" t="str">
        <f>IFERROR(VLOOKUP(record[[#This Row],[PCUSTID]],廠商[],2,FALSE),"")</f>
        <v/>
      </c>
      <c r="S10771" t="str">
        <f>VLOOKUP(record[[#This Row],[employeeID]],員工[],2,FALSE)</f>
        <v>潘佳琪</v>
      </c>
    </row>
    <row r="10772" spans="6:19" hidden="1" x14ac:dyDescent="0.25">
      <c r="F10772" t="s">
        <v>586</v>
      </c>
      <c r="G10772" t="s">
        <v>376</v>
      </c>
      <c r="H10772" t="str">
        <f>VLOOKUP(record[[#This Row],[ProcessSN]],表格2_7[],2,FALSE)</f>
        <v>30-4118-018-4XX</v>
      </c>
      <c r="I10772" t="str">
        <f>VLOOKUP(record[[#This Row],[ProcessSN]],表格2_7[],3,FALSE)</f>
        <v>#06</v>
      </c>
      <c r="J10772" t="s">
        <v>593</v>
      </c>
      <c r="K10772" s="195">
        <v>45659.722881944443</v>
      </c>
      <c r="L10772">
        <v>95</v>
      </c>
      <c r="M10772">
        <v>3</v>
      </c>
      <c r="N10772" s="98" t="str">
        <f>IF(record[[#This Row],[Memo]]="Browser:chrome os:android","平板報工",IF(record[[#This Row],[Memo]]=0,"委外",record[[#This Row],[Memo]]))</f>
        <v/>
      </c>
      <c r="O10772" t="s">
        <v>58</v>
      </c>
      <c r="P10772" t="s">
        <v>119</v>
      </c>
      <c r="Q10772" t="s">
        <v>58</v>
      </c>
      <c r="R10772" t="str">
        <f>IFERROR(VLOOKUP(record[[#This Row],[PCUSTID]],廠商[],2,FALSE),"")</f>
        <v/>
      </c>
      <c r="S10772" t="str">
        <f>VLOOKUP(record[[#This Row],[employeeID]],員工[],2,FALSE)</f>
        <v>廖俊彥</v>
      </c>
    </row>
    <row r="10773" spans="6:19" hidden="1" x14ac:dyDescent="0.25">
      <c r="F10773" t="s">
        <v>650</v>
      </c>
      <c r="G10773" t="s">
        <v>415</v>
      </c>
      <c r="H10773" t="str">
        <f>VLOOKUP(record[[#This Row],[ProcessSN]],表格2_7[],2,FALSE)</f>
        <v>30-4118-018-5XX</v>
      </c>
      <c r="I10773" t="str">
        <f>VLOOKUP(record[[#This Row],[ProcessSN]],表格2_7[],3,FALSE)</f>
        <v>#04</v>
      </c>
      <c r="J10773" t="s">
        <v>588</v>
      </c>
      <c r="K10773" s="195">
        <v>45659.712418981479</v>
      </c>
      <c r="L10773">
        <v>132</v>
      </c>
      <c r="M10773">
        <v>0</v>
      </c>
      <c r="N10773" s="98" t="str">
        <f>IF(record[[#This Row],[Memo]]="Browser:chrome os:android","平板報工",IF(record[[#This Row],[Memo]]=0,"委外",record[[#This Row],[Memo]]))</f>
        <v/>
      </c>
      <c r="O10773" t="s">
        <v>58</v>
      </c>
      <c r="P10773" t="s">
        <v>119</v>
      </c>
      <c r="Q10773" t="s">
        <v>58</v>
      </c>
      <c r="R10773" t="str">
        <f>IFERROR(VLOOKUP(record[[#This Row],[PCUSTID]],廠商[],2,FALSE),"")</f>
        <v/>
      </c>
      <c r="S10773" t="str">
        <f>VLOOKUP(record[[#This Row],[employeeID]],員工[],2,FALSE)</f>
        <v>廖俊彥</v>
      </c>
    </row>
    <row r="10774" spans="6:19" hidden="1" x14ac:dyDescent="0.25">
      <c r="F10774" t="s">
        <v>594</v>
      </c>
      <c r="G10774" t="s">
        <v>418</v>
      </c>
      <c r="H10774" t="str">
        <f>VLOOKUP(record[[#This Row],[ProcessSN]],表格2_7[],2,FALSE)</f>
        <v>30-4118-018-5XX</v>
      </c>
      <c r="I10774" t="str">
        <f>VLOOKUP(record[[#This Row],[ProcessSN]],表格2_7[],3,FALSE)</f>
        <v>#07</v>
      </c>
      <c r="J10774" t="s">
        <v>588</v>
      </c>
      <c r="K10774" s="195">
        <v>45659.712152777778</v>
      </c>
      <c r="L10774">
        <v>128</v>
      </c>
      <c r="M10774">
        <v>0</v>
      </c>
      <c r="N10774" s="98" t="str">
        <f>IF(record[[#This Row],[Memo]]="Browser:chrome os:android","平板報工",IF(record[[#This Row],[Memo]]=0,"委外",record[[#This Row],[Memo]]))</f>
        <v/>
      </c>
      <c r="O10774" t="s">
        <v>58</v>
      </c>
      <c r="P10774" t="s">
        <v>119</v>
      </c>
      <c r="Q10774" t="s">
        <v>58</v>
      </c>
      <c r="R10774" t="str">
        <f>IFERROR(VLOOKUP(record[[#This Row],[PCUSTID]],廠商[],2,FALSE),"")</f>
        <v/>
      </c>
      <c r="S10774" t="str">
        <f>VLOOKUP(record[[#This Row],[employeeID]],員工[],2,FALSE)</f>
        <v>廖俊彥</v>
      </c>
    </row>
    <row r="10775" spans="6:19" hidden="1" x14ac:dyDescent="0.25">
      <c r="F10775" t="s">
        <v>642</v>
      </c>
      <c r="G10775" t="s">
        <v>416</v>
      </c>
      <c r="H10775" t="str">
        <f>VLOOKUP(record[[#This Row],[ProcessSN]],表格2_7[],2,FALSE)</f>
        <v>30-4118-018-5XX</v>
      </c>
      <c r="I10775" t="str">
        <f>VLOOKUP(record[[#This Row],[ProcessSN]],表格2_7[],3,FALSE)</f>
        <v>#05</v>
      </c>
      <c r="J10775" t="s">
        <v>588</v>
      </c>
      <c r="K10775" s="195">
        <v>45659.711412037039</v>
      </c>
      <c r="L10775">
        <v>264</v>
      </c>
      <c r="M10775">
        <v>15</v>
      </c>
      <c r="N10775" s="98" t="str">
        <f>IF(record[[#This Row],[Memo]]="Browser:chrome os:android","平板報工",IF(record[[#This Row],[Memo]]=0,"委外",record[[#This Row],[Memo]]))</f>
        <v/>
      </c>
      <c r="O10775" t="s">
        <v>58</v>
      </c>
      <c r="P10775" t="s">
        <v>119</v>
      </c>
      <c r="Q10775" t="s">
        <v>58</v>
      </c>
      <c r="R10775" t="str">
        <f>IFERROR(VLOOKUP(record[[#This Row],[PCUSTID]],廠商[],2,FALSE),"")</f>
        <v/>
      </c>
      <c r="S10775" t="str">
        <f>VLOOKUP(record[[#This Row],[employeeID]],員工[],2,FALSE)</f>
        <v>廖俊彥</v>
      </c>
    </row>
    <row r="10776" spans="6:19" hidden="1" x14ac:dyDescent="0.25">
      <c r="F10776" t="s">
        <v>652</v>
      </c>
      <c r="G10776" t="s">
        <v>398</v>
      </c>
      <c r="H10776" t="str">
        <f>VLOOKUP(record[[#This Row],[ProcessSN]],表格2_7[],2,FALSE)</f>
        <v>30-4118-018-550</v>
      </c>
      <c r="I10776" t="str">
        <f>VLOOKUP(record[[#This Row],[ProcessSN]],表格2_7[],3,FALSE)</f>
        <v>#08RCV</v>
      </c>
      <c r="J10776" t="s">
        <v>591</v>
      </c>
      <c r="K10776" s="195">
        <v>45659.623310185183</v>
      </c>
      <c r="L10776">
        <v>132</v>
      </c>
      <c r="M10776">
        <v>29</v>
      </c>
      <c r="N10776" s="98" t="str">
        <f>IF(record[[#This Row],[Memo]]="Browser:chrome os:android","平板報工",IF(record[[#This Row],[Memo]]=0,"委外",record[[#This Row],[Memo]]))</f>
        <v/>
      </c>
      <c r="O10776" t="s">
        <v>58</v>
      </c>
      <c r="P10776" t="s">
        <v>206</v>
      </c>
      <c r="Q10776" t="s">
        <v>58</v>
      </c>
      <c r="R10776" t="str">
        <f>IFERROR(VLOOKUP(record[[#This Row],[PCUSTID]],廠商[],2,FALSE),"")</f>
        <v/>
      </c>
      <c r="S10776" t="str">
        <f>VLOOKUP(record[[#This Row],[employeeID]],員工[],2,FALSE)</f>
        <v>曾婉筠</v>
      </c>
    </row>
    <row r="10777" spans="6:19" hidden="1" x14ac:dyDescent="0.25">
      <c r="F10777" t="s">
        <v>653</v>
      </c>
      <c r="G10777" t="s">
        <v>398</v>
      </c>
      <c r="H10777" t="str">
        <f>VLOOKUP(record[[#This Row],[ProcessSN]],表格2_7[],2,FALSE)</f>
        <v>30-4118-018-550</v>
      </c>
      <c r="I10777" t="str">
        <f>VLOOKUP(record[[#This Row],[ProcessSN]],表格2_7[],3,FALSE)</f>
        <v>#08RCV</v>
      </c>
      <c r="J10777" t="s">
        <v>591</v>
      </c>
      <c r="K10777" s="195">
        <v>45659.622581018521</v>
      </c>
      <c r="L10777">
        <v>314</v>
      </c>
      <c r="M10777">
        <v>0</v>
      </c>
      <c r="N10777" s="98" t="str">
        <f>IF(record[[#This Row],[Memo]]="Browser:chrome os:android","平板報工",IF(record[[#This Row],[Memo]]=0,"委外",record[[#This Row],[Memo]]))</f>
        <v/>
      </c>
      <c r="O10777" t="s">
        <v>58</v>
      </c>
      <c r="P10777" t="s">
        <v>206</v>
      </c>
      <c r="Q10777" t="s">
        <v>58</v>
      </c>
      <c r="R10777" t="str">
        <f>IFERROR(VLOOKUP(record[[#This Row],[PCUSTID]],廠商[],2,FALSE),"")</f>
        <v/>
      </c>
      <c r="S10777" t="str">
        <f>VLOOKUP(record[[#This Row],[employeeID]],員工[],2,FALSE)</f>
        <v>曾婉筠</v>
      </c>
    </row>
    <row r="10778" spans="6:19" hidden="1" x14ac:dyDescent="0.25">
      <c r="F10778" t="s">
        <v>655</v>
      </c>
      <c r="G10778" t="s">
        <v>396</v>
      </c>
      <c r="H10778" t="str">
        <f>VLOOKUP(record[[#This Row],[ProcessSN]],表格2_7[],2,FALSE)</f>
        <v>30-4118-018-550</v>
      </c>
      <c r="I10778" t="str">
        <f>VLOOKUP(record[[#This Row],[ProcessSN]],表格2_7[],3,FALSE)</f>
        <v>#08PICK</v>
      </c>
      <c r="J10778" t="s">
        <v>582</v>
      </c>
      <c r="K10778" s="195">
        <v>45659.566793981481</v>
      </c>
      <c r="L10778">
        <v>329</v>
      </c>
      <c r="M10778">
        <v>0</v>
      </c>
      <c r="N10778" s="98" t="str">
        <f>IF(record[[#This Row],[Memo]]="Browser:chrome os:android","平板報工",IF(record[[#This Row],[Memo]]=0,"委外",record[[#This Row],[Memo]]))</f>
        <v/>
      </c>
      <c r="O10778" t="s">
        <v>58</v>
      </c>
      <c r="P10778" t="s">
        <v>206</v>
      </c>
      <c r="Q10778" t="s">
        <v>58</v>
      </c>
      <c r="R10778" t="str">
        <f>IFERROR(VLOOKUP(record[[#This Row],[PCUSTID]],廠商[],2,FALSE),"")</f>
        <v/>
      </c>
      <c r="S10778" t="str">
        <f>VLOOKUP(record[[#This Row],[employeeID]],員工[],2,FALSE)</f>
        <v>曾婉筠</v>
      </c>
    </row>
    <row r="10779" spans="6:19" hidden="1" x14ac:dyDescent="0.25">
      <c r="F10779" t="s">
        <v>629</v>
      </c>
      <c r="G10779" t="s">
        <v>425</v>
      </c>
      <c r="H10779" t="str">
        <f>VLOOKUP(record[[#This Row],[ProcessSN]],表格2_7[],2,FALSE)</f>
        <v>30-4118-018-600</v>
      </c>
      <c r="I10779" t="str">
        <f>VLOOKUP(record[[#This Row],[ProcessSN]],表格2_7[],3,FALSE)</f>
        <v>#100</v>
      </c>
      <c r="J10779" t="s">
        <v>598</v>
      </c>
      <c r="K10779" s="195">
        <v>45659.482094907406</v>
      </c>
      <c r="L10779">
        <v>456</v>
      </c>
      <c r="M10779">
        <v>17</v>
      </c>
      <c r="N10779" s="98" t="str">
        <f>IF(record[[#This Row],[Memo]]="Browser:chrome os:android","平板報工",IF(record[[#This Row],[Memo]]=0,"委外",record[[#This Row],[Memo]]))</f>
        <v>平板報工</v>
      </c>
      <c r="O10779" t="s">
        <v>643</v>
      </c>
      <c r="P10779" t="s">
        <v>141</v>
      </c>
      <c r="Q10779" t="s">
        <v>644</v>
      </c>
      <c r="R10779" t="str">
        <f>IFERROR(VLOOKUP(record[[#This Row],[PCUSTID]],廠商[],2,FALSE),"")</f>
        <v/>
      </c>
      <c r="S10779" t="str">
        <f>VLOOKUP(record[[#This Row],[employeeID]],員工[],2,FALSE)</f>
        <v>蔣梅</v>
      </c>
    </row>
    <row r="10780" spans="6:19" hidden="1" x14ac:dyDescent="0.25">
      <c r="F10780" t="s">
        <v>594</v>
      </c>
      <c r="G10780" t="s">
        <v>420</v>
      </c>
      <c r="H10780" t="str">
        <f>VLOOKUP(record[[#This Row],[ProcessSN]],表格2_7[],2,FALSE)</f>
        <v>30-4118-018-5XX</v>
      </c>
      <c r="I10780" t="str">
        <f>VLOOKUP(record[[#This Row],[ProcessSN]],表格2_7[],3,FALSE)</f>
        <v>#07STOCK</v>
      </c>
      <c r="J10780" t="s">
        <v>592</v>
      </c>
      <c r="K10780" s="195">
        <v>45659.431863425925</v>
      </c>
      <c r="L10780">
        <v>329</v>
      </c>
      <c r="M10780">
        <v>0</v>
      </c>
      <c r="N10780" s="98" t="str">
        <f>IF(record[[#This Row],[Memo]]="Browser:chrome os:android","平板報工",IF(record[[#This Row],[Memo]]=0,"委外",record[[#This Row],[Memo]]))</f>
        <v/>
      </c>
      <c r="O10780" t="s">
        <v>58</v>
      </c>
      <c r="P10780" t="s">
        <v>65</v>
      </c>
      <c r="Q10780" t="s">
        <v>58</v>
      </c>
      <c r="R10780" t="str">
        <f>IFERROR(VLOOKUP(record[[#This Row],[PCUSTID]],廠商[],2,FALSE),"")</f>
        <v/>
      </c>
      <c r="S10780" t="str">
        <f>VLOOKUP(record[[#This Row],[employeeID]],員工[],2,FALSE)</f>
        <v>蘇進昌</v>
      </c>
    </row>
    <row r="10781" spans="6:19" hidden="1" x14ac:dyDescent="0.25">
      <c r="F10781" t="s">
        <v>594</v>
      </c>
      <c r="G10781" t="s">
        <v>419</v>
      </c>
      <c r="H10781" t="str">
        <f>VLOOKUP(record[[#This Row],[ProcessSN]],表格2_7[],2,FALSE)</f>
        <v>30-4118-018-5XX</v>
      </c>
      <c r="I10781" t="str">
        <f>VLOOKUP(record[[#This Row],[ProcessSN]],表格2_7[],3,FALSE)</f>
        <v>#07QC</v>
      </c>
      <c r="J10781" t="s">
        <v>589</v>
      </c>
      <c r="K10781" s="195">
        <v>45659.425162037034</v>
      </c>
      <c r="L10781">
        <v>329</v>
      </c>
      <c r="M10781">
        <v>5</v>
      </c>
      <c r="N10781" s="98" t="str">
        <f>IF(record[[#This Row],[Memo]]="Browser:chrome os:android","平板報工",IF(record[[#This Row],[Memo]]=0,"委外",record[[#This Row],[Memo]]))</f>
        <v>平板報工</v>
      </c>
      <c r="O10781" t="s">
        <v>643</v>
      </c>
      <c r="P10781" t="s">
        <v>141</v>
      </c>
      <c r="Q10781" t="s">
        <v>644</v>
      </c>
      <c r="R10781" t="str">
        <f>IFERROR(VLOOKUP(record[[#This Row],[PCUSTID]],廠商[],2,FALSE),"")</f>
        <v/>
      </c>
      <c r="S10781" t="str">
        <f>VLOOKUP(record[[#This Row],[employeeID]],員工[],2,FALSE)</f>
        <v>蔣梅</v>
      </c>
    </row>
    <row r="10782" spans="6:19" hidden="1" x14ac:dyDescent="0.25">
      <c r="F10782" t="s">
        <v>594</v>
      </c>
      <c r="G10782" t="s">
        <v>420</v>
      </c>
      <c r="H10782" t="str">
        <f>VLOOKUP(record[[#This Row],[ProcessSN]],表格2_7[],2,FALSE)</f>
        <v>30-4118-018-5XX</v>
      </c>
      <c r="I10782" t="str">
        <f>VLOOKUP(record[[#This Row],[ProcessSN]],表格2_7[],3,FALSE)</f>
        <v>#07STOCK</v>
      </c>
      <c r="J10782" t="s">
        <v>592</v>
      </c>
      <c r="K10782" s="195">
        <v>45659.418807870374</v>
      </c>
      <c r="L10782">
        <v>481</v>
      </c>
      <c r="M10782">
        <v>0</v>
      </c>
      <c r="N10782" s="98" t="str">
        <f>IF(record[[#This Row],[Memo]]="Browser:chrome os:android","平板報工",IF(record[[#This Row],[Memo]]=0,"委外",record[[#This Row],[Memo]]))</f>
        <v/>
      </c>
      <c r="O10782" t="s">
        <v>58</v>
      </c>
      <c r="P10782" t="s">
        <v>65</v>
      </c>
      <c r="Q10782" t="s">
        <v>58</v>
      </c>
      <c r="R10782" t="str">
        <f>IFERROR(VLOOKUP(record[[#This Row],[PCUSTID]],廠商[],2,FALSE),"")</f>
        <v/>
      </c>
      <c r="S10782" t="str">
        <f>VLOOKUP(record[[#This Row],[employeeID]],員工[],2,FALSE)</f>
        <v>蘇進昌</v>
      </c>
    </row>
    <row r="10783" spans="6:19" hidden="1" x14ac:dyDescent="0.25">
      <c r="F10783" t="s">
        <v>624</v>
      </c>
      <c r="G10783" t="s">
        <v>425</v>
      </c>
      <c r="H10783" t="str">
        <f>VLOOKUP(record[[#This Row],[ProcessSN]],表格2_7[],2,FALSE)</f>
        <v>30-4118-018-600</v>
      </c>
      <c r="I10783" t="str">
        <f>VLOOKUP(record[[#This Row],[ProcessSN]],表格2_7[],3,FALSE)</f>
        <v>#100</v>
      </c>
      <c r="J10783" t="s">
        <v>598</v>
      </c>
      <c r="K10783" s="195">
        <v>45659.345370370371</v>
      </c>
      <c r="L10783">
        <v>269</v>
      </c>
      <c r="M10783">
        <v>0</v>
      </c>
      <c r="N10783" s="98" t="str">
        <f>IF(record[[#This Row],[Memo]]="Browser:chrome os:android","平板報工",IF(record[[#This Row],[Memo]]=0,"委外",record[[#This Row],[Memo]]))</f>
        <v>平板報工</v>
      </c>
      <c r="O10783" t="s">
        <v>643</v>
      </c>
      <c r="P10783" t="s">
        <v>141</v>
      </c>
      <c r="Q10783" t="s">
        <v>644</v>
      </c>
      <c r="R10783" t="str">
        <f>IFERROR(VLOOKUP(record[[#This Row],[PCUSTID]],廠商[],2,FALSE),"")</f>
        <v/>
      </c>
      <c r="S10783" t="str">
        <f>VLOOKUP(record[[#This Row],[employeeID]],員工[],2,FALSE)</f>
        <v>蔣梅</v>
      </c>
    </row>
    <row r="10784" spans="6:19" hidden="1" x14ac:dyDescent="0.25">
      <c r="F10784" t="s">
        <v>623</v>
      </c>
      <c r="G10784" t="s">
        <v>425</v>
      </c>
      <c r="H10784" t="str">
        <f>VLOOKUP(record[[#This Row],[ProcessSN]],表格2_7[],2,FALSE)</f>
        <v>30-4118-018-600</v>
      </c>
      <c r="I10784" t="str">
        <f>VLOOKUP(record[[#This Row],[ProcessSN]],表格2_7[],3,FALSE)</f>
        <v>#100</v>
      </c>
      <c r="J10784" t="s">
        <v>598</v>
      </c>
      <c r="K10784" s="195">
        <v>45659.343912037039</v>
      </c>
      <c r="L10784">
        <v>164</v>
      </c>
      <c r="M10784">
        <v>0</v>
      </c>
      <c r="N10784" s="98" t="str">
        <f>IF(record[[#This Row],[Memo]]="Browser:chrome os:android","平板報工",IF(record[[#This Row],[Memo]]=0,"委外",record[[#This Row],[Memo]]))</f>
        <v>平板報工</v>
      </c>
      <c r="O10784" t="s">
        <v>643</v>
      </c>
      <c r="P10784" t="s">
        <v>141</v>
      </c>
      <c r="Q10784" t="s">
        <v>644</v>
      </c>
      <c r="R10784" t="str">
        <f>IFERROR(VLOOKUP(record[[#This Row],[PCUSTID]],廠商[],2,FALSE),"")</f>
        <v/>
      </c>
      <c r="S10784" t="str">
        <f>VLOOKUP(record[[#This Row],[employeeID]],員工[],2,FALSE)</f>
        <v>蔣梅</v>
      </c>
    </row>
    <row r="10785" spans="6:19" hidden="1" x14ac:dyDescent="0.25">
      <c r="F10785" t="s">
        <v>586</v>
      </c>
      <c r="G10785" t="s">
        <v>376</v>
      </c>
      <c r="H10785" t="str">
        <f>VLOOKUP(record[[#This Row],[ProcessSN]],表格2_7[],2,FALSE)</f>
        <v>30-4118-018-4XX</v>
      </c>
      <c r="I10785" t="str">
        <f>VLOOKUP(record[[#This Row],[ProcessSN]],表格2_7[],3,FALSE)</f>
        <v>#06</v>
      </c>
      <c r="J10785" t="s">
        <v>593</v>
      </c>
      <c r="K10785" s="195">
        <v>45658.309513888889</v>
      </c>
      <c r="L10785">
        <v>90</v>
      </c>
      <c r="M10785">
        <v>0</v>
      </c>
      <c r="N10785" s="98" t="str">
        <f>IF(record[[#This Row],[Memo]]="Browser:chrome os:android","平板報工",IF(record[[#This Row],[Memo]]=0,"委外",record[[#This Row],[Memo]]))</f>
        <v/>
      </c>
      <c r="O10785" t="s">
        <v>58</v>
      </c>
      <c r="P10785" t="s">
        <v>135</v>
      </c>
      <c r="Q10785" t="s">
        <v>58</v>
      </c>
      <c r="R10785" t="str">
        <f>IFERROR(VLOOKUP(record[[#This Row],[PCUSTID]],廠商[],2,FALSE),"")</f>
        <v/>
      </c>
      <c r="S10785" t="str">
        <f>VLOOKUP(record[[#This Row],[employeeID]],員工[],2,FALSE)</f>
        <v>阮士文</v>
      </c>
    </row>
    <row r="10786" spans="6:19" hidden="1" x14ac:dyDescent="0.25">
      <c r="F10786" t="s">
        <v>650</v>
      </c>
      <c r="G10786" t="s">
        <v>415</v>
      </c>
      <c r="H10786" t="str">
        <f>VLOOKUP(record[[#This Row],[ProcessSN]],表格2_7[],2,FALSE)</f>
        <v>30-4118-018-5XX</v>
      </c>
      <c r="I10786" t="str">
        <f>VLOOKUP(record[[#This Row],[ProcessSN]],表格2_7[],3,FALSE)</f>
        <v>#04</v>
      </c>
      <c r="J10786" t="s">
        <v>588</v>
      </c>
      <c r="K10786" s="195">
        <v>45658.304560185185</v>
      </c>
      <c r="L10786">
        <v>155</v>
      </c>
      <c r="M10786">
        <v>0</v>
      </c>
      <c r="N10786" s="98" t="str">
        <f>IF(record[[#This Row],[Memo]]="Browser:chrome os:android","平板報工",IF(record[[#This Row],[Memo]]=0,"委外",record[[#This Row],[Memo]]))</f>
        <v/>
      </c>
      <c r="O10786" t="s">
        <v>58</v>
      </c>
      <c r="P10786" t="s">
        <v>135</v>
      </c>
      <c r="Q10786" t="s">
        <v>58</v>
      </c>
      <c r="R10786" t="str">
        <f>IFERROR(VLOOKUP(record[[#This Row],[PCUSTID]],廠商[],2,FALSE),"")</f>
        <v/>
      </c>
      <c r="S10786" t="str">
        <f>VLOOKUP(record[[#This Row],[employeeID]],員工[],2,FALSE)</f>
        <v>阮士文</v>
      </c>
    </row>
    <row r="10787" spans="6:19" hidden="1" x14ac:dyDescent="0.25">
      <c r="F10787" t="s">
        <v>594</v>
      </c>
      <c r="G10787" t="s">
        <v>418</v>
      </c>
      <c r="H10787" t="str">
        <f>VLOOKUP(record[[#This Row],[ProcessSN]],表格2_7[],2,FALSE)</f>
        <v>30-4118-018-5XX</v>
      </c>
      <c r="I10787" t="str">
        <f>VLOOKUP(record[[#This Row],[ProcessSN]],表格2_7[],3,FALSE)</f>
        <v>#07</v>
      </c>
      <c r="J10787" t="s">
        <v>588</v>
      </c>
      <c r="K10787" s="195">
        <v>45658.301458333335</v>
      </c>
      <c r="L10787">
        <v>165</v>
      </c>
      <c r="M10787">
        <v>0</v>
      </c>
      <c r="N10787" s="98" t="str">
        <f>IF(record[[#This Row],[Memo]]="Browser:chrome os:android","平板報工",IF(record[[#This Row],[Memo]]=0,"委外",record[[#This Row],[Memo]]))</f>
        <v/>
      </c>
      <c r="O10787" t="s">
        <v>58</v>
      </c>
      <c r="P10787" t="s">
        <v>135</v>
      </c>
      <c r="Q10787" t="s">
        <v>58</v>
      </c>
      <c r="R10787" t="str">
        <f>IFERROR(VLOOKUP(record[[#This Row],[PCUSTID]],廠商[],2,FALSE),"")</f>
        <v/>
      </c>
      <c r="S10787" t="str">
        <f>VLOOKUP(record[[#This Row],[employeeID]],員工[],2,FALSE)</f>
        <v>阮士文</v>
      </c>
    </row>
    <row r="10788" spans="6:19" hidden="1" x14ac:dyDescent="0.25">
      <c r="F10788" t="s">
        <v>642</v>
      </c>
      <c r="G10788" t="s">
        <v>416</v>
      </c>
      <c r="H10788" t="str">
        <f>VLOOKUP(record[[#This Row],[ProcessSN]],表格2_7[],2,FALSE)</f>
        <v>30-4118-018-5XX</v>
      </c>
      <c r="I10788" t="str">
        <f>VLOOKUP(record[[#This Row],[ProcessSN]],表格2_7[],3,FALSE)</f>
        <v>#05</v>
      </c>
      <c r="J10788" t="s">
        <v>588</v>
      </c>
      <c r="K10788" s="195">
        <v>45658.299224537041</v>
      </c>
      <c r="L10788">
        <v>100</v>
      </c>
      <c r="M10788">
        <v>0</v>
      </c>
      <c r="N10788" s="98" t="str">
        <f>IF(record[[#This Row],[Memo]]="Browser:chrome os:android","平板報工",IF(record[[#This Row],[Memo]]=0,"委外",record[[#This Row],[Memo]]))</f>
        <v/>
      </c>
      <c r="O10788" t="s">
        <v>58</v>
      </c>
      <c r="P10788" t="s">
        <v>135</v>
      </c>
      <c r="Q10788" t="s">
        <v>58</v>
      </c>
      <c r="R10788" t="str">
        <f>IFERROR(VLOOKUP(record[[#This Row],[PCUSTID]],廠商[],2,FALSE),"")</f>
        <v/>
      </c>
      <c r="S10788" t="str">
        <f>VLOOKUP(record[[#This Row],[employeeID]],員工[],2,FALSE)</f>
        <v>阮士文</v>
      </c>
    </row>
    <row r="10789" spans="6:19" hidden="1" x14ac:dyDescent="0.25">
      <c r="F10789" t="s">
        <v>650</v>
      </c>
      <c r="G10789" t="s">
        <v>415</v>
      </c>
      <c r="H10789" t="str">
        <f>VLOOKUP(record[[#This Row],[ProcessSN]],表格2_7[],2,FALSE)</f>
        <v>30-4118-018-5XX</v>
      </c>
      <c r="I10789" t="str">
        <f>VLOOKUP(record[[#This Row],[ProcessSN]],表格2_7[],3,FALSE)</f>
        <v>#04</v>
      </c>
      <c r="J10789" t="s">
        <v>588</v>
      </c>
      <c r="K10789" s="195">
        <v>45657.98710648148</v>
      </c>
      <c r="L10789">
        <v>100</v>
      </c>
      <c r="M10789">
        <v>1</v>
      </c>
      <c r="N10789" s="98" t="str">
        <f>IF(record[[#This Row],[Memo]]="Browser:chrome os:android","平板報工",IF(record[[#This Row],[Memo]]=0,"委外",record[[#This Row],[Memo]]))</f>
        <v/>
      </c>
      <c r="O10789" t="s">
        <v>58</v>
      </c>
      <c r="P10789" t="s">
        <v>127</v>
      </c>
      <c r="Q10789" t="s">
        <v>58</v>
      </c>
      <c r="R10789" t="str">
        <f>IFERROR(VLOOKUP(record[[#This Row],[PCUSTID]],廠商[],2,FALSE),"")</f>
        <v/>
      </c>
      <c r="S10789" t="str">
        <f>VLOOKUP(record[[#This Row],[employeeID]],員工[],2,FALSE)</f>
        <v>潘雪梅</v>
      </c>
    </row>
    <row r="10790" spans="6:19" hidden="1" x14ac:dyDescent="0.25">
      <c r="F10790" t="s">
        <v>650</v>
      </c>
      <c r="G10790" t="s">
        <v>415</v>
      </c>
      <c r="H10790" t="str">
        <f>VLOOKUP(record[[#This Row],[ProcessSN]],表格2_7[],2,FALSE)</f>
        <v>30-4118-018-5XX</v>
      </c>
      <c r="I10790" t="str">
        <f>VLOOKUP(record[[#This Row],[ProcessSN]],表格2_7[],3,FALSE)</f>
        <v>#04</v>
      </c>
      <c r="J10790" t="s">
        <v>588</v>
      </c>
      <c r="K10790" s="195">
        <v>45657.651712962965</v>
      </c>
      <c r="L10790">
        <v>141</v>
      </c>
      <c r="M10790">
        <v>0</v>
      </c>
      <c r="N10790" s="98" t="str">
        <f>IF(record[[#This Row],[Memo]]="Browser:chrome os:android","平板報工",IF(record[[#This Row],[Memo]]=0,"委外",record[[#This Row],[Memo]]))</f>
        <v/>
      </c>
      <c r="O10790" t="s">
        <v>58</v>
      </c>
      <c r="P10790" t="s">
        <v>119</v>
      </c>
      <c r="Q10790" t="s">
        <v>58</v>
      </c>
      <c r="R10790" t="str">
        <f>IFERROR(VLOOKUP(record[[#This Row],[PCUSTID]],廠商[],2,FALSE),"")</f>
        <v/>
      </c>
      <c r="S10790" t="str">
        <f>VLOOKUP(record[[#This Row],[employeeID]],員工[],2,FALSE)</f>
        <v>廖俊彥</v>
      </c>
    </row>
    <row r="10791" spans="6:19" hidden="1" x14ac:dyDescent="0.25">
      <c r="F10791" t="s">
        <v>594</v>
      </c>
      <c r="G10791" t="s">
        <v>418</v>
      </c>
      <c r="H10791" t="str">
        <f>VLOOKUP(record[[#This Row],[ProcessSN]],表格2_7[],2,FALSE)</f>
        <v>30-4118-018-5XX</v>
      </c>
      <c r="I10791" t="str">
        <f>VLOOKUP(record[[#This Row],[ProcessSN]],表格2_7[],3,FALSE)</f>
        <v>#07</v>
      </c>
      <c r="J10791" t="s">
        <v>588</v>
      </c>
      <c r="K10791" s="195">
        <v>45657.651469907411</v>
      </c>
      <c r="L10791">
        <v>170</v>
      </c>
      <c r="M10791">
        <v>1</v>
      </c>
      <c r="N10791" s="98" t="str">
        <f>IF(record[[#This Row],[Memo]]="Browser:chrome os:android","平板報工",IF(record[[#This Row],[Memo]]=0,"委外",record[[#This Row],[Memo]]))</f>
        <v/>
      </c>
      <c r="O10791" t="s">
        <v>58</v>
      </c>
      <c r="P10791" t="s">
        <v>119</v>
      </c>
      <c r="Q10791" t="s">
        <v>58</v>
      </c>
      <c r="R10791" t="str">
        <f>IFERROR(VLOOKUP(record[[#This Row],[PCUSTID]],廠商[],2,FALSE),"")</f>
        <v/>
      </c>
      <c r="S10791" t="str">
        <f>VLOOKUP(record[[#This Row],[employeeID]],員工[],2,FALSE)</f>
        <v>廖俊彥</v>
      </c>
    </row>
    <row r="10792" spans="6:19" hidden="1" x14ac:dyDescent="0.25">
      <c r="F10792" t="s">
        <v>621</v>
      </c>
      <c r="G10792" t="s">
        <v>425</v>
      </c>
      <c r="H10792" t="str">
        <f>VLOOKUP(record[[#This Row],[ProcessSN]],表格2_7[],2,FALSE)</f>
        <v>30-4118-018-600</v>
      </c>
      <c r="I10792" t="str">
        <f>VLOOKUP(record[[#This Row],[ProcessSN]],表格2_7[],3,FALSE)</f>
        <v>#100</v>
      </c>
      <c r="J10792" t="s">
        <v>598</v>
      </c>
      <c r="K10792" s="195">
        <v>45657.498310185183</v>
      </c>
      <c r="L10792">
        <v>226</v>
      </c>
      <c r="M10792">
        <v>0</v>
      </c>
      <c r="N10792" s="98" t="str">
        <f>IF(record[[#This Row],[Memo]]="Browser:chrome os:android","平板報工",IF(record[[#This Row],[Memo]]=0,"委外",record[[#This Row],[Memo]]))</f>
        <v>平板報工</v>
      </c>
      <c r="O10792" t="s">
        <v>643</v>
      </c>
      <c r="P10792" t="s">
        <v>141</v>
      </c>
      <c r="Q10792" t="s">
        <v>644</v>
      </c>
      <c r="R10792" t="str">
        <f>IFERROR(VLOOKUP(record[[#This Row],[PCUSTID]],廠商[],2,FALSE),"")</f>
        <v/>
      </c>
      <c r="S10792" t="str">
        <f>VLOOKUP(record[[#This Row],[employeeID]],員工[],2,FALSE)</f>
        <v>蔣梅</v>
      </c>
    </row>
    <row r="10793" spans="6:19" hidden="1" x14ac:dyDescent="0.25">
      <c r="F10793" t="s">
        <v>654</v>
      </c>
      <c r="G10793" t="s">
        <v>397</v>
      </c>
      <c r="H10793" t="str">
        <f>VLOOKUP(record[[#This Row],[ProcessSN]],表格2_7[],2,FALSE)</f>
        <v>30-4118-018-550</v>
      </c>
      <c r="I10793" t="str">
        <f>VLOOKUP(record[[#This Row],[ProcessSN]],表格2_7[],3,FALSE)</f>
        <v>#08</v>
      </c>
      <c r="J10793" t="s">
        <v>597</v>
      </c>
      <c r="K10793" s="195">
        <v>45657.440486111111</v>
      </c>
      <c r="L10793">
        <v>167</v>
      </c>
      <c r="M10793">
        <v>0</v>
      </c>
      <c r="N10793" s="98" t="str">
        <f>IF(record[[#This Row],[Memo]]="Browser:chrome os:android","平板報工",IF(record[[#This Row],[Memo]]=0,"委外",record[[#This Row],[Memo]]))</f>
        <v>委外</v>
      </c>
      <c r="P10793" t="s">
        <v>206</v>
      </c>
      <c r="Q10793" t="s">
        <v>287</v>
      </c>
      <c r="R10793" t="str">
        <f>IFERROR(VLOOKUP(record[[#This Row],[PCUSTID]],廠商[],2,FALSE),"")</f>
        <v>泉盛</v>
      </c>
      <c r="S10793" t="str">
        <f>VLOOKUP(record[[#This Row],[employeeID]],員工[],2,FALSE)</f>
        <v>曾婉筠</v>
      </c>
    </row>
    <row r="10794" spans="6:19" hidden="1" x14ac:dyDescent="0.25">
      <c r="F10794" t="s">
        <v>654</v>
      </c>
      <c r="G10794" t="s">
        <v>396</v>
      </c>
      <c r="H10794" t="str">
        <f>VLOOKUP(record[[#This Row],[ProcessSN]],表格2_7[],2,FALSE)</f>
        <v>30-4118-018-550</v>
      </c>
      <c r="I10794" t="str">
        <f>VLOOKUP(record[[#This Row],[ProcessSN]],表格2_7[],3,FALSE)</f>
        <v>#08PICK</v>
      </c>
      <c r="J10794" t="s">
        <v>582</v>
      </c>
      <c r="K10794" s="195">
        <v>45657.406527777777</v>
      </c>
      <c r="L10794">
        <v>167</v>
      </c>
      <c r="M10794">
        <v>0</v>
      </c>
      <c r="N10794" s="98" t="str">
        <f>IF(record[[#This Row],[Memo]]="Browser:chrome os:android","平板報工",IF(record[[#This Row],[Memo]]=0,"委外",record[[#This Row],[Memo]]))</f>
        <v/>
      </c>
      <c r="O10794" t="s">
        <v>58</v>
      </c>
      <c r="P10794" t="s">
        <v>65</v>
      </c>
      <c r="Q10794" t="s">
        <v>58</v>
      </c>
      <c r="R10794" t="str">
        <f>IFERROR(VLOOKUP(record[[#This Row],[PCUSTID]],廠商[],2,FALSE),"")</f>
        <v/>
      </c>
      <c r="S10794" t="str">
        <f>VLOOKUP(record[[#This Row],[employeeID]],員工[],2,FALSE)</f>
        <v>蘇進昌</v>
      </c>
    </row>
    <row r="10795" spans="6:19" hidden="1" x14ac:dyDescent="0.25">
      <c r="F10795" t="s">
        <v>594</v>
      </c>
      <c r="G10795" t="s">
        <v>419</v>
      </c>
      <c r="H10795" t="str">
        <f>VLOOKUP(record[[#This Row],[ProcessSN]],表格2_7[],2,FALSE)</f>
        <v>30-4118-018-5XX</v>
      </c>
      <c r="I10795" t="str">
        <f>VLOOKUP(record[[#This Row],[ProcessSN]],表格2_7[],3,FALSE)</f>
        <v>#07QC</v>
      </c>
      <c r="J10795" t="s">
        <v>589</v>
      </c>
      <c r="K10795" s="195">
        <v>45657.404166666667</v>
      </c>
      <c r="L10795">
        <v>167</v>
      </c>
      <c r="M10795">
        <v>0</v>
      </c>
      <c r="N10795" s="98" t="str">
        <f>IF(record[[#This Row],[Memo]]="Browser:chrome os:android","平板報工",IF(record[[#This Row],[Memo]]=0,"委外",record[[#This Row],[Memo]]))</f>
        <v>平板報工</v>
      </c>
      <c r="O10795" t="s">
        <v>643</v>
      </c>
      <c r="P10795" t="s">
        <v>141</v>
      </c>
      <c r="Q10795" t="s">
        <v>644</v>
      </c>
      <c r="R10795" t="str">
        <f>IFERROR(VLOOKUP(record[[#This Row],[PCUSTID]],廠商[],2,FALSE),"")</f>
        <v/>
      </c>
      <c r="S10795" t="str">
        <f>VLOOKUP(record[[#This Row],[employeeID]],員工[],2,FALSE)</f>
        <v>蔣梅</v>
      </c>
    </row>
    <row r="10796" spans="6:19" hidden="1" x14ac:dyDescent="0.25">
      <c r="F10796" t="s">
        <v>586</v>
      </c>
      <c r="G10796" t="s">
        <v>376</v>
      </c>
      <c r="H10796" t="str">
        <f>VLOOKUP(record[[#This Row],[ProcessSN]],表格2_7[],2,FALSE)</f>
        <v>30-4118-018-4XX</v>
      </c>
      <c r="I10796" t="str">
        <f>VLOOKUP(record[[#This Row],[ProcessSN]],表格2_7[],3,FALSE)</f>
        <v>#06</v>
      </c>
      <c r="J10796" t="s">
        <v>593</v>
      </c>
      <c r="K10796" s="195">
        <v>45657.318807870368</v>
      </c>
      <c r="L10796">
        <v>110</v>
      </c>
      <c r="M10796">
        <v>0</v>
      </c>
      <c r="N10796" s="98" t="str">
        <f>IF(record[[#This Row],[Memo]]="Browser:chrome os:android","平板報工",IF(record[[#This Row],[Memo]]=0,"委外",record[[#This Row],[Memo]]))</f>
        <v/>
      </c>
      <c r="O10796" t="s">
        <v>58</v>
      </c>
      <c r="P10796" t="s">
        <v>135</v>
      </c>
      <c r="Q10796" t="s">
        <v>58</v>
      </c>
      <c r="R10796" t="str">
        <f>IFERROR(VLOOKUP(record[[#This Row],[PCUSTID]],廠商[],2,FALSE),"")</f>
        <v/>
      </c>
      <c r="S10796" t="str">
        <f>VLOOKUP(record[[#This Row],[employeeID]],員工[],2,FALSE)</f>
        <v>阮士文</v>
      </c>
    </row>
    <row r="10797" spans="6:19" hidden="1" x14ac:dyDescent="0.25">
      <c r="F10797" t="s">
        <v>650</v>
      </c>
      <c r="G10797" t="s">
        <v>415</v>
      </c>
      <c r="H10797" t="str">
        <f>VLOOKUP(record[[#This Row],[ProcessSN]],表格2_7[],2,FALSE)</f>
        <v>30-4118-018-5XX</v>
      </c>
      <c r="I10797" t="str">
        <f>VLOOKUP(record[[#This Row],[ProcessSN]],表格2_7[],3,FALSE)</f>
        <v>#04</v>
      </c>
      <c r="J10797" t="s">
        <v>588</v>
      </c>
      <c r="K10797" s="195">
        <v>45657.312037037038</v>
      </c>
      <c r="L10797">
        <v>145</v>
      </c>
      <c r="M10797">
        <v>0</v>
      </c>
      <c r="N10797" s="98" t="str">
        <f>IF(record[[#This Row],[Memo]]="Browser:chrome os:android","平板報工",IF(record[[#This Row],[Memo]]=0,"委外",record[[#This Row],[Memo]]))</f>
        <v/>
      </c>
      <c r="O10797" t="s">
        <v>58</v>
      </c>
      <c r="P10797" t="s">
        <v>135</v>
      </c>
      <c r="Q10797" t="s">
        <v>58</v>
      </c>
      <c r="R10797" t="str">
        <f>IFERROR(VLOOKUP(record[[#This Row],[PCUSTID]],廠商[],2,FALSE),"")</f>
        <v/>
      </c>
      <c r="S10797" t="str">
        <f>VLOOKUP(record[[#This Row],[employeeID]],員工[],2,FALSE)</f>
        <v>阮士文</v>
      </c>
    </row>
    <row r="10798" spans="6:19" hidden="1" x14ac:dyDescent="0.25">
      <c r="F10798" t="s">
        <v>594</v>
      </c>
      <c r="G10798" t="s">
        <v>418</v>
      </c>
      <c r="H10798" t="str">
        <f>VLOOKUP(record[[#This Row],[ProcessSN]],表格2_7[],2,FALSE)</f>
        <v>30-4118-018-5XX</v>
      </c>
      <c r="I10798" t="str">
        <f>VLOOKUP(record[[#This Row],[ProcessSN]],表格2_7[],3,FALSE)</f>
        <v>#07</v>
      </c>
      <c r="J10798" t="s">
        <v>588</v>
      </c>
      <c r="K10798" s="195">
        <v>45657.311747685184</v>
      </c>
      <c r="L10798">
        <v>80</v>
      </c>
      <c r="M10798">
        <v>0</v>
      </c>
      <c r="N10798" s="98" t="str">
        <f>IF(record[[#This Row],[Memo]]="Browser:chrome os:android","平板報工",IF(record[[#This Row],[Memo]]=0,"委外",record[[#This Row],[Memo]]))</f>
        <v/>
      </c>
      <c r="O10798" t="s">
        <v>58</v>
      </c>
      <c r="P10798" t="s">
        <v>135</v>
      </c>
      <c r="Q10798" t="s">
        <v>58</v>
      </c>
      <c r="R10798" t="str">
        <f>IFERROR(VLOOKUP(record[[#This Row],[PCUSTID]],廠商[],2,FALSE),"")</f>
        <v/>
      </c>
      <c r="S10798" t="str">
        <f>VLOOKUP(record[[#This Row],[employeeID]],員工[],2,FALSE)</f>
        <v>阮士文</v>
      </c>
    </row>
    <row r="10799" spans="6:19" hidden="1" x14ac:dyDescent="0.25">
      <c r="F10799" t="s">
        <v>642</v>
      </c>
      <c r="G10799" t="s">
        <v>416</v>
      </c>
      <c r="H10799" t="str">
        <f>VLOOKUP(record[[#This Row],[ProcessSN]],表格2_7[],2,FALSE)</f>
        <v>30-4118-018-5XX</v>
      </c>
      <c r="I10799" t="str">
        <f>VLOOKUP(record[[#This Row],[ProcessSN]],表格2_7[],3,FALSE)</f>
        <v>#05</v>
      </c>
      <c r="J10799" t="s">
        <v>588</v>
      </c>
      <c r="K10799" s="195">
        <v>45657.311412037037</v>
      </c>
      <c r="L10799">
        <v>130</v>
      </c>
      <c r="M10799">
        <v>0</v>
      </c>
      <c r="N10799" s="98" t="str">
        <f>IF(record[[#This Row],[Memo]]="Browser:chrome os:android","平板報工",IF(record[[#This Row],[Memo]]=0,"委外",record[[#This Row],[Memo]]))</f>
        <v/>
      </c>
      <c r="O10799" t="s">
        <v>58</v>
      </c>
      <c r="P10799" t="s">
        <v>135</v>
      </c>
      <c r="Q10799" t="s">
        <v>58</v>
      </c>
      <c r="R10799" t="str">
        <f>IFERROR(VLOOKUP(record[[#This Row],[PCUSTID]],廠商[],2,FALSE),"")</f>
        <v/>
      </c>
      <c r="S10799" t="str">
        <f>VLOOKUP(record[[#This Row],[employeeID]],員工[],2,FALSE)</f>
        <v>阮士文</v>
      </c>
    </row>
    <row r="10800" spans="6:19" hidden="1" x14ac:dyDescent="0.25">
      <c r="F10800" t="s">
        <v>650</v>
      </c>
      <c r="G10800" t="s">
        <v>415</v>
      </c>
      <c r="H10800" t="str">
        <f>VLOOKUP(record[[#This Row],[ProcessSN]],表格2_7[],2,FALSE)</f>
        <v>30-4118-018-5XX</v>
      </c>
      <c r="I10800" t="str">
        <f>VLOOKUP(record[[#This Row],[ProcessSN]],表格2_7[],3,FALSE)</f>
        <v>#04</v>
      </c>
      <c r="J10800" t="s">
        <v>588</v>
      </c>
      <c r="K10800" s="195">
        <v>45656.986203703702</v>
      </c>
      <c r="L10800">
        <v>148</v>
      </c>
      <c r="M10800">
        <v>2</v>
      </c>
      <c r="N10800" s="98" t="str">
        <f>IF(record[[#This Row],[Memo]]="Browser:chrome os:android","平板報工",IF(record[[#This Row],[Memo]]=0,"委外",record[[#This Row],[Memo]]))</f>
        <v/>
      </c>
      <c r="O10800" t="s">
        <v>58</v>
      </c>
      <c r="P10800" t="s">
        <v>127</v>
      </c>
      <c r="Q10800" t="s">
        <v>58</v>
      </c>
      <c r="R10800" t="str">
        <f>IFERROR(VLOOKUP(record[[#This Row],[PCUSTID]],廠商[],2,FALSE),"")</f>
        <v/>
      </c>
      <c r="S10800" t="str">
        <f>VLOOKUP(record[[#This Row],[employeeID]],員工[],2,FALSE)</f>
        <v>潘雪梅</v>
      </c>
    </row>
    <row r="10801" spans="6:19" hidden="1" x14ac:dyDescent="0.25">
      <c r="F10801" t="s">
        <v>642</v>
      </c>
      <c r="G10801" t="s">
        <v>415</v>
      </c>
      <c r="H10801" t="str">
        <f>VLOOKUP(record[[#This Row],[ProcessSN]],表格2_7[],2,FALSE)</f>
        <v>30-4118-018-5XX</v>
      </c>
      <c r="I10801" t="str">
        <f>VLOOKUP(record[[#This Row],[ProcessSN]],表格2_7[],3,FALSE)</f>
        <v>#04</v>
      </c>
      <c r="J10801" t="s">
        <v>588</v>
      </c>
      <c r="K10801" s="195">
        <v>45656.697013888886</v>
      </c>
      <c r="L10801">
        <v>135</v>
      </c>
      <c r="M10801">
        <v>0</v>
      </c>
      <c r="N10801" s="98" t="str">
        <f>IF(record[[#This Row],[Memo]]="Browser:chrome os:android","平板報工",IF(record[[#This Row],[Memo]]=0,"委外",record[[#This Row],[Memo]]))</f>
        <v/>
      </c>
      <c r="O10801" t="s">
        <v>58</v>
      </c>
      <c r="P10801" t="s">
        <v>119</v>
      </c>
      <c r="Q10801" t="s">
        <v>58</v>
      </c>
      <c r="R10801" t="str">
        <f>IFERROR(VLOOKUP(record[[#This Row],[PCUSTID]],廠商[],2,FALSE),"")</f>
        <v/>
      </c>
      <c r="S10801" t="str">
        <f>VLOOKUP(record[[#This Row],[employeeID]],員工[],2,FALSE)</f>
        <v>廖俊彥</v>
      </c>
    </row>
    <row r="10802" spans="6:19" hidden="1" x14ac:dyDescent="0.25">
      <c r="F10802" t="s">
        <v>594</v>
      </c>
      <c r="G10802" t="s">
        <v>418</v>
      </c>
      <c r="H10802" t="str">
        <f>VLOOKUP(record[[#This Row],[ProcessSN]],表格2_7[],2,FALSE)</f>
        <v>30-4118-018-5XX</v>
      </c>
      <c r="I10802" t="str">
        <f>VLOOKUP(record[[#This Row],[ProcessSN]],表格2_7[],3,FALSE)</f>
        <v>#07</v>
      </c>
      <c r="J10802" t="s">
        <v>588</v>
      </c>
      <c r="K10802" s="195">
        <v>45656.696689814817</v>
      </c>
      <c r="L10802">
        <v>150</v>
      </c>
      <c r="M10802">
        <v>0</v>
      </c>
      <c r="N10802" s="98" t="str">
        <f>IF(record[[#This Row],[Memo]]="Browser:chrome os:android","平板報工",IF(record[[#This Row],[Memo]]=0,"委外",record[[#This Row],[Memo]]))</f>
        <v/>
      </c>
      <c r="O10802" t="s">
        <v>58</v>
      </c>
      <c r="P10802" t="s">
        <v>119</v>
      </c>
      <c r="Q10802" t="s">
        <v>58</v>
      </c>
      <c r="R10802" t="str">
        <f>IFERROR(VLOOKUP(record[[#This Row],[PCUSTID]],廠商[],2,FALSE),"")</f>
        <v/>
      </c>
      <c r="S10802" t="str">
        <f>VLOOKUP(record[[#This Row],[employeeID]],員工[],2,FALSE)</f>
        <v>廖俊彥</v>
      </c>
    </row>
    <row r="10803" spans="6:19" hidden="1" x14ac:dyDescent="0.25">
      <c r="F10803" t="s">
        <v>642</v>
      </c>
      <c r="G10803" t="s">
        <v>416</v>
      </c>
      <c r="H10803" t="str">
        <f>VLOOKUP(record[[#This Row],[ProcessSN]],表格2_7[],2,FALSE)</f>
        <v>30-4118-018-5XX</v>
      </c>
      <c r="I10803" t="str">
        <f>VLOOKUP(record[[#This Row],[ProcessSN]],表格2_7[],3,FALSE)</f>
        <v>#05</v>
      </c>
      <c r="J10803" t="s">
        <v>588</v>
      </c>
      <c r="K10803" s="195">
        <v>45656.695208333331</v>
      </c>
      <c r="L10803">
        <v>90</v>
      </c>
      <c r="M10803">
        <v>0</v>
      </c>
      <c r="N10803" s="98" t="str">
        <f>IF(record[[#This Row],[Memo]]="Browser:chrome os:android","平板報工",IF(record[[#This Row],[Memo]]=0,"委外",record[[#This Row],[Memo]]))</f>
        <v/>
      </c>
      <c r="O10803" t="s">
        <v>58</v>
      </c>
      <c r="P10803" t="s">
        <v>119</v>
      </c>
      <c r="Q10803" t="s">
        <v>58</v>
      </c>
      <c r="R10803" t="str">
        <f>IFERROR(VLOOKUP(record[[#This Row],[PCUSTID]],廠商[],2,FALSE),"")</f>
        <v/>
      </c>
      <c r="S10803" t="str">
        <f>VLOOKUP(record[[#This Row],[employeeID]],員工[],2,FALSE)</f>
        <v>廖俊彥</v>
      </c>
    </row>
    <row r="10804" spans="6:19" hidden="1" x14ac:dyDescent="0.25">
      <c r="F10804" t="s">
        <v>653</v>
      </c>
      <c r="G10804" t="s">
        <v>397</v>
      </c>
      <c r="H10804" t="str">
        <f>VLOOKUP(record[[#This Row],[ProcessSN]],表格2_7[],2,FALSE)</f>
        <v>30-4118-018-550</v>
      </c>
      <c r="I10804" t="str">
        <f>VLOOKUP(record[[#This Row],[ProcessSN]],表格2_7[],3,FALSE)</f>
        <v>#08</v>
      </c>
      <c r="J10804" t="s">
        <v>597</v>
      </c>
      <c r="K10804" s="195">
        <v>45656.555023148147</v>
      </c>
      <c r="L10804">
        <v>314</v>
      </c>
      <c r="M10804">
        <v>0</v>
      </c>
      <c r="N10804" s="98" t="str">
        <f>IF(record[[#This Row],[Memo]]="Browser:chrome os:android","平板報工",IF(record[[#This Row],[Memo]]=0,"委外",record[[#This Row],[Memo]]))</f>
        <v>委外</v>
      </c>
      <c r="P10804" t="s">
        <v>206</v>
      </c>
      <c r="Q10804" t="s">
        <v>287</v>
      </c>
      <c r="R10804" t="str">
        <f>IFERROR(VLOOKUP(record[[#This Row],[PCUSTID]],廠商[],2,FALSE),"")</f>
        <v>泉盛</v>
      </c>
      <c r="S10804" t="str">
        <f>VLOOKUP(record[[#This Row],[employeeID]],員工[],2,FALSE)</f>
        <v>曾婉筠</v>
      </c>
    </row>
    <row r="10805" spans="6:19" hidden="1" x14ac:dyDescent="0.25">
      <c r="F10805" t="s">
        <v>653</v>
      </c>
      <c r="G10805" t="s">
        <v>396</v>
      </c>
      <c r="H10805" t="str">
        <f>VLOOKUP(record[[#This Row],[ProcessSN]],表格2_7[],2,FALSE)</f>
        <v>30-4118-018-550</v>
      </c>
      <c r="I10805" t="str">
        <f>VLOOKUP(record[[#This Row],[ProcessSN]],表格2_7[],3,FALSE)</f>
        <v>#08PICK</v>
      </c>
      <c r="J10805" t="s">
        <v>582</v>
      </c>
      <c r="K10805" s="195">
        <v>45656.554050925923</v>
      </c>
      <c r="L10805">
        <v>314</v>
      </c>
      <c r="M10805">
        <v>0</v>
      </c>
      <c r="N10805" s="98" t="str">
        <f>IF(record[[#This Row],[Memo]]="Browser:chrome os:android","平板報工",IF(record[[#This Row],[Memo]]=0,"委外",record[[#This Row],[Memo]]))</f>
        <v/>
      </c>
      <c r="O10805" t="s">
        <v>58</v>
      </c>
      <c r="P10805" t="s">
        <v>65</v>
      </c>
      <c r="Q10805" t="s">
        <v>58</v>
      </c>
      <c r="R10805" t="str">
        <f>IFERROR(VLOOKUP(record[[#This Row],[PCUSTID]],廠商[],2,FALSE),"")</f>
        <v/>
      </c>
      <c r="S10805" t="str">
        <f>VLOOKUP(record[[#This Row],[employeeID]],員工[],2,FALSE)</f>
        <v>蘇進昌</v>
      </c>
    </row>
    <row r="10806" spans="6:19" hidden="1" x14ac:dyDescent="0.25">
      <c r="F10806" t="s">
        <v>594</v>
      </c>
      <c r="G10806" t="s">
        <v>419</v>
      </c>
      <c r="H10806" t="str">
        <f>VLOOKUP(record[[#This Row],[ProcessSN]],表格2_7[],2,FALSE)</f>
        <v>30-4118-018-5XX</v>
      </c>
      <c r="I10806" t="str">
        <f>VLOOKUP(record[[#This Row],[ProcessSN]],表格2_7[],3,FALSE)</f>
        <v>#07QC</v>
      </c>
      <c r="J10806" t="s">
        <v>589</v>
      </c>
      <c r="K10806" s="195">
        <v>45656.45108796296</v>
      </c>
      <c r="L10806">
        <v>314</v>
      </c>
      <c r="M10806">
        <v>4</v>
      </c>
      <c r="N10806" s="98" t="str">
        <f>IF(record[[#This Row],[Memo]]="Browser:chrome os:android","平板報工",IF(record[[#This Row],[Memo]]=0,"委外",record[[#This Row],[Memo]]))</f>
        <v>平板報工</v>
      </c>
      <c r="O10806" t="s">
        <v>643</v>
      </c>
      <c r="P10806" t="s">
        <v>141</v>
      </c>
      <c r="Q10806" t="s">
        <v>644</v>
      </c>
      <c r="R10806" t="str">
        <f>IFERROR(VLOOKUP(record[[#This Row],[PCUSTID]],廠商[],2,FALSE),"")</f>
        <v/>
      </c>
      <c r="S10806" t="str">
        <f>VLOOKUP(record[[#This Row],[employeeID]],員工[],2,FALSE)</f>
        <v>蔣梅</v>
      </c>
    </row>
    <row r="10807" spans="6:19" hidden="1" x14ac:dyDescent="0.25">
      <c r="F10807" t="s">
        <v>642</v>
      </c>
      <c r="G10807" t="s">
        <v>415</v>
      </c>
      <c r="H10807" t="str">
        <f>VLOOKUP(record[[#This Row],[ProcessSN]],表格2_7[],2,FALSE)</f>
        <v>30-4118-018-5XX</v>
      </c>
      <c r="I10807" t="str">
        <f>VLOOKUP(record[[#This Row],[ProcessSN]],表格2_7[],3,FALSE)</f>
        <v>#04</v>
      </c>
      <c r="J10807" t="s">
        <v>588</v>
      </c>
      <c r="K10807" s="195">
        <v>45654.313194444447</v>
      </c>
      <c r="L10807">
        <v>144</v>
      </c>
      <c r="M10807">
        <v>0</v>
      </c>
      <c r="N10807" s="98" t="str">
        <f>IF(record[[#This Row],[Memo]]="Browser:chrome os:android","平板報工",IF(record[[#This Row],[Memo]]=0,"委外",record[[#This Row],[Memo]]))</f>
        <v/>
      </c>
      <c r="O10807" t="s">
        <v>58</v>
      </c>
      <c r="P10807" t="s">
        <v>135</v>
      </c>
      <c r="Q10807" t="s">
        <v>58</v>
      </c>
      <c r="R10807" t="str">
        <f>IFERROR(VLOOKUP(record[[#This Row],[PCUSTID]],廠商[],2,FALSE),"")</f>
        <v/>
      </c>
      <c r="S10807" t="str">
        <f>VLOOKUP(record[[#This Row],[employeeID]],員工[],2,FALSE)</f>
        <v>阮士文</v>
      </c>
    </row>
    <row r="10808" spans="6:19" hidden="1" x14ac:dyDescent="0.25">
      <c r="F10808" t="s">
        <v>650</v>
      </c>
      <c r="G10808" t="s">
        <v>414</v>
      </c>
      <c r="H10808" t="str">
        <f>VLOOKUP(record[[#This Row],[ProcessSN]],表格2_7[],2,FALSE)</f>
        <v>30-4118-018-5XX</v>
      </c>
      <c r="I10808" t="str">
        <f>VLOOKUP(record[[#This Row],[ProcessSN]],表格2_7[],3,FALSE)</f>
        <v>#03</v>
      </c>
      <c r="J10808" t="s">
        <v>588</v>
      </c>
      <c r="K10808" s="195">
        <v>45654.312789351854</v>
      </c>
      <c r="L10808">
        <v>856</v>
      </c>
      <c r="M10808">
        <v>2</v>
      </c>
      <c r="N10808" s="98" t="str">
        <f>IF(record[[#This Row],[Memo]]="Browser:chrome os:android","平板報工",IF(record[[#This Row],[Memo]]=0,"委外",record[[#This Row],[Memo]]))</f>
        <v/>
      </c>
      <c r="O10808" t="s">
        <v>58</v>
      </c>
      <c r="P10808" t="s">
        <v>135</v>
      </c>
      <c r="Q10808" t="s">
        <v>58</v>
      </c>
      <c r="R10808" t="str">
        <f>IFERROR(VLOOKUP(record[[#This Row],[PCUSTID]],廠商[],2,FALSE),"")</f>
        <v/>
      </c>
      <c r="S10808" t="str">
        <f>VLOOKUP(record[[#This Row],[employeeID]],員工[],2,FALSE)</f>
        <v>阮士文</v>
      </c>
    </row>
    <row r="10809" spans="6:19" hidden="1" x14ac:dyDescent="0.25">
      <c r="F10809" t="s">
        <v>594</v>
      </c>
      <c r="G10809" t="s">
        <v>418</v>
      </c>
      <c r="H10809" t="str">
        <f>VLOOKUP(record[[#This Row],[ProcessSN]],表格2_7[],2,FALSE)</f>
        <v>30-4118-018-5XX</v>
      </c>
      <c r="I10809" t="str">
        <f>VLOOKUP(record[[#This Row],[ProcessSN]],表格2_7[],3,FALSE)</f>
        <v>#07</v>
      </c>
      <c r="J10809" t="s">
        <v>588</v>
      </c>
      <c r="K10809" s="195">
        <v>45653.982824074075</v>
      </c>
      <c r="L10809">
        <v>184</v>
      </c>
      <c r="M10809">
        <v>0</v>
      </c>
      <c r="N10809" s="98" t="str">
        <f>IF(record[[#This Row],[Memo]]="Browser:chrome os:android","平板報工",IF(record[[#This Row],[Memo]]=0,"委外",record[[#This Row],[Memo]]))</f>
        <v/>
      </c>
      <c r="O10809" t="s">
        <v>58</v>
      </c>
      <c r="P10809" t="s">
        <v>127</v>
      </c>
      <c r="Q10809" t="s">
        <v>58</v>
      </c>
      <c r="R10809" t="str">
        <f>IFERROR(VLOOKUP(record[[#This Row],[PCUSTID]],廠商[],2,FALSE),"")</f>
        <v/>
      </c>
      <c r="S10809" t="str">
        <f>VLOOKUP(record[[#This Row],[employeeID]],員工[],2,FALSE)</f>
        <v>潘雪梅</v>
      </c>
    </row>
    <row r="10810" spans="6:19" hidden="1" x14ac:dyDescent="0.25">
      <c r="F10810" t="s">
        <v>650</v>
      </c>
      <c r="G10810" t="s">
        <v>414</v>
      </c>
      <c r="H10810" t="str">
        <f>VLOOKUP(record[[#This Row],[ProcessSN]],表格2_7[],2,FALSE)</f>
        <v>30-4118-018-5XX</v>
      </c>
      <c r="I10810" t="str">
        <f>VLOOKUP(record[[#This Row],[ProcessSN]],表格2_7[],3,FALSE)</f>
        <v>#03</v>
      </c>
      <c r="J10810" t="s">
        <v>588</v>
      </c>
      <c r="K10810" s="195">
        <v>45653.978680555556</v>
      </c>
      <c r="L10810">
        <v>367</v>
      </c>
      <c r="M10810">
        <v>2</v>
      </c>
      <c r="N10810" s="98" t="str">
        <f>IF(record[[#This Row],[Memo]]="Browser:chrome os:android","平板報工",IF(record[[#This Row],[Memo]]=0,"委外",record[[#This Row],[Memo]]))</f>
        <v/>
      </c>
      <c r="O10810" t="s">
        <v>58</v>
      </c>
      <c r="P10810" t="s">
        <v>127</v>
      </c>
      <c r="Q10810" t="s">
        <v>58</v>
      </c>
      <c r="R10810" t="str">
        <f>IFERROR(VLOOKUP(record[[#This Row],[PCUSTID]],廠商[],2,FALSE),"")</f>
        <v/>
      </c>
      <c r="S10810" t="str">
        <f>VLOOKUP(record[[#This Row],[employeeID]],員工[],2,FALSE)</f>
        <v>潘雪梅</v>
      </c>
    </row>
    <row r="10811" spans="6:19" hidden="1" x14ac:dyDescent="0.25">
      <c r="F10811" t="s">
        <v>642</v>
      </c>
      <c r="G10811" t="s">
        <v>415</v>
      </c>
      <c r="H10811" t="str">
        <f>VLOOKUP(record[[#This Row],[ProcessSN]],表格2_7[],2,FALSE)</f>
        <v>30-4118-018-5XX</v>
      </c>
      <c r="I10811" t="str">
        <f>VLOOKUP(record[[#This Row],[ProcessSN]],表格2_7[],3,FALSE)</f>
        <v>#04</v>
      </c>
      <c r="J10811" t="s">
        <v>588</v>
      </c>
      <c r="K10811" s="195">
        <v>45653.978182870371</v>
      </c>
      <c r="L10811">
        <v>150</v>
      </c>
      <c r="M10811">
        <v>0</v>
      </c>
      <c r="N10811" s="98" t="str">
        <f>IF(record[[#This Row],[Memo]]="Browser:chrome os:android","平板報工",IF(record[[#This Row],[Memo]]=0,"委外",record[[#This Row],[Memo]]))</f>
        <v/>
      </c>
      <c r="O10811" t="s">
        <v>58</v>
      </c>
      <c r="P10811" t="s">
        <v>127</v>
      </c>
      <c r="Q10811" t="s">
        <v>58</v>
      </c>
      <c r="R10811" t="str">
        <f>IFERROR(VLOOKUP(record[[#This Row],[PCUSTID]],廠商[],2,FALSE),"")</f>
        <v/>
      </c>
      <c r="S10811" t="str">
        <f>VLOOKUP(record[[#This Row],[employeeID]],員工[],2,FALSE)</f>
        <v>潘雪梅</v>
      </c>
    </row>
    <row r="10812" spans="6:19" hidden="1" x14ac:dyDescent="0.25">
      <c r="F10812" t="s">
        <v>586</v>
      </c>
      <c r="G10812" t="s">
        <v>376</v>
      </c>
      <c r="H10812" t="str">
        <f>VLOOKUP(record[[#This Row],[ProcessSN]],表格2_7[],2,FALSE)</f>
        <v>30-4118-018-4XX</v>
      </c>
      <c r="I10812" t="str">
        <f>VLOOKUP(record[[#This Row],[ProcessSN]],表格2_7[],3,FALSE)</f>
        <v>#06</v>
      </c>
      <c r="J10812" t="s">
        <v>593</v>
      </c>
      <c r="K10812" s="195">
        <v>45653.672314814816</v>
      </c>
      <c r="L10812">
        <v>24</v>
      </c>
      <c r="M10812">
        <v>1</v>
      </c>
      <c r="N10812" s="98" t="str">
        <f>IF(record[[#This Row],[Memo]]="Browser:chrome os:android","平板報工",IF(record[[#This Row],[Memo]]=0,"委外",record[[#This Row],[Memo]]))</f>
        <v/>
      </c>
      <c r="O10812" t="s">
        <v>58</v>
      </c>
      <c r="P10812" t="s">
        <v>119</v>
      </c>
      <c r="Q10812" t="s">
        <v>58</v>
      </c>
      <c r="R10812" t="str">
        <f>IFERROR(VLOOKUP(record[[#This Row],[PCUSTID]],廠商[],2,FALSE),"")</f>
        <v/>
      </c>
      <c r="S10812" t="str">
        <f>VLOOKUP(record[[#This Row],[employeeID]],員工[],2,FALSE)</f>
        <v>廖俊彥</v>
      </c>
    </row>
    <row r="10813" spans="6:19" hidden="1" x14ac:dyDescent="0.25">
      <c r="F10813" t="s">
        <v>642</v>
      </c>
      <c r="G10813" t="s">
        <v>415</v>
      </c>
      <c r="H10813" t="str">
        <f>VLOOKUP(record[[#This Row],[ProcessSN]],表格2_7[],2,FALSE)</f>
        <v>30-4118-018-5XX</v>
      </c>
      <c r="I10813" t="str">
        <f>VLOOKUP(record[[#This Row],[ProcessSN]],表格2_7[],3,FALSE)</f>
        <v>#04</v>
      </c>
      <c r="J10813" t="s">
        <v>588</v>
      </c>
      <c r="K10813" s="195">
        <v>45653.662546296298</v>
      </c>
      <c r="L10813">
        <v>144</v>
      </c>
      <c r="M10813">
        <v>0</v>
      </c>
      <c r="N10813" s="98" t="str">
        <f>IF(record[[#This Row],[Memo]]="Browser:chrome os:android","平板報工",IF(record[[#This Row],[Memo]]=0,"委外",record[[#This Row],[Memo]]))</f>
        <v/>
      </c>
      <c r="O10813" t="s">
        <v>58</v>
      </c>
      <c r="P10813" t="s">
        <v>119</v>
      </c>
      <c r="Q10813" t="s">
        <v>58</v>
      </c>
      <c r="R10813" t="str">
        <f>IFERROR(VLOOKUP(record[[#This Row],[PCUSTID]],廠商[],2,FALSE),"")</f>
        <v/>
      </c>
      <c r="S10813" t="str">
        <f>VLOOKUP(record[[#This Row],[employeeID]],員工[],2,FALSE)</f>
        <v>廖俊彥</v>
      </c>
    </row>
    <row r="10814" spans="6:19" hidden="1" x14ac:dyDescent="0.25">
      <c r="F10814" t="s">
        <v>594</v>
      </c>
      <c r="G10814" t="s">
        <v>418</v>
      </c>
      <c r="H10814" t="str">
        <f>VLOOKUP(record[[#This Row],[ProcessSN]],表格2_7[],2,FALSE)</f>
        <v>30-4118-018-5XX</v>
      </c>
      <c r="I10814" t="str">
        <f>VLOOKUP(record[[#This Row],[ProcessSN]],表格2_7[],3,FALSE)</f>
        <v>#07</v>
      </c>
      <c r="J10814" t="s">
        <v>588</v>
      </c>
      <c r="K10814" s="195">
        <v>45653.662245370368</v>
      </c>
      <c r="L10814">
        <v>125</v>
      </c>
      <c r="M10814">
        <v>1</v>
      </c>
      <c r="N10814" s="98" t="str">
        <f>IF(record[[#This Row],[Memo]]="Browser:chrome os:android","平板報工",IF(record[[#This Row],[Memo]]=0,"委外",record[[#This Row],[Memo]]))</f>
        <v/>
      </c>
      <c r="O10814" t="s">
        <v>58</v>
      </c>
      <c r="P10814" t="s">
        <v>119</v>
      </c>
      <c r="Q10814" t="s">
        <v>58</v>
      </c>
      <c r="R10814" t="str">
        <f>IFERROR(VLOOKUP(record[[#This Row],[PCUSTID]],廠商[],2,FALSE),"")</f>
        <v/>
      </c>
      <c r="S10814" t="str">
        <f>VLOOKUP(record[[#This Row],[employeeID]],員工[],2,FALSE)</f>
        <v>廖俊彥</v>
      </c>
    </row>
    <row r="10815" spans="6:19" hidden="1" x14ac:dyDescent="0.25">
      <c r="F10815" t="s">
        <v>581</v>
      </c>
      <c r="G10815" t="s">
        <v>471</v>
      </c>
      <c r="H10815" t="str">
        <f>VLOOKUP(record[[#This Row],[ProcessSN]],表格2_7[],2,FALSE)</f>
        <v>30-4118-018-XXX</v>
      </c>
      <c r="I10815" t="str">
        <f>VLOOKUP(record[[#This Row],[ProcessSN]],表格2_7[],3,FALSE)</f>
        <v>#02STOCK</v>
      </c>
      <c r="J10815" t="s">
        <v>592</v>
      </c>
      <c r="K10815" s="195">
        <v>45653.639236111114</v>
      </c>
      <c r="L10815">
        <v>1227</v>
      </c>
      <c r="M10815">
        <v>0</v>
      </c>
      <c r="N10815" s="98" t="str">
        <f>IF(record[[#This Row],[Memo]]="Browser:chrome os:android","平板報工",IF(record[[#This Row],[Memo]]=0,"委外",record[[#This Row],[Memo]]))</f>
        <v/>
      </c>
      <c r="O10815" t="s">
        <v>58</v>
      </c>
      <c r="P10815" t="s">
        <v>113</v>
      </c>
      <c r="Q10815" t="s">
        <v>58</v>
      </c>
      <c r="R10815" t="str">
        <f>IFERROR(VLOOKUP(record[[#This Row],[PCUSTID]],廠商[],2,FALSE),"")</f>
        <v/>
      </c>
      <c r="S10815" t="str">
        <f>VLOOKUP(record[[#This Row],[employeeID]],員工[],2,FALSE)</f>
        <v>王奕蓁</v>
      </c>
    </row>
    <row r="10816" spans="6:19" hidden="1" x14ac:dyDescent="0.25">
      <c r="F10816" t="s">
        <v>652</v>
      </c>
      <c r="G10816" t="s">
        <v>397</v>
      </c>
      <c r="H10816" t="str">
        <f>VLOOKUP(record[[#This Row],[ProcessSN]],表格2_7[],2,FALSE)</f>
        <v>30-4118-018-550</v>
      </c>
      <c r="I10816" t="str">
        <f>VLOOKUP(record[[#This Row],[ProcessSN]],表格2_7[],3,FALSE)</f>
        <v>#08</v>
      </c>
      <c r="J10816" t="s">
        <v>597</v>
      </c>
      <c r="K10816" s="195">
        <v>45653.636712962965</v>
      </c>
      <c r="L10816">
        <v>161</v>
      </c>
      <c r="M10816">
        <v>0</v>
      </c>
      <c r="N10816" s="98" t="str">
        <f>IF(record[[#This Row],[Memo]]="Browser:chrome os:android","平板報工",IF(record[[#This Row],[Memo]]=0,"委外",record[[#This Row],[Memo]]))</f>
        <v>委外</v>
      </c>
      <c r="P10816" t="s">
        <v>206</v>
      </c>
      <c r="Q10816" t="s">
        <v>287</v>
      </c>
      <c r="R10816" t="str">
        <f>IFERROR(VLOOKUP(record[[#This Row],[PCUSTID]],廠商[],2,FALSE),"")</f>
        <v>泉盛</v>
      </c>
      <c r="S10816" t="str">
        <f>VLOOKUP(record[[#This Row],[employeeID]],員工[],2,FALSE)</f>
        <v>曾婉筠</v>
      </c>
    </row>
    <row r="10817" spans="6:19" hidden="1" x14ac:dyDescent="0.25">
      <c r="F10817" t="s">
        <v>581</v>
      </c>
      <c r="G10817" t="s">
        <v>470</v>
      </c>
      <c r="H10817" t="str">
        <f>VLOOKUP(record[[#This Row],[ProcessSN]],表格2_7[],2,FALSE)</f>
        <v>30-4118-018-XXX</v>
      </c>
      <c r="I10817" t="str">
        <f>VLOOKUP(record[[#This Row],[ProcessSN]],表格2_7[],3,FALSE)</f>
        <v>#02IQC</v>
      </c>
      <c r="J10817" t="s">
        <v>583</v>
      </c>
      <c r="K10817" s="195">
        <v>45653.630046296297</v>
      </c>
      <c r="L10817">
        <v>390</v>
      </c>
      <c r="M10817">
        <v>0</v>
      </c>
      <c r="N10817" s="98" t="str">
        <f>IF(record[[#This Row],[Memo]]="Browser:chrome os:android","平板報工",IF(record[[#This Row],[Memo]]=0,"委外",record[[#This Row],[Memo]]))</f>
        <v/>
      </c>
      <c r="O10817" t="s">
        <v>58</v>
      </c>
      <c r="P10817" t="s">
        <v>190</v>
      </c>
      <c r="Q10817" t="s">
        <v>58</v>
      </c>
      <c r="R10817" t="str">
        <f>IFERROR(VLOOKUP(record[[#This Row],[PCUSTID]],廠商[],2,FALSE),"")</f>
        <v/>
      </c>
      <c r="S10817" t="str">
        <f>VLOOKUP(record[[#This Row],[employeeID]],員工[],2,FALSE)</f>
        <v>陳雅娟</v>
      </c>
    </row>
    <row r="10818" spans="6:19" hidden="1" x14ac:dyDescent="0.25">
      <c r="F10818" t="s">
        <v>594</v>
      </c>
      <c r="G10818" t="s">
        <v>420</v>
      </c>
      <c r="H10818" t="str">
        <f>VLOOKUP(record[[#This Row],[ProcessSN]],表格2_7[],2,FALSE)</f>
        <v>30-4118-018-5XX</v>
      </c>
      <c r="I10818" t="str">
        <f>VLOOKUP(record[[#This Row],[ProcessSN]],表格2_7[],3,FALSE)</f>
        <v>#07STOCK</v>
      </c>
      <c r="J10818" t="s">
        <v>592</v>
      </c>
      <c r="K10818" s="195">
        <v>45653.627337962964</v>
      </c>
      <c r="L10818">
        <v>161</v>
      </c>
      <c r="M10818">
        <v>0</v>
      </c>
      <c r="N10818" s="98" t="str">
        <f>IF(record[[#This Row],[Memo]]="Browser:chrome os:android","平板報工",IF(record[[#This Row],[Memo]]=0,"委外",record[[#This Row],[Memo]]))</f>
        <v/>
      </c>
      <c r="O10818" t="s">
        <v>58</v>
      </c>
      <c r="P10818" t="s">
        <v>65</v>
      </c>
      <c r="Q10818" t="s">
        <v>58</v>
      </c>
      <c r="R10818" t="str">
        <f>IFERROR(VLOOKUP(record[[#This Row],[PCUSTID]],廠商[],2,FALSE),"")</f>
        <v/>
      </c>
      <c r="S10818" t="str">
        <f>VLOOKUP(record[[#This Row],[employeeID]],員工[],2,FALSE)</f>
        <v>蘇進昌</v>
      </c>
    </row>
    <row r="10819" spans="6:19" hidden="1" x14ac:dyDescent="0.25">
      <c r="F10819" t="s">
        <v>652</v>
      </c>
      <c r="G10819" t="s">
        <v>396</v>
      </c>
      <c r="H10819" t="str">
        <f>VLOOKUP(record[[#This Row],[ProcessSN]],表格2_7[],2,FALSE)</f>
        <v>30-4118-018-550</v>
      </c>
      <c r="I10819" t="str">
        <f>VLOOKUP(record[[#This Row],[ProcessSN]],表格2_7[],3,FALSE)</f>
        <v>#08PICK</v>
      </c>
      <c r="J10819" t="s">
        <v>582</v>
      </c>
      <c r="K10819" s="195">
        <v>45653.627129629633</v>
      </c>
      <c r="L10819">
        <v>161</v>
      </c>
      <c r="M10819">
        <v>0</v>
      </c>
      <c r="N10819" s="98" t="str">
        <f>IF(record[[#This Row],[Memo]]="Browser:chrome os:android","平板報工",IF(record[[#This Row],[Memo]]=0,"委外",record[[#This Row],[Memo]]))</f>
        <v/>
      </c>
      <c r="O10819" t="s">
        <v>58</v>
      </c>
      <c r="P10819" t="s">
        <v>65</v>
      </c>
      <c r="Q10819" t="s">
        <v>58</v>
      </c>
      <c r="R10819" t="str">
        <f>IFERROR(VLOOKUP(record[[#This Row],[PCUSTID]],廠商[],2,FALSE),"")</f>
        <v/>
      </c>
      <c r="S10819" t="str">
        <f>VLOOKUP(record[[#This Row],[employeeID]],員工[],2,FALSE)</f>
        <v>蘇進昌</v>
      </c>
    </row>
    <row r="10820" spans="6:19" hidden="1" x14ac:dyDescent="0.25">
      <c r="F10820" t="s">
        <v>594</v>
      </c>
      <c r="G10820" t="s">
        <v>419</v>
      </c>
      <c r="H10820" t="str">
        <f>VLOOKUP(record[[#This Row],[ProcessSN]],表格2_7[],2,FALSE)</f>
        <v>30-4118-018-5XX</v>
      </c>
      <c r="I10820" t="str">
        <f>VLOOKUP(record[[#This Row],[ProcessSN]],表格2_7[],3,FALSE)</f>
        <v>#07QC</v>
      </c>
      <c r="J10820" t="s">
        <v>589</v>
      </c>
      <c r="K10820" s="195">
        <v>45653.592361111114</v>
      </c>
      <c r="L10820">
        <v>161</v>
      </c>
      <c r="M10820">
        <v>7</v>
      </c>
      <c r="N10820" s="98" t="str">
        <f>IF(record[[#This Row],[Memo]]="Browser:chrome os:android","平板報工",IF(record[[#This Row],[Memo]]=0,"委外",record[[#This Row],[Memo]]))</f>
        <v>平板報工</v>
      </c>
      <c r="O10820" t="s">
        <v>643</v>
      </c>
      <c r="P10820" t="s">
        <v>141</v>
      </c>
      <c r="Q10820" t="s">
        <v>644</v>
      </c>
      <c r="R10820" t="str">
        <f>IFERROR(VLOOKUP(record[[#This Row],[PCUSTID]],廠商[],2,FALSE),"")</f>
        <v/>
      </c>
      <c r="S10820" t="str">
        <f>VLOOKUP(record[[#This Row],[employeeID]],員工[],2,FALSE)</f>
        <v>蔣梅</v>
      </c>
    </row>
    <row r="10821" spans="6:19" hidden="1" x14ac:dyDescent="0.25">
      <c r="F10821" t="s">
        <v>581</v>
      </c>
      <c r="G10821" t="s">
        <v>469</v>
      </c>
      <c r="H10821" t="str">
        <f>VLOOKUP(record[[#This Row],[ProcessSN]],表格2_7[],2,FALSE)</f>
        <v>30-4118-018-XXX</v>
      </c>
      <c r="I10821" t="str">
        <f>VLOOKUP(record[[#This Row],[ProcessSN]],表格2_7[],3,FALSE)</f>
        <v>#02RCV</v>
      </c>
      <c r="J10821" t="s">
        <v>591</v>
      </c>
      <c r="K10821" s="195">
        <v>45653.568182870367</v>
      </c>
      <c r="L10821">
        <v>390</v>
      </c>
      <c r="M10821">
        <v>0</v>
      </c>
      <c r="N10821" s="98" t="str">
        <f>IF(record[[#This Row],[Memo]]="Browser:chrome os:android","平板報工",IF(record[[#This Row],[Memo]]=0,"委外",record[[#This Row],[Memo]]))</f>
        <v/>
      </c>
      <c r="O10821" t="s">
        <v>58</v>
      </c>
      <c r="P10821" t="s">
        <v>206</v>
      </c>
      <c r="Q10821" t="s">
        <v>58</v>
      </c>
      <c r="R10821" t="str">
        <f>IFERROR(VLOOKUP(record[[#This Row],[PCUSTID]],廠商[],2,FALSE),"")</f>
        <v/>
      </c>
      <c r="S10821" t="str">
        <f>VLOOKUP(record[[#This Row],[employeeID]],員工[],2,FALSE)</f>
        <v>曾婉筠</v>
      </c>
    </row>
    <row r="10822" spans="6:19" hidden="1" x14ac:dyDescent="0.25">
      <c r="F10822" t="s">
        <v>650</v>
      </c>
      <c r="G10822" t="s">
        <v>413</v>
      </c>
      <c r="H10822" t="str">
        <f>VLOOKUP(record[[#This Row],[ProcessSN]],表格2_7[],2,FALSE)</f>
        <v>30-4118-018-5XX</v>
      </c>
      <c r="I10822" t="str">
        <f>VLOOKUP(record[[#This Row],[ProcessSN]],表格2_7[],3,FALSE)</f>
        <v>#03GIVE</v>
      </c>
      <c r="J10822" t="s">
        <v>587</v>
      </c>
      <c r="K10822" s="195">
        <v>45653.441307870373</v>
      </c>
      <c r="L10822">
        <v>1227</v>
      </c>
      <c r="M10822">
        <v>0</v>
      </c>
      <c r="N10822" s="98" t="str">
        <f>IF(record[[#This Row],[Memo]]="Browser:chrome os:android","平板報工",IF(record[[#This Row],[Memo]]=0,"委外",record[[#This Row],[Memo]]))</f>
        <v/>
      </c>
      <c r="O10822" t="s">
        <v>58</v>
      </c>
      <c r="P10822" t="s">
        <v>113</v>
      </c>
      <c r="Q10822" t="s">
        <v>58</v>
      </c>
      <c r="R10822" t="str">
        <f>IFERROR(VLOOKUP(record[[#This Row],[PCUSTID]],廠商[],2,FALSE),"")</f>
        <v/>
      </c>
      <c r="S10822" t="str">
        <f>VLOOKUP(record[[#This Row],[employeeID]],員工[],2,FALSE)</f>
        <v>王奕蓁</v>
      </c>
    </row>
    <row r="10823" spans="6:19" hidden="1" x14ac:dyDescent="0.25">
      <c r="F10823" t="s">
        <v>650</v>
      </c>
      <c r="G10823" t="s">
        <v>412</v>
      </c>
      <c r="H10823" t="str">
        <f>VLOOKUP(record[[#This Row],[ProcessSN]],表格2_7[],2,FALSE)</f>
        <v>30-4118-018-5XX</v>
      </c>
      <c r="I10823" t="str">
        <f>VLOOKUP(record[[#This Row],[ProcessSN]],表格2_7[],3,FALSE)</f>
        <v>#03PICK</v>
      </c>
      <c r="J10823" t="s">
        <v>582</v>
      </c>
      <c r="K10823" s="195">
        <v>45653.441145833334</v>
      </c>
      <c r="L10823">
        <v>1227</v>
      </c>
      <c r="M10823">
        <v>0</v>
      </c>
      <c r="N10823" s="98" t="str">
        <f>IF(record[[#This Row],[Memo]]="Browser:chrome os:android","平板報工",IF(record[[#This Row],[Memo]]=0,"委外",record[[#This Row],[Memo]]))</f>
        <v/>
      </c>
      <c r="O10823" t="s">
        <v>58</v>
      </c>
      <c r="P10823" t="s">
        <v>113</v>
      </c>
      <c r="Q10823" t="s">
        <v>58</v>
      </c>
      <c r="R10823" t="str">
        <f>IFERROR(VLOOKUP(record[[#This Row],[PCUSTID]],廠商[],2,FALSE),"")</f>
        <v/>
      </c>
      <c r="S10823" t="str">
        <f>VLOOKUP(record[[#This Row],[employeeID]],員工[],2,FALSE)</f>
        <v>王奕蓁</v>
      </c>
    </row>
    <row r="10824" spans="6:19" hidden="1" x14ac:dyDescent="0.25">
      <c r="F10824" t="s">
        <v>642</v>
      </c>
      <c r="G10824" t="s">
        <v>415</v>
      </c>
      <c r="H10824" t="str">
        <f>VLOOKUP(record[[#This Row],[ProcessSN]],表格2_7[],2,FALSE)</f>
        <v>30-4118-018-5XX</v>
      </c>
      <c r="I10824" t="str">
        <f>VLOOKUP(record[[#This Row],[ProcessSN]],表格2_7[],3,FALSE)</f>
        <v>#04</v>
      </c>
      <c r="J10824" t="s">
        <v>588</v>
      </c>
      <c r="K10824" s="195">
        <v>45653.311388888891</v>
      </c>
      <c r="L10824">
        <v>150</v>
      </c>
      <c r="M10824">
        <v>0</v>
      </c>
      <c r="N10824" s="98" t="str">
        <f>IF(record[[#This Row],[Memo]]="Browser:chrome os:android","平板報工",IF(record[[#This Row],[Memo]]=0,"委外",record[[#This Row],[Memo]]))</f>
        <v/>
      </c>
      <c r="O10824" t="s">
        <v>58</v>
      </c>
      <c r="P10824" t="s">
        <v>135</v>
      </c>
      <c r="Q10824" t="s">
        <v>58</v>
      </c>
      <c r="R10824" t="str">
        <f>IFERROR(VLOOKUP(record[[#This Row],[PCUSTID]],廠商[],2,FALSE),"")</f>
        <v/>
      </c>
      <c r="S10824" t="str">
        <f>VLOOKUP(record[[#This Row],[employeeID]],員工[],2,FALSE)</f>
        <v>阮士文</v>
      </c>
    </row>
    <row r="10825" spans="6:19" hidden="1" x14ac:dyDescent="0.25">
      <c r="F10825" t="s">
        <v>594</v>
      </c>
      <c r="G10825" t="s">
        <v>418</v>
      </c>
      <c r="H10825" t="str">
        <f>VLOOKUP(record[[#This Row],[ProcessSN]],表格2_7[],2,FALSE)</f>
        <v>30-4118-018-5XX</v>
      </c>
      <c r="I10825" t="str">
        <f>VLOOKUP(record[[#This Row],[ProcessSN]],表格2_7[],3,FALSE)</f>
        <v>#07</v>
      </c>
      <c r="J10825" t="s">
        <v>588</v>
      </c>
      <c r="K10825" s="195">
        <v>45653.311099537037</v>
      </c>
      <c r="L10825">
        <v>80</v>
      </c>
      <c r="M10825">
        <v>2</v>
      </c>
      <c r="N10825" s="98" t="str">
        <f>IF(record[[#This Row],[Memo]]="Browser:chrome os:android","平板報工",IF(record[[#This Row],[Memo]]=0,"委外",record[[#This Row],[Memo]]))</f>
        <v/>
      </c>
      <c r="O10825" t="s">
        <v>58</v>
      </c>
      <c r="P10825" t="s">
        <v>135</v>
      </c>
      <c r="Q10825" t="s">
        <v>58</v>
      </c>
      <c r="R10825" t="str">
        <f>IFERROR(VLOOKUP(record[[#This Row],[PCUSTID]],廠商[],2,FALSE),"")</f>
        <v/>
      </c>
      <c r="S10825" t="str">
        <f>VLOOKUP(record[[#This Row],[employeeID]],員工[],2,FALSE)</f>
        <v>阮士文</v>
      </c>
    </row>
    <row r="10826" spans="6:19" hidden="1" x14ac:dyDescent="0.25">
      <c r="F10826" t="s">
        <v>642</v>
      </c>
      <c r="G10826" t="s">
        <v>415</v>
      </c>
      <c r="H10826" t="str">
        <f>VLOOKUP(record[[#This Row],[ProcessSN]],表格2_7[],2,FALSE)</f>
        <v>30-4118-018-5XX</v>
      </c>
      <c r="I10826" t="str">
        <f>VLOOKUP(record[[#This Row],[ProcessSN]],表格2_7[],3,FALSE)</f>
        <v>#04</v>
      </c>
      <c r="J10826" t="s">
        <v>588</v>
      </c>
      <c r="K10826" s="195">
        <v>45653.024444444447</v>
      </c>
      <c r="L10826">
        <v>106</v>
      </c>
      <c r="M10826">
        <v>8</v>
      </c>
      <c r="N10826" s="98" t="str">
        <f>IF(record[[#This Row],[Memo]]="Browser:chrome os:android","平板報工",IF(record[[#This Row],[Memo]]=0,"委外",record[[#This Row],[Memo]]))</f>
        <v/>
      </c>
      <c r="O10826" t="s">
        <v>58</v>
      </c>
      <c r="P10826" t="s">
        <v>127</v>
      </c>
      <c r="Q10826" t="s">
        <v>58</v>
      </c>
      <c r="R10826" t="str">
        <f>IFERROR(VLOOKUP(record[[#This Row],[PCUSTID]],廠商[],2,FALSE),"")</f>
        <v/>
      </c>
      <c r="S10826" t="str">
        <f>VLOOKUP(record[[#This Row],[employeeID]],員工[],2,FALSE)</f>
        <v>潘雪梅</v>
      </c>
    </row>
    <row r="10827" spans="6:19" hidden="1" x14ac:dyDescent="0.25">
      <c r="F10827" t="s">
        <v>594</v>
      </c>
      <c r="G10827" t="s">
        <v>418</v>
      </c>
      <c r="H10827" t="str">
        <f>VLOOKUP(record[[#This Row],[ProcessSN]],表格2_7[],2,FALSE)</f>
        <v>30-4118-018-5XX</v>
      </c>
      <c r="I10827" t="str">
        <f>VLOOKUP(record[[#This Row],[ProcessSN]],表格2_7[],3,FALSE)</f>
        <v>#07</v>
      </c>
      <c r="J10827" t="s">
        <v>588</v>
      </c>
      <c r="K10827" s="195">
        <v>45653.02412037037</v>
      </c>
      <c r="L10827">
        <v>168</v>
      </c>
      <c r="M10827">
        <v>1</v>
      </c>
      <c r="N10827" s="98" t="str">
        <f>IF(record[[#This Row],[Memo]]="Browser:chrome os:android","平板報工",IF(record[[#This Row],[Memo]]=0,"委外",record[[#This Row],[Memo]]))</f>
        <v/>
      </c>
      <c r="O10827" t="s">
        <v>58</v>
      </c>
      <c r="P10827" t="s">
        <v>127</v>
      </c>
      <c r="Q10827" t="s">
        <v>58</v>
      </c>
      <c r="R10827" t="str">
        <f>IFERROR(VLOOKUP(record[[#This Row],[PCUSTID]],廠商[],2,FALSE),"")</f>
        <v/>
      </c>
      <c r="S10827" t="str">
        <f>VLOOKUP(record[[#This Row],[employeeID]],員工[],2,FALSE)</f>
        <v>潘雪梅</v>
      </c>
    </row>
    <row r="10828" spans="6:19" hidden="1" x14ac:dyDescent="0.25">
      <c r="F10828" t="s">
        <v>642</v>
      </c>
      <c r="G10828" t="s">
        <v>414</v>
      </c>
      <c r="H10828" t="str">
        <f>VLOOKUP(record[[#This Row],[ProcessSN]],表格2_7[],2,FALSE)</f>
        <v>30-4118-018-5XX</v>
      </c>
      <c r="I10828" t="str">
        <f>VLOOKUP(record[[#This Row],[ProcessSN]],表格2_7[],3,FALSE)</f>
        <v>#03</v>
      </c>
      <c r="J10828" t="s">
        <v>588</v>
      </c>
      <c r="K10828" s="195">
        <v>45653.022233796299</v>
      </c>
      <c r="L10828">
        <v>645</v>
      </c>
      <c r="M10828">
        <v>3</v>
      </c>
      <c r="N10828" s="98" t="str">
        <f>IF(record[[#This Row],[Memo]]="Browser:chrome os:android","平板報工",IF(record[[#This Row],[Memo]]=0,"委外",record[[#This Row],[Memo]]))</f>
        <v/>
      </c>
      <c r="O10828" t="s">
        <v>58</v>
      </c>
      <c r="P10828" t="s">
        <v>127</v>
      </c>
      <c r="Q10828" t="s">
        <v>58</v>
      </c>
      <c r="R10828" t="str">
        <f>IFERROR(VLOOKUP(record[[#This Row],[PCUSTID]],廠商[],2,FALSE),"")</f>
        <v/>
      </c>
      <c r="S10828" t="str">
        <f>VLOOKUP(record[[#This Row],[employeeID]],員工[],2,FALSE)</f>
        <v>潘雪梅</v>
      </c>
    </row>
    <row r="10829" spans="6:19" hidden="1" x14ac:dyDescent="0.25">
      <c r="F10829" t="s">
        <v>581</v>
      </c>
      <c r="G10829" t="s">
        <v>470</v>
      </c>
      <c r="H10829" t="str">
        <f>VLOOKUP(record[[#This Row],[ProcessSN]],表格2_7[],2,FALSE)</f>
        <v>30-4118-018-XXX</v>
      </c>
      <c r="I10829" t="str">
        <f>VLOOKUP(record[[#This Row],[ProcessSN]],表格2_7[],3,FALSE)</f>
        <v>#02IQC</v>
      </c>
      <c r="J10829" t="s">
        <v>583</v>
      </c>
      <c r="K10829" s="195">
        <v>45652.647662037038</v>
      </c>
      <c r="L10829">
        <v>837</v>
      </c>
      <c r="M10829">
        <v>0</v>
      </c>
      <c r="N10829" s="98" t="str">
        <f>IF(record[[#This Row],[Memo]]="Browser:chrome os:android","平板報工",IF(record[[#This Row],[Memo]]=0,"委外",record[[#This Row],[Memo]]))</f>
        <v/>
      </c>
      <c r="O10829" t="s">
        <v>58</v>
      </c>
      <c r="P10829" t="s">
        <v>190</v>
      </c>
      <c r="Q10829" t="s">
        <v>58</v>
      </c>
      <c r="R10829" t="str">
        <f>IFERROR(VLOOKUP(record[[#This Row],[PCUSTID]],廠商[],2,FALSE),"")</f>
        <v/>
      </c>
      <c r="S10829" t="str">
        <f>VLOOKUP(record[[#This Row],[employeeID]],員工[],2,FALSE)</f>
        <v>陳雅娟</v>
      </c>
    </row>
    <row r="10830" spans="6:19" hidden="1" x14ac:dyDescent="0.25">
      <c r="F10830" t="s">
        <v>642</v>
      </c>
      <c r="G10830" t="s">
        <v>414</v>
      </c>
      <c r="H10830" t="str">
        <f>VLOOKUP(record[[#This Row],[ProcessSN]],表格2_7[],2,FALSE)</f>
        <v>30-4118-018-5XX</v>
      </c>
      <c r="I10830" t="str">
        <f>VLOOKUP(record[[#This Row],[ProcessSN]],表格2_7[],3,FALSE)</f>
        <v>#03</v>
      </c>
      <c r="J10830" t="s">
        <v>588</v>
      </c>
      <c r="K10830" s="195">
        <v>45652.647210648145</v>
      </c>
      <c r="L10830">
        <v>192</v>
      </c>
      <c r="M10830">
        <v>0</v>
      </c>
      <c r="N10830" s="98" t="str">
        <f>IF(record[[#This Row],[Memo]]="Browser:chrome os:android","平板報工",IF(record[[#This Row],[Memo]]=0,"委外",record[[#This Row],[Memo]]))</f>
        <v/>
      </c>
      <c r="O10830" t="s">
        <v>58</v>
      </c>
      <c r="P10830" t="s">
        <v>119</v>
      </c>
      <c r="Q10830" t="s">
        <v>58</v>
      </c>
      <c r="R10830" t="str">
        <f>IFERROR(VLOOKUP(record[[#This Row],[PCUSTID]],廠商[],2,FALSE),"")</f>
        <v/>
      </c>
      <c r="S10830" t="str">
        <f>VLOOKUP(record[[#This Row],[employeeID]],員工[],2,FALSE)</f>
        <v>廖俊彥</v>
      </c>
    </row>
    <row r="10831" spans="6:19" hidden="1" x14ac:dyDescent="0.25">
      <c r="F10831" t="s">
        <v>609</v>
      </c>
      <c r="G10831" t="s">
        <v>403</v>
      </c>
      <c r="H10831" t="str">
        <f>VLOOKUP(record[[#This Row],[ProcessSN]],表格2_7[],2,FALSE)</f>
        <v>30-4118-018-550</v>
      </c>
      <c r="I10831" t="str">
        <f>VLOOKUP(record[[#This Row],[ProcessSN]],表格2_7[],3,FALSE)</f>
        <v>#100SHIP</v>
      </c>
      <c r="J10831" t="s">
        <v>600</v>
      </c>
      <c r="K10831" s="195">
        <v>45652.569560185184</v>
      </c>
      <c r="L10831">
        <v>231</v>
      </c>
      <c r="M10831">
        <v>0</v>
      </c>
      <c r="N10831" s="98" t="str">
        <f>IF(record[[#This Row],[Memo]]="Browser:chrome os:android","平板報工",IF(record[[#This Row],[Memo]]=0,"委外",record[[#This Row],[Memo]]))</f>
        <v>出貨日期12/26</v>
      </c>
      <c r="O10831" t="s">
        <v>648</v>
      </c>
      <c r="P10831" t="s">
        <v>196</v>
      </c>
      <c r="Q10831" t="s">
        <v>58</v>
      </c>
      <c r="R10831" t="str">
        <f>IFERROR(VLOOKUP(record[[#This Row],[PCUSTID]],廠商[],2,FALSE),"")</f>
        <v/>
      </c>
      <c r="S10831" t="str">
        <f>VLOOKUP(record[[#This Row],[employeeID]],員工[],2,FALSE)</f>
        <v>張淑惠</v>
      </c>
    </row>
    <row r="10832" spans="6:19" hidden="1" x14ac:dyDescent="0.25">
      <c r="F10832" t="s">
        <v>609</v>
      </c>
      <c r="G10832" t="s">
        <v>402</v>
      </c>
      <c r="H10832" t="str">
        <f>VLOOKUP(record[[#This Row],[ProcessSN]],表格2_7[],2,FALSE)</f>
        <v>30-4118-018-550</v>
      </c>
      <c r="I10832" t="str">
        <f>VLOOKUP(record[[#This Row],[ProcessSN]],表格2_7[],3,FALSE)</f>
        <v>#100STOCK</v>
      </c>
      <c r="J10832" t="s">
        <v>592</v>
      </c>
      <c r="K10832" s="195">
        <v>45652.569282407407</v>
      </c>
      <c r="L10832">
        <v>231</v>
      </c>
      <c r="M10832">
        <v>0</v>
      </c>
      <c r="N10832" s="98" t="str">
        <f>IF(record[[#This Row],[Memo]]="Browser:chrome os:android","平板報工",IF(record[[#This Row],[Memo]]=0,"委外",record[[#This Row],[Memo]]))</f>
        <v>12/26檢包報工</v>
      </c>
      <c r="O10832" t="s">
        <v>649</v>
      </c>
      <c r="P10832" t="s">
        <v>196</v>
      </c>
      <c r="Q10832" t="s">
        <v>58</v>
      </c>
      <c r="R10832" t="str">
        <f>IFERROR(VLOOKUP(record[[#This Row],[PCUSTID]],廠商[],2,FALSE),"")</f>
        <v/>
      </c>
      <c r="S10832" t="str">
        <f>VLOOKUP(record[[#This Row],[employeeID]],員工[],2,FALSE)</f>
        <v>張淑惠</v>
      </c>
    </row>
    <row r="10833" spans="6:19" hidden="1" x14ac:dyDescent="0.25">
      <c r="F10833" t="s">
        <v>609</v>
      </c>
      <c r="G10833" t="s">
        <v>401</v>
      </c>
      <c r="H10833" t="str">
        <f>VLOOKUP(record[[#This Row],[ProcessSN]],表格2_7[],2,FALSE)</f>
        <v>30-4118-018-550</v>
      </c>
      <c r="I10833" t="str">
        <f>VLOOKUP(record[[#This Row],[ProcessSN]],表格2_7[],3,FALSE)</f>
        <v>#100OQC</v>
      </c>
      <c r="J10833" t="s">
        <v>599</v>
      </c>
      <c r="K10833" s="195">
        <v>45652.568749999999</v>
      </c>
      <c r="L10833">
        <v>231</v>
      </c>
      <c r="M10833">
        <v>0</v>
      </c>
      <c r="N10833" s="98" t="str">
        <f>IF(record[[#This Row],[Memo]]="Browser:chrome os:android","平板報工",IF(record[[#This Row],[Memo]]=0,"委外",record[[#This Row],[Memo]]))</f>
        <v/>
      </c>
      <c r="O10833" t="s">
        <v>58</v>
      </c>
      <c r="P10833" t="s">
        <v>196</v>
      </c>
      <c r="Q10833" t="s">
        <v>58</v>
      </c>
      <c r="R10833" t="str">
        <f>IFERROR(VLOOKUP(record[[#This Row],[PCUSTID]],廠商[],2,FALSE),"")</f>
        <v/>
      </c>
      <c r="S10833" t="str">
        <f>VLOOKUP(record[[#This Row],[employeeID]],員工[],2,FALSE)</f>
        <v>張淑惠</v>
      </c>
    </row>
    <row r="10834" spans="6:19" hidden="1" x14ac:dyDescent="0.25">
      <c r="F10834" t="s">
        <v>605</v>
      </c>
      <c r="G10834" t="s">
        <v>403</v>
      </c>
      <c r="H10834" t="str">
        <f>VLOOKUP(record[[#This Row],[ProcessSN]],表格2_7[],2,FALSE)</f>
        <v>30-4118-018-550</v>
      </c>
      <c r="I10834" t="str">
        <f>VLOOKUP(record[[#This Row],[ProcessSN]],表格2_7[],3,FALSE)</f>
        <v>#100SHIP</v>
      </c>
      <c r="J10834" t="s">
        <v>600</v>
      </c>
      <c r="K10834" s="195">
        <v>45652.568437499998</v>
      </c>
      <c r="L10834">
        <v>105</v>
      </c>
      <c r="M10834">
        <v>0</v>
      </c>
      <c r="N10834" s="98" t="str">
        <f>IF(record[[#This Row],[Memo]]="Browser:chrome os:android","平板報工",IF(record[[#This Row],[Memo]]=0,"委外",record[[#This Row],[Memo]]))</f>
        <v>出貨日期12/26</v>
      </c>
      <c r="O10834" t="s">
        <v>648</v>
      </c>
      <c r="P10834" t="s">
        <v>196</v>
      </c>
      <c r="Q10834" t="s">
        <v>58</v>
      </c>
      <c r="R10834" t="str">
        <f>IFERROR(VLOOKUP(record[[#This Row],[PCUSTID]],廠商[],2,FALSE),"")</f>
        <v/>
      </c>
      <c r="S10834" t="str">
        <f>VLOOKUP(record[[#This Row],[employeeID]],員工[],2,FALSE)</f>
        <v>張淑惠</v>
      </c>
    </row>
    <row r="10835" spans="6:19" hidden="1" x14ac:dyDescent="0.25">
      <c r="F10835" t="s">
        <v>605</v>
      </c>
      <c r="G10835" t="s">
        <v>403</v>
      </c>
      <c r="H10835" t="str">
        <f>VLOOKUP(record[[#This Row],[ProcessSN]],表格2_7[],2,FALSE)</f>
        <v>30-4118-018-550</v>
      </c>
      <c r="I10835" t="str">
        <f>VLOOKUP(record[[#This Row],[ProcessSN]],表格2_7[],3,FALSE)</f>
        <v>#100SHIP</v>
      </c>
      <c r="J10835" t="s">
        <v>600</v>
      </c>
      <c r="K10835" s="195">
        <v>45652.565474537034</v>
      </c>
      <c r="L10835">
        <v>53</v>
      </c>
      <c r="M10835">
        <v>0</v>
      </c>
      <c r="N10835" s="98" t="str">
        <f>IF(record[[#This Row],[Memo]]="Browser:chrome os:android","平板報工",IF(record[[#This Row],[Memo]]=0,"委外",record[[#This Row],[Memo]]))</f>
        <v>補12/23出貨</v>
      </c>
      <c r="O10835" t="s">
        <v>645</v>
      </c>
      <c r="P10835" t="s">
        <v>196</v>
      </c>
      <c r="Q10835" t="s">
        <v>58</v>
      </c>
      <c r="R10835" t="str">
        <f>IFERROR(VLOOKUP(record[[#This Row],[PCUSTID]],廠商[],2,FALSE),"")</f>
        <v/>
      </c>
      <c r="S10835" t="str">
        <f>VLOOKUP(record[[#This Row],[employeeID]],員工[],2,FALSE)</f>
        <v>張淑惠</v>
      </c>
    </row>
    <row r="10836" spans="6:19" hidden="1" x14ac:dyDescent="0.25">
      <c r="F10836" t="s">
        <v>605</v>
      </c>
      <c r="G10836" t="s">
        <v>402</v>
      </c>
      <c r="H10836" t="str">
        <f>VLOOKUP(record[[#This Row],[ProcessSN]],表格2_7[],2,FALSE)</f>
        <v>30-4118-018-550</v>
      </c>
      <c r="I10836" t="str">
        <f>VLOOKUP(record[[#This Row],[ProcessSN]],表格2_7[],3,FALSE)</f>
        <v>#100STOCK</v>
      </c>
      <c r="J10836" t="s">
        <v>592</v>
      </c>
      <c r="K10836" s="195">
        <v>45652.56486111111</v>
      </c>
      <c r="L10836">
        <v>158</v>
      </c>
      <c r="M10836">
        <v>0</v>
      </c>
      <c r="N10836" s="98" t="str">
        <f>IF(record[[#This Row],[Memo]]="Browser:chrome os:android","平板報工",IF(record[[#This Row],[Memo]]=0,"委外",record[[#This Row],[Memo]]))</f>
        <v>補12/23舊庫存檢包報工</v>
      </c>
      <c r="O10836" t="s">
        <v>647</v>
      </c>
      <c r="P10836" t="s">
        <v>196</v>
      </c>
      <c r="Q10836" t="s">
        <v>58</v>
      </c>
      <c r="R10836" t="str">
        <f>IFERROR(VLOOKUP(record[[#This Row],[PCUSTID]],廠商[],2,FALSE),"")</f>
        <v/>
      </c>
      <c r="S10836" t="str">
        <f>VLOOKUP(record[[#This Row],[employeeID]],員工[],2,FALSE)</f>
        <v>張淑惠</v>
      </c>
    </row>
    <row r="10837" spans="6:19" hidden="1" x14ac:dyDescent="0.25">
      <c r="F10837" t="s">
        <v>605</v>
      </c>
      <c r="G10837" t="s">
        <v>401</v>
      </c>
      <c r="H10837" t="str">
        <f>VLOOKUP(record[[#This Row],[ProcessSN]],表格2_7[],2,FALSE)</f>
        <v>30-4118-018-550</v>
      </c>
      <c r="I10837" t="str">
        <f>VLOOKUP(record[[#This Row],[ProcessSN]],表格2_7[],3,FALSE)</f>
        <v>#100OQC</v>
      </c>
      <c r="J10837" t="s">
        <v>599</v>
      </c>
      <c r="K10837" s="195">
        <v>45652.564444444448</v>
      </c>
      <c r="L10837">
        <v>158</v>
      </c>
      <c r="M10837">
        <v>0</v>
      </c>
      <c r="N10837" s="98" t="str">
        <f>IF(record[[#This Row],[Memo]]="Browser:chrome os:android","平板報工",IF(record[[#This Row],[Memo]]=0,"委外",record[[#This Row],[Memo]]))</f>
        <v/>
      </c>
      <c r="O10837" t="s">
        <v>58</v>
      </c>
      <c r="P10837" t="s">
        <v>196</v>
      </c>
      <c r="Q10837" t="s">
        <v>58</v>
      </c>
      <c r="R10837" t="str">
        <f>IFERROR(VLOOKUP(record[[#This Row],[PCUSTID]],廠商[],2,FALSE),"")</f>
        <v/>
      </c>
      <c r="S10837" t="str">
        <f>VLOOKUP(record[[#This Row],[employeeID]],員工[],2,FALSE)</f>
        <v>張淑惠</v>
      </c>
    </row>
    <row r="10838" spans="6:19" hidden="1" x14ac:dyDescent="0.25">
      <c r="F10838" t="s">
        <v>605</v>
      </c>
      <c r="G10838" t="s">
        <v>400</v>
      </c>
      <c r="H10838" t="str">
        <f>VLOOKUP(record[[#This Row],[ProcessSN]],表格2_7[],2,FALSE)</f>
        <v>30-4118-018-550</v>
      </c>
      <c r="I10838" t="str">
        <f>VLOOKUP(record[[#This Row],[ProcessSN]],表格2_7[],3,FALSE)</f>
        <v>#100</v>
      </c>
      <c r="J10838" t="s">
        <v>598</v>
      </c>
      <c r="K10838" s="195">
        <v>45652.564189814817</v>
      </c>
      <c r="L10838">
        <v>158</v>
      </c>
      <c r="M10838">
        <v>0</v>
      </c>
      <c r="N10838" s="98" t="str">
        <f>IF(record[[#This Row],[Memo]]="Browser:chrome os:android","平板報工",IF(record[[#This Row],[Memo]]=0,"委外",record[[#This Row],[Memo]]))</f>
        <v/>
      </c>
      <c r="O10838" t="s">
        <v>58</v>
      </c>
      <c r="P10838" t="s">
        <v>196</v>
      </c>
      <c r="Q10838" t="s">
        <v>58</v>
      </c>
      <c r="R10838" t="str">
        <f>IFERROR(VLOOKUP(record[[#This Row],[PCUSTID]],廠商[],2,FALSE),"")</f>
        <v/>
      </c>
      <c r="S10838" t="str">
        <f>VLOOKUP(record[[#This Row],[employeeID]],員工[],2,FALSE)</f>
        <v>張淑惠</v>
      </c>
    </row>
    <row r="10839" spans="6:19" hidden="1" x14ac:dyDescent="0.25">
      <c r="F10839" t="s">
        <v>604</v>
      </c>
      <c r="G10839" t="s">
        <v>403</v>
      </c>
      <c r="H10839" t="str">
        <f>VLOOKUP(record[[#This Row],[ProcessSN]],表格2_7[],2,FALSE)</f>
        <v>30-4118-018-550</v>
      </c>
      <c r="I10839" t="str">
        <f>VLOOKUP(record[[#This Row],[ProcessSN]],表格2_7[],3,FALSE)</f>
        <v>#100SHIP</v>
      </c>
      <c r="J10839" t="s">
        <v>600</v>
      </c>
      <c r="K10839" s="195">
        <v>45652.563738425924</v>
      </c>
      <c r="L10839">
        <v>444</v>
      </c>
      <c r="M10839">
        <v>0</v>
      </c>
      <c r="N10839" s="98" t="str">
        <f>IF(record[[#This Row],[Memo]]="Browser:chrome os:android","平板報工",IF(record[[#This Row],[Memo]]=0,"委外",record[[#This Row],[Memo]]))</f>
        <v>補12/23出貨</v>
      </c>
      <c r="O10839" t="s">
        <v>645</v>
      </c>
      <c r="P10839" t="s">
        <v>196</v>
      </c>
      <c r="Q10839" t="s">
        <v>58</v>
      </c>
      <c r="R10839" t="str">
        <f>IFERROR(VLOOKUP(record[[#This Row],[PCUSTID]],廠商[],2,FALSE),"")</f>
        <v/>
      </c>
      <c r="S10839" t="str">
        <f>VLOOKUP(record[[#This Row],[employeeID]],員工[],2,FALSE)</f>
        <v>張淑惠</v>
      </c>
    </row>
    <row r="10840" spans="6:19" hidden="1" x14ac:dyDescent="0.25">
      <c r="F10840" t="s">
        <v>604</v>
      </c>
      <c r="G10840" t="s">
        <v>402</v>
      </c>
      <c r="H10840" t="str">
        <f>VLOOKUP(record[[#This Row],[ProcessSN]],表格2_7[],2,FALSE)</f>
        <v>30-4118-018-550</v>
      </c>
      <c r="I10840" t="str">
        <f>VLOOKUP(record[[#This Row],[ProcessSN]],表格2_7[],3,FALSE)</f>
        <v>#100STOCK</v>
      </c>
      <c r="J10840" t="s">
        <v>592</v>
      </c>
      <c r="K10840" s="195">
        <v>45652.563368055555</v>
      </c>
      <c r="L10840">
        <v>444</v>
      </c>
      <c r="M10840">
        <v>0</v>
      </c>
      <c r="N10840" s="98" t="str">
        <f>IF(record[[#This Row],[Memo]]="Browser:chrome os:android","平板報工",IF(record[[#This Row],[Memo]]=0,"委外",record[[#This Row],[Memo]]))</f>
        <v/>
      </c>
      <c r="O10840" t="s">
        <v>58</v>
      </c>
      <c r="P10840" t="s">
        <v>196</v>
      </c>
      <c r="Q10840" t="s">
        <v>58</v>
      </c>
      <c r="R10840" t="str">
        <f>IFERROR(VLOOKUP(record[[#This Row],[PCUSTID]],廠商[],2,FALSE),"")</f>
        <v/>
      </c>
      <c r="S10840" t="str">
        <f>VLOOKUP(record[[#This Row],[employeeID]],員工[],2,FALSE)</f>
        <v>張淑惠</v>
      </c>
    </row>
    <row r="10841" spans="6:19" hidden="1" x14ac:dyDescent="0.25">
      <c r="F10841" t="s">
        <v>604</v>
      </c>
      <c r="G10841" t="s">
        <v>401</v>
      </c>
      <c r="H10841" t="str">
        <f>VLOOKUP(record[[#This Row],[ProcessSN]],表格2_7[],2,FALSE)</f>
        <v>30-4118-018-550</v>
      </c>
      <c r="I10841" t="str">
        <f>VLOOKUP(record[[#This Row],[ProcessSN]],表格2_7[],3,FALSE)</f>
        <v>#100OQC</v>
      </c>
      <c r="J10841" t="s">
        <v>599</v>
      </c>
      <c r="K10841" s="195">
        <v>45652.563113425924</v>
      </c>
      <c r="L10841">
        <v>444</v>
      </c>
      <c r="M10841">
        <v>0</v>
      </c>
      <c r="N10841" s="98" t="str">
        <f>IF(record[[#This Row],[Memo]]="Browser:chrome os:android","平板報工",IF(record[[#This Row],[Memo]]=0,"委外",record[[#This Row],[Memo]]))</f>
        <v/>
      </c>
      <c r="O10841" t="s">
        <v>58</v>
      </c>
      <c r="P10841" t="s">
        <v>196</v>
      </c>
      <c r="Q10841" t="s">
        <v>58</v>
      </c>
      <c r="R10841" t="str">
        <f>IFERROR(VLOOKUP(record[[#This Row],[PCUSTID]],廠商[],2,FALSE),"")</f>
        <v/>
      </c>
      <c r="S10841" t="str">
        <f>VLOOKUP(record[[#This Row],[employeeID]],員工[],2,FALSE)</f>
        <v>張淑惠</v>
      </c>
    </row>
    <row r="10842" spans="6:19" hidden="1" x14ac:dyDescent="0.25">
      <c r="F10842" t="s">
        <v>604</v>
      </c>
      <c r="G10842" t="s">
        <v>400</v>
      </c>
      <c r="H10842" t="str">
        <f>VLOOKUP(record[[#This Row],[ProcessSN]],表格2_7[],2,FALSE)</f>
        <v>30-4118-018-550</v>
      </c>
      <c r="I10842" t="str">
        <f>VLOOKUP(record[[#This Row],[ProcessSN]],表格2_7[],3,FALSE)</f>
        <v>#100</v>
      </c>
      <c r="J10842" t="s">
        <v>598</v>
      </c>
      <c r="K10842" s="195">
        <v>45652.562893518516</v>
      </c>
      <c r="L10842">
        <v>444</v>
      </c>
      <c r="M10842">
        <v>28</v>
      </c>
      <c r="N10842" s="98" t="str">
        <f>IF(record[[#This Row],[Memo]]="Browser:chrome os:android","平板報工",IF(record[[#This Row],[Memo]]=0,"委外",record[[#This Row],[Memo]]))</f>
        <v>補12/20舊庫存檢包報工</v>
      </c>
      <c r="O10842" t="s">
        <v>646</v>
      </c>
      <c r="P10842" t="s">
        <v>196</v>
      </c>
      <c r="Q10842" t="s">
        <v>58</v>
      </c>
      <c r="R10842" t="str">
        <f>IFERROR(VLOOKUP(record[[#This Row],[PCUSTID]],廠商[],2,FALSE),"")</f>
        <v/>
      </c>
      <c r="S10842" t="str">
        <f>VLOOKUP(record[[#This Row],[employeeID]],員工[],2,FALSE)</f>
        <v>張淑惠</v>
      </c>
    </row>
    <row r="10843" spans="6:19" hidden="1" x14ac:dyDescent="0.25">
      <c r="F10843" t="s">
        <v>604</v>
      </c>
      <c r="G10843" t="s">
        <v>400</v>
      </c>
      <c r="H10843" t="str">
        <f>VLOOKUP(record[[#This Row],[ProcessSN]],表格2_7[],2,FALSE)</f>
        <v>30-4118-018-550</v>
      </c>
      <c r="I10843" t="str">
        <f>VLOOKUP(record[[#This Row],[ProcessSN]],表格2_7[],3,FALSE)</f>
        <v>#100</v>
      </c>
      <c r="J10843" t="s">
        <v>598</v>
      </c>
      <c r="K10843" s="195">
        <v>45652.562893518516</v>
      </c>
      <c r="L10843">
        <v>0</v>
      </c>
      <c r="M10843">
        <v>-26</v>
      </c>
      <c r="N10843" s="98" t="str">
        <f>IF(record[[#This Row],[Memo]]="Browser:chrome os:android","平板報工",IF(record[[#This Row],[Memo]]=0,"委外",record[[#This Row],[Memo]]))</f>
        <v>覆回品</v>
      </c>
      <c r="O10843" t="s">
        <v>664</v>
      </c>
      <c r="P10843" t="s">
        <v>65</v>
      </c>
      <c r="Q10843" t="s">
        <v>58</v>
      </c>
      <c r="R10843" t="str">
        <f>IFERROR(VLOOKUP(record[[#This Row],[PCUSTID]],廠商[],2,FALSE),"")</f>
        <v/>
      </c>
      <c r="S10843" t="str">
        <f>VLOOKUP(record[[#This Row],[employeeID]],員工[],2,FALSE)</f>
        <v>蘇進昌</v>
      </c>
    </row>
    <row r="10844" spans="6:19" hidden="1" x14ac:dyDescent="0.25">
      <c r="F10844" t="s">
        <v>614</v>
      </c>
      <c r="G10844" t="s">
        <v>403</v>
      </c>
      <c r="H10844" t="str">
        <f>VLOOKUP(record[[#This Row],[ProcessSN]],表格2_7[],2,FALSE)</f>
        <v>30-4118-018-550</v>
      </c>
      <c r="I10844" t="str">
        <f>VLOOKUP(record[[#This Row],[ProcessSN]],表格2_7[],3,FALSE)</f>
        <v>#100SHIP</v>
      </c>
      <c r="J10844" t="s">
        <v>600</v>
      </c>
      <c r="K10844" s="195">
        <v>45652.56150462963</v>
      </c>
      <c r="L10844">
        <v>2</v>
      </c>
      <c r="M10844">
        <v>0</v>
      </c>
      <c r="N10844" s="98" t="str">
        <f>IF(record[[#This Row],[Memo]]="Browser:chrome os:android","平板報工",IF(record[[#This Row],[Memo]]=0,"委外",record[[#This Row],[Memo]]))</f>
        <v>補12/23出貨</v>
      </c>
      <c r="O10844" t="s">
        <v>645</v>
      </c>
      <c r="P10844" t="s">
        <v>196</v>
      </c>
      <c r="Q10844" t="s">
        <v>58</v>
      </c>
      <c r="R10844" t="str">
        <f>IFERROR(VLOOKUP(record[[#This Row],[PCUSTID]],廠商[],2,FALSE),"")</f>
        <v/>
      </c>
      <c r="S10844" t="str">
        <f>VLOOKUP(record[[#This Row],[employeeID]],員工[],2,FALSE)</f>
        <v>張淑惠</v>
      </c>
    </row>
    <row r="10845" spans="6:19" hidden="1" x14ac:dyDescent="0.25">
      <c r="F10845" t="s">
        <v>609</v>
      </c>
      <c r="G10845" t="s">
        <v>403</v>
      </c>
      <c r="H10845" t="str">
        <f>VLOOKUP(record[[#This Row],[ProcessSN]],表格2_7[],2,FALSE)</f>
        <v>30-4118-018-550</v>
      </c>
      <c r="I10845" t="str">
        <f>VLOOKUP(record[[#This Row],[ProcessSN]],表格2_7[],3,FALSE)</f>
        <v>#100SHIP</v>
      </c>
      <c r="J10845" t="s">
        <v>600</v>
      </c>
      <c r="K10845" s="195">
        <v>45652.561215277776</v>
      </c>
      <c r="L10845">
        <v>1</v>
      </c>
      <c r="M10845">
        <v>0</v>
      </c>
      <c r="N10845" s="98" t="str">
        <f>IF(record[[#This Row],[Memo]]="Browser:chrome os:android","平板報工",IF(record[[#This Row],[Memo]]=0,"委外",record[[#This Row],[Memo]]))</f>
        <v>補12/23出貨</v>
      </c>
      <c r="O10845" t="s">
        <v>645</v>
      </c>
      <c r="P10845" t="s">
        <v>196</v>
      </c>
      <c r="Q10845" t="s">
        <v>58</v>
      </c>
      <c r="R10845" t="str">
        <f>IFERROR(VLOOKUP(record[[#This Row],[PCUSTID]],廠商[],2,FALSE),"")</f>
        <v/>
      </c>
      <c r="S10845" t="str">
        <f>VLOOKUP(record[[#This Row],[employeeID]],員工[],2,FALSE)</f>
        <v>張淑惠</v>
      </c>
    </row>
    <row r="10846" spans="6:19" hidden="1" x14ac:dyDescent="0.25">
      <c r="F10846" t="s">
        <v>608</v>
      </c>
      <c r="G10846" t="s">
        <v>403</v>
      </c>
      <c r="H10846" t="str">
        <f>VLOOKUP(record[[#This Row],[ProcessSN]],表格2_7[],2,FALSE)</f>
        <v>30-4118-018-550</v>
      </c>
      <c r="I10846" t="str">
        <f>VLOOKUP(record[[#This Row],[ProcessSN]],表格2_7[],3,FALSE)</f>
        <v>#100SHIP</v>
      </c>
      <c r="J10846" t="s">
        <v>600</v>
      </c>
      <c r="K10846" s="195">
        <v>45652.560960648145</v>
      </c>
      <c r="L10846">
        <v>1</v>
      </c>
      <c r="M10846">
        <v>0</v>
      </c>
      <c r="N10846" s="98" t="str">
        <f>IF(record[[#This Row],[Memo]]="Browser:chrome os:android","平板報工",IF(record[[#This Row],[Memo]]=0,"委外",record[[#This Row],[Memo]]))</f>
        <v>補12/23出貨</v>
      </c>
      <c r="O10846" t="s">
        <v>645</v>
      </c>
      <c r="P10846" t="s">
        <v>196</v>
      </c>
      <c r="Q10846" t="s">
        <v>58</v>
      </c>
      <c r="R10846" t="str">
        <f>IFERROR(VLOOKUP(record[[#This Row],[PCUSTID]],廠商[],2,FALSE),"")</f>
        <v/>
      </c>
      <c r="S10846" t="str">
        <f>VLOOKUP(record[[#This Row],[employeeID]],員工[],2,FALSE)</f>
        <v>張淑惠</v>
      </c>
    </row>
    <row r="10847" spans="6:19" hidden="1" x14ac:dyDescent="0.25">
      <c r="F10847" t="s">
        <v>607</v>
      </c>
      <c r="G10847" t="s">
        <v>403</v>
      </c>
      <c r="H10847" t="str">
        <f>VLOOKUP(record[[#This Row],[ProcessSN]],表格2_7[],2,FALSE)</f>
        <v>30-4118-018-550</v>
      </c>
      <c r="I10847" t="str">
        <f>VLOOKUP(record[[#This Row],[ProcessSN]],表格2_7[],3,FALSE)</f>
        <v>#100SHIP</v>
      </c>
      <c r="J10847" t="s">
        <v>600</v>
      </c>
      <c r="K10847" s="195">
        <v>45652.560046296298</v>
      </c>
      <c r="L10847">
        <v>3</v>
      </c>
      <c r="M10847">
        <v>0</v>
      </c>
      <c r="N10847" s="98" t="str">
        <f>IF(record[[#This Row],[Memo]]="Browser:chrome os:android","平板報工",IF(record[[#This Row],[Memo]]=0,"委外",record[[#This Row],[Memo]]))</f>
        <v>補12/23出貨</v>
      </c>
      <c r="O10847" t="s">
        <v>645</v>
      </c>
      <c r="P10847" t="s">
        <v>196</v>
      </c>
      <c r="Q10847" t="s">
        <v>58</v>
      </c>
      <c r="R10847" t="str">
        <f>IFERROR(VLOOKUP(record[[#This Row],[PCUSTID]],廠商[],2,FALSE),"")</f>
        <v/>
      </c>
      <c r="S10847" t="str">
        <f>VLOOKUP(record[[#This Row],[employeeID]],員工[],2,FALSE)</f>
        <v>張淑惠</v>
      </c>
    </row>
    <row r="10848" spans="6:19" hidden="1" x14ac:dyDescent="0.25">
      <c r="F10848" t="s">
        <v>609</v>
      </c>
      <c r="G10848" t="s">
        <v>400</v>
      </c>
      <c r="H10848" t="str">
        <f>VLOOKUP(record[[#This Row],[ProcessSN]],表格2_7[],2,FALSE)</f>
        <v>30-4118-018-550</v>
      </c>
      <c r="I10848" t="str">
        <f>VLOOKUP(record[[#This Row],[ProcessSN]],表格2_7[],3,FALSE)</f>
        <v>#100</v>
      </c>
      <c r="J10848" t="s">
        <v>598</v>
      </c>
      <c r="K10848" s="195">
        <v>45652.488576388889</v>
      </c>
      <c r="L10848">
        <v>126</v>
      </c>
      <c r="M10848">
        <v>3</v>
      </c>
      <c r="N10848" s="98" t="str">
        <f>IF(record[[#This Row],[Memo]]="Browser:chrome os:android","平板報工",IF(record[[#This Row],[Memo]]=0,"委外",record[[#This Row],[Memo]]))</f>
        <v>平板報工</v>
      </c>
      <c r="O10848" t="s">
        <v>643</v>
      </c>
      <c r="P10848" t="s">
        <v>141</v>
      </c>
      <c r="Q10848" t="s">
        <v>644</v>
      </c>
      <c r="R10848" t="str">
        <f>IFERROR(VLOOKUP(record[[#This Row],[PCUSTID]],廠商[],2,FALSE),"")</f>
        <v/>
      </c>
      <c r="S10848" t="str">
        <f>VLOOKUP(record[[#This Row],[employeeID]],員工[],2,FALSE)</f>
        <v>蔣梅</v>
      </c>
    </row>
    <row r="10849" spans="6:19" hidden="1" x14ac:dyDescent="0.25">
      <c r="F10849" t="s">
        <v>609</v>
      </c>
      <c r="G10849" t="s">
        <v>400</v>
      </c>
      <c r="H10849" t="str">
        <f>VLOOKUP(record[[#This Row],[ProcessSN]],表格2_7[],2,FALSE)</f>
        <v>30-4118-018-550</v>
      </c>
      <c r="I10849" t="str">
        <f>VLOOKUP(record[[#This Row],[ProcessSN]],表格2_7[],3,FALSE)</f>
        <v>#100</v>
      </c>
      <c r="J10849" t="s">
        <v>598</v>
      </c>
      <c r="K10849" s="195">
        <v>45652.488576388889</v>
      </c>
      <c r="L10849">
        <v>0</v>
      </c>
      <c r="M10849">
        <v>-2</v>
      </c>
      <c r="N10849" s="98" t="str">
        <f>IF(record[[#This Row],[Memo]]="Browser:chrome os:android","平板報工",IF(record[[#This Row],[Memo]]=0,"委外",record[[#This Row],[Memo]]))</f>
        <v>覆回品</v>
      </c>
      <c r="O10849" t="s">
        <v>664</v>
      </c>
      <c r="P10849" t="s">
        <v>65</v>
      </c>
      <c r="Q10849" t="s">
        <v>644</v>
      </c>
      <c r="R10849" t="str">
        <f>IFERROR(VLOOKUP(record[[#This Row],[PCUSTID]],廠商[],2,FALSE),"")</f>
        <v/>
      </c>
      <c r="S10849" t="str">
        <f>VLOOKUP(record[[#This Row],[employeeID]],員工[],2,FALSE)</f>
        <v>蘇進昌</v>
      </c>
    </row>
    <row r="10850" spans="6:19" hidden="1" x14ac:dyDescent="0.25">
      <c r="F10850" t="s">
        <v>581</v>
      </c>
      <c r="G10850" t="s">
        <v>469</v>
      </c>
      <c r="H10850" t="str">
        <f>VLOOKUP(record[[#This Row],[ProcessSN]],表格2_7[],2,FALSE)</f>
        <v>30-4118-018-XXX</v>
      </c>
      <c r="I10850" t="str">
        <f>VLOOKUP(record[[#This Row],[ProcessSN]],表格2_7[],3,FALSE)</f>
        <v>#02RCV</v>
      </c>
      <c r="J10850" t="s">
        <v>591</v>
      </c>
      <c r="K10850" s="195">
        <v>45652.451284722221</v>
      </c>
      <c r="L10850">
        <v>837</v>
      </c>
      <c r="M10850">
        <v>0</v>
      </c>
      <c r="N10850" s="98" t="str">
        <f>IF(record[[#This Row],[Memo]]="Browser:chrome os:android","平板報工",IF(record[[#This Row],[Memo]]=0,"委外",record[[#This Row],[Memo]]))</f>
        <v/>
      </c>
      <c r="O10850" t="s">
        <v>58</v>
      </c>
      <c r="P10850" t="s">
        <v>206</v>
      </c>
      <c r="Q10850" t="s">
        <v>58</v>
      </c>
      <c r="R10850" t="str">
        <f>IFERROR(VLOOKUP(record[[#This Row],[PCUSTID]],廠商[],2,FALSE),"")</f>
        <v/>
      </c>
      <c r="S10850" t="str">
        <f>VLOOKUP(record[[#This Row],[employeeID]],員工[],2,FALSE)</f>
        <v>曾婉筠</v>
      </c>
    </row>
    <row r="10851" spans="6:19" hidden="1" x14ac:dyDescent="0.25">
      <c r="F10851" t="s">
        <v>609</v>
      </c>
      <c r="G10851" t="s">
        <v>400</v>
      </c>
      <c r="H10851" t="str">
        <f>VLOOKUP(record[[#This Row],[ProcessSN]],表格2_7[],2,FALSE)</f>
        <v>30-4118-018-550</v>
      </c>
      <c r="I10851" t="str">
        <f>VLOOKUP(record[[#This Row],[ProcessSN]],表格2_7[],3,FALSE)</f>
        <v>#100</v>
      </c>
      <c r="J10851" t="s">
        <v>598</v>
      </c>
      <c r="K10851" s="195">
        <v>45652.339745370373</v>
      </c>
      <c r="L10851">
        <v>264</v>
      </c>
      <c r="M10851">
        <v>0</v>
      </c>
      <c r="N10851" s="98" t="str">
        <f>IF(record[[#This Row],[Memo]]="Browser:chrome os:android","平板報工",IF(record[[#This Row],[Memo]]=0,"委外",record[[#This Row],[Memo]]))</f>
        <v>平板報工</v>
      </c>
      <c r="O10851" t="s">
        <v>643</v>
      </c>
      <c r="P10851" t="s">
        <v>141</v>
      </c>
      <c r="Q10851" t="s">
        <v>644</v>
      </c>
      <c r="R10851" t="str">
        <f>IFERROR(VLOOKUP(record[[#This Row],[PCUSTID]],廠商[],2,FALSE),"")</f>
        <v/>
      </c>
      <c r="S10851" t="str">
        <f>VLOOKUP(record[[#This Row],[employeeID]],員工[],2,FALSE)</f>
        <v>蔣梅</v>
      </c>
    </row>
    <row r="10852" spans="6:19" hidden="1" x14ac:dyDescent="0.25">
      <c r="F10852" t="s">
        <v>642</v>
      </c>
      <c r="G10852" t="s">
        <v>413</v>
      </c>
      <c r="H10852" t="str">
        <f>VLOOKUP(record[[#This Row],[ProcessSN]],表格2_7[],2,FALSE)</f>
        <v>30-4118-018-5XX</v>
      </c>
      <c r="I10852" t="str">
        <f>VLOOKUP(record[[#This Row],[ProcessSN]],表格2_7[],3,FALSE)</f>
        <v>#03GIVE</v>
      </c>
      <c r="J10852" t="s">
        <v>587</v>
      </c>
      <c r="K10852" s="195">
        <v>45651.883796296293</v>
      </c>
      <c r="L10852">
        <v>840</v>
      </c>
      <c r="M10852">
        <v>0</v>
      </c>
      <c r="N10852" s="98" t="str">
        <f>IF(record[[#This Row],[Memo]]="Browser:chrome os:android","平板報工",IF(record[[#This Row],[Memo]]=0,"委外",record[[#This Row],[Memo]]))</f>
        <v/>
      </c>
      <c r="O10852" t="s">
        <v>58</v>
      </c>
      <c r="P10852" t="s">
        <v>113</v>
      </c>
      <c r="Q10852" t="s">
        <v>58</v>
      </c>
      <c r="R10852" t="str">
        <f>IFERROR(VLOOKUP(record[[#This Row],[PCUSTID]],廠商[],2,FALSE),"")</f>
        <v/>
      </c>
      <c r="S10852" t="str">
        <f>VLOOKUP(record[[#This Row],[employeeID]],員工[],2,FALSE)</f>
        <v>王奕蓁</v>
      </c>
    </row>
    <row r="10853" spans="6:19" hidden="1" x14ac:dyDescent="0.25">
      <c r="F10853" t="s">
        <v>642</v>
      </c>
      <c r="G10853" t="s">
        <v>412</v>
      </c>
      <c r="H10853" t="str">
        <f>VLOOKUP(record[[#This Row],[ProcessSN]],表格2_7[],2,FALSE)</f>
        <v>30-4118-018-5XX</v>
      </c>
      <c r="I10853" t="str">
        <f>VLOOKUP(record[[#This Row],[ProcessSN]],表格2_7[],3,FALSE)</f>
        <v>#03PICK</v>
      </c>
      <c r="J10853" t="s">
        <v>582</v>
      </c>
      <c r="K10853" s="195">
        <v>45651.883587962962</v>
      </c>
      <c r="L10853">
        <v>840</v>
      </c>
      <c r="M10853">
        <v>0</v>
      </c>
      <c r="N10853" s="98" t="str">
        <f>IF(record[[#This Row],[Memo]]="Browser:chrome os:android","平板報工",IF(record[[#This Row],[Memo]]=0,"委外",record[[#This Row],[Memo]]))</f>
        <v/>
      </c>
      <c r="O10853" t="s">
        <v>58</v>
      </c>
      <c r="P10853" t="s">
        <v>113</v>
      </c>
      <c r="Q10853" t="s">
        <v>58</v>
      </c>
      <c r="R10853" t="str">
        <f>IFERROR(VLOOKUP(record[[#This Row],[PCUSTID]],廠商[],2,FALSE),"")</f>
        <v/>
      </c>
      <c r="S10853" t="str">
        <f>VLOOKUP(record[[#This Row],[employeeID]],員工[],2,FALSE)</f>
        <v>王奕蓁</v>
      </c>
    </row>
    <row r="10854" spans="6:19" hidden="1" x14ac:dyDescent="0.25">
      <c r="F10854" t="s">
        <v>581</v>
      </c>
      <c r="G10854" t="s">
        <v>471</v>
      </c>
      <c r="H10854" t="str">
        <f>VLOOKUP(record[[#This Row],[ProcessSN]],表格2_7[],2,FALSE)</f>
        <v>30-4118-018-XXX</v>
      </c>
      <c r="I10854" t="str">
        <f>VLOOKUP(record[[#This Row],[ProcessSN]],表格2_7[],3,FALSE)</f>
        <v>#02STOCK</v>
      </c>
      <c r="J10854" t="s">
        <v>592</v>
      </c>
      <c r="K10854" s="195">
        <v>45651.883449074077</v>
      </c>
      <c r="L10854">
        <v>840</v>
      </c>
      <c r="M10854">
        <v>0</v>
      </c>
      <c r="N10854" s="98" t="str">
        <f>IF(record[[#This Row],[Memo]]="Browser:chrome os:android","平板報工",IF(record[[#This Row],[Memo]]=0,"委外",record[[#This Row],[Memo]]))</f>
        <v/>
      </c>
      <c r="O10854" t="s">
        <v>58</v>
      </c>
      <c r="P10854" t="s">
        <v>113</v>
      </c>
      <c r="Q10854" t="s">
        <v>58</v>
      </c>
      <c r="R10854" t="str">
        <f>IFERROR(VLOOKUP(record[[#This Row],[PCUSTID]],廠商[],2,FALSE),"")</f>
        <v/>
      </c>
      <c r="S10854" t="str">
        <f>VLOOKUP(record[[#This Row],[employeeID]],員工[],2,FALSE)</f>
        <v>王奕蓁</v>
      </c>
    </row>
    <row r="10855" spans="6:19" hidden="1" x14ac:dyDescent="0.25">
      <c r="F10855" t="s">
        <v>581</v>
      </c>
      <c r="G10855" t="s">
        <v>470</v>
      </c>
      <c r="H10855" t="str">
        <f>VLOOKUP(record[[#This Row],[ProcessSN]],表格2_7[],2,FALSE)</f>
        <v>30-4118-018-XXX</v>
      </c>
      <c r="I10855" t="str">
        <f>VLOOKUP(record[[#This Row],[ProcessSN]],表格2_7[],3,FALSE)</f>
        <v>#02IQC</v>
      </c>
      <c r="J10855" t="s">
        <v>583</v>
      </c>
      <c r="K10855" s="195">
        <v>45651.612847222219</v>
      </c>
      <c r="L10855">
        <v>504</v>
      </c>
      <c r="M10855">
        <v>0</v>
      </c>
      <c r="N10855" s="98" t="str">
        <f>IF(record[[#This Row],[Memo]]="Browser:chrome os:android","平板報工",IF(record[[#This Row],[Memo]]=0,"委外",record[[#This Row],[Memo]]))</f>
        <v/>
      </c>
      <c r="O10855" t="s">
        <v>58</v>
      </c>
      <c r="P10855" t="s">
        <v>143</v>
      </c>
      <c r="Q10855" t="s">
        <v>58</v>
      </c>
      <c r="R10855" t="str">
        <f>IFERROR(VLOOKUP(record[[#This Row],[PCUSTID]],廠商[],2,FALSE),"")</f>
        <v/>
      </c>
      <c r="S10855" t="str">
        <f>VLOOKUP(record[[#This Row],[employeeID]],員工[],2,FALSE)</f>
        <v>潘佳琪</v>
      </c>
    </row>
    <row r="10856" spans="6:19" hidden="1" x14ac:dyDescent="0.25">
      <c r="F10856" t="s">
        <v>581</v>
      </c>
      <c r="G10856" t="s">
        <v>469</v>
      </c>
      <c r="H10856" t="str">
        <f>VLOOKUP(record[[#This Row],[ProcessSN]],表格2_7[],2,FALSE)</f>
        <v>30-4118-018-XXX</v>
      </c>
      <c r="I10856" t="str">
        <f>VLOOKUP(record[[#This Row],[ProcessSN]],表格2_7[],3,FALSE)</f>
        <v>#02RCV</v>
      </c>
      <c r="J10856" t="s">
        <v>591</v>
      </c>
      <c r="K10856" s="195">
        <v>45651.563761574071</v>
      </c>
      <c r="L10856">
        <v>504</v>
      </c>
      <c r="M10856">
        <v>0</v>
      </c>
      <c r="N10856" s="98" t="str">
        <f>IF(record[[#This Row],[Memo]]="Browser:chrome os:android","平板報工",IF(record[[#This Row],[Memo]]=0,"委外",record[[#This Row],[Memo]]))</f>
        <v/>
      </c>
      <c r="O10856" t="s">
        <v>58</v>
      </c>
      <c r="P10856" t="s">
        <v>206</v>
      </c>
      <c r="Q10856" t="s">
        <v>58</v>
      </c>
      <c r="R10856" t="str">
        <f>IFERROR(VLOOKUP(record[[#This Row],[PCUSTID]],廠商[],2,FALSE),"")</f>
        <v/>
      </c>
      <c r="S10856" t="str">
        <f>VLOOKUP(record[[#This Row],[employeeID]],員工[],2,FALSE)</f>
        <v>曾婉筠</v>
      </c>
    </row>
    <row r="10857" spans="6:19" hidden="1" x14ac:dyDescent="0.25">
      <c r="F10857" t="s">
        <v>581</v>
      </c>
      <c r="G10857" t="s">
        <v>470</v>
      </c>
      <c r="H10857" t="str">
        <f>VLOOKUP(record[[#This Row],[ProcessSN]],表格2_7[],2,FALSE)</f>
        <v>30-4118-018-XXX</v>
      </c>
      <c r="I10857" t="str">
        <f>VLOOKUP(record[[#This Row],[ProcessSN]],表格2_7[],3,FALSE)</f>
        <v>#02IQC</v>
      </c>
      <c r="J10857" t="s">
        <v>583</v>
      </c>
      <c r="K10857" s="195">
        <v>45650.644444444442</v>
      </c>
      <c r="L10857">
        <v>336</v>
      </c>
      <c r="M10857">
        <v>0</v>
      </c>
      <c r="N10857" s="98" t="str">
        <f>IF(record[[#This Row],[Memo]]="Browser:chrome os:android","平板報工",IF(record[[#This Row],[Memo]]=0,"委外",record[[#This Row],[Memo]]))</f>
        <v/>
      </c>
      <c r="O10857" t="s">
        <v>58</v>
      </c>
      <c r="P10857" t="s">
        <v>190</v>
      </c>
      <c r="Q10857" t="s">
        <v>58</v>
      </c>
      <c r="R10857" t="str">
        <f>IFERROR(VLOOKUP(record[[#This Row],[PCUSTID]],廠商[],2,FALSE),"")</f>
        <v/>
      </c>
      <c r="S10857" t="str">
        <f>VLOOKUP(record[[#This Row],[employeeID]],員工[],2,FALSE)</f>
        <v>陳雅娟</v>
      </c>
    </row>
    <row r="10858" spans="6:19" hidden="1" x14ac:dyDescent="0.25">
      <c r="F10858" t="s">
        <v>581</v>
      </c>
      <c r="G10858" t="s">
        <v>469</v>
      </c>
      <c r="H10858" t="str">
        <f>VLOOKUP(record[[#This Row],[ProcessSN]],表格2_7[],2,FALSE)</f>
        <v>30-4118-018-XXX</v>
      </c>
      <c r="I10858" t="str">
        <f>VLOOKUP(record[[#This Row],[ProcessSN]],表格2_7[],3,FALSE)</f>
        <v>#02RCV</v>
      </c>
      <c r="J10858" t="s">
        <v>591</v>
      </c>
      <c r="K10858" s="195">
        <v>45650.461122685185</v>
      </c>
      <c r="L10858">
        <v>336</v>
      </c>
      <c r="M10858">
        <v>0</v>
      </c>
      <c r="N10858" s="98" t="str">
        <f>IF(record[[#This Row],[Memo]]="Browser:chrome os:android","平板報工",IF(record[[#This Row],[Memo]]=0,"委外",record[[#This Row],[Memo]]))</f>
        <v/>
      </c>
      <c r="O10858" t="s">
        <v>58</v>
      </c>
      <c r="P10858" t="s">
        <v>113</v>
      </c>
      <c r="Q10858" t="s">
        <v>58</v>
      </c>
      <c r="R10858" t="str">
        <f>IFERROR(VLOOKUP(record[[#This Row],[PCUSTID]],廠商[],2,FALSE),"")</f>
        <v/>
      </c>
      <c r="S10858" t="str">
        <f>VLOOKUP(record[[#This Row],[employeeID]],員工[],2,FALSE)</f>
        <v>王奕蓁</v>
      </c>
    </row>
    <row r="10859" spans="6:19" hidden="1" x14ac:dyDescent="0.25">
      <c r="F10859" t="s">
        <v>581</v>
      </c>
      <c r="G10859" t="s">
        <v>468</v>
      </c>
      <c r="H10859" t="str">
        <f>VLOOKUP(record[[#This Row],[ProcessSN]],表格2_7[],2,FALSE)</f>
        <v>30-4118-018-XXX</v>
      </c>
      <c r="I10859" t="str">
        <f>VLOOKUP(record[[#This Row],[ProcessSN]],表格2_7[],3,FALSE)</f>
        <v>#02</v>
      </c>
      <c r="J10859" t="s">
        <v>590</v>
      </c>
      <c r="K10859" s="195">
        <v>45650.456134259257</v>
      </c>
      <c r="L10859">
        <v>558</v>
      </c>
      <c r="M10859">
        <v>0</v>
      </c>
      <c r="N10859" s="98" t="str">
        <f>IF(record[[#This Row],[Memo]]="Browser:chrome os:android","平板報工",IF(record[[#This Row],[Memo]]=0,"委外",record[[#This Row],[Memo]]))</f>
        <v/>
      </c>
      <c r="O10859" t="s">
        <v>58</v>
      </c>
      <c r="P10859" t="s">
        <v>113</v>
      </c>
      <c r="Q10859" t="s">
        <v>58</v>
      </c>
      <c r="R10859" t="str">
        <f>IFERROR(VLOOKUP(record[[#This Row],[PCUSTID]],廠商[],2,FALSE),"")</f>
        <v/>
      </c>
      <c r="S10859" t="str">
        <f>VLOOKUP(record[[#This Row],[employeeID]],員工[],2,FALSE)</f>
        <v>王奕蓁</v>
      </c>
    </row>
    <row r="10860" spans="6:19" hidden="1" x14ac:dyDescent="0.25">
      <c r="F10860" t="s">
        <v>581</v>
      </c>
      <c r="G10860" t="s">
        <v>468</v>
      </c>
      <c r="H10860" t="str">
        <f>VLOOKUP(record[[#This Row],[ProcessSN]],表格2_7[],2,FALSE)</f>
        <v>30-4118-018-XXX</v>
      </c>
      <c r="I10860" t="str">
        <f>VLOOKUP(record[[#This Row],[ProcessSN]],表格2_7[],3,FALSE)</f>
        <v>#02</v>
      </c>
      <c r="J10860" t="s">
        <v>590</v>
      </c>
      <c r="K10860" s="195">
        <v>45650.44908564815</v>
      </c>
      <c r="L10860">
        <v>1509</v>
      </c>
      <c r="M10860">
        <v>0</v>
      </c>
      <c r="N10860" s="98" t="str">
        <f>IF(record[[#This Row],[Memo]]="Browser:chrome os:android","平板報工",IF(record[[#This Row],[Memo]]=0,"委外",record[[#This Row],[Memo]]))</f>
        <v/>
      </c>
      <c r="O10860" t="s">
        <v>58</v>
      </c>
      <c r="P10860" t="s">
        <v>125</v>
      </c>
      <c r="Q10860" t="s">
        <v>58</v>
      </c>
      <c r="R10860" t="str">
        <f>IFERROR(VLOOKUP(record[[#This Row],[PCUSTID]],廠商[],2,FALSE),"")</f>
        <v/>
      </c>
      <c r="S10860" t="str">
        <f>VLOOKUP(record[[#This Row],[employeeID]],員工[],2,FALSE)</f>
        <v>黃瓈巧</v>
      </c>
    </row>
    <row r="10861" spans="6:19" hidden="1" x14ac:dyDescent="0.25">
      <c r="F10861" t="s">
        <v>581</v>
      </c>
      <c r="G10861" t="s">
        <v>467</v>
      </c>
      <c r="H10861" t="str">
        <f>VLOOKUP(record[[#This Row],[ProcessSN]],表格2_7[],2,FALSE)</f>
        <v>30-4118-018-XXX</v>
      </c>
      <c r="I10861" t="str">
        <f>VLOOKUP(record[[#This Row],[ProcessSN]],表格2_7[],3,FALSE)</f>
        <v>#01QC</v>
      </c>
      <c r="J10861" t="s">
        <v>589</v>
      </c>
      <c r="K10861" s="195">
        <v>45650.447870370372</v>
      </c>
      <c r="L10861">
        <v>1509</v>
      </c>
      <c r="M10861">
        <v>0</v>
      </c>
      <c r="N10861" s="98" t="str">
        <f>IF(record[[#This Row],[Memo]]="Browser:chrome os:android","平板報工",IF(record[[#This Row],[Memo]]=0,"委外",record[[#This Row],[Memo]]))</f>
        <v/>
      </c>
      <c r="O10861" t="s">
        <v>58</v>
      </c>
      <c r="P10861" t="s">
        <v>125</v>
      </c>
      <c r="Q10861" t="s">
        <v>58</v>
      </c>
      <c r="R10861" t="str">
        <f>IFERROR(VLOOKUP(record[[#This Row],[PCUSTID]],廠商[],2,FALSE),"")</f>
        <v/>
      </c>
      <c r="S10861" t="str">
        <f>VLOOKUP(record[[#This Row],[employeeID]],員工[],2,FALSE)</f>
        <v>黃瓈巧</v>
      </c>
    </row>
    <row r="10862" spans="6:19" hidden="1" x14ac:dyDescent="0.25">
      <c r="F10862" t="s">
        <v>581</v>
      </c>
      <c r="G10862" t="s">
        <v>467</v>
      </c>
      <c r="H10862" t="str">
        <f>VLOOKUP(record[[#This Row],[ProcessSN]],表格2_7[],2,FALSE)</f>
        <v>30-4118-018-XXX</v>
      </c>
      <c r="I10862" t="str">
        <f>VLOOKUP(record[[#This Row],[ProcessSN]],表格2_7[],3,FALSE)</f>
        <v>#01QC</v>
      </c>
      <c r="J10862" t="s">
        <v>589</v>
      </c>
      <c r="K10862" s="195">
        <v>45650.39534722222</v>
      </c>
      <c r="L10862">
        <v>558</v>
      </c>
      <c r="M10862">
        <v>0</v>
      </c>
      <c r="N10862" s="98" t="str">
        <f>IF(record[[#This Row],[Memo]]="Browser:chrome os:android","平板報工",IF(record[[#This Row],[Memo]]=0,"委外",record[[#This Row],[Memo]]))</f>
        <v/>
      </c>
      <c r="O10862" t="s">
        <v>58</v>
      </c>
      <c r="P10862" t="s">
        <v>182</v>
      </c>
      <c r="Q10862" t="s">
        <v>58</v>
      </c>
      <c r="R10862" t="str">
        <f>IFERROR(VLOOKUP(record[[#This Row],[PCUSTID]],廠商[],2,FALSE),"")</f>
        <v/>
      </c>
      <c r="S10862" t="str">
        <f>VLOOKUP(record[[#This Row],[employeeID]],員工[],2,FALSE)</f>
        <v>梅氏和</v>
      </c>
    </row>
    <row r="10863" spans="6:19" hidden="1" x14ac:dyDescent="0.25">
      <c r="F10863" t="s">
        <v>581</v>
      </c>
      <c r="G10863" t="s">
        <v>466</v>
      </c>
      <c r="H10863" t="str">
        <f>VLOOKUP(record[[#This Row],[ProcessSN]],表格2_7[],2,FALSE)</f>
        <v>30-4118-018-XXX</v>
      </c>
      <c r="I10863" t="str">
        <f>VLOOKUP(record[[#This Row],[ProcessSN]],表格2_7[],3,FALSE)</f>
        <v>#01-2</v>
      </c>
      <c r="J10863" t="s">
        <v>588</v>
      </c>
      <c r="K10863" s="195">
        <v>45649.694074074076</v>
      </c>
      <c r="L10863">
        <v>437</v>
      </c>
      <c r="M10863">
        <v>0</v>
      </c>
      <c r="N10863" s="98" t="str">
        <f>IF(record[[#This Row],[Memo]]="Browser:chrome os:android","平板報工",IF(record[[#This Row],[Memo]]=0,"委外",record[[#This Row],[Memo]]))</f>
        <v>12/20-晚</v>
      </c>
      <c r="O10863" t="s">
        <v>639</v>
      </c>
      <c r="P10863" t="s">
        <v>202</v>
      </c>
      <c r="Q10863" t="s">
        <v>58</v>
      </c>
      <c r="R10863" t="str">
        <f>IFERROR(VLOOKUP(record[[#This Row],[PCUSTID]],廠商[],2,FALSE),"")</f>
        <v/>
      </c>
      <c r="S10863" t="str">
        <f>VLOOKUP(record[[#This Row],[employeeID]],員工[],2,FALSE)</f>
        <v>游惠茹</v>
      </c>
    </row>
    <row r="10864" spans="6:19" hidden="1" x14ac:dyDescent="0.25">
      <c r="F10864" t="s">
        <v>581</v>
      </c>
      <c r="G10864" t="s">
        <v>466</v>
      </c>
      <c r="H10864" t="str">
        <f>VLOOKUP(record[[#This Row],[ProcessSN]],表格2_7[],2,FALSE)</f>
        <v>30-4118-018-XXX</v>
      </c>
      <c r="I10864" t="str">
        <f>VLOOKUP(record[[#This Row],[ProcessSN]],表格2_7[],3,FALSE)</f>
        <v>#01-2</v>
      </c>
      <c r="J10864" t="s">
        <v>588</v>
      </c>
      <c r="K10864" s="195">
        <v>45649.693761574075</v>
      </c>
      <c r="L10864">
        <v>556</v>
      </c>
      <c r="M10864">
        <v>1</v>
      </c>
      <c r="N10864" s="98" t="str">
        <f>IF(record[[#This Row],[Memo]]="Browser:chrome os:android","平板報工",IF(record[[#This Row],[Memo]]=0,"委外",record[[#This Row],[Memo]]))</f>
        <v>12/20-中</v>
      </c>
      <c r="O10864" t="s">
        <v>638</v>
      </c>
      <c r="P10864" t="s">
        <v>202</v>
      </c>
      <c r="Q10864" t="s">
        <v>58</v>
      </c>
      <c r="R10864" t="str">
        <f>IFERROR(VLOOKUP(record[[#This Row],[PCUSTID]],廠商[],2,FALSE),"")</f>
        <v/>
      </c>
      <c r="S10864" t="str">
        <f>VLOOKUP(record[[#This Row],[employeeID]],員工[],2,FALSE)</f>
        <v>游惠茹</v>
      </c>
    </row>
    <row r="10865" spans="6:19" hidden="1" x14ac:dyDescent="0.25">
      <c r="F10865" t="s">
        <v>581</v>
      </c>
      <c r="G10865" t="s">
        <v>466</v>
      </c>
      <c r="H10865" t="str">
        <f>VLOOKUP(record[[#This Row],[ProcessSN]],表格2_7[],2,FALSE)</f>
        <v>30-4118-018-XXX</v>
      </c>
      <c r="I10865" t="str">
        <f>VLOOKUP(record[[#This Row],[ProcessSN]],表格2_7[],3,FALSE)</f>
        <v>#01-2</v>
      </c>
      <c r="J10865" t="s">
        <v>588</v>
      </c>
      <c r="K10865" s="195">
        <v>45649.693541666667</v>
      </c>
      <c r="L10865">
        <v>540</v>
      </c>
      <c r="M10865">
        <v>0</v>
      </c>
      <c r="N10865" s="98" t="str">
        <f>IF(record[[#This Row],[Memo]]="Browser:chrome os:android","平板報工",IF(record[[#This Row],[Memo]]=0,"委外",record[[#This Row],[Memo]]))</f>
        <v>12/20-早</v>
      </c>
      <c r="O10865" t="s">
        <v>636</v>
      </c>
      <c r="P10865" t="s">
        <v>202</v>
      </c>
      <c r="Q10865" t="s">
        <v>58</v>
      </c>
      <c r="R10865" t="str">
        <f>IFERROR(VLOOKUP(record[[#This Row],[PCUSTID]],廠商[],2,FALSE),"")</f>
        <v/>
      </c>
      <c r="S10865" t="str">
        <f>VLOOKUP(record[[#This Row],[employeeID]],員工[],2,FALSE)</f>
        <v>游惠茹</v>
      </c>
    </row>
    <row r="10866" spans="6:19" hidden="1" x14ac:dyDescent="0.25">
      <c r="F10866" t="s">
        <v>581</v>
      </c>
      <c r="G10866" t="s">
        <v>465</v>
      </c>
      <c r="H10866" t="str">
        <f>VLOOKUP(record[[#This Row],[ProcessSN]],表格2_7[],2,FALSE)</f>
        <v>30-4118-018-XXX</v>
      </c>
      <c r="I10866" t="str">
        <f>VLOOKUP(record[[#This Row],[ProcessSN]],表格2_7[],3,FALSE)</f>
        <v>#01-1</v>
      </c>
      <c r="J10866" t="s">
        <v>588</v>
      </c>
      <c r="K10866" s="195">
        <v>45649.693101851852</v>
      </c>
      <c r="L10866">
        <v>437</v>
      </c>
      <c r="M10866">
        <v>0</v>
      </c>
      <c r="N10866" s="98" t="str">
        <f>IF(record[[#This Row],[Memo]]="Browser:chrome os:android","平板報工",IF(record[[#This Row],[Memo]]=0,"委外",record[[#This Row],[Memo]]))</f>
        <v>12/20-晚</v>
      </c>
      <c r="O10866" t="s">
        <v>639</v>
      </c>
      <c r="P10866" t="s">
        <v>202</v>
      </c>
      <c r="Q10866" t="s">
        <v>58</v>
      </c>
      <c r="R10866" t="str">
        <f>IFERROR(VLOOKUP(record[[#This Row],[PCUSTID]],廠商[],2,FALSE),"")</f>
        <v/>
      </c>
      <c r="S10866" t="str">
        <f>VLOOKUP(record[[#This Row],[employeeID]],員工[],2,FALSE)</f>
        <v>游惠茹</v>
      </c>
    </row>
    <row r="10867" spans="6:19" hidden="1" x14ac:dyDescent="0.25">
      <c r="F10867" t="s">
        <v>581</v>
      </c>
      <c r="G10867" t="s">
        <v>465</v>
      </c>
      <c r="H10867" t="str">
        <f>VLOOKUP(record[[#This Row],[ProcessSN]],表格2_7[],2,FALSE)</f>
        <v>30-4118-018-XXX</v>
      </c>
      <c r="I10867" t="str">
        <f>VLOOKUP(record[[#This Row],[ProcessSN]],表格2_7[],3,FALSE)</f>
        <v>#01-1</v>
      </c>
      <c r="J10867" t="s">
        <v>588</v>
      </c>
      <c r="K10867" s="195">
        <v>45649.692418981482</v>
      </c>
      <c r="L10867">
        <v>557</v>
      </c>
      <c r="M10867">
        <v>0</v>
      </c>
      <c r="N10867" s="98" t="str">
        <f>IF(record[[#This Row],[Memo]]="Browser:chrome os:android","平板報工",IF(record[[#This Row],[Memo]]=0,"委外",record[[#This Row],[Memo]]))</f>
        <v>12/20-中</v>
      </c>
      <c r="O10867" t="s">
        <v>638</v>
      </c>
      <c r="P10867" t="s">
        <v>202</v>
      </c>
      <c r="Q10867" t="s">
        <v>58</v>
      </c>
      <c r="R10867" t="str">
        <f>IFERROR(VLOOKUP(record[[#This Row],[PCUSTID]],廠商[],2,FALSE),"")</f>
        <v/>
      </c>
      <c r="S10867" t="str">
        <f>VLOOKUP(record[[#This Row],[employeeID]],員工[],2,FALSE)</f>
        <v>游惠茹</v>
      </c>
    </row>
    <row r="10868" spans="6:19" hidden="1" x14ac:dyDescent="0.25">
      <c r="F10868" t="s">
        <v>581</v>
      </c>
      <c r="G10868" t="s">
        <v>465</v>
      </c>
      <c r="H10868" t="str">
        <f>VLOOKUP(record[[#This Row],[ProcessSN]],表格2_7[],2,FALSE)</f>
        <v>30-4118-018-XXX</v>
      </c>
      <c r="I10868" t="str">
        <f>VLOOKUP(record[[#This Row],[ProcessSN]],表格2_7[],3,FALSE)</f>
        <v>#01-1</v>
      </c>
      <c r="J10868" t="s">
        <v>588</v>
      </c>
      <c r="K10868" s="195">
        <v>45649.692129629628</v>
      </c>
      <c r="L10868">
        <v>540</v>
      </c>
      <c r="M10868">
        <v>2</v>
      </c>
      <c r="N10868" s="98" t="str">
        <f>IF(record[[#This Row],[Memo]]="Browser:chrome os:android","平板報工",IF(record[[#This Row],[Memo]]=0,"委外",record[[#This Row],[Memo]]))</f>
        <v>12/20-早</v>
      </c>
      <c r="O10868" t="s">
        <v>636</v>
      </c>
      <c r="P10868" t="s">
        <v>202</v>
      </c>
      <c r="Q10868" t="s">
        <v>58</v>
      </c>
      <c r="R10868" t="str">
        <f>IFERROR(VLOOKUP(record[[#This Row],[PCUSTID]],廠商[],2,FALSE),"")</f>
        <v/>
      </c>
      <c r="S10868" t="str">
        <f>VLOOKUP(record[[#This Row],[employeeID]],員工[],2,FALSE)</f>
        <v>游惠茹</v>
      </c>
    </row>
    <row r="10869" spans="6:19" hidden="1" x14ac:dyDescent="0.25">
      <c r="F10869" t="s">
        <v>595</v>
      </c>
      <c r="G10869" t="s">
        <v>448</v>
      </c>
      <c r="H10869" t="str">
        <f>VLOOKUP(record[[#This Row],[ProcessSN]],表格2_7[],2,FALSE)</f>
        <v>30-4118-018-6XX</v>
      </c>
      <c r="I10869" t="str">
        <f>VLOOKUP(record[[#This Row],[ProcessSN]],表格2_7[],3,FALSE)</f>
        <v>#04</v>
      </c>
      <c r="J10869" t="s">
        <v>588</v>
      </c>
      <c r="K10869" s="195">
        <v>45649.690370370372</v>
      </c>
      <c r="L10869">
        <v>17</v>
      </c>
      <c r="M10869">
        <v>0</v>
      </c>
      <c r="N10869" s="98" t="str">
        <f>IF(record[[#This Row],[Memo]]="Browser:chrome os:android","平板報工",IF(record[[#This Row],[Memo]]=0,"委外",record[[#This Row],[Memo]]))</f>
        <v>多報工*4，12/20-早</v>
      </c>
      <c r="O10869" t="s">
        <v>637</v>
      </c>
      <c r="P10869" t="s">
        <v>202</v>
      </c>
      <c r="Q10869" t="s">
        <v>58</v>
      </c>
      <c r="R10869" t="str">
        <f>IFERROR(VLOOKUP(record[[#This Row],[PCUSTID]],廠商[],2,FALSE),"")</f>
        <v/>
      </c>
      <c r="S10869" t="str">
        <f>VLOOKUP(record[[#This Row],[employeeID]],員工[],2,FALSE)</f>
        <v>游惠茹</v>
      </c>
    </row>
    <row r="10870" spans="6:19" hidden="1" x14ac:dyDescent="0.25">
      <c r="F10870" t="s">
        <v>586</v>
      </c>
      <c r="G10870" t="s">
        <v>376</v>
      </c>
      <c r="H10870" t="str">
        <f>VLOOKUP(record[[#This Row],[ProcessSN]],表格2_7[],2,FALSE)</f>
        <v>30-4118-018-4XX</v>
      </c>
      <c r="I10870" t="str">
        <f>VLOOKUP(record[[#This Row],[ProcessSN]],表格2_7[],3,FALSE)</f>
        <v>#06</v>
      </c>
      <c r="J10870" t="s">
        <v>593</v>
      </c>
      <c r="K10870" s="195">
        <v>45649.682812500003</v>
      </c>
      <c r="L10870">
        <v>58</v>
      </c>
      <c r="M10870">
        <v>0</v>
      </c>
      <c r="N10870" s="98" t="str">
        <f>IF(record[[#This Row],[Memo]]="Browser:chrome os:android","平板報工",IF(record[[#This Row],[Memo]]=0,"委外",record[[#This Row],[Memo]]))</f>
        <v>12/20-早</v>
      </c>
      <c r="O10870" t="s">
        <v>636</v>
      </c>
      <c r="P10870" t="s">
        <v>202</v>
      </c>
      <c r="Q10870" t="s">
        <v>58</v>
      </c>
      <c r="R10870" t="str">
        <f>IFERROR(VLOOKUP(record[[#This Row],[PCUSTID]],廠商[],2,FALSE),"")</f>
        <v/>
      </c>
      <c r="S10870" t="str">
        <f>VLOOKUP(record[[#This Row],[employeeID]],員工[],2,FALSE)</f>
        <v>游惠茹</v>
      </c>
    </row>
    <row r="10871" spans="6:19" hidden="1" x14ac:dyDescent="0.25">
      <c r="F10871" t="s">
        <v>581</v>
      </c>
      <c r="G10871" t="s">
        <v>466</v>
      </c>
      <c r="H10871" t="str">
        <f>VLOOKUP(record[[#This Row],[ProcessSN]],表格2_7[],2,FALSE)</f>
        <v>30-4118-018-XXX</v>
      </c>
      <c r="I10871" t="str">
        <f>VLOOKUP(record[[#This Row],[ProcessSN]],表格2_7[],3,FALSE)</f>
        <v>#01-2</v>
      </c>
      <c r="J10871" t="s">
        <v>588</v>
      </c>
      <c r="K10871" s="195">
        <v>45649.653912037036</v>
      </c>
      <c r="L10871">
        <v>534</v>
      </c>
      <c r="M10871">
        <v>0</v>
      </c>
      <c r="N10871" s="98" t="str">
        <f>IF(record[[#This Row],[Memo]]="Browser:chrome os:android","平板報工",IF(record[[#This Row],[Memo]]=0,"委外",record[[#This Row],[Memo]]))</f>
        <v/>
      </c>
      <c r="O10871" t="s">
        <v>58</v>
      </c>
      <c r="P10871" t="s">
        <v>119</v>
      </c>
      <c r="Q10871" t="s">
        <v>58</v>
      </c>
      <c r="R10871" t="str">
        <f>IFERROR(VLOOKUP(record[[#This Row],[PCUSTID]],廠商[],2,FALSE),"")</f>
        <v/>
      </c>
      <c r="S10871" t="str">
        <f>VLOOKUP(record[[#This Row],[employeeID]],員工[],2,FALSE)</f>
        <v>廖俊彥</v>
      </c>
    </row>
    <row r="10872" spans="6:19" hidden="1" x14ac:dyDescent="0.25">
      <c r="F10872" t="s">
        <v>581</v>
      </c>
      <c r="G10872" t="s">
        <v>465</v>
      </c>
      <c r="H10872" t="str">
        <f>VLOOKUP(record[[#This Row],[ProcessSN]],表格2_7[],2,FALSE)</f>
        <v>30-4118-018-XXX</v>
      </c>
      <c r="I10872" t="str">
        <f>VLOOKUP(record[[#This Row],[ProcessSN]],表格2_7[],3,FALSE)</f>
        <v>#01-1</v>
      </c>
      <c r="J10872" t="s">
        <v>588</v>
      </c>
      <c r="K10872" s="195">
        <v>45649.653749999998</v>
      </c>
      <c r="L10872">
        <v>534</v>
      </c>
      <c r="M10872">
        <v>9</v>
      </c>
      <c r="N10872" s="98" t="str">
        <f>IF(record[[#This Row],[Memo]]="Browser:chrome os:android","平板報工",IF(record[[#This Row],[Memo]]=0,"委外",record[[#This Row],[Memo]]))</f>
        <v>料少1PCS</v>
      </c>
      <c r="O10872" t="s">
        <v>635</v>
      </c>
      <c r="P10872" t="s">
        <v>119</v>
      </c>
      <c r="Q10872" t="s">
        <v>58</v>
      </c>
      <c r="R10872" t="str">
        <f>IFERROR(VLOOKUP(record[[#This Row],[PCUSTID]],廠商[],2,FALSE),"")</f>
        <v/>
      </c>
      <c r="S10872" t="str">
        <f>VLOOKUP(record[[#This Row],[employeeID]],員工[],2,FALSE)</f>
        <v>廖俊彥</v>
      </c>
    </row>
    <row r="10873" spans="6:19" hidden="1" x14ac:dyDescent="0.25">
      <c r="F10873" t="s">
        <v>581</v>
      </c>
      <c r="G10873" t="s">
        <v>464</v>
      </c>
      <c r="H10873" t="str">
        <f>VLOOKUP(record[[#This Row],[ProcessSN]],表格2_7[],2,FALSE)</f>
        <v>30-4118-018-XXX</v>
      </c>
      <c r="I10873" t="str">
        <f>VLOOKUP(record[[#This Row],[ProcessSN]],表格2_7[],3,FALSE)</f>
        <v>#01GIVE</v>
      </c>
      <c r="J10873" t="s">
        <v>587</v>
      </c>
      <c r="K10873" s="195">
        <v>45649.653229166666</v>
      </c>
      <c r="L10873">
        <v>2080</v>
      </c>
      <c r="M10873">
        <v>0</v>
      </c>
      <c r="N10873" s="98" t="str">
        <f>IF(record[[#This Row],[Memo]]="Browser:chrome os:android","平板報工",IF(record[[#This Row],[Memo]]=0,"委外",record[[#This Row],[Memo]]))</f>
        <v/>
      </c>
      <c r="O10873" t="s">
        <v>58</v>
      </c>
      <c r="P10873" t="s">
        <v>65</v>
      </c>
      <c r="Q10873" t="s">
        <v>58</v>
      </c>
      <c r="R10873" t="str">
        <f>IFERROR(VLOOKUP(record[[#This Row],[PCUSTID]],廠商[],2,FALSE),"")</f>
        <v/>
      </c>
      <c r="S10873" t="str">
        <f>VLOOKUP(record[[#This Row],[employeeID]],員工[],2,FALSE)</f>
        <v>蘇進昌</v>
      </c>
    </row>
    <row r="10874" spans="6:19" hidden="1" x14ac:dyDescent="0.25">
      <c r="F10874" t="s">
        <v>595</v>
      </c>
      <c r="G10874" t="s">
        <v>448</v>
      </c>
      <c r="H10874" t="str">
        <f>VLOOKUP(record[[#This Row],[ProcessSN]],表格2_7[],2,FALSE)</f>
        <v>30-4118-018-6XX</v>
      </c>
      <c r="I10874" t="str">
        <f>VLOOKUP(record[[#This Row],[ProcessSN]],表格2_7[],3,FALSE)</f>
        <v>#04</v>
      </c>
      <c r="J10874" t="s">
        <v>588</v>
      </c>
      <c r="K10874" s="195">
        <v>45649.609120370369</v>
      </c>
      <c r="L10874">
        <v>127</v>
      </c>
      <c r="M10874">
        <v>0</v>
      </c>
      <c r="N10874" s="98" t="str">
        <f>IF(record[[#This Row],[Memo]]="Browser:chrome os:android","平板報工",IF(record[[#This Row],[Memo]]=0,"委外",record[[#This Row],[Memo]]))</f>
        <v>12/19-夜</v>
      </c>
      <c r="O10874" t="s">
        <v>634</v>
      </c>
      <c r="P10874" t="s">
        <v>202</v>
      </c>
      <c r="Q10874" t="s">
        <v>58</v>
      </c>
      <c r="R10874" t="str">
        <f>IFERROR(VLOOKUP(record[[#This Row],[PCUSTID]],廠商[],2,FALSE),"")</f>
        <v/>
      </c>
      <c r="S10874" t="str">
        <f>VLOOKUP(record[[#This Row],[employeeID]],員工[],2,FALSE)</f>
        <v>游惠茹</v>
      </c>
    </row>
    <row r="10875" spans="6:19" hidden="1" x14ac:dyDescent="0.25">
      <c r="F10875" t="s">
        <v>595</v>
      </c>
      <c r="G10875" t="s">
        <v>448</v>
      </c>
      <c r="H10875" t="str">
        <f>VLOOKUP(record[[#This Row],[ProcessSN]],表格2_7[],2,FALSE)</f>
        <v>30-4118-018-6XX</v>
      </c>
      <c r="I10875" t="str">
        <f>VLOOKUP(record[[#This Row],[ProcessSN]],表格2_7[],3,FALSE)</f>
        <v>#04</v>
      </c>
      <c r="J10875" t="s">
        <v>588</v>
      </c>
      <c r="K10875" s="195">
        <v>45649.608923611115</v>
      </c>
      <c r="L10875">
        <v>117</v>
      </c>
      <c r="M10875">
        <v>4</v>
      </c>
      <c r="N10875" s="98" t="str">
        <f>IF(record[[#This Row],[Memo]]="Browser:chrome os:android","平板報工",IF(record[[#This Row],[Memo]]=0,"委外",record[[#This Row],[Memo]]))</f>
        <v>12/19-中</v>
      </c>
      <c r="O10875" t="s">
        <v>633</v>
      </c>
      <c r="P10875" t="s">
        <v>202</v>
      </c>
      <c r="Q10875" t="s">
        <v>58</v>
      </c>
      <c r="R10875" t="str">
        <f>IFERROR(VLOOKUP(record[[#This Row],[PCUSTID]],廠商[],2,FALSE),"")</f>
        <v/>
      </c>
      <c r="S10875" t="str">
        <f>VLOOKUP(record[[#This Row],[employeeID]],員工[],2,FALSE)</f>
        <v>游惠茹</v>
      </c>
    </row>
    <row r="10876" spans="6:19" hidden="1" x14ac:dyDescent="0.25">
      <c r="F10876" t="s">
        <v>595</v>
      </c>
      <c r="G10876" t="s">
        <v>448</v>
      </c>
      <c r="H10876" t="str">
        <f>VLOOKUP(record[[#This Row],[ProcessSN]],表格2_7[],2,FALSE)</f>
        <v>30-4118-018-6XX</v>
      </c>
      <c r="I10876" t="str">
        <f>VLOOKUP(record[[#This Row],[ProcessSN]],表格2_7[],3,FALSE)</f>
        <v>#04</v>
      </c>
      <c r="J10876" t="s">
        <v>588</v>
      </c>
      <c r="K10876" s="195">
        <v>45649.608749999999</v>
      </c>
      <c r="L10876">
        <v>110</v>
      </c>
      <c r="M10876">
        <v>0</v>
      </c>
      <c r="N10876" s="98" t="str">
        <f>IF(record[[#This Row],[Memo]]="Browser:chrome os:android","平板報工",IF(record[[#This Row],[Memo]]=0,"委外",record[[#This Row],[Memo]]))</f>
        <v>12/19-早</v>
      </c>
      <c r="O10876" t="s">
        <v>631</v>
      </c>
      <c r="P10876" t="s">
        <v>202</v>
      </c>
      <c r="Q10876" t="s">
        <v>58</v>
      </c>
      <c r="R10876" t="str">
        <f>IFERROR(VLOOKUP(record[[#This Row],[PCUSTID]],廠商[],2,FALSE),"")</f>
        <v/>
      </c>
      <c r="S10876" t="str">
        <f>VLOOKUP(record[[#This Row],[employeeID]],員工[],2,FALSE)</f>
        <v>游惠茹</v>
      </c>
    </row>
    <row r="10877" spans="6:19" hidden="1" x14ac:dyDescent="0.25">
      <c r="F10877" t="s">
        <v>586</v>
      </c>
      <c r="G10877" t="s">
        <v>376</v>
      </c>
      <c r="H10877" t="str">
        <f>VLOOKUP(record[[#This Row],[ProcessSN]],表格2_7[],2,FALSE)</f>
        <v>30-4118-018-4XX</v>
      </c>
      <c r="I10877" t="str">
        <f>VLOOKUP(record[[#This Row],[ProcessSN]],表格2_7[],3,FALSE)</f>
        <v>#06</v>
      </c>
      <c r="J10877" t="s">
        <v>593</v>
      </c>
      <c r="K10877" s="195">
        <v>45649.608194444445</v>
      </c>
      <c r="L10877">
        <v>116</v>
      </c>
      <c r="M10877">
        <v>0</v>
      </c>
      <c r="N10877" s="98" t="str">
        <f>IF(record[[#This Row],[Memo]]="Browser:chrome os:android","平板報工",IF(record[[#This Row],[Memo]]=0,"委外",record[[#This Row],[Memo]]))</f>
        <v>12/19-夜</v>
      </c>
      <c r="O10877" t="s">
        <v>634</v>
      </c>
      <c r="P10877" t="s">
        <v>202</v>
      </c>
      <c r="Q10877" t="s">
        <v>58</v>
      </c>
      <c r="R10877" t="str">
        <f>IFERROR(VLOOKUP(record[[#This Row],[PCUSTID]],廠商[],2,FALSE),"")</f>
        <v/>
      </c>
      <c r="S10877" t="str">
        <f>VLOOKUP(record[[#This Row],[employeeID]],員工[],2,FALSE)</f>
        <v>游惠茹</v>
      </c>
    </row>
    <row r="10878" spans="6:19" hidden="1" x14ac:dyDescent="0.25">
      <c r="F10878" t="s">
        <v>586</v>
      </c>
      <c r="G10878" t="s">
        <v>376</v>
      </c>
      <c r="H10878" t="str">
        <f>VLOOKUP(record[[#This Row],[ProcessSN]],表格2_7[],2,FALSE)</f>
        <v>30-4118-018-4XX</v>
      </c>
      <c r="I10878" t="str">
        <f>VLOOKUP(record[[#This Row],[ProcessSN]],表格2_7[],3,FALSE)</f>
        <v>#06</v>
      </c>
      <c r="J10878" t="s">
        <v>593</v>
      </c>
      <c r="K10878" s="195">
        <v>45649.60800925926</v>
      </c>
      <c r="L10878">
        <v>127</v>
      </c>
      <c r="M10878">
        <v>0</v>
      </c>
      <c r="N10878" s="98" t="str">
        <f>IF(record[[#This Row],[Memo]]="Browser:chrome os:android","平板報工",IF(record[[#This Row],[Memo]]=0,"委外",record[[#This Row],[Memo]]))</f>
        <v>12/19-中</v>
      </c>
      <c r="O10878" t="s">
        <v>633</v>
      </c>
      <c r="P10878" t="s">
        <v>202</v>
      </c>
      <c r="Q10878" t="s">
        <v>58</v>
      </c>
      <c r="R10878" t="str">
        <f>IFERROR(VLOOKUP(record[[#This Row],[PCUSTID]],廠商[],2,FALSE),"")</f>
        <v/>
      </c>
      <c r="S10878" t="str">
        <f>VLOOKUP(record[[#This Row],[employeeID]],員工[],2,FALSE)</f>
        <v>游惠茹</v>
      </c>
    </row>
    <row r="10879" spans="6:19" hidden="1" x14ac:dyDescent="0.25">
      <c r="F10879" t="s">
        <v>586</v>
      </c>
      <c r="G10879" t="s">
        <v>376</v>
      </c>
      <c r="H10879" t="str">
        <f>VLOOKUP(record[[#This Row],[ProcessSN]],表格2_7[],2,FALSE)</f>
        <v>30-4118-018-4XX</v>
      </c>
      <c r="I10879" t="str">
        <f>VLOOKUP(record[[#This Row],[ProcessSN]],表格2_7[],3,FALSE)</f>
        <v>#06</v>
      </c>
      <c r="J10879" t="s">
        <v>593</v>
      </c>
      <c r="K10879" s="195">
        <v>45649.607824074075</v>
      </c>
      <c r="L10879">
        <v>90</v>
      </c>
      <c r="M10879">
        <v>11</v>
      </c>
      <c r="N10879" s="98" t="str">
        <f>IF(record[[#This Row],[Memo]]="Browser:chrome os:android","平板報工",IF(record[[#This Row],[Memo]]=0,"委外",record[[#This Row],[Memo]]))</f>
        <v>12/19-早</v>
      </c>
      <c r="O10879" t="s">
        <v>631</v>
      </c>
      <c r="P10879" t="s">
        <v>202</v>
      </c>
      <c r="Q10879" t="s">
        <v>58</v>
      </c>
      <c r="R10879" t="str">
        <f>IFERROR(VLOOKUP(record[[#This Row],[PCUSTID]],廠商[],2,FALSE),"")</f>
        <v/>
      </c>
      <c r="S10879" t="str">
        <f>VLOOKUP(record[[#This Row],[employeeID]],員工[],2,FALSE)</f>
        <v>游惠茹</v>
      </c>
    </row>
    <row r="10880" spans="6:19" hidden="1" x14ac:dyDescent="0.25">
      <c r="F10880" t="s">
        <v>586</v>
      </c>
      <c r="G10880" t="s">
        <v>375</v>
      </c>
      <c r="H10880" t="str">
        <f>VLOOKUP(record[[#This Row],[ProcessSN]],表格2_7[],2,FALSE)</f>
        <v>30-4118-018-4XX</v>
      </c>
      <c r="I10880" t="str">
        <f>VLOOKUP(record[[#This Row],[ProcessSN]],表格2_7[],3,FALSE)</f>
        <v>#05</v>
      </c>
      <c r="J10880" t="s">
        <v>588</v>
      </c>
      <c r="K10880" s="195">
        <v>45649.607245370367</v>
      </c>
      <c r="L10880">
        <v>210</v>
      </c>
      <c r="M10880">
        <v>0</v>
      </c>
      <c r="N10880" s="98" t="str">
        <f>IF(record[[#This Row],[Memo]]="Browser:chrome os:android","平板報工",IF(record[[#This Row],[Memo]]=0,"委外",record[[#This Row],[Memo]]))</f>
        <v>12-19-夜</v>
      </c>
      <c r="O10880" t="s">
        <v>632</v>
      </c>
      <c r="P10880" t="s">
        <v>202</v>
      </c>
      <c r="Q10880" t="s">
        <v>58</v>
      </c>
      <c r="R10880" t="str">
        <f>IFERROR(VLOOKUP(record[[#This Row],[PCUSTID]],廠商[],2,FALSE),"")</f>
        <v/>
      </c>
      <c r="S10880" t="str">
        <f>VLOOKUP(record[[#This Row],[employeeID]],員工[],2,FALSE)</f>
        <v>游惠茹</v>
      </c>
    </row>
    <row r="10881" spans="6:19" hidden="1" x14ac:dyDescent="0.25">
      <c r="F10881" t="s">
        <v>586</v>
      </c>
      <c r="G10881" t="s">
        <v>375</v>
      </c>
      <c r="H10881" t="str">
        <f>VLOOKUP(record[[#This Row],[ProcessSN]],表格2_7[],2,FALSE)</f>
        <v>30-4118-018-4XX</v>
      </c>
      <c r="I10881" t="str">
        <f>VLOOKUP(record[[#This Row],[ProcessSN]],表格2_7[],3,FALSE)</f>
        <v>#05</v>
      </c>
      <c r="J10881" t="s">
        <v>588</v>
      </c>
      <c r="K10881" s="195">
        <v>45649.606956018521</v>
      </c>
      <c r="L10881">
        <v>284</v>
      </c>
      <c r="M10881">
        <v>0</v>
      </c>
      <c r="N10881" s="98" t="str">
        <f>IF(record[[#This Row],[Memo]]="Browser:chrome os:android","平板報工",IF(record[[#This Row],[Memo]]=0,"委外",record[[#This Row],[Memo]]))</f>
        <v>12/19-早</v>
      </c>
      <c r="O10881" t="s">
        <v>631</v>
      </c>
      <c r="P10881" t="s">
        <v>202</v>
      </c>
      <c r="Q10881" t="s">
        <v>58</v>
      </c>
      <c r="R10881" t="str">
        <f>IFERROR(VLOOKUP(record[[#This Row],[PCUSTID]],廠商[],2,FALSE),"")</f>
        <v/>
      </c>
      <c r="S10881" t="str">
        <f>VLOOKUP(record[[#This Row],[employeeID]],員工[],2,FALSE)</f>
        <v>游惠茹</v>
      </c>
    </row>
    <row r="10882" spans="6:19" hidden="1" x14ac:dyDescent="0.25">
      <c r="F10882" t="s">
        <v>628</v>
      </c>
      <c r="G10882" t="s">
        <v>424</v>
      </c>
      <c r="H10882" t="str">
        <f>VLOOKUP(record[[#This Row],[ProcessSN]],表格2_7[],2,FALSE)</f>
        <v>30-4118-018-600</v>
      </c>
      <c r="I10882" t="str">
        <f>VLOOKUP(record[[#This Row],[ProcessSN]],表格2_7[],3,FALSE)</f>
        <v>#08IQC</v>
      </c>
      <c r="J10882" t="s">
        <v>583</v>
      </c>
      <c r="K10882" s="195">
        <v>45647.634571759256</v>
      </c>
      <c r="L10882">
        <v>204</v>
      </c>
      <c r="M10882">
        <v>0</v>
      </c>
      <c r="N10882" s="98" t="str">
        <f>IF(record[[#This Row],[Memo]]="Browser:chrome os:android","平板報工",IF(record[[#This Row],[Memo]]=0,"委外",record[[#This Row],[Memo]]))</f>
        <v/>
      </c>
      <c r="O10882" t="s">
        <v>58</v>
      </c>
      <c r="P10882" t="s">
        <v>65</v>
      </c>
      <c r="Q10882" t="s">
        <v>58</v>
      </c>
      <c r="R10882" t="str">
        <f>IFERROR(VLOOKUP(record[[#This Row],[PCUSTID]],廠商[],2,FALSE),"")</f>
        <v/>
      </c>
      <c r="S10882" t="str">
        <f>VLOOKUP(record[[#This Row],[employeeID]],員工[],2,FALSE)</f>
        <v>蘇進昌</v>
      </c>
    </row>
    <row r="10883" spans="6:19" hidden="1" x14ac:dyDescent="0.25">
      <c r="F10883" t="s">
        <v>628</v>
      </c>
      <c r="G10883" t="s">
        <v>423</v>
      </c>
      <c r="H10883" t="str">
        <f>VLOOKUP(record[[#This Row],[ProcessSN]],表格2_7[],2,FALSE)</f>
        <v>30-4118-018-600</v>
      </c>
      <c r="I10883" t="str">
        <f>VLOOKUP(record[[#This Row],[ProcessSN]],表格2_7[],3,FALSE)</f>
        <v>#08RCV</v>
      </c>
      <c r="J10883" t="s">
        <v>591</v>
      </c>
      <c r="K10883" s="195">
        <v>45647.634502314817</v>
      </c>
      <c r="L10883">
        <v>204</v>
      </c>
      <c r="M10883">
        <v>15</v>
      </c>
      <c r="N10883" s="98" t="str">
        <f>IF(record[[#This Row],[Memo]]="Browser:chrome os:android","平板報工",IF(record[[#This Row],[Memo]]=0,"委外",record[[#This Row],[Memo]]))</f>
        <v/>
      </c>
      <c r="O10883" t="s">
        <v>58</v>
      </c>
      <c r="P10883" t="s">
        <v>65</v>
      </c>
      <c r="Q10883" t="s">
        <v>58</v>
      </c>
      <c r="R10883" t="str">
        <f>IFERROR(VLOOKUP(record[[#This Row],[PCUSTID]],廠商[],2,FALSE),"")</f>
        <v/>
      </c>
      <c r="S10883" t="str">
        <f>VLOOKUP(record[[#This Row],[employeeID]],員工[],2,FALSE)</f>
        <v>蘇進昌</v>
      </c>
    </row>
    <row r="10884" spans="6:19" hidden="1" x14ac:dyDescent="0.25">
      <c r="F10884" t="s">
        <v>628</v>
      </c>
      <c r="G10884" t="s">
        <v>422</v>
      </c>
      <c r="H10884" t="str">
        <f>VLOOKUP(record[[#This Row],[ProcessSN]],表格2_7[],2,FALSE)</f>
        <v>30-4118-018-600</v>
      </c>
      <c r="I10884" t="str">
        <f>VLOOKUP(record[[#This Row],[ProcessSN]],表格2_7[],3,FALSE)</f>
        <v>#08</v>
      </c>
      <c r="J10884" t="s">
        <v>597</v>
      </c>
      <c r="K10884" s="195">
        <v>45647.634305555555</v>
      </c>
      <c r="L10884">
        <v>219</v>
      </c>
      <c r="M10884">
        <v>0</v>
      </c>
      <c r="N10884" s="98" t="str">
        <f>IF(record[[#This Row],[Memo]]="Browser:chrome os:android","平板報工",IF(record[[#This Row],[Memo]]=0,"委外",record[[#This Row],[Memo]]))</f>
        <v>委外</v>
      </c>
      <c r="P10884" t="s">
        <v>65</v>
      </c>
      <c r="Q10884" t="s">
        <v>287</v>
      </c>
      <c r="R10884" t="str">
        <f>IFERROR(VLOOKUP(record[[#This Row],[PCUSTID]],廠商[],2,FALSE),"")</f>
        <v>泉盛</v>
      </c>
      <c r="S10884" t="str">
        <f>VLOOKUP(record[[#This Row],[employeeID]],員工[],2,FALSE)</f>
        <v>蘇進昌</v>
      </c>
    </row>
    <row r="10885" spans="6:19" hidden="1" x14ac:dyDescent="0.25">
      <c r="F10885" t="s">
        <v>628</v>
      </c>
      <c r="G10885" t="s">
        <v>421</v>
      </c>
      <c r="H10885" t="str">
        <f>VLOOKUP(record[[#This Row],[ProcessSN]],表格2_7[],2,FALSE)</f>
        <v>30-4118-018-600</v>
      </c>
      <c r="I10885" t="str">
        <f>VLOOKUP(record[[#This Row],[ProcessSN]],表格2_7[],3,FALSE)</f>
        <v>#08PICK</v>
      </c>
      <c r="J10885" t="s">
        <v>582</v>
      </c>
      <c r="K10885" s="195">
        <v>45647.634212962963</v>
      </c>
      <c r="L10885">
        <v>219</v>
      </c>
      <c r="M10885">
        <v>0</v>
      </c>
      <c r="N10885" s="98" t="str">
        <f>IF(record[[#This Row],[Memo]]="Browser:chrome os:android","平板報工",IF(record[[#This Row],[Memo]]=0,"委外",record[[#This Row],[Memo]]))</f>
        <v/>
      </c>
      <c r="O10885" t="s">
        <v>58</v>
      </c>
      <c r="P10885" t="s">
        <v>65</v>
      </c>
      <c r="Q10885" t="s">
        <v>58</v>
      </c>
      <c r="R10885" t="str">
        <f>IFERROR(VLOOKUP(record[[#This Row],[PCUSTID]],廠商[],2,FALSE),"")</f>
        <v/>
      </c>
      <c r="S10885" t="str">
        <f>VLOOKUP(record[[#This Row],[employeeID]],員工[],2,FALSE)</f>
        <v>蘇進昌</v>
      </c>
    </row>
    <row r="10886" spans="6:19" hidden="1" x14ac:dyDescent="0.25">
      <c r="F10886" t="s">
        <v>627</v>
      </c>
      <c r="G10886" t="s">
        <v>424</v>
      </c>
      <c r="H10886" t="str">
        <f>VLOOKUP(record[[#This Row],[ProcessSN]],表格2_7[],2,FALSE)</f>
        <v>30-4118-018-600</v>
      </c>
      <c r="I10886" t="str">
        <f>VLOOKUP(record[[#This Row],[ProcessSN]],表格2_7[],3,FALSE)</f>
        <v>#08IQC</v>
      </c>
      <c r="J10886" t="s">
        <v>583</v>
      </c>
      <c r="K10886" s="195">
        <v>45647.633055555554</v>
      </c>
      <c r="L10886">
        <v>176</v>
      </c>
      <c r="M10886">
        <v>0</v>
      </c>
      <c r="N10886" s="98" t="str">
        <f>IF(record[[#This Row],[Memo]]="Browser:chrome os:android","平板報工",IF(record[[#This Row],[Memo]]=0,"委外",record[[#This Row],[Memo]]))</f>
        <v/>
      </c>
      <c r="O10886" t="s">
        <v>58</v>
      </c>
      <c r="P10886" t="s">
        <v>65</v>
      </c>
      <c r="Q10886" t="s">
        <v>58</v>
      </c>
      <c r="R10886" t="str">
        <f>IFERROR(VLOOKUP(record[[#This Row],[PCUSTID]],廠商[],2,FALSE),"")</f>
        <v/>
      </c>
      <c r="S10886" t="str">
        <f>VLOOKUP(record[[#This Row],[employeeID]],員工[],2,FALSE)</f>
        <v>蘇進昌</v>
      </c>
    </row>
    <row r="10887" spans="6:19" hidden="1" x14ac:dyDescent="0.25">
      <c r="F10887" t="s">
        <v>627</v>
      </c>
      <c r="G10887" t="s">
        <v>423</v>
      </c>
      <c r="H10887" t="str">
        <f>VLOOKUP(record[[#This Row],[ProcessSN]],表格2_7[],2,FALSE)</f>
        <v>30-4118-018-600</v>
      </c>
      <c r="I10887" t="str">
        <f>VLOOKUP(record[[#This Row],[ProcessSN]],表格2_7[],3,FALSE)</f>
        <v>#08RCV</v>
      </c>
      <c r="J10887" t="s">
        <v>591</v>
      </c>
      <c r="K10887" s="195">
        <v>45647.632986111108</v>
      </c>
      <c r="L10887">
        <v>176</v>
      </c>
      <c r="M10887">
        <v>2</v>
      </c>
      <c r="N10887" s="98" t="str">
        <f>IF(record[[#This Row],[Memo]]="Browser:chrome os:android","平板報工",IF(record[[#This Row],[Memo]]=0,"委外",record[[#This Row],[Memo]]))</f>
        <v/>
      </c>
      <c r="O10887" t="s">
        <v>58</v>
      </c>
      <c r="P10887" t="s">
        <v>65</v>
      </c>
      <c r="Q10887" t="s">
        <v>58</v>
      </c>
      <c r="R10887" t="str">
        <f>IFERROR(VLOOKUP(record[[#This Row],[PCUSTID]],廠商[],2,FALSE),"")</f>
        <v/>
      </c>
      <c r="S10887" t="str">
        <f>VLOOKUP(record[[#This Row],[employeeID]],員工[],2,FALSE)</f>
        <v>蘇進昌</v>
      </c>
    </row>
    <row r="10888" spans="6:19" hidden="1" x14ac:dyDescent="0.25">
      <c r="F10888" t="s">
        <v>627</v>
      </c>
      <c r="G10888" t="s">
        <v>422</v>
      </c>
      <c r="H10888" t="str">
        <f>VLOOKUP(record[[#This Row],[ProcessSN]],表格2_7[],2,FALSE)</f>
        <v>30-4118-018-600</v>
      </c>
      <c r="I10888" t="str">
        <f>VLOOKUP(record[[#This Row],[ProcessSN]],表格2_7[],3,FALSE)</f>
        <v>#08</v>
      </c>
      <c r="J10888" t="s">
        <v>597</v>
      </c>
      <c r="K10888" s="195">
        <v>45647.632893518516</v>
      </c>
      <c r="L10888">
        <v>178</v>
      </c>
      <c r="M10888">
        <v>0</v>
      </c>
      <c r="N10888" s="98" t="str">
        <f>IF(record[[#This Row],[Memo]]="Browser:chrome os:android","平板報工",IF(record[[#This Row],[Memo]]=0,"委外",record[[#This Row],[Memo]]))</f>
        <v>委外</v>
      </c>
      <c r="P10888" t="s">
        <v>65</v>
      </c>
      <c r="Q10888" t="s">
        <v>287</v>
      </c>
      <c r="R10888" t="str">
        <f>IFERROR(VLOOKUP(record[[#This Row],[PCUSTID]],廠商[],2,FALSE),"")</f>
        <v>泉盛</v>
      </c>
      <c r="S10888" t="str">
        <f>VLOOKUP(record[[#This Row],[employeeID]],員工[],2,FALSE)</f>
        <v>蘇進昌</v>
      </c>
    </row>
    <row r="10889" spans="6:19" hidden="1" x14ac:dyDescent="0.25">
      <c r="F10889" t="s">
        <v>627</v>
      </c>
      <c r="G10889" t="s">
        <v>421</v>
      </c>
      <c r="H10889" t="str">
        <f>VLOOKUP(record[[#This Row],[ProcessSN]],表格2_7[],2,FALSE)</f>
        <v>30-4118-018-600</v>
      </c>
      <c r="I10889" t="str">
        <f>VLOOKUP(record[[#This Row],[ProcessSN]],表格2_7[],3,FALSE)</f>
        <v>#08PICK</v>
      </c>
      <c r="J10889" t="s">
        <v>582</v>
      </c>
      <c r="K10889" s="195">
        <v>45647.6328125</v>
      </c>
      <c r="L10889">
        <v>178</v>
      </c>
      <c r="M10889">
        <v>0</v>
      </c>
      <c r="N10889" s="98" t="str">
        <f>IF(record[[#This Row],[Memo]]="Browser:chrome os:android","平板報工",IF(record[[#This Row],[Memo]]=0,"委外",record[[#This Row],[Memo]]))</f>
        <v/>
      </c>
      <c r="O10889" t="s">
        <v>58</v>
      </c>
      <c r="P10889" t="s">
        <v>65</v>
      </c>
      <c r="Q10889" t="s">
        <v>58</v>
      </c>
      <c r="R10889" t="str">
        <f>IFERROR(VLOOKUP(record[[#This Row],[PCUSTID]],廠商[],2,FALSE),"")</f>
        <v/>
      </c>
      <c r="S10889" t="str">
        <f>VLOOKUP(record[[#This Row],[employeeID]],員工[],2,FALSE)</f>
        <v>蘇進昌</v>
      </c>
    </row>
    <row r="10890" spans="6:19" hidden="1" x14ac:dyDescent="0.25">
      <c r="F10890" t="s">
        <v>626</v>
      </c>
      <c r="G10890" t="s">
        <v>428</v>
      </c>
      <c r="H10890" t="str">
        <f>VLOOKUP(record[[#This Row],[ProcessSN]],表格2_7[],2,FALSE)</f>
        <v>30-4118-018-600</v>
      </c>
      <c r="I10890" t="str">
        <f>VLOOKUP(record[[#This Row],[ProcessSN]],表格2_7[],3,FALSE)</f>
        <v>#100SHIP</v>
      </c>
      <c r="J10890" t="s">
        <v>600</v>
      </c>
      <c r="K10890" s="195">
        <v>45647.632268518515</v>
      </c>
      <c r="L10890">
        <v>2</v>
      </c>
      <c r="M10890">
        <v>0</v>
      </c>
      <c r="N10890" s="98" t="str">
        <f>IF(record[[#This Row],[Memo]]="Browser:chrome os:android","平板報工",IF(record[[#This Row],[Memo]]=0,"委外",record[[#This Row],[Memo]]))</f>
        <v/>
      </c>
      <c r="O10890" t="s">
        <v>58</v>
      </c>
      <c r="P10890" t="s">
        <v>65</v>
      </c>
      <c r="Q10890" t="s">
        <v>58</v>
      </c>
      <c r="R10890" t="str">
        <f>IFERROR(VLOOKUP(record[[#This Row],[PCUSTID]],廠商[],2,FALSE),"")</f>
        <v/>
      </c>
      <c r="S10890" t="str">
        <f>VLOOKUP(record[[#This Row],[employeeID]],員工[],2,FALSE)</f>
        <v>蘇進昌</v>
      </c>
    </row>
    <row r="10891" spans="6:19" hidden="1" x14ac:dyDescent="0.25">
      <c r="F10891" t="s">
        <v>626</v>
      </c>
      <c r="G10891" t="s">
        <v>427</v>
      </c>
      <c r="H10891" t="str">
        <f>VLOOKUP(record[[#This Row],[ProcessSN]],表格2_7[],2,FALSE)</f>
        <v>30-4118-018-600</v>
      </c>
      <c r="I10891" t="str">
        <f>VLOOKUP(record[[#This Row],[ProcessSN]],表格2_7[],3,FALSE)</f>
        <v>#100STOCK</v>
      </c>
      <c r="J10891" t="s">
        <v>592</v>
      </c>
      <c r="K10891" s="195">
        <v>45647.632187499999</v>
      </c>
      <c r="L10891">
        <v>2</v>
      </c>
      <c r="M10891">
        <v>0</v>
      </c>
      <c r="N10891" s="98" t="str">
        <f>IF(record[[#This Row],[Memo]]="Browser:chrome os:android","平板報工",IF(record[[#This Row],[Memo]]=0,"委外",record[[#This Row],[Memo]]))</f>
        <v/>
      </c>
      <c r="O10891" t="s">
        <v>58</v>
      </c>
      <c r="P10891" t="s">
        <v>65</v>
      </c>
      <c r="Q10891" t="s">
        <v>58</v>
      </c>
      <c r="R10891" t="str">
        <f>IFERROR(VLOOKUP(record[[#This Row],[PCUSTID]],廠商[],2,FALSE),"")</f>
        <v/>
      </c>
      <c r="S10891" t="str">
        <f>VLOOKUP(record[[#This Row],[employeeID]],員工[],2,FALSE)</f>
        <v>蘇進昌</v>
      </c>
    </row>
    <row r="10892" spans="6:19" hidden="1" x14ac:dyDescent="0.25">
      <c r="F10892" t="s">
        <v>626</v>
      </c>
      <c r="G10892" t="s">
        <v>426</v>
      </c>
      <c r="H10892" t="str">
        <f>VLOOKUP(record[[#This Row],[ProcessSN]],表格2_7[],2,FALSE)</f>
        <v>30-4118-018-600</v>
      </c>
      <c r="I10892" t="str">
        <f>VLOOKUP(record[[#This Row],[ProcessSN]],表格2_7[],3,FALSE)</f>
        <v>#100OQC</v>
      </c>
      <c r="J10892" t="s">
        <v>599</v>
      </c>
      <c r="K10892" s="195">
        <v>45647.63212962963</v>
      </c>
      <c r="L10892">
        <v>2</v>
      </c>
      <c r="M10892">
        <v>0</v>
      </c>
      <c r="N10892" s="98" t="str">
        <f>IF(record[[#This Row],[Memo]]="Browser:chrome os:android","平板報工",IF(record[[#This Row],[Memo]]=0,"委外",record[[#This Row],[Memo]]))</f>
        <v/>
      </c>
      <c r="O10892" t="s">
        <v>58</v>
      </c>
      <c r="P10892" t="s">
        <v>65</v>
      </c>
      <c r="Q10892" t="s">
        <v>58</v>
      </c>
      <c r="R10892" t="str">
        <f>IFERROR(VLOOKUP(record[[#This Row],[PCUSTID]],廠商[],2,FALSE),"")</f>
        <v/>
      </c>
      <c r="S10892" t="str">
        <f>VLOOKUP(record[[#This Row],[employeeID]],員工[],2,FALSE)</f>
        <v>蘇進昌</v>
      </c>
    </row>
    <row r="10893" spans="6:19" hidden="1" x14ac:dyDescent="0.25">
      <c r="F10893" t="s">
        <v>626</v>
      </c>
      <c r="G10893" t="s">
        <v>425</v>
      </c>
      <c r="H10893" t="str">
        <f>VLOOKUP(record[[#This Row],[ProcessSN]],表格2_7[],2,FALSE)</f>
        <v>30-4118-018-600</v>
      </c>
      <c r="I10893" t="str">
        <f>VLOOKUP(record[[#This Row],[ProcessSN]],表格2_7[],3,FALSE)</f>
        <v>#100</v>
      </c>
      <c r="J10893" t="s">
        <v>598</v>
      </c>
      <c r="K10893" s="195">
        <v>45647.632060185184</v>
      </c>
      <c r="L10893">
        <v>2</v>
      </c>
      <c r="M10893">
        <v>0</v>
      </c>
      <c r="N10893" s="98" t="str">
        <f>IF(record[[#This Row],[Memo]]="Browser:chrome os:android","平板報工",IF(record[[#This Row],[Memo]]=0,"委外",record[[#This Row],[Memo]]))</f>
        <v/>
      </c>
      <c r="O10893" t="s">
        <v>58</v>
      </c>
      <c r="P10893" t="s">
        <v>65</v>
      </c>
      <c r="Q10893" t="s">
        <v>58</v>
      </c>
      <c r="R10893" t="str">
        <f>IFERROR(VLOOKUP(record[[#This Row],[PCUSTID]],廠商[],2,FALSE),"")</f>
        <v/>
      </c>
      <c r="S10893" t="str">
        <f>VLOOKUP(record[[#This Row],[employeeID]],員工[],2,FALSE)</f>
        <v>蘇進昌</v>
      </c>
    </row>
    <row r="10894" spans="6:19" hidden="1" x14ac:dyDescent="0.25">
      <c r="F10894" t="s">
        <v>626</v>
      </c>
      <c r="G10894" t="s">
        <v>424</v>
      </c>
      <c r="H10894" t="str">
        <f>VLOOKUP(record[[#This Row],[ProcessSN]],表格2_7[],2,FALSE)</f>
        <v>30-4118-018-600</v>
      </c>
      <c r="I10894" t="str">
        <f>VLOOKUP(record[[#This Row],[ProcessSN]],表格2_7[],3,FALSE)</f>
        <v>#08IQC</v>
      </c>
      <c r="J10894" t="s">
        <v>583</v>
      </c>
      <c r="K10894" s="195">
        <v>45647.631921296299</v>
      </c>
      <c r="L10894">
        <v>207</v>
      </c>
      <c r="M10894">
        <v>0</v>
      </c>
      <c r="N10894" s="98" t="str">
        <f>IF(record[[#This Row],[Memo]]="Browser:chrome os:android","平板報工",IF(record[[#This Row],[Memo]]=0,"委外",record[[#This Row],[Memo]]))</f>
        <v/>
      </c>
      <c r="O10894" t="s">
        <v>58</v>
      </c>
      <c r="P10894" t="s">
        <v>65</v>
      </c>
      <c r="Q10894" t="s">
        <v>58</v>
      </c>
      <c r="R10894" t="str">
        <f>IFERROR(VLOOKUP(record[[#This Row],[PCUSTID]],廠商[],2,FALSE),"")</f>
        <v/>
      </c>
      <c r="S10894" t="str">
        <f>VLOOKUP(record[[#This Row],[employeeID]],員工[],2,FALSE)</f>
        <v>蘇進昌</v>
      </c>
    </row>
    <row r="10895" spans="6:19" hidden="1" x14ac:dyDescent="0.25">
      <c r="F10895" t="s">
        <v>626</v>
      </c>
      <c r="G10895" t="s">
        <v>423</v>
      </c>
      <c r="H10895" t="str">
        <f>VLOOKUP(record[[#This Row],[ProcessSN]],表格2_7[],2,FALSE)</f>
        <v>30-4118-018-600</v>
      </c>
      <c r="I10895" t="str">
        <f>VLOOKUP(record[[#This Row],[ProcessSN]],表格2_7[],3,FALSE)</f>
        <v>#08RCV</v>
      </c>
      <c r="J10895" t="s">
        <v>591</v>
      </c>
      <c r="K10895" s="195">
        <v>45647.631805555553</v>
      </c>
      <c r="L10895">
        <v>207</v>
      </c>
      <c r="M10895">
        <v>3</v>
      </c>
      <c r="N10895" s="98" t="str">
        <f>IF(record[[#This Row],[Memo]]="Browser:chrome os:android","平板報工",IF(record[[#This Row],[Memo]]=0,"委外",record[[#This Row],[Memo]]))</f>
        <v/>
      </c>
      <c r="O10895" t="s">
        <v>58</v>
      </c>
      <c r="P10895" t="s">
        <v>65</v>
      </c>
      <c r="Q10895" t="s">
        <v>58</v>
      </c>
      <c r="R10895" t="str">
        <f>IFERROR(VLOOKUP(record[[#This Row],[PCUSTID]],廠商[],2,FALSE),"")</f>
        <v/>
      </c>
      <c r="S10895" t="str">
        <f>VLOOKUP(record[[#This Row],[employeeID]],員工[],2,FALSE)</f>
        <v>蘇進昌</v>
      </c>
    </row>
    <row r="10896" spans="6:19" hidden="1" x14ac:dyDescent="0.25">
      <c r="F10896" t="s">
        <v>626</v>
      </c>
      <c r="G10896" t="s">
        <v>422</v>
      </c>
      <c r="H10896" t="str">
        <f>VLOOKUP(record[[#This Row],[ProcessSN]],表格2_7[],2,FALSE)</f>
        <v>30-4118-018-600</v>
      </c>
      <c r="I10896" t="str">
        <f>VLOOKUP(record[[#This Row],[ProcessSN]],表格2_7[],3,FALSE)</f>
        <v>#08</v>
      </c>
      <c r="J10896" t="s">
        <v>597</v>
      </c>
      <c r="K10896" s="195">
        <v>45647.631712962961</v>
      </c>
      <c r="L10896">
        <v>210</v>
      </c>
      <c r="M10896">
        <v>0</v>
      </c>
      <c r="N10896" s="98" t="str">
        <f>IF(record[[#This Row],[Memo]]="Browser:chrome os:android","平板報工",IF(record[[#This Row],[Memo]]=0,"委外",record[[#This Row],[Memo]]))</f>
        <v>委外</v>
      </c>
      <c r="P10896" t="s">
        <v>65</v>
      </c>
      <c r="Q10896" t="s">
        <v>287</v>
      </c>
      <c r="R10896" t="str">
        <f>IFERROR(VLOOKUP(record[[#This Row],[PCUSTID]],廠商[],2,FALSE),"")</f>
        <v>泉盛</v>
      </c>
      <c r="S10896" t="str">
        <f>VLOOKUP(record[[#This Row],[employeeID]],員工[],2,FALSE)</f>
        <v>蘇進昌</v>
      </c>
    </row>
    <row r="10897" spans="6:19" hidden="1" x14ac:dyDescent="0.25">
      <c r="F10897" t="s">
        <v>626</v>
      </c>
      <c r="G10897" t="s">
        <v>421</v>
      </c>
      <c r="H10897" t="str">
        <f>VLOOKUP(record[[#This Row],[ProcessSN]],表格2_7[],2,FALSE)</f>
        <v>30-4118-018-600</v>
      </c>
      <c r="I10897" t="str">
        <f>VLOOKUP(record[[#This Row],[ProcessSN]],表格2_7[],3,FALSE)</f>
        <v>#08PICK</v>
      </c>
      <c r="J10897" t="s">
        <v>582</v>
      </c>
      <c r="K10897" s="195">
        <v>45647.631631944445</v>
      </c>
      <c r="L10897">
        <v>210</v>
      </c>
      <c r="M10897">
        <v>0</v>
      </c>
      <c r="N10897" s="98" t="str">
        <f>IF(record[[#This Row],[Memo]]="Browser:chrome os:android","平板報工",IF(record[[#This Row],[Memo]]=0,"委外",record[[#This Row],[Memo]]))</f>
        <v/>
      </c>
      <c r="O10897" t="s">
        <v>58</v>
      </c>
      <c r="P10897" t="s">
        <v>65</v>
      </c>
      <c r="Q10897" t="s">
        <v>58</v>
      </c>
      <c r="R10897" t="str">
        <f>IFERROR(VLOOKUP(record[[#This Row],[PCUSTID]],廠商[],2,FALSE),"")</f>
        <v/>
      </c>
      <c r="S10897" t="str">
        <f>VLOOKUP(record[[#This Row],[employeeID]],員工[],2,FALSE)</f>
        <v>蘇進昌</v>
      </c>
    </row>
    <row r="10898" spans="6:19" hidden="1" x14ac:dyDescent="0.25">
      <c r="F10898" t="s">
        <v>625</v>
      </c>
      <c r="G10898" t="s">
        <v>428</v>
      </c>
      <c r="H10898" t="str">
        <f>VLOOKUP(record[[#This Row],[ProcessSN]],表格2_7[],2,FALSE)</f>
        <v>30-4118-018-600</v>
      </c>
      <c r="I10898" t="str">
        <f>VLOOKUP(record[[#This Row],[ProcessSN]],表格2_7[],3,FALSE)</f>
        <v>#100SHIP</v>
      </c>
      <c r="J10898" t="s">
        <v>600</v>
      </c>
      <c r="K10898" s="195">
        <v>45647.631180555552</v>
      </c>
      <c r="L10898">
        <v>4</v>
      </c>
      <c r="M10898">
        <v>0</v>
      </c>
      <c r="N10898" s="98" t="str">
        <f>IF(record[[#This Row],[Memo]]="Browser:chrome os:android","平板報工",IF(record[[#This Row],[Memo]]=0,"委外",record[[#This Row],[Memo]]))</f>
        <v/>
      </c>
      <c r="O10898" t="s">
        <v>58</v>
      </c>
      <c r="P10898" t="s">
        <v>65</v>
      </c>
      <c r="Q10898" t="s">
        <v>58</v>
      </c>
      <c r="R10898" t="str">
        <f>IFERROR(VLOOKUP(record[[#This Row],[PCUSTID]],廠商[],2,FALSE),"")</f>
        <v/>
      </c>
      <c r="S10898" t="str">
        <f>VLOOKUP(record[[#This Row],[employeeID]],員工[],2,FALSE)</f>
        <v>蘇進昌</v>
      </c>
    </row>
    <row r="10899" spans="6:19" hidden="1" x14ac:dyDescent="0.25">
      <c r="F10899" t="s">
        <v>625</v>
      </c>
      <c r="G10899" t="s">
        <v>427</v>
      </c>
      <c r="H10899" t="str">
        <f>VLOOKUP(record[[#This Row],[ProcessSN]],表格2_7[],2,FALSE)</f>
        <v>30-4118-018-600</v>
      </c>
      <c r="I10899" t="str">
        <f>VLOOKUP(record[[#This Row],[ProcessSN]],表格2_7[],3,FALSE)</f>
        <v>#100STOCK</v>
      </c>
      <c r="J10899" t="s">
        <v>592</v>
      </c>
      <c r="K10899" s="195">
        <v>45647.63113425926</v>
      </c>
      <c r="L10899">
        <v>4</v>
      </c>
      <c r="M10899">
        <v>0</v>
      </c>
      <c r="N10899" s="98" t="str">
        <f>IF(record[[#This Row],[Memo]]="Browser:chrome os:android","平板報工",IF(record[[#This Row],[Memo]]=0,"委外",record[[#This Row],[Memo]]))</f>
        <v/>
      </c>
      <c r="O10899" t="s">
        <v>58</v>
      </c>
      <c r="P10899" t="s">
        <v>65</v>
      </c>
      <c r="Q10899" t="s">
        <v>58</v>
      </c>
      <c r="R10899" t="str">
        <f>IFERROR(VLOOKUP(record[[#This Row],[PCUSTID]],廠商[],2,FALSE),"")</f>
        <v/>
      </c>
      <c r="S10899" t="str">
        <f>VLOOKUP(record[[#This Row],[employeeID]],員工[],2,FALSE)</f>
        <v>蘇進昌</v>
      </c>
    </row>
    <row r="10900" spans="6:19" hidden="1" x14ac:dyDescent="0.25">
      <c r="F10900" t="s">
        <v>625</v>
      </c>
      <c r="G10900" t="s">
        <v>426</v>
      </c>
      <c r="H10900" t="str">
        <f>VLOOKUP(record[[#This Row],[ProcessSN]],表格2_7[],2,FALSE)</f>
        <v>30-4118-018-600</v>
      </c>
      <c r="I10900" t="str">
        <f>VLOOKUP(record[[#This Row],[ProcessSN]],表格2_7[],3,FALSE)</f>
        <v>#100OQC</v>
      </c>
      <c r="J10900" t="s">
        <v>599</v>
      </c>
      <c r="K10900" s="195">
        <v>45647.631030092591</v>
      </c>
      <c r="L10900">
        <v>4</v>
      </c>
      <c r="M10900">
        <v>0</v>
      </c>
      <c r="N10900" s="98" t="str">
        <f>IF(record[[#This Row],[Memo]]="Browser:chrome os:android","平板報工",IF(record[[#This Row],[Memo]]=0,"委外",record[[#This Row],[Memo]]))</f>
        <v/>
      </c>
      <c r="O10900" t="s">
        <v>58</v>
      </c>
      <c r="P10900" t="s">
        <v>65</v>
      </c>
      <c r="Q10900" t="s">
        <v>58</v>
      </c>
      <c r="R10900" t="str">
        <f>IFERROR(VLOOKUP(record[[#This Row],[PCUSTID]],廠商[],2,FALSE),"")</f>
        <v/>
      </c>
      <c r="S10900" t="str">
        <f>VLOOKUP(record[[#This Row],[employeeID]],員工[],2,FALSE)</f>
        <v>蘇進昌</v>
      </c>
    </row>
    <row r="10901" spans="6:19" hidden="1" x14ac:dyDescent="0.25">
      <c r="F10901" t="s">
        <v>625</v>
      </c>
      <c r="G10901" t="s">
        <v>425</v>
      </c>
      <c r="H10901" t="str">
        <f>VLOOKUP(record[[#This Row],[ProcessSN]],表格2_7[],2,FALSE)</f>
        <v>30-4118-018-600</v>
      </c>
      <c r="I10901" t="str">
        <f>VLOOKUP(record[[#This Row],[ProcessSN]],表格2_7[],3,FALSE)</f>
        <v>#100</v>
      </c>
      <c r="J10901" t="s">
        <v>598</v>
      </c>
      <c r="K10901" s="195">
        <v>45647.630925925929</v>
      </c>
      <c r="L10901">
        <v>4</v>
      </c>
      <c r="M10901">
        <v>0</v>
      </c>
      <c r="N10901" s="98" t="str">
        <f>IF(record[[#This Row],[Memo]]="Browser:chrome os:android","平板報工",IF(record[[#This Row],[Memo]]=0,"委外",record[[#This Row],[Memo]]))</f>
        <v/>
      </c>
      <c r="O10901" t="s">
        <v>58</v>
      </c>
      <c r="P10901" t="s">
        <v>65</v>
      </c>
      <c r="Q10901" t="s">
        <v>58</v>
      </c>
      <c r="R10901" t="str">
        <f>IFERROR(VLOOKUP(record[[#This Row],[PCUSTID]],廠商[],2,FALSE),"")</f>
        <v/>
      </c>
      <c r="S10901" t="str">
        <f>VLOOKUP(record[[#This Row],[employeeID]],員工[],2,FALSE)</f>
        <v>蘇進昌</v>
      </c>
    </row>
    <row r="10902" spans="6:19" hidden="1" x14ac:dyDescent="0.25">
      <c r="F10902" t="s">
        <v>625</v>
      </c>
      <c r="G10902" t="s">
        <v>424</v>
      </c>
      <c r="H10902" t="str">
        <f>VLOOKUP(record[[#This Row],[ProcessSN]],表格2_7[],2,FALSE)</f>
        <v>30-4118-018-600</v>
      </c>
      <c r="I10902" t="str">
        <f>VLOOKUP(record[[#This Row],[ProcessSN]],表格2_7[],3,FALSE)</f>
        <v>#08IQC</v>
      </c>
      <c r="J10902" t="s">
        <v>583</v>
      </c>
      <c r="K10902" s="195">
        <v>45647.630810185183</v>
      </c>
      <c r="L10902">
        <v>326</v>
      </c>
      <c r="M10902">
        <v>0</v>
      </c>
      <c r="N10902" s="98" t="str">
        <f>IF(record[[#This Row],[Memo]]="Browser:chrome os:android","平板報工",IF(record[[#This Row],[Memo]]=0,"委外",record[[#This Row],[Memo]]))</f>
        <v/>
      </c>
      <c r="O10902" t="s">
        <v>58</v>
      </c>
      <c r="P10902" t="s">
        <v>65</v>
      </c>
      <c r="Q10902" t="s">
        <v>58</v>
      </c>
      <c r="R10902" t="str">
        <f>IFERROR(VLOOKUP(record[[#This Row],[PCUSTID]],廠商[],2,FALSE),"")</f>
        <v/>
      </c>
      <c r="S10902" t="str">
        <f>VLOOKUP(record[[#This Row],[employeeID]],員工[],2,FALSE)</f>
        <v>蘇進昌</v>
      </c>
    </row>
    <row r="10903" spans="6:19" hidden="1" x14ac:dyDescent="0.25">
      <c r="F10903" t="s">
        <v>625</v>
      </c>
      <c r="G10903" t="s">
        <v>423</v>
      </c>
      <c r="H10903" t="str">
        <f>VLOOKUP(record[[#This Row],[ProcessSN]],表格2_7[],2,FALSE)</f>
        <v>30-4118-018-600</v>
      </c>
      <c r="I10903" t="str">
        <f>VLOOKUP(record[[#This Row],[ProcessSN]],表格2_7[],3,FALSE)</f>
        <v>#08RCV</v>
      </c>
      <c r="J10903" t="s">
        <v>591</v>
      </c>
      <c r="K10903" s="195">
        <v>45647.630613425928</v>
      </c>
      <c r="L10903">
        <v>326</v>
      </c>
      <c r="M10903">
        <v>3</v>
      </c>
      <c r="N10903" s="98" t="str">
        <f>IF(record[[#This Row],[Memo]]="Browser:chrome os:android","平板報工",IF(record[[#This Row],[Memo]]=0,"委外",record[[#This Row],[Memo]]))</f>
        <v/>
      </c>
      <c r="O10903" t="s">
        <v>58</v>
      </c>
      <c r="P10903" t="s">
        <v>65</v>
      </c>
      <c r="Q10903" t="s">
        <v>58</v>
      </c>
      <c r="R10903" t="str">
        <f>IFERROR(VLOOKUP(record[[#This Row],[PCUSTID]],廠商[],2,FALSE),"")</f>
        <v/>
      </c>
      <c r="S10903" t="str">
        <f>VLOOKUP(record[[#This Row],[employeeID]],員工[],2,FALSE)</f>
        <v>蘇進昌</v>
      </c>
    </row>
    <row r="10904" spans="6:19" hidden="1" x14ac:dyDescent="0.25">
      <c r="F10904" t="s">
        <v>625</v>
      </c>
      <c r="G10904" t="s">
        <v>422</v>
      </c>
      <c r="H10904" t="str">
        <f>VLOOKUP(record[[#This Row],[ProcessSN]],表格2_7[],2,FALSE)</f>
        <v>30-4118-018-600</v>
      </c>
      <c r="I10904" t="str">
        <f>VLOOKUP(record[[#This Row],[ProcessSN]],表格2_7[],3,FALSE)</f>
        <v>#08</v>
      </c>
      <c r="J10904" t="s">
        <v>597</v>
      </c>
      <c r="K10904" s="195">
        <v>45647.630474537036</v>
      </c>
      <c r="L10904">
        <v>329</v>
      </c>
      <c r="M10904">
        <v>0</v>
      </c>
      <c r="N10904" s="98" t="str">
        <f>IF(record[[#This Row],[Memo]]="Browser:chrome os:android","平板報工",IF(record[[#This Row],[Memo]]=0,"委外",record[[#This Row],[Memo]]))</f>
        <v>委外</v>
      </c>
      <c r="P10904" t="s">
        <v>65</v>
      </c>
      <c r="Q10904" t="s">
        <v>287</v>
      </c>
      <c r="R10904" t="str">
        <f>IFERROR(VLOOKUP(record[[#This Row],[PCUSTID]],廠商[],2,FALSE),"")</f>
        <v>泉盛</v>
      </c>
      <c r="S10904" t="str">
        <f>VLOOKUP(record[[#This Row],[employeeID]],員工[],2,FALSE)</f>
        <v>蘇進昌</v>
      </c>
    </row>
    <row r="10905" spans="6:19" hidden="1" x14ac:dyDescent="0.25">
      <c r="F10905" t="s">
        <v>625</v>
      </c>
      <c r="G10905" t="s">
        <v>421</v>
      </c>
      <c r="H10905" t="str">
        <f>VLOOKUP(record[[#This Row],[ProcessSN]],表格2_7[],2,FALSE)</f>
        <v>30-4118-018-600</v>
      </c>
      <c r="I10905" t="str">
        <f>VLOOKUP(record[[#This Row],[ProcessSN]],表格2_7[],3,FALSE)</f>
        <v>#08PICK</v>
      </c>
      <c r="J10905" t="s">
        <v>582</v>
      </c>
      <c r="K10905" s="195">
        <v>45647.630347222221</v>
      </c>
      <c r="L10905">
        <v>329</v>
      </c>
      <c r="M10905">
        <v>0</v>
      </c>
      <c r="N10905" s="98" t="str">
        <f>IF(record[[#This Row],[Memo]]="Browser:chrome os:android","平板報工",IF(record[[#This Row],[Memo]]=0,"委外",record[[#This Row],[Memo]]))</f>
        <v>.</v>
      </c>
      <c r="O10905" t="s">
        <v>615</v>
      </c>
      <c r="P10905" t="s">
        <v>65</v>
      </c>
      <c r="Q10905" t="s">
        <v>58</v>
      </c>
      <c r="R10905" t="str">
        <f>IFERROR(VLOOKUP(record[[#This Row],[PCUSTID]],廠商[],2,FALSE),"")</f>
        <v/>
      </c>
      <c r="S10905" t="str">
        <f>VLOOKUP(record[[#This Row],[employeeID]],員工[],2,FALSE)</f>
        <v>蘇進昌</v>
      </c>
    </row>
    <row r="10906" spans="6:19" hidden="1" x14ac:dyDescent="0.25">
      <c r="F10906" t="s">
        <v>629</v>
      </c>
      <c r="G10906" t="s">
        <v>424</v>
      </c>
      <c r="H10906" t="str">
        <f>VLOOKUP(record[[#This Row],[ProcessSN]],表格2_7[],2,FALSE)</f>
        <v>30-4118-018-600</v>
      </c>
      <c r="I10906" t="str">
        <f>VLOOKUP(record[[#This Row],[ProcessSN]],表格2_7[],3,FALSE)</f>
        <v>#08IQC</v>
      </c>
      <c r="J10906" t="s">
        <v>583</v>
      </c>
      <c r="K10906" s="195">
        <v>45647.629756944443</v>
      </c>
      <c r="L10906">
        <v>474</v>
      </c>
      <c r="M10906">
        <v>0</v>
      </c>
      <c r="N10906" s="98" t="str">
        <f>IF(record[[#This Row],[Memo]]="Browser:chrome os:android","平板報工",IF(record[[#This Row],[Memo]]=0,"委外",record[[#This Row],[Memo]]))</f>
        <v/>
      </c>
      <c r="O10906" t="s">
        <v>58</v>
      </c>
      <c r="P10906" t="s">
        <v>65</v>
      </c>
      <c r="Q10906" t="s">
        <v>58</v>
      </c>
      <c r="R10906" t="str">
        <f>IFERROR(VLOOKUP(record[[#This Row],[PCUSTID]],廠商[],2,FALSE),"")</f>
        <v/>
      </c>
      <c r="S10906" t="str">
        <f>VLOOKUP(record[[#This Row],[employeeID]],員工[],2,FALSE)</f>
        <v>蘇進昌</v>
      </c>
    </row>
    <row r="10907" spans="6:19" hidden="1" x14ac:dyDescent="0.25">
      <c r="F10907" t="s">
        <v>629</v>
      </c>
      <c r="G10907" t="s">
        <v>423</v>
      </c>
      <c r="H10907" t="str">
        <f>VLOOKUP(record[[#This Row],[ProcessSN]],表格2_7[],2,FALSE)</f>
        <v>30-4118-018-600</v>
      </c>
      <c r="I10907" t="str">
        <f>VLOOKUP(record[[#This Row],[ProcessSN]],表格2_7[],3,FALSE)</f>
        <v>#08RCV</v>
      </c>
      <c r="J10907" t="s">
        <v>591</v>
      </c>
      <c r="K10907" s="195">
        <v>45647.629618055558</v>
      </c>
      <c r="L10907">
        <v>474</v>
      </c>
      <c r="M10907">
        <v>0</v>
      </c>
      <c r="N10907" s="98" t="str">
        <f>IF(record[[#This Row],[Memo]]="Browser:chrome os:android","平板報工",IF(record[[#This Row],[Memo]]=0,"委外",record[[#This Row],[Memo]]))</f>
        <v/>
      </c>
      <c r="O10907" t="s">
        <v>58</v>
      </c>
      <c r="P10907" t="s">
        <v>65</v>
      </c>
      <c r="Q10907" t="s">
        <v>58</v>
      </c>
      <c r="R10907" t="str">
        <f>IFERROR(VLOOKUP(record[[#This Row],[PCUSTID]],廠商[],2,FALSE),"")</f>
        <v/>
      </c>
      <c r="S10907" t="str">
        <f>VLOOKUP(record[[#This Row],[employeeID]],員工[],2,FALSE)</f>
        <v>蘇進昌</v>
      </c>
    </row>
    <row r="10908" spans="6:19" hidden="1" x14ac:dyDescent="0.25">
      <c r="F10908" t="s">
        <v>629</v>
      </c>
      <c r="G10908" t="s">
        <v>422</v>
      </c>
      <c r="H10908" t="str">
        <f>VLOOKUP(record[[#This Row],[ProcessSN]],表格2_7[],2,FALSE)</f>
        <v>30-4118-018-600</v>
      </c>
      <c r="I10908" t="str">
        <f>VLOOKUP(record[[#This Row],[ProcessSN]],表格2_7[],3,FALSE)</f>
        <v>#08</v>
      </c>
      <c r="J10908" t="s">
        <v>597</v>
      </c>
      <c r="K10908" s="195">
        <v>45647.629502314812</v>
      </c>
      <c r="L10908">
        <v>474</v>
      </c>
      <c r="M10908">
        <v>0</v>
      </c>
      <c r="N10908" s="98" t="str">
        <f>IF(record[[#This Row],[Memo]]="Browser:chrome os:android","平板報工",IF(record[[#This Row],[Memo]]=0,"委外",record[[#This Row],[Memo]]))</f>
        <v>委外</v>
      </c>
      <c r="P10908" t="s">
        <v>65</v>
      </c>
      <c r="Q10908" t="s">
        <v>287</v>
      </c>
      <c r="R10908" t="str">
        <f>IFERROR(VLOOKUP(record[[#This Row],[PCUSTID]],廠商[],2,FALSE),"")</f>
        <v>泉盛</v>
      </c>
      <c r="S10908" t="str">
        <f>VLOOKUP(record[[#This Row],[employeeID]],員工[],2,FALSE)</f>
        <v>蘇進昌</v>
      </c>
    </row>
    <row r="10909" spans="6:19" hidden="1" x14ac:dyDescent="0.25">
      <c r="F10909" t="s">
        <v>629</v>
      </c>
      <c r="G10909" t="s">
        <v>421</v>
      </c>
      <c r="H10909" t="str">
        <f>VLOOKUP(record[[#This Row],[ProcessSN]],表格2_7[],2,FALSE)</f>
        <v>30-4118-018-600</v>
      </c>
      <c r="I10909" t="str">
        <f>VLOOKUP(record[[#This Row],[ProcessSN]],表格2_7[],3,FALSE)</f>
        <v>#08PICK</v>
      </c>
      <c r="J10909" t="s">
        <v>582</v>
      </c>
      <c r="K10909" s="195">
        <v>45647.629444444443</v>
      </c>
      <c r="L10909">
        <v>474</v>
      </c>
      <c r="M10909">
        <v>0</v>
      </c>
      <c r="N10909" s="98" t="str">
        <f>IF(record[[#This Row],[Memo]]="Browser:chrome os:android","平板報工",IF(record[[#This Row],[Memo]]=0,"委外",record[[#This Row],[Memo]]))</f>
        <v/>
      </c>
      <c r="O10909" t="s">
        <v>58</v>
      </c>
      <c r="P10909" t="s">
        <v>65</v>
      </c>
      <c r="Q10909" t="s">
        <v>58</v>
      </c>
      <c r="R10909" t="str">
        <f>IFERROR(VLOOKUP(record[[#This Row],[PCUSTID]],廠商[],2,FALSE),"")</f>
        <v/>
      </c>
      <c r="S10909" t="str">
        <f>VLOOKUP(record[[#This Row],[employeeID]],員工[],2,FALSE)</f>
        <v>蘇進昌</v>
      </c>
    </row>
    <row r="10910" spans="6:19" hidden="1" x14ac:dyDescent="0.25">
      <c r="F10910" t="s">
        <v>624</v>
      </c>
      <c r="G10910" t="s">
        <v>427</v>
      </c>
      <c r="H10910" t="str">
        <f>VLOOKUP(record[[#This Row],[ProcessSN]],表格2_7[],2,FALSE)</f>
        <v>30-4118-018-600</v>
      </c>
      <c r="I10910" t="str">
        <f>VLOOKUP(record[[#This Row],[ProcessSN]],表格2_7[],3,FALSE)</f>
        <v>#100STOCK</v>
      </c>
      <c r="J10910" t="s">
        <v>592</v>
      </c>
      <c r="K10910" s="195">
        <v>45647.628935185188</v>
      </c>
      <c r="L10910">
        <v>52</v>
      </c>
      <c r="M10910">
        <v>0</v>
      </c>
      <c r="N10910" s="98" t="str">
        <f>IF(record[[#This Row],[Memo]]="Browser:chrome os:android","平板報工",IF(record[[#This Row],[Memo]]=0,"委外",record[[#This Row],[Memo]]))</f>
        <v/>
      </c>
      <c r="O10910" t="s">
        <v>58</v>
      </c>
      <c r="P10910" t="s">
        <v>65</v>
      </c>
      <c r="Q10910" t="s">
        <v>58</v>
      </c>
      <c r="R10910" t="str">
        <f>IFERROR(VLOOKUP(record[[#This Row],[PCUSTID]],廠商[],2,FALSE),"")</f>
        <v/>
      </c>
      <c r="S10910" t="str">
        <f>VLOOKUP(record[[#This Row],[employeeID]],員工[],2,FALSE)</f>
        <v>蘇進昌</v>
      </c>
    </row>
    <row r="10911" spans="6:19" hidden="1" x14ac:dyDescent="0.25">
      <c r="F10911" t="s">
        <v>624</v>
      </c>
      <c r="G10911" t="s">
        <v>426</v>
      </c>
      <c r="H10911" t="str">
        <f>VLOOKUP(record[[#This Row],[ProcessSN]],表格2_7[],2,FALSE)</f>
        <v>30-4118-018-600</v>
      </c>
      <c r="I10911" t="str">
        <f>VLOOKUP(record[[#This Row],[ProcessSN]],表格2_7[],3,FALSE)</f>
        <v>#100OQC</v>
      </c>
      <c r="J10911" t="s">
        <v>599</v>
      </c>
      <c r="K10911" s="195">
        <v>45647.628831018519</v>
      </c>
      <c r="L10911">
        <v>52</v>
      </c>
      <c r="M10911">
        <v>0</v>
      </c>
      <c r="N10911" s="98" t="str">
        <f>IF(record[[#This Row],[Memo]]="Browser:chrome os:android","平板報工",IF(record[[#This Row],[Memo]]=0,"委外",record[[#This Row],[Memo]]))</f>
        <v/>
      </c>
      <c r="O10911" t="s">
        <v>58</v>
      </c>
      <c r="P10911" t="s">
        <v>65</v>
      </c>
      <c r="Q10911" t="s">
        <v>58</v>
      </c>
      <c r="R10911" t="str">
        <f>IFERROR(VLOOKUP(record[[#This Row],[PCUSTID]],廠商[],2,FALSE),"")</f>
        <v/>
      </c>
      <c r="S10911" t="str">
        <f>VLOOKUP(record[[#This Row],[employeeID]],員工[],2,FALSE)</f>
        <v>蘇進昌</v>
      </c>
    </row>
    <row r="10912" spans="6:19" hidden="1" x14ac:dyDescent="0.25">
      <c r="F10912" t="s">
        <v>624</v>
      </c>
      <c r="G10912" t="s">
        <v>425</v>
      </c>
      <c r="H10912" t="str">
        <f>VLOOKUP(record[[#This Row],[ProcessSN]],表格2_7[],2,FALSE)</f>
        <v>30-4118-018-600</v>
      </c>
      <c r="I10912" t="str">
        <f>VLOOKUP(record[[#This Row],[ProcessSN]],表格2_7[],3,FALSE)</f>
        <v>#100</v>
      </c>
      <c r="J10912" t="s">
        <v>598</v>
      </c>
      <c r="K10912" s="195">
        <v>45647.628171296295</v>
      </c>
      <c r="L10912">
        <v>52</v>
      </c>
      <c r="M10912">
        <v>0</v>
      </c>
      <c r="N10912" s="98" t="str">
        <f>IF(record[[#This Row],[Memo]]="Browser:chrome os:android","平板報工",IF(record[[#This Row],[Memo]]=0,"委外",record[[#This Row],[Memo]]))</f>
        <v/>
      </c>
      <c r="O10912" t="s">
        <v>58</v>
      </c>
      <c r="P10912" t="s">
        <v>65</v>
      </c>
      <c r="Q10912" t="s">
        <v>58</v>
      </c>
      <c r="R10912" t="str">
        <f>IFERROR(VLOOKUP(record[[#This Row],[PCUSTID]],廠商[],2,FALSE),"")</f>
        <v/>
      </c>
      <c r="S10912" t="str">
        <f>VLOOKUP(record[[#This Row],[employeeID]],員工[],2,FALSE)</f>
        <v>蘇進昌</v>
      </c>
    </row>
    <row r="10913" spans="6:19" hidden="1" x14ac:dyDescent="0.25">
      <c r="F10913" t="s">
        <v>624</v>
      </c>
      <c r="G10913" t="s">
        <v>424</v>
      </c>
      <c r="H10913" t="str">
        <f>VLOOKUP(record[[#This Row],[ProcessSN]],表格2_7[],2,FALSE)</f>
        <v>30-4118-018-600</v>
      </c>
      <c r="I10913" t="str">
        <f>VLOOKUP(record[[#This Row],[ProcessSN]],表格2_7[],3,FALSE)</f>
        <v>#08IQC</v>
      </c>
      <c r="J10913" t="s">
        <v>583</v>
      </c>
      <c r="K10913" s="195">
        <v>45647.628101851849</v>
      </c>
      <c r="L10913">
        <v>321</v>
      </c>
      <c r="M10913">
        <v>0</v>
      </c>
      <c r="N10913" s="98" t="str">
        <f>IF(record[[#This Row],[Memo]]="Browser:chrome os:android","平板報工",IF(record[[#This Row],[Memo]]=0,"委外",record[[#This Row],[Memo]]))</f>
        <v/>
      </c>
      <c r="O10913" t="s">
        <v>58</v>
      </c>
      <c r="P10913" t="s">
        <v>65</v>
      </c>
      <c r="Q10913" t="s">
        <v>58</v>
      </c>
      <c r="R10913" t="str">
        <f>IFERROR(VLOOKUP(record[[#This Row],[PCUSTID]],廠商[],2,FALSE),"")</f>
        <v/>
      </c>
      <c r="S10913" t="str">
        <f>VLOOKUP(record[[#This Row],[employeeID]],員工[],2,FALSE)</f>
        <v>蘇進昌</v>
      </c>
    </row>
    <row r="10914" spans="6:19" hidden="1" x14ac:dyDescent="0.25">
      <c r="F10914" t="s">
        <v>624</v>
      </c>
      <c r="G10914" t="s">
        <v>423</v>
      </c>
      <c r="H10914" t="str">
        <f>VLOOKUP(record[[#This Row],[ProcessSN]],表格2_7[],2,FALSE)</f>
        <v>30-4118-018-600</v>
      </c>
      <c r="I10914" t="str">
        <f>VLOOKUP(record[[#This Row],[ProcessSN]],表格2_7[],3,FALSE)</f>
        <v>#08RCV</v>
      </c>
      <c r="J10914" t="s">
        <v>591</v>
      </c>
      <c r="K10914" s="195">
        <v>45647.627986111111</v>
      </c>
      <c r="L10914">
        <v>321</v>
      </c>
      <c r="M10914">
        <v>3</v>
      </c>
      <c r="N10914" s="98" t="str">
        <f>IF(record[[#This Row],[Memo]]="Browser:chrome os:android","平板報工",IF(record[[#This Row],[Memo]]=0,"委外",record[[#This Row],[Memo]]))</f>
        <v/>
      </c>
      <c r="O10914" t="s">
        <v>58</v>
      </c>
      <c r="P10914" t="s">
        <v>65</v>
      </c>
      <c r="Q10914" t="s">
        <v>58</v>
      </c>
      <c r="R10914" t="str">
        <f>IFERROR(VLOOKUP(record[[#This Row],[PCUSTID]],廠商[],2,FALSE),"")</f>
        <v/>
      </c>
      <c r="S10914" t="str">
        <f>VLOOKUP(record[[#This Row],[employeeID]],員工[],2,FALSE)</f>
        <v>蘇進昌</v>
      </c>
    </row>
    <row r="10915" spans="6:19" hidden="1" x14ac:dyDescent="0.25">
      <c r="F10915" t="s">
        <v>624</v>
      </c>
      <c r="G10915" t="s">
        <v>422</v>
      </c>
      <c r="H10915" t="str">
        <f>VLOOKUP(record[[#This Row],[ProcessSN]],表格2_7[],2,FALSE)</f>
        <v>30-4118-018-600</v>
      </c>
      <c r="I10915" t="str">
        <f>VLOOKUP(record[[#This Row],[ProcessSN]],表格2_7[],3,FALSE)</f>
        <v>#08</v>
      </c>
      <c r="J10915" t="s">
        <v>597</v>
      </c>
      <c r="K10915" s="195">
        <v>45647.627893518518</v>
      </c>
      <c r="L10915">
        <v>324</v>
      </c>
      <c r="M10915">
        <v>0</v>
      </c>
      <c r="N10915" s="98" t="str">
        <f>IF(record[[#This Row],[Memo]]="Browser:chrome os:android","平板報工",IF(record[[#This Row],[Memo]]=0,"委外",record[[#This Row],[Memo]]))</f>
        <v>委外</v>
      </c>
      <c r="P10915" t="s">
        <v>65</v>
      </c>
      <c r="Q10915" t="s">
        <v>287</v>
      </c>
      <c r="R10915" t="str">
        <f>IFERROR(VLOOKUP(record[[#This Row],[PCUSTID]],廠商[],2,FALSE),"")</f>
        <v>泉盛</v>
      </c>
      <c r="S10915" t="str">
        <f>VLOOKUP(record[[#This Row],[employeeID]],員工[],2,FALSE)</f>
        <v>蘇進昌</v>
      </c>
    </row>
    <row r="10916" spans="6:19" hidden="1" x14ac:dyDescent="0.25">
      <c r="F10916" t="s">
        <v>624</v>
      </c>
      <c r="G10916" t="s">
        <v>421</v>
      </c>
      <c r="H10916" t="str">
        <f>VLOOKUP(record[[#This Row],[ProcessSN]],表格2_7[],2,FALSE)</f>
        <v>30-4118-018-600</v>
      </c>
      <c r="I10916" t="str">
        <f>VLOOKUP(record[[#This Row],[ProcessSN]],表格2_7[],3,FALSE)</f>
        <v>#08PICK</v>
      </c>
      <c r="J10916" t="s">
        <v>582</v>
      </c>
      <c r="K10916" s="195">
        <v>45647.627824074072</v>
      </c>
      <c r="L10916">
        <v>324</v>
      </c>
      <c r="M10916">
        <v>0</v>
      </c>
      <c r="N10916" s="98" t="str">
        <f>IF(record[[#This Row],[Memo]]="Browser:chrome os:android","平板報工",IF(record[[#This Row],[Memo]]=0,"委外",record[[#This Row],[Memo]]))</f>
        <v/>
      </c>
      <c r="O10916" t="s">
        <v>58</v>
      </c>
      <c r="P10916" t="s">
        <v>65</v>
      </c>
      <c r="Q10916" t="s">
        <v>58</v>
      </c>
      <c r="R10916" t="str">
        <f>IFERROR(VLOOKUP(record[[#This Row],[PCUSTID]],廠商[],2,FALSE),"")</f>
        <v/>
      </c>
      <c r="S10916" t="str">
        <f>VLOOKUP(record[[#This Row],[employeeID]],員工[],2,FALSE)</f>
        <v>蘇進昌</v>
      </c>
    </row>
    <row r="10917" spans="6:19" hidden="1" x14ac:dyDescent="0.25">
      <c r="F10917" t="s">
        <v>623</v>
      </c>
      <c r="G10917" t="s">
        <v>424</v>
      </c>
      <c r="H10917" t="str">
        <f>VLOOKUP(record[[#This Row],[ProcessSN]],表格2_7[],2,FALSE)</f>
        <v>30-4118-018-600</v>
      </c>
      <c r="I10917" t="str">
        <f>VLOOKUP(record[[#This Row],[ProcessSN]],表格2_7[],3,FALSE)</f>
        <v>#08IQC</v>
      </c>
      <c r="J10917" t="s">
        <v>583</v>
      </c>
      <c r="K10917" s="195">
        <v>45647.627314814818</v>
      </c>
      <c r="L10917">
        <v>164</v>
      </c>
      <c r="M10917">
        <v>0</v>
      </c>
      <c r="N10917" s="98" t="str">
        <f>IF(record[[#This Row],[Memo]]="Browser:chrome os:android","平板報工",IF(record[[#This Row],[Memo]]=0,"委外",record[[#This Row],[Memo]]))</f>
        <v/>
      </c>
      <c r="O10917" t="s">
        <v>58</v>
      </c>
      <c r="P10917" t="s">
        <v>65</v>
      </c>
      <c r="Q10917" t="s">
        <v>58</v>
      </c>
      <c r="R10917" t="str">
        <f>IFERROR(VLOOKUP(record[[#This Row],[PCUSTID]],廠商[],2,FALSE),"")</f>
        <v/>
      </c>
      <c r="S10917" t="str">
        <f>VLOOKUP(record[[#This Row],[employeeID]],員工[],2,FALSE)</f>
        <v>蘇進昌</v>
      </c>
    </row>
    <row r="10918" spans="6:19" hidden="1" x14ac:dyDescent="0.25">
      <c r="F10918" t="s">
        <v>623</v>
      </c>
      <c r="G10918" t="s">
        <v>423</v>
      </c>
      <c r="H10918" t="str">
        <f>VLOOKUP(record[[#This Row],[ProcessSN]],表格2_7[],2,FALSE)</f>
        <v>30-4118-018-600</v>
      </c>
      <c r="I10918" t="str">
        <f>VLOOKUP(record[[#This Row],[ProcessSN]],表格2_7[],3,FALSE)</f>
        <v>#08RCV</v>
      </c>
      <c r="J10918" t="s">
        <v>591</v>
      </c>
      <c r="K10918" s="195">
        <v>45647.627129629633</v>
      </c>
      <c r="L10918">
        <v>164</v>
      </c>
      <c r="M10918">
        <v>1</v>
      </c>
      <c r="N10918" s="98" t="str">
        <f>IF(record[[#This Row],[Memo]]="Browser:chrome os:android","平板報工",IF(record[[#This Row],[Memo]]=0,"委外",record[[#This Row],[Memo]]))</f>
        <v/>
      </c>
      <c r="O10918" t="s">
        <v>58</v>
      </c>
      <c r="P10918" t="s">
        <v>65</v>
      </c>
      <c r="Q10918" t="s">
        <v>58</v>
      </c>
      <c r="R10918" t="str">
        <f>IFERROR(VLOOKUP(record[[#This Row],[PCUSTID]],廠商[],2,FALSE),"")</f>
        <v/>
      </c>
      <c r="S10918" t="str">
        <f>VLOOKUP(record[[#This Row],[employeeID]],員工[],2,FALSE)</f>
        <v>蘇進昌</v>
      </c>
    </row>
    <row r="10919" spans="6:19" hidden="1" x14ac:dyDescent="0.25">
      <c r="F10919" t="s">
        <v>623</v>
      </c>
      <c r="G10919" t="s">
        <v>422</v>
      </c>
      <c r="H10919" t="str">
        <f>VLOOKUP(record[[#This Row],[ProcessSN]],表格2_7[],2,FALSE)</f>
        <v>30-4118-018-600</v>
      </c>
      <c r="I10919" t="str">
        <f>VLOOKUP(record[[#This Row],[ProcessSN]],表格2_7[],3,FALSE)</f>
        <v>#08</v>
      </c>
      <c r="J10919" t="s">
        <v>597</v>
      </c>
      <c r="K10919" s="195">
        <v>45647.62704861111</v>
      </c>
      <c r="L10919">
        <v>165</v>
      </c>
      <c r="M10919">
        <v>0</v>
      </c>
      <c r="N10919" s="98" t="str">
        <f>IF(record[[#This Row],[Memo]]="Browser:chrome os:android","平板報工",IF(record[[#This Row],[Memo]]=0,"委外",record[[#This Row],[Memo]]))</f>
        <v>委外</v>
      </c>
      <c r="P10919" t="s">
        <v>65</v>
      </c>
      <c r="Q10919" t="s">
        <v>287</v>
      </c>
      <c r="R10919" t="str">
        <f>IFERROR(VLOOKUP(record[[#This Row],[PCUSTID]],廠商[],2,FALSE),"")</f>
        <v>泉盛</v>
      </c>
      <c r="S10919" t="str">
        <f>VLOOKUP(record[[#This Row],[employeeID]],員工[],2,FALSE)</f>
        <v>蘇進昌</v>
      </c>
    </row>
    <row r="10920" spans="6:19" hidden="1" x14ac:dyDescent="0.25">
      <c r="F10920" t="s">
        <v>623</v>
      </c>
      <c r="G10920" t="s">
        <v>421</v>
      </c>
      <c r="H10920" t="str">
        <f>VLOOKUP(record[[#This Row],[ProcessSN]],表格2_7[],2,FALSE)</f>
        <v>30-4118-018-600</v>
      </c>
      <c r="I10920" t="str">
        <f>VLOOKUP(record[[#This Row],[ProcessSN]],表格2_7[],3,FALSE)</f>
        <v>#08PICK</v>
      </c>
      <c r="J10920" t="s">
        <v>582</v>
      </c>
      <c r="K10920" s="195">
        <v>45647.626979166664</v>
      </c>
      <c r="L10920">
        <v>165</v>
      </c>
      <c r="M10920">
        <v>0</v>
      </c>
      <c r="N10920" s="98" t="str">
        <f>IF(record[[#This Row],[Memo]]="Browser:chrome os:android","平板報工",IF(record[[#This Row],[Memo]]=0,"委外",record[[#This Row],[Memo]]))</f>
        <v/>
      </c>
      <c r="O10920" t="s">
        <v>58</v>
      </c>
      <c r="P10920" t="s">
        <v>65</v>
      </c>
      <c r="Q10920" t="s">
        <v>58</v>
      </c>
      <c r="R10920" t="str">
        <f>IFERROR(VLOOKUP(record[[#This Row],[PCUSTID]],廠商[],2,FALSE),"")</f>
        <v/>
      </c>
      <c r="S10920" t="str">
        <f>VLOOKUP(record[[#This Row],[employeeID]],員工[],2,FALSE)</f>
        <v>蘇進昌</v>
      </c>
    </row>
    <row r="10921" spans="6:19" hidden="1" x14ac:dyDescent="0.25">
      <c r="F10921" t="s">
        <v>622</v>
      </c>
      <c r="G10921" t="s">
        <v>428</v>
      </c>
      <c r="H10921" t="str">
        <f>VLOOKUP(record[[#This Row],[ProcessSN]],表格2_7[],2,FALSE)</f>
        <v>30-4118-018-600</v>
      </c>
      <c r="I10921" t="str">
        <f>VLOOKUP(record[[#This Row],[ProcessSN]],表格2_7[],3,FALSE)</f>
        <v>#100SHIP</v>
      </c>
      <c r="J10921" t="s">
        <v>600</v>
      </c>
      <c r="K10921" s="195">
        <v>45647.626435185186</v>
      </c>
      <c r="L10921">
        <v>335</v>
      </c>
      <c r="M10921">
        <v>0</v>
      </c>
      <c r="N10921" s="98" t="str">
        <f>IF(record[[#This Row],[Memo]]="Browser:chrome os:android","平板報工",IF(record[[#This Row],[Memo]]=0,"委外",record[[#This Row],[Memo]]))</f>
        <v/>
      </c>
      <c r="O10921" t="s">
        <v>58</v>
      </c>
      <c r="P10921" t="s">
        <v>65</v>
      </c>
      <c r="Q10921" t="s">
        <v>58</v>
      </c>
      <c r="R10921" t="str">
        <f>IFERROR(VLOOKUP(record[[#This Row],[PCUSTID]],廠商[],2,FALSE),"")</f>
        <v/>
      </c>
      <c r="S10921" t="str">
        <f>VLOOKUP(record[[#This Row],[employeeID]],員工[],2,FALSE)</f>
        <v>蘇進昌</v>
      </c>
    </row>
    <row r="10922" spans="6:19" hidden="1" x14ac:dyDescent="0.25">
      <c r="F10922" t="s">
        <v>622</v>
      </c>
      <c r="G10922" t="s">
        <v>427</v>
      </c>
      <c r="H10922" t="str">
        <f>VLOOKUP(record[[#This Row],[ProcessSN]],表格2_7[],2,FALSE)</f>
        <v>30-4118-018-600</v>
      </c>
      <c r="I10922" t="str">
        <f>VLOOKUP(record[[#This Row],[ProcessSN]],表格2_7[],3,FALSE)</f>
        <v>#100STOCK</v>
      </c>
      <c r="J10922" t="s">
        <v>592</v>
      </c>
      <c r="K10922" s="195">
        <v>45647.626273148147</v>
      </c>
      <c r="L10922">
        <v>451</v>
      </c>
      <c r="M10922">
        <v>0</v>
      </c>
      <c r="N10922" s="98" t="str">
        <f>IF(record[[#This Row],[Memo]]="Browser:chrome os:android","平板報工",IF(record[[#This Row],[Memo]]=0,"委外",record[[#This Row],[Memo]]))</f>
        <v/>
      </c>
      <c r="O10922" t="s">
        <v>58</v>
      </c>
      <c r="P10922" t="s">
        <v>65</v>
      </c>
      <c r="Q10922" t="s">
        <v>58</v>
      </c>
      <c r="R10922" t="str">
        <f>IFERROR(VLOOKUP(record[[#This Row],[PCUSTID]],廠商[],2,FALSE),"")</f>
        <v/>
      </c>
      <c r="S10922" t="str">
        <f>VLOOKUP(record[[#This Row],[employeeID]],員工[],2,FALSE)</f>
        <v>蘇進昌</v>
      </c>
    </row>
    <row r="10923" spans="6:19" hidden="1" x14ac:dyDescent="0.25">
      <c r="F10923" t="s">
        <v>622</v>
      </c>
      <c r="G10923" t="s">
        <v>426</v>
      </c>
      <c r="H10923" t="str">
        <f>VLOOKUP(record[[#This Row],[ProcessSN]],表格2_7[],2,FALSE)</f>
        <v>30-4118-018-600</v>
      </c>
      <c r="I10923" t="str">
        <f>VLOOKUP(record[[#This Row],[ProcessSN]],表格2_7[],3,FALSE)</f>
        <v>#100OQC</v>
      </c>
      <c r="J10923" t="s">
        <v>599</v>
      </c>
      <c r="K10923" s="195">
        <v>45647.626192129632</v>
      </c>
      <c r="L10923">
        <v>451</v>
      </c>
      <c r="M10923">
        <v>0</v>
      </c>
      <c r="N10923" s="98" t="str">
        <f>IF(record[[#This Row],[Memo]]="Browser:chrome os:android","平板報工",IF(record[[#This Row],[Memo]]=0,"委外",record[[#This Row],[Memo]]))</f>
        <v/>
      </c>
      <c r="O10923" t="s">
        <v>58</v>
      </c>
      <c r="P10923" t="s">
        <v>65</v>
      </c>
      <c r="Q10923" t="s">
        <v>58</v>
      </c>
      <c r="R10923" t="str">
        <f>IFERROR(VLOOKUP(record[[#This Row],[PCUSTID]],廠商[],2,FALSE),"")</f>
        <v/>
      </c>
      <c r="S10923" t="str">
        <f>VLOOKUP(record[[#This Row],[employeeID]],員工[],2,FALSE)</f>
        <v>蘇進昌</v>
      </c>
    </row>
    <row r="10924" spans="6:19" hidden="1" x14ac:dyDescent="0.25">
      <c r="F10924" t="s">
        <v>622</v>
      </c>
      <c r="G10924" t="s">
        <v>425</v>
      </c>
      <c r="H10924" t="str">
        <f>VLOOKUP(record[[#This Row],[ProcessSN]],表格2_7[],2,FALSE)</f>
        <v>30-4118-018-600</v>
      </c>
      <c r="I10924" t="str">
        <f>VLOOKUP(record[[#This Row],[ProcessSN]],表格2_7[],3,FALSE)</f>
        <v>#100</v>
      </c>
      <c r="J10924" t="s">
        <v>598</v>
      </c>
      <c r="K10924" s="195">
        <v>45647.626064814816</v>
      </c>
      <c r="L10924">
        <v>451</v>
      </c>
      <c r="M10924">
        <v>4</v>
      </c>
      <c r="N10924" s="98" t="str">
        <f>IF(record[[#This Row],[Memo]]="Browser:chrome os:android","平板報工",IF(record[[#This Row],[Memo]]=0,"委外",record[[#This Row],[Memo]]))</f>
        <v/>
      </c>
      <c r="O10924" t="s">
        <v>58</v>
      </c>
      <c r="P10924" t="s">
        <v>65</v>
      </c>
      <c r="Q10924" t="s">
        <v>58</v>
      </c>
      <c r="R10924" t="str">
        <f>IFERROR(VLOOKUP(record[[#This Row],[PCUSTID]],廠商[],2,FALSE),"")</f>
        <v/>
      </c>
      <c r="S10924" t="str">
        <f>VLOOKUP(record[[#This Row],[employeeID]],員工[],2,FALSE)</f>
        <v>蘇進昌</v>
      </c>
    </row>
    <row r="10925" spans="6:19" hidden="1" x14ac:dyDescent="0.25">
      <c r="F10925" t="s">
        <v>622</v>
      </c>
      <c r="G10925" t="s">
        <v>424</v>
      </c>
      <c r="H10925" t="str">
        <f>VLOOKUP(record[[#This Row],[ProcessSN]],表格2_7[],2,FALSE)</f>
        <v>30-4118-018-600</v>
      </c>
      <c r="I10925" t="str">
        <f>VLOOKUP(record[[#This Row],[ProcessSN]],表格2_7[],3,FALSE)</f>
        <v>#08IQC</v>
      </c>
      <c r="J10925" t="s">
        <v>583</v>
      </c>
      <c r="K10925" s="195">
        <v>45647.625937500001</v>
      </c>
      <c r="L10925">
        <v>455</v>
      </c>
      <c r="M10925">
        <v>0</v>
      </c>
      <c r="N10925" s="98" t="str">
        <f>IF(record[[#This Row],[Memo]]="Browser:chrome os:android","平板報工",IF(record[[#This Row],[Memo]]=0,"委外",record[[#This Row],[Memo]]))</f>
        <v/>
      </c>
      <c r="O10925" t="s">
        <v>58</v>
      </c>
      <c r="P10925" t="s">
        <v>65</v>
      </c>
      <c r="Q10925" t="s">
        <v>58</v>
      </c>
      <c r="R10925" t="str">
        <f>IFERROR(VLOOKUP(record[[#This Row],[PCUSTID]],廠商[],2,FALSE),"")</f>
        <v/>
      </c>
      <c r="S10925" t="str">
        <f>VLOOKUP(record[[#This Row],[employeeID]],員工[],2,FALSE)</f>
        <v>蘇進昌</v>
      </c>
    </row>
    <row r="10926" spans="6:19" hidden="1" x14ac:dyDescent="0.25">
      <c r="F10926" t="s">
        <v>622</v>
      </c>
      <c r="G10926" t="s">
        <v>423</v>
      </c>
      <c r="H10926" t="str">
        <f>VLOOKUP(record[[#This Row],[ProcessSN]],表格2_7[],2,FALSE)</f>
        <v>30-4118-018-600</v>
      </c>
      <c r="I10926" t="str">
        <f>VLOOKUP(record[[#This Row],[ProcessSN]],表格2_7[],3,FALSE)</f>
        <v>#08RCV</v>
      </c>
      <c r="J10926" t="s">
        <v>591</v>
      </c>
      <c r="K10926" s="195">
        <v>45647.625763888886</v>
      </c>
      <c r="L10926">
        <v>455</v>
      </c>
      <c r="M10926">
        <v>5</v>
      </c>
      <c r="N10926" s="98" t="str">
        <f>IF(record[[#This Row],[Memo]]="Browser:chrome os:android","平板報工",IF(record[[#This Row],[Memo]]=0,"委外",record[[#This Row],[Memo]]))</f>
        <v/>
      </c>
      <c r="O10926" t="s">
        <v>58</v>
      </c>
      <c r="P10926" t="s">
        <v>65</v>
      </c>
      <c r="Q10926" t="s">
        <v>58</v>
      </c>
      <c r="R10926" t="str">
        <f>IFERROR(VLOOKUP(record[[#This Row],[PCUSTID]],廠商[],2,FALSE),"")</f>
        <v/>
      </c>
      <c r="S10926" t="str">
        <f>VLOOKUP(record[[#This Row],[employeeID]],員工[],2,FALSE)</f>
        <v>蘇進昌</v>
      </c>
    </row>
    <row r="10927" spans="6:19" hidden="1" x14ac:dyDescent="0.25">
      <c r="F10927" t="s">
        <v>622</v>
      </c>
      <c r="G10927" t="s">
        <v>422</v>
      </c>
      <c r="H10927" t="str">
        <f>VLOOKUP(record[[#This Row],[ProcessSN]],表格2_7[],2,FALSE)</f>
        <v>30-4118-018-600</v>
      </c>
      <c r="I10927" t="str">
        <f>VLOOKUP(record[[#This Row],[ProcessSN]],表格2_7[],3,FALSE)</f>
        <v>#08</v>
      </c>
      <c r="J10927" t="s">
        <v>597</v>
      </c>
      <c r="K10927" s="195">
        <v>45647.625694444447</v>
      </c>
      <c r="L10927">
        <v>460</v>
      </c>
      <c r="M10927">
        <v>0</v>
      </c>
      <c r="N10927" s="98" t="str">
        <f>IF(record[[#This Row],[Memo]]="Browser:chrome os:android","平板報工",IF(record[[#This Row],[Memo]]=0,"委外",record[[#This Row],[Memo]]))</f>
        <v>委外</v>
      </c>
      <c r="P10927" t="s">
        <v>65</v>
      </c>
      <c r="Q10927" t="s">
        <v>287</v>
      </c>
      <c r="R10927" t="str">
        <f>IFERROR(VLOOKUP(record[[#This Row],[PCUSTID]],廠商[],2,FALSE),"")</f>
        <v>泉盛</v>
      </c>
      <c r="S10927" t="str">
        <f>VLOOKUP(record[[#This Row],[employeeID]],員工[],2,FALSE)</f>
        <v>蘇進昌</v>
      </c>
    </row>
    <row r="10928" spans="6:19" hidden="1" x14ac:dyDescent="0.25">
      <c r="F10928" t="s">
        <v>622</v>
      </c>
      <c r="G10928" t="s">
        <v>421</v>
      </c>
      <c r="H10928" t="str">
        <f>VLOOKUP(record[[#This Row],[ProcessSN]],表格2_7[],2,FALSE)</f>
        <v>30-4118-018-600</v>
      </c>
      <c r="I10928" t="str">
        <f>VLOOKUP(record[[#This Row],[ProcessSN]],表格2_7[],3,FALSE)</f>
        <v>#08PICK</v>
      </c>
      <c r="J10928" t="s">
        <v>582</v>
      </c>
      <c r="K10928" s="195">
        <v>45647.625636574077</v>
      </c>
      <c r="L10928">
        <v>460</v>
      </c>
      <c r="M10928">
        <v>0</v>
      </c>
      <c r="N10928" s="98" t="str">
        <f>IF(record[[#This Row],[Memo]]="Browser:chrome os:android","平板報工",IF(record[[#This Row],[Memo]]=0,"委外",record[[#This Row],[Memo]]))</f>
        <v/>
      </c>
      <c r="O10928" t="s">
        <v>58</v>
      </c>
      <c r="P10928" t="s">
        <v>65</v>
      </c>
      <c r="Q10928" t="s">
        <v>58</v>
      </c>
      <c r="R10928" t="str">
        <f>IFERROR(VLOOKUP(record[[#This Row],[PCUSTID]],廠商[],2,FALSE),"")</f>
        <v/>
      </c>
      <c r="S10928" t="str">
        <f>VLOOKUP(record[[#This Row],[employeeID]],員工[],2,FALSE)</f>
        <v>蘇進昌</v>
      </c>
    </row>
    <row r="10929" spans="6:19" hidden="1" x14ac:dyDescent="0.25">
      <c r="F10929" t="s">
        <v>621</v>
      </c>
      <c r="G10929" t="s">
        <v>428</v>
      </c>
      <c r="H10929" t="str">
        <f>VLOOKUP(record[[#This Row],[ProcessSN]],表格2_7[],2,FALSE)</f>
        <v>30-4118-018-600</v>
      </c>
      <c r="I10929" t="str">
        <f>VLOOKUP(record[[#This Row],[ProcessSN]],表格2_7[],3,FALSE)</f>
        <v>#100SHIP</v>
      </c>
      <c r="J10929" t="s">
        <v>600</v>
      </c>
      <c r="K10929" s="195">
        <v>45647.624745370369</v>
      </c>
      <c r="L10929">
        <v>3</v>
      </c>
      <c r="M10929">
        <v>0</v>
      </c>
      <c r="N10929" s="98" t="str">
        <f>IF(record[[#This Row],[Memo]]="Browser:chrome os:android","平板報工",IF(record[[#This Row],[Memo]]=0,"委外",record[[#This Row],[Memo]]))</f>
        <v/>
      </c>
      <c r="O10929" t="s">
        <v>58</v>
      </c>
      <c r="P10929" t="s">
        <v>65</v>
      </c>
      <c r="Q10929" t="s">
        <v>58</v>
      </c>
      <c r="R10929" t="str">
        <f>IFERROR(VLOOKUP(record[[#This Row],[PCUSTID]],廠商[],2,FALSE),"")</f>
        <v/>
      </c>
      <c r="S10929" t="str">
        <f>VLOOKUP(record[[#This Row],[employeeID]],員工[],2,FALSE)</f>
        <v>蘇進昌</v>
      </c>
    </row>
    <row r="10930" spans="6:19" hidden="1" x14ac:dyDescent="0.25">
      <c r="F10930" t="s">
        <v>621</v>
      </c>
      <c r="G10930" t="s">
        <v>427</v>
      </c>
      <c r="H10930" t="str">
        <f>VLOOKUP(record[[#This Row],[ProcessSN]],表格2_7[],2,FALSE)</f>
        <v>30-4118-018-600</v>
      </c>
      <c r="I10930" t="str">
        <f>VLOOKUP(record[[#This Row],[ProcessSN]],表格2_7[],3,FALSE)</f>
        <v>#100STOCK</v>
      </c>
      <c r="J10930" t="s">
        <v>592</v>
      </c>
      <c r="K10930" s="195">
        <v>45647.6246875</v>
      </c>
      <c r="L10930">
        <v>3</v>
      </c>
      <c r="M10930">
        <v>0</v>
      </c>
      <c r="N10930" s="98" t="str">
        <f>IF(record[[#This Row],[Memo]]="Browser:chrome os:android","平板報工",IF(record[[#This Row],[Memo]]=0,"委外",record[[#This Row],[Memo]]))</f>
        <v/>
      </c>
      <c r="O10930" t="s">
        <v>58</v>
      </c>
      <c r="P10930" t="s">
        <v>65</v>
      </c>
      <c r="Q10930" t="s">
        <v>58</v>
      </c>
      <c r="R10930" t="str">
        <f>IFERROR(VLOOKUP(record[[#This Row],[PCUSTID]],廠商[],2,FALSE),"")</f>
        <v/>
      </c>
      <c r="S10930" t="str">
        <f>VLOOKUP(record[[#This Row],[employeeID]],員工[],2,FALSE)</f>
        <v>蘇進昌</v>
      </c>
    </row>
    <row r="10931" spans="6:19" hidden="1" x14ac:dyDescent="0.25">
      <c r="F10931" t="s">
        <v>621</v>
      </c>
      <c r="G10931" t="s">
        <v>426</v>
      </c>
      <c r="H10931" t="str">
        <f>VLOOKUP(record[[#This Row],[ProcessSN]],表格2_7[],2,FALSE)</f>
        <v>30-4118-018-600</v>
      </c>
      <c r="I10931" t="str">
        <f>VLOOKUP(record[[#This Row],[ProcessSN]],表格2_7[],3,FALSE)</f>
        <v>#100OQC</v>
      </c>
      <c r="J10931" t="s">
        <v>599</v>
      </c>
      <c r="K10931" s="195">
        <v>45647.624618055554</v>
      </c>
      <c r="L10931">
        <v>3</v>
      </c>
      <c r="M10931">
        <v>0</v>
      </c>
      <c r="N10931" s="98" t="str">
        <f>IF(record[[#This Row],[Memo]]="Browser:chrome os:android","平板報工",IF(record[[#This Row],[Memo]]=0,"委外",record[[#This Row],[Memo]]))</f>
        <v/>
      </c>
      <c r="O10931" t="s">
        <v>58</v>
      </c>
      <c r="P10931" t="s">
        <v>65</v>
      </c>
      <c r="Q10931" t="s">
        <v>58</v>
      </c>
      <c r="R10931" t="str">
        <f>IFERROR(VLOOKUP(record[[#This Row],[PCUSTID]],廠商[],2,FALSE),"")</f>
        <v/>
      </c>
      <c r="S10931" t="str">
        <f>VLOOKUP(record[[#This Row],[employeeID]],員工[],2,FALSE)</f>
        <v>蘇進昌</v>
      </c>
    </row>
    <row r="10932" spans="6:19" hidden="1" x14ac:dyDescent="0.25">
      <c r="F10932" t="s">
        <v>621</v>
      </c>
      <c r="G10932" t="s">
        <v>425</v>
      </c>
      <c r="H10932" t="str">
        <f>VLOOKUP(record[[#This Row],[ProcessSN]],表格2_7[],2,FALSE)</f>
        <v>30-4118-018-600</v>
      </c>
      <c r="I10932" t="str">
        <f>VLOOKUP(record[[#This Row],[ProcessSN]],表格2_7[],3,FALSE)</f>
        <v>#100</v>
      </c>
      <c r="J10932" t="s">
        <v>598</v>
      </c>
      <c r="K10932" s="195">
        <v>45647.624548611115</v>
      </c>
      <c r="L10932">
        <v>3</v>
      </c>
      <c r="M10932">
        <v>0</v>
      </c>
      <c r="N10932" s="98" t="str">
        <f>IF(record[[#This Row],[Memo]]="Browser:chrome os:android","平板報工",IF(record[[#This Row],[Memo]]=0,"委外",record[[#This Row],[Memo]]))</f>
        <v/>
      </c>
      <c r="O10932" t="s">
        <v>58</v>
      </c>
      <c r="P10932" t="s">
        <v>65</v>
      </c>
      <c r="Q10932" t="s">
        <v>58</v>
      </c>
      <c r="R10932" t="str">
        <f>IFERROR(VLOOKUP(record[[#This Row],[PCUSTID]],廠商[],2,FALSE),"")</f>
        <v/>
      </c>
      <c r="S10932" t="str">
        <f>VLOOKUP(record[[#This Row],[employeeID]],員工[],2,FALSE)</f>
        <v>蘇進昌</v>
      </c>
    </row>
    <row r="10933" spans="6:19" hidden="1" x14ac:dyDescent="0.25">
      <c r="F10933" t="s">
        <v>621</v>
      </c>
      <c r="G10933" t="s">
        <v>424</v>
      </c>
      <c r="H10933" t="str">
        <f>VLOOKUP(record[[#This Row],[ProcessSN]],表格2_7[],2,FALSE)</f>
        <v>30-4118-018-600</v>
      </c>
      <c r="I10933" t="str">
        <f>VLOOKUP(record[[#This Row],[ProcessSN]],表格2_7[],3,FALSE)</f>
        <v>#08IQC</v>
      </c>
      <c r="J10933" t="s">
        <v>583</v>
      </c>
      <c r="K10933" s="195">
        <v>45647.624444444446</v>
      </c>
      <c r="L10933">
        <v>229</v>
      </c>
      <c r="M10933">
        <v>0</v>
      </c>
      <c r="N10933" s="98" t="str">
        <f>IF(record[[#This Row],[Memo]]="Browser:chrome os:android","平板報工",IF(record[[#This Row],[Memo]]=0,"委外",record[[#This Row],[Memo]]))</f>
        <v/>
      </c>
      <c r="O10933" t="s">
        <v>58</v>
      </c>
      <c r="P10933" t="s">
        <v>65</v>
      </c>
      <c r="Q10933" t="s">
        <v>58</v>
      </c>
      <c r="R10933" t="str">
        <f>IFERROR(VLOOKUP(record[[#This Row],[PCUSTID]],廠商[],2,FALSE),"")</f>
        <v/>
      </c>
      <c r="S10933" t="str">
        <f>VLOOKUP(record[[#This Row],[employeeID]],員工[],2,FALSE)</f>
        <v>蘇進昌</v>
      </c>
    </row>
    <row r="10934" spans="6:19" hidden="1" x14ac:dyDescent="0.25">
      <c r="F10934" t="s">
        <v>621</v>
      </c>
      <c r="G10934" t="s">
        <v>423</v>
      </c>
      <c r="H10934" t="str">
        <f>VLOOKUP(record[[#This Row],[ProcessSN]],表格2_7[],2,FALSE)</f>
        <v>30-4118-018-600</v>
      </c>
      <c r="I10934" t="str">
        <f>VLOOKUP(record[[#This Row],[ProcessSN]],表格2_7[],3,FALSE)</f>
        <v>#08RCV</v>
      </c>
      <c r="J10934" t="s">
        <v>591</v>
      </c>
      <c r="K10934" s="195">
        <v>45647.624108796299</v>
      </c>
      <c r="L10934">
        <v>229</v>
      </c>
      <c r="M10934">
        <v>21</v>
      </c>
      <c r="N10934" s="98" t="str">
        <f>IF(record[[#This Row],[Memo]]="Browser:chrome os:android","平板報工",IF(record[[#This Row],[Memo]]=0,"委外",record[[#This Row],[Memo]]))</f>
        <v/>
      </c>
      <c r="O10934" t="s">
        <v>58</v>
      </c>
      <c r="P10934" t="s">
        <v>65</v>
      </c>
      <c r="Q10934" t="s">
        <v>58</v>
      </c>
      <c r="R10934" t="str">
        <f>IFERROR(VLOOKUP(record[[#This Row],[PCUSTID]],廠商[],2,FALSE),"")</f>
        <v/>
      </c>
      <c r="S10934" t="str">
        <f>VLOOKUP(record[[#This Row],[employeeID]],員工[],2,FALSE)</f>
        <v>蘇進昌</v>
      </c>
    </row>
    <row r="10935" spans="6:19" hidden="1" x14ac:dyDescent="0.25">
      <c r="F10935" t="s">
        <v>621</v>
      </c>
      <c r="G10935" t="s">
        <v>422</v>
      </c>
      <c r="H10935" t="str">
        <f>VLOOKUP(record[[#This Row],[ProcessSN]],表格2_7[],2,FALSE)</f>
        <v>30-4118-018-600</v>
      </c>
      <c r="I10935" t="str">
        <f>VLOOKUP(record[[#This Row],[ProcessSN]],表格2_7[],3,FALSE)</f>
        <v>#08</v>
      </c>
      <c r="J10935" t="s">
        <v>597</v>
      </c>
      <c r="K10935" s="195">
        <v>45647.623865740738</v>
      </c>
      <c r="L10935">
        <v>250</v>
      </c>
      <c r="M10935">
        <v>0</v>
      </c>
      <c r="N10935" s="98" t="str">
        <f>IF(record[[#This Row],[Memo]]="Browser:chrome os:android","平板報工",IF(record[[#This Row],[Memo]]=0,"委外",record[[#This Row],[Memo]]))</f>
        <v>委外</v>
      </c>
      <c r="P10935" t="s">
        <v>65</v>
      </c>
      <c r="Q10935" t="s">
        <v>287</v>
      </c>
      <c r="R10935" t="str">
        <f>IFERROR(VLOOKUP(record[[#This Row],[PCUSTID]],廠商[],2,FALSE),"")</f>
        <v>泉盛</v>
      </c>
      <c r="S10935" t="str">
        <f>VLOOKUP(record[[#This Row],[employeeID]],員工[],2,FALSE)</f>
        <v>蘇進昌</v>
      </c>
    </row>
    <row r="10936" spans="6:19" hidden="1" x14ac:dyDescent="0.25">
      <c r="F10936" t="s">
        <v>621</v>
      </c>
      <c r="G10936" t="s">
        <v>421</v>
      </c>
      <c r="H10936" t="str">
        <f>VLOOKUP(record[[#This Row],[ProcessSN]],表格2_7[],2,FALSE)</f>
        <v>30-4118-018-600</v>
      </c>
      <c r="I10936" t="str">
        <f>VLOOKUP(record[[#This Row],[ProcessSN]],表格2_7[],3,FALSE)</f>
        <v>#08PICK</v>
      </c>
      <c r="J10936" t="s">
        <v>582</v>
      </c>
      <c r="K10936" s="195">
        <v>45647.622488425928</v>
      </c>
      <c r="L10936">
        <v>250</v>
      </c>
      <c r="M10936">
        <v>0</v>
      </c>
      <c r="N10936" s="98" t="str">
        <f>IF(record[[#This Row],[Memo]]="Browser:chrome os:android","平板報工",IF(record[[#This Row],[Memo]]=0,"委外",record[[#This Row],[Memo]]))</f>
        <v/>
      </c>
      <c r="O10936" t="s">
        <v>58</v>
      </c>
      <c r="P10936" t="s">
        <v>65</v>
      </c>
      <c r="Q10936" t="s">
        <v>58</v>
      </c>
      <c r="R10936" t="str">
        <f>IFERROR(VLOOKUP(record[[#This Row],[PCUSTID]],廠商[],2,FALSE),"")</f>
        <v/>
      </c>
      <c r="S10936" t="str">
        <f>VLOOKUP(record[[#This Row],[employeeID]],員工[],2,FALSE)</f>
        <v>蘇進昌</v>
      </c>
    </row>
    <row r="10937" spans="6:19" hidden="1" x14ac:dyDescent="0.25">
      <c r="F10937" t="s">
        <v>620</v>
      </c>
      <c r="G10937" t="s">
        <v>428</v>
      </c>
      <c r="H10937" t="str">
        <f>VLOOKUP(record[[#This Row],[ProcessSN]],表格2_7[],2,FALSE)</f>
        <v>30-4118-018-600</v>
      </c>
      <c r="I10937" t="str">
        <f>VLOOKUP(record[[#This Row],[ProcessSN]],表格2_7[],3,FALSE)</f>
        <v>#100SHIP</v>
      </c>
      <c r="J10937" t="s">
        <v>600</v>
      </c>
      <c r="K10937" s="195">
        <v>45647.621122685188</v>
      </c>
      <c r="L10937">
        <v>262</v>
      </c>
      <c r="M10937">
        <v>0</v>
      </c>
      <c r="N10937" s="98" t="str">
        <f>IF(record[[#This Row],[Memo]]="Browser:chrome os:android","平板報工",IF(record[[#This Row],[Memo]]=0,"委外",record[[#This Row],[Memo]]))</f>
        <v/>
      </c>
      <c r="O10937" t="s">
        <v>58</v>
      </c>
      <c r="P10937" t="s">
        <v>65</v>
      </c>
      <c r="Q10937" t="s">
        <v>58</v>
      </c>
      <c r="R10937" t="str">
        <f>IFERROR(VLOOKUP(record[[#This Row],[PCUSTID]],廠商[],2,FALSE),"")</f>
        <v/>
      </c>
      <c r="S10937" t="str">
        <f>VLOOKUP(record[[#This Row],[employeeID]],員工[],2,FALSE)</f>
        <v>蘇進昌</v>
      </c>
    </row>
    <row r="10938" spans="6:19" hidden="1" x14ac:dyDescent="0.25">
      <c r="F10938" t="s">
        <v>620</v>
      </c>
      <c r="G10938" t="s">
        <v>427</v>
      </c>
      <c r="H10938" t="str">
        <f>VLOOKUP(record[[#This Row],[ProcessSN]],表格2_7[],2,FALSE)</f>
        <v>30-4118-018-600</v>
      </c>
      <c r="I10938" t="str">
        <f>VLOOKUP(record[[#This Row],[ProcessSN]],表格2_7[],3,FALSE)</f>
        <v>#100STOCK</v>
      </c>
      <c r="J10938" t="s">
        <v>592</v>
      </c>
      <c r="K10938" s="195">
        <v>45647.620995370373</v>
      </c>
      <c r="L10938">
        <v>303</v>
      </c>
      <c r="M10938">
        <v>0</v>
      </c>
      <c r="N10938" s="98" t="str">
        <f>IF(record[[#This Row],[Memo]]="Browser:chrome os:android","平板報工",IF(record[[#This Row],[Memo]]=0,"委外",record[[#This Row],[Memo]]))</f>
        <v/>
      </c>
      <c r="O10938" t="s">
        <v>58</v>
      </c>
      <c r="P10938" t="s">
        <v>65</v>
      </c>
      <c r="Q10938" t="s">
        <v>58</v>
      </c>
      <c r="R10938" t="str">
        <f>IFERROR(VLOOKUP(record[[#This Row],[PCUSTID]],廠商[],2,FALSE),"")</f>
        <v/>
      </c>
      <c r="S10938" t="str">
        <f>VLOOKUP(record[[#This Row],[employeeID]],員工[],2,FALSE)</f>
        <v>蘇進昌</v>
      </c>
    </row>
    <row r="10939" spans="6:19" hidden="1" x14ac:dyDescent="0.25">
      <c r="F10939" t="s">
        <v>620</v>
      </c>
      <c r="G10939" t="s">
        <v>426</v>
      </c>
      <c r="H10939" t="str">
        <f>VLOOKUP(record[[#This Row],[ProcessSN]],表格2_7[],2,FALSE)</f>
        <v>30-4118-018-600</v>
      </c>
      <c r="I10939" t="str">
        <f>VLOOKUP(record[[#This Row],[ProcessSN]],表格2_7[],3,FALSE)</f>
        <v>#100OQC</v>
      </c>
      <c r="J10939" t="s">
        <v>599</v>
      </c>
      <c r="K10939" s="195">
        <v>45647.620868055557</v>
      </c>
      <c r="L10939">
        <v>303</v>
      </c>
      <c r="M10939">
        <v>0</v>
      </c>
      <c r="N10939" s="98" t="str">
        <f>IF(record[[#This Row],[Memo]]="Browser:chrome os:android","平板報工",IF(record[[#This Row],[Memo]]=0,"委外",record[[#This Row],[Memo]]))</f>
        <v/>
      </c>
      <c r="O10939" t="s">
        <v>58</v>
      </c>
      <c r="P10939" t="s">
        <v>65</v>
      </c>
      <c r="Q10939" t="s">
        <v>58</v>
      </c>
      <c r="R10939" t="str">
        <f>IFERROR(VLOOKUP(record[[#This Row],[PCUSTID]],廠商[],2,FALSE),"")</f>
        <v/>
      </c>
      <c r="S10939" t="str">
        <f>VLOOKUP(record[[#This Row],[employeeID]],員工[],2,FALSE)</f>
        <v>蘇進昌</v>
      </c>
    </row>
    <row r="10940" spans="6:19" hidden="1" x14ac:dyDescent="0.25">
      <c r="F10940" t="s">
        <v>620</v>
      </c>
      <c r="G10940" t="s">
        <v>425</v>
      </c>
      <c r="H10940" t="str">
        <f>VLOOKUP(record[[#This Row],[ProcessSN]],表格2_7[],2,FALSE)</f>
        <v>30-4118-018-600</v>
      </c>
      <c r="I10940" t="str">
        <f>VLOOKUP(record[[#This Row],[ProcessSN]],表格2_7[],3,FALSE)</f>
        <v>#100</v>
      </c>
      <c r="J10940" t="s">
        <v>598</v>
      </c>
      <c r="K10940" s="195">
        <v>45647.620810185188</v>
      </c>
      <c r="L10940">
        <v>303</v>
      </c>
      <c r="M10940">
        <v>6</v>
      </c>
      <c r="N10940" s="98" t="str">
        <f>IF(record[[#This Row],[Memo]]="Browser:chrome os:android","平板報工",IF(record[[#This Row],[Memo]]=0,"委外",record[[#This Row],[Memo]]))</f>
        <v/>
      </c>
      <c r="O10940" t="s">
        <v>58</v>
      </c>
      <c r="P10940" t="s">
        <v>65</v>
      </c>
      <c r="Q10940" t="s">
        <v>58</v>
      </c>
      <c r="R10940" t="str">
        <f>IFERROR(VLOOKUP(record[[#This Row],[PCUSTID]],廠商[],2,FALSE),"")</f>
        <v/>
      </c>
      <c r="S10940" t="str">
        <f>VLOOKUP(record[[#This Row],[employeeID]],員工[],2,FALSE)</f>
        <v>蘇進昌</v>
      </c>
    </row>
    <row r="10941" spans="6:19" hidden="1" x14ac:dyDescent="0.25">
      <c r="F10941" t="s">
        <v>620</v>
      </c>
      <c r="G10941" t="s">
        <v>424</v>
      </c>
      <c r="H10941" t="str">
        <f>VLOOKUP(record[[#This Row],[ProcessSN]],表格2_7[],2,FALSE)</f>
        <v>30-4118-018-600</v>
      </c>
      <c r="I10941" t="str">
        <f>VLOOKUP(record[[#This Row],[ProcessSN]],表格2_7[],3,FALSE)</f>
        <v>#08IQC</v>
      </c>
      <c r="J10941" t="s">
        <v>583</v>
      </c>
      <c r="K10941" s="195">
        <v>45647.620532407411</v>
      </c>
      <c r="L10941">
        <v>310</v>
      </c>
      <c r="M10941">
        <v>0</v>
      </c>
      <c r="N10941" s="98" t="str">
        <f>IF(record[[#This Row],[Memo]]="Browser:chrome os:android","平板報工",IF(record[[#This Row],[Memo]]=0,"委外",record[[#This Row],[Memo]]))</f>
        <v/>
      </c>
      <c r="O10941" t="s">
        <v>58</v>
      </c>
      <c r="P10941" t="s">
        <v>65</v>
      </c>
      <c r="Q10941" t="s">
        <v>58</v>
      </c>
      <c r="R10941" t="str">
        <f>IFERROR(VLOOKUP(record[[#This Row],[PCUSTID]],廠商[],2,FALSE),"")</f>
        <v/>
      </c>
      <c r="S10941" t="str">
        <f>VLOOKUP(record[[#This Row],[employeeID]],員工[],2,FALSE)</f>
        <v>蘇進昌</v>
      </c>
    </row>
    <row r="10942" spans="6:19" hidden="1" x14ac:dyDescent="0.25">
      <c r="F10942" t="s">
        <v>620</v>
      </c>
      <c r="G10942" t="s">
        <v>423</v>
      </c>
      <c r="H10942" t="str">
        <f>VLOOKUP(record[[#This Row],[ProcessSN]],表格2_7[],2,FALSE)</f>
        <v>30-4118-018-600</v>
      </c>
      <c r="I10942" t="str">
        <f>VLOOKUP(record[[#This Row],[ProcessSN]],表格2_7[],3,FALSE)</f>
        <v>#08RCV</v>
      </c>
      <c r="J10942" t="s">
        <v>591</v>
      </c>
      <c r="K10942" s="195">
        <v>45647.620196759257</v>
      </c>
      <c r="L10942">
        <v>310</v>
      </c>
      <c r="M10942">
        <v>11</v>
      </c>
      <c r="N10942" s="98" t="str">
        <f>IF(record[[#This Row],[Memo]]="Browser:chrome os:android","平板報工",IF(record[[#This Row],[Memo]]=0,"委外",record[[#This Row],[Memo]]))</f>
        <v/>
      </c>
      <c r="O10942" t="s">
        <v>58</v>
      </c>
      <c r="P10942" t="s">
        <v>65</v>
      </c>
      <c r="Q10942" t="s">
        <v>58</v>
      </c>
      <c r="R10942" t="str">
        <f>IFERROR(VLOOKUP(record[[#This Row],[PCUSTID]],廠商[],2,FALSE),"")</f>
        <v/>
      </c>
      <c r="S10942" t="str">
        <f>VLOOKUP(record[[#This Row],[employeeID]],員工[],2,FALSE)</f>
        <v>蘇進昌</v>
      </c>
    </row>
    <row r="10943" spans="6:19" hidden="1" x14ac:dyDescent="0.25">
      <c r="F10943" t="s">
        <v>620</v>
      </c>
      <c r="G10943" t="s">
        <v>422</v>
      </c>
      <c r="H10943" t="str">
        <f>VLOOKUP(record[[#This Row],[ProcessSN]],表格2_7[],2,FALSE)</f>
        <v>30-4118-018-600</v>
      </c>
      <c r="I10943" t="str">
        <f>VLOOKUP(record[[#This Row],[ProcessSN]],表格2_7[],3,FALSE)</f>
        <v>#08</v>
      </c>
      <c r="J10943" t="s">
        <v>597</v>
      </c>
      <c r="K10943" s="195">
        <v>45647.620138888888</v>
      </c>
      <c r="L10943">
        <v>321</v>
      </c>
      <c r="M10943">
        <v>0</v>
      </c>
      <c r="N10943" s="98" t="str">
        <f>IF(record[[#This Row],[Memo]]="Browser:chrome os:android","平板報工",IF(record[[#This Row],[Memo]]=0,"委外",record[[#This Row],[Memo]]))</f>
        <v>委外</v>
      </c>
      <c r="P10943" t="s">
        <v>65</v>
      </c>
      <c r="Q10943" t="s">
        <v>287</v>
      </c>
      <c r="R10943" t="str">
        <f>IFERROR(VLOOKUP(record[[#This Row],[PCUSTID]],廠商[],2,FALSE),"")</f>
        <v>泉盛</v>
      </c>
      <c r="S10943" t="str">
        <f>VLOOKUP(record[[#This Row],[employeeID]],員工[],2,FALSE)</f>
        <v>蘇進昌</v>
      </c>
    </row>
    <row r="10944" spans="6:19" hidden="1" x14ac:dyDescent="0.25">
      <c r="F10944" t="s">
        <v>620</v>
      </c>
      <c r="G10944" t="s">
        <v>421</v>
      </c>
      <c r="H10944" t="str">
        <f>VLOOKUP(record[[#This Row],[ProcessSN]],表格2_7[],2,FALSE)</f>
        <v>30-4118-018-600</v>
      </c>
      <c r="I10944" t="str">
        <f>VLOOKUP(record[[#This Row],[ProcessSN]],表格2_7[],3,FALSE)</f>
        <v>#08PICK</v>
      </c>
      <c r="J10944" t="s">
        <v>582</v>
      </c>
      <c r="K10944" s="195">
        <v>45647.620057870372</v>
      </c>
      <c r="L10944">
        <v>321</v>
      </c>
      <c r="M10944">
        <v>0</v>
      </c>
      <c r="N10944" s="98" t="str">
        <f>IF(record[[#This Row],[Memo]]="Browser:chrome os:android","平板報工",IF(record[[#This Row],[Memo]]=0,"委外",record[[#This Row],[Memo]]))</f>
        <v/>
      </c>
      <c r="O10944" t="s">
        <v>58</v>
      </c>
      <c r="P10944" t="s">
        <v>65</v>
      </c>
      <c r="Q10944" t="s">
        <v>58</v>
      </c>
      <c r="R10944" t="str">
        <f>IFERROR(VLOOKUP(record[[#This Row],[PCUSTID]],廠商[],2,FALSE),"")</f>
        <v/>
      </c>
      <c r="S10944" t="str">
        <f>VLOOKUP(record[[#This Row],[employeeID]],員工[],2,FALSE)</f>
        <v>蘇進昌</v>
      </c>
    </row>
    <row r="10945" spans="6:19" hidden="1" x14ac:dyDescent="0.25">
      <c r="F10945" t="s">
        <v>619</v>
      </c>
      <c r="G10945" t="s">
        <v>428</v>
      </c>
      <c r="H10945" t="str">
        <f>VLOOKUP(record[[#This Row],[ProcessSN]],表格2_7[],2,FALSE)</f>
        <v>30-4118-018-600</v>
      </c>
      <c r="I10945" t="str">
        <f>VLOOKUP(record[[#This Row],[ProcessSN]],表格2_7[],3,FALSE)</f>
        <v>#100SHIP</v>
      </c>
      <c r="J10945" t="s">
        <v>600</v>
      </c>
      <c r="K10945" s="195">
        <v>45647.619409722225</v>
      </c>
      <c r="L10945">
        <v>307</v>
      </c>
      <c r="M10945">
        <v>0</v>
      </c>
      <c r="N10945" s="98" t="str">
        <f>IF(record[[#This Row],[Memo]]="Browser:chrome os:android","平板報工",IF(record[[#This Row],[Memo]]=0,"委外",record[[#This Row],[Memo]]))</f>
        <v/>
      </c>
      <c r="O10945" t="s">
        <v>58</v>
      </c>
      <c r="P10945" t="s">
        <v>65</v>
      </c>
      <c r="Q10945" t="s">
        <v>58</v>
      </c>
      <c r="R10945" t="str">
        <f>IFERROR(VLOOKUP(record[[#This Row],[PCUSTID]],廠商[],2,FALSE),"")</f>
        <v/>
      </c>
      <c r="S10945" t="str">
        <f>VLOOKUP(record[[#This Row],[employeeID]],員工[],2,FALSE)</f>
        <v>蘇進昌</v>
      </c>
    </row>
    <row r="10946" spans="6:19" hidden="1" x14ac:dyDescent="0.25">
      <c r="F10946" t="s">
        <v>619</v>
      </c>
      <c r="G10946" t="s">
        <v>427</v>
      </c>
      <c r="H10946" t="str">
        <f>VLOOKUP(record[[#This Row],[ProcessSN]],表格2_7[],2,FALSE)</f>
        <v>30-4118-018-600</v>
      </c>
      <c r="I10946" t="str">
        <f>VLOOKUP(record[[#This Row],[ProcessSN]],表格2_7[],3,FALSE)</f>
        <v>#100STOCK</v>
      </c>
      <c r="J10946" t="s">
        <v>592</v>
      </c>
      <c r="K10946" s="195">
        <v>45647.619317129633</v>
      </c>
      <c r="L10946">
        <v>307</v>
      </c>
      <c r="M10946">
        <v>0</v>
      </c>
      <c r="N10946" s="98" t="str">
        <f>IF(record[[#This Row],[Memo]]="Browser:chrome os:android","平板報工",IF(record[[#This Row],[Memo]]=0,"委外",record[[#This Row],[Memo]]))</f>
        <v/>
      </c>
      <c r="O10946" t="s">
        <v>58</v>
      </c>
      <c r="P10946" t="s">
        <v>65</v>
      </c>
      <c r="Q10946" t="s">
        <v>58</v>
      </c>
      <c r="R10946" t="str">
        <f>IFERROR(VLOOKUP(record[[#This Row],[PCUSTID]],廠商[],2,FALSE),"")</f>
        <v/>
      </c>
      <c r="S10946" t="str">
        <f>VLOOKUP(record[[#This Row],[employeeID]],員工[],2,FALSE)</f>
        <v>蘇進昌</v>
      </c>
    </row>
    <row r="10947" spans="6:19" hidden="1" x14ac:dyDescent="0.25">
      <c r="F10947" t="s">
        <v>619</v>
      </c>
      <c r="G10947" t="s">
        <v>426</v>
      </c>
      <c r="H10947" t="str">
        <f>VLOOKUP(record[[#This Row],[ProcessSN]],表格2_7[],2,FALSE)</f>
        <v>30-4118-018-600</v>
      </c>
      <c r="I10947" t="str">
        <f>VLOOKUP(record[[#This Row],[ProcessSN]],表格2_7[],3,FALSE)</f>
        <v>#100OQC</v>
      </c>
      <c r="J10947" t="s">
        <v>599</v>
      </c>
      <c r="K10947" s="195">
        <v>45647.619259259256</v>
      </c>
      <c r="L10947">
        <v>307</v>
      </c>
      <c r="M10947">
        <v>0</v>
      </c>
      <c r="N10947" s="98" t="str">
        <f>IF(record[[#This Row],[Memo]]="Browser:chrome os:android","平板報工",IF(record[[#This Row],[Memo]]=0,"委外",record[[#This Row],[Memo]]))</f>
        <v/>
      </c>
      <c r="O10947" t="s">
        <v>58</v>
      </c>
      <c r="P10947" t="s">
        <v>65</v>
      </c>
      <c r="Q10947" t="s">
        <v>58</v>
      </c>
      <c r="R10947" t="str">
        <f>IFERROR(VLOOKUP(record[[#This Row],[PCUSTID]],廠商[],2,FALSE),"")</f>
        <v/>
      </c>
      <c r="S10947" t="str">
        <f>VLOOKUP(record[[#This Row],[employeeID]],員工[],2,FALSE)</f>
        <v>蘇進昌</v>
      </c>
    </row>
    <row r="10948" spans="6:19" hidden="1" x14ac:dyDescent="0.25">
      <c r="F10948" t="s">
        <v>619</v>
      </c>
      <c r="G10948" t="s">
        <v>425</v>
      </c>
      <c r="H10948" t="str">
        <f>VLOOKUP(record[[#This Row],[ProcessSN]],表格2_7[],2,FALSE)</f>
        <v>30-4118-018-600</v>
      </c>
      <c r="I10948" t="str">
        <f>VLOOKUP(record[[#This Row],[ProcessSN]],表格2_7[],3,FALSE)</f>
        <v>#100</v>
      </c>
      <c r="J10948" t="s">
        <v>598</v>
      </c>
      <c r="K10948" s="195">
        <v>45647.619166666664</v>
      </c>
      <c r="L10948">
        <v>307</v>
      </c>
      <c r="M10948">
        <v>0</v>
      </c>
      <c r="N10948" s="98" t="str">
        <f>IF(record[[#This Row],[Memo]]="Browser:chrome os:android","平板報工",IF(record[[#This Row],[Memo]]=0,"委外",record[[#This Row],[Memo]]))</f>
        <v/>
      </c>
      <c r="O10948" t="s">
        <v>58</v>
      </c>
      <c r="P10948" t="s">
        <v>65</v>
      </c>
      <c r="Q10948" t="s">
        <v>58</v>
      </c>
      <c r="R10948" t="str">
        <f>IFERROR(VLOOKUP(record[[#This Row],[PCUSTID]],廠商[],2,FALSE),"")</f>
        <v/>
      </c>
      <c r="S10948" t="str">
        <f>VLOOKUP(record[[#This Row],[employeeID]],員工[],2,FALSE)</f>
        <v>蘇進昌</v>
      </c>
    </row>
    <row r="10949" spans="6:19" hidden="1" x14ac:dyDescent="0.25">
      <c r="F10949" t="s">
        <v>619</v>
      </c>
      <c r="G10949" t="s">
        <v>424</v>
      </c>
      <c r="H10949" t="str">
        <f>VLOOKUP(record[[#This Row],[ProcessSN]],表格2_7[],2,FALSE)</f>
        <v>30-4118-018-600</v>
      </c>
      <c r="I10949" t="str">
        <f>VLOOKUP(record[[#This Row],[ProcessSN]],表格2_7[],3,FALSE)</f>
        <v>#08IQC</v>
      </c>
      <c r="J10949" t="s">
        <v>583</v>
      </c>
      <c r="K10949" s="195">
        <v>45647.618969907409</v>
      </c>
      <c r="L10949">
        <v>325</v>
      </c>
      <c r="M10949">
        <v>0</v>
      </c>
      <c r="N10949" s="98" t="str">
        <f>IF(record[[#This Row],[Memo]]="Browser:chrome os:android","平板報工",IF(record[[#This Row],[Memo]]=0,"委外",record[[#This Row],[Memo]]))</f>
        <v/>
      </c>
      <c r="O10949" t="s">
        <v>58</v>
      </c>
      <c r="P10949" t="s">
        <v>65</v>
      </c>
      <c r="Q10949" t="s">
        <v>58</v>
      </c>
      <c r="R10949" t="str">
        <f>IFERROR(VLOOKUP(record[[#This Row],[PCUSTID]],廠商[],2,FALSE),"")</f>
        <v/>
      </c>
      <c r="S10949" t="str">
        <f>VLOOKUP(record[[#This Row],[employeeID]],員工[],2,FALSE)</f>
        <v>蘇進昌</v>
      </c>
    </row>
    <row r="10950" spans="6:19" hidden="1" x14ac:dyDescent="0.25">
      <c r="F10950" t="s">
        <v>619</v>
      </c>
      <c r="G10950" t="s">
        <v>423</v>
      </c>
      <c r="H10950" t="str">
        <f>VLOOKUP(record[[#This Row],[ProcessSN]],表格2_7[],2,FALSE)</f>
        <v>30-4118-018-600</v>
      </c>
      <c r="I10950" t="str">
        <f>VLOOKUP(record[[#This Row],[ProcessSN]],表格2_7[],3,FALSE)</f>
        <v>#08RCV</v>
      </c>
      <c r="J10950" t="s">
        <v>591</v>
      </c>
      <c r="K10950" s="195">
        <v>45647.618877314817</v>
      </c>
      <c r="L10950">
        <v>325</v>
      </c>
      <c r="M10950">
        <v>19</v>
      </c>
      <c r="N10950" s="98" t="str">
        <f>IF(record[[#This Row],[Memo]]="Browser:chrome os:android","平板報工",IF(record[[#This Row],[Memo]]=0,"委外",record[[#This Row],[Memo]]))</f>
        <v/>
      </c>
      <c r="O10950" t="s">
        <v>58</v>
      </c>
      <c r="P10950" t="s">
        <v>65</v>
      </c>
      <c r="Q10950" t="s">
        <v>58</v>
      </c>
      <c r="R10950" t="str">
        <f>IFERROR(VLOOKUP(record[[#This Row],[PCUSTID]],廠商[],2,FALSE),"")</f>
        <v/>
      </c>
      <c r="S10950" t="str">
        <f>VLOOKUP(record[[#This Row],[employeeID]],員工[],2,FALSE)</f>
        <v>蘇進昌</v>
      </c>
    </row>
    <row r="10951" spans="6:19" hidden="1" x14ac:dyDescent="0.25">
      <c r="F10951" t="s">
        <v>619</v>
      </c>
      <c r="G10951" t="s">
        <v>422</v>
      </c>
      <c r="H10951" t="str">
        <f>VLOOKUP(record[[#This Row],[ProcessSN]],表格2_7[],2,FALSE)</f>
        <v>30-4118-018-600</v>
      </c>
      <c r="I10951" t="str">
        <f>VLOOKUP(record[[#This Row],[ProcessSN]],表格2_7[],3,FALSE)</f>
        <v>#08</v>
      </c>
      <c r="J10951" t="s">
        <v>597</v>
      </c>
      <c r="K10951" s="195">
        <v>45647.618703703702</v>
      </c>
      <c r="L10951">
        <v>344</v>
      </c>
      <c r="M10951">
        <v>0</v>
      </c>
      <c r="N10951" s="98" t="str">
        <f>IF(record[[#This Row],[Memo]]="Browser:chrome os:android","平板報工",IF(record[[#This Row],[Memo]]=0,"委外",record[[#This Row],[Memo]]))</f>
        <v>委外</v>
      </c>
      <c r="P10951" t="s">
        <v>65</v>
      </c>
      <c r="Q10951" t="s">
        <v>287</v>
      </c>
      <c r="R10951" t="str">
        <f>IFERROR(VLOOKUP(record[[#This Row],[PCUSTID]],廠商[],2,FALSE),"")</f>
        <v>泉盛</v>
      </c>
      <c r="S10951" t="str">
        <f>VLOOKUP(record[[#This Row],[employeeID]],員工[],2,FALSE)</f>
        <v>蘇進昌</v>
      </c>
    </row>
    <row r="10952" spans="6:19" hidden="1" x14ac:dyDescent="0.25">
      <c r="F10952" t="s">
        <v>619</v>
      </c>
      <c r="G10952" t="s">
        <v>421</v>
      </c>
      <c r="H10952" t="str">
        <f>VLOOKUP(record[[#This Row],[ProcessSN]],表格2_7[],2,FALSE)</f>
        <v>30-4118-018-600</v>
      </c>
      <c r="I10952" t="str">
        <f>VLOOKUP(record[[#This Row],[ProcessSN]],表格2_7[],3,FALSE)</f>
        <v>#08PICK</v>
      </c>
      <c r="J10952" t="s">
        <v>582</v>
      </c>
      <c r="K10952" s="195">
        <v>45647.618587962963</v>
      </c>
      <c r="L10952">
        <v>344</v>
      </c>
      <c r="M10952">
        <v>0</v>
      </c>
      <c r="N10952" s="98" t="str">
        <f>IF(record[[#This Row],[Memo]]="Browser:chrome os:android","平板報工",IF(record[[#This Row],[Memo]]=0,"委外",record[[#This Row],[Memo]]))</f>
        <v/>
      </c>
      <c r="O10952" t="s">
        <v>58</v>
      </c>
      <c r="P10952" t="s">
        <v>65</v>
      </c>
      <c r="Q10952" t="s">
        <v>58</v>
      </c>
      <c r="R10952" t="str">
        <f>IFERROR(VLOOKUP(record[[#This Row],[PCUSTID]],廠商[],2,FALSE),"")</f>
        <v/>
      </c>
      <c r="S10952" t="str">
        <f>VLOOKUP(record[[#This Row],[employeeID]],員工[],2,FALSE)</f>
        <v>蘇進昌</v>
      </c>
    </row>
    <row r="10953" spans="6:19" hidden="1" x14ac:dyDescent="0.25">
      <c r="F10953" t="s">
        <v>617</v>
      </c>
      <c r="G10953" t="s">
        <v>399</v>
      </c>
      <c r="H10953" t="str">
        <f>VLOOKUP(record[[#This Row],[ProcessSN]],表格2_7[],2,FALSE)</f>
        <v>30-4118-018-550</v>
      </c>
      <c r="I10953" t="str">
        <f>VLOOKUP(record[[#This Row],[ProcessSN]],表格2_7[],3,FALSE)</f>
        <v>#08IQC</v>
      </c>
      <c r="J10953" t="s">
        <v>583</v>
      </c>
      <c r="K10953" s="195">
        <v>45647.614444444444</v>
      </c>
      <c r="L10953">
        <v>514</v>
      </c>
      <c r="M10953">
        <v>0</v>
      </c>
      <c r="N10953" s="98" t="str">
        <f>IF(record[[#This Row],[Memo]]="Browser:chrome os:android","平板報工",IF(record[[#This Row],[Memo]]=0,"委外",record[[#This Row],[Memo]]))</f>
        <v/>
      </c>
      <c r="O10953" t="s">
        <v>58</v>
      </c>
      <c r="P10953" t="s">
        <v>65</v>
      </c>
      <c r="Q10953" t="s">
        <v>58</v>
      </c>
      <c r="R10953" t="str">
        <f>IFERROR(VLOOKUP(record[[#This Row],[PCUSTID]],廠商[],2,FALSE),"")</f>
        <v/>
      </c>
      <c r="S10953" t="str">
        <f>VLOOKUP(record[[#This Row],[employeeID]],員工[],2,FALSE)</f>
        <v>蘇進昌</v>
      </c>
    </row>
    <row r="10954" spans="6:19" hidden="1" x14ac:dyDescent="0.25">
      <c r="F10954" t="s">
        <v>614</v>
      </c>
      <c r="G10954" t="s">
        <v>402</v>
      </c>
      <c r="H10954" t="str">
        <f>VLOOKUP(record[[#This Row],[ProcessSN]],表格2_7[],2,FALSE)</f>
        <v>30-4118-018-550</v>
      </c>
      <c r="I10954" t="str">
        <f>VLOOKUP(record[[#This Row],[ProcessSN]],表格2_7[],3,FALSE)</f>
        <v>#100STOCK</v>
      </c>
      <c r="J10954" t="s">
        <v>592</v>
      </c>
      <c r="K10954" s="195">
        <v>45647.61210648148</v>
      </c>
      <c r="L10954">
        <v>2</v>
      </c>
      <c r="M10954">
        <v>0</v>
      </c>
      <c r="N10954" s="98" t="str">
        <f>IF(record[[#This Row],[Memo]]="Browser:chrome os:android","平板報工",IF(record[[#This Row],[Memo]]=0,"委外",record[[#This Row],[Memo]]))</f>
        <v/>
      </c>
      <c r="O10954" t="s">
        <v>58</v>
      </c>
      <c r="P10954" t="s">
        <v>65</v>
      </c>
      <c r="Q10954" t="s">
        <v>58</v>
      </c>
      <c r="R10954" t="str">
        <f>IFERROR(VLOOKUP(record[[#This Row],[PCUSTID]],廠商[],2,FALSE),"")</f>
        <v/>
      </c>
      <c r="S10954" t="str">
        <f>VLOOKUP(record[[#This Row],[employeeID]],員工[],2,FALSE)</f>
        <v>蘇進昌</v>
      </c>
    </row>
    <row r="10955" spans="6:19" hidden="1" x14ac:dyDescent="0.25">
      <c r="F10955" t="s">
        <v>614</v>
      </c>
      <c r="G10955" t="s">
        <v>401</v>
      </c>
      <c r="H10955" t="str">
        <f>VLOOKUP(record[[#This Row],[ProcessSN]],表格2_7[],2,FALSE)</f>
        <v>30-4118-018-550</v>
      </c>
      <c r="I10955" t="str">
        <f>VLOOKUP(record[[#This Row],[ProcessSN]],表格2_7[],3,FALSE)</f>
        <v>#100OQC</v>
      </c>
      <c r="J10955" t="s">
        <v>599</v>
      </c>
      <c r="K10955" s="195">
        <v>45647.612013888887</v>
      </c>
      <c r="L10955">
        <v>2</v>
      </c>
      <c r="M10955">
        <v>0</v>
      </c>
      <c r="N10955" s="98" t="str">
        <f>IF(record[[#This Row],[Memo]]="Browser:chrome os:android","平板報工",IF(record[[#This Row],[Memo]]=0,"委外",record[[#This Row],[Memo]]))</f>
        <v/>
      </c>
      <c r="O10955" t="s">
        <v>58</v>
      </c>
      <c r="P10955" t="s">
        <v>65</v>
      </c>
      <c r="Q10955" t="s">
        <v>58</v>
      </c>
      <c r="R10955" t="str">
        <f>IFERROR(VLOOKUP(record[[#This Row],[PCUSTID]],廠商[],2,FALSE),"")</f>
        <v/>
      </c>
      <c r="S10955" t="str">
        <f>VLOOKUP(record[[#This Row],[employeeID]],員工[],2,FALSE)</f>
        <v>蘇進昌</v>
      </c>
    </row>
    <row r="10956" spans="6:19" hidden="1" x14ac:dyDescent="0.25">
      <c r="F10956" t="s">
        <v>614</v>
      </c>
      <c r="G10956" t="s">
        <v>400</v>
      </c>
      <c r="H10956" t="str">
        <f>VLOOKUP(record[[#This Row],[ProcessSN]],表格2_7[],2,FALSE)</f>
        <v>30-4118-018-550</v>
      </c>
      <c r="I10956" t="str">
        <f>VLOOKUP(record[[#This Row],[ProcessSN]],表格2_7[],3,FALSE)</f>
        <v>#100</v>
      </c>
      <c r="J10956" t="s">
        <v>598</v>
      </c>
      <c r="K10956" s="195">
        <v>45647.611909722225</v>
      </c>
      <c r="L10956">
        <v>2</v>
      </c>
      <c r="M10956">
        <v>0</v>
      </c>
      <c r="N10956" s="98" t="str">
        <f>IF(record[[#This Row],[Memo]]="Browser:chrome os:android","平板報工",IF(record[[#This Row],[Memo]]=0,"委外",record[[#This Row],[Memo]]))</f>
        <v/>
      </c>
      <c r="O10956" t="s">
        <v>58</v>
      </c>
      <c r="P10956" t="s">
        <v>65</v>
      </c>
      <c r="Q10956" t="s">
        <v>58</v>
      </c>
      <c r="R10956" t="str">
        <f>IFERROR(VLOOKUP(record[[#This Row],[PCUSTID]],廠商[],2,FALSE),"")</f>
        <v/>
      </c>
      <c r="S10956" t="str">
        <f>VLOOKUP(record[[#This Row],[employeeID]],員工[],2,FALSE)</f>
        <v>蘇進昌</v>
      </c>
    </row>
    <row r="10957" spans="6:19" hidden="1" x14ac:dyDescent="0.25">
      <c r="F10957" t="s">
        <v>614</v>
      </c>
      <c r="G10957" t="s">
        <v>399</v>
      </c>
      <c r="H10957" t="str">
        <f>VLOOKUP(record[[#This Row],[ProcessSN]],表格2_7[],2,FALSE)</f>
        <v>30-4118-018-550</v>
      </c>
      <c r="I10957" t="str">
        <f>VLOOKUP(record[[#This Row],[ProcessSN]],表格2_7[],3,FALSE)</f>
        <v>#08IQC</v>
      </c>
      <c r="J10957" t="s">
        <v>583</v>
      </c>
      <c r="K10957" s="195">
        <v>45647.611805555556</v>
      </c>
      <c r="L10957">
        <v>373</v>
      </c>
      <c r="M10957">
        <v>0</v>
      </c>
      <c r="N10957" s="98" t="str">
        <f>IF(record[[#This Row],[Memo]]="Browser:chrome os:android","平板報工",IF(record[[#This Row],[Memo]]=0,"委外",record[[#This Row],[Memo]]))</f>
        <v/>
      </c>
      <c r="O10957" t="s">
        <v>58</v>
      </c>
      <c r="P10957" t="s">
        <v>65</v>
      </c>
      <c r="Q10957" t="s">
        <v>58</v>
      </c>
      <c r="R10957" t="str">
        <f>IFERROR(VLOOKUP(record[[#This Row],[PCUSTID]],廠商[],2,FALSE),"")</f>
        <v/>
      </c>
      <c r="S10957" t="str">
        <f>VLOOKUP(record[[#This Row],[employeeID]],員工[],2,FALSE)</f>
        <v>蘇進昌</v>
      </c>
    </row>
    <row r="10958" spans="6:19" hidden="1" x14ac:dyDescent="0.25">
      <c r="F10958" t="s">
        <v>614</v>
      </c>
      <c r="G10958" t="s">
        <v>398</v>
      </c>
      <c r="H10958" t="str">
        <f>VLOOKUP(record[[#This Row],[ProcessSN]],表格2_7[],2,FALSE)</f>
        <v>30-4118-018-550</v>
      </c>
      <c r="I10958" t="str">
        <f>VLOOKUP(record[[#This Row],[ProcessSN]],表格2_7[],3,FALSE)</f>
        <v>#08RCV</v>
      </c>
      <c r="J10958" t="s">
        <v>591</v>
      </c>
      <c r="K10958" s="195">
        <v>45647.61173611111</v>
      </c>
      <c r="L10958">
        <v>373</v>
      </c>
      <c r="M10958">
        <v>12</v>
      </c>
      <c r="N10958" s="98" t="str">
        <f>IF(record[[#This Row],[Memo]]="Browser:chrome os:android","平板報工",IF(record[[#This Row],[Memo]]=0,"委外",record[[#This Row],[Memo]]))</f>
        <v/>
      </c>
      <c r="O10958" t="s">
        <v>58</v>
      </c>
      <c r="P10958" t="s">
        <v>65</v>
      </c>
      <c r="Q10958" t="s">
        <v>58</v>
      </c>
      <c r="R10958" t="str">
        <f>IFERROR(VLOOKUP(record[[#This Row],[PCUSTID]],廠商[],2,FALSE),"")</f>
        <v/>
      </c>
      <c r="S10958" t="str">
        <f>VLOOKUP(record[[#This Row],[employeeID]],員工[],2,FALSE)</f>
        <v>蘇進昌</v>
      </c>
    </row>
    <row r="10959" spans="6:19" hidden="1" x14ac:dyDescent="0.25">
      <c r="F10959" t="s">
        <v>614</v>
      </c>
      <c r="G10959" t="s">
        <v>397</v>
      </c>
      <c r="H10959" t="str">
        <f>VLOOKUP(record[[#This Row],[ProcessSN]],表格2_7[],2,FALSE)</f>
        <v>30-4118-018-550</v>
      </c>
      <c r="I10959" t="str">
        <f>VLOOKUP(record[[#This Row],[ProcessSN]],表格2_7[],3,FALSE)</f>
        <v>#08</v>
      </c>
      <c r="J10959" t="s">
        <v>606</v>
      </c>
      <c r="K10959" s="195">
        <v>45647.611597222225</v>
      </c>
      <c r="L10959">
        <v>385</v>
      </c>
      <c r="M10959">
        <v>0</v>
      </c>
      <c r="N10959" s="98" t="str">
        <f>IF(record[[#This Row],[Memo]]="Browser:chrome os:android","平板報工",IF(record[[#This Row],[Memo]]=0,"委外",record[[#This Row],[Memo]]))</f>
        <v>委外</v>
      </c>
      <c r="P10959" t="s">
        <v>65</v>
      </c>
      <c r="Q10959" t="s">
        <v>287</v>
      </c>
      <c r="R10959" t="str">
        <f>IFERROR(VLOOKUP(record[[#This Row],[PCUSTID]],廠商[],2,FALSE),"")</f>
        <v>泉盛</v>
      </c>
      <c r="S10959" t="str">
        <f>VLOOKUP(record[[#This Row],[employeeID]],員工[],2,FALSE)</f>
        <v>蘇進昌</v>
      </c>
    </row>
    <row r="10960" spans="6:19" hidden="1" x14ac:dyDescent="0.25">
      <c r="F10960" t="s">
        <v>614</v>
      </c>
      <c r="G10960" t="s">
        <v>396</v>
      </c>
      <c r="H10960" t="str">
        <f>VLOOKUP(record[[#This Row],[ProcessSN]],表格2_7[],2,FALSE)</f>
        <v>30-4118-018-550</v>
      </c>
      <c r="I10960" t="str">
        <f>VLOOKUP(record[[#This Row],[ProcessSN]],表格2_7[],3,FALSE)</f>
        <v>#08PICK</v>
      </c>
      <c r="J10960" t="s">
        <v>582</v>
      </c>
      <c r="K10960" s="195">
        <v>45647.611516203702</v>
      </c>
      <c r="L10960">
        <v>385</v>
      </c>
      <c r="M10960">
        <v>0</v>
      </c>
      <c r="N10960" s="98" t="str">
        <f>IF(record[[#This Row],[Memo]]="Browser:chrome os:android","平板報工",IF(record[[#This Row],[Memo]]=0,"委外",record[[#This Row],[Memo]]))</f>
        <v>.</v>
      </c>
      <c r="O10960" t="s">
        <v>615</v>
      </c>
      <c r="P10960" t="s">
        <v>65</v>
      </c>
      <c r="Q10960" t="s">
        <v>58</v>
      </c>
      <c r="R10960" t="str">
        <f>IFERROR(VLOOKUP(record[[#This Row],[PCUSTID]],廠商[],2,FALSE),"")</f>
        <v/>
      </c>
      <c r="S10960" t="str">
        <f>VLOOKUP(record[[#This Row],[employeeID]],員工[],2,FALSE)</f>
        <v>蘇進昌</v>
      </c>
    </row>
    <row r="10961" spans="6:19" hidden="1" x14ac:dyDescent="0.25">
      <c r="F10961" t="s">
        <v>618</v>
      </c>
      <c r="G10961" t="s">
        <v>403</v>
      </c>
      <c r="H10961" t="str">
        <f>VLOOKUP(record[[#This Row],[ProcessSN]],表格2_7[],2,FALSE)</f>
        <v>30-4118-018-550</v>
      </c>
      <c r="I10961" t="str">
        <f>VLOOKUP(record[[#This Row],[ProcessSN]],表格2_7[],3,FALSE)</f>
        <v>#100SHIP</v>
      </c>
      <c r="J10961" t="s">
        <v>600</v>
      </c>
      <c r="K10961" s="195">
        <v>45647.610960648148</v>
      </c>
      <c r="L10961">
        <v>2</v>
      </c>
      <c r="M10961">
        <v>0</v>
      </c>
      <c r="N10961" s="98" t="str">
        <f>IF(record[[#This Row],[Memo]]="Browser:chrome os:android","平板報工",IF(record[[#This Row],[Memo]]=0,"委外",record[[#This Row],[Memo]]))</f>
        <v/>
      </c>
      <c r="O10961" t="s">
        <v>58</v>
      </c>
      <c r="P10961" t="s">
        <v>65</v>
      </c>
      <c r="Q10961" t="s">
        <v>58</v>
      </c>
      <c r="R10961" t="str">
        <f>IFERROR(VLOOKUP(record[[#This Row],[PCUSTID]],廠商[],2,FALSE),"")</f>
        <v/>
      </c>
      <c r="S10961" t="str">
        <f>VLOOKUP(record[[#This Row],[employeeID]],員工[],2,FALSE)</f>
        <v>蘇進昌</v>
      </c>
    </row>
    <row r="10962" spans="6:19" hidden="1" x14ac:dyDescent="0.25">
      <c r="F10962" t="s">
        <v>618</v>
      </c>
      <c r="G10962" t="s">
        <v>402</v>
      </c>
      <c r="H10962" t="str">
        <f>VLOOKUP(record[[#This Row],[ProcessSN]],表格2_7[],2,FALSE)</f>
        <v>30-4118-018-550</v>
      </c>
      <c r="I10962" t="str">
        <f>VLOOKUP(record[[#This Row],[ProcessSN]],表格2_7[],3,FALSE)</f>
        <v>#100STOCK</v>
      </c>
      <c r="J10962" t="s">
        <v>592</v>
      </c>
      <c r="K10962" s="195">
        <v>45647.610902777778</v>
      </c>
      <c r="L10962">
        <v>2</v>
      </c>
      <c r="M10962">
        <v>0</v>
      </c>
      <c r="N10962" s="98" t="str">
        <f>IF(record[[#This Row],[Memo]]="Browser:chrome os:android","平板報工",IF(record[[#This Row],[Memo]]=0,"委外",record[[#This Row],[Memo]]))</f>
        <v/>
      </c>
      <c r="O10962" t="s">
        <v>58</v>
      </c>
      <c r="P10962" t="s">
        <v>65</v>
      </c>
      <c r="Q10962" t="s">
        <v>58</v>
      </c>
      <c r="R10962" t="str">
        <f>IFERROR(VLOOKUP(record[[#This Row],[PCUSTID]],廠商[],2,FALSE),"")</f>
        <v/>
      </c>
      <c r="S10962" t="str">
        <f>VLOOKUP(record[[#This Row],[employeeID]],員工[],2,FALSE)</f>
        <v>蘇進昌</v>
      </c>
    </row>
    <row r="10963" spans="6:19" hidden="1" x14ac:dyDescent="0.25">
      <c r="F10963" t="s">
        <v>618</v>
      </c>
      <c r="G10963" t="s">
        <v>401</v>
      </c>
      <c r="H10963" t="str">
        <f>VLOOKUP(record[[#This Row],[ProcessSN]],表格2_7[],2,FALSE)</f>
        <v>30-4118-018-550</v>
      </c>
      <c r="I10963" t="str">
        <f>VLOOKUP(record[[#This Row],[ProcessSN]],表格2_7[],3,FALSE)</f>
        <v>#100OQC</v>
      </c>
      <c r="J10963" t="s">
        <v>599</v>
      </c>
      <c r="K10963" s="195">
        <v>45647.610844907409</v>
      </c>
      <c r="L10963">
        <v>2</v>
      </c>
      <c r="M10963">
        <v>0</v>
      </c>
      <c r="N10963" s="98" t="str">
        <f>IF(record[[#This Row],[Memo]]="Browser:chrome os:android","平板報工",IF(record[[#This Row],[Memo]]=0,"委外",record[[#This Row],[Memo]]))</f>
        <v/>
      </c>
      <c r="O10963" t="s">
        <v>58</v>
      </c>
      <c r="P10963" t="s">
        <v>65</v>
      </c>
      <c r="Q10963" t="s">
        <v>58</v>
      </c>
      <c r="R10963" t="str">
        <f>IFERROR(VLOOKUP(record[[#This Row],[PCUSTID]],廠商[],2,FALSE),"")</f>
        <v/>
      </c>
      <c r="S10963" t="str">
        <f>VLOOKUP(record[[#This Row],[employeeID]],員工[],2,FALSE)</f>
        <v>蘇進昌</v>
      </c>
    </row>
    <row r="10964" spans="6:19" hidden="1" x14ac:dyDescent="0.25">
      <c r="F10964" t="s">
        <v>618</v>
      </c>
      <c r="G10964" t="s">
        <v>400</v>
      </c>
      <c r="H10964" t="str">
        <f>VLOOKUP(record[[#This Row],[ProcessSN]],表格2_7[],2,FALSE)</f>
        <v>30-4118-018-550</v>
      </c>
      <c r="I10964" t="str">
        <f>VLOOKUP(record[[#This Row],[ProcessSN]],表格2_7[],3,FALSE)</f>
        <v>#100</v>
      </c>
      <c r="J10964" t="s">
        <v>598</v>
      </c>
      <c r="K10964" s="195">
        <v>45647.610798611109</v>
      </c>
      <c r="L10964">
        <v>2</v>
      </c>
      <c r="M10964">
        <v>0</v>
      </c>
      <c r="N10964" s="98" t="str">
        <f>IF(record[[#This Row],[Memo]]="Browser:chrome os:android","平板報工",IF(record[[#This Row],[Memo]]=0,"委外",record[[#This Row],[Memo]]))</f>
        <v/>
      </c>
      <c r="O10964" t="s">
        <v>58</v>
      </c>
      <c r="P10964" t="s">
        <v>65</v>
      </c>
      <c r="Q10964" t="s">
        <v>58</v>
      </c>
      <c r="R10964" t="str">
        <f>IFERROR(VLOOKUP(record[[#This Row],[PCUSTID]],廠商[],2,FALSE),"")</f>
        <v/>
      </c>
      <c r="S10964" t="str">
        <f>VLOOKUP(record[[#This Row],[employeeID]],員工[],2,FALSE)</f>
        <v>蘇進昌</v>
      </c>
    </row>
    <row r="10965" spans="6:19" hidden="1" x14ac:dyDescent="0.25">
      <c r="F10965" t="s">
        <v>618</v>
      </c>
      <c r="G10965" t="s">
        <v>399</v>
      </c>
      <c r="H10965" t="str">
        <f>VLOOKUP(record[[#This Row],[ProcessSN]],表格2_7[],2,FALSE)</f>
        <v>30-4118-018-550</v>
      </c>
      <c r="I10965" t="str">
        <f>VLOOKUP(record[[#This Row],[ProcessSN]],表格2_7[],3,FALSE)</f>
        <v>#08IQC</v>
      </c>
      <c r="J10965" t="s">
        <v>583</v>
      </c>
      <c r="K10965" s="195">
        <v>45647.610706018517</v>
      </c>
      <c r="L10965">
        <v>138</v>
      </c>
      <c r="M10965">
        <v>0</v>
      </c>
      <c r="N10965" s="98" t="str">
        <f>IF(record[[#This Row],[Memo]]="Browser:chrome os:android","平板報工",IF(record[[#This Row],[Memo]]=0,"委外",record[[#This Row],[Memo]]))</f>
        <v/>
      </c>
      <c r="O10965" t="s">
        <v>58</v>
      </c>
      <c r="P10965" t="s">
        <v>65</v>
      </c>
      <c r="Q10965" t="s">
        <v>58</v>
      </c>
      <c r="R10965" t="str">
        <f>IFERROR(VLOOKUP(record[[#This Row],[PCUSTID]],廠商[],2,FALSE),"")</f>
        <v/>
      </c>
      <c r="S10965" t="str">
        <f>VLOOKUP(record[[#This Row],[employeeID]],員工[],2,FALSE)</f>
        <v>蘇進昌</v>
      </c>
    </row>
    <row r="10966" spans="6:19" hidden="1" x14ac:dyDescent="0.25">
      <c r="F10966" t="s">
        <v>618</v>
      </c>
      <c r="G10966" t="s">
        <v>399</v>
      </c>
      <c r="H10966" t="str">
        <f>VLOOKUP(record[[#This Row],[ProcessSN]],表格2_7[],2,FALSE)</f>
        <v>30-4118-018-550</v>
      </c>
      <c r="I10966" t="str">
        <f>VLOOKUP(record[[#This Row],[ProcessSN]],表格2_7[],3,FALSE)</f>
        <v>#08IQC</v>
      </c>
      <c r="J10966" t="s">
        <v>583</v>
      </c>
      <c r="K10966" s="195">
        <v>45647.610625000001</v>
      </c>
      <c r="L10966">
        <v>2</v>
      </c>
      <c r="M10966">
        <v>0</v>
      </c>
      <c r="N10966" s="98" t="str">
        <f>IF(record[[#This Row],[Memo]]="Browser:chrome os:android","平板報工",IF(record[[#This Row],[Memo]]=0,"委外",record[[#This Row],[Memo]]))</f>
        <v/>
      </c>
      <c r="O10966" t="s">
        <v>58</v>
      </c>
      <c r="P10966" t="s">
        <v>65</v>
      </c>
      <c r="Q10966" t="s">
        <v>58</v>
      </c>
      <c r="R10966" t="str">
        <f>IFERROR(VLOOKUP(record[[#This Row],[PCUSTID]],廠商[],2,FALSE),"")</f>
        <v/>
      </c>
      <c r="S10966" t="str">
        <f>VLOOKUP(record[[#This Row],[employeeID]],員工[],2,FALSE)</f>
        <v>蘇進昌</v>
      </c>
    </row>
    <row r="10967" spans="6:19" hidden="1" x14ac:dyDescent="0.25">
      <c r="F10967" t="s">
        <v>618</v>
      </c>
      <c r="G10967" t="s">
        <v>398</v>
      </c>
      <c r="H10967" t="str">
        <f>VLOOKUP(record[[#This Row],[ProcessSN]],表格2_7[],2,FALSE)</f>
        <v>30-4118-018-550</v>
      </c>
      <c r="I10967" t="str">
        <f>VLOOKUP(record[[#This Row],[ProcessSN]],表格2_7[],3,FALSE)</f>
        <v>#08RCV</v>
      </c>
      <c r="J10967" t="s">
        <v>591</v>
      </c>
      <c r="K10967" s="195">
        <v>45647.610439814816</v>
      </c>
      <c r="L10967">
        <v>140</v>
      </c>
      <c r="M10967">
        <v>20</v>
      </c>
      <c r="N10967" s="98" t="str">
        <f>IF(record[[#This Row],[Memo]]="Browser:chrome os:android","平板報工",IF(record[[#This Row],[Memo]]=0,"委外",record[[#This Row],[Memo]]))</f>
        <v/>
      </c>
      <c r="O10967" t="s">
        <v>58</v>
      </c>
      <c r="P10967" t="s">
        <v>65</v>
      </c>
      <c r="Q10967" t="s">
        <v>58</v>
      </c>
      <c r="R10967" t="str">
        <f>IFERROR(VLOOKUP(record[[#This Row],[PCUSTID]],廠商[],2,FALSE),"")</f>
        <v/>
      </c>
      <c r="S10967" t="str">
        <f>VLOOKUP(record[[#This Row],[employeeID]],員工[],2,FALSE)</f>
        <v>蘇進昌</v>
      </c>
    </row>
    <row r="10968" spans="6:19" hidden="1" x14ac:dyDescent="0.25">
      <c r="F10968" t="s">
        <v>618</v>
      </c>
      <c r="G10968" t="s">
        <v>398</v>
      </c>
      <c r="H10968" t="str">
        <f>VLOOKUP(record[[#This Row],[ProcessSN]],表格2_7[],2,FALSE)</f>
        <v>30-4118-018-550</v>
      </c>
      <c r="I10968" t="str">
        <f>VLOOKUP(record[[#This Row],[ProcessSN]],表格2_7[],3,FALSE)</f>
        <v>#08RCV</v>
      </c>
      <c r="J10968" t="s">
        <v>591</v>
      </c>
      <c r="K10968" s="195">
        <v>45647.610439814816</v>
      </c>
      <c r="L10968">
        <v>16</v>
      </c>
      <c r="M10968">
        <v>-16</v>
      </c>
      <c r="N10968" s="98" t="str">
        <f>IF(record[[#This Row],[Memo]]="Browser:chrome os:android","平板報工",IF(record[[#This Row],[Memo]]=0,"委外",record[[#This Row],[Memo]]))</f>
        <v>覆回品</v>
      </c>
      <c r="O10968" t="s">
        <v>664</v>
      </c>
      <c r="P10968" t="s">
        <v>65</v>
      </c>
      <c r="Q10968" t="s">
        <v>58</v>
      </c>
      <c r="R10968" t="str">
        <f>IFERROR(VLOOKUP(record[[#This Row],[PCUSTID]],廠商[],2,FALSE),"")</f>
        <v/>
      </c>
      <c r="S10968" t="str">
        <f>VLOOKUP(record[[#This Row],[employeeID]],員工[],2,FALSE)</f>
        <v>蘇進昌</v>
      </c>
    </row>
    <row r="10969" spans="6:19" hidden="1" x14ac:dyDescent="0.25">
      <c r="F10969" t="s">
        <v>618</v>
      </c>
      <c r="G10969" t="s">
        <v>397</v>
      </c>
      <c r="H10969" t="str">
        <f>VLOOKUP(record[[#This Row],[ProcessSN]],表格2_7[],2,FALSE)</f>
        <v>30-4118-018-550</v>
      </c>
      <c r="I10969" t="str">
        <f>VLOOKUP(record[[#This Row],[ProcessSN]],表格2_7[],3,FALSE)</f>
        <v>#08</v>
      </c>
      <c r="J10969" t="s">
        <v>606</v>
      </c>
      <c r="K10969" s="195">
        <v>45647.610115740739</v>
      </c>
      <c r="L10969">
        <v>160</v>
      </c>
      <c r="M10969">
        <v>0</v>
      </c>
      <c r="N10969" s="98" t="str">
        <f>IF(record[[#This Row],[Memo]]="Browser:chrome os:android","平板報工",IF(record[[#This Row],[Memo]]=0,"委外",record[[#This Row],[Memo]]))</f>
        <v>委外</v>
      </c>
      <c r="P10969" t="s">
        <v>65</v>
      </c>
      <c r="Q10969" t="s">
        <v>287</v>
      </c>
      <c r="R10969" t="str">
        <f>IFERROR(VLOOKUP(record[[#This Row],[PCUSTID]],廠商[],2,FALSE),"")</f>
        <v>泉盛</v>
      </c>
      <c r="S10969" t="str">
        <f>VLOOKUP(record[[#This Row],[employeeID]],員工[],2,FALSE)</f>
        <v>蘇進昌</v>
      </c>
    </row>
    <row r="10970" spans="6:19" hidden="1" x14ac:dyDescent="0.25">
      <c r="F10970" t="s">
        <v>618</v>
      </c>
      <c r="G10970" t="s">
        <v>396</v>
      </c>
      <c r="H10970" t="str">
        <f>VLOOKUP(record[[#This Row],[ProcessSN]],表格2_7[],2,FALSE)</f>
        <v>30-4118-018-550</v>
      </c>
      <c r="I10970" t="str">
        <f>VLOOKUP(record[[#This Row],[ProcessSN]],表格2_7[],3,FALSE)</f>
        <v>#08PICK</v>
      </c>
      <c r="J10970" t="s">
        <v>582</v>
      </c>
      <c r="K10970" s="195">
        <v>45647.610023148147</v>
      </c>
      <c r="L10970">
        <v>160</v>
      </c>
      <c r="M10970">
        <v>0</v>
      </c>
      <c r="N10970" s="98" t="str">
        <f>IF(record[[#This Row],[Memo]]="Browser:chrome os:android","平板報工",IF(record[[#This Row],[Memo]]=0,"委外",record[[#This Row],[Memo]]))</f>
        <v/>
      </c>
      <c r="O10970" t="s">
        <v>58</v>
      </c>
      <c r="P10970" t="s">
        <v>65</v>
      </c>
      <c r="Q10970" t="s">
        <v>58</v>
      </c>
      <c r="R10970" t="str">
        <f>IFERROR(VLOOKUP(record[[#This Row],[PCUSTID]],廠商[],2,FALSE),"")</f>
        <v/>
      </c>
      <c r="S10970" t="str">
        <f>VLOOKUP(record[[#This Row],[employeeID]],員工[],2,FALSE)</f>
        <v>蘇進昌</v>
      </c>
    </row>
    <row r="10971" spans="6:19" hidden="1" x14ac:dyDescent="0.25">
      <c r="F10971" t="s">
        <v>617</v>
      </c>
      <c r="G10971" t="s">
        <v>398</v>
      </c>
      <c r="H10971" t="str">
        <f>VLOOKUP(record[[#This Row],[ProcessSN]],表格2_7[],2,FALSE)</f>
        <v>30-4118-018-550</v>
      </c>
      <c r="I10971" t="str">
        <f>VLOOKUP(record[[#This Row],[ProcessSN]],表格2_7[],3,FALSE)</f>
        <v>#08RCV</v>
      </c>
      <c r="J10971" t="s">
        <v>591</v>
      </c>
      <c r="K10971" s="195">
        <v>45647.609502314815</v>
      </c>
      <c r="L10971">
        <v>514</v>
      </c>
      <c r="M10971">
        <v>4</v>
      </c>
      <c r="N10971" s="98" t="str">
        <f>IF(record[[#This Row],[Memo]]="Browser:chrome os:android","平板報工",IF(record[[#This Row],[Memo]]=0,"委外",record[[#This Row],[Memo]]))</f>
        <v/>
      </c>
      <c r="O10971" t="s">
        <v>58</v>
      </c>
      <c r="P10971" t="s">
        <v>65</v>
      </c>
      <c r="Q10971" t="s">
        <v>58</v>
      </c>
      <c r="R10971" t="str">
        <f>IFERROR(VLOOKUP(record[[#This Row],[PCUSTID]],廠商[],2,FALSE),"")</f>
        <v/>
      </c>
      <c r="S10971" t="str">
        <f>VLOOKUP(record[[#This Row],[employeeID]],員工[],2,FALSE)</f>
        <v>蘇進昌</v>
      </c>
    </row>
    <row r="10972" spans="6:19" hidden="1" x14ac:dyDescent="0.25">
      <c r="F10972" t="s">
        <v>617</v>
      </c>
      <c r="G10972" t="s">
        <v>397</v>
      </c>
      <c r="H10972" t="str">
        <f>VLOOKUP(record[[#This Row],[ProcessSN]],表格2_7[],2,FALSE)</f>
        <v>30-4118-018-550</v>
      </c>
      <c r="I10972" t="str">
        <f>VLOOKUP(record[[#This Row],[ProcessSN]],表格2_7[],3,FALSE)</f>
        <v>#08</v>
      </c>
      <c r="J10972" t="s">
        <v>606</v>
      </c>
      <c r="K10972" s="195">
        <v>45647.6093287037</v>
      </c>
      <c r="L10972">
        <v>518</v>
      </c>
      <c r="M10972">
        <v>0</v>
      </c>
      <c r="N10972" s="98" t="str">
        <f>IF(record[[#This Row],[Memo]]="Browser:chrome os:android","平板報工",IF(record[[#This Row],[Memo]]=0,"委外",record[[#This Row],[Memo]]))</f>
        <v>委外</v>
      </c>
      <c r="P10972" t="s">
        <v>65</v>
      </c>
      <c r="Q10972" t="s">
        <v>287</v>
      </c>
      <c r="R10972" t="str">
        <f>IFERROR(VLOOKUP(record[[#This Row],[PCUSTID]],廠商[],2,FALSE),"")</f>
        <v>泉盛</v>
      </c>
      <c r="S10972" t="str">
        <f>VLOOKUP(record[[#This Row],[employeeID]],員工[],2,FALSE)</f>
        <v>蘇進昌</v>
      </c>
    </row>
    <row r="10973" spans="6:19" hidden="1" x14ac:dyDescent="0.25">
      <c r="F10973" t="s">
        <v>617</v>
      </c>
      <c r="G10973" t="s">
        <v>396</v>
      </c>
      <c r="H10973" t="str">
        <f>VLOOKUP(record[[#This Row],[ProcessSN]],表格2_7[],2,FALSE)</f>
        <v>30-4118-018-550</v>
      </c>
      <c r="I10973" t="str">
        <f>VLOOKUP(record[[#This Row],[ProcessSN]],表格2_7[],3,FALSE)</f>
        <v>#08PICK</v>
      </c>
      <c r="J10973" t="s">
        <v>582</v>
      </c>
      <c r="K10973" s="195">
        <v>45647.609259259261</v>
      </c>
      <c r="L10973">
        <v>518</v>
      </c>
      <c r="M10973">
        <v>0</v>
      </c>
      <c r="N10973" s="98" t="str">
        <f>IF(record[[#This Row],[Memo]]="Browser:chrome os:android","平板報工",IF(record[[#This Row],[Memo]]=0,"委外",record[[#This Row],[Memo]]))</f>
        <v/>
      </c>
      <c r="O10973" t="s">
        <v>58</v>
      </c>
      <c r="P10973" t="s">
        <v>65</v>
      </c>
      <c r="Q10973" t="s">
        <v>58</v>
      </c>
      <c r="R10973" t="str">
        <f>IFERROR(VLOOKUP(record[[#This Row],[PCUSTID]],廠商[],2,FALSE),"")</f>
        <v/>
      </c>
      <c r="S10973" t="str">
        <f>VLOOKUP(record[[#This Row],[employeeID]],員工[],2,FALSE)</f>
        <v>蘇進昌</v>
      </c>
    </row>
    <row r="10974" spans="6:19" hidden="1" x14ac:dyDescent="0.25">
      <c r="F10974" t="s">
        <v>616</v>
      </c>
      <c r="G10974" t="s">
        <v>403</v>
      </c>
      <c r="H10974" t="str">
        <f>VLOOKUP(record[[#This Row],[ProcessSN]],表格2_7[],2,FALSE)</f>
        <v>30-4118-018-550</v>
      </c>
      <c r="I10974" t="str">
        <f>VLOOKUP(record[[#This Row],[ProcessSN]],表格2_7[],3,FALSE)</f>
        <v>#100SHIP</v>
      </c>
      <c r="J10974" t="s">
        <v>600</v>
      </c>
      <c r="K10974" s="195">
        <v>45647.608726851853</v>
      </c>
      <c r="L10974">
        <v>4</v>
      </c>
      <c r="M10974">
        <v>0</v>
      </c>
      <c r="N10974" s="98" t="str">
        <f>IF(record[[#This Row],[Memo]]="Browser:chrome os:android","平板報工",IF(record[[#This Row],[Memo]]=0,"委外",record[[#This Row],[Memo]]))</f>
        <v/>
      </c>
      <c r="O10974" t="s">
        <v>58</v>
      </c>
      <c r="P10974" t="s">
        <v>65</v>
      </c>
      <c r="Q10974" t="s">
        <v>58</v>
      </c>
      <c r="R10974" t="str">
        <f>IFERROR(VLOOKUP(record[[#This Row],[PCUSTID]],廠商[],2,FALSE),"")</f>
        <v/>
      </c>
      <c r="S10974" t="str">
        <f>VLOOKUP(record[[#This Row],[employeeID]],員工[],2,FALSE)</f>
        <v>蘇進昌</v>
      </c>
    </row>
    <row r="10975" spans="6:19" hidden="1" x14ac:dyDescent="0.25">
      <c r="F10975" t="s">
        <v>616</v>
      </c>
      <c r="G10975" t="s">
        <v>402</v>
      </c>
      <c r="H10975" t="str">
        <f>VLOOKUP(record[[#This Row],[ProcessSN]],表格2_7[],2,FALSE)</f>
        <v>30-4118-018-550</v>
      </c>
      <c r="I10975" t="str">
        <f>VLOOKUP(record[[#This Row],[ProcessSN]],表格2_7[],3,FALSE)</f>
        <v>#100STOCK</v>
      </c>
      <c r="J10975" t="s">
        <v>592</v>
      </c>
      <c r="K10975" s="195">
        <v>45647.608668981484</v>
      </c>
      <c r="L10975">
        <v>4</v>
      </c>
      <c r="M10975">
        <v>0</v>
      </c>
      <c r="N10975" s="98" t="str">
        <f>IF(record[[#This Row],[Memo]]="Browser:chrome os:android","平板報工",IF(record[[#This Row],[Memo]]=0,"委外",record[[#This Row],[Memo]]))</f>
        <v/>
      </c>
      <c r="O10975" t="s">
        <v>58</v>
      </c>
      <c r="P10975" t="s">
        <v>65</v>
      </c>
      <c r="Q10975" t="s">
        <v>58</v>
      </c>
      <c r="R10975" t="str">
        <f>IFERROR(VLOOKUP(record[[#This Row],[PCUSTID]],廠商[],2,FALSE),"")</f>
        <v/>
      </c>
      <c r="S10975" t="str">
        <f>VLOOKUP(record[[#This Row],[employeeID]],員工[],2,FALSE)</f>
        <v>蘇進昌</v>
      </c>
    </row>
    <row r="10976" spans="6:19" hidden="1" x14ac:dyDescent="0.25">
      <c r="F10976" t="s">
        <v>616</v>
      </c>
      <c r="G10976" t="s">
        <v>401</v>
      </c>
      <c r="H10976" t="str">
        <f>VLOOKUP(record[[#This Row],[ProcessSN]],表格2_7[],2,FALSE)</f>
        <v>30-4118-018-550</v>
      </c>
      <c r="I10976" t="str">
        <f>VLOOKUP(record[[#This Row],[ProcessSN]],表格2_7[],3,FALSE)</f>
        <v>#100OQC</v>
      </c>
      <c r="J10976" t="s">
        <v>599</v>
      </c>
      <c r="K10976" s="195">
        <v>45647.608611111114</v>
      </c>
      <c r="L10976">
        <v>4</v>
      </c>
      <c r="M10976">
        <v>0</v>
      </c>
      <c r="N10976" s="98" t="str">
        <f>IF(record[[#This Row],[Memo]]="Browser:chrome os:android","平板報工",IF(record[[#This Row],[Memo]]=0,"委外",record[[#This Row],[Memo]]))</f>
        <v/>
      </c>
      <c r="O10976" t="s">
        <v>58</v>
      </c>
      <c r="P10976" t="s">
        <v>65</v>
      </c>
      <c r="Q10976" t="s">
        <v>58</v>
      </c>
      <c r="R10976" t="str">
        <f>IFERROR(VLOOKUP(record[[#This Row],[PCUSTID]],廠商[],2,FALSE),"")</f>
        <v/>
      </c>
      <c r="S10976" t="str">
        <f>VLOOKUP(record[[#This Row],[employeeID]],員工[],2,FALSE)</f>
        <v>蘇進昌</v>
      </c>
    </row>
    <row r="10977" spans="6:19" hidden="1" x14ac:dyDescent="0.25">
      <c r="F10977" t="s">
        <v>616</v>
      </c>
      <c r="G10977" t="s">
        <v>400</v>
      </c>
      <c r="H10977" t="str">
        <f>VLOOKUP(record[[#This Row],[ProcessSN]],表格2_7[],2,FALSE)</f>
        <v>30-4118-018-550</v>
      </c>
      <c r="I10977" t="str">
        <f>VLOOKUP(record[[#This Row],[ProcessSN]],表格2_7[],3,FALSE)</f>
        <v>#100</v>
      </c>
      <c r="J10977" t="s">
        <v>598</v>
      </c>
      <c r="K10977" s="195">
        <v>45647.608553240738</v>
      </c>
      <c r="L10977">
        <v>4</v>
      </c>
      <c r="M10977">
        <v>0</v>
      </c>
      <c r="N10977" s="98" t="str">
        <f>IF(record[[#This Row],[Memo]]="Browser:chrome os:android","平板報工",IF(record[[#This Row],[Memo]]=0,"委外",record[[#This Row],[Memo]]))</f>
        <v/>
      </c>
      <c r="O10977" t="s">
        <v>58</v>
      </c>
      <c r="P10977" t="s">
        <v>65</v>
      </c>
      <c r="Q10977" t="s">
        <v>58</v>
      </c>
      <c r="R10977" t="str">
        <f>IFERROR(VLOOKUP(record[[#This Row],[PCUSTID]],廠商[],2,FALSE),"")</f>
        <v/>
      </c>
      <c r="S10977" t="str">
        <f>VLOOKUP(record[[#This Row],[employeeID]],員工[],2,FALSE)</f>
        <v>蘇進昌</v>
      </c>
    </row>
    <row r="10978" spans="6:19" hidden="1" x14ac:dyDescent="0.25">
      <c r="F10978" t="s">
        <v>616</v>
      </c>
      <c r="G10978" t="s">
        <v>399</v>
      </c>
      <c r="H10978" t="str">
        <f>VLOOKUP(record[[#This Row],[ProcessSN]],表格2_7[],2,FALSE)</f>
        <v>30-4118-018-550</v>
      </c>
      <c r="I10978" t="str">
        <f>VLOOKUP(record[[#This Row],[ProcessSN]],表格2_7[],3,FALSE)</f>
        <v>#08IQC</v>
      </c>
      <c r="J10978" t="s">
        <v>583</v>
      </c>
      <c r="K10978" s="195">
        <v>45647.608495370368</v>
      </c>
      <c r="L10978">
        <v>164</v>
      </c>
      <c r="M10978">
        <v>0</v>
      </c>
      <c r="N10978" s="98" t="str">
        <f>IF(record[[#This Row],[Memo]]="Browser:chrome os:android","平板報工",IF(record[[#This Row],[Memo]]=0,"委外",record[[#This Row],[Memo]]))</f>
        <v/>
      </c>
      <c r="O10978" t="s">
        <v>58</v>
      </c>
      <c r="P10978" t="s">
        <v>65</v>
      </c>
      <c r="Q10978" t="s">
        <v>58</v>
      </c>
      <c r="R10978" t="str">
        <f>IFERROR(VLOOKUP(record[[#This Row],[PCUSTID]],廠商[],2,FALSE),"")</f>
        <v/>
      </c>
      <c r="S10978" t="str">
        <f>VLOOKUP(record[[#This Row],[employeeID]],員工[],2,FALSE)</f>
        <v>蘇進昌</v>
      </c>
    </row>
    <row r="10979" spans="6:19" hidden="1" x14ac:dyDescent="0.25">
      <c r="F10979" t="s">
        <v>616</v>
      </c>
      <c r="G10979" t="s">
        <v>398</v>
      </c>
      <c r="H10979" t="str">
        <f>VLOOKUP(record[[#This Row],[ProcessSN]],表格2_7[],2,FALSE)</f>
        <v>30-4118-018-550</v>
      </c>
      <c r="I10979" t="str">
        <f>VLOOKUP(record[[#This Row],[ProcessSN]],表格2_7[],3,FALSE)</f>
        <v>#08RCV</v>
      </c>
      <c r="J10979" t="s">
        <v>591</v>
      </c>
      <c r="K10979" s="195">
        <v>45647.608368055553</v>
      </c>
      <c r="L10979">
        <v>164</v>
      </c>
      <c r="M10979">
        <v>4</v>
      </c>
      <c r="N10979" s="98" t="str">
        <f>IF(record[[#This Row],[Memo]]="Browser:chrome os:android","平板報工",IF(record[[#This Row],[Memo]]=0,"委外",record[[#This Row],[Memo]]))</f>
        <v/>
      </c>
      <c r="O10979" t="s">
        <v>58</v>
      </c>
      <c r="P10979" t="s">
        <v>65</v>
      </c>
      <c r="Q10979" t="s">
        <v>58</v>
      </c>
      <c r="R10979" t="str">
        <f>IFERROR(VLOOKUP(record[[#This Row],[PCUSTID]],廠商[],2,FALSE),"")</f>
        <v/>
      </c>
      <c r="S10979" t="str">
        <f>VLOOKUP(record[[#This Row],[employeeID]],員工[],2,FALSE)</f>
        <v>蘇進昌</v>
      </c>
    </row>
    <row r="10980" spans="6:19" hidden="1" x14ac:dyDescent="0.25">
      <c r="F10980" t="s">
        <v>616</v>
      </c>
      <c r="G10980" t="s">
        <v>397</v>
      </c>
      <c r="H10980" t="str">
        <f>VLOOKUP(record[[#This Row],[ProcessSN]],表格2_7[],2,FALSE)</f>
        <v>30-4118-018-550</v>
      </c>
      <c r="I10980" t="str">
        <f>VLOOKUP(record[[#This Row],[ProcessSN]],表格2_7[],3,FALSE)</f>
        <v>#08</v>
      </c>
      <c r="J10980" t="s">
        <v>606</v>
      </c>
      <c r="K10980" s="195">
        <v>45647.608275462961</v>
      </c>
      <c r="L10980">
        <v>168</v>
      </c>
      <c r="M10980">
        <v>0</v>
      </c>
      <c r="N10980" s="98" t="str">
        <f>IF(record[[#This Row],[Memo]]="Browser:chrome os:android","平板報工",IF(record[[#This Row],[Memo]]=0,"委外",record[[#This Row],[Memo]]))</f>
        <v>委外</v>
      </c>
      <c r="P10980" t="s">
        <v>65</v>
      </c>
      <c r="Q10980" t="s">
        <v>287</v>
      </c>
      <c r="R10980" t="str">
        <f>IFERROR(VLOOKUP(record[[#This Row],[PCUSTID]],廠商[],2,FALSE),"")</f>
        <v>泉盛</v>
      </c>
      <c r="S10980" t="str">
        <f>VLOOKUP(record[[#This Row],[employeeID]],員工[],2,FALSE)</f>
        <v>蘇進昌</v>
      </c>
    </row>
    <row r="10981" spans="6:19" hidden="1" x14ac:dyDescent="0.25">
      <c r="F10981" t="s">
        <v>616</v>
      </c>
      <c r="G10981" t="s">
        <v>396</v>
      </c>
      <c r="H10981" t="str">
        <f>VLOOKUP(record[[#This Row],[ProcessSN]],表格2_7[],2,FALSE)</f>
        <v>30-4118-018-550</v>
      </c>
      <c r="I10981" t="str">
        <f>VLOOKUP(record[[#This Row],[ProcessSN]],表格2_7[],3,FALSE)</f>
        <v>#08PICK</v>
      </c>
      <c r="J10981" t="s">
        <v>582</v>
      </c>
      <c r="K10981" s="195">
        <v>45647.608206018522</v>
      </c>
      <c r="L10981">
        <v>168</v>
      </c>
      <c r="M10981">
        <v>0</v>
      </c>
      <c r="N10981" s="98" t="str">
        <f>IF(record[[#This Row],[Memo]]="Browser:chrome os:android","平板報工",IF(record[[#This Row],[Memo]]=0,"委外",record[[#This Row],[Memo]]))</f>
        <v/>
      </c>
      <c r="O10981" t="s">
        <v>58</v>
      </c>
      <c r="P10981" t="s">
        <v>65</v>
      </c>
      <c r="Q10981" t="s">
        <v>58</v>
      </c>
      <c r="R10981" t="str">
        <f>IFERROR(VLOOKUP(record[[#This Row],[PCUSTID]],廠商[],2,FALSE),"")</f>
        <v/>
      </c>
      <c r="S10981" t="str">
        <f>VLOOKUP(record[[#This Row],[employeeID]],員工[],2,FALSE)</f>
        <v>蘇進昌</v>
      </c>
    </row>
    <row r="10982" spans="6:19" hidden="1" x14ac:dyDescent="0.25">
      <c r="F10982" t="s">
        <v>613</v>
      </c>
      <c r="G10982" t="s">
        <v>403</v>
      </c>
      <c r="H10982" t="str">
        <f>VLOOKUP(record[[#This Row],[ProcessSN]],表格2_7[],2,FALSE)</f>
        <v>30-4118-018-550</v>
      </c>
      <c r="I10982" t="str">
        <f>VLOOKUP(record[[#This Row],[ProcessSN]],表格2_7[],3,FALSE)</f>
        <v>#100SHIP</v>
      </c>
      <c r="J10982" t="s">
        <v>600</v>
      </c>
      <c r="K10982" s="195">
        <v>45647.607685185183</v>
      </c>
      <c r="L10982">
        <v>8</v>
      </c>
      <c r="M10982">
        <v>0</v>
      </c>
      <c r="N10982" s="98" t="str">
        <f>IF(record[[#This Row],[Memo]]="Browser:chrome os:android","平板報工",IF(record[[#This Row],[Memo]]=0,"委外",record[[#This Row],[Memo]]))</f>
        <v/>
      </c>
      <c r="O10982" t="s">
        <v>58</v>
      </c>
      <c r="P10982" t="s">
        <v>65</v>
      </c>
      <c r="Q10982" t="s">
        <v>58</v>
      </c>
      <c r="R10982" t="str">
        <f>IFERROR(VLOOKUP(record[[#This Row],[PCUSTID]],廠商[],2,FALSE),"")</f>
        <v/>
      </c>
      <c r="S10982" t="str">
        <f>VLOOKUP(record[[#This Row],[employeeID]],員工[],2,FALSE)</f>
        <v>蘇進昌</v>
      </c>
    </row>
    <row r="10983" spans="6:19" hidden="1" x14ac:dyDescent="0.25">
      <c r="F10983" t="s">
        <v>613</v>
      </c>
      <c r="G10983" t="s">
        <v>402</v>
      </c>
      <c r="H10983" t="str">
        <f>VLOOKUP(record[[#This Row],[ProcessSN]],表格2_7[],2,FALSE)</f>
        <v>30-4118-018-550</v>
      </c>
      <c r="I10983" t="str">
        <f>VLOOKUP(record[[#This Row],[ProcessSN]],表格2_7[],3,FALSE)</f>
        <v>#100STOCK</v>
      </c>
      <c r="J10983" t="s">
        <v>592</v>
      </c>
      <c r="K10983" s="195">
        <v>45647.607627314814</v>
      </c>
      <c r="L10983">
        <v>8</v>
      </c>
      <c r="M10983">
        <v>0</v>
      </c>
      <c r="N10983" s="98" t="str">
        <f>IF(record[[#This Row],[Memo]]="Browser:chrome os:android","平板報工",IF(record[[#This Row],[Memo]]=0,"委外",record[[#This Row],[Memo]]))</f>
        <v/>
      </c>
      <c r="O10983" t="s">
        <v>58</v>
      </c>
      <c r="P10983" t="s">
        <v>65</v>
      </c>
      <c r="Q10983" t="s">
        <v>58</v>
      </c>
      <c r="R10983" t="str">
        <f>IFERROR(VLOOKUP(record[[#This Row],[PCUSTID]],廠商[],2,FALSE),"")</f>
        <v/>
      </c>
      <c r="S10983" t="str">
        <f>VLOOKUP(record[[#This Row],[employeeID]],員工[],2,FALSE)</f>
        <v>蘇進昌</v>
      </c>
    </row>
    <row r="10984" spans="6:19" hidden="1" x14ac:dyDescent="0.25">
      <c r="F10984" t="s">
        <v>613</v>
      </c>
      <c r="G10984" t="s">
        <v>401</v>
      </c>
      <c r="H10984" t="str">
        <f>VLOOKUP(record[[#This Row],[ProcessSN]],表格2_7[],2,FALSE)</f>
        <v>30-4118-018-550</v>
      </c>
      <c r="I10984" t="str">
        <f>VLOOKUP(record[[#This Row],[ProcessSN]],表格2_7[],3,FALSE)</f>
        <v>#100OQC</v>
      </c>
      <c r="J10984" t="s">
        <v>599</v>
      </c>
      <c r="K10984" s="195">
        <v>45647.607534722221</v>
      </c>
      <c r="L10984">
        <v>8</v>
      </c>
      <c r="M10984">
        <v>0</v>
      </c>
      <c r="N10984" s="98" t="str">
        <f>IF(record[[#This Row],[Memo]]="Browser:chrome os:android","平板報工",IF(record[[#This Row],[Memo]]=0,"委外",record[[#This Row],[Memo]]))</f>
        <v/>
      </c>
      <c r="O10984" t="s">
        <v>58</v>
      </c>
      <c r="P10984" t="s">
        <v>65</v>
      </c>
      <c r="Q10984" t="s">
        <v>58</v>
      </c>
      <c r="R10984" t="str">
        <f>IFERROR(VLOOKUP(record[[#This Row],[PCUSTID]],廠商[],2,FALSE),"")</f>
        <v/>
      </c>
      <c r="S10984" t="str">
        <f>VLOOKUP(record[[#This Row],[employeeID]],員工[],2,FALSE)</f>
        <v>蘇進昌</v>
      </c>
    </row>
    <row r="10985" spans="6:19" hidden="1" x14ac:dyDescent="0.25">
      <c r="F10985" t="s">
        <v>613</v>
      </c>
      <c r="G10985" t="s">
        <v>400</v>
      </c>
      <c r="H10985" t="str">
        <f>VLOOKUP(record[[#This Row],[ProcessSN]],表格2_7[],2,FALSE)</f>
        <v>30-4118-018-550</v>
      </c>
      <c r="I10985" t="str">
        <f>VLOOKUP(record[[#This Row],[ProcessSN]],表格2_7[],3,FALSE)</f>
        <v>#100</v>
      </c>
      <c r="J10985" t="s">
        <v>598</v>
      </c>
      <c r="K10985" s="195">
        <v>45647.607465277775</v>
      </c>
      <c r="L10985">
        <v>8</v>
      </c>
      <c r="M10985">
        <v>0</v>
      </c>
      <c r="N10985" s="98" t="str">
        <f>IF(record[[#This Row],[Memo]]="Browser:chrome os:android","平板報工",IF(record[[#This Row],[Memo]]=0,"委外",record[[#This Row],[Memo]]))</f>
        <v/>
      </c>
      <c r="O10985" t="s">
        <v>58</v>
      </c>
      <c r="P10985" t="s">
        <v>65</v>
      </c>
      <c r="Q10985" t="s">
        <v>58</v>
      </c>
      <c r="R10985" t="str">
        <f>IFERROR(VLOOKUP(record[[#This Row],[PCUSTID]],廠商[],2,FALSE),"")</f>
        <v/>
      </c>
      <c r="S10985" t="str">
        <f>VLOOKUP(record[[#This Row],[employeeID]],員工[],2,FALSE)</f>
        <v>蘇進昌</v>
      </c>
    </row>
    <row r="10986" spans="6:19" hidden="1" x14ac:dyDescent="0.25">
      <c r="F10986" t="s">
        <v>613</v>
      </c>
      <c r="G10986" t="s">
        <v>399</v>
      </c>
      <c r="H10986" t="str">
        <f>VLOOKUP(record[[#This Row],[ProcessSN]],表格2_7[],2,FALSE)</f>
        <v>30-4118-018-550</v>
      </c>
      <c r="I10986" t="str">
        <f>VLOOKUP(record[[#This Row],[ProcessSN]],表格2_7[],3,FALSE)</f>
        <v>#08IQC</v>
      </c>
      <c r="J10986" t="s">
        <v>583</v>
      </c>
      <c r="K10986" s="195">
        <v>45647.60733796296</v>
      </c>
      <c r="L10986">
        <v>566</v>
      </c>
      <c r="M10986">
        <v>0</v>
      </c>
      <c r="N10986" s="98" t="str">
        <f>IF(record[[#This Row],[Memo]]="Browser:chrome os:android","平板報工",IF(record[[#This Row],[Memo]]=0,"委外",record[[#This Row],[Memo]]))</f>
        <v/>
      </c>
      <c r="O10986" t="s">
        <v>58</v>
      </c>
      <c r="P10986" t="s">
        <v>65</v>
      </c>
      <c r="Q10986" t="s">
        <v>58</v>
      </c>
      <c r="R10986" t="str">
        <f>IFERROR(VLOOKUP(record[[#This Row],[PCUSTID]],廠商[],2,FALSE),"")</f>
        <v/>
      </c>
      <c r="S10986" t="str">
        <f>VLOOKUP(record[[#This Row],[employeeID]],員工[],2,FALSE)</f>
        <v>蘇進昌</v>
      </c>
    </row>
    <row r="10987" spans="6:19" hidden="1" x14ac:dyDescent="0.25">
      <c r="F10987" t="s">
        <v>613</v>
      </c>
      <c r="G10987" t="s">
        <v>398</v>
      </c>
      <c r="H10987" t="str">
        <f>VLOOKUP(record[[#This Row],[ProcessSN]],表格2_7[],2,FALSE)</f>
        <v>30-4118-018-550</v>
      </c>
      <c r="I10987" t="str">
        <f>VLOOKUP(record[[#This Row],[ProcessSN]],表格2_7[],3,FALSE)</f>
        <v>#08RCV</v>
      </c>
      <c r="J10987" t="s">
        <v>591</v>
      </c>
      <c r="K10987" s="195">
        <v>45647.607233796298</v>
      </c>
      <c r="L10987">
        <v>566</v>
      </c>
      <c r="M10987">
        <v>10</v>
      </c>
      <c r="N10987" s="98" t="str">
        <f>IF(record[[#This Row],[Memo]]="Browser:chrome os:android","平板報工",IF(record[[#This Row],[Memo]]=0,"委外",record[[#This Row],[Memo]]))</f>
        <v/>
      </c>
      <c r="O10987" t="s">
        <v>58</v>
      </c>
      <c r="P10987" t="s">
        <v>65</v>
      </c>
      <c r="Q10987" t="s">
        <v>58</v>
      </c>
      <c r="R10987" t="str">
        <f>IFERROR(VLOOKUP(record[[#This Row],[PCUSTID]],廠商[],2,FALSE),"")</f>
        <v/>
      </c>
      <c r="S10987" t="str">
        <f>VLOOKUP(record[[#This Row],[employeeID]],員工[],2,FALSE)</f>
        <v>蘇進昌</v>
      </c>
    </row>
    <row r="10988" spans="6:19" hidden="1" x14ac:dyDescent="0.25">
      <c r="F10988" t="s">
        <v>613</v>
      </c>
      <c r="G10988" t="s">
        <v>397</v>
      </c>
      <c r="H10988" t="str">
        <f>VLOOKUP(record[[#This Row],[ProcessSN]],表格2_7[],2,FALSE)</f>
        <v>30-4118-018-550</v>
      </c>
      <c r="I10988" t="str">
        <f>VLOOKUP(record[[#This Row],[ProcessSN]],表格2_7[],3,FALSE)</f>
        <v>#08</v>
      </c>
      <c r="J10988" t="s">
        <v>606</v>
      </c>
      <c r="K10988" s="195">
        <v>45647.607152777775</v>
      </c>
      <c r="L10988">
        <v>576</v>
      </c>
      <c r="M10988">
        <v>0</v>
      </c>
      <c r="N10988" s="98" t="str">
        <f>IF(record[[#This Row],[Memo]]="Browser:chrome os:android","平板報工",IF(record[[#This Row],[Memo]]=0,"委外",record[[#This Row],[Memo]]))</f>
        <v>委外</v>
      </c>
      <c r="P10988" t="s">
        <v>65</v>
      </c>
      <c r="Q10988" t="s">
        <v>287</v>
      </c>
      <c r="R10988" t="str">
        <f>IFERROR(VLOOKUP(record[[#This Row],[PCUSTID]],廠商[],2,FALSE),"")</f>
        <v>泉盛</v>
      </c>
      <c r="S10988" t="str">
        <f>VLOOKUP(record[[#This Row],[employeeID]],員工[],2,FALSE)</f>
        <v>蘇進昌</v>
      </c>
    </row>
    <row r="10989" spans="6:19" hidden="1" x14ac:dyDescent="0.25">
      <c r="F10989" t="s">
        <v>613</v>
      </c>
      <c r="G10989" t="s">
        <v>396</v>
      </c>
      <c r="H10989" t="str">
        <f>VLOOKUP(record[[#This Row],[ProcessSN]],表格2_7[],2,FALSE)</f>
        <v>30-4118-018-550</v>
      </c>
      <c r="I10989" t="str">
        <f>VLOOKUP(record[[#This Row],[ProcessSN]],表格2_7[],3,FALSE)</f>
        <v>#08PICK</v>
      </c>
      <c r="J10989" t="s">
        <v>582</v>
      </c>
      <c r="K10989" s="195">
        <v>45647.607083333336</v>
      </c>
      <c r="L10989">
        <v>576</v>
      </c>
      <c r="M10989">
        <v>0</v>
      </c>
      <c r="N10989" s="98" t="str">
        <f>IF(record[[#This Row],[Memo]]="Browser:chrome os:android","平板報工",IF(record[[#This Row],[Memo]]=0,"委外",record[[#This Row],[Memo]]))</f>
        <v/>
      </c>
      <c r="O10989" t="s">
        <v>58</v>
      </c>
      <c r="P10989" t="s">
        <v>65</v>
      </c>
      <c r="Q10989" t="s">
        <v>58</v>
      </c>
      <c r="R10989" t="str">
        <f>IFERROR(VLOOKUP(record[[#This Row],[PCUSTID]],廠商[],2,FALSE),"")</f>
        <v/>
      </c>
      <c r="S10989" t="str">
        <f>VLOOKUP(record[[#This Row],[employeeID]],員工[],2,FALSE)</f>
        <v>蘇進昌</v>
      </c>
    </row>
    <row r="10990" spans="6:19" hidden="1" x14ac:dyDescent="0.25">
      <c r="F10990" t="s">
        <v>612</v>
      </c>
      <c r="G10990" t="s">
        <v>403</v>
      </c>
      <c r="H10990" t="str">
        <f>VLOOKUP(record[[#This Row],[ProcessSN]],表格2_7[],2,FALSE)</f>
        <v>30-4118-018-550</v>
      </c>
      <c r="I10990" t="str">
        <f>VLOOKUP(record[[#This Row],[ProcessSN]],表格2_7[],3,FALSE)</f>
        <v>#100SHIP</v>
      </c>
      <c r="J10990" t="s">
        <v>600</v>
      </c>
      <c r="K10990" s="195">
        <v>45647.606689814813</v>
      </c>
      <c r="L10990">
        <v>10</v>
      </c>
      <c r="M10990">
        <v>0</v>
      </c>
      <c r="N10990" s="98" t="str">
        <f>IF(record[[#This Row],[Memo]]="Browser:chrome os:android","平板報工",IF(record[[#This Row],[Memo]]=0,"委外",record[[#This Row],[Memo]]))</f>
        <v/>
      </c>
      <c r="O10990" t="s">
        <v>58</v>
      </c>
      <c r="P10990" t="s">
        <v>65</v>
      </c>
      <c r="Q10990" t="s">
        <v>58</v>
      </c>
      <c r="R10990" t="str">
        <f>IFERROR(VLOOKUP(record[[#This Row],[PCUSTID]],廠商[],2,FALSE),"")</f>
        <v/>
      </c>
      <c r="S10990" t="str">
        <f>VLOOKUP(record[[#This Row],[employeeID]],員工[],2,FALSE)</f>
        <v>蘇進昌</v>
      </c>
    </row>
    <row r="10991" spans="6:19" hidden="1" x14ac:dyDescent="0.25">
      <c r="F10991" t="s">
        <v>612</v>
      </c>
      <c r="G10991" t="s">
        <v>402</v>
      </c>
      <c r="H10991" t="str">
        <f>VLOOKUP(record[[#This Row],[ProcessSN]],表格2_7[],2,FALSE)</f>
        <v>30-4118-018-550</v>
      </c>
      <c r="I10991" t="str">
        <f>VLOOKUP(record[[#This Row],[ProcessSN]],表格2_7[],3,FALSE)</f>
        <v>#100STOCK</v>
      </c>
      <c r="J10991" t="s">
        <v>592</v>
      </c>
      <c r="K10991" s="195">
        <v>45647.606631944444</v>
      </c>
      <c r="L10991">
        <v>10</v>
      </c>
      <c r="M10991">
        <v>0</v>
      </c>
      <c r="N10991" s="98" t="str">
        <f>IF(record[[#This Row],[Memo]]="Browser:chrome os:android","平板報工",IF(record[[#This Row],[Memo]]=0,"委外",record[[#This Row],[Memo]]))</f>
        <v/>
      </c>
      <c r="O10991" t="s">
        <v>58</v>
      </c>
      <c r="P10991" t="s">
        <v>65</v>
      </c>
      <c r="Q10991" t="s">
        <v>58</v>
      </c>
      <c r="R10991" t="str">
        <f>IFERROR(VLOOKUP(record[[#This Row],[PCUSTID]],廠商[],2,FALSE),"")</f>
        <v/>
      </c>
      <c r="S10991" t="str">
        <f>VLOOKUP(record[[#This Row],[employeeID]],員工[],2,FALSE)</f>
        <v>蘇進昌</v>
      </c>
    </row>
    <row r="10992" spans="6:19" hidden="1" x14ac:dyDescent="0.25">
      <c r="F10992" t="s">
        <v>612</v>
      </c>
      <c r="G10992" t="s">
        <v>401</v>
      </c>
      <c r="H10992" t="str">
        <f>VLOOKUP(record[[#This Row],[ProcessSN]],表格2_7[],2,FALSE)</f>
        <v>30-4118-018-550</v>
      </c>
      <c r="I10992" t="str">
        <f>VLOOKUP(record[[#This Row],[ProcessSN]],表格2_7[],3,FALSE)</f>
        <v>#100OQC</v>
      </c>
      <c r="J10992" t="s">
        <v>599</v>
      </c>
      <c r="K10992" s="195">
        <v>45647.606574074074</v>
      </c>
      <c r="L10992">
        <v>10</v>
      </c>
      <c r="M10992">
        <v>0</v>
      </c>
      <c r="N10992" s="98" t="str">
        <f>IF(record[[#This Row],[Memo]]="Browser:chrome os:android","平板報工",IF(record[[#This Row],[Memo]]=0,"委外",record[[#This Row],[Memo]]))</f>
        <v/>
      </c>
      <c r="O10992" t="s">
        <v>58</v>
      </c>
      <c r="P10992" t="s">
        <v>65</v>
      </c>
      <c r="Q10992" t="s">
        <v>58</v>
      </c>
      <c r="R10992" t="str">
        <f>IFERROR(VLOOKUP(record[[#This Row],[PCUSTID]],廠商[],2,FALSE),"")</f>
        <v/>
      </c>
      <c r="S10992" t="str">
        <f>VLOOKUP(record[[#This Row],[employeeID]],員工[],2,FALSE)</f>
        <v>蘇進昌</v>
      </c>
    </row>
    <row r="10993" spans="6:19" hidden="1" x14ac:dyDescent="0.25">
      <c r="F10993" t="s">
        <v>612</v>
      </c>
      <c r="G10993" t="s">
        <v>400</v>
      </c>
      <c r="H10993" t="str">
        <f>VLOOKUP(record[[#This Row],[ProcessSN]],表格2_7[],2,FALSE)</f>
        <v>30-4118-018-550</v>
      </c>
      <c r="I10993" t="str">
        <f>VLOOKUP(record[[#This Row],[ProcessSN]],表格2_7[],3,FALSE)</f>
        <v>#100</v>
      </c>
      <c r="J10993" t="s">
        <v>598</v>
      </c>
      <c r="K10993" s="195">
        <v>45647.606493055559</v>
      </c>
      <c r="L10993">
        <v>10</v>
      </c>
      <c r="M10993">
        <v>0</v>
      </c>
      <c r="N10993" s="98" t="str">
        <f>IF(record[[#This Row],[Memo]]="Browser:chrome os:android","平板報工",IF(record[[#This Row],[Memo]]=0,"委外",record[[#This Row],[Memo]]))</f>
        <v/>
      </c>
      <c r="O10993" t="s">
        <v>58</v>
      </c>
      <c r="P10993" t="s">
        <v>65</v>
      </c>
      <c r="Q10993" t="s">
        <v>58</v>
      </c>
      <c r="R10993" t="str">
        <f>IFERROR(VLOOKUP(record[[#This Row],[PCUSTID]],廠商[],2,FALSE),"")</f>
        <v/>
      </c>
      <c r="S10993" t="str">
        <f>VLOOKUP(record[[#This Row],[employeeID]],員工[],2,FALSE)</f>
        <v>蘇進昌</v>
      </c>
    </row>
    <row r="10994" spans="6:19" hidden="1" x14ac:dyDescent="0.25">
      <c r="F10994" t="s">
        <v>612</v>
      </c>
      <c r="G10994" t="s">
        <v>399</v>
      </c>
      <c r="H10994" t="str">
        <f>VLOOKUP(record[[#This Row],[ProcessSN]],表格2_7[],2,FALSE)</f>
        <v>30-4118-018-550</v>
      </c>
      <c r="I10994" t="str">
        <f>VLOOKUP(record[[#This Row],[ProcessSN]],表格2_7[],3,FALSE)</f>
        <v>#08IQC</v>
      </c>
      <c r="J10994" t="s">
        <v>583</v>
      </c>
      <c r="K10994" s="195">
        <v>45647.606388888889</v>
      </c>
      <c r="L10994">
        <v>502</v>
      </c>
      <c r="M10994">
        <v>0</v>
      </c>
      <c r="N10994" s="98" t="str">
        <f>IF(record[[#This Row],[Memo]]="Browser:chrome os:android","平板報工",IF(record[[#This Row],[Memo]]=0,"委外",record[[#This Row],[Memo]]))</f>
        <v/>
      </c>
      <c r="O10994" t="s">
        <v>58</v>
      </c>
      <c r="P10994" t="s">
        <v>65</v>
      </c>
      <c r="Q10994" t="s">
        <v>58</v>
      </c>
      <c r="R10994" t="str">
        <f>IFERROR(VLOOKUP(record[[#This Row],[PCUSTID]],廠商[],2,FALSE),"")</f>
        <v/>
      </c>
      <c r="S10994" t="str">
        <f>VLOOKUP(record[[#This Row],[employeeID]],員工[],2,FALSE)</f>
        <v>蘇進昌</v>
      </c>
    </row>
    <row r="10995" spans="6:19" hidden="1" x14ac:dyDescent="0.25">
      <c r="F10995" t="s">
        <v>612</v>
      </c>
      <c r="G10995" t="s">
        <v>398</v>
      </c>
      <c r="H10995" t="str">
        <f>VLOOKUP(record[[#This Row],[ProcessSN]],表格2_7[],2,FALSE)</f>
        <v>30-4118-018-550</v>
      </c>
      <c r="I10995" t="str">
        <f>VLOOKUP(record[[#This Row],[ProcessSN]],表格2_7[],3,FALSE)</f>
        <v>#08RCV</v>
      </c>
      <c r="J10995" t="s">
        <v>591</v>
      </c>
      <c r="K10995" s="195">
        <v>45647.606319444443</v>
      </c>
      <c r="L10995">
        <v>502</v>
      </c>
      <c r="M10995">
        <v>2</v>
      </c>
      <c r="N10995" s="98" t="str">
        <f>IF(record[[#This Row],[Memo]]="Browser:chrome os:android","平板報工",IF(record[[#This Row],[Memo]]=0,"委外",record[[#This Row],[Memo]]))</f>
        <v/>
      </c>
      <c r="O10995" t="s">
        <v>58</v>
      </c>
      <c r="P10995" t="s">
        <v>65</v>
      </c>
      <c r="Q10995" t="s">
        <v>58</v>
      </c>
      <c r="R10995" t="str">
        <f>IFERROR(VLOOKUP(record[[#This Row],[PCUSTID]],廠商[],2,FALSE),"")</f>
        <v/>
      </c>
      <c r="S10995" t="str">
        <f>VLOOKUP(record[[#This Row],[employeeID]],員工[],2,FALSE)</f>
        <v>蘇進昌</v>
      </c>
    </row>
    <row r="10996" spans="6:19" hidden="1" x14ac:dyDescent="0.25">
      <c r="F10996" t="s">
        <v>612</v>
      </c>
      <c r="G10996" t="s">
        <v>397</v>
      </c>
      <c r="H10996" t="str">
        <f>VLOOKUP(record[[#This Row],[ProcessSN]],表格2_7[],2,FALSE)</f>
        <v>30-4118-018-550</v>
      </c>
      <c r="I10996" t="str">
        <f>VLOOKUP(record[[#This Row],[ProcessSN]],表格2_7[],3,FALSE)</f>
        <v>#08</v>
      </c>
      <c r="J10996" t="s">
        <v>606</v>
      </c>
      <c r="K10996" s="195">
        <v>45647.606157407405</v>
      </c>
      <c r="L10996">
        <v>504</v>
      </c>
      <c r="M10996">
        <v>0</v>
      </c>
      <c r="N10996" s="98" t="str">
        <f>IF(record[[#This Row],[Memo]]="Browser:chrome os:android","平板報工",IF(record[[#This Row],[Memo]]=0,"委外",record[[#This Row],[Memo]]))</f>
        <v>委外</v>
      </c>
      <c r="P10996" t="s">
        <v>65</v>
      </c>
      <c r="Q10996" t="s">
        <v>287</v>
      </c>
      <c r="R10996" t="str">
        <f>IFERROR(VLOOKUP(record[[#This Row],[PCUSTID]],廠商[],2,FALSE),"")</f>
        <v>泉盛</v>
      </c>
      <c r="S10996" t="str">
        <f>VLOOKUP(record[[#This Row],[employeeID]],員工[],2,FALSE)</f>
        <v>蘇進昌</v>
      </c>
    </row>
    <row r="10997" spans="6:19" hidden="1" x14ac:dyDescent="0.25">
      <c r="F10997" t="s">
        <v>612</v>
      </c>
      <c r="G10997" t="s">
        <v>396</v>
      </c>
      <c r="H10997" t="str">
        <f>VLOOKUP(record[[#This Row],[ProcessSN]],表格2_7[],2,FALSE)</f>
        <v>30-4118-018-550</v>
      </c>
      <c r="I10997" t="str">
        <f>VLOOKUP(record[[#This Row],[ProcessSN]],表格2_7[],3,FALSE)</f>
        <v>#08PICK</v>
      </c>
      <c r="J10997" t="s">
        <v>582</v>
      </c>
      <c r="K10997" s="195">
        <v>45647.606064814812</v>
      </c>
      <c r="L10997">
        <v>504</v>
      </c>
      <c r="M10997">
        <v>0</v>
      </c>
      <c r="N10997" s="98" t="str">
        <f>IF(record[[#This Row],[Memo]]="Browser:chrome os:android","平板報工",IF(record[[#This Row],[Memo]]=0,"委外",record[[#This Row],[Memo]]))</f>
        <v/>
      </c>
      <c r="O10997" t="s">
        <v>58</v>
      </c>
      <c r="P10997" t="s">
        <v>65</v>
      </c>
      <c r="Q10997" t="s">
        <v>58</v>
      </c>
      <c r="R10997" t="str">
        <f>IFERROR(VLOOKUP(record[[#This Row],[PCUSTID]],廠商[],2,FALSE),"")</f>
        <v/>
      </c>
      <c r="S10997" t="str">
        <f>VLOOKUP(record[[#This Row],[employeeID]],員工[],2,FALSE)</f>
        <v>蘇進昌</v>
      </c>
    </row>
    <row r="10998" spans="6:19" hidden="1" x14ac:dyDescent="0.25">
      <c r="F10998" t="s">
        <v>611</v>
      </c>
      <c r="G10998" t="s">
        <v>403</v>
      </c>
      <c r="H10998" t="str">
        <f>VLOOKUP(record[[#This Row],[ProcessSN]],表格2_7[],2,FALSE)</f>
        <v>30-4118-018-550</v>
      </c>
      <c r="I10998" t="str">
        <f>VLOOKUP(record[[#This Row],[ProcessSN]],表格2_7[],3,FALSE)</f>
        <v>#100SHIP</v>
      </c>
      <c r="J10998" t="s">
        <v>600</v>
      </c>
      <c r="K10998" s="195">
        <v>45647.605636574073</v>
      </c>
      <c r="L10998">
        <v>29</v>
      </c>
      <c r="M10998">
        <v>0</v>
      </c>
      <c r="N10998" s="98" t="str">
        <f>IF(record[[#This Row],[Memo]]="Browser:chrome os:android","平板報工",IF(record[[#This Row],[Memo]]=0,"委外",record[[#This Row],[Memo]]))</f>
        <v/>
      </c>
      <c r="O10998" t="s">
        <v>58</v>
      </c>
      <c r="P10998" t="s">
        <v>65</v>
      </c>
      <c r="Q10998" t="s">
        <v>58</v>
      </c>
      <c r="R10998" t="str">
        <f>IFERROR(VLOOKUP(record[[#This Row],[PCUSTID]],廠商[],2,FALSE),"")</f>
        <v/>
      </c>
      <c r="S10998" t="str">
        <f>VLOOKUP(record[[#This Row],[employeeID]],員工[],2,FALSE)</f>
        <v>蘇進昌</v>
      </c>
    </row>
    <row r="10999" spans="6:19" hidden="1" x14ac:dyDescent="0.25">
      <c r="F10999" t="s">
        <v>611</v>
      </c>
      <c r="G10999" t="s">
        <v>402</v>
      </c>
      <c r="H10999" t="str">
        <f>VLOOKUP(record[[#This Row],[ProcessSN]],表格2_7[],2,FALSE)</f>
        <v>30-4118-018-550</v>
      </c>
      <c r="I10999" t="str">
        <f>VLOOKUP(record[[#This Row],[ProcessSN]],表格2_7[],3,FALSE)</f>
        <v>#100STOCK</v>
      </c>
      <c r="J10999" t="s">
        <v>592</v>
      </c>
      <c r="K10999" s="195">
        <v>45647.605567129627</v>
      </c>
      <c r="L10999">
        <v>29</v>
      </c>
      <c r="M10999">
        <v>0</v>
      </c>
      <c r="N10999" s="98" t="str">
        <f>IF(record[[#This Row],[Memo]]="Browser:chrome os:android","平板報工",IF(record[[#This Row],[Memo]]=0,"委外",record[[#This Row],[Memo]]))</f>
        <v/>
      </c>
      <c r="O10999" t="s">
        <v>58</v>
      </c>
      <c r="P10999" t="s">
        <v>65</v>
      </c>
      <c r="Q10999" t="s">
        <v>58</v>
      </c>
      <c r="R10999" t="str">
        <f>IFERROR(VLOOKUP(record[[#This Row],[PCUSTID]],廠商[],2,FALSE),"")</f>
        <v/>
      </c>
      <c r="S10999" t="str">
        <f>VLOOKUP(record[[#This Row],[employeeID]],員工[],2,FALSE)</f>
        <v>蘇進昌</v>
      </c>
    </row>
    <row r="11000" spans="6:19" hidden="1" x14ac:dyDescent="0.25">
      <c r="F11000" t="s">
        <v>611</v>
      </c>
      <c r="G11000" t="s">
        <v>401</v>
      </c>
      <c r="H11000" t="str">
        <f>VLOOKUP(record[[#This Row],[ProcessSN]],表格2_7[],2,FALSE)</f>
        <v>30-4118-018-550</v>
      </c>
      <c r="I11000" t="str">
        <f>VLOOKUP(record[[#This Row],[ProcessSN]],表格2_7[],3,FALSE)</f>
        <v>#100OQC</v>
      </c>
      <c r="J11000" t="s">
        <v>599</v>
      </c>
      <c r="K11000" s="195">
        <v>45647.605474537035</v>
      </c>
      <c r="L11000">
        <v>29</v>
      </c>
      <c r="M11000">
        <v>0</v>
      </c>
      <c r="N11000" s="98" t="str">
        <f>IF(record[[#This Row],[Memo]]="Browser:chrome os:android","平板報工",IF(record[[#This Row],[Memo]]=0,"委外",record[[#This Row],[Memo]]))</f>
        <v/>
      </c>
      <c r="O11000" t="s">
        <v>58</v>
      </c>
      <c r="P11000" t="s">
        <v>65</v>
      </c>
      <c r="Q11000" t="s">
        <v>58</v>
      </c>
      <c r="R11000" t="str">
        <f>IFERROR(VLOOKUP(record[[#This Row],[PCUSTID]],廠商[],2,FALSE),"")</f>
        <v/>
      </c>
      <c r="S11000" t="str">
        <f>VLOOKUP(record[[#This Row],[employeeID]],員工[],2,FALSE)</f>
        <v>蘇進昌</v>
      </c>
    </row>
    <row r="11001" spans="6:19" hidden="1" x14ac:dyDescent="0.25">
      <c r="F11001" t="s">
        <v>611</v>
      </c>
      <c r="G11001" t="s">
        <v>400</v>
      </c>
      <c r="H11001" t="str">
        <f>VLOOKUP(record[[#This Row],[ProcessSN]],表格2_7[],2,FALSE)</f>
        <v>30-4118-018-550</v>
      </c>
      <c r="I11001" t="str">
        <f>VLOOKUP(record[[#This Row],[ProcessSN]],表格2_7[],3,FALSE)</f>
        <v>#100</v>
      </c>
      <c r="J11001" t="s">
        <v>598</v>
      </c>
      <c r="K11001" s="195">
        <v>45647.605347222219</v>
      </c>
      <c r="L11001">
        <v>29</v>
      </c>
      <c r="M11001">
        <v>0</v>
      </c>
      <c r="N11001" s="98" t="str">
        <f>IF(record[[#This Row],[Memo]]="Browser:chrome os:android","平板報工",IF(record[[#This Row],[Memo]]=0,"委外",record[[#This Row],[Memo]]))</f>
        <v/>
      </c>
      <c r="O11001" t="s">
        <v>58</v>
      </c>
      <c r="P11001" t="s">
        <v>65</v>
      </c>
      <c r="Q11001" t="s">
        <v>58</v>
      </c>
      <c r="R11001" t="str">
        <f>IFERROR(VLOOKUP(record[[#This Row],[PCUSTID]],廠商[],2,FALSE),"")</f>
        <v/>
      </c>
      <c r="S11001" t="str">
        <f>VLOOKUP(record[[#This Row],[employeeID]],員工[],2,FALSE)</f>
        <v>蘇進昌</v>
      </c>
    </row>
    <row r="11002" spans="6:19" hidden="1" x14ac:dyDescent="0.25">
      <c r="F11002" t="s">
        <v>611</v>
      </c>
      <c r="G11002" t="s">
        <v>399</v>
      </c>
      <c r="H11002" t="str">
        <f>VLOOKUP(record[[#This Row],[ProcessSN]],表格2_7[],2,FALSE)</f>
        <v>30-4118-018-550</v>
      </c>
      <c r="I11002" t="str">
        <f>VLOOKUP(record[[#This Row],[ProcessSN]],表格2_7[],3,FALSE)</f>
        <v>#08IQC</v>
      </c>
      <c r="J11002" t="s">
        <v>583</v>
      </c>
      <c r="K11002" s="195">
        <v>45647.60527777778</v>
      </c>
      <c r="L11002">
        <v>901</v>
      </c>
      <c r="M11002">
        <v>0</v>
      </c>
      <c r="N11002" s="98" t="str">
        <f>IF(record[[#This Row],[Memo]]="Browser:chrome os:android","平板報工",IF(record[[#This Row],[Memo]]=0,"委外",record[[#This Row],[Memo]]))</f>
        <v/>
      </c>
      <c r="O11002" t="s">
        <v>58</v>
      </c>
      <c r="P11002" t="s">
        <v>65</v>
      </c>
      <c r="Q11002" t="s">
        <v>58</v>
      </c>
      <c r="R11002" t="str">
        <f>IFERROR(VLOOKUP(record[[#This Row],[PCUSTID]],廠商[],2,FALSE),"")</f>
        <v/>
      </c>
      <c r="S11002" t="str">
        <f>VLOOKUP(record[[#This Row],[employeeID]],員工[],2,FALSE)</f>
        <v>蘇進昌</v>
      </c>
    </row>
    <row r="11003" spans="6:19" hidden="1" x14ac:dyDescent="0.25">
      <c r="F11003" t="s">
        <v>611</v>
      </c>
      <c r="G11003" t="s">
        <v>398</v>
      </c>
      <c r="H11003" t="str">
        <f>VLOOKUP(record[[#This Row],[ProcessSN]],表格2_7[],2,FALSE)</f>
        <v>30-4118-018-550</v>
      </c>
      <c r="I11003" t="str">
        <f>VLOOKUP(record[[#This Row],[ProcessSN]],表格2_7[],3,FALSE)</f>
        <v>#08RCV</v>
      </c>
      <c r="J11003" t="s">
        <v>591</v>
      </c>
      <c r="K11003" s="195">
        <v>45647.605185185188</v>
      </c>
      <c r="L11003">
        <v>901</v>
      </c>
      <c r="M11003">
        <v>24</v>
      </c>
      <c r="N11003" s="98" t="str">
        <f>IF(record[[#This Row],[Memo]]="Browser:chrome os:android","平板報工",IF(record[[#This Row],[Memo]]=0,"委外",record[[#This Row],[Memo]]))</f>
        <v/>
      </c>
      <c r="O11003" t="s">
        <v>58</v>
      </c>
      <c r="P11003" t="s">
        <v>65</v>
      </c>
      <c r="Q11003" t="s">
        <v>58</v>
      </c>
      <c r="R11003" t="str">
        <f>IFERROR(VLOOKUP(record[[#This Row],[PCUSTID]],廠商[],2,FALSE),"")</f>
        <v/>
      </c>
      <c r="S11003" t="str">
        <f>VLOOKUP(record[[#This Row],[employeeID]],員工[],2,FALSE)</f>
        <v>蘇進昌</v>
      </c>
    </row>
    <row r="11004" spans="6:19" hidden="1" x14ac:dyDescent="0.25">
      <c r="F11004" t="s">
        <v>611</v>
      </c>
      <c r="G11004" t="s">
        <v>397</v>
      </c>
      <c r="H11004" t="str">
        <f>VLOOKUP(record[[#This Row],[ProcessSN]],表格2_7[],2,FALSE)</f>
        <v>30-4118-018-550</v>
      </c>
      <c r="I11004" t="str">
        <f>VLOOKUP(record[[#This Row],[ProcessSN]],表格2_7[],3,FALSE)</f>
        <v>#08</v>
      </c>
      <c r="J11004" t="s">
        <v>606</v>
      </c>
      <c r="K11004" s="195">
        <v>45647.605023148149</v>
      </c>
      <c r="L11004">
        <v>925</v>
      </c>
      <c r="M11004">
        <v>0</v>
      </c>
      <c r="N11004" s="98" t="str">
        <f>IF(record[[#This Row],[Memo]]="Browser:chrome os:android","平板報工",IF(record[[#This Row],[Memo]]=0,"委外",record[[#This Row],[Memo]]))</f>
        <v>委外</v>
      </c>
      <c r="P11004" t="s">
        <v>65</v>
      </c>
      <c r="Q11004" t="s">
        <v>287</v>
      </c>
      <c r="R11004" t="str">
        <f>IFERROR(VLOOKUP(record[[#This Row],[PCUSTID]],廠商[],2,FALSE),"")</f>
        <v>泉盛</v>
      </c>
      <c r="S11004" t="str">
        <f>VLOOKUP(record[[#This Row],[employeeID]],員工[],2,FALSE)</f>
        <v>蘇進昌</v>
      </c>
    </row>
    <row r="11005" spans="6:19" hidden="1" x14ac:dyDescent="0.25">
      <c r="F11005" t="s">
        <v>611</v>
      </c>
      <c r="G11005" t="s">
        <v>396</v>
      </c>
      <c r="H11005" t="str">
        <f>VLOOKUP(record[[#This Row],[ProcessSN]],表格2_7[],2,FALSE)</f>
        <v>30-4118-018-550</v>
      </c>
      <c r="I11005" t="str">
        <f>VLOOKUP(record[[#This Row],[ProcessSN]],表格2_7[],3,FALSE)</f>
        <v>#08PICK</v>
      </c>
      <c r="J11005" t="s">
        <v>582</v>
      </c>
      <c r="K11005" s="195">
        <v>45647.604942129627</v>
      </c>
      <c r="L11005">
        <v>925</v>
      </c>
      <c r="M11005">
        <v>0</v>
      </c>
      <c r="N11005" s="98" t="str">
        <f>IF(record[[#This Row],[Memo]]="Browser:chrome os:android","平板報工",IF(record[[#This Row],[Memo]]=0,"委外",record[[#This Row],[Memo]]))</f>
        <v/>
      </c>
      <c r="O11005" t="s">
        <v>58</v>
      </c>
      <c r="P11005" t="s">
        <v>65</v>
      </c>
      <c r="Q11005" t="s">
        <v>58</v>
      </c>
      <c r="R11005" t="str">
        <f>IFERROR(VLOOKUP(record[[#This Row],[PCUSTID]],廠商[],2,FALSE),"")</f>
        <v/>
      </c>
      <c r="S11005" t="str">
        <f>VLOOKUP(record[[#This Row],[employeeID]],員工[],2,FALSE)</f>
        <v>蘇進昌</v>
      </c>
    </row>
    <row r="11006" spans="6:19" hidden="1" x14ac:dyDescent="0.25">
      <c r="F11006" t="s">
        <v>610</v>
      </c>
      <c r="G11006" t="s">
        <v>403</v>
      </c>
      <c r="H11006" t="str">
        <f>VLOOKUP(record[[#This Row],[ProcessSN]],表格2_7[],2,FALSE)</f>
        <v>30-4118-018-550</v>
      </c>
      <c r="I11006" t="str">
        <f>VLOOKUP(record[[#This Row],[ProcessSN]],表格2_7[],3,FALSE)</f>
        <v>#100SHIP</v>
      </c>
      <c r="J11006" t="s">
        <v>600</v>
      </c>
      <c r="K11006" s="195">
        <v>45647.604201388887</v>
      </c>
      <c r="L11006">
        <v>12</v>
      </c>
      <c r="M11006">
        <v>0</v>
      </c>
      <c r="N11006" s="98" t="str">
        <f>IF(record[[#This Row],[Memo]]="Browser:chrome os:android","平板報工",IF(record[[#This Row],[Memo]]=0,"委外",record[[#This Row],[Memo]]))</f>
        <v/>
      </c>
      <c r="O11006" t="s">
        <v>58</v>
      </c>
      <c r="P11006" t="s">
        <v>65</v>
      </c>
      <c r="Q11006" t="s">
        <v>58</v>
      </c>
      <c r="R11006" t="str">
        <f>IFERROR(VLOOKUP(record[[#This Row],[PCUSTID]],廠商[],2,FALSE),"")</f>
        <v/>
      </c>
      <c r="S11006" t="str">
        <f>VLOOKUP(record[[#This Row],[employeeID]],員工[],2,FALSE)</f>
        <v>蘇進昌</v>
      </c>
    </row>
    <row r="11007" spans="6:19" hidden="1" x14ac:dyDescent="0.25">
      <c r="F11007" t="s">
        <v>610</v>
      </c>
      <c r="G11007" t="s">
        <v>402</v>
      </c>
      <c r="H11007" t="str">
        <f>VLOOKUP(record[[#This Row],[ProcessSN]],表格2_7[],2,FALSE)</f>
        <v>30-4118-018-550</v>
      </c>
      <c r="I11007" t="str">
        <f>VLOOKUP(record[[#This Row],[ProcessSN]],表格2_7[],3,FALSE)</f>
        <v>#100STOCK</v>
      </c>
      <c r="J11007" t="s">
        <v>592</v>
      </c>
      <c r="K11007" s="195">
        <v>45647.604120370372</v>
      </c>
      <c r="L11007">
        <v>12</v>
      </c>
      <c r="M11007">
        <v>0</v>
      </c>
      <c r="N11007" s="98" t="str">
        <f>IF(record[[#This Row],[Memo]]="Browser:chrome os:android","平板報工",IF(record[[#This Row],[Memo]]=0,"委外",record[[#This Row],[Memo]]))</f>
        <v/>
      </c>
      <c r="O11007" t="s">
        <v>58</v>
      </c>
      <c r="P11007" t="s">
        <v>65</v>
      </c>
      <c r="Q11007" t="s">
        <v>58</v>
      </c>
      <c r="R11007" t="str">
        <f>IFERROR(VLOOKUP(record[[#This Row],[PCUSTID]],廠商[],2,FALSE),"")</f>
        <v/>
      </c>
      <c r="S11007" t="str">
        <f>VLOOKUP(record[[#This Row],[employeeID]],員工[],2,FALSE)</f>
        <v>蘇進昌</v>
      </c>
    </row>
    <row r="11008" spans="6:19" hidden="1" x14ac:dyDescent="0.25">
      <c r="F11008" t="s">
        <v>610</v>
      </c>
      <c r="G11008" t="s">
        <v>401</v>
      </c>
      <c r="H11008" t="str">
        <f>VLOOKUP(record[[#This Row],[ProcessSN]],表格2_7[],2,FALSE)</f>
        <v>30-4118-018-550</v>
      </c>
      <c r="I11008" t="str">
        <f>VLOOKUP(record[[#This Row],[ProcessSN]],表格2_7[],3,FALSE)</f>
        <v>#100OQC</v>
      </c>
      <c r="J11008" t="s">
        <v>599</v>
      </c>
      <c r="K11008" s="195">
        <v>45647.604050925926</v>
      </c>
      <c r="L11008">
        <v>12</v>
      </c>
      <c r="M11008">
        <v>0</v>
      </c>
      <c r="N11008" s="98" t="str">
        <f>IF(record[[#This Row],[Memo]]="Browser:chrome os:android","平板報工",IF(record[[#This Row],[Memo]]=0,"委外",record[[#This Row],[Memo]]))</f>
        <v/>
      </c>
      <c r="O11008" t="s">
        <v>58</v>
      </c>
      <c r="P11008" t="s">
        <v>65</v>
      </c>
      <c r="Q11008" t="s">
        <v>58</v>
      </c>
      <c r="R11008" t="str">
        <f>IFERROR(VLOOKUP(record[[#This Row],[PCUSTID]],廠商[],2,FALSE),"")</f>
        <v/>
      </c>
      <c r="S11008" t="str">
        <f>VLOOKUP(record[[#This Row],[employeeID]],員工[],2,FALSE)</f>
        <v>蘇進昌</v>
      </c>
    </row>
    <row r="11009" spans="6:19" hidden="1" x14ac:dyDescent="0.25">
      <c r="F11009" t="s">
        <v>610</v>
      </c>
      <c r="G11009" t="s">
        <v>400</v>
      </c>
      <c r="H11009" t="str">
        <f>VLOOKUP(record[[#This Row],[ProcessSN]],表格2_7[],2,FALSE)</f>
        <v>30-4118-018-550</v>
      </c>
      <c r="I11009" t="str">
        <f>VLOOKUP(record[[#This Row],[ProcessSN]],表格2_7[],3,FALSE)</f>
        <v>#100</v>
      </c>
      <c r="J11009" t="s">
        <v>598</v>
      </c>
      <c r="K11009" s="195">
        <v>45647.603981481479</v>
      </c>
      <c r="L11009">
        <v>12</v>
      </c>
      <c r="M11009">
        <v>0</v>
      </c>
      <c r="N11009" s="98" t="str">
        <f>IF(record[[#This Row],[Memo]]="Browser:chrome os:android","平板報工",IF(record[[#This Row],[Memo]]=0,"委外",record[[#This Row],[Memo]]))</f>
        <v/>
      </c>
      <c r="O11009" t="s">
        <v>58</v>
      </c>
      <c r="P11009" t="s">
        <v>65</v>
      </c>
      <c r="Q11009" t="s">
        <v>58</v>
      </c>
      <c r="R11009" t="str">
        <f>IFERROR(VLOOKUP(record[[#This Row],[PCUSTID]],廠商[],2,FALSE),"")</f>
        <v/>
      </c>
      <c r="S11009" t="str">
        <f>VLOOKUP(record[[#This Row],[employeeID]],員工[],2,FALSE)</f>
        <v>蘇進昌</v>
      </c>
    </row>
    <row r="11010" spans="6:19" hidden="1" x14ac:dyDescent="0.25">
      <c r="F11010" t="s">
        <v>610</v>
      </c>
      <c r="G11010" t="s">
        <v>399</v>
      </c>
      <c r="H11010" t="str">
        <f>VLOOKUP(record[[#This Row],[ProcessSN]],表格2_7[],2,FALSE)</f>
        <v>30-4118-018-550</v>
      </c>
      <c r="I11010" t="str">
        <f>VLOOKUP(record[[#This Row],[ProcessSN]],表格2_7[],3,FALSE)</f>
        <v>#08IQC</v>
      </c>
      <c r="J11010" t="s">
        <v>583</v>
      </c>
      <c r="K11010" s="195">
        <v>45647.603888888887</v>
      </c>
      <c r="L11010">
        <v>501</v>
      </c>
      <c r="M11010">
        <v>0</v>
      </c>
      <c r="N11010" s="98" t="str">
        <f>IF(record[[#This Row],[Memo]]="Browser:chrome os:android","平板報工",IF(record[[#This Row],[Memo]]=0,"委外",record[[#This Row],[Memo]]))</f>
        <v/>
      </c>
      <c r="O11010" t="s">
        <v>58</v>
      </c>
      <c r="P11010" t="s">
        <v>65</v>
      </c>
      <c r="Q11010" t="s">
        <v>58</v>
      </c>
      <c r="R11010" t="str">
        <f>IFERROR(VLOOKUP(record[[#This Row],[PCUSTID]],廠商[],2,FALSE),"")</f>
        <v/>
      </c>
      <c r="S11010" t="str">
        <f>VLOOKUP(record[[#This Row],[employeeID]],員工[],2,FALSE)</f>
        <v>蘇進昌</v>
      </c>
    </row>
    <row r="11011" spans="6:19" hidden="1" x14ac:dyDescent="0.25">
      <c r="F11011" t="s">
        <v>610</v>
      </c>
      <c r="G11011" t="s">
        <v>398</v>
      </c>
      <c r="H11011" t="str">
        <f>VLOOKUP(record[[#This Row],[ProcessSN]],表格2_7[],2,FALSE)</f>
        <v>30-4118-018-550</v>
      </c>
      <c r="I11011" t="str">
        <f>VLOOKUP(record[[#This Row],[ProcessSN]],表格2_7[],3,FALSE)</f>
        <v>#08RCV</v>
      </c>
      <c r="J11011" t="s">
        <v>591</v>
      </c>
      <c r="K11011" s="195">
        <v>45647.603807870371</v>
      </c>
      <c r="L11011">
        <v>501</v>
      </c>
      <c r="M11011">
        <v>3</v>
      </c>
      <c r="N11011" s="98" t="str">
        <f>IF(record[[#This Row],[Memo]]="Browser:chrome os:android","平板報工",IF(record[[#This Row],[Memo]]=0,"委外",record[[#This Row],[Memo]]))</f>
        <v/>
      </c>
      <c r="O11011" t="s">
        <v>58</v>
      </c>
      <c r="P11011" t="s">
        <v>65</v>
      </c>
      <c r="Q11011" t="s">
        <v>58</v>
      </c>
      <c r="R11011" t="str">
        <f>IFERROR(VLOOKUP(record[[#This Row],[PCUSTID]],廠商[],2,FALSE),"")</f>
        <v/>
      </c>
      <c r="S11011" t="str">
        <f>VLOOKUP(record[[#This Row],[employeeID]],員工[],2,FALSE)</f>
        <v>蘇進昌</v>
      </c>
    </row>
    <row r="11012" spans="6:19" hidden="1" x14ac:dyDescent="0.25">
      <c r="F11012" t="s">
        <v>610</v>
      </c>
      <c r="G11012" t="s">
        <v>397</v>
      </c>
      <c r="H11012" t="str">
        <f>VLOOKUP(record[[#This Row],[ProcessSN]],表格2_7[],2,FALSE)</f>
        <v>30-4118-018-550</v>
      </c>
      <c r="I11012" t="str">
        <f>VLOOKUP(record[[#This Row],[ProcessSN]],表格2_7[],3,FALSE)</f>
        <v>#08</v>
      </c>
      <c r="J11012" t="s">
        <v>606</v>
      </c>
      <c r="K11012" s="195">
        <v>45647.603692129633</v>
      </c>
      <c r="L11012">
        <v>504</v>
      </c>
      <c r="M11012">
        <v>0</v>
      </c>
      <c r="N11012" s="98" t="str">
        <f>IF(record[[#This Row],[Memo]]="Browser:chrome os:android","平板報工",IF(record[[#This Row],[Memo]]=0,"委外",record[[#This Row],[Memo]]))</f>
        <v>委外</v>
      </c>
      <c r="P11012" t="s">
        <v>65</v>
      </c>
      <c r="Q11012" t="s">
        <v>287</v>
      </c>
      <c r="R11012" t="str">
        <f>IFERROR(VLOOKUP(record[[#This Row],[PCUSTID]],廠商[],2,FALSE),"")</f>
        <v>泉盛</v>
      </c>
      <c r="S11012" t="str">
        <f>VLOOKUP(record[[#This Row],[employeeID]],員工[],2,FALSE)</f>
        <v>蘇進昌</v>
      </c>
    </row>
    <row r="11013" spans="6:19" hidden="1" x14ac:dyDescent="0.25">
      <c r="F11013" t="s">
        <v>610</v>
      </c>
      <c r="G11013" t="s">
        <v>396</v>
      </c>
      <c r="H11013" t="str">
        <f>VLOOKUP(record[[#This Row],[ProcessSN]],表格2_7[],2,FALSE)</f>
        <v>30-4118-018-550</v>
      </c>
      <c r="I11013" t="str">
        <f>VLOOKUP(record[[#This Row],[ProcessSN]],表格2_7[],3,FALSE)</f>
        <v>#08PICK</v>
      </c>
      <c r="J11013" t="s">
        <v>582</v>
      </c>
      <c r="K11013" s="195">
        <v>45647.603587962964</v>
      </c>
      <c r="L11013">
        <v>504</v>
      </c>
      <c r="M11013">
        <v>0</v>
      </c>
      <c r="N11013" s="98" t="str">
        <f>IF(record[[#This Row],[Memo]]="Browser:chrome os:android","平板報工",IF(record[[#This Row],[Memo]]=0,"委外",record[[#This Row],[Memo]]))</f>
        <v/>
      </c>
      <c r="O11013" t="s">
        <v>58</v>
      </c>
      <c r="P11013" t="s">
        <v>65</v>
      </c>
      <c r="Q11013" t="s">
        <v>58</v>
      </c>
      <c r="R11013" t="str">
        <f>IFERROR(VLOOKUP(record[[#This Row],[PCUSTID]],廠商[],2,FALSE),"")</f>
        <v/>
      </c>
      <c r="S11013" t="str">
        <f>VLOOKUP(record[[#This Row],[employeeID]],員工[],2,FALSE)</f>
        <v>蘇進昌</v>
      </c>
    </row>
    <row r="11014" spans="6:19" hidden="1" x14ac:dyDescent="0.25">
      <c r="F11014" t="s">
        <v>609</v>
      </c>
      <c r="G11014" t="s">
        <v>403</v>
      </c>
      <c r="H11014" t="str">
        <f>VLOOKUP(record[[#This Row],[ProcessSN]],表格2_7[],2,FALSE)</f>
        <v>30-4118-018-550</v>
      </c>
      <c r="I11014" t="str">
        <f>VLOOKUP(record[[#This Row],[ProcessSN]],表格2_7[],3,FALSE)</f>
        <v>#100SHIP</v>
      </c>
      <c r="J11014" t="s">
        <v>600</v>
      </c>
      <c r="K11014" s="195">
        <v>45647.602847222224</v>
      </c>
      <c r="L11014">
        <v>31</v>
      </c>
      <c r="M11014">
        <v>0</v>
      </c>
      <c r="N11014" s="98" t="str">
        <f>IF(record[[#This Row],[Memo]]="Browser:chrome os:android","平板報工",IF(record[[#This Row],[Memo]]=0,"委外",record[[#This Row],[Memo]]))</f>
        <v/>
      </c>
      <c r="O11014" t="s">
        <v>58</v>
      </c>
      <c r="P11014" t="s">
        <v>65</v>
      </c>
      <c r="Q11014" t="s">
        <v>58</v>
      </c>
      <c r="R11014" t="str">
        <f>IFERROR(VLOOKUP(record[[#This Row],[PCUSTID]],廠商[],2,FALSE),"")</f>
        <v/>
      </c>
      <c r="S11014" t="str">
        <f>VLOOKUP(record[[#This Row],[employeeID]],員工[],2,FALSE)</f>
        <v>蘇進昌</v>
      </c>
    </row>
    <row r="11015" spans="6:19" hidden="1" x14ac:dyDescent="0.25">
      <c r="F11015" t="s">
        <v>609</v>
      </c>
      <c r="G11015" t="s">
        <v>402</v>
      </c>
      <c r="H11015" t="str">
        <f>VLOOKUP(record[[#This Row],[ProcessSN]],表格2_7[],2,FALSE)</f>
        <v>30-4118-018-550</v>
      </c>
      <c r="I11015" t="str">
        <f>VLOOKUP(record[[#This Row],[ProcessSN]],表格2_7[],3,FALSE)</f>
        <v>#100STOCK</v>
      </c>
      <c r="J11015" t="s">
        <v>592</v>
      </c>
      <c r="K11015" s="195">
        <v>45647.602800925924</v>
      </c>
      <c r="L11015">
        <v>32</v>
      </c>
      <c r="M11015">
        <v>0</v>
      </c>
      <c r="N11015" s="98" t="str">
        <f>IF(record[[#This Row],[Memo]]="Browser:chrome os:android","平板報工",IF(record[[#This Row],[Memo]]=0,"委外",record[[#This Row],[Memo]]))</f>
        <v/>
      </c>
      <c r="O11015" t="s">
        <v>58</v>
      </c>
      <c r="P11015" t="s">
        <v>65</v>
      </c>
      <c r="Q11015" t="s">
        <v>58</v>
      </c>
      <c r="R11015" t="str">
        <f>IFERROR(VLOOKUP(record[[#This Row],[PCUSTID]],廠商[],2,FALSE),"")</f>
        <v/>
      </c>
      <c r="S11015" t="str">
        <f>VLOOKUP(record[[#This Row],[employeeID]],員工[],2,FALSE)</f>
        <v>蘇進昌</v>
      </c>
    </row>
    <row r="11016" spans="6:19" hidden="1" x14ac:dyDescent="0.25">
      <c r="F11016" t="s">
        <v>609</v>
      </c>
      <c r="G11016" t="s">
        <v>401</v>
      </c>
      <c r="H11016" t="str">
        <f>VLOOKUP(record[[#This Row],[ProcessSN]],表格2_7[],2,FALSE)</f>
        <v>30-4118-018-550</v>
      </c>
      <c r="I11016" t="str">
        <f>VLOOKUP(record[[#This Row],[ProcessSN]],表格2_7[],3,FALSE)</f>
        <v>#100OQC</v>
      </c>
      <c r="J11016" t="s">
        <v>599</v>
      </c>
      <c r="K11016" s="195">
        <v>45647.602708333332</v>
      </c>
      <c r="L11016">
        <v>32</v>
      </c>
      <c r="M11016">
        <v>0</v>
      </c>
      <c r="N11016" s="98" t="str">
        <f>IF(record[[#This Row],[Memo]]="Browser:chrome os:android","平板報工",IF(record[[#This Row],[Memo]]=0,"委外",record[[#This Row],[Memo]]))</f>
        <v/>
      </c>
      <c r="O11016" t="s">
        <v>58</v>
      </c>
      <c r="P11016" t="s">
        <v>65</v>
      </c>
      <c r="Q11016" t="s">
        <v>58</v>
      </c>
      <c r="R11016" t="str">
        <f>IFERROR(VLOOKUP(record[[#This Row],[PCUSTID]],廠商[],2,FALSE),"")</f>
        <v/>
      </c>
      <c r="S11016" t="str">
        <f>VLOOKUP(record[[#This Row],[employeeID]],員工[],2,FALSE)</f>
        <v>蘇進昌</v>
      </c>
    </row>
    <row r="11017" spans="6:19" hidden="1" x14ac:dyDescent="0.25">
      <c r="F11017" t="s">
        <v>609</v>
      </c>
      <c r="G11017" t="s">
        <v>400</v>
      </c>
      <c r="H11017" t="str">
        <f>VLOOKUP(record[[#This Row],[ProcessSN]],表格2_7[],2,FALSE)</f>
        <v>30-4118-018-550</v>
      </c>
      <c r="I11017" t="str">
        <f>VLOOKUP(record[[#This Row],[ProcessSN]],表格2_7[],3,FALSE)</f>
        <v>#100</v>
      </c>
      <c r="J11017" t="s">
        <v>598</v>
      </c>
      <c r="K11017" s="195">
        <v>45647.602592592593</v>
      </c>
      <c r="L11017">
        <v>32</v>
      </c>
      <c r="M11017">
        <v>0</v>
      </c>
      <c r="N11017" s="98" t="str">
        <f>IF(record[[#This Row],[Memo]]="Browser:chrome os:android","平板報工",IF(record[[#This Row],[Memo]]=0,"委外",record[[#This Row],[Memo]]))</f>
        <v/>
      </c>
      <c r="O11017" t="s">
        <v>58</v>
      </c>
      <c r="P11017" t="s">
        <v>65</v>
      </c>
      <c r="Q11017" t="s">
        <v>58</v>
      </c>
      <c r="R11017" t="str">
        <f>IFERROR(VLOOKUP(record[[#This Row],[PCUSTID]],廠商[],2,FALSE),"")</f>
        <v/>
      </c>
      <c r="S11017" t="str">
        <f>VLOOKUP(record[[#This Row],[employeeID]],員工[],2,FALSE)</f>
        <v>蘇進昌</v>
      </c>
    </row>
    <row r="11018" spans="6:19" hidden="1" x14ac:dyDescent="0.25">
      <c r="F11018" t="s">
        <v>609</v>
      </c>
      <c r="G11018" t="s">
        <v>399</v>
      </c>
      <c r="H11018" t="str">
        <f>VLOOKUP(record[[#This Row],[ProcessSN]],表格2_7[],2,FALSE)</f>
        <v>30-4118-018-550</v>
      </c>
      <c r="I11018" t="str">
        <f>VLOOKUP(record[[#This Row],[ProcessSN]],表格2_7[],3,FALSE)</f>
        <v>#08IQC</v>
      </c>
      <c r="J11018" t="s">
        <v>583</v>
      </c>
      <c r="K11018" s="195">
        <v>45647.602488425924</v>
      </c>
      <c r="L11018">
        <v>425</v>
      </c>
      <c r="M11018">
        <v>0</v>
      </c>
      <c r="N11018" s="98" t="str">
        <f>IF(record[[#This Row],[Memo]]="Browser:chrome os:android","平板報工",IF(record[[#This Row],[Memo]]=0,"委外",record[[#This Row],[Memo]]))</f>
        <v/>
      </c>
      <c r="O11018" t="s">
        <v>58</v>
      </c>
      <c r="P11018" t="s">
        <v>65</v>
      </c>
      <c r="Q11018" t="s">
        <v>58</v>
      </c>
      <c r="R11018" t="str">
        <f>IFERROR(VLOOKUP(record[[#This Row],[PCUSTID]],廠商[],2,FALSE),"")</f>
        <v/>
      </c>
      <c r="S11018" t="str">
        <f>VLOOKUP(record[[#This Row],[employeeID]],員工[],2,FALSE)</f>
        <v>蘇進昌</v>
      </c>
    </row>
    <row r="11019" spans="6:19" hidden="1" x14ac:dyDescent="0.25">
      <c r="F11019" t="s">
        <v>609</v>
      </c>
      <c r="G11019" t="s">
        <v>398</v>
      </c>
      <c r="H11019" t="str">
        <f>VLOOKUP(record[[#This Row],[ProcessSN]],表格2_7[],2,FALSE)</f>
        <v>30-4118-018-550</v>
      </c>
      <c r="I11019" t="str">
        <f>VLOOKUP(record[[#This Row],[ProcessSN]],表格2_7[],3,FALSE)</f>
        <v>#08RCV</v>
      </c>
      <c r="J11019" t="s">
        <v>591</v>
      </c>
      <c r="K11019" s="195">
        <v>45647.602407407408</v>
      </c>
      <c r="L11019">
        <v>425</v>
      </c>
      <c r="M11019">
        <v>7</v>
      </c>
      <c r="N11019" s="98" t="str">
        <f>IF(record[[#This Row],[Memo]]="Browser:chrome os:android","平板報工",IF(record[[#This Row],[Memo]]=0,"委外",record[[#This Row],[Memo]]))</f>
        <v/>
      </c>
      <c r="O11019" t="s">
        <v>58</v>
      </c>
      <c r="P11019" t="s">
        <v>65</v>
      </c>
      <c r="Q11019" t="s">
        <v>58</v>
      </c>
      <c r="R11019" t="str">
        <f>IFERROR(VLOOKUP(record[[#This Row],[PCUSTID]],廠商[],2,FALSE),"")</f>
        <v/>
      </c>
      <c r="S11019" t="str">
        <f>VLOOKUP(record[[#This Row],[employeeID]],員工[],2,FALSE)</f>
        <v>蘇進昌</v>
      </c>
    </row>
    <row r="11020" spans="6:19" hidden="1" x14ac:dyDescent="0.25">
      <c r="F11020" t="s">
        <v>609</v>
      </c>
      <c r="G11020" t="s">
        <v>397</v>
      </c>
      <c r="H11020" t="str">
        <f>VLOOKUP(record[[#This Row],[ProcessSN]],表格2_7[],2,FALSE)</f>
        <v>30-4118-018-550</v>
      </c>
      <c r="I11020" t="str">
        <f>VLOOKUP(record[[#This Row],[ProcessSN]],表格2_7[],3,FALSE)</f>
        <v>#08</v>
      </c>
      <c r="J11020" t="s">
        <v>606</v>
      </c>
      <c r="K11020" s="195">
        <v>45647.60229166667</v>
      </c>
      <c r="L11020">
        <v>432</v>
      </c>
      <c r="M11020">
        <v>0</v>
      </c>
      <c r="N11020" s="98" t="str">
        <f>IF(record[[#This Row],[Memo]]="Browser:chrome os:android","平板報工",IF(record[[#This Row],[Memo]]=0,"委外",record[[#This Row],[Memo]]))</f>
        <v>委外</v>
      </c>
      <c r="P11020" t="s">
        <v>65</v>
      </c>
      <c r="Q11020" t="s">
        <v>287</v>
      </c>
      <c r="R11020" t="str">
        <f>IFERROR(VLOOKUP(record[[#This Row],[PCUSTID]],廠商[],2,FALSE),"")</f>
        <v>泉盛</v>
      </c>
      <c r="S11020" t="str">
        <f>VLOOKUP(record[[#This Row],[employeeID]],員工[],2,FALSE)</f>
        <v>蘇進昌</v>
      </c>
    </row>
    <row r="11021" spans="6:19" hidden="1" x14ac:dyDescent="0.25">
      <c r="F11021" t="s">
        <v>609</v>
      </c>
      <c r="G11021" t="s">
        <v>396</v>
      </c>
      <c r="H11021" t="str">
        <f>VLOOKUP(record[[#This Row],[ProcessSN]],表格2_7[],2,FALSE)</f>
        <v>30-4118-018-550</v>
      </c>
      <c r="I11021" t="str">
        <f>VLOOKUP(record[[#This Row],[ProcessSN]],表格2_7[],3,FALSE)</f>
        <v>#08PICK</v>
      </c>
      <c r="J11021" t="s">
        <v>582</v>
      </c>
      <c r="K11021" s="195">
        <v>45647.602106481485</v>
      </c>
      <c r="L11021">
        <v>432</v>
      </c>
      <c r="M11021">
        <v>0</v>
      </c>
      <c r="N11021" s="98" t="str">
        <f>IF(record[[#This Row],[Memo]]="Browser:chrome os:android","平板報工",IF(record[[#This Row],[Memo]]=0,"委外",record[[#This Row],[Memo]]))</f>
        <v/>
      </c>
      <c r="O11021" t="s">
        <v>58</v>
      </c>
      <c r="P11021" t="s">
        <v>65</v>
      </c>
      <c r="Q11021" t="s">
        <v>58</v>
      </c>
      <c r="R11021" t="str">
        <f>IFERROR(VLOOKUP(record[[#This Row],[PCUSTID]],廠商[],2,FALSE),"")</f>
        <v/>
      </c>
      <c r="S11021" t="str">
        <f>VLOOKUP(record[[#This Row],[employeeID]],員工[],2,FALSE)</f>
        <v>蘇進昌</v>
      </c>
    </row>
    <row r="11022" spans="6:19" hidden="1" x14ac:dyDescent="0.25">
      <c r="F11022" t="s">
        <v>605</v>
      </c>
      <c r="G11022" t="s">
        <v>403</v>
      </c>
      <c r="H11022" t="str">
        <f>VLOOKUP(record[[#This Row],[ProcessSN]],表格2_7[],2,FALSE)</f>
        <v>30-4118-018-550</v>
      </c>
      <c r="I11022" t="str">
        <f>VLOOKUP(record[[#This Row],[ProcessSN]],表格2_7[],3,FALSE)</f>
        <v>#100SHIP</v>
      </c>
      <c r="J11022" t="s">
        <v>600</v>
      </c>
      <c r="K11022" s="195">
        <v>45647.60056712963</v>
      </c>
      <c r="L11022">
        <v>6</v>
      </c>
      <c r="M11022">
        <v>0</v>
      </c>
      <c r="N11022" s="98" t="str">
        <f>IF(record[[#This Row],[Memo]]="Browser:chrome os:android","平板報工",IF(record[[#This Row],[Memo]]=0,"委外",record[[#This Row],[Memo]]))</f>
        <v/>
      </c>
      <c r="O11022" t="s">
        <v>58</v>
      </c>
      <c r="P11022" t="s">
        <v>65</v>
      </c>
      <c r="Q11022" t="s">
        <v>58</v>
      </c>
      <c r="R11022" t="str">
        <f>IFERROR(VLOOKUP(record[[#This Row],[PCUSTID]],廠商[],2,FALSE),"")</f>
        <v/>
      </c>
      <c r="S11022" t="str">
        <f>VLOOKUP(record[[#This Row],[employeeID]],員工[],2,FALSE)</f>
        <v>蘇進昌</v>
      </c>
    </row>
    <row r="11023" spans="6:19" hidden="1" x14ac:dyDescent="0.25">
      <c r="F11023" t="s">
        <v>605</v>
      </c>
      <c r="G11023" t="s">
        <v>402</v>
      </c>
      <c r="H11023" t="str">
        <f>VLOOKUP(record[[#This Row],[ProcessSN]],表格2_7[],2,FALSE)</f>
        <v>30-4118-018-550</v>
      </c>
      <c r="I11023" t="str">
        <f>VLOOKUP(record[[#This Row],[ProcessSN]],表格2_7[],3,FALSE)</f>
        <v>#100STOCK</v>
      </c>
      <c r="J11023" t="s">
        <v>592</v>
      </c>
      <c r="K11023" s="195">
        <v>45647.600497685184</v>
      </c>
      <c r="L11023">
        <v>6</v>
      </c>
      <c r="M11023">
        <v>0</v>
      </c>
      <c r="N11023" s="98" t="str">
        <f>IF(record[[#This Row],[Memo]]="Browser:chrome os:android","平板報工",IF(record[[#This Row],[Memo]]=0,"委外",record[[#This Row],[Memo]]))</f>
        <v/>
      </c>
      <c r="O11023" t="s">
        <v>58</v>
      </c>
      <c r="P11023" t="s">
        <v>65</v>
      </c>
      <c r="Q11023" t="s">
        <v>58</v>
      </c>
      <c r="R11023" t="str">
        <f>IFERROR(VLOOKUP(record[[#This Row],[PCUSTID]],廠商[],2,FALSE),"")</f>
        <v/>
      </c>
      <c r="S11023" t="str">
        <f>VLOOKUP(record[[#This Row],[employeeID]],員工[],2,FALSE)</f>
        <v>蘇進昌</v>
      </c>
    </row>
    <row r="11024" spans="6:19" hidden="1" x14ac:dyDescent="0.25">
      <c r="F11024" t="s">
        <v>605</v>
      </c>
      <c r="G11024" t="s">
        <v>401</v>
      </c>
      <c r="H11024" t="str">
        <f>VLOOKUP(record[[#This Row],[ProcessSN]],表格2_7[],2,FALSE)</f>
        <v>30-4118-018-550</v>
      </c>
      <c r="I11024" t="str">
        <f>VLOOKUP(record[[#This Row],[ProcessSN]],表格2_7[],3,FALSE)</f>
        <v>#100OQC</v>
      </c>
      <c r="J11024" t="s">
        <v>599</v>
      </c>
      <c r="K11024" s="195">
        <v>45647.600439814814</v>
      </c>
      <c r="L11024">
        <v>6</v>
      </c>
      <c r="M11024">
        <v>0</v>
      </c>
      <c r="N11024" s="98" t="str">
        <f>IF(record[[#This Row],[Memo]]="Browser:chrome os:android","平板報工",IF(record[[#This Row],[Memo]]=0,"委外",record[[#This Row],[Memo]]))</f>
        <v/>
      </c>
      <c r="O11024" t="s">
        <v>58</v>
      </c>
      <c r="P11024" t="s">
        <v>65</v>
      </c>
      <c r="Q11024" t="s">
        <v>58</v>
      </c>
      <c r="R11024" t="str">
        <f>IFERROR(VLOOKUP(record[[#This Row],[PCUSTID]],廠商[],2,FALSE),"")</f>
        <v/>
      </c>
      <c r="S11024" t="str">
        <f>VLOOKUP(record[[#This Row],[employeeID]],員工[],2,FALSE)</f>
        <v>蘇進昌</v>
      </c>
    </row>
    <row r="11025" spans="6:19" hidden="1" x14ac:dyDescent="0.25">
      <c r="F11025" t="s">
        <v>605</v>
      </c>
      <c r="G11025" t="s">
        <v>400</v>
      </c>
      <c r="H11025" t="str">
        <f>VLOOKUP(record[[#This Row],[ProcessSN]],表格2_7[],2,FALSE)</f>
        <v>30-4118-018-550</v>
      </c>
      <c r="I11025" t="str">
        <f>VLOOKUP(record[[#This Row],[ProcessSN]],表格2_7[],3,FALSE)</f>
        <v>#100</v>
      </c>
      <c r="J11025" t="s">
        <v>598</v>
      </c>
      <c r="K11025" s="195">
        <v>45647.600335648145</v>
      </c>
      <c r="L11025">
        <v>6</v>
      </c>
      <c r="M11025">
        <v>0</v>
      </c>
      <c r="N11025" s="98" t="str">
        <f>IF(record[[#This Row],[Memo]]="Browser:chrome os:android","平板報工",IF(record[[#This Row],[Memo]]=0,"委外",record[[#This Row],[Memo]]))</f>
        <v/>
      </c>
      <c r="O11025" t="s">
        <v>58</v>
      </c>
      <c r="P11025" t="s">
        <v>65</v>
      </c>
      <c r="Q11025" t="s">
        <v>58</v>
      </c>
      <c r="R11025" t="str">
        <f>IFERROR(VLOOKUP(record[[#This Row],[PCUSTID]],廠商[],2,FALSE),"")</f>
        <v/>
      </c>
      <c r="S11025" t="str">
        <f>VLOOKUP(record[[#This Row],[employeeID]],員工[],2,FALSE)</f>
        <v>蘇進昌</v>
      </c>
    </row>
    <row r="11026" spans="6:19" hidden="1" x14ac:dyDescent="0.25">
      <c r="F11026" t="s">
        <v>605</v>
      </c>
      <c r="G11026" t="s">
        <v>399</v>
      </c>
      <c r="H11026" t="str">
        <f>VLOOKUP(record[[#This Row],[ProcessSN]],表格2_7[],2,FALSE)</f>
        <v>30-4118-018-550</v>
      </c>
      <c r="I11026" t="str">
        <f>VLOOKUP(record[[#This Row],[ProcessSN]],表格2_7[],3,FALSE)</f>
        <v>#08IQC</v>
      </c>
      <c r="J11026" t="s">
        <v>583</v>
      </c>
      <c r="K11026" s="195">
        <v>45647.600231481483</v>
      </c>
      <c r="L11026">
        <v>164</v>
      </c>
      <c r="M11026">
        <v>0</v>
      </c>
      <c r="N11026" s="98" t="str">
        <f>IF(record[[#This Row],[Memo]]="Browser:chrome os:android","平板報工",IF(record[[#This Row],[Memo]]=0,"委外",record[[#This Row],[Memo]]))</f>
        <v/>
      </c>
      <c r="O11026" t="s">
        <v>58</v>
      </c>
      <c r="P11026" t="s">
        <v>65</v>
      </c>
      <c r="Q11026" t="s">
        <v>58</v>
      </c>
      <c r="R11026" t="str">
        <f>IFERROR(VLOOKUP(record[[#This Row],[PCUSTID]],廠商[],2,FALSE),"")</f>
        <v/>
      </c>
      <c r="S11026" t="str">
        <f>VLOOKUP(record[[#This Row],[employeeID]],員工[],2,FALSE)</f>
        <v>蘇進昌</v>
      </c>
    </row>
    <row r="11027" spans="6:19" hidden="1" x14ac:dyDescent="0.25">
      <c r="F11027" t="s">
        <v>605</v>
      </c>
      <c r="G11027" t="s">
        <v>398</v>
      </c>
      <c r="H11027" t="str">
        <f>VLOOKUP(record[[#This Row],[ProcessSN]],表格2_7[],2,FALSE)</f>
        <v>30-4118-018-550</v>
      </c>
      <c r="I11027" t="str">
        <f>VLOOKUP(record[[#This Row],[ProcessSN]],表格2_7[],3,FALSE)</f>
        <v>#08RCV</v>
      </c>
      <c r="J11027" t="s">
        <v>591</v>
      </c>
      <c r="K11027" s="195">
        <v>45647.600173611114</v>
      </c>
      <c r="L11027">
        <v>164</v>
      </c>
      <c r="M11027">
        <v>4</v>
      </c>
      <c r="N11027" s="98" t="str">
        <f>IF(record[[#This Row],[Memo]]="Browser:chrome os:android","平板報工",IF(record[[#This Row],[Memo]]=0,"委外",record[[#This Row],[Memo]]))</f>
        <v/>
      </c>
      <c r="O11027" t="s">
        <v>58</v>
      </c>
      <c r="P11027" t="s">
        <v>65</v>
      </c>
      <c r="Q11027" t="s">
        <v>58</v>
      </c>
      <c r="R11027" t="str">
        <f>IFERROR(VLOOKUP(record[[#This Row],[PCUSTID]],廠商[],2,FALSE),"")</f>
        <v/>
      </c>
      <c r="S11027" t="str">
        <f>VLOOKUP(record[[#This Row],[employeeID]],員工[],2,FALSE)</f>
        <v>蘇進昌</v>
      </c>
    </row>
    <row r="11028" spans="6:19" hidden="1" x14ac:dyDescent="0.25">
      <c r="F11028" t="s">
        <v>605</v>
      </c>
      <c r="G11028" t="s">
        <v>397</v>
      </c>
      <c r="H11028" t="str">
        <f>VLOOKUP(record[[#This Row],[ProcessSN]],表格2_7[],2,FALSE)</f>
        <v>30-4118-018-550</v>
      </c>
      <c r="I11028" t="str">
        <f>VLOOKUP(record[[#This Row],[ProcessSN]],表格2_7[],3,FALSE)</f>
        <v>#08</v>
      </c>
      <c r="J11028" t="s">
        <v>606</v>
      </c>
      <c r="K11028" s="195">
        <v>45647.600046296298</v>
      </c>
      <c r="L11028">
        <v>168</v>
      </c>
      <c r="M11028">
        <v>0</v>
      </c>
      <c r="N11028" s="98" t="str">
        <f>IF(record[[#This Row],[Memo]]="Browser:chrome os:android","平板報工",IF(record[[#This Row],[Memo]]=0,"委外",record[[#This Row],[Memo]]))</f>
        <v>委外</v>
      </c>
      <c r="P11028" t="s">
        <v>65</v>
      </c>
      <c r="Q11028" t="s">
        <v>287</v>
      </c>
      <c r="R11028" t="str">
        <f>IFERROR(VLOOKUP(record[[#This Row],[PCUSTID]],廠商[],2,FALSE),"")</f>
        <v>泉盛</v>
      </c>
      <c r="S11028" t="str">
        <f>VLOOKUP(record[[#This Row],[employeeID]],員工[],2,FALSE)</f>
        <v>蘇進昌</v>
      </c>
    </row>
    <row r="11029" spans="6:19" hidden="1" x14ac:dyDescent="0.25">
      <c r="F11029" t="s">
        <v>605</v>
      </c>
      <c r="G11029" t="s">
        <v>396</v>
      </c>
      <c r="H11029" t="str">
        <f>VLOOKUP(record[[#This Row],[ProcessSN]],表格2_7[],2,FALSE)</f>
        <v>30-4118-018-550</v>
      </c>
      <c r="I11029" t="str">
        <f>VLOOKUP(record[[#This Row],[ProcessSN]],表格2_7[],3,FALSE)</f>
        <v>#08PICK</v>
      </c>
      <c r="J11029" t="s">
        <v>582</v>
      </c>
      <c r="K11029" s="195">
        <v>45647.599976851852</v>
      </c>
      <c r="L11029">
        <v>168</v>
      </c>
      <c r="M11029">
        <v>0</v>
      </c>
      <c r="N11029" s="98" t="str">
        <f>IF(record[[#This Row],[Memo]]="Browser:chrome os:android","平板報工",IF(record[[#This Row],[Memo]]=0,"委外",record[[#This Row],[Memo]]))</f>
        <v/>
      </c>
      <c r="O11029" t="s">
        <v>58</v>
      </c>
      <c r="P11029" t="s">
        <v>65</v>
      </c>
      <c r="Q11029" t="s">
        <v>58</v>
      </c>
      <c r="R11029" t="str">
        <f>IFERROR(VLOOKUP(record[[#This Row],[PCUSTID]],廠商[],2,FALSE),"")</f>
        <v/>
      </c>
      <c r="S11029" t="str">
        <f>VLOOKUP(record[[#This Row],[employeeID]],員工[],2,FALSE)</f>
        <v>蘇進昌</v>
      </c>
    </row>
    <row r="11030" spans="6:19" hidden="1" x14ac:dyDescent="0.25">
      <c r="F11030" t="s">
        <v>608</v>
      </c>
      <c r="G11030" t="s">
        <v>403</v>
      </c>
      <c r="H11030" t="str">
        <f>VLOOKUP(record[[#This Row],[ProcessSN]],表格2_7[],2,FALSE)</f>
        <v>30-4118-018-550</v>
      </c>
      <c r="I11030" t="str">
        <f>VLOOKUP(record[[#This Row],[ProcessSN]],表格2_7[],3,FALSE)</f>
        <v>#100SHIP</v>
      </c>
      <c r="J11030" t="s">
        <v>600</v>
      </c>
      <c r="K11030" s="195">
        <v>45647.599247685182</v>
      </c>
      <c r="L11030">
        <v>247</v>
      </c>
      <c r="M11030">
        <v>0</v>
      </c>
      <c r="N11030" s="98" t="str">
        <f>IF(record[[#This Row],[Memo]]="Browser:chrome os:android","平板報工",IF(record[[#This Row],[Memo]]=0,"委外",record[[#This Row],[Memo]]))</f>
        <v/>
      </c>
      <c r="O11030" t="s">
        <v>58</v>
      </c>
      <c r="P11030" t="s">
        <v>65</v>
      </c>
      <c r="Q11030" t="s">
        <v>58</v>
      </c>
      <c r="R11030" t="str">
        <f>IFERROR(VLOOKUP(record[[#This Row],[PCUSTID]],廠商[],2,FALSE),"")</f>
        <v/>
      </c>
      <c r="S11030" t="str">
        <f>VLOOKUP(record[[#This Row],[employeeID]],員工[],2,FALSE)</f>
        <v>蘇進昌</v>
      </c>
    </row>
    <row r="11031" spans="6:19" hidden="1" x14ac:dyDescent="0.25">
      <c r="F11031" t="s">
        <v>608</v>
      </c>
      <c r="G11031" t="s">
        <v>402</v>
      </c>
      <c r="H11031" t="str">
        <f>VLOOKUP(record[[#This Row],[ProcessSN]],表格2_7[],2,FALSE)</f>
        <v>30-4118-018-550</v>
      </c>
      <c r="I11031" t="str">
        <f>VLOOKUP(record[[#This Row],[ProcessSN]],表格2_7[],3,FALSE)</f>
        <v>#100STOCK</v>
      </c>
      <c r="J11031" t="s">
        <v>592</v>
      </c>
      <c r="K11031" s="195">
        <v>45647.599178240744</v>
      </c>
      <c r="L11031">
        <v>248</v>
      </c>
      <c r="M11031">
        <v>0</v>
      </c>
      <c r="N11031" s="98" t="str">
        <f>IF(record[[#This Row],[Memo]]="Browser:chrome os:android","平板報工",IF(record[[#This Row],[Memo]]=0,"委外",record[[#This Row],[Memo]]))</f>
        <v/>
      </c>
      <c r="O11031" t="s">
        <v>58</v>
      </c>
      <c r="P11031" t="s">
        <v>65</v>
      </c>
      <c r="Q11031" t="s">
        <v>58</v>
      </c>
      <c r="R11031" t="str">
        <f>IFERROR(VLOOKUP(record[[#This Row],[PCUSTID]],廠商[],2,FALSE),"")</f>
        <v/>
      </c>
      <c r="S11031" t="str">
        <f>VLOOKUP(record[[#This Row],[employeeID]],員工[],2,FALSE)</f>
        <v>蘇進昌</v>
      </c>
    </row>
    <row r="11032" spans="6:19" hidden="1" x14ac:dyDescent="0.25">
      <c r="F11032" t="s">
        <v>608</v>
      </c>
      <c r="G11032" t="s">
        <v>401</v>
      </c>
      <c r="H11032" t="str">
        <f>VLOOKUP(record[[#This Row],[ProcessSN]],表格2_7[],2,FALSE)</f>
        <v>30-4118-018-550</v>
      </c>
      <c r="I11032" t="str">
        <f>VLOOKUP(record[[#This Row],[ProcessSN]],表格2_7[],3,FALSE)</f>
        <v>#100OQC</v>
      </c>
      <c r="J11032" t="s">
        <v>599</v>
      </c>
      <c r="K11032" s="195">
        <v>45647.599085648151</v>
      </c>
      <c r="L11032">
        <v>248</v>
      </c>
      <c r="M11032">
        <v>0</v>
      </c>
      <c r="N11032" s="98" t="str">
        <f>IF(record[[#This Row],[Memo]]="Browser:chrome os:android","平板報工",IF(record[[#This Row],[Memo]]=0,"委外",record[[#This Row],[Memo]]))</f>
        <v/>
      </c>
      <c r="O11032" t="s">
        <v>58</v>
      </c>
      <c r="P11032" t="s">
        <v>65</v>
      </c>
      <c r="Q11032" t="s">
        <v>58</v>
      </c>
      <c r="R11032" t="str">
        <f>IFERROR(VLOOKUP(record[[#This Row],[PCUSTID]],廠商[],2,FALSE),"")</f>
        <v/>
      </c>
      <c r="S11032" t="str">
        <f>VLOOKUP(record[[#This Row],[employeeID]],員工[],2,FALSE)</f>
        <v>蘇進昌</v>
      </c>
    </row>
    <row r="11033" spans="6:19" hidden="1" x14ac:dyDescent="0.25">
      <c r="F11033" t="s">
        <v>608</v>
      </c>
      <c r="G11033" t="s">
        <v>400</v>
      </c>
      <c r="H11033" t="str">
        <f>VLOOKUP(record[[#This Row],[ProcessSN]],表格2_7[],2,FALSE)</f>
        <v>30-4118-018-550</v>
      </c>
      <c r="I11033" t="str">
        <f>VLOOKUP(record[[#This Row],[ProcessSN]],表格2_7[],3,FALSE)</f>
        <v>#100</v>
      </c>
      <c r="J11033" t="s">
        <v>598</v>
      </c>
      <c r="K11033" s="195">
        <v>45647.599004629628</v>
      </c>
      <c r="L11033">
        <v>248</v>
      </c>
      <c r="M11033">
        <v>27</v>
      </c>
      <c r="N11033" s="98" t="str">
        <f>IF(record[[#This Row],[Memo]]="Browser:chrome os:android","平板報工",IF(record[[#This Row],[Memo]]=0,"委外",record[[#This Row],[Memo]]))</f>
        <v/>
      </c>
      <c r="O11033" t="s">
        <v>58</v>
      </c>
      <c r="P11033" t="s">
        <v>65</v>
      </c>
      <c r="Q11033" t="s">
        <v>58</v>
      </c>
      <c r="R11033" t="str">
        <f>IFERROR(VLOOKUP(record[[#This Row],[PCUSTID]],廠商[],2,FALSE),"")</f>
        <v/>
      </c>
      <c r="S11033" t="str">
        <f>VLOOKUP(record[[#This Row],[employeeID]],員工[],2,FALSE)</f>
        <v>蘇進昌</v>
      </c>
    </row>
    <row r="11034" spans="6:19" hidden="1" x14ac:dyDescent="0.25">
      <c r="F11034" t="s">
        <v>608</v>
      </c>
      <c r="G11034" t="s">
        <v>400</v>
      </c>
      <c r="H11034" t="str">
        <f>VLOOKUP(record[[#This Row],[ProcessSN]],表格2_7[],2,FALSE)</f>
        <v>30-4118-018-550</v>
      </c>
      <c r="I11034" t="str">
        <f>VLOOKUP(record[[#This Row],[ProcessSN]],表格2_7[],3,FALSE)</f>
        <v>#100</v>
      </c>
      <c r="J11034" t="s">
        <v>598</v>
      </c>
      <c r="K11034" s="195">
        <v>45647.599004629628</v>
      </c>
      <c r="L11034">
        <v>0</v>
      </c>
      <c r="M11034">
        <v>-7</v>
      </c>
      <c r="N11034" s="98" t="str">
        <f>IF(record[[#This Row],[Memo]]="Browser:chrome os:android","平板報工",IF(record[[#This Row],[Memo]]=0,"委外",record[[#This Row],[Memo]]))</f>
        <v>覆回品</v>
      </c>
      <c r="O11034" t="s">
        <v>664</v>
      </c>
      <c r="P11034" t="s">
        <v>65</v>
      </c>
      <c r="Q11034" t="s">
        <v>58</v>
      </c>
      <c r="R11034" t="str">
        <f>IFERROR(VLOOKUP(record[[#This Row],[PCUSTID]],廠商[],2,FALSE),"")</f>
        <v/>
      </c>
      <c r="S11034" t="str">
        <f>VLOOKUP(record[[#This Row],[employeeID]],員工[],2,FALSE)</f>
        <v>蘇進昌</v>
      </c>
    </row>
    <row r="11035" spans="6:19" hidden="1" x14ac:dyDescent="0.25">
      <c r="F11035" t="s">
        <v>608</v>
      </c>
      <c r="G11035" t="s">
        <v>399</v>
      </c>
      <c r="H11035" t="str">
        <f>VLOOKUP(record[[#This Row],[ProcessSN]],表格2_7[],2,FALSE)</f>
        <v>30-4118-018-550</v>
      </c>
      <c r="I11035" t="str">
        <f>VLOOKUP(record[[#This Row],[ProcessSN]],表格2_7[],3,FALSE)</f>
        <v>#08IQC</v>
      </c>
      <c r="J11035" t="s">
        <v>583</v>
      </c>
      <c r="K11035" s="195">
        <v>45647.59888888889</v>
      </c>
      <c r="L11035">
        <v>275</v>
      </c>
      <c r="M11035">
        <v>0</v>
      </c>
      <c r="N11035" s="98" t="str">
        <f>IF(record[[#This Row],[Memo]]="Browser:chrome os:android","平板報工",IF(record[[#This Row],[Memo]]=0,"委外",record[[#This Row],[Memo]]))</f>
        <v/>
      </c>
      <c r="O11035" t="s">
        <v>58</v>
      </c>
      <c r="P11035" t="s">
        <v>65</v>
      </c>
      <c r="Q11035" t="s">
        <v>58</v>
      </c>
      <c r="R11035" t="str">
        <f>IFERROR(VLOOKUP(record[[#This Row],[PCUSTID]],廠商[],2,FALSE),"")</f>
        <v/>
      </c>
      <c r="S11035" t="str">
        <f>VLOOKUP(record[[#This Row],[employeeID]],員工[],2,FALSE)</f>
        <v>蘇進昌</v>
      </c>
    </row>
    <row r="11036" spans="6:19" hidden="1" x14ac:dyDescent="0.25">
      <c r="F11036" t="s">
        <v>608</v>
      </c>
      <c r="G11036" t="s">
        <v>398</v>
      </c>
      <c r="H11036" t="str">
        <f>VLOOKUP(record[[#This Row],[ProcessSN]],表格2_7[],2,FALSE)</f>
        <v>30-4118-018-550</v>
      </c>
      <c r="I11036" t="str">
        <f>VLOOKUP(record[[#This Row],[ProcessSN]],表格2_7[],3,FALSE)</f>
        <v>#08RCV</v>
      </c>
      <c r="J11036" t="s">
        <v>591</v>
      </c>
      <c r="K11036" s="195">
        <v>45647.598807870374</v>
      </c>
      <c r="L11036">
        <v>275</v>
      </c>
      <c r="M11036">
        <v>8</v>
      </c>
      <c r="N11036" s="98" t="str">
        <f>IF(record[[#This Row],[Memo]]="Browser:chrome os:android","平板報工",IF(record[[#This Row],[Memo]]=0,"委外",record[[#This Row],[Memo]]))</f>
        <v/>
      </c>
      <c r="O11036" t="s">
        <v>58</v>
      </c>
      <c r="P11036" t="s">
        <v>65</v>
      </c>
      <c r="Q11036" t="s">
        <v>58</v>
      </c>
      <c r="R11036" t="str">
        <f>IFERROR(VLOOKUP(record[[#This Row],[PCUSTID]],廠商[],2,FALSE),"")</f>
        <v/>
      </c>
      <c r="S11036" t="str">
        <f>VLOOKUP(record[[#This Row],[employeeID]],員工[],2,FALSE)</f>
        <v>蘇進昌</v>
      </c>
    </row>
    <row r="11037" spans="6:19" hidden="1" x14ac:dyDescent="0.25">
      <c r="F11037" t="s">
        <v>608</v>
      </c>
      <c r="G11037" t="s">
        <v>397</v>
      </c>
      <c r="H11037" t="str">
        <f>VLOOKUP(record[[#This Row],[ProcessSN]],表格2_7[],2,FALSE)</f>
        <v>30-4118-018-550</v>
      </c>
      <c r="I11037" t="str">
        <f>VLOOKUP(record[[#This Row],[ProcessSN]],表格2_7[],3,FALSE)</f>
        <v>#08</v>
      </c>
      <c r="J11037" t="s">
        <v>606</v>
      </c>
      <c r="K11037" s="195">
        <v>45647.598715277774</v>
      </c>
      <c r="L11037">
        <v>283</v>
      </c>
      <c r="M11037">
        <v>0</v>
      </c>
      <c r="N11037" s="98" t="str">
        <f>IF(record[[#This Row],[Memo]]="Browser:chrome os:android","平板報工",IF(record[[#This Row],[Memo]]=0,"委外",record[[#This Row],[Memo]]))</f>
        <v>委外</v>
      </c>
      <c r="P11037" t="s">
        <v>65</v>
      </c>
      <c r="Q11037" t="s">
        <v>287</v>
      </c>
      <c r="R11037" t="str">
        <f>IFERROR(VLOOKUP(record[[#This Row],[PCUSTID]],廠商[],2,FALSE),"")</f>
        <v>泉盛</v>
      </c>
      <c r="S11037" t="str">
        <f>VLOOKUP(record[[#This Row],[employeeID]],員工[],2,FALSE)</f>
        <v>蘇進昌</v>
      </c>
    </row>
    <row r="11038" spans="6:19" hidden="1" x14ac:dyDescent="0.25">
      <c r="F11038" t="s">
        <v>608</v>
      </c>
      <c r="G11038" t="s">
        <v>396</v>
      </c>
      <c r="H11038" t="str">
        <f>VLOOKUP(record[[#This Row],[ProcessSN]],表格2_7[],2,FALSE)</f>
        <v>30-4118-018-550</v>
      </c>
      <c r="I11038" t="str">
        <f>VLOOKUP(record[[#This Row],[ProcessSN]],表格2_7[],3,FALSE)</f>
        <v>#08PICK</v>
      </c>
      <c r="J11038" t="s">
        <v>582</v>
      </c>
      <c r="K11038" s="195">
        <v>45647.598599537036</v>
      </c>
      <c r="L11038">
        <v>283</v>
      </c>
      <c r="M11038">
        <v>0</v>
      </c>
      <c r="N11038" s="98" t="str">
        <f>IF(record[[#This Row],[Memo]]="Browser:chrome os:android","平板報工",IF(record[[#This Row],[Memo]]=0,"委外",record[[#This Row],[Memo]]))</f>
        <v/>
      </c>
      <c r="O11038" t="s">
        <v>58</v>
      </c>
      <c r="P11038" t="s">
        <v>65</v>
      </c>
      <c r="Q11038" t="s">
        <v>58</v>
      </c>
      <c r="R11038" t="str">
        <f>IFERROR(VLOOKUP(record[[#This Row],[PCUSTID]],廠商[],2,FALSE),"")</f>
        <v/>
      </c>
      <c r="S11038" t="str">
        <f>VLOOKUP(record[[#This Row],[employeeID]],員工[],2,FALSE)</f>
        <v>蘇進昌</v>
      </c>
    </row>
    <row r="11039" spans="6:19" hidden="1" x14ac:dyDescent="0.25">
      <c r="F11039" t="s">
        <v>607</v>
      </c>
      <c r="G11039" t="s">
        <v>403</v>
      </c>
      <c r="H11039" t="str">
        <f>VLOOKUP(record[[#This Row],[ProcessSN]],表格2_7[],2,FALSE)</f>
        <v>30-4118-018-550</v>
      </c>
      <c r="I11039" t="str">
        <f>VLOOKUP(record[[#This Row],[ProcessSN]],表格2_7[],3,FALSE)</f>
        <v>#100SHIP</v>
      </c>
      <c r="J11039" t="s">
        <v>600</v>
      </c>
      <c r="K11039" s="195">
        <v>45647.597546296296</v>
      </c>
      <c r="L11039">
        <v>138</v>
      </c>
      <c r="M11039">
        <v>0</v>
      </c>
      <c r="N11039" s="98" t="str">
        <f>IF(record[[#This Row],[Memo]]="Browser:chrome os:android","平板報工",IF(record[[#This Row],[Memo]]=0,"委外",record[[#This Row],[Memo]]))</f>
        <v/>
      </c>
      <c r="O11039" t="s">
        <v>58</v>
      </c>
      <c r="P11039" t="s">
        <v>65</v>
      </c>
      <c r="Q11039" t="s">
        <v>58</v>
      </c>
      <c r="R11039" t="str">
        <f>IFERROR(VLOOKUP(record[[#This Row],[PCUSTID]],廠商[],2,FALSE),"")</f>
        <v/>
      </c>
      <c r="S11039" t="str">
        <f>VLOOKUP(record[[#This Row],[employeeID]],員工[],2,FALSE)</f>
        <v>蘇進昌</v>
      </c>
    </row>
    <row r="11040" spans="6:19" hidden="1" x14ac:dyDescent="0.25">
      <c r="F11040" t="s">
        <v>607</v>
      </c>
      <c r="G11040" t="s">
        <v>402</v>
      </c>
      <c r="H11040" t="str">
        <f>VLOOKUP(record[[#This Row],[ProcessSN]],表格2_7[],2,FALSE)</f>
        <v>30-4118-018-550</v>
      </c>
      <c r="I11040" t="str">
        <f>VLOOKUP(record[[#This Row],[ProcessSN]],表格2_7[],3,FALSE)</f>
        <v>#100STOCK</v>
      </c>
      <c r="J11040" t="s">
        <v>592</v>
      </c>
      <c r="K11040" s="195">
        <v>45647.597442129627</v>
      </c>
      <c r="L11040">
        <v>141</v>
      </c>
      <c r="M11040">
        <v>0</v>
      </c>
      <c r="N11040" s="98" t="str">
        <f>IF(record[[#This Row],[Memo]]="Browser:chrome os:android","平板報工",IF(record[[#This Row],[Memo]]=0,"委外",record[[#This Row],[Memo]]))</f>
        <v/>
      </c>
      <c r="O11040" t="s">
        <v>58</v>
      </c>
      <c r="P11040" t="s">
        <v>65</v>
      </c>
      <c r="Q11040" t="s">
        <v>58</v>
      </c>
      <c r="R11040" t="str">
        <f>IFERROR(VLOOKUP(record[[#This Row],[PCUSTID]],廠商[],2,FALSE),"")</f>
        <v/>
      </c>
      <c r="S11040" t="str">
        <f>VLOOKUP(record[[#This Row],[employeeID]],員工[],2,FALSE)</f>
        <v>蘇進昌</v>
      </c>
    </row>
    <row r="11041" spans="6:19" hidden="1" x14ac:dyDescent="0.25">
      <c r="F11041" t="s">
        <v>607</v>
      </c>
      <c r="G11041" t="s">
        <v>401</v>
      </c>
      <c r="H11041" t="str">
        <f>VLOOKUP(record[[#This Row],[ProcessSN]],表格2_7[],2,FALSE)</f>
        <v>30-4118-018-550</v>
      </c>
      <c r="I11041" t="str">
        <f>VLOOKUP(record[[#This Row],[ProcessSN]],表格2_7[],3,FALSE)</f>
        <v>#100OQC</v>
      </c>
      <c r="J11041" t="s">
        <v>599</v>
      </c>
      <c r="K11041" s="195">
        <v>45647.597384259258</v>
      </c>
      <c r="L11041">
        <v>141</v>
      </c>
      <c r="M11041">
        <v>0</v>
      </c>
      <c r="N11041" s="98" t="str">
        <f>IF(record[[#This Row],[Memo]]="Browser:chrome os:android","平板報工",IF(record[[#This Row],[Memo]]=0,"委外",record[[#This Row],[Memo]]))</f>
        <v/>
      </c>
      <c r="O11041" t="s">
        <v>58</v>
      </c>
      <c r="P11041" t="s">
        <v>65</v>
      </c>
      <c r="Q11041" t="s">
        <v>58</v>
      </c>
      <c r="R11041" t="str">
        <f>IFERROR(VLOOKUP(record[[#This Row],[PCUSTID]],廠商[],2,FALSE),"")</f>
        <v/>
      </c>
      <c r="S11041" t="str">
        <f>VLOOKUP(record[[#This Row],[employeeID]],員工[],2,FALSE)</f>
        <v>蘇進昌</v>
      </c>
    </row>
    <row r="11042" spans="6:19" hidden="1" x14ac:dyDescent="0.25">
      <c r="F11042" t="s">
        <v>607</v>
      </c>
      <c r="G11042" t="s">
        <v>400</v>
      </c>
      <c r="H11042" t="str">
        <f>VLOOKUP(record[[#This Row],[ProcessSN]],表格2_7[],2,FALSE)</f>
        <v>30-4118-018-550</v>
      </c>
      <c r="I11042" t="str">
        <f>VLOOKUP(record[[#This Row],[ProcessSN]],表格2_7[],3,FALSE)</f>
        <v>#100</v>
      </c>
      <c r="J11042" t="s">
        <v>598</v>
      </c>
      <c r="K11042" s="195">
        <v>45647.597199074073</v>
      </c>
      <c r="L11042">
        <v>141</v>
      </c>
      <c r="M11042">
        <v>0</v>
      </c>
      <c r="N11042" s="98" t="str">
        <f>IF(record[[#This Row],[Memo]]="Browser:chrome os:android","平板報工",IF(record[[#This Row],[Memo]]=0,"委外",record[[#This Row],[Memo]]))</f>
        <v/>
      </c>
      <c r="O11042" t="s">
        <v>58</v>
      </c>
      <c r="P11042" t="s">
        <v>65</v>
      </c>
      <c r="Q11042" t="s">
        <v>58</v>
      </c>
      <c r="R11042" t="str">
        <f>IFERROR(VLOOKUP(record[[#This Row],[PCUSTID]],廠商[],2,FALSE),"")</f>
        <v/>
      </c>
      <c r="S11042" t="str">
        <f>VLOOKUP(record[[#This Row],[employeeID]],員工[],2,FALSE)</f>
        <v>蘇進昌</v>
      </c>
    </row>
    <row r="11043" spans="6:19" hidden="1" x14ac:dyDescent="0.25">
      <c r="F11043" t="s">
        <v>607</v>
      </c>
      <c r="G11043" t="s">
        <v>399</v>
      </c>
      <c r="H11043" t="str">
        <f>VLOOKUP(record[[#This Row],[ProcessSN]],表格2_7[],2,FALSE)</f>
        <v>30-4118-018-550</v>
      </c>
      <c r="I11043" t="str">
        <f>VLOOKUP(record[[#This Row],[ProcessSN]],表格2_7[],3,FALSE)</f>
        <v>#08IQC</v>
      </c>
      <c r="J11043" t="s">
        <v>583</v>
      </c>
      <c r="K11043" s="195">
        <v>45647.597025462965</v>
      </c>
      <c r="L11043">
        <v>141</v>
      </c>
      <c r="M11043">
        <v>0</v>
      </c>
      <c r="N11043" s="98" t="str">
        <f>IF(record[[#This Row],[Memo]]="Browser:chrome os:android","平板報工",IF(record[[#This Row],[Memo]]=0,"委外",record[[#This Row],[Memo]]))</f>
        <v/>
      </c>
      <c r="O11043" t="s">
        <v>58</v>
      </c>
      <c r="P11043" t="s">
        <v>65</v>
      </c>
      <c r="Q11043" t="s">
        <v>58</v>
      </c>
      <c r="R11043" t="str">
        <f>IFERROR(VLOOKUP(record[[#This Row],[PCUSTID]],廠商[],2,FALSE),"")</f>
        <v/>
      </c>
      <c r="S11043" t="str">
        <f>VLOOKUP(record[[#This Row],[employeeID]],員工[],2,FALSE)</f>
        <v>蘇進昌</v>
      </c>
    </row>
    <row r="11044" spans="6:19" hidden="1" x14ac:dyDescent="0.25">
      <c r="F11044" t="s">
        <v>607</v>
      </c>
      <c r="G11044" t="s">
        <v>398</v>
      </c>
      <c r="H11044" t="str">
        <f>VLOOKUP(record[[#This Row],[ProcessSN]],表格2_7[],2,FALSE)</f>
        <v>30-4118-018-550</v>
      </c>
      <c r="I11044" t="str">
        <f>VLOOKUP(record[[#This Row],[ProcessSN]],表格2_7[],3,FALSE)</f>
        <v>#08RCV</v>
      </c>
      <c r="J11044" t="s">
        <v>591</v>
      </c>
      <c r="K11044" s="195">
        <v>45647.596956018519</v>
      </c>
      <c r="L11044">
        <v>141</v>
      </c>
      <c r="M11044">
        <v>9</v>
      </c>
      <c r="N11044" s="98" t="str">
        <f>IF(record[[#This Row],[Memo]]="Browser:chrome os:android","平板報工",IF(record[[#This Row],[Memo]]=0,"委外",record[[#This Row],[Memo]]))</f>
        <v/>
      </c>
      <c r="O11044" t="s">
        <v>58</v>
      </c>
      <c r="P11044" t="s">
        <v>65</v>
      </c>
      <c r="Q11044" t="s">
        <v>58</v>
      </c>
      <c r="R11044" t="str">
        <f>IFERROR(VLOOKUP(record[[#This Row],[PCUSTID]],廠商[],2,FALSE),"")</f>
        <v/>
      </c>
      <c r="S11044" t="str">
        <f>VLOOKUP(record[[#This Row],[employeeID]],員工[],2,FALSE)</f>
        <v>蘇進昌</v>
      </c>
    </row>
    <row r="11045" spans="6:19" hidden="1" x14ac:dyDescent="0.25">
      <c r="F11045" t="s">
        <v>607</v>
      </c>
      <c r="G11045" t="s">
        <v>397</v>
      </c>
      <c r="H11045" t="str">
        <f>VLOOKUP(record[[#This Row],[ProcessSN]],表格2_7[],2,FALSE)</f>
        <v>30-4118-018-550</v>
      </c>
      <c r="I11045" t="str">
        <f>VLOOKUP(record[[#This Row],[ProcessSN]],表格2_7[],3,FALSE)</f>
        <v>#08</v>
      </c>
      <c r="J11045" t="s">
        <v>606</v>
      </c>
      <c r="K11045" s="195">
        <v>45647.596782407411</v>
      </c>
      <c r="L11045">
        <v>150</v>
      </c>
      <c r="M11045">
        <v>0</v>
      </c>
      <c r="N11045" s="98" t="str">
        <f>IF(record[[#This Row],[Memo]]="Browser:chrome os:android","平板報工",IF(record[[#This Row],[Memo]]=0,"委外",record[[#This Row],[Memo]]))</f>
        <v>委外</v>
      </c>
      <c r="P11045" t="s">
        <v>65</v>
      </c>
      <c r="Q11045" t="s">
        <v>287</v>
      </c>
      <c r="R11045" t="str">
        <f>IFERROR(VLOOKUP(record[[#This Row],[PCUSTID]],廠商[],2,FALSE),"")</f>
        <v>泉盛</v>
      </c>
      <c r="S11045" t="str">
        <f>VLOOKUP(record[[#This Row],[employeeID]],員工[],2,FALSE)</f>
        <v>蘇進昌</v>
      </c>
    </row>
    <row r="11046" spans="6:19" hidden="1" x14ac:dyDescent="0.25">
      <c r="F11046" t="s">
        <v>607</v>
      </c>
      <c r="G11046" t="s">
        <v>396</v>
      </c>
      <c r="H11046" t="str">
        <f>VLOOKUP(record[[#This Row],[ProcessSN]],表格2_7[],2,FALSE)</f>
        <v>30-4118-018-550</v>
      </c>
      <c r="I11046" t="str">
        <f>VLOOKUP(record[[#This Row],[ProcessSN]],表格2_7[],3,FALSE)</f>
        <v>#08PICK</v>
      </c>
      <c r="J11046" t="s">
        <v>582</v>
      </c>
      <c r="K11046" s="195">
        <v>45647.596701388888</v>
      </c>
      <c r="L11046">
        <v>150</v>
      </c>
      <c r="M11046">
        <v>0</v>
      </c>
      <c r="N11046" s="98" t="str">
        <f>IF(record[[#This Row],[Memo]]="Browser:chrome os:android","平板報工",IF(record[[#This Row],[Memo]]=0,"委外",record[[#This Row],[Memo]]))</f>
        <v/>
      </c>
      <c r="O11046" t="s">
        <v>58</v>
      </c>
      <c r="P11046" t="s">
        <v>65</v>
      </c>
      <c r="Q11046" t="s">
        <v>58</v>
      </c>
      <c r="R11046" t="str">
        <f>IFERROR(VLOOKUP(record[[#This Row],[PCUSTID]],廠商[],2,FALSE),"")</f>
        <v/>
      </c>
      <c r="S11046" t="str">
        <f>VLOOKUP(record[[#This Row],[employeeID]],員工[],2,FALSE)</f>
        <v>蘇進昌</v>
      </c>
    </row>
    <row r="11047" spans="6:19" hidden="1" x14ac:dyDescent="0.25">
      <c r="F11047" t="s">
        <v>604</v>
      </c>
      <c r="G11047" t="s">
        <v>403</v>
      </c>
      <c r="H11047" t="str">
        <f>VLOOKUP(record[[#This Row],[ProcessSN]],表格2_7[],2,FALSE)</f>
        <v>30-4118-018-550</v>
      </c>
      <c r="I11047" t="str">
        <f>VLOOKUP(record[[#This Row],[ProcessSN]],表格2_7[],3,FALSE)</f>
        <v>#100SHIP</v>
      </c>
      <c r="J11047" t="s">
        <v>600</v>
      </c>
      <c r="K11047" s="195">
        <v>45647.595347222225</v>
      </c>
      <c r="L11047">
        <v>131</v>
      </c>
      <c r="M11047">
        <v>0</v>
      </c>
      <c r="N11047" s="98" t="str">
        <f>IF(record[[#This Row],[Memo]]="Browser:chrome os:android","平板報工",IF(record[[#This Row],[Memo]]=0,"委外",record[[#This Row],[Memo]]))</f>
        <v/>
      </c>
      <c r="O11047" t="s">
        <v>58</v>
      </c>
      <c r="P11047" t="s">
        <v>65</v>
      </c>
      <c r="Q11047" t="s">
        <v>58</v>
      </c>
      <c r="R11047" t="str">
        <f>IFERROR(VLOOKUP(record[[#This Row],[PCUSTID]],廠商[],2,FALSE),"")</f>
        <v/>
      </c>
      <c r="S11047" t="str">
        <f>VLOOKUP(record[[#This Row],[employeeID]],員工[],2,FALSE)</f>
        <v>蘇進昌</v>
      </c>
    </row>
    <row r="11048" spans="6:19" hidden="1" x14ac:dyDescent="0.25">
      <c r="F11048" t="s">
        <v>604</v>
      </c>
      <c r="G11048" t="s">
        <v>402</v>
      </c>
      <c r="H11048" t="str">
        <f>VLOOKUP(record[[#This Row],[ProcessSN]],表格2_7[],2,FALSE)</f>
        <v>30-4118-018-550</v>
      </c>
      <c r="I11048" t="str">
        <f>VLOOKUP(record[[#This Row],[ProcessSN]],表格2_7[],3,FALSE)</f>
        <v>#100STOCK</v>
      </c>
      <c r="J11048" t="s">
        <v>592</v>
      </c>
      <c r="K11048" s="195">
        <v>45647.59516203704</v>
      </c>
      <c r="L11048">
        <v>131</v>
      </c>
      <c r="M11048">
        <v>0</v>
      </c>
      <c r="N11048" s="98" t="str">
        <f>IF(record[[#This Row],[Memo]]="Browser:chrome os:android","平板報工",IF(record[[#This Row],[Memo]]=0,"委外",record[[#This Row],[Memo]]))</f>
        <v/>
      </c>
      <c r="O11048" t="s">
        <v>58</v>
      </c>
      <c r="P11048" t="s">
        <v>65</v>
      </c>
      <c r="Q11048" t="s">
        <v>58</v>
      </c>
      <c r="R11048" t="str">
        <f>IFERROR(VLOOKUP(record[[#This Row],[PCUSTID]],廠商[],2,FALSE),"")</f>
        <v/>
      </c>
      <c r="S11048" t="str">
        <f>VLOOKUP(record[[#This Row],[employeeID]],員工[],2,FALSE)</f>
        <v>蘇進昌</v>
      </c>
    </row>
    <row r="11049" spans="6:19" hidden="1" x14ac:dyDescent="0.25">
      <c r="F11049" t="s">
        <v>604</v>
      </c>
      <c r="G11049" t="s">
        <v>401</v>
      </c>
      <c r="H11049" t="str">
        <f>VLOOKUP(record[[#This Row],[ProcessSN]],表格2_7[],2,FALSE)</f>
        <v>30-4118-018-550</v>
      </c>
      <c r="I11049" t="str">
        <f>VLOOKUP(record[[#This Row],[ProcessSN]],表格2_7[],3,FALSE)</f>
        <v>#100OQC</v>
      </c>
      <c r="J11049" t="s">
        <v>599</v>
      </c>
      <c r="K11049" s="195">
        <v>45647.595081018517</v>
      </c>
      <c r="L11049">
        <v>131</v>
      </c>
      <c r="M11049">
        <v>0</v>
      </c>
      <c r="N11049" s="98" t="str">
        <f>IF(record[[#This Row],[Memo]]="Browser:chrome os:android","平板報工",IF(record[[#This Row],[Memo]]=0,"委外",record[[#This Row],[Memo]]))</f>
        <v/>
      </c>
      <c r="O11049" t="s">
        <v>58</v>
      </c>
      <c r="P11049" t="s">
        <v>65</v>
      </c>
      <c r="Q11049" t="s">
        <v>58</v>
      </c>
      <c r="R11049" t="str">
        <f>IFERROR(VLOOKUP(record[[#This Row],[PCUSTID]],廠商[],2,FALSE),"")</f>
        <v/>
      </c>
      <c r="S11049" t="str">
        <f>VLOOKUP(record[[#This Row],[employeeID]],員工[],2,FALSE)</f>
        <v>蘇進昌</v>
      </c>
    </row>
    <row r="11050" spans="6:19" hidden="1" x14ac:dyDescent="0.25">
      <c r="F11050" t="s">
        <v>604</v>
      </c>
      <c r="G11050" t="s">
        <v>400</v>
      </c>
      <c r="H11050" t="str">
        <f>VLOOKUP(record[[#This Row],[ProcessSN]],表格2_7[],2,FALSE)</f>
        <v>30-4118-018-550</v>
      </c>
      <c r="I11050" t="str">
        <f>VLOOKUP(record[[#This Row],[ProcessSN]],表格2_7[],3,FALSE)</f>
        <v>#100</v>
      </c>
      <c r="J11050" t="s">
        <v>598</v>
      </c>
      <c r="K11050" s="195">
        <v>45647.594918981478</v>
      </c>
      <c r="L11050">
        <v>131</v>
      </c>
      <c r="M11050">
        <v>0</v>
      </c>
      <c r="N11050" s="98" t="str">
        <f>IF(record[[#This Row],[Memo]]="Browser:chrome os:android","平板報工",IF(record[[#This Row],[Memo]]=0,"委外",record[[#This Row],[Memo]]))</f>
        <v/>
      </c>
      <c r="O11050" t="s">
        <v>58</v>
      </c>
      <c r="P11050" t="s">
        <v>65</v>
      </c>
      <c r="Q11050" t="s">
        <v>58</v>
      </c>
      <c r="R11050" t="str">
        <f>IFERROR(VLOOKUP(record[[#This Row],[PCUSTID]],廠商[],2,FALSE),"")</f>
        <v/>
      </c>
      <c r="S11050" t="str">
        <f>VLOOKUP(record[[#This Row],[employeeID]],員工[],2,FALSE)</f>
        <v>蘇進昌</v>
      </c>
    </row>
    <row r="11051" spans="6:19" hidden="1" x14ac:dyDescent="0.25">
      <c r="F11051" t="s">
        <v>604</v>
      </c>
      <c r="G11051" t="s">
        <v>399</v>
      </c>
      <c r="H11051" t="str">
        <f>VLOOKUP(record[[#This Row],[ProcessSN]],表格2_7[],2,FALSE)</f>
        <v>30-4118-018-550</v>
      </c>
      <c r="I11051" t="str">
        <f>VLOOKUP(record[[#This Row],[ProcessSN]],表格2_7[],3,FALSE)</f>
        <v>#08IQC</v>
      </c>
      <c r="J11051" t="s">
        <v>583</v>
      </c>
      <c r="K11051" s="195">
        <v>45647.594814814816</v>
      </c>
      <c r="L11051">
        <v>603</v>
      </c>
      <c r="M11051">
        <v>0</v>
      </c>
      <c r="N11051" s="98" t="str">
        <f>IF(record[[#This Row],[Memo]]="Browser:chrome os:android","平板報工",IF(record[[#This Row],[Memo]]=0,"委外",record[[#This Row],[Memo]]))</f>
        <v/>
      </c>
      <c r="O11051" t="s">
        <v>58</v>
      </c>
      <c r="P11051" t="s">
        <v>65</v>
      </c>
      <c r="Q11051" t="s">
        <v>58</v>
      </c>
      <c r="R11051" t="str">
        <f>IFERROR(VLOOKUP(record[[#This Row],[PCUSTID]],廠商[],2,FALSE),"")</f>
        <v/>
      </c>
      <c r="S11051" t="str">
        <f>VLOOKUP(record[[#This Row],[employeeID]],員工[],2,FALSE)</f>
        <v>蘇進昌</v>
      </c>
    </row>
    <row r="11052" spans="6:19" hidden="1" x14ac:dyDescent="0.25">
      <c r="F11052" t="s">
        <v>604</v>
      </c>
      <c r="G11052" t="s">
        <v>398</v>
      </c>
      <c r="H11052" t="str">
        <f>VLOOKUP(record[[#This Row],[ProcessSN]],表格2_7[],2,FALSE)</f>
        <v>30-4118-018-550</v>
      </c>
      <c r="I11052" t="str">
        <f>VLOOKUP(record[[#This Row],[ProcessSN]],表格2_7[],3,FALSE)</f>
        <v>#08RCV</v>
      </c>
      <c r="J11052" t="s">
        <v>591</v>
      </c>
      <c r="K11052" s="195">
        <v>45647.594641203701</v>
      </c>
      <c r="L11052">
        <v>603</v>
      </c>
      <c r="M11052">
        <v>11</v>
      </c>
      <c r="N11052" s="98" t="str">
        <f>IF(record[[#This Row],[Memo]]="Browser:chrome os:android","平板報工",IF(record[[#This Row],[Memo]]=0,"委外",record[[#This Row],[Memo]]))</f>
        <v/>
      </c>
      <c r="O11052" t="s">
        <v>58</v>
      </c>
      <c r="P11052" t="s">
        <v>65</v>
      </c>
      <c r="Q11052" t="s">
        <v>58</v>
      </c>
      <c r="R11052" t="str">
        <f>IFERROR(VLOOKUP(record[[#This Row],[PCUSTID]],廠商[],2,FALSE),"")</f>
        <v/>
      </c>
      <c r="S11052" t="str">
        <f>VLOOKUP(record[[#This Row],[employeeID]],員工[],2,FALSE)</f>
        <v>蘇進昌</v>
      </c>
    </row>
    <row r="11053" spans="6:19" hidden="1" x14ac:dyDescent="0.25">
      <c r="F11053" t="s">
        <v>604</v>
      </c>
      <c r="G11053" t="s">
        <v>397</v>
      </c>
      <c r="H11053" t="str">
        <f>VLOOKUP(record[[#This Row],[ProcessSN]],表格2_7[],2,FALSE)</f>
        <v>30-4118-018-550</v>
      </c>
      <c r="I11053" t="str">
        <f>VLOOKUP(record[[#This Row],[ProcessSN]],表格2_7[],3,FALSE)</f>
        <v>#08</v>
      </c>
      <c r="J11053" t="s">
        <v>606</v>
      </c>
      <c r="K11053" s="195">
        <v>45647.594467592593</v>
      </c>
      <c r="L11053">
        <v>614</v>
      </c>
      <c r="M11053">
        <v>0</v>
      </c>
      <c r="N11053" s="98" t="str">
        <f>IF(record[[#This Row],[Memo]]="Browser:chrome os:android","平板報工",IF(record[[#This Row],[Memo]]=0,"委外",record[[#This Row],[Memo]]))</f>
        <v>委外</v>
      </c>
      <c r="P11053" t="s">
        <v>65</v>
      </c>
      <c r="Q11053" t="s">
        <v>287</v>
      </c>
      <c r="R11053" t="str">
        <f>IFERROR(VLOOKUP(record[[#This Row],[PCUSTID]],廠商[],2,FALSE),"")</f>
        <v>泉盛</v>
      </c>
      <c r="S11053" t="str">
        <f>VLOOKUP(record[[#This Row],[employeeID]],員工[],2,FALSE)</f>
        <v>蘇進昌</v>
      </c>
    </row>
    <row r="11054" spans="6:19" hidden="1" x14ac:dyDescent="0.25">
      <c r="F11054" t="s">
        <v>604</v>
      </c>
      <c r="G11054" t="s">
        <v>396</v>
      </c>
      <c r="H11054" t="str">
        <f>VLOOKUP(record[[#This Row],[ProcessSN]],表格2_7[],2,FALSE)</f>
        <v>30-4118-018-550</v>
      </c>
      <c r="I11054" t="str">
        <f>VLOOKUP(record[[#This Row],[ProcessSN]],表格2_7[],3,FALSE)</f>
        <v>#08PICK</v>
      </c>
      <c r="J11054" t="s">
        <v>582</v>
      </c>
      <c r="K11054" s="195">
        <v>45647.594386574077</v>
      </c>
      <c r="L11054">
        <v>614</v>
      </c>
      <c r="M11054">
        <v>0</v>
      </c>
      <c r="N11054" s="98" t="str">
        <f>IF(record[[#This Row],[Memo]]="Browser:chrome os:android","平板報工",IF(record[[#This Row],[Memo]]=0,"委外",record[[#This Row],[Memo]]))</f>
        <v/>
      </c>
      <c r="O11054" t="s">
        <v>58</v>
      </c>
      <c r="P11054" t="s">
        <v>65</v>
      </c>
      <c r="Q11054" t="s">
        <v>58</v>
      </c>
      <c r="R11054" t="str">
        <f>IFERROR(VLOOKUP(record[[#This Row],[PCUSTID]],廠商[],2,FALSE),"")</f>
        <v/>
      </c>
      <c r="S11054" t="str">
        <f>VLOOKUP(record[[#This Row],[employeeID]],員工[],2,FALSE)</f>
        <v>蘇進昌</v>
      </c>
    </row>
    <row r="11055" spans="6:19" hidden="1" x14ac:dyDescent="0.25">
      <c r="F11055" t="s">
        <v>603</v>
      </c>
      <c r="G11055" t="s">
        <v>356</v>
      </c>
      <c r="H11055" t="str">
        <f>VLOOKUP(record[[#This Row],[ProcessSN]],表格2_7[],2,FALSE)</f>
        <v>30-4118-018-450</v>
      </c>
      <c r="I11055" t="str">
        <f>VLOOKUP(record[[#This Row],[ProcessSN]],表格2_7[],3,FALSE)</f>
        <v>#08</v>
      </c>
      <c r="J11055" t="s">
        <v>597</v>
      </c>
      <c r="K11055" s="195">
        <v>45647.59270833333</v>
      </c>
      <c r="L11055">
        <v>54</v>
      </c>
      <c r="M11055">
        <v>0</v>
      </c>
      <c r="N11055" s="98" t="str">
        <f>IF(record[[#This Row],[Memo]]="Browser:chrome os:android","平板報工",IF(record[[#This Row],[Memo]]=0,"委外",record[[#This Row],[Memo]]))</f>
        <v>委外</v>
      </c>
      <c r="P11055" t="s">
        <v>65</v>
      </c>
      <c r="Q11055" t="s">
        <v>287</v>
      </c>
      <c r="R11055" t="str">
        <f>IFERROR(VLOOKUP(record[[#This Row],[PCUSTID]],廠商[],2,FALSE),"")</f>
        <v>泉盛</v>
      </c>
      <c r="S11055" t="str">
        <f>VLOOKUP(record[[#This Row],[employeeID]],員工[],2,FALSE)</f>
        <v>蘇進昌</v>
      </c>
    </row>
    <row r="11056" spans="6:19" hidden="1" x14ac:dyDescent="0.25">
      <c r="F11056" t="s">
        <v>603</v>
      </c>
      <c r="G11056" t="s">
        <v>355</v>
      </c>
      <c r="H11056" t="str">
        <f>VLOOKUP(record[[#This Row],[ProcessSN]],表格2_7[],2,FALSE)</f>
        <v>30-4118-018-450</v>
      </c>
      <c r="I11056" t="str">
        <f>VLOOKUP(record[[#This Row],[ProcessSN]],表格2_7[],3,FALSE)</f>
        <v>#08PICK</v>
      </c>
      <c r="J11056" t="s">
        <v>582</v>
      </c>
      <c r="K11056" s="195">
        <v>45647.592638888891</v>
      </c>
      <c r="L11056">
        <v>54</v>
      </c>
      <c r="M11056">
        <v>0</v>
      </c>
      <c r="N11056" s="98" t="str">
        <f>IF(record[[#This Row],[Memo]]="Browser:chrome os:android","平板報工",IF(record[[#This Row],[Memo]]=0,"委外",record[[#This Row],[Memo]]))</f>
        <v/>
      </c>
      <c r="O11056" t="s">
        <v>58</v>
      </c>
      <c r="P11056" t="s">
        <v>65</v>
      </c>
      <c r="Q11056" t="s">
        <v>58</v>
      </c>
      <c r="R11056" t="str">
        <f>IFERROR(VLOOKUP(record[[#This Row],[PCUSTID]],廠商[],2,FALSE),"")</f>
        <v/>
      </c>
      <c r="S11056" t="str">
        <f>VLOOKUP(record[[#This Row],[employeeID]],員工[],2,FALSE)</f>
        <v>蘇進昌</v>
      </c>
    </row>
    <row r="11057" spans="6:19" hidden="1" x14ac:dyDescent="0.25">
      <c r="F11057" t="s">
        <v>602</v>
      </c>
      <c r="G11057" t="s">
        <v>362</v>
      </c>
      <c r="H11057" t="str">
        <f>VLOOKUP(record[[#This Row],[ProcessSN]],表格2_7[],2,FALSE)</f>
        <v>30-4118-018-450</v>
      </c>
      <c r="I11057" t="str">
        <f>VLOOKUP(record[[#This Row],[ProcessSN]],表格2_7[],3,FALSE)</f>
        <v>#100SHIP</v>
      </c>
      <c r="J11057" t="s">
        <v>600</v>
      </c>
      <c r="K11057" s="195">
        <v>45647.591805555552</v>
      </c>
      <c r="L11057">
        <v>43</v>
      </c>
      <c r="M11057">
        <v>0</v>
      </c>
      <c r="N11057" s="98" t="str">
        <f>IF(record[[#This Row],[Memo]]="Browser:chrome os:android","平板報工",IF(record[[#This Row],[Memo]]=0,"委外",record[[#This Row],[Memo]]))</f>
        <v/>
      </c>
      <c r="O11057" t="s">
        <v>58</v>
      </c>
      <c r="P11057" t="s">
        <v>65</v>
      </c>
      <c r="Q11057" t="s">
        <v>58</v>
      </c>
      <c r="R11057" t="str">
        <f>IFERROR(VLOOKUP(record[[#This Row],[PCUSTID]],廠商[],2,FALSE),"")</f>
        <v/>
      </c>
      <c r="S11057" t="str">
        <f>VLOOKUP(record[[#This Row],[employeeID]],員工[],2,FALSE)</f>
        <v>蘇進昌</v>
      </c>
    </row>
    <row r="11058" spans="6:19" hidden="1" x14ac:dyDescent="0.25">
      <c r="F11058" t="s">
        <v>602</v>
      </c>
      <c r="G11058" t="s">
        <v>361</v>
      </c>
      <c r="H11058" t="str">
        <f>VLOOKUP(record[[#This Row],[ProcessSN]],表格2_7[],2,FALSE)</f>
        <v>30-4118-018-450</v>
      </c>
      <c r="I11058" t="str">
        <f>VLOOKUP(record[[#This Row],[ProcessSN]],表格2_7[],3,FALSE)</f>
        <v>#100STOCK</v>
      </c>
      <c r="J11058" t="s">
        <v>592</v>
      </c>
      <c r="K11058" s="195">
        <v>45647.591747685183</v>
      </c>
      <c r="L11058">
        <v>43</v>
      </c>
      <c r="M11058">
        <v>0</v>
      </c>
      <c r="N11058" s="98" t="str">
        <f>IF(record[[#This Row],[Memo]]="Browser:chrome os:android","平板報工",IF(record[[#This Row],[Memo]]=0,"委外",record[[#This Row],[Memo]]))</f>
        <v/>
      </c>
      <c r="O11058" t="s">
        <v>58</v>
      </c>
      <c r="P11058" t="s">
        <v>65</v>
      </c>
      <c r="Q11058" t="s">
        <v>58</v>
      </c>
      <c r="R11058" t="str">
        <f>IFERROR(VLOOKUP(record[[#This Row],[PCUSTID]],廠商[],2,FALSE),"")</f>
        <v/>
      </c>
      <c r="S11058" t="str">
        <f>VLOOKUP(record[[#This Row],[employeeID]],員工[],2,FALSE)</f>
        <v>蘇進昌</v>
      </c>
    </row>
    <row r="11059" spans="6:19" hidden="1" x14ac:dyDescent="0.25">
      <c r="F11059" t="s">
        <v>602</v>
      </c>
      <c r="G11059" t="s">
        <v>360</v>
      </c>
      <c r="H11059" t="str">
        <f>VLOOKUP(record[[#This Row],[ProcessSN]],表格2_7[],2,FALSE)</f>
        <v>30-4118-018-450</v>
      </c>
      <c r="I11059" t="str">
        <f>VLOOKUP(record[[#This Row],[ProcessSN]],表格2_7[],3,FALSE)</f>
        <v>#100OQC</v>
      </c>
      <c r="J11059" t="s">
        <v>599</v>
      </c>
      <c r="K11059" s="195">
        <v>45647.59165509259</v>
      </c>
      <c r="L11059">
        <v>43</v>
      </c>
      <c r="M11059">
        <v>0</v>
      </c>
      <c r="N11059" s="98" t="str">
        <f>IF(record[[#This Row],[Memo]]="Browser:chrome os:android","平板報工",IF(record[[#This Row],[Memo]]=0,"委外",record[[#This Row],[Memo]]))</f>
        <v/>
      </c>
      <c r="O11059" t="s">
        <v>58</v>
      </c>
      <c r="P11059" t="s">
        <v>65</v>
      </c>
      <c r="Q11059" t="s">
        <v>58</v>
      </c>
      <c r="R11059" t="str">
        <f>IFERROR(VLOOKUP(record[[#This Row],[PCUSTID]],廠商[],2,FALSE),"")</f>
        <v/>
      </c>
      <c r="S11059" t="str">
        <f>VLOOKUP(record[[#This Row],[employeeID]],員工[],2,FALSE)</f>
        <v>蘇進昌</v>
      </c>
    </row>
    <row r="11060" spans="6:19" hidden="1" x14ac:dyDescent="0.25">
      <c r="F11060" t="s">
        <v>602</v>
      </c>
      <c r="G11060" t="s">
        <v>359</v>
      </c>
      <c r="H11060" t="str">
        <f>VLOOKUP(record[[#This Row],[ProcessSN]],表格2_7[],2,FALSE)</f>
        <v>30-4118-018-450</v>
      </c>
      <c r="I11060" t="str">
        <f>VLOOKUP(record[[#This Row],[ProcessSN]],表格2_7[],3,FALSE)</f>
        <v>#100</v>
      </c>
      <c r="J11060" t="s">
        <v>598</v>
      </c>
      <c r="K11060" s="195">
        <v>45647.591574074075</v>
      </c>
      <c r="L11060">
        <v>43</v>
      </c>
      <c r="M11060">
        <v>0</v>
      </c>
      <c r="N11060" s="98" t="str">
        <f>IF(record[[#This Row],[Memo]]="Browser:chrome os:android","平板報工",IF(record[[#This Row],[Memo]]=0,"委外",record[[#This Row],[Memo]]))</f>
        <v/>
      </c>
      <c r="O11060" t="s">
        <v>58</v>
      </c>
      <c r="P11060" t="s">
        <v>65</v>
      </c>
      <c r="Q11060" t="s">
        <v>58</v>
      </c>
      <c r="R11060" t="str">
        <f>IFERROR(VLOOKUP(record[[#This Row],[PCUSTID]],廠商[],2,FALSE),"")</f>
        <v/>
      </c>
      <c r="S11060" t="str">
        <f>VLOOKUP(record[[#This Row],[employeeID]],員工[],2,FALSE)</f>
        <v>蘇進昌</v>
      </c>
    </row>
    <row r="11061" spans="6:19" hidden="1" x14ac:dyDescent="0.25">
      <c r="F11061" t="s">
        <v>602</v>
      </c>
      <c r="G11061" t="s">
        <v>358</v>
      </c>
      <c r="H11061" t="str">
        <f>VLOOKUP(record[[#This Row],[ProcessSN]],表格2_7[],2,FALSE)</f>
        <v>30-4118-018-450</v>
      </c>
      <c r="I11061" t="str">
        <f>VLOOKUP(record[[#This Row],[ProcessSN]],表格2_7[],3,FALSE)</f>
        <v>#08IQC</v>
      </c>
      <c r="J11061" t="s">
        <v>583</v>
      </c>
      <c r="K11061" s="195">
        <v>45647.591412037036</v>
      </c>
      <c r="L11061">
        <v>43</v>
      </c>
      <c r="M11061">
        <v>0</v>
      </c>
      <c r="N11061" s="98" t="str">
        <f>IF(record[[#This Row],[Memo]]="Browser:chrome os:android","平板報工",IF(record[[#This Row],[Memo]]=0,"委外",record[[#This Row],[Memo]]))</f>
        <v/>
      </c>
      <c r="O11061" t="s">
        <v>58</v>
      </c>
      <c r="P11061" t="s">
        <v>65</v>
      </c>
      <c r="Q11061" t="s">
        <v>58</v>
      </c>
      <c r="R11061" t="str">
        <f>IFERROR(VLOOKUP(record[[#This Row],[PCUSTID]],廠商[],2,FALSE),"")</f>
        <v/>
      </c>
      <c r="S11061" t="str">
        <f>VLOOKUP(record[[#This Row],[employeeID]],員工[],2,FALSE)</f>
        <v>蘇進昌</v>
      </c>
    </row>
    <row r="11062" spans="6:19" hidden="1" x14ac:dyDescent="0.25">
      <c r="F11062" t="s">
        <v>602</v>
      </c>
      <c r="G11062" t="s">
        <v>357</v>
      </c>
      <c r="H11062" t="str">
        <f>VLOOKUP(record[[#This Row],[ProcessSN]],表格2_7[],2,FALSE)</f>
        <v>30-4118-018-450</v>
      </c>
      <c r="I11062" t="str">
        <f>VLOOKUP(record[[#This Row],[ProcessSN]],表格2_7[],3,FALSE)</f>
        <v>#08RCV</v>
      </c>
      <c r="J11062" t="s">
        <v>591</v>
      </c>
      <c r="K11062" s="195">
        <v>45647.591226851851</v>
      </c>
      <c r="L11062">
        <v>43</v>
      </c>
      <c r="M11062">
        <v>4</v>
      </c>
      <c r="N11062" s="98" t="str">
        <f>IF(record[[#This Row],[Memo]]="Browser:chrome os:android","平板報工",IF(record[[#This Row],[Memo]]=0,"委外",record[[#This Row],[Memo]]))</f>
        <v/>
      </c>
      <c r="O11062" t="s">
        <v>58</v>
      </c>
      <c r="P11062" t="s">
        <v>65</v>
      </c>
      <c r="Q11062" t="s">
        <v>58</v>
      </c>
      <c r="R11062" t="str">
        <f>IFERROR(VLOOKUP(record[[#This Row],[PCUSTID]],廠商[],2,FALSE),"")</f>
        <v/>
      </c>
      <c r="S11062" t="str">
        <f>VLOOKUP(record[[#This Row],[employeeID]],員工[],2,FALSE)</f>
        <v>蘇進昌</v>
      </c>
    </row>
    <row r="11063" spans="6:19" hidden="1" x14ac:dyDescent="0.25">
      <c r="F11063" t="s">
        <v>602</v>
      </c>
      <c r="G11063" t="s">
        <v>356</v>
      </c>
      <c r="H11063" t="str">
        <f>VLOOKUP(record[[#This Row],[ProcessSN]],表格2_7[],2,FALSE)</f>
        <v>30-4118-018-450</v>
      </c>
      <c r="I11063" t="str">
        <f>VLOOKUP(record[[#This Row],[ProcessSN]],表格2_7[],3,FALSE)</f>
        <v>#08</v>
      </c>
      <c r="J11063" t="s">
        <v>597</v>
      </c>
      <c r="K11063" s="195">
        <v>45647.591145833336</v>
      </c>
      <c r="L11063">
        <v>47</v>
      </c>
      <c r="M11063">
        <v>0</v>
      </c>
      <c r="N11063" s="98" t="str">
        <f>IF(record[[#This Row],[Memo]]="Browser:chrome os:android","平板報工",IF(record[[#This Row],[Memo]]=0,"委外",record[[#This Row],[Memo]]))</f>
        <v>委外</v>
      </c>
      <c r="P11063" t="s">
        <v>65</v>
      </c>
      <c r="Q11063" t="s">
        <v>287</v>
      </c>
      <c r="R11063" t="str">
        <f>IFERROR(VLOOKUP(record[[#This Row],[PCUSTID]],廠商[],2,FALSE),"")</f>
        <v>泉盛</v>
      </c>
      <c r="S11063" t="str">
        <f>VLOOKUP(record[[#This Row],[employeeID]],員工[],2,FALSE)</f>
        <v>蘇進昌</v>
      </c>
    </row>
    <row r="11064" spans="6:19" hidden="1" x14ac:dyDescent="0.25">
      <c r="F11064" t="s">
        <v>602</v>
      </c>
      <c r="G11064" t="s">
        <v>355</v>
      </c>
      <c r="H11064" t="str">
        <f>VLOOKUP(record[[#This Row],[ProcessSN]],表格2_7[],2,FALSE)</f>
        <v>30-4118-018-450</v>
      </c>
      <c r="I11064" t="str">
        <f>VLOOKUP(record[[#This Row],[ProcessSN]],表格2_7[],3,FALSE)</f>
        <v>#08PICK</v>
      </c>
      <c r="J11064" t="s">
        <v>582</v>
      </c>
      <c r="K11064" s="195">
        <v>45647.59107638889</v>
      </c>
      <c r="L11064">
        <v>47</v>
      </c>
      <c r="M11064">
        <v>0</v>
      </c>
      <c r="N11064" s="98" t="str">
        <f>IF(record[[#This Row],[Memo]]="Browser:chrome os:android","平板報工",IF(record[[#This Row],[Memo]]=0,"委外",record[[#This Row],[Memo]]))</f>
        <v/>
      </c>
      <c r="O11064" t="s">
        <v>58</v>
      </c>
      <c r="P11064" t="s">
        <v>65</v>
      </c>
      <c r="Q11064" t="s">
        <v>58</v>
      </c>
      <c r="R11064" t="str">
        <f>IFERROR(VLOOKUP(record[[#This Row],[PCUSTID]],廠商[],2,FALSE),"")</f>
        <v/>
      </c>
      <c r="S11064" t="str">
        <f>VLOOKUP(record[[#This Row],[employeeID]],員工[],2,FALSE)</f>
        <v>蘇進昌</v>
      </c>
    </row>
    <row r="11065" spans="6:19" hidden="1" x14ac:dyDescent="0.25">
      <c r="F11065" t="s">
        <v>601</v>
      </c>
      <c r="G11065" t="s">
        <v>361</v>
      </c>
      <c r="H11065" t="str">
        <f>VLOOKUP(record[[#This Row],[ProcessSN]],表格2_7[],2,FALSE)</f>
        <v>30-4118-018-450</v>
      </c>
      <c r="I11065" t="str">
        <f>VLOOKUP(record[[#This Row],[ProcessSN]],表格2_7[],3,FALSE)</f>
        <v>#100STOCK</v>
      </c>
      <c r="J11065" t="s">
        <v>592</v>
      </c>
      <c r="K11065" s="195">
        <v>45647.58965277778</v>
      </c>
      <c r="L11065">
        <v>312</v>
      </c>
      <c r="M11065">
        <v>0</v>
      </c>
      <c r="N11065" s="98" t="str">
        <f>IF(record[[#This Row],[Memo]]="Browser:chrome os:android","平板報工",IF(record[[#This Row],[Memo]]=0,"委外",record[[#This Row],[Memo]]))</f>
        <v/>
      </c>
      <c r="O11065" t="s">
        <v>58</v>
      </c>
      <c r="P11065" t="s">
        <v>65</v>
      </c>
      <c r="Q11065" t="s">
        <v>58</v>
      </c>
      <c r="R11065" t="str">
        <f>IFERROR(VLOOKUP(record[[#This Row],[PCUSTID]],廠商[],2,FALSE),"")</f>
        <v/>
      </c>
      <c r="S11065" t="str">
        <f>VLOOKUP(record[[#This Row],[employeeID]],員工[],2,FALSE)</f>
        <v>蘇進昌</v>
      </c>
    </row>
    <row r="11066" spans="6:19" hidden="1" x14ac:dyDescent="0.25">
      <c r="F11066" t="s">
        <v>601</v>
      </c>
      <c r="G11066" t="s">
        <v>360</v>
      </c>
      <c r="H11066" t="str">
        <f>VLOOKUP(record[[#This Row],[ProcessSN]],表格2_7[],2,FALSE)</f>
        <v>30-4118-018-450</v>
      </c>
      <c r="I11066" t="str">
        <f>VLOOKUP(record[[#This Row],[ProcessSN]],表格2_7[],3,FALSE)</f>
        <v>#100OQC</v>
      </c>
      <c r="J11066" t="s">
        <v>599</v>
      </c>
      <c r="K11066" s="195">
        <v>45647.589560185188</v>
      </c>
      <c r="L11066">
        <v>312</v>
      </c>
      <c r="M11066">
        <v>0</v>
      </c>
      <c r="N11066" s="98" t="str">
        <f>IF(record[[#This Row],[Memo]]="Browser:chrome os:android","平板報工",IF(record[[#This Row],[Memo]]=0,"委外",record[[#This Row],[Memo]]))</f>
        <v/>
      </c>
      <c r="O11066" t="s">
        <v>58</v>
      </c>
      <c r="P11066" t="s">
        <v>65</v>
      </c>
      <c r="Q11066" t="s">
        <v>58</v>
      </c>
      <c r="R11066" t="str">
        <f>IFERROR(VLOOKUP(record[[#This Row],[PCUSTID]],廠商[],2,FALSE),"")</f>
        <v/>
      </c>
      <c r="S11066" t="str">
        <f>VLOOKUP(record[[#This Row],[employeeID]],員工[],2,FALSE)</f>
        <v>蘇進昌</v>
      </c>
    </row>
    <row r="11067" spans="6:19" hidden="1" x14ac:dyDescent="0.25">
      <c r="F11067" t="s">
        <v>601</v>
      </c>
      <c r="G11067" t="s">
        <v>359</v>
      </c>
      <c r="H11067" t="str">
        <f>VLOOKUP(record[[#This Row],[ProcessSN]],表格2_7[],2,FALSE)</f>
        <v>30-4118-018-450</v>
      </c>
      <c r="I11067" t="str">
        <f>VLOOKUP(record[[#This Row],[ProcessSN]],表格2_7[],3,FALSE)</f>
        <v>#100</v>
      </c>
      <c r="J11067" t="s">
        <v>598</v>
      </c>
      <c r="K11067" s="195">
        <v>45647.589490740742</v>
      </c>
      <c r="L11067">
        <v>312</v>
      </c>
      <c r="M11067">
        <v>0</v>
      </c>
      <c r="N11067" s="98" t="str">
        <f>IF(record[[#This Row],[Memo]]="Browser:chrome os:android","平板報工",IF(record[[#This Row],[Memo]]=0,"委外",record[[#This Row],[Memo]]))</f>
        <v/>
      </c>
      <c r="O11067" t="s">
        <v>58</v>
      </c>
      <c r="P11067" t="s">
        <v>65</v>
      </c>
      <c r="Q11067" t="s">
        <v>58</v>
      </c>
      <c r="R11067" t="str">
        <f>IFERROR(VLOOKUP(record[[#This Row],[PCUSTID]],廠商[],2,FALSE),"")</f>
        <v/>
      </c>
      <c r="S11067" t="str">
        <f>VLOOKUP(record[[#This Row],[employeeID]],員工[],2,FALSE)</f>
        <v>蘇進昌</v>
      </c>
    </row>
    <row r="11068" spans="6:19" hidden="1" x14ac:dyDescent="0.25">
      <c r="F11068" t="s">
        <v>601</v>
      </c>
      <c r="G11068" t="s">
        <v>358</v>
      </c>
      <c r="H11068" t="str">
        <f>VLOOKUP(record[[#This Row],[ProcessSN]],表格2_7[],2,FALSE)</f>
        <v>30-4118-018-450</v>
      </c>
      <c r="I11068" t="str">
        <f>VLOOKUP(record[[#This Row],[ProcessSN]],表格2_7[],3,FALSE)</f>
        <v>#08IQC</v>
      </c>
      <c r="J11068" t="s">
        <v>583</v>
      </c>
      <c r="K11068" s="195">
        <v>45647.589236111111</v>
      </c>
      <c r="L11068">
        <v>312</v>
      </c>
      <c r="M11068">
        <v>24</v>
      </c>
      <c r="N11068" s="98" t="str">
        <f>IF(record[[#This Row],[Memo]]="Browser:chrome os:android","平板報工",IF(record[[#This Row],[Memo]]=0,"委外",record[[#This Row],[Memo]]))</f>
        <v/>
      </c>
      <c r="O11068" t="s">
        <v>58</v>
      </c>
      <c r="P11068" t="s">
        <v>65</v>
      </c>
      <c r="Q11068" t="s">
        <v>58</v>
      </c>
      <c r="R11068" t="str">
        <f>IFERROR(VLOOKUP(record[[#This Row],[PCUSTID]],廠商[],2,FALSE),"")</f>
        <v/>
      </c>
      <c r="S11068" t="str">
        <f>VLOOKUP(record[[#This Row],[employeeID]],員工[],2,FALSE)</f>
        <v>蘇進昌</v>
      </c>
    </row>
    <row r="11069" spans="6:19" hidden="1" x14ac:dyDescent="0.25">
      <c r="F11069" t="s">
        <v>601</v>
      </c>
      <c r="G11069" t="s">
        <v>357</v>
      </c>
      <c r="H11069" t="str">
        <f>VLOOKUP(record[[#This Row],[ProcessSN]],表格2_7[],2,FALSE)</f>
        <v>30-4118-018-450</v>
      </c>
      <c r="I11069" t="str">
        <f>VLOOKUP(record[[#This Row],[ProcessSN]],表格2_7[],3,FALSE)</f>
        <v>#08RCV</v>
      </c>
      <c r="J11069" t="s">
        <v>591</v>
      </c>
      <c r="K11069" s="195">
        <v>45647.589085648149</v>
      </c>
      <c r="L11069">
        <v>336</v>
      </c>
      <c r="M11069">
        <v>37</v>
      </c>
      <c r="N11069" s="98" t="str">
        <f>IF(record[[#This Row],[Memo]]="Browser:chrome os:android","平板報工",IF(record[[#This Row],[Memo]]=0,"委外",record[[#This Row],[Memo]]))</f>
        <v/>
      </c>
      <c r="O11069" t="s">
        <v>58</v>
      </c>
      <c r="P11069" t="s">
        <v>65</v>
      </c>
      <c r="Q11069" t="s">
        <v>58</v>
      </c>
      <c r="R11069" t="str">
        <f>IFERROR(VLOOKUP(record[[#This Row],[PCUSTID]],廠商[],2,FALSE),"")</f>
        <v/>
      </c>
      <c r="S11069" t="str">
        <f>VLOOKUP(record[[#This Row],[employeeID]],員工[],2,FALSE)</f>
        <v>蘇進昌</v>
      </c>
    </row>
    <row r="11070" spans="6:19" hidden="1" x14ac:dyDescent="0.25">
      <c r="F11070" t="s">
        <v>601</v>
      </c>
      <c r="G11070" t="s">
        <v>356</v>
      </c>
      <c r="H11070" t="str">
        <f>VLOOKUP(record[[#This Row],[ProcessSN]],表格2_7[],2,FALSE)</f>
        <v>30-4118-018-450</v>
      </c>
      <c r="I11070" t="str">
        <f>VLOOKUP(record[[#This Row],[ProcessSN]],表格2_7[],3,FALSE)</f>
        <v>#08</v>
      </c>
      <c r="J11070" t="s">
        <v>597</v>
      </c>
      <c r="K11070" s="195">
        <v>45647.588969907411</v>
      </c>
      <c r="L11070">
        <v>373</v>
      </c>
      <c r="M11070">
        <v>0</v>
      </c>
      <c r="N11070" s="98" t="str">
        <f>IF(record[[#This Row],[Memo]]="Browser:chrome os:android","平板報工",IF(record[[#This Row],[Memo]]=0,"委外",record[[#This Row],[Memo]]))</f>
        <v>委外</v>
      </c>
      <c r="P11070" t="s">
        <v>65</v>
      </c>
      <c r="Q11070" t="s">
        <v>287</v>
      </c>
      <c r="R11070" t="str">
        <f>IFERROR(VLOOKUP(record[[#This Row],[PCUSTID]],廠商[],2,FALSE),"")</f>
        <v>泉盛</v>
      </c>
      <c r="S11070" t="str">
        <f>VLOOKUP(record[[#This Row],[employeeID]],員工[],2,FALSE)</f>
        <v>蘇進昌</v>
      </c>
    </row>
    <row r="11071" spans="6:19" hidden="1" x14ac:dyDescent="0.25">
      <c r="F11071" t="s">
        <v>601</v>
      </c>
      <c r="G11071" t="s">
        <v>355</v>
      </c>
      <c r="H11071" t="str">
        <f>VLOOKUP(record[[#This Row],[ProcessSN]],表格2_7[],2,FALSE)</f>
        <v>30-4118-018-450</v>
      </c>
      <c r="I11071" t="str">
        <f>VLOOKUP(record[[#This Row],[ProcessSN]],表格2_7[],3,FALSE)</f>
        <v>#08PICK</v>
      </c>
      <c r="J11071" t="s">
        <v>582</v>
      </c>
      <c r="K11071" s="195">
        <v>45647.588900462964</v>
      </c>
      <c r="L11071">
        <v>373</v>
      </c>
      <c r="M11071">
        <v>0</v>
      </c>
      <c r="N11071" s="98" t="str">
        <f>IF(record[[#This Row],[Memo]]="Browser:chrome os:android","平板報工",IF(record[[#This Row],[Memo]]=0,"委外",record[[#This Row],[Memo]]))</f>
        <v/>
      </c>
      <c r="O11071" t="s">
        <v>58</v>
      </c>
      <c r="P11071" t="s">
        <v>65</v>
      </c>
      <c r="Q11071" t="s">
        <v>58</v>
      </c>
      <c r="R11071" t="str">
        <f>IFERROR(VLOOKUP(record[[#This Row],[PCUSTID]],廠商[],2,FALSE),"")</f>
        <v/>
      </c>
      <c r="S11071" t="str">
        <f>VLOOKUP(record[[#This Row],[employeeID]],員工[],2,FALSE)</f>
        <v>蘇進昌</v>
      </c>
    </row>
    <row r="11072" spans="6:19" hidden="1" x14ac:dyDescent="0.25">
      <c r="F11072" t="s">
        <v>596</v>
      </c>
      <c r="G11072" t="s">
        <v>362</v>
      </c>
      <c r="H11072" t="str">
        <f>VLOOKUP(record[[#This Row],[ProcessSN]],表格2_7[],2,FALSE)</f>
        <v>30-4118-018-450</v>
      </c>
      <c r="I11072" t="str">
        <f>VLOOKUP(record[[#This Row],[ProcessSN]],表格2_7[],3,FALSE)</f>
        <v>#100SHIP</v>
      </c>
      <c r="J11072" t="s">
        <v>600</v>
      </c>
      <c r="K11072" s="195">
        <v>45647.587233796294</v>
      </c>
      <c r="L11072">
        <v>77</v>
      </c>
      <c r="M11072">
        <v>0</v>
      </c>
      <c r="N11072" s="98" t="str">
        <f>IF(record[[#This Row],[Memo]]="Browser:chrome os:android","平板報工",IF(record[[#This Row],[Memo]]=0,"委外",record[[#This Row],[Memo]]))</f>
        <v/>
      </c>
      <c r="O11072" t="s">
        <v>58</v>
      </c>
      <c r="P11072" t="s">
        <v>65</v>
      </c>
      <c r="Q11072" t="s">
        <v>58</v>
      </c>
      <c r="R11072" t="str">
        <f>IFERROR(VLOOKUP(record[[#This Row],[PCUSTID]],廠商[],2,FALSE),"")</f>
        <v/>
      </c>
      <c r="S11072" t="str">
        <f>VLOOKUP(record[[#This Row],[employeeID]],員工[],2,FALSE)</f>
        <v>蘇進昌</v>
      </c>
    </row>
    <row r="11073" spans="6:19" hidden="1" x14ac:dyDescent="0.25">
      <c r="F11073" t="s">
        <v>596</v>
      </c>
      <c r="G11073" t="s">
        <v>361</v>
      </c>
      <c r="H11073" t="str">
        <f>VLOOKUP(record[[#This Row],[ProcessSN]],表格2_7[],2,FALSE)</f>
        <v>30-4118-018-450</v>
      </c>
      <c r="I11073" t="str">
        <f>VLOOKUP(record[[#This Row],[ProcessSN]],表格2_7[],3,FALSE)</f>
        <v>#100STOCK</v>
      </c>
      <c r="J11073" t="s">
        <v>592</v>
      </c>
      <c r="K11073" s="195">
        <v>45647.587094907409</v>
      </c>
      <c r="L11073">
        <v>168</v>
      </c>
      <c r="M11073">
        <v>0</v>
      </c>
      <c r="N11073" s="98" t="str">
        <f>IF(record[[#This Row],[Memo]]="Browser:chrome os:android","平板報工",IF(record[[#This Row],[Memo]]=0,"委外",record[[#This Row],[Memo]]))</f>
        <v/>
      </c>
      <c r="O11073" t="s">
        <v>58</v>
      </c>
      <c r="P11073" t="s">
        <v>65</v>
      </c>
      <c r="Q11073" t="s">
        <v>58</v>
      </c>
      <c r="R11073" t="str">
        <f>IFERROR(VLOOKUP(record[[#This Row],[PCUSTID]],廠商[],2,FALSE),"")</f>
        <v/>
      </c>
      <c r="S11073" t="str">
        <f>VLOOKUP(record[[#This Row],[employeeID]],員工[],2,FALSE)</f>
        <v>蘇進昌</v>
      </c>
    </row>
    <row r="11074" spans="6:19" hidden="1" x14ac:dyDescent="0.25">
      <c r="F11074" t="s">
        <v>596</v>
      </c>
      <c r="G11074" t="s">
        <v>360</v>
      </c>
      <c r="H11074" t="str">
        <f>VLOOKUP(record[[#This Row],[ProcessSN]],表格2_7[],2,FALSE)</f>
        <v>30-4118-018-450</v>
      </c>
      <c r="I11074" t="str">
        <f>VLOOKUP(record[[#This Row],[ProcessSN]],表格2_7[],3,FALSE)</f>
        <v>#100OQC</v>
      </c>
      <c r="J11074" t="s">
        <v>599</v>
      </c>
      <c r="K11074" s="195">
        <v>45647.587025462963</v>
      </c>
      <c r="L11074">
        <v>168</v>
      </c>
      <c r="M11074">
        <v>0</v>
      </c>
      <c r="N11074" s="98" t="str">
        <f>IF(record[[#This Row],[Memo]]="Browser:chrome os:android","平板報工",IF(record[[#This Row],[Memo]]=0,"委外",record[[#This Row],[Memo]]))</f>
        <v/>
      </c>
      <c r="O11074" t="s">
        <v>58</v>
      </c>
      <c r="P11074" t="s">
        <v>65</v>
      </c>
      <c r="Q11074" t="s">
        <v>58</v>
      </c>
      <c r="R11074" t="str">
        <f>IFERROR(VLOOKUP(record[[#This Row],[PCUSTID]],廠商[],2,FALSE),"")</f>
        <v/>
      </c>
      <c r="S11074" t="str">
        <f>VLOOKUP(record[[#This Row],[employeeID]],員工[],2,FALSE)</f>
        <v>蘇進昌</v>
      </c>
    </row>
    <row r="11075" spans="6:19" hidden="1" x14ac:dyDescent="0.25">
      <c r="F11075" t="s">
        <v>596</v>
      </c>
      <c r="G11075" t="s">
        <v>359</v>
      </c>
      <c r="H11075" t="str">
        <f>VLOOKUP(record[[#This Row],[ProcessSN]],表格2_7[],2,FALSE)</f>
        <v>30-4118-018-450</v>
      </c>
      <c r="I11075" t="str">
        <f>VLOOKUP(record[[#This Row],[ProcessSN]],表格2_7[],3,FALSE)</f>
        <v>#100</v>
      </c>
      <c r="J11075" t="s">
        <v>598</v>
      </c>
      <c r="K11075" s="195">
        <v>45647.586967592593</v>
      </c>
      <c r="L11075">
        <v>168</v>
      </c>
      <c r="M11075">
        <v>0</v>
      </c>
      <c r="N11075" s="98" t="str">
        <f>IF(record[[#This Row],[Memo]]="Browser:chrome os:android","平板報工",IF(record[[#This Row],[Memo]]=0,"委外",record[[#This Row],[Memo]]))</f>
        <v/>
      </c>
      <c r="O11075" t="s">
        <v>58</v>
      </c>
      <c r="P11075" t="s">
        <v>65</v>
      </c>
      <c r="Q11075" t="s">
        <v>58</v>
      </c>
      <c r="R11075" t="str">
        <f>IFERROR(VLOOKUP(record[[#This Row],[PCUSTID]],廠商[],2,FALSE),"")</f>
        <v/>
      </c>
      <c r="S11075" t="str">
        <f>VLOOKUP(record[[#This Row],[employeeID]],員工[],2,FALSE)</f>
        <v>蘇進昌</v>
      </c>
    </row>
    <row r="11076" spans="6:19" hidden="1" x14ac:dyDescent="0.25">
      <c r="F11076" t="s">
        <v>596</v>
      </c>
      <c r="G11076" t="s">
        <v>358</v>
      </c>
      <c r="H11076" t="str">
        <f>VLOOKUP(record[[#This Row],[ProcessSN]],表格2_7[],2,FALSE)</f>
        <v>30-4118-018-450</v>
      </c>
      <c r="I11076" t="str">
        <f>VLOOKUP(record[[#This Row],[ProcessSN]],表格2_7[],3,FALSE)</f>
        <v>#08IQC</v>
      </c>
      <c r="J11076" t="s">
        <v>583</v>
      </c>
      <c r="K11076" s="195">
        <v>45647.586851851855</v>
      </c>
      <c r="L11076">
        <v>168</v>
      </c>
      <c r="M11076">
        <v>0</v>
      </c>
      <c r="N11076" s="98" t="str">
        <f>IF(record[[#This Row],[Memo]]="Browser:chrome os:android","平板報工",IF(record[[#This Row],[Memo]]=0,"委外",record[[#This Row],[Memo]]))</f>
        <v/>
      </c>
      <c r="O11076" t="s">
        <v>58</v>
      </c>
      <c r="P11076" t="s">
        <v>65</v>
      </c>
      <c r="Q11076" t="s">
        <v>58</v>
      </c>
      <c r="R11076" t="str">
        <f>IFERROR(VLOOKUP(record[[#This Row],[PCUSTID]],廠商[],2,FALSE),"")</f>
        <v/>
      </c>
      <c r="S11076" t="str">
        <f>VLOOKUP(record[[#This Row],[employeeID]],員工[],2,FALSE)</f>
        <v>蘇進昌</v>
      </c>
    </row>
    <row r="11077" spans="6:19" hidden="1" x14ac:dyDescent="0.25">
      <c r="F11077" t="s">
        <v>596</v>
      </c>
      <c r="G11077" t="s">
        <v>357</v>
      </c>
      <c r="H11077" t="str">
        <f>VLOOKUP(record[[#This Row],[ProcessSN]],表格2_7[],2,FALSE)</f>
        <v>30-4118-018-450</v>
      </c>
      <c r="I11077" t="str">
        <f>VLOOKUP(record[[#This Row],[ProcessSN]],表格2_7[],3,FALSE)</f>
        <v>#08RCV</v>
      </c>
      <c r="J11077" t="s">
        <v>591</v>
      </c>
      <c r="K11077" s="195">
        <v>45647.586782407408</v>
      </c>
      <c r="L11077">
        <v>168</v>
      </c>
      <c r="M11077">
        <v>0</v>
      </c>
      <c r="N11077" s="98" t="str">
        <f>IF(record[[#This Row],[Memo]]="Browser:chrome os:android","平板報工",IF(record[[#This Row],[Memo]]=0,"委外",record[[#This Row],[Memo]]))</f>
        <v/>
      </c>
      <c r="O11077" t="s">
        <v>58</v>
      </c>
      <c r="P11077" t="s">
        <v>65</v>
      </c>
      <c r="Q11077" t="s">
        <v>58</v>
      </c>
      <c r="R11077" t="str">
        <f>IFERROR(VLOOKUP(record[[#This Row],[PCUSTID]],廠商[],2,FALSE),"")</f>
        <v/>
      </c>
      <c r="S11077" t="str">
        <f>VLOOKUP(record[[#This Row],[employeeID]],員工[],2,FALSE)</f>
        <v>蘇進昌</v>
      </c>
    </row>
    <row r="11078" spans="6:19" hidden="1" x14ac:dyDescent="0.25">
      <c r="F11078" t="s">
        <v>596</v>
      </c>
      <c r="G11078" t="s">
        <v>356</v>
      </c>
      <c r="H11078" t="str">
        <f>VLOOKUP(record[[#This Row],[ProcessSN]],表格2_7[],2,FALSE)</f>
        <v>30-4118-018-450</v>
      </c>
      <c r="I11078" t="str">
        <f>VLOOKUP(record[[#This Row],[ProcessSN]],表格2_7[],3,FALSE)</f>
        <v>#08</v>
      </c>
      <c r="J11078" t="s">
        <v>597</v>
      </c>
      <c r="K11078" s="195">
        <v>45647.586701388886</v>
      </c>
      <c r="L11078">
        <v>168</v>
      </c>
      <c r="M11078">
        <v>0</v>
      </c>
      <c r="N11078" s="98" t="str">
        <f>IF(record[[#This Row],[Memo]]="Browser:chrome os:android","平板報工",IF(record[[#This Row],[Memo]]=0,"委外",record[[#This Row],[Memo]]))</f>
        <v>委外</v>
      </c>
      <c r="P11078" t="s">
        <v>65</v>
      </c>
      <c r="Q11078" t="s">
        <v>287</v>
      </c>
      <c r="R11078" t="str">
        <f>IFERROR(VLOOKUP(record[[#This Row],[PCUSTID]],廠商[],2,FALSE),"")</f>
        <v>泉盛</v>
      </c>
      <c r="S11078" t="str">
        <f>VLOOKUP(record[[#This Row],[employeeID]],員工[],2,FALSE)</f>
        <v>蘇進昌</v>
      </c>
    </row>
    <row r="11079" spans="6:19" hidden="1" x14ac:dyDescent="0.25">
      <c r="F11079" t="s">
        <v>596</v>
      </c>
      <c r="G11079" t="s">
        <v>355</v>
      </c>
      <c r="H11079" t="str">
        <f>VLOOKUP(record[[#This Row],[ProcessSN]],表格2_7[],2,FALSE)</f>
        <v>30-4118-018-450</v>
      </c>
      <c r="I11079" t="str">
        <f>VLOOKUP(record[[#This Row],[ProcessSN]],表格2_7[],3,FALSE)</f>
        <v>#08PICK</v>
      </c>
      <c r="J11079" t="s">
        <v>582</v>
      </c>
      <c r="K11079" s="195">
        <v>45647.58662037037</v>
      </c>
      <c r="L11079">
        <v>168</v>
      </c>
      <c r="M11079">
        <v>0</v>
      </c>
      <c r="N11079" s="98" t="str">
        <f>IF(record[[#This Row],[Memo]]="Browser:chrome os:android","平板報工",IF(record[[#This Row],[Memo]]=0,"委外",record[[#This Row],[Memo]]))</f>
        <v/>
      </c>
      <c r="O11079" t="s">
        <v>58</v>
      </c>
      <c r="P11079" t="s">
        <v>65</v>
      </c>
      <c r="Q11079" t="s">
        <v>58</v>
      </c>
      <c r="R11079" t="str">
        <f>IFERROR(VLOOKUP(record[[#This Row],[PCUSTID]],廠商[],2,FALSE),"")</f>
        <v/>
      </c>
      <c r="S11079" t="str">
        <f>VLOOKUP(record[[#This Row],[employeeID]],員工[],2,FALSE)</f>
        <v>蘇進昌</v>
      </c>
    </row>
    <row r="11080" spans="6:19" hidden="1" x14ac:dyDescent="0.25">
      <c r="F11080" t="s">
        <v>595</v>
      </c>
      <c r="G11080" t="s">
        <v>448</v>
      </c>
      <c r="H11080" t="str">
        <f>VLOOKUP(record[[#This Row],[ProcessSN]],表格2_7[],2,FALSE)</f>
        <v>30-4118-018-6XX</v>
      </c>
      <c r="I11080" t="str">
        <f>VLOOKUP(record[[#This Row],[ProcessSN]],表格2_7[],3,FALSE)</f>
        <v>#04</v>
      </c>
      <c r="J11080" t="s">
        <v>588</v>
      </c>
      <c r="K11080" s="195">
        <v>45647.577743055554</v>
      </c>
      <c r="L11080">
        <v>1747</v>
      </c>
      <c r="M11080">
        <v>12</v>
      </c>
      <c r="N11080" s="98" t="str">
        <f>IF(record[[#This Row],[Memo]]="Browser:chrome os:android","平板報工",IF(record[[#This Row],[Memo]]=0,"委外",record[[#This Row],[Memo]]))</f>
        <v/>
      </c>
      <c r="O11080" t="s">
        <v>58</v>
      </c>
      <c r="P11080" t="s">
        <v>65</v>
      </c>
      <c r="Q11080" t="s">
        <v>58</v>
      </c>
      <c r="R11080" t="str">
        <f>IFERROR(VLOOKUP(record[[#This Row],[PCUSTID]],廠商[],2,FALSE),"")</f>
        <v/>
      </c>
      <c r="S11080" t="str">
        <f>VLOOKUP(record[[#This Row],[employeeID]],員工[],2,FALSE)</f>
        <v>蘇進昌</v>
      </c>
    </row>
    <row r="11081" spans="6:19" hidden="1" x14ac:dyDescent="0.25">
      <c r="F11081" t="s">
        <v>595</v>
      </c>
      <c r="G11081" t="s">
        <v>447</v>
      </c>
      <c r="H11081" t="str">
        <f>VLOOKUP(record[[#This Row],[ProcessSN]],表格2_7[],2,FALSE)</f>
        <v>30-4118-018-6XX</v>
      </c>
      <c r="I11081" t="str">
        <f>VLOOKUP(record[[#This Row],[ProcessSN]],表格2_7[],3,FALSE)</f>
        <v>#03</v>
      </c>
      <c r="J11081" t="s">
        <v>588</v>
      </c>
      <c r="K11081" s="195">
        <v>45647.577638888892</v>
      </c>
      <c r="L11081">
        <v>2134</v>
      </c>
      <c r="M11081">
        <v>1</v>
      </c>
      <c r="N11081" s="98" t="str">
        <f>IF(record[[#This Row],[Memo]]="Browser:chrome os:android","平板報工",IF(record[[#This Row],[Memo]]=0,"委外",record[[#This Row],[Memo]]))</f>
        <v/>
      </c>
      <c r="O11081" t="s">
        <v>58</v>
      </c>
      <c r="P11081" t="s">
        <v>65</v>
      </c>
      <c r="Q11081" t="s">
        <v>58</v>
      </c>
      <c r="R11081" t="str">
        <f>IFERROR(VLOOKUP(record[[#This Row],[PCUSTID]],廠商[],2,FALSE),"")</f>
        <v/>
      </c>
      <c r="S11081" t="str">
        <f>VLOOKUP(record[[#This Row],[employeeID]],員工[],2,FALSE)</f>
        <v>蘇進昌</v>
      </c>
    </row>
    <row r="11082" spans="6:19" hidden="1" x14ac:dyDescent="0.25">
      <c r="F11082" t="s">
        <v>595</v>
      </c>
      <c r="G11082" t="s">
        <v>446</v>
      </c>
      <c r="H11082" t="str">
        <f>VLOOKUP(record[[#This Row],[ProcessSN]],表格2_7[],2,FALSE)</f>
        <v>30-4118-018-6XX</v>
      </c>
      <c r="I11082" t="str">
        <f>VLOOKUP(record[[#This Row],[ProcessSN]],表格2_7[],3,FALSE)</f>
        <v>#03GIVE</v>
      </c>
      <c r="J11082" t="s">
        <v>587</v>
      </c>
      <c r="K11082" s="195">
        <v>45647.577534722222</v>
      </c>
      <c r="L11082">
        <v>2135</v>
      </c>
      <c r="M11082">
        <v>0</v>
      </c>
      <c r="N11082" s="98" t="str">
        <f>IF(record[[#This Row],[Memo]]="Browser:chrome os:android","平板報工",IF(record[[#This Row],[Memo]]=0,"委外",record[[#This Row],[Memo]]))</f>
        <v/>
      </c>
      <c r="O11082" t="s">
        <v>58</v>
      </c>
      <c r="P11082" t="s">
        <v>65</v>
      </c>
      <c r="Q11082" t="s">
        <v>58</v>
      </c>
      <c r="R11082" t="str">
        <f>IFERROR(VLOOKUP(record[[#This Row],[PCUSTID]],廠商[],2,FALSE),"")</f>
        <v/>
      </c>
      <c r="S11082" t="str">
        <f>VLOOKUP(record[[#This Row],[employeeID]],員工[],2,FALSE)</f>
        <v>蘇進昌</v>
      </c>
    </row>
    <row r="11083" spans="6:19" hidden="1" x14ac:dyDescent="0.25">
      <c r="F11083" t="s">
        <v>595</v>
      </c>
      <c r="G11083" t="s">
        <v>445</v>
      </c>
      <c r="H11083" t="str">
        <f>VLOOKUP(record[[#This Row],[ProcessSN]],表格2_7[],2,FALSE)</f>
        <v>30-4118-018-6XX</v>
      </c>
      <c r="I11083" t="str">
        <f>VLOOKUP(record[[#This Row],[ProcessSN]],表格2_7[],3,FALSE)</f>
        <v>#03PICK</v>
      </c>
      <c r="J11083" t="s">
        <v>582</v>
      </c>
      <c r="K11083" s="195">
        <v>45647.577465277776</v>
      </c>
      <c r="L11083">
        <v>2135</v>
      </c>
      <c r="M11083">
        <v>0</v>
      </c>
      <c r="N11083" s="98" t="str">
        <f>IF(record[[#This Row],[Memo]]="Browser:chrome os:android","平板報工",IF(record[[#This Row],[Memo]]=0,"委外",record[[#This Row],[Memo]]))</f>
        <v/>
      </c>
      <c r="O11083" t="s">
        <v>58</v>
      </c>
      <c r="P11083" t="s">
        <v>65</v>
      </c>
      <c r="Q11083" t="s">
        <v>58</v>
      </c>
      <c r="R11083" t="str">
        <f>IFERROR(VLOOKUP(record[[#This Row],[PCUSTID]],廠商[],2,FALSE),"")</f>
        <v/>
      </c>
      <c r="S11083" t="str">
        <f>VLOOKUP(record[[#This Row],[employeeID]],員工[],2,FALSE)</f>
        <v>蘇進昌</v>
      </c>
    </row>
    <row r="11084" spans="6:19" hidden="1" x14ac:dyDescent="0.25">
      <c r="F11084" t="s">
        <v>594</v>
      </c>
      <c r="G11084" t="s">
        <v>420</v>
      </c>
      <c r="H11084" t="str">
        <f>VLOOKUP(record[[#This Row],[ProcessSN]],表格2_7[],2,FALSE)</f>
        <v>30-4118-018-5XX</v>
      </c>
      <c r="I11084" t="str">
        <f>VLOOKUP(record[[#This Row],[ProcessSN]],表格2_7[],3,FALSE)</f>
        <v>#07STOCK</v>
      </c>
      <c r="J11084" t="s">
        <v>592</v>
      </c>
      <c r="K11084" s="195">
        <v>45647.576493055552</v>
      </c>
      <c r="L11084">
        <v>990</v>
      </c>
      <c r="M11084">
        <v>0</v>
      </c>
      <c r="N11084" s="98" t="str">
        <f>IF(record[[#This Row],[Memo]]="Browser:chrome os:android","平板報工",IF(record[[#This Row],[Memo]]=0,"委外",record[[#This Row],[Memo]]))</f>
        <v/>
      </c>
      <c r="O11084" t="s">
        <v>58</v>
      </c>
      <c r="P11084" t="s">
        <v>65</v>
      </c>
      <c r="Q11084" t="s">
        <v>58</v>
      </c>
      <c r="R11084" t="str">
        <f>IFERROR(VLOOKUP(record[[#This Row],[PCUSTID]],廠商[],2,FALSE),"")</f>
        <v/>
      </c>
      <c r="S11084" t="str">
        <f>VLOOKUP(record[[#This Row],[employeeID]],員工[],2,FALSE)</f>
        <v>蘇進昌</v>
      </c>
    </row>
    <row r="11085" spans="6:19" hidden="1" x14ac:dyDescent="0.25">
      <c r="F11085" t="s">
        <v>594</v>
      </c>
      <c r="G11085" t="s">
        <v>419</v>
      </c>
      <c r="H11085" t="str">
        <f>VLOOKUP(record[[#This Row],[ProcessSN]],表格2_7[],2,FALSE)</f>
        <v>30-4118-018-5XX</v>
      </c>
      <c r="I11085" t="str">
        <f>VLOOKUP(record[[#This Row],[ProcessSN]],表格2_7[],3,FALSE)</f>
        <v>#07QC</v>
      </c>
      <c r="J11085" t="s">
        <v>589</v>
      </c>
      <c r="K11085" s="195">
        <v>45647.57640046296</v>
      </c>
      <c r="L11085">
        <v>990</v>
      </c>
      <c r="M11085">
        <v>24</v>
      </c>
      <c r="N11085" s="98" t="str">
        <f>IF(record[[#This Row],[Memo]]="Browser:chrome os:android","平板報工",IF(record[[#This Row],[Memo]]=0,"委外",record[[#This Row],[Memo]]))</f>
        <v/>
      </c>
      <c r="O11085" t="s">
        <v>58</v>
      </c>
      <c r="P11085" t="s">
        <v>65</v>
      </c>
      <c r="Q11085" t="s">
        <v>58</v>
      </c>
      <c r="R11085" t="str">
        <f>IFERROR(VLOOKUP(record[[#This Row],[PCUSTID]],廠商[],2,FALSE),"")</f>
        <v/>
      </c>
      <c r="S11085" t="str">
        <f>VLOOKUP(record[[#This Row],[employeeID]],員工[],2,FALSE)</f>
        <v>蘇進昌</v>
      </c>
    </row>
    <row r="11086" spans="6:19" hidden="1" x14ac:dyDescent="0.25">
      <c r="F11086" t="s">
        <v>594</v>
      </c>
      <c r="G11086" t="s">
        <v>418</v>
      </c>
      <c r="H11086" t="str">
        <f>VLOOKUP(record[[#This Row],[ProcessSN]],表格2_7[],2,FALSE)</f>
        <v>30-4118-018-5XX</v>
      </c>
      <c r="I11086" t="str">
        <f>VLOOKUP(record[[#This Row],[ProcessSN]],表格2_7[],3,FALSE)</f>
        <v>#07</v>
      </c>
      <c r="J11086" t="s">
        <v>588</v>
      </c>
      <c r="K11086" s="195">
        <v>45647.576192129629</v>
      </c>
      <c r="L11086">
        <v>1014</v>
      </c>
      <c r="M11086">
        <v>2</v>
      </c>
      <c r="N11086" s="98" t="str">
        <f>IF(record[[#This Row],[Memo]]="Browser:chrome os:android","平板報工",IF(record[[#This Row],[Memo]]=0,"委外",record[[#This Row],[Memo]]))</f>
        <v/>
      </c>
      <c r="O11086" t="s">
        <v>58</v>
      </c>
      <c r="P11086" t="s">
        <v>65</v>
      </c>
      <c r="Q11086" t="s">
        <v>58</v>
      </c>
      <c r="R11086" t="str">
        <f>IFERROR(VLOOKUP(record[[#This Row],[PCUSTID]],廠商[],2,FALSE),"")</f>
        <v/>
      </c>
      <c r="S11086" t="str">
        <f>VLOOKUP(record[[#This Row],[employeeID]],員工[],2,FALSE)</f>
        <v>蘇進昌</v>
      </c>
    </row>
    <row r="11087" spans="6:19" hidden="1" x14ac:dyDescent="0.25">
      <c r="F11087" t="s">
        <v>594</v>
      </c>
      <c r="G11087" t="s">
        <v>417</v>
      </c>
      <c r="H11087" t="str">
        <f>VLOOKUP(record[[#This Row],[ProcessSN]],表格2_7[],2,FALSE)</f>
        <v>30-4118-018-5XX</v>
      </c>
      <c r="I11087" t="str">
        <f>VLOOKUP(record[[#This Row],[ProcessSN]],表格2_7[],3,FALSE)</f>
        <v>#06</v>
      </c>
      <c r="J11087" t="s">
        <v>593</v>
      </c>
      <c r="K11087" s="195">
        <v>45647.57608796296</v>
      </c>
      <c r="L11087">
        <v>2981</v>
      </c>
      <c r="M11087">
        <v>16</v>
      </c>
      <c r="N11087" s="98" t="str">
        <f>IF(record[[#This Row],[Memo]]="Browser:chrome os:android","平板報工",IF(record[[#This Row],[Memo]]=0,"委外",record[[#This Row],[Memo]]))</f>
        <v/>
      </c>
      <c r="O11087" t="s">
        <v>58</v>
      </c>
      <c r="P11087" t="s">
        <v>65</v>
      </c>
      <c r="Q11087" t="s">
        <v>58</v>
      </c>
      <c r="R11087" t="str">
        <f>IFERROR(VLOOKUP(record[[#This Row],[PCUSTID]],廠商[],2,FALSE),"")</f>
        <v/>
      </c>
      <c r="S11087" t="str">
        <f>VLOOKUP(record[[#This Row],[employeeID]],員工[],2,FALSE)</f>
        <v>蘇進昌</v>
      </c>
    </row>
    <row r="11088" spans="6:19" hidden="1" x14ac:dyDescent="0.25">
      <c r="F11088" t="s">
        <v>594</v>
      </c>
      <c r="G11088" t="s">
        <v>416</v>
      </c>
      <c r="H11088" t="str">
        <f>VLOOKUP(record[[#This Row],[ProcessSN]],表格2_7[],2,FALSE)</f>
        <v>30-4118-018-5XX</v>
      </c>
      <c r="I11088" t="str">
        <f>VLOOKUP(record[[#This Row],[ProcessSN]],表格2_7[],3,FALSE)</f>
        <v>#05</v>
      </c>
      <c r="J11088" t="s">
        <v>588</v>
      </c>
      <c r="K11088" s="195">
        <v>45647.575949074075</v>
      </c>
      <c r="L11088">
        <v>2997</v>
      </c>
      <c r="M11088">
        <v>0</v>
      </c>
      <c r="N11088" s="98" t="str">
        <f>IF(record[[#This Row],[Memo]]="Browser:chrome os:android","平板報工",IF(record[[#This Row],[Memo]]=0,"委外",record[[#This Row],[Memo]]))</f>
        <v/>
      </c>
      <c r="O11088" t="s">
        <v>58</v>
      </c>
      <c r="P11088" t="s">
        <v>65</v>
      </c>
      <c r="Q11088" t="s">
        <v>58</v>
      </c>
      <c r="R11088" t="str">
        <f>IFERROR(VLOOKUP(record[[#This Row],[PCUSTID]],廠商[],2,FALSE),"")</f>
        <v/>
      </c>
      <c r="S11088" t="str">
        <f>VLOOKUP(record[[#This Row],[employeeID]],員工[],2,FALSE)</f>
        <v>蘇進昌</v>
      </c>
    </row>
    <row r="11089" spans="6:19" hidden="1" x14ac:dyDescent="0.25">
      <c r="F11089" t="s">
        <v>594</v>
      </c>
      <c r="G11089" t="s">
        <v>415</v>
      </c>
      <c r="H11089" t="str">
        <f>VLOOKUP(record[[#This Row],[ProcessSN]],表格2_7[],2,FALSE)</f>
        <v>30-4118-018-5XX</v>
      </c>
      <c r="I11089" t="str">
        <f>VLOOKUP(record[[#This Row],[ProcessSN]],表格2_7[],3,FALSE)</f>
        <v>#04</v>
      </c>
      <c r="J11089" t="s">
        <v>588</v>
      </c>
      <c r="K11089" s="195">
        <v>45647.575682870367</v>
      </c>
      <c r="L11089">
        <v>0</v>
      </c>
      <c r="M11089">
        <v>2</v>
      </c>
      <c r="N11089" s="98" t="str">
        <f>IF(record[[#This Row],[Memo]]="Browser:chrome os:android","平板報工",IF(record[[#This Row],[Memo]]=0,"委外",record[[#This Row],[Memo]]))</f>
        <v/>
      </c>
      <c r="O11089" t="s">
        <v>58</v>
      </c>
      <c r="P11089" t="s">
        <v>65</v>
      </c>
      <c r="Q11089" t="s">
        <v>58</v>
      </c>
      <c r="R11089" t="str">
        <f>IFERROR(VLOOKUP(record[[#This Row],[PCUSTID]],廠商[],2,FALSE),"")</f>
        <v/>
      </c>
      <c r="S11089" t="str">
        <f>VLOOKUP(record[[#This Row],[employeeID]],員工[],2,FALSE)</f>
        <v>蘇進昌</v>
      </c>
    </row>
    <row r="11090" spans="6:19" hidden="1" x14ac:dyDescent="0.25">
      <c r="F11090" t="s">
        <v>594</v>
      </c>
      <c r="G11090" t="s">
        <v>415</v>
      </c>
      <c r="H11090" t="str">
        <f>VLOOKUP(record[[#This Row],[ProcessSN]],表格2_7[],2,FALSE)</f>
        <v>30-4118-018-5XX</v>
      </c>
      <c r="I11090" t="str">
        <f>VLOOKUP(record[[#This Row],[ProcessSN]],表格2_7[],3,FALSE)</f>
        <v>#04</v>
      </c>
      <c r="J11090" t="s">
        <v>588</v>
      </c>
      <c r="K11090" s="195">
        <v>45647.575567129628</v>
      </c>
      <c r="L11090">
        <v>2997</v>
      </c>
      <c r="M11090">
        <v>0</v>
      </c>
      <c r="N11090" s="98" t="str">
        <f>IF(record[[#This Row],[Memo]]="Browser:chrome os:android","平板報工",IF(record[[#This Row],[Memo]]=0,"委外",record[[#This Row],[Memo]]))</f>
        <v/>
      </c>
      <c r="O11090" t="s">
        <v>58</v>
      </c>
      <c r="P11090" t="s">
        <v>65</v>
      </c>
      <c r="Q11090" t="s">
        <v>58</v>
      </c>
      <c r="R11090" t="str">
        <f>IFERROR(VLOOKUP(record[[#This Row],[PCUSTID]],廠商[],2,FALSE),"")</f>
        <v/>
      </c>
      <c r="S11090" t="str">
        <f>VLOOKUP(record[[#This Row],[employeeID]],員工[],2,FALSE)</f>
        <v>蘇進昌</v>
      </c>
    </row>
    <row r="11091" spans="6:19" hidden="1" x14ac:dyDescent="0.25">
      <c r="F11091" t="s">
        <v>594</v>
      </c>
      <c r="G11091" t="s">
        <v>414</v>
      </c>
      <c r="H11091" t="str">
        <f>VLOOKUP(record[[#This Row],[ProcessSN]],表格2_7[],2,FALSE)</f>
        <v>30-4118-018-5XX</v>
      </c>
      <c r="I11091" t="str">
        <f>VLOOKUP(record[[#This Row],[ProcessSN]],表格2_7[],3,FALSE)</f>
        <v>#03</v>
      </c>
      <c r="J11091" t="s">
        <v>588</v>
      </c>
      <c r="K11091" s="195">
        <v>45647.575474537036</v>
      </c>
      <c r="L11091">
        <v>2999</v>
      </c>
      <c r="M11091">
        <v>1</v>
      </c>
      <c r="N11091" s="98" t="str">
        <f>IF(record[[#This Row],[Memo]]="Browser:chrome os:android","平板報工",IF(record[[#This Row],[Memo]]=0,"委外",record[[#This Row],[Memo]]))</f>
        <v/>
      </c>
      <c r="O11091" t="s">
        <v>58</v>
      </c>
      <c r="P11091" t="s">
        <v>65</v>
      </c>
      <c r="Q11091" t="s">
        <v>58</v>
      </c>
      <c r="R11091" t="str">
        <f>IFERROR(VLOOKUP(record[[#This Row],[PCUSTID]],廠商[],2,FALSE),"")</f>
        <v/>
      </c>
      <c r="S11091" t="str">
        <f>VLOOKUP(record[[#This Row],[employeeID]],員工[],2,FALSE)</f>
        <v>蘇進昌</v>
      </c>
    </row>
    <row r="11092" spans="6:19" hidden="1" x14ac:dyDescent="0.25">
      <c r="F11092" t="s">
        <v>594</v>
      </c>
      <c r="G11092" t="s">
        <v>413</v>
      </c>
      <c r="H11092" t="str">
        <f>VLOOKUP(record[[#This Row],[ProcessSN]],表格2_7[],2,FALSE)</f>
        <v>30-4118-018-5XX</v>
      </c>
      <c r="I11092" t="str">
        <f>VLOOKUP(record[[#This Row],[ProcessSN]],表格2_7[],3,FALSE)</f>
        <v>#03GIVE</v>
      </c>
      <c r="J11092" t="s">
        <v>587</v>
      </c>
      <c r="K11092" s="195">
        <v>45647.57534722222</v>
      </c>
      <c r="L11092">
        <v>3000</v>
      </c>
      <c r="M11092">
        <v>0</v>
      </c>
      <c r="N11092" s="98" t="str">
        <f>IF(record[[#This Row],[Memo]]="Browser:chrome os:android","平板報工",IF(record[[#This Row],[Memo]]=0,"委外",record[[#This Row],[Memo]]))</f>
        <v/>
      </c>
      <c r="O11092" t="s">
        <v>58</v>
      </c>
      <c r="P11092" t="s">
        <v>65</v>
      </c>
      <c r="Q11092" t="s">
        <v>58</v>
      </c>
      <c r="R11092" t="str">
        <f>IFERROR(VLOOKUP(record[[#This Row],[PCUSTID]],廠商[],2,FALSE),"")</f>
        <v/>
      </c>
      <c r="S11092" t="str">
        <f>VLOOKUP(record[[#This Row],[employeeID]],員工[],2,FALSE)</f>
        <v>蘇進昌</v>
      </c>
    </row>
    <row r="11093" spans="6:19" hidden="1" x14ac:dyDescent="0.25">
      <c r="F11093" t="s">
        <v>594</v>
      </c>
      <c r="G11093" t="s">
        <v>412</v>
      </c>
      <c r="H11093" t="str">
        <f>VLOOKUP(record[[#This Row],[ProcessSN]],表格2_7[],2,FALSE)</f>
        <v>30-4118-018-5XX</v>
      </c>
      <c r="I11093" t="str">
        <f>VLOOKUP(record[[#This Row],[ProcessSN]],表格2_7[],3,FALSE)</f>
        <v>#03PICK</v>
      </c>
      <c r="J11093" t="s">
        <v>582</v>
      </c>
      <c r="K11093" s="195">
        <v>45647.575266203705</v>
      </c>
      <c r="L11093">
        <v>3000</v>
      </c>
      <c r="M11093">
        <v>0</v>
      </c>
      <c r="N11093" s="98" t="str">
        <f>IF(record[[#This Row],[Memo]]="Browser:chrome os:android","平板報工",IF(record[[#This Row],[Memo]]=0,"委外",record[[#This Row],[Memo]]))</f>
        <v/>
      </c>
      <c r="O11093" t="s">
        <v>58</v>
      </c>
      <c r="P11093" t="s">
        <v>65</v>
      </c>
      <c r="Q11093" t="s">
        <v>58</v>
      </c>
      <c r="R11093" t="str">
        <f>IFERROR(VLOOKUP(record[[#This Row],[PCUSTID]],廠商[],2,FALSE),"")</f>
        <v/>
      </c>
      <c r="S11093" t="str">
        <f>VLOOKUP(record[[#This Row],[employeeID]],員工[],2,FALSE)</f>
        <v>蘇進昌</v>
      </c>
    </row>
    <row r="11094" spans="6:19" hidden="1" x14ac:dyDescent="0.25">
      <c r="F11094" t="s">
        <v>586</v>
      </c>
      <c r="G11094" t="s">
        <v>376</v>
      </c>
      <c r="H11094" t="str">
        <f>VLOOKUP(record[[#This Row],[ProcessSN]],表格2_7[],2,FALSE)</f>
        <v>30-4118-018-4XX</v>
      </c>
      <c r="I11094" t="str">
        <f>VLOOKUP(record[[#This Row],[ProcessSN]],表格2_7[],3,FALSE)</f>
        <v>#06</v>
      </c>
      <c r="J11094" t="s">
        <v>593</v>
      </c>
      <c r="K11094" s="195">
        <v>45647.574560185189</v>
      </c>
      <c r="L11094">
        <v>154</v>
      </c>
      <c r="M11094">
        <v>0</v>
      </c>
      <c r="N11094" s="98" t="str">
        <f>IF(record[[#This Row],[Memo]]="Browser:chrome os:android","平板報工",IF(record[[#This Row],[Memo]]=0,"委外",record[[#This Row],[Memo]]))</f>
        <v/>
      </c>
      <c r="O11094" t="s">
        <v>58</v>
      </c>
      <c r="P11094" t="s">
        <v>65</v>
      </c>
      <c r="Q11094" t="s">
        <v>58</v>
      </c>
      <c r="R11094" t="str">
        <f>IFERROR(VLOOKUP(record[[#This Row],[PCUSTID]],廠商[],2,FALSE),"")</f>
        <v/>
      </c>
      <c r="S11094" t="str">
        <f>VLOOKUP(record[[#This Row],[employeeID]],員工[],2,FALSE)</f>
        <v>蘇進昌</v>
      </c>
    </row>
    <row r="11095" spans="6:19" hidden="1" x14ac:dyDescent="0.25">
      <c r="F11095" t="s">
        <v>586</v>
      </c>
      <c r="G11095" t="s">
        <v>375</v>
      </c>
      <c r="H11095" t="str">
        <f>VLOOKUP(record[[#This Row],[ProcessSN]],表格2_7[],2,FALSE)</f>
        <v>30-4118-018-4XX</v>
      </c>
      <c r="I11095" t="str">
        <f>VLOOKUP(record[[#This Row],[ProcessSN]],表格2_7[],3,FALSE)</f>
        <v>#05</v>
      </c>
      <c r="J11095" t="s">
        <v>588</v>
      </c>
      <c r="K11095" s="195">
        <v>45647.574467592596</v>
      </c>
      <c r="L11095">
        <v>1124</v>
      </c>
      <c r="M11095">
        <v>0</v>
      </c>
      <c r="N11095" s="98" t="str">
        <f>IF(record[[#This Row],[Memo]]="Browser:chrome os:android","平板報工",IF(record[[#This Row],[Memo]]=0,"委外",record[[#This Row],[Memo]]))</f>
        <v/>
      </c>
      <c r="O11095" t="s">
        <v>58</v>
      </c>
      <c r="P11095" t="s">
        <v>65</v>
      </c>
      <c r="Q11095" t="s">
        <v>58</v>
      </c>
      <c r="R11095" t="str">
        <f>IFERROR(VLOOKUP(record[[#This Row],[PCUSTID]],廠商[],2,FALSE),"")</f>
        <v/>
      </c>
      <c r="S11095" t="str">
        <f>VLOOKUP(record[[#This Row],[employeeID]],員工[],2,FALSE)</f>
        <v>蘇進昌</v>
      </c>
    </row>
    <row r="11096" spans="6:19" hidden="1" x14ac:dyDescent="0.25">
      <c r="F11096" t="s">
        <v>586</v>
      </c>
      <c r="G11096" t="s">
        <v>374</v>
      </c>
      <c r="H11096" t="str">
        <f>VLOOKUP(record[[#This Row],[ProcessSN]],表格2_7[],2,FALSE)</f>
        <v>30-4118-018-4XX</v>
      </c>
      <c r="I11096" t="str">
        <f>VLOOKUP(record[[#This Row],[ProcessSN]],表格2_7[],3,FALSE)</f>
        <v>#04</v>
      </c>
      <c r="J11096" t="s">
        <v>588</v>
      </c>
      <c r="K11096" s="195">
        <v>45647.574340277781</v>
      </c>
      <c r="L11096">
        <v>1618</v>
      </c>
      <c r="M11096">
        <v>0</v>
      </c>
      <c r="N11096" s="98" t="str">
        <f>IF(record[[#This Row],[Memo]]="Browser:chrome os:android","平板報工",IF(record[[#This Row],[Memo]]=0,"委外",record[[#This Row],[Memo]]))</f>
        <v/>
      </c>
      <c r="O11096" t="s">
        <v>58</v>
      </c>
      <c r="P11096" t="s">
        <v>65</v>
      </c>
      <c r="Q11096" t="s">
        <v>58</v>
      </c>
      <c r="R11096" t="str">
        <f>IFERROR(VLOOKUP(record[[#This Row],[PCUSTID]],廠商[],2,FALSE),"")</f>
        <v/>
      </c>
      <c r="S11096" t="str">
        <f>VLOOKUP(record[[#This Row],[employeeID]],員工[],2,FALSE)</f>
        <v>蘇進昌</v>
      </c>
    </row>
    <row r="11097" spans="6:19" hidden="1" x14ac:dyDescent="0.25">
      <c r="F11097" t="s">
        <v>586</v>
      </c>
      <c r="G11097" t="s">
        <v>373</v>
      </c>
      <c r="H11097" t="str">
        <f>VLOOKUP(record[[#This Row],[ProcessSN]],表格2_7[],2,FALSE)</f>
        <v>30-4118-018-4XX</v>
      </c>
      <c r="I11097" t="str">
        <f>VLOOKUP(record[[#This Row],[ProcessSN]],表格2_7[],3,FALSE)</f>
        <v>#03</v>
      </c>
      <c r="J11097" t="s">
        <v>588</v>
      </c>
      <c r="K11097" s="195">
        <v>45647.574259259258</v>
      </c>
      <c r="L11097">
        <v>1618</v>
      </c>
      <c r="M11097">
        <v>4</v>
      </c>
      <c r="N11097" s="98" t="str">
        <f>IF(record[[#This Row],[Memo]]="Browser:chrome os:android","平板報工",IF(record[[#This Row],[Memo]]=0,"委外",record[[#This Row],[Memo]]))</f>
        <v/>
      </c>
      <c r="O11097" t="s">
        <v>58</v>
      </c>
      <c r="P11097" t="s">
        <v>65</v>
      </c>
      <c r="Q11097" t="s">
        <v>58</v>
      </c>
      <c r="R11097" t="str">
        <f>IFERROR(VLOOKUP(record[[#This Row],[PCUSTID]],廠商[],2,FALSE),"")</f>
        <v/>
      </c>
      <c r="S11097" t="str">
        <f>VLOOKUP(record[[#This Row],[employeeID]],員工[],2,FALSE)</f>
        <v>蘇進昌</v>
      </c>
    </row>
    <row r="11098" spans="6:19" hidden="1" x14ac:dyDescent="0.25">
      <c r="F11098" t="s">
        <v>586</v>
      </c>
      <c r="G11098" t="s">
        <v>372</v>
      </c>
      <c r="H11098" t="str">
        <f>VLOOKUP(record[[#This Row],[ProcessSN]],表格2_7[],2,FALSE)</f>
        <v>30-4118-018-4XX</v>
      </c>
      <c r="I11098" t="str">
        <f>VLOOKUP(record[[#This Row],[ProcessSN]],表格2_7[],3,FALSE)</f>
        <v>#03GIVE</v>
      </c>
      <c r="J11098" t="s">
        <v>587</v>
      </c>
      <c r="K11098" s="195">
        <v>45647.574166666665</v>
      </c>
      <c r="L11098">
        <v>1622</v>
      </c>
      <c r="M11098">
        <v>0</v>
      </c>
      <c r="N11098" s="98" t="str">
        <f>IF(record[[#This Row],[Memo]]="Browser:chrome os:android","平板報工",IF(record[[#This Row],[Memo]]=0,"委外",record[[#This Row],[Memo]]))</f>
        <v/>
      </c>
      <c r="O11098" t="s">
        <v>58</v>
      </c>
      <c r="P11098" t="s">
        <v>65</v>
      </c>
      <c r="Q11098" t="s">
        <v>58</v>
      </c>
      <c r="R11098" t="str">
        <f>IFERROR(VLOOKUP(record[[#This Row],[PCUSTID]],廠商[],2,FALSE),"")</f>
        <v/>
      </c>
      <c r="S11098" t="str">
        <f>VLOOKUP(record[[#This Row],[employeeID]],員工[],2,FALSE)</f>
        <v>蘇進昌</v>
      </c>
    </row>
    <row r="11099" spans="6:19" hidden="1" x14ac:dyDescent="0.25">
      <c r="F11099" t="s">
        <v>586</v>
      </c>
      <c r="G11099" t="s">
        <v>371</v>
      </c>
      <c r="H11099" t="str">
        <f>VLOOKUP(record[[#This Row],[ProcessSN]],表格2_7[],2,FALSE)</f>
        <v>30-4118-018-4XX</v>
      </c>
      <c r="I11099" t="str">
        <f>VLOOKUP(record[[#This Row],[ProcessSN]],表格2_7[],3,FALSE)</f>
        <v>#03PICK</v>
      </c>
      <c r="J11099" t="s">
        <v>582</v>
      </c>
      <c r="K11099" s="195">
        <v>45647.574004629627</v>
      </c>
      <c r="L11099">
        <v>1622</v>
      </c>
      <c r="M11099">
        <v>0</v>
      </c>
      <c r="N11099" s="98" t="str">
        <f>IF(record[[#This Row],[Memo]]="Browser:chrome os:android","平板報工",IF(record[[#This Row],[Memo]]=0,"委外",record[[#This Row],[Memo]]))</f>
        <v/>
      </c>
      <c r="O11099" t="s">
        <v>58</v>
      </c>
      <c r="P11099" t="s">
        <v>65</v>
      </c>
      <c r="Q11099" t="s">
        <v>58</v>
      </c>
      <c r="R11099" t="str">
        <f>IFERROR(VLOOKUP(record[[#This Row],[PCUSTID]],廠商[],2,FALSE),"")</f>
        <v/>
      </c>
      <c r="S11099" t="str">
        <f>VLOOKUP(record[[#This Row],[employeeID]],員工[],2,FALSE)</f>
        <v>蘇進昌</v>
      </c>
    </row>
    <row r="11100" spans="6:19" hidden="1" x14ac:dyDescent="0.25">
      <c r="F11100" t="s">
        <v>585</v>
      </c>
      <c r="G11100" t="s">
        <v>471</v>
      </c>
      <c r="H11100" t="str">
        <f>VLOOKUP(record[[#This Row],[ProcessSN]],表格2_7[],2,FALSE)</f>
        <v>30-4118-018-XXX</v>
      </c>
      <c r="I11100" t="str">
        <f>VLOOKUP(record[[#This Row],[ProcessSN]],表格2_7[],3,FALSE)</f>
        <v>#02STOCK</v>
      </c>
      <c r="J11100" t="s">
        <v>592</v>
      </c>
      <c r="K11100" s="195">
        <v>45647.5705787037</v>
      </c>
      <c r="L11100">
        <v>6757</v>
      </c>
      <c r="M11100">
        <v>0</v>
      </c>
      <c r="N11100" s="98" t="str">
        <f>IF(record[[#This Row],[Memo]]="Browser:chrome os:android","平板報工",IF(record[[#This Row],[Memo]]=0,"委外",record[[#This Row],[Memo]]))</f>
        <v/>
      </c>
      <c r="O11100" t="s">
        <v>58</v>
      </c>
      <c r="P11100" t="s">
        <v>65</v>
      </c>
      <c r="Q11100" t="s">
        <v>58</v>
      </c>
      <c r="R11100" t="str">
        <f>IFERROR(VLOOKUP(record[[#This Row],[PCUSTID]],廠商[],2,FALSE),"")</f>
        <v/>
      </c>
      <c r="S11100" t="str">
        <f>VLOOKUP(record[[#This Row],[employeeID]],員工[],2,FALSE)</f>
        <v>蘇進昌</v>
      </c>
    </row>
    <row r="11101" spans="6:19" hidden="1" x14ac:dyDescent="0.25">
      <c r="F11101" t="s">
        <v>585</v>
      </c>
      <c r="G11101" t="s">
        <v>470</v>
      </c>
      <c r="H11101" t="str">
        <f>VLOOKUP(record[[#This Row],[ProcessSN]],表格2_7[],2,FALSE)</f>
        <v>30-4118-018-XXX</v>
      </c>
      <c r="I11101" t="str">
        <f>VLOOKUP(record[[#This Row],[ProcessSN]],表格2_7[],3,FALSE)</f>
        <v>#02IQC</v>
      </c>
      <c r="J11101" t="s">
        <v>583</v>
      </c>
      <c r="K11101" s="195">
        <v>45647.570428240739</v>
      </c>
      <c r="L11101">
        <v>6757</v>
      </c>
      <c r="M11101">
        <v>0</v>
      </c>
      <c r="N11101" s="98" t="str">
        <f>IF(record[[#This Row],[Memo]]="Browser:chrome os:android","平板報工",IF(record[[#This Row],[Memo]]=0,"委外",record[[#This Row],[Memo]]))</f>
        <v/>
      </c>
      <c r="O11101" t="s">
        <v>58</v>
      </c>
      <c r="P11101" t="s">
        <v>65</v>
      </c>
      <c r="Q11101" t="s">
        <v>58</v>
      </c>
      <c r="R11101" t="str">
        <f>IFERROR(VLOOKUP(record[[#This Row],[PCUSTID]],廠商[],2,FALSE),"")</f>
        <v/>
      </c>
      <c r="S11101" t="str">
        <f>VLOOKUP(record[[#This Row],[employeeID]],員工[],2,FALSE)</f>
        <v>蘇進昌</v>
      </c>
    </row>
    <row r="11102" spans="6:19" hidden="1" x14ac:dyDescent="0.25">
      <c r="F11102" t="s">
        <v>585</v>
      </c>
      <c r="G11102" t="s">
        <v>469</v>
      </c>
      <c r="H11102" t="str">
        <f>VLOOKUP(record[[#This Row],[ProcessSN]],表格2_7[],2,FALSE)</f>
        <v>30-4118-018-XXX</v>
      </c>
      <c r="I11102" t="str">
        <f>VLOOKUP(record[[#This Row],[ProcessSN]],表格2_7[],3,FALSE)</f>
        <v>#02RCV</v>
      </c>
      <c r="J11102" t="s">
        <v>591</v>
      </c>
      <c r="K11102" s="195">
        <v>45647.570335648146</v>
      </c>
      <c r="L11102">
        <v>6757</v>
      </c>
      <c r="M11102">
        <v>20</v>
      </c>
      <c r="N11102" s="98" t="str">
        <f>IF(record[[#This Row],[Memo]]="Browser:chrome os:android","平板報工",IF(record[[#This Row],[Memo]]=0,"委外",record[[#This Row],[Memo]]))</f>
        <v/>
      </c>
      <c r="O11102" t="s">
        <v>58</v>
      </c>
      <c r="P11102" t="s">
        <v>65</v>
      </c>
      <c r="Q11102" t="s">
        <v>58</v>
      </c>
      <c r="R11102" t="str">
        <f>IFERROR(VLOOKUP(record[[#This Row],[PCUSTID]],廠商[],2,FALSE),"")</f>
        <v/>
      </c>
      <c r="S11102" t="str">
        <f>VLOOKUP(record[[#This Row],[employeeID]],員工[],2,FALSE)</f>
        <v>蘇進昌</v>
      </c>
    </row>
    <row r="11103" spans="6:19" hidden="1" x14ac:dyDescent="0.25">
      <c r="F11103" t="s">
        <v>585</v>
      </c>
      <c r="G11103" t="s">
        <v>468</v>
      </c>
      <c r="H11103" t="str">
        <f>VLOOKUP(record[[#This Row],[ProcessSN]],表格2_7[],2,FALSE)</f>
        <v>30-4118-018-XXX</v>
      </c>
      <c r="I11103" t="str">
        <f>VLOOKUP(record[[#This Row],[ProcessSN]],表格2_7[],3,FALSE)</f>
        <v>#02</v>
      </c>
      <c r="J11103" t="s">
        <v>590</v>
      </c>
      <c r="K11103" s="195">
        <v>45647.570243055554</v>
      </c>
      <c r="L11103">
        <v>6777</v>
      </c>
      <c r="M11103">
        <v>0</v>
      </c>
      <c r="N11103" s="98" t="str">
        <f>IF(record[[#This Row],[Memo]]="Browser:chrome os:android","平板報工",IF(record[[#This Row],[Memo]]=0,"委外",record[[#This Row],[Memo]]))</f>
        <v/>
      </c>
      <c r="O11103" t="s">
        <v>58</v>
      </c>
      <c r="P11103" t="s">
        <v>65</v>
      </c>
      <c r="Q11103" t="s">
        <v>58</v>
      </c>
      <c r="R11103" t="str">
        <f>IFERROR(VLOOKUP(record[[#This Row],[PCUSTID]],廠商[],2,FALSE),"")</f>
        <v/>
      </c>
      <c r="S11103" t="str">
        <f>VLOOKUP(record[[#This Row],[employeeID]],員工[],2,FALSE)</f>
        <v>蘇進昌</v>
      </c>
    </row>
    <row r="11104" spans="6:19" hidden="1" x14ac:dyDescent="0.25">
      <c r="F11104" t="s">
        <v>585</v>
      </c>
      <c r="G11104" t="s">
        <v>467</v>
      </c>
      <c r="H11104" t="str">
        <f>VLOOKUP(record[[#This Row],[ProcessSN]],表格2_7[],2,FALSE)</f>
        <v>30-4118-018-XXX</v>
      </c>
      <c r="I11104" t="str">
        <f>VLOOKUP(record[[#This Row],[ProcessSN]],表格2_7[],3,FALSE)</f>
        <v>#01QC</v>
      </c>
      <c r="J11104" t="s">
        <v>589</v>
      </c>
      <c r="K11104" s="195">
        <v>45647.570173611108</v>
      </c>
      <c r="L11104">
        <v>6777</v>
      </c>
      <c r="M11104">
        <v>0</v>
      </c>
      <c r="N11104" s="98" t="str">
        <f>IF(record[[#This Row],[Memo]]="Browser:chrome os:android","平板報工",IF(record[[#This Row],[Memo]]=0,"委外",record[[#This Row],[Memo]]))</f>
        <v/>
      </c>
      <c r="O11104" t="s">
        <v>58</v>
      </c>
      <c r="P11104" t="s">
        <v>65</v>
      </c>
      <c r="Q11104" t="s">
        <v>58</v>
      </c>
      <c r="R11104" t="str">
        <f>IFERROR(VLOOKUP(record[[#This Row],[PCUSTID]],廠商[],2,FALSE),"")</f>
        <v/>
      </c>
      <c r="S11104" t="str">
        <f>VLOOKUP(record[[#This Row],[employeeID]],員工[],2,FALSE)</f>
        <v>蘇進昌</v>
      </c>
    </row>
    <row r="11105" spans="6:19" hidden="1" x14ac:dyDescent="0.25">
      <c r="F11105" t="s">
        <v>585</v>
      </c>
      <c r="G11105" t="s">
        <v>466</v>
      </c>
      <c r="H11105" t="str">
        <f>VLOOKUP(record[[#This Row],[ProcessSN]],表格2_7[],2,FALSE)</f>
        <v>30-4118-018-XXX</v>
      </c>
      <c r="I11105" t="str">
        <f>VLOOKUP(record[[#This Row],[ProcessSN]],表格2_7[],3,FALSE)</f>
        <v>#01-2</v>
      </c>
      <c r="J11105" t="s">
        <v>588</v>
      </c>
      <c r="K11105" s="195">
        <v>45647.570092592592</v>
      </c>
      <c r="L11105">
        <v>6777</v>
      </c>
      <c r="M11105">
        <v>0</v>
      </c>
      <c r="N11105" s="98" t="str">
        <f>IF(record[[#This Row],[Memo]]="Browser:chrome os:android","平板報工",IF(record[[#This Row],[Memo]]=0,"委外",record[[#This Row],[Memo]]))</f>
        <v/>
      </c>
      <c r="O11105" t="s">
        <v>58</v>
      </c>
      <c r="P11105" t="s">
        <v>65</v>
      </c>
      <c r="Q11105" t="s">
        <v>58</v>
      </c>
      <c r="R11105" t="str">
        <f>IFERROR(VLOOKUP(record[[#This Row],[PCUSTID]],廠商[],2,FALSE),"")</f>
        <v/>
      </c>
      <c r="S11105" t="str">
        <f>VLOOKUP(record[[#This Row],[employeeID]],員工[],2,FALSE)</f>
        <v>蘇進昌</v>
      </c>
    </row>
    <row r="11106" spans="6:19" hidden="1" x14ac:dyDescent="0.25">
      <c r="F11106" t="s">
        <v>585</v>
      </c>
      <c r="G11106" t="s">
        <v>465</v>
      </c>
      <c r="H11106" t="str">
        <f>VLOOKUP(record[[#This Row],[ProcessSN]],表格2_7[],2,FALSE)</f>
        <v>30-4118-018-XXX</v>
      </c>
      <c r="I11106" t="str">
        <f>VLOOKUP(record[[#This Row],[ProcessSN]],表格2_7[],3,FALSE)</f>
        <v>#01-1</v>
      </c>
      <c r="J11106" t="s">
        <v>588</v>
      </c>
      <c r="K11106" s="195">
        <v>45647.570011574076</v>
      </c>
      <c r="L11106">
        <v>6777</v>
      </c>
      <c r="M11106">
        <v>3</v>
      </c>
      <c r="N11106" s="98" t="str">
        <f>IF(record[[#This Row],[Memo]]="Browser:chrome os:android","平板報工",IF(record[[#This Row],[Memo]]=0,"委外",record[[#This Row],[Memo]]))</f>
        <v/>
      </c>
      <c r="O11106" t="s">
        <v>58</v>
      </c>
      <c r="P11106" t="s">
        <v>65</v>
      </c>
      <c r="Q11106" t="s">
        <v>58</v>
      </c>
      <c r="R11106" t="str">
        <f>IFERROR(VLOOKUP(record[[#This Row],[PCUSTID]],廠商[],2,FALSE),"")</f>
        <v/>
      </c>
      <c r="S11106" t="str">
        <f>VLOOKUP(record[[#This Row],[employeeID]],員工[],2,FALSE)</f>
        <v>蘇進昌</v>
      </c>
    </row>
    <row r="11107" spans="6:19" hidden="1" x14ac:dyDescent="0.25">
      <c r="F11107" t="s">
        <v>585</v>
      </c>
      <c r="G11107" t="s">
        <v>464</v>
      </c>
      <c r="H11107" t="str">
        <f>VLOOKUP(record[[#This Row],[ProcessSN]],表格2_7[],2,FALSE)</f>
        <v>30-4118-018-XXX</v>
      </c>
      <c r="I11107" t="str">
        <f>VLOOKUP(record[[#This Row],[ProcessSN]],表格2_7[],3,FALSE)</f>
        <v>#01GIVE</v>
      </c>
      <c r="J11107" t="s">
        <v>587</v>
      </c>
      <c r="K11107" s="195">
        <v>45647.569884259261</v>
      </c>
      <c r="L11107">
        <v>6780</v>
      </c>
      <c r="M11107">
        <v>0</v>
      </c>
      <c r="N11107" s="98" t="str">
        <f>IF(record[[#This Row],[Memo]]="Browser:chrome os:android","平板報工",IF(record[[#This Row],[Memo]]=0,"委外",record[[#This Row],[Memo]]))</f>
        <v/>
      </c>
      <c r="O11107" t="s">
        <v>58</v>
      </c>
      <c r="P11107" t="s">
        <v>65</v>
      </c>
      <c r="Q11107" t="s">
        <v>58</v>
      </c>
      <c r="R11107" t="str">
        <f>IFERROR(VLOOKUP(record[[#This Row],[PCUSTID]],廠商[],2,FALSE),"")</f>
        <v/>
      </c>
      <c r="S11107" t="str">
        <f>VLOOKUP(record[[#This Row],[employeeID]],員工[],2,FALSE)</f>
        <v>蘇進昌</v>
      </c>
    </row>
    <row r="11108" spans="6:19" hidden="1" x14ac:dyDescent="0.25">
      <c r="F11108" t="s">
        <v>585</v>
      </c>
      <c r="G11108" t="s">
        <v>463</v>
      </c>
      <c r="H11108" t="str">
        <f>VLOOKUP(record[[#This Row],[ProcessSN]],表格2_7[],2,FALSE)</f>
        <v>30-4118-018-XXX</v>
      </c>
      <c r="I11108" t="str">
        <f>VLOOKUP(record[[#This Row],[ProcessSN]],表格2_7[],3,FALSE)</f>
        <v>#00IQC</v>
      </c>
      <c r="J11108" t="s">
        <v>583</v>
      </c>
      <c r="K11108" s="195">
        <v>45647.569768518515</v>
      </c>
      <c r="L11108">
        <v>6780</v>
      </c>
      <c r="M11108">
        <v>0</v>
      </c>
      <c r="N11108" s="98" t="str">
        <f>IF(record[[#This Row],[Memo]]="Browser:chrome os:android","平板報工",IF(record[[#This Row],[Memo]]=0,"委外",record[[#This Row],[Memo]]))</f>
        <v/>
      </c>
      <c r="O11108" t="s">
        <v>58</v>
      </c>
      <c r="P11108" t="s">
        <v>65</v>
      </c>
      <c r="Q11108" t="s">
        <v>58</v>
      </c>
      <c r="R11108" t="str">
        <f>IFERROR(VLOOKUP(record[[#This Row],[PCUSTID]],廠商[],2,FALSE),"")</f>
        <v/>
      </c>
      <c r="S11108" t="str">
        <f>VLOOKUP(record[[#This Row],[employeeID]],員工[],2,FALSE)</f>
        <v>蘇進昌</v>
      </c>
    </row>
    <row r="11109" spans="6:19" hidden="1" x14ac:dyDescent="0.25">
      <c r="F11109" t="s">
        <v>585</v>
      </c>
      <c r="G11109" t="s">
        <v>462</v>
      </c>
      <c r="H11109" t="str">
        <f>VLOOKUP(record[[#This Row],[ProcessSN]],表格2_7[],2,FALSE)</f>
        <v>30-4118-018-XXX</v>
      </c>
      <c r="I11109" t="str">
        <f>VLOOKUP(record[[#This Row],[ProcessSN]],表格2_7[],3,FALSE)</f>
        <v>#00PICK</v>
      </c>
      <c r="J11109" t="s">
        <v>582</v>
      </c>
      <c r="K11109" s="195">
        <v>45647.569652777776</v>
      </c>
      <c r="L11109">
        <v>6780</v>
      </c>
      <c r="M11109">
        <v>0</v>
      </c>
      <c r="N11109" s="98" t="str">
        <f>IF(record[[#This Row],[Memo]]="Browser:chrome os:android","平板報工",IF(record[[#This Row],[Memo]]=0,"委外",record[[#This Row],[Memo]]))</f>
        <v/>
      </c>
      <c r="O11109" t="s">
        <v>58</v>
      </c>
      <c r="P11109" t="s">
        <v>65</v>
      </c>
      <c r="Q11109" t="s">
        <v>58</v>
      </c>
      <c r="R11109" t="str">
        <f>IFERROR(VLOOKUP(record[[#This Row],[PCUSTID]],廠商[],2,FALSE),"")</f>
        <v/>
      </c>
      <c r="S11109" t="str">
        <f>VLOOKUP(record[[#This Row],[employeeID]],員工[],2,FALSE)</f>
        <v>蘇進昌</v>
      </c>
    </row>
    <row r="11110" spans="6:19" hidden="1" x14ac:dyDescent="0.25">
      <c r="F11110" t="s">
        <v>581</v>
      </c>
      <c r="G11110" t="s">
        <v>463</v>
      </c>
      <c r="H11110" t="str">
        <f>VLOOKUP(record[[#This Row],[ProcessSN]],表格2_7[],2,FALSE)</f>
        <v>30-4118-018-XXX</v>
      </c>
      <c r="I11110" t="str">
        <f>VLOOKUP(record[[#This Row],[ProcessSN]],表格2_7[],3,FALSE)</f>
        <v>#00IQC</v>
      </c>
      <c r="J11110" t="s">
        <v>583</v>
      </c>
      <c r="K11110" s="195">
        <v>45589.572754629633</v>
      </c>
      <c r="L11110">
        <v>2080</v>
      </c>
      <c r="M11110">
        <v>0</v>
      </c>
      <c r="N11110" s="98" t="str">
        <f>IF(record[[#This Row],[Memo]]="Browser:chrome os:android","平板報工",IF(record[[#This Row],[Memo]]=0,"委外",record[[#This Row],[Memo]]))</f>
        <v/>
      </c>
      <c r="O11110" t="s">
        <v>58</v>
      </c>
      <c r="P11110" t="s">
        <v>113</v>
      </c>
      <c r="Q11110" t="s">
        <v>58</v>
      </c>
      <c r="R11110" t="str">
        <f>IFERROR(VLOOKUP(record[[#This Row],[PCUSTID]],廠商[],2,FALSE),"")</f>
        <v/>
      </c>
      <c r="S11110" t="str">
        <f>VLOOKUP(record[[#This Row],[employeeID]],員工[],2,FALSE)</f>
        <v>王奕蓁</v>
      </c>
    </row>
    <row r="11111" spans="6:19" hidden="1" x14ac:dyDescent="0.25">
      <c r="F11111" t="s">
        <v>581</v>
      </c>
      <c r="G11111" t="s">
        <v>462</v>
      </c>
      <c r="H11111" t="str">
        <f>VLOOKUP(record[[#This Row],[ProcessSN]],表格2_7[],2,FALSE)</f>
        <v>30-4118-018-XXX</v>
      </c>
      <c r="I11111" t="str">
        <f>VLOOKUP(record[[#This Row],[ProcessSN]],表格2_7[],3,FALSE)</f>
        <v>#00PICK</v>
      </c>
      <c r="J11111" t="s">
        <v>582</v>
      </c>
      <c r="K11111" s="195">
        <v>45589.572662037041</v>
      </c>
      <c r="L11111">
        <v>2080</v>
      </c>
      <c r="M11111">
        <v>0</v>
      </c>
      <c r="N11111" s="98" t="str">
        <f>IF(record[[#This Row],[Memo]]="Browser:chrome os:android","平板報工",IF(record[[#This Row],[Memo]]=0,"委外",record[[#This Row],[Memo]]))</f>
        <v/>
      </c>
      <c r="O11111" t="s">
        <v>58</v>
      </c>
      <c r="P11111" t="s">
        <v>113</v>
      </c>
      <c r="Q11111" t="s">
        <v>58</v>
      </c>
      <c r="R11111" t="str">
        <f>IFERROR(VLOOKUP(record[[#This Row],[PCUSTID]],廠商[],2,FALSE),"")</f>
        <v/>
      </c>
      <c r="S11111" t="str">
        <f>VLOOKUP(record[[#This Row],[employeeID]],員工[],2,FALSE)</f>
        <v>王奕蓁</v>
      </c>
    </row>
  </sheetData>
  <phoneticPr fontId="3" type="noConversion"/>
  <conditionalFormatting sqref="L7:N11111">
    <cfRule type="cellIs" dxfId="617" priority="1" operator="lessThan">
      <formula>0</formula>
    </cfRule>
  </conditionalFormatting>
  <pageMargins left="0.7" right="0.7" top="0.75" bottom="0.75" header="0.3" footer="0.3"/>
  <drawing r:id="rId1"/>
  <tableParts count="2">
    <tablePart r:id="rId2"/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374A5-F84A-47FC-90B7-6ACCDB0FE2F0}">
  <sheetPr codeName="工作表7"/>
  <dimension ref="A1:B96"/>
  <sheetViews>
    <sheetView workbookViewId="0">
      <selection activeCell="I23" sqref="I23"/>
    </sheetView>
  </sheetViews>
  <sheetFormatPr defaultRowHeight="15.75" x14ac:dyDescent="0.25"/>
  <cols>
    <col min="1" max="1" width="15.5703125" bestFit="1" customWidth="1"/>
    <col min="2" max="2" width="18.85546875" bestFit="1" customWidth="1"/>
  </cols>
  <sheetData>
    <row r="1" spans="1:2" x14ac:dyDescent="0.25">
      <c r="A1" t="s">
        <v>64</v>
      </c>
      <c r="B1" t="s">
        <v>82</v>
      </c>
    </row>
    <row r="2" spans="1:2" x14ac:dyDescent="0.25">
      <c r="A2" t="s">
        <v>83</v>
      </c>
      <c r="B2" t="s">
        <v>84</v>
      </c>
    </row>
    <row r="3" spans="1:2" x14ac:dyDescent="0.25">
      <c r="A3" t="s">
        <v>85</v>
      </c>
      <c r="B3" t="s">
        <v>86</v>
      </c>
    </row>
    <row r="4" spans="1:2" x14ac:dyDescent="0.25">
      <c r="A4" t="s">
        <v>87</v>
      </c>
      <c r="B4" t="s">
        <v>88</v>
      </c>
    </row>
    <row r="5" spans="1:2" x14ac:dyDescent="0.25">
      <c r="A5" t="s">
        <v>89</v>
      </c>
      <c r="B5" t="s">
        <v>90</v>
      </c>
    </row>
    <row r="6" spans="1:2" x14ac:dyDescent="0.25">
      <c r="A6" t="s">
        <v>91</v>
      </c>
      <c r="B6" t="s">
        <v>92</v>
      </c>
    </row>
    <row r="7" spans="1:2" x14ac:dyDescent="0.25">
      <c r="A7" t="s">
        <v>93</v>
      </c>
      <c r="B7" t="s">
        <v>94</v>
      </c>
    </row>
    <row r="8" spans="1:2" x14ac:dyDescent="0.25">
      <c r="A8" t="s">
        <v>95</v>
      </c>
      <c r="B8" t="s">
        <v>96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99</v>
      </c>
      <c r="B10" t="s">
        <v>100</v>
      </c>
    </row>
    <row r="11" spans="1:2" x14ac:dyDescent="0.25">
      <c r="A11" t="s">
        <v>101</v>
      </c>
      <c r="B11" t="s">
        <v>102</v>
      </c>
    </row>
    <row r="12" spans="1:2" x14ac:dyDescent="0.25">
      <c r="A12" t="s">
        <v>103</v>
      </c>
      <c r="B12" t="s">
        <v>104</v>
      </c>
    </row>
    <row r="13" spans="1:2" x14ac:dyDescent="0.25">
      <c r="A13" t="s">
        <v>105</v>
      </c>
      <c r="B13" t="s">
        <v>106</v>
      </c>
    </row>
    <row r="14" spans="1:2" x14ac:dyDescent="0.25">
      <c r="A14" t="s">
        <v>107</v>
      </c>
      <c r="B14" t="s">
        <v>108</v>
      </c>
    </row>
    <row r="15" spans="1:2" x14ac:dyDescent="0.25">
      <c r="A15" t="s">
        <v>109</v>
      </c>
      <c r="B15" t="s">
        <v>110</v>
      </c>
    </row>
    <row r="16" spans="1:2" x14ac:dyDescent="0.25">
      <c r="A16" t="s">
        <v>111</v>
      </c>
      <c r="B16" t="s">
        <v>112</v>
      </c>
    </row>
    <row r="17" spans="1:2" x14ac:dyDescent="0.25">
      <c r="A17" t="s">
        <v>113</v>
      </c>
      <c r="B17" t="s">
        <v>114</v>
      </c>
    </row>
    <row r="18" spans="1:2" x14ac:dyDescent="0.25">
      <c r="A18" t="s">
        <v>115</v>
      </c>
      <c r="B18" t="s">
        <v>116</v>
      </c>
    </row>
    <row r="19" spans="1:2" x14ac:dyDescent="0.25">
      <c r="A19" t="s">
        <v>117</v>
      </c>
      <c r="B19" t="s">
        <v>118</v>
      </c>
    </row>
    <row r="20" spans="1:2" x14ac:dyDescent="0.25">
      <c r="A20" t="s">
        <v>119</v>
      </c>
      <c r="B20" t="s">
        <v>120</v>
      </c>
    </row>
    <row r="21" spans="1:2" x14ac:dyDescent="0.25">
      <c r="A21" t="s">
        <v>121</v>
      </c>
      <c r="B21" t="s">
        <v>122</v>
      </c>
    </row>
    <row r="22" spans="1:2" x14ac:dyDescent="0.25">
      <c r="A22" t="s">
        <v>686</v>
      </c>
      <c r="B22" t="s">
        <v>687</v>
      </c>
    </row>
    <row r="23" spans="1:2" x14ac:dyDescent="0.25">
      <c r="A23" t="s">
        <v>691</v>
      </c>
      <c r="B23" t="s">
        <v>692</v>
      </c>
    </row>
    <row r="24" spans="1:2" x14ac:dyDescent="0.25">
      <c r="A24" t="s">
        <v>123</v>
      </c>
      <c r="B24" t="s">
        <v>124</v>
      </c>
    </row>
    <row r="25" spans="1:2" x14ac:dyDescent="0.25">
      <c r="A25" t="s">
        <v>125</v>
      </c>
      <c r="B25" t="s">
        <v>126</v>
      </c>
    </row>
    <row r="26" spans="1:2" x14ac:dyDescent="0.25">
      <c r="A26" t="s">
        <v>127</v>
      </c>
      <c r="B26" t="s">
        <v>128</v>
      </c>
    </row>
    <row r="27" spans="1:2" x14ac:dyDescent="0.25">
      <c r="A27" t="s">
        <v>129</v>
      </c>
      <c r="B27" t="s">
        <v>130</v>
      </c>
    </row>
    <row r="28" spans="1:2" x14ac:dyDescent="0.25">
      <c r="A28" t="s">
        <v>131</v>
      </c>
      <c r="B28" t="s">
        <v>132</v>
      </c>
    </row>
    <row r="29" spans="1:2" x14ac:dyDescent="0.25">
      <c r="A29" t="s">
        <v>722</v>
      </c>
      <c r="B29" t="s">
        <v>723</v>
      </c>
    </row>
    <row r="30" spans="1:2" x14ac:dyDescent="0.25">
      <c r="A30" t="s">
        <v>133</v>
      </c>
      <c r="B30" t="s">
        <v>134</v>
      </c>
    </row>
    <row r="31" spans="1:2" x14ac:dyDescent="0.25">
      <c r="A31" t="s">
        <v>135</v>
      </c>
      <c r="B31" t="s">
        <v>136</v>
      </c>
    </row>
    <row r="32" spans="1:2" x14ac:dyDescent="0.25">
      <c r="A32" t="s">
        <v>137</v>
      </c>
      <c r="B32" t="s">
        <v>138</v>
      </c>
    </row>
    <row r="33" spans="1:2" x14ac:dyDescent="0.25">
      <c r="A33" t="s">
        <v>139</v>
      </c>
      <c r="B33" t="s">
        <v>140</v>
      </c>
    </row>
    <row r="34" spans="1:2" x14ac:dyDescent="0.25">
      <c r="A34" t="s">
        <v>141</v>
      </c>
      <c r="B34" t="s">
        <v>142</v>
      </c>
    </row>
    <row r="35" spans="1:2" x14ac:dyDescent="0.25">
      <c r="A35" t="s">
        <v>143</v>
      </c>
      <c r="B35" t="s">
        <v>144</v>
      </c>
    </row>
    <row r="36" spans="1:2" x14ac:dyDescent="0.25">
      <c r="A36" t="s">
        <v>145</v>
      </c>
      <c r="B36" t="s">
        <v>146</v>
      </c>
    </row>
    <row r="37" spans="1:2" x14ac:dyDescent="0.25">
      <c r="A37" t="s">
        <v>147</v>
      </c>
      <c r="B37" t="s">
        <v>148</v>
      </c>
    </row>
    <row r="38" spans="1:2" x14ac:dyDescent="0.25">
      <c r="A38" t="s">
        <v>149</v>
      </c>
      <c r="B38" t="s">
        <v>150</v>
      </c>
    </row>
    <row r="39" spans="1:2" x14ac:dyDescent="0.25">
      <c r="A39" t="s">
        <v>151</v>
      </c>
      <c r="B39" t="s">
        <v>152</v>
      </c>
    </row>
    <row r="40" spans="1:2" x14ac:dyDescent="0.25">
      <c r="A40" t="s">
        <v>153</v>
      </c>
      <c r="B40" t="s">
        <v>154</v>
      </c>
    </row>
    <row r="41" spans="1:2" x14ac:dyDescent="0.25">
      <c r="A41" t="s">
        <v>155</v>
      </c>
      <c r="B41" t="s">
        <v>156</v>
      </c>
    </row>
    <row r="42" spans="1:2" x14ac:dyDescent="0.25">
      <c r="A42" t="s">
        <v>157</v>
      </c>
      <c r="B42" t="s">
        <v>158</v>
      </c>
    </row>
    <row r="43" spans="1:2" x14ac:dyDescent="0.25">
      <c r="A43" t="s">
        <v>757</v>
      </c>
      <c r="B43" t="s">
        <v>758</v>
      </c>
    </row>
    <row r="44" spans="1:2" x14ac:dyDescent="0.25">
      <c r="A44" t="s">
        <v>159</v>
      </c>
      <c r="B44" t="s">
        <v>160</v>
      </c>
    </row>
    <row r="45" spans="1:2" x14ac:dyDescent="0.25">
      <c r="A45" t="s">
        <v>161</v>
      </c>
      <c r="B45" t="s">
        <v>162</v>
      </c>
    </row>
    <row r="46" spans="1:2" x14ac:dyDescent="0.25">
      <c r="A46" t="s">
        <v>163</v>
      </c>
      <c r="B46" t="s">
        <v>164</v>
      </c>
    </row>
    <row r="47" spans="1:2" x14ac:dyDescent="0.25">
      <c r="A47" t="s">
        <v>763</v>
      </c>
      <c r="B47" t="s">
        <v>764</v>
      </c>
    </row>
    <row r="48" spans="1:2" x14ac:dyDescent="0.25">
      <c r="A48" t="s">
        <v>65</v>
      </c>
      <c r="B48" t="s">
        <v>165</v>
      </c>
    </row>
    <row r="49" spans="1:2" x14ac:dyDescent="0.25">
      <c r="A49" t="s">
        <v>166</v>
      </c>
      <c r="B49" t="s">
        <v>167</v>
      </c>
    </row>
    <row r="50" spans="1:2" x14ac:dyDescent="0.25">
      <c r="A50" t="s">
        <v>168</v>
      </c>
      <c r="B50" t="s">
        <v>169</v>
      </c>
    </row>
    <row r="51" spans="1:2" x14ac:dyDescent="0.25">
      <c r="A51" t="s">
        <v>170</v>
      </c>
      <c r="B51" t="s">
        <v>171</v>
      </c>
    </row>
    <row r="52" spans="1:2" x14ac:dyDescent="0.25">
      <c r="A52" t="s">
        <v>172</v>
      </c>
      <c r="B52" t="s">
        <v>173</v>
      </c>
    </row>
    <row r="53" spans="1:2" x14ac:dyDescent="0.25">
      <c r="A53" t="s">
        <v>174</v>
      </c>
      <c r="B53" t="s">
        <v>175</v>
      </c>
    </row>
    <row r="54" spans="1:2" x14ac:dyDescent="0.25">
      <c r="A54" t="s">
        <v>176</v>
      </c>
      <c r="B54" t="s">
        <v>177</v>
      </c>
    </row>
    <row r="55" spans="1:2" x14ac:dyDescent="0.25">
      <c r="A55" t="s">
        <v>178</v>
      </c>
      <c r="B55" t="s">
        <v>179</v>
      </c>
    </row>
    <row r="56" spans="1:2" x14ac:dyDescent="0.25">
      <c r="A56" t="s">
        <v>180</v>
      </c>
      <c r="B56" t="s">
        <v>181</v>
      </c>
    </row>
    <row r="57" spans="1:2" x14ac:dyDescent="0.25">
      <c r="A57" t="s">
        <v>182</v>
      </c>
      <c r="B57" t="s">
        <v>183</v>
      </c>
    </row>
    <row r="58" spans="1:2" x14ac:dyDescent="0.25">
      <c r="A58" t="s">
        <v>184</v>
      </c>
      <c r="B58" t="s">
        <v>185</v>
      </c>
    </row>
    <row r="59" spans="1:2" x14ac:dyDescent="0.25">
      <c r="A59" t="s">
        <v>785</v>
      </c>
      <c r="B59" t="s">
        <v>786</v>
      </c>
    </row>
    <row r="60" spans="1:2" x14ac:dyDescent="0.25">
      <c r="A60" t="s">
        <v>787</v>
      </c>
      <c r="B60" t="s">
        <v>788</v>
      </c>
    </row>
    <row r="61" spans="1:2" x14ac:dyDescent="0.25">
      <c r="A61" t="s">
        <v>186</v>
      </c>
      <c r="B61" t="s">
        <v>187</v>
      </c>
    </row>
    <row r="62" spans="1:2" x14ac:dyDescent="0.25">
      <c r="A62" t="s">
        <v>841</v>
      </c>
      <c r="B62" t="s">
        <v>842</v>
      </c>
    </row>
    <row r="63" spans="1:2" x14ac:dyDescent="0.25">
      <c r="A63" t="s">
        <v>188</v>
      </c>
      <c r="B63" t="s">
        <v>189</v>
      </c>
    </row>
    <row r="64" spans="1:2" x14ac:dyDescent="0.25">
      <c r="A64" t="s">
        <v>190</v>
      </c>
      <c r="B64" t="s">
        <v>191</v>
      </c>
    </row>
    <row r="65" spans="1:2" x14ac:dyDescent="0.25">
      <c r="A65" t="s">
        <v>192</v>
      </c>
      <c r="B65" t="s">
        <v>193</v>
      </c>
    </row>
    <row r="66" spans="1:2" x14ac:dyDescent="0.25">
      <c r="A66" t="s">
        <v>843</v>
      </c>
      <c r="B66" t="s">
        <v>844</v>
      </c>
    </row>
    <row r="67" spans="1:2" x14ac:dyDescent="0.25">
      <c r="A67" t="s">
        <v>845</v>
      </c>
      <c r="B67" t="s">
        <v>846</v>
      </c>
    </row>
    <row r="68" spans="1:2" x14ac:dyDescent="0.25">
      <c r="A68" t="s">
        <v>1070</v>
      </c>
      <c r="B68" t="s">
        <v>1071</v>
      </c>
    </row>
    <row r="69" spans="1:2" x14ac:dyDescent="0.25">
      <c r="A69" t="s">
        <v>886</v>
      </c>
      <c r="B69" t="s">
        <v>1072</v>
      </c>
    </row>
    <row r="70" spans="1:2" x14ac:dyDescent="0.25">
      <c r="A70" t="s">
        <v>1073</v>
      </c>
      <c r="B70" t="s">
        <v>1074</v>
      </c>
    </row>
    <row r="71" spans="1:2" x14ac:dyDescent="0.25">
      <c r="A71" t="s">
        <v>1075</v>
      </c>
      <c r="B71" t="s">
        <v>1076</v>
      </c>
    </row>
    <row r="72" spans="1:2" x14ac:dyDescent="0.25">
      <c r="A72" t="s">
        <v>1216</v>
      </c>
      <c r="B72" t="s">
        <v>1217</v>
      </c>
    </row>
    <row r="73" spans="1:2" x14ac:dyDescent="0.25">
      <c r="A73" t="s">
        <v>1413</v>
      </c>
      <c r="B73" t="s">
        <v>1414</v>
      </c>
    </row>
    <row r="74" spans="1:2" x14ac:dyDescent="0.25">
      <c r="A74" t="s">
        <v>1607</v>
      </c>
      <c r="B74" t="s">
        <v>1608</v>
      </c>
    </row>
    <row r="75" spans="1:2" x14ac:dyDescent="0.25">
      <c r="A75" t="s">
        <v>1667</v>
      </c>
      <c r="B75" t="s">
        <v>1668</v>
      </c>
    </row>
    <row r="76" spans="1:2" x14ac:dyDescent="0.25">
      <c r="A76" t="s">
        <v>1669</v>
      </c>
      <c r="B76" t="s">
        <v>1670</v>
      </c>
    </row>
    <row r="77" spans="1:2" x14ac:dyDescent="0.25">
      <c r="A77" t="s">
        <v>1698</v>
      </c>
      <c r="B77" t="s">
        <v>1699</v>
      </c>
    </row>
    <row r="78" spans="1:2" x14ac:dyDescent="0.25">
      <c r="A78" t="s">
        <v>1797</v>
      </c>
      <c r="B78" t="s">
        <v>1798</v>
      </c>
    </row>
    <row r="79" spans="1:2" x14ac:dyDescent="0.25">
      <c r="A79" t="s">
        <v>1847</v>
      </c>
      <c r="B79" t="s">
        <v>1848</v>
      </c>
    </row>
    <row r="80" spans="1:2" x14ac:dyDescent="0.25">
      <c r="A80" t="s">
        <v>194</v>
      </c>
      <c r="B80" t="s">
        <v>195</v>
      </c>
    </row>
    <row r="81" spans="1:2" x14ac:dyDescent="0.25">
      <c r="A81" t="s">
        <v>196</v>
      </c>
      <c r="B81" t="s">
        <v>197</v>
      </c>
    </row>
    <row r="82" spans="1:2" x14ac:dyDescent="0.25">
      <c r="A82" t="s">
        <v>198</v>
      </c>
      <c r="B82" t="s">
        <v>751</v>
      </c>
    </row>
    <row r="83" spans="1:2" x14ac:dyDescent="0.25">
      <c r="A83" t="s">
        <v>199</v>
      </c>
      <c r="B83" t="s">
        <v>200</v>
      </c>
    </row>
    <row r="84" spans="1:2" x14ac:dyDescent="0.25">
      <c r="A84" t="s">
        <v>789</v>
      </c>
      <c r="B84" t="s">
        <v>790</v>
      </c>
    </row>
    <row r="85" spans="1:2" x14ac:dyDescent="0.25">
      <c r="A85" t="s">
        <v>202</v>
      </c>
      <c r="B85" t="s">
        <v>203</v>
      </c>
    </row>
    <row r="86" spans="1:2" x14ac:dyDescent="0.25">
      <c r="A86" t="s">
        <v>204</v>
      </c>
      <c r="B86" t="s">
        <v>205</v>
      </c>
    </row>
    <row r="87" spans="1:2" x14ac:dyDescent="0.25">
      <c r="A87" t="s">
        <v>206</v>
      </c>
      <c r="B87" t="s">
        <v>207</v>
      </c>
    </row>
    <row r="88" spans="1:2" x14ac:dyDescent="0.25">
      <c r="A88" t="s">
        <v>208</v>
      </c>
      <c r="B88" t="s">
        <v>209</v>
      </c>
    </row>
    <row r="89" spans="1:2" x14ac:dyDescent="0.25">
      <c r="A89" t="s">
        <v>769</v>
      </c>
      <c r="B89" t="s">
        <v>201</v>
      </c>
    </row>
    <row r="90" spans="1:2" x14ac:dyDescent="0.25">
      <c r="A90" t="s">
        <v>1094</v>
      </c>
      <c r="B90" t="s">
        <v>1095</v>
      </c>
    </row>
    <row r="91" spans="1:2" x14ac:dyDescent="0.25">
      <c r="A91" t="s">
        <v>1096</v>
      </c>
      <c r="B91" t="s">
        <v>1097</v>
      </c>
    </row>
    <row r="92" spans="1:2" x14ac:dyDescent="0.25">
      <c r="A92" t="s">
        <v>1487</v>
      </c>
      <c r="B92" t="s">
        <v>1488</v>
      </c>
    </row>
    <row r="93" spans="1:2" x14ac:dyDescent="0.25">
      <c r="A93" t="s">
        <v>1609</v>
      </c>
      <c r="B93" t="s">
        <v>1610</v>
      </c>
    </row>
    <row r="94" spans="1:2" x14ac:dyDescent="0.25">
      <c r="A94" t="s">
        <v>1611</v>
      </c>
      <c r="B94" t="s">
        <v>1612</v>
      </c>
    </row>
    <row r="95" spans="1:2" x14ac:dyDescent="0.25">
      <c r="A95" t="s">
        <v>806</v>
      </c>
      <c r="B95" t="s">
        <v>807</v>
      </c>
    </row>
    <row r="96" spans="1:2" x14ac:dyDescent="0.25">
      <c r="A96" t="s">
        <v>1098</v>
      </c>
      <c r="B96" t="s">
        <v>1412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7F022-13FE-45A4-866C-70BB0B2DC362}">
  <sheetPr codeName="工作表2"/>
  <dimension ref="A1:C33"/>
  <sheetViews>
    <sheetView workbookViewId="0">
      <selection activeCell="B33" sqref="B33"/>
    </sheetView>
  </sheetViews>
  <sheetFormatPr defaultRowHeight="15.75" x14ac:dyDescent="0.25"/>
  <cols>
    <col min="1" max="1" width="13.5703125" bestFit="1" customWidth="1"/>
    <col min="2" max="2" width="8.5703125" bestFit="1" customWidth="1"/>
    <col min="3" max="3" width="29.5703125" bestFit="1" customWidth="1"/>
  </cols>
  <sheetData>
    <row r="1" spans="1:3" x14ac:dyDescent="0.25">
      <c r="A1" t="s">
        <v>213</v>
      </c>
      <c r="B1" t="s">
        <v>214</v>
      </c>
      <c r="C1" t="s">
        <v>215</v>
      </c>
    </row>
    <row r="2" spans="1:3" x14ac:dyDescent="0.25">
      <c r="A2" t="s">
        <v>216</v>
      </c>
      <c r="B2" t="s">
        <v>217</v>
      </c>
      <c r="C2" t="s">
        <v>218</v>
      </c>
    </row>
    <row r="3" spans="1:3" x14ac:dyDescent="0.25">
      <c r="A3" t="s">
        <v>219</v>
      </c>
      <c r="B3" t="s">
        <v>220</v>
      </c>
      <c r="C3" t="s">
        <v>221</v>
      </c>
    </row>
    <row r="4" spans="1:3" x14ac:dyDescent="0.25">
      <c r="A4" t="s">
        <v>222</v>
      </c>
      <c r="B4" t="s">
        <v>223</v>
      </c>
      <c r="C4" t="s">
        <v>224</v>
      </c>
    </row>
    <row r="5" spans="1:3" x14ac:dyDescent="0.25">
      <c r="A5" t="s">
        <v>225</v>
      </c>
      <c r="B5" t="s">
        <v>226</v>
      </c>
      <c r="C5" t="s">
        <v>227</v>
      </c>
    </row>
    <row r="6" spans="1:3" x14ac:dyDescent="0.25">
      <c r="A6" t="s">
        <v>228</v>
      </c>
      <c r="B6" t="s">
        <v>229</v>
      </c>
      <c r="C6" t="s">
        <v>230</v>
      </c>
    </row>
    <row r="7" spans="1:3" x14ac:dyDescent="0.25">
      <c r="A7" t="s">
        <v>231</v>
      </c>
      <c r="B7" t="s">
        <v>232</v>
      </c>
      <c r="C7" t="s">
        <v>233</v>
      </c>
    </row>
    <row r="8" spans="1:3" x14ac:dyDescent="0.25">
      <c r="A8" t="s">
        <v>234</v>
      </c>
      <c r="B8" t="s">
        <v>235</v>
      </c>
      <c r="C8" t="s">
        <v>236</v>
      </c>
    </row>
    <row r="9" spans="1:3" x14ac:dyDescent="0.25">
      <c r="A9" t="s">
        <v>237</v>
      </c>
      <c r="B9" t="s">
        <v>238</v>
      </c>
      <c r="C9" t="s">
        <v>239</v>
      </c>
    </row>
    <row r="10" spans="1:3" x14ac:dyDescent="0.25">
      <c r="A10" t="s">
        <v>240</v>
      </c>
      <c r="B10" t="s">
        <v>241</v>
      </c>
      <c r="C10" t="s">
        <v>242</v>
      </c>
    </row>
    <row r="11" spans="1:3" x14ac:dyDescent="0.25">
      <c r="A11" t="s">
        <v>243</v>
      </c>
      <c r="B11" t="s">
        <v>244</v>
      </c>
      <c r="C11" t="s">
        <v>1210</v>
      </c>
    </row>
    <row r="12" spans="1:3" x14ac:dyDescent="0.25">
      <c r="A12" t="s">
        <v>245</v>
      </c>
      <c r="B12" t="s">
        <v>246</v>
      </c>
      <c r="C12" t="s">
        <v>247</v>
      </c>
    </row>
    <row r="13" spans="1:3" x14ac:dyDescent="0.25">
      <c r="A13" t="s">
        <v>248</v>
      </c>
      <c r="B13" t="s">
        <v>249</v>
      </c>
      <c r="C13" t="s">
        <v>250</v>
      </c>
    </row>
    <row r="14" spans="1:3" x14ac:dyDescent="0.25">
      <c r="A14" t="s">
        <v>251</v>
      </c>
      <c r="B14" t="s">
        <v>252</v>
      </c>
      <c r="C14" t="s">
        <v>253</v>
      </c>
    </row>
    <row r="15" spans="1:3" x14ac:dyDescent="0.25">
      <c r="A15" t="s">
        <v>254</v>
      </c>
      <c r="B15" t="s">
        <v>255</v>
      </c>
      <c r="C15" t="s">
        <v>256</v>
      </c>
    </row>
    <row r="16" spans="1:3" x14ac:dyDescent="0.25">
      <c r="A16" t="s">
        <v>257</v>
      </c>
      <c r="B16" t="s">
        <v>258</v>
      </c>
      <c r="C16" t="s">
        <v>259</v>
      </c>
    </row>
    <row r="17" spans="1:3" x14ac:dyDescent="0.25">
      <c r="A17" t="s">
        <v>260</v>
      </c>
      <c r="B17" t="s">
        <v>261</v>
      </c>
      <c r="C17" t="s">
        <v>262</v>
      </c>
    </row>
    <row r="18" spans="1:3" x14ac:dyDescent="0.25">
      <c r="A18" t="s">
        <v>263</v>
      </c>
      <c r="B18" t="s">
        <v>264</v>
      </c>
      <c r="C18" t="s">
        <v>265</v>
      </c>
    </row>
    <row r="19" spans="1:3" x14ac:dyDescent="0.25">
      <c r="A19" t="s">
        <v>266</v>
      </c>
      <c r="B19" t="s">
        <v>267</v>
      </c>
      <c r="C19" t="s">
        <v>268</v>
      </c>
    </row>
    <row r="20" spans="1:3" x14ac:dyDescent="0.25">
      <c r="A20" t="s">
        <v>269</v>
      </c>
      <c r="B20" t="s">
        <v>270</v>
      </c>
      <c r="C20" t="s">
        <v>271</v>
      </c>
    </row>
    <row r="21" spans="1:3" x14ac:dyDescent="0.25">
      <c r="A21" t="s">
        <v>272</v>
      </c>
      <c r="B21" t="s">
        <v>273</v>
      </c>
      <c r="C21" t="s">
        <v>274</v>
      </c>
    </row>
    <row r="22" spans="1:3" x14ac:dyDescent="0.25">
      <c r="A22" t="s">
        <v>275</v>
      </c>
      <c r="B22" t="s">
        <v>276</v>
      </c>
      <c r="C22" t="s">
        <v>277</v>
      </c>
    </row>
    <row r="23" spans="1:3" x14ac:dyDescent="0.25">
      <c r="A23" t="s">
        <v>278</v>
      </c>
      <c r="B23" t="s">
        <v>279</v>
      </c>
      <c r="C23" t="s">
        <v>280</v>
      </c>
    </row>
    <row r="24" spans="1:3" x14ac:dyDescent="0.25">
      <c r="A24" t="s">
        <v>281</v>
      </c>
      <c r="B24" t="s">
        <v>282</v>
      </c>
      <c r="C24" t="s">
        <v>283</v>
      </c>
    </row>
    <row r="25" spans="1:3" x14ac:dyDescent="0.25">
      <c r="A25" t="s">
        <v>284</v>
      </c>
      <c r="B25" t="s">
        <v>285</v>
      </c>
      <c r="C25" t="s">
        <v>286</v>
      </c>
    </row>
    <row r="26" spans="1:3" x14ac:dyDescent="0.25">
      <c r="A26" t="s">
        <v>287</v>
      </c>
      <c r="B26" t="s">
        <v>288</v>
      </c>
      <c r="C26" t="s">
        <v>289</v>
      </c>
    </row>
    <row r="27" spans="1:3" x14ac:dyDescent="0.25">
      <c r="A27" t="s">
        <v>666</v>
      </c>
      <c r="C27" t="s">
        <v>667</v>
      </c>
    </row>
    <row r="28" spans="1:3" x14ac:dyDescent="0.25">
      <c r="A28" t="s">
        <v>671</v>
      </c>
      <c r="C28" t="s">
        <v>672</v>
      </c>
    </row>
    <row r="29" spans="1:3" x14ac:dyDescent="0.25">
      <c r="A29" t="s">
        <v>673</v>
      </c>
      <c r="C29" t="s">
        <v>674</v>
      </c>
    </row>
    <row r="30" spans="1:3" x14ac:dyDescent="0.25">
      <c r="A30" t="s">
        <v>675</v>
      </c>
      <c r="C30" t="s">
        <v>676</v>
      </c>
    </row>
    <row r="31" spans="1:3" x14ac:dyDescent="0.25">
      <c r="A31" t="s">
        <v>704</v>
      </c>
      <c r="C31" t="s">
        <v>705</v>
      </c>
    </row>
    <row r="32" spans="1:3" x14ac:dyDescent="0.25">
      <c r="A32" t="s">
        <v>798</v>
      </c>
      <c r="C32" t="s">
        <v>799</v>
      </c>
    </row>
    <row r="33" spans="1:3" x14ac:dyDescent="0.25">
      <c r="A33" t="s">
        <v>1084</v>
      </c>
      <c r="C33" t="s">
        <v>851</v>
      </c>
    </row>
  </sheetData>
  <phoneticPr fontId="3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7CC78-EA29-4422-A825-AD3BB3D956B3}">
  <sheetPr codeName="工作表6">
    <tabColor theme="5" tint="0.39997558519241921"/>
  </sheetPr>
  <dimension ref="A1:AT108"/>
  <sheetViews>
    <sheetView zoomScale="70" zoomScaleNormal="70" workbookViewId="0">
      <pane xSplit="4" ySplit="5" topLeftCell="U46" activePane="bottomRight" state="frozen"/>
      <selection pane="topRight" activeCell="D1" sqref="D1"/>
      <selection pane="bottomLeft" activeCell="A4" sqref="A4"/>
      <selection pane="bottomRight" activeCell="AB95" sqref="AB95"/>
    </sheetView>
  </sheetViews>
  <sheetFormatPr defaultColWidth="10.28515625" defaultRowHeight="23.25" customHeight="1" x14ac:dyDescent="0.25"/>
  <cols>
    <col min="1" max="1" width="17.85546875" style="3" bestFit="1" customWidth="1"/>
    <col min="2" max="2" width="28.7109375" style="2" bestFit="1" customWidth="1"/>
    <col min="3" max="3" width="15.140625" style="2" hidden="1" customWidth="1"/>
    <col min="4" max="4" width="15.7109375" style="2" bestFit="1" customWidth="1"/>
    <col min="5" max="5" width="14.5703125" style="2" bestFit="1" customWidth="1"/>
    <col min="6" max="6" width="17.7109375" style="2" hidden="1" customWidth="1"/>
    <col min="7" max="7" width="10.42578125" style="2" hidden="1" customWidth="1"/>
    <col min="8" max="8" width="30.85546875" style="2" bestFit="1" customWidth="1"/>
    <col min="9" max="9" width="30.5703125" style="2" hidden="1" customWidth="1"/>
    <col min="10" max="10" width="27.140625" style="2" bestFit="1" customWidth="1"/>
    <col min="11" max="11" width="23.7109375" style="4" hidden="1" customWidth="1"/>
    <col min="12" max="12" width="22.5703125" style="2" bestFit="1" customWidth="1"/>
    <col min="13" max="13" width="27.140625" style="2" bestFit="1" customWidth="1"/>
    <col min="14" max="14" width="23.7109375" style="2" hidden="1" customWidth="1"/>
    <col min="15" max="15" width="22.5703125" style="2" bestFit="1" customWidth="1"/>
    <col min="16" max="16" width="25.28515625" style="2" bestFit="1" customWidth="1"/>
    <col min="17" max="17" width="22" style="2" hidden="1" customWidth="1"/>
    <col min="18" max="18" width="20" style="2" bestFit="1" customWidth="1"/>
    <col min="19" max="19" width="30.85546875" style="2" bestFit="1" customWidth="1"/>
    <col min="20" max="20" width="30.5703125" style="2" hidden="1" customWidth="1"/>
    <col min="21" max="21" width="21.7109375" style="2" bestFit="1" customWidth="1"/>
    <col min="22" max="22" width="28.85546875" style="2" bestFit="1" customWidth="1"/>
    <col min="23" max="23" width="19.42578125" style="2" hidden="1" customWidth="1"/>
    <col min="24" max="24" width="27.28515625" style="2" bestFit="1" customWidth="1"/>
    <col min="25" max="25" width="25.28515625" style="2" bestFit="1" customWidth="1"/>
    <col min="26" max="26" width="22" style="2" hidden="1" customWidth="1"/>
    <col min="27" max="27" width="21" style="2" bestFit="1" customWidth="1"/>
    <col min="28" max="28" width="17.28515625" style="2" bestFit="1" customWidth="1"/>
    <col min="29" max="29" width="15.140625" style="2" hidden="1" customWidth="1"/>
    <col min="30" max="30" width="20" style="2" bestFit="1" customWidth="1"/>
    <col min="31" max="31" width="17.85546875" style="2" bestFit="1" customWidth="1"/>
    <col min="32" max="32" width="16" style="2" bestFit="1" customWidth="1"/>
    <col min="33" max="34" width="20.140625" style="2" hidden="1" customWidth="1"/>
    <col min="35" max="35" width="17.85546875" style="2" hidden="1" customWidth="1"/>
    <col min="36" max="36" width="2.28515625" style="2" customWidth="1"/>
    <col min="37" max="37" width="12" style="3" bestFit="1" customWidth="1"/>
    <col min="38" max="38" width="23.5703125" style="3" bestFit="1" customWidth="1"/>
    <col min="39" max="39" width="17.85546875" style="5" bestFit="1" customWidth="1"/>
    <col min="40" max="40" width="21.5703125" style="5" bestFit="1" customWidth="1"/>
    <col min="41" max="41" width="15.42578125" style="2" bestFit="1" customWidth="1"/>
    <col min="42" max="42" width="13.140625" style="2" bestFit="1" customWidth="1"/>
    <col min="43" max="45" width="17.7109375" style="2" customWidth="1"/>
    <col min="46" max="46" width="29" style="2" bestFit="1" customWidth="1"/>
    <col min="47" max="16384" width="10.28515625" style="2"/>
  </cols>
  <sheetData>
    <row r="1" spans="1:46" ht="60" hidden="1" customHeight="1" thickBot="1" x14ac:dyDescent="0.3">
      <c r="F1" s="2" t="s">
        <v>463</v>
      </c>
      <c r="G1" s="2" t="s">
        <v>463</v>
      </c>
      <c r="I1" s="2" t="s">
        <v>464</v>
      </c>
      <c r="K1" s="2" t="s">
        <v>465</v>
      </c>
      <c r="L1" s="2" t="s">
        <v>465</v>
      </c>
      <c r="N1" s="2" t="s">
        <v>466</v>
      </c>
      <c r="O1" s="2" t="s">
        <v>466</v>
      </c>
      <c r="Q1" s="2" t="s">
        <v>467</v>
      </c>
      <c r="R1" s="2" t="s">
        <v>467</v>
      </c>
      <c r="T1" s="2" t="s">
        <v>468</v>
      </c>
      <c r="U1" s="2" t="s">
        <v>468</v>
      </c>
      <c r="W1" s="2" t="s">
        <v>469</v>
      </c>
      <c r="X1" s="2" t="s">
        <v>469</v>
      </c>
      <c r="Z1" s="2" t="s">
        <v>470</v>
      </c>
      <c r="AA1" s="2" t="s">
        <v>470</v>
      </c>
      <c r="AC1" s="2" t="s">
        <v>471</v>
      </c>
    </row>
    <row r="2" spans="1:46" s="18" customFormat="1" ht="23.25" customHeight="1" thickBot="1" x14ac:dyDescent="0.3">
      <c r="A2" s="280" t="str">
        <f ca="1">YEAR(TODAY())-1911&amp;"年度"</f>
        <v>115年度</v>
      </c>
      <c r="B2" s="283" t="s">
        <v>532</v>
      </c>
      <c r="C2" s="15"/>
      <c r="D2" s="286" t="s">
        <v>9</v>
      </c>
      <c r="E2" s="298" t="s">
        <v>8</v>
      </c>
      <c r="F2" s="299"/>
      <c r="G2" s="300"/>
      <c r="H2" s="288" t="s">
        <v>519</v>
      </c>
      <c r="I2" s="289"/>
      <c r="J2" s="301" t="s">
        <v>735</v>
      </c>
      <c r="K2" s="302"/>
      <c r="L2" s="303"/>
      <c r="M2" s="301" t="s">
        <v>736</v>
      </c>
      <c r="N2" s="302"/>
      <c r="O2" s="303"/>
      <c r="P2" s="298" t="s">
        <v>509</v>
      </c>
      <c r="Q2" s="299"/>
      <c r="R2" s="300"/>
      <c r="S2" s="307" t="s">
        <v>1930</v>
      </c>
      <c r="T2" s="308"/>
      <c r="U2" s="308"/>
      <c r="V2" s="308"/>
      <c r="W2" s="308"/>
      <c r="X2" s="309"/>
      <c r="Y2" s="298" t="s">
        <v>0</v>
      </c>
      <c r="Z2" s="299"/>
      <c r="AA2" s="300"/>
      <c r="AB2" s="263" t="s">
        <v>40</v>
      </c>
      <c r="AC2" s="263" t="s">
        <v>294</v>
      </c>
      <c r="AD2" s="263" t="s">
        <v>26</v>
      </c>
      <c r="AE2" s="272" t="s">
        <v>67</v>
      </c>
      <c r="AF2" s="274" t="s">
        <v>212</v>
      </c>
      <c r="AG2" s="107"/>
      <c r="AH2" s="107"/>
      <c r="AI2" s="16"/>
      <c r="AJ2" s="17"/>
      <c r="AK2" s="277" t="s">
        <v>4</v>
      </c>
      <c r="AL2" s="278"/>
      <c r="AM2" s="278"/>
      <c r="AN2" s="278"/>
      <c r="AO2" s="279"/>
      <c r="AP2" s="297" t="s">
        <v>42</v>
      </c>
      <c r="AQ2" s="2"/>
      <c r="AR2" s="2"/>
      <c r="AS2" s="2"/>
      <c r="AT2" s="2"/>
    </row>
    <row r="3" spans="1:46" s="17" customFormat="1" ht="24" customHeight="1" thickBot="1" x14ac:dyDescent="0.3">
      <c r="A3" s="281"/>
      <c r="B3" s="284"/>
      <c r="C3" s="19"/>
      <c r="D3" s="287"/>
      <c r="E3" s="294" t="s">
        <v>508</v>
      </c>
      <c r="F3" s="295"/>
      <c r="G3" s="296"/>
      <c r="H3" s="290"/>
      <c r="I3" s="291"/>
      <c r="J3" s="304" t="s">
        <v>533</v>
      </c>
      <c r="K3" s="305"/>
      <c r="L3" s="306"/>
      <c r="M3" s="304" t="s">
        <v>534</v>
      </c>
      <c r="N3" s="305"/>
      <c r="O3" s="306"/>
      <c r="P3" s="294" t="s">
        <v>508</v>
      </c>
      <c r="Q3" s="295"/>
      <c r="R3" s="296"/>
      <c r="S3" s="310" t="s">
        <v>531</v>
      </c>
      <c r="T3" s="311"/>
      <c r="U3" s="311"/>
      <c r="V3" s="311"/>
      <c r="W3" s="311"/>
      <c r="X3" s="312"/>
      <c r="Y3" s="294" t="s">
        <v>1002</v>
      </c>
      <c r="Z3" s="295"/>
      <c r="AA3" s="296"/>
      <c r="AB3" s="264"/>
      <c r="AC3" s="265"/>
      <c r="AD3" s="264"/>
      <c r="AE3" s="273"/>
      <c r="AF3" s="275"/>
      <c r="AG3" s="107"/>
      <c r="AH3" s="107"/>
      <c r="AI3" s="20"/>
      <c r="AK3" s="269" t="s">
        <v>508</v>
      </c>
      <c r="AL3" s="270"/>
      <c r="AM3" s="270"/>
      <c r="AN3" s="270"/>
      <c r="AO3" s="271"/>
      <c r="AP3" s="249"/>
      <c r="AQ3" s="105" t="s">
        <v>535</v>
      </c>
      <c r="AR3" s="105" t="s">
        <v>536</v>
      </c>
      <c r="AS3" s="106" t="s">
        <v>782</v>
      </c>
    </row>
    <row r="4" spans="1:46" s="69" customFormat="1" ht="28.5" thickBot="1" x14ac:dyDescent="0.3">
      <c r="A4" s="282"/>
      <c r="B4" s="285"/>
      <c r="C4" s="63"/>
      <c r="D4" s="71">
        <f>SUM(_018_XXX[入料數])</f>
        <v>107364</v>
      </c>
      <c r="E4" s="72">
        <f>SUM(_018_XXX[進料待檢])</f>
        <v>0</v>
      </c>
      <c r="F4" s="72">
        <f>SUM(_018_XXX[進料檢OK])</f>
        <v>107364</v>
      </c>
      <c r="G4" s="72">
        <f>SUM(_018_XXX[NG])</f>
        <v>0</v>
      </c>
      <c r="H4" s="73">
        <f>SUM(_018_XXX['#01待發料數量])</f>
        <v>0</v>
      </c>
      <c r="I4" s="73">
        <f>SUM(_018_XXX['#01已發料數量])</f>
        <v>107364</v>
      </c>
      <c r="J4" s="74">
        <f>SUM(_018_XXX['#1-1未加工])</f>
        <v>0</v>
      </c>
      <c r="K4" s="74">
        <f>SUM(_018_XXX['#1-1 OK])</f>
        <v>107312</v>
      </c>
      <c r="L4" s="74">
        <f>SUM(_018_XXX['#1-1 NG])</f>
        <v>52</v>
      </c>
      <c r="M4" s="74">
        <f>SUM(_018_XXX['#1-2未加工])</f>
        <v>4263</v>
      </c>
      <c r="N4" s="74">
        <f>SUM(_018_XXX['#1-2 OK])</f>
        <v>102958</v>
      </c>
      <c r="O4" s="74">
        <f>SUM(_018_XXX['#1-2 NG])</f>
        <v>91</v>
      </c>
      <c r="P4" s="99">
        <f>SUM(_018_XXX['#01待檢驗])</f>
        <v>65</v>
      </c>
      <c r="Q4" s="99">
        <f>SUM(_018_XXX['#01 OK])</f>
        <v>102889</v>
      </c>
      <c r="R4" s="99">
        <f>SUM(_018_XXX['#01NG])</f>
        <v>4</v>
      </c>
      <c r="S4" s="100">
        <f>SUM(_018_XXX['#02待委外數量])</f>
        <v>0</v>
      </c>
      <c r="T4" s="100">
        <f>SUM(_018_XXX['#02已委外數量])</f>
        <v>102889</v>
      </c>
      <c r="U4" s="100">
        <f>SUM(_018_XXX['#02廠商])</f>
        <v>0</v>
      </c>
      <c r="V4" s="100">
        <f>SUM(_018_XXX['#02待回數量])</f>
        <v>3875</v>
      </c>
      <c r="W4" s="100">
        <f>SUM(_018_XXX['#02回
良品])</f>
        <v>98860</v>
      </c>
      <c r="X4" s="100">
        <f>SUM(_018_XXX['#02委外NG])</f>
        <v>154</v>
      </c>
      <c r="Y4" s="99">
        <f>SUM(_018_XXX['#02待檢驗])</f>
        <v>0</v>
      </c>
      <c r="Z4" s="99">
        <f>SUM(_018_XXX['#02 OK])</f>
        <v>98860</v>
      </c>
      <c r="AA4" s="99">
        <f>SUM(_018_XXX['#02 NG])</f>
        <v>0</v>
      </c>
      <c r="AB4" s="99">
        <f>SUM(_018_XXX[未入庫數量])</f>
        <v>336</v>
      </c>
      <c r="AC4" s="99">
        <f>SUM(_018_XXX[入庫])</f>
        <v>98524</v>
      </c>
      <c r="AD4" s="112">
        <f>SUM('018#1'!$AD$6:$AD$34)</f>
        <v>0</v>
      </c>
      <c r="AE4" s="75">
        <f>SUM(_018_XXX[總不良數])</f>
        <v>301</v>
      </c>
      <c r="AF4" s="276"/>
      <c r="AG4" s="107"/>
      <c r="AH4" s="107"/>
      <c r="AI4" s="68"/>
      <c r="AK4" s="269"/>
      <c r="AL4" s="270"/>
      <c r="AM4" s="270"/>
      <c r="AN4" s="270"/>
      <c r="AO4" s="271"/>
      <c r="AP4" s="250"/>
      <c r="AQ4" s="103" t="s">
        <v>10</v>
      </c>
      <c r="AR4" s="103" t="s">
        <v>10</v>
      </c>
      <c r="AS4" s="104" t="s">
        <v>10</v>
      </c>
      <c r="AT4" s="69" t="s">
        <v>656</v>
      </c>
    </row>
    <row r="5" spans="1:46" s="21" customFormat="1" ht="41.25" thickBot="1" x14ac:dyDescent="0.3">
      <c r="A5" s="49" t="s">
        <v>16</v>
      </c>
      <c r="B5" s="50" t="s">
        <v>13</v>
      </c>
      <c r="C5" s="50" t="s">
        <v>14</v>
      </c>
      <c r="D5" s="50" t="s">
        <v>15</v>
      </c>
      <c r="E5" s="7" t="s">
        <v>17</v>
      </c>
      <c r="F5" s="7" t="s">
        <v>18</v>
      </c>
      <c r="G5" s="7" t="s">
        <v>27</v>
      </c>
      <c r="H5" s="60" t="s">
        <v>520</v>
      </c>
      <c r="I5" s="60" t="s">
        <v>521</v>
      </c>
      <c r="J5" s="61" t="s">
        <v>513</v>
      </c>
      <c r="K5" s="61" t="s">
        <v>514</v>
      </c>
      <c r="L5" s="61" t="s">
        <v>518</v>
      </c>
      <c r="M5" s="61" t="s">
        <v>515</v>
      </c>
      <c r="N5" s="61" t="s">
        <v>516</v>
      </c>
      <c r="O5" s="61" t="s">
        <v>517</v>
      </c>
      <c r="P5" s="62" t="s">
        <v>510</v>
      </c>
      <c r="Q5" s="62" t="s">
        <v>511</v>
      </c>
      <c r="R5" s="62" t="s">
        <v>512</v>
      </c>
      <c r="S5" s="58" t="s">
        <v>522</v>
      </c>
      <c r="T5" s="58" t="s">
        <v>523</v>
      </c>
      <c r="U5" s="58" t="s">
        <v>524</v>
      </c>
      <c r="V5" s="58" t="s">
        <v>525</v>
      </c>
      <c r="W5" s="67" t="s">
        <v>526</v>
      </c>
      <c r="X5" s="58" t="s">
        <v>527</v>
      </c>
      <c r="Y5" s="62" t="s">
        <v>528</v>
      </c>
      <c r="Z5" s="62" t="s">
        <v>529</v>
      </c>
      <c r="AA5" s="62" t="s">
        <v>530</v>
      </c>
      <c r="AB5" s="7" t="s">
        <v>41</v>
      </c>
      <c r="AC5" s="76" t="s">
        <v>293</v>
      </c>
      <c r="AD5" s="8" t="s">
        <v>29</v>
      </c>
      <c r="AE5" s="70" t="s">
        <v>68</v>
      </c>
      <c r="AF5" s="108" t="s">
        <v>212</v>
      </c>
      <c r="AG5" s="109" t="s">
        <v>13</v>
      </c>
      <c r="AH5" s="109" t="s">
        <v>13</v>
      </c>
      <c r="AI5" s="11" t="s">
        <v>13</v>
      </c>
      <c r="AK5" s="38" t="s">
        <v>1</v>
      </c>
      <c r="AL5" s="39" t="s">
        <v>38</v>
      </c>
      <c r="AM5" s="40" t="s">
        <v>6</v>
      </c>
      <c r="AN5" s="22" t="s">
        <v>7</v>
      </c>
      <c r="AO5" s="23" t="s">
        <v>39</v>
      </c>
      <c r="AP5" s="94">
        <f>SUM(表格8[分配數量])-SUM(AQ5:AS5)+AT5</f>
        <v>0</v>
      </c>
      <c r="AQ5" s="101">
        <f>'4XX'!D4</f>
        <v>14936</v>
      </c>
      <c r="AR5" s="101">
        <f>'5XX'!D4</f>
        <v>54210</v>
      </c>
      <c r="AS5" s="102">
        <f>'6XX'!D4</f>
        <v>30168</v>
      </c>
      <c r="AT5" s="21">
        <f>755+35</f>
        <v>790</v>
      </c>
    </row>
    <row r="6" spans="1:46" s="17" customFormat="1" ht="28.5" thickBot="1" x14ac:dyDescent="0.3">
      <c r="A6" s="166">
        <v>45574</v>
      </c>
      <c r="B6" s="168" t="s">
        <v>585</v>
      </c>
      <c r="C6" s="24" t="s">
        <v>508</v>
      </c>
      <c r="D6" s="170">
        <v>6780</v>
      </c>
      <c r="E6" s="148">
        <f>_018_XXX[[#This Row],[入料數]]-_018_XXX[[#This Row],[進料檢OK]]-_018_XXX[[#This Row],[NG]]</f>
        <v>0</v>
      </c>
      <c r="F6" s="148">
        <f>SUMIFS(record[OK],record[製程料號],_018_XXX[[#This Row],[製令單號]],record[ProcessSN],F$1)</f>
        <v>6780</v>
      </c>
      <c r="G6" s="148">
        <f>SUMIFS(record[NG],record[製程料號],_018_XXX[[#This Row],[製令單號]],record[ProcessSN],G$1)</f>
        <v>0</v>
      </c>
      <c r="H6" s="148">
        <f>_018_XXX[[#This Row],[進料檢OK]]-_018_XXX[[#This Row],['#01已發料數量]]</f>
        <v>0</v>
      </c>
      <c r="I6" s="148">
        <f>SUMIFS(record[OK],record[製程料號],_018_XXX[[#This Row],[製令單號]],record[ProcessSN],I$1)</f>
        <v>6780</v>
      </c>
      <c r="J6" s="148">
        <f>'018#1'!$I6-'018#1'!$K6-_018_XXX[[#This Row],['#1-1 NG]]</f>
        <v>0</v>
      </c>
      <c r="K6" s="148">
        <f>SUMIFS(record[OK],record[製程料號],_018_XXX[[#This Row],[製令單號]],record[ProcessSN],K$1)</f>
        <v>6777</v>
      </c>
      <c r="L6" s="148">
        <f>SUMIFS(record[NG],record[製程料號],_018_XXX[[#This Row],[製令單號]],record[ProcessSN],L$1)</f>
        <v>3</v>
      </c>
      <c r="M6" s="148">
        <f>_018_XXX[[#This Row],['#1-1 OK]]-_018_XXX[[#This Row],['#1-2 OK]]-_018_XXX[[#This Row],['#1-2 NG]]</f>
        <v>0</v>
      </c>
      <c r="N6" s="148">
        <f>SUMIFS(record[OK],record[製程料號],_018_XXX[[#This Row],[製令單號]],record[ProcessSN],N$1)</f>
        <v>6777</v>
      </c>
      <c r="O6" s="148">
        <f>SUMIFS(record[NG],record[製程料號],_018_XXX[[#This Row],[製令單號]],record[ProcessSN],O$1)</f>
        <v>0</v>
      </c>
      <c r="P6" s="148">
        <f>_018_XXX[[#This Row],['#1-2 OK]]-_018_XXX[[#This Row],['#01NG]]-_018_XXX[[#This Row],['#01 OK]]</f>
        <v>0</v>
      </c>
      <c r="Q6" s="148">
        <f>SUMIFS(record[OK],record[製程料號],_018_XXX[[#This Row],[製令單號]],record[ProcessSN],Q$1)</f>
        <v>6777</v>
      </c>
      <c r="R6" s="148">
        <f>SUMIFS(record[NG],record[製程料號],_018_XXX[[#This Row],[製令單號]],record[ProcessSN],R$1)</f>
        <v>0</v>
      </c>
      <c r="S6" s="148">
        <f>_018_XXX[[#This Row],['#01 OK]]-_018_XXX[[#This Row],['#02已委外數量]]</f>
        <v>0</v>
      </c>
      <c r="T6" s="148">
        <f>SUMIFS(record[OK],record[製程料號],_018_XXX[[#This Row],[製令單號]],record[ProcessSN],T$1)</f>
        <v>6777</v>
      </c>
      <c r="U6" s="144" t="str">
        <f>IF(_018_XXX[[#This Row],['#02已委外數量]]&gt;0,VLOOKUP(U$1,record[[ProcessSN]:[廠商]],12,FALSE),"尚未委外")</f>
        <v>俊杰</v>
      </c>
      <c r="V6" s="148">
        <f>_018_XXX[[#This Row],['#02已委外數量]]-_018_XXX[[#This Row],['#02委外NG]]-_018_XXX[[#This Row],['#02回
良品]]</f>
        <v>0</v>
      </c>
      <c r="W6" s="148">
        <f>SUMIFS(record[OK],record[製程料號],_018_XXX[[#This Row],[製令單號]],record[ProcessSN],W$1)</f>
        <v>6757</v>
      </c>
      <c r="X6" s="148">
        <f>SUMIFS(record[NG],record[製程料號],_018_XXX[[#This Row],[製令單號]],record[ProcessSN],X$1)</f>
        <v>20</v>
      </c>
      <c r="Y6" s="148">
        <f>_018_XXX[[#This Row],['#02回
良品]]-_018_XXX[[#This Row],['#02 OK]]-_018_XXX[[#This Row],['#02 NG]]</f>
        <v>0</v>
      </c>
      <c r="Z6" s="148">
        <f>SUMIFS(record[OK],record[製程料號],_018_XXX[[#This Row],[製令單號]],record[ProcessSN],Z$1)</f>
        <v>6757</v>
      </c>
      <c r="AA6" s="148">
        <f>SUMIFS(record[NG],record[製程料號],_018_XXX[[#This Row],[製令單號]],record[ProcessSN],AA$1)</f>
        <v>0</v>
      </c>
      <c r="AB6" s="148">
        <f>_018_XXX[[#This Row],['#02 OK]]-_018_XXX[[#This Row],[入庫]]</f>
        <v>0</v>
      </c>
      <c r="AC6" s="148">
        <f>SUMIFS(record[OK],record[製程料號],_018_XXX[[#This Row],[製令單號]],record[ProcessSN],AC$1)</f>
        <v>6757</v>
      </c>
      <c r="AD6" s="148">
        <f>_018_XXX[[#This Row],[入庫]]-IFERROR(SUMIF(表格8[第一製程製令],_018_XXX[[#This Row],[製令單號]],表格8[分配數量]),0)</f>
        <v>0</v>
      </c>
      <c r="AE6" s="148">
        <f>_018_XXX[[#This Row],['#1-1 NG]]+_018_XXX[[#This Row],[NG]]+_018_XXX[[#This Row],['#1-2 NG]]+_018_XXX[[#This Row],['#01NG]]+_018_XXX[[#This Row],['#02委外NG]]+_018_XXX[[#This Row],['#02 NG]]</f>
        <v>23</v>
      </c>
      <c r="AF6" s="154">
        <f>IF(_018_XXX[[#This Row],[入庫]]+_018_XXX[[#This Row],[總不良數]]=_018_XXX[[#This Row],[入料數]],_018_XXX[[#This Row],[入庫]]/_018_XXX[[#This Row],[入料數]],"")</f>
        <v>0.99660766961651914</v>
      </c>
      <c r="AG6"/>
      <c r="AH6"/>
      <c r="AI6" s="11"/>
      <c r="AK6" s="35">
        <v>45647</v>
      </c>
      <c r="AL6" s="24" t="s">
        <v>585</v>
      </c>
      <c r="AM6" s="36" t="s">
        <v>535</v>
      </c>
      <c r="AN6" s="6" t="s">
        <v>586</v>
      </c>
      <c r="AO6" s="37">
        <v>1622</v>
      </c>
      <c r="AQ6" s="81">
        <f>'4XX'!E4+'4XX'!G4+'4XX'!J4+'4XX'!M4+'4XX'!P4+'4XX'!S4</f>
        <v>995</v>
      </c>
      <c r="AR6" s="81">
        <f>'5XX'!E4+'5XX'!G4+'5XX'!J4+'5XX'!M4+'5XX'!P4+'5XX'!S4</f>
        <v>2121</v>
      </c>
      <c r="AS6" s="95">
        <f>'6XX'!E4+'6XX'!G4+'6XX'!J4+'6XX'!M4+'6XX'!P4+'6XX'!S4</f>
        <v>348</v>
      </c>
      <c r="AT6" s="56" t="s">
        <v>63</v>
      </c>
    </row>
    <row r="7" spans="1:46" s="17" customFormat="1" ht="28.5" thickBot="1" x14ac:dyDescent="0.3">
      <c r="A7" s="113">
        <v>45642</v>
      </c>
      <c r="B7" s="114" t="s">
        <v>581</v>
      </c>
      <c r="C7" s="115" t="s">
        <v>508</v>
      </c>
      <c r="D7" s="116">
        <v>2080</v>
      </c>
      <c r="E7" s="117">
        <f>_018_XXX[[#This Row],[入料數]]-_018_XXX[[#This Row],[進料檢OK]]-_018_XXX[[#This Row],[NG]]</f>
        <v>0</v>
      </c>
      <c r="F7" s="117">
        <f>SUMIFS(record[OK],record[製程料號],_018_XXX[[#This Row],[製令單號]],record[ProcessSN],F$1)</f>
        <v>2080</v>
      </c>
      <c r="G7" s="117">
        <f>SUMIFS(record[NG],record[製程料號],_018_XXX[[#This Row],[製令單號]],record[ProcessSN],G$1)</f>
        <v>0</v>
      </c>
      <c r="H7" s="117">
        <f>_018_XXX[[#This Row],[進料檢OK]]-_018_XXX[[#This Row],['#01已發料數量]]</f>
        <v>0</v>
      </c>
      <c r="I7" s="117">
        <f>SUMIFS(record[OK],record[製程料號],_018_XXX[[#This Row],[製令單號]],record[ProcessSN],I$1)</f>
        <v>2080</v>
      </c>
      <c r="J7" s="117">
        <f>'018#1'!$I7-'018#1'!$K7-_018_XXX[[#This Row],['#1-1 NG]]</f>
        <v>0</v>
      </c>
      <c r="K7" s="117">
        <f>SUMIFS(record[OK],record[製程料號],_018_XXX[[#This Row],[製令單號]],record[ProcessSN],K$1)</f>
        <v>2077</v>
      </c>
      <c r="L7" s="117">
        <f>SUMIFS(record[NG],record[製程料號],_018_XXX[[#This Row],[製令單號]],record[ProcessSN],L$1)</f>
        <v>3</v>
      </c>
      <c r="M7" s="117">
        <f>_018_XXX[[#This Row],['#1-1 OK]]-_018_XXX[[#This Row],['#1-2 OK]]-_018_XXX[[#This Row],['#1-2 NG]]</f>
        <v>0</v>
      </c>
      <c r="N7" s="117">
        <f>SUMIFS(record[OK],record[製程料號],_018_XXX[[#This Row],[製令單號]],record[ProcessSN],N$1)</f>
        <v>2076</v>
      </c>
      <c r="O7" s="117">
        <f>SUMIFS(record[NG],record[製程料號],_018_XXX[[#This Row],[製令單號]],record[ProcessSN],O$1)</f>
        <v>1</v>
      </c>
      <c r="P7" s="117">
        <f>_018_XXX[[#This Row],['#1-2 OK]]-_018_XXX[[#This Row],['#01NG]]-_018_XXX[[#This Row],['#01 OK]]</f>
        <v>0</v>
      </c>
      <c r="Q7" s="117">
        <f>SUMIFS(record[OK],record[製程料號],_018_XXX[[#This Row],[製令單號]],record[ProcessSN],Q$1)</f>
        <v>2076</v>
      </c>
      <c r="R7" s="117">
        <f>SUMIFS(record[NG],record[製程料號],_018_XXX[[#This Row],[製令單號]],record[ProcessSN],R$1)</f>
        <v>0</v>
      </c>
      <c r="S7" s="117">
        <f>_018_XXX[[#This Row],['#01 OK]]-_018_XXX[[#This Row],['#02已委外數量]]</f>
        <v>0</v>
      </c>
      <c r="T7" s="117">
        <f>SUMIFS(record[OK],record[製程料號],_018_XXX[[#This Row],[製令單號]],record[ProcessSN],T$1)</f>
        <v>2076</v>
      </c>
      <c r="U7" s="118" t="str">
        <f>IF(_018_XXX[[#This Row],['#02已委外數量]]&gt;0,VLOOKUP(U$1,record[[ProcessSN]:[廠商]],12,FALSE),"尚未委外")</f>
        <v>俊杰</v>
      </c>
      <c r="V7" s="117">
        <f>_018_XXX[[#This Row],['#02已委外數量]]-_018_XXX[[#This Row],['#02委外NG]]-_018_XXX[[#This Row],['#02回
良品]]</f>
        <v>0</v>
      </c>
      <c r="W7" s="117">
        <f>SUMIFS(record[OK],record[製程料號],_018_XXX[[#This Row],[製令單號]],record[ProcessSN],W$1)</f>
        <v>2076</v>
      </c>
      <c r="X7" s="117">
        <f>SUMIFS(record[NG],record[製程料號],_018_XXX[[#This Row],[製令單號]],record[ProcessSN],X$1)</f>
        <v>0</v>
      </c>
      <c r="Y7" s="117">
        <f>_018_XXX[[#This Row],['#02回
良品]]-_018_XXX[[#This Row],['#02 OK]]-_018_XXX[[#This Row],['#02 NG]]</f>
        <v>0</v>
      </c>
      <c r="Z7" s="117">
        <f>SUMIFS(record[OK],record[製程料號],_018_XXX[[#This Row],[製令單號]],record[ProcessSN],Z$1)</f>
        <v>2076</v>
      </c>
      <c r="AA7" s="117">
        <f>SUMIFS(record[NG],record[製程料號],_018_XXX[[#This Row],[製令單號]],record[ProcessSN],AA$1)</f>
        <v>0</v>
      </c>
      <c r="AB7" s="117">
        <f>_018_XXX[[#This Row],['#02 OK]]-_018_XXX[[#This Row],[入庫]]</f>
        <v>0</v>
      </c>
      <c r="AC7" s="117">
        <f>SUMIFS(record[OK],record[製程料號],_018_XXX[[#This Row],[製令單號]],record[ProcessSN],AC$1)</f>
        <v>2076</v>
      </c>
      <c r="AD7" s="117">
        <f>_018_XXX[[#This Row],[入庫]]-IFERROR(SUMIF(表格8[第一製程製令],_018_XXX[[#This Row],[製令單號]],表格8[分配數量]),0)</f>
        <v>0</v>
      </c>
      <c r="AE7" s="117">
        <f>_018_XXX[[#This Row],['#1-1 NG]]+_018_XXX[[#This Row],[NG]]+_018_XXX[[#This Row],['#1-2 NG]]+_018_XXX[[#This Row],['#01NG]]+_018_XXX[[#This Row],['#02委外NG]]+_018_XXX[[#This Row],['#02 NG]]</f>
        <v>4</v>
      </c>
      <c r="AF7" s="119">
        <f>IF(_018_XXX[[#This Row],[入庫]]+_018_XXX[[#This Row],[總不良數]]=_018_XXX[[#This Row],[入料數]],_018_XXX[[#This Row],[入庫]]/_018_XXX[[#This Row],[入料數]],"")</f>
        <v>0.99807692307692308</v>
      </c>
      <c r="AG7" s="233"/>
      <c r="AH7" s="2"/>
      <c r="AK7" s="126">
        <v>45647</v>
      </c>
      <c r="AL7" s="127" t="s">
        <v>585</v>
      </c>
      <c r="AM7" s="128" t="s">
        <v>536</v>
      </c>
      <c r="AN7" s="129" t="s">
        <v>594</v>
      </c>
      <c r="AO7" s="130">
        <v>3000</v>
      </c>
      <c r="AQ7" s="82">
        <f>'4XX'!V4+'4XX'!Y4</f>
        <v>0</v>
      </c>
      <c r="AR7" s="82">
        <f>'5XX'!V4+'5XX'!Y4</f>
        <v>698</v>
      </c>
      <c r="AS7" s="83">
        <f>'6XX'!V4+'6XX'!Y4</f>
        <v>457</v>
      </c>
      <c r="AT7" s="56" t="s">
        <v>291</v>
      </c>
    </row>
    <row r="8" spans="1:46" s="17" customFormat="1" ht="27.75" x14ac:dyDescent="0.25">
      <c r="A8" s="113">
        <v>45706</v>
      </c>
      <c r="B8" s="114" t="s">
        <v>732</v>
      </c>
      <c r="C8" s="115" t="s">
        <v>508</v>
      </c>
      <c r="D8" s="116">
        <v>1920</v>
      </c>
      <c r="E8" s="117">
        <f>_018_XXX[[#This Row],[入料數]]-_018_XXX[[#This Row],[進料檢OK]]-_018_XXX[[#This Row],[NG]]</f>
        <v>0</v>
      </c>
      <c r="F8" s="117">
        <f>SUMIFS(record[OK],record[製程料號],_018_XXX[[#This Row],[製令單號]],record[ProcessSN],F$1)</f>
        <v>1920</v>
      </c>
      <c r="G8" s="117">
        <f>SUMIFS(record[NG],record[製程料號],_018_XXX[[#This Row],[製令單號]],record[ProcessSN],G$1)</f>
        <v>0</v>
      </c>
      <c r="H8" s="117">
        <f>_018_XXX[[#This Row],[進料檢OK]]-_018_XXX[[#This Row],['#01已發料數量]]</f>
        <v>0</v>
      </c>
      <c r="I8" s="117">
        <f>SUMIFS(record[OK],record[製程料號],_018_XXX[[#This Row],[製令單號]],record[ProcessSN],I$1)</f>
        <v>1920</v>
      </c>
      <c r="J8" s="117">
        <f>'018#1'!$I8-'018#1'!$K8-_018_XXX[[#This Row],['#1-1 NG]]</f>
        <v>0</v>
      </c>
      <c r="K8" s="117">
        <f>SUMIFS(record[OK],record[製程料號],_018_XXX[[#This Row],[製令單號]],record[ProcessSN],K$1)</f>
        <v>1919</v>
      </c>
      <c r="L8" s="117">
        <f>SUMIFS(record[NG],record[製程料號],_018_XXX[[#This Row],[製令單號]],record[ProcessSN],L$1)</f>
        <v>1</v>
      </c>
      <c r="M8" s="117">
        <f>_018_XXX[[#This Row],['#1-1 OK]]-_018_XXX[[#This Row],['#1-2 OK]]-_018_XXX[[#This Row],['#1-2 NG]]</f>
        <v>0</v>
      </c>
      <c r="N8" s="117">
        <f>SUMIFS(record[OK],record[製程料號],_018_XXX[[#This Row],[製令單號]],record[ProcessSN],N$1)</f>
        <v>1919</v>
      </c>
      <c r="O8" s="117">
        <f>SUMIFS(record[NG],record[製程料號],_018_XXX[[#This Row],[製令單號]],record[ProcessSN],O$1)</f>
        <v>0</v>
      </c>
      <c r="P8" s="117">
        <f>_018_XXX[[#This Row],['#1-2 OK]]-_018_XXX[[#This Row],['#01NG]]-_018_XXX[[#This Row],['#01 OK]]</f>
        <v>0</v>
      </c>
      <c r="Q8" s="117">
        <f>SUMIFS(record[OK],record[製程料號],_018_XXX[[#This Row],[製令單號]],record[ProcessSN],Q$1)</f>
        <v>1919</v>
      </c>
      <c r="R8" s="117">
        <f>SUMIFS(record[NG],record[製程料號],_018_XXX[[#This Row],[製令單號]],record[ProcessSN],R$1)</f>
        <v>0</v>
      </c>
      <c r="S8" s="117">
        <f>_018_XXX[[#This Row],['#01 OK]]-_018_XXX[[#This Row],['#02已委外數量]]</f>
        <v>0</v>
      </c>
      <c r="T8" s="117">
        <f>SUMIFS(record[OK],record[製程料號],_018_XXX[[#This Row],[製令單號]],record[ProcessSN],T$1)</f>
        <v>1919</v>
      </c>
      <c r="U8" s="118" t="str">
        <f>IF(_018_XXX[[#This Row],['#02已委外數量]]&gt;0,VLOOKUP(U$1,record[[ProcessSN]:[廠商]],12,FALSE),"尚未委外")</f>
        <v>俊杰</v>
      </c>
      <c r="V8" s="117">
        <f>_018_XXX[[#This Row],['#02已委外數量]]-_018_XXX[[#This Row],['#02委外NG]]-_018_XXX[[#This Row],['#02回
良品]]</f>
        <v>0</v>
      </c>
      <c r="W8" s="117">
        <f>SUMIFS(record[OK],record[製程料號],_018_XXX[[#This Row],[製令單號]],record[ProcessSN],W$1)</f>
        <v>1918</v>
      </c>
      <c r="X8" s="117">
        <f>SUMIFS(record[NG],record[製程料號],_018_XXX[[#This Row],[製令單號]],record[ProcessSN],X$1)</f>
        <v>1</v>
      </c>
      <c r="Y8" s="117">
        <f>_018_XXX[[#This Row],['#02回
良品]]-_018_XXX[[#This Row],['#02 OK]]-_018_XXX[[#This Row],['#02 NG]]</f>
        <v>0</v>
      </c>
      <c r="Z8" s="117">
        <f>SUMIFS(record[OK],record[製程料號],_018_XXX[[#This Row],[製令單號]],record[ProcessSN],Z$1)</f>
        <v>1918</v>
      </c>
      <c r="AA8" s="117">
        <f>SUMIFS(record[NG],record[製程料號],_018_XXX[[#This Row],[製令單號]],record[ProcessSN],AA$1)</f>
        <v>0</v>
      </c>
      <c r="AB8" s="117">
        <f>_018_XXX[[#This Row],['#02 OK]]-_018_XXX[[#This Row],[入庫]]</f>
        <v>0</v>
      </c>
      <c r="AC8" s="117">
        <f>SUMIFS(record[OK],record[製程料號],_018_XXX[[#This Row],[製令單號]],record[ProcessSN],AC$1)</f>
        <v>1918</v>
      </c>
      <c r="AD8" s="117">
        <f>_018_XXX[[#This Row],[入庫]]-IFERROR(SUMIF(表格8[第一製程製令],_018_XXX[[#This Row],[製令單號]],表格8[分配數量]),0)</f>
        <v>0</v>
      </c>
      <c r="AE8" s="117">
        <f>_018_XXX[[#This Row],['#1-1 NG]]+_018_XXX[[#This Row],[NG]]+_018_XXX[[#This Row],['#1-2 NG]]+_018_XXX[[#This Row],['#01NG]]+_018_XXX[[#This Row],['#02委外NG]]+_018_XXX[[#This Row],['#02 NG]]</f>
        <v>2</v>
      </c>
      <c r="AF8" s="119">
        <f>IF(_018_XXX[[#This Row],[入庫]]+_018_XXX[[#This Row],[總不良數]]=_018_XXX[[#This Row],[入料數]],_018_XXX[[#This Row],[入庫]]/_018_XXX[[#This Row],[入料數]],"")</f>
        <v>0.99895833333333328</v>
      </c>
      <c r="AG8" s="233"/>
      <c r="AH8" s="2"/>
      <c r="AI8" s="2"/>
      <c r="AK8" s="126">
        <v>45647</v>
      </c>
      <c r="AL8" s="127" t="s">
        <v>585</v>
      </c>
      <c r="AM8" s="128" t="s">
        <v>630</v>
      </c>
      <c r="AN8" s="129" t="s">
        <v>595</v>
      </c>
      <c r="AO8" s="130">
        <v>2135</v>
      </c>
    </row>
    <row r="9" spans="1:46" ht="27.75" x14ac:dyDescent="0.25">
      <c r="A9" s="113">
        <v>45734</v>
      </c>
      <c r="B9" s="114" t="s">
        <v>756</v>
      </c>
      <c r="C9" s="115" t="s">
        <v>508</v>
      </c>
      <c r="D9" s="116">
        <v>4800</v>
      </c>
      <c r="E9" s="117">
        <f>_018_XXX[[#This Row],[入料數]]-_018_XXX[[#This Row],[進料檢OK]]-_018_XXX[[#This Row],[NG]]</f>
        <v>0</v>
      </c>
      <c r="F9" s="117">
        <f>SUMIFS(record[OK],record[製程料號],_018_XXX[[#This Row],[製令單號]],record[ProcessSN],F$1)</f>
        <v>4800</v>
      </c>
      <c r="G9" s="117">
        <f>SUMIFS(record[NG],record[製程料號],_018_XXX[[#This Row],[製令單號]],record[ProcessSN],G$1)</f>
        <v>0</v>
      </c>
      <c r="H9" s="117">
        <f>_018_XXX[[#This Row],[進料檢OK]]-_018_XXX[[#This Row],['#01已發料數量]]</f>
        <v>0</v>
      </c>
      <c r="I9" s="117">
        <f>SUMIFS(record[OK],record[製程料號],_018_XXX[[#This Row],[製令單號]],record[ProcessSN],I$1)</f>
        <v>4800</v>
      </c>
      <c r="J9" s="117">
        <f>'018#1'!$I9-'018#1'!$K9-_018_XXX[[#This Row],['#1-1 NG]]</f>
        <v>0</v>
      </c>
      <c r="K9" s="117">
        <f>SUMIFS(record[OK],record[製程料號],_018_XXX[[#This Row],[製令單號]],record[ProcessSN],K$1)</f>
        <v>4800</v>
      </c>
      <c r="L9" s="117">
        <f>SUMIFS(record[NG],record[製程料號],_018_XXX[[#This Row],[製令單號]],record[ProcessSN],L$1)</f>
        <v>0</v>
      </c>
      <c r="M9" s="117">
        <f>_018_XXX[[#This Row],['#1-1 OK]]-_018_XXX[[#This Row],['#1-2 OK]]-_018_XXX[[#This Row],['#1-2 NG]]</f>
        <v>0</v>
      </c>
      <c r="N9" s="117">
        <f>SUMIFS(record[OK],record[製程料號],_018_XXX[[#This Row],[製令單號]],record[ProcessSN],N$1)</f>
        <v>4800</v>
      </c>
      <c r="O9" s="117">
        <f>SUMIFS(record[NG],record[製程料號],_018_XXX[[#This Row],[製令單號]],record[ProcessSN],O$1)</f>
        <v>0</v>
      </c>
      <c r="P9" s="117">
        <f>_018_XXX[[#This Row],['#1-2 OK]]-_018_XXX[[#This Row],['#01NG]]-_018_XXX[[#This Row],['#01 OK]]</f>
        <v>0</v>
      </c>
      <c r="Q9" s="117">
        <f>SUMIFS(record[OK],record[製程料號],_018_XXX[[#This Row],[製令單號]],record[ProcessSN],Q$1)</f>
        <v>4800</v>
      </c>
      <c r="R9" s="117">
        <f>SUMIFS(record[NG],record[製程料號],_018_XXX[[#This Row],[製令單號]],record[ProcessSN],R$1)</f>
        <v>0</v>
      </c>
      <c r="S9" s="117">
        <f>_018_XXX[[#This Row],['#01 OK]]-_018_XXX[[#This Row],['#02已委外數量]]</f>
        <v>0</v>
      </c>
      <c r="T9" s="117">
        <f>SUMIFS(record[OK],record[製程料號],_018_XXX[[#This Row],[製令單號]],record[ProcessSN],T$1)</f>
        <v>4800</v>
      </c>
      <c r="U9" s="118" t="str">
        <f>IF(_018_XXX[[#This Row],['#02已委外數量]]&gt;0,VLOOKUP(U$1,record[[ProcessSN]:[廠商]],12,FALSE),"尚未委外")</f>
        <v>俊杰</v>
      </c>
      <c r="V9" s="117">
        <f>_018_XXX[[#This Row],['#02已委外數量]]-_018_XXX[[#This Row],['#02委外NG]]-_018_XXX[[#This Row],['#02回
良品]]</f>
        <v>0</v>
      </c>
      <c r="W9" s="117">
        <f>SUMIFS(record[OK],record[製程料號],_018_XXX[[#This Row],[製令單號]],record[ProcessSN],W$1)</f>
        <v>4781</v>
      </c>
      <c r="X9" s="117">
        <f>SUMIFS(record[NG],record[製程料號],_018_XXX[[#This Row],[製令單號]],record[ProcessSN],X$1)</f>
        <v>19</v>
      </c>
      <c r="Y9" s="117">
        <f>_018_XXX[[#This Row],['#02回
良品]]-_018_XXX[[#This Row],['#02 OK]]-_018_XXX[[#This Row],['#02 NG]]</f>
        <v>0</v>
      </c>
      <c r="Z9" s="117">
        <f>SUMIFS(record[OK],record[製程料號],_018_XXX[[#This Row],[製令單號]],record[ProcessSN],Z$1)</f>
        <v>4781</v>
      </c>
      <c r="AA9" s="117">
        <f>SUMIFS(record[NG],record[製程料號],_018_XXX[[#This Row],[製令單號]],record[ProcessSN],AA$1)</f>
        <v>0</v>
      </c>
      <c r="AB9" s="117">
        <f>_018_XXX[[#This Row],['#02 OK]]-_018_XXX[[#This Row],[入庫]]</f>
        <v>0</v>
      </c>
      <c r="AC9" s="117">
        <f>SUMIFS(record[OK],record[製程料號],_018_XXX[[#This Row],[製令單號]],record[ProcessSN],AC$1)</f>
        <v>4781</v>
      </c>
      <c r="AD9" s="117">
        <f>_018_XXX[[#This Row],[入庫]]-IFERROR(SUMIF(表格8[第一製程製令],_018_XXX[[#This Row],[製令單號]],表格8[分配數量]),0)</f>
        <v>0</v>
      </c>
      <c r="AE9" s="117">
        <f>_018_XXX[[#This Row],['#1-1 NG]]+_018_XXX[[#This Row],[NG]]+_018_XXX[[#This Row],['#1-2 NG]]+_018_XXX[[#This Row],['#01NG]]+_018_XXX[[#This Row],['#02委外NG]]+_018_XXX[[#This Row],['#02 NG]]</f>
        <v>19</v>
      </c>
      <c r="AF9" s="119">
        <f>IF(_018_XXX[[#This Row],[入庫]]+_018_XXX[[#This Row],[總不良數]]=_018_XXX[[#This Row],[入料數]],_018_XXX[[#This Row],[入庫]]/_018_XXX[[#This Row],[入料數]],"")</f>
        <v>0.99604166666666671</v>
      </c>
      <c r="AG9" s="233"/>
      <c r="AK9" s="126">
        <v>45651</v>
      </c>
      <c r="AL9" s="127" t="s">
        <v>581</v>
      </c>
      <c r="AM9" s="128" t="s">
        <v>536</v>
      </c>
      <c r="AN9" s="129" t="s">
        <v>642</v>
      </c>
      <c r="AO9" s="130">
        <v>840</v>
      </c>
    </row>
    <row r="10" spans="1:46" ht="27.75" x14ac:dyDescent="0.25">
      <c r="A10" s="113">
        <v>45811</v>
      </c>
      <c r="B10" s="114" t="s">
        <v>825</v>
      </c>
      <c r="C10" s="115" t="s">
        <v>508</v>
      </c>
      <c r="D10" s="116">
        <v>5200</v>
      </c>
      <c r="E10" s="117">
        <f>_018_XXX[[#This Row],[入料數]]-_018_XXX[[#This Row],[進料檢OK]]-_018_XXX[[#This Row],[NG]]</f>
        <v>0</v>
      </c>
      <c r="F10" s="117">
        <f>SUMIFS(record[OK],record[製程料號],_018_XXX[[#This Row],[製令單號]],record[ProcessSN],F$1)</f>
        <v>5200</v>
      </c>
      <c r="G10" s="117">
        <f>SUMIFS(record[NG],record[製程料號],_018_XXX[[#This Row],[製令單號]],record[ProcessSN],G$1)</f>
        <v>0</v>
      </c>
      <c r="H10" s="117">
        <f>_018_XXX[[#This Row],[進料檢OK]]-_018_XXX[[#This Row],['#01已發料數量]]</f>
        <v>0</v>
      </c>
      <c r="I10" s="117">
        <f>SUMIFS(record[OK],record[製程料號],_018_XXX[[#This Row],[製令單號]],record[ProcessSN],I$1)</f>
        <v>5200</v>
      </c>
      <c r="J10" s="117">
        <f>'018#1'!$I10-'018#1'!$K10-_018_XXX[[#This Row],['#1-1 NG]]</f>
        <v>0</v>
      </c>
      <c r="K10" s="117">
        <f>SUMIFS(record[OK],record[製程料號],_018_XXX[[#This Row],[製令單號]],record[ProcessSN],K$1)</f>
        <v>5199</v>
      </c>
      <c r="L10" s="117">
        <f>SUMIFS(record[NG],record[製程料號],_018_XXX[[#This Row],[製令單號]],record[ProcessSN],L$1)</f>
        <v>1</v>
      </c>
      <c r="M10" s="117">
        <f>_018_XXX[[#This Row],['#1-1 OK]]-_018_XXX[[#This Row],['#1-2 OK]]-_018_XXX[[#This Row],['#1-2 NG]]</f>
        <v>0</v>
      </c>
      <c r="N10" s="117">
        <f>SUMIFS(record[OK],record[製程料號],_018_XXX[[#This Row],[製令單號]],record[ProcessSN],N$1)</f>
        <v>5199</v>
      </c>
      <c r="O10" s="117">
        <f>SUMIFS(record[NG],record[製程料號],_018_XXX[[#This Row],[製令單號]],record[ProcessSN],O$1)</f>
        <v>0</v>
      </c>
      <c r="P10" s="117">
        <f>_018_XXX[[#This Row],['#1-2 OK]]-_018_XXX[[#This Row],['#01NG]]-_018_XXX[[#This Row],['#01 OK]]</f>
        <v>0</v>
      </c>
      <c r="Q10" s="117">
        <f>SUMIFS(record[OK],record[製程料號],_018_XXX[[#This Row],[製令單號]],record[ProcessSN],Q$1)</f>
        <v>5199</v>
      </c>
      <c r="R10" s="117">
        <f>SUMIFS(record[NG],record[製程料號],_018_XXX[[#This Row],[製令單號]],record[ProcessSN],R$1)</f>
        <v>0</v>
      </c>
      <c r="S10" s="117">
        <f>_018_XXX[[#This Row],['#01 OK]]-_018_XXX[[#This Row],['#02已委外數量]]</f>
        <v>0</v>
      </c>
      <c r="T10" s="117">
        <f>SUMIFS(record[OK],record[製程料號],_018_XXX[[#This Row],[製令單號]],record[ProcessSN],T$1)</f>
        <v>5199</v>
      </c>
      <c r="U10" s="118" t="str">
        <f>IF(_018_XXX[[#This Row],['#02已委外數量]]&gt;0,VLOOKUP(U$1,record[[ProcessSN]:[廠商]],12,FALSE),"尚未委外")</f>
        <v>俊杰</v>
      </c>
      <c r="V10" s="117">
        <f>_018_XXX[[#This Row],['#02已委外數量]]-_018_XXX[[#This Row],['#02委外NG]]-_018_XXX[[#This Row],['#02回
良品]]</f>
        <v>0</v>
      </c>
      <c r="W10" s="117">
        <f>SUMIFS(record[OK],record[製程料號],_018_XXX[[#This Row],[製令單號]],record[ProcessSN],W$1)</f>
        <v>5199</v>
      </c>
      <c r="X10" s="117">
        <f>SUMIFS(record[NG],record[製程料號],_018_XXX[[#This Row],[製令單號]],record[ProcessSN],X$1)</f>
        <v>0</v>
      </c>
      <c r="Y10" s="117">
        <f>_018_XXX[[#This Row],['#02回
良品]]-_018_XXX[[#This Row],['#02 OK]]-_018_XXX[[#This Row],['#02 NG]]</f>
        <v>0</v>
      </c>
      <c r="Z10" s="117">
        <f>SUMIFS(record[OK],record[製程料號],_018_XXX[[#This Row],[製令單號]],record[ProcessSN],Z$1)</f>
        <v>5199</v>
      </c>
      <c r="AA10" s="117">
        <f>SUMIFS(record[NG],record[製程料號],_018_XXX[[#This Row],[製令單號]],record[ProcessSN],AA$1)</f>
        <v>0</v>
      </c>
      <c r="AB10" s="117">
        <f>_018_XXX[[#This Row],['#02 OK]]-_018_XXX[[#This Row],[入庫]]</f>
        <v>0</v>
      </c>
      <c r="AC10" s="117">
        <f>SUMIFS(record[OK],record[製程料號],_018_XXX[[#This Row],[製令單號]],record[ProcessSN],AC$1)</f>
        <v>5199</v>
      </c>
      <c r="AD10" s="117">
        <f>_018_XXX[[#This Row],[入庫]]-IFERROR(SUMIF(表格8[第一製程製令],_018_XXX[[#This Row],[製令單號]],表格8[分配數量]),0)</f>
        <v>0</v>
      </c>
      <c r="AE10" s="117">
        <f>_018_XXX[[#This Row],['#1-1 NG]]+_018_XXX[[#This Row],[NG]]+_018_XXX[[#This Row],['#1-2 NG]]+_018_XXX[[#This Row],['#01NG]]+_018_XXX[[#This Row],['#02委外NG]]+_018_XXX[[#This Row],['#02 NG]]</f>
        <v>1</v>
      </c>
      <c r="AF10" s="119">
        <f>IF(_018_XXX[[#This Row],[入庫]]+_018_XXX[[#This Row],[總不良數]]=_018_XXX[[#This Row],[入料數]],_018_XXX[[#This Row],[入庫]]/_018_XXX[[#This Row],[入料數]],"")</f>
        <v>0.99980769230769229</v>
      </c>
      <c r="AG10" s="233"/>
      <c r="AK10" s="126">
        <v>45653</v>
      </c>
      <c r="AL10" s="127" t="s">
        <v>581</v>
      </c>
      <c r="AM10" s="128" t="s">
        <v>536</v>
      </c>
      <c r="AN10" s="129" t="s">
        <v>650</v>
      </c>
      <c r="AO10" s="130">
        <v>1227</v>
      </c>
    </row>
    <row r="11" spans="1:46" ht="27.75" x14ac:dyDescent="0.25">
      <c r="A11" s="113">
        <v>45820</v>
      </c>
      <c r="B11" s="114" t="s">
        <v>849</v>
      </c>
      <c r="C11" s="115" t="s">
        <v>508</v>
      </c>
      <c r="D11" s="116">
        <v>5320</v>
      </c>
      <c r="E11" s="117">
        <f>_018_XXX[[#This Row],[入料數]]-_018_XXX[[#This Row],[進料檢OK]]-_018_XXX[[#This Row],[NG]]</f>
        <v>0</v>
      </c>
      <c r="F11" s="117">
        <f>SUMIFS(record[OK],record[製程料號],_018_XXX[[#This Row],[製令單號]],record[ProcessSN],F$1)</f>
        <v>5320</v>
      </c>
      <c r="G11" s="117">
        <f>SUMIFS(record[NG],record[製程料號],_018_XXX[[#This Row],[製令單號]],record[ProcessSN],G$1)</f>
        <v>0</v>
      </c>
      <c r="H11" s="117">
        <f>_018_XXX[[#This Row],[進料檢OK]]-_018_XXX[[#This Row],['#01已發料數量]]</f>
        <v>0</v>
      </c>
      <c r="I11" s="117">
        <f>SUMIFS(record[OK],record[製程料號],_018_XXX[[#This Row],[製令單號]],record[ProcessSN],I$1)</f>
        <v>5320</v>
      </c>
      <c r="J11" s="117">
        <f>'018#1'!$I11-'018#1'!$K11-_018_XXX[[#This Row],['#1-1 NG]]</f>
        <v>0</v>
      </c>
      <c r="K11" s="117">
        <f>SUMIFS(record[OK],record[製程料號],_018_XXX[[#This Row],[製令單號]],record[ProcessSN],K$1)</f>
        <v>5318</v>
      </c>
      <c r="L11" s="117">
        <f>SUMIFS(record[NG],record[製程料號],_018_XXX[[#This Row],[製令單號]],record[ProcessSN],L$1)</f>
        <v>2</v>
      </c>
      <c r="M11" s="117">
        <f>_018_XXX[[#This Row],['#1-1 OK]]-_018_XXX[[#This Row],['#1-2 OK]]-_018_XXX[[#This Row],['#1-2 NG]]</f>
        <v>0</v>
      </c>
      <c r="N11" s="117">
        <f>SUMIFS(record[OK],record[製程料號],_018_XXX[[#This Row],[製令單號]],record[ProcessSN],N$1)</f>
        <v>5255</v>
      </c>
      <c r="O11" s="117">
        <f>SUMIFS(record[NG],record[製程料號],_018_XXX[[#This Row],[製令單號]],record[ProcessSN],O$1)</f>
        <v>63</v>
      </c>
      <c r="P11" s="117">
        <f>_018_XXX[[#This Row],['#1-2 OK]]-_018_XXX[[#This Row],['#01NG]]-_018_XXX[[#This Row],['#01 OK]]</f>
        <v>0</v>
      </c>
      <c r="Q11" s="117">
        <f>SUMIFS(record[OK],record[製程料號],_018_XXX[[#This Row],[製令單號]],record[ProcessSN],Q$1)</f>
        <v>5254</v>
      </c>
      <c r="R11" s="117">
        <f>SUMIFS(record[NG],record[製程料號],_018_XXX[[#This Row],[製令單號]],record[ProcessSN],R$1)</f>
        <v>1</v>
      </c>
      <c r="S11" s="117">
        <f>_018_XXX[[#This Row],['#01 OK]]-_018_XXX[[#This Row],['#02已委外數量]]</f>
        <v>0</v>
      </c>
      <c r="T11" s="117">
        <f>SUMIFS(record[OK],record[製程料號],_018_XXX[[#This Row],[製令單號]],record[ProcessSN],T$1)</f>
        <v>5254</v>
      </c>
      <c r="U11" s="118" t="str">
        <f>IF(_018_XXX[[#This Row],['#02已委外數量]]&gt;0,VLOOKUP(U$1,record[[ProcessSN]:[廠商]],12,FALSE),"尚未委外")</f>
        <v>俊杰</v>
      </c>
      <c r="V11" s="117">
        <f>_018_XXX[[#This Row],['#02已委外數量]]-_018_XXX[[#This Row],['#02委外NG]]-_018_XXX[[#This Row],['#02回
良品]]</f>
        <v>0</v>
      </c>
      <c r="W11" s="117">
        <f>SUMIFS(record[OK],record[製程料號],_018_XXX[[#This Row],[製令單號]],record[ProcessSN],W$1)</f>
        <v>5250</v>
      </c>
      <c r="X11" s="117">
        <f>SUMIFS(record[NG],record[製程料號],_018_XXX[[#This Row],[製令單號]],record[ProcessSN],X$1)</f>
        <v>4</v>
      </c>
      <c r="Y11" s="117">
        <f>_018_XXX[[#This Row],['#02回
良品]]-_018_XXX[[#This Row],['#02 OK]]-_018_XXX[[#This Row],['#02 NG]]</f>
        <v>0</v>
      </c>
      <c r="Z11" s="117">
        <f>SUMIFS(record[OK],record[製程料號],_018_XXX[[#This Row],[製令單號]],record[ProcessSN],Z$1)</f>
        <v>5250</v>
      </c>
      <c r="AA11" s="117">
        <f>SUMIFS(record[NG],record[製程料號],_018_XXX[[#This Row],[製令單號]],record[ProcessSN],AA$1)</f>
        <v>0</v>
      </c>
      <c r="AB11" s="117">
        <f>_018_XXX[[#This Row],['#02 OK]]-_018_XXX[[#This Row],[入庫]]</f>
        <v>0</v>
      </c>
      <c r="AC11" s="117">
        <f>SUMIFS(record[OK],record[製程料號],_018_XXX[[#This Row],[製令單號]],record[ProcessSN],AC$1)</f>
        <v>5250</v>
      </c>
      <c r="AD11" s="117">
        <f>_018_XXX[[#This Row],[入庫]]-IFERROR(SUMIF(表格8[第一製程製令],_018_XXX[[#This Row],[製令單號]],表格8[分配數量]),0)</f>
        <v>0</v>
      </c>
      <c r="AE11" s="117">
        <f>_018_XXX[[#This Row],['#1-1 NG]]+_018_XXX[[#This Row],[NG]]+_018_XXX[[#This Row],['#1-2 NG]]+_018_XXX[[#This Row],['#01NG]]+_018_XXX[[#This Row],['#02委外NG]]+_018_XXX[[#This Row],['#02 NG]]</f>
        <v>70</v>
      </c>
      <c r="AF11" s="119">
        <f>IF(_018_XXX[[#This Row],[入庫]]+_018_XXX[[#This Row],[總不良數]]=_018_XXX[[#This Row],[入料數]],_018_XXX[[#This Row],[入庫]]/_018_XXX[[#This Row],[入料數]],"")</f>
        <v>0.98684210526315785</v>
      </c>
      <c r="AG11" s="233"/>
      <c r="AK11" s="126">
        <v>45728</v>
      </c>
      <c r="AL11" s="127" t="s">
        <v>581</v>
      </c>
      <c r="AM11" s="128" t="s">
        <v>536</v>
      </c>
      <c r="AN11" s="129" t="s">
        <v>753</v>
      </c>
      <c r="AO11" s="130">
        <v>8</v>
      </c>
    </row>
    <row r="12" spans="1:46" ht="27.75" x14ac:dyDescent="0.25">
      <c r="A12" s="113">
        <v>45863</v>
      </c>
      <c r="B12" s="114" t="s">
        <v>922</v>
      </c>
      <c r="C12" s="115" t="s">
        <v>508</v>
      </c>
      <c r="D12" s="116">
        <v>4680</v>
      </c>
      <c r="E12" s="117">
        <f>_018_XXX[[#This Row],[入料數]]-_018_XXX[[#This Row],[進料檢OK]]-_018_XXX[[#This Row],[NG]]</f>
        <v>0</v>
      </c>
      <c r="F12" s="117">
        <f>SUMIFS(record[OK],record[製程料號],_018_XXX[[#This Row],[製令單號]],record[ProcessSN],F$1)</f>
        <v>4680</v>
      </c>
      <c r="G12" s="117">
        <f>SUMIFS(record[NG],record[製程料號],_018_XXX[[#This Row],[製令單號]],record[ProcessSN],G$1)</f>
        <v>0</v>
      </c>
      <c r="H12" s="117">
        <f>_018_XXX[[#This Row],[進料檢OK]]-_018_XXX[[#This Row],['#01已發料數量]]</f>
        <v>0</v>
      </c>
      <c r="I12" s="117">
        <f>SUMIFS(record[OK],record[製程料號],_018_XXX[[#This Row],[製令單號]],record[ProcessSN],I$1)</f>
        <v>4680</v>
      </c>
      <c r="J12" s="117">
        <f>'018#1'!$I12-'018#1'!$K12-_018_XXX[[#This Row],['#1-1 NG]]</f>
        <v>0</v>
      </c>
      <c r="K12" s="117">
        <f>SUMIFS(record[OK],record[製程料號],_018_XXX[[#This Row],[製令單號]],record[ProcessSN],K$1)</f>
        <v>4675</v>
      </c>
      <c r="L12" s="117">
        <f>SUMIFS(record[NG],record[製程料號],_018_XXX[[#This Row],[製令單號]],record[ProcessSN],L$1)</f>
        <v>5</v>
      </c>
      <c r="M12" s="117">
        <f>_018_XXX[[#This Row],['#1-1 OK]]-_018_XXX[[#This Row],['#1-2 OK]]-_018_XXX[[#This Row],['#1-2 NG]]</f>
        <v>0</v>
      </c>
      <c r="N12" s="117">
        <f>SUMIFS(record[OK],record[製程料號],_018_XXX[[#This Row],[製令單號]],record[ProcessSN],N$1)</f>
        <v>4668</v>
      </c>
      <c r="O12" s="117">
        <f>SUMIFS(record[NG],record[製程料號],_018_XXX[[#This Row],[製令單號]],record[ProcessSN],O$1)</f>
        <v>7</v>
      </c>
      <c r="P12" s="117">
        <f>_018_XXX[[#This Row],['#1-2 OK]]-_018_XXX[[#This Row],['#01NG]]-_018_XXX[[#This Row],['#01 OK]]</f>
        <v>0</v>
      </c>
      <c r="Q12" s="117">
        <f>SUMIFS(record[OK],record[製程料號],_018_XXX[[#This Row],[製令單號]],record[ProcessSN],Q$1)</f>
        <v>4668</v>
      </c>
      <c r="R12" s="117">
        <f>SUMIFS(record[NG],record[製程料號],_018_XXX[[#This Row],[製令單號]],record[ProcessSN],R$1)</f>
        <v>0</v>
      </c>
      <c r="S12" s="117">
        <f>_018_XXX[[#This Row],['#01 OK]]-_018_XXX[[#This Row],['#02已委外數量]]</f>
        <v>0</v>
      </c>
      <c r="T12" s="117">
        <f>SUMIFS(record[OK],record[製程料號],_018_XXX[[#This Row],[製令單號]],record[ProcessSN],T$1)</f>
        <v>4668</v>
      </c>
      <c r="U12" s="118" t="str">
        <f>IF(_018_XXX[[#This Row],['#02已委外數量]]&gt;0,VLOOKUP(U$1,record[[ProcessSN]:[廠商]],12,FALSE),"尚未委外")</f>
        <v>俊杰</v>
      </c>
      <c r="V12" s="117">
        <f>_018_XXX[[#This Row],['#02已委外數量]]-_018_XXX[[#This Row],['#02委外NG]]-_018_XXX[[#This Row],['#02回
良品]]</f>
        <v>0</v>
      </c>
      <c r="W12" s="117">
        <f>SUMIFS(record[OK],record[製程料號],_018_XXX[[#This Row],[製令單號]],record[ProcessSN],W$1)</f>
        <v>4668</v>
      </c>
      <c r="X12" s="117">
        <f>SUMIFS(record[NG],record[製程料號],_018_XXX[[#This Row],[製令單號]],record[ProcessSN],X$1)</f>
        <v>0</v>
      </c>
      <c r="Y12" s="117">
        <f>_018_XXX[[#This Row],['#02回
良品]]-_018_XXX[[#This Row],['#02 OK]]-_018_XXX[[#This Row],['#02 NG]]</f>
        <v>0</v>
      </c>
      <c r="Z12" s="117">
        <f>SUMIFS(record[OK],record[製程料號],_018_XXX[[#This Row],[製令單號]],record[ProcessSN],Z$1)</f>
        <v>4668</v>
      </c>
      <c r="AA12" s="117">
        <f>SUMIFS(record[NG],record[製程料號],_018_XXX[[#This Row],[製令單號]],record[ProcessSN],AA$1)</f>
        <v>0</v>
      </c>
      <c r="AB12" s="117">
        <f>_018_XXX[[#This Row],['#02 OK]]-_018_XXX[[#This Row],[入庫]]</f>
        <v>0</v>
      </c>
      <c r="AC12" s="117">
        <f>SUMIFS(record[OK],record[製程料號],_018_XXX[[#This Row],[製令單號]],record[ProcessSN],AC$1)</f>
        <v>4668</v>
      </c>
      <c r="AD12" s="117">
        <f>_018_XXX[[#This Row],[入庫]]-IFERROR(SUMIF(表格8[第一製程製令],_018_XXX[[#This Row],[製令單號]],表格8[分配數量]),0)</f>
        <v>0</v>
      </c>
      <c r="AE12" s="117">
        <f>_018_XXX[[#This Row],['#1-1 NG]]+_018_XXX[[#This Row],[NG]]+_018_XXX[[#This Row],['#1-2 NG]]+_018_XXX[[#This Row],['#01NG]]+_018_XXX[[#This Row],['#02委外NG]]+_018_XXX[[#This Row],['#02 NG]]</f>
        <v>12</v>
      </c>
      <c r="AF12" s="119">
        <f>IF(_018_XXX[[#This Row],[入庫]]+_018_XXX[[#This Row],[總不良數]]=_018_XXX[[#This Row],[入料數]],_018_XXX[[#This Row],[入庫]]/_018_XXX[[#This Row],[入料數]],"")</f>
        <v>0.99743589743589745</v>
      </c>
      <c r="AG12" s="233"/>
      <c r="AK12" s="126">
        <v>45728</v>
      </c>
      <c r="AL12" s="127" t="s">
        <v>732</v>
      </c>
      <c r="AM12" s="128" t="s">
        <v>536</v>
      </c>
      <c r="AN12" s="129" t="s">
        <v>753</v>
      </c>
      <c r="AO12" s="130">
        <v>1918</v>
      </c>
    </row>
    <row r="13" spans="1:46" ht="27.75" x14ac:dyDescent="0.25">
      <c r="A13" s="113">
        <v>45884</v>
      </c>
      <c r="B13" s="114" t="s">
        <v>989</v>
      </c>
      <c r="C13" s="115" t="s">
        <v>508</v>
      </c>
      <c r="D13" s="116">
        <v>4960</v>
      </c>
      <c r="E13" s="117">
        <f>_018_XXX[[#This Row],[入料數]]-_018_XXX[[#This Row],[進料檢OK]]-_018_XXX[[#This Row],[NG]]</f>
        <v>0</v>
      </c>
      <c r="F13" s="117">
        <f>SUMIFS(record[OK],record[製程料號],_018_XXX[[#This Row],[製令單號]],record[ProcessSN],F$1)</f>
        <v>4960</v>
      </c>
      <c r="G13" s="117">
        <f>SUMIFS(record[NG],record[製程料號],_018_XXX[[#This Row],[製令單號]],record[ProcessSN],G$1)</f>
        <v>0</v>
      </c>
      <c r="H13" s="117">
        <f>_018_XXX[[#This Row],[進料檢OK]]-_018_XXX[[#This Row],['#01已發料數量]]</f>
        <v>0</v>
      </c>
      <c r="I13" s="117">
        <f>SUMIFS(record[OK],record[製程料號],_018_XXX[[#This Row],[製令單號]],record[ProcessSN],I$1)</f>
        <v>4960</v>
      </c>
      <c r="J13" s="117">
        <f>'018#1'!$I13-'018#1'!$K13-_018_XXX[[#This Row],['#1-1 NG]]</f>
        <v>0</v>
      </c>
      <c r="K13" s="117">
        <f>SUMIFS(record[OK],record[製程料號],_018_XXX[[#This Row],[製令單號]],record[ProcessSN],K$1)</f>
        <v>4960</v>
      </c>
      <c r="L13" s="117">
        <f>SUMIFS(record[NG],record[製程料號],_018_XXX[[#This Row],[製令單號]],record[ProcessSN],L$1)</f>
        <v>0</v>
      </c>
      <c r="M13" s="117">
        <f>_018_XXX[[#This Row],['#1-1 OK]]-_018_XXX[[#This Row],['#1-2 OK]]-_018_XXX[[#This Row],['#1-2 NG]]</f>
        <v>0</v>
      </c>
      <c r="N13" s="117">
        <f>SUMIFS(record[OK],record[製程料號],_018_XXX[[#This Row],[製令單號]],record[ProcessSN],N$1)</f>
        <v>4958</v>
      </c>
      <c r="O13" s="117">
        <f>SUMIFS(record[NG],record[製程料號],_018_XXX[[#This Row],[製令單號]],record[ProcessSN],O$1)</f>
        <v>2</v>
      </c>
      <c r="P13" s="117">
        <f>_018_XXX[[#This Row],['#1-2 OK]]-_018_XXX[[#This Row],['#01NG]]-_018_XXX[[#This Row],['#01 OK]]</f>
        <v>0</v>
      </c>
      <c r="Q13" s="117">
        <f>SUMIFS(record[OK],record[製程料號],_018_XXX[[#This Row],[製令單號]],record[ProcessSN],Q$1)</f>
        <v>4958</v>
      </c>
      <c r="R13" s="117">
        <f>SUMIFS(record[NG],record[製程料號],_018_XXX[[#This Row],[製令單號]],record[ProcessSN],R$1)</f>
        <v>0</v>
      </c>
      <c r="S13" s="117">
        <f>_018_XXX[[#This Row],['#01 OK]]-_018_XXX[[#This Row],['#02已委外數量]]</f>
        <v>0</v>
      </c>
      <c r="T13" s="117">
        <f>SUMIFS(record[OK],record[製程料號],_018_XXX[[#This Row],[製令單號]],record[ProcessSN],T$1)</f>
        <v>4958</v>
      </c>
      <c r="U13" s="118" t="str">
        <f>IF(_018_XXX[[#This Row],['#02已委外數量]]&gt;0,VLOOKUP(U$1,record[[ProcessSN]:[廠商]],12,FALSE),"尚未委外")</f>
        <v>俊杰</v>
      </c>
      <c r="V13" s="117">
        <f>_018_XXX[[#This Row],['#02已委外數量]]-_018_XXX[[#This Row],['#02委外NG]]-_018_XXX[[#This Row],['#02回
良品]]</f>
        <v>0</v>
      </c>
      <c r="W13" s="117">
        <f>SUMIFS(record[OK],record[製程料號],_018_XXX[[#This Row],[製令單號]],record[ProcessSN],W$1)</f>
        <v>4957</v>
      </c>
      <c r="X13" s="117">
        <f>SUMIFS(record[NG],record[製程料號],_018_XXX[[#This Row],[製令單號]],record[ProcessSN],X$1)</f>
        <v>1</v>
      </c>
      <c r="Y13" s="117">
        <f>_018_XXX[[#This Row],['#02回
良品]]-_018_XXX[[#This Row],['#02 OK]]-_018_XXX[[#This Row],['#02 NG]]</f>
        <v>0</v>
      </c>
      <c r="Z13" s="117">
        <f>SUMIFS(record[OK],record[製程料號],_018_XXX[[#This Row],[製令單號]],record[ProcessSN],Z$1)</f>
        <v>4957</v>
      </c>
      <c r="AA13" s="117">
        <f>SUMIFS(record[NG],record[製程料號],_018_XXX[[#This Row],[製令單號]],record[ProcessSN],AA$1)</f>
        <v>0</v>
      </c>
      <c r="AB13" s="117">
        <f>_018_XXX[[#This Row],['#02 OK]]-_018_XXX[[#This Row],[入庫]]</f>
        <v>0</v>
      </c>
      <c r="AC13" s="117">
        <f>SUMIFS(record[OK],record[製程料號],_018_XXX[[#This Row],[製令單號]],record[ProcessSN],AC$1)</f>
        <v>4957</v>
      </c>
      <c r="AD13" s="117">
        <f>_018_XXX[[#This Row],[入庫]]-IFERROR(SUMIF(表格8[第一製程製令],_018_XXX[[#This Row],[製令單號]],表格8[分配數量]),0)</f>
        <v>0</v>
      </c>
      <c r="AE13" s="117">
        <f>_018_XXX[[#This Row],['#1-1 NG]]+_018_XXX[[#This Row],[NG]]+_018_XXX[[#This Row],['#1-2 NG]]+_018_XXX[[#This Row],['#01NG]]+_018_XXX[[#This Row],['#02委外NG]]+_018_XXX[[#This Row],['#02 NG]]</f>
        <v>3</v>
      </c>
      <c r="AF13" s="119">
        <f>IF(_018_XXX[[#This Row],[入庫]]+_018_XXX[[#This Row],[總不良數]]=_018_XXX[[#This Row],[入料數]],_018_XXX[[#This Row],[入庫]]/_018_XXX[[#This Row],[入料數]],"")</f>
        <v>0.99939516129032258</v>
      </c>
      <c r="AG13" s="233"/>
      <c r="AK13" s="126">
        <v>45768</v>
      </c>
      <c r="AL13" s="127" t="s">
        <v>756</v>
      </c>
      <c r="AM13" s="128" t="s">
        <v>781</v>
      </c>
      <c r="AN13" s="129" t="s">
        <v>779</v>
      </c>
      <c r="AO13" s="130">
        <v>1000</v>
      </c>
    </row>
    <row r="14" spans="1:46" ht="27.75" x14ac:dyDescent="0.25">
      <c r="A14" s="113">
        <v>45909</v>
      </c>
      <c r="B14" s="114" t="s">
        <v>1043</v>
      </c>
      <c r="C14" s="115" t="s">
        <v>508</v>
      </c>
      <c r="D14" s="116">
        <v>3840</v>
      </c>
      <c r="E14" s="117">
        <f>_018_XXX[[#This Row],[入料數]]-_018_XXX[[#This Row],[進料檢OK]]-_018_XXX[[#This Row],[NG]]</f>
        <v>0</v>
      </c>
      <c r="F14" s="117">
        <f>SUMIFS(record[OK],record[製程料號],_018_XXX[[#This Row],[製令單號]],record[ProcessSN],F$1)</f>
        <v>3840</v>
      </c>
      <c r="G14" s="117">
        <f>SUMIFS(record[NG],record[製程料號],_018_XXX[[#This Row],[製令單號]],record[ProcessSN],G$1)</f>
        <v>0</v>
      </c>
      <c r="H14" s="117">
        <f>_018_XXX[[#This Row],[進料檢OK]]-_018_XXX[[#This Row],['#01已發料數量]]</f>
        <v>0</v>
      </c>
      <c r="I14" s="117">
        <f>SUMIFS(record[OK],record[製程料號],_018_XXX[[#This Row],[製令單號]],record[ProcessSN],I$1)</f>
        <v>3840</v>
      </c>
      <c r="J14" s="117">
        <f>'018#1'!$I14-'018#1'!$K14-_018_XXX[[#This Row],['#1-1 NG]]</f>
        <v>0</v>
      </c>
      <c r="K14" s="117">
        <f>SUMIFS(record[OK],record[製程料號],_018_XXX[[#This Row],[製令單號]],record[ProcessSN],K$1)</f>
        <v>3840</v>
      </c>
      <c r="L14" s="117">
        <f>SUMIFS(record[NG],record[製程料號],_018_XXX[[#This Row],[製令單號]],record[ProcessSN],L$1)</f>
        <v>0</v>
      </c>
      <c r="M14" s="117">
        <f>_018_XXX[[#This Row],['#1-1 OK]]-_018_XXX[[#This Row],['#1-2 OK]]-_018_XXX[[#This Row],['#1-2 NG]]</f>
        <v>0</v>
      </c>
      <c r="N14" s="117">
        <f>SUMIFS(record[OK],record[製程料號],_018_XXX[[#This Row],[製令單號]],record[ProcessSN],N$1)</f>
        <v>3831</v>
      </c>
      <c r="O14" s="117">
        <f>SUMIFS(record[NG],record[製程料號],_018_XXX[[#This Row],[製令單號]],record[ProcessSN],O$1)</f>
        <v>9</v>
      </c>
      <c r="P14" s="117">
        <f>_018_XXX[[#This Row],['#1-2 OK]]-_018_XXX[[#This Row],['#01NG]]-_018_XXX[[#This Row],['#01 OK]]</f>
        <v>0</v>
      </c>
      <c r="Q14" s="117">
        <f>SUMIFS(record[OK],record[製程料號],_018_XXX[[#This Row],[製令單號]],record[ProcessSN],Q$1)</f>
        <v>3831</v>
      </c>
      <c r="R14" s="117">
        <f>SUMIFS(record[NG],record[製程料號],_018_XXX[[#This Row],[製令單號]],record[ProcessSN],R$1)</f>
        <v>0</v>
      </c>
      <c r="S14" s="117">
        <f>_018_XXX[[#This Row],['#01 OK]]-_018_XXX[[#This Row],['#02已委外數量]]</f>
        <v>0</v>
      </c>
      <c r="T14" s="117">
        <f>SUMIFS(record[OK],record[製程料號],_018_XXX[[#This Row],[製令單號]],record[ProcessSN],T$1)</f>
        <v>3831</v>
      </c>
      <c r="U14" s="118" t="str">
        <f>IF(_018_XXX[[#This Row],['#02已委外數量]]&gt;0,VLOOKUP(U$1,record[[ProcessSN]:[廠商]],12,FALSE),"尚未委外")</f>
        <v>俊杰</v>
      </c>
      <c r="V14" s="117">
        <f>_018_XXX[[#This Row],['#02已委外數量]]-_018_XXX[[#This Row],['#02委外NG]]-_018_XXX[[#This Row],['#02回
良品]]</f>
        <v>0</v>
      </c>
      <c r="W14" s="117">
        <f>SUMIFS(record[OK],record[製程料號],_018_XXX[[#This Row],[製令單號]],record[ProcessSN],W$1)</f>
        <v>3831</v>
      </c>
      <c r="X14" s="117">
        <f>SUMIFS(record[NG],record[製程料號],_018_XXX[[#This Row],[製令單號]],record[ProcessSN],X$1)</f>
        <v>0</v>
      </c>
      <c r="Y14" s="117">
        <f>_018_XXX[[#This Row],['#02回
良品]]-_018_XXX[[#This Row],['#02 OK]]-_018_XXX[[#This Row],['#02 NG]]</f>
        <v>0</v>
      </c>
      <c r="Z14" s="117">
        <f>SUMIFS(record[OK],record[製程料號],_018_XXX[[#This Row],[製令單號]],record[ProcessSN],Z$1)</f>
        <v>3831</v>
      </c>
      <c r="AA14" s="117">
        <f>SUMIFS(record[NG],record[製程料號],_018_XXX[[#This Row],[製令單號]],record[ProcessSN],AA$1)</f>
        <v>0</v>
      </c>
      <c r="AB14" s="117">
        <f>_018_XXX[[#This Row],['#02 OK]]-_018_XXX[[#This Row],[入庫]]</f>
        <v>0</v>
      </c>
      <c r="AC14" s="117">
        <f>SUMIFS(record[OK],record[製程料號],_018_XXX[[#This Row],[製令單號]],record[ProcessSN],AC$1)</f>
        <v>3831</v>
      </c>
      <c r="AD14" s="117">
        <f>_018_XXX[[#This Row],[入庫]]-IFERROR(SUMIF(表格8[第一製程製令],_018_XXX[[#This Row],[製令單號]],表格8[分配數量]),0)</f>
        <v>0</v>
      </c>
      <c r="AE14" s="117">
        <f>_018_XXX[[#This Row],['#1-1 NG]]+_018_XXX[[#This Row],[NG]]+_018_XXX[[#This Row],['#1-2 NG]]+_018_XXX[[#This Row],['#01NG]]+_018_XXX[[#This Row],['#02委外NG]]+_018_XXX[[#This Row],['#02 NG]]</f>
        <v>9</v>
      </c>
      <c r="AF14" s="119">
        <f>IF(_018_XXX[[#This Row],[入庫]]+_018_XXX[[#This Row],[總不良數]]=_018_XXX[[#This Row],[入料數]],_018_XXX[[#This Row],[入庫]]/_018_XXX[[#This Row],[入料數]],"")</f>
        <v>0.99765625000000002</v>
      </c>
      <c r="AG14" s="233"/>
      <c r="AK14" s="126">
        <v>45768</v>
      </c>
      <c r="AL14" s="127" t="s">
        <v>756</v>
      </c>
      <c r="AM14" s="128" t="s">
        <v>536</v>
      </c>
      <c r="AN14" s="129" t="s">
        <v>780</v>
      </c>
      <c r="AO14" s="130">
        <v>3781</v>
      </c>
    </row>
    <row r="15" spans="1:46" ht="27.75" x14ac:dyDescent="0.25">
      <c r="A15" s="113">
        <v>45957</v>
      </c>
      <c r="B15" s="114" t="s">
        <v>1148</v>
      </c>
      <c r="C15" s="115" t="s">
        <v>508</v>
      </c>
      <c r="D15" s="116">
        <v>1200</v>
      </c>
      <c r="E15" s="117">
        <f>_018_XXX[[#This Row],[入料數]]-_018_XXX[[#This Row],[進料檢OK]]-_018_XXX[[#This Row],[NG]]</f>
        <v>0</v>
      </c>
      <c r="F15" s="117">
        <f>SUMIFS(record[OK],record[製程料號],_018_XXX[[#This Row],[製令單號]],record[ProcessSN],F$1)</f>
        <v>1200</v>
      </c>
      <c r="G15" s="117">
        <f>SUMIFS(record[NG],record[製程料號],_018_XXX[[#This Row],[製令單號]],record[ProcessSN],G$1)</f>
        <v>0</v>
      </c>
      <c r="H15" s="117">
        <f>_018_XXX[[#This Row],[進料檢OK]]-_018_XXX[[#This Row],['#01已發料數量]]</f>
        <v>0</v>
      </c>
      <c r="I15" s="117">
        <f>SUMIFS(record[OK],record[製程料號],_018_XXX[[#This Row],[製令單號]],record[ProcessSN],I$1)</f>
        <v>1200</v>
      </c>
      <c r="J15" s="117">
        <f>'018#1'!$I15-'018#1'!$K15-_018_XXX[[#This Row],['#1-1 NG]]</f>
        <v>0</v>
      </c>
      <c r="K15" s="117">
        <f>SUMIFS(record[OK],record[製程料號],_018_XXX[[#This Row],[製令單號]],record[ProcessSN],K$1)</f>
        <v>1200</v>
      </c>
      <c r="L15" s="117">
        <f>SUMIFS(record[NG],record[製程料號],_018_XXX[[#This Row],[製令單號]],record[ProcessSN],L$1)</f>
        <v>0</v>
      </c>
      <c r="M15" s="117">
        <f>_018_XXX[[#This Row],['#1-1 OK]]-_018_XXX[[#This Row],['#1-2 OK]]-_018_XXX[[#This Row],['#1-2 NG]]</f>
        <v>0</v>
      </c>
      <c r="N15" s="117">
        <f>SUMIFS(record[OK],record[製程料號],_018_XXX[[#This Row],[製令單號]],record[ProcessSN],N$1)</f>
        <v>1200</v>
      </c>
      <c r="O15" s="117">
        <f>SUMIFS(record[NG],record[製程料號],_018_XXX[[#This Row],[製令單號]],record[ProcessSN],O$1)</f>
        <v>0</v>
      </c>
      <c r="P15" s="117">
        <f>_018_XXX[[#This Row],['#1-2 OK]]-_018_XXX[[#This Row],['#01NG]]-_018_XXX[[#This Row],['#01 OK]]</f>
        <v>0</v>
      </c>
      <c r="Q15" s="117">
        <f>SUMIFS(record[OK],record[製程料號],_018_XXX[[#This Row],[製令單號]],record[ProcessSN],Q$1)</f>
        <v>1200</v>
      </c>
      <c r="R15" s="117">
        <f>SUMIFS(record[NG],record[製程料號],_018_XXX[[#This Row],[製令單號]],record[ProcessSN],R$1)</f>
        <v>0</v>
      </c>
      <c r="S15" s="117">
        <f>_018_XXX[[#This Row],['#01 OK]]-_018_XXX[[#This Row],['#02已委外數量]]</f>
        <v>0</v>
      </c>
      <c r="T15" s="117">
        <f>SUMIFS(record[OK],record[製程料號],_018_XXX[[#This Row],[製令單號]],record[ProcessSN],T$1)</f>
        <v>1200</v>
      </c>
      <c r="U15" s="118" t="str">
        <f>IF(_018_XXX[[#This Row],['#02已委外數量]]&gt;0,VLOOKUP(U$1,record[[ProcessSN]:[廠商]],12,FALSE),"尚未委外")</f>
        <v>俊杰</v>
      </c>
      <c r="V15" s="117">
        <f>_018_XXX[[#This Row],['#02已委外數量]]-_018_XXX[[#This Row],['#02委外NG]]-_018_XXX[[#This Row],['#02回
良品]]</f>
        <v>0</v>
      </c>
      <c r="W15" s="117">
        <f>SUMIFS(record[OK],record[製程料號],_018_XXX[[#This Row],[製令單號]],record[ProcessSN],W$1)</f>
        <v>1200</v>
      </c>
      <c r="X15" s="117">
        <f>SUMIFS(record[NG],record[製程料號],_018_XXX[[#This Row],[製令單號]],record[ProcessSN],X$1)</f>
        <v>0</v>
      </c>
      <c r="Y15" s="117">
        <f>_018_XXX[[#This Row],['#02回
良品]]-_018_XXX[[#This Row],['#02 OK]]-_018_XXX[[#This Row],['#02 NG]]</f>
        <v>0</v>
      </c>
      <c r="Z15" s="117">
        <f>SUMIFS(record[OK],record[製程料號],_018_XXX[[#This Row],[製令單號]],record[ProcessSN],Z$1)</f>
        <v>1200</v>
      </c>
      <c r="AA15" s="117">
        <f>SUMIFS(record[NG],record[製程料號],_018_XXX[[#This Row],[製令單號]],record[ProcessSN],AA$1)</f>
        <v>0</v>
      </c>
      <c r="AB15" s="117">
        <f>_018_XXX[[#This Row],['#02 OK]]-_018_XXX[[#This Row],[入庫]]</f>
        <v>0</v>
      </c>
      <c r="AC15" s="117">
        <f>SUMIFS(record[OK],record[製程料號],_018_XXX[[#This Row],[製令單號]],record[ProcessSN],AC$1)</f>
        <v>1200</v>
      </c>
      <c r="AD15" s="117">
        <f>_018_XXX[[#This Row],[入庫]]-IFERROR(SUMIF(表格8[第一製程製令],_018_XXX[[#This Row],[製令單號]],表格8[分配數量]),0)</f>
        <v>0</v>
      </c>
      <c r="AE15" s="117">
        <f>_018_XXX[[#This Row],['#1-1 NG]]+_018_XXX[[#This Row],[NG]]+_018_XXX[[#This Row],['#1-2 NG]]+_018_XXX[[#This Row],['#01NG]]+_018_XXX[[#This Row],['#02委外NG]]+_018_XXX[[#This Row],['#02 NG]]</f>
        <v>0</v>
      </c>
      <c r="AF15" s="119">
        <f>IF(_018_XXX[[#This Row],[入庫]]+_018_XXX[[#This Row],[總不良數]]=_018_XXX[[#This Row],[入料數]],_018_XXX[[#This Row],[入庫]]/_018_XXX[[#This Row],[入料數]],"")</f>
        <v>1</v>
      </c>
      <c r="AG15" s="233"/>
      <c r="AK15" s="126">
        <v>45821</v>
      </c>
      <c r="AL15" s="127" t="s">
        <v>852</v>
      </c>
      <c r="AM15" s="128" t="s">
        <v>536</v>
      </c>
      <c r="AN15" s="129" t="s">
        <v>853</v>
      </c>
      <c r="AO15" s="130">
        <v>2000</v>
      </c>
    </row>
    <row r="16" spans="1:46" ht="27.75" x14ac:dyDescent="0.25">
      <c r="A16" s="113">
        <v>45972</v>
      </c>
      <c r="B16" s="114" t="s">
        <v>1209</v>
      </c>
      <c r="C16" s="115" t="s">
        <v>1211</v>
      </c>
      <c r="D16" s="116">
        <v>5000</v>
      </c>
      <c r="E16" s="117">
        <f>_018_XXX[[#This Row],[入料數]]-_018_XXX[[#This Row],[進料檢OK]]-_018_XXX[[#This Row],[NG]]</f>
        <v>0</v>
      </c>
      <c r="F16" s="117">
        <f>SUMIFS(record[OK],record[製程料號],_018_XXX[[#This Row],[製令單號]],record[ProcessSN],F$1)</f>
        <v>5000</v>
      </c>
      <c r="G16" s="117">
        <f>SUMIFS(record[NG],record[製程料號],_018_XXX[[#This Row],[製令單號]],record[ProcessSN],G$1)</f>
        <v>0</v>
      </c>
      <c r="H16" s="117">
        <f>_018_XXX[[#This Row],[進料檢OK]]-_018_XXX[[#This Row],['#01已發料數量]]</f>
        <v>0</v>
      </c>
      <c r="I16" s="117">
        <f>SUMIFS(record[OK],record[製程料號],_018_XXX[[#This Row],[製令單號]],record[ProcessSN],I$1)</f>
        <v>5000</v>
      </c>
      <c r="J16" s="117">
        <f>'018#1'!$I16-'018#1'!$K16-_018_XXX[[#This Row],['#1-1 NG]]</f>
        <v>0</v>
      </c>
      <c r="K16" s="117">
        <f>SUMIFS(record[OK],record[製程料號],_018_XXX[[#This Row],[製令單號]],record[ProcessSN],K$1)</f>
        <v>5000</v>
      </c>
      <c r="L16" s="117">
        <f>SUMIFS(record[NG],record[製程料號],_018_XXX[[#This Row],[製令單號]],record[ProcessSN],L$1)</f>
        <v>0</v>
      </c>
      <c r="M16" s="117">
        <f>_018_XXX[[#This Row],['#1-1 OK]]-_018_XXX[[#This Row],['#1-2 OK]]-_018_XXX[[#This Row],['#1-2 NG]]</f>
        <v>0</v>
      </c>
      <c r="N16" s="117">
        <f>SUMIFS(record[OK],record[製程料號],_018_XXX[[#This Row],[製令單號]],record[ProcessSN],N$1)</f>
        <v>5000</v>
      </c>
      <c r="O16" s="117">
        <f>SUMIFS(record[NG],record[製程料號],_018_XXX[[#This Row],[製令單號]],record[ProcessSN],O$1)</f>
        <v>0</v>
      </c>
      <c r="P16" s="117">
        <f>_018_XXX[[#This Row],['#1-2 OK]]-_018_XXX[[#This Row],['#01NG]]-_018_XXX[[#This Row],['#01 OK]]</f>
        <v>0</v>
      </c>
      <c r="Q16" s="117">
        <f>SUMIFS(record[OK],record[製程料號],_018_XXX[[#This Row],[製令單號]],record[ProcessSN],Q$1)</f>
        <v>5000</v>
      </c>
      <c r="R16" s="117">
        <f>SUMIFS(record[NG],record[製程料號],_018_XXX[[#This Row],[製令單號]],record[ProcessSN],R$1)</f>
        <v>0</v>
      </c>
      <c r="S16" s="117">
        <f>_018_XXX[[#This Row],['#01 OK]]-_018_XXX[[#This Row],['#02已委外數量]]</f>
        <v>0</v>
      </c>
      <c r="T16" s="117">
        <f>SUMIFS(record[OK],record[製程料號],_018_XXX[[#This Row],[製令單號]],record[ProcessSN],T$1)</f>
        <v>5000</v>
      </c>
      <c r="U16" s="118" t="str">
        <f>IF(_018_XXX[[#This Row],['#02已委外數量]]&gt;0,VLOOKUP(U$1,record[[ProcessSN]:[廠商]],12,FALSE),"尚未委外")</f>
        <v>俊杰</v>
      </c>
      <c r="V16" s="117">
        <f>_018_XXX[[#This Row],['#02已委外數量]]-_018_XXX[[#This Row],['#02委外NG]]-_018_XXX[[#This Row],['#02回
良品]]</f>
        <v>0</v>
      </c>
      <c r="W16" s="117">
        <f>SUMIFS(record[OK],record[製程料號],_018_XXX[[#This Row],[製令單號]],record[ProcessSN],W$1)</f>
        <v>4999</v>
      </c>
      <c r="X16" s="117">
        <f>SUMIFS(record[NG],record[製程料號],_018_XXX[[#This Row],[製令單號]],record[ProcessSN],X$1)</f>
        <v>1</v>
      </c>
      <c r="Y16" s="117">
        <f>_018_XXX[[#This Row],['#02回
良品]]-_018_XXX[[#This Row],['#02 OK]]-_018_XXX[[#This Row],['#02 NG]]</f>
        <v>0</v>
      </c>
      <c r="Z16" s="117">
        <f>SUMIFS(record[OK],record[製程料號],_018_XXX[[#This Row],[製令單號]],record[ProcessSN],Z$1)</f>
        <v>4999</v>
      </c>
      <c r="AA16" s="117">
        <f>SUMIFS(record[NG],record[製程料號],_018_XXX[[#This Row],[製令單號]],record[ProcessSN],AA$1)</f>
        <v>0</v>
      </c>
      <c r="AB16" s="117">
        <f>_018_XXX[[#This Row],['#02 OK]]-_018_XXX[[#This Row],[入庫]]</f>
        <v>0</v>
      </c>
      <c r="AC16" s="117">
        <f>SUMIFS(record[OK],record[製程料號],_018_XXX[[#This Row],[製令單號]],record[ProcessSN],AC$1)</f>
        <v>4999</v>
      </c>
      <c r="AD16" s="117">
        <f>_018_XXX[[#This Row],[入庫]]-IFERROR(SUMIF(表格8[第一製程製令],_018_XXX[[#This Row],[製令單號]],表格8[分配數量]),0)</f>
        <v>0</v>
      </c>
      <c r="AE16" s="117">
        <f>_018_XXX[[#This Row],['#1-1 NG]]+_018_XXX[[#This Row],[NG]]+_018_XXX[[#This Row],['#1-2 NG]]+_018_XXX[[#This Row],['#01NG]]+_018_XXX[[#This Row],['#02委外NG]]+_018_XXX[[#This Row],['#02 NG]]</f>
        <v>1</v>
      </c>
      <c r="AF16" s="119">
        <f>IF(_018_XXX[[#This Row],[入庫]]+_018_XXX[[#This Row],[總不良數]]=_018_XXX[[#This Row],[入料數]],_018_XXX[[#This Row],[入庫]]/_018_XXX[[#This Row],[入料數]],"")</f>
        <v>0.99980000000000002</v>
      </c>
      <c r="AG16" s="233"/>
      <c r="AK16" s="126">
        <v>45821</v>
      </c>
      <c r="AL16" s="127" t="s">
        <v>852</v>
      </c>
      <c r="AM16" s="128" t="s">
        <v>781</v>
      </c>
      <c r="AN16" s="129" t="s">
        <v>865</v>
      </c>
      <c r="AO16" s="130">
        <v>1000</v>
      </c>
    </row>
    <row r="17" spans="1:41" ht="27.75" x14ac:dyDescent="0.25">
      <c r="A17" s="113">
        <v>45995</v>
      </c>
      <c r="B17" s="114" t="s">
        <v>1285</v>
      </c>
      <c r="C17" s="115" t="s">
        <v>508</v>
      </c>
      <c r="D17" s="116">
        <v>5000</v>
      </c>
      <c r="E17" s="117">
        <f>_018_XXX[[#This Row],[入料數]]-_018_XXX[[#This Row],[進料檢OK]]-_018_XXX[[#This Row],[NG]]</f>
        <v>0</v>
      </c>
      <c r="F17" s="117">
        <f>SUMIFS(record[OK],record[製程料號],_018_XXX[[#This Row],[製令單號]],record[ProcessSN],F$1)</f>
        <v>5000</v>
      </c>
      <c r="G17" s="117">
        <f>SUMIFS(record[NG],record[製程料號],_018_XXX[[#This Row],[製令單號]],record[ProcessSN],G$1)</f>
        <v>0</v>
      </c>
      <c r="H17" s="117">
        <f>_018_XXX[[#This Row],[進料檢OK]]-_018_XXX[[#This Row],['#01已發料數量]]</f>
        <v>0</v>
      </c>
      <c r="I17" s="117">
        <f>SUMIFS(record[OK],record[製程料號],_018_XXX[[#This Row],[製令單號]],record[ProcessSN],I$1)</f>
        <v>5000</v>
      </c>
      <c r="J17" s="117">
        <f>'018#1'!$I17-'018#1'!$K17-_018_XXX[[#This Row],['#1-1 NG]]</f>
        <v>0</v>
      </c>
      <c r="K17" s="117">
        <f>SUMIFS(record[OK],record[製程料號],_018_XXX[[#This Row],[製令單號]],record[ProcessSN],K$1)</f>
        <v>5000</v>
      </c>
      <c r="L17" s="117">
        <f>SUMIFS(record[NG],record[製程料號],_018_XXX[[#This Row],[製令單號]],record[ProcessSN],L$1)</f>
        <v>0</v>
      </c>
      <c r="M17" s="117">
        <f>_018_XXX[[#This Row],['#1-1 OK]]-_018_XXX[[#This Row],['#1-2 OK]]-_018_XXX[[#This Row],['#1-2 NG]]</f>
        <v>0</v>
      </c>
      <c r="N17" s="117">
        <f>SUMIFS(record[OK],record[製程料號],_018_XXX[[#This Row],[製令單號]],record[ProcessSN],N$1)</f>
        <v>5000</v>
      </c>
      <c r="O17" s="117">
        <f>SUMIFS(record[NG],record[製程料號],_018_XXX[[#This Row],[製令單號]],record[ProcessSN],O$1)</f>
        <v>0</v>
      </c>
      <c r="P17" s="117">
        <f>_018_XXX[[#This Row],['#1-2 OK]]-_018_XXX[[#This Row],['#01NG]]-_018_XXX[[#This Row],['#01 OK]]</f>
        <v>0</v>
      </c>
      <c r="Q17" s="117">
        <f>SUMIFS(record[OK],record[製程料號],_018_XXX[[#This Row],[製令單號]],record[ProcessSN],Q$1)</f>
        <v>4999</v>
      </c>
      <c r="R17" s="117">
        <f>SUMIFS(record[NG],record[製程料號],_018_XXX[[#This Row],[製令單號]],record[ProcessSN],R$1)</f>
        <v>1</v>
      </c>
      <c r="S17" s="117">
        <f>_018_XXX[[#This Row],['#01 OK]]-_018_XXX[[#This Row],['#02已委外數量]]</f>
        <v>0</v>
      </c>
      <c r="T17" s="117">
        <f>SUMIFS(record[OK],record[製程料號],_018_XXX[[#This Row],[製令單號]],record[ProcessSN],T$1)</f>
        <v>4999</v>
      </c>
      <c r="U17" s="118" t="str">
        <f>IF(_018_XXX[[#This Row],['#02已委外數量]]&gt;0,VLOOKUP(U$1,record[[ProcessSN]:[廠商]],12,FALSE),"尚未委外")</f>
        <v>俊杰</v>
      </c>
      <c r="V17" s="117">
        <f>_018_XXX[[#This Row],['#02已委外數量]]-_018_XXX[[#This Row],['#02委外NG]]-_018_XXX[[#This Row],['#02回
良品]]</f>
        <v>0</v>
      </c>
      <c r="W17" s="117">
        <f>SUMIFS(record[OK],record[製程料號],_018_XXX[[#This Row],[製令單號]],record[ProcessSN],W$1)</f>
        <v>4998</v>
      </c>
      <c r="X17" s="117">
        <f>SUMIFS(record[NG],record[製程料號],_018_XXX[[#This Row],[製令單號]],record[ProcessSN],X$1)</f>
        <v>1</v>
      </c>
      <c r="Y17" s="117">
        <f>_018_XXX[[#This Row],['#02回
良品]]-_018_XXX[[#This Row],['#02 OK]]-_018_XXX[[#This Row],['#02 NG]]</f>
        <v>0</v>
      </c>
      <c r="Z17" s="117">
        <f>SUMIFS(record[OK],record[製程料號],_018_XXX[[#This Row],[製令單號]],record[ProcessSN],Z$1)</f>
        <v>4998</v>
      </c>
      <c r="AA17" s="117">
        <f>SUMIFS(record[NG],record[製程料號],_018_XXX[[#This Row],[製令單號]],record[ProcessSN],AA$1)</f>
        <v>0</v>
      </c>
      <c r="AB17" s="117">
        <f>_018_XXX[[#This Row],['#02 OK]]-_018_XXX[[#This Row],[入庫]]</f>
        <v>0</v>
      </c>
      <c r="AC17" s="117">
        <f>SUMIFS(record[OK],record[製程料號],_018_XXX[[#This Row],[製令單號]],record[ProcessSN],AC$1)</f>
        <v>4998</v>
      </c>
      <c r="AD17" s="117">
        <f>_018_XXX[[#This Row],[入庫]]-IFERROR(SUMIF(表格8[第一製程製令],_018_XXX[[#This Row],[製令單號]],表格8[分配數量]),0)</f>
        <v>0</v>
      </c>
      <c r="AE17" s="117">
        <f>_018_XXX[[#This Row],['#1-1 NG]]+_018_XXX[[#This Row],[NG]]+_018_XXX[[#This Row],['#1-2 NG]]+_018_XXX[[#This Row],['#01NG]]+_018_XXX[[#This Row],['#02委外NG]]+_018_XXX[[#This Row],['#02 NG]]</f>
        <v>2</v>
      </c>
      <c r="AF17" s="119">
        <f>IF(_018_XXX[[#This Row],[入庫]]+_018_XXX[[#This Row],[總不良數]]=_018_XXX[[#This Row],[入料數]],_018_XXX[[#This Row],[入庫]]/_018_XXX[[#This Row],[入料數]],"")</f>
        <v>0.99960000000000004</v>
      </c>
      <c r="AG17" s="233"/>
      <c r="AK17" s="126">
        <v>45834</v>
      </c>
      <c r="AL17" s="127" t="s">
        <v>852</v>
      </c>
      <c r="AM17" s="128" t="s">
        <v>781</v>
      </c>
      <c r="AN17" s="129" t="s">
        <v>876</v>
      </c>
      <c r="AO17" s="130">
        <v>1000</v>
      </c>
    </row>
    <row r="18" spans="1:41" ht="27.75" x14ac:dyDescent="0.25">
      <c r="A18" s="113">
        <v>46015</v>
      </c>
      <c r="B18" s="114" t="s">
        <v>1385</v>
      </c>
      <c r="C18" s="115" t="s">
        <v>508</v>
      </c>
      <c r="D18" s="116">
        <v>3840</v>
      </c>
      <c r="E18" s="117">
        <f>_018_XXX[[#This Row],[入料數]]-_018_XXX[[#This Row],[進料檢OK]]-_018_XXX[[#This Row],[NG]]</f>
        <v>0</v>
      </c>
      <c r="F18" s="117">
        <f>SUMIFS(record[OK],record[製程料號],_018_XXX[[#This Row],[製令單號]],record[ProcessSN],F$1)</f>
        <v>3840</v>
      </c>
      <c r="G18" s="117">
        <f>SUMIFS(record[NG],record[製程料號],_018_XXX[[#This Row],[製令單號]],record[ProcessSN],G$1)</f>
        <v>0</v>
      </c>
      <c r="H18" s="117">
        <f>_018_XXX[[#This Row],[進料檢OK]]-_018_XXX[[#This Row],['#01已發料數量]]</f>
        <v>0</v>
      </c>
      <c r="I18" s="117">
        <f>SUMIFS(record[OK],record[製程料號],_018_XXX[[#This Row],[製令單號]],record[ProcessSN],I$1)</f>
        <v>3840</v>
      </c>
      <c r="J18" s="117">
        <f>'018#1'!$I18-'018#1'!$K18-_018_XXX[[#This Row],['#1-1 NG]]</f>
        <v>0</v>
      </c>
      <c r="K18" s="117">
        <f>SUMIFS(record[OK],record[製程料號],_018_XXX[[#This Row],[製令單號]],record[ProcessSN],K$1)</f>
        <v>3840</v>
      </c>
      <c r="L18" s="117">
        <f>SUMIFS(record[NG],record[製程料號],_018_XXX[[#This Row],[製令單號]],record[ProcessSN],L$1)</f>
        <v>0</v>
      </c>
      <c r="M18" s="117">
        <f>_018_XXX[[#This Row],['#1-1 OK]]-_018_XXX[[#This Row],['#1-2 OK]]-_018_XXX[[#This Row],['#1-2 NG]]</f>
        <v>0</v>
      </c>
      <c r="N18" s="117">
        <f>SUMIFS(record[OK],record[製程料號],_018_XXX[[#This Row],[製令單號]],record[ProcessSN],N$1)</f>
        <v>3840</v>
      </c>
      <c r="O18" s="117">
        <f>SUMIFS(record[NG],record[製程料號],_018_XXX[[#This Row],[製令單號]],record[ProcessSN],O$1)</f>
        <v>0</v>
      </c>
      <c r="P18" s="117">
        <f>_018_XXX[[#This Row],['#1-2 OK]]-_018_XXX[[#This Row],['#01NG]]-_018_XXX[[#This Row],['#01 OK]]</f>
        <v>0</v>
      </c>
      <c r="Q18" s="117">
        <f>SUMIFS(record[OK],record[製程料號],_018_XXX[[#This Row],[製令單號]],record[ProcessSN],Q$1)</f>
        <v>3840</v>
      </c>
      <c r="R18" s="117">
        <f>SUMIFS(record[NG],record[製程料號],_018_XXX[[#This Row],[製令單號]],record[ProcessSN],R$1)</f>
        <v>0</v>
      </c>
      <c r="S18" s="117">
        <f>_018_XXX[[#This Row],['#01 OK]]-_018_XXX[[#This Row],['#02已委外數量]]</f>
        <v>0</v>
      </c>
      <c r="T18" s="117">
        <f>SUMIFS(record[OK],record[製程料號],_018_XXX[[#This Row],[製令單號]],record[ProcessSN],T$1)</f>
        <v>3840</v>
      </c>
      <c r="U18" s="118" t="str">
        <f>IF(_018_XXX[[#This Row],['#02已委外數量]]&gt;0,VLOOKUP(U$1,record[[ProcessSN]:[廠商]],12,FALSE),"尚未委外")</f>
        <v>俊杰</v>
      </c>
      <c r="V18" s="117">
        <f>_018_XXX[[#This Row],['#02已委外數量]]-_018_XXX[[#This Row],['#02委外NG]]-_018_XXX[[#This Row],['#02回
良品]]</f>
        <v>0</v>
      </c>
      <c r="W18" s="117">
        <f>SUMIFS(record[OK],record[製程料號],_018_XXX[[#This Row],[製令單號]],record[ProcessSN],W$1)</f>
        <v>3840</v>
      </c>
      <c r="X18" s="117">
        <f>SUMIFS(record[NG],record[製程料號],_018_XXX[[#This Row],[製令單號]],record[ProcessSN],X$1)</f>
        <v>0</v>
      </c>
      <c r="Y18" s="117">
        <f>_018_XXX[[#This Row],['#02回
良品]]-_018_XXX[[#This Row],['#02 OK]]-_018_XXX[[#This Row],['#02 NG]]</f>
        <v>0</v>
      </c>
      <c r="Z18" s="117">
        <f>SUMIFS(record[OK],record[製程料號],_018_XXX[[#This Row],[製令單號]],record[ProcessSN],Z$1)</f>
        <v>3840</v>
      </c>
      <c r="AA18" s="117">
        <f>SUMIFS(record[NG],record[製程料號],_018_XXX[[#This Row],[製令單號]],record[ProcessSN],AA$1)</f>
        <v>0</v>
      </c>
      <c r="AB18" s="117">
        <f>_018_XXX[[#This Row],['#02 OK]]-_018_XXX[[#This Row],[入庫]]</f>
        <v>0</v>
      </c>
      <c r="AC18" s="117">
        <f>SUMIFS(record[OK],record[製程料號],_018_XXX[[#This Row],[製令單號]],record[ProcessSN],AC$1)</f>
        <v>3840</v>
      </c>
      <c r="AD18" s="117">
        <f>_018_XXX[[#This Row],[入庫]]-IFERROR(SUMIF(表格8[第一製程製令],_018_XXX[[#This Row],[製令單號]],表格8[分配數量]),0)</f>
        <v>0</v>
      </c>
      <c r="AE18" s="117">
        <f>_018_XXX[[#This Row],['#1-1 NG]]+_018_XXX[[#This Row],[NG]]+_018_XXX[[#This Row],['#1-2 NG]]+_018_XXX[[#This Row],['#01NG]]+_018_XXX[[#This Row],['#02委外NG]]+_018_XXX[[#This Row],['#02 NG]]</f>
        <v>0</v>
      </c>
      <c r="AF18" s="119">
        <f>IF(_018_XXX[[#This Row],[入庫]]+_018_XXX[[#This Row],[總不良數]]=_018_XXX[[#This Row],[入料數]],_018_XXX[[#This Row],[入庫]]/_018_XXX[[#This Row],[入料數]],"")</f>
        <v>1</v>
      </c>
      <c r="AG18" s="233"/>
      <c r="AK18" s="126">
        <v>45834</v>
      </c>
      <c r="AL18" s="127" t="s">
        <v>852</v>
      </c>
      <c r="AM18" s="128" t="s">
        <v>872</v>
      </c>
      <c r="AN18" s="129" t="s">
        <v>878</v>
      </c>
      <c r="AO18" s="130">
        <v>1199</v>
      </c>
    </row>
    <row r="19" spans="1:41" ht="27.75" x14ac:dyDescent="0.25">
      <c r="A19" s="113">
        <v>46022</v>
      </c>
      <c r="B19" s="114" t="s">
        <v>1406</v>
      </c>
      <c r="C19" s="115" t="s">
        <v>508</v>
      </c>
      <c r="D19" s="116">
        <v>1160</v>
      </c>
      <c r="E19" s="117">
        <f>_018_XXX[[#This Row],[入料數]]-_018_XXX[[#This Row],[進料檢OK]]-_018_XXX[[#This Row],[NG]]</f>
        <v>0</v>
      </c>
      <c r="F19" s="117">
        <f>SUMIFS(record[OK],record[製程料號],_018_XXX[[#This Row],[製令單號]],record[ProcessSN],F$1)</f>
        <v>1160</v>
      </c>
      <c r="G19" s="117">
        <f>SUMIFS(record[NG],record[製程料號],_018_XXX[[#This Row],[製令單號]],record[ProcessSN],G$1)</f>
        <v>0</v>
      </c>
      <c r="H19" s="117">
        <f>_018_XXX[[#This Row],[進料檢OK]]-_018_XXX[[#This Row],['#01已發料數量]]</f>
        <v>0</v>
      </c>
      <c r="I19" s="117">
        <f>SUMIFS(record[OK],record[製程料號],_018_XXX[[#This Row],[製令單號]],record[ProcessSN],I$1)</f>
        <v>1160</v>
      </c>
      <c r="J19" s="117">
        <f>'018#1'!$I19-'018#1'!$K19-_018_XXX[[#This Row],['#1-1 NG]]</f>
        <v>0</v>
      </c>
      <c r="K19" s="117">
        <f>SUMIFS(record[OK],record[製程料號],_018_XXX[[#This Row],[製令單號]],record[ProcessSN],K$1)</f>
        <v>1160</v>
      </c>
      <c r="L19" s="117">
        <f>SUMIFS(record[NG],record[製程料號],_018_XXX[[#This Row],[製令單號]],record[ProcessSN],L$1)</f>
        <v>0</v>
      </c>
      <c r="M19" s="117">
        <f>_018_XXX[[#This Row],['#1-1 OK]]-_018_XXX[[#This Row],['#1-2 OK]]-_018_XXX[[#This Row],['#1-2 NG]]</f>
        <v>0</v>
      </c>
      <c r="N19" s="117">
        <f>SUMIFS(record[OK],record[製程料號],_018_XXX[[#This Row],[製令單號]],record[ProcessSN],N$1)</f>
        <v>1159</v>
      </c>
      <c r="O19" s="117">
        <f>SUMIFS(record[NG],record[製程料號],_018_XXX[[#This Row],[製令單號]],record[ProcessSN],O$1)</f>
        <v>1</v>
      </c>
      <c r="P19" s="117">
        <f>_018_XXX[[#This Row],['#1-2 OK]]-_018_XXX[[#This Row],['#01NG]]-_018_XXX[[#This Row],['#01 OK]]</f>
        <v>0</v>
      </c>
      <c r="Q19" s="117">
        <f>SUMIFS(record[OK],record[製程料號],_018_XXX[[#This Row],[製令單號]],record[ProcessSN],Q$1)</f>
        <v>1159</v>
      </c>
      <c r="R19" s="117">
        <f>SUMIFS(record[NG],record[製程料號],_018_XXX[[#This Row],[製令單號]],record[ProcessSN],R$1)</f>
        <v>0</v>
      </c>
      <c r="S19" s="117">
        <f>_018_XXX[[#This Row],['#01 OK]]-_018_XXX[[#This Row],['#02已委外數量]]</f>
        <v>0</v>
      </c>
      <c r="T19" s="117">
        <f>SUMIFS(record[OK],record[製程料號],_018_XXX[[#This Row],[製令單號]],record[ProcessSN],T$1)</f>
        <v>1159</v>
      </c>
      <c r="U19" s="118" t="str">
        <f>IF(_018_XXX[[#This Row],['#02已委外數量]]&gt;0,VLOOKUP(U$1,record[[ProcessSN]:[廠商]],12,FALSE),"尚未委外")</f>
        <v>俊杰</v>
      </c>
      <c r="V19" s="117">
        <f>_018_XXX[[#This Row],['#02已委外數量]]-_018_XXX[[#This Row],['#02委外NG]]-_018_XXX[[#This Row],['#02回
良品]]</f>
        <v>0</v>
      </c>
      <c r="W19" s="117">
        <f>SUMIFS(record[OK],record[製程料號],_018_XXX[[#This Row],[製令單號]],record[ProcessSN],W$1)</f>
        <v>1159</v>
      </c>
      <c r="X19" s="117">
        <f>SUMIFS(record[NG],record[製程料號],_018_XXX[[#This Row],[製令單號]],record[ProcessSN],X$1)</f>
        <v>0</v>
      </c>
      <c r="Y19" s="117">
        <f>_018_XXX[[#This Row],['#02回
良品]]-_018_XXX[[#This Row],['#02 OK]]-_018_XXX[[#This Row],['#02 NG]]</f>
        <v>0</v>
      </c>
      <c r="Z19" s="117">
        <f>SUMIFS(record[OK],record[製程料號],_018_XXX[[#This Row],[製令單號]],record[ProcessSN],Z$1)</f>
        <v>1159</v>
      </c>
      <c r="AA19" s="117">
        <f>SUMIFS(record[NG],record[製程料號],_018_XXX[[#This Row],[製令單號]],record[ProcessSN],AA$1)</f>
        <v>0</v>
      </c>
      <c r="AB19" s="117">
        <f>_018_XXX[[#This Row],['#02 OK]]-_018_XXX[[#This Row],[入庫]]</f>
        <v>0</v>
      </c>
      <c r="AC19" s="117">
        <f>SUMIFS(record[OK],record[製程料號],_018_XXX[[#This Row],[製令單號]],record[ProcessSN],AC$1)</f>
        <v>1159</v>
      </c>
      <c r="AD19" s="117">
        <f>_018_XXX[[#This Row],[入庫]]-IFERROR(SUMIF(表格8[第一製程製令],_018_XXX[[#This Row],[製令單號]],表格8[分配數量]),0)</f>
        <v>0</v>
      </c>
      <c r="AE19" s="117">
        <f>_018_XXX[[#This Row],['#1-1 NG]]+_018_XXX[[#This Row],[NG]]+_018_XXX[[#This Row],['#1-2 NG]]+_018_XXX[[#This Row],['#01NG]]+_018_XXX[[#This Row],['#02委外NG]]+_018_XXX[[#This Row],['#02 NG]]</f>
        <v>1</v>
      </c>
      <c r="AF19" s="119">
        <f>IF(_018_XXX[[#This Row],[入庫]]+_018_XXX[[#This Row],[總不良數]]=_018_XXX[[#This Row],[入料數]],_018_XXX[[#This Row],[入庫]]/_018_XXX[[#This Row],[入料數]],"")</f>
        <v>0.99913793103448278</v>
      </c>
      <c r="AG19" s="233"/>
      <c r="AK19" s="126">
        <v>45834</v>
      </c>
      <c r="AL19" s="127" t="s">
        <v>849</v>
      </c>
      <c r="AM19" s="128" t="s">
        <v>872</v>
      </c>
      <c r="AN19" s="129" t="s">
        <v>898</v>
      </c>
      <c r="AO19" s="130">
        <v>1800</v>
      </c>
    </row>
    <row r="20" spans="1:41" ht="27.75" x14ac:dyDescent="0.25">
      <c r="A20" s="113">
        <v>46035</v>
      </c>
      <c r="B20" s="114" t="s">
        <v>1450</v>
      </c>
      <c r="C20" s="115" t="s">
        <v>508</v>
      </c>
      <c r="D20" s="116">
        <v>5000</v>
      </c>
      <c r="E20" s="117">
        <f>_018_XXX[[#This Row],[入料數]]-_018_XXX[[#This Row],[進料檢OK]]-_018_XXX[[#This Row],[NG]]</f>
        <v>0</v>
      </c>
      <c r="F20" s="117">
        <f>SUMIFS(record[OK],record[製程料號],_018_XXX[[#This Row],[製令單號]],record[ProcessSN],F$1)</f>
        <v>5000</v>
      </c>
      <c r="G20" s="117">
        <f>SUMIFS(record[NG],record[製程料號],_018_XXX[[#This Row],[製令單號]],record[ProcessSN],G$1)</f>
        <v>0</v>
      </c>
      <c r="H20" s="117">
        <f>_018_XXX[[#This Row],[進料檢OK]]-_018_XXX[[#This Row],['#01已發料數量]]</f>
        <v>0</v>
      </c>
      <c r="I20" s="117">
        <f>SUMIFS(record[OK],record[製程料號],_018_XXX[[#This Row],[製令單號]],record[ProcessSN],I$1)</f>
        <v>5000</v>
      </c>
      <c r="J20" s="117">
        <f>'018#1'!$I20-'018#1'!$K20-_018_XXX[[#This Row],['#1-1 NG]]</f>
        <v>0</v>
      </c>
      <c r="K20" s="117">
        <f>SUMIFS(record[OK],record[製程料號],_018_XXX[[#This Row],[製令單號]],record[ProcessSN],K$1)</f>
        <v>4999</v>
      </c>
      <c r="L20" s="117">
        <f>SUMIFS(record[NG],record[製程料號],_018_XXX[[#This Row],[製令單號]],record[ProcessSN],L$1)</f>
        <v>1</v>
      </c>
      <c r="M20" s="117">
        <f>_018_XXX[[#This Row],['#1-1 OK]]-_018_XXX[[#This Row],['#1-2 OK]]-_018_XXX[[#This Row],['#1-2 NG]]</f>
        <v>0</v>
      </c>
      <c r="N20" s="117">
        <f>SUMIFS(record[OK],record[製程料號],_018_XXX[[#This Row],[製令單號]],record[ProcessSN],N$1)</f>
        <v>4999</v>
      </c>
      <c r="O20" s="117">
        <f>SUMIFS(record[NG],record[製程料號],_018_XXX[[#This Row],[製令單號]],record[ProcessSN],O$1)</f>
        <v>0</v>
      </c>
      <c r="P20" s="117">
        <f>_018_XXX[[#This Row],['#1-2 OK]]-_018_XXX[[#This Row],['#01NG]]-_018_XXX[[#This Row],['#01 OK]]</f>
        <v>0</v>
      </c>
      <c r="Q20" s="117">
        <f>SUMIFS(record[OK],record[製程料號],_018_XXX[[#This Row],[製令單號]],record[ProcessSN],Q$1)</f>
        <v>4999</v>
      </c>
      <c r="R20" s="117">
        <f>SUMIFS(record[NG],record[製程料號],_018_XXX[[#This Row],[製令單號]],record[ProcessSN],R$1)</f>
        <v>0</v>
      </c>
      <c r="S20" s="117">
        <f>_018_XXX[[#This Row],['#01 OK]]-_018_XXX[[#This Row],['#02已委外數量]]</f>
        <v>0</v>
      </c>
      <c r="T20" s="117">
        <f>SUMIFS(record[OK],record[製程料號],_018_XXX[[#This Row],[製令單號]],record[ProcessSN],T$1)</f>
        <v>4999</v>
      </c>
      <c r="U20" s="118" t="str">
        <f>IF(_018_XXX[[#This Row],['#02已委外數量]]&gt;0,VLOOKUP(U$1,record[[ProcessSN]:[廠商]],12,FALSE),"尚未委外")</f>
        <v>俊杰</v>
      </c>
      <c r="V20" s="117">
        <f>_018_XXX[[#This Row],['#02已委外數量]]-_018_XXX[[#This Row],['#02委外NG]]-_018_XXX[[#This Row],['#02回
良品]]</f>
        <v>0</v>
      </c>
      <c r="W20" s="117">
        <f>SUMIFS(record[OK],record[製程料號],_018_XXX[[#This Row],[製令單號]],record[ProcessSN],W$1)</f>
        <v>4975</v>
      </c>
      <c r="X20" s="117">
        <f>SUMIFS(record[NG],record[製程料號],_018_XXX[[#This Row],[製令單號]],record[ProcessSN],X$1)</f>
        <v>24</v>
      </c>
      <c r="Y20" s="117">
        <f>_018_XXX[[#This Row],['#02回
良品]]-_018_XXX[[#This Row],['#02 OK]]-_018_XXX[[#This Row],['#02 NG]]</f>
        <v>0</v>
      </c>
      <c r="Z20" s="117">
        <f>SUMIFS(record[OK],record[製程料號],_018_XXX[[#This Row],[製令單號]],record[ProcessSN],Z$1)</f>
        <v>4975</v>
      </c>
      <c r="AA20" s="117">
        <f>SUMIFS(record[NG],record[製程料號],_018_XXX[[#This Row],[製令單號]],record[ProcessSN],AA$1)</f>
        <v>0</v>
      </c>
      <c r="AB20" s="117">
        <f>_018_XXX[[#This Row],['#02 OK]]-_018_XXX[[#This Row],[入庫]]</f>
        <v>0</v>
      </c>
      <c r="AC20" s="117">
        <f>SUMIFS(record[OK],record[製程料號],_018_XXX[[#This Row],[製令單號]],record[ProcessSN],AC$1)</f>
        <v>4975</v>
      </c>
      <c r="AD20" s="117">
        <f>_018_XXX[[#This Row],[入庫]]-IFERROR(SUMIF(表格8[第一製程製令],_018_XXX[[#This Row],[製令單號]],表格8[分配數量]),0)</f>
        <v>0</v>
      </c>
      <c r="AE20" s="117">
        <f>_018_XXX[[#This Row],['#1-1 NG]]+_018_XXX[[#This Row],[NG]]+_018_XXX[[#This Row],['#1-2 NG]]+_018_XXX[[#This Row],['#01NG]]+_018_XXX[[#This Row],['#02委外NG]]+_018_XXX[[#This Row],['#02 NG]]</f>
        <v>25</v>
      </c>
      <c r="AF20" s="119">
        <f>IF(_018_XXX[[#This Row],[入庫]]+_018_XXX[[#This Row],[總不良數]]=_018_XXX[[#This Row],[入料數]],_018_XXX[[#This Row],[入庫]]/_018_XXX[[#This Row],[入料數]],"")</f>
        <v>0.995</v>
      </c>
      <c r="AK20" s="126">
        <v>45852</v>
      </c>
      <c r="AL20" s="127" t="s">
        <v>849</v>
      </c>
      <c r="AM20" s="128" t="s">
        <v>781</v>
      </c>
      <c r="AN20" s="129" t="s">
        <v>901</v>
      </c>
      <c r="AO20" s="130">
        <v>1000</v>
      </c>
    </row>
    <row r="21" spans="1:41" ht="27.75" x14ac:dyDescent="0.25">
      <c r="A21" s="113">
        <v>46049</v>
      </c>
      <c r="B21" s="114" t="s">
        <v>1524</v>
      </c>
      <c r="C21" s="115" t="s">
        <v>508</v>
      </c>
      <c r="D21" s="116">
        <v>24</v>
      </c>
      <c r="E21" s="117">
        <f>_018_XXX[[#This Row],[入料數]]-_018_XXX[[#This Row],[進料檢OK]]-_018_XXX[[#This Row],[NG]]</f>
        <v>0</v>
      </c>
      <c r="F21" s="117">
        <f>SUMIFS(record[OK],record[製程料號],_018_XXX[[#This Row],[製令單號]],record[ProcessSN],F$1)</f>
        <v>24</v>
      </c>
      <c r="G21" s="117">
        <f>SUMIFS(record[NG],record[製程料號],_018_XXX[[#This Row],[製令單號]],record[ProcessSN],G$1)</f>
        <v>0</v>
      </c>
      <c r="H21" s="117">
        <f>_018_XXX[[#This Row],[進料檢OK]]-_018_XXX[[#This Row],['#01已發料數量]]</f>
        <v>0</v>
      </c>
      <c r="I21" s="117">
        <f>SUMIFS(record[OK],record[製程料號],_018_XXX[[#This Row],[製令單號]],record[ProcessSN],I$1)</f>
        <v>24</v>
      </c>
      <c r="J21" s="117">
        <f>'018#1'!$I21-'018#1'!$K21-_018_XXX[[#This Row],['#1-1 NG]]</f>
        <v>0</v>
      </c>
      <c r="K21" s="117">
        <f>SUMIFS(record[OK],record[製程料號],_018_XXX[[#This Row],[製令單號]],record[ProcessSN],K$1)</f>
        <v>24</v>
      </c>
      <c r="L21" s="117">
        <f>SUMIFS(record[NG],record[製程料號],_018_XXX[[#This Row],[製令單號]],record[ProcessSN],L$1)</f>
        <v>0</v>
      </c>
      <c r="M21" s="117">
        <f>_018_XXX[[#This Row],['#1-1 OK]]-_018_XXX[[#This Row],['#1-2 OK]]-_018_XXX[[#This Row],['#1-2 NG]]</f>
        <v>0</v>
      </c>
      <c r="N21" s="117">
        <f>SUMIFS(record[OK],record[製程料號],_018_XXX[[#This Row],[製令單號]],record[ProcessSN],N$1)</f>
        <v>24</v>
      </c>
      <c r="O21" s="117">
        <f>SUMIFS(record[NG],record[製程料號],_018_XXX[[#This Row],[製令單號]],record[ProcessSN],O$1)</f>
        <v>0</v>
      </c>
      <c r="P21" s="117">
        <f>_018_XXX[[#This Row],['#1-2 OK]]-_018_XXX[[#This Row],['#01NG]]-_018_XXX[[#This Row],['#01 OK]]</f>
        <v>0</v>
      </c>
      <c r="Q21" s="117">
        <f>SUMIFS(record[OK],record[製程料號],_018_XXX[[#This Row],[製令單號]],record[ProcessSN],Q$1)</f>
        <v>24</v>
      </c>
      <c r="R21" s="117">
        <f>SUMIFS(record[NG],record[製程料號],_018_XXX[[#This Row],[製令單號]],record[ProcessSN],R$1)</f>
        <v>0</v>
      </c>
      <c r="S21" s="117">
        <f>_018_XXX[[#This Row],['#01 OK]]-_018_XXX[[#This Row],['#02已委外數量]]</f>
        <v>0</v>
      </c>
      <c r="T21" s="117">
        <f>SUMIFS(record[OK],record[製程料號],_018_XXX[[#This Row],[製令單號]],record[ProcessSN],T$1)</f>
        <v>24</v>
      </c>
      <c r="U21" s="118" t="str">
        <f>IF(_018_XXX[[#This Row],['#02已委外數量]]&gt;0,VLOOKUP(U$1,record[[ProcessSN]:[廠商]],12,FALSE),"尚未委外")</f>
        <v>俊杰</v>
      </c>
      <c r="V21" s="117">
        <f>_018_XXX[[#This Row],['#02已委外數量]]-_018_XXX[[#This Row],['#02委外NG]]-_018_XXX[[#This Row],['#02回
良品]]</f>
        <v>0</v>
      </c>
      <c r="W21" s="117">
        <f>SUMIFS(record[OK],record[製程料號],_018_XXX[[#This Row],[製令單號]],record[ProcessSN],W$1)</f>
        <v>24</v>
      </c>
      <c r="X21" s="117">
        <f>SUMIFS(record[NG],record[製程料號],_018_XXX[[#This Row],[製令單號]],record[ProcessSN],X$1)</f>
        <v>0</v>
      </c>
      <c r="Y21" s="117">
        <f>_018_XXX[[#This Row],['#02回
良品]]-_018_XXX[[#This Row],['#02 OK]]-_018_XXX[[#This Row],['#02 NG]]</f>
        <v>0</v>
      </c>
      <c r="Z21" s="117">
        <f>SUMIFS(record[OK],record[製程料號],_018_XXX[[#This Row],[製令單號]],record[ProcessSN],Z$1)</f>
        <v>24</v>
      </c>
      <c r="AA21" s="117">
        <f>SUMIFS(record[NG],record[製程料號],_018_XXX[[#This Row],[製令單號]],record[ProcessSN],AA$1)</f>
        <v>0</v>
      </c>
      <c r="AB21" s="117">
        <f>_018_XXX[[#This Row],['#02 OK]]-_018_XXX[[#This Row],[入庫]]</f>
        <v>0</v>
      </c>
      <c r="AC21" s="117">
        <f>SUMIFS(record[OK],record[製程料號],_018_XXX[[#This Row],[製令單號]],record[ProcessSN],AC$1)</f>
        <v>24</v>
      </c>
      <c r="AD21" s="117">
        <f>_018_XXX[[#This Row],[入庫]]-IFERROR(SUMIF(表格8[第一製程製令],_018_XXX[[#This Row],[製令單號]],表格8[分配數量]),0)</f>
        <v>0</v>
      </c>
      <c r="AE21" s="117">
        <f>_018_XXX[[#This Row],['#1-1 NG]]+_018_XXX[[#This Row],[NG]]+_018_XXX[[#This Row],['#1-2 NG]]+_018_XXX[[#This Row],['#01NG]]+_018_XXX[[#This Row],['#02委外NG]]+_018_XXX[[#This Row],['#02 NG]]</f>
        <v>0</v>
      </c>
      <c r="AF21" s="119">
        <f>IF(_018_XXX[[#This Row],[入庫]]+_018_XXX[[#This Row],[總不良數]]=_018_XXX[[#This Row],[入料數]],_018_XXX[[#This Row],[入庫]]/_018_XXX[[#This Row],[入料數]],"")</f>
        <v>1</v>
      </c>
      <c r="AK21" s="126">
        <v>45852</v>
      </c>
      <c r="AL21" s="127" t="s">
        <v>849</v>
      </c>
      <c r="AM21" s="128" t="s">
        <v>535</v>
      </c>
      <c r="AN21" s="129" t="s">
        <v>903</v>
      </c>
      <c r="AO21" s="130">
        <v>1000</v>
      </c>
    </row>
    <row r="22" spans="1:41" ht="27.75" x14ac:dyDescent="0.25">
      <c r="A22" s="113">
        <v>46050</v>
      </c>
      <c r="B22" s="114" t="s">
        <v>1531</v>
      </c>
      <c r="C22" s="115" t="s">
        <v>508</v>
      </c>
      <c r="D22" s="116">
        <v>3200</v>
      </c>
      <c r="E22" s="117">
        <f>_018_XXX[[#This Row],[入料數]]-_018_XXX[[#This Row],[進料檢OK]]-_018_XXX[[#This Row],[NG]]</f>
        <v>0</v>
      </c>
      <c r="F22" s="117">
        <f>SUMIFS(record[OK],record[製程料號],_018_XXX[[#This Row],[製令單號]],record[ProcessSN],F$1)</f>
        <v>3200</v>
      </c>
      <c r="G22" s="117">
        <f>SUMIFS(record[NG],record[製程料號],_018_XXX[[#This Row],[製令單號]],record[ProcessSN],G$1)</f>
        <v>0</v>
      </c>
      <c r="H22" s="117">
        <f>_018_XXX[[#This Row],[進料檢OK]]-_018_XXX[[#This Row],['#01已發料數量]]</f>
        <v>0</v>
      </c>
      <c r="I22" s="117">
        <f>SUMIFS(record[OK],record[製程料號],_018_XXX[[#This Row],[製令單號]],record[ProcessSN],I$1)</f>
        <v>3200</v>
      </c>
      <c r="J22" s="117">
        <f>'018#1'!$I22-'018#1'!$K22-_018_XXX[[#This Row],['#1-1 NG]]</f>
        <v>0</v>
      </c>
      <c r="K22" s="117">
        <f>SUMIFS(record[OK],record[製程料號],_018_XXX[[#This Row],[製令單號]],record[ProcessSN],K$1)</f>
        <v>3199</v>
      </c>
      <c r="L22" s="117">
        <f>SUMIFS(record[NG],record[製程料號],_018_XXX[[#This Row],[製令單號]],record[ProcessSN],L$1)</f>
        <v>1</v>
      </c>
      <c r="M22" s="117">
        <f>_018_XXX[[#This Row],['#1-1 OK]]-_018_XXX[[#This Row],['#1-2 OK]]-_018_XXX[[#This Row],['#1-2 NG]]</f>
        <v>0</v>
      </c>
      <c r="N22" s="117">
        <f>SUMIFS(record[OK],record[製程料號],_018_XXX[[#This Row],[製令單號]],record[ProcessSN],N$1)</f>
        <v>3194</v>
      </c>
      <c r="O22" s="117">
        <f>SUMIFS(record[NG],record[製程料號],_018_XXX[[#This Row],[製令單號]],record[ProcessSN],O$1)</f>
        <v>5</v>
      </c>
      <c r="P22" s="117">
        <f>_018_XXX[[#This Row],['#1-2 OK]]-_018_XXX[[#This Row],['#01NG]]-_018_XXX[[#This Row],['#01 OK]]</f>
        <v>0</v>
      </c>
      <c r="Q22" s="117">
        <f>SUMIFS(record[OK],record[製程料號],_018_XXX[[#This Row],[製令單號]],record[ProcessSN],Q$1)</f>
        <v>3194</v>
      </c>
      <c r="R22" s="117">
        <f>SUMIFS(record[NG],record[製程料號],_018_XXX[[#This Row],[製令單號]],record[ProcessSN],R$1)</f>
        <v>0</v>
      </c>
      <c r="S22" s="117">
        <f>_018_XXX[[#This Row],['#01 OK]]-_018_XXX[[#This Row],['#02已委外數量]]</f>
        <v>0</v>
      </c>
      <c r="T22" s="117">
        <f>SUMIFS(record[OK],record[製程料號],_018_XXX[[#This Row],[製令單號]],record[ProcessSN],T$1)</f>
        <v>3194</v>
      </c>
      <c r="U22" s="118" t="str">
        <f>IF(_018_XXX[[#This Row],['#02已委外數量]]&gt;0,VLOOKUP(U$1,record[[ProcessSN]:[廠商]],12,FALSE),"尚未委外")</f>
        <v>俊杰</v>
      </c>
      <c r="V22" s="117">
        <f>_018_XXX[[#This Row],['#02已委外數量]]-_018_XXX[[#This Row],['#02委外NG]]-_018_XXX[[#This Row],['#02回
良品]]</f>
        <v>0</v>
      </c>
      <c r="W22" s="117">
        <f>SUMIFS(record[OK],record[製程料號],_018_XXX[[#This Row],[製令單號]],record[ProcessSN],W$1)</f>
        <v>3194</v>
      </c>
      <c r="X22" s="117">
        <f>SUMIFS(record[NG],record[製程料號],_018_XXX[[#This Row],[製令單號]],record[ProcessSN],X$1)</f>
        <v>0</v>
      </c>
      <c r="Y22" s="117">
        <f>_018_XXX[[#This Row],['#02回
良品]]-_018_XXX[[#This Row],['#02 OK]]-_018_XXX[[#This Row],['#02 NG]]</f>
        <v>0</v>
      </c>
      <c r="Z22" s="117">
        <f>SUMIFS(record[OK],record[製程料號],_018_XXX[[#This Row],[製令單號]],record[ProcessSN],Z$1)</f>
        <v>3194</v>
      </c>
      <c r="AA22" s="117">
        <f>SUMIFS(record[NG],record[製程料號],_018_XXX[[#This Row],[製令單號]],record[ProcessSN],AA$1)</f>
        <v>0</v>
      </c>
      <c r="AB22" s="117">
        <f>_018_XXX[[#This Row],['#02 OK]]-_018_XXX[[#This Row],[入庫]]</f>
        <v>0</v>
      </c>
      <c r="AC22" s="117">
        <f>SUMIFS(record[OK],record[製程料號],_018_XXX[[#This Row],[製令單號]],record[ProcessSN],AC$1)</f>
        <v>3194</v>
      </c>
      <c r="AD22" s="117">
        <f>_018_XXX[[#This Row],[入庫]]-IFERROR(SUMIF(表格8[第一製程製令],_018_XXX[[#This Row],[製令單號]],表格8[分配數量]),0)</f>
        <v>0</v>
      </c>
      <c r="AE22" s="117">
        <f>_018_XXX[[#This Row],['#1-1 NG]]+_018_XXX[[#This Row],[NG]]+_018_XXX[[#This Row],['#1-2 NG]]+_018_XXX[[#This Row],['#01NG]]+_018_XXX[[#This Row],['#02委外NG]]+_018_XXX[[#This Row],['#02 NG]]</f>
        <v>6</v>
      </c>
      <c r="AF22" s="119">
        <f>IF(_018_XXX[[#This Row],[入庫]]+_018_XXX[[#This Row],[總不良數]]=_018_XXX[[#This Row],[入料數]],_018_XXX[[#This Row],[入庫]]/_018_XXX[[#This Row],[入料數]],"")</f>
        <v>0.99812500000000004</v>
      </c>
      <c r="AK22" s="126">
        <v>45852</v>
      </c>
      <c r="AL22" s="127" t="s">
        <v>849</v>
      </c>
      <c r="AM22" s="128" t="s">
        <v>872</v>
      </c>
      <c r="AN22" s="129" t="s">
        <v>905</v>
      </c>
      <c r="AO22" s="130">
        <v>1410</v>
      </c>
    </row>
    <row r="23" spans="1:41" ht="27.75" x14ac:dyDescent="0.25">
      <c r="A23" s="113">
        <v>46052</v>
      </c>
      <c r="B23" s="114" t="s">
        <v>1542</v>
      </c>
      <c r="C23" s="115" t="s">
        <v>508</v>
      </c>
      <c r="D23" s="116">
        <v>1800</v>
      </c>
      <c r="E23" s="117">
        <f>_018_XXX[[#This Row],[入料數]]-_018_XXX[[#This Row],[進料檢OK]]-_018_XXX[[#This Row],[NG]]</f>
        <v>0</v>
      </c>
      <c r="F23" s="117">
        <f>SUMIFS(record[OK],record[製程料號],_018_XXX[[#This Row],[製令單號]],record[ProcessSN],F$1)</f>
        <v>1800</v>
      </c>
      <c r="G23" s="117">
        <f>SUMIFS(record[NG],record[製程料號],_018_XXX[[#This Row],[製令單號]],record[ProcessSN],G$1)</f>
        <v>0</v>
      </c>
      <c r="H23" s="117">
        <f>_018_XXX[[#This Row],[進料檢OK]]-_018_XXX[[#This Row],['#01已發料數量]]</f>
        <v>0</v>
      </c>
      <c r="I23" s="117">
        <f>SUMIFS(record[OK],record[製程料號],_018_XXX[[#This Row],[製令單號]],record[ProcessSN],I$1)</f>
        <v>1800</v>
      </c>
      <c r="J23" s="117">
        <f>'018#1'!$I23-'018#1'!$K23-_018_XXX[[#This Row],['#1-1 NG]]</f>
        <v>0</v>
      </c>
      <c r="K23" s="117">
        <f>SUMIFS(record[OK],record[製程料號],_018_XXX[[#This Row],[製令單號]],record[ProcessSN],K$1)</f>
        <v>1800</v>
      </c>
      <c r="L23" s="117">
        <f>SUMIFS(record[NG],record[製程料號],_018_XXX[[#This Row],[製令單號]],record[ProcessSN],L$1)</f>
        <v>0</v>
      </c>
      <c r="M23" s="117">
        <f>_018_XXX[[#This Row],['#1-1 OK]]-_018_XXX[[#This Row],['#1-2 OK]]-_018_XXX[[#This Row],['#1-2 NG]]</f>
        <v>0</v>
      </c>
      <c r="N23" s="117">
        <f>SUMIFS(record[OK],record[製程料號],_018_XXX[[#This Row],[製令單號]],record[ProcessSN],N$1)</f>
        <v>1799</v>
      </c>
      <c r="O23" s="117">
        <f>SUMIFS(record[NG],record[製程料號],_018_XXX[[#This Row],[製令單號]],record[ProcessSN],O$1)</f>
        <v>1</v>
      </c>
      <c r="P23" s="117">
        <f>_018_XXX[[#This Row],['#1-2 OK]]-_018_XXX[[#This Row],['#01NG]]-_018_XXX[[#This Row],['#01 OK]]</f>
        <v>0</v>
      </c>
      <c r="Q23" s="117">
        <f>SUMIFS(record[OK],record[製程料號],_018_XXX[[#This Row],[製令單號]],record[ProcessSN],Q$1)</f>
        <v>1799</v>
      </c>
      <c r="R23" s="117">
        <f>SUMIFS(record[NG],record[製程料號],_018_XXX[[#This Row],[製令單號]],record[ProcessSN],R$1)</f>
        <v>0</v>
      </c>
      <c r="S23" s="117">
        <f>_018_XXX[[#This Row],['#01 OK]]-_018_XXX[[#This Row],['#02已委外數量]]</f>
        <v>0</v>
      </c>
      <c r="T23" s="117">
        <f>SUMIFS(record[OK],record[製程料號],_018_XXX[[#This Row],[製令單號]],record[ProcessSN],T$1)</f>
        <v>1799</v>
      </c>
      <c r="U23" s="118" t="str">
        <f>IF(_018_XXX[[#This Row],['#02已委外數量]]&gt;0,VLOOKUP(U$1,record[[ProcessSN]:[廠商]],12,FALSE),"尚未委外")</f>
        <v>俊杰</v>
      </c>
      <c r="V23" s="117">
        <f>_018_XXX[[#This Row],['#02已委外數量]]-_018_XXX[[#This Row],['#02委外NG]]-_018_XXX[[#This Row],['#02回
良品]]</f>
        <v>0</v>
      </c>
      <c r="W23" s="117">
        <f>SUMIFS(record[OK],record[製程料號],_018_XXX[[#This Row],[製令單號]],record[ProcessSN],W$1)</f>
        <v>1799</v>
      </c>
      <c r="X23" s="117">
        <f>SUMIFS(record[NG],record[製程料號],_018_XXX[[#This Row],[製令單號]],record[ProcessSN],X$1)</f>
        <v>0</v>
      </c>
      <c r="Y23" s="117">
        <f>_018_XXX[[#This Row],['#02回
良品]]-_018_XXX[[#This Row],['#02 OK]]-_018_XXX[[#This Row],['#02 NG]]</f>
        <v>0</v>
      </c>
      <c r="Z23" s="117">
        <f>SUMIFS(record[OK],record[製程料號],_018_XXX[[#This Row],[製令單號]],record[ProcessSN],Z$1)</f>
        <v>1799</v>
      </c>
      <c r="AA23" s="117">
        <f>SUMIFS(record[NG],record[製程料號],_018_XXX[[#This Row],[製令單號]],record[ProcessSN],AA$1)</f>
        <v>0</v>
      </c>
      <c r="AB23" s="117">
        <f>_018_XXX[[#This Row],['#02 OK]]-_018_XXX[[#This Row],[入庫]]</f>
        <v>0</v>
      </c>
      <c r="AC23" s="117">
        <f>SUMIFS(record[OK],record[製程料號],_018_XXX[[#This Row],[製令單號]],record[ProcessSN],AC$1)</f>
        <v>1799</v>
      </c>
      <c r="AD23" s="117">
        <f>_018_XXX[[#This Row],[入庫]]-IFERROR(SUMIF(表格8[第一製程製令],_018_XXX[[#This Row],[製令單號]],表格8[分配數量]),0)</f>
        <v>0</v>
      </c>
      <c r="AE23" s="117">
        <f>_018_XXX[[#This Row],['#1-1 NG]]+_018_XXX[[#This Row],[NG]]+_018_XXX[[#This Row],['#1-2 NG]]+_018_XXX[[#This Row],['#01NG]]+_018_XXX[[#This Row],['#02委外NG]]+_018_XXX[[#This Row],['#02 NG]]</f>
        <v>1</v>
      </c>
      <c r="AF23" s="119">
        <f>IF(_018_XXX[[#This Row],[入庫]]+_018_XXX[[#This Row],[總不良數]]=_018_XXX[[#This Row],[入料數]],_018_XXX[[#This Row],[入庫]]/_018_XXX[[#This Row],[入料數]],"")</f>
        <v>0.99944444444444447</v>
      </c>
      <c r="AK23" s="126">
        <v>45890</v>
      </c>
      <c r="AL23" s="127" t="s">
        <v>1003</v>
      </c>
      <c r="AM23" s="128" t="s">
        <v>536</v>
      </c>
      <c r="AN23" s="129" t="s">
        <v>1004</v>
      </c>
      <c r="AO23" s="130">
        <v>672</v>
      </c>
    </row>
    <row r="24" spans="1:41" ht="27.75" x14ac:dyDescent="0.25">
      <c r="A24" s="113">
        <v>46055</v>
      </c>
      <c r="B24" s="114" t="s">
        <v>1551</v>
      </c>
      <c r="C24" s="115" t="s">
        <v>508</v>
      </c>
      <c r="D24" s="116">
        <v>2720</v>
      </c>
      <c r="E24" s="117">
        <f>_018_XXX[[#This Row],[入料數]]-_018_XXX[[#This Row],[進料檢OK]]-_018_XXX[[#This Row],[NG]]</f>
        <v>0</v>
      </c>
      <c r="F24" s="117">
        <f>SUMIFS(record[OK],record[製程料號],_018_XXX[[#This Row],[製令單號]],record[ProcessSN],F$1)</f>
        <v>2720</v>
      </c>
      <c r="G24" s="117">
        <f>SUMIFS(record[NG],record[製程料號],_018_XXX[[#This Row],[製令單號]],record[ProcessSN],G$1)</f>
        <v>0</v>
      </c>
      <c r="H24" s="117">
        <f>_018_XXX[[#This Row],[進料檢OK]]-_018_XXX[[#This Row],['#01已發料數量]]</f>
        <v>0</v>
      </c>
      <c r="I24" s="117">
        <f>SUMIFS(record[OK],record[製程料號],_018_XXX[[#This Row],[製令單號]],record[ProcessSN],I$1)</f>
        <v>2720</v>
      </c>
      <c r="J24" s="117">
        <f>'018#1'!$I24-'018#1'!$K24-_018_XXX[[#This Row],['#1-1 NG]]</f>
        <v>0</v>
      </c>
      <c r="K24" s="117">
        <f>SUMIFS(record[OK],record[製程料號],_018_XXX[[#This Row],[製令單號]],record[ProcessSN],K$1)</f>
        <v>2720</v>
      </c>
      <c r="L24" s="117">
        <f>SUMIFS(record[NG],record[製程料號],_018_XXX[[#This Row],[製令單號]],record[ProcessSN],L$1)</f>
        <v>0</v>
      </c>
      <c r="M24" s="117">
        <f>_018_XXX[[#This Row],['#1-1 OK]]-_018_XXX[[#This Row],['#1-2 OK]]-_018_XXX[[#This Row],['#1-2 NG]]</f>
        <v>0</v>
      </c>
      <c r="N24" s="117">
        <f>SUMIFS(record[OK],record[製程料號],_018_XXX[[#This Row],[製令單號]],record[ProcessSN],N$1)</f>
        <v>2718</v>
      </c>
      <c r="O24" s="117">
        <f>SUMIFS(record[NG],record[製程料號],_018_XXX[[#This Row],[製令單號]],record[ProcessSN],O$1)</f>
        <v>2</v>
      </c>
      <c r="P24" s="117">
        <f>_018_XXX[[#This Row],['#1-2 OK]]-_018_XXX[[#This Row],['#01NG]]-_018_XXX[[#This Row],['#01 OK]]</f>
        <v>0</v>
      </c>
      <c r="Q24" s="117">
        <f>SUMIFS(record[OK],record[製程料號],_018_XXX[[#This Row],[製令單號]],record[ProcessSN],Q$1)</f>
        <v>2718</v>
      </c>
      <c r="R24" s="117">
        <f>SUMIFS(record[NG],record[製程料號],_018_XXX[[#This Row],[製令單號]],record[ProcessSN],R$1)</f>
        <v>0</v>
      </c>
      <c r="S24" s="117">
        <f>_018_XXX[[#This Row],['#01 OK]]-_018_XXX[[#This Row],['#02已委外數量]]</f>
        <v>0</v>
      </c>
      <c r="T24" s="117">
        <f>SUMIFS(record[OK],record[製程料號],_018_XXX[[#This Row],[製令單號]],record[ProcessSN],T$1)</f>
        <v>2718</v>
      </c>
      <c r="U24" s="118" t="str">
        <f>IF(_018_XXX[[#This Row],['#02已委外數量]]&gt;0,VLOOKUP(U$1,record[[ProcessSN]:[廠商]],12,FALSE),"尚未委外")</f>
        <v>俊杰</v>
      </c>
      <c r="V24" s="117">
        <f>_018_XXX[[#This Row],['#02已委外數量]]-_018_XXX[[#This Row],['#02委外NG]]-_018_XXX[[#This Row],['#02回
良品]]</f>
        <v>0</v>
      </c>
      <c r="W24" s="117">
        <f>SUMIFS(record[OK],record[製程料號],_018_XXX[[#This Row],[製令單號]],record[ProcessSN],W$1)</f>
        <v>2718</v>
      </c>
      <c r="X24" s="117">
        <f>SUMIFS(record[NG],record[製程料號],_018_XXX[[#This Row],[製令單號]],record[ProcessSN],X$1)</f>
        <v>0</v>
      </c>
      <c r="Y24" s="117">
        <f>_018_XXX[[#This Row],['#02回
良品]]-_018_XXX[[#This Row],['#02 OK]]-_018_XXX[[#This Row],['#02 NG]]</f>
        <v>0</v>
      </c>
      <c r="Z24" s="117">
        <f>SUMIFS(record[OK],record[製程料號],_018_XXX[[#This Row],[製令單號]],record[ProcessSN],Z$1)</f>
        <v>2718</v>
      </c>
      <c r="AA24" s="117">
        <f>SUMIFS(record[NG],record[製程料號],_018_XXX[[#This Row],[製令單號]],record[ProcessSN],AA$1)</f>
        <v>0</v>
      </c>
      <c r="AB24" s="117">
        <f>_018_XXX[[#This Row],['#02 OK]]-_018_XXX[[#This Row],[入庫]]</f>
        <v>0</v>
      </c>
      <c r="AC24" s="117">
        <f>SUMIFS(record[OK],record[製程料號],_018_XXX[[#This Row],[製令單號]],record[ProcessSN],AC$1)</f>
        <v>2718</v>
      </c>
      <c r="AD24" s="117">
        <f>_018_XXX[[#This Row],[入庫]]-IFERROR(SUMIF(表格8[第一製程製令],_018_XXX[[#This Row],[製令單號]],表格8[分配數量]),0)</f>
        <v>0</v>
      </c>
      <c r="AE24" s="117">
        <f>_018_XXX[[#This Row],['#1-1 NG]]+_018_XXX[[#This Row],[NG]]+_018_XXX[[#This Row],['#1-2 NG]]+_018_XXX[[#This Row],['#01NG]]+_018_XXX[[#This Row],['#02委外NG]]+_018_XXX[[#This Row],['#02 NG]]</f>
        <v>2</v>
      </c>
      <c r="AF24" s="119">
        <f>IF(_018_XXX[[#This Row],[入庫]]+_018_XXX[[#This Row],[總不良數]]=_018_XXX[[#This Row],[入料數]],_018_XXX[[#This Row],[入庫]]/_018_XXX[[#This Row],[入料數]],"")</f>
        <v>0.99926470588235294</v>
      </c>
      <c r="AK24" s="126">
        <v>45894</v>
      </c>
      <c r="AL24" s="127" t="s">
        <v>922</v>
      </c>
      <c r="AM24" s="128" t="s">
        <v>536</v>
      </c>
      <c r="AN24" s="129" t="s">
        <v>1016</v>
      </c>
      <c r="AO24" s="130">
        <v>504</v>
      </c>
    </row>
    <row r="25" spans="1:41" ht="27.75" x14ac:dyDescent="0.25">
      <c r="A25" s="113">
        <v>46063</v>
      </c>
      <c r="B25" s="114" t="s">
        <v>1580</v>
      </c>
      <c r="C25" s="115" t="s">
        <v>508</v>
      </c>
      <c r="D25" s="116">
        <v>2400</v>
      </c>
      <c r="E25" s="117">
        <f>_018_XXX[[#This Row],[入料數]]-_018_XXX[[#This Row],[進料檢OK]]-_018_XXX[[#This Row],[NG]]</f>
        <v>0</v>
      </c>
      <c r="F25" s="117">
        <f>SUMIFS(record[OK],record[製程料號],_018_XXX[[#This Row],[製令單號]],record[ProcessSN],F$1)</f>
        <v>2400</v>
      </c>
      <c r="G25" s="117">
        <f>SUMIFS(record[NG],record[製程料號],_018_XXX[[#This Row],[製令單號]],record[ProcessSN],G$1)</f>
        <v>0</v>
      </c>
      <c r="H25" s="117">
        <f>_018_XXX[[#This Row],[進料檢OK]]-_018_XXX[[#This Row],['#01已發料數量]]</f>
        <v>0</v>
      </c>
      <c r="I25" s="117">
        <f>SUMIFS(record[OK],record[製程料號],_018_XXX[[#This Row],[製令單號]],record[ProcessSN],I$1)</f>
        <v>2400</v>
      </c>
      <c r="J25" s="117">
        <f>'018#1'!$I25-'018#1'!$K25-_018_XXX[[#This Row],['#1-1 NG]]</f>
        <v>0</v>
      </c>
      <c r="K25" s="117">
        <f>SUMIFS(record[OK],record[製程料號],_018_XXX[[#This Row],[製令單號]],record[ProcessSN],K$1)</f>
        <v>2396</v>
      </c>
      <c r="L25" s="117">
        <f>SUMIFS(record[NG],record[製程料號],_018_XXX[[#This Row],[製令單號]],record[ProcessSN],L$1)</f>
        <v>4</v>
      </c>
      <c r="M25" s="117">
        <f>_018_XXX[[#This Row],['#1-1 OK]]-_018_XXX[[#This Row],['#1-2 OK]]-_018_XXX[[#This Row],['#1-2 NG]]</f>
        <v>0</v>
      </c>
      <c r="N25" s="117">
        <f>SUMIFS(record[OK],record[製程料號],_018_XXX[[#This Row],[製令單號]],record[ProcessSN],N$1)</f>
        <v>2396</v>
      </c>
      <c r="O25" s="117">
        <f>SUMIFS(record[NG],record[製程料號],_018_XXX[[#This Row],[製令單號]],record[ProcessSN],O$1)</f>
        <v>0</v>
      </c>
      <c r="P25" s="117">
        <f>_018_XXX[[#This Row],['#1-2 OK]]-_018_XXX[[#This Row],['#01NG]]-_018_XXX[[#This Row],['#01 OK]]</f>
        <v>0</v>
      </c>
      <c r="Q25" s="117">
        <f>SUMIFS(record[OK],record[製程料號],_018_XXX[[#This Row],[製令單號]],record[ProcessSN],Q$1)</f>
        <v>2396</v>
      </c>
      <c r="R25" s="117">
        <f>SUMIFS(record[NG],record[製程料號],_018_XXX[[#This Row],[製令單號]],record[ProcessSN],R$1)</f>
        <v>0</v>
      </c>
      <c r="S25" s="117">
        <f>_018_XXX[[#This Row],['#01 OK]]-_018_XXX[[#This Row],['#02已委外數量]]</f>
        <v>0</v>
      </c>
      <c r="T25" s="117">
        <f>SUMIFS(record[OK],record[製程料號],_018_XXX[[#This Row],[製令單號]],record[ProcessSN],T$1)</f>
        <v>2396</v>
      </c>
      <c r="U25" s="118" t="str">
        <f>IF(_018_XXX[[#This Row],['#02已委外數量]]&gt;0,VLOOKUP(U$1,record[[ProcessSN]:[廠商]],12,FALSE),"尚未委外")</f>
        <v>俊杰</v>
      </c>
      <c r="V25" s="117">
        <f>_018_XXX[[#This Row],['#02已委外數量]]-_018_XXX[[#This Row],['#02委外NG]]-_018_XXX[[#This Row],['#02回
良品]]</f>
        <v>0</v>
      </c>
      <c r="W25" s="117">
        <f>SUMIFS(record[OK],record[製程料號],_018_XXX[[#This Row],[製令單號]],record[ProcessSN],W$1)</f>
        <v>2396</v>
      </c>
      <c r="X25" s="117">
        <f>SUMIFS(record[NG],record[製程料號],_018_XXX[[#This Row],[製令單號]],record[ProcessSN],X$1)</f>
        <v>0</v>
      </c>
      <c r="Y25" s="117">
        <f>_018_XXX[[#This Row],['#02回
良品]]-_018_XXX[[#This Row],['#02 OK]]-_018_XXX[[#This Row],['#02 NG]]</f>
        <v>0</v>
      </c>
      <c r="Z25" s="117">
        <f>SUMIFS(record[OK],record[製程料號],_018_XXX[[#This Row],[製令單號]],record[ProcessSN],Z$1)</f>
        <v>2396</v>
      </c>
      <c r="AA25" s="117">
        <f>SUMIFS(record[NG],record[製程料號],_018_XXX[[#This Row],[製令單號]],record[ProcessSN],AA$1)</f>
        <v>0</v>
      </c>
      <c r="AB25" s="117">
        <f>_018_XXX[[#This Row],['#02 OK]]-_018_XXX[[#This Row],[入庫]]</f>
        <v>0</v>
      </c>
      <c r="AC25" s="117">
        <f>SUMIFS(record[OK],record[製程料號],_018_XXX[[#This Row],[製令單號]],record[ProcessSN],AC$1)</f>
        <v>2396</v>
      </c>
      <c r="AD25" s="117">
        <f>_018_XXX[[#This Row],[入庫]]-IFERROR(SUMIF(表格8[第一製程製令],_018_XXX[[#This Row],[製令單號]],表格8[分配數量]),0)</f>
        <v>0</v>
      </c>
      <c r="AE25" s="117">
        <f>_018_XXX[[#This Row],['#1-1 NG]]+_018_XXX[[#This Row],[NG]]+_018_XXX[[#This Row],['#1-2 NG]]+_018_XXX[[#This Row],['#01NG]]+_018_XXX[[#This Row],['#02委外NG]]+_018_XXX[[#This Row],['#02 NG]]</f>
        <v>4</v>
      </c>
      <c r="AF25" s="119">
        <f>IF(_018_XXX[[#This Row],[入庫]]+_018_XXX[[#This Row],[總不良數]]=_018_XXX[[#This Row],[入料數]],_018_XXX[[#This Row],[入庫]]/_018_XXX[[#This Row],[入料數]],"")</f>
        <v>0.99833333333333329</v>
      </c>
      <c r="AK25" s="126">
        <v>45894</v>
      </c>
      <c r="AL25" s="127" t="s">
        <v>1017</v>
      </c>
      <c r="AM25" s="128" t="s">
        <v>536</v>
      </c>
      <c r="AN25" s="129" t="s">
        <v>1019</v>
      </c>
      <c r="AO25" s="130">
        <v>504</v>
      </c>
    </row>
    <row r="26" spans="1:41" ht="27.75" x14ac:dyDescent="0.25">
      <c r="A26" s="113">
        <v>46086</v>
      </c>
      <c r="B26" s="114" t="s">
        <v>1602</v>
      </c>
      <c r="C26" s="115" t="s">
        <v>508</v>
      </c>
      <c r="D26" s="116">
        <v>5000</v>
      </c>
      <c r="E26" s="117">
        <f>_018_XXX[[#This Row],[入料數]]-_018_XXX[[#This Row],[進料檢OK]]-_018_XXX[[#This Row],[NG]]</f>
        <v>0</v>
      </c>
      <c r="F26" s="117">
        <f>SUMIFS(record[OK],record[製程料號],_018_XXX[[#This Row],[製令單號]],record[ProcessSN],F$1)</f>
        <v>5000</v>
      </c>
      <c r="G26" s="117">
        <f>SUMIFS(record[NG],record[製程料號],_018_XXX[[#This Row],[製令單號]],record[ProcessSN],G$1)</f>
        <v>0</v>
      </c>
      <c r="H26" s="117">
        <f>_018_XXX[[#This Row],[進料檢OK]]-_018_XXX[[#This Row],['#01已發料數量]]</f>
        <v>0</v>
      </c>
      <c r="I26" s="117">
        <f>SUMIFS(record[OK],record[製程料號],_018_XXX[[#This Row],[製令單號]],record[ProcessSN],I$1)</f>
        <v>5000</v>
      </c>
      <c r="J26" s="117">
        <f>'018#1'!$I26-'018#1'!$K26-_018_XXX[[#This Row],['#1-1 NG]]</f>
        <v>0</v>
      </c>
      <c r="K26" s="117">
        <f>SUMIFS(record[OK],record[製程料號],_018_XXX[[#This Row],[製令單號]],record[ProcessSN],K$1)</f>
        <v>4999</v>
      </c>
      <c r="L26" s="117">
        <f>SUMIFS(record[NG],record[製程料號],_018_XXX[[#This Row],[製令單號]],record[ProcessSN],L$1)</f>
        <v>1</v>
      </c>
      <c r="M26" s="117">
        <f>_018_XXX[[#This Row],['#1-1 OK]]-_018_XXX[[#This Row],['#1-2 OK]]-_018_XXX[[#This Row],['#1-2 NG]]</f>
        <v>0</v>
      </c>
      <c r="N26" s="117">
        <f>SUMIFS(record[OK],record[製程料號],_018_XXX[[#This Row],[製令單號]],record[ProcessSN],N$1)</f>
        <v>4999</v>
      </c>
      <c r="O26" s="117">
        <f>SUMIFS(record[NG],record[製程料號],_018_XXX[[#This Row],[製令單號]],record[ProcessSN],O$1)</f>
        <v>0</v>
      </c>
      <c r="P26" s="117">
        <f>_018_XXX[[#This Row],['#1-2 OK]]-_018_XXX[[#This Row],['#01NG]]-_018_XXX[[#This Row],['#01 OK]]</f>
        <v>0</v>
      </c>
      <c r="Q26" s="117">
        <f>SUMIFS(record[OK],record[製程料號],_018_XXX[[#This Row],[製令單號]],record[ProcessSN],Q$1)</f>
        <v>4999</v>
      </c>
      <c r="R26" s="117">
        <f>SUMIFS(record[NG],record[製程料號],_018_XXX[[#This Row],[製令單號]],record[ProcessSN],R$1)</f>
        <v>0</v>
      </c>
      <c r="S26" s="117">
        <f>_018_XXX[[#This Row],['#01 OK]]-_018_XXX[[#This Row],['#02已委外數量]]</f>
        <v>0</v>
      </c>
      <c r="T26" s="117">
        <f>SUMIFS(record[OK],record[製程料號],_018_XXX[[#This Row],[製令單號]],record[ProcessSN],T$1)</f>
        <v>4999</v>
      </c>
      <c r="U26" s="118" t="str">
        <f>IF(_018_XXX[[#This Row],['#02已委外數量]]&gt;0,VLOOKUP(U$1,record[[ProcessSN]:[廠商]],12,FALSE),"尚未委外")</f>
        <v>俊杰</v>
      </c>
      <c r="V26" s="117">
        <f>_018_XXX[[#This Row],['#02已委外數量]]-_018_XXX[[#This Row],['#02委外NG]]-_018_XXX[[#This Row],['#02回
良品]]</f>
        <v>0</v>
      </c>
      <c r="W26" s="117">
        <f>SUMIFS(record[OK],record[製程料號],_018_XXX[[#This Row],[製令單號]],record[ProcessSN],W$1)</f>
        <v>4997</v>
      </c>
      <c r="X26" s="117">
        <f>SUMIFS(record[NG],record[製程料號],_018_XXX[[#This Row],[製令單號]],record[ProcessSN],X$1)</f>
        <v>2</v>
      </c>
      <c r="Y26" s="117">
        <f>_018_XXX[[#This Row],['#02回
良品]]-_018_XXX[[#This Row],['#02 OK]]-_018_XXX[[#This Row],['#02 NG]]</f>
        <v>0</v>
      </c>
      <c r="Z26" s="117">
        <f>SUMIFS(record[OK],record[製程料號],_018_XXX[[#This Row],[製令單號]],record[ProcessSN],Z$1)</f>
        <v>4997</v>
      </c>
      <c r="AA26" s="117">
        <f>SUMIFS(record[NG],record[製程料號],_018_XXX[[#This Row],[製令單號]],record[ProcessSN],AA$1)</f>
        <v>0</v>
      </c>
      <c r="AB26" s="117">
        <f>_018_XXX[[#This Row],['#02 OK]]-_018_XXX[[#This Row],[入庫]]</f>
        <v>0</v>
      </c>
      <c r="AC26" s="117">
        <f>SUMIFS(record[OK],record[製程料號],_018_XXX[[#This Row],[製令單號]],record[ProcessSN],AC$1)</f>
        <v>4997</v>
      </c>
      <c r="AD26" s="117">
        <f>_018_XXX[[#This Row],[入庫]]-IFERROR(SUMIF(表格8[第一製程製令],_018_XXX[[#This Row],[製令單號]],表格8[分配數量]),0)</f>
        <v>0</v>
      </c>
      <c r="AE26" s="117">
        <f>_018_XXX[[#This Row],['#1-1 NG]]+_018_XXX[[#This Row],[NG]]+_018_XXX[[#This Row],['#1-2 NG]]+_018_XXX[[#This Row],['#01NG]]+_018_XXX[[#This Row],['#02委外NG]]+_018_XXX[[#This Row],['#02 NG]]</f>
        <v>3</v>
      </c>
      <c r="AF26" s="119">
        <f>IF(_018_XXX[[#This Row],[入庫]]+_018_XXX[[#This Row],[總不良數]]=_018_XXX[[#This Row],[入料數]],_018_XXX[[#This Row],[入庫]]/_018_XXX[[#This Row],[入料數]],"")</f>
        <v>0.99939999999999996</v>
      </c>
      <c r="AK26" s="126">
        <v>45902</v>
      </c>
      <c r="AL26" s="127" t="s">
        <v>1027</v>
      </c>
      <c r="AM26" s="128" t="s">
        <v>535</v>
      </c>
      <c r="AN26" s="129" t="s">
        <v>1026</v>
      </c>
      <c r="AO26" s="130">
        <v>40</v>
      </c>
    </row>
    <row r="27" spans="1:41" ht="27.75" x14ac:dyDescent="0.25">
      <c r="A27" s="113">
        <v>46101</v>
      </c>
      <c r="B27" s="114" t="s">
        <v>1655</v>
      </c>
      <c r="C27" s="115" t="s">
        <v>508</v>
      </c>
      <c r="D27" s="116">
        <v>5000</v>
      </c>
      <c r="E27" s="117">
        <f>_018_XXX[[#This Row],[入料數]]-_018_XXX[[#This Row],[進料檢OK]]-_018_XXX[[#This Row],[NG]]</f>
        <v>0</v>
      </c>
      <c r="F27" s="117">
        <f>SUMIFS(record[OK],record[製程料號],_018_XXX[[#This Row],[製令單號]],record[ProcessSN],F$1)</f>
        <v>5000</v>
      </c>
      <c r="G27" s="117">
        <f>SUMIFS(record[NG],record[製程料號],_018_XXX[[#This Row],[製令單號]],record[ProcessSN],G$1)</f>
        <v>0</v>
      </c>
      <c r="H27" s="117">
        <f>_018_XXX[[#This Row],[進料檢OK]]-_018_XXX[[#This Row],['#01已發料數量]]</f>
        <v>0</v>
      </c>
      <c r="I27" s="117">
        <f>SUMIFS(record[OK],record[製程料號],_018_XXX[[#This Row],[製令單號]],record[ProcessSN],I$1)</f>
        <v>5000</v>
      </c>
      <c r="J27" s="117">
        <f>'018#1'!$I27-'018#1'!$K27-_018_XXX[[#This Row],['#1-1 NG]]</f>
        <v>0</v>
      </c>
      <c r="K27" s="117">
        <f>SUMIFS(record[OK],record[製程料號],_018_XXX[[#This Row],[製令單號]],record[ProcessSN],K$1)</f>
        <v>5000</v>
      </c>
      <c r="L27" s="117">
        <f>SUMIFS(record[NG],record[製程料號],_018_XXX[[#This Row],[製令單號]],record[ProcessSN],L$1)</f>
        <v>0</v>
      </c>
      <c r="M27" s="117">
        <f>_018_XXX[[#This Row],['#1-1 OK]]-_018_XXX[[#This Row],['#1-2 OK]]-_018_XXX[[#This Row],['#1-2 NG]]</f>
        <v>0</v>
      </c>
      <c r="N27" s="117">
        <f>SUMIFS(record[OK],record[製程料號],_018_XXX[[#This Row],[製令單號]],record[ProcessSN],N$1)</f>
        <v>5000</v>
      </c>
      <c r="O27" s="117">
        <f>SUMIFS(record[NG],record[製程料號],_018_XXX[[#This Row],[製令單號]],record[ProcessSN],O$1)</f>
        <v>0</v>
      </c>
      <c r="P27" s="117">
        <f>_018_XXX[[#This Row],['#1-2 OK]]-_018_XXX[[#This Row],['#01NG]]-_018_XXX[[#This Row],['#01 OK]]</f>
        <v>0</v>
      </c>
      <c r="Q27" s="117">
        <f>SUMIFS(record[OK],record[製程料號],_018_XXX[[#This Row],[製令單號]],record[ProcessSN],Q$1)</f>
        <v>4998</v>
      </c>
      <c r="R27" s="117">
        <f>SUMIFS(record[NG],record[製程料號],_018_XXX[[#This Row],[製令單號]],record[ProcessSN],R$1)</f>
        <v>2</v>
      </c>
      <c r="S27" s="117">
        <f>_018_XXX[[#This Row],['#01 OK]]-_018_XXX[[#This Row],['#02已委外數量]]</f>
        <v>0</v>
      </c>
      <c r="T27" s="117">
        <f>SUMIFS(record[OK],record[製程料號],_018_XXX[[#This Row],[製令單號]],record[ProcessSN],T$1)</f>
        <v>4998</v>
      </c>
      <c r="U27" s="118" t="str">
        <f>IF(_018_XXX[[#This Row],['#02已委外數量]]&gt;0,VLOOKUP(U$1,record[[ProcessSN]:[廠商]],12,FALSE),"尚未委外")</f>
        <v>俊杰</v>
      </c>
      <c r="V27" s="117">
        <f>_018_XXX[[#This Row],['#02已委外數量]]-_018_XXX[[#This Row],['#02委外NG]]-_018_XXX[[#This Row],['#02回
良品]]</f>
        <v>0</v>
      </c>
      <c r="W27" s="117">
        <f>SUMIFS(record[OK],record[製程料號],_018_XXX[[#This Row],[製令單號]],record[ProcessSN],W$1)</f>
        <v>4994</v>
      </c>
      <c r="X27" s="117">
        <f>SUMIFS(record[NG],record[製程料號],_018_XXX[[#This Row],[製令單號]],record[ProcessSN],X$1)</f>
        <v>4</v>
      </c>
      <c r="Y27" s="117">
        <f>_018_XXX[[#This Row],['#02回
良品]]-_018_XXX[[#This Row],['#02 OK]]-_018_XXX[[#This Row],['#02 NG]]</f>
        <v>0</v>
      </c>
      <c r="Z27" s="117">
        <f>SUMIFS(record[OK],record[製程料號],_018_XXX[[#This Row],[製令單號]],record[ProcessSN],Z$1)</f>
        <v>4994</v>
      </c>
      <c r="AA27" s="117">
        <f>SUMIFS(record[NG],record[製程料號],_018_XXX[[#This Row],[製令單號]],record[ProcessSN],AA$1)</f>
        <v>0</v>
      </c>
      <c r="AB27" s="117">
        <f>_018_XXX[[#This Row],['#02 OK]]-_018_XXX[[#This Row],[入庫]]</f>
        <v>0</v>
      </c>
      <c r="AC27" s="117">
        <f>SUMIFS(record[OK],record[製程料號],_018_XXX[[#This Row],[製令單號]],record[ProcessSN],AC$1)</f>
        <v>4994</v>
      </c>
      <c r="AD27" s="117">
        <f>_018_XXX[[#This Row],[入庫]]-IFERROR(SUMIF(表格8[第一製程製令],_018_XXX[[#This Row],[製令單號]],表格8[分配數量]),0)</f>
        <v>0</v>
      </c>
      <c r="AE27" s="117">
        <f>_018_XXX[[#This Row],['#1-1 NG]]+_018_XXX[[#This Row],[NG]]+_018_XXX[[#This Row],['#1-2 NG]]+_018_XXX[[#This Row],['#01NG]]+_018_XXX[[#This Row],['#02委外NG]]+_018_XXX[[#This Row],['#02 NG]]</f>
        <v>6</v>
      </c>
      <c r="AF27" s="119">
        <f>IF(_018_XXX[[#This Row],[入庫]]+_018_XXX[[#This Row],[總不良數]]=_018_XXX[[#This Row],[入料數]],_018_XXX[[#This Row],[入庫]]/_018_XXX[[#This Row],[入料數]],"")</f>
        <v>0.99880000000000002</v>
      </c>
      <c r="AK27" s="126">
        <v>45902</v>
      </c>
      <c r="AL27" s="127" t="s">
        <v>1028</v>
      </c>
      <c r="AM27" s="128" t="s">
        <v>535</v>
      </c>
      <c r="AN27" s="129" t="s">
        <v>1026</v>
      </c>
      <c r="AO27" s="130">
        <v>960</v>
      </c>
    </row>
    <row r="28" spans="1:41" ht="27.75" x14ac:dyDescent="0.25">
      <c r="A28" s="113">
        <v>46120</v>
      </c>
      <c r="B28" s="114" t="s">
        <v>1772</v>
      </c>
      <c r="C28" s="115" t="s">
        <v>508</v>
      </c>
      <c r="D28" s="116">
        <v>3200</v>
      </c>
      <c r="E28" s="117">
        <f>_018_XXX[[#This Row],[入料數]]-_018_XXX[[#This Row],[進料檢OK]]-_018_XXX[[#This Row],[NG]]</f>
        <v>0</v>
      </c>
      <c r="F28" s="117">
        <f>SUMIFS(record[OK],record[製程料號],_018_XXX[[#This Row],[製令單號]],record[ProcessSN],F$1)</f>
        <v>3200</v>
      </c>
      <c r="G28" s="117">
        <f>SUMIFS(record[NG],record[製程料號],_018_XXX[[#This Row],[製令單號]],record[ProcessSN],G$1)</f>
        <v>0</v>
      </c>
      <c r="H28" s="117">
        <f>_018_XXX[[#This Row],[進料檢OK]]-_018_XXX[[#This Row],['#01已發料數量]]</f>
        <v>0</v>
      </c>
      <c r="I28" s="117">
        <f>SUMIFS(record[OK],record[製程料號],_018_XXX[[#This Row],[製令單號]],record[ProcessSN],I$1)</f>
        <v>3200</v>
      </c>
      <c r="J28" s="117">
        <f>'018#1'!$I28-'018#1'!$K28-_018_XXX[[#This Row],['#1-1 NG]]</f>
        <v>0</v>
      </c>
      <c r="K28" s="117">
        <f>SUMIFS(record[OK],record[製程料號],_018_XXX[[#This Row],[製令單號]],record[ProcessSN],K$1)</f>
        <v>3200</v>
      </c>
      <c r="L28" s="117">
        <f>SUMIFS(record[NG],record[製程料號],_018_XXX[[#This Row],[製令單號]],record[ProcessSN],L$1)</f>
        <v>0</v>
      </c>
      <c r="M28" s="117">
        <f>_018_XXX[[#This Row],['#1-1 OK]]-_018_XXX[[#This Row],['#1-2 OK]]-_018_XXX[[#This Row],['#1-2 NG]]</f>
        <v>0</v>
      </c>
      <c r="N28" s="117">
        <f>SUMIFS(record[OK],record[製程料號],_018_XXX[[#This Row],[製令單號]],record[ProcessSN],N$1)</f>
        <v>3200</v>
      </c>
      <c r="O28" s="117">
        <f>SUMIFS(record[NG],record[製程料號],_018_XXX[[#This Row],[製令單號]],record[ProcessSN],O$1)</f>
        <v>0</v>
      </c>
      <c r="P28" s="117">
        <f>_018_XXX[[#This Row],['#1-2 OK]]-_018_XXX[[#This Row],['#01NG]]-_018_XXX[[#This Row],['#01 OK]]</f>
        <v>0</v>
      </c>
      <c r="Q28" s="117">
        <f>SUMIFS(record[OK],record[製程料號],_018_XXX[[#This Row],[製令單號]],record[ProcessSN],Q$1)</f>
        <v>3200</v>
      </c>
      <c r="R28" s="117">
        <f>SUMIFS(record[NG],record[製程料號],_018_XXX[[#This Row],[製令單號]],record[ProcessSN],R$1)</f>
        <v>0</v>
      </c>
      <c r="S28" s="117">
        <f>_018_XXX[[#This Row],['#01 OK]]-_018_XXX[[#This Row],['#02已委外數量]]</f>
        <v>0</v>
      </c>
      <c r="T28" s="117">
        <f>SUMIFS(record[OK],record[製程料號],_018_XXX[[#This Row],[製令單號]],record[ProcessSN],T$1)</f>
        <v>3200</v>
      </c>
      <c r="U28" s="118" t="str">
        <f>IF(_018_XXX[[#This Row],['#02已委外數量]]&gt;0,VLOOKUP(U$1,record[[ProcessSN]:[廠商]],12,FALSE),"尚未委外")</f>
        <v>俊杰</v>
      </c>
      <c r="V28" s="117">
        <f>_018_XXX[[#This Row],['#02已委外數量]]-_018_XXX[[#This Row],['#02委外NG]]-_018_XXX[[#This Row],['#02回
良品]]</f>
        <v>3</v>
      </c>
      <c r="W28" s="117">
        <f>SUMIFS(record[OK],record[製程料號],_018_XXX[[#This Row],[製令單號]],record[ProcessSN],W$1)</f>
        <v>3179</v>
      </c>
      <c r="X28" s="117">
        <f>SUMIFS(record[NG],record[製程料號],_018_XXX[[#This Row],[製令單號]],record[ProcessSN],X$1)</f>
        <v>18</v>
      </c>
      <c r="Y28" s="117">
        <f>_018_XXX[[#This Row],['#02回
良品]]-_018_XXX[[#This Row],['#02 OK]]-_018_XXX[[#This Row],['#02 NG]]</f>
        <v>0</v>
      </c>
      <c r="Z28" s="117">
        <f>SUMIFS(record[OK],record[製程料號],_018_XXX[[#This Row],[製令單號]],record[ProcessSN],Z$1)</f>
        <v>3179</v>
      </c>
      <c r="AA28" s="117">
        <f>SUMIFS(record[NG],record[製程料號],_018_XXX[[#This Row],[製令單號]],record[ProcessSN],AA$1)</f>
        <v>0</v>
      </c>
      <c r="AB28" s="117">
        <f>_018_XXX[[#This Row],['#02 OK]]-_018_XXX[[#This Row],[入庫]]</f>
        <v>0</v>
      </c>
      <c r="AC28" s="117">
        <f>SUMIFS(record[OK],record[製程料號],_018_XXX[[#This Row],[製令單號]],record[ProcessSN],AC$1)</f>
        <v>3179</v>
      </c>
      <c r="AD28" s="117">
        <f>_018_XXX[[#This Row],[入庫]]-IFERROR(SUMIF(表格8[第一製程製令],_018_XXX[[#This Row],[製令單號]],表格8[分配數量]),0)</f>
        <v>0</v>
      </c>
      <c r="AE28" s="117">
        <f>_018_XXX[[#This Row],['#1-1 NG]]+_018_XXX[[#This Row],[NG]]+_018_XXX[[#This Row],['#1-2 NG]]+_018_XXX[[#This Row],['#01NG]]+_018_XXX[[#This Row],['#02委外NG]]+_018_XXX[[#This Row],['#02 NG]]</f>
        <v>18</v>
      </c>
      <c r="AF28" s="119" t="str">
        <f>IF(_018_XXX[[#This Row],[入庫]]+_018_XXX[[#This Row],[總不良數]]=_018_XXX[[#This Row],[入料數]],_018_XXX[[#This Row],[入庫]]/_018_XXX[[#This Row],[入料數]],"")</f>
        <v/>
      </c>
      <c r="AK28" s="126">
        <v>45902</v>
      </c>
      <c r="AL28" s="127" t="s">
        <v>1028</v>
      </c>
      <c r="AM28" s="128" t="s">
        <v>536</v>
      </c>
      <c r="AN28" s="129" t="s">
        <v>1029</v>
      </c>
      <c r="AO28" s="130">
        <v>2000</v>
      </c>
    </row>
    <row r="29" spans="1:41" ht="27.75" x14ac:dyDescent="0.25">
      <c r="A29" s="113">
        <v>46122</v>
      </c>
      <c r="B29" s="114" t="s">
        <v>1787</v>
      </c>
      <c r="C29" s="115" t="s">
        <v>508</v>
      </c>
      <c r="D29" s="116">
        <v>5000</v>
      </c>
      <c r="E29" s="117">
        <f>_018_XXX[[#This Row],[入料數]]-_018_XXX[[#This Row],[進料檢OK]]-_018_XXX[[#This Row],[NG]]</f>
        <v>0</v>
      </c>
      <c r="F29" s="117">
        <f>SUMIFS(record[OK],record[製程料號],_018_XXX[[#This Row],[製令單號]],record[ProcessSN],F$1)</f>
        <v>5000</v>
      </c>
      <c r="G29" s="117">
        <f>SUMIFS(record[NG],record[製程料號],_018_XXX[[#This Row],[製令單號]],record[ProcessSN],G$1)</f>
        <v>0</v>
      </c>
      <c r="H29" s="117">
        <f>_018_XXX[[#This Row],[進料檢OK]]-_018_XXX[[#This Row],['#01已發料數量]]</f>
        <v>0</v>
      </c>
      <c r="I29" s="117">
        <f>SUMIFS(record[OK],record[製程料號],_018_XXX[[#This Row],[製令單號]],record[ProcessSN],I$1)</f>
        <v>5000</v>
      </c>
      <c r="J29" s="117">
        <f>'018#1'!$I29-'018#1'!$K29-_018_XXX[[#This Row],['#1-1 NG]]</f>
        <v>0</v>
      </c>
      <c r="K29" s="117">
        <f>SUMIFS(record[OK],record[製程料號],_018_XXX[[#This Row],[製令單號]],record[ProcessSN],K$1)</f>
        <v>4970</v>
      </c>
      <c r="L29" s="117">
        <f>SUMIFS(record[NG],record[製程料號],_018_XXX[[#This Row],[製令單號]],record[ProcessSN],L$1)</f>
        <v>30</v>
      </c>
      <c r="M29" s="117">
        <f>_018_XXX[[#This Row],['#1-1 OK]]-_018_XXX[[#This Row],['#1-2 OK]]-_018_XXX[[#This Row],['#1-2 NG]]</f>
        <v>0</v>
      </c>
      <c r="N29" s="117">
        <f>SUMIFS(record[OK],record[製程料號],_018_XXX[[#This Row],[製令單號]],record[ProcessSN],N$1)</f>
        <v>4970</v>
      </c>
      <c r="O29" s="117">
        <f>SUMIFS(record[NG],record[製程料號],_018_XXX[[#This Row],[製令單號]],record[ProcessSN],O$1)</f>
        <v>0</v>
      </c>
      <c r="P29" s="117">
        <f>_018_XXX[[#This Row],['#1-2 OK]]-_018_XXX[[#This Row],['#01NG]]-_018_XXX[[#This Row],['#01 OK]]</f>
        <v>0</v>
      </c>
      <c r="Q29" s="117">
        <f>SUMIFS(record[OK],record[製程料號],_018_XXX[[#This Row],[製令單號]],record[ProcessSN],Q$1)</f>
        <v>4970</v>
      </c>
      <c r="R29" s="117">
        <f>SUMIFS(record[NG],record[製程料號],_018_XXX[[#This Row],[製令單號]],record[ProcessSN],R$1)</f>
        <v>0</v>
      </c>
      <c r="S29" s="117">
        <f>_018_XXX[[#This Row],['#01 OK]]-_018_XXX[[#This Row],['#02已委外數量]]</f>
        <v>0</v>
      </c>
      <c r="T29" s="117">
        <f>SUMIFS(record[OK],record[製程料號],_018_XXX[[#This Row],[製令單號]],record[ProcessSN],T$1)</f>
        <v>4970</v>
      </c>
      <c r="U29" s="118" t="str">
        <f>IF(_018_XXX[[#This Row],['#02已委外數量]]&gt;0,VLOOKUP(U$1,record[[ProcessSN]:[廠商]],12,FALSE),"尚未委外")</f>
        <v>俊杰</v>
      </c>
      <c r="V29" s="117">
        <f>_018_XXX[[#This Row],['#02已委外數量]]-_018_XXX[[#This Row],['#02委外NG]]-_018_XXX[[#This Row],['#02回
良品]]</f>
        <v>0</v>
      </c>
      <c r="W29" s="117">
        <f>SUMIFS(record[OK],record[製程料號],_018_XXX[[#This Row],[製令單號]],record[ProcessSN],W$1)</f>
        <v>4959</v>
      </c>
      <c r="X29" s="117">
        <f>SUMIFS(record[NG],record[製程料號],_018_XXX[[#This Row],[製令單號]],record[ProcessSN],X$1)</f>
        <v>11</v>
      </c>
      <c r="Y29" s="117">
        <f>_018_XXX[[#This Row],['#02回
良品]]-_018_XXX[[#This Row],['#02 OK]]-_018_XXX[[#This Row],['#02 NG]]</f>
        <v>0</v>
      </c>
      <c r="Z29" s="117">
        <f>SUMIFS(record[OK],record[製程料號],_018_XXX[[#This Row],[製令單號]],record[ProcessSN],Z$1)</f>
        <v>4959</v>
      </c>
      <c r="AA29" s="117">
        <f>SUMIFS(record[NG],record[製程料號],_018_XXX[[#This Row],[製令單號]],record[ProcessSN],AA$1)</f>
        <v>0</v>
      </c>
      <c r="AB29" s="117">
        <f>_018_XXX[[#This Row],['#02 OK]]-_018_XXX[[#This Row],[入庫]]</f>
        <v>0</v>
      </c>
      <c r="AC29" s="117">
        <f>SUMIFS(record[OK],record[製程料號],_018_XXX[[#This Row],[製令單號]],record[ProcessSN],AC$1)</f>
        <v>4959</v>
      </c>
      <c r="AD29" s="117">
        <f>_018_XXX[[#This Row],[入庫]]-IFERROR(SUMIF(表格8[第一製程製令],_018_XXX[[#This Row],[製令單號]],表格8[分配數量]),0)</f>
        <v>0</v>
      </c>
      <c r="AE29" s="117">
        <f>_018_XXX[[#This Row],['#1-1 NG]]+_018_XXX[[#This Row],[NG]]+_018_XXX[[#This Row],['#1-2 NG]]+_018_XXX[[#This Row],['#01NG]]+_018_XXX[[#This Row],['#02委外NG]]+_018_XXX[[#This Row],['#02 NG]]</f>
        <v>41</v>
      </c>
      <c r="AF29" s="119">
        <f>IF(_018_XXX[[#This Row],[入庫]]+_018_XXX[[#This Row],[總不良數]]=_018_XXX[[#This Row],[入料數]],_018_XXX[[#This Row],[入庫]]/_018_XXX[[#This Row],[入料數]],"")</f>
        <v>0.99180000000000001</v>
      </c>
      <c r="AK29" s="126">
        <v>45902</v>
      </c>
      <c r="AL29" s="127" t="s">
        <v>1028</v>
      </c>
      <c r="AM29" s="128" t="s">
        <v>1032</v>
      </c>
      <c r="AN29" s="129" t="s">
        <v>1030</v>
      </c>
      <c r="AO29" s="130">
        <v>28</v>
      </c>
    </row>
    <row r="30" spans="1:41" ht="27.75" x14ac:dyDescent="0.25">
      <c r="A30" s="113">
        <v>46128</v>
      </c>
      <c r="B30" s="114" t="s">
        <v>1818</v>
      </c>
      <c r="C30" s="115" t="s">
        <v>508</v>
      </c>
      <c r="D30" s="116">
        <v>5000</v>
      </c>
      <c r="E30" s="117">
        <f>_018_XXX[[#This Row],[入料數]]-_018_XXX[[#This Row],[進料檢OK]]-_018_XXX[[#This Row],[NG]]</f>
        <v>0</v>
      </c>
      <c r="F30" s="117">
        <f>SUMIFS(record[OK],record[製程料號],_018_XXX[[#This Row],[製令單號]],record[ProcessSN],F$1)</f>
        <v>5000</v>
      </c>
      <c r="G30" s="117">
        <f>SUMIFS(record[NG],record[製程料號],_018_XXX[[#This Row],[製令單號]],record[ProcessSN],G$1)</f>
        <v>0</v>
      </c>
      <c r="H30" s="117">
        <f>_018_XXX[[#This Row],[進料檢OK]]-_018_XXX[[#This Row],['#01已發料數量]]</f>
        <v>0</v>
      </c>
      <c r="I30" s="117">
        <f>SUMIFS(record[OK],record[製程料號],_018_XXX[[#This Row],[製令單號]],record[ProcessSN],I$1)</f>
        <v>5000</v>
      </c>
      <c r="J30" s="117">
        <f>'018#1'!$I30-'018#1'!$K30-_018_XXX[[#This Row],['#1-1 NG]]</f>
        <v>0</v>
      </c>
      <c r="K30" s="117">
        <f>SUMIFS(record[OK],record[製程料號],_018_XXX[[#This Row],[製令單號]],record[ProcessSN],K$1)</f>
        <v>5000</v>
      </c>
      <c r="L30" s="117">
        <f>SUMIFS(record[NG],record[製程料號],_018_XXX[[#This Row],[製令單號]],record[ProcessSN],L$1)</f>
        <v>0</v>
      </c>
      <c r="M30" s="117">
        <f>_018_XXX[[#This Row],['#1-1 OK]]-_018_XXX[[#This Row],['#1-2 OK]]-_018_XXX[[#This Row],['#1-2 NG]]</f>
        <v>0</v>
      </c>
      <c r="N30" s="117">
        <f>SUMIFS(record[OK],record[製程料號],_018_XXX[[#This Row],[製令單號]],record[ProcessSN],N$1)</f>
        <v>5000</v>
      </c>
      <c r="O30" s="117">
        <f>SUMIFS(record[NG],record[製程料號],_018_XXX[[#This Row],[製令單號]],record[ProcessSN],O$1)</f>
        <v>0</v>
      </c>
      <c r="P30" s="117">
        <f>_018_XXX[[#This Row],['#1-2 OK]]-_018_XXX[[#This Row],['#01NG]]-_018_XXX[[#This Row],['#01 OK]]</f>
        <v>0</v>
      </c>
      <c r="Q30" s="117">
        <f>SUMIFS(record[OK],record[製程料號],_018_XXX[[#This Row],[製令單號]],record[ProcessSN],Q$1)</f>
        <v>5000</v>
      </c>
      <c r="R30" s="117">
        <f>SUMIFS(record[NG],record[製程料號],_018_XXX[[#This Row],[製令單號]],record[ProcessSN],R$1)</f>
        <v>0</v>
      </c>
      <c r="S30" s="117">
        <f>_018_XXX[[#This Row],['#01 OK]]-_018_XXX[[#This Row],['#02已委外數量]]</f>
        <v>0</v>
      </c>
      <c r="T30" s="117">
        <f>SUMIFS(record[OK],record[製程料號],_018_XXX[[#This Row],[製令單號]],record[ProcessSN],T$1)</f>
        <v>5000</v>
      </c>
      <c r="U30" s="118" t="str">
        <f>IF(_018_XXX[[#This Row],['#02已委外數量]]&gt;0,VLOOKUP(U$1,record[[ProcessSN]:[廠商]],12,FALSE),"尚未委外")</f>
        <v>俊杰</v>
      </c>
      <c r="V30" s="117">
        <f>_018_XXX[[#This Row],['#02已委外數量]]-_018_XXX[[#This Row],['#02委外NG]]-_018_XXX[[#This Row],['#02回
良品]]</f>
        <v>0</v>
      </c>
      <c r="W30" s="117">
        <f>SUMIFS(record[OK],record[製程料號],_018_XXX[[#This Row],[製令單號]],record[ProcessSN],W$1)</f>
        <v>4976</v>
      </c>
      <c r="X30" s="117">
        <f>SUMIFS(record[NG],record[製程料號],_018_XXX[[#This Row],[製令單號]],record[ProcessSN],X$1)</f>
        <v>24</v>
      </c>
      <c r="Y30" s="117">
        <f>_018_XXX[[#This Row],['#02回
良品]]-_018_XXX[[#This Row],['#02 OK]]-_018_XXX[[#This Row],['#02 NG]]</f>
        <v>0</v>
      </c>
      <c r="Z30" s="117">
        <f>SUMIFS(record[OK],record[製程料號],_018_XXX[[#This Row],[製令單號]],record[ProcessSN],Z$1)</f>
        <v>4976</v>
      </c>
      <c r="AA30" s="117">
        <f>SUMIFS(record[NG],record[製程料號],_018_XXX[[#This Row],[製令單號]],record[ProcessSN],AA$1)</f>
        <v>0</v>
      </c>
      <c r="AB30" s="117">
        <f>_018_XXX[[#This Row],['#02 OK]]-_018_XXX[[#This Row],[入庫]]</f>
        <v>0</v>
      </c>
      <c r="AC30" s="117">
        <f>SUMIFS(record[OK],record[製程料號],_018_XXX[[#This Row],[製令單號]],record[ProcessSN],AC$1)</f>
        <v>4976</v>
      </c>
      <c r="AD30" s="117">
        <f>_018_XXX[[#This Row],[入庫]]-IFERROR(SUMIF(表格8[第一製程製令],_018_XXX[[#This Row],[製令單號]],表格8[分配數量]),0)</f>
        <v>0</v>
      </c>
      <c r="AE30" s="117">
        <f>_018_XXX[[#This Row],['#1-1 NG]]+_018_XXX[[#This Row],[NG]]+_018_XXX[[#This Row],['#1-2 NG]]+_018_XXX[[#This Row],['#01NG]]+_018_XXX[[#This Row],['#02委外NG]]+_018_XXX[[#This Row],['#02 NG]]</f>
        <v>24</v>
      </c>
      <c r="AF30" s="119">
        <f>IF(_018_XXX[[#This Row],[入庫]]+_018_XXX[[#This Row],[總不良數]]=_018_XXX[[#This Row],[入料數]],_018_XXX[[#This Row],[入庫]]/_018_XXX[[#This Row],[入料數]],"")</f>
        <v>0.99519999999999997</v>
      </c>
      <c r="AK30" s="126">
        <v>45902</v>
      </c>
      <c r="AL30" s="127" t="s">
        <v>1031</v>
      </c>
      <c r="AM30" s="128" t="s">
        <v>781</v>
      </c>
      <c r="AN30" s="129" t="s">
        <v>1030</v>
      </c>
      <c r="AO30" s="130">
        <v>972</v>
      </c>
    </row>
    <row r="31" spans="1:41" ht="27.75" x14ac:dyDescent="0.25">
      <c r="A31" s="113">
        <v>46133</v>
      </c>
      <c r="B31" s="114" t="s">
        <v>1857</v>
      </c>
      <c r="C31" s="115" t="s">
        <v>508</v>
      </c>
      <c r="D31" s="116">
        <v>5040</v>
      </c>
      <c r="E31" s="117">
        <f>_018_XXX[[#This Row],[入料數]]-_018_XXX[[#This Row],[進料檢OK]]-_018_XXX[[#This Row],[NG]]</f>
        <v>0</v>
      </c>
      <c r="F31" s="117">
        <f>SUMIFS(record[OK],record[製程料號],_018_XXX[[#This Row],[製令單號]],record[ProcessSN],F$1)</f>
        <v>5040</v>
      </c>
      <c r="G31" s="117">
        <f>SUMIFS(record[NG],record[製程料號],_018_XXX[[#This Row],[製令單號]],record[ProcessSN],G$1)</f>
        <v>0</v>
      </c>
      <c r="H31" s="117">
        <f>_018_XXX[[#This Row],[進料檢OK]]-_018_XXX[[#This Row],['#01已發料數量]]</f>
        <v>0</v>
      </c>
      <c r="I31" s="117">
        <f>SUMIFS(record[OK],record[製程料號],_018_XXX[[#This Row],[製令單號]],record[ProcessSN],I$1)</f>
        <v>5040</v>
      </c>
      <c r="J31" s="117">
        <f>'018#1'!$I31-'018#1'!$K31-_018_XXX[[#This Row],['#1-1 NG]]</f>
        <v>0</v>
      </c>
      <c r="K31" s="117">
        <f>SUMIFS(record[OK],record[製程料號],_018_XXX[[#This Row],[製令單號]],record[ProcessSN],K$1)</f>
        <v>5040</v>
      </c>
      <c r="L31" s="117">
        <f>SUMIFS(record[NG],record[製程料號],_018_XXX[[#This Row],[製令單號]],record[ProcessSN],L$1)</f>
        <v>0</v>
      </c>
      <c r="M31" s="117">
        <f>_018_XXX[[#This Row],['#1-1 OK]]-_018_XXX[[#This Row],['#1-2 OK]]-_018_XXX[[#This Row],['#1-2 NG]]</f>
        <v>0</v>
      </c>
      <c r="N31" s="117">
        <f>SUMIFS(record[OK],record[製程料號],_018_XXX[[#This Row],[製令單號]],record[ProcessSN],N$1)</f>
        <v>5040</v>
      </c>
      <c r="O31" s="117">
        <f>SUMIFS(record[NG],record[製程料號],_018_XXX[[#This Row],[製令單號]],record[ProcessSN],O$1)</f>
        <v>0</v>
      </c>
      <c r="P31" s="117">
        <f>_018_XXX[[#This Row],['#1-2 OK]]-_018_XXX[[#This Row],['#01NG]]-_018_XXX[[#This Row],['#01 OK]]</f>
        <v>0</v>
      </c>
      <c r="Q31" s="117">
        <f>SUMIFS(record[OK],record[製程料號],_018_XXX[[#This Row],[製令單號]],record[ProcessSN],Q$1)</f>
        <v>5040</v>
      </c>
      <c r="R31" s="117">
        <f>SUMIFS(record[NG],record[製程料號],_018_XXX[[#This Row],[製令單號]],record[ProcessSN],R$1)</f>
        <v>0</v>
      </c>
      <c r="S31" s="117">
        <f>_018_XXX[[#This Row],['#01 OK]]-_018_XXX[[#This Row],['#02已委外數量]]</f>
        <v>0</v>
      </c>
      <c r="T31" s="117">
        <f>SUMIFS(record[OK],record[製程料號],_018_XXX[[#This Row],[製令單號]],record[ProcessSN],T$1)</f>
        <v>5040</v>
      </c>
      <c r="U31" s="118" t="str">
        <f>IF(_018_XXX[[#This Row],['#02已委外數量]]&gt;0,VLOOKUP(U$1,record[[ProcessSN]:[廠商]],12,FALSE),"尚未委外")</f>
        <v>俊杰</v>
      </c>
      <c r="V31" s="117">
        <f>_018_XXX[[#This Row],['#02已委外數量]]-_018_XXX[[#This Row],['#02委外NG]]-_018_XXX[[#This Row],['#02回
良品]]</f>
        <v>0</v>
      </c>
      <c r="W31" s="117">
        <f>SUMIFS(record[OK],record[製程料號],_018_XXX[[#This Row],[製令單號]],record[ProcessSN],W$1)</f>
        <v>5016</v>
      </c>
      <c r="X31" s="117">
        <f>SUMIFS(record[NG],record[製程料號],_018_XXX[[#This Row],[製令單號]],record[ProcessSN],X$1)</f>
        <v>24</v>
      </c>
      <c r="Y31" s="117">
        <f>_018_XXX[[#This Row],['#02回
良品]]-_018_XXX[[#This Row],['#02 OK]]-_018_XXX[[#This Row],['#02 NG]]</f>
        <v>0</v>
      </c>
      <c r="Z31" s="117">
        <f>SUMIFS(record[OK],record[製程料號],_018_XXX[[#This Row],[製令單號]],record[ProcessSN],Z$1)</f>
        <v>5016</v>
      </c>
      <c r="AA31" s="117">
        <f>SUMIFS(record[NG],record[製程料號],_018_XXX[[#This Row],[製令單號]],record[ProcessSN],AA$1)</f>
        <v>0</v>
      </c>
      <c r="AB31" s="117">
        <f>_018_XXX[[#This Row],['#02 OK]]-_018_XXX[[#This Row],[入庫]]</f>
        <v>336</v>
      </c>
      <c r="AC31" s="117">
        <f>SUMIFS(record[OK],record[製程料號],_018_XXX[[#This Row],[製令單號]],record[ProcessSN],AC$1)</f>
        <v>4680</v>
      </c>
      <c r="AD31" s="117">
        <f>_018_XXX[[#This Row],[入庫]]-IFERROR(SUMIF(表格8[第一製程製令],_018_XXX[[#This Row],[製令單號]],表格8[分配數量]),0)</f>
        <v>0</v>
      </c>
      <c r="AE31" s="117">
        <f>_018_XXX[[#This Row],['#1-1 NG]]+_018_XXX[[#This Row],[NG]]+_018_XXX[[#This Row],['#1-2 NG]]+_018_XXX[[#This Row],['#01NG]]+_018_XXX[[#This Row],['#02委外NG]]+_018_XXX[[#This Row],['#02 NG]]</f>
        <v>24</v>
      </c>
      <c r="AF31" s="119" t="str">
        <f>IF(_018_XXX[[#This Row],[入庫]]+_018_XXX[[#This Row],[總不良數]]=_018_XXX[[#This Row],[入料數]],_018_XXX[[#This Row],[入庫]]/_018_XXX[[#This Row],[入料數]],"")</f>
        <v/>
      </c>
      <c r="AK31" s="126">
        <v>45933</v>
      </c>
      <c r="AL31" s="127" t="s">
        <v>989</v>
      </c>
      <c r="AM31" s="128" t="s">
        <v>781</v>
      </c>
      <c r="AN31" s="129" t="s">
        <v>1100</v>
      </c>
      <c r="AO31" s="130">
        <v>2500</v>
      </c>
    </row>
    <row r="32" spans="1:41" ht="27.75" x14ac:dyDescent="0.25">
      <c r="A32" s="113">
        <v>46149</v>
      </c>
      <c r="B32" s="114" t="s">
        <v>1985</v>
      </c>
      <c r="C32" s="115" t="s">
        <v>508</v>
      </c>
      <c r="D32" s="116">
        <v>3200</v>
      </c>
      <c r="E32" s="117">
        <f>_018_XXX[[#This Row],[入料數]]-_018_XXX[[#This Row],[進料檢OK]]-_018_XXX[[#This Row],[NG]]</f>
        <v>0</v>
      </c>
      <c r="F32" s="117">
        <f>SUMIFS(record[OK],record[製程料號],_018_XXX[[#This Row],[製令單號]],record[ProcessSN],F$1)</f>
        <v>3200</v>
      </c>
      <c r="G32" s="117">
        <f>SUMIFS(record[NG],record[製程料號],_018_XXX[[#This Row],[製令單號]],record[ProcessSN],G$1)</f>
        <v>0</v>
      </c>
      <c r="H32" s="117">
        <f>_018_XXX[[#This Row],[進料檢OK]]-_018_XXX[[#This Row],['#01已發料數量]]</f>
        <v>0</v>
      </c>
      <c r="I32" s="117">
        <f>SUMIFS(record[OK],record[製程料號],_018_XXX[[#This Row],[製令單號]],record[ProcessSN],I$1)</f>
        <v>3200</v>
      </c>
      <c r="J32" s="117">
        <f>'018#1'!$I32-'018#1'!$K32-_018_XXX[[#This Row],['#1-1 NG]]</f>
        <v>0</v>
      </c>
      <c r="K32" s="117">
        <f>SUMIFS(record[OK],record[製程料號],_018_XXX[[#This Row],[製令單號]],record[ProcessSN],K$1)</f>
        <v>3200</v>
      </c>
      <c r="L32" s="117">
        <f>SUMIFS(record[NG],record[製程料號],_018_XXX[[#This Row],[製令單號]],record[ProcessSN],L$1)</f>
        <v>0</v>
      </c>
      <c r="M32" s="117">
        <f>_018_XXX[[#This Row],['#1-1 OK]]-_018_XXX[[#This Row],['#1-2 OK]]-_018_XXX[[#This Row],['#1-2 NG]]</f>
        <v>0</v>
      </c>
      <c r="N32" s="117">
        <f>SUMIFS(record[OK],record[製程料號],_018_XXX[[#This Row],[製令單號]],record[ProcessSN],N$1)</f>
        <v>3200</v>
      </c>
      <c r="O32" s="117">
        <f>SUMIFS(record[NG],record[製程料號],_018_XXX[[#This Row],[製令單號]],record[ProcessSN],O$1)</f>
        <v>0</v>
      </c>
      <c r="P32" s="117">
        <f>_018_XXX[[#This Row],['#1-2 OK]]-_018_XXX[[#This Row],['#01NG]]-_018_XXX[[#This Row],['#01 OK]]</f>
        <v>0</v>
      </c>
      <c r="Q32" s="117">
        <f>SUMIFS(record[OK],record[製程料號],_018_XXX[[#This Row],[製令單號]],record[ProcessSN],Q$1)</f>
        <v>3200</v>
      </c>
      <c r="R32" s="117">
        <f>SUMIFS(record[NG],record[製程料號],_018_XXX[[#This Row],[製令單號]],record[ProcessSN],R$1)</f>
        <v>0</v>
      </c>
      <c r="S32" s="117">
        <f>_018_XXX[[#This Row],['#01 OK]]-_018_XXX[[#This Row],['#02已委外數量]]</f>
        <v>0</v>
      </c>
      <c r="T32" s="117">
        <f>SUMIFS(record[OK],record[製程料號],_018_XXX[[#This Row],[製令單號]],record[ProcessSN],T$1)</f>
        <v>3200</v>
      </c>
      <c r="U32" s="118" t="str">
        <f>IF(_018_XXX[[#This Row],['#02已委外數量]]&gt;0,VLOOKUP(U$1,record[[ProcessSN]:[廠商]],12,FALSE),"尚未委外")</f>
        <v>俊杰</v>
      </c>
      <c r="V32" s="117">
        <f>_018_XXX[[#This Row],['#02已委外數量]]-_018_XXX[[#This Row],['#02委外NG]]-_018_XXX[[#This Row],['#02回
良品]]</f>
        <v>3200</v>
      </c>
      <c r="W32" s="117">
        <f>SUMIFS(record[OK],record[製程料號],_018_XXX[[#This Row],[製令單號]],record[ProcessSN],W$1)</f>
        <v>0</v>
      </c>
      <c r="X32" s="117">
        <f>SUMIFS(record[NG],record[製程料號],_018_XXX[[#This Row],[製令單號]],record[ProcessSN],X$1)</f>
        <v>0</v>
      </c>
      <c r="Y32" s="117">
        <f>_018_XXX[[#This Row],['#02回
良品]]-_018_XXX[[#This Row],['#02 OK]]-_018_XXX[[#This Row],['#02 NG]]</f>
        <v>0</v>
      </c>
      <c r="Z32" s="117">
        <f>SUMIFS(record[OK],record[製程料號],_018_XXX[[#This Row],[製令單號]],record[ProcessSN],Z$1)</f>
        <v>0</v>
      </c>
      <c r="AA32" s="117">
        <f>SUMIFS(record[NG],record[製程料號],_018_XXX[[#This Row],[製令單號]],record[ProcessSN],AA$1)</f>
        <v>0</v>
      </c>
      <c r="AB32" s="117">
        <f>_018_XXX[[#This Row],['#02 OK]]-_018_XXX[[#This Row],[入庫]]</f>
        <v>0</v>
      </c>
      <c r="AC32" s="117">
        <f>SUMIFS(record[OK],record[製程料號],_018_XXX[[#This Row],[製令單號]],record[ProcessSN],AC$1)</f>
        <v>0</v>
      </c>
      <c r="AD32" s="117">
        <f>_018_XXX[[#This Row],[入庫]]-IFERROR(SUMIF(表格8[第一製程製令],_018_XXX[[#This Row],[製令單號]],表格8[分配數量]),0)</f>
        <v>0</v>
      </c>
      <c r="AE32" s="117">
        <f>_018_XXX[[#This Row],['#1-1 NG]]+_018_XXX[[#This Row],[NG]]+_018_XXX[[#This Row],['#1-2 NG]]+_018_XXX[[#This Row],['#01NG]]+_018_XXX[[#This Row],['#02委外NG]]+_018_XXX[[#This Row],['#02 NG]]</f>
        <v>0</v>
      </c>
      <c r="AF32" s="119" t="str">
        <f>IF(_018_XXX[[#This Row],[入庫]]+_018_XXX[[#This Row],[總不良數]]=_018_XXX[[#This Row],[入料數]],_018_XXX[[#This Row],[入庫]]/_018_XXX[[#This Row],[入料數]],"")</f>
        <v/>
      </c>
      <c r="AK32" s="126">
        <v>45933</v>
      </c>
      <c r="AL32" s="127" t="s">
        <v>989</v>
      </c>
      <c r="AM32" s="128" t="s">
        <v>535</v>
      </c>
      <c r="AN32" s="129" t="s">
        <v>1102</v>
      </c>
      <c r="AO32" s="130">
        <v>1484</v>
      </c>
    </row>
    <row r="33" spans="1:41" ht="27.75" x14ac:dyDescent="0.25">
      <c r="A33" s="113">
        <v>46153</v>
      </c>
      <c r="B33" s="114" t="s">
        <v>2003</v>
      </c>
      <c r="C33" s="115" t="s">
        <v>508</v>
      </c>
      <c r="D33" s="116">
        <v>5000</v>
      </c>
      <c r="E33" s="117">
        <f>_018_XXX[[#This Row],[入料數]]-_018_XXX[[#This Row],[進料檢OK]]-_018_XXX[[#This Row],[NG]]</f>
        <v>0</v>
      </c>
      <c r="F33" s="117">
        <f>SUMIFS(record[OK],record[製程料號],_018_XXX[[#This Row],[製令單號]],record[ProcessSN],F$1)</f>
        <v>5000</v>
      </c>
      <c r="G33" s="117">
        <f>SUMIFS(record[NG],record[製程料號],_018_XXX[[#This Row],[製令單號]],record[ProcessSN],G$1)</f>
        <v>0</v>
      </c>
      <c r="H33" s="117">
        <f>_018_XXX[[#This Row],[進料檢OK]]-_018_XXX[[#This Row],['#01已發料數量]]</f>
        <v>0</v>
      </c>
      <c r="I33" s="117">
        <f>SUMIFS(record[OK],record[製程料號],_018_XXX[[#This Row],[製令單號]],record[ProcessSN],I$1)</f>
        <v>5000</v>
      </c>
      <c r="J33" s="117">
        <f>'018#1'!$I33-'018#1'!$K33-_018_XXX[[#This Row],['#1-1 NG]]</f>
        <v>0</v>
      </c>
      <c r="K33" s="117">
        <f>SUMIFS(record[OK],record[製程料號],_018_XXX[[#This Row],[製令單號]],record[ProcessSN],K$1)</f>
        <v>5000</v>
      </c>
      <c r="L33" s="117">
        <f>SUMIFS(record[NG],record[製程料號],_018_XXX[[#This Row],[製令單號]],record[ProcessSN],L$1)</f>
        <v>0</v>
      </c>
      <c r="M33" s="117">
        <f>_018_XXX[[#This Row],['#1-1 OK]]-_018_XXX[[#This Row],['#1-2 OK]]-_018_XXX[[#This Row],['#1-2 NG]]</f>
        <v>4263</v>
      </c>
      <c r="N33" s="117">
        <f>SUMIFS(record[OK],record[製程料號],_018_XXX[[#This Row],[製令單號]],record[ProcessSN],N$1)</f>
        <v>737</v>
      </c>
      <c r="O33" s="117">
        <f>SUMIFS(record[NG],record[製程料號],_018_XXX[[#This Row],[製令單號]],record[ProcessSN],O$1)</f>
        <v>0</v>
      </c>
      <c r="P33" s="117">
        <f>_018_XXX[[#This Row],['#1-2 OK]]-_018_XXX[[#This Row],['#01NG]]-_018_XXX[[#This Row],['#01 OK]]</f>
        <v>65</v>
      </c>
      <c r="Q33" s="117">
        <f>SUMIFS(record[OK],record[製程料號],_018_XXX[[#This Row],[製令單號]],record[ProcessSN],Q$1)</f>
        <v>672</v>
      </c>
      <c r="R33" s="117">
        <f>SUMIFS(record[NG],record[製程料號],_018_XXX[[#This Row],[製令單號]],record[ProcessSN],R$1)</f>
        <v>0</v>
      </c>
      <c r="S33" s="117">
        <f>_018_XXX[[#This Row],['#01 OK]]-_018_XXX[[#This Row],['#02已委外數量]]</f>
        <v>0</v>
      </c>
      <c r="T33" s="117">
        <f>SUMIFS(record[OK],record[製程料號],_018_XXX[[#This Row],[製令單號]],record[ProcessSN],T$1)</f>
        <v>672</v>
      </c>
      <c r="U33" s="118" t="str">
        <f>IF(_018_XXX[[#This Row],['#02已委外數量]]&gt;0,VLOOKUP(U$1,record[[ProcessSN]:[廠商]],12,FALSE),"尚未委外")</f>
        <v>俊杰</v>
      </c>
      <c r="V33" s="117">
        <f>_018_XXX[[#This Row],['#02已委外數量]]-_018_XXX[[#This Row],['#02委外NG]]-_018_XXX[[#This Row],['#02回
良品]]</f>
        <v>672</v>
      </c>
      <c r="W33" s="117">
        <f>SUMIFS(record[OK],record[製程料號],_018_XXX[[#This Row],[製令單號]],record[ProcessSN],W$1)</f>
        <v>0</v>
      </c>
      <c r="X33" s="117">
        <f>SUMIFS(record[NG],record[製程料號],_018_XXX[[#This Row],[製令單號]],record[ProcessSN],X$1)</f>
        <v>0</v>
      </c>
      <c r="Y33" s="117">
        <f>_018_XXX[[#This Row],['#02回
良品]]-_018_XXX[[#This Row],['#02 OK]]-_018_XXX[[#This Row],['#02 NG]]</f>
        <v>0</v>
      </c>
      <c r="Z33" s="117">
        <f>SUMIFS(record[OK],record[製程料號],_018_XXX[[#This Row],[製令單號]],record[ProcessSN],Z$1)</f>
        <v>0</v>
      </c>
      <c r="AA33" s="117">
        <f>SUMIFS(record[NG],record[製程料號],_018_XXX[[#This Row],[製令單號]],record[ProcessSN],AA$1)</f>
        <v>0</v>
      </c>
      <c r="AB33" s="117">
        <f>_018_XXX[[#This Row],['#02 OK]]-_018_XXX[[#This Row],[入庫]]</f>
        <v>0</v>
      </c>
      <c r="AC33" s="117">
        <f>SUMIFS(record[OK],record[製程料號],_018_XXX[[#This Row],[製令單號]],record[ProcessSN],AC$1)</f>
        <v>0</v>
      </c>
      <c r="AD33" s="117">
        <f>_018_XXX[[#This Row],[入庫]]-IFERROR(SUMIF(表格8[第一製程製令],_018_XXX[[#This Row],[製令單號]],表格8[分配數量]),0)</f>
        <v>0</v>
      </c>
      <c r="AE33" s="117">
        <f>_018_XXX[[#This Row],['#1-1 NG]]+_018_XXX[[#This Row],[NG]]+_018_XXX[[#This Row],['#1-2 NG]]+_018_XXX[[#This Row],['#01NG]]+_018_XXX[[#This Row],['#02委外NG]]+_018_XXX[[#This Row],['#02 NG]]</f>
        <v>0</v>
      </c>
      <c r="AF33" s="119" t="str">
        <f>IF(_018_XXX[[#This Row],[入庫]]+_018_XXX[[#This Row],[總不良數]]=_018_XXX[[#This Row],[入料數]],_018_XXX[[#This Row],[入庫]]/_018_XXX[[#This Row],[入料數]],"")</f>
        <v/>
      </c>
      <c r="AK33" s="126">
        <v>45959</v>
      </c>
      <c r="AL33" s="127" t="s">
        <v>1043</v>
      </c>
      <c r="AM33" s="128" t="s">
        <v>535</v>
      </c>
      <c r="AN33" s="129" t="s">
        <v>1177</v>
      </c>
      <c r="AO33" s="130">
        <v>16</v>
      </c>
    </row>
    <row r="34" spans="1:41" ht="27.75" x14ac:dyDescent="0.25">
      <c r="A34" s="167">
        <v>2958465</v>
      </c>
      <c r="B34" s="169" t="s">
        <v>759</v>
      </c>
      <c r="C34" s="127" t="s">
        <v>759</v>
      </c>
      <c r="D34" s="171">
        <v>0</v>
      </c>
      <c r="E34" s="149">
        <f>_018_XXX[[#This Row],[入料數]]-_018_XXX[[#This Row],[進料檢OK]]-_018_XXX[[#This Row],[NG]]</f>
        <v>0</v>
      </c>
      <c r="F34" s="149">
        <f>SUMIFS(record[OK],record[製程料號],_018_XXX[[#This Row],[製令單號]],record[ProcessSN],F$1)</f>
        <v>0</v>
      </c>
      <c r="G34" s="149">
        <f>SUMIFS(record[NG],record[製程料號],_018_XXX[[#This Row],[製令單號]],record[ProcessSN],G$1)</f>
        <v>0</v>
      </c>
      <c r="H34" s="149">
        <f>_018_XXX[[#This Row],[進料檢OK]]-_018_XXX[[#This Row],['#01已發料數量]]</f>
        <v>0</v>
      </c>
      <c r="I34" s="149">
        <f>SUMIFS(record[OK],record[製程料號],_018_XXX[[#This Row],[製令單號]],record[ProcessSN],I$1)</f>
        <v>0</v>
      </c>
      <c r="J34" s="149">
        <f>'018#1'!$I34-'018#1'!$K34-_018_XXX[[#This Row],['#1-1 NG]]</f>
        <v>0</v>
      </c>
      <c r="K34" s="149">
        <f>SUMIFS(record[OK],record[製程料號],_018_XXX[[#This Row],[製令單號]],record[ProcessSN],K$1)</f>
        <v>0</v>
      </c>
      <c r="L34" s="149">
        <f>SUMIFS(record[NG],record[製程料號],_018_XXX[[#This Row],[製令單號]],record[ProcessSN],L$1)</f>
        <v>0</v>
      </c>
      <c r="M34" s="149">
        <f>_018_XXX[[#This Row],['#1-1 OK]]-_018_XXX[[#This Row],['#1-2 OK]]-_018_XXX[[#This Row],['#1-2 NG]]</f>
        <v>0</v>
      </c>
      <c r="N34" s="149">
        <f>SUMIFS(record[OK],record[製程料號],_018_XXX[[#This Row],[製令單號]],record[ProcessSN],N$1)</f>
        <v>0</v>
      </c>
      <c r="O34" s="149">
        <f>SUMIFS(record[NG],record[製程料號],_018_XXX[[#This Row],[製令單號]],record[ProcessSN],O$1)</f>
        <v>0</v>
      </c>
      <c r="P34" s="149">
        <f>_018_XXX[[#This Row],['#1-2 OK]]-_018_XXX[[#This Row],['#01NG]]-_018_XXX[[#This Row],['#01 OK]]</f>
        <v>0</v>
      </c>
      <c r="Q34" s="149">
        <f>SUMIFS(record[OK],record[製程料號],_018_XXX[[#This Row],[製令單號]],record[ProcessSN],Q$1)</f>
        <v>0</v>
      </c>
      <c r="R34" s="149">
        <f>SUMIFS(record[NG],record[製程料號],_018_XXX[[#This Row],[製令單號]],record[ProcessSN],R$1)</f>
        <v>0</v>
      </c>
      <c r="S34" s="149">
        <f>_018_XXX[[#This Row],['#01 OK]]-_018_XXX[[#This Row],['#02已委外數量]]</f>
        <v>0</v>
      </c>
      <c r="T34" s="149">
        <f>SUMIFS(record[OK],record[製程料號],_018_XXX[[#This Row],[製令單號]],record[ProcessSN],T$1)</f>
        <v>0</v>
      </c>
      <c r="U34" s="145" t="str">
        <f>IF(_018_XXX[[#This Row],['#02已委外數量]]&gt;0,VLOOKUP(U$1,record[[ProcessSN]:[廠商]],12,FALSE),"尚未委外")</f>
        <v>尚未委外</v>
      </c>
      <c r="V34" s="149">
        <f>_018_XXX[[#This Row],['#02已委外數量]]-_018_XXX[[#This Row],['#02委外NG]]-_018_XXX[[#This Row],['#02回
良品]]</f>
        <v>0</v>
      </c>
      <c r="W34" s="149">
        <f>SUMIFS(record[OK],record[製程料號],_018_XXX[[#This Row],[製令單號]],record[ProcessSN],W$1)</f>
        <v>0</v>
      </c>
      <c r="X34" s="149">
        <f>SUMIFS(record[NG],record[製程料號],_018_XXX[[#This Row],[製令單號]],record[ProcessSN],X$1)</f>
        <v>0</v>
      </c>
      <c r="Y34" s="149">
        <f>_018_XXX[[#This Row],['#02回
良品]]-_018_XXX[[#This Row],['#02 OK]]-_018_XXX[[#This Row],['#02 NG]]</f>
        <v>0</v>
      </c>
      <c r="Z34" s="149">
        <f>SUMIFS(record[OK],record[製程料號],_018_XXX[[#This Row],[製令單號]],record[ProcessSN],Z$1)</f>
        <v>0</v>
      </c>
      <c r="AA34" s="149">
        <f>SUMIFS(record[NG],record[製程料號],_018_XXX[[#This Row],[製令單號]],record[ProcessSN],AA$1)</f>
        <v>0</v>
      </c>
      <c r="AB34" s="149">
        <f>_018_XXX[[#This Row],['#02 OK]]-_018_XXX[[#This Row],[入庫]]</f>
        <v>0</v>
      </c>
      <c r="AC34" s="149">
        <f>SUMIFS(record[OK],record[製程料號],_018_XXX[[#This Row],[製令單號]],record[ProcessSN],AC$1)</f>
        <v>0</v>
      </c>
      <c r="AD34" s="149">
        <f>_018_XXX[[#This Row],[入庫]]-IFERROR(SUMIF(表格8[第一製程製令],_018_XXX[[#This Row],[製令單號]],表格8[分配數量]),0)</f>
        <v>0</v>
      </c>
      <c r="AE34" s="149">
        <f>_018_XXX[[#This Row],['#1-1 NG]]+_018_XXX[[#This Row],[NG]]+_018_XXX[[#This Row],['#1-2 NG]]+_018_XXX[[#This Row],['#01NG]]+_018_XXX[[#This Row],['#02委外NG]]+_018_XXX[[#This Row],['#02 NG]]</f>
        <v>0</v>
      </c>
      <c r="AF34" s="165" t="e">
        <f>IF(_018_XXX[[#This Row],[入庫]]+_018_XXX[[#This Row],[總不良數]]=_018_XXX[[#This Row],[入料數]],_018_XXX[[#This Row],[入庫]]/_018_XXX[[#This Row],[入料數]],"")</f>
        <v>#DIV/0!</v>
      </c>
      <c r="AK34" s="126">
        <v>45958</v>
      </c>
      <c r="AL34" s="127" t="s">
        <v>1043</v>
      </c>
      <c r="AM34" s="128" t="s">
        <v>536</v>
      </c>
      <c r="AN34" s="129" t="s">
        <v>1170</v>
      </c>
      <c r="AO34" s="130">
        <v>1000</v>
      </c>
    </row>
    <row r="35" spans="1:41" ht="23.25" customHeight="1" x14ac:dyDescent="0.25">
      <c r="E35" s="1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K35" s="126">
        <v>45959</v>
      </c>
      <c r="AL35" s="127" t="s">
        <v>1043</v>
      </c>
      <c r="AM35" s="128" t="s">
        <v>536</v>
      </c>
      <c r="AN35" s="129" t="s">
        <v>1178</v>
      </c>
      <c r="AO35" s="130">
        <v>661</v>
      </c>
    </row>
    <row r="36" spans="1:41" ht="23.25" customHeight="1" x14ac:dyDescent="0.25">
      <c r="B36" s="2" t="s">
        <v>1312</v>
      </c>
      <c r="E36" s="1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K36" s="126">
        <v>45965</v>
      </c>
      <c r="AL36" s="127" t="s">
        <v>1043</v>
      </c>
      <c r="AM36" s="128" t="s">
        <v>536</v>
      </c>
      <c r="AN36" s="129" t="s">
        <v>1190</v>
      </c>
      <c r="AO36" s="130">
        <v>2154</v>
      </c>
    </row>
    <row r="37" spans="1:41" ht="23.25" customHeight="1" x14ac:dyDescent="0.25">
      <c r="AK37" s="126">
        <v>45981</v>
      </c>
      <c r="AL37" s="127" t="s">
        <v>1148</v>
      </c>
      <c r="AM37" s="128" t="s">
        <v>536</v>
      </c>
      <c r="AN37" s="129" t="s">
        <v>1226</v>
      </c>
      <c r="AO37" s="130">
        <v>700</v>
      </c>
    </row>
    <row r="38" spans="1:41" ht="23.25" customHeight="1" x14ac:dyDescent="0.25">
      <c r="AK38" s="126">
        <v>45985</v>
      </c>
      <c r="AL38" s="127" t="s">
        <v>1148</v>
      </c>
      <c r="AM38" s="128" t="s">
        <v>536</v>
      </c>
      <c r="AN38" s="129" t="s">
        <v>1238</v>
      </c>
      <c r="AO38" s="130">
        <v>500</v>
      </c>
    </row>
    <row r="39" spans="1:41" ht="23.25" customHeight="1" x14ac:dyDescent="0.25">
      <c r="AK39" s="126">
        <v>45989</v>
      </c>
      <c r="AL39" s="127" t="s">
        <v>1209</v>
      </c>
      <c r="AM39" s="128" t="s">
        <v>536</v>
      </c>
      <c r="AN39" s="129" t="s">
        <v>1254</v>
      </c>
      <c r="AO39" s="130">
        <f>1173-377-36</f>
        <v>760</v>
      </c>
    </row>
    <row r="40" spans="1:41" ht="23.25" customHeight="1" x14ac:dyDescent="0.25">
      <c r="AK40" s="126">
        <v>45993</v>
      </c>
      <c r="AL40" s="127" t="s">
        <v>1209</v>
      </c>
      <c r="AM40" s="128" t="s">
        <v>535</v>
      </c>
      <c r="AN40" s="129" t="s">
        <v>1271</v>
      </c>
      <c r="AO40" s="130">
        <f>494+377+36</f>
        <v>907</v>
      </c>
    </row>
    <row r="41" spans="1:41" ht="23.25" customHeight="1" x14ac:dyDescent="0.25">
      <c r="AK41" s="126">
        <v>45994</v>
      </c>
      <c r="AL41" s="127" t="s">
        <v>1209</v>
      </c>
      <c r="AM41" s="128" t="s">
        <v>536</v>
      </c>
      <c r="AN41" s="129" t="s">
        <v>1276</v>
      </c>
      <c r="AO41" s="130">
        <v>1176</v>
      </c>
    </row>
    <row r="42" spans="1:41" ht="23.25" customHeight="1" x14ac:dyDescent="0.25">
      <c r="AK42" s="126">
        <v>45996</v>
      </c>
      <c r="AL42" s="127" t="s">
        <v>1209</v>
      </c>
      <c r="AM42" s="128" t="s">
        <v>536</v>
      </c>
      <c r="AN42" s="129" t="s">
        <v>1311</v>
      </c>
      <c r="AO42" s="130">
        <v>1316</v>
      </c>
    </row>
    <row r="43" spans="1:41" ht="23.25" customHeight="1" x14ac:dyDescent="0.25">
      <c r="AK43" s="126">
        <v>46002</v>
      </c>
      <c r="AL43" s="127" t="s">
        <v>1209</v>
      </c>
      <c r="AM43" s="128" t="s">
        <v>781</v>
      </c>
      <c r="AN43" s="129" t="s">
        <v>1325</v>
      </c>
      <c r="AO43" s="130">
        <v>827</v>
      </c>
    </row>
    <row r="44" spans="1:41" ht="23.25" customHeight="1" x14ac:dyDescent="0.25">
      <c r="AK44" s="126">
        <v>46003</v>
      </c>
      <c r="AL44" s="127" t="s">
        <v>1285</v>
      </c>
      <c r="AM44" s="128" t="s">
        <v>781</v>
      </c>
      <c r="AN44" s="129" t="s">
        <v>1326</v>
      </c>
      <c r="AO44" s="130">
        <v>336</v>
      </c>
    </row>
    <row r="45" spans="1:41" ht="23.25" customHeight="1" x14ac:dyDescent="0.25">
      <c r="AK45" s="126">
        <v>46007</v>
      </c>
      <c r="AL45" s="127" t="s">
        <v>1285</v>
      </c>
      <c r="AM45" s="128" t="s">
        <v>781</v>
      </c>
      <c r="AN45" s="129" t="s">
        <v>1334</v>
      </c>
      <c r="AO45" s="130">
        <v>840</v>
      </c>
    </row>
    <row r="46" spans="1:41" ht="23.25" customHeight="1" x14ac:dyDescent="0.25">
      <c r="AK46" s="126">
        <v>46008</v>
      </c>
      <c r="AL46" s="127" t="s">
        <v>1285</v>
      </c>
      <c r="AM46" s="128" t="s">
        <v>781</v>
      </c>
      <c r="AN46" s="129" t="s">
        <v>1348</v>
      </c>
      <c r="AO46" s="130">
        <v>180</v>
      </c>
    </row>
    <row r="47" spans="1:41" ht="23.25" customHeight="1" x14ac:dyDescent="0.25">
      <c r="AK47" s="126">
        <v>46008</v>
      </c>
      <c r="AL47" s="127" t="s">
        <v>1285</v>
      </c>
      <c r="AM47" s="128" t="s">
        <v>1323</v>
      </c>
      <c r="AN47" s="129" t="s">
        <v>1349</v>
      </c>
      <c r="AO47" s="130">
        <v>1331</v>
      </c>
    </row>
    <row r="48" spans="1:41" ht="23.25" customHeight="1" x14ac:dyDescent="0.25">
      <c r="AK48" s="126">
        <v>46014</v>
      </c>
      <c r="AL48" s="127" t="s">
        <v>1285</v>
      </c>
      <c r="AM48" s="128" t="s">
        <v>1323</v>
      </c>
      <c r="AN48" s="129" t="s">
        <v>1382</v>
      </c>
      <c r="AO48" s="130">
        <f>1727-1331</f>
        <v>396</v>
      </c>
    </row>
    <row r="49" spans="37:41" ht="23.25" customHeight="1" x14ac:dyDescent="0.25">
      <c r="AK49" s="126">
        <v>46014</v>
      </c>
      <c r="AL49" s="127" t="s">
        <v>1285</v>
      </c>
      <c r="AM49" s="128" t="s">
        <v>536</v>
      </c>
      <c r="AN49" s="129" t="s">
        <v>1383</v>
      </c>
      <c r="AO49" s="130">
        <v>1915</v>
      </c>
    </row>
    <row r="50" spans="37:41" ht="23.25" customHeight="1" x14ac:dyDescent="0.25">
      <c r="AK50" s="126">
        <v>46014</v>
      </c>
      <c r="AL50" s="127" t="s">
        <v>1384</v>
      </c>
      <c r="AM50" s="128" t="s">
        <v>536</v>
      </c>
      <c r="AN50" s="129" t="s">
        <v>1383</v>
      </c>
      <c r="AO50" s="130">
        <v>2</v>
      </c>
    </row>
    <row r="51" spans="37:41" ht="23.25" customHeight="1" x14ac:dyDescent="0.25">
      <c r="AK51" s="126">
        <v>46027</v>
      </c>
      <c r="AL51" s="232" t="s">
        <v>1422</v>
      </c>
      <c r="AM51" s="128" t="s">
        <v>536</v>
      </c>
      <c r="AN51" s="129" t="s">
        <v>1425</v>
      </c>
      <c r="AO51" s="130">
        <v>1</v>
      </c>
    </row>
    <row r="52" spans="37:41" ht="23.25" customHeight="1" x14ac:dyDescent="0.25">
      <c r="AK52" s="230">
        <v>46027</v>
      </c>
      <c r="AL52" s="115" t="s">
        <v>1423</v>
      </c>
      <c r="AM52" s="159" t="s">
        <v>536</v>
      </c>
      <c r="AN52" s="129" t="s">
        <v>1425</v>
      </c>
      <c r="AO52" s="231">
        <v>8</v>
      </c>
    </row>
    <row r="53" spans="37:41" ht="23.25" customHeight="1" x14ac:dyDescent="0.25">
      <c r="AK53" s="126">
        <v>46027</v>
      </c>
      <c r="AL53" s="127" t="s">
        <v>1424</v>
      </c>
      <c r="AM53" s="128" t="s">
        <v>536</v>
      </c>
      <c r="AN53" s="129" t="s">
        <v>1425</v>
      </c>
      <c r="AO53" s="130">
        <v>991</v>
      </c>
    </row>
    <row r="54" spans="37:41" ht="23.25" customHeight="1" x14ac:dyDescent="0.25">
      <c r="AK54" s="126">
        <v>46027</v>
      </c>
      <c r="AL54" s="127" t="s">
        <v>1424</v>
      </c>
      <c r="AM54" s="128" t="s">
        <v>781</v>
      </c>
      <c r="AN54" s="129" t="s">
        <v>1426</v>
      </c>
      <c r="AO54" s="130">
        <v>1600</v>
      </c>
    </row>
    <row r="55" spans="37:41" ht="23.25" customHeight="1" x14ac:dyDescent="0.25">
      <c r="AK55" s="126">
        <v>46038</v>
      </c>
      <c r="AL55" s="127" t="s">
        <v>1385</v>
      </c>
      <c r="AM55" s="128" t="s">
        <v>536</v>
      </c>
      <c r="AN55" s="129" t="s">
        <v>1473</v>
      </c>
      <c r="AO55" s="130">
        <v>1248</v>
      </c>
    </row>
    <row r="56" spans="37:41" ht="23.25" customHeight="1" x14ac:dyDescent="0.25">
      <c r="AK56" s="126">
        <v>46038</v>
      </c>
      <c r="AL56" s="127" t="s">
        <v>1406</v>
      </c>
      <c r="AM56" s="128" t="s">
        <v>781</v>
      </c>
      <c r="AN56" s="129" t="s">
        <v>1474</v>
      </c>
      <c r="AO56" s="130">
        <v>1159</v>
      </c>
    </row>
    <row r="57" spans="37:41" ht="23.25" customHeight="1" x14ac:dyDescent="0.25">
      <c r="AK57" s="126">
        <v>46044</v>
      </c>
      <c r="AL57" s="127" t="s">
        <v>1031</v>
      </c>
      <c r="AM57" s="128" t="s">
        <v>536</v>
      </c>
      <c r="AN57" s="129" t="s">
        <v>1490</v>
      </c>
      <c r="AO57" s="130">
        <v>1</v>
      </c>
    </row>
    <row r="58" spans="37:41" ht="23.25" customHeight="1" x14ac:dyDescent="0.25">
      <c r="AK58" s="126">
        <v>46044</v>
      </c>
      <c r="AL58" s="127" t="s">
        <v>1424</v>
      </c>
      <c r="AM58" s="128" t="s">
        <v>536</v>
      </c>
      <c r="AN58" s="129" t="s">
        <v>1490</v>
      </c>
      <c r="AO58" s="130">
        <v>1</v>
      </c>
    </row>
    <row r="59" spans="37:41" ht="23.25" customHeight="1" x14ac:dyDescent="0.25">
      <c r="AK59" s="126">
        <v>46044</v>
      </c>
      <c r="AL59" s="127" t="s">
        <v>1384</v>
      </c>
      <c r="AM59" s="128" t="s">
        <v>536</v>
      </c>
      <c r="AN59" s="129" t="s">
        <v>1490</v>
      </c>
      <c r="AO59" s="130">
        <v>3</v>
      </c>
    </row>
    <row r="60" spans="37:41" ht="23.25" customHeight="1" x14ac:dyDescent="0.25">
      <c r="AK60" s="126">
        <v>46044</v>
      </c>
      <c r="AL60" s="127" t="s">
        <v>1489</v>
      </c>
      <c r="AM60" s="128" t="s">
        <v>536</v>
      </c>
      <c r="AN60" s="129" t="s">
        <v>1490</v>
      </c>
      <c r="AO60" s="130">
        <v>235</v>
      </c>
    </row>
    <row r="61" spans="37:41" ht="23.25" customHeight="1" x14ac:dyDescent="0.25">
      <c r="AK61" s="126">
        <v>46044</v>
      </c>
      <c r="AL61" s="127" t="s">
        <v>1489</v>
      </c>
      <c r="AM61" s="128" t="s">
        <v>781</v>
      </c>
      <c r="AN61" s="129" t="s">
        <v>1491</v>
      </c>
      <c r="AO61" s="130">
        <v>101</v>
      </c>
    </row>
    <row r="62" spans="37:41" ht="23.25" customHeight="1" x14ac:dyDescent="0.25">
      <c r="AK62" s="126">
        <v>46045</v>
      </c>
      <c r="AL62" s="127" t="s">
        <v>1500</v>
      </c>
      <c r="AM62" s="128" t="s">
        <v>536</v>
      </c>
      <c r="AN62" s="129" t="s">
        <v>1501</v>
      </c>
      <c r="AO62" s="130">
        <v>297</v>
      </c>
    </row>
    <row r="63" spans="37:41" ht="23.25" customHeight="1" x14ac:dyDescent="0.25">
      <c r="AK63" s="126">
        <v>46045</v>
      </c>
      <c r="AL63" s="127" t="s">
        <v>1500</v>
      </c>
      <c r="AM63" s="128" t="s">
        <v>781</v>
      </c>
      <c r="AN63" s="129" t="s">
        <v>1502</v>
      </c>
      <c r="AO63" s="130">
        <v>298</v>
      </c>
    </row>
    <row r="64" spans="37:41" ht="23.25" customHeight="1" x14ac:dyDescent="0.25">
      <c r="AK64" s="126">
        <v>46048</v>
      </c>
      <c r="AL64" s="127" t="s">
        <v>1489</v>
      </c>
      <c r="AM64" s="128" t="s">
        <v>536</v>
      </c>
      <c r="AN64" s="129" t="s">
        <v>1508</v>
      </c>
      <c r="AO64" s="130">
        <v>420</v>
      </c>
    </row>
    <row r="65" spans="37:41" ht="23.25" customHeight="1" x14ac:dyDescent="0.25">
      <c r="AK65" s="126">
        <v>46048</v>
      </c>
      <c r="AL65" s="127" t="s">
        <v>1489</v>
      </c>
      <c r="AM65" s="128" t="s">
        <v>781</v>
      </c>
      <c r="AN65" s="129" t="s">
        <v>1509</v>
      </c>
      <c r="AO65" s="130">
        <v>420</v>
      </c>
    </row>
    <row r="66" spans="37:41" ht="23.25" customHeight="1" x14ac:dyDescent="0.25">
      <c r="AK66" s="126">
        <v>46049</v>
      </c>
      <c r="AL66" s="127" t="s">
        <v>1489</v>
      </c>
      <c r="AM66" s="128" t="s">
        <v>536</v>
      </c>
      <c r="AN66" s="129" t="s">
        <v>1518</v>
      </c>
      <c r="AO66" s="130">
        <v>446</v>
      </c>
    </row>
    <row r="67" spans="37:41" ht="23.25" customHeight="1" x14ac:dyDescent="0.25">
      <c r="AK67" s="126">
        <v>46049</v>
      </c>
      <c r="AL67" s="127" t="s">
        <v>1489</v>
      </c>
      <c r="AM67" s="128" t="s">
        <v>781</v>
      </c>
      <c r="AN67" s="129" t="s">
        <v>1519</v>
      </c>
      <c r="AO67" s="231">
        <v>446</v>
      </c>
    </row>
    <row r="68" spans="37:41" ht="23.25" customHeight="1" x14ac:dyDescent="0.25">
      <c r="AK68" s="126">
        <v>46050</v>
      </c>
      <c r="AL68" s="127" t="s">
        <v>1528</v>
      </c>
      <c r="AM68" s="128" t="s">
        <v>781</v>
      </c>
      <c r="AN68" s="129" t="s">
        <v>1529</v>
      </c>
      <c r="AO68" s="130">
        <v>1300</v>
      </c>
    </row>
    <row r="69" spans="37:41" ht="23.25" customHeight="1" x14ac:dyDescent="0.25">
      <c r="AK69" s="126">
        <v>46050</v>
      </c>
      <c r="AL69" s="127" t="s">
        <v>1528</v>
      </c>
      <c r="AM69" s="128" t="s">
        <v>536</v>
      </c>
      <c r="AN69" s="129" t="s">
        <v>1530</v>
      </c>
      <c r="AO69" s="130">
        <v>212</v>
      </c>
    </row>
    <row r="70" spans="37:41" ht="23.25" customHeight="1" x14ac:dyDescent="0.25">
      <c r="AK70" s="126">
        <v>46051</v>
      </c>
      <c r="AL70" s="127" t="s">
        <v>1489</v>
      </c>
      <c r="AM70" s="128" t="s">
        <v>536</v>
      </c>
      <c r="AN70" s="129" t="s">
        <v>1530</v>
      </c>
      <c r="AO70" s="130">
        <v>800</v>
      </c>
    </row>
    <row r="71" spans="37:41" ht="23.25" customHeight="1" x14ac:dyDescent="0.25">
      <c r="AK71" s="126">
        <v>46051</v>
      </c>
      <c r="AL71" s="127" t="s">
        <v>1524</v>
      </c>
      <c r="AM71" s="128" t="s">
        <v>536</v>
      </c>
      <c r="AN71" s="129" t="s">
        <v>1530</v>
      </c>
      <c r="AO71" s="130">
        <v>24</v>
      </c>
    </row>
    <row r="72" spans="37:41" ht="23.25" customHeight="1" x14ac:dyDescent="0.25">
      <c r="AK72" s="126">
        <v>46051</v>
      </c>
      <c r="AL72" s="127" t="s">
        <v>1531</v>
      </c>
      <c r="AM72" s="128" t="s">
        <v>1564</v>
      </c>
      <c r="AN72" s="129" t="s">
        <v>1530</v>
      </c>
      <c r="AO72" s="130">
        <v>24</v>
      </c>
    </row>
    <row r="73" spans="37:41" ht="23.25" customHeight="1" x14ac:dyDescent="0.25">
      <c r="AK73" s="126">
        <v>46057</v>
      </c>
      <c r="AL73" s="127" t="s">
        <v>1531</v>
      </c>
      <c r="AM73" s="128" t="s">
        <v>536</v>
      </c>
      <c r="AN73" s="129" t="s">
        <v>1565</v>
      </c>
      <c r="AO73" s="130">
        <v>800</v>
      </c>
    </row>
    <row r="74" spans="37:41" ht="23.25" customHeight="1" x14ac:dyDescent="0.25">
      <c r="AK74" s="126">
        <v>46057</v>
      </c>
      <c r="AL74" s="127" t="s">
        <v>1531</v>
      </c>
      <c r="AM74" s="128" t="s">
        <v>781</v>
      </c>
      <c r="AN74" s="129" t="s">
        <v>1566</v>
      </c>
      <c r="AO74" s="130">
        <v>1500</v>
      </c>
    </row>
    <row r="75" spans="37:41" ht="23.25" customHeight="1" x14ac:dyDescent="0.25">
      <c r="AK75" s="126">
        <v>46057</v>
      </c>
      <c r="AL75" s="127" t="s">
        <v>1531</v>
      </c>
      <c r="AM75" s="128" t="s">
        <v>535</v>
      </c>
      <c r="AN75" s="129" t="s">
        <v>1567</v>
      </c>
      <c r="AO75" s="130">
        <v>862</v>
      </c>
    </row>
    <row r="76" spans="37:41" ht="23.25" customHeight="1" x14ac:dyDescent="0.25">
      <c r="AK76" s="126">
        <v>46057</v>
      </c>
      <c r="AL76" s="127" t="s">
        <v>1542</v>
      </c>
      <c r="AM76" s="128" t="s">
        <v>535</v>
      </c>
      <c r="AN76" s="129" t="s">
        <v>1567</v>
      </c>
      <c r="AO76" s="130">
        <v>138</v>
      </c>
    </row>
    <row r="77" spans="37:41" ht="23.25" customHeight="1" x14ac:dyDescent="0.25">
      <c r="AK77" s="126">
        <v>46076</v>
      </c>
      <c r="AL77" s="127" t="s">
        <v>1542</v>
      </c>
      <c r="AM77" s="128" t="s">
        <v>535</v>
      </c>
      <c r="AN77" s="129" t="s">
        <v>1588</v>
      </c>
      <c r="AO77" s="130">
        <v>1661</v>
      </c>
    </row>
    <row r="78" spans="37:41" ht="23.25" customHeight="1" x14ac:dyDescent="0.25">
      <c r="AK78" s="126">
        <v>46076</v>
      </c>
      <c r="AL78" s="127" t="s">
        <v>1551</v>
      </c>
      <c r="AM78" s="128" t="s">
        <v>535</v>
      </c>
      <c r="AN78" s="129" t="s">
        <v>1588</v>
      </c>
      <c r="AO78" s="130">
        <v>718</v>
      </c>
    </row>
    <row r="79" spans="37:41" ht="23.25" customHeight="1" x14ac:dyDescent="0.25">
      <c r="AK79" s="126">
        <v>46076</v>
      </c>
      <c r="AL79" s="127" t="s">
        <v>1591</v>
      </c>
      <c r="AM79" s="128" t="s">
        <v>536</v>
      </c>
      <c r="AN79" s="129" t="s">
        <v>1590</v>
      </c>
      <c r="AO79" s="130">
        <v>2000</v>
      </c>
    </row>
    <row r="80" spans="37:41" ht="23.25" customHeight="1" x14ac:dyDescent="0.25">
      <c r="AK80" s="126">
        <v>46098</v>
      </c>
      <c r="AL80" s="127" t="s">
        <v>1636</v>
      </c>
      <c r="AM80" s="128" t="s">
        <v>781</v>
      </c>
      <c r="AN80" s="129" t="s">
        <v>1638</v>
      </c>
      <c r="AO80" s="130">
        <v>2228</v>
      </c>
    </row>
    <row r="81" spans="37:41" ht="23.25" customHeight="1" x14ac:dyDescent="0.25">
      <c r="AK81" s="126">
        <v>46100</v>
      </c>
      <c r="AL81" s="127" t="s">
        <v>1580</v>
      </c>
      <c r="AM81" s="128" t="s">
        <v>781</v>
      </c>
      <c r="AN81" s="129" t="s">
        <v>1650</v>
      </c>
      <c r="AO81" s="130">
        <v>168</v>
      </c>
    </row>
    <row r="82" spans="37:41" ht="23.25" customHeight="1" x14ac:dyDescent="0.25">
      <c r="AK82" s="126">
        <v>46100</v>
      </c>
      <c r="AL82" s="149" t="s">
        <v>1602</v>
      </c>
      <c r="AM82" s="128" t="s">
        <v>536</v>
      </c>
      <c r="AN82" s="129" t="s">
        <v>1651</v>
      </c>
      <c r="AO82" s="130">
        <v>3500</v>
      </c>
    </row>
    <row r="83" spans="37:41" ht="23.25" customHeight="1" x14ac:dyDescent="0.25">
      <c r="AK83" s="126">
        <v>46112</v>
      </c>
      <c r="AL83" s="127" t="s">
        <v>1700</v>
      </c>
      <c r="AM83" s="128" t="s">
        <v>535</v>
      </c>
      <c r="AN83" s="129" t="s">
        <v>1703</v>
      </c>
      <c r="AO83" s="130">
        <v>8</v>
      </c>
    </row>
    <row r="84" spans="37:41" ht="23.25" customHeight="1" x14ac:dyDescent="0.25">
      <c r="AK84" s="126">
        <v>46112</v>
      </c>
      <c r="AL84" s="127" t="s">
        <v>1701</v>
      </c>
      <c r="AM84" s="128" t="s">
        <v>535</v>
      </c>
      <c r="AN84" s="129" t="s">
        <v>1703</v>
      </c>
      <c r="AO84" s="130">
        <v>1470</v>
      </c>
    </row>
    <row r="85" spans="37:41" ht="23.25" customHeight="1" x14ac:dyDescent="0.25">
      <c r="AK85" s="126">
        <v>46120</v>
      </c>
      <c r="AL85" s="127" t="s">
        <v>1655</v>
      </c>
      <c r="AM85" s="128" t="s">
        <v>536</v>
      </c>
      <c r="AN85" s="129" t="s">
        <v>1766</v>
      </c>
      <c r="AO85" s="130">
        <v>504</v>
      </c>
    </row>
    <row r="86" spans="37:41" ht="23.25" customHeight="1" x14ac:dyDescent="0.25">
      <c r="AK86" s="126">
        <v>46121</v>
      </c>
      <c r="AL86" s="127" t="s">
        <v>1655</v>
      </c>
      <c r="AM86" s="128" t="s">
        <v>536</v>
      </c>
      <c r="AN86" s="129" t="s">
        <v>1781</v>
      </c>
      <c r="AO86" s="130">
        <v>839</v>
      </c>
    </row>
    <row r="87" spans="37:41" ht="23.25" customHeight="1" x14ac:dyDescent="0.25">
      <c r="AK87" s="126">
        <v>46122</v>
      </c>
      <c r="AL87" s="127" t="s">
        <v>1655</v>
      </c>
      <c r="AM87" s="128" t="s">
        <v>535</v>
      </c>
      <c r="AN87" s="129" t="s">
        <v>1791</v>
      </c>
      <c r="AO87" s="130">
        <v>672</v>
      </c>
    </row>
    <row r="88" spans="37:41" ht="23.25" customHeight="1" x14ac:dyDescent="0.25">
      <c r="AK88" s="126">
        <v>46125</v>
      </c>
      <c r="AL88" s="127" t="s">
        <v>1655</v>
      </c>
      <c r="AM88" s="128" t="s">
        <v>535</v>
      </c>
      <c r="AN88" s="129" t="s">
        <v>1794</v>
      </c>
      <c r="AO88" s="130">
        <v>828</v>
      </c>
    </row>
    <row r="89" spans="37:41" ht="23.25" customHeight="1" x14ac:dyDescent="0.25">
      <c r="AK89" s="126">
        <v>46127</v>
      </c>
      <c r="AL89" s="127" t="s">
        <v>1655</v>
      </c>
      <c r="AM89" s="128" t="s">
        <v>1802</v>
      </c>
      <c r="AN89" s="129" t="s">
        <v>1804</v>
      </c>
      <c r="AO89" s="130">
        <f>682+545</f>
        <v>1227</v>
      </c>
    </row>
    <row r="90" spans="37:41" ht="23.25" customHeight="1" x14ac:dyDescent="0.25">
      <c r="AK90" s="126">
        <v>46127</v>
      </c>
      <c r="AL90" s="127" t="s">
        <v>1602</v>
      </c>
      <c r="AM90" s="128" t="s">
        <v>872</v>
      </c>
      <c r="AN90" s="129" t="s">
        <v>1804</v>
      </c>
      <c r="AO90" s="130">
        <v>27</v>
      </c>
    </row>
    <row r="91" spans="37:41" ht="23.25" customHeight="1" x14ac:dyDescent="0.25">
      <c r="AK91" s="126">
        <v>46127</v>
      </c>
      <c r="AL91" s="127" t="s">
        <v>1655</v>
      </c>
      <c r="AM91" s="128" t="s">
        <v>872</v>
      </c>
      <c r="AN91" s="129" t="s">
        <v>1804</v>
      </c>
      <c r="AO91" s="231">
        <v>924</v>
      </c>
    </row>
    <row r="92" spans="37:41" ht="23.25" customHeight="1" x14ac:dyDescent="0.25">
      <c r="AK92" s="126">
        <v>46127</v>
      </c>
      <c r="AL92" s="127" t="s">
        <v>1772</v>
      </c>
      <c r="AM92" s="128" t="s">
        <v>872</v>
      </c>
      <c r="AN92" s="129" t="s">
        <v>1804</v>
      </c>
      <c r="AO92" s="231">
        <v>97</v>
      </c>
    </row>
    <row r="93" spans="37:41" ht="23.25" customHeight="1" x14ac:dyDescent="0.25">
      <c r="AK93" s="126">
        <v>46127</v>
      </c>
      <c r="AL93" s="127" t="s">
        <v>1787</v>
      </c>
      <c r="AM93" s="128" t="s">
        <v>872</v>
      </c>
      <c r="AN93" s="129" t="s">
        <v>1804</v>
      </c>
      <c r="AO93" s="231">
        <v>336</v>
      </c>
    </row>
    <row r="94" spans="37:41" ht="23.25" customHeight="1" x14ac:dyDescent="0.25">
      <c r="AK94" s="126">
        <v>46128</v>
      </c>
      <c r="AL94" s="117" t="s">
        <v>1787</v>
      </c>
      <c r="AM94" s="128" t="s">
        <v>781</v>
      </c>
      <c r="AN94" s="129" t="s">
        <v>1817</v>
      </c>
      <c r="AO94" s="130">
        <v>836</v>
      </c>
    </row>
    <row r="95" spans="37:41" ht="23.25" customHeight="1" x14ac:dyDescent="0.25">
      <c r="AK95" s="126">
        <v>46129</v>
      </c>
      <c r="AL95" s="117" t="s">
        <v>1787</v>
      </c>
      <c r="AM95" s="128" t="s">
        <v>781</v>
      </c>
      <c r="AN95" s="129" t="s">
        <v>1824</v>
      </c>
      <c r="AO95" s="130">
        <v>658</v>
      </c>
    </row>
    <row r="96" spans="37:41" ht="23.25" customHeight="1" x14ac:dyDescent="0.25">
      <c r="AK96" s="126">
        <v>46133</v>
      </c>
      <c r="AL96" s="127" t="s">
        <v>1787</v>
      </c>
      <c r="AM96" s="128" t="s">
        <v>1849</v>
      </c>
      <c r="AN96" s="129" t="s">
        <v>1851</v>
      </c>
      <c r="AO96" s="130">
        <v>1500</v>
      </c>
    </row>
    <row r="97" spans="37:41" ht="23.25" customHeight="1" x14ac:dyDescent="0.25">
      <c r="AK97" s="230">
        <v>46133</v>
      </c>
      <c r="AL97" s="115" t="s">
        <v>1772</v>
      </c>
      <c r="AM97" s="159" t="s">
        <v>1856</v>
      </c>
      <c r="AN97" s="122" t="s">
        <v>1855</v>
      </c>
      <c r="AO97" s="231">
        <v>168</v>
      </c>
    </row>
    <row r="98" spans="37:41" ht="23.25" customHeight="1" x14ac:dyDescent="0.25">
      <c r="AK98" s="126">
        <v>46133</v>
      </c>
      <c r="AL98" s="127" t="s">
        <v>1787</v>
      </c>
      <c r="AM98" s="159" t="s">
        <v>1856</v>
      </c>
      <c r="AN98" s="122" t="s">
        <v>1855</v>
      </c>
      <c r="AO98" s="130">
        <v>831</v>
      </c>
    </row>
    <row r="99" spans="37:41" ht="23.25" customHeight="1" x14ac:dyDescent="0.25">
      <c r="AK99" s="126">
        <v>46136</v>
      </c>
      <c r="AL99" s="127" t="s">
        <v>1772</v>
      </c>
      <c r="AM99" s="128" t="s">
        <v>536</v>
      </c>
      <c r="AN99" s="129" t="s">
        <v>1907</v>
      </c>
      <c r="AO99" s="130">
        <v>2000</v>
      </c>
    </row>
    <row r="100" spans="37:41" ht="23.25" customHeight="1" x14ac:dyDescent="0.25">
      <c r="AK100" s="230">
        <v>46136</v>
      </c>
      <c r="AL100" s="115" t="s">
        <v>1772</v>
      </c>
      <c r="AM100" s="159" t="s">
        <v>1908</v>
      </c>
      <c r="AN100" s="122" t="s">
        <v>1910</v>
      </c>
      <c r="AO100" s="231">
        <v>914</v>
      </c>
    </row>
    <row r="101" spans="37:41" ht="23.25" customHeight="1" x14ac:dyDescent="0.25">
      <c r="AK101" s="126">
        <v>46136</v>
      </c>
      <c r="AL101" s="127" t="s">
        <v>1787</v>
      </c>
      <c r="AM101" s="159" t="s">
        <v>1908</v>
      </c>
      <c r="AN101" s="122" t="s">
        <v>1910</v>
      </c>
      <c r="AO101" s="130">
        <v>586</v>
      </c>
    </row>
    <row r="102" spans="37:41" ht="23.25" customHeight="1" x14ac:dyDescent="0.25">
      <c r="AK102" s="230">
        <v>46139</v>
      </c>
      <c r="AL102" s="115" t="s">
        <v>1787</v>
      </c>
      <c r="AM102" s="159" t="s">
        <v>1926</v>
      </c>
      <c r="AN102" s="122" t="s">
        <v>1925</v>
      </c>
      <c r="AO102" s="231">
        <v>212</v>
      </c>
    </row>
    <row r="103" spans="37:41" ht="23.25" customHeight="1" x14ac:dyDescent="0.25">
      <c r="AK103" s="126">
        <v>46139</v>
      </c>
      <c r="AL103" s="127" t="s">
        <v>1818</v>
      </c>
      <c r="AM103" s="159" t="s">
        <v>1926</v>
      </c>
      <c r="AN103" s="122" t="s">
        <v>1925</v>
      </c>
      <c r="AO103" s="130">
        <v>1288</v>
      </c>
    </row>
    <row r="104" spans="37:41" ht="23.25" customHeight="1" x14ac:dyDescent="0.25">
      <c r="AK104" s="126">
        <v>46141</v>
      </c>
      <c r="AL104" s="127" t="s">
        <v>1818</v>
      </c>
      <c r="AM104" s="128" t="s">
        <v>1948</v>
      </c>
      <c r="AN104" s="129" t="s">
        <v>1949</v>
      </c>
      <c r="AO104" s="130">
        <v>2000</v>
      </c>
    </row>
    <row r="105" spans="37:41" ht="23.25" customHeight="1" x14ac:dyDescent="0.25">
      <c r="AK105" s="126">
        <v>46141</v>
      </c>
      <c r="AL105" s="127" t="s">
        <v>1818</v>
      </c>
      <c r="AM105" s="159" t="s">
        <v>782</v>
      </c>
      <c r="AN105" s="129" t="s">
        <v>1950</v>
      </c>
      <c r="AO105" s="130">
        <v>1688</v>
      </c>
    </row>
    <row r="106" spans="37:41" ht="23.25" customHeight="1" x14ac:dyDescent="0.25">
      <c r="AK106" s="126">
        <v>46147</v>
      </c>
      <c r="AL106" s="127" t="s">
        <v>1966</v>
      </c>
      <c r="AM106" s="128" t="s">
        <v>536</v>
      </c>
      <c r="AN106" s="129" t="s">
        <v>1967</v>
      </c>
      <c r="AO106" s="130">
        <v>1492</v>
      </c>
    </row>
    <row r="107" spans="37:41" ht="23.25" customHeight="1" x14ac:dyDescent="0.25">
      <c r="AK107" s="126">
        <v>46150</v>
      </c>
      <c r="AL107" s="127" t="s">
        <v>1966</v>
      </c>
      <c r="AM107" s="128" t="s">
        <v>781</v>
      </c>
      <c r="AN107" s="129" t="s">
        <v>1988</v>
      </c>
      <c r="AO107" s="130">
        <v>2000</v>
      </c>
    </row>
    <row r="108" spans="37:41" ht="23.25" customHeight="1" x14ac:dyDescent="0.25">
      <c r="AK108" s="126">
        <v>46155</v>
      </c>
      <c r="AL108" s="127" t="s">
        <v>1966</v>
      </c>
      <c r="AM108" s="128" t="s">
        <v>781</v>
      </c>
      <c r="AN108" s="129" t="s">
        <v>2017</v>
      </c>
      <c r="AO108" s="130">
        <v>1188</v>
      </c>
    </row>
  </sheetData>
  <protectedRanges>
    <protectedRange sqref="AK1:AO10 AK11:AK12 AM11:AO12 AK13:AO36 AK37:AK39 AM37:AO39 AK40:AO42 AK43:AK49 AM43:AO49 AK50:AO50 AK51 AM51:AO51 AK52:AO54 AM55:AO55 AL56:AO75 AK79:AO80 AK55:AK78 AM76:AO78 AL78 AK83:AO84 AK81:AK82 AM81:AO82 AK85 AM85:AO85 AK86:AO86 AK89:AO89 AM87:AO88 AK87:AK88 AK96:AO96 AK90:AK95 AM90:AO95 AK99:AO99 AK97:AK98 AM97:AO98 AK106:AO1048576 AK100:AK105 AM100:AO105" name="範圍1"/>
  </protectedRanges>
  <mergeCells count="24">
    <mergeCell ref="E3:G3"/>
    <mergeCell ref="AC2:AC3"/>
    <mergeCell ref="A2:A4"/>
    <mergeCell ref="D2:D3"/>
    <mergeCell ref="E2:G2"/>
    <mergeCell ref="B2:B4"/>
    <mergeCell ref="J2:L2"/>
    <mergeCell ref="J3:L3"/>
    <mergeCell ref="H2:I3"/>
    <mergeCell ref="M3:O3"/>
    <mergeCell ref="M2:O2"/>
    <mergeCell ref="P3:R3"/>
    <mergeCell ref="P2:R2"/>
    <mergeCell ref="S2:X2"/>
    <mergeCell ref="S3:X3"/>
    <mergeCell ref="Y2:AA2"/>
    <mergeCell ref="Y3:AA3"/>
    <mergeCell ref="AP2:AP4"/>
    <mergeCell ref="AB2:AB3"/>
    <mergeCell ref="AD2:AD3"/>
    <mergeCell ref="AK3:AO4"/>
    <mergeCell ref="AE2:AE3"/>
    <mergeCell ref="AF2:AF4"/>
    <mergeCell ref="AK2:AO2"/>
  </mergeCells>
  <phoneticPr fontId="3" type="noConversion"/>
  <conditionalFormatting sqref="E6:F34 H6:K34 AB6:AD34 V6:W34 S6:T34 P6:Q34 M6:N34 Y6:Z34">
    <cfRule type="cellIs" dxfId="616" priority="99" operator="lessThan">
      <formula>0</formula>
    </cfRule>
    <cfRule type="cellIs" dxfId="615" priority="100" operator="greaterThan">
      <formula>0</formula>
    </cfRule>
  </conditionalFormatting>
  <conditionalFormatting sqref="G6:G34 L6:L34 AE6:AE34 O6:O34 R6:R34 X6:X34 AA6:AA34">
    <cfRule type="cellIs" dxfId="614" priority="86" operator="greaterThan">
      <formula>0</formula>
    </cfRule>
  </conditionalFormatting>
  <conditionalFormatting sqref="AP5">
    <cfRule type="cellIs" dxfId="613" priority="83" operator="greaterThan">
      <formula>0</formula>
    </cfRule>
  </conditionalFormatting>
  <conditionalFormatting sqref="AF6:AH6 AF7:AG19 AF20:AF34">
    <cfRule type="containsBlanks" dxfId="612" priority="31">
      <formula>LEN(TRIM(AF6))=0</formula>
    </cfRule>
    <cfRule type="cellIs" dxfId="611" priority="32" operator="greaterThanOrEqual">
      <formula>0.97</formula>
    </cfRule>
    <cfRule type="notContainsBlanks" dxfId="610" priority="33">
      <formula>LEN(TRIM(AF6))&gt;0</formula>
    </cfRule>
  </conditionalFormatting>
  <conditionalFormatting sqref="AF6:AH6 AF7:AG19 AF20:AF34">
    <cfRule type="cellIs" dxfId="609" priority="30" operator="lessThan">
      <formula>0.97</formula>
    </cfRule>
  </conditionalFormatting>
  <conditionalFormatting sqref="U6:U34">
    <cfRule type="containsText" dxfId="608" priority="15" operator="containsText" text="尚未委外">
      <formula>NOT(ISERROR(SEARCH("尚未委外",U6)))</formula>
    </cfRule>
    <cfRule type="notContainsBlanks" dxfId="607" priority="16">
      <formula>LEN(TRIM(U6))&gt;0</formula>
    </cfRule>
  </conditionalFormatting>
  <dataValidations count="2">
    <dataValidation type="list" allowBlank="1" showInputMessage="1" showErrorMessage="1" sqref="AL6:AL42" xr:uid="{40ABE6A4-7558-4648-807E-92CE8356B1FD}">
      <formula1>可分料152</formula1>
    </dataValidation>
    <dataValidation type="list" allowBlank="1" showInputMessage="1" showErrorMessage="1" sqref="AM6:AM108" xr:uid="{2180491B-6745-48A3-AC65-9B987EAC1A22}">
      <formula1>$AQ$3:$AS$3</formula1>
    </dataValidation>
  </dataValidations>
  <pageMargins left="0.7" right="0.7" top="0.75" bottom="0.75" header="0.3" footer="0.3"/>
  <pageSetup paperSize="9"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58FC-D781-4AD9-8CAA-B40FFC20A486}">
  <sheetPr codeName="工作表21">
    <tabColor theme="4"/>
  </sheetPr>
  <dimension ref="A1:AQ61"/>
  <sheetViews>
    <sheetView zoomScale="70" zoomScaleNormal="70" workbookViewId="0">
      <pane xSplit="4" ySplit="5" topLeftCell="I15" activePane="bottomRight" state="frozen"/>
      <selection activeCell="X31" sqref="X31"/>
      <selection pane="topRight" activeCell="X31" sqref="X31"/>
      <selection pane="bottomLeft" activeCell="X31" sqref="X31"/>
      <selection pane="bottomRight" activeCell="S4" activeCellId="3" sqref="J4 M4 P4 S4"/>
    </sheetView>
  </sheetViews>
  <sheetFormatPr defaultColWidth="10.28515625" defaultRowHeight="23.25" customHeight="1" x14ac:dyDescent="0.25"/>
  <cols>
    <col min="1" max="1" width="20" style="3" bestFit="1" customWidth="1"/>
    <col min="2" max="2" width="30.28515625" style="2" bestFit="1" customWidth="1"/>
    <col min="3" max="3" width="17.5703125" style="2" hidden="1" customWidth="1"/>
    <col min="4" max="4" width="16.85546875" style="2" bestFit="1" customWidth="1"/>
    <col min="5" max="5" width="28.7109375" style="2" bestFit="1" customWidth="1"/>
    <col min="6" max="6" width="29.42578125" style="2" hidden="1" customWidth="1"/>
    <col min="7" max="7" width="20.5703125" style="2" bestFit="1" customWidth="1"/>
    <col min="8" max="8" width="19.85546875" style="4" hidden="1" customWidth="1"/>
    <col min="9" max="9" width="17.140625" style="2" bestFit="1" customWidth="1"/>
    <col min="10" max="10" width="20.5703125" style="2" bestFit="1" customWidth="1"/>
    <col min="11" max="11" width="19.85546875" style="2" hidden="1" customWidth="1"/>
    <col min="12" max="12" width="17.140625" style="2" bestFit="1" customWidth="1"/>
    <col min="13" max="13" width="20.5703125" style="2" bestFit="1" customWidth="1"/>
    <col min="14" max="14" width="19.85546875" style="2" hidden="1" customWidth="1"/>
    <col min="15" max="15" width="17.140625" style="2" bestFit="1" customWidth="1"/>
    <col min="16" max="16" width="20.5703125" style="2" bestFit="1" customWidth="1"/>
    <col min="17" max="17" width="19.85546875" style="2" hidden="1" customWidth="1"/>
    <col min="18" max="18" width="17.140625" style="2" bestFit="1" customWidth="1"/>
    <col min="19" max="19" width="20.5703125" style="2" bestFit="1" customWidth="1"/>
    <col min="20" max="20" width="19.28515625" style="2" hidden="1" customWidth="1"/>
    <col min="21" max="21" width="16.42578125" style="2" bestFit="1" customWidth="1"/>
    <col min="22" max="22" width="23" style="2" bestFit="1" customWidth="1"/>
    <col min="23" max="23" width="16.140625" style="2" hidden="1" customWidth="1"/>
    <col min="24" max="24" width="13.140625" style="2" bestFit="1" customWidth="1"/>
    <col min="25" max="25" width="19.7109375" style="2" bestFit="1" customWidth="1"/>
    <col min="26" max="26" width="39.42578125" style="2" hidden="1" customWidth="1"/>
    <col min="27" max="27" width="22.85546875" style="2" bestFit="1" customWidth="1"/>
    <col min="28" max="28" width="10" style="2" bestFit="1" customWidth="1"/>
    <col min="29" max="29" width="20" style="2" bestFit="1" customWidth="1"/>
    <col min="30" max="30" width="16.85546875" style="2" bestFit="1" customWidth="1"/>
    <col min="31" max="31" width="23.5703125" style="2" hidden="1" customWidth="1"/>
    <col min="32" max="32" width="2.28515625" style="2" customWidth="1"/>
    <col min="33" max="33" width="12" style="3" bestFit="1" customWidth="1"/>
    <col min="34" max="34" width="23.5703125" style="3" bestFit="1" customWidth="1"/>
    <col min="35" max="35" width="17.85546875" style="5" bestFit="1" customWidth="1"/>
    <col min="36" max="36" width="21.5703125" style="5" bestFit="1" customWidth="1"/>
    <col min="37" max="37" width="15.42578125" style="2" bestFit="1" customWidth="1"/>
    <col min="38" max="38" width="13.140625" style="2" bestFit="1" customWidth="1"/>
    <col min="39" max="41" width="18" style="2" customWidth="1"/>
    <col min="42" max="42" width="17.28515625" style="2" bestFit="1" customWidth="1"/>
    <col min="43" max="43" width="29" style="2" bestFit="1" customWidth="1"/>
    <col min="44" max="16384" width="10.28515625" style="2"/>
  </cols>
  <sheetData>
    <row r="1" spans="1:43" ht="60" hidden="1" customHeight="1" thickBot="1" x14ac:dyDescent="0.3">
      <c r="F1" s="2" t="s">
        <v>372</v>
      </c>
      <c r="H1" s="2" t="s">
        <v>373</v>
      </c>
      <c r="I1" s="2" t="s">
        <v>373</v>
      </c>
      <c r="K1" s="2" t="s">
        <v>374</v>
      </c>
      <c r="L1" s="2" t="s">
        <v>374</v>
      </c>
      <c r="N1" s="2" t="s">
        <v>375</v>
      </c>
      <c r="O1" s="2" t="s">
        <v>375</v>
      </c>
      <c r="Q1" s="2" t="s">
        <v>376</v>
      </c>
      <c r="R1" s="2" t="s">
        <v>376</v>
      </c>
      <c r="T1" s="2" t="s">
        <v>377</v>
      </c>
      <c r="U1" s="2" t="s">
        <v>377</v>
      </c>
      <c r="W1" s="2" t="s">
        <v>378</v>
      </c>
      <c r="X1" s="2" t="s">
        <v>378</v>
      </c>
      <c r="Z1" s="2" t="s">
        <v>379</v>
      </c>
    </row>
    <row r="2" spans="1:43" s="18" customFormat="1" ht="23.25" customHeight="1" thickBot="1" x14ac:dyDescent="0.3">
      <c r="A2" s="280" t="str">
        <f ca="1">YEAR(TODAY())-1911&amp;"年度"</f>
        <v>115年度</v>
      </c>
      <c r="B2" s="283" t="s">
        <v>554</v>
      </c>
      <c r="C2" s="15"/>
      <c r="D2" s="286" t="s">
        <v>9</v>
      </c>
      <c r="E2" s="288" t="s">
        <v>519</v>
      </c>
      <c r="F2" s="289"/>
      <c r="G2" s="257" t="s">
        <v>295</v>
      </c>
      <c r="H2" s="258"/>
      <c r="I2" s="259"/>
      <c r="J2" s="254" t="s">
        <v>295</v>
      </c>
      <c r="K2" s="255"/>
      <c r="L2" s="256"/>
      <c r="M2" s="254" t="s">
        <v>295</v>
      </c>
      <c r="N2" s="255"/>
      <c r="O2" s="256"/>
      <c r="P2" s="257" t="s">
        <v>296</v>
      </c>
      <c r="Q2" s="258"/>
      <c r="R2" s="259"/>
      <c r="S2" s="257" t="s">
        <v>295</v>
      </c>
      <c r="T2" s="258"/>
      <c r="U2" s="259"/>
      <c r="V2" s="260" t="s">
        <v>0</v>
      </c>
      <c r="W2" s="261"/>
      <c r="X2" s="262"/>
      <c r="Y2" s="263" t="s">
        <v>40</v>
      </c>
      <c r="Z2" s="263" t="s">
        <v>294</v>
      </c>
      <c r="AA2" s="263" t="s">
        <v>26</v>
      </c>
      <c r="AB2" s="181"/>
      <c r="AC2" s="272" t="s">
        <v>67</v>
      </c>
      <c r="AD2" s="274" t="s">
        <v>69</v>
      </c>
      <c r="AE2" s="16"/>
      <c r="AF2" s="17"/>
      <c r="AG2" s="277" t="s">
        <v>4</v>
      </c>
      <c r="AH2" s="278"/>
      <c r="AI2" s="278"/>
      <c r="AJ2" s="278"/>
      <c r="AK2" s="279"/>
      <c r="AL2" s="248" t="s">
        <v>42</v>
      </c>
      <c r="AM2" s="174">
        <f>'370'!U4+'370'!W4</f>
        <v>132</v>
      </c>
      <c r="AN2" s="174">
        <f>'400'!U4+'400'!W4</f>
        <v>89</v>
      </c>
      <c r="AO2" s="174">
        <f>'420'!U4+'420'!W4</f>
        <v>22</v>
      </c>
      <c r="AP2" s="174">
        <f>'450'!U4+'450'!W4</f>
        <v>297</v>
      </c>
      <c r="AQ2" s="56" t="s">
        <v>62</v>
      </c>
    </row>
    <row r="3" spans="1:43" s="17" customFormat="1" ht="24" customHeight="1" thickBot="1" x14ac:dyDescent="0.3">
      <c r="A3" s="281"/>
      <c r="B3" s="284"/>
      <c r="C3" s="19"/>
      <c r="D3" s="287"/>
      <c r="E3" s="290"/>
      <c r="F3" s="291"/>
      <c r="G3" s="251" t="s">
        <v>1176</v>
      </c>
      <c r="H3" s="252"/>
      <c r="I3" s="253"/>
      <c r="J3" s="251" t="s">
        <v>555</v>
      </c>
      <c r="K3" s="252"/>
      <c r="L3" s="253"/>
      <c r="M3" s="251" t="s">
        <v>556</v>
      </c>
      <c r="N3" s="252"/>
      <c r="O3" s="253"/>
      <c r="P3" s="251" t="s">
        <v>578</v>
      </c>
      <c r="Q3" s="252"/>
      <c r="R3" s="253"/>
      <c r="S3" s="251" t="s">
        <v>557</v>
      </c>
      <c r="T3" s="252"/>
      <c r="U3" s="253"/>
      <c r="V3" s="266" t="s">
        <v>497</v>
      </c>
      <c r="W3" s="267"/>
      <c r="X3" s="268"/>
      <c r="Y3" s="264"/>
      <c r="Z3" s="265"/>
      <c r="AA3" s="264"/>
      <c r="AB3" s="182"/>
      <c r="AC3" s="273"/>
      <c r="AD3" s="275"/>
      <c r="AE3" s="20"/>
      <c r="AG3" s="269" t="s">
        <v>497</v>
      </c>
      <c r="AH3" s="270"/>
      <c r="AI3" s="270"/>
      <c r="AJ3" s="270"/>
      <c r="AK3" s="271"/>
      <c r="AL3" s="249"/>
      <c r="AM3" s="175" t="s">
        <v>1753</v>
      </c>
      <c r="AN3" s="175" t="s">
        <v>1901</v>
      </c>
      <c r="AO3" s="175" t="s">
        <v>1892</v>
      </c>
      <c r="AP3" s="175" t="s">
        <v>574</v>
      </c>
    </row>
    <row r="4" spans="1:43" s="69" customFormat="1" ht="28.5" thickBot="1" x14ac:dyDescent="0.3">
      <c r="A4" s="282"/>
      <c r="B4" s="285"/>
      <c r="C4" s="63"/>
      <c r="D4" s="71">
        <f>SUM(_018_4XX[入料數])</f>
        <v>14936</v>
      </c>
      <c r="E4" s="73">
        <f>SUM(_018_4XX['#03待發料數量])</f>
        <v>0</v>
      </c>
      <c r="F4" s="73">
        <f>SUM(_018_4XX['#03已發料數量])</f>
        <v>14936</v>
      </c>
      <c r="G4" s="74">
        <f>SUM(_018_4XX['#3未加工])</f>
        <v>0</v>
      </c>
      <c r="H4" s="74">
        <f>SUM(_018_4XX['#3 OK])</f>
        <v>14850</v>
      </c>
      <c r="I4" s="79">
        <f>SUM(_018_4XX['#3 NG])</f>
        <v>86</v>
      </c>
      <c r="J4" s="74">
        <f>SUM(_018_4XX['#4未加工])</f>
        <v>391</v>
      </c>
      <c r="K4" s="74">
        <f>SUM(_018_4XX['#4 OK])</f>
        <v>14316</v>
      </c>
      <c r="L4" s="79">
        <f>SUM(_018_4XX['#4 NG])</f>
        <v>143</v>
      </c>
      <c r="M4" s="74">
        <f>SUM(_018_4XX['#5未加工])</f>
        <v>16</v>
      </c>
      <c r="N4" s="74">
        <f>SUM(_018_4XX['#5 OK])</f>
        <v>14296</v>
      </c>
      <c r="O4" s="79">
        <f>SUM(_018_4XX['#5 NG])</f>
        <v>4</v>
      </c>
      <c r="P4" s="74">
        <f>SUM(_018_4XX['#6未加工])</f>
        <v>474</v>
      </c>
      <c r="Q4" s="74">
        <f>SUM(_018_4XX['#6 OK])</f>
        <v>13750</v>
      </c>
      <c r="R4" s="79">
        <f>SUM(_018_4XX['#6 NG])</f>
        <v>72</v>
      </c>
      <c r="S4" s="74">
        <f>SUM(_018_4XX['#7未加工])</f>
        <v>114</v>
      </c>
      <c r="T4" s="74">
        <f>SUM(_018_4XX['#7OK])</f>
        <v>13581</v>
      </c>
      <c r="U4" s="79">
        <f>SUM(_018_4XX['#7NG])</f>
        <v>55</v>
      </c>
      <c r="V4" s="26">
        <f>SUM(_018_4XX[品管待檢驗])</f>
        <v>0</v>
      </c>
      <c r="W4" s="26">
        <f>SUM(_018_4XX[OK])</f>
        <v>13032</v>
      </c>
      <c r="X4" s="80">
        <f>SUM(_018_4XX[NG])</f>
        <v>549</v>
      </c>
      <c r="Y4" s="77">
        <f>SUM('4XX'!$Y$6:$Y$20)</f>
        <v>0</v>
      </c>
      <c r="Z4" s="72">
        <f>SUM(_018_4XX[入庫])</f>
        <v>13032</v>
      </c>
      <c r="AA4" s="139">
        <f>SUM('4XX'!$AA$6:$AA$20)</f>
        <v>0</v>
      </c>
      <c r="AB4" s="183"/>
      <c r="AC4" s="75">
        <f>SUM(_018_4XX[總不良數])</f>
        <v>909</v>
      </c>
      <c r="AD4" s="276"/>
      <c r="AE4" s="68"/>
      <c r="AG4" s="269"/>
      <c r="AH4" s="270"/>
      <c r="AI4" s="270"/>
      <c r="AJ4" s="270"/>
      <c r="AK4" s="271"/>
      <c r="AL4" s="250"/>
      <c r="AM4" s="176" t="s">
        <v>10</v>
      </c>
      <c r="AN4" s="176" t="s">
        <v>10</v>
      </c>
      <c r="AO4" s="176" t="s">
        <v>10</v>
      </c>
      <c r="AP4" s="176" t="s">
        <v>10</v>
      </c>
      <c r="AQ4" s="69" t="s">
        <v>656</v>
      </c>
    </row>
    <row r="5" spans="1:43" s="21" customFormat="1" ht="21.75" thickBot="1" x14ac:dyDescent="0.3">
      <c r="A5" s="86" t="s">
        <v>16</v>
      </c>
      <c r="B5" s="87" t="s">
        <v>13</v>
      </c>
      <c r="C5" s="87" t="s">
        <v>14</v>
      </c>
      <c r="D5" s="87" t="s">
        <v>15</v>
      </c>
      <c r="E5" s="88" t="s">
        <v>540</v>
      </c>
      <c r="F5" s="88" t="s">
        <v>541</v>
      </c>
      <c r="G5" s="89" t="s">
        <v>537</v>
      </c>
      <c r="H5" s="89" t="s">
        <v>538</v>
      </c>
      <c r="I5" s="89" t="s">
        <v>539</v>
      </c>
      <c r="J5" s="89" t="s">
        <v>542</v>
      </c>
      <c r="K5" s="89" t="s">
        <v>552</v>
      </c>
      <c r="L5" s="89" t="s">
        <v>553</v>
      </c>
      <c r="M5" s="89" t="s">
        <v>551</v>
      </c>
      <c r="N5" s="89" t="s">
        <v>549</v>
      </c>
      <c r="O5" s="89" t="s">
        <v>550</v>
      </c>
      <c r="P5" s="89" t="s">
        <v>546</v>
      </c>
      <c r="Q5" s="89" t="s">
        <v>547</v>
      </c>
      <c r="R5" s="89" t="s">
        <v>548</v>
      </c>
      <c r="S5" s="89" t="s">
        <v>543</v>
      </c>
      <c r="T5" s="89" t="s">
        <v>544</v>
      </c>
      <c r="U5" s="89" t="s">
        <v>545</v>
      </c>
      <c r="V5" s="78" t="s">
        <v>297</v>
      </c>
      <c r="W5" s="78" t="s">
        <v>298</v>
      </c>
      <c r="X5" s="78" t="s">
        <v>299</v>
      </c>
      <c r="Y5" s="90" t="s">
        <v>41</v>
      </c>
      <c r="Z5" s="91" t="s">
        <v>293</v>
      </c>
      <c r="AA5" s="92" t="s">
        <v>29</v>
      </c>
      <c r="AB5" s="184" t="s">
        <v>640</v>
      </c>
      <c r="AC5" s="93" t="s">
        <v>68</v>
      </c>
      <c r="AD5" s="93" t="s">
        <v>69</v>
      </c>
      <c r="AE5" s="11" t="s">
        <v>13</v>
      </c>
      <c r="AG5" s="160" t="s">
        <v>1</v>
      </c>
      <c r="AH5" s="161" t="s">
        <v>38</v>
      </c>
      <c r="AI5" s="162" t="s">
        <v>6</v>
      </c>
      <c r="AJ5" s="163" t="s">
        <v>7</v>
      </c>
      <c r="AK5" s="164" t="s">
        <v>39</v>
      </c>
      <c r="AL5" s="96">
        <f>SUM(分料0184XX[分配數量])-SUM(AM5:AP5)+AQ5</f>
        <v>0</v>
      </c>
      <c r="AM5" s="177">
        <f>'370'!D4</f>
        <v>418</v>
      </c>
      <c r="AN5" s="177">
        <f>'400'!D4</f>
        <v>100</v>
      </c>
      <c r="AO5" s="177">
        <f>'420'!D4</f>
        <v>30</v>
      </c>
      <c r="AP5" s="177">
        <f>'450'!D4</f>
        <v>13224</v>
      </c>
      <c r="AQ5" s="21">
        <v>642</v>
      </c>
    </row>
    <row r="6" spans="1:43" s="17" customFormat="1" ht="27" thickBot="1" x14ac:dyDescent="0.3">
      <c r="A6" s="166">
        <v>45647</v>
      </c>
      <c r="B6" s="168" t="s">
        <v>586</v>
      </c>
      <c r="C6" s="24" t="s">
        <v>497</v>
      </c>
      <c r="D6" s="170">
        <v>1622</v>
      </c>
      <c r="E6" s="148">
        <f>_018_4XX[[#This Row],[入料數]]-_018_4XX[[#This Row],['#03已發料數量]]</f>
        <v>0</v>
      </c>
      <c r="F6" s="148">
        <f>SUMIFS(record[OK],record[製程料號],_018_4XX[[#This Row],[製令單號]],record[ProcessSN],F$1)</f>
        <v>1622</v>
      </c>
      <c r="G6" s="148">
        <f>_018_4XX[[#This Row],['#03已發料數量]]-_018_4XX[[#This Row],['#3 OK]]-_018_4XX[[#This Row],['#3 NG]]</f>
        <v>0</v>
      </c>
      <c r="H6" s="148">
        <f>SUMIFS(record[OK],record[製程料號],_018_4XX[[#This Row],[製令單號]],record[ProcessSN],H$1)</f>
        <v>1618</v>
      </c>
      <c r="I6" s="148">
        <f>SUMIFS(record[NG],record[製程料號],_018_4XX[[#This Row],[製令單號]],record[ProcessSN],I$1)</f>
        <v>4</v>
      </c>
      <c r="J6" s="148">
        <f>_018_4XX[[#This Row],['#3 OK]]-_018_4XX[[#This Row],['#4 OK]]-_018_4XX[[#This Row],['#4 NG]]</f>
        <v>0</v>
      </c>
      <c r="K6" s="148">
        <f>SUMIFS(record[OK],record[製程料號],_018_4XX[[#This Row],[製令單號]],record[ProcessSN],K$1)</f>
        <v>1618</v>
      </c>
      <c r="L6" s="148">
        <f>SUMIFS(record[NG],record[製程料號],_018_4XX[[#This Row],[製令單號]],record[ProcessSN],L$1)</f>
        <v>0</v>
      </c>
      <c r="M6" s="148">
        <f>_018_4XX[[#This Row],['#4 OK]]-_018_4XX[[#This Row],['#5 OK]]-_018_4XX[[#This Row],['#5 NG]]</f>
        <v>0</v>
      </c>
      <c r="N6" s="148">
        <f>SUMIFS(record[OK],record[製程料號],_018_4XX[[#This Row],[製令單號]],record[ProcessSN],N$1)</f>
        <v>1618</v>
      </c>
      <c r="O6" s="148">
        <f>SUMIFS(record[NG],record[製程料號],_018_4XX[[#This Row],[製令單號]],record[ProcessSN],O$1)</f>
        <v>0</v>
      </c>
      <c r="P6" s="148">
        <f>_018_4XX[[#This Row],['#5 OK]]-_018_4XX[[#This Row],['#6 OK]]-_018_4XX[[#This Row],['#6 NG]]</f>
        <v>0</v>
      </c>
      <c r="Q6" s="148">
        <f>SUMIFS(record[OK],record[製程料號],_018_4XX[[#This Row],[製令單號]],record[ProcessSN],Q$1)</f>
        <v>1586</v>
      </c>
      <c r="R6" s="148">
        <f>SUMIFS(record[NG],record[製程料號],_018_4XX[[#This Row],[製令單號]],record[ProcessSN],R$1)</f>
        <v>32</v>
      </c>
      <c r="S6" s="148">
        <f>_018_4XX[[#This Row],['#6 OK]]-_018_4XX[[#This Row],['#7NG]]-_018_4XX[[#This Row],['#7OK]]</f>
        <v>0</v>
      </c>
      <c r="T6" s="148">
        <f>SUMIFS(record[OK],record[製程料號],_018_4XX[[#This Row],[製令單號]],record[ProcessSN],T$1)</f>
        <v>1584</v>
      </c>
      <c r="U6" s="148">
        <f>SUMIFS(record[NG],record[製程料號],_018_4XX[[#This Row],[製令單號]],record[ProcessSN],U$1)</f>
        <v>2</v>
      </c>
      <c r="V6" s="148">
        <f>_018_4XX[[#This Row],['#7OK]]-_018_4XX[[#This Row],[OK]]-_018_4XX[[#This Row],[NG]]</f>
        <v>0</v>
      </c>
      <c r="W6" s="148">
        <f>SUMIFS(record[OK],record[製程料號],_018_4XX[[#This Row],[製令單號]],record[ProcessSN],W$1)</f>
        <v>1543</v>
      </c>
      <c r="X6" s="148">
        <f>SUMIFS(record[NG],record[製程料號],_018_4XX[[#This Row],[製令單號]],record[ProcessSN],X$1)</f>
        <v>41</v>
      </c>
      <c r="Y6" s="148">
        <f>_018_4XX[[#This Row],[OK]]-_018_4XX[[#This Row],[入庫]]</f>
        <v>0</v>
      </c>
      <c r="Z6" s="148">
        <f>SUMIFS(record[OK],record[製程料號],_018_4XX[[#This Row],[製令單號]],record[ProcessSN],Z$1)</f>
        <v>1543</v>
      </c>
      <c r="AA6" s="148">
        <f>_018_4XX[[#This Row],[入庫]]-IFERROR(SUMIF(分料0184XX[第一製程製令],_018_4XX[[#This Row],[製令單號]],分料0184XX[分配數量]),0)</f>
        <v>0</v>
      </c>
      <c r="AB6" s="186"/>
      <c r="AC6" s="148">
        <f>_018_4XX[[#This Row],[NG]]+_018_4XX[[#This Row],['#6 NG]]+_018_4XX[[#This Row],['#5 NG]]+_018_4XX[[#This Row],['#4 NG]]+_018_4XX[[#This Row],['#3 NG]]+_018_4XX[[#This Row],['#7NG]]</f>
        <v>79</v>
      </c>
      <c r="AD6" s="154">
        <f>IF(_018_4XX[[#This Row],[入庫]]+_018_4XX[[#This Row],[總不良數]]=_018_4XX[[#This Row],[入料數]],_018_4XX[[#This Row],[入庫]]/_018_4XX[[#This Row],[入料數]],"")</f>
        <v>0.95129469790382248</v>
      </c>
      <c r="AE6" s="97"/>
      <c r="AG6" s="172">
        <v>45665</v>
      </c>
      <c r="AH6" s="115" t="s">
        <v>586</v>
      </c>
      <c r="AI6" s="159" t="s">
        <v>669</v>
      </c>
      <c r="AJ6" s="122" t="s">
        <v>670</v>
      </c>
      <c r="AK6" s="122">
        <v>641</v>
      </c>
      <c r="AM6" s="178">
        <f>'370'!G4+'370'!E4</f>
        <v>0</v>
      </c>
      <c r="AN6" s="178">
        <f>'400'!G4+'400'!E4</f>
        <v>0</v>
      </c>
      <c r="AO6" s="178">
        <f>'420'!G4+'420'!E4</f>
        <v>0</v>
      </c>
      <c r="AP6" s="178">
        <f>'450'!G4+'450'!E4</f>
        <v>0</v>
      </c>
      <c r="AQ6" s="56" t="s">
        <v>63</v>
      </c>
    </row>
    <row r="7" spans="1:43" s="17" customFormat="1" ht="27" thickBot="1" x14ac:dyDescent="0.3">
      <c r="A7" s="113">
        <v>45853</v>
      </c>
      <c r="B7" s="114" t="s">
        <v>902</v>
      </c>
      <c r="C7" s="115" t="s">
        <v>497</v>
      </c>
      <c r="D7" s="116">
        <v>1000</v>
      </c>
      <c r="E7" s="117">
        <f>_018_4XX[[#This Row],[入料數]]-_018_4XX[[#This Row],['#03已發料數量]]</f>
        <v>0</v>
      </c>
      <c r="F7" s="117">
        <f>SUMIFS(record[OK],record[製程料號],_018_4XX[[#This Row],[製令單號]],record[ProcessSN],F$1)</f>
        <v>1000</v>
      </c>
      <c r="G7" s="117">
        <f>_018_4XX[[#This Row],['#03已發料數量]]-_018_4XX[[#This Row],['#3 OK]]-_018_4XX[[#This Row],['#3 NG]]</f>
        <v>0</v>
      </c>
      <c r="H7" s="117">
        <f>SUMIFS(record[OK],record[製程料號],_018_4XX[[#This Row],[製令單號]],record[ProcessSN],H$1)</f>
        <v>1000</v>
      </c>
      <c r="I7" s="117">
        <f>SUMIFS(record[NG],record[製程料號],_018_4XX[[#This Row],[製令單號]],record[ProcessSN],I$1)</f>
        <v>0</v>
      </c>
      <c r="J7" s="117">
        <f>_018_4XX[[#This Row],['#3 OK]]-_018_4XX[[#This Row],['#4 OK]]-_018_4XX[[#This Row],['#4 NG]]</f>
        <v>0</v>
      </c>
      <c r="K7" s="117">
        <f>SUMIFS(record[OK],record[製程料號],_018_4XX[[#This Row],[製令單號]],record[ProcessSN],K$1)</f>
        <v>995</v>
      </c>
      <c r="L7" s="117">
        <f>SUMIFS(record[NG],record[製程料號],_018_4XX[[#This Row],[製令單號]],record[ProcessSN],L$1)</f>
        <v>5</v>
      </c>
      <c r="M7" s="117">
        <f>_018_4XX[[#This Row],['#4 OK]]-_018_4XX[[#This Row],['#5 OK]]-_018_4XX[[#This Row],['#5 NG]]</f>
        <v>0</v>
      </c>
      <c r="N7" s="117">
        <f>SUMIFS(record[OK],record[製程料號],_018_4XX[[#This Row],[製令單號]],record[ProcessSN],N$1)</f>
        <v>995</v>
      </c>
      <c r="O7" s="117">
        <f>SUMIFS(record[NG],record[製程料號],_018_4XX[[#This Row],[製令單號]],record[ProcessSN],O$1)</f>
        <v>0</v>
      </c>
      <c r="P7" s="117">
        <f>_018_4XX[[#This Row],['#5 OK]]-_018_4XX[[#This Row],['#6 OK]]-_018_4XX[[#This Row],['#6 NG]]</f>
        <v>0</v>
      </c>
      <c r="Q7" s="117">
        <f>SUMIFS(record[OK],record[製程料號],_018_4XX[[#This Row],[製令單號]],record[ProcessSN],Q$1)</f>
        <v>989</v>
      </c>
      <c r="R7" s="117">
        <f>SUMIFS(record[NG],record[製程料號],_018_4XX[[#This Row],[製令單號]],record[ProcessSN],R$1)</f>
        <v>6</v>
      </c>
      <c r="S7" s="117">
        <f>_018_4XX[[#This Row],['#6 OK]]-_018_4XX[[#This Row],['#7NG]]-_018_4XX[[#This Row],['#7OK]]</f>
        <v>0</v>
      </c>
      <c r="T7" s="117">
        <f>SUMIFS(record[OK],record[製程料號],_018_4XX[[#This Row],[製令單號]],record[ProcessSN],T$1)</f>
        <v>985</v>
      </c>
      <c r="U7" s="117">
        <f>SUMIFS(record[NG],record[製程料號],_018_4XX[[#This Row],[製令單號]],record[ProcessSN],U$1)</f>
        <v>4</v>
      </c>
      <c r="V7" s="117">
        <f>_018_4XX[[#This Row],['#7OK]]-_018_4XX[[#This Row],[OK]]-_018_4XX[[#This Row],[NG]]</f>
        <v>0</v>
      </c>
      <c r="W7" s="117">
        <f>SUMIFS(record[OK],record[製程料號],_018_4XX[[#This Row],[製令單號]],record[ProcessSN],W$1)</f>
        <v>973</v>
      </c>
      <c r="X7" s="117">
        <f>SUMIFS(record[NG],record[製程料號],_018_4XX[[#This Row],[製令單號]],record[ProcessSN],X$1)</f>
        <v>12</v>
      </c>
      <c r="Y7" s="117">
        <f>_018_4XX[[#This Row],[OK]]-_018_4XX[[#This Row],[入庫]]</f>
        <v>0</v>
      </c>
      <c r="Z7" s="117">
        <f>SUMIFS(record[OK],record[製程料號],_018_4XX[[#This Row],[製令單號]],record[ProcessSN],Z$1)</f>
        <v>973</v>
      </c>
      <c r="AA7" s="117">
        <f>_018_4XX[[#This Row],[入庫]]-IFERROR(SUMIF(分料0184XX[第一製程製令],_018_4XX[[#This Row],[製令單號]],分料0184XX[分配數量]),0)</f>
        <v>0</v>
      </c>
      <c r="AB7" s="187"/>
      <c r="AC7" s="117">
        <f>_018_4XX[[#This Row],[NG]]+_018_4XX[[#This Row],['#6 NG]]+_018_4XX[[#This Row],['#5 NG]]+_018_4XX[[#This Row],['#4 NG]]+_018_4XX[[#This Row],['#3 NG]]+_018_4XX[[#This Row],['#7NG]]</f>
        <v>27</v>
      </c>
      <c r="AD7" s="119">
        <f>IF(_018_4XX[[#This Row],[入庫]]+_018_4XX[[#This Row],[總不良數]]=_018_4XX[[#This Row],[入料數]],_018_4XX[[#This Row],[入庫]]/_018_4XX[[#This Row],[入料數]],"")</f>
        <v>0.97299999999999998</v>
      </c>
      <c r="AG7" s="172">
        <v>45666</v>
      </c>
      <c r="AH7" s="115" t="s">
        <v>586</v>
      </c>
      <c r="AI7" s="159" t="s">
        <v>669</v>
      </c>
      <c r="AJ7" s="122" t="s">
        <v>679</v>
      </c>
      <c r="AK7" s="122">
        <v>319</v>
      </c>
      <c r="AM7" s="179">
        <f>'370'!L4+'370'!O4+'370'!R4</f>
        <v>0</v>
      </c>
      <c r="AN7" s="179">
        <f>'400'!L4+'400'!O4+'400'!R4</f>
        <v>0</v>
      </c>
      <c r="AO7" s="179">
        <f>'420'!L4+'420'!O4+'420'!R4</f>
        <v>0</v>
      </c>
      <c r="AP7" s="179">
        <f>'450'!L4+'450'!O4+'450'!R4</f>
        <v>77</v>
      </c>
      <c r="AQ7" s="56" t="s">
        <v>291</v>
      </c>
    </row>
    <row r="8" spans="1:43" s="17" customFormat="1" ht="26.25" x14ac:dyDescent="0.25">
      <c r="A8" s="113">
        <v>45875</v>
      </c>
      <c r="B8" s="114" t="s">
        <v>955</v>
      </c>
      <c r="C8" s="115" t="s">
        <v>497</v>
      </c>
      <c r="D8" s="116">
        <v>151</v>
      </c>
      <c r="E8" s="117">
        <f>_018_4XX[[#This Row],[入料數]]-_018_4XX[[#This Row],['#03已發料數量]]</f>
        <v>0</v>
      </c>
      <c r="F8" s="117">
        <f>SUMIFS(record[OK],record[製程料號],_018_4XX[[#This Row],[製令單號]],record[ProcessSN],F$1)</f>
        <v>151</v>
      </c>
      <c r="G8" s="117">
        <f>_018_4XX[[#This Row],['#03已發料數量]]-_018_4XX[[#This Row],['#3 OK]]-_018_4XX[[#This Row],['#3 NG]]</f>
        <v>0</v>
      </c>
      <c r="H8" s="117">
        <f>SUMIFS(record[OK],record[製程料號],_018_4XX[[#This Row],[製令單號]],record[ProcessSN],H$1)</f>
        <v>151</v>
      </c>
      <c r="I8" s="117">
        <f>SUMIFS(record[NG],record[製程料號],_018_4XX[[#This Row],[製令單號]],record[ProcessSN],I$1)</f>
        <v>0</v>
      </c>
      <c r="J8" s="117">
        <f>_018_4XX[[#This Row],['#3 OK]]-_018_4XX[[#This Row],['#4 OK]]-_018_4XX[[#This Row],['#4 NG]]</f>
        <v>0</v>
      </c>
      <c r="K8" s="117">
        <f>SUMIFS(record[OK],record[製程料號],_018_4XX[[#This Row],[製令單號]],record[ProcessSN],K$1)</f>
        <v>151</v>
      </c>
      <c r="L8" s="117">
        <f>SUMIFS(record[NG],record[製程料號],_018_4XX[[#This Row],[製令單號]],record[ProcessSN],L$1)</f>
        <v>0</v>
      </c>
      <c r="M8" s="117">
        <f>_018_4XX[[#This Row],['#4 OK]]-_018_4XX[[#This Row],['#5 OK]]-_018_4XX[[#This Row],['#5 NG]]</f>
        <v>0</v>
      </c>
      <c r="N8" s="117">
        <f>SUMIFS(record[OK],record[製程料號],_018_4XX[[#This Row],[製令單號]],record[ProcessSN],N$1)</f>
        <v>151</v>
      </c>
      <c r="O8" s="117">
        <f>SUMIFS(record[NG],record[製程料號],_018_4XX[[#This Row],[製令單號]],record[ProcessSN],O$1)</f>
        <v>0</v>
      </c>
      <c r="P8" s="117">
        <f>_018_4XX[[#This Row],['#5 OK]]-_018_4XX[[#This Row],['#6 OK]]-_018_4XX[[#This Row],['#6 NG]]</f>
        <v>0</v>
      </c>
      <c r="Q8" s="117">
        <f>SUMIFS(record[OK],record[製程料號],_018_4XX[[#This Row],[製令單號]],record[ProcessSN],Q$1)</f>
        <v>151</v>
      </c>
      <c r="R8" s="117">
        <f>SUMIFS(record[NG],record[製程料號],_018_4XX[[#This Row],[製令單號]],record[ProcessSN],R$1)</f>
        <v>0</v>
      </c>
      <c r="S8" s="117">
        <f>_018_4XX[[#This Row],['#6 OK]]-_018_4XX[[#This Row],['#7NG]]-_018_4XX[[#This Row],['#7OK]]</f>
        <v>0</v>
      </c>
      <c r="T8" s="117">
        <f>SUMIFS(record[OK],record[製程料號],_018_4XX[[#This Row],[製令單號]],record[ProcessSN],T$1)</f>
        <v>151</v>
      </c>
      <c r="U8" s="117">
        <f>SUMIFS(record[NG],record[製程料號],_018_4XX[[#This Row],[製令單號]],record[ProcessSN],U$1)</f>
        <v>0</v>
      </c>
      <c r="V8" s="117">
        <f>_018_4XX[[#This Row],['#7OK]]-_018_4XX[[#This Row],[OK]]-_018_4XX[[#This Row],[NG]]</f>
        <v>0</v>
      </c>
      <c r="W8" s="117">
        <f>SUMIFS(record[OK],record[製程料號],_018_4XX[[#This Row],[製令單號]],record[ProcessSN],W$1)</f>
        <v>151</v>
      </c>
      <c r="X8" s="117">
        <f>SUMIFS(record[NG],record[製程料號],_018_4XX[[#This Row],[製令單號]],record[ProcessSN],X$1)</f>
        <v>0</v>
      </c>
      <c r="Y8" s="117">
        <f>_018_4XX[[#This Row],[OK]]-_018_4XX[[#This Row],[入庫]]</f>
        <v>0</v>
      </c>
      <c r="Z8" s="117">
        <f>SUMIFS(record[OK],record[製程料號],_018_4XX[[#This Row],[製令單號]],record[ProcessSN],Z$1)</f>
        <v>151</v>
      </c>
      <c r="AA8" s="117">
        <f>_018_4XX[[#This Row],[入庫]]-IFERROR(SUMIF(分料0184XX[第一製程製令],_018_4XX[[#This Row],[製令單號]],分料0184XX[分配數量]),0)</f>
        <v>0</v>
      </c>
      <c r="AB8" s="187"/>
      <c r="AC8" s="117">
        <f>_018_4XX[[#This Row],[NG]]+_018_4XX[[#This Row],['#6 NG]]+_018_4XX[[#This Row],['#5 NG]]+_018_4XX[[#This Row],['#4 NG]]+_018_4XX[[#This Row],['#3 NG]]+_018_4XX[[#This Row],['#7NG]]</f>
        <v>0</v>
      </c>
      <c r="AD8" s="119">
        <f>IF(_018_4XX[[#This Row],[入庫]]+_018_4XX[[#This Row],[總不良數]]=_018_4XX[[#This Row],[入料數]],_018_4XX[[#This Row],[入庫]]/_018_4XX[[#This Row],[入料數]],"")</f>
        <v>1</v>
      </c>
      <c r="AE8" s="2"/>
      <c r="AG8" s="172">
        <v>45667</v>
      </c>
      <c r="AH8" s="115" t="s">
        <v>586</v>
      </c>
      <c r="AI8" s="159" t="s">
        <v>669</v>
      </c>
      <c r="AJ8" s="122" t="s">
        <v>681</v>
      </c>
      <c r="AK8" s="122">
        <v>360</v>
      </c>
    </row>
    <row r="9" spans="1:43" ht="26.25" x14ac:dyDescent="0.25">
      <c r="A9" s="113">
        <v>45902</v>
      </c>
      <c r="B9" s="114" t="s">
        <v>1023</v>
      </c>
      <c r="C9" s="115" t="s">
        <v>497</v>
      </c>
      <c r="D9" s="116">
        <v>1000</v>
      </c>
      <c r="E9" s="117">
        <f>_018_4XX[[#This Row],[入料數]]-_018_4XX[[#This Row],['#03已發料數量]]</f>
        <v>0</v>
      </c>
      <c r="F9" s="117">
        <f>SUMIFS(record[OK],record[製程料號],_018_4XX[[#This Row],[製令單號]],record[ProcessSN],F$1)</f>
        <v>1000</v>
      </c>
      <c r="G9" s="117">
        <f>_018_4XX[[#This Row],['#03已發料數量]]-_018_4XX[[#This Row],['#3 OK]]-_018_4XX[[#This Row],['#3 NG]]</f>
        <v>0</v>
      </c>
      <c r="H9" s="117">
        <f>SUMIFS(record[OK],record[製程料號],_018_4XX[[#This Row],[製令單號]],record[ProcessSN],H$1)</f>
        <v>999</v>
      </c>
      <c r="I9" s="117">
        <f>SUMIFS(record[NG],record[製程料號],_018_4XX[[#This Row],[製令單號]],record[ProcessSN],I$1)</f>
        <v>1</v>
      </c>
      <c r="J9" s="117">
        <f>_018_4XX[[#This Row],['#3 OK]]-_018_4XX[[#This Row],['#4 OK]]-_018_4XX[[#This Row],['#4 NG]]</f>
        <v>0</v>
      </c>
      <c r="K9" s="117">
        <f>SUMIFS(record[OK],record[製程料號],_018_4XX[[#This Row],[製令單號]],record[ProcessSN],K$1)</f>
        <v>979</v>
      </c>
      <c r="L9" s="117">
        <f>SUMIFS(record[NG],record[製程料號],_018_4XX[[#This Row],[製令單號]],record[ProcessSN],L$1)</f>
        <v>20</v>
      </c>
      <c r="M9" s="117">
        <f>_018_4XX[[#This Row],['#4 OK]]-_018_4XX[[#This Row],['#5 OK]]-_018_4XX[[#This Row],['#5 NG]]</f>
        <v>0</v>
      </c>
      <c r="N9" s="117">
        <f>SUMIFS(record[OK],record[製程料號],_018_4XX[[#This Row],[製令單號]],record[ProcessSN],N$1)</f>
        <v>979</v>
      </c>
      <c r="O9" s="117">
        <f>SUMIFS(record[NG],record[製程料號],_018_4XX[[#This Row],[製令單號]],record[ProcessSN],O$1)</f>
        <v>0</v>
      </c>
      <c r="P9" s="117">
        <f>_018_4XX[[#This Row],['#5 OK]]-_018_4XX[[#This Row],['#6 OK]]-_018_4XX[[#This Row],['#6 NG]]</f>
        <v>0</v>
      </c>
      <c r="Q9" s="117">
        <f>SUMIFS(record[OK],record[製程料號],_018_4XX[[#This Row],[製令單號]],record[ProcessSN],Q$1)</f>
        <v>974</v>
      </c>
      <c r="R9" s="117">
        <f>SUMIFS(record[NG],record[製程料號],_018_4XX[[#This Row],[製令單號]],record[ProcessSN],R$1)</f>
        <v>5</v>
      </c>
      <c r="S9" s="117">
        <f>_018_4XX[[#This Row],['#6 OK]]-_018_4XX[[#This Row],['#7NG]]-_018_4XX[[#This Row],['#7OK]]</f>
        <v>0</v>
      </c>
      <c r="T9" s="117">
        <f>SUMIFS(record[OK],record[製程料號],_018_4XX[[#This Row],[製令單號]],record[ProcessSN],T$1)</f>
        <v>969</v>
      </c>
      <c r="U9" s="117">
        <f>SUMIFS(record[NG],record[製程料號],_018_4XX[[#This Row],[製令單號]],record[ProcessSN],U$1)</f>
        <v>5</v>
      </c>
      <c r="V9" s="117">
        <f>_018_4XX[[#This Row],['#7OK]]-_018_4XX[[#This Row],[OK]]-_018_4XX[[#This Row],[NG]]</f>
        <v>0</v>
      </c>
      <c r="W9" s="117">
        <f>SUMIFS(record[OK],record[製程料號],_018_4XX[[#This Row],[製令單號]],record[ProcessSN],W$1)</f>
        <v>952</v>
      </c>
      <c r="X9" s="117">
        <f>SUMIFS(record[NG],record[製程料號],_018_4XX[[#This Row],[製令單號]],record[ProcessSN],X$1)</f>
        <v>17</v>
      </c>
      <c r="Y9" s="117">
        <f>_018_4XX[[#This Row],[OK]]-_018_4XX[[#This Row],[入庫]]</f>
        <v>0</v>
      </c>
      <c r="Z9" s="117">
        <f>SUMIFS(record[OK],record[製程料號],_018_4XX[[#This Row],[製令單號]],record[ProcessSN],Z$1)</f>
        <v>952</v>
      </c>
      <c r="AA9" s="117">
        <f>_018_4XX[[#This Row],[入庫]]-IFERROR(SUMIF(分料0184XX[第一製程製令],_018_4XX[[#This Row],[製令單號]],分料0184XX[分配數量]),0)</f>
        <v>0</v>
      </c>
      <c r="AB9" s="187"/>
      <c r="AC9" s="117">
        <f>_018_4XX[[#This Row],[NG]]+_018_4XX[[#This Row],['#6 NG]]+_018_4XX[[#This Row],['#5 NG]]+_018_4XX[[#This Row],['#4 NG]]+_018_4XX[[#This Row],['#3 NG]]+_018_4XX[[#This Row],['#7NG]]</f>
        <v>48</v>
      </c>
      <c r="AD9" s="119">
        <f>IF(_018_4XX[[#This Row],[入庫]]+_018_4XX[[#This Row],[總不良數]]=_018_4XX[[#This Row],[入料數]],_018_4XX[[#This Row],[入庫]]/_018_4XX[[#This Row],[入料數]],"")</f>
        <v>0.95199999999999996</v>
      </c>
      <c r="AG9" s="172">
        <v>45667</v>
      </c>
      <c r="AH9" s="115" t="s">
        <v>586</v>
      </c>
      <c r="AI9" s="159" t="s">
        <v>669</v>
      </c>
      <c r="AJ9" s="122" t="s">
        <v>683</v>
      </c>
      <c r="AK9" s="122">
        <v>220</v>
      </c>
    </row>
    <row r="10" spans="1:43" ht="26.25" x14ac:dyDescent="0.25">
      <c r="A10" s="113">
        <v>45933</v>
      </c>
      <c r="B10" s="114" t="s">
        <v>1101</v>
      </c>
      <c r="C10" s="115" t="s">
        <v>497</v>
      </c>
      <c r="D10" s="116">
        <v>1484</v>
      </c>
      <c r="E10" s="117">
        <f>_018_4XX[[#This Row],[入料數]]-_018_4XX[[#This Row],['#03已發料數量]]</f>
        <v>0</v>
      </c>
      <c r="F10" s="117">
        <f>SUMIFS(record[OK],record[製程料號],_018_4XX[[#This Row],[製令單號]],record[ProcessSN],F$1)</f>
        <v>1484</v>
      </c>
      <c r="G10" s="117">
        <f>_018_4XX[[#This Row],['#03已發料數量]]-_018_4XX[[#This Row],['#3 OK]]-_018_4XX[[#This Row],['#3 NG]]</f>
        <v>0</v>
      </c>
      <c r="H10" s="117">
        <f>SUMIFS(record[OK],record[製程料號],_018_4XX[[#This Row],[製令單號]],record[ProcessSN],H$1)</f>
        <v>1461</v>
      </c>
      <c r="I10" s="117">
        <f>SUMIFS(record[NG],record[製程料號],_018_4XX[[#This Row],[製令單號]],record[ProcessSN],I$1)</f>
        <v>23</v>
      </c>
      <c r="J10" s="117">
        <f>_018_4XX[[#This Row],['#3 OK]]-_018_4XX[[#This Row],['#4 OK]]-_018_4XX[[#This Row],['#4 NG]]</f>
        <v>0</v>
      </c>
      <c r="K10" s="117">
        <f>SUMIFS(record[OK],record[製程料號],_018_4XX[[#This Row],[製令單號]],record[ProcessSN],K$1)</f>
        <v>1447</v>
      </c>
      <c r="L10" s="117">
        <f>SUMIFS(record[NG],record[製程料號],_018_4XX[[#This Row],[製令單號]],record[ProcessSN],L$1)</f>
        <v>14</v>
      </c>
      <c r="M10" s="117">
        <f>_018_4XX[[#This Row],['#4 OK]]-_018_4XX[[#This Row],['#5 OK]]-_018_4XX[[#This Row],['#5 NG]]</f>
        <v>0</v>
      </c>
      <c r="N10" s="117">
        <f>SUMIFS(record[OK],record[製程料號],_018_4XX[[#This Row],[製令單號]],record[ProcessSN],N$1)</f>
        <v>1447</v>
      </c>
      <c r="O10" s="117">
        <f>SUMIFS(record[NG],record[製程料號],_018_4XX[[#This Row],[製令單號]],record[ProcessSN],O$1)</f>
        <v>0</v>
      </c>
      <c r="P10" s="117">
        <f>_018_4XX[[#This Row],['#5 OK]]-_018_4XX[[#This Row],['#6 OK]]-_018_4XX[[#This Row],['#6 NG]]</f>
        <v>0</v>
      </c>
      <c r="Q10" s="117">
        <f>SUMIFS(record[OK],record[製程料號],_018_4XX[[#This Row],[製令單號]],record[ProcessSN],Q$1)</f>
        <v>1433</v>
      </c>
      <c r="R10" s="117">
        <f>SUMIFS(record[NG],record[製程料號],_018_4XX[[#This Row],[製令單號]],record[ProcessSN],R$1)</f>
        <v>14</v>
      </c>
      <c r="S10" s="117">
        <f>_018_4XX[[#This Row],['#6 OK]]-_018_4XX[[#This Row],['#7NG]]-_018_4XX[[#This Row],['#7OK]]</f>
        <v>0</v>
      </c>
      <c r="T10" s="117">
        <f>SUMIFS(record[OK],record[製程料號],_018_4XX[[#This Row],[製令單號]],record[ProcessSN],T$1)</f>
        <v>1431</v>
      </c>
      <c r="U10" s="117">
        <f>SUMIFS(record[NG],record[製程料號],_018_4XX[[#This Row],[製令單號]],record[ProcessSN],U$1)</f>
        <v>2</v>
      </c>
      <c r="V10" s="117">
        <f>_018_4XX[[#This Row],['#7OK]]-_018_4XX[[#This Row],[OK]]-_018_4XX[[#This Row],[NG]]</f>
        <v>0</v>
      </c>
      <c r="W10" s="117">
        <f>SUMIFS(record[OK],record[製程料號],_018_4XX[[#This Row],[製令單號]],record[ProcessSN],W$1)</f>
        <v>1430</v>
      </c>
      <c r="X10" s="117">
        <f>SUMIFS(record[NG],record[製程料號],_018_4XX[[#This Row],[製令單號]],record[ProcessSN],X$1)</f>
        <v>1</v>
      </c>
      <c r="Y10" s="117">
        <f>_018_4XX[[#This Row],[OK]]-_018_4XX[[#This Row],[入庫]]</f>
        <v>0</v>
      </c>
      <c r="Z10" s="117">
        <f>SUMIFS(record[OK],record[製程料號],_018_4XX[[#This Row],[製令單號]],record[ProcessSN],Z$1)</f>
        <v>1430</v>
      </c>
      <c r="AA10" s="117">
        <f>_018_4XX[[#This Row],[入庫]]-IFERROR(SUMIF(分料0184XX[第一製程製令],_018_4XX[[#This Row],[製令單號]],分料0184XX[分配數量]),0)</f>
        <v>0</v>
      </c>
      <c r="AB10" s="187"/>
      <c r="AC10" s="117">
        <f>_018_4XX[[#This Row],[NG]]+_018_4XX[[#This Row],['#6 NG]]+_018_4XX[[#This Row],['#5 NG]]+_018_4XX[[#This Row],['#4 NG]]+_018_4XX[[#This Row],['#3 NG]]+_018_4XX[[#This Row],['#7NG]]</f>
        <v>54</v>
      </c>
      <c r="AD10" s="119">
        <f>IF(_018_4XX[[#This Row],[入庫]]+_018_4XX[[#This Row],[總不良數]]=_018_4XX[[#This Row],[入料數]],_018_4XX[[#This Row],[入庫]]/_018_4XX[[#This Row],[入料數]],"")</f>
        <v>0.96361185983827491</v>
      </c>
      <c r="AG10" s="173">
        <v>45869</v>
      </c>
      <c r="AH10" s="127" t="s">
        <v>902</v>
      </c>
      <c r="AI10" s="159" t="s">
        <v>669</v>
      </c>
      <c r="AJ10" s="129" t="s">
        <v>939</v>
      </c>
      <c r="AK10" s="129">
        <v>165</v>
      </c>
    </row>
    <row r="11" spans="1:43" ht="26.25" x14ac:dyDescent="0.25">
      <c r="A11" s="113">
        <v>45959</v>
      </c>
      <c r="B11" s="114" t="s">
        <v>1179</v>
      </c>
      <c r="C11" s="115" t="s">
        <v>497</v>
      </c>
      <c r="D11" s="116">
        <v>16</v>
      </c>
      <c r="E11" s="117">
        <f>_018_4XX[[#This Row],[入料數]]-_018_4XX[[#This Row],['#03已發料數量]]</f>
        <v>0</v>
      </c>
      <c r="F11" s="117">
        <f>SUMIFS(record[OK],record[製程料號],_018_4XX[[#This Row],[製令單號]],record[ProcessSN],F$1)</f>
        <v>16</v>
      </c>
      <c r="G11" s="117">
        <f>_018_4XX[[#This Row],['#03已發料數量]]-_018_4XX[[#This Row],['#3 OK]]-_018_4XX[[#This Row],['#3 NG]]</f>
        <v>0</v>
      </c>
      <c r="H11" s="117">
        <f>SUMIFS(record[OK],record[製程料號],_018_4XX[[#This Row],[製令單號]],record[ProcessSN],H$1)</f>
        <v>16</v>
      </c>
      <c r="I11" s="117">
        <f>SUMIFS(record[NG],record[製程料號],_018_4XX[[#This Row],[製令單號]],record[ProcessSN],I$1)</f>
        <v>0</v>
      </c>
      <c r="J11" s="117">
        <f>_018_4XX[[#This Row],['#3 OK]]-_018_4XX[[#This Row],['#4 OK]]-_018_4XX[[#This Row],['#4 NG]]</f>
        <v>0</v>
      </c>
      <c r="K11" s="117">
        <f>SUMIFS(record[OK],record[製程料號],_018_4XX[[#This Row],[製令單號]],record[ProcessSN],K$1)</f>
        <v>16</v>
      </c>
      <c r="L11" s="117">
        <f>SUMIFS(record[NG],record[製程料號],_018_4XX[[#This Row],[製令單號]],record[ProcessSN],L$1)</f>
        <v>0</v>
      </c>
      <c r="M11" s="117">
        <f>_018_4XX[[#This Row],['#4 OK]]-_018_4XX[[#This Row],['#5 OK]]-_018_4XX[[#This Row],['#5 NG]]</f>
        <v>0</v>
      </c>
      <c r="N11" s="117">
        <f>SUMIFS(record[OK],record[製程料號],_018_4XX[[#This Row],[製令單號]],record[ProcessSN],N$1)</f>
        <v>16</v>
      </c>
      <c r="O11" s="117">
        <f>SUMIFS(record[NG],record[製程料號],_018_4XX[[#This Row],[製令單號]],record[ProcessSN],O$1)</f>
        <v>0</v>
      </c>
      <c r="P11" s="117">
        <f>_018_4XX[[#This Row],['#5 OK]]-_018_4XX[[#This Row],['#6 OK]]-_018_4XX[[#This Row],['#6 NG]]</f>
        <v>0</v>
      </c>
      <c r="Q11" s="117">
        <f>SUMIFS(record[OK],record[製程料號],_018_4XX[[#This Row],[製令單號]],record[ProcessSN],Q$1)</f>
        <v>16</v>
      </c>
      <c r="R11" s="117">
        <f>SUMIFS(record[NG],record[製程料號],_018_4XX[[#This Row],[製令單號]],record[ProcessSN],R$1)</f>
        <v>0</v>
      </c>
      <c r="S11" s="117">
        <f>_018_4XX[[#This Row],['#6 OK]]-_018_4XX[[#This Row],['#7NG]]-_018_4XX[[#This Row],['#7OK]]</f>
        <v>0</v>
      </c>
      <c r="T11" s="117">
        <f>SUMIFS(record[OK],record[製程料號],_018_4XX[[#This Row],[製令單號]],record[ProcessSN],T$1)</f>
        <v>16</v>
      </c>
      <c r="U11" s="117">
        <f>SUMIFS(record[NG],record[製程料號],_018_4XX[[#This Row],[製令單號]],record[ProcessSN],U$1)</f>
        <v>0</v>
      </c>
      <c r="V11" s="117">
        <f>_018_4XX[[#This Row],['#7OK]]-_018_4XX[[#This Row],[OK]]-_018_4XX[[#This Row],[NG]]</f>
        <v>0</v>
      </c>
      <c r="W11" s="117">
        <f>SUMIFS(record[OK],record[製程料號],_018_4XX[[#This Row],[製令單號]],record[ProcessSN],W$1)</f>
        <v>16</v>
      </c>
      <c r="X11" s="117">
        <f>SUMIFS(record[NG],record[製程料號],_018_4XX[[#This Row],[製令單號]],record[ProcessSN],X$1)</f>
        <v>0</v>
      </c>
      <c r="Y11" s="117">
        <f>_018_4XX[[#This Row],[OK]]-_018_4XX[[#This Row],[入庫]]</f>
        <v>0</v>
      </c>
      <c r="Z11" s="117">
        <f>SUMIFS(record[OK],record[製程料號],_018_4XX[[#This Row],[製令單號]],record[ProcessSN],Z$1)</f>
        <v>16</v>
      </c>
      <c r="AA11" s="117">
        <f>_018_4XX[[#This Row],[入庫]]-IFERROR(SUMIF(分料0184XX[第一製程製令],_018_4XX[[#This Row],[製令單號]],分料0184XX[分配數量]),0)</f>
        <v>0</v>
      </c>
      <c r="AB11" s="187"/>
      <c r="AC11" s="117">
        <f>_018_4XX[[#This Row],[NG]]+_018_4XX[[#This Row],['#6 NG]]+_018_4XX[[#This Row],['#5 NG]]+_018_4XX[[#This Row],['#4 NG]]+_018_4XX[[#This Row],['#3 NG]]+_018_4XX[[#This Row],['#7NG]]</f>
        <v>0</v>
      </c>
      <c r="AD11" s="119">
        <f>IF(_018_4XX[[#This Row],[入庫]]+_018_4XX[[#This Row],[總不良數]]=_018_4XX[[#This Row],[入料數]],_018_4XX[[#This Row],[入庫]]/_018_4XX[[#This Row],[入料數]],"")</f>
        <v>1</v>
      </c>
      <c r="AG11" s="173">
        <v>45870</v>
      </c>
      <c r="AH11" s="127" t="s">
        <v>902</v>
      </c>
      <c r="AI11" s="159" t="s">
        <v>669</v>
      </c>
      <c r="AJ11" s="129" t="s">
        <v>943</v>
      </c>
      <c r="AK11" s="129">
        <v>164</v>
      </c>
    </row>
    <row r="12" spans="1:43" ht="26.25" x14ac:dyDescent="0.25">
      <c r="A12" s="113">
        <v>45993</v>
      </c>
      <c r="B12" s="114" t="s">
        <v>1270</v>
      </c>
      <c r="C12" s="115" t="s">
        <v>497</v>
      </c>
      <c r="D12" s="116">
        <v>907</v>
      </c>
      <c r="E12" s="117">
        <f>_018_4XX[[#This Row],[入料數]]-_018_4XX[[#This Row],['#03已發料數量]]</f>
        <v>0</v>
      </c>
      <c r="F12" s="117">
        <f>SUMIFS(record[OK],record[製程料號],_018_4XX[[#This Row],[製令單號]],record[ProcessSN],F$1)</f>
        <v>907</v>
      </c>
      <c r="G12" s="117">
        <f>_018_4XX[[#This Row],['#03已發料數量]]-_018_4XX[[#This Row],['#3 OK]]-_018_4XX[[#This Row],['#3 NG]]</f>
        <v>0</v>
      </c>
      <c r="H12" s="117">
        <f>SUMIFS(record[OK],record[製程料號],_018_4XX[[#This Row],[製令單號]],record[ProcessSN],H$1)</f>
        <v>905</v>
      </c>
      <c r="I12" s="117">
        <f>SUMIFS(record[NG],record[製程料號],_018_4XX[[#This Row],[製令單號]],record[ProcessSN],I$1)</f>
        <v>2</v>
      </c>
      <c r="J12" s="117">
        <f>_018_4XX[[#This Row],['#3 OK]]-_018_4XX[[#This Row],['#4 OK]]-_018_4XX[[#This Row],['#4 NG]]</f>
        <v>0</v>
      </c>
      <c r="K12" s="117">
        <f>SUMIFS(record[OK],record[製程料號],_018_4XX[[#This Row],[製令單號]],record[ProcessSN],K$1)</f>
        <v>897</v>
      </c>
      <c r="L12" s="117">
        <f>SUMIFS(record[NG],record[製程料號],_018_4XX[[#This Row],[製令單號]],record[ProcessSN],L$1)</f>
        <v>8</v>
      </c>
      <c r="M12" s="117">
        <f>_018_4XX[[#This Row],['#4 OK]]-_018_4XX[[#This Row],['#5 OK]]-_018_4XX[[#This Row],['#5 NG]]</f>
        <v>0</v>
      </c>
      <c r="N12" s="117">
        <f>SUMIFS(record[OK],record[製程料號],_018_4XX[[#This Row],[製令單號]],record[ProcessSN],N$1)</f>
        <v>897</v>
      </c>
      <c r="O12" s="117">
        <f>SUMIFS(record[NG],record[製程料號],_018_4XX[[#This Row],[製令單號]],record[ProcessSN],O$1)</f>
        <v>0</v>
      </c>
      <c r="P12" s="117">
        <f>_018_4XX[[#This Row],['#5 OK]]-_018_4XX[[#This Row],['#6 OK]]-_018_4XX[[#This Row],['#6 NG]]</f>
        <v>0</v>
      </c>
      <c r="Q12" s="117">
        <f>SUMIFS(record[OK],record[製程料號],_018_4XX[[#This Row],[製令單號]],record[ProcessSN],Q$1)</f>
        <v>892</v>
      </c>
      <c r="R12" s="117">
        <f>SUMIFS(record[NG],record[製程料號],_018_4XX[[#This Row],[製令單號]],record[ProcessSN],R$1)</f>
        <v>5</v>
      </c>
      <c r="S12" s="117">
        <f>_018_4XX[[#This Row],['#6 OK]]-_018_4XX[[#This Row],['#7NG]]-_018_4XX[[#This Row],['#7OK]]</f>
        <v>0</v>
      </c>
      <c r="T12" s="117">
        <f>SUMIFS(record[OK],record[製程料號],_018_4XX[[#This Row],[製令單號]],record[ProcessSN],T$1)</f>
        <v>892</v>
      </c>
      <c r="U12" s="117">
        <f>SUMIFS(record[NG],record[製程料號],_018_4XX[[#This Row],[製令單號]],record[ProcessSN],U$1)</f>
        <v>0</v>
      </c>
      <c r="V12" s="117">
        <f>_018_4XX[[#This Row],['#7OK]]-_018_4XX[[#This Row],[OK]]-_018_4XX[[#This Row],[NG]]</f>
        <v>0</v>
      </c>
      <c r="W12" s="117">
        <f>SUMIFS(record[OK],record[製程料號],_018_4XX[[#This Row],[製令單號]],record[ProcessSN],W$1)</f>
        <v>888</v>
      </c>
      <c r="X12" s="117">
        <f>SUMIFS(record[NG],record[製程料號],_018_4XX[[#This Row],[製令單號]],record[ProcessSN],X$1)</f>
        <v>4</v>
      </c>
      <c r="Y12" s="117">
        <f>_018_4XX[[#This Row],[OK]]-_018_4XX[[#This Row],[入庫]]</f>
        <v>0</v>
      </c>
      <c r="Z12" s="117">
        <f>SUMIFS(record[OK],record[製程料號],_018_4XX[[#This Row],[製令單號]],record[ProcessSN],Z$1)</f>
        <v>888</v>
      </c>
      <c r="AA12" s="117">
        <f>_018_4XX[[#This Row],[入庫]]-IFERROR(SUMIF(分料0184XX[第一製程製令],_018_4XX[[#This Row],[製令單號]],分料0184XX[分配數量]),0)</f>
        <v>0</v>
      </c>
      <c r="AB12" s="187"/>
      <c r="AC12" s="117">
        <f>_018_4XX[[#This Row],[NG]]+_018_4XX[[#This Row],['#6 NG]]+_018_4XX[[#This Row],['#5 NG]]+_018_4XX[[#This Row],['#4 NG]]+_018_4XX[[#This Row],['#3 NG]]+_018_4XX[[#This Row],['#7NG]]</f>
        <v>19</v>
      </c>
      <c r="AD12" s="119">
        <f>IF(_018_4XX[[#This Row],[入庫]]+_018_4XX[[#This Row],[總不良數]]=_018_4XX[[#This Row],[入料數]],_018_4XX[[#This Row],[入庫]]/_018_4XX[[#This Row],[入料數]],"")</f>
        <v>0.97905181918412343</v>
      </c>
      <c r="AG12" s="173">
        <v>45870</v>
      </c>
      <c r="AH12" s="127" t="s">
        <v>586</v>
      </c>
      <c r="AI12" s="159" t="s">
        <v>669</v>
      </c>
      <c r="AJ12" s="129" t="s">
        <v>943</v>
      </c>
      <c r="AK12" s="129">
        <v>3</v>
      </c>
    </row>
    <row r="13" spans="1:43" ht="26.25" x14ac:dyDescent="0.25">
      <c r="A13" s="113">
        <v>46008</v>
      </c>
      <c r="B13" s="114" t="s">
        <v>1339</v>
      </c>
      <c r="C13" s="115" t="s">
        <v>497</v>
      </c>
      <c r="D13" s="116">
        <v>1331</v>
      </c>
      <c r="E13" s="117">
        <f>_018_4XX[[#This Row],[入料數]]-_018_4XX[[#This Row],['#03已發料數量]]</f>
        <v>0</v>
      </c>
      <c r="F13" s="117">
        <f>SUMIFS(record[OK],record[製程料號],_018_4XX[[#This Row],[製令單號]],record[ProcessSN],F$1)</f>
        <v>1331</v>
      </c>
      <c r="G13" s="117">
        <f>_018_4XX[[#This Row],['#03已發料數量]]-_018_4XX[[#This Row],['#3 OK]]-_018_4XX[[#This Row],['#3 NG]]</f>
        <v>0</v>
      </c>
      <c r="H13" s="117">
        <f>SUMIFS(record[OK],record[製程料號],_018_4XX[[#This Row],[製令單號]],record[ProcessSN],H$1)</f>
        <v>1329</v>
      </c>
      <c r="I13" s="117">
        <f>SUMIFS(record[NG],record[製程料號],_018_4XX[[#This Row],[製令單號]],record[ProcessSN],I$1)</f>
        <v>2</v>
      </c>
      <c r="J13" s="117">
        <f>_018_4XX[[#This Row],['#3 OK]]-_018_4XX[[#This Row],['#4 OK]]-_018_4XX[[#This Row],['#4 NG]]</f>
        <v>0</v>
      </c>
      <c r="K13" s="117">
        <f>SUMIFS(record[OK],record[製程料號],_018_4XX[[#This Row],[製令單號]],record[ProcessSN],K$1)</f>
        <v>1322</v>
      </c>
      <c r="L13" s="117">
        <f>SUMIFS(record[NG],record[製程料號],_018_4XX[[#This Row],[製令單號]],record[ProcessSN],L$1)</f>
        <v>7</v>
      </c>
      <c r="M13" s="117">
        <f>_018_4XX[[#This Row],['#4 OK]]-_018_4XX[[#This Row],['#5 OK]]-_018_4XX[[#This Row],['#5 NG]]</f>
        <v>0</v>
      </c>
      <c r="N13" s="117">
        <f>SUMIFS(record[OK],record[製程料號],_018_4XX[[#This Row],[製令單號]],record[ProcessSN],N$1)</f>
        <v>1321</v>
      </c>
      <c r="O13" s="117">
        <f>SUMIFS(record[NG],record[製程料號],_018_4XX[[#This Row],[製令單號]],record[ProcessSN],O$1)</f>
        <v>1</v>
      </c>
      <c r="P13" s="117">
        <f>_018_4XX[[#This Row],['#5 OK]]-_018_4XX[[#This Row],['#6 OK]]-_018_4XX[[#This Row],['#6 NG]]</f>
        <v>0</v>
      </c>
      <c r="Q13" s="117">
        <f>SUMIFS(record[OK],record[製程料號],_018_4XX[[#This Row],[製令單號]],record[ProcessSN],Q$1)</f>
        <v>1321</v>
      </c>
      <c r="R13" s="117">
        <f>SUMIFS(record[NG],record[製程料號],_018_4XX[[#This Row],[製令單號]],record[ProcessSN],R$1)</f>
        <v>0</v>
      </c>
      <c r="S13" s="117">
        <f>_018_4XX[[#This Row],['#6 OK]]-_018_4XX[[#This Row],['#7NG]]-_018_4XX[[#This Row],['#7OK]]</f>
        <v>0</v>
      </c>
      <c r="T13" s="117">
        <f>SUMIFS(record[OK],record[製程料號],_018_4XX[[#This Row],[製令單號]],record[ProcessSN],T$1)</f>
        <v>1316</v>
      </c>
      <c r="U13" s="117">
        <f>SUMIFS(record[NG],record[製程料號],_018_4XX[[#This Row],[製令單號]],record[ProcessSN],U$1)</f>
        <v>5</v>
      </c>
      <c r="V13" s="117">
        <f>_018_4XX[[#This Row],['#7OK]]-_018_4XX[[#This Row],[OK]]-_018_4XX[[#This Row],[NG]]</f>
        <v>0</v>
      </c>
      <c r="W13" s="117">
        <f>SUMIFS(record[OK],record[製程料號],_018_4XX[[#This Row],[製令單號]],record[ProcessSN],W$1)</f>
        <v>1301</v>
      </c>
      <c r="X13" s="117">
        <f>SUMIFS(record[NG],record[製程料號],_018_4XX[[#This Row],[製令單號]],record[ProcessSN],X$1)</f>
        <v>15</v>
      </c>
      <c r="Y13" s="117">
        <f>_018_4XX[[#This Row],[OK]]-_018_4XX[[#This Row],[入庫]]</f>
        <v>0</v>
      </c>
      <c r="Z13" s="117">
        <f>SUMIFS(record[OK],record[製程料號],_018_4XX[[#This Row],[製令單號]],record[ProcessSN],Z$1)</f>
        <v>1301</v>
      </c>
      <c r="AA13" s="117">
        <f>_018_4XX[[#This Row],[入庫]]-IFERROR(SUMIF(分料0184XX[第一製程製令],_018_4XX[[#This Row],[製令單號]],分料0184XX[分配數量]),0)</f>
        <v>0</v>
      </c>
      <c r="AB13" s="187"/>
      <c r="AC13" s="117">
        <f>_018_4XX[[#This Row],[NG]]+_018_4XX[[#This Row],['#6 NG]]+_018_4XX[[#This Row],['#5 NG]]+_018_4XX[[#This Row],['#4 NG]]+_018_4XX[[#This Row],['#3 NG]]+_018_4XX[[#This Row],['#7NG]]</f>
        <v>30</v>
      </c>
      <c r="AD13" s="119">
        <f>IF(_018_4XX[[#This Row],[入庫]]+_018_4XX[[#This Row],[總不良數]]=_018_4XX[[#This Row],[入料數]],_018_4XX[[#This Row],[入庫]]/_018_4XX[[#This Row],[入料數]],"")</f>
        <v>0.97746055597295267</v>
      </c>
      <c r="AG13" s="173">
        <v>45873</v>
      </c>
      <c r="AH13" s="127" t="s">
        <v>902</v>
      </c>
      <c r="AI13" s="128" t="s">
        <v>669</v>
      </c>
      <c r="AJ13" s="129" t="s">
        <v>947</v>
      </c>
      <c r="AK13" s="129">
        <v>302</v>
      </c>
    </row>
    <row r="14" spans="1:43" ht="26.25" x14ac:dyDescent="0.25">
      <c r="A14" s="113">
        <v>46014</v>
      </c>
      <c r="B14" s="114" t="s">
        <v>1380</v>
      </c>
      <c r="C14" s="115" t="s">
        <v>497</v>
      </c>
      <c r="D14" s="116">
        <v>396</v>
      </c>
      <c r="E14" s="117">
        <f>_018_4XX[[#This Row],[入料數]]-_018_4XX[[#This Row],['#03已發料數量]]</f>
        <v>0</v>
      </c>
      <c r="F14" s="117">
        <f>SUMIFS(record[OK],record[製程料號],_018_4XX[[#This Row],[製令單號]],record[ProcessSN],F$1)</f>
        <v>396</v>
      </c>
      <c r="G14" s="117">
        <f>_018_4XX[[#This Row],['#03已發料數量]]-_018_4XX[[#This Row],['#3 OK]]-_018_4XX[[#This Row],['#3 NG]]</f>
        <v>0</v>
      </c>
      <c r="H14" s="117">
        <f>SUMIFS(record[OK],record[製程料號],_018_4XX[[#This Row],[製令單號]],record[ProcessSN],H$1)</f>
        <v>396</v>
      </c>
      <c r="I14" s="117">
        <f>SUMIFS(record[NG],record[製程料號],_018_4XX[[#This Row],[製令單號]],record[ProcessSN],I$1)</f>
        <v>0</v>
      </c>
      <c r="J14" s="117">
        <f>_018_4XX[[#This Row],['#3 OK]]-_018_4XX[[#This Row],['#4 OK]]-_018_4XX[[#This Row],['#4 NG]]</f>
        <v>0</v>
      </c>
      <c r="K14" s="117">
        <f>SUMIFS(record[OK],record[製程料號],_018_4XX[[#This Row],[製令單號]],record[ProcessSN],K$1)</f>
        <v>394</v>
      </c>
      <c r="L14" s="117">
        <f>SUMIFS(record[NG],record[製程料號],_018_4XX[[#This Row],[製令單號]],record[ProcessSN],L$1)</f>
        <v>2</v>
      </c>
      <c r="M14" s="117">
        <f>_018_4XX[[#This Row],['#4 OK]]-_018_4XX[[#This Row],['#5 OK]]-_018_4XX[[#This Row],['#5 NG]]</f>
        <v>0</v>
      </c>
      <c r="N14" s="117">
        <f>SUMIFS(record[OK],record[製程料號],_018_4XX[[#This Row],[製令單號]],record[ProcessSN],N$1)</f>
        <v>394</v>
      </c>
      <c r="O14" s="117">
        <f>SUMIFS(record[NG],record[製程料號],_018_4XX[[#This Row],[製令單號]],record[ProcessSN],O$1)</f>
        <v>0</v>
      </c>
      <c r="P14" s="117">
        <f>_018_4XX[[#This Row],['#5 OK]]-_018_4XX[[#This Row],['#6 OK]]-_018_4XX[[#This Row],['#6 NG]]</f>
        <v>0</v>
      </c>
      <c r="Q14" s="117">
        <f>SUMIFS(record[OK],record[製程料號],_018_4XX[[#This Row],[製令單號]],record[ProcessSN],Q$1)</f>
        <v>394</v>
      </c>
      <c r="R14" s="117">
        <f>SUMIFS(record[NG],record[製程料號],_018_4XX[[#This Row],[製令單號]],record[ProcessSN],R$1)</f>
        <v>0</v>
      </c>
      <c r="S14" s="117">
        <f>_018_4XX[[#This Row],['#6 OK]]-_018_4XX[[#This Row],['#7NG]]-_018_4XX[[#This Row],['#7OK]]</f>
        <v>0</v>
      </c>
      <c r="T14" s="117">
        <f>SUMIFS(record[OK],record[製程料號],_018_4XX[[#This Row],[製令單號]],record[ProcessSN],T$1)</f>
        <v>393</v>
      </c>
      <c r="U14" s="117">
        <f>SUMIFS(record[NG],record[製程料號],_018_4XX[[#This Row],[製令單號]],record[ProcessSN],U$1)</f>
        <v>1</v>
      </c>
      <c r="V14" s="117">
        <f>_018_4XX[[#This Row],['#7OK]]-_018_4XX[[#This Row],[OK]]-_018_4XX[[#This Row],[NG]]</f>
        <v>0</v>
      </c>
      <c r="W14" s="117">
        <f>SUMIFS(record[OK],record[製程料號],_018_4XX[[#This Row],[製令單號]],record[ProcessSN],W$1)</f>
        <v>389</v>
      </c>
      <c r="X14" s="117">
        <f>SUMIFS(record[NG],record[製程料號],_018_4XX[[#This Row],[製令單號]],record[ProcessSN],X$1)</f>
        <v>4</v>
      </c>
      <c r="Y14" s="117">
        <f>_018_4XX[[#This Row],[OK]]-_018_4XX[[#This Row],[入庫]]</f>
        <v>0</v>
      </c>
      <c r="Z14" s="117">
        <f>SUMIFS(record[OK],record[製程料號],_018_4XX[[#This Row],[製令單號]],record[ProcessSN],Z$1)</f>
        <v>389</v>
      </c>
      <c r="AA14" s="117">
        <f>_018_4XX[[#This Row],[入庫]]-IFERROR(SUMIF(分料0184XX[第一製程製令],_018_4XX[[#This Row],[製令單號]],分料0184XX[分配數量]),0)</f>
        <v>0</v>
      </c>
      <c r="AB14" s="187"/>
      <c r="AC14" s="117">
        <f>_018_4XX[[#This Row],[NG]]+_018_4XX[[#This Row],['#6 NG]]+_018_4XX[[#This Row],['#5 NG]]+_018_4XX[[#This Row],['#4 NG]]+_018_4XX[[#This Row],['#3 NG]]+_018_4XX[[#This Row],['#7NG]]</f>
        <v>7</v>
      </c>
      <c r="AD14" s="119">
        <f>IF(_018_4XX[[#This Row],[入庫]]+_018_4XX[[#This Row],[總不良數]]=_018_4XX[[#This Row],[入料數]],_018_4XX[[#This Row],[入庫]]/_018_4XX[[#This Row],[入料數]],"")</f>
        <v>0.98232323232323238</v>
      </c>
      <c r="AG14" s="173">
        <v>45874</v>
      </c>
      <c r="AH14" s="127" t="s">
        <v>902</v>
      </c>
      <c r="AI14" s="128" t="s">
        <v>669</v>
      </c>
      <c r="AJ14" s="129" t="s">
        <v>949</v>
      </c>
      <c r="AK14" s="129">
        <v>310</v>
      </c>
    </row>
    <row r="15" spans="1:43" ht="26.25" x14ac:dyDescent="0.25">
      <c r="A15" s="113">
        <v>46057</v>
      </c>
      <c r="B15" s="114" t="s">
        <v>1570</v>
      </c>
      <c r="C15" s="115" t="s">
        <v>497</v>
      </c>
      <c r="D15" s="116">
        <v>1000</v>
      </c>
      <c r="E15" s="117">
        <f>_018_4XX[[#This Row],[入料數]]-_018_4XX[[#This Row],['#03已發料數量]]</f>
        <v>0</v>
      </c>
      <c r="F15" s="117">
        <f>SUMIFS(record[OK],record[製程料號],_018_4XX[[#This Row],[製令單號]],record[ProcessSN],F$1)</f>
        <v>1000</v>
      </c>
      <c r="G15" s="117">
        <f>_018_4XX[[#This Row],['#03已發料數量]]-_018_4XX[[#This Row],['#3 OK]]-_018_4XX[[#This Row],['#3 NG]]</f>
        <v>0</v>
      </c>
      <c r="H15" s="117">
        <f>SUMIFS(record[OK],record[製程料號],_018_4XX[[#This Row],[製令單號]],record[ProcessSN],H$1)</f>
        <v>1000</v>
      </c>
      <c r="I15" s="117">
        <f>SUMIFS(record[NG],record[製程料號],_018_4XX[[#This Row],[製令單號]],record[ProcessSN],I$1)</f>
        <v>0</v>
      </c>
      <c r="J15" s="117">
        <f>_018_4XX[[#This Row],['#3 OK]]-_018_4XX[[#This Row],['#4 OK]]-_018_4XX[[#This Row],['#4 NG]]</f>
        <v>0</v>
      </c>
      <c r="K15" s="117">
        <f>SUMIFS(record[OK],record[製程料號],_018_4XX[[#This Row],[製令單號]],record[ProcessSN],K$1)</f>
        <v>997</v>
      </c>
      <c r="L15" s="117">
        <f>SUMIFS(record[NG],record[製程料號],_018_4XX[[#This Row],[製令單號]],record[ProcessSN],L$1)</f>
        <v>3</v>
      </c>
      <c r="M15" s="117">
        <f>_018_4XX[[#This Row],['#4 OK]]-_018_4XX[[#This Row],['#5 OK]]-_018_4XX[[#This Row],['#5 NG]]</f>
        <v>0</v>
      </c>
      <c r="N15" s="117">
        <f>SUMIFS(record[OK],record[製程料號],_018_4XX[[#This Row],[製令單號]],record[ProcessSN],N$1)</f>
        <v>994</v>
      </c>
      <c r="O15" s="117">
        <f>SUMIFS(record[NG],record[製程料號],_018_4XX[[#This Row],[製令單號]],record[ProcessSN],O$1)</f>
        <v>3</v>
      </c>
      <c r="P15" s="117">
        <f>_018_4XX[[#This Row],['#5 OK]]-_018_4XX[[#This Row],['#6 OK]]-_018_4XX[[#This Row],['#6 NG]]</f>
        <v>0</v>
      </c>
      <c r="Q15" s="117">
        <f>SUMIFS(record[OK],record[製程料號],_018_4XX[[#This Row],[製令單號]],record[ProcessSN],Q$1)</f>
        <v>993</v>
      </c>
      <c r="R15" s="117">
        <f>SUMIFS(record[NG],record[製程料號],_018_4XX[[#This Row],[製令單號]],record[ProcessSN],R$1)</f>
        <v>1</v>
      </c>
      <c r="S15" s="117">
        <f>_018_4XX[[#This Row],['#6 OK]]-_018_4XX[[#This Row],['#7NG]]-_018_4XX[[#This Row],['#7OK]]</f>
        <v>0</v>
      </c>
      <c r="T15" s="117">
        <f>SUMIFS(record[OK],record[製程料號],_018_4XX[[#This Row],[製令單號]],record[ProcessSN],T$1)</f>
        <v>988</v>
      </c>
      <c r="U15" s="117">
        <f>SUMIFS(record[NG],record[製程料號],_018_4XX[[#This Row],[製令單號]],record[ProcessSN],U$1)</f>
        <v>5</v>
      </c>
      <c r="V15" s="117">
        <f>_018_4XX[[#This Row],['#7OK]]-_018_4XX[[#This Row],[OK]]-_018_4XX[[#This Row],[NG]]</f>
        <v>0</v>
      </c>
      <c r="W15" s="117">
        <f>SUMIFS(record[OK],record[製程料號],_018_4XX[[#This Row],[製令單號]],record[ProcessSN],W$1)</f>
        <v>905</v>
      </c>
      <c r="X15" s="117">
        <f>SUMIFS(record[NG],record[製程料號],_018_4XX[[#This Row],[製令單號]],record[ProcessSN],X$1)</f>
        <v>83</v>
      </c>
      <c r="Y15" s="117">
        <f>_018_4XX[[#This Row],[OK]]-_018_4XX[[#This Row],[入庫]]</f>
        <v>0</v>
      </c>
      <c r="Z15" s="117">
        <f>SUMIFS(record[OK],record[製程料號],_018_4XX[[#This Row],[製令單號]],record[ProcessSN],Z$1)</f>
        <v>905</v>
      </c>
      <c r="AA15" s="117">
        <f>_018_4XX[[#This Row],[入庫]]-IFERROR(SUMIF(分料0184XX[第一製程製令],_018_4XX[[#This Row],[製令單號]],分料0184XX[分配數量]),0)</f>
        <v>0</v>
      </c>
      <c r="AB15" s="187"/>
      <c r="AC15" s="117">
        <f>_018_4XX[[#This Row],[NG]]+_018_4XX[[#This Row],['#6 NG]]+_018_4XX[[#This Row],['#5 NG]]+_018_4XX[[#This Row],['#4 NG]]+_018_4XX[[#This Row],['#3 NG]]+_018_4XX[[#This Row],['#7NG]]</f>
        <v>95</v>
      </c>
      <c r="AD15" s="119">
        <f>IF(_018_4XX[[#This Row],[入庫]]+_018_4XX[[#This Row],[總不良數]]=_018_4XX[[#This Row],[入料數]],_018_4XX[[#This Row],[入庫]]/_018_4XX[[#This Row],[入料數]],"")</f>
        <v>0.90500000000000003</v>
      </c>
      <c r="AG15" s="173">
        <v>45876</v>
      </c>
      <c r="AH15" s="127" t="s">
        <v>957</v>
      </c>
      <c r="AI15" s="128" t="s">
        <v>669</v>
      </c>
      <c r="AJ15" s="129" t="s">
        <v>958</v>
      </c>
      <c r="AK15" s="129">
        <v>151</v>
      </c>
    </row>
    <row r="16" spans="1:43" ht="26.25" x14ac:dyDescent="0.25">
      <c r="A16" s="113">
        <v>46076</v>
      </c>
      <c r="B16" s="114" t="s">
        <v>1587</v>
      </c>
      <c r="C16" s="115" t="s">
        <v>497</v>
      </c>
      <c r="D16" s="116">
        <v>2379</v>
      </c>
      <c r="E16" s="117">
        <f>_018_4XX[[#This Row],[入料數]]-_018_4XX[[#This Row],['#03已發料數量]]</f>
        <v>0</v>
      </c>
      <c r="F16" s="117">
        <f>SUMIFS(record[OK],record[製程料號],_018_4XX[[#This Row],[製令單號]],record[ProcessSN],F$1)</f>
        <v>2379</v>
      </c>
      <c r="G16" s="117">
        <f>_018_4XX[[#This Row],['#03已發料數量]]-_018_4XX[[#This Row],['#3 OK]]-_018_4XX[[#This Row],['#3 NG]]</f>
        <v>0</v>
      </c>
      <c r="H16" s="117">
        <f>SUMIFS(record[OK],record[製程料號],_018_4XX[[#This Row],[製令單號]],record[ProcessSN],H$1)</f>
        <v>2378</v>
      </c>
      <c r="I16" s="117">
        <f>SUMIFS(record[NG],record[製程料號],_018_4XX[[#This Row],[製令單號]],record[ProcessSN],I$1)</f>
        <v>1</v>
      </c>
      <c r="J16" s="117">
        <f>_018_4XX[[#This Row],['#3 OK]]-_018_4XX[[#This Row],['#4 OK]]-_018_4XX[[#This Row],['#4 NG]]</f>
        <v>0</v>
      </c>
      <c r="K16" s="117">
        <f>SUMIFS(record[OK],record[製程料號],_018_4XX[[#This Row],[製令單號]],record[ProcessSN],K$1)</f>
        <v>2353</v>
      </c>
      <c r="L16" s="117">
        <f>SUMIFS(record[NG],record[製程料號],_018_4XX[[#This Row],[製令單號]],record[ProcessSN],L$1)</f>
        <v>25</v>
      </c>
      <c r="M16" s="117">
        <f>_018_4XX[[#This Row],['#4 OK]]-_018_4XX[[#This Row],['#5 OK]]-_018_4XX[[#This Row],['#5 NG]]</f>
        <v>0</v>
      </c>
      <c r="N16" s="117">
        <f>SUMIFS(record[OK],record[製程料號],_018_4XX[[#This Row],[製令單號]],record[ProcessSN],N$1)</f>
        <v>2353</v>
      </c>
      <c r="O16" s="117">
        <f>SUMIFS(record[NG],record[製程料號],_018_4XX[[#This Row],[製令單號]],record[ProcessSN],O$1)</f>
        <v>0</v>
      </c>
      <c r="P16" s="117">
        <f>_018_4XX[[#This Row],['#5 OK]]-_018_4XX[[#This Row],['#6 OK]]-_018_4XX[[#This Row],['#6 NG]]</f>
        <v>0</v>
      </c>
      <c r="Q16" s="117">
        <f>SUMIFS(record[OK],record[製程料號],_018_4XX[[#This Row],[製令單號]],record[ProcessSN],Q$1)</f>
        <v>2351</v>
      </c>
      <c r="R16" s="117">
        <f>SUMIFS(record[NG],record[製程料號],_018_4XX[[#This Row],[製令單號]],record[ProcessSN],R$1)</f>
        <v>2</v>
      </c>
      <c r="S16" s="117">
        <f>_018_4XX[[#This Row],['#6 OK]]-_018_4XX[[#This Row],['#7NG]]-_018_4XX[[#This Row],['#7OK]]</f>
        <v>0</v>
      </c>
      <c r="T16" s="117">
        <f>SUMIFS(record[OK],record[製程料號],_018_4XX[[#This Row],[製令單號]],record[ProcessSN],T$1)</f>
        <v>2339</v>
      </c>
      <c r="U16" s="117">
        <f>SUMIFS(record[NG],record[製程料號],_018_4XX[[#This Row],[製令單號]],record[ProcessSN],U$1)</f>
        <v>12</v>
      </c>
      <c r="V16" s="117">
        <f>_018_4XX[[#This Row],['#7OK]]-_018_4XX[[#This Row],[OK]]-_018_4XX[[#This Row],[NG]]</f>
        <v>0</v>
      </c>
      <c r="W16" s="117">
        <f>SUMIFS(record[OK],record[製程料號],_018_4XX[[#This Row],[製令單號]],record[ProcessSN],W$1)</f>
        <v>2300</v>
      </c>
      <c r="X16" s="117">
        <f>SUMIFS(record[NG],record[製程料號],_018_4XX[[#This Row],[製令單號]],record[ProcessSN],X$1)</f>
        <v>39</v>
      </c>
      <c r="Y16" s="117">
        <f>_018_4XX[[#This Row],[OK]]-_018_4XX[[#This Row],[入庫]]</f>
        <v>0</v>
      </c>
      <c r="Z16" s="117">
        <f>SUMIFS(record[OK],record[製程料號],_018_4XX[[#This Row],[製令單號]],record[ProcessSN],Z$1)</f>
        <v>2300</v>
      </c>
      <c r="AA16" s="117">
        <f>_018_4XX[[#This Row],[入庫]]-IFERROR(SUMIF(分料0184XX[第一製程製令],_018_4XX[[#This Row],[製令單號]],分料0184XX[分配數量]),0)</f>
        <v>0</v>
      </c>
      <c r="AB16" s="187"/>
      <c r="AC16" s="117">
        <f>_018_4XX[[#This Row],[NG]]+_018_4XX[[#This Row],['#6 NG]]+_018_4XX[[#This Row],['#5 NG]]+_018_4XX[[#This Row],['#4 NG]]+_018_4XX[[#This Row],['#3 NG]]+_018_4XX[[#This Row],['#7NG]]</f>
        <v>79</v>
      </c>
      <c r="AD16" s="119">
        <f>IF(_018_4XX[[#This Row],[入庫]]+_018_4XX[[#This Row],[總不良數]]=_018_4XX[[#This Row],[入料數]],_018_4XX[[#This Row],[入庫]]/_018_4XX[[#This Row],[入料數]],"")</f>
        <v>0.96679277007145858</v>
      </c>
      <c r="AG16" s="173">
        <v>45876</v>
      </c>
      <c r="AH16" s="127" t="s">
        <v>961</v>
      </c>
      <c r="AI16" s="128" t="s">
        <v>669</v>
      </c>
      <c r="AJ16" s="129" t="s">
        <v>962</v>
      </c>
      <c r="AK16" s="129">
        <v>32</v>
      </c>
    </row>
    <row r="17" spans="1:37" ht="26.25" x14ac:dyDescent="0.25">
      <c r="A17" s="113">
        <v>46112</v>
      </c>
      <c r="B17" s="114" t="s">
        <v>1702</v>
      </c>
      <c r="C17" s="115" t="s">
        <v>497</v>
      </c>
      <c r="D17" s="116">
        <v>1478</v>
      </c>
      <c r="E17" s="117">
        <f>_018_4XX[[#This Row],[入料數]]-_018_4XX[[#This Row],['#03已發料數量]]</f>
        <v>0</v>
      </c>
      <c r="F17" s="117">
        <f>SUMIFS(record[OK],record[製程料號],_018_4XX[[#This Row],[製令單號]],record[ProcessSN],F$1)</f>
        <v>1478</v>
      </c>
      <c r="G17" s="117">
        <f>_018_4XX[[#This Row],['#03已發料數量]]-_018_4XX[[#This Row],['#3 OK]]-_018_4XX[[#This Row],['#3 NG]]</f>
        <v>0</v>
      </c>
      <c r="H17" s="117">
        <f>SUMIFS(record[OK],record[製程料號],_018_4XX[[#This Row],[製令單號]],record[ProcessSN],H$1)</f>
        <v>1450</v>
      </c>
      <c r="I17" s="117">
        <f>SUMIFS(record[NG],record[製程料號],_018_4XX[[#This Row],[製令單號]],record[ProcessSN],I$1)</f>
        <v>28</v>
      </c>
      <c r="J17" s="117">
        <f>_018_4XX[[#This Row],['#3 OK]]-_018_4XX[[#This Row],['#4 OK]]-_018_4XX[[#This Row],['#4 NG]]</f>
        <v>0</v>
      </c>
      <c r="K17" s="117">
        <f>SUMIFS(record[OK],record[製程料號],_018_4XX[[#This Row],[製令單號]],record[ProcessSN],K$1)</f>
        <v>1422</v>
      </c>
      <c r="L17" s="117">
        <f>SUMIFS(record[NG],record[製程料號],_018_4XX[[#This Row],[製令單號]],record[ProcessSN],L$1)</f>
        <v>28</v>
      </c>
      <c r="M17" s="117">
        <f>_018_4XX[[#This Row],['#4 OK]]-_018_4XX[[#This Row],['#5 OK]]-_018_4XX[[#This Row],['#5 NG]]</f>
        <v>0</v>
      </c>
      <c r="N17" s="117">
        <f>SUMIFS(record[OK],record[製程料號],_018_4XX[[#This Row],[製令單號]],record[ProcessSN],N$1)</f>
        <v>1422</v>
      </c>
      <c r="O17" s="117">
        <f>SUMIFS(record[NG],record[製程料號],_018_4XX[[#This Row],[製令單號]],record[ProcessSN],O$1)</f>
        <v>0</v>
      </c>
      <c r="P17" s="117">
        <f>_018_4XX[[#This Row],['#5 OK]]-_018_4XX[[#This Row],['#6 OK]]-_018_4XX[[#This Row],['#6 NG]]</f>
        <v>0</v>
      </c>
      <c r="Q17" s="117">
        <f>SUMIFS(record[OK],record[製程料號],_018_4XX[[#This Row],[製令單號]],record[ProcessSN],Q$1)</f>
        <v>1416</v>
      </c>
      <c r="R17" s="117">
        <f>SUMIFS(record[NG],record[製程料號],_018_4XX[[#This Row],[製令單號]],record[ProcessSN],R$1)</f>
        <v>6</v>
      </c>
      <c r="S17" s="117">
        <f>_018_4XX[[#This Row],['#6 OK]]-_018_4XX[[#This Row],['#7NG]]-_018_4XX[[#This Row],['#7OK]]</f>
        <v>0</v>
      </c>
      <c r="T17" s="117">
        <f>SUMIFS(record[OK],record[製程料號],_018_4XX[[#This Row],[製令單號]],record[ProcessSN],T$1)</f>
        <v>1405</v>
      </c>
      <c r="U17" s="117">
        <f>SUMIFS(record[NG],record[製程料號],_018_4XX[[#This Row],[製令單號]],record[ProcessSN],U$1)</f>
        <v>11</v>
      </c>
      <c r="V17" s="117">
        <f>_018_4XX[[#This Row],['#7OK]]-_018_4XX[[#This Row],[OK]]-_018_4XX[[#This Row],[NG]]</f>
        <v>0</v>
      </c>
      <c r="W17" s="117">
        <f>SUMIFS(record[OK],record[製程料號],_018_4XX[[#This Row],[製令單號]],record[ProcessSN],W$1)</f>
        <v>1358</v>
      </c>
      <c r="X17" s="117">
        <f>SUMIFS(record[NG],record[製程料號],_018_4XX[[#This Row],[製令單號]],record[ProcessSN],X$1)</f>
        <v>47</v>
      </c>
      <c r="Y17" s="117">
        <f>_018_4XX[[#This Row],[OK]]-_018_4XX[[#This Row],[入庫]]</f>
        <v>0</v>
      </c>
      <c r="Z17" s="117">
        <f>SUMIFS(record[OK],record[製程料號],_018_4XX[[#This Row],[製令單號]],record[ProcessSN],Z$1)</f>
        <v>1358</v>
      </c>
      <c r="AA17" s="117">
        <f>_018_4XX[[#This Row],[入庫]]-IFERROR(SUMIF(分料0184XX[第一製程製令],_018_4XX[[#This Row],[製令單號]],分料0184XX[分配數量]),0)</f>
        <v>0</v>
      </c>
      <c r="AB17" s="187"/>
      <c r="AC17" s="117">
        <f>_018_4XX[[#This Row],[NG]]+_018_4XX[[#This Row],['#6 NG]]+_018_4XX[[#This Row],['#5 NG]]+_018_4XX[[#This Row],['#4 NG]]+_018_4XX[[#This Row],['#3 NG]]+_018_4XX[[#This Row],['#7NG]]</f>
        <v>120</v>
      </c>
      <c r="AD17" s="119">
        <f>IF(_018_4XX[[#This Row],[入庫]]+_018_4XX[[#This Row],[總不良數]]=_018_4XX[[#This Row],[入料數]],_018_4XX[[#This Row],[入庫]]/_018_4XX[[#This Row],[入料數]],"")</f>
        <v>0.91880920162381596</v>
      </c>
      <c r="AG17" s="173">
        <v>45908</v>
      </c>
      <c r="AH17" s="127" t="s">
        <v>1023</v>
      </c>
      <c r="AI17" s="128" t="s">
        <v>669</v>
      </c>
      <c r="AJ17" s="129" t="s">
        <v>1042</v>
      </c>
      <c r="AK17" s="129">
        <v>326</v>
      </c>
    </row>
    <row r="18" spans="1:37" ht="26.25" x14ac:dyDescent="0.25">
      <c r="A18" s="113">
        <v>46122</v>
      </c>
      <c r="B18" s="114" t="s">
        <v>1790</v>
      </c>
      <c r="C18" s="115" t="s">
        <v>497</v>
      </c>
      <c r="D18" s="116">
        <v>672</v>
      </c>
      <c r="E18" s="117">
        <f>_018_4XX[[#This Row],[入料數]]-_018_4XX[[#This Row],['#03已發料數量]]</f>
        <v>0</v>
      </c>
      <c r="F18" s="117">
        <f>SUMIFS(record[OK],record[製程料號],_018_4XX[[#This Row],[製令單號]],record[ProcessSN],F$1)</f>
        <v>672</v>
      </c>
      <c r="G18" s="117">
        <f>_018_4XX[[#This Row],['#03已發料數量]]-_018_4XX[[#This Row],['#3 OK]]-_018_4XX[[#This Row],['#3 NG]]</f>
        <v>0</v>
      </c>
      <c r="H18" s="117">
        <f>SUMIFS(record[OK],record[製程料號],_018_4XX[[#This Row],[製令單號]],record[ProcessSN],H$1)</f>
        <v>672</v>
      </c>
      <c r="I18" s="117">
        <f>SUMIFS(record[NG],record[製程料號],_018_4XX[[#This Row],[製令單號]],record[ProcessSN],I$1)</f>
        <v>0</v>
      </c>
      <c r="J18" s="117">
        <f>_018_4XX[[#This Row],['#3 OK]]-_018_4XX[[#This Row],['#4 OK]]-_018_4XX[[#This Row],['#4 NG]]</f>
        <v>391</v>
      </c>
      <c r="K18" s="117">
        <f>SUMIFS(record[OK],record[製程料號],_018_4XX[[#This Row],[製令單號]],record[ProcessSN],K$1)</f>
        <v>268</v>
      </c>
      <c r="L18" s="117">
        <f>SUMIFS(record[NG],record[製程料號],_018_4XX[[#This Row],[製令單號]],record[ProcessSN],L$1)</f>
        <v>13</v>
      </c>
      <c r="M18" s="117">
        <f>_018_4XX[[#This Row],['#4 OK]]-_018_4XX[[#This Row],['#5 OK]]-_018_4XX[[#This Row],['#5 NG]]</f>
        <v>16</v>
      </c>
      <c r="N18" s="117">
        <f>SUMIFS(record[OK],record[製程料號],_018_4XX[[#This Row],[製令單號]],record[ProcessSN],N$1)</f>
        <v>252</v>
      </c>
      <c r="O18" s="117">
        <f>SUMIFS(record[NG],record[製程料號],_018_4XX[[#This Row],[製令單號]],record[ProcessSN],O$1)</f>
        <v>0</v>
      </c>
      <c r="P18" s="117">
        <f>_018_4XX[[#This Row],['#5 OK]]-_018_4XX[[#This Row],['#6 OK]]-_018_4XX[[#This Row],['#6 NG]]</f>
        <v>0</v>
      </c>
      <c r="Q18" s="117">
        <f>SUMIFS(record[OK],record[製程料號],_018_4XX[[#This Row],[製令單號]],record[ProcessSN],Q$1)</f>
        <v>252</v>
      </c>
      <c r="R18" s="117">
        <f>SUMIFS(record[NG],record[製程料號],_018_4XX[[#This Row],[製令單號]],record[ProcessSN],R$1)</f>
        <v>0</v>
      </c>
      <c r="S18" s="117">
        <f>_018_4XX[[#This Row],['#6 OK]]-_018_4XX[[#This Row],['#7NG]]-_018_4XX[[#This Row],['#7OK]]</f>
        <v>0</v>
      </c>
      <c r="T18" s="117">
        <f>SUMIFS(record[OK],record[製程料號],_018_4XX[[#This Row],[製令單號]],record[ProcessSN],T$1)</f>
        <v>248</v>
      </c>
      <c r="U18" s="117">
        <f>SUMIFS(record[NG],record[製程料號],_018_4XX[[#This Row],[製令單號]],record[ProcessSN],U$1)</f>
        <v>4</v>
      </c>
      <c r="V18" s="117">
        <f>_018_4XX[[#This Row],['#7OK]]-_018_4XX[[#This Row],[OK]]-_018_4XX[[#This Row],[NG]]</f>
        <v>0</v>
      </c>
      <c r="W18" s="117">
        <f>SUMIFS(record[OK],record[製程料號],_018_4XX[[#This Row],[製令單號]],record[ProcessSN],W$1)</f>
        <v>230</v>
      </c>
      <c r="X18" s="117">
        <f>SUMIFS(record[NG],record[製程料號],_018_4XX[[#This Row],[製令單號]],record[ProcessSN],X$1)</f>
        <v>18</v>
      </c>
      <c r="Y18" s="117">
        <f>_018_4XX[[#This Row],[OK]]-_018_4XX[[#This Row],[入庫]]</f>
        <v>0</v>
      </c>
      <c r="Z18" s="117">
        <f>SUMIFS(record[OK],record[製程料號],_018_4XX[[#This Row],[製令單號]],record[ProcessSN],Z$1)</f>
        <v>230</v>
      </c>
      <c r="AA18" s="117">
        <f>_018_4XX[[#This Row],[入庫]]-IFERROR(SUMIF(分料0184XX[第一製程製令],_018_4XX[[#This Row],[製令單號]],分料0184XX[分配數量]),0)</f>
        <v>0</v>
      </c>
      <c r="AB18" s="187"/>
      <c r="AC18" s="117">
        <f>_018_4XX[[#This Row],[NG]]+_018_4XX[[#This Row],['#6 NG]]+_018_4XX[[#This Row],['#5 NG]]+_018_4XX[[#This Row],['#4 NG]]+_018_4XX[[#This Row],['#3 NG]]+_018_4XX[[#This Row],['#7NG]]</f>
        <v>35</v>
      </c>
      <c r="AD18" s="119" t="str">
        <f>IF(_018_4XX[[#This Row],[入庫]]+_018_4XX[[#This Row],[總不良數]]=_018_4XX[[#This Row],[入料數]],_018_4XX[[#This Row],[入庫]]/_018_4XX[[#This Row],[入料數]],"")</f>
        <v/>
      </c>
      <c r="AG18" s="173">
        <v>45909</v>
      </c>
      <c r="AH18" s="127" t="s">
        <v>1023</v>
      </c>
      <c r="AI18" s="128" t="s">
        <v>669</v>
      </c>
      <c r="AJ18" s="129" t="s">
        <v>1046</v>
      </c>
      <c r="AK18" s="129">
        <v>620</v>
      </c>
    </row>
    <row r="19" spans="1:37" ht="26.25" x14ac:dyDescent="0.25">
      <c r="A19" s="113">
        <v>46136</v>
      </c>
      <c r="B19" s="114" t="s">
        <v>1909</v>
      </c>
      <c r="C19" s="115" t="s">
        <v>497</v>
      </c>
      <c r="D19" s="116">
        <v>1500</v>
      </c>
      <c r="E19" s="117">
        <f>_018_4XX[[#This Row],[入料數]]-_018_4XX[[#This Row],['#03已發料數量]]</f>
        <v>0</v>
      </c>
      <c r="F19" s="117">
        <f>SUMIFS(record[OK],record[製程料號],_018_4XX[[#This Row],[製令單號]],record[ProcessSN],F$1)</f>
        <v>1500</v>
      </c>
      <c r="G19" s="117">
        <f>_018_4XX[[#This Row],['#03已發料數量]]-_018_4XX[[#This Row],['#3 OK]]-_018_4XX[[#This Row],['#3 NG]]</f>
        <v>0</v>
      </c>
      <c r="H19" s="117">
        <f>SUMIFS(record[OK],record[製程料號],_018_4XX[[#This Row],[製令單號]],record[ProcessSN],H$1)</f>
        <v>1475</v>
      </c>
      <c r="I19" s="117">
        <f>SUMIFS(record[NG],record[製程料號],_018_4XX[[#This Row],[製令單號]],record[ProcessSN],I$1)</f>
        <v>25</v>
      </c>
      <c r="J19" s="117">
        <f>_018_4XX[[#This Row],['#3 OK]]-_018_4XX[[#This Row],['#4 OK]]-_018_4XX[[#This Row],['#4 NG]]</f>
        <v>0</v>
      </c>
      <c r="K19" s="117">
        <f>SUMIFS(record[OK],record[製程料號],_018_4XX[[#This Row],[製令單號]],record[ProcessSN],K$1)</f>
        <v>1457</v>
      </c>
      <c r="L19" s="117">
        <f>SUMIFS(record[NG],record[製程料號],_018_4XX[[#This Row],[製令單號]],record[ProcessSN],L$1)</f>
        <v>18</v>
      </c>
      <c r="M19" s="117">
        <f>_018_4XX[[#This Row],['#4 OK]]-_018_4XX[[#This Row],['#5 OK]]-_018_4XX[[#This Row],['#5 NG]]</f>
        <v>0</v>
      </c>
      <c r="N19" s="117">
        <f>SUMIFS(record[OK],record[製程料號],_018_4XX[[#This Row],[製令單號]],record[ProcessSN],N$1)</f>
        <v>1457</v>
      </c>
      <c r="O19" s="117">
        <f>SUMIFS(record[NG],record[製程料號],_018_4XX[[#This Row],[製令單號]],record[ProcessSN],O$1)</f>
        <v>0</v>
      </c>
      <c r="P19" s="117">
        <f>_018_4XX[[#This Row],['#5 OK]]-_018_4XX[[#This Row],['#6 OK]]-_018_4XX[[#This Row],['#6 NG]]</f>
        <v>474</v>
      </c>
      <c r="Q19" s="117">
        <f>SUMIFS(record[OK],record[製程料號],_018_4XX[[#This Row],[製令單號]],record[ProcessSN],Q$1)</f>
        <v>982</v>
      </c>
      <c r="R19" s="117">
        <f>SUMIFS(record[NG],record[製程料號],_018_4XX[[#This Row],[製令單號]],record[ProcessSN],R$1)</f>
        <v>1</v>
      </c>
      <c r="S19" s="117">
        <f>_018_4XX[[#This Row],['#6 OK]]-_018_4XX[[#This Row],['#7NG]]-_018_4XX[[#This Row],['#7OK]]</f>
        <v>114</v>
      </c>
      <c r="T19" s="117">
        <f>SUMIFS(record[OK],record[製程料號],_018_4XX[[#This Row],[製令單號]],record[ProcessSN],T$1)</f>
        <v>864</v>
      </c>
      <c r="U19" s="117">
        <f>SUMIFS(record[NG],record[製程料號],_018_4XX[[#This Row],[製令單號]],record[ProcessSN],U$1)</f>
        <v>4</v>
      </c>
      <c r="V19" s="117">
        <f>_018_4XX[[#This Row],['#7OK]]-_018_4XX[[#This Row],[OK]]-_018_4XX[[#This Row],[NG]]</f>
        <v>0</v>
      </c>
      <c r="W19" s="117">
        <f>SUMIFS(record[OK],record[製程料號],_018_4XX[[#This Row],[製令單號]],record[ProcessSN],W$1)</f>
        <v>596</v>
      </c>
      <c r="X19" s="117">
        <f>SUMIFS(record[NG],record[製程料號],_018_4XX[[#This Row],[製令單號]],record[ProcessSN],X$1)</f>
        <v>268</v>
      </c>
      <c r="Y19" s="117">
        <f>_018_4XX[[#This Row],[OK]]-_018_4XX[[#This Row],[入庫]]</f>
        <v>0</v>
      </c>
      <c r="Z19" s="117">
        <f>SUMIFS(record[OK],record[製程料號],_018_4XX[[#This Row],[製令單號]],record[ProcessSN],Z$1)</f>
        <v>596</v>
      </c>
      <c r="AA19" s="117">
        <f>_018_4XX[[#This Row],[入庫]]-IFERROR(SUMIF(分料0184XX[第一製程製令],_018_4XX[[#This Row],[製令單號]],分料0184XX[分配數量]),0)</f>
        <v>0</v>
      </c>
      <c r="AB19" s="187"/>
      <c r="AC19" s="117">
        <f>_018_4XX[[#This Row],[NG]]+_018_4XX[[#This Row],['#6 NG]]+_018_4XX[[#This Row],['#5 NG]]+_018_4XX[[#This Row],['#4 NG]]+_018_4XX[[#This Row],['#3 NG]]+_018_4XX[[#This Row],['#7NG]]</f>
        <v>316</v>
      </c>
      <c r="AD19" s="119" t="str">
        <f>IF(_018_4XX[[#This Row],[入庫]]+_018_4XX[[#This Row],[總不良數]]=_018_4XX[[#This Row],[入料數]],_018_4XX[[#This Row],[入庫]]/_018_4XX[[#This Row],[入料數]],"")</f>
        <v/>
      </c>
      <c r="AG19" s="173">
        <v>45946</v>
      </c>
      <c r="AH19" s="127" t="s">
        <v>1125</v>
      </c>
      <c r="AI19" s="128" t="s">
        <v>669</v>
      </c>
      <c r="AJ19" s="129" t="s">
        <v>1124</v>
      </c>
      <c r="AK19" s="129">
        <v>6</v>
      </c>
    </row>
    <row r="20" spans="1:37" ht="26.25" x14ac:dyDescent="0.25">
      <c r="A20" s="167">
        <v>2958465</v>
      </c>
      <c r="B20" s="169" t="s">
        <v>759</v>
      </c>
      <c r="C20" s="127" t="s">
        <v>759</v>
      </c>
      <c r="D20" s="171">
        <v>0</v>
      </c>
      <c r="E20" s="149">
        <f>_018_4XX[[#This Row],[入料數]]-_018_4XX[[#This Row],['#03已發料數量]]</f>
        <v>0</v>
      </c>
      <c r="F20" s="149">
        <f>SUMIFS(record[OK],record[製程料號],_018_4XX[[#This Row],[製令單號]],record[ProcessSN],F$1)</f>
        <v>0</v>
      </c>
      <c r="G20" s="149">
        <f>_018_4XX[[#This Row],['#03已發料數量]]-_018_4XX[[#This Row],['#3 OK]]-_018_4XX[[#This Row],['#3 NG]]</f>
        <v>0</v>
      </c>
      <c r="H20" s="149">
        <f>SUMIFS(record[OK],record[製程料號],_018_4XX[[#This Row],[製令單號]],record[ProcessSN],H$1)</f>
        <v>0</v>
      </c>
      <c r="I20" s="149">
        <f>SUMIFS(record[NG],record[製程料號],_018_4XX[[#This Row],[製令單號]],record[ProcessSN],I$1)</f>
        <v>0</v>
      </c>
      <c r="J20" s="149">
        <f>_018_4XX[[#This Row],['#3 OK]]-_018_4XX[[#This Row],['#4 OK]]-_018_4XX[[#This Row],['#4 NG]]</f>
        <v>0</v>
      </c>
      <c r="K20" s="149">
        <f>SUMIFS(record[OK],record[製程料號],_018_4XX[[#This Row],[製令單號]],record[ProcessSN],K$1)</f>
        <v>0</v>
      </c>
      <c r="L20" s="149">
        <f>SUMIFS(record[NG],record[製程料號],_018_4XX[[#This Row],[製令單號]],record[ProcessSN],L$1)</f>
        <v>0</v>
      </c>
      <c r="M20" s="149">
        <f>_018_4XX[[#This Row],['#4 OK]]-_018_4XX[[#This Row],['#5 OK]]-_018_4XX[[#This Row],['#5 NG]]</f>
        <v>0</v>
      </c>
      <c r="N20" s="149">
        <f>SUMIFS(record[OK],record[製程料號],_018_4XX[[#This Row],[製令單號]],record[ProcessSN],N$1)</f>
        <v>0</v>
      </c>
      <c r="O20" s="149">
        <f>SUMIFS(record[NG],record[製程料號],_018_4XX[[#This Row],[製令單號]],record[ProcessSN],O$1)</f>
        <v>0</v>
      </c>
      <c r="P20" s="149">
        <f>_018_4XX[[#This Row],['#5 OK]]-_018_4XX[[#This Row],['#6 OK]]-_018_4XX[[#This Row],['#6 NG]]</f>
        <v>0</v>
      </c>
      <c r="Q20" s="149">
        <f>SUMIFS(record[OK],record[製程料號],_018_4XX[[#This Row],[製令單號]],record[ProcessSN],Q$1)</f>
        <v>0</v>
      </c>
      <c r="R20" s="149">
        <f>SUMIFS(record[NG],record[製程料號],_018_4XX[[#This Row],[製令單號]],record[ProcessSN],R$1)</f>
        <v>0</v>
      </c>
      <c r="S20" s="149">
        <f>_018_4XX[[#This Row],['#6 OK]]-_018_4XX[[#This Row],['#7NG]]-_018_4XX[[#This Row],['#7OK]]</f>
        <v>0</v>
      </c>
      <c r="T20" s="149">
        <f>SUMIFS(record[OK],record[製程料號],_018_4XX[[#This Row],[製令單號]],record[ProcessSN],T$1)</f>
        <v>0</v>
      </c>
      <c r="U20" s="149">
        <f>SUMIFS(record[NG],record[製程料號],_018_4XX[[#This Row],[製令單號]],record[ProcessSN],U$1)</f>
        <v>0</v>
      </c>
      <c r="V20" s="149">
        <f>_018_4XX[[#This Row],['#7OK]]-_018_4XX[[#This Row],[OK]]-_018_4XX[[#This Row],[NG]]</f>
        <v>0</v>
      </c>
      <c r="W20" s="149">
        <f>SUMIFS(record[OK],record[製程料號],_018_4XX[[#This Row],[製令單號]],record[ProcessSN],W$1)</f>
        <v>0</v>
      </c>
      <c r="X20" s="149">
        <f>SUMIFS(record[NG],record[製程料號],_018_4XX[[#This Row],[製令單號]],record[ProcessSN],X$1)</f>
        <v>0</v>
      </c>
      <c r="Y20" s="149">
        <f>_018_4XX[[#This Row],[OK]]-_018_4XX[[#This Row],[入庫]]</f>
        <v>0</v>
      </c>
      <c r="Z20" s="149">
        <f>SUMIFS(record[OK],record[製程料號],_018_4XX[[#This Row],[製令單號]],record[ProcessSN],Z$1)</f>
        <v>0</v>
      </c>
      <c r="AA20" s="149">
        <f>_018_4XX[[#This Row],[入庫]]-IFERROR(SUMIF(分料0184XX[第一製程製令],_018_4XX[[#This Row],[製令單號]],分料0184XX[分配數量]),0)</f>
        <v>0</v>
      </c>
      <c r="AB20" s="198"/>
      <c r="AC20" s="149">
        <f>_018_4XX[[#This Row],[NG]]+_018_4XX[[#This Row],['#6 NG]]+_018_4XX[[#This Row],['#5 NG]]+_018_4XX[[#This Row],['#4 NG]]+_018_4XX[[#This Row],['#3 NG]]+_018_4XX[[#This Row],['#7NG]]</f>
        <v>0</v>
      </c>
      <c r="AD20" s="165" t="e">
        <f>IF(_018_4XX[[#This Row],[入庫]]+_018_4XX[[#This Row],[總不良數]]=_018_4XX[[#This Row],[入料數]],_018_4XX[[#This Row],[入庫]]/_018_4XX[[#This Row],[入料數]],"")</f>
        <v>#DIV/0!</v>
      </c>
      <c r="AG20" s="173">
        <v>45946</v>
      </c>
      <c r="AH20" s="127" t="s">
        <v>1126</v>
      </c>
      <c r="AI20" s="128" t="s">
        <v>669</v>
      </c>
      <c r="AJ20" s="129" t="s">
        <v>1124</v>
      </c>
      <c r="AK20" s="129">
        <v>180</v>
      </c>
    </row>
    <row r="21" spans="1:37" ht="23.25" customHeight="1" x14ac:dyDescent="0.25"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AG21" s="173">
        <v>45950</v>
      </c>
      <c r="AH21" s="127" t="s">
        <v>1135</v>
      </c>
      <c r="AI21" s="128" t="s">
        <v>669</v>
      </c>
      <c r="AJ21" s="129" t="s">
        <v>1134</v>
      </c>
      <c r="AK21" s="129">
        <v>316</v>
      </c>
    </row>
    <row r="22" spans="1:37" ht="23.25" customHeight="1" x14ac:dyDescent="0.25"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AG22" s="173">
        <v>45951</v>
      </c>
      <c r="AH22" s="127" t="s">
        <v>1135</v>
      </c>
      <c r="AI22" s="128" t="s">
        <v>669</v>
      </c>
      <c r="AJ22" s="129" t="s">
        <v>1137</v>
      </c>
      <c r="AK22" s="129">
        <v>495</v>
      </c>
    </row>
    <row r="23" spans="1:37" ht="23.25" customHeight="1" x14ac:dyDescent="0.25"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AG23" s="173">
        <v>45964</v>
      </c>
      <c r="AH23" s="127" t="s">
        <v>1101</v>
      </c>
      <c r="AI23" s="128" t="s">
        <v>669</v>
      </c>
      <c r="AJ23" s="129" t="s">
        <v>1185</v>
      </c>
      <c r="AK23" s="129">
        <v>429</v>
      </c>
    </row>
    <row r="24" spans="1:37" ht="23.25" customHeight="1" x14ac:dyDescent="0.25">
      <c r="AG24" s="173">
        <v>45992</v>
      </c>
      <c r="AH24" s="127" t="s">
        <v>1101</v>
      </c>
      <c r="AI24" s="128" t="s">
        <v>1263</v>
      </c>
      <c r="AJ24" s="129" t="s">
        <v>1264</v>
      </c>
      <c r="AK24" s="129">
        <v>1</v>
      </c>
    </row>
    <row r="25" spans="1:37" ht="23.25" customHeight="1" x14ac:dyDescent="0.25">
      <c r="AG25" s="173">
        <v>45992</v>
      </c>
      <c r="AH25" s="127" t="s">
        <v>1265</v>
      </c>
      <c r="AI25" s="128" t="s">
        <v>1263</v>
      </c>
      <c r="AJ25" s="129" t="s">
        <v>1264</v>
      </c>
      <c r="AK25" s="129">
        <v>98</v>
      </c>
    </row>
    <row r="26" spans="1:37" ht="23.25" customHeight="1" x14ac:dyDescent="0.25">
      <c r="AG26" s="173">
        <v>45994</v>
      </c>
      <c r="AH26" s="127" t="s">
        <v>1270</v>
      </c>
      <c r="AI26" s="128" t="s">
        <v>669</v>
      </c>
      <c r="AJ26" s="129" t="s">
        <v>1279</v>
      </c>
      <c r="AK26" s="129">
        <v>238</v>
      </c>
    </row>
    <row r="27" spans="1:37" ht="23.25" customHeight="1" x14ac:dyDescent="0.25">
      <c r="AG27" s="173">
        <v>45995</v>
      </c>
      <c r="AH27" s="127" t="s">
        <v>1270</v>
      </c>
      <c r="AI27" s="128" t="s">
        <v>669</v>
      </c>
      <c r="AJ27" s="129" t="s">
        <v>1287</v>
      </c>
      <c r="AK27" s="129">
        <v>248</v>
      </c>
    </row>
    <row r="28" spans="1:37" ht="23.25" customHeight="1" x14ac:dyDescent="0.25">
      <c r="AG28" s="173">
        <v>46001</v>
      </c>
      <c r="AH28" s="127" t="s">
        <v>1314</v>
      </c>
      <c r="AI28" s="128" t="s">
        <v>669</v>
      </c>
      <c r="AJ28" s="129" t="s">
        <v>1316</v>
      </c>
      <c r="AK28" s="129">
        <v>16</v>
      </c>
    </row>
    <row r="29" spans="1:37" ht="23.25" customHeight="1" x14ac:dyDescent="0.25">
      <c r="AG29" s="173">
        <v>46001</v>
      </c>
      <c r="AH29" s="127" t="s">
        <v>1319</v>
      </c>
      <c r="AI29" s="128" t="s">
        <v>669</v>
      </c>
      <c r="AJ29" s="129" t="s">
        <v>1316</v>
      </c>
      <c r="AK29" s="129">
        <v>325</v>
      </c>
    </row>
    <row r="30" spans="1:37" ht="23.25" customHeight="1" x14ac:dyDescent="0.25">
      <c r="AG30" s="173">
        <v>46021</v>
      </c>
      <c r="AH30" s="127" t="s">
        <v>1399</v>
      </c>
      <c r="AI30" s="128" t="s">
        <v>669</v>
      </c>
      <c r="AJ30" s="129" t="s">
        <v>1401</v>
      </c>
      <c r="AK30" s="129">
        <v>77</v>
      </c>
    </row>
    <row r="31" spans="1:37" ht="23.25" customHeight="1" x14ac:dyDescent="0.25">
      <c r="AG31" s="173">
        <v>46021</v>
      </c>
      <c r="AH31" s="127" t="s">
        <v>1403</v>
      </c>
      <c r="AI31" s="128" t="s">
        <v>669</v>
      </c>
      <c r="AJ31" s="129" t="s">
        <v>1401</v>
      </c>
      <c r="AK31" s="129">
        <v>164</v>
      </c>
    </row>
    <row r="32" spans="1:37" ht="23.25" customHeight="1" x14ac:dyDescent="0.25">
      <c r="AG32" s="173">
        <v>46022</v>
      </c>
      <c r="AH32" s="127" t="s">
        <v>1408</v>
      </c>
      <c r="AI32" s="128" t="s">
        <v>669</v>
      </c>
      <c r="AJ32" s="129" t="s">
        <v>1409</v>
      </c>
      <c r="AK32" s="129">
        <v>952</v>
      </c>
    </row>
    <row r="33" spans="33:37" ht="23.25" customHeight="1" x14ac:dyDescent="0.25">
      <c r="AG33" s="173">
        <v>46022</v>
      </c>
      <c r="AH33" s="127" t="s">
        <v>1410</v>
      </c>
      <c r="AI33" s="128" t="s">
        <v>669</v>
      </c>
      <c r="AJ33" s="129" t="s">
        <v>1409</v>
      </c>
      <c r="AK33" s="129">
        <v>168</v>
      </c>
    </row>
    <row r="34" spans="33:37" ht="23.25" customHeight="1" x14ac:dyDescent="0.25">
      <c r="AG34" s="173">
        <v>46028</v>
      </c>
      <c r="AH34" s="127" t="s">
        <v>1433</v>
      </c>
      <c r="AI34" s="128" t="s">
        <v>669</v>
      </c>
      <c r="AJ34" s="129" t="s">
        <v>1434</v>
      </c>
      <c r="AK34" s="129">
        <v>154</v>
      </c>
    </row>
    <row r="35" spans="33:37" ht="23.25" customHeight="1" x14ac:dyDescent="0.25">
      <c r="AG35" s="172">
        <v>46028</v>
      </c>
      <c r="AH35" s="115" t="s">
        <v>1435</v>
      </c>
      <c r="AI35" s="128" t="s">
        <v>669</v>
      </c>
      <c r="AJ35" s="129" t="s">
        <v>1434</v>
      </c>
      <c r="AK35" s="122">
        <v>9</v>
      </c>
    </row>
    <row r="36" spans="33:37" ht="23.25" customHeight="1" x14ac:dyDescent="0.25">
      <c r="AG36" s="172">
        <v>46028</v>
      </c>
      <c r="AH36" s="115" t="s">
        <v>1436</v>
      </c>
      <c r="AI36" s="159" t="s">
        <v>669</v>
      </c>
      <c r="AJ36" s="129" t="s">
        <v>1434</v>
      </c>
      <c r="AK36" s="122">
        <v>163</v>
      </c>
    </row>
    <row r="37" spans="33:37" ht="23.25" customHeight="1" x14ac:dyDescent="0.25">
      <c r="AG37" s="173">
        <v>46064</v>
      </c>
      <c r="AH37" s="117" t="s">
        <v>1339</v>
      </c>
      <c r="AI37" s="128" t="s">
        <v>669</v>
      </c>
      <c r="AJ37" s="129" t="s">
        <v>1583</v>
      </c>
      <c r="AK37" s="129">
        <v>31</v>
      </c>
    </row>
    <row r="38" spans="33:37" ht="23.25" customHeight="1" x14ac:dyDescent="0.25">
      <c r="AG38" s="173">
        <v>46090</v>
      </c>
      <c r="AH38" s="117" t="s">
        <v>1570</v>
      </c>
      <c r="AI38" s="128" t="s">
        <v>669</v>
      </c>
      <c r="AJ38" s="129" t="s">
        <v>1614</v>
      </c>
      <c r="AK38" s="129">
        <v>240</v>
      </c>
    </row>
    <row r="39" spans="33:37" ht="23.25" customHeight="1" x14ac:dyDescent="0.25">
      <c r="AG39" s="173">
        <v>46091</v>
      </c>
      <c r="AH39" s="127" t="s">
        <v>1380</v>
      </c>
      <c r="AI39" s="128" t="s">
        <v>669</v>
      </c>
      <c r="AJ39" s="129" t="s">
        <v>1619</v>
      </c>
      <c r="AK39" s="129">
        <v>58</v>
      </c>
    </row>
    <row r="40" spans="33:37" ht="23.25" customHeight="1" x14ac:dyDescent="0.25">
      <c r="AG40" s="173">
        <v>46091</v>
      </c>
      <c r="AH40" s="127" t="s">
        <v>1570</v>
      </c>
      <c r="AI40" s="128" t="s">
        <v>669</v>
      </c>
      <c r="AJ40" s="129" t="s">
        <v>1619</v>
      </c>
      <c r="AK40" s="129">
        <v>181</v>
      </c>
    </row>
    <row r="41" spans="33:37" ht="23.25" customHeight="1" x14ac:dyDescent="0.25">
      <c r="AG41" s="173">
        <v>46092</v>
      </c>
      <c r="AH41" s="127" t="s">
        <v>1570</v>
      </c>
      <c r="AI41" s="128" t="s">
        <v>669</v>
      </c>
      <c r="AJ41" s="129" t="s">
        <v>1625</v>
      </c>
      <c r="AK41" s="129">
        <v>288</v>
      </c>
    </row>
    <row r="42" spans="33:37" ht="23.25" customHeight="1" x14ac:dyDescent="0.25">
      <c r="AG42" s="173">
        <v>46093</v>
      </c>
      <c r="AH42" s="127" t="s">
        <v>1570</v>
      </c>
      <c r="AI42" s="128" t="s">
        <v>669</v>
      </c>
      <c r="AJ42" s="129" t="s">
        <v>1634</v>
      </c>
      <c r="AK42" s="129">
        <v>190</v>
      </c>
    </row>
    <row r="43" spans="33:37" ht="23.25" customHeight="1" x14ac:dyDescent="0.25">
      <c r="AG43" s="173">
        <v>46098</v>
      </c>
      <c r="AH43" s="127" t="s">
        <v>1570</v>
      </c>
      <c r="AI43" s="128" t="s">
        <v>669</v>
      </c>
      <c r="AJ43" s="129" t="s">
        <v>1644</v>
      </c>
      <c r="AK43" s="129">
        <v>6</v>
      </c>
    </row>
    <row r="44" spans="33:37" ht="23.25" customHeight="1" x14ac:dyDescent="0.25">
      <c r="AG44" s="173">
        <v>46098</v>
      </c>
      <c r="AH44" s="127" t="s">
        <v>1587</v>
      </c>
      <c r="AI44" s="128" t="s">
        <v>669</v>
      </c>
      <c r="AJ44" s="129" t="s">
        <v>1644</v>
      </c>
      <c r="AK44" s="129">
        <v>468</v>
      </c>
    </row>
    <row r="45" spans="33:37" ht="23.25" customHeight="1" x14ac:dyDescent="0.25">
      <c r="AG45" s="173">
        <v>46099</v>
      </c>
      <c r="AH45" s="127" t="s">
        <v>1587</v>
      </c>
      <c r="AI45" s="128" t="s">
        <v>669</v>
      </c>
      <c r="AJ45" s="129" t="s">
        <v>1649</v>
      </c>
      <c r="AK45" s="129">
        <v>285</v>
      </c>
    </row>
    <row r="46" spans="33:37" ht="23.25" customHeight="1" x14ac:dyDescent="0.25">
      <c r="AG46" s="173">
        <v>46114</v>
      </c>
      <c r="AH46" s="127" t="s">
        <v>1587</v>
      </c>
      <c r="AI46" s="128" t="s">
        <v>669</v>
      </c>
      <c r="AJ46" s="129" t="s">
        <v>1720</v>
      </c>
      <c r="AK46" s="129">
        <v>205</v>
      </c>
    </row>
    <row r="47" spans="33:37" ht="23.25" customHeight="1" x14ac:dyDescent="0.25">
      <c r="AG47" s="173">
        <v>46114</v>
      </c>
      <c r="AH47" s="127" t="s">
        <v>1587</v>
      </c>
      <c r="AI47" s="128" t="s">
        <v>669</v>
      </c>
      <c r="AJ47" s="129" t="s">
        <v>1724</v>
      </c>
      <c r="AK47" s="129">
        <v>487</v>
      </c>
    </row>
    <row r="48" spans="33:37" ht="23.25" customHeight="1" x14ac:dyDescent="0.25">
      <c r="AG48" s="173">
        <v>46119</v>
      </c>
      <c r="AH48" s="127" t="s">
        <v>1587</v>
      </c>
      <c r="AI48" s="128" t="s">
        <v>669</v>
      </c>
      <c r="AJ48" s="129" t="s">
        <v>1737</v>
      </c>
      <c r="AK48" s="129">
        <v>853</v>
      </c>
    </row>
    <row r="49" spans="33:37" ht="23.25" customHeight="1" x14ac:dyDescent="0.25">
      <c r="AG49" s="173">
        <v>46119</v>
      </c>
      <c r="AH49" s="115" t="s">
        <v>1702</v>
      </c>
      <c r="AI49" s="128" t="s">
        <v>669</v>
      </c>
      <c r="AJ49" s="129" t="s">
        <v>1737</v>
      </c>
      <c r="AK49" s="122">
        <v>472</v>
      </c>
    </row>
    <row r="50" spans="33:37" ht="23.25" customHeight="1" x14ac:dyDescent="0.25">
      <c r="AG50" s="173">
        <v>46119</v>
      </c>
      <c r="AH50" s="127" t="s">
        <v>1702</v>
      </c>
      <c r="AI50" s="128" t="s">
        <v>669</v>
      </c>
      <c r="AJ50" s="129" t="s">
        <v>1764</v>
      </c>
      <c r="AK50" s="129">
        <v>122</v>
      </c>
    </row>
    <row r="51" spans="33:37" ht="23.25" customHeight="1" x14ac:dyDescent="0.25">
      <c r="AG51" s="173">
        <v>46120</v>
      </c>
      <c r="AH51" s="127" t="s">
        <v>1702</v>
      </c>
      <c r="AI51" s="128" t="s">
        <v>1770</v>
      </c>
      <c r="AJ51" s="129" t="s">
        <v>1771</v>
      </c>
      <c r="AK51" s="129">
        <v>614</v>
      </c>
    </row>
    <row r="52" spans="33:37" ht="23.25" customHeight="1" x14ac:dyDescent="0.25">
      <c r="AG52" s="173">
        <v>46132</v>
      </c>
      <c r="AH52" s="127" t="s">
        <v>1702</v>
      </c>
      <c r="AI52" s="128" t="s">
        <v>669</v>
      </c>
      <c r="AJ52" s="129" t="s">
        <v>1842</v>
      </c>
      <c r="AK52" s="129">
        <v>146</v>
      </c>
    </row>
    <row r="53" spans="33:37" ht="23.25" customHeight="1" x14ac:dyDescent="0.25">
      <c r="AG53" s="173">
        <v>46132</v>
      </c>
      <c r="AH53" s="117" t="s">
        <v>1790</v>
      </c>
      <c r="AI53" s="128" t="s">
        <v>669</v>
      </c>
      <c r="AJ53" s="129" t="s">
        <v>1842</v>
      </c>
      <c r="AK53" s="129">
        <v>121</v>
      </c>
    </row>
    <row r="54" spans="33:37" ht="23.25" customHeight="1" x14ac:dyDescent="0.25">
      <c r="AG54" s="173">
        <v>46135</v>
      </c>
      <c r="AH54" s="117" t="s">
        <v>1587</v>
      </c>
      <c r="AI54" s="128" t="s">
        <v>669</v>
      </c>
      <c r="AJ54" s="129" t="s">
        <v>1895</v>
      </c>
      <c r="AK54" s="129">
        <v>2</v>
      </c>
    </row>
    <row r="55" spans="33:37" ht="23.25" customHeight="1" x14ac:dyDescent="0.25">
      <c r="AG55" s="173">
        <v>46135</v>
      </c>
      <c r="AH55" s="117" t="s">
        <v>1702</v>
      </c>
      <c r="AI55" s="128" t="s">
        <v>669</v>
      </c>
      <c r="AJ55" s="129" t="s">
        <v>1895</v>
      </c>
      <c r="AK55" s="129">
        <v>4</v>
      </c>
    </row>
    <row r="56" spans="33:37" ht="23.25" customHeight="1" x14ac:dyDescent="0.25">
      <c r="AG56" s="172">
        <v>46135</v>
      </c>
      <c r="AH56" s="117" t="s">
        <v>1790</v>
      </c>
      <c r="AI56" s="159" t="s">
        <v>669</v>
      </c>
      <c r="AJ56" s="129" t="s">
        <v>1895</v>
      </c>
      <c r="AK56" s="122">
        <v>79</v>
      </c>
    </row>
    <row r="57" spans="33:37" ht="23.25" customHeight="1" x14ac:dyDescent="0.25">
      <c r="AG57" s="173">
        <v>46135</v>
      </c>
      <c r="AH57" s="117" t="s">
        <v>1790</v>
      </c>
      <c r="AI57" s="128" t="s">
        <v>1897</v>
      </c>
      <c r="AJ57" s="129" t="s">
        <v>1896</v>
      </c>
      <c r="AK57" s="129">
        <v>30</v>
      </c>
    </row>
    <row r="58" spans="33:37" ht="23.25" customHeight="1" x14ac:dyDescent="0.25">
      <c r="AG58" s="173">
        <v>46146</v>
      </c>
      <c r="AH58" s="117" t="s">
        <v>1909</v>
      </c>
      <c r="AI58" s="128" t="s">
        <v>1753</v>
      </c>
      <c r="AJ58" s="129" t="s">
        <v>1962</v>
      </c>
      <c r="AK58" s="129">
        <v>273</v>
      </c>
    </row>
    <row r="59" spans="33:37" ht="23.25" customHeight="1" x14ac:dyDescent="0.25">
      <c r="AG59" s="173">
        <v>46146</v>
      </c>
      <c r="AH59" s="117" t="s">
        <v>1909</v>
      </c>
      <c r="AI59" s="128" t="s">
        <v>1901</v>
      </c>
      <c r="AJ59" s="129" t="s">
        <v>1961</v>
      </c>
      <c r="AK59" s="129">
        <v>100</v>
      </c>
    </row>
    <row r="60" spans="33:37" ht="23.25" customHeight="1" x14ac:dyDescent="0.25">
      <c r="AG60" s="173">
        <v>46147</v>
      </c>
      <c r="AH60" s="127" t="s">
        <v>1909</v>
      </c>
      <c r="AI60" s="128" t="s">
        <v>1753</v>
      </c>
      <c r="AJ60" s="129" t="s">
        <v>1969</v>
      </c>
      <c r="AK60" s="129">
        <v>145</v>
      </c>
    </row>
    <row r="61" spans="33:37" ht="23.25" customHeight="1" x14ac:dyDescent="0.25">
      <c r="AG61" s="173">
        <v>46148</v>
      </c>
      <c r="AH61" s="117" t="s">
        <v>1909</v>
      </c>
      <c r="AI61" s="128" t="s">
        <v>669</v>
      </c>
      <c r="AJ61" s="129" t="s">
        <v>1975</v>
      </c>
      <c r="AK61" s="129">
        <v>78</v>
      </c>
    </row>
  </sheetData>
  <protectedRanges>
    <protectedRange sqref="AG1:AK5 AG6:AG7 AI6:AK7 AG8:AK36 AG37:AG48 AI37:AK48 AG49:AK49 AG51:AK51 AG50 AI50:AK50 AG62:AK1048576 AG52:AG61 AI52:AK61" name="範圍1"/>
    <protectedRange sqref="AH6:AH7" name="範圍1_1"/>
  </protectedRanges>
  <mergeCells count="24">
    <mergeCell ref="AC2:AC3"/>
    <mergeCell ref="AD2:AD4"/>
    <mergeCell ref="AG2:AK2"/>
    <mergeCell ref="A2:A4"/>
    <mergeCell ref="B2:B4"/>
    <mergeCell ref="D2:D3"/>
    <mergeCell ref="E2:F3"/>
    <mergeCell ref="G2:I2"/>
    <mergeCell ref="AL2:AL4"/>
    <mergeCell ref="G3:I3"/>
    <mergeCell ref="J3:L3"/>
    <mergeCell ref="M3:O3"/>
    <mergeCell ref="P3:R3"/>
    <mergeCell ref="S3:U3"/>
    <mergeCell ref="M2:O2"/>
    <mergeCell ref="P2:R2"/>
    <mergeCell ref="S2:U2"/>
    <mergeCell ref="V2:X2"/>
    <mergeCell ref="Y2:Y3"/>
    <mergeCell ref="Z2:Z3"/>
    <mergeCell ref="V3:X3"/>
    <mergeCell ref="J2:L2"/>
    <mergeCell ref="AG3:AK4"/>
    <mergeCell ref="AA2:AA3"/>
  </mergeCells>
  <phoneticPr fontId="3" type="noConversion"/>
  <conditionalFormatting sqref="F6:H10 E10 Y6:AB20 J6:K20 P6:Q20 M6:N20 V6:W20 S6:T20 E11:H20">
    <cfRule type="cellIs" dxfId="606" priority="28" operator="lessThan">
      <formula>0</formula>
    </cfRule>
    <cfRule type="cellIs" dxfId="605" priority="29" operator="greaterThan">
      <formula>0</formula>
    </cfRule>
  </conditionalFormatting>
  <conditionalFormatting sqref="E6:E9 R6:R20 I6:I20 AC6:AC20 L6:L20 O6:O20 X6:X20 U6:U20">
    <cfRule type="cellIs" dxfId="604" priority="27" operator="greaterThan">
      <formula>0</formula>
    </cfRule>
  </conditionalFormatting>
  <conditionalFormatting sqref="AL5">
    <cfRule type="cellIs" dxfId="603" priority="26" operator="greaterThan">
      <formula>0</formula>
    </cfRule>
  </conditionalFormatting>
  <conditionalFormatting sqref="AD6:AD20">
    <cfRule type="containsBlanks" dxfId="602" priority="23">
      <formula>LEN(TRIM(AD6))=0</formula>
    </cfRule>
    <cfRule type="cellIs" dxfId="601" priority="24" operator="greaterThanOrEqual">
      <formula>0.97</formula>
    </cfRule>
    <cfRule type="notContainsBlanks" dxfId="600" priority="25">
      <formula>LEN(TRIM(AD6))&gt;0</formula>
    </cfRule>
  </conditionalFormatting>
  <conditionalFormatting sqref="AD6:AD20">
    <cfRule type="cellIs" dxfId="599" priority="22" operator="lessThan">
      <formula>0.97</formula>
    </cfRule>
  </conditionalFormatting>
  <dataValidations count="2">
    <dataValidation type="list" allowBlank="1" showInputMessage="1" showErrorMessage="1" sqref="AH6:AH36" xr:uid="{C2C6AAA4-993A-4A7E-98BA-1FEECDF12D77}">
      <formula1>_4XX可分料</formula1>
    </dataValidation>
    <dataValidation type="list" allowBlank="1" showInputMessage="1" showErrorMessage="1" sqref="AI6:AI61" xr:uid="{70755A8D-4C18-4E0E-A105-BF4ADA9B5C79}">
      <formula1>$AM$3:$AP$3</formula1>
    </dataValidation>
  </dataValidation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0BCF2-A03E-4BD8-BCAB-5C7B1C6AC483}">
  <sheetPr codeName="工作表22">
    <tabColor theme="4"/>
  </sheetPr>
  <dimension ref="A1:AQ250"/>
  <sheetViews>
    <sheetView tabSelected="1" zoomScale="58" zoomScaleNormal="58" workbookViewId="0">
      <pane xSplit="4" ySplit="5" topLeftCell="M235" activePane="bottomRight" state="frozen"/>
      <selection activeCell="X31" sqref="X31"/>
      <selection pane="topRight" activeCell="X31" sqref="X31"/>
      <selection pane="bottomLeft" activeCell="X31" sqref="X31"/>
      <selection pane="bottomRight" activeCell="AK251" sqref="AK251"/>
    </sheetView>
  </sheetViews>
  <sheetFormatPr defaultColWidth="10.28515625" defaultRowHeight="23.25" customHeight="1" x14ac:dyDescent="0.25"/>
  <cols>
    <col min="1" max="1" width="22" style="3" bestFit="1" customWidth="1"/>
    <col min="2" max="2" width="28" style="2" bestFit="1" customWidth="1"/>
    <col min="3" max="3" width="17.28515625" style="2" hidden="1" customWidth="1"/>
    <col min="4" max="4" width="18.85546875" style="2" bestFit="1" customWidth="1"/>
    <col min="5" max="5" width="23.85546875" style="2" bestFit="1" customWidth="1"/>
    <col min="6" max="6" width="23.5703125" style="2" hidden="1" customWidth="1"/>
    <col min="7" max="7" width="22.5703125" style="2" bestFit="1" customWidth="1"/>
    <col min="8" max="8" width="17.28515625" style="4" hidden="1" customWidth="1"/>
    <col min="9" max="9" width="19.140625" style="2" bestFit="1" customWidth="1"/>
    <col min="10" max="10" width="22.5703125" style="2" bestFit="1" customWidth="1"/>
    <col min="11" max="11" width="18.28515625" style="2" hidden="1" customWidth="1"/>
    <col min="12" max="12" width="19.140625" style="2" bestFit="1" customWidth="1"/>
    <col min="13" max="13" width="22.5703125" style="2" bestFit="1" customWidth="1"/>
    <col min="14" max="14" width="18.28515625" style="2" hidden="1" customWidth="1"/>
    <col min="15" max="15" width="19.140625" style="2" bestFit="1" customWidth="1"/>
    <col min="16" max="16" width="22.5703125" style="2" bestFit="1" customWidth="1"/>
    <col min="17" max="17" width="17.28515625" style="2" hidden="1" customWidth="1"/>
    <col min="18" max="18" width="19.140625" style="2" bestFit="1" customWidth="1"/>
    <col min="19" max="19" width="22.5703125" style="2" bestFit="1" customWidth="1"/>
    <col min="20" max="20" width="17.28515625" style="2" hidden="1" customWidth="1"/>
    <col min="21" max="21" width="18.42578125" style="2" bestFit="1" customWidth="1"/>
    <col min="22" max="22" width="22.5703125" style="2" bestFit="1" customWidth="1"/>
    <col min="23" max="23" width="14.140625" style="2" hidden="1" customWidth="1"/>
    <col min="24" max="24" width="14.85546875" style="2" bestFit="1" customWidth="1"/>
    <col min="25" max="25" width="21.5703125" style="2" bestFit="1" customWidth="1"/>
    <col min="26" max="26" width="15.5703125" style="2" hidden="1" customWidth="1"/>
    <col min="27" max="27" width="22.5703125" style="2" bestFit="1" customWidth="1"/>
    <col min="28" max="28" width="11.28515625" style="2" bestFit="1" customWidth="1"/>
    <col min="29" max="29" width="22" style="2" bestFit="1" customWidth="1"/>
    <col min="30" max="30" width="18.85546875" style="2" bestFit="1" customWidth="1"/>
    <col min="31" max="31" width="23" style="2" hidden="1" customWidth="1"/>
    <col min="32" max="32" width="2.28515625" style="2" customWidth="1"/>
    <col min="33" max="33" width="12" style="3" bestFit="1" customWidth="1"/>
    <col min="34" max="34" width="23.5703125" style="3" bestFit="1" customWidth="1"/>
    <col min="35" max="35" width="17.85546875" style="5" bestFit="1" customWidth="1"/>
    <col min="36" max="36" width="21.5703125" style="5" bestFit="1" customWidth="1"/>
    <col min="37" max="37" width="15.42578125" style="2" bestFit="1" customWidth="1"/>
    <col min="38" max="38" width="13.140625" style="2" bestFit="1" customWidth="1"/>
    <col min="39" max="42" width="14.5703125" style="2" customWidth="1"/>
    <col min="43" max="43" width="29" style="2" bestFit="1" customWidth="1"/>
    <col min="44" max="16384" width="10.28515625" style="2"/>
  </cols>
  <sheetData>
    <row r="1" spans="1:43" ht="60" hidden="1" customHeight="1" thickBot="1" x14ac:dyDescent="0.3">
      <c r="F1" s="2" t="s">
        <v>413</v>
      </c>
      <c r="H1" s="2" t="s">
        <v>414</v>
      </c>
      <c r="I1" s="2" t="s">
        <v>414</v>
      </c>
      <c r="K1" s="2" t="s">
        <v>415</v>
      </c>
      <c r="L1" s="2" t="s">
        <v>415</v>
      </c>
      <c r="N1" s="2" t="s">
        <v>416</v>
      </c>
      <c r="O1" s="2" t="s">
        <v>416</v>
      </c>
      <c r="Q1" s="2" t="s">
        <v>417</v>
      </c>
      <c r="R1" s="2" t="s">
        <v>417</v>
      </c>
      <c r="T1" s="2" t="s">
        <v>418</v>
      </c>
      <c r="U1" s="2" t="s">
        <v>418</v>
      </c>
      <c r="W1" s="2" t="s">
        <v>419</v>
      </c>
      <c r="X1" s="2" t="s">
        <v>419</v>
      </c>
      <c r="Z1" s="2" t="s">
        <v>420</v>
      </c>
    </row>
    <row r="2" spans="1:43" s="18" customFormat="1" ht="23.25" customHeight="1" thickBot="1" x14ac:dyDescent="0.3">
      <c r="A2" s="280" t="str">
        <f ca="1">YEAR(TODAY())-1911&amp;"年度"</f>
        <v>115年度</v>
      </c>
      <c r="B2" s="283" t="s">
        <v>1514</v>
      </c>
      <c r="C2" s="15"/>
      <c r="D2" s="286" t="s">
        <v>9</v>
      </c>
      <c r="E2" s="288" t="s">
        <v>519</v>
      </c>
      <c r="F2" s="289"/>
      <c r="G2" s="257" t="s">
        <v>295</v>
      </c>
      <c r="H2" s="258"/>
      <c r="I2" s="259"/>
      <c r="J2" s="254" t="s">
        <v>295</v>
      </c>
      <c r="K2" s="255"/>
      <c r="L2" s="256"/>
      <c r="M2" s="254" t="s">
        <v>295</v>
      </c>
      <c r="N2" s="255"/>
      <c r="O2" s="256"/>
      <c r="P2" s="257" t="s">
        <v>296</v>
      </c>
      <c r="Q2" s="258"/>
      <c r="R2" s="259"/>
      <c r="S2" s="257" t="s">
        <v>295</v>
      </c>
      <c r="T2" s="258"/>
      <c r="U2" s="259"/>
      <c r="V2" s="260" t="s">
        <v>0</v>
      </c>
      <c r="W2" s="261"/>
      <c r="X2" s="262"/>
      <c r="Y2" s="263" t="s">
        <v>40</v>
      </c>
      <c r="Z2" s="263" t="s">
        <v>294</v>
      </c>
      <c r="AA2" s="263" t="s">
        <v>26</v>
      </c>
      <c r="AB2" s="181"/>
      <c r="AC2" s="272" t="s">
        <v>67</v>
      </c>
      <c r="AD2" s="274" t="s">
        <v>69</v>
      </c>
      <c r="AE2" s="16"/>
      <c r="AF2" s="17"/>
      <c r="AG2" s="277" t="s">
        <v>4</v>
      </c>
      <c r="AH2" s="278"/>
      <c r="AI2" s="278"/>
      <c r="AJ2" s="278"/>
      <c r="AK2" s="279"/>
      <c r="AL2" s="248" t="s">
        <v>42</v>
      </c>
      <c r="AM2" s="174">
        <f>'470'!U4+'470'!W4</f>
        <v>19</v>
      </c>
      <c r="AN2" s="174">
        <f>'500'!U4+'500'!W4</f>
        <v>161</v>
      </c>
      <c r="AO2" s="174">
        <f>'520'!U4+'520'!W4</f>
        <v>18</v>
      </c>
      <c r="AP2" s="174">
        <f>'550'!U4+'550'!W4</f>
        <v>474</v>
      </c>
      <c r="AQ2" s="56" t="s">
        <v>62</v>
      </c>
    </row>
    <row r="3" spans="1:43" s="17" customFormat="1" ht="24" customHeight="1" thickBot="1" x14ac:dyDescent="0.3">
      <c r="A3" s="281"/>
      <c r="B3" s="284"/>
      <c r="C3" s="19"/>
      <c r="D3" s="287"/>
      <c r="E3" s="290"/>
      <c r="F3" s="291"/>
      <c r="G3" s="251" t="s">
        <v>558</v>
      </c>
      <c r="H3" s="252"/>
      <c r="I3" s="253"/>
      <c r="J3" s="251" t="s">
        <v>559</v>
      </c>
      <c r="K3" s="252"/>
      <c r="L3" s="253"/>
      <c r="M3" s="251" t="s">
        <v>560</v>
      </c>
      <c r="N3" s="252"/>
      <c r="O3" s="253"/>
      <c r="P3" s="251" t="s">
        <v>657</v>
      </c>
      <c r="Q3" s="252"/>
      <c r="R3" s="253"/>
      <c r="S3" s="251" t="s">
        <v>561</v>
      </c>
      <c r="T3" s="252"/>
      <c r="U3" s="253"/>
      <c r="V3" s="266" t="s">
        <v>1005</v>
      </c>
      <c r="W3" s="267"/>
      <c r="X3" s="268"/>
      <c r="Y3" s="264"/>
      <c r="Z3" s="265"/>
      <c r="AA3" s="264"/>
      <c r="AB3" s="182"/>
      <c r="AC3" s="273"/>
      <c r="AD3" s="275"/>
      <c r="AE3" s="20"/>
      <c r="AG3" s="269" t="s">
        <v>502</v>
      </c>
      <c r="AH3" s="270"/>
      <c r="AI3" s="270"/>
      <c r="AJ3" s="270"/>
      <c r="AK3" s="271"/>
      <c r="AL3" s="249"/>
      <c r="AM3" s="175" t="s">
        <v>1754</v>
      </c>
      <c r="AN3" s="175" t="s">
        <v>1755</v>
      </c>
      <c r="AO3" s="175" t="s">
        <v>1756</v>
      </c>
      <c r="AP3" s="175" t="s">
        <v>575</v>
      </c>
    </row>
    <row r="4" spans="1:43" s="69" customFormat="1" ht="28.5" thickBot="1" x14ac:dyDescent="0.3">
      <c r="A4" s="282"/>
      <c r="B4" s="285"/>
      <c r="C4" s="63"/>
      <c r="D4" s="71">
        <f>SUM(_018_5XX[入料數])</f>
        <v>54210</v>
      </c>
      <c r="E4" s="73">
        <f>SUM(_018_5XX['#03待發料數量])</f>
        <v>0</v>
      </c>
      <c r="F4" s="73">
        <f>SUM(_018_5XX['#03已發料數量])</f>
        <v>54210</v>
      </c>
      <c r="G4" s="74">
        <f>SUM(_018_5XX['#3未加工])</f>
        <v>0</v>
      </c>
      <c r="H4" s="74">
        <f>SUM(_018_5XX['#3 OK])</f>
        <v>54069</v>
      </c>
      <c r="I4" s="79">
        <f>SUM(_018_5XX['#3 NG])</f>
        <v>141</v>
      </c>
      <c r="J4" s="74">
        <f>SUM(_018_5XX['#4未加工])</f>
        <v>1178</v>
      </c>
      <c r="K4" s="74">
        <f>SUM(_018_5XX['#4 OK])</f>
        <v>52197</v>
      </c>
      <c r="L4" s="79">
        <f>SUM(_018_5XX['#4 NG])</f>
        <v>694</v>
      </c>
      <c r="M4" s="74">
        <f>SUM(_018_5XX['#5未加工])</f>
        <v>21</v>
      </c>
      <c r="N4" s="74">
        <f>SUM(_018_5XX['#5 OK])</f>
        <v>52078</v>
      </c>
      <c r="O4" s="79">
        <f>SUM(_018_5XX['#5 NG])</f>
        <v>98</v>
      </c>
      <c r="P4" s="74">
        <f>SUM(_018_5XX['#6未加工])</f>
        <v>544</v>
      </c>
      <c r="Q4" s="74">
        <f>SUM(_018_5XX['#6 OK])</f>
        <v>51204</v>
      </c>
      <c r="R4" s="79">
        <f>SUM(_018_5XX['#6 NG])</f>
        <v>330</v>
      </c>
      <c r="S4" s="74">
        <f>SUM(_018_5XX['#7未加工])</f>
        <v>378</v>
      </c>
      <c r="T4" s="74">
        <f>SUM(_018_5XX['#7OK])</f>
        <v>50457</v>
      </c>
      <c r="U4" s="79">
        <f>SUM(_018_5XX['#7NG])</f>
        <v>369</v>
      </c>
      <c r="V4" s="26">
        <f>SUM(_018_5XX[品管待檢驗])</f>
        <v>597</v>
      </c>
      <c r="W4" s="26">
        <f>SUM(_018_5XX[OK])</f>
        <v>48493</v>
      </c>
      <c r="X4" s="80">
        <f>SUM(_018_5XX[NG])</f>
        <v>1367</v>
      </c>
      <c r="Y4" s="77">
        <f>SUM('5XX'!$Y$6:$Y$54)</f>
        <v>101</v>
      </c>
      <c r="Z4" s="72">
        <f>SUM(_018_5XX[入庫])</f>
        <v>48392</v>
      </c>
      <c r="AA4" s="139">
        <f>SUM('5XX'!$AA$6:$AA$54)</f>
        <v>0</v>
      </c>
      <c r="AB4" s="185"/>
      <c r="AC4" s="75">
        <f>SUM(_018_5XX[總不良數])</f>
        <v>2999</v>
      </c>
      <c r="AD4" s="276"/>
      <c r="AE4" s="68"/>
      <c r="AG4" s="269"/>
      <c r="AH4" s="270"/>
      <c r="AI4" s="270"/>
      <c r="AJ4" s="270"/>
      <c r="AK4" s="271"/>
      <c r="AL4" s="250"/>
      <c r="AM4" s="176" t="s">
        <v>10</v>
      </c>
      <c r="AN4" s="176" t="s">
        <v>10</v>
      </c>
      <c r="AO4" s="176" t="s">
        <v>10</v>
      </c>
      <c r="AP4" s="176" t="s">
        <v>10</v>
      </c>
      <c r="AQ4" s="69" t="s">
        <v>656</v>
      </c>
    </row>
    <row r="5" spans="1:43" s="21" customFormat="1" ht="21.75" thickBot="1" x14ac:dyDescent="0.3">
      <c r="A5" s="86" t="s">
        <v>16</v>
      </c>
      <c r="B5" s="87" t="s">
        <v>13</v>
      </c>
      <c r="C5" s="87" t="s">
        <v>14</v>
      </c>
      <c r="D5" s="87" t="s">
        <v>15</v>
      </c>
      <c r="E5" s="88" t="s">
        <v>540</v>
      </c>
      <c r="F5" s="88" t="s">
        <v>541</v>
      </c>
      <c r="G5" s="89" t="s">
        <v>537</v>
      </c>
      <c r="H5" s="89" t="s">
        <v>538</v>
      </c>
      <c r="I5" s="89" t="s">
        <v>539</v>
      </c>
      <c r="J5" s="89" t="s">
        <v>542</v>
      </c>
      <c r="K5" s="89" t="s">
        <v>552</v>
      </c>
      <c r="L5" s="89" t="s">
        <v>553</v>
      </c>
      <c r="M5" s="89" t="s">
        <v>551</v>
      </c>
      <c r="N5" s="89" t="s">
        <v>549</v>
      </c>
      <c r="O5" s="89" t="s">
        <v>550</v>
      </c>
      <c r="P5" s="89" t="s">
        <v>546</v>
      </c>
      <c r="Q5" s="89" t="s">
        <v>547</v>
      </c>
      <c r="R5" s="89" t="s">
        <v>548</v>
      </c>
      <c r="S5" s="89" t="s">
        <v>543</v>
      </c>
      <c r="T5" s="89" t="s">
        <v>544</v>
      </c>
      <c r="U5" s="89" t="s">
        <v>545</v>
      </c>
      <c r="V5" s="78" t="s">
        <v>297</v>
      </c>
      <c r="W5" s="78" t="s">
        <v>298</v>
      </c>
      <c r="X5" s="78" t="s">
        <v>299</v>
      </c>
      <c r="Y5" s="90" t="s">
        <v>41</v>
      </c>
      <c r="Z5" s="91" t="s">
        <v>293</v>
      </c>
      <c r="AA5" s="92" t="s">
        <v>29</v>
      </c>
      <c r="AB5" s="184" t="s">
        <v>640</v>
      </c>
      <c r="AC5" s="93" t="s">
        <v>68</v>
      </c>
      <c r="AD5" s="93" t="s">
        <v>69</v>
      </c>
      <c r="AE5" s="11" t="s">
        <v>13</v>
      </c>
      <c r="AG5" s="160" t="s">
        <v>1</v>
      </c>
      <c r="AH5" s="161" t="s">
        <v>38</v>
      </c>
      <c r="AI5" s="162" t="s">
        <v>6</v>
      </c>
      <c r="AJ5" s="163" t="s">
        <v>7</v>
      </c>
      <c r="AK5" s="164" t="s">
        <v>39</v>
      </c>
      <c r="AL5" s="96">
        <f>SUM(分料0185XX[分配數量])-SUM(AM5:AP5)+AQ5</f>
        <v>0</v>
      </c>
      <c r="AM5" s="177">
        <f>'470'!D4</f>
        <v>339</v>
      </c>
      <c r="AN5" s="177">
        <f>'500'!D4</f>
        <v>1781</v>
      </c>
      <c r="AO5" s="177">
        <f>'520'!D4</f>
        <v>347</v>
      </c>
      <c r="AP5" s="177">
        <f>'550'!D4</f>
        <v>50606</v>
      </c>
      <c r="AQ5" s="21">
        <v>4401</v>
      </c>
    </row>
    <row r="6" spans="1:43" s="17" customFormat="1" ht="27" thickBot="1" x14ac:dyDescent="0.3">
      <c r="A6" s="166">
        <v>45390</v>
      </c>
      <c r="B6" s="168" t="s">
        <v>688</v>
      </c>
      <c r="C6" s="24" t="s">
        <v>502</v>
      </c>
      <c r="D6" s="170">
        <v>71</v>
      </c>
      <c r="E6" s="148">
        <f>_018_5XX[[#This Row],[入料數]]-_018_5XX[[#This Row],['#03已發料數量]]</f>
        <v>0</v>
      </c>
      <c r="F6" s="148">
        <f>SUMIFS(record[OK],record[製程料號],_018_5XX[[#This Row],[製令單號]],record[ProcessSN],F$1)</f>
        <v>71</v>
      </c>
      <c r="G6" s="148">
        <f>_018_5XX[[#This Row],['#03已發料數量]]-_018_5XX[[#This Row],['#3 OK]]-_018_5XX[[#This Row],['#3 NG]]</f>
        <v>0</v>
      </c>
      <c r="H6" s="148">
        <f>SUMIFS(record[OK],record[製程料號],_018_5XX[[#This Row],[製令單號]],record[ProcessSN],H$1)</f>
        <v>71</v>
      </c>
      <c r="I6" s="148">
        <f>SUMIFS(record[NG],record[製程料號],_018_5XX[[#This Row],[製令單號]],record[ProcessSN],I$1)</f>
        <v>0</v>
      </c>
      <c r="J6" s="148">
        <f>_018_5XX[[#This Row],['#3 OK]]-_018_5XX[[#This Row],['#4 OK]]-_018_5XX[[#This Row],['#4 NG]]</f>
        <v>0</v>
      </c>
      <c r="K6" s="148">
        <f>SUMIFS(record[OK],record[製程料號],_018_5XX[[#This Row],[製令單號]],record[ProcessSN],K$1)</f>
        <v>71</v>
      </c>
      <c r="L6" s="148">
        <f>SUMIFS(record[NG],record[製程料號],_018_5XX[[#This Row],[製令單號]],record[ProcessSN],L$1)</f>
        <v>0</v>
      </c>
      <c r="M6" s="148">
        <f>_018_5XX[[#This Row],['#4 OK]]-_018_5XX[[#This Row],['#5 OK]]-_018_5XX[[#This Row],['#5 NG]]</f>
        <v>0</v>
      </c>
      <c r="N6" s="148">
        <f>SUMIFS(record[OK],record[製程料號],_018_5XX[[#This Row],[製令單號]],record[ProcessSN],N$1)</f>
        <v>71</v>
      </c>
      <c r="O6" s="148">
        <f>SUMIFS(record[NG],record[製程料號],_018_5XX[[#This Row],[製令單號]],record[ProcessSN],O$1)</f>
        <v>0</v>
      </c>
      <c r="P6" s="148">
        <f>_018_5XX[[#This Row],['#5 OK]]-_018_5XX[[#This Row],['#6 OK]]-_018_5XX[[#This Row],['#6 NG]]</f>
        <v>0</v>
      </c>
      <c r="Q6" s="148">
        <f>SUMIFS(record[OK],record[製程料號],_018_5XX[[#This Row],[製令單號]],record[ProcessSN],Q$1)</f>
        <v>71</v>
      </c>
      <c r="R6" s="148">
        <f>SUMIFS(record[NG],record[製程料號],_018_5XX[[#This Row],[製令單號]],record[ProcessSN],R$1)</f>
        <v>0</v>
      </c>
      <c r="S6" s="148">
        <f>_018_5XX[[#This Row],['#6 OK]]-_018_5XX[[#This Row],['#7NG]]-_018_5XX[[#This Row],['#7OK]]</f>
        <v>0</v>
      </c>
      <c r="T6" s="148">
        <f>SUMIFS(record[OK],record[製程料號],_018_5XX[[#This Row],[製令單號]],record[ProcessSN],T$1)</f>
        <v>71</v>
      </c>
      <c r="U6" s="148">
        <f>SUMIFS(record[NG],record[製程料號],_018_5XX[[#This Row],[製令單號]],record[ProcessSN],U$1)</f>
        <v>0</v>
      </c>
      <c r="V6" s="148">
        <f>_018_5XX[[#This Row],['#7OK]]-_018_5XX[[#This Row],[OK]]-_018_5XX[[#This Row],[NG]]</f>
        <v>0</v>
      </c>
      <c r="W6" s="148">
        <f>SUMIFS(record[OK],record[製程料號],_018_5XX[[#This Row],[製令單號]],record[ProcessSN],W$1)</f>
        <v>71</v>
      </c>
      <c r="X6" s="148">
        <f>SUMIFS(record[NG],record[製程料號],_018_5XX[[#This Row],[製令單號]],record[ProcessSN],X$1)</f>
        <v>0</v>
      </c>
      <c r="Y6" s="148">
        <f>_018_5XX[[#This Row],[OK]]-_018_5XX[[#This Row],[入庫]]</f>
        <v>0</v>
      </c>
      <c r="Z6" s="148">
        <f>SUMIFS(record[OK],record[製程料號],_018_5XX[[#This Row],[製令單號]],record[ProcessSN],Z$1)</f>
        <v>71</v>
      </c>
      <c r="AA6" s="148">
        <f>_018_5XX[[#This Row],[入庫]]-IFERROR(SUMIF(分料0185XX[第一製程製令],_018_5XX[[#This Row],[製令單號]],分料0185XX[分配數量]),0)</f>
        <v>0</v>
      </c>
      <c r="AB6" s="186"/>
      <c r="AC6" s="148">
        <f>_018_5XX[[#This Row],[NG]]+_018_5XX[[#This Row],['#6 NG]]+_018_5XX[[#This Row],['#5 NG]]+_018_5XX[[#This Row],['#4 NG]]+_018_5XX[[#This Row],['#3 NG]]+_018_5XX[[#This Row],['#7NG]]</f>
        <v>0</v>
      </c>
      <c r="AD6" s="154">
        <f>IF(_018_5XX[[#This Row],[入庫]]+_018_5XX[[#This Row],[總不良數]]=_018_5XX[[#This Row],[入料數]],_018_5XX[[#This Row],[入庫]]/_018_5XX[[#This Row],[入料數]],"")</f>
        <v>1</v>
      </c>
      <c r="AE6" s="97"/>
      <c r="AG6" s="172">
        <v>45994</v>
      </c>
      <c r="AH6" s="115" t="s">
        <v>594</v>
      </c>
      <c r="AI6" s="159" t="s">
        <v>641</v>
      </c>
      <c r="AJ6" s="122" t="s">
        <v>613</v>
      </c>
      <c r="AK6" s="122">
        <v>313</v>
      </c>
      <c r="AM6" s="178">
        <f>'470'!E4+'470'!G4</f>
        <v>0</v>
      </c>
      <c r="AN6" s="178">
        <f>'500'!E4+'500'!G4</f>
        <v>0</v>
      </c>
      <c r="AO6" s="178">
        <f>'520'!E4+'520'!G4</f>
        <v>138</v>
      </c>
      <c r="AP6" s="178">
        <f>'550'!E4+'550'!G4</f>
        <v>336</v>
      </c>
      <c r="AQ6" s="56" t="s">
        <v>63</v>
      </c>
    </row>
    <row r="7" spans="1:43" s="17" customFormat="1" ht="27" thickBot="1" x14ac:dyDescent="0.3">
      <c r="A7" s="113">
        <v>45463</v>
      </c>
      <c r="B7" s="114" t="s">
        <v>685</v>
      </c>
      <c r="C7" s="115" t="s">
        <v>502</v>
      </c>
      <c r="D7" s="116">
        <v>9</v>
      </c>
      <c r="E7" s="117">
        <f>_018_5XX[[#This Row],[入料數]]-_018_5XX[[#This Row],['#03已發料數量]]</f>
        <v>0</v>
      </c>
      <c r="F7" s="117">
        <f>SUMIFS(record[OK],record[製程料號],_018_5XX[[#This Row],[製令單號]],record[ProcessSN],F$1)</f>
        <v>9</v>
      </c>
      <c r="G7" s="117">
        <f>_018_5XX[[#This Row],['#03已發料數量]]-_018_5XX[[#This Row],['#3 OK]]-_018_5XX[[#This Row],['#3 NG]]</f>
        <v>0</v>
      </c>
      <c r="H7" s="117">
        <f>SUMIFS(record[OK],record[製程料號],_018_5XX[[#This Row],[製令單號]],record[ProcessSN],H$1)</f>
        <v>9</v>
      </c>
      <c r="I7" s="117">
        <f>SUMIFS(record[NG],record[製程料號],_018_5XX[[#This Row],[製令單號]],record[ProcessSN],I$1)</f>
        <v>0</v>
      </c>
      <c r="J7" s="117">
        <f>_018_5XX[[#This Row],['#3 OK]]-_018_5XX[[#This Row],['#4 OK]]-_018_5XX[[#This Row],['#4 NG]]</f>
        <v>0</v>
      </c>
      <c r="K7" s="117">
        <f>SUMIFS(record[OK],record[製程料號],_018_5XX[[#This Row],[製令單號]],record[ProcessSN],K$1)</f>
        <v>9</v>
      </c>
      <c r="L7" s="117">
        <f>SUMIFS(record[NG],record[製程料號],_018_5XX[[#This Row],[製令單號]],record[ProcessSN],L$1)</f>
        <v>0</v>
      </c>
      <c r="M7" s="117">
        <f>_018_5XX[[#This Row],['#4 OK]]-_018_5XX[[#This Row],['#5 OK]]-_018_5XX[[#This Row],['#5 NG]]</f>
        <v>0</v>
      </c>
      <c r="N7" s="117">
        <f>SUMIFS(record[OK],record[製程料號],_018_5XX[[#This Row],[製令單號]],record[ProcessSN],N$1)</f>
        <v>9</v>
      </c>
      <c r="O7" s="117">
        <f>SUMIFS(record[NG],record[製程料號],_018_5XX[[#This Row],[製令單號]],record[ProcessSN],O$1)</f>
        <v>0</v>
      </c>
      <c r="P7" s="117">
        <f>_018_5XX[[#This Row],['#5 OK]]-_018_5XX[[#This Row],['#6 OK]]-_018_5XX[[#This Row],['#6 NG]]</f>
        <v>0</v>
      </c>
      <c r="Q7" s="117">
        <f>SUMIFS(record[OK],record[製程料號],_018_5XX[[#This Row],[製令單號]],record[ProcessSN],Q$1)</f>
        <v>9</v>
      </c>
      <c r="R7" s="117">
        <f>SUMIFS(record[NG],record[製程料號],_018_5XX[[#This Row],[製令單號]],record[ProcessSN],R$1)</f>
        <v>0</v>
      </c>
      <c r="S7" s="117">
        <f>_018_5XX[[#This Row],['#6 OK]]-_018_5XX[[#This Row],['#7NG]]-_018_5XX[[#This Row],['#7OK]]</f>
        <v>0</v>
      </c>
      <c r="T7" s="117">
        <f>SUMIFS(record[OK],record[製程料號],_018_5XX[[#This Row],[製令單號]],record[ProcessSN],T$1)</f>
        <v>9</v>
      </c>
      <c r="U7" s="117">
        <f>SUMIFS(record[NG],record[製程料號],_018_5XX[[#This Row],[製令單號]],record[ProcessSN],U$1)</f>
        <v>0</v>
      </c>
      <c r="V7" s="117">
        <f>_018_5XX[[#This Row],['#7OK]]-_018_5XX[[#This Row],[OK]]-_018_5XX[[#This Row],[NG]]</f>
        <v>0</v>
      </c>
      <c r="W7" s="117">
        <f>SUMIFS(record[OK],record[製程料號],_018_5XX[[#This Row],[製令單號]],record[ProcessSN],W$1)</f>
        <v>9</v>
      </c>
      <c r="X7" s="117">
        <f>SUMIFS(record[NG],record[製程料號],_018_5XX[[#This Row],[製令單號]],record[ProcessSN],X$1)</f>
        <v>0</v>
      </c>
      <c r="Y7" s="117">
        <f>_018_5XX[[#This Row],[OK]]-_018_5XX[[#This Row],[入庫]]</f>
        <v>0</v>
      </c>
      <c r="Z7" s="117">
        <f>SUMIFS(record[OK],record[製程料號],_018_5XX[[#This Row],[製令單號]],record[ProcessSN],Z$1)</f>
        <v>9</v>
      </c>
      <c r="AA7" s="117">
        <f>_018_5XX[[#This Row],[入庫]]-IFERROR(SUMIF(分料0185XX[第一製程製令],_018_5XX[[#This Row],[製令單號]],分料0185XX[分配數量]),0)</f>
        <v>0</v>
      </c>
      <c r="AB7" s="187"/>
      <c r="AC7" s="117">
        <f>_018_5XX[[#This Row],[NG]]+_018_5XX[[#This Row],['#6 NG]]+_018_5XX[[#This Row],['#5 NG]]+_018_5XX[[#This Row],['#4 NG]]+_018_5XX[[#This Row],['#3 NG]]+_018_5XX[[#This Row],['#7NG]]</f>
        <v>0</v>
      </c>
      <c r="AD7" s="119">
        <f>IF(_018_5XX[[#This Row],[入庫]]+_018_5XX[[#This Row],[總不良數]]=_018_5XX[[#This Row],[入料數]],_018_5XX[[#This Row],[入庫]]/_018_5XX[[#This Row],[入料數]],"")</f>
        <v>1</v>
      </c>
      <c r="AG7" s="172">
        <v>45995</v>
      </c>
      <c r="AH7" s="115" t="s">
        <v>594</v>
      </c>
      <c r="AI7" s="159" t="s">
        <v>641</v>
      </c>
      <c r="AJ7" s="122" t="s">
        <v>616</v>
      </c>
      <c r="AK7" s="122">
        <v>168</v>
      </c>
      <c r="AM7" s="179">
        <f>'470'!L4+'470'!O4+'470'!R4</f>
        <v>0</v>
      </c>
      <c r="AN7" s="179">
        <f>'500'!L4+'500'!O4+'500'!R4</f>
        <v>0</v>
      </c>
      <c r="AO7" s="179">
        <f>'520'!L4+'520'!O4+'520'!R4</f>
        <v>0</v>
      </c>
      <c r="AP7" s="179">
        <f>'550'!L4+'550'!O4+'550'!R4</f>
        <v>0</v>
      </c>
      <c r="AQ7" s="56" t="s">
        <v>291</v>
      </c>
    </row>
    <row r="8" spans="1:43" s="17" customFormat="1" ht="26.25" x14ac:dyDescent="0.25">
      <c r="A8" s="113">
        <v>45538</v>
      </c>
      <c r="B8" s="114" t="s">
        <v>659</v>
      </c>
      <c r="C8" s="115" t="s">
        <v>502</v>
      </c>
      <c r="D8" s="116">
        <v>9</v>
      </c>
      <c r="E8" s="117">
        <f>_018_5XX[[#This Row],[入料數]]-_018_5XX[[#This Row],['#03已發料數量]]</f>
        <v>0</v>
      </c>
      <c r="F8" s="117">
        <f>SUMIFS(record[OK],record[製程料號],_018_5XX[[#This Row],[製令單號]],record[ProcessSN],F$1)</f>
        <v>9</v>
      </c>
      <c r="G8" s="117">
        <f>_018_5XX[[#This Row],['#03已發料數量]]-_018_5XX[[#This Row],['#3 OK]]-_018_5XX[[#This Row],['#3 NG]]</f>
        <v>0</v>
      </c>
      <c r="H8" s="117">
        <f>SUMIFS(record[OK],record[製程料號],_018_5XX[[#This Row],[製令單號]],record[ProcessSN],H$1)</f>
        <v>9</v>
      </c>
      <c r="I8" s="117">
        <f>SUMIFS(record[NG],record[製程料號],_018_5XX[[#This Row],[製令單號]],record[ProcessSN],I$1)</f>
        <v>0</v>
      </c>
      <c r="J8" s="117">
        <f>_018_5XX[[#This Row],['#3 OK]]-_018_5XX[[#This Row],['#4 OK]]-_018_5XX[[#This Row],['#4 NG]]</f>
        <v>0</v>
      </c>
      <c r="K8" s="117">
        <f>SUMIFS(record[OK],record[製程料號],_018_5XX[[#This Row],[製令單號]],record[ProcessSN],K$1)</f>
        <v>9</v>
      </c>
      <c r="L8" s="117">
        <f>SUMIFS(record[NG],record[製程料號],_018_5XX[[#This Row],[製令單號]],record[ProcessSN],L$1)</f>
        <v>0</v>
      </c>
      <c r="M8" s="117">
        <f>_018_5XX[[#This Row],['#4 OK]]-_018_5XX[[#This Row],['#5 OK]]-_018_5XX[[#This Row],['#5 NG]]</f>
        <v>0</v>
      </c>
      <c r="N8" s="117">
        <f>SUMIFS(record[OK],record[製程料號],_018_5XX[[#This Row],[製令單號]],record[ProcessSN],N$1)</f>
        <v>9</v>
      </c>
      <c r="O8" s="117">
        <f>SUMIFS(record[NG],record[製程料號],_018_5XX[[#This Row],[製令單號]],record[ProcessSN],O$1)</f>
        <v>0</v>
      </c>
      <c r="P8" s="117">
        <f>_018_5XX[[#This Row],['#5 OK]]-_018_5XX[[#This Row],['#6 OK]]-_018_5XX[[#This Row],['#6 NG]]</f>
        <v>0</v>
      </c>
      <c r="Q8" s="117">
        <f>SUMIFS(record[OK],record[製程料號],_018_5XX[[#This Row],[製令單號]],record[ProcessSN],Q$1)</f>
        <v>9</v>
      </c>
      <c r="R8" s="117">
        <f>SUMIFS(record[NG],record[製程料號],_018_5XX[[#This Row],[製令單號]],record[ProcessSN],R$1)</f>
        <v>0</v>
      </c>
      <c r="S8" s="117">
        <f>_018_5XX[[#This Row],['#6 OK]]-_018_5XX[[#This Row],['#7NG]]-_018_5XX[[#This Row],['#7OK]]</f>
        <v>0</v>
      </c>
      <c r="T8" s="117">
        <f>SUMIFS(record[OK],record[製程料號],_018_5XX[[#This Row],[製令單號]],record[ProcessSN],T$1)</f>
        <v>9</v>
      </c>
      <c r="U8" s="117">
        <f>SUMIFS(record[NG],record[製程料號],_018_5XX[[#This Row],[製令單號]],record[ProcessSN],U$1)</f>
        <v>0</v>
      </c>
      <c r="V8" s="117">
        <f>_018_5XX[[#This Row],['#7OK]]-_018_5XX[[#This Row],[OK]]-_018_5XX[[#This Row],[NG]]</f>
        <v>0</v>
      </c>
      <c r="W8" s="117">
        <f>SUMIFS(record[OK],record[製程料號],_018_5XX[[#This Row],[製令單號]],record[ProcessSN],W$1)</f>
        <v>9</v>
      </c>
      <c r="X8" s="117">
        <f>SUMIFS(record[NG],record[製程料號],_018_5XX[[#This Row],[製令單號]],record[ProcessSN],X$1)</f>
        <v>0</v>
      </c>
      <c r="Y8" s="117">
        <f>_018_5XX[[#This Row],[OK]]-_018_5XX[[#This Row],[入庫]]</f>
        <v>0</v>
      </c>
      <c r="Z8" s="117">
        <f>SUMIFS(record[OK],record[製程料號],_018_5XX[[#This Row],[製令單號]],record[ProcessSN],Z$1)</f>
        <v>9</v>
      </c>
      <c r="AA8" s="117">
        <f>_018_5XX[[#This Row],[入庫]]-IFERROR(SUMIF(分料0185XX[第一製程製令],_018_5XX[[#This Row],[製令單號]],分料0185XX[分配數量]),0)</f>
        <v>0</v>
      </c>
      <c r="AB8" s="187"/>
      <c r="AC8" s="117">
        <f>_018_5XX[[#This Row],[NG]]+_018_5XX[[#This Row],['#6 NG]]+_018_5XX[[#This Row],['#5 NG]]+_018_5XX[[#This Row],['#4 NG]]+_018_5XX[[#This Row],['#3 NG]]+_018_5XX[[#This Row],['#7NG]]</f>
        <v>0</v>
      </c>
      <c r="AD8" s="119">
        <f>IF(_018_5XX[[#This Row],[入庫]]+_018_5XX[[#This Row],[總不良數]]=_018_5XX[[#This Row],[入料數]],_018_5XX[[#This Row],[入庫]]/_018_5XX[[#This Row],[入料數]],"")</f>
        <v>1</v>
      </c>
      <c r="AE8" s="2"/>
      <c r="AG8" s="172">
        <v>45996</v>
      </c>
      <c r="AH8" s="115" t="s">
        <v>594</v>
      </c>
      <c r="AI8" s="159" t="s">
        <v>641</v>
      </c>
      <c r="AJ8" s="122" t="s">
        <v>617</v>
      </c>
      <c r="AK8" s="122">
        <v>299</v>
      </c>
    </row>
    <row r="9" spans="1:43" ht="26.25" x14ac:dyDescent="0.25">
      <c r="A9" s="113">
        <v>45593</v>
      </c>
      <c r="B9" s="114" t="s">
        <v>715</v>
      </c>
      <c r="C9" s="115" t="s">
        <v>502</v>
      </c>
      <c r="D9" s="116">
        <v>26</v>
      </c>
      <c r="E9" s="117">
        <f>_018_5XX[[#This Row],[入料數]]-_018_5XX[[#This Row],['#03已發料數量]]</f>
        <v>0</v>
      </c>
      <c r="F9" s="117">
        <f>SUMIFS(record[OK],record[製程料號],_018_5XX[[#This Row],[製令單號]],record[ProcessSN],F$1)</f>
        <v>26</v>
      </c>
      <c r="G9" s="117">
        <f>_018_5XX[[#This Row],['#03已發料數量]]-_018_5XX[[#This Row],['#3 OK]]-_018_5XX[[#This Row],['#3 NG]]</f>
        <v>0</v>
      </c>
      <c r="H9" s="117">
        <f>SUMIFS(record[OK],record[製程料號],_018_5XX[[#This Row],[製令單號]],record[ProcessSN],H$1)</f>
        <v>26</v>
      </c>
      <c r="I9" s="117">
        <f>SUMIFS(record[NG],record[製程料號],_018_5XX[[#This Row],[製令單號]],record[ProcessSN],I$1)</f>
        <v>0</v>
      </c>
      <c r="J9" s="117">
        <f>_018_5XX[[#This Row],['#3 OK]]-_018_5XX[[#This Row],['#4 OK]]-_018_5XX[[#This Row],['#4 NG]]</f>
        <v>0</v>
      </c>
      <c r="K9" s="117">
        <f>SUMIFS(record[OK],record[製程料號],_018_5XX[[#This Row],[製令單號]],record[ProcessSN],K$1)</f>
        <v>26</v>
      </c>
      <c r="L9" s="117">
        <f>SUMIFS(record[NG],record[製程料號],_018_5XX[[#This Row],[製令單號]],record[ProcessSN],L$1)</f>
        <v>0</v>
      </c>
      <c r="M9" s="117">
        <f>_018_5XX[[#This Row],['#4 OK]]-_018_5XX[[#This Row],['#5 OK]]-_018_5XX[[#This Row],['#5 NG]]</f>
        <v>0</v>
      </c>
      <c r="N9" s="117">
        <f>SUMIFS(record[OK],record[製程料號],_018_5XX[[#This Row],[製令單號]],record[ProcessSN],N$1)</f>
        <v>26</v>
      </c>
      <c r="O9" s="117">
        <f>SUMIFS(record[NG],record[製程料號],_018_5XX[[#This Row],[製令單號]],record[ProcessSN],O$1)</f>
        <v>0</v>
      </c>
      <c r="P9" s="117">
        <f>_018_5XX[[#This Row],['#5 OK]]-_018_5XX[[#This Row],['#6 OK]]-_018_5XX[[#This Row],['#6 NG]]</f>
        <v>0</v>
      </c>
      <c r="Q9" s="117">
        <f>SUMIFS(record[OK],record[製程料號],_018_5XX[[#This Row],[製令單號]],record[ProcessSN],Q$1)</f>
        <v>26</v>
      </c>
      <c r="R9" s="117">
        <f>SUMIFS(record[NG],record[製程料號],_018_5XX[[#This Row],[製令單號]],record[ProcessSN],R$1)</f>
        <v>0</v>
      </c>
      <c r="S9" s="117">
        <f>_018_5XX[[#This Row],['#6 OK]]-_018_5XX[[#This Row],['#7NG]]-_018_5XX[[#This Row],['#7OK]]</f>
        <v>0</v>
      </c>
      <c r="T9" s="117">
        <f>SUMIFS(record[OK],record[製程料號],_018_5XX[[#This Row],[製令單號]],record[ProcessSN],T$1)</f>
        <v>26</v>
      </c>
      <c r="U9" s="117">
        <f>SUMIFS(record[NG],record[製程料號],_018_5XX[[#This Row],[製令單號]],record[ProcessSN],U$1)</f>
        <v>0</v>
      </c>
      <c r="V9" s="117">
        <f>_018_5XX[[#This Row],['#7OK]]-_018_5XX[[#This Row],[OK]]-_018_5XX[[#This Row],[NG]]</f>
        <v>0</v>
      </c>
      <c r="W9" s="117">
        <f>SUMIFS(record[OK],record[製程料號],_018_5XX[[#This Row],[製令單號]],record[ProcessSN],W$1)</f>
        <v>26</v>
      </c>
      <c r="X9" s="117">
        <f>SUMIFS(record[NG],record[製程料號],_018_5XX[[#This Row],[製令單號]],record[ProcessSN],X$1)</f>
        <v>0</v>
      </c>
      <c r="Y9" s="117">
        <f>_018_5XX[[#This Row],[OK]]-_018_5XX[[#This Row],[入庫]]</f>
        <v>0</v>
      </c>
      <c r="Z9" s="117">
        <f>SUMIFS(record[OK],record[製程料號],_018_5XX[[#This Row],[製令單號]],record[ProcessSN],Z$1)</f>
        <v>26</v>
      </c>
      <c r="AA9" s="117">
        <f>_018_5XX[[#This Row],[入庫]]-IFERROR(SUMIF(分料0185XX[第一製程製令],_018_5XX[[#This Row],[製令單號]],分料0185XX[分配數量]),0)</f>
        <v>0</v>
      </c>
      <c r="AB9" s="187"/>
      <c r="AC9" s="117">
        <f>_018_5XX[[#This Row],[NG]]+_018_5XX[[#This Row],['#6 NG]]+_018_5XX[[#This Row],['#5 NG]]+_018_5XX[[#This Row],['#4 NG]]+_018_5XX[[#This Row],['#3 NG]]+_018_5XX[[#This Row],['#7NG]]</f>
        <v>0</v>
      </c>
      <c r="AD9" s="119">
        <f>IF(_018_5XX[[#This Row],[入庫]]+_018_5XX[[#This Row],[總不良數]]=_018_5XX[[#This Row],[入料數]],_018_5XX[[#This Row],[入庫]]/_018_5XX[[#This Row],[入料數]],"")</f>
        <v>1</v>
      </c>
      <c r="AG9" s="172">
        <v>45997</v>
      </c>
      <c r="AH9" s="115" t="s">
        <v>594</v>
      </c>
      <c r="AI9" s="159" t="s">
        <v>641</v>
      </c>
      <c r="AJ9" s="122" t="s">
        <v>618</v>
      </c>
      <c r="AK9" s="122">
        <v>116</v>
      </c>
    </row>
    <row r="10" spans="1:43" ht="26.25" x14ac:dyDescent="0.25">
      <c r="A10" s="113">
        <v>45647</v>
      </c>
      <c r="B10" s="114" t="s">
        <v>594</v>
      </c>
      <c r="C10" s="115" t="s">
        <v>502</v>
      </c>
      <c r="D10" s="116">
        <v>3000</v>
      </c>
      <c r="E10" s="117">
        <f>_018_5XX[[#This Row],[入料數]]-_018_5XX[[#This Row],['#03已發料數量]]</f>
        <v>0</v>
      </c>
      <c r="F10" s="117">
        <f>SUMIFS(record[OK],record[製程料號],_018_5XX[[#This Row],[製令單號]],record[ProcessSN],F$1)</f>
        <v>3000</v>
      </c>
      <c r="G10" s="117">
        <f>_018_5XX[[#This Row],['#03已發料數量]]-_018_5XX[[#This Row],['#3 OK]]-_018_5XX[[#This Row],['#3 NG]]</f>
        <v>0</v>
      </c>
      <c r="H10" s="117">
        <f>SUMIFS(record[OK],record[製程料號],_018_5XX[[#This Row],[製令單號]],record[ProcessSN],H$1)</f>
        <v>2999</v>
      </c>
      <c r="I10" s="117">
        <f>SUMIFS(record[NG],record[製程料號],_018_5XX[[#This Row],[製令單號]],record[ProcessSN],I$1)</f>
        <v>1</v>
      </c>
      <c r="J10" s="117">
        <f>_018_5XX[[#This Row],['#3 OK]]-_018_5XX[[#This Row],['#4 OK]]-_018_5XX[[#This Row],['#4 NG]]</f>
        <v>0</v>
      </c>
      <c r="K10" s="117">
        <f>SUMIFS(record[OK],record[製程料號],_018_5XX[[#This Row],[製令單號]],record[ProcessSN],K$1)</f>
        <v>2997</v>
      </c>
      <c r="L10" s="117">
        <f>SUMIFS(record[NG],record[製程料號],_018_5XX[[#This Row],[製令單號]],record[ProcessSN],L$1)</f>
        <v>2</v>
      </c>
      <c r="M10" s="117">
        <f>_018_5XX[[#This Row],['#4 OK]]-_018_5XX[[#This Row],['#5 OK]]-_018_5XX[[#This Row],['#5 NG]]</f>
        <v>0</v>
      </c>
      <c r="N10" s="117">
        <f>SUMIFS(record[OK],record[製程料號],_018_5XX[[#This Row],[製令單號]],record[ProcessSN],N$1)</f>
        <v>2997</v>
      </c>
      <c r="O10" s="117">
        <f>SUMIFS(record[NG],record[製程料號],_018_5XX[[#This Row],[製令單號]],record[ProcessSN],O$1)</f>
        <v>0</v>
      </c>
      <c r="P10" s="117">
        <f>_018_5XX[[#This Row],['#5 OK]]-_018_5XX[[#This Row],['#6 OK]]-_018_5XX[[#This Row],['#6 NG]]</f>
        <v>0</v>
      </c>
      <c r="Q10" s="117">
        <f>SUMIFS(record[OK],record[製程料號],_018_5XX[[#This Row],[製令單號]],record[ProcessSN],Q$1)</f>
        <v>2981</v>
      </c>
      <c r="R10" s="117">
        <f>SUMIFS(record[NG],record[製程料號],_018_5XX[[#This Row],[製令單號]],record[ProcessSN],R$1)</f>
        <v>16</v>
      </c>
      <c r="S10" s="117">
        <f>_018_5XX[[#This Row],['#6 OK]]-_018_5XX[[#This Row],['#7NG]]-_018_5XX[[#This Row],['#7OK]]</f>
        <v>0</v>
      </c>
      <c r="T10" s="117">
        <f>SUMIFS(record[OK],record[製程料號],_018_5XX[[#This Row],[製令單號]],record[ProcessSN],T$1)</f>
        <v>2973</v>
      </c>
      <c r="U10" s="117">
        <f>SUMIFS(record[NG],record[製程料號],_018_5XX[[#This Row],[製令單號]],record[ProcessSN],U$1)</f>
        <v>8</v>
      </c>
      <c r="V10" s="117">
        <f>_018_5XX[[#This Row],['#7OK]]-_018_5XX[[#This Row],[OK]]-_018_5XX[[#This Row],[NG]]</f>
        <v>0</v>
      </c>
      <c r="W10" s="117">
        <f>SUMIFS(record[OK],record[製程料號],_018_5XX[[#This Row],[製令單號]],record[ProcessSN],W$1)</f>
        <v>2923</v>
      </c>
      <c r="X10" s="117">
        <f>SUMIFS(record[NG],record[製程料號],_018_5XX[[#This Row],[製令單號]],record[ProcessSN],X$1)</f>
        <v>50</v>
      </c>
      <c r="Y10" s="117">
        <f>_018_5XX[[#This Row],[OK]]-_018_5XX[[#This Row],[入庫]]</f>
        <v>0</v>
      </c>
      <c r="Z10" s="117">
        <f>SUMIFS(record[OK],record[製程料號],_018_5XX[[#This Row],[製令單號]],record[ProcessSN],Z$1)</f>
        <v>2923</v>
      </c>
      <c r="AA10" s="117">
        <f>_018_5XX[[#This Row],[入庫]]-IFERROR(SUMIF(分料0185XX[第一製程製令],_018_5XX[[#This Row],[製令單號]],分料0185XX[分配數量]),0)</f>
        <v>0</v>
      </c>
      <c r="AB10" s="187"/>
      <c r="AC10" s="117">
        <f>_018_5XX[[#This Row],[NG]]+_018_5XX[[#This Row],['#6 NG]]+_018_5XX[[#This Row],['#5 NG]]+_018_5XX[[#This Row],['#4 NG]]+_018_5XX[[#This Row],['#3 NG]]+_018_5XX[[#This Row],['#7NG]]</f>
        <v>77</v>
      </c>
      <c r="AD10" s="119">
        <f>IF(_018_5XX[[#This Row],[入庫]]+_018_5XX[[#This Row],[總不良數]]=_018_5XX[[#This Row],[入料數]],_018_5XX[[#This Row],[入庫]]/_018_5XX[[#This Row],[入料數]],"")</f>
        <v>0.97433333333333338</v>
      </c>
      <c r="AG10" s="172">
        <v>46007</v>
      </c>
      <c r="AH10" s="115" t="s">
        <v>594</v>
      </c>
      <c r="AI10" s="159" t="s">
        <v>641</v>
      </c>
      <c r="AJ10" s="122" t="s">
        <v>614</v>
      </c>
      <c r="AK10" s="122">
        <v>94</v>
      </c>
    </row>
    <row r="11" spans="1:43" ht="26.25" x14ac:dyDescent="0.25">
      <c r="A11" s="113">
        <v>45651</v>
      </c>
      <c r="B11" s="114" t="s">
        <v>642</v>
      </c>
      <c r="C11" s="115" t="s">
        <v>502</v>
      </c>
      <c r="D11" s="116">
        <v>840</v>
      </c>
      <c r="E11" s="117">
        <f>_018_5XX[[#This Row],[入料數]]-_018_5XX[[#This Row],['#03已發料數量]]</f>
        <v>0</v>
      </c>
      <c r="F11" s="117">
        <f>SUMIFS(record[OK],record[製程料號],_018_5XX[[#This Row],[製令單號]],record[ProcessSN],F$1)</f>
        <v>840</v>
      </c>
      <c r="G11" s="117">
        <f>_018_5XX[[#This Row],['#03已發料數量]]-_018_5XX[[#This Row],['#3 OK]]-_018_5XX[[#This Row],['#3 NG]]</f>
        <v>0</v>
      </c>
      <c r="H11" s="117">
        <f>SUMIFS(record[OK],record[製程料號],_018_5XX[[#This Row],[製令單號]],record[ProcessSN],H$1)</f>
        <v>838</v>
      </c>
      <c r="I11" s="117">
        <f>SUMIFS(record[NG],record[製程料號],_018_5XX[[#This Row],[製令單號]],record[ProcessSN],I$1)</f>
        <v>2</v>
      </c>
      <c r="J11" s="117">
        <f>_018_5XX[[#This Row],['#3 OK]]-_018_5XX[[#This Row],['#4 OK]]-_018_5XX[[#This Row],['#4 NG]]</f>
        <v>0</v>
      </c>
      <c r="K11" s="117">
        <f>SUMIFS(record[OK],record[製程料號],_018_5XX[[#This Row],[製令單號]],record[ProcessSN],K$1)</f>
        <v>838</v>
      </c>
      <c r="L11" s="117">
        <f>SUMIFS(record[NG],record[製程料號],_018_5XX[[#This Row],[製令單號]],record[ProcessSN],L$1)</f>
        <v>0</v>
      </c>
      <c r="M11" s="117">
        <f>_018_5XX[[#This Row],['#4 OK]]-_018_5XX[[#This Row],['#5 OK]]-_018_5XX[[#This Row],['#5 NG]]</f>
        <v>0</v>
      </c>
      <c r="N11" s="117">
        <f>SUMIFS(record[OK],record[製程料號],_018_5XX[[#This Row],[製令單號]],record[ProcessSN],N$1)</f>
        <v>823</v>
      </c>
      <c r="O11" s="117">
        <f>SUMIFS(record[NG],record[製程料號],_018_5XX[[#This Row],[製令單號]],record[ProcessSN],O$1)</f>
        <v>15</v>
      </c>
      <c r="P11" s="117">
        <f>_018_5XX[[#This Row],['#5 OK]]-_018_5XX[[#This Row],['#6 OK]]-_018_5XX[[#This Row],['#6 NG]]</f>
        <v>0</v>
      </c>
      <c r="Q11" s="117">
        <f>SUMIFS(record[OK],record[製程料號],_018_5XX[[#This Row],[製令單號]],record[ProcessSN],Q$1)</f>
        <v>784</v>
      </c>
      <c r="R11" s="117">
        <f>SUMIFS(record[NG],record[製程料號],_018_5XX[[#This Row],[製令單號]],record[ProcessSN],R$1)</f>
        <v>39</v>
      </c>
      <c r="S11" s="117">
        <f>_018_5XX[[#This Row],['#6 OK]]-_018_5XX[[#This Row],['#7NG]]-_018_5XX[[#This Row],['#7OK]]</f>
        <v>0</v>
      </c>
      <c r="T11" s="117">
        <f>SUMIFS(record[OK],record[製程料號],_018_5XX[[#This Row],[製令單號]],record[ProcessSN],T$1)</f>
        <v>780</v>
      </c>
      <c r="U11" s="117">
        <f>SUMIFS(record[NG],record[製程料號],_018_5XX[[#This Row],[製令單號]],record[ProcessSN],U$1)</f>
        <v>4</v>
      </c>
      <c r="V11" s="117">
        <f>_018_5XX[[#This Row],['#7OK]]-_018_5XX[[#This Row],[OK]]-_018_5XX[[#This Row],[NG]]</f>
        <v>0</v>
      </c>
      <c r="W11" s="117">
        <f>SUMIFS(record[OK],record[製程料號],_018_5XX[[#This Row],[製令單號]],record[ProcessSN],W$1)</f>
        <v>774</v>
      </c>
      <c r="X11" s="117">
        <f>SUMIFS(record[NG],record[製程料號],_018_5XX[[#This Row],[製令單號]],record[ProcessSN],X$1)</f>
        <v>6</v>
      </c>
      <c r="Y11" s="117">
        <f>_018_5XX[[#This Row],[OK]]-_018_5XX[[#This Row],[入庫]]</f>
        <v>0</v>
      </c>
      <c r="Z11" s="117">
        <f>SUMIFS(record[OK],record[製程料號],_018_5XX[[#This Row],[製令單號]],record[ProcessSN],Z$1)</f>
        <v>774</v>
      </c>
      <c r="AA11" s="117">
        <f>_018_5XX[[#This Row],[入庫]]-IFERROR(SUMIF(分料0185XX[第一製程製令],_018_5XX[[#This Row],[製令單號]],分料0185XX[分配數量]),0)</f>
        <v>0</v>
      </c>
      <c r="AB11" s="187"/>
      <c r="AC11" s="117">
        <f>_018_5XX[[#This Row],[NG]]+_018_5XX[[#This Row],['#6 NG]]+_018_5XX[[#This Row],['#5 NG]]+_018_5XX[[#This Row],['#4 NG]]+_018_5XX[[#This Row],['#3 NG]]+_018_5XX[[#This Row],['#7NG]]</f>
        <v>66</v>
      </c>
      <c r="AD11" s="119">
        <f>IF(_018_5XX[[#This Row],[入庫]]+_018_5XX[[#This Row],[總不良數]]=_018_5XX[[#This Row],[入料數]],_018_5XX[[#This Row],[入庫]]/_018_5XX[[#This Row],[入料數]],"")</f>
        <v>0.92142857142857137</v>
      </c>
      <c r="AG11" s="172">
        <v>46018</v>
      </c>
      <c r="AH11" s="115" t="s">
        <v>594</v>
      </c>
      <c r="AI11" s="159" t="s">
        <v>641</v>
      </c>
      <c r="AJ11" s="122" t="s">
        <v>652</v>
      </c>
      <c r="AK11" s="122">
        <v>161</v>
      </c>
    </row>
    <row r="12" spans="1:43" ht="26.25" x14ac:dyDescent="0.25">
      <c r="A12" s="113">
        <v>45653</v>
      </c>
      <c r="B12" s="114" t="s">
        <v>650</v>
      </c>
      <c r="C12" s="115" t="s">
        <v>502</v>
      </c>
      <c r="D12" s="116">
        <v>1227</v>
      </c>
      <c r="E12" s="117">
        <f>_018_5XX[[#This Row],[入料數]]-_018_5XX[[#This Row],['#03已發料數量]]</f>
        <v>0</v>
      </c>
      <c r="F12" s="117">
        <f>SUMIFS(record[OK],record[製程料號],_018_5XX[[#This Row],[製令單號]],record[ProcessSN],F$1)</f>
        <v>1227</v>
      </c>
      <c r="G12" s="117">
        <f>_018_5XX[[#This Row],['#03已發料數量]]-_018_5XX[[#This Row],['#3 OK]]-_018_5XX[[#This Row],['#3 NG]]</f>
        <v>0</v>
      </c>
      <c r="H12" s="117">
        <f>SUMIFS(record[OK],record[製程料號],_018_5XX[[#This Row],[製令單號]],record[ProcessSN],H$1)</f>
        <v>1223</v>
      </c>
      <c r="I12" s="117">
        <f>SUMIFS(record[NG],record[製程料號],_018_5XX[[#This Row],[製令單號]],record[ProcessSN],I$1)</f>
        <v>4</v>
      </c>
      <c r="J12" s="117">
        <f>_018_5XX[[#This Row],['#3 OK]]-_018_5XX[[#This Row],['#4 OK]]-_018_5XX[[#This Row],['#4 NG]]</f>
        <v>0</v>
      </c>
      <c r="K12" s="117">
        <f>SUMIFS(record[OK],record[製程料號],_018_5XX[[#This Row],[製令單號]],record[ProcessSN],K$1)</f>
        <v>1220</v>
      </c>
      <c r="L12" s="117">
        <f>SUMIFS(record[NG],record[製程料號],_018_5XX[[#This Row],[製令單號]],record[ProcessSN],L$1)</f>
        <v>3</v>
      </c>
      <c r="M12" s="117">
        <f>_018_5XX[[#This Row],['#4 OK]]-_018_5XX[[#This Row],['#5 OK]]-_018_5XX[[#This Row],['#5 NG]]</f>
        <v>0</v>
      </c>
      <c r="N12" s="117">
        <f>SUMIFS(record[OK],record[製程料號],_018_5XX[[#This Row],[製令單號]],record[ProcessSN],N$1)</f>
        <v>1219</v>
      </c>
      <c r="O12" s="117">
        <f>SUMIFS(record[NG],record[製程料號],_018_5XX[[#This Row],[製令單號]],record[ProcessSN],O$1)</f>
        <v>1</v>
      </c>
      <c r="P12" s="117">
        <f>_018_5XX[[#This Row],['#5 OK]]-_018_5XX[[#This Row],['#6 OK]]-_018_5XX[[#This Row],['#6 NG]]</f>
        <v>0</v>
      </c>
      <c r="Q12" s="117">
        <f>SUMIFS(record[OK],record[製程料號],_018_5XX[[#This Row],[製令單號]],record[ProcessSN],Q$1)</f>
        <v>1204</v>
      </c>
      <c r="R12" s="117">
        <f>SUMIFS(record[NG],record[製程料號],_018_5XX[[#This Row],[製令單號]],record[ProcessSN],R$1)</f>
        <v>15</v>
      </c>
      <c r="S12" s="117">
        <f>_018_5XX[[#This Row],['#6 OK]]-_018_5XX[[#This Row],['#7NG]]-_018_5XX[[#This Row],['#7OK]]</f>
        <v>0</v>
      </c>
      <c r="T12" s="117">
        <f>SUMIFS(record[OK],record[製程料號],_018_5XX[[#This Row],[製令單號]],record[ProcessSN],T$1)</f>
        <v>1202</v>
      </c>
      <c r="U12" s="117">
        <f>SUMIFS(record[NG],record[製程料號],_018_5XX[[#This Row],[製令單號]],record[ProcessSN],U$1)</f>
        <v>2</v>
      </c>
      <c r="V12" s="117">
        <f>_018_5XX[[#This Row],['#7OK]]-_018_5XX[[#This Row],[OK]]-_018_5XX[[#This Row],[NG]]</f>
        <v>0</v>
      </c>
      <c r="W12" s="117">
        <f>SUMIFS(record[OK],record[製程料號],_018_5XX[[#This Row],[製令單號]],record[ProcessSN],W$1)</f>
        <v>1181</v>
      </c>
      <c r="X12" s="117">
        <f>SUMIFS(record[NG],record[製程料號],_018_5XX[[#This Row],[製令單號]],record[ProcessSN],X$1)</f>
        <v>21</v>
      </c>
      <c r="Y12" s="117">
        <f>_018_5XX[[#This Row],[OK]]-_018_5XX[[#This Row],[入庫]]</f>
        <v>0</v>
      </c>
      <c r="Z12" s="117">
        <f>SUMIFS(record[OK],record[製程料號],_018_5XX[[#This Row],[製令單號]],record[ProcessSN],Z$1)</f>
        <v>1181</v>
      </c>
      <c r="AA12" s="117">
        <f>_018_5XX[[#This Row],[入庫]]-IFERROR(SUMIF(分料0185XX[第一製程製令],_018_5XX[[#This Row],[製令單號]],分料0185XX[分配數量]),0)</f>
        <v>0</v>
      </c>
      <c r="AB12" s="187"/>
      <c r="AC12" s="117">
        <f>_018_5XX[[#This Row],[NG]]+_018_5XX[[#This Row],['#6 NG]]+_018_5XX[[#This Row],['#5 NG]]+_018_5XX[[#This Row],['#4 NG]]+_018_5XX[[#This Row],['#3 NG]]+_018_5XX[[#This Row],['#7NG]]</f>
        <v>46</v>
      </c>
      <c r="AD12" s="119">
        <f>IF(_018_5XX[[#This Row],[入庫]]+_018_5XX[[#This Row],[總不良數]]=_018_5XX[[#This Row],[入料數]],_018_5XX[[#This Row],[入庫]]/_018_5XX[[#This Row],[入料數]],"")</f>
        <v>0.9625101874490628</v>
      </c>
      <c r="AG12" s="172">
        <v>46021</v>
      </c>
      <c r="AH12" s="115" t="s">
        <v>594</v>
      </c>
      <c r="AI12" s="159" t="s">
        <v>641</v>
      </c>
      <c r="AJ12" s="122" t="s">
        <v>653</v>
      </c>
      <c r="AK12" s="122">
        <v>314</v>
      </c>
    </row>
    <row r="13" spans="1:43" ht="26.25" x14ac:dyDescent="0.25">
      <c r="A13" s="113">
        <v>45733</v>
      </c>
      <c r="B13" s="114" t="s">
        <v>752</v>
      </c>
      <c r="C13" s="115" t="s">
        <v>502</v>
      </c>
      <c r="D13" s="116">
        <v>1926</v>
      </c>
      <c r="E13" s="117">
        <f>_018_5XX[[#This Row],[入料數]]-_018_5XX[[#This Row],['#03已發料數量]]</f>
        <v>0</v>
      </c>
      <c r="F13" s="117">
        <f>SUMIFS(record[OK],record[製程料號],_018_5XX[[#This Row],[製令單號]],record[ProcessSN],F$1)</f>
        <v>1926</v>
      </c>
      <c r="G13" s="117">
        <f>_018_5XX[[#This Row],['#03已發料數量]]-_018_5XX[[#This Row],['#3 OK]]-_018_5XX[[#This Row],['#3 NG]]</f>
        <v>0</v>
      </c>
      <c r="H13" s="117">
        <f>SUMIFS(record[OK],record[製程料號],_018_5XX[[#This Row],[製令單號]],record[ProcessSN],H$1)</f>
        <v>1923</v>
      </c>
      <c r="I13" s="117">
        <f>SUMIFS(record[NG],record[製程料號],_018_5XX[[#This Row],[製令單號]],record[ProcessSN],I$1)</f>
        <v>3</v>
      </c>
      <c r="J13" s="117">
        <f>_018_5XX[[#This Row],['#3 OK]]-_018_5XX[[#This Row],['#4 OK]]-_018_5XX[[#This Row],['#4 NG]]</f>
        <v>0</v>
      </c>
      <c r="K13" s="117">
        <f>SUMIFS(record[OK],record[製程料號],_018_5XX[[#This Row],[製令單號]],record[ProcessSN],K$1)</f>
        <v>1871</v>
      </c>
      <c r="L13" s="117">
        <f>SUMIFS(record[NG],record[製程料號],_018_5XX[[#This Row],[製令單號]],record[ProcessSN],L$1)</f>
        <v>52</v>
      </c>
      <c r="M13" s="117">
        <f>_018_5XX[[#This Row],['#4 OK]]-_018_5XX[[#This Row],['#5 OK]]-_018_5XX[[#This Row],['#5 NG]]</f>
        <v>0</v>
      </c>
      <c r="N13" s="117">
        <f>SUMIFS(record[OK],record[製程料號],_018_5XX[[#This Row],[製令單號]],record[ProcessSN],N$1)</f>
        <v>1863</v>
      </c>
      <c r="O13" s="117">
        <f>SUMIFS(record[NG],record[製程料號],_018_5XX[[#This Row],[製令單號]],record[ProcessSN],O$1)</f>
        <v>8</v>
      </c>
      <c r="P13" s="117">
        <f>_018_5XX[[#This Row],['#5 OK]]-_018_5XX[[#This Row],['#6 OK]]-_018_5XX[[#This Row],['#6 NG]]</f>
        <v>0</v>
      </c>
      <c r="Q13" s="117">
        <f>SUMIFS(record[OK],record[製程料號],_018_5XX[[#This Row],[製令單號]],record[ProcessSN],Q$1)</f>
        <v>1858</v>
      </c>
      <c r="R13" s="117">
        <f>SUMIFS(record[NG],record[製程料號],_018_5XX[[#This Row],[製令單號]],record[ProcessSN],R$1)</f>
        <v>5</v>
      </c>
      <c r="S13" s="117">
        <f>_018_5XX[[#This Row],['#6 OK]]-_018_5XX[[#This Row],['#7NG]]-_018_5XX[[#This Row],['#7OK]]</f>
        <v>0</v>
      </c>
      <c r="T13" s="117">
        <f>SUMIFS(record[OK],record[製程料號],_018_5XX[[#This Row],[製令單號]],record[ProcessSN],T$1)</f>
        <v>1841</v>
      </c>
      <c r="U13" s="117">
        <f>SUMIFS(record[NG],record[製程料號],_018_5XX[[#This Row],[製令單號]],record[ProcessSN],U$1)</f>
        <v>17</v>
      </c>
      <c r="V13" s="117">
        <f>_018_5XX[[#This Row],['#7OK]]-_018_5XX[[#This Row],[OK]]-_018_5XX[[#This Row],[NG]]</f>
        <v>0</v>
      </c>
      <c r="W13" s="117">
        <f>SUMIFS(record[OK],record[製程料號],_018_5XX[[#This Row],[製令單號]],record[ProcessSN],W$1)</f>
        <v>1833</v>
      </c>
      <c r="X13" s="117">
        <f>SUMIFS(record[NG],record[製程料號],_018_5XX[[#This Row],[製令單號]],record[ProcessSN],X$1)</f>
        <v>8</v>
      </c>
      <c r="Y13" s="117">
        <f>_018_5XX[[#This Row],[OK]]-_018_5XX[[#This Row],[入庫]]</f>
        <v>0</v>
      </c>
      <c r="Z13" s="117">
        <f>SUMIFS(record[OK],record[製程料號],_018_5XX[[#This Row],[製令單號]],record[ProcessSN],Z$1)</f>
        <v>1833</v>
      </c>
      <c r="AA13" s="117">
        <f>_018_5XX[[#This Row],[入庫]]-IFERROR(SUMIF(分料0185XX[第一製程製令],_018_5XX[[#This Row],[製令單號]],分料0185XX[分配數量]),0)</f>
        <v>0</v>
      </c>
      <c r="AB13" s="187"/>
      <c r="AC13" s="117">
        <f>_018_5XX[[#This Row],[NG]]+_018_5XX[[#This Row],['#6 NG]]+_018_5XX[[#This Row],['#5 NG]]+_018_5XX[[#This Row],['#4 NG]]+_018_5XX[[#This Row],['#3 NG]]+_018_5XX[[#This Row],['#7NG]]</f>
        <v>93</v>
      </c>
      <c r="AD13" s="119">
        <f>IF(_018_5XX[[#This Row],[入庫]]+_018_5XX[[#This Row],[總不良數]]=_018_5XX[[#This Row],[入料數]],_018_5XX[[#This Row],[入庫]]/_018_5XX[[#This Row],[入料數]],"")</f>
        <v>0.95171339563862933</v>
      </c>
      <c r="AG13" s="172">
        <v>46021</v>
      </c>
      <c r="AH13" s="115" t="s">
        <v>594</v>
      </c>
      <c r="AI13" s="159" t="s">
        <v>641</v>
      </c>
      <c r="AJ13" s="122" t="s">
        <v>654</v>
      </c>
      <c r="AK13" s="122">
        <v>167</v>
      </c>
    </row>
    <row r="14" spans="1:43" ht="26.25" x14ac:dyDescent="0.25">
      <c r="A14" s="113">
        <v>45761</v>
      </c>
      <c r="B14" s="114" t="s">
        <v>767</v>
      </c>
      <c r="C14" s="115" t="s">
        <v>502</v>
      </c>
      <c r="D14" s="116">
        <v>6</v>
      </c>
      <c r="E14" s="117">
        <f>_018_5XX[[#This Row],[入料數]]-_018_5XX[[#This Row],['#03已發料數量]]</f>
        <v>0</v>
      </c>
      <c r="F14" s="117">
        <f>SUMIFS(record[OK],record[製程料號],_018_5XX[[#This Row],[製令單號]],record[ProcessSN],F$1)</f>
        <v>6</v>
      </c>
      <c r="G14" s="117">
        <f>_018_5XX[[#This Row],['#03已發料數量]]-_018_5XX[[#This Row],['#3 OK]]-_018_5XX[[#This Row],['#3 NG]]</f>
        <v>0</v>
      </c>
      <c r="H14" s="117">
        <f>SUMIFS(record[OK],record[製程料號],_018_5XX[[#This Row],[製令單號]],record[ProcessSN],H$1)</f>
        <v>6</v>
      </c>
      <c r="I14" s="117">
        <f>SUMIFS(record[NG],record[製程料號],_018_5XX[[#This Row],[製令單號]],record[ProcessSN],I$1)</f>
        <v>0</v>
      </c>
      <c r="J14" s="117">
        <f>_018_5XX[[#This Row],['#3 OK]]-_018_5XX[[#This Row],['#4 OK]]-_018_5XX[[#This Row],['#4 NG]]</f>
        <v>0</v>
      </c>
      <c r="K14" s="117">
        <f>SUMIFS(record[OK],record[製程料號],_018_5XX[[#This Row],[製令單號]],record[ProcessSN],K$1)</f>
        <v>6</v>
      </c>
      <c r="L14" s="117">
        <f>SUMIFS(record[NG],record[製程料號],_018_5XX[[#This Row],[製令單號]],record[ProcessSN],L$1)</f>
        <v>0</v>
      </c>
      <c r="M14" s="117">
        <f>_018_5XX[[#This Row],['#4 OK]]-_018_5XX[[#This Row],['#5 OK]]-_018_5XX[[#This Row],['#5 NG]]</f>
        <v>0</v>
      </c>
      <c r="N14" s="117">
        <f>SUMIFS(record[OK],record[製程料號],_018_5XX[[#This Row],[製令單號]],record[ProcessSN],N$1)</f>
        <v>6</v>
      </c>
      <c r="O14" s="117">
        <f>SUMIFS(record[NG],record[製程料號],_018_5XX[[#This Row],[製令單號]],record[ProcessSN],O$1)</f>
        <v>0</v>
      </c>
      <c r="P14" s="117">
        <f>_018_5XX[[#This Row],['#5 OK]]-_018_5XX[[#This Row],['#6 OK]]-_018_5XX[[#This Row],['#6 NG]]</f>
        <v>0</v>
      </c>
      <c r="Q14" s="117">
        <f>SUMIFS(record[OK],record[製程料號],_018_5XX[[#This Row],[製令單號]],record[ProcessSN],Q$1)</f>
        <v>6</v>
      </c>
      <c r="R14" s="117">
        <f>SUMIFS(record[NG],record[製程料號],_018_5XX[[#This Row],[製令單號]],record[ProcessSN],R$1)</f>
        <v>0</v>
      </c>
      <c r="S14" s="117">
        <f>_018_5XX[[#This Row],['#6 OK]]-_018_5XX[[#This Row],['#7NG]]-_018_5XX[[#This Row],['#7OK]]</f>
        <v>0</v>
      </c>
      <c r="T14" s="117">
        <f>SUMIFS(record[OK],record[製程料號],_018_5XX[[#This Row],[製令單號]],record[ProcessSN],T$1)</f>
        <v>6</v>
      </c>
      <c r="U14" s="117">
        <f>SUMIFS(record[NG],record[製程料號],_018_5XX[[#This Row],[製令單號]],record[ProcessSN],U$1)</f>
        <v>0</v>
      </c>
      <c r="V14" s="117">
        <f>_018_5XX[[#This Row],['#7OK]]-_018_5XX[[#This Row],[OK]]-_018_5XX[[#This Row],[NG]]</f>
        <v>0</v>
      </c>
      <c r="W14" s="117">
        <f>SUMIFS(record[OK],record[製程料號],_018_5XX[[#This Row],[製令單號]],record[ProcessSN],W$1)</f>
        <v>6</v>
      </c>
      <c r="X14" s="117">
        <f>SUMIFS(record[NG],record[製程料號],_018_5XX[[#This Row],[製令單號]],record[ProcessSN],X$1)</f>
        <v>0</v>
      </c>
      <c r="Y14" s="117">
        <f>_018_5XX[[#This Row],[OK]]-_018_5XX[[#This Row],[入庫]]</f>
        <v>0</v>
      </c>
      <c r="Z14" s="117">
        <f>SUMIFS(record[OK],record[製程料號],_018_5XX[[#This Row],[製令單號]],record[ProcessSN],Z$1)</f>
        <v>6</v>
      </c>
      <c r="AA14" s="117">
        <f>_018_5XX[[#This Row],[入庫]]-IFERROR(SUMIF(分料0185XX[第一製程製令],_018_5XX[[#This Row],[製令單號]],分料0185XX[分配數量]),0)</f>
        <v>0</v>
      </c>
      <c r="AB14" s="187"/>
      <c r="AC14" s="117">
        <f>_018_5XX[[#This Row],[NG]]+_018_5XX[[#This Row],['#6 NG]]+_018_5XX[[#This Row],['#5 NG]]+_018_5XX[[#This Row],['#4 NG]]+_018_5XX[[#This Row],['#3 NG]]+_018_5XX[[#This Row],['#7NG]]</f>
        <v>0</v>
      </c>
      <c r="AD14" s="119">
        <f>IF(_018_5XX[[#This Row],[入庫]]+_018_5XX[[#This Row],[總不良數]]=_018_5XX[[#This Row],[入料數]],_018_5XX[[#This Row],[入庫]]/_018_5XX[[#This Row],[入料數]],"")</f>
        <v>1</v>
      </c>
      <c r="AG14" s="172">
        <v>45659</v>
      </c>
      <c r="AH14" s="115" t="s">
        <v>594</v>
      </c>
      <c r="AI14" s="159" t="s">
        <v>641</v>
      </c>
      <c r="AJ14" s="122" t="s">
        <v>655</v>
      </c>
      <c r="AK14" s="122">
        <v>329</v>
      </c>
    </row>
    <row r="15" spans="1:43" ht="26.25" x14ac:dyDescent="0.25">
      <c r="A15" s="113">
        <v>45768</v>
      </c>
      <c r="B15" s="114" t="s">
        <v>778</v>
      </c>
      <c r="C15" s="115" t="s">
        <v>502</v>
      </c>
      <c r="D15" s="116">
        <v>3781</v>
      </c>
      <c r="E15" s="117">
        <f>_018_5XX[[#This Row],[入料數]]-_018_5XX[[#This Row],['#03已發料數量]]</f>
        <v>0</v>
      </c>
      <c r="F15" s="117">
        <f>SUMIFS(record[OK],record[製程料號],_018_5XX[[#This Row],[製令單號]],record[ProcessSN],F$1)</f>
        <v>3781</v>
      </c>
      <c r="G15" s="117">
        <f>_018_5XX[[#This Row],['#03已發料數量]]-_018_5XX[[#This Row],['#3 OK]]-_018_5XX[[#This Row],['#3 NG]]</f>
        <v>0</v>
      </c>
      <c r="H15" s="117">
        <f>SUMIFS(record[OK],record[製程料號],_018_5XX[[#This Row],[製令單號]],record[ProcessSN],H$1)</f>
        <v>3779</v>
      </c>
      <c r="I15" s="117">
        <f>SUMIFS(record[NG],record[製程料號],_018_5XX[[#This Row],[製令單號]],record[ProcessSN],I$1)</f>
        <v>2</v>
      </c>
      <c r="J15" s="117">
        <f>_018_5XX[[#This Row],['#3 OK]]-_018_5XX[[#This Row],['#4 OK]]-_018_5XX[[#This Row],['#4 NG]]</f>
        <v>0</v>
      </c>
      <c r="K15" s="117">
        <f>SUMIFS(record[OK],record[製程料號],_018_5XX[[#This Row],[製令單號]],record[ProcessSN],K$1)</f>
        <v>3756</v>
      </c>
      <c r="L15" s="117">
        <f>SUMIFS(record[NG],record[製程料號],_018_5XX[[#This Row],[製令單號]],record[ProcessSN],L$1)</f>
        <v>23</v>
      </c>
      <c r="M15" s="117">
        <f>_018_5XX[[#This Row],['#4 OK]]-_018_5XX[[#This Row],['#5 OK]]-_018_5XX[[#This Row],['#5 NG]]</f>
        <v>0</v>
      </c>
      <c r="N15" s="117">
        <f>SUMIFS(record[OK],record[製程料號],_018_5XX[[#This Row],[製令單號]],record[ProcessSN],N$1)</f>
        <v>3750</v>
      </c>
      <c r="O15" s="117">
        <f>SUMIFS(record[NG],record[製程料號],_018_5XX[[#This Row],[製令單號]],record[ProcessSN],O$1)</f>
        <v>6</v>
      </c>
      <c r="P15" s="117">
        <f>_018_5XX[[#This Row],['#5 OK]]-_018_5XX[[#This Row],['#6 OK]]-_018_5XX[[#This Row],['#6 NG]]</f>
        <v>0</v>
      </c>
      <c r="Q15" s="117">
        <f>SUMIFS(record[OK],record[製程料號],_018_5XX[[#This Row],[製令單號]],record[ProcessSN],Q$1)</f>
        <v>3738</v>
      </c>
      <c r="R15" s="117">
        <f>SUMIFS(record[NG],record[製程料號],_018_5XX[[#This Row],[製令單號]],record[ProcessSN],R$1)</f>
        <v>12</v>
      </c>
      <c r="S15" s="117">
        <f>_018_5XX[[#This Row],['#6 OK]]-_018_5XX[[#This Row],['#7NG]]-_018_5XX[[#This Row],['#7OK]]</f>
        <v>0</v>
      </c>
      <c r="T15" s="117">
        <f>SUMIFS(record[OK],record[製程料號],_018_5XX[[#This Row],[製令單號]],record[ProcessSN],T$1)</f>
        <v>3715</v>
      </c>
      <c r="U15" s="117">
        <f>SUMIFS(record[NG],record[製程料號],_018_5XX[[#This Row],[製令單號]],record[ProcessSN],U$1)</f>
        <v>23</v>
      </c>
      <c r="V15" s="117">
        <f>_018_5XX[[#This Row],['#7OK]]-_018_5XX[[#This Row],[OK]]-_018_5XX[[#This Row],[NG]]</f>
        <v>0</v>
      </c>
      <c r="W15" s="117">
        <f>SUMIFS(record[OK],record[製程料號],_018_5XX[[#This Row],[製令單號]],record[ProcessSN],W$1)</f>
        <v>3512</v>
      </c>
      <c r="X15" s="117">
        <f>SUMIFS(record[NG],record[製程料號],_018_5XX[[#This Row],[製令單號]],record[ProcessSN],X$1)</f>
        <v>203</v>
      </c>
      <c r="Y15" s="117">
        <f>_018_5XX[[#This Row],[OK]]-_018_5XX[[#This Row],[入庫]]</f>
        <v>0</v>
      </c>
      <c r="Z15" s="117">
        <f>SUMIFS(record[OK],record[製程料號],_018_5XX[[#This Row],[製令單號]],record[ProcessSN],Z$1)</f>
        <v>3512</v>
      </c>
      <c r="AA15" s="117">
        <f>_018_5XX[[#This Row],[入庫]]-IFERROR(SUMIF(分料0185XX[第一製程製令],_018_5XX[[#This Row],[製令單號]],分料0185XX[分配數量]),0)</f>
        <v>0</v>
      </c>
      <c r="AB15" s="187"/>
      <c r="AC15" s="117">
        <f>_018_5XX[[#This Row],[NG]]+_018_5XX[[#This Row],['#6 NG]]+_018_5XX[[#This Row],['#5 NG]]+_018_5XX[[#This Row],['#4 NG]]+_018_5XX[[#This Row],['#3 NG]]+_018_5XX[[#This Row],['#7NG]]</f>
        <v>269</v>
      </c>
      <c r="AD15" s="119">
        <f>IF(_018_5XX[[#This Row],[入庫]]+_018_5XX[[#This Row],[總不良數]]=_018_5XX[[#This Row],[入料數]],_018_5XX[[#This Row],[入庫]]/_018_5XX[[#This Row],[入料數]],"")</f>
        <v>0.92885480031737633</v>
      </c>
      <c r="AG15" s="172">
        <v>45660</v>
      </c>
      <c r="AH15" s="115" t="s">
        <v>659</v>
      </c>
      <c r="AI15" s="159" t="s">
        <v>641</v>
      </c>
      <c r="AJ15" s="122" t="s">
        <v>660</v>
      </c>
      <c r="AK15" s="122">
        <v>5</v>
      </c>
    </row>
    <row r="16" spans="1:43" ht="26.25" x14ac:dyDescent="0.25">
      <c r="A16" s="113">
        <v>45821</v>
      </c>
      <c r="B16" s="114" t="s">
        <v>854</v>
      </c>
      <c r="C16" s="115" t="s">
        <v>502</v>
      </c>
      <c r="D16" s="116">
        <v>2000</v>
      </c>
      <c r="E16" s="117">
        <f>_018_5XX[[#This Row],[入料數]]-_018_5XX[[#This Row],['#03已發料數量]]</f>
        <v>0</v>
      </c>
      <c r="F16" s="117">
        <f>SUMIFS(record[OK],record[製程料號],_018_5XX[[#This Row],[製令單號]],record[ProcessSN],F$1)</f>
        <v>2000</v>
      </c>
      <c r="G16" s="117">
        <f>_018_5XX[[#This Row],['#03已發料數量]]-_018_5XX[[#This Row],['#3 OK]]-_018_5XX[[#This Row],['#3 NG]]</f>
        <v>0</v>
      </c>
      <c r="H16" s="117">
        <f>SUMIFS(record[OK],record[製程料號],_018_5XX[[#This Row],[製令單號]],record[ProcessSN],H$1)</f>
        <v>2000</v>
      </c>
      <c r="I16" s="117">
        <f>SUMIFS(record[NG],record[製程料號],_018_5XX[[#This Row],[製令單號]],record[ProcessSN],I$1)</f>
        <v>0</v>
      </c>
      <c r="J16" s="117">
        <f>_018_5XX[[#This Row],['#3 OK]]-_018_5XX[[#This Row],['#4 OK]]-_018_5XX[[#This Row],['#4 NG]]</f>
        <v>0</v>
      </c>
      <c r="K16" s="117">
        <f>SUMIFS(record[OK],record[製程料號],_018_5XX[[#This Row],[製令單號]],record[ProcessSN],K$1)</f>
        <v>1794</v>
      </c>
      <c r="L16" s="117">
        <f>SUMIFS(record[NG],record[製程料號],_018_5XX[[#This Row],[製令單號]],record[ProcessSN],L$1)</f>
        <v>206</v>
      </c>
      <c r="M16" s="117">
        <f>_018_5XX[[#This Row],['#4 OK]]-_018_5XX[[#This Row],['#5 OK]]-_018_5XX[[#This Row],['#5 NG]]</f>
        <v>0</v>
      </c>
      <c r="N16" s="117">
        <f>SUMIFS(record[OK],record[製程料號],_018_5XX[[#This Row],[製令單號]],record[ProcessSN],N$1)</f>
        <v>1780</v>
      </c>
      <c r="O16" s="117">
        <f>SUMIFS(record[NG],record[製程料號],_018_5XX[[#This Row],[製令單號]],record[ProcessSN],O$1)</f>
        <v>14</v>
      </c>
      <c r="P16" s="117">
        <f>_018_5XX[[#This Row],['#5 OK]]-_018_5XX[[#This Row],['#6 OK]]-_018_5XX[[#This Row],['#6 NG]]</f>
        <v>0</v>
      </c>
      <c r="Q16" s="117">
        <f>SUMIFS(record[OK],record[製程料號],_018_5XX[[#This Row],[製令單號]],record[ProcessSN],Q$1)</f>
        <v>1778</v>
      </c>
      <c r="R16" s="117">
        <f>SUMIFS(record[NG],record[製程料號],_018_5XX[[#This Row],[製令單號]],record[ProcessSN],R$1)</f>
        <v>2</v>
      </c>
      <c r="S16" s="117">
        <f>_018_5XX[[#This Row],['#6 OK]]-_018_5XX[[#This Row],['#7NG]]-_018_5XX[[#This Row],['#7OK]]</f>
        <v>0</v>
      </c>
      <c r="T16" s="117">
        <f>SUMIFS(record[OK],record[製程料號],_018_5XX[[#This Row],[製令單號]],record[ProcessSN],T$1)</f>
        <v>1776</v>
      </c>
      <c r="U16" s="117">
        <f>SUMIFS(record[NG],record[製程料號],_018_5XX[[#This Row],[製令單號]],record[ProcessSN],U$1)</f>
        <v>2</v>
      </c>
      <c r="V16" s="117">
        <f>_018_5XX[[#This Row],['#7OK]]-_018_5XX[[#This Row],[OK]]-_018_5XX[[#This Row],[NG]]</f>
        <v>0</v>
      </c>
      <c r="W16" s="117">
        <f>SUMIFS(record[OK],record[製程料號],_018_5XX[[#This Row],[製令單號]],record[ProcessSN],W$1)</f>
        <v>1742</v>
      </c>
      <c r="X16" s="117">
        <f>SUMIFS(record[NG],record[製程料號],_018_5XX[[#This Row],[製令單號]],record[ProcessSN],X$1)</f>
        <v>34</v>
      </c>
      <c r="Y16" s="117">
        <f>_018_5XX[[#This Row],[OK]]-_018_5XX[[#This Row],[入庫]]</f>
        <v>0</v>
      </c>
      <c r="Z16" s="117">
        <f>SUMIFS(record[OK],record[製程料號],_018_5XX[[#This Row],[製令單號]],record[ProcessSN],Z$1)</f>
        <v>1742</v>
      </c>
      <c r="AA16" s="117">
        <f>_018_5XX[[#This Row],[入庫]]-IFERROR(SUMIF(分料0185XX[第一製程製令],_018_5XX[[#This Row],[製令單號]],分料0185XX[分配數量]),0)</f>
        <v>0</v>
      </c>
      <c r="AB16" s="187"/>
      <c r="AC16" s="117">
        <f>_018_5XX[[#This Row],[NG]]+_018_5XX[[#This Row],['#6 NG]]+_018_5XX[[#This Row],['#5 NG]]+_018_5XX[[#This Row],['#4 NG]]+_018_5XX[[#This Row],['#3 NG]]+_018_5XX[[#This Row],['#7NG]]</f>
        <v>258</v>
      </c>
      <c r="AD16" s="119">
        <f>IF(_018_5XX[[#This Row],[入庫]]+_018_5XX[[#This Row],[總不良數]]=_018_5XX[[#This Row],[入料數]],_018_5XX[[#This Row],[入庫]]/_018_5XX[[#This Row],[入料數]],"")</f>
        <v>0.871</v>
      </c>
      <c r="AG16" s="172">
        <v>45660</v>
      </c>
      <c r="AH16" s="115" t="s">
        <v>594</v>
      </c>
      <c r="AI16" s="159" t="s">
        <v>641</v>
      </c>
      <c r="AJ16" s="122" t="s">
        <v>660</v>
      </c>
      <c r="AK16" s="122">
        <v>459</v>
      </c>
    </row>
    <row r="17" spans="1:37" ht="26.25" x14ac:dyDescent="0.25">
      <c r="A17" s="113">
        <v>45824</v>
      </c>
      <c r="B17" s="114" t="s">
        <v>855</v>
      </c>
      <c r="C17" s="115" t="s">
        <v>502</v>
      </c>
      <c r="D17" s="116">
        <v>222</v>
      </c>
      <c r="E17" s="117">
        <f>_018_5XX[[#This Row],[入料數]]-_018_5XX[[#This Row],['#03已發料數量]]</f>
        <v>0</v>
      </c>
      <c r="F17" s="117">
        <f>SUMIFS(record[OK],record[製程料號],_018_5XX[[#This Row],[製令單號]],record[ProcessSN],F$1)</f>
        <v>222</v>
      </c>
      <c r="G17" s="117">
        <f>_018_5XX[[#This Row],['#03已發料數量]]-_018_5XX[[#This Row],['#3 OK]]-_018_5XX[[#This Row],['#3 NG]]</f>
        <v>0</v>
      </c>
      <c r="H17" s="117">
        <f>SUMIFS(record[OK],record[製程料號],_018_5XX[[#This Row],[製令單號]],record[ProcessSN],H$1)</f>
        <v>222</v>
      </c>
      <c r="I17" s="117">
        <f>SUMIFS(record[NG],record[製程料號],_018_5XX[[#This Row],[製令單號]],record[ProcessSN],I$1)</f>
        <v>0</v>
      </c>
      <c r="J17" s="117">
        <f>_018_5XX[[#This Row],['#3 OK]]-_018_5XX[[#This Row],['#4 OK]]-_018_5XX[[#This Row],['#4 NG]]</f>
        <v>0</v>
      </c>
      <c r="K17" s="117">
        <f>SUMIFS(record[OK],record[製程料號],_018_5XX[[#This Row],[製令單號]],record[ProcessSN],K$1)</f>
        <v>222</v>
      </c>
      <c r="L17" s="117">
        <f>SUMIFS(record[NG],record[製程料號],_018_5XX[[#This Row],[製令單號]],record[ProcessSN],L$1)</f>
        <v>0</v>
      </c>
      <c r="M17" s="117">
        <f>_018_5XX[[#This Row],['#4 OK]]-_018_5XX[[#This Row],['#5 OK]]-_018_5XX[[#This Row],['#5 NG]]</f>
        <v>0</v>
      </c>
      <c r="N17" s="117">
        <f>SUMIFS(record[OK],record[製程料號],_018_5XX[[#This Row],[製令單號]],record[ProcessSN],N$1)</f>
        <v>222</v>
      </c>
      <c r="O17" s="117">
        <f>SUMIFS(record[NG],record[製程料號],_018_5XX[[#This Row],[製令單號]],record[ProcessSN],O$1)</f>
        <v>0</v>
      </c>
      <c r="P17" s="117">
        <f>_018_5XX[[#This Row],['#5 OK]]-_018_5XX[[#This Row],['#6 OK]]-_018_5XX[[#This Row],['#6 NG]]</f>
        <v>0</v>
      </c>
      <c r="Q17" s="117">
        <f>SUMIFS(record[OK],record[製程料號],_018_5XX[[#This Row],[製令單號]],record[ProcessSN],Q$1)</f>
        <v>222</v>
      </c>
      <c r="R17" s="117">
        <f>SUMIFS(record[NG],record[製程料號],_018_5XX[[#This Row],[製令單號]],record[ProcessSN],R$1)</f>
        <v>0</v>
      </c>
      <c r="S17" s="117">
        <f>_018_5XX[[#This Row],['#6 OK]]-_018_5XX[[#This Row],['#7NG]]-_018_5XX[[#This Row],['#7OK]]</f>
        <v>0</v>
      </c>
      <c r="T17" s="117">
        <f>SUMIFS(record[OK],record[製程料號],_018_5XX[[#This Row],[製令單號]],record[ProcessSN],T$1)</f>
        <v>222</v>
      </c>
      <c r="U17" s="117">
        <f>SUMIFS(record[NG],record[製程料號],_018_5XX[[#This Row],[製令單號]],record[ProcessSN],U$1)</f>
        <v>0</v>
      </c>
      <c r="V17" s="117">
        <f>_018_5XX[[#This Row],['#7OK]]-_018_5XX[[#This Row],[OK]]-_018_5XX[[#This Row],[NG]]</f>
        <v>0</v>
      </c>
      <c r="W17" s="117">
        <f>SUMIFS(record[OK],record[製程料號],_018_5XX[[#This Row],[製令單號]],record[ProcessSN],W$1)</f>
        <v>222</v>
      </c>
      <c r="X17" s="117">
        <f>SUMIFS(record[NG],record[製程料號],_018_5XX[[#This Row],[製令單號]],record[ProcessSN],X$1)</f>
        <v>0</v>
      </c>
      <c r="Y17" s="117">
        <f>_018_5XX[[#This Row],[OK]]-_018_5XX[[#This Row],[入庫]]</f>
        <v>0</v>
      </c>
      <c r="Z17" s="117">
        <f>SUMIFS(record[OK],record[製程料號],_018_5XX[[#This Row],[製令單號]],record[ProcessSN],Z$1)</f>
        <v>222</v>
      </c>
      <c r="AA17" s="117">
        <f>_018_5XX[[#This Row],[入庫]]-IFERROR(SUMIF(分料0185XX[第一製程製令],_018_5XX[[#This Row],[製令單號]],分料0185XX[分配數量]),0)</f>
        <v>0</v>
      </c>
      <c r="AB17" s="187"/>
      <c r="AC17" s="117">
        <f>_018_5XX[[#This Row],[NG]]+_018_5XX[[#This Row],['#6 NG]]+_018_5XX[[#This Row],['#5 NG]]+_018_5XX[[#This Row],['#4 NG]]+_018_5XX[[#This Row],['#3 NG]]+_018_5XX[[#This Row],['#7NG]]</f>
        <v>0</v>
      </c>
      <c r="AD17" s="119">
        <f>IF(_018_5XX[[#This Row],[入庫]]+_018_5XX[[#This Row],[總不良數]]=_018_5XX[[#This Row],[入料數]],_018_5XX[[#This Row],[入庫]]/_018_5XX[[#This Row],[入料數]],"")</f>
        <v>1</v>
      </c>
      <c r="AG17" s="172">
        <v>45663</v>
      </c>
      <c r="AH17" s="115" t="s">
        <v>594</v>
      </c>
      <c r="AI17" s="159" t="s">
        <v>641</v>
      </c>
      <c r="AJ17" s="122" t="s">
        <v>663</v>
      </c>
      <c r="AK17" s="122">
        <v>486</v>
      </c>
    </row>
    <row r="18" spans="1:37" ht="26.25" x14ac:dyDescent="0.25">
      <c r="A18" s="113">
        <v>45838</v>
      </c>
      <c r="B18" s="114" t="s">
        <v>877</v>
      </c>
      <c r="C18" s="115" t="s">
        <v>502</v>
      </c>
      <c r="D18" s="116">
        <v>1199</v>
      </c>
      <c r="E18" s="117">
        <f>_018_5XX[[#This Row],[入料數]]-_018_5XX[[#This Row],['#03已發料數量]]</f>
        <v>0</v>
      </c>
      <c r="F18" s="117">
        <f>SUMIFS(record[OK],record[製程料號],_018_5XX[[#This Row],[製令單號]],record[ProcessSN],F$1)</f>
        <v>1199</v>
      </c>
      <c r="G18" s="117">
        <f>_018_5XX[[#This Row],['#03已發料數量]]-_018_5XX[[#This Row],['#3 OK]]-_018_5XX[[#This Row],['#3 NG]]</f>
        <v>0</v>
      </c>
      <c r="H18" s="117">
        <f>SUMIFS(record[OK],record[製程料號],_018_5XX[[#This Row],[製令單號]],record[ProcessSN],H$1)</f>
        <v>1199</v>
      </c>
      <c r="I18" s="117">
        <f>SUMIFS(record[NG],record[製程料號],_018_5XX[[#This Row],[製令單號]],record[ProcessSN],I$1)</f>
        <v>0</v>
      </c>
      <c r="J18" s="117">
        <f>_018_5XX[[#This Row],['#3 OK]]-_018_5XX[[#This Row],['#4 OK]]-_018_5XX[[#This Row],['#4 NG]]</f>
        <v>0</v>
      </c>
      <c r="K18" s="117">
        <f>SUMIFS(record[OK],record[製程料號],_018_5XX[[#This Row],[製令單號]],record[ProcessSN],K$1)</f>
        <v>1177</v>
      </c>
      <c r="L18" s="117">
        <f>SUMIFS(record[NG],record[製程料號],_018_5XX[[#This Row],[製令單號]],record[ProcessSN],L$1)</f>
        <v>22</v>
      </c>
      <c r="M18" s="117">
        <f>_018_5XX[[#This Row],['#4 OK]]-_018_5XX[[#This Row],['#5 OK]]-_018_5XX[[#This Row],['#5 NG]]</f>
        <v>0</v>
      </c>
      <c r="N18" s="117">
        <f>SUMIFS(record[OK],record[製程料號],_018_5XX[[#This Row],[製令單號]],record[ProcessSN],N$1)</f>
        <v>1176</v>
      </c>
      <c r="O18" s="117">
        <f>SUMIFS(record[NG],record[製程料號],_018_5XX[[#This Row],[製令單號]],record[ProcessSN],O$1)</f>
        <v>1</v>
      </c>
      <c r="P18" s="117">
        <f>_018_5XX[[#This Row],['#5 OK]]-_018_5XX[[#This Row],['#6 OK]]-_018_5XX[[#This Row],['#6 NG]]</f>
        <v>0</v>
      </c>
      <c r="Q18" s="117">
        <f>SUMIFS(record[OK],record[製程料號],_018_5XX[[#This Row],[製令單號]],record[ProcessSN],Q$1)</f>
        <v>1139</v>
      </c>
      <c r="R18" s="117">
        <f>SUMIFS(record[NG],record[製程料號],_018_5XX[[#This Row],[製令單號]],record[ProcessSN],R$1)</f>
        <v>37</v>
      </c>
      <c r="S18" s="117">
        <f>_018_5XX[[#This Row],['#6 OK]]-_018_5XX[[#This Row],['#7NG]]-_018_5XX[[#This Row],['#7OK]]</f>
        <v>0</v>
      </c>
      <c r="T18" s="117">
        <f>SUMIFS(record[OK],record[製程料號],_018_5XX[[#This Row],[製令單號]],record[ProcessSN],T$1)</f>
        <v>1125</v>
      </c>
      <c r="U18" s="117">
        <f>SUMIFS(record[NG],record[製程料號],_018_5XX[[#This Row],[製令單號]],record[ProcessSN],U$1)</f>
        <v>14</v>
      </c>
      <c r="V18" s="117">
        <f>_018_5XX[[#This Row],['#7OK]]-_018_5XX[[#This Row],[OK]]-_018_5XX[[#This Row],[NG]]</f>
        <v>0</v>
      </c>
      <c r="W18" s="117">
        <f>SUMIFS(record[OK],record[製程料號],_018_5XX[[#This Row],[製令單號]],record[ProcessSN],W$1)</f>
        <v>1078</v>
      </c>
      <c r="X18" s="117">
        <f>SUMIFS(record[NG],record[製程料號],_018_5XX[[#This Row],[製令單號]],record[ProcessSN],X$1)</f>
        <v>47</v>
      </c>
      <c r="Y18" s="117">
        <f>_018_5XX[[#This Row],[OK]]-_018_5XX[[#This Row],[入庫]]</f>
        <v>0</v>
      </c>
      <c r="Z18" s="117">
        <f>SUMIFS(record[OK],record[製程料號],_018_5XX[[#This Row],[製令單號]],record[ProcessSN],Z$1)</f>
        <v>1078</v>
      </c>
      <c r="AA18" s="117">
        <f>_018_5XX[[#This Row],[入庫]]-IFERROR(SUMIF(分料0185XX[第一製程製令],_018_5XX[[#This Row],[製令單號]],分料0185XX[分配數量]),0)</f>
        <v>0</v>
      </c>
      <c r="AB18" s="187"/>
      <c r="AC18" s="117">
        <f>_018_5XX[[#This Row],[NG]]+_018_5XX[[#This Row],['#6 NG]]+_018_5XX[[#This Row],['#5 NG]]+_018_5XX[[#This Row],['#4 NG]]+_018_5XX[[#This Row],['#3 NG]]+_018_5XX[[#This Row],['#7NG]]</f>
        <v>121</v>
      </c>
      <c r="AD18" s="119">
        <f>IF(_018_5XX[[#This Row],[入庫]]+_018_5XX[[#This Row],[總不良數]]=_018_5XX[[#This Row],[入料數]],_018_5XX[[#This Row],[入庫]]/_018_5XX[[#This Row],[入料數]],"")</f>
        <v>0.8990825688073395</v>
      </c>
      <c r="AG18" s="172">
        <v>45671</v>
      </c>
      <c r="AH18" s="115" t="s">
        <v>688</v>
      </c>
      <c r="AI18" s="159" t="s">
        <v>641</v>
      </c>
      <c r="AJ18" s="122" t="s">
        <v>684</v>
      </c>
      <c r="AK18" s="122">
        <v>71</v>
      </c>
    </row>
    <row r="19" spans="1:37" ht="26.25" x14ac:dyDescent="0.25">
      <c r="A19" s="113">
        <v>45852</v>
      </c>
      <c r="B19" s="114" t="s">
        <v>897</v>
      </c>
      <c r="C19" s="115" t="s">
        <v>502</v>
      </c>
      <c r="D19" s="116">
        <v>1800</v>
      </c>
      <c r="E19" s="117">
        <f>_018_5XX[[#This Row],[入料數]]-_018_5XX[[#This Row],['#03已發料數量]]</f>
        <v>0</v>
      </c>
      <c r="F19" s="117">
        <f>SUMIFS(record[OK],record[製程料號],_018_5XX[[#This Row],[製令單號]],record[ProcessSN],F$1)</f>
        <v>1800</v>
      </c>
      <c r="G19" s="117">
        <f>_018_5XX[[#This Row],['#03已發料數量]]-_018_5XX[[#This Row],['#3 OK]]-_018_5XX[[#This Row],['#3 NG]]</f>
        <v>0</v>
      </c>
      <c r="H19" s="117">
        <f>SUMIFS(record[OK],record[製程料號],_018_5XX[[#This Row],[製令單號]],record[ProcessSN],H$1)</f>
        <v>1793</v>
      </c>
      <c r="I19" s="117">
        <f>SUMIFS(record[NG],record[製程料號],_018_5XX[[#This Row],[製令單號]],record[ProcessSN],I$1)</f>
        <v>7</v>
      </c>
      <c r="J19" s="117">
        <f>_018_5XX[[#This Row],['#3 OK]]-_018_5XX[[#This Row],['#4 OK]]-_018_5XX[[#This Row],['#4 NG]]</f>
        <v>0</v>
      </c>
      <c r="K19" s="117">
        <f>SUMIFS(record[OK],record[製程料號],_018_5XX[[#This Row],[製令單號]],record[ProcessSN],K$1)</f>
        <v>1788</v>
      </c>
      <c r="L19" s="117">
        <f>SUMIFS(record[NG],record[製程料號],_018_5XX[[#This Row],[製令單號]],record[ProcessSN],L$1)</f>
        <v>5</v>
      </c>
      <c r="M19" s="117">
        <f>_018_5XX[[#This Row],['#4 OK]]-_018_5XX[[#This Row],['#5 OK]]-_018_5XX[[#This Row],['#5 NG]]</f>
        <v>0</v>
      </c>
      <c r="N19" s="117">
        <f>SUMIFS(record[OK],record[製程料號],_018_5XX[[#This Row],[製令單號]],record[ProcessSN],N$1)</f>
        <v>1788</v>
      </c>
      <c r="O19" s="117">
        <f>SUMIFS(record[NG],record[製程料號],_018_5XX[[#This Row],[製令單號]],record[ProcessSN],O$1)</f>
        <v>0</v>
      </c>
      <c r="P19" s="117">
        <f>_018_5XX[[#This Row],['#5 OK]]-_018_5XX[[#This Row],['#6 OK]]-_018_5XX[[#This Row],['#6 NG]]</f>
        <v>0</v>
      </c>
      <c r="Q19" s="117">
        <f>SUMIFS(record[OK],record[製程料號],_018_5XX[[#This Row],[製令單號]],record[ProcessSN],Q$1)</f>
        <v>1781</v>
      </c>
      <c r="R19" s="117">
        <f>SUMIFS(record[NG],record[製程料號],_018_5XX[[#This Row],[製令單號]],record[ProcessSN],R$1)</f>
        <v>7</v>
      </c>
      <c r="S19" s="117">
        <f>_018_5XX[[#This Row],['#6 OK]]-_018_5XX[[#This Row],['#7NG]]-_018_5XX[[#This Row],['#7OK]]</f>
        <v>0</v>
      </c>
      <c r="T19" s="117">
        <f>SUMIFS(record[OK],record[製程料號],_018_5XX[[#This Row],[製令單號]],record[ProcessSN],T$1)</f>
        <v>1773</v>
      </c>
      <c r="U19" s="117">
        <f>SUMIFS(record[NG],record[製程料號],_018_5XX[[#This Row],[製令單號]],record[ProcessSN],U$1)</f>
        <v>8</v>
      </c>
      <c r="V19" s="117">
        <f>_018_5XX[[#This Row],['#7OK]]-_018_5XX[[#This Row],[OK]]-_018_5XX[[#This Row],[NG]]</f>
        <v>0</v>
      </c>
      <c r="W19" s="117">
        <f>SUMIFS(record[OK],record[製程料號],_018_5XX[[#This Row],[製令單號]],record[ProcessSN],W$1)</f>
        <v>1757</v>
      </c>
      <c r="X19" s="117">
        <f>SUMIFS(record[NG],record[製程料號],_018_5XX[[#This Row],[製令單號]],record[ProcessSN],X$1)</f>
        <v>16</v>
      </c>
      <c r="Y19" s="117">
        <f>_018_5XX[[#This Row],[OK]]-_018_5XX[[#This Row],[入庫]]</f>
        <v>0</v>
      </c>
      <c r="Z19" s="117">
        <f>SUMIFS(record[OK],record[製程料號],_018_5XX[[#This Row],[製令單號]],record[ProcessSN],Z$1)</f>
        <v>1757</v>
      </c>
      <c r="AA19" s="117">
        <f>_018_5XX[[#This Row],[入庫]]-IFERROR(SUMIF(分料0185XX[第一製程製令],_018_5XX[[#This Row],[製令單號]],分料0185XX[分配數量]),0)</f>
        <v>0</v>
      </c>
      <c r="AB19" s="187"/>
      <c r="AC19" s="117">
        <f>_018_5XX[[#This Row],[NG]]+_018_5XX[[#This Row],['#6 NG]]+_018_5XX[[#This Row],['#5 NG]]+_018_5XX[[#This Row],['#4 NG]]+_018_5XX[[#This Row],['#3 NG]]+_018_5XX[[#This Row],['#7NG]]</f>
        <v>43</v>
      </c>
      <c r="AD19" s="119">
        <f>IF(_018_5XX[[#This Row],[入庫]]+_018_5XX[[#This Row],[總不良數]]=_018_5XX[[#This Row],[入料數]],_018_5XX[[#This Row],[入庫]]/_018_5XX[[#This Row],[入料數]],"")</f>
        <v>0.97611111111111115</v>
      </c>
      <c r="AG19" s="172">
        <v>45671</v>
      </c>
      <c r="AH19" s="115" t="s">
        <v>685</v>
      </c>
      <c r="AI19" s="159" t="s">
        <v>641</v>
      </c>
      <c r="AJ19" s="122" t="s">
        <v>684</v>
      </c>
      <c r="AK19" s="122">
        <v>3</v>
      </c>
    </row>
    <row r="20" spans="1:37" ht="26.25" x14ac:dyDescent="0.25">
      <c r="A20" s="113">
        <v>45853</v>
      </c>
      <c r="B20" s="114" t="s">
        <v>904</v>
      </c>
      <c r="C20" s="115" t="s">
        <v>502</v>
      </c>
      <c r="D20" s="116">
        <v>1410</v>
      </c>
      <c r="E20" s="117">
        <f>_018_5XX[[#This Row],[入料數]]-_018_5XX[[#This Row],['#03已發料數量]]</f>
        <v>0</v>
      </c>
      <c r="F20" s="117">
        <f>SUMIFS(record[OK],record[製程料號],_018_5XX[[#This Row],[製令單號]],record[ProcessSN],F$1)</f>
        <v>1410</v>
      </c>
      <c r="G20" s="117">
        <f>_018_5XX[[#This Row],['#03已發料數量]]-_018_5XX[[#This Row],['#3 OK]]-_018_5XX[[#This Row],['#3 NG]]</f>
        <v>0</v>
      </c>
      <c r="H20" s="117">
        <f>SUMIFS(record[OK],record[製程料號],_018_5XX[[#This Row],[製令單號]],record[ProcessSN],H$1)</f>
        <v>1403</v>
      </c>
      <c r="I20" s="117">
        <f>SUMIFS(record[NG],record[製程料號],_018_5XX[[#This Row],[製令單號]],record[ProcessSN],I$1)</f>
        <v>7</v>
      </c>
      <c r="J20" s="117">
        <f>_018_5XX[[#This Row],['#3 OK]]-_018_5XX[[#This Row],['#4 OK]]-_018_5XX[[#This Row],['#4 NG]]</f>
        <v>0</v>
      </c>
      <c r="K20" s="117">
        <f>SUMIFS(record[OK],record[製程料號],_018_5XX[[#This Row],[製令單號]],record[ProcessSN],K$1)</f>
        <v>1401</v>
      </c>
      <c r="L20" s="117">
        <f>SUMIFS(record[NG],record[製程料號],_018_5XX[[#This Row],[製令單號]],record[ProcessSN],L$1)</f>
        <v>2</v>
      </c>
      <c r="M20" s="117">
        <f>_018_5XX[[#This Row],['#4 OK]]-_018_5XX[[#This Row],['#5 OK]]-_018_5XX[[#This Row],['#5 NG]]</f>
        <v>0</v>
      </c>
      <c r="N20" s="117">
        <f>SUMIFS(record[OK],record[製程料號],_018_5XX[[#This Row],[製令單號]],record[ProcessSN],N$1)</f>
        <v>1400</v>
      </c>
      <c r="O20" s="117">
        <f>SUMIFS(record[NG],record[製程料號],_018_5XX[[#This Row],[製令單號]],record[ProcessSN],O$1)</f>
        <v>1</v>
      </c>
      <c r="P20" s="117">
        <f>_018_5XX[[#This Row],['#5 OK]]-_018_5XX[[#This Row],['#6 OK]]-_018_5XX[[#This Row],['#6 NG]]</f>
        <v>0</v>
      </c>
      <c r="Q20" s="117">
        <f>SUMIFS(record[OK],record[製程料號],_018_5XX[[#This Row],[製令單號]],record[ProcessSN],Q$1)</f>
        <v>1397</v>
      </c>
      <c r="R20" s="117">
        <f>SUMIFS(record[NG],record[製程料號],_018_5XX[[#This Row],[製令單號]],record[ProcessSN],R$1)</f>
        <v>3</v>
      </c>
      <c r="S20" s="117">
        <f>_018_5XX[[#This Row],['#6 OK]]-_018_5XX[[#This Row],['#7NG]]-_018_5XX[[#This Row],['#7OK]]</f>
        <v>0</v>
      </c>
      <c r="T20" s="117">
        <f>SUMIFS(record[OK],record[製程料號],_018_5XX[[#This Row],[製令單號]],record[ProcessSN],T$1)</f>
        <v>1391</v>
      </c>
      <c r="U20" s="117">
        <f>SUMIFS(record[NG],record[製程料號],_018_5XX[[#This Row],[製令單號]],record[ProcessSN],U$1)</f>
        <v>6</v>
      </c>
      <c r="V20" s="117">
        <f>_018_5XX[[#This Row],['#7OK]]-_018_5XX[[#This Row],[OK]]-_018_5XX[[#This Row],[NG]]</f>
        <v>0</v>
      </c>
      <c r="W20" s="117">
        <f>SUMIFS(record[OK],record[製程料號],_018_5XX[[#This Row],[製令單號]],record[ProcessSN],W$1)</f>
        <v>1353</v>
      </c>
      <c r="X20" s="117">
        <f>SUMIFS(record[NG],record[製程料號],_018_5XX[[#This Row],[製令單號]],record[ProcessSN],X$1)</f>
        <v>38</v>
      </c>
      <c r="Y20" s="117">
        <f>_018_5XX[[#This Row],[OK]]-_018_5XX[[#This Row],[入庫]]</f>
        <v>0</v>
      </c>
      <c r="Z20" s="117">
        <f>SUMIFS(record[OK],record[製程料號],_018_5XX[[#This Row],[製令單號]],record[ProcessSN],Z$1)</f>
        <v>1353</v>
      </c>
      <c r="AA20" s="117">
        <f>_018_5XX[[#This Row],[入庫]]-IFERROR(SUMIF(分料0185XX[第一製程製令],_018_5XX[[#This Row],[製令單號]],分料0185XX[分配數量]),0)</f>
        <v>0</v>
      </c>
      <c r="AB20" s="187"/>
      <c r="AC20" s="117">
        <f>_018_5XX[[#This Row],[NG]]+_018_5XX[[#This Row],['#6 NG]]+_018_5XX[[#This Row],['#5 NG]]+_018_5XX[[#This Row],['#4 NG]]+_018_5XX[[#This Row],['#3 NG]]+_018_5XX[[#This Row],['#7NG]]</f>
        <v>57</v>
      </c>
      <c r="AD20" s="119">
        <f>IF(_018_5XX[[#This Row],[入庫]]+_018_5XX[[#This Row],[總不良數]]=_018_5XX[[#This Row],[入料數]],_018_5XX[[#This Row],[入庫]]/_018_5XX[[#This Row],[入料數]],"")</f>
        <v>0.95957446808510638</v>
      </c>
      <c r="AG20" s="172">
        <v>45671</v>
      </c>
      <c r="AH20" s="115" t="s">
        <v>594</v>
      </c>
      <c r="AI20" s="159" t="s">
        <v>641</v>
      </c>
      <c r="AJ20" s="122" t="s">
        <v>684</v>
      </c>
      <c r="AK20" s="122">
        <v>2</v>
      </c>
    </row>
    <row r="21" spans="1:37" ht="26.25" x14ac:dyDescent="0.25">
      <c r="A21" s="113">
        <v>45891</v>
      </c>
      <c r="B21" s="114" t="s">
        <v>1001</v>
      </c>
      <c r="C21" s="115" t="s">
        <v>502</v>
      </c>
      <c r="D21" s="116">
        <v>672</v>
      </c>
      <c r="E21" s="117">
        <f>_018_5XX[[#This Row],[入料數]]-_018_5XX[[#This Row],['#03已發料數量]]</f>
        <v>0</v>
      </c>
      <c r="F21" s="117">
        <f>SUMIFS(record[OK],record[製程料號],_018_5XX[[#This Row],[製令單號]],record[ProcessSN],F$1)</f>
        <v>672</v>
      </c>
      <c r="G21" s="117">
        <f>_018_5XX[[#This Row],['#03已發料數量]]-_018_5XX[[#This Row],['#3 OK]]-_018_5XX[[#This Row],['#3 NG]]</f>
        <v>0</v>
      </c>
      <c r="H21" s="117">
        <f>SUMIFS(record[OK],record[製程料號],_018_5XX[[#This Row],[製令單號]],record[ProcessSN],H$1)</f>
        <v>671</v>
      </c>
      <c r="I21" s="117">
        <f>SUMIFS(record[NG],record[製程料號],_018_5XX[[#This Row],[製令單號]],record[ProcessSN],I$1)</f>
        <v>1</v>
      </c>
      <c r="J21" s="117">
        <f>_018_5XX[[#This Row],['#3 OK]]-_018_5XX[[#This Row],['#4 OK]]-_018_5XX[[#This Row],['#4 NG]]</f>
        <v>0</v>
      </c>
      <c r="K21" s="117">
        <f>SUMIFS(record[OK],record[製程料號],_018_5XX[[#This Row],[製令單號]],record[ProcessSN],K$1)</f>
        <v>641</v>
      </c>
      <c r="L21" s="117">
        <f>SUMIFS(record[NG],record[製程料號],_018_5XX[[#This Row],[製令單號]],record[ProcessSN],L$1)</f>
        <v>30</v>
      </c>
      <c r="M21" s="117">
        <f>_018_5XX[[#This Row],['#4 OK]]-_018_5XX[[#This Row],['#5 OK]]-_018_5XX[[#This Row],['#5 NG]]</f>
        <v>0</v>
      </c>
      <c r="N21" s="117">
        <f>SUMIFS(record[OK],record[製程料號],_018_5XX[[#This Row],[製令單號]],record[ProcessSN],N$1)</f>
        <v>641</v>
      </c>
      <c r="O21" s="117">
        <f>SUMIFS(record[NG],record[製程料號],_018_5XX[[#This Row],[製令單號]],record[ProcessSN],O$1)</f>
        <v>0</v>
      </c>
      <c r="P21" s="117">
        <f>_018_5XX[[#This Row],['#5 OK]]-_018_5XX[[#This Row],['#6 OK]]-_018_5XX[[#This Row],['#6 NG]]</f>
        <v>0</v>
      </c>
      <c r="Q21" s="117">
        <f>SUMIFS(record[OK],record[製程料號],_018_5XX[[#This Row],[製令單號]],record[ProcessSN],Q$1)</f>
        <v>638</v>
      </c>
      <c r="R21" s="117">
        <f>SUMIFS(record[NG],record[製程料號],_018_5XX[[#This Row],[製令單號]],record[ProcessSN],R$1)</f>
        <v>3</v>
      </c>
      <c r="S21" s="117">
        <f>_018_5XX[[#This Row],['#6 OK]]-_018_5XX[[#This Row],['#7NG]]-_018_5XX[[#This Row],['#7OK]]</f>
        <v>0</v>
      </c>
      <c r="T21" s="117">
        <f>SUMIFS(record[OK],record[製程料號],_018_5XX[[#This Row],[製令單號]],record[ProcessSN],T$1)</f>
        <v>632</v>
      </c>
      <c r="U21" s="117">
        <f>SUMIFS(record[NG],record[製程料號],_018_5XX[[#This Row],[製令單號]],record[ProcessSN],U$1)</f>
        <v>6</v>
      </c>
      <c r="V21" s="117">
        <f>_018_5XX[[#This Row],['#7OK]]-_018_5XX[[#This Row],[OK]]-_018_5XX[[#This Row],[NG]]</f>
        <v>0</v>
      </c>
      <c r="W21" s="117">
        <f>SUMIFS(record[OK],record[製程料號],_018_5XX[[#This Row],[製令單號]],record[ProcessSN],W$1)</f>
        <v>627</v>
      </c>
      <c r="X21" s="117">
        <f>SUMIFS(record[NG],record[製程料號],_018_5XX[[#This Row],[製令單號]],record[ProcessSN],X$1)</f>
        <v>5</v>
      </c>
      <c r="Y21" s="117">
        <f>_018_5XX[[#This Row],[OK]]-_018_5XX[[#This Row],[入庫]]</f>
        <v>0</v>
      </c>
      <c r="Z21" s="117">
        <f>SUMIFS(record[OK],record[製程料號],_018_5XX[[#This Row],[製令單號]],record[ProcessSN],Z$1)</f>
        <v>627</v>
      </c>
      <c r="AA21" s="117">
        <f>_018_5XX[[#This Row],[入庫]]-IFERROR(SUMIF(分料0185XX[第一製程製令],_018_5XX[[#This Row],[製令單號]],分料0185XX[分配數量]),0)</f>
        <v>0</v>
      </c>
      <c r="AB21" s="187"/>
      <c r="AC21" s="117">
        <f>_018_5XX[[#This Row],[NG]]+_018_5XX[[#This Row],['#6 NG]]+_018_5XX[[#This Row],['#5 NG]]+_018_5XX[[#This Row],['#4 NG]]+_018_5XX[[#This Row],['#3 NG]]+_018_5XX[[#This Row],['#7NG]]</f>
        <v>45</v>
      </c>
      <c r="AD21" s="119">
        <f>IF(_018_5XX[[#This Row],[入庫]]+_018_5XX[[#This Row],[總不良數]]=_018_5XX[[#This Row],[入料數]],_018_5XX[[#This Row],[入庫]]/_018_5XX[[#This Row],[入料數]],"")</f>
        <v>0.9330357142857143</v>
      </c>
      <c r="AG21" s="172">
        <v>45671</v>
      </c>
      <c r="AH21" s="115" t="s">
        <v>642</v>
      </c>
      <c r="AI21" s="159" t="s">
        <v>641</v>
      </c>
      <c r="AJ21" s="122" t="s">
        <v>684</v>
      </c>
      <c r="AK21" s="122">
        <v>276</v>
      </c>
    </row>
    <row r="22" spans="1:37" ht="26.25" x14ac:dyDescent="0.25">
      <c r="A22" s="113">
        <v>45894</v>
      </c>
      <c r="B22" s="114" t="s">
        <v>1015</v>
      </c>
      <c r="C22" s="115" t="s">
        <v>502</v>
      </c>
      <c r="D22" s="116">
        <v>504</v>
      </c>
      <c r="E22" s="117">
        <f>_018_5XX[[#This Row],[入料數]]-_018_5XX[[#This Row],['#03已發料數量]]</f>
        <v>0</v>
      </c>
      <c r="F22" s="117">
        <f>SUMIFS(record[OK],record[製程料號],_018_5XX[[#This Row],[製令單號]],record[ProcessSN],F$1)</f>
        <v>504</v>
      </c>
      <c r="G22" s="117">
        <f>_018_5XX[[#This Row],['#03已發料數量]]-_018_5XX[[#This Row],['#3 OK]]-_018_5XX[[#This Row],['#3 NG]]</f>
        <v>0</v>
      </c>
      <c r="H22" s="117">
        <f>SUMIFS(record[OK],record[製程料號],_018_5XX[[#This Row],[製令單號]],record[ProcessSN],H$1)</f>
        <v>504</v>
      </c>
      <c r="I22" s="117">
        <f>SUMIFS(record[NG],record[製程料號],_018_5XX[[#This Row],[製令單號]],record[ProcessSN],I$1)</f>
        <v>0</v>
      </c>
      <c r="J22" s="117">
        <f>_018_5XX[[#This Row],['#3 OK]]-_018_5XX[[#This Row],['#4 OK]]-_018_5XX[[#This Row],['#4 NG]]</f>
        <v>0</v>
      </c>
      <c r="K22" s="117">
        <f>SUMIFS(record[OK],record[製程料號],_018_5XX[[#This Row],[製令單號]],record[ProcessSN],K$1)</f>
        <v>504</v>
      </c>
      <c r="L22" s="117">
        <f>SUMIFS(record[NG],record[製程料號],_018_5XX[[#This Row],[製令單號]],record[ProcessSN],L$1)</f>
        <v>0</v>
      </c>
      <c r="M22" s="117">
        <f>_018_5XX[[#This Row],['#4 OK]]-_018_5XX[[#This Row],['#5 OK]]-_018_5XX[[#This Row],['#5 NG]]</f>
        <v>0</v>
      </c>
      <c r="N22" s="117">
        <f>SUMIFS(record[OK],record[製程料號],_018_5XX[[#This Row],[製令單號]],record[ProcessSN],N$1)</f>
        <v>483</v>
      </c>
      <c r="O22" s="117">
        <f>SUMIFS(record[NG],record[製程料號],_018_5XX[[#This Row],[製令單號]],record[ProcessSN],O$1)</f>
        <v>21</v>
      </c>
      <c r="P22" s="117">
        <f>_018_5XX[[#This Row],['#5 OK]]-_018_5XX[[#This Row],['#6 OK]]-_018_5XX[[#This Row],['#6 NG]]</f>
        <v>0</v>
      </c>
      <c r="Q22" s="117">
        <f>SUMIFS(record[OK],record[製程料號],_018_5XX[[#This Row],[製令單號]],record[ProcessSN],Q$1)</f>
        <v>481</v>
      </c>
      <c r="R22" s="117">
        <f>SUMIFS(record[NG],record[製程料號],_018_5XX[[#This Row],[製令單號]],record[ProcessSN],R$1)</f>
        <v>2</v>
      </c>
      <c r="S22" s="117">
        <f>_018_5XX[[#This Row],['#6 OK]]-_018_5XX[[#This Row],['#7NG]]-_018_5XX[[#This Row],['#7OK]]</f>
        <v>0</v>
      </c>
      <c r="T22" s="117">
        <f>SUMIFS(record[OK],record[製程料號],_018_5XX[[#This Row],[製令單號]],record[ProcessSN],T$1)</f>
        <v>478</v>
      </c>
      <c r="U22" s="117">
        <f>SUMIFS(record[NG],record[製程料號],_018_5XX[[#This Row],[製令單號]],record[ProcessSN],U$1)</f>
        <v>3</v>
      </c>
      <c r="V22" s="117">
        <f>_018_5XX[[#This Row],['#7OK]]-_018_5XX[[#This Row],[OK]]-_018_5XX[[#This Row],[NG]]</f>
        <v>0</v>
      </c>
      <c r="W22" s="117">
        <f>SUMIFS(record[OK],record[製程料號],_018_5XX[[#This Row],[製令單號]],record[ProcessSN],W$1)</f>
        <v>474</v>
      </c>
      <c r="X22" s="117">
        <f>SUMIFS(record[NG],record[製程料號],_018_5XX[[#This Row],[製令單號]],record[ProcessSN],X$1)</f>
        <v>4</v>
      </c>
      <c r="Y22" s="117">
        <f>_018_5XX[[#This Row],[OK]]-_018_5XX[[#This Row],[入庫]]</f>
        <v>0</v>
      </c>
      <c r="Z22" s="117">
        <f>SUMIFS(record[OK],record[製程料號],_018_5XX[[#This Row],[製令單號]],record[ProcessSN],Z$1)</f>
        <v>474</v>
      </c>
      <c r="AA22" s="117">
        <f>_018_5XX[[#This Row],[入庫]]-IFERROR(SUMIF(分料0185XX[第一製程製令],_018_5XX[[#This Row],[製令單號]],分料0185XX[分配數量]),0)</f>
        <v>0</v>
      </c>
      <c r="AB22" s="187"/>
      <c r="AC22" s="117">
        <f>_018_5XX[[#This Row],[NG]]+_018_5XX[[#This Row],['#6 NG]]+_018_5XX[[#This Row],['#5 NG]]+_018_5XX[[#This Row],['#4 NG]]+_018_5XX[[#This Row],['#3 NG]]+_018_5XX[[#This Row],['#7NG]]</f>
        <v>30</v>
      </c>
      <c r="AD22" s="119">
        <f>IF(_018_5XX[[#This Row],[入庫]]+_018_5XX[[#This Row],[總不良數]]=_018_5XX[[#This Row],[入料數]],_018_5XX[[#This Row],[入庫]]/_018_5XX[[#This Row],[入料數]],"")</f>
        <v>0.94047619047619047</v>
      </c>
      <c r="AG22" s="172">
        <v>45672</v>
      </c>
      <c r="AH22" s="115" t="s">
        <v>642</v>
      </c>
      <c r="AI22" s="159" t="s">
        <v>641</v>
      </c>
      <c r="AJ22" s="122" t="s">
        <v>689</v>
      </c>
      <c r="AK22" s="122">
        <v>162</v>
      </c>
    </row>
    <row r="23" spans="1:37" ht="26.25" x14ac:dyDescent="0.25">
      <c r="A23" s="113">
        <v>45894</v>
      </c>
      <c r="B23" s="114" t="s">
        <v>1018</v>
      </c>
      <c r="C23" s="115" t="s">
        <v>502</v>
      </c>
      <c r="D23" s="116">
        <v>504</v>
      </c>
      <c r="E23" s="117">
        <f>_018_5XX[[#This Row],[入料數]]-_018_5XX[[#This Row],['#03已發料數量]]</f>
        <v>0</v>
      </c>
      <c r="F23" s="117">
        <f>SUMIFS(record[OK],record[製程料號],_018_5XX[[#This Row],[製令單號]],record[ProcessSN],F$1)</f>
        <v>504</v>
      </c>
      <c r="G23" s="117">
        <f>_018_5XX[[#This Row],['#03已發料數量]]-_018_5XX[[#This Row],['#3 OK]]-_018_5XX[[#This Row],['#3 NG]]</f>
        <v>0</v>
      </c>
      <c r="H23" s="117">
        <f>SUMIFS(record[OK],record[製程料號],_018_5XX[[#This Row],[製令單號]],record[ProcessSN],H$1)</f>
        <v>502</v>
      </c>
      <c r="I23" s="117">
        <f>SUMIFS(record[NG],record[製程料號],_018_5XX[[#This Row],[製令單號]],record[ProcessSN],I$1)</f>
        <v>2</v>
      </c>
      <c r="J23" s="117">
        <f>_018_5XX[[#This Row],['#3 OK]]-_018_5XX[[#This Row],['#4 OK]]-_018_5XX[[#This Row],['#4 NG]]</f>
        <v>0</v>
      </c>
      <c r="K23" s="117">
        <f>SUMIFS(record[OK],record[製程料號],_018_5XX[[#This Row],[製令單號]],record[ProcessSN],K$1)</f>
        <v>499</v>
      </c>
      <c r="L23" s="117">
        <f>SUMIFS(record[NG],record[製程料號],_018_5XX[[#This Row],[製令單號]],record[ProcessSN],L$1)</f>
        <v>3</v>
      </c>
      <c r="M23" s="117">
        <f>_018_5XX[[#This Row],['#4 OK]]-_018_5XX[[#This Row],['#5 OK]]-_018_5XX[[#This Row],['#5 NG]]</f>
        <v>0</v>
      </c>
      <c r="N23" s="117">
        <f>SUMIFS(record[OK],record[製程料號],_018_5XX[[#This Row],[製令單號]],record[ProcessSN],N$1)</f>
        <v>492</v>
      </c>
      <c r="O23" s="117">
        <f>SUMIFS(record[NG],record[製程料號],_018_5XX[[#This Row],[製令單號]],record[ProcessSN],O$1)</f>
        <v>7</v>
      </c>
      <c r="P23" s="117">
        <f>_018_5XX[[#This Row],['#5 OK]]-_018_5XX[[#This Row],['#6 OK]]-_018_5XX[[#This Row],['#6 NG]]</f>
        <v>0</v>
      </c>
      <c r="Q23" s="117">
        <f>SUMIFS(record[OK],record[製程料號],_018_5XX[[#This Row],[製令單號]],record[ProcessSN],Q$1)</f>
        <v>492</v>
      </c>
      <c r="R23" s="117">
        <f>SUMIFS(record[NG],record[製程料號],_018_5XX[[#This Row],[製令單號]],record[ProcessSN],R$1)</f>
        <v>0</v>
      </c>
      <c r="S23" s="117">
        <f>_018_5XX[[#This Row],['#6 OK]]-_018_5XX[[#This Row],['#7NG]]-_018_5XX[[#This Row],['#7OK]]</f>
        <v>0</v>
      </c>
      <c r="T23" s="117">
        <f>SUMIFS(record[OK],record[製程料號],_018_5XX[[#This Row],[製令單號]],record[ProcessSN],T$1)</f>
        <v>479</v>
      </c>
      <c r="U23" s="117">
        <f>SUMIFS(record[NG],record[製程料號],_018_5XX[[#This Row],[製令單號]],record[ProcessSN],U$1)</f>
        <v>13</v>
      </c>
      <c r="V23" s="117">
        <f>_018_5XX[[#This Row],['#7OK]]-_018_5XX[[#This Row],[OK]]-_018_5XX[[#This Row],[NG]]</f>
        <v>0</v>
      </c>
      <c r="W23" s="117">
        <f>SUMIFS(record[OK],record[製程料號],_018_5XX[[#This Row],[製令單號]],record[ProcessSN],W$1)</f>
        <v>473</v>
      </c>
      <c r="X23" s="117">
        <f>SUMIFS(record[NG],record[製程料號],_018_5XX[[#This Row],[製令單號]],record[ProcessSN],X$1)</f>
        <v>6</v>
      </c>
      <c r="Y23" s="117">
        <f>_018_5XX[[#This Row],[OK]]-_018_5XX[[#This Row],[入庫]]</f>
        <v>0</v>
      </c>
      <c r="Z23" s="117">
        <f>SUMIFS(record[OK],record[製程料號],_018_5XX[[#This Row],[製令單號]],record[ProcessSN],Z$1)</f>
        <v>473</v>
      </c>
      <c r="AA23" s="117">
        <f>_018_5XX[[#This Row],[入庫]]-IFERROR(SUMIF(分料0185XX[第一製程製令],_018_5XX[[#This Row],[製令單號]],分料0185XX[分配數量]),0)</f>
        <v>0</v>
      </c>
      <c r="AB23" s="187"/>
      <c r="AC23" s="117">
        <f>_018_5XX[[#This Row],[NG]]+_018_5XX[[#This Row],['#6 NG]]+_018_5XX[[#This Row],['#5 NG]]+_018_5XX[[#This Row],['#4 NG]]+_018_5XX[[#This Row],['#3 NG]]+_018_5XX[[#This Row],['#7NG]]</f>
        <v>31</v>
      </c>
      <c r="AD23" s="119">
        <f>IF(_018_5XX[[#This Row],[入庫]]+_018_5XX[[#This Row],[總不良數]]=_018_5XX[[#This Row],[入料數]],_018_5XX[[#This Row],[入庫]]/_018_5XX[[#This Row],[入料數]],"")</f>
        <v>0.93849206349206349</v>
      </c>
      <c r="AG23" s="173">
        <v>45673</v>
      </c>
      <c r="AH23" s="115" t="s">
        <v>642</v>
      </c>
      <c r="AI23" s="159" t="s">
        <v>641</v>
      </c>
      <c r="AJ23" s="129" t="s">
        <v>698</v>
      </c>
      <c r="AK23" s="129">
        <v>159</v>
      </c>
    </row>
    <row r="24" spans="1:37" ht="26.25" x14ac:dyDescent="0.25">
      <c r="A24" s="113">
        <v>45902</v>
      </c>
      <c r="B24" s="114" t="s">
        <v>1024</v>
      </c>
      <c r="C24" s="115" t="s">
        <v>502</v>
      </c>
      <c r="D24" s="116">
        <v>2000</v>
      </c>
      <c r="E24" s="117">
        <f>_018_5XX[[#This Row],[入料數]]-_018_5XX[[#This Row],['#03已發料數量]]</f>
        <v>0</v>
      </c>
      <c r="F24" s="117">
        <f>SUMIFS(record[OK],record[製程料號],_018_5XX[[#This Row],[製令單號]],record[ProcessSN],F$1)</f>
        <v>2000</v>
      </c>
      <c r="G24" s="117">
        <f>_018_5XX[[#This Row],['#03已發料數量]]-_018_5XX[[#This Row],['#3 OK]]-_018_5XX[[#This Row],['#3 NG]]</f>
        <v>0</v>
      </c>
      <c r="H24" s="117">
        <f>SUMIFS(record[OK],record[製程料號],_018_5XX[[#This Row],[製令單號]],record[ProcessSN],H$1)</f>
        <v>2000</v>
      </c>
      <c r="I24" s="117">
        <f>SUMIFS(record[NG],record[製程料號],_018_5XX[[#This Row],[製令單號]],record[ProcessSN],I$1)</f>
        <v>0</v>
      </c>
      <c r="J24" s="117">
        <f>_018_5XX[[#This Row],['#3 OK]]-_018_5XX[[#This Row],['#4 OK]]-_018_5XX[[#This Row],['#4 NG]]</f>
        <v>0</v>
      </c>
      <c r="K24" s="117">
        <f>SUMIFS(record[OK],record[製程料號],_018_5XX[[#This Row],[製令單號]],record[ProcessSN],K$1)</f>
        <v>1972</v>
      </c>
      <c r="L24" s="117">
        <f>SUMIFS(record[NG],record[製程料號],_018_5XX[[#This Row],[製令單號]],record[ProcessSN],L$1)</f>
        <v>28</v>
      </c>
      <c r="M24" s="117">
        <f>_018_5XX[[#This Row],['#4 OK]]-_018_5XX[[#This Row],['#5 OK]]-_018_5XX[[#This Row],['#5 NG]]</f>
        <v>0</v>
      </c>
      <c r="N24" s="117">
        <f>SUMIFS(record[OK],record[製程料號],_018_5XX[[#This Row],[製令單號]],record[ProcessSN],N$1)</f>
        <v>1972</v>
      </c>
      <c r="O24" s="117">
        <f>SUMIFS(record[NG],record[製程料號],_018_5XX[[#This Row],[製令單號]],record[ProcessSN],O$1)</f>
        <v>0</v>
      </c>
      <c r="P24" s="117">
        <f>_018_5XX[[#This Row],['#5 OK]]-_018_5XX[[#This Row],['#6 OK]]-_018_5XX[[#This Row],['#6 NG]]</f>
        <v>0</v>
      </c>
      <c r="Q24" s="117">
        <f>SUMIFS(record[OK],record[製程料號],_018_5XX[[#This Row],[製令單號]],record[ProcessSN],Q$1)</f>
        <v>1965</v>
      </c>
      <c r="R24" s="117">
        <f>SUMIFS(record[NG],record[製程料號],_018_5XX[[#This Row],[製令單號]],record[ProcessSN],R$1)</f>
        <v>7</v>
      </c>
      <c r="S24" s="117">
        <f>_018_5XX[[#This Row],['#6 OK]]-_018_5XX[[#This Row],['#7NG]]-_018_5XX[[#This Row],['#7OK]]</f>
        <v>0</v>
      </c>
      <c r="T24" s="117">
        <f>SUMIFS(record[OK],record[製程料號],_018_5XX[[#This Row],[製令單號]],record[ProcessSN],T$1)</f>
        <v>1962</v>
      </c>
      <c r="U24" s="117">
        <f>SUMIFS(record[NG],record[製程料號],_018_5XX[[#This Row],[製令單號]],record[ProcessSN],U$1)</f>
        <v>3</v>
      </c>
      <c r="V24" s="117">
        <f>_018_5XX[[#This Row],['#7OK]]-_018_5XX[[#This Row],[OK]]-_018_5XX[[#This Row],[NG]]</f>
        <v>0</v>
      </c>
      <c r="W24" s="117">
        <f>SUMIFS(record[OK],record[製程料號],_018_5XX[[#This Row],[製令單號]],record[ProcessSN],W$1)</f>
        <v>1957</v>
      </c>
      <c r="X24" s="117">
        <f>SUMIFS(record[NG],record[製程料號],_018_5XX[[#This Row],[製令單號]],record[ProcessSN],X$1)</f>
        <v>5</v>
      </c>
      <c r="Y24" s="117">
        <f>_018_5XX[[#This Row],[OK]]-_018_5XX[[#This Row],[入庫]]</f>
        <v>0</v>
      </c>
      <c r="Z24" s="117">
        <f>SUMIFS(record[OK],record[製程料號],_018_5XX[[#This Row],[製令單號]],record[ProcessSN],Z$1)</f>
        <v>1957</v>
      </c>
      <c r="AA24" s="117">
        <f>_018_5XX[[#This Row],[入庫]]-IFERROR(SUMIF(分料0185XX[第一製程製令],_018_5XX[[#This Row],[製令單號]],分料0185XX[分配數量]),0)</f>
        <v>0</v>
      </c>
      <c r="AB24" s="187"/>
      <c r="AC24" s="117">
        <f>_018_5XX[[#This Row],[NG]]+_018_5XX[[#This Row],['#6 NG]]+_018_5XX[[#This Row],['#5 NG]]+_018_5XX[[#This Row],['#4 NG]]+_018_5XX[[#This Row],['#3 NG]]+_018_5XX[[#This Row],['#7NG]]</f>
        <v>43</v>
      </c>
      <c r="AD24" s="119">
        <f>IF(_018_5XX[[#This Row],[入庫]]+_018_5XX[[#This Row],[總不良數]]=_018_5XX[[#This Row],[入料數]],_018_5XX[[#This Row],[入庫]]/_018_5XX[[#This Row],[入料數]],"")</f>
        <v>0.97850000000000004</v>
      </c>
      <c r="AG24" s="173">
        <v>45674</v>
      </c>
      <c r="AH24" s="127" t="s">
        <v>642</v>
      </c>
      <c r="AI24" s="128" t="s">
        <v>641</v>
      </c>
      <c r="AJ24" s="129" t="s">
        <v>700</v>
      </c>
      <c r="AK24" s="129">
        <v>160</v>
      </c>
    </row>
    <row r="25" spans="1:37" ht="26.25" x14ac:dyDescent="0.25">
      <c r="A25" s="113">
        <v>45957</v>
      </c>
      <c r="B25" s="114" t="s">
        <v>1157</v>
      </c>
      <c r="C25" s="115" t="s">
        <v>502</v>
      </c>
      <c r="D25" s="116">
        <v>35</v>
      </c>
      <c r="E25" s="117">
        <f>_018_5XX[[#This Row],[入料數]]-_018_5XX[[#This Row],['#03已發料數量]]</f>
        <v>0</v>
      </c>
      <c r="F25" s="117">
        <f>SUMIFS(record[OK],record[製程料號],_018_5XX[[#This Row],[製令單號]],record[ProcessSN],F$1)</f>
        <v>35</v>
      </c>
      <c r="G25" s="117">
        <f>_018_5XX[[#This Row],['#03已發料數量]]-_018_5XX[[#This Row],['#3 OK]]-_018_5XX[[#This Row],['#3 NG]]</f>
        <v>0</v>
      </c>
      <c r="H25" s="117">
        <f>SUMIFS(record[OK],record[製程料號],_018_5XX[[#This Row],[製令單號]],record[ProcessSN],H$1)</f>
        <v>35</v>
      </c>
      <c r="I25" s="117">
        <f>SUMIFS(record[NG],record[製程料號],_018_5XX[[#This Row],[製令單號]],record[ProcessSN],I$1)</f>
        <v>0</v>
      </c>
      <c r="J25" s="117">
        <f>_018_5XX[[#This Row],['#3 OK]]-_018_5XX[[#This Row],['#4 OK]]-_018_5XX[[#This Row],['#4 NG]]</f>
        <v>0</v>
      </c>
      <c r="K25" s="117">
        <f>SUMIFS(record[OK],record[製程料號],_018_5XX[[#This Row],[製令單號]],record[ProcessSN],K$1)</f>
        <v>35</v>
      </c>
      <c r="L25" s="117">
        <f>SUMIFS(record[NG],record[製程料號],_018_5XX[[#This Row],[製令單號]],record[ProcessSN],L$1)</f>
        <v>0</v>
      </c>
      <c r="M25" s="117">
        <f>_018_5XX[[#This Row],['#4 OK]]-_018_5XX[[#This Row],['#5 OK]]-_018_5XX[[#This Row],['#5 NG]]</f>
        <v>0</v>
      </c>
      <c r="N25" s="117">
        <f>SUMIFS(record[OK],record[製程料號],_018_5XX[[#This Row],[製令單號]],record[ProcessSN],N$1)</f>
        <v>35</v>
      </c>
      <c r="O25" s="117">
        <f>SUMIFS(record[NG],record[製程料號],_018_5XX[[#This Row],[製令單號]],record[ProcessSN],O$1)</f>
        <v>0</v>
      </c>
      <c r="P25" s="117">
        <f>_018_5XX[[#This Row],['#5 OK]]-_018_5XX[[#This Row],['#6 OK]]-_018_5XX[[#This Row],['#6 NG]]</f>
        <v>0</v>
      </c>
      <c r="Q25" s="117">
        <f>SUMIFS(record[OK],record[製程料號],_018_5XX[[#This Row],[製令單號]],record[ProcessSN],Q$1)</f>
        <v>35</v>
      </c>
      <c r="R25" s="117">
        <f>SUMIFS(record[NG],record[製程料號],_018_5XX[[#This Row],[製令單號]],record[ProcessSN],R$1)</f>
        <v>0</v>
      </c>
      <c r="S25" s="117">
        <f>_018_5XX[[#This Row],['#6 OK]]-_018_5XX[[#This Row],['#7NG]]-_018_5XX[[#This Row],['#7OK]]</f>
        <v>0</v>
      </c>
      <c r="T25" s="117">
        <f>SUMIFS(record[OK],record[製程料號],_018_5XX[[#This Row],[製令單號]],record[ProcessSN],T$1)</f>
        <v>35</v>
      </c>
      <c r="U25" s="117">
        <f>SUMIFS(record[NG],record[製程料號],_018_5XX[[#This Row],[製令單號]],record[ProcessSN],U$1)</f>
        <v>0</v>
      </c>
      <c r="V25" s="117">
        <f>_018_5XX[[#This Row],['#7OK]]-_018_5XX[[#This Row],[OK]]-_018_5XX[[#This Row],[NG]]</f>
        <v>0</v>
      </c>
      <c r="W25" s="117">
        <f>SUMIFS(record[OK],record[製程料號],_018_5XX[[#This Row],[製令單號]],record[ProcessSN],W$1)</f>
        <v>35</v>
      </c>
      <c r="X25" s="117">
        <f>SUMIFS(record[NG],record[製程料號],_018_5XX[[#This Row],[製令單號]],record[ProcessSN],X$1)</f>
        <v>0</v>
      </c>
      <c r="Y25" s="117">
        <f>_018_5XX[[#This Row],[OK]]-_018_5XX[[#This Row],[入庫]]</f>
        <v>0</v>
      </c>
      <c r="Z25" s="117">
        <f>SUMIFS(record[OK],record[製程料號],_018_5XX[[#This Row],[製令單號]],record[ProcessSN],Z$1)</f>
        <v>35</v>
      </c>
      <c r="AA25" s="117">
        <f>_018_5XX[[#This Row],[入庫]]-IFERROR(SUMIF(分料0185XX[第一製程製令],_018_5XX[[#This Row],[製令單號]],分料0185XX[分配數量]),0)</f>
        <v>0</v>
      </c>
      <c r="AB25" s="187"/>
      <c r="AC25" s="117">
        <f>_018_5XX[[#This Row],[NG]]+_018_5XX[[#This Row],['#6 NG]]+_018_5XX[[#This Row],['#5 NG]]+_018_5XX[[#This Row],['#4 NG]]+_018_5XX[[#This Row],['#3 NG]]+_018_5XX[[#This Row],['#7NG]]</f>
        <v>0</v>
      </c>
      <c r="AD25" s="119">
        <f>IF(_018_5XX[[#This Row],[入庫]]+_018_5XX[[#This Row],[總不良數]]=_018_5XX[[#This Row],[入料數]],_018_5XX[[#This Row],[入庫]]/_018_5XX[[#This Row],[入料數]],"")</f>
        <v>1</v>
      </c>
      <c r="AG25" s="172">
        <v>45674</v>
      </c>
      <c r="AH25" s="115" t="s">
        <v>650</v>
      </c>
      <c r="AI25" s="128" t="s">
        <v>641</v>
      </c>
      <c r="AJ25" s="129" t="s">
        <v>700</v>
      </c>
      <c r="AK25" s="122">
        <v>154</v>
      </c>
    </row>
    <row r="26" spans="1:37" ht="26.25" x14ac:dyDescent="0.25">
      <c r="A26" s="113">
        <v>45958</v>
      </c>
      <c r="B26" s="114" t="s">
        <v>1169</v>
      </c>
      <c r="C26" s="115" t="s">
        <v>502</v>
      </c>
      <c r="D26" s="116">
        <v>1000</v>
      </c>
      <c r="E26" s="117">
        <f>_018_5XX[[#This Row],[入料數]]-_018_5XX[[#This Row],['#03已發料數量]]</f>
        <v>0</v>
      </c>
      <c r="F26" s="117">
        <f>SUMIFS(record[OK],record[製程料號],_018_5XX[[#This Row],[製令單號]],record[ProcessSN],F$1)</f>
        <v>1000</v>
      </c>
      <c r="G26" s="117">
        <f>_018_5XX[[#This Row],['#03已發料數量]]-_018_5XX[[#This Row],['#3 OK]]-_018_5XX[[#This Row],['#3 NG]]</f>
        <v>0</v>
      </c>
      <c r="H26" s="117">
        <f>SUMIFS(record[OK],record[製程料號],_018_5XX[[#This Row],[製令單號]],record[ProcessSN],H$1)</f>
        <v>993</v>
      </c>
      <c r="I26" s="117">
        <f>SUMIFS(record[NG],record[製程料號],_018_5XX[[#This Row],[製令單號]],record[ProcessSN],I$1)</f>
        <v>7</v>
      </c>
      <c r="J26" s="117">
        <f>_018_5XX[[#This Row],['#3 OK]]-_018_5XX[[#This Row],['#4 OK]]-_018_5XX[[#This Row],['#4 NG]]</f>
        <v>0</v>
      </c>
      <c r="K26" s="117">
        <f>SUMIFS(record[OK],record[製程料號],_018_5XX[[#This Row],[製令單號]],record[ProcessSN],K$1)</f>
        <v>990</v>
      </c>
      <c r="L26" s="117">
        <f>SUMIFS(record[NG],record[製程料號],_018_5XX[[#This Row],[製令單號]],record[ProcessSN],L$1)</f>
        <v>3</v>
      </c>
      <c r="M26" s="117">
        <f>_018_5XX[[#This Row],['#4 OK]]-_018_5XX[[#This Row],['#5 OK]]-_018_5XX[[#This Row],['#5 NG]]</f>
        <v>0</v>
      </c>
      <c r="N26" s="117">
        <f>SUMIFS(record[OK],record[製程料號],_018_5XX[[#This Row],[製令單號]],record[ProcessSN],N$1)</f>
        <v>990</v>
      </c>
      <c r="O26" s="117">
        <f>SUMIFS(record[NG],record[製程料號],_018_5XX[[#This Row],[製令單號]],record[ProcessSN],O$1)</f>
        <v>0</v>
      </c>
      <c r="P26" s="117">
        <f>_018_5XX[[#This Row],['#5 OK]]-_018_5XX[[#This Row],['#6 OK]]-_018_5XX[[#This Row],['#6 NG]]</f>
        <v>0</v>
      </c>
      <c r="Q26" s="117">
        <f>SUMIFS(record[OK],record[製程料號],_018_5XX[[#This Row],[製令單號]],record[ProcessSN],Q$1)</f>
        <v>984</v>
      </c>
      <c r="R26" s="117">
        <f>SUMIFS(record[NG],record[製程料號],_018_5XX[[#This Row],[製令單號]],record[ProcessSN],R$1)</f>
        <v>6</v>
      </c>
      <c r="S26" s="117">
        <f>_018_5XX[[#This Row],['#6 OK]]-_018_5XX[[#This Row],['#7NG]]-_018_5XX[[#This Row],['#7OK]]</f>
        <v>0</v>
      </c>
      <c r="T26" s="117">
        <f>SUMIFS(record[OK],record[製程料號],_018_5XX[[#This Row],[製令單號]],record[ProcessSN],T$1)</f>
        <v>980</v>
      </c>
      <c r="U26" s="117">
        <f>SUMIFS(record[NG],record[製程料號],_018_5XX[[#This Row],[製令單號]],record[ProcessSN],U$1)</f>
        <v>4</v>
      </c>
      <c r="V26" s="117">
        <f>_018_5XX[[#This Row],['#7OK]]-_018_5XX[[#This Row],[OK]]-_018_5XX[[#This Row],[NG]]</f>
        <v>0</v>
      </c>
      <c r="W26" s="117">
        <f>SUMIFS(record[OK],record[製程料號],_018_5XX[[#This Row],[製令單號]],record[ProcessSN],W$1)</f>
        <v>977</v>
      </c>
      <c r="X26" s="117">
        <f>SUMIFS(record[NG],record[製程料號],_018_5XX[[#This Row],[製令單號]],record[ProcessSN],X$1)</f>
        <v>3</v>
      </c>
      <c r="Y26" s="117">
        <f>_018_5XX[[#This Row],[OK]]-_018_5XX[[#This Row],[入庫]]</f>
        <v>0</v>
      </c>
      <c r="Z26" s="117">
        <f>SUMIFS(record[OK],record[製程料號],_018_5XX[[#This Row],[製令單號]],record[ProcessSN],Z$1)</f>
        <v>977</v>
      </c>
      <c r="AA26" s="117">
        <f>_018_5XX[[#This Row],[入庫]]-IFERROR(SUMIF(分料0185XX[第一製程製令],_018_5XX[[#This Row],[製令單號]],分料0185XX[分配數量]),0)</f>
        <v>0</v>
      </c>
      <c r="AB26" s="187"/>
      <c r="AC26" s="117">
        <f>_018_5XX[[#This Row],[NG]]+_018_5XX[[#This Row],['#6 NG]]+_018_5XX[[#This Row],['#5 NG]]+_018_5XX[[#This Row],['#4 NG]]+_018_5XX[[#This Row],['#3 NG]]+_018_5XX[[#This Row],['#7NG]]</f>
        <v>23</v>
      </c>
      <c r="AD26" s="119">
        <f>IF(_018_5XX[[#This Row],[入庫]]+_018_5XX[[#This Row],[總不良數]]=_018_5XX[[#This Row],[入料數]],_018_5XX[[#This Row],[入庫]]/_018_5XX[[#This Row],[入料數]],"")</f>
        <v>0.97699999999999998</v>
      </c>
      <c r="AG26" s="173">
        <v>45677</v>
      </c>
      <c r="AH26" s="127" t="s">
        <v>650</v>
      </c>
      <c r="AI26" s="128" t="s">
        <v>641</v>
      </c>
      <c r="AJ26" s="129" t="s">
        <v>706</v>
      </c>
      <c r="AK26" s="129">
        <v>165</v>
      </c>
    </row>
    <row r="27" spans="1:37" ht="26.25" x14ac:dyDescent="0.25">
      <c r="A27" s="113">
        <v>45959</v>
      </c>
      <c r="B27" s="114" t="s">
        <v>1180</v>
      </c>
      <c r="C27" s="115" t="s">
        <v>502</v>
      </c>
      <c r="D27" s="116">
        <v>661</v>
      </c>
      <c r="E27" s="117">
        <f>_018_5XX[[#This Row],[入料數]]-_018_5XX[[#This Row],['#03已發料數量]]</f>
        <v>0</v>
      </c>
      <c r="F27" s="117">
        <f>SUMIFS(record[OK],record[製程料號],_018_5XX[[#This Row],[製令單號]],record[ProcessSN],F$1)</f>
        <v>661</v>
      </c>
      <c r="G27" s="117">
        <f>_018_5XX[[#This Row],['#03已發料數量]]-_018_5XX[[#This Row],['#3 OK]]-_018_5XX[[#This Row],['#3 NG]]</f>
        <v>0</v>
      </c>
      <c r="H27" s="117">
        <f>SUMIFS(record[OK],record[製程料號],_018_5XX[[#This Row],[製令單號]],record[ProcessSN],H$1)</f>
        <v>654</v>
      </c>
      <c r="I27" s="117">
        <f>SUMIFS(record[NG],record[製程料號],_018_5XX[[#This Row],[製令單號]],record[ProcessSN],I$1)</f>
        <v>7</v>
      </c>
      <c r="J27" s="117">
        <f>_018_5XX[[#This Row],['#3 OK]]-_018_5XX[[#This Row],['#4 OK]]-_018_5XX[[#This Row],['#4 NG]]</f>
        <v>0</v>
      </c>
      <c r="K27" s="117">
        <f>SUMIFS(record[OK],record[製程料號],_018_5XX[[#This Row],[製令單號]],record[ProcessSN],K$1)</f>
        <v>654</v>
      </c>
      <c r="L27" s="117">
        <f>SUMIFS(record[NG],record[製程料號],_018_5XX[[#This Row],[製令單號]],record[ProcessSN],L$1)</f>
        <v>0</v>
      </c>
      <c r="M27" s="117">
        <f>_018_5XX[[#This Row],['#4 OK]]-_018_5XX[[#This Row],['#5 OK]]-_018_5XX[[#This Row],['#5 NG]]</f>
        <v>0</v>
      </c>
      <c r="N27" s="117">
        <f>SUMIFS(record[OK],record[製程料號],_018_5XX[[#This Row],[製令單號]],record[ProcessSN],N$1)</f>
        <v>654</v>
      </c>
      <c r="O27" s="117">
        <f>SUMIFS(record[NG],record[製程料號],_018_5XX[[#This Row],[製令單號]],record[ProcessSN],O$1)</f>
        <v>0</v>
      </c>
      <c r="P27" s="117">
        <f>_018_5XX[[#This Row],['#5 OK]]-_018_5XX[[#This Row],['#6 OK]]-_018_5XX[[#This Row],['#6 NG]]</f>
        <v>0</v>
      </c>
      <c r="Q27" s="117">
        <f>SUMIFS(record[OK],record[製程料號],_018_5XX[[#This Row],[製令單號]],record[ProcessSN],Q$1)</f>
        <v>654</v>
      </c>
      <c r="R27" s="117">
        <f>SUMIFS(record[NG],record[製程料號],_018_5XX[[#This Row],[製令單號]],record[ProcessSN],R$1)</f>
        <v>0</v>
      </c>
      <c r="S27" s="117">
        <f>_018_5XX[[#This Row],['#6 OK]]-_018_5XX[[#This Row],['#7NG]]-_018_5XX[[#This Row],['#7OK]]</f>
        <v>0</v>
      </c>
      <c r="T27" s="117">
        <f>SUMIFS(record[OK],record[製程料號],_018_5XX[[#This Row],[製令單號]],record[ProcessSN],T$1)</f>
        <v>653</v>
      </c>
      <c r="U27" s="117">
        <f>SUMIFS(record[NG],record[製程料號],_018_5XX[[#This Row],[製令單號]],record[ProcessSN],U$1)</f>
        <v>1</v>
      </c>
      <c r="V27" s="117">
        <f>_018_5XX[[#This Row],['#7OK]]-_018_5XX[[#This Row],[OK]]-_018_5XX[[#This Row],[NG]]</f>
        <v>0</v>
      </c>
      <c r="W27" s="117">
        <f>SUMIFS(record[OK],record[製程料號],_018_5XX[[#This Row],[製令單號]],record[ProcessSN],W$1)</f>
        <v>653</v>
      </c>
      <c r="X27" s="117">
        <f>SUMIFS(record[NG],record[製程料號],_018_5XX[[#This Row],[製令單號]],record[ProcessSN],X$1)</f>
        <v>0</v>
      </c>
      <c r="Y27" s="117">
        <f>_018_5XX[[#This Row],[OK]]-_018_5XX[[#This Row],[入庫]]</f>
        <v>0</v>
      </c>
      <c r="Z27" s="117">
        <f>SUMIFS(record[OK],record[製程料號],_018_5XX[[#This Row],[製令單號]],record[ProcessSN],Z$1)</f>
        <v>653</v>
      </c>
      <c r="AA27" s="117">
        <f>_018_5XX[[#This Row],[入庫]]-IFERROR(SUMIF(分料0185XX[第一製程製令],_018_5XX[[#This Row],[製令單號]],分料0185XX[分配數量]),0)</f>
        <v>0</v>
      </c>
      <c r="AB27" s="187"/>
      <c r="AC27" s="117">
        <f>_018_5XX[[#This Row],[NG]]+_018_5XX[[#This Row],['#6 NG]]+_018_5XX[[#This Row],['#5 NG]]+_018_5XX[[#This Row],['#4 NG]]+_018_5XX[[#This Row],['#3 NG]]+_018_5XX[[#This Row],['#7NG]]</f>
        <v>8</v>
      </c>
      <c r="AD27" s="119">
        <f>IF(_018_5XX[[#This Row],[入庫]]+_018_5XX[[#This Row],[總不良數]]=_018_5XX[[#This Row],[入料數]],_018_5XX[[#This Row],[入庫]]/_018_5XX[[#This Row],[入料數]],"")</f>
        <v>0.98789712556732223</v>
      </c>
      <c r="AG27" s="172">
        <v>45678</v>
      </c>
      <c r="AH27" s="115" t="s">
        <v>650</v>
      </c>
      <c r="AI27" s="128" t="s">
        <v>641</v>
      </c>
      <c r="AJ27" s="122" t="s">
        <v>707</v>
      </c>
      <c r="AK27" s="122">
        <v>317</v>
      </c>
    </row>
    <row r="28" spans="1:37" ht="26.25" x14ac:dyDescent="0.25">
      <c r="A28" s="113">
        <v>45965</v>
      </c>
      <c r="B28" s="114" t="s">
        <v>1189</v>
      </c>
      <c r="C28" s="115" t="s">
        <v>502</v>
      </c>
      <c r="D28" s="116">
        <v>2154</v>
      </c>
      <c r="E28" s="117">
        <f>_018_5XX[[#This Row],[入料數]]-_018_5XX[[#This Row],['#03已發料數量]]</f>
        <v>0</v>
      </c>
      <c r="F28" s="117">
        <f>SUMIFS(record[OK],record[製程料號],_018_5XX[[#This Row],[製令單號]],record[ProcessSN],F$1)</f>
        <v>2154</v>
      </c>
      <c r="G28" s="117">
        <f>_018_5XX[[#This Row],['#03已發料數量]]-_018_5XX[[#This Row],['#3 OK]]-_018_5XX[[#This Row],['#3 NG]]</f>
        <v>0</v>
      </c>
      <c r="H28" s="117">
        <f>SUMIFS(record[OK],record[製程料號],_018_5XX[[#This Row],[製令單號]],record[ProcessSN],H$1)</f>
        <v>2149</v>
      </c>
      <c r="I28" s="117">
        <f>SUMIFS(record[NG],record[製程料號],_018_5XX[[#This Row],[製令單號]],record[ProcessSN],I$1)</f>
        <v>5</v>
      </c>
      <c r="J28" s="117">
        <f>_018_5XX[[#This Row],['#3 OK]]-_018_5XX[[#This Row],['#4 OK]]-_018_5XX[[#This Row],['#4 NG]]</f>
        <v>0</v>
      </c>
      <c r="K28" s="117">
        <f>SUMIFS(record[OK],record[製程料號],_018_5XX[[#This Row],[製令單號]],record[ProcessSN],K$1)</f>
        <v>2146</v>
      </c>
      <c r="L28" s="117">
        <f>SUMIFS(record[NG],record[製程料號],_018_5XX[[#This Row],[製令單號]],record[ProcessSN],L$1)</f>
        <v>3</v>
      </c>
      <c r="M28" s="117">
        <f>_018_5XX[[#This Row],['#4 OK]]-_018_5XX[[#This Row],['#5 OK]]-_018_5XX[[#This Row],['#5 NG]]</f>
        <v>0</v>
      </c>
      <c r="N28" s="117">
        <f>SUMIFS(record[OK],record[製程料號],_018_5XX[[#This Row],[製令單號]],record[ProcessSN],N$1)</f>
        <v>2144</v>
      </c>
      <c r="O28" s="117">
        <f>SUMIFS(record[NG],record[製程料號],_018_5XX[[#This Row],[製令單號]],record[ProcessSN],O$1)</f>
        <v>2</v>
      </c>
      <c r="P28" s="117">
        <f>_018_5XX[[#This Row],['#5 OK]]-_018_5XX[[#This Row],['#6 OK]]-_018_5XX[[#This Row],['#6 NG]]</f>
        <v>0</v>
      </c>
      <c r="Q28" s="117">
        <f>SUMIFS(record[OK],record[製程料號],_018_5XX[[#This Row],[製令單號]],record[ProcessSN],Q$1)</f>
        <v>2141</v>
      </c>
      <c r="R28" s="117">
        <f>SUMIFS(record[NG],record[製程料號],_018_5XX[[#This Row],[製令單號]],record[ProcessSN],R$1)</f>
        <v>3</v>
      </c>
      <c r="S28" s="117">
        <f>_018_5XX[[#This Row],['#6 OK]]-_018_5XX[[#This Row],['#7NG]]-_018_5XX[[#This Row],['#7OK]]</f>
        <v>0</v>
      </c>
      <c r="T28" s="117">
        <f>SUMIFS(record[OK],record[製程料號],_018_5XX[[#This Row],[製令單號]],record[ProcessSN],T$1)</f>
        <v>2139</v>
      </c>
      <c r="U28" s="117">
        <f>SUMIFS(record[NG],record[製程料號],_018_5XX[[#This Row],[製令單號]],record[ProcessSN],U$1)</f>
        <v>2</v>
      </c>
      <c r="V28" s="117">
        <f>_018_5XX[[#This Row],['#7OK]]-_018_5XX[[#This Row],[OK]]-_018_5XX[[#This Row],[NG]]</f>
        <v>0</v>
      </c>
      <c r="W28" s="117">
        <f>SUMIFS(record[OK],record[製程料號],_018_5XX[[#This Row],[製令單號]],record[ProcessSN],W$1)</f>
        <v>2089</v>
      </c>
      <c r="X28" s="117">
        <f>SUMIFS(record[NG],record[製程料號],_018_5XX[[#This Row],[製令單號]],record[ProcessSN],X$1)</f>
        <v>50</v>
      </c>
      <c r="Y28" s="117">
        <f>_018_5XX[[#This Row],[OK]]-_018_5XX[[#This Row],[入庫]]</f>
        <v>0</v>
      </c>
      <c r="Z28" s="117">
        <f>SUMIFS(record[OK],record[製程料號],_018_5XX[[#This Row],[製令單號]],record[ProcessSN],Z$1)</f>
        <v>2089</v>
      </c>
      <c r="AA28" s="117">
        <f>_018_5XX[[#This Row],[入庫]]-IFERROR(SUMIF(分料0185XX[第一製程製令],_018_5XX[[#This Row],[製令單號]],分料0185XX[分配數量]),0)</f>
        <v>0</v>
      </c>
      <c r="AB28" s="187"/>
      <c r="AC28" s="117">
        <f>_018_5XX[[#This Row],[NG]]+_018_5XX[[#This Row],['#6 NG]]+_018_5XX[[#This Row],['#5 NG]]+_018_5XX[[#This Row],['#4 NG]]+_018_5XX[[#This Row],['#3 NG]]+_018_5XX[[#This Row],['#7NG]]</f>
        <v>65</v>
      </c>
      <c r="AD28" s="119">
        <f>IF(_018_5XX[[#This Row],[入庫]]+_018_5XX[[#This Row],[總不良數]]=_018_5XX[[#This Row],[入料數]],_018_5XX[[#This Row],[入庫]]/_018_5XX[[#This Row],[入料數]],"")</f>
        <v>0.96982358402971214</v>
      </c>
      <c r="AG28" s="172">
        <v>45679</v>
      </c>
      <c r="AH28" s="115" t="s">
        <v>650</v>
      </c>
      <c r="AI28" s="128" t="s">
        <v>641</v>
      </c>
      <c r="AJ28" s="122" t="s">
        <v>713</v>
      </c>
      <c r="AK28" s="122">
        <v>525</v>
      </c>
    </row>
    <row r="29" spans="1:37" ht="26.25" x14ac:dyDescent="0.25">
      <c r="A29" s="113">
        <v>45981</v>
      </c>
      <c r="B29" s="114" t="s">
        <v>1225</v>
      </c>
      <c r="C29" s="115" t="s">
        <v>502</v>
      </c>
      <c r="D29" s="116">
        <v>700</v>
      </c>
      <c r="E29" s="117">
        <f>_018_5XX[[#This Row],[入料數]]-_018_5XX[[#This Row],['#03已發料數量]]</f>
        <v>0</v>
      </c>
      <c r="F29" s="117">
        <f>SUMIFS(record[OK],record[製程料號],_018_5XX[[#This Row],[製令單號]],record[ProcessSN],F$1)</f>
        <v>700</v>
      </c>
      <c r="G29" s="117">
        <f>_018_5XX[[#This Row],['#03已發料數量]]-_018_5XX[[#This Row],['#3 OK]]-_018_5XX[[#This Row],['#3 NG]]</f>
        <v>0</v>
      </c>
      <c r="H29" s="117">
        <f>SUMIFS(record[OK],record[製程料號],_018_5XX[[#This Row],[製令單號]],record[ProcessSN],H$1)</f>
        <v>700</v>
      </c>
      <c r="I29" s="117">
        <f>SUMIFS(record[NG],record[製程料號],_018_5XX[[#This Row],[製令單號]],record[ProcessSN],I$1)</f>
        <v>0</v>
      </c>
      <c r="J29" s="117">
        <f>_018_5XX[[#This Row],['#3 OK]]-_018_5XX[[#This Row],['#4 OK]]-_018_5XX[[#This Row],['#4 NG]]</f>
        <v>0</v>
      </c>
      <c r="K29" s="117">
        <f>SUMIFS(record[OK],record[製程料號],_018_5XX[[#This Row],[製令單號]],record[ProcessSN],K$1)</f>
        <v>699</v>
      </c>
      <c r="L29" s="117">
        <f>SUMIFS(record[NG],record[製程料號],_018_5XX[[#This Row],[製令單號]],record[ProcessSN],L$1)</f>
        <v>1</v>
      </c>
      <c r="M29" s="117">
        <f>_018_5XX[[#This Row],['#4 OK]]-_018_5XX[[#This Row],['#5 OK]]-_018_5XX[[#This Row],['#5 NG]]</f>
        <v>0</v>
      </c>
      <c r="N29" s="117">
        <f>SUMIFS(record[OK],record[製程料號],_018_5XX[[#This Row],[製令單號]],record[ProcessSN],N$1)</f>
        <v>699</v>
      </c>
      <c r="O29" s="117">
        <f>SUMIFS(record[NG],record[製程料號],_018_5XX[[#This Row],[製令單號]],record[ProcessSN],O$1)</f>
        <v>0</v>
      </c>
      <c r="P29" s="117">
        <f>_018_5XX[[#This Row],['#5 OK]]-_018_5XX[[#This Row],['#6 OK]]-_018_5XX[[#This Row],['#6 NG]]</f>
        <v>0</v>
      </c>
      <c r="Q29" s="117">
        <f>SUMIFS(record[OK],record[製程料號],_018_5XX[[#This Row],[製令單號]],record[ProcessSN],Q$1)</f>
        <v>648</v>
      </c>
      <c r="R29" s="117">
        <f>SUMIFS(record[NG],record[製程料號],_018_5XX[[#This Row],[製令單號]],record[ProcessSN],R$1)</f>
        <v>51</v>
      </c>
      <c r="S29" s="117">
        <f>_018_5XX[[#This Row],['#6 OK]]-_018_5XX[[#This Row],['#7NG]]-_018_5XX[[#This Row],['#7OK]]</f>
        <v>0</v>
      </c>
      <c r="T29" s="117">
        <f>SUMIFS(record[OK],record[製程料號],_018_5XX[[#This Row],[製令單號]],record[ProcessSN],T$1)</f>
        <v>644</v>
      </c>
      <c r="U29" s="117">
        <f>SUMIFS(record[NG],record[製程料號],_018_5XX[[#This Row],[製令單號]],record[ProcessSN],U$1)</f>
        <v>4</v>
      </c>
      <c r="V29" s="117">
        <f>_018_5XX[[#This Row],['#7OK]]-_018_5XX[[#This Row],[OK]]-_018_5XX[[#This Row],[NG]]</f>
        <v>0</v>
      </c>
      <c r="W29" s="117">
        <f>SUMIFS(record[OK],record[製程料號],_018_5XX[[#This Row],[製令單號]],record[ProcessSN],W$1)</f>
        <v>629</v>
      </c>
      <c r="X29" s="117">
        <f>SUMIFS(record[NG],record[製程料號],_018_5XX[[#This Row],[製令單號]],record[ProcessSN],X$1)</f>
        <v>15</v>
      </c>
      <c r="Y29" s="117">
        <f>_018_5XX[[#This Row],[OK]]-_018_5XX[[#This Row],[入庫]]</f>
        <v>0</v>
      </c>
      <c r="Z29" s="117">
        <f>SUMIFS(record[OK],record[製程料號],_018_5XX[[#This Row],[製令單號]],record[ProcessSN],Z$1)</f>
        <v>629</v>
      </c>
      <c r="AA29" s="117">
        <f>_018_5XX[[#This Row],[入庫]]-IFERROR(SUMIF(分料0185XX[第一製程製令],_018_5XX[[#This Row],[製令單號]],分料0185XX[分配數量]),0)</f>
        <v>0</v>
      </c>
      <c r="AB29" s="187"/>
      <c r="AC29" s="117">
        <f>_018_5XX[[#This Row],[NG]]+_018_5XX[[#This Row],['#6 NG]]+_018_5XX[[#This Row],['#5 NG]]+_018_5XX[[#This Row],['#4 NG]]+_018_5XX[[#This Row],['#3 NG]]+_018_5XX[[#This Row],['#7NG]]</f>
        <v>71</v>
      </c>
      <c r="AD29" s="119">
        <f>IF(_018_5XX[[#This Row],[入庫]]+_018_5XX[[#This Row],[總不良數]]=_018_5XX[[#This Row],[入料數]],_018_5XX[[#This Row],[入庫]]/_018_5XX[[#This Row],[入料數]],"")</f>
        <v>0.89857142857142858</v>
      </c>
      <c r="AG29" s="172">
        <v>45679</v>
      </c>
      <c r="AH29" s="115" t="s">
        <v>594</v>
      </c>
      <c r="AI29" s="128" t="s">
        <v>641</v>
      </c>
      <c r="AJ29" s="122" t="s">
        <v>713</v>
      </c>
      <c r="AK29" s="122">
        <v>3</v>
      </c>
    </row>
    <row r="30" spans="1:37" ht="26.25" x14ac:dyDescent="0.25">
      <c r="A30" s="113">
        <v>45985</v>
      </c>
      <c r="B30" s="114" t="s">
        <v>1236</v>
      </c>
      <c r="C30" s="115" t="s">
        <v>502</v>
      </c>
      <c r="D30" s="116">
        <v>500</v>
      </c>
      <c r="E30" s="117">
        <f>_018_5XX[[#This Row],[入料數]]-_018_5XX[[#This Row],['#03已發料數量]]</f>
        <v>0</v>
      </c>
      <c r="F30" s="117">
        <f>SUMIFS(record[OK],record[製程料號],_018_5XX[[#This Row],[製令單號]],record[ProcessSN],F$1)</f>
        <v>500</v>
      </c>
      <c r="G30" s="117">
        <f>_018_5XX[[#This Row],['#03已發料數量]]-_018_5XX[[#This Row],['#3 OK]]-_018_5XX[[#This Row],['#3 NG]]</f>
        <v>0</v>
      </c>
      <c r="H30" s="117">
        <f>SUMIFS(record[OK],record[製程料號],_018_5XX[[#This Row],[製令單號]],record[ProcessSN],H$1)</f>
        <v>500</v>
      </c>
      <c r="I30" s="117">
        <f>SUMIFS(record[NG],record[製程料號],_018_5XX[[#This Row],[製令單號]],record[ProcessSN],I$1)</f>
        <v>0</v>
      </c>
      <c r="J30" s="117">
        <f>_018_5XX[[#This Row],['#3 OK]]-_018_5XX[[#This Row],['#4 OK]]-_018_5XX[[#This Row],['#4 NG]]</f>
        <v>0</v>
      </c>
      <c r="K30" s="117">
        <f>SUMIFS(record[OK],record[製程料號],_018_5XX[[#This Row],[製令單號]],record[ProcessSN],K$1)</f>
        <v>500</v>
      </c>
      <c r="L30" s="117">
        <f>SUMIFS(record[NG],record[製程料號],_018_5XX[[#This Row],[製令單號]],record[ProcessSN],L$1)</f>
        <v>0</v>
      </c>
      <c r="M30" s="117">
        <f>_018_5XX[[#This Row],['#4 OK]]-_018_5XX[[#This Row],['#5 OK]]-_018_5XX[[#This Row],['#5 NG]]</f>
        <v>0</v>
      </c>
      <c r="N30" s="117">
        <f>SUMIFS(record[OK],record[製程料號],_018_5XX[[#This Row],[製令單號]],record[ProcessSN],N$1)</f>
        <v>498</v>
      </c>
      <c r="O30" s="117">
        <f>SUMIFS(record[NG],record[製程料號],_018_5XX[[#This Row],[製令單號]],record[ProcessSN],O$1)</f>
        <v>2</v>
      </c>
      <c r="P30" s="117">
        <f>_018_5XX[[#This Row],['#5 OK]]-_018_5XX[[#This Row],['#6 OK]]-_018_5XX[[#This Row],['#6 NG]]</f>
        <v>0</v>
      </c>
      <c r="Q30" s="117">
        <f>SUMIFS(record[OK],record[製程料號],_018_5XX[[#This Row],[製令單號]],record[ProcessSN],Q$1)</f>
        <v>498</v>
      </c>
      <c r="R30" s="117">
        <f>SUMIFS(record[NG],record[製程料號],_018_5XX[[#This Row],[製令單號]],record[ProcessSN],R$1)</f>
        <v>0</v>
      </c>
      <c r="S30" s="117">
        <f>_018_5XX[[#This Row],['#6 OK]]-_018_5XX[[#This Row],['#7NG]]-_018_5XX[[#This Row],['#7OK]]</f>
        <v>0</v>
      </c>
      <c r="T30" s="117">
        <f>SUMIFS(record[OK],record[製程料號],_018_5XX[[#This Row],[製令單號]],record[ProcessSN],T$1)</f>
        <v>497</v>
      </c>
      <c r="U30" s="117">
        <f>SUMIFS(record[NG],record[製程料號],_018_5XX[[#This Row],[製令單號]],record[ProcessSN],U$1)</f>
        <v>1</v>
      </c>
      <c r="V30" s="117">
        <f>_018_5XX[[#This Row],['#7OK]]-_018_5XX[[#This Row],[OK]]-_018_5XX[[#This Row],[NG]]</f>
        <v>0</v>
      </c>
      <c r="W30" s="117">
        <f>SUMIFS(record[OK],record[製程料號],_018_5XX[[#This Row],[製令單號]],record[ProcessSN],W$1)</f>
        <v>494</v>
      </c>
      <c r="X30" s="117">
        <f>SUMIFS(record[NG],record[製程料號],_018_5XX[[#This Row],[製令單號]],record[ProcessSN],X$1)</f>
        <v>3</v>
      </c>
      <c r="Y30" s="117">
        <f>_018_5XX[[#This Row],[OK]]-_018_5XX[[#This Row],[入庫]]</f>
        <v>0</v>
      </c>
      <c r="Z30" s="117">
        <f>SUMIFS(record[OK],record[製程料號],_018_5XX[[#This Row],[製令單號]],record[ProcessSN],Z$1)</f>
        <v>494</v>
      </c>
      <c r="AA30" s="117">
        <f>_018_5XX[[#This Row],[入庫]]-IFERROR(SUMIF(分料0185XX[第一製程製令],_018_5XX[[#This Row],[製令單號]],分料0185XX[分配數量]),0)</f>
        <v>0</v>
      </c>
      <c r="AB30" s="187"/>
      <c r="AC30" s="117">
        <f>_018_5XX[[#This Row],[NG]]+_018_5XX[[#This Row],['#6 NG]]+_018_5XX[[#This Row],['#5 NG]]+_018_5XX[[#This Row],['#4 NG]]+_018_5XX[[#This Row],['#3 NG]]+_018_5XX[[#This Row],['#7NG]]</f>
        <v>6</v>
      </c>
      <c r="AD30" s="119">
        <f>IF(_018_5XX[[#This Row],[入庫]]+_018_5XX[[#This Row],[總不良數]]=_018_5XX[[#This Row],[入料數]],_018_5XX[[#This Row],[入庫]]/_018_5XX[[#This Row],[入料數]],"")</f>
        <v>0.98799999999999999</v>
      </c>
      <c r="AG30" s="172">
        <v>45722</v>
      </c>
      <c r="AH30" s="115" t="s">
        <v>715</v>
      </c>
      <c r="AI30" s="128" t="s">
        <v>641</v>
      </c>
      <c r="AJ30" s="122" t="s">
        <v>749</v>
      </c>
      <c r="AK30" s="122">
        <v>24</v>
      </c>
    </row>
    <row r="31" spans="1:37" ht="26.25" x14ac:dyDescent="0.25">
      <c r="A31" s="113">
        <v>45989</v>
      </c>
      <c r="B31" s="114" t="s">
        <v>1253</v>
      </c>
      <c r="C31" s="115" t="s">
        <v>502</v>
      </c>
      <c r="D31" s="116">
        <v>760</v>
      </c>
      <c r="E31" s="117">
        <f>_018_5XX[[#This Row],[入料數]]-_018_5XX[[#This Row],['#03已發料數量]]</f>
        <v>0</v>
      </c>
      <c r="F31" s="117">
        <f>SUMIFS(record[OK],record[製程料號],_018_5XX[[#This Row],[製令單號]],record[ProcessSN],F$1)</f>
        <v>760</v>
      </c>
      <c r="G31" s="117">
        <f>_018_5XX[[#This Row],['#03已發料數量]]-_018_5XX[[#This Row],['#3 OK]]-_018_5XX[[#This Row],['#3 NG]]</f>
        <v>0</v>
      </c>
      <c r="H31" s="117">
        <f>SUMIFS(record[OK],record[製程料號],_018_5XX[[#This Row],[製令單號]],record[ProcessSN],H$1)</f>
        <v>759</v>
      </c>
      <c r="I31" s="117">
        <f>SUMIFS(record[NG],record[製程料號],_018_5XX[[#This Row],[製令單號]],record[ProcessSN],I$1)</f>
        <v>1</v>
      </c>
      <c r="J31" s="117">
        <f>_018_5XX[[#This Row],['#3 OK]]-_018_5XX[[#This Row],['#4 OK]]-_018_5XX[[#This Row],['#4 NG]]</f>
        <v>0</v>
      </c>
      <c r="K31" s="117">
        <f>SUMIFS(record[OK],record[製程料號],_018_5XX[[#This Row],[製令單號]],record[ProcessSN],K$1)</f>
        <v>759</v>
      </c>
      <c r="L31" s="117">
        <f>SUMIFS(record[NG],record[製程料號],_018_5XX[[#This Row],[製令單號]],record[ProcessSN],L$1)</f>
        <v>0</v>
      </c>
      <c r="M31" s="117">
        <f>_018_5XX[[#This Row],['#4 OK]]-_018_5XX[[#This Row],['#5 OK]]-_018_5XX[[#This Row],['#5 NG]]</f>
        <v>0</v>
      </c>
      <c r="N31" s="117">
        <f>SUMIFS(record[OK],record[製程料號],_018_5XX[[#This Row],[製令單號]],record[ProcessSN],N$1)</f>
        <v>759</v>
      </c>
      <c r="O31" s="117">
        <f>SUMIFS(record[NG],record[製程料號],_018_5XX[[#This Row],[製令單號]],record[ProcessSN],O$1)</f>
        <v>0</v>
      </c>
      <c r="P31" s="117">
        <f>_018_5XX[[#This Row],['#5 OK]]-_018_5XX[[#This Row],['#6 OK]]-_018_5XX[[#This Row],['#6 NG]]</f>
        <v>0</v>
      </c>
      <c r="Q31" s="117">
        <f>SUMIFS(record[OK],record[製程料號],_018_5XX[[#This Row],[製令單號]],record[ProcessSN],Q$1)</f>
        <v>759</v>
      </c>
      <c r="R31" s="117">
        <f>SUMIFS(record[NG],record[製程料號],_018_5XX[[#This Row],[製令單號]],record[ProcessSN],R$1)</f>
        <v>0</v>
      </c>
      <c r="S31" s="117">
        <f>_018_5XX[[#This Row],['#6 OK]]-_018_5XX[[#This Row],['#7NG]]-_018_5XX[[#This Row],['#7OK]]</f>
        <v>0</v>
      </c>
      <c r="T31" s="117">
        <f>SUMIFS(record[OK],record[製程料號],_018_5XX[[#This Row],[製令單號]],record[ProcessSN],T$1)</f>
        <v>759</v>
      </c>
      <c r="U31" s="117">
        <f>SUMIFS(record[NG],record[製程料號],_018_5XX[[#This Row],[製令單號]],record[ProcessSN],U$1)</f>
        <v>0</v>
      </c>
      <c r="V31" s="117">
        <f>_018_5XX[[#This Row],['#7OK]]-_018_5XX[[#This Row],[OK]]-_018_5XX[[#This Row],[NG]]</f>
        <v>0</v>
      </c>
      <c r="W31" s="117">
        <f>SUMIFS(record[OK],record[製程料號],_018_5XX[[#This Row],[製令單號]],record[ProcessSN],W$1)</f>
        <v>750</v>
      </c>
      <c r="X31" s="117">
        <f>SUMIFS(record[NG],record[製程料號],_018_5XX[[#This Row],[製令單號]],record[ProcessSN],X$1)</f>
        <v>9</v>
      </c>
      <c r="Y31" s="117">
        <f>_018_5XX[[#This Row],[OK]]-_018_5XX[[#This Row],[入庫]]</f>
        <v>0</v>
      </c>
      <c r="Z31" s="117">
        <f>SUMIFS(record[OK],record[製程料號],_018_5XX[[#This Row],[製令單號]],record[ProcessSN],Z$1)</f>
        <v>750</v>
      </c>
      <c r="AA31" s="117">
        <f>_018_5XX[[#This Row],[入庫]]-IFERROR(SUMIF(分料0185XX[第一製程製令],_018_5XX[[#This Row],[製令單號]],分料0185XX[分配數量]),0)</f>
        <v>0</v>
      </c>
      <c r="AB31" s="187"/>
      <c r="AC31" s="117">
        <f>_018_5XX[[#This Row],[NG]]+_018_5XX[[#This Row],['#6 NG]]+_018_5XX[[#This Row],['#5 NG]]+_018_5XX[[#This Row],['#4 NG]]+_018_5XX[[#This Row],['#3 NG]]+_018_5XX[[#This Row],['#7NG]]</f>
        <v>10</v>
      </c>
      <c r="AD31" s="119">
        <f>IF(_018_5XX[[#This Row],[入庫]]+_018_5XX[[#This Row],[總不良數]]=_018_5XX[[#This Row],[入料數]],_018_5XX[[#This Row],[入庫]]/_018_5XX[[#This Row],[入料數]],"")</f>
        <v>0.98684210526315785</v>
      </c>
      <c r="AG31" s="172">
        <v>45722</v>
      </c>
      <c r="AH31" s="115" t="s">
        <v>594</v>
      </c>
      <c r="AI31" s="128" t="s">
        <v>641</v>
      </c>
      <c r="AJ31" s="122" t="s">
        <v>749</v>
      </c>
      <c r="AK31" s="122">
        <v>5</v>
      </c>
    </row>
    <row r="32" spans="1:37" ht="26.25" x14ac:dyDescent="0.25">
      <c r="A32" s="113">
        <v>45994</v>
      </c>
      <c r="B32" s="114" t="s">
        <v>1275</v>
      </c>
      <c r="C32" s="115" t="s">
        <v>502</v>
      </c>
      <c r="D32" s="116">
        <v>1176</v>
      </c>
      <c r="E32" s="117">
        <f>_018_5XX[[#This Row],[入料數]]-_018_5XX[[#This Row],['#03已發料數量]]</f>
        <v>0</v>
      </c>
      <c r="F32" s="117">
        <f>SUMIFS(record[OK],record[製程料號],_018_5XX[[#This Row],[製令單號]],record[ProcessSN],F$1)</f>
        <v>1176</v>
      </c>
      <c r="G32" s="117">
        <f>_018_5XX[[#This Row],['#03已發料數量]]-_018_5XX[[#This Row],['#3 OK]]-_018_5XX[[#This Row],['#3 NG]]</f>
        <v>0</v>
      </c>
      <c r="H32" s="117">
        <f>SUMIFS(record[OK],record[製程料號],_018_5XX[[#This Row],[製令單號]],record[ProcessSN],H$1)</f>
        <v>1174</v>
      </c>
      <c r="I32" s="117">
        <f>SUMIFS(record[NG],record[製程料號],_018_5XX[[#This Row],[製令單號]],record[ProcessSN],I$1)</f>
        <v>2</v>
      </c>
      <c r="J32" s="117">
        <f>_018_5XX[[#This Row],['#3 OK]]-_018_5XX[[#This Row],['#4 OK]]-_018_5XX[[#This Row],['#4 NG]]</f>
        <v>0</v>
      </c>
      <c r="K32" s="117">
        <f>SUMIFS(record[OK],record[製程料號],_018_5XX[[#This Row],[製令單號]],record[ProcessSN],K$1)</f>
        <v>1152</v>
      </c>
      <c r="L32" s="117">
        <f>SUMIFS(record[NG],record[製程料號],_018_5XX[[#This Row],[製令單號]],record[ProcessSN],L$1)</f>
        <v>22</v>
      </c>
      <c r="M32" s="117">
        <f>_018_5XX[[#This Row],['#4 OK]]-_018_5XX[[#This Row],['#5 OK]]-_018_5XX[[#This Row],['#5 NG]]</f>
        <v>0</v>
      </c>
      <c r="N32" s="117">
        <f>SUMIFS(record[OK],record[製程料號],_018_5XX[[#This Row],[製令單號]],record[ProcessSN],N$1)</f>
        <v>1152</v>
      </c>
      <c r="O32" s="117">
        <f>SUMIFS(record[NG],record[製程料號],_018_5XX[[#This Row],[製令單號]],record[ProcessSN],O$1)</f>
        <v>0</v>
      </c>
      <c r="P32" s="117">
        <f>_018_5XX[[#This Row],['#5 OK]]-_018_5XX[[#This Row],['#6 OK]]-_018_5XX[[#This Row],['#6 NG]]</f>
        <v>0</v>
      </c>
      <c r="Q32" s="117">
        <f>SUMIFS(record[OK],record[製程料號],_018_5XX[[#This Row],[製令單號]],record[ProcessSN],Q$1)</f>
        <v>1151</v>
      </c>
      <c r="R32" s="117">
        <f>SUMIFS(record[NG],record[製程料號],_018_5XX[[#This Row],[製令單號]],record[ProcessSN],R$1)</f>
        <v>1</v>
      </c>
      <c r="S32" s="117">
        <f>_018_5XX[[#This Row],['#6 OK]]-_018_5XX[[#This Row],['#7NG]]-_018_5XX[[#This Row],['#7OK]]</f>
        <v>0</v>
      </c>
      <c r="T32" s="117">
        <f>SUMIFS(record[OK],record[製程料號],_018_5XX[[#This Row],[製令單號]],record[ProcessSN],T$1)</f>
        <v>1151</v>
      </c>
      <c r="U32" s="117">
        <f>SUMIFS(record[NG],record[製程料號],_018_5XX[[#This Row],[製令單號]],record[ProcessSN],U$1)</f>
        <v>0</v>
      </c>
      <c r="V32" s="117">
        <f>_018_5XX[[#This Row],['#7OK]]-_018_5XX[[#This Row],[OK]]-_018_5XX[[#This Row],[NG]]</f>
        <v>0</v>
      </c>
      <c r="W32" s="117">
        <f>SUMIFS(record[OK],record[製程料號],_018_5XX[[#This Row],[製令單號]],record[ProcessSN],W$1)</f>
        <v>1138</v>
      </c>
      <c r="X32" s="117">
        <f>SUMIFS(record[NG],record[製程料號],_018_5XX[[#This Row],[製令單號]],record[ProcessSN],X$1)</f>
        <v>13</v>
      </c>
      <c r="Y32" s="117">
        <f>_018_5XX[[#This Row],[OK]]-_018_5XX[[#This Row],[入庫]]</f>
        <v>0</v>
      </c>
      <c r="Z32" s="117">
        <f>SUMIFS(record[OK],record[製程料號],_018_5XX[[#This Row],[製令單號]],record[ProcessSN],Z$1)</f>
        <v>1138</v>
      </c>
      <c r="AA32" s="117">
        <f>_018_5XX[[#This Row],[入庫]]-IFERROR(SUMIF(分料0185XX[第一製程製令],_018_5XX[[#This Row],[製令單號]],分料0185XX[分配數量]),0)</f>
        <v>0</v>
      </c>
      <c r="AB32" s="187"/>
      <c r="AC32" s="117">
        <f>_018_5XX[[#This Row],[NG]]+_018_5XX[[#This Row],['#6 NG]]+_018_5XX[[#This Row],['#5 NG]]+_018_5XX[[#This Row],['#4 NG]]+_018_5XX[[#This Row],['#3 NG]]+_018_5XX[[#This Row],['#7NG]]</f>
        <v>38</v>
      </c>
      <c r="AD32" s="119">
        <f>IF(_018_5XX[[#This Row],[入庫]]+_018_5XX[[#This Row],[總不良數]]=_018_5XX[[#This Row],[入料數]],_018_5XX[[#This Row],[入庫]]/_018_5XX[[#This Row],[入料數]],"")</f>
        <v>0.96768707482993199</v>
      </c>
      <c r="AG32" s="172">
        <v>45722</v>
      </c>
      <c r="AH32" s="115" t="s">
        <v>642</v>
      </c>
      <c r="AI32" s="128" t="s">
        <v>641</v>
      </c>
      <c r="AJ32" s="122" t="s">
        <v>749</v>
      </c>
      <c r="AK32" s="122">
        <v>7</v>
      </c>
    </row>
    <row r="33" spans="1:37" ht="26.25" x14ac:dyDescent="0.25">
      <c r="A33" s="113">
        <v>45996</v>
      </c>
      <c r="B33" s="114" t="s">
        <v>1290</v>
      </c>
      <c r="C33" s="115" t="s">
        <v>502</v>
      </c>
      <c r="D33" s="116">
        <v>1316</v>
      </c>
      <c r="E33" s="117">
        <f>_018_5XX[[#This Row],[入料數]]-_018_5XX[[#This Row],['#03已發料數量]]</f>
        <v>0</v>
      </c>
      <c r="F33" s="117">
        <f>SUMIFS(record[OK],record[製程料號],_018_5XX[[#This Row],[製令單號]],record[ProcessSN],F$1)</f>
        <v>1316</v>
      </c>
      <c r="G33" s="117">
        <f>_018_5XX[[#This Row],['#03已發料數量]]-_018_5XX[[#This Row],['#3 OK]]-_018_5XX[[#This Row],['#3 NG]]</f>
        <v>0</v>
      </c>
      <c r="H33" s="117">
        <f>SUMIFS(record[OK],record[製程料號],_018_5XX[[#This Row],[製令單號]],record[ProcessSN],H$1)</f>
        <v>1315</v>
      </c>
      <c r="I33" s="117">
        <f>SUMIFS(record[NG],record[製程料號],_018_5XX[[#This Row],[製令單號]],record[ProcessSN],I$1)</f>
        <v>1</v>
      </c>
      <c r="J33" s="117">
        <f>_018_5XX[[#This Row],['#3 OK]]-_018_5XX[[#This Row],['#4 OK]]-_018_5XX[[#This Row],['#4 NG]]</f>
        <v>0</v>
      </c>
      <c r="K33" s="117">
        <f>SUMIFS(record[OK],record[製程料號],_018_5XX[[#This Row],[製令單號]],record[ProcessSN],K$1)</f>
        <v>1313</v>
      </c>
      <c r="L33" s="117">
        <f>SUMIFS(record[NG],record[製程料號],_018_5XX[[#This Row],[製令單號]],record[ProcessSN],L$1)</f>
        <v>2</v>
      </c>
      <c r="M33" s="117">
        <f>_018_5XX[[#This Row],['#4 OK]]-_018_5XX[[#This Row],['#5 OK]]-_018_5XX[[#This Row],['#5 NG]]</f>
        <v>0</v>
      </c>
      <c r="N33" s="117">
        <f>SUMIFS(record[OK],record[製程料號],_018_5XX[[#This Row],[製令單號]],record[ProcessSN],N$1)</f>
        <v>1313</v>
      </c>
      <c r="O33" s="117">
        <f>SUMIFS(record[NG],record[製程料號],_018_5XX[[#This Row],[製令單號]],record[ProcessSN],O$1)</f>
        <v>0</v>
      </c>
      <c r="P33" s="117">
        <f>_018_5XX[[#This Row],['#5 OK]]-_018_5XX[[#This Row],['#6 OK]]-_018_5XX[[#This Row],['#6 NG]]</f>
        <v>0</v>
      </c>
      <c r="Q33" s="117">
        <f>SUMIFS(record[OK],record[製程料號],_018_5XX[[#This Row],[製令單號]],record[ProcessSN],Q$1)</f>
        <v>1313</v>
      </c>
      <c r="R33" s="117">
        <f>SUMIFS(record[NG],record[製程料號],_018_5XX[[#This Row],[製令單號]],record[ProcessSN],R$1)</f>
        <v>0</v>
      </c>
      <c r="S33" s="117">
        <f>_018_5XX[[#This Row],['#6 OK]]-_018_5XX[[#This Row],['#7NG]]-_018_5XX[[#This Row],['#7OK]]</f>
        <v>0</v>
      </c>
      <c r="T33" s="117">
        <f>SUMIFS(record[OK],record[製程料號],_018_5XX[[#This Row],[製令單號]],record[ProcessSN],T$1)</f>
        <v>1305</v>
      </c>
      <c r="U33" s="117">
        <f>SUMIFS(record[NG],record[製程料號],_018_5XX[[#This Row],[製令單號]],record[ProcessSN],U$1)</f>
        <v>8</v>
      </c>
      <c r="V33" s="117">
        <f>_018_5XX[[#This Row],['#7OK]]-_018_5XX[[#This Row],[OK]]-_018_5XX[[#This Row],[NG]]</f>
        <v>0</v>
      </c>
      <c r="W33" s="117">
        <f>SUMIFS(record[OK],record[製程料號],_018_5XX[[#This Row],[製令單號]],record[ProcessSN],W$1)</f>
        <v>1297</v>
      </c>
      <c r="X33" s="117">
        <f>SUMIFS(record[NG],record[製程料號],_018_5XX[[#This Row],[製令單號]],record[ProcessSN],X$1)</f>
        <v>8</v>
      </c>
      <c r="Y33" s="117">
        <f>_018_5XX[[#This Row],[OK]]-_018_5XX[[#This Row],[入庫]]</f>
        <v>0</v>
      </c>
      <c r="Z33" s="117">
        <f>SUMIFS(record[OK],record[製程料號],_018_5XX[[#This Row],[製令單號]],record[ProcessSN],Z$1)</f>
        <v>1297</v>
      </c>
      <c r="AA33" s="117">
        <f>_018_5XX[[#This Row],[入庫]]-IFERROR(SUMIF(分料0185XX[第一製程製令],_018_5XX[[#This Row],[製令單號]],分料0185XX[分配數量]),0)</f>
        <v>0</v>
      </c>
      <c r="AB33" s="187"/>
      <c r="AC33" s="117">
        <f>_018_5XX[[#This Row],[NG]]+_018_5XX[[#This Row],['#6 NG]]+_018_5XX[[#This Row],['#5 NG]]+_018_5XX[[#This Row],['#4 NG]]+_018_5XX[[#This Row],['#3 NG]]+_018_5XX[[#This Row],['#7NG]]</f>
        <v>19</v>
      </c>
      <c r="AD33" s="119">
        <f>IF(_018_5XX[[#This Row],[入庫]]+_018_5XX[[#This Row],[總不良數]]=_018_5XX[[#This Row],[入料數]],_018_5XX[[#This Row],[入庫]]/_018_5XX[[#This Row],[入料數]],"")</f>
        <v>0.98556231003039518</v>
      </c>
      <c r="AG33" s="172">
        <v>45722</v>
      </c>
      <c r="AH33" s="127" t="s">
        <v>650</v>
      </c>
      <c r="AI33" s="128" t="s">
        <v>641</v>
      </c>
      <c r="AJ33" s="122" t="s">
        <v>749</v>
      </c>
      <c r="AK33" s="129">
        <v>18</v>
      </c>
    </row>
    <row r="34" spans="1:37" ht="26.25" x14ac:dyDescent="0.25">
      <c r="A34" s="113">
        <v>46014</v>
      </c>
      <c r="B34" s="114" t="s">
        <v>1381</v>
      </c>
      <c r="C34" s="115" t="s">
        <v>502</v>
      </c>
      <c r="D34" s="116">
        <v>1917</v>
      </c>
      <c r="E34" s="117">
        <f>_018_5XX[[#This Row],[入料數]]-_018_5XX[[#This Row],['#03已發料數量]]</f>
        <v>0</v>
      </c>
      <c r="F34" s="117">
        <f>SUMIFS(record[OK],record[製程料號],_018_5XX[[#This Row],[製令單號]],record[ProcessSN],F$1)</f>
        <v>1917</v>
      </c>
      <c r="G34" s="117">
        <f>_018_5XX[[#This Row],['#03已發料數量]]-_018_5XX[[#This Row],['#3 OK]]-_018_5XX[[#This Row],['#3 NG]]</f>
        <v>0</v>
      </c>
      <c r="H34" s="117">
        <f>SUMIFS(record[OK],record[製程料號],_018_5XX[[#This Row],[製令單號]],record[ProcessSN],H$1)</f>
        <v>1912</v>
      </c>
      <c r="I34" s="117">
        <f>SUMIFS(record[NG],record[製程料號],_018_5XX[[#This Row],[製令單號]],record[ProcessSN],I$1)</f>
        <v>5</v>
      </c>
      <c r="J34" s="117">
        <f>_018_5XX[[#This Row],['#3 OK]]-_018_5XX[[#This Row],['#4 OK]]-_018_5XX[[#This Row],['#4 NG]]</f>
        <v>0</v>
      </c>
      <c r="K34" s="117">
        <f>SUMIFS(record[OK],record[製程料號],_018_5XX[[#This Row],[製令單號]],record[ProcessSN],K$1)</f>
        <v>1903</v>
      </c>
      <c r="L34" s="117">
        <f>SUMIFS(record[NG],record[製程料號],_018_5XX[[#This Row],[製令單號]],record[ProcessSN],L$1)</f>
        <v>9</v>
      </c>
      <c r="M34" s="117">
        <f>_018_5XX[[#This Row],['#4 OK]]-_018_5XX[[#This Row],['#5 OK]]-_018_5XX[[#This Row],['#5 NG]]</f>
        <v>0</v>
      </c>
      <c r="N34" s="117">
        <f>SUMIFS(record[OK],record[製程料號],_018_5XX[[#This Row],[製令單號]],record[ProcessSN],N$1)</f>
        <v>1897</v>
      </c>
      <c r="O34" s="117">
        <f>SUMIFS(record[NG],record[製程料號],_018_5XX[[#This Row],[製令單號]],record[ProcessSN],O$1)</f>
        <v>6</v>
      </c>
      <c r="P34" s="117">
        <f>_018_5XX[[#This Row],['#5 OK]]-_018_5XX[[#This Row],['#6 OK]]-_018_5XX[[#This Row],['#6 NG]]</f>
        <v>0</v>
      </c>
      <c r="Q34" s="117">
        <f>SUMIFS(record[OK],record[製程料號],_018_5XX[[#This Row],[製令單號]],record[ProcessSN],Q$1)</f>
        <v>1895</v>
      </c>
      <c r="R34" s="117">
        <f>SUMIFS(record[NG],record[製程料號],_018_5XX[[#This Row],[製令單號]],record[ProcessSN],R$1)</f>
        <v>2</v>
      </c>
      <c r="S34" s="117">
        <f>_018_5XX[[#This Row],['#6 OK]]-_018_5XX[[#This Row],['#7NG]]-_018_5XX[[#This Row],['#7OK]]</f>
        <v>0</v>
      </c>
      <c r="T34" s="117">
        <f>SUMIFS(record[OK],record[製程料號],_018_5XX[[#This Row],[製令單號]],record[ProcessSN],T$1)</f>
        <v>1841</v>
      </c>
      <c r="U34" s="117">
        <f>SUMIFS(record[NG],record[製程料號],_018_5XX[[#This Row],[製令單號]],record[ProcessSN],U$1)</f>
        <v>54</v>
      </c>
      <c r="V34" s="117">
        <f>_018_5XX[[#This Row],['#7OK]]-_018_5XX[[#This Row],[OK]]-_018_5XX[[#This Row],[NG]]</f>
        <v>0</v>
      </c>
      <c r="W34" s="117">
        <f>SUMIFS(record[OK],record[製程料號],_018_5XX[[#This Row],[製令單號]],record[ProcessSN],W$1)</f>
        <v>1713</v>
      </c>
      <c r="X34" s="117">
        <f>SUMIFS(record[NG],record[製程料號],_018_5XX[[#This Row],[製令單號]],record[ProcessSN],X$1)</f>
        <v>128</v>
      </c>
      <c r="Y34" s="117">
        <f>_018_5XX[[#This Row],[OK]]-_018_5XX[[#This Row],[入庫]]</f>
        <v>0</v>
      </c>
      <c r="Z34" s="117">
        <f>SUMIFS(record[OK],record[製程料號],_018_5XX[[#This Row],[製令單號]],record[ProcessSN],Z$1)</f>
        <v>1713</v>
      </c>
      <c r="AA34" s="117">
        <f>_018_5XX[[#This Row],[入庫]]-IFERROR(SUMIF(分料0185XX[第一製程製令],_018_5XX[[#This Row],[製令單號]],分料0185XX[分配數量]),0)</f>
        <v>0</v>
      </c>
      <c r="AB34" s="187"/>
      <c r="AC34" s="117">
        <f>_018_5XX[[#This Row],[NG]]+_018_5XX[[#This Row],['#6 NG]]+_018_5XX[[#This Row],['#5 NG]]+_018_5XX[[#This Row],['#4 NG]]+_018_5XX[[#This Row],['#3 NG]]+_018_5XX[[#This Row],['#7NG]]</f>
        <v>204</v>
      </c>
      <c r="AD34" s="119">
        <f>IF(_018_5XX[[#This Row],[入庫]]+_018_5XX[[#This Row],[總不良數]]=_018_5XX[[#This Row],[入料數]],_018_5XX[[#This Row],[入庫]]/_018_5XX[[#This Row],[入料數]],"")</f>
        <v>0.89358372456964008</v>
      </c>
      <c r="AG34" s="173">
        <v>45761</v>
      </c>
      <c r="AH34" s="127" t="s">
        <v>685</v>
      </c>
      <c r="AI34" s="128" t="s">
        <v>641</v>
      </c>
      <c r="AJ34" s="129" t="s">
        <v>768</v>
      </c>
      <c r="AK34" s="129">
        <v>6</v>
      </c>
    </row>
    <row r="35" spans="1:37" ht="26.25" x14ac:dyDescent="0.25">
      <c r="A35" s="113">
        <v>46027</v>
      </c>
      <c r="B35" s="114" t="s">
        <v>1416</v>
      </c>
      <c r="C35" s="115" t="s">
        <v>502</v>
      </c>
      <c r="D35" s="116">
        <v>1000</v>
      </c>
      <c r="E35" s="117">
        <f>_018_5XX[[#This Row],[入料數]]-_018_5XX[[#This Row],['#03已發料數量]]</f>
        <v>0</v>
      </c>
      <c r="F35" s="117">
        <f>SUMIFS(record[OK],record[製程料號],_018_5XX[[#This Row],[製令單號]],record[ProcessSN],F$1)</f>
        <v>1000</v>
      </c>
      <c r="G35" s="117">
        <f>_018_5XX[[#This Row],['#03已發料數量]]-_018_5XX[[#This Row],['#3 OK]]-_018_5XX[[#This Row],['#3 NG]]</f>
        <v>0</v>
      </c>
      <c r="H35" s="117">
        <f>SUMIFS(record[OK],record[製程料號],_018_5XX[[#This Row],[製令單號]],record[ProcessSN],H$1)</f>
        <v>999</v>
      </c>
      <c r="I35" s="117">
        <f>SUMIFS(record[NG],record[製程料號],_018_5XX[[#This Row],[製令單號]],record[ProcessSN],I$1)</f>
        <v>1</v>
      </c>
      <c r="J35" s="117">
        <f>_018_5XX[[#This Row],['#3 OK]]-_018_5XX[[#This Row],['#4 OK]]-_018_5XX[[#This Row],['#4 NG]]</f>
        <v>0</v>
      </c>
      <c r="K35" s="117">
        <f>SUMIFS(record[OK],record[製程料號],_018_5XX[[#This Row],[製令單號]],record[ProcessSN],K$1)</f>
        <v>980</v>
      </c>
      <c r="L35" s="117">
        <f>SUMIFS(record[NG],record[製程料號],_018_5XX[[#This Row],[製令單號]],record[ProcessSN],L$1)</f>
        <v>19</v>
      </c>
      <c r="M35" s="117">
        <f>_018_5XX[[#This Row],['#4 OK]]-_018_5XX[[#This Row],['#5 OK]]-_018_5XX[[#This Row],['#5 NG]]</f>
        <v>0</v>
      </c>
      <c r="N35" s="117">
        <f>SUMIFS(record[OK],record[製程料號],_018_5XX[[#This Row],[製令單號]],record[ProcessSN],N$1)</f>
        <v>980</v>
      </c>
      <c r="O35" s="117">
        <f>SUMIFS(record[NG],record[製程料號],_018_5XX[[#This Row],[製令單號]],record[ProcessSN],O$1)</f>
        <v>0</v>
      </c>
      <c r="P35" s="117">
        <f>_018_5XX[[#This Row],['#5 OK]]-_018_5XX[[#This Row],['#6 OK]]-_018_5XX[[#This Row],['#6 NG]]</f>
        <v>0</v>
      </c>
      <c r="Q35" s="117">
        <f>SUMIFS(record[OK],record[製程料號],_018_5XX[[#This Row],[製令單號]],record[ProcessSN],Q$1)</f>
        <v>979</v>
      </c>
      <c r="R35" s="117">
        <f>SUMIFS(record[NG],record[製程料號],_018_5XX[[#This Row],[製令單號]],record[ProcessSN],R$1)</f>
        <v>1</v>
      </c>
      <c r="S35" s="117">
        <f>_018_5XX[[#This Row],['#6 OK]]-_018_5XX[[#This Row],['#7NG]]-_018_5XX[[#This Row],['#7OK]]</f>
        <v>0</v>
      </c>
      <c r="T35" s="117">
        <f>SUMIFS(record[OK],record[製程料號],_018_5XX[[#This Row],[製令單號]],record[ProcessSN],T$1)</f>
        <v>953</v>
      </c>
      <c r="U35" s="117">
        <f>SUMIFS(record[NG],record[製程料號],_018_5XX[[#This Row],[製令單號]],record[ProcessSN],U$1)</f>
        <v>26</v>
      </c>
      <c r="V35" s="117">
        <f>_018_5XX[[#This Row],['#7OK]]-_018_5XX[[#This Row],[OK]]-_018_5XX[[#This Row],[NG]]</f>
        <v>0</v>
      </c>
      <c r="W35" s="117">
        <f>SUMIFS(record[OK],record[製程料號],_018_5XX[[#This Row],[製令單號]],record[ProcessSN],W$1)</f>
        <v>926</v>
      </c>
      <c r="X35" s="117">
        <f>SUMIFS(record[NG],record[製程料號],_018_5XX[[#This Row],[製令單號]],record[ProcessSN],X$1)</f>
        <v>27</v>
      </c>
      <c r="Y35" s="117">
        <f>_018_5XX[[#This Row],[OK]]-_018_5XX[[#This Row],[入庫]]</f>
        <v>0</v>
      </c>
      <c r="Z35" s="117">
        <f>SUMIFS(record[OK],record[製程料號],_018_5XX[[#This Row],[製令單號]],record[ProcessSN],Z$1)</f>
        <v>926</v>
      </c>
      <c r="AA35" s="117">
        <f>_018_5XX[[#This Row],[入庫]]-IFERROR(SUMIF(分料0185XX[第一製程製令],_018_5XX[[#This Row],[製令單號]],分料0185XX[分配數量]),0)</f>
        <v>0</v>
      </c>
      <c r="AB35" s="187"/>
      <c r="AC35" s="117">
        <f>_018_5XX[[#This Row],[NG]]+_018_5XX[[#This Row],['#6 NG]]+_018_5XX[[#This Row],['#5 NG]]+_018_5XX[[#This Row],['#4 NG]]+_018_5XX[[#This Row],['#3 NG]]+_018_5XX[[#This Row],['#7NG]]</f>
        <v>74</v>
      </c>
      <c r="AD35" s="119">
        <f>IF(_018_5XX[[#This Row],[入庫]]+_018_5XX[[#This Row],[總不良數]]=_018_5XX[[#This Row],[入料數]],_018_5XX[[#This Row],[入庫]]/_018_5XX[[#This Row],[入料數]],"")</f>
        <v>0.92600000000000005</v>
      </c>
      <c r="AG35" s="172">
        <v>45761</v>
      </c>
      <c r="AH35" s="115" t="s">
        <v>659</v>
      </c>
      <c r="AI35" s="128" t="s">
        <v>641</v>
      </c>
      <c r="AJ35" s="129" t="s">
        <v>768</v>
      </c>
      <c r="AK35" s="122">
        <v>4</v>
      </c>
    </row>
    <row r="36" spans="1:37" ht="26.25" x14ac:dyDescent="0.25">
      <c r="A36" s="113">
        <v>46038</v>
      </c>
      <c r="B36" s="114" t="s">
        <v>1472</v>
      </c>
      <c r="C36" s="115" t="s">
        <v>502</v>
      </c>
      <c r="D36" s="116">
        <v>1248</v>
      </c>
      <c r="E36" s="117">
        <f>_018_5XX[[#This Row],[入料數]]-_018_5XX[[#This Row],['#03已發料數量]]</f>
        <v>0</v>
      </c>
      <c r="F36" s="117">
        <f>SUMIFS(record[OK],record[製程料號],_018_5XX[[#This Row],[製令單號]],record[ProcessSN],F$1)</f>
        <v>1248</v>
      </c>
      <c r="G36" s="117">
        <f>_018_5XX[[#This Row],['#03已發料數量]]-_018_5XX[[#This Row],['#3 OK]]-_018_5XX[[#This Row],['#3 NG]]</f>
        <v>0</v>
      </c>
      <c r="H36" s="117">
        <f>SUMIFS(record[OK],record[製程料號],_018_5XX[[#This Row],[製令單號]],record[ProcessSN],H$1)</f>
        <v>1246</v>
      </c>
      <c r="I36" s="117">
        <f>SUMIFS(record[NG],record[製程料號],_018_5XX[[#This Row],[製令單號]],record[ProcessSN],I$1)</f>
        <v>2</v>
      </c>
      <c r="J36" s="117">
        <f>_018_5XX[[#This Row],['#3 OK]]-_018_5XX[[#This Row],['#4 OK]]-_018_5XX[[#This Row],['#4 NG]]</f>
        <v>0</v>
      </c>
      <c r="K36" s="117">
        <f>SUMIFS(record[OK],record[製程料號],_018_5XX[[#This Row],[製令單號]],record[ProcessSN],K$1)</f>
        <v>1218</v>
      </c>
      <c r="L36" s="117">
        <f>SUMIFS(record[NG],record[製程料號],_018_5XX[[#This Row],[製令單號]],record[ProcessSN],L$1)</f>
        <v>28</v>
      </c>
      <c r="M36" s="117">
        <f>_018_5XX[[#This Row],['#4 OK]]-_018_5XX[[#This Row],['#5 OK]]-_018_5XX[[#This Row],['#5 NG]]</f>
        <v>0</v>
      </c>
      <c r="N36" s="117">
        <f>SUMIFS(record[OK],record[製程料號],_018_5XX[[#This Row],[製令單號]],record[ProcessSN],N$1)</f>
        <v>1217</v>
      </c>
      <c r="O36" s="117">
        <f>SUMIFS(record[NG],record[製程料號],_018_5XX[[#This Row],[製令單號]],record[ProcessSN],O$1)</f>
        <v>1</v>
      </c>
      <c r="P36" s="117">
        <f>_018_5XX[[#This Row],['#5 OK]]-_018_5XX[[#This Row],['#6 OK]]-_018_5XX[[#This Row],['#6 NG]]</f>
        <v>0</v>
      </c>
      <c r="Q36" s="117">
        <f>SUMIFS(record[OK],record[製程料號],_018_5XX[[#This Row],[製令單號]],record[ProcessSN],Q$1)</f>
        <v>1217</v>
      </c>
      <c r="R36" s="117">
        <f>SUMIFS(record[NG],record[製程料號],_018_5XX[[#This Row],[製令單號]],record[ProcessSN],R$1)</f>
        <v>0</v>
      </c>
      <c r="S36" s="117">
        <f>_018_5XX[[#This Row],['#6 OK]]-_018_5XX[[#This Row],['#7NG]]-_018_5XX[[#This Row],['#7OK]]</f>
        <v>0</v>
      </c>
      <c r="T36" s="117">
        <f>SUMIFS(record[OK],record[製程料號],_018_5XX[[#This Row],[製令單號]],record[ProcessSN],T$1)</f>
        <v>1202</v>
      </c>
      <c r="U36" s="117">
        <f>SUMIFS(record[NG],record[製程料號],_018_5XX[[#This Row],[製令單號]],record[ProcessSN],U$1)</f>
        <v>15</v>
      </c>
      <c r="V36" s="117">
        <f>_018_5XX[[#This Row],['#7OK]]-_018_5XX[[#This Row],[OK]]-_018_5XX[[#This Row],[NG]]</f>
        <v>0</v>
      </c>
      <c r="W36" s="117">
        <f>SUMIFS(record[OK],record[製程料號],_018_5XX[[#This Row],[製令單號]],record[ProcessSN],W$1)</f>
        <v>1171</v>
      </c>
      <c r="X36" s="117">
        <f>SUMIFS(record[NG],record[製程料號],_018_5XX[[#This Row],[製令單號]],record[ProcessSN],X$1)</f>
        <v>31</v>
      </c>
      <c r="Y36" s="117">
        <f>_018_5XX[[#This Row],[OK]]-_018_5XX[[#This Row],[入庫]]</f>
        <v>0</v>
      </c>
      <c r="Z36" s="117">
        <f>SUMIFS(record[OK],record[製程料號],_018_5XX[[#This Row],[製令單號]],record[ProcessSN],Z$1)</f>
        <v>1171</v>
      </c>
      <c r="AA36" s="117">
        <f>_018_5XX[[#This Row],[入庫]]-IFERROR(SUMIF(分料0185XX[第一製程製令],_018_5XX[[#This Row],[製令單號]],分料0185XX[分配數量]),0)</f>
        <v>0</v>
      </c>
      <c r="AB36" s="187"/>
      <c r="AC36" s="117">
        <f>_018_5XX[[#This Row],[NG]]+_018_5XX[[#This Row],['#6 NG]]+_018_5XX[[#This Row],['#5 NG]]+_018_5XX[[#This Row],['#4 NG]]+_018_5XX[[#This Row],['#3 NG]]+_018_5XX[[#This Row],['#7NG]]</f>
        <v>77</v>
      </c>
      <c r="AD36" s="119">
        <f>IF(_018_5XX[[#This Row],[入庫]]+_018_5XX[[#This Row],[總不良數]]=_018_5XX[[#This Row],[入料數]],_018_5XX[[#This Row],[入庫]]/_018_5XX[[#This Row],[入料數]],"")</f>
        <v>0.93830128205128205</v>
      </c>
      <c r="AG36" s="172">
        <v>45761</v>
      </c>
      <c r="AH36" s="115" t="s">
        <v>715</v>
      </c>
      <c r="AI36" s="128" t="s">
        <v>641</v>
      </c>
      <c r="AJ36" s="129" t="s">
        <v>768</v>
      </c>
      <c r="AK36" s="122">
        <v>2</v>
      </c>
    </row>
    <row r="37" spans="1:37" ht="26.25" x14ac:dyDescent="0.25">
      <c r="A37" s="113">
        <v>46044</v>
      </c>
      <c r="B37" s="114" t="s">
        <v>1492</v>
      </c>
      <c r="C37" s="115" t="s">
        <v>502</v>
      </c>
      <c r="D37" s="116">
        <v>240</v>
      </c>
      <c r="E37" s="117">
        <f>_018_5XX[[#This Row],[入料數]]-_018_5XX[[#This Row],['#03已發料數量]]</f>
        <v>0</v>
      </c>
      <c r="F37" s="117">
        <f>SUMIFS(record[OK],record[製程料號],_018_5XX[[#This Row],[製令單號]],record[ProcessSN],F$1)</f>
        <v>240</v>
      </c>
      <c r="G37" s="117">
        <f>_018_5XX[[#This Row],['#03已發料數量]]-_018_5XX[[#This Row],['#3 OK]]-_018_5XX[[#This Row],['#3 NG]]</f>
        <v>0</v>
      </c>
      <c r="H37" s="117">
        <f>SUMIFS(record[OK],record[製程料號],_018_5XX[[#This Row],[製令單號]],record[ProcessSN],H$1)</f>
        <v>240</v>
      </c>
      <c r="I37" s="117">
        <f>SUMIFS(record[NG],record[製程料號],_018_5XX[[#This Row],[製令單號]],record[ProcessSN],I$1)</f>
        <v>0</v>
      </c>
      <c r="J37" s="117">
        <f>_018_5XX[[#This Row],['#3 OK]]-_018_5XX[[#This Row],['#4 OK]]-_018_5XX[[#This Row],['#4 NG]]</f>
        <v>0</v>
      </c>
      <c r="K37" s="117">
        <f>SUMIFS(record[OK],record[製程料號],_018_5XX[[#This Row],[製令單號]],record[ProcessSN],K$1)</f>
        <v>240</v>
      </c>
      <c r="L37" s="117">
        <f>SUMIFS(record[NG],record[製程料號],_018_5XX[[#This Row],[製令單號]],record[ProcessSN],L$1)</f>
        <v>0</v>
      </c>
      <c r="M37" s="117">
        <f>_018_5XX[[#This Row],['#4 OK]]-_018_5XX[[#This Row],['#5 OK]]-_018_5XX[[#This Row],['#5 NG]]</f>
        <v>0</v>
      </c>
      <c r="N37" s="117">
        <f>SUMIFS(record[OK],record[製程料號],_018_5XX[[#This Row],[製令單號]],record[ProcessSN],N$1)</f>
        <v>240</v>
      </c>
      <c r="O37" s="117">
        <f>SUMIFS(record[NG],record[製程料號],_018_5XX[[#This Row],[製令單號]],record[ProcessSN],O$1)</f>
        <v>0</v>
      </c>
      <c r="P37" s="117">
        <f>_018_5XX[[#This Row],['#5 OK]]-_018_5XX[[#This Row],['#6 OK]]-_018_5XX[[#This Row],['#6 NG]]</f>
        <v>0</v>
      </c>
      <c r="Q37" s="117">
        <f>SUMIFS(record[OK],record[製程料號],_018_5XX[[#This Row],[製令單號]],record[ProcessSN],Q$1)</f>
        <v>240</v>
      </c>
      <c r="R37" s="117">
        <f>SUMIFS(record[NG],record[製程料號],_018_5XX[[#This Row],[製令單號]],record[ProcessSN],R$1)</f>
        <v>0</v>
      </c>
      <c r="S37" s="117">
        <f>_018_5XX[[#This Row],['#6 OK]]-_018_5XX[[#This Row],['#7NG]]-_018_5XX[[#This Row],['#7OK]]</f>
        <v>0</v>
      </c>
      <c r="T37" s="117">
        <f>SUMIFS(record[OK],record[製程料號],_018_5XX[[#This Row],[製令單號]],record[ProcessSN],T$1)</f>
        <v>240</v>
      </c>
      <c r="U37" s="117">
        <f>SUMIFS(record[NG],record[製程料號],_018_5XX[[#This Row],[製令單號]],record[ProcessSN],U$1)</f>
        <v>0</v>
      </c>
      <c r="V37" s="117">
        <f>_018_5XX[[#This Row],['#7OK]]-_018_5XX[[#This Row],[OK]]-_018_5XX[[#This Row],[NG]]</f>
        <v>0</v>
      </c>
      <c r="W37" s="117">
        <f>SUMIFS(record[OK],record[製程料號],_018_5XX[[#This Row],[製令單號]],record[ProcessSN],W$1)</f>
        <v>240</v>
      </c>
      <c r="X37" s="117">
        <f>SUMIFS(record[NG],record[製程料號],_018_5XX[[#This Row],[製令單號]],record[ProcessSN],X$1)</f>
        <v>0</v>
      </c>
      <c r="Y37" s="117">
        <f>_018_5XX[[#This Row],[OK]]-_018_5XX[[#This Row],[入庫]]</f>
        <v>0</v>
      </c>
      <c r="Z37" s="117">
        <f>SUMIFS(record[OK],record[製程料號],_018_5XX[[#This Row],[製令單號]],record[ProcessSN],Z$1)</f>
        <v>240</v>
      </c>
      <c r="AA37" s="117">
        <f>_018_5XX[[#This Row],[入庫]]-IFERROR(SUMIF(分料0185XX[第一製程製令],_018_5XX[[#This Row],[製令單號]],分料0185XX[分配數量]),0)</f>
        <v>0</v>
      </c>
      <c r="AB37" s="187"/>
      <c r="AC37" s="117">
        <f>_018_5XX[[#This Row],[NG]]+_018_5XX[[#This Row],['#6 NG]]+_018_5XX[[#This Row],['#5 NG]]+_018_5XX[[#This Row],['#4 NG]]+_018_5XX[[#This Row],['#3 NG]]+_018_5XX[[#This Row],['#7NG]]</f>
        <v>0</v>
      </c>
      <c r="AD37" s="119">
        <f>IF(_018_5XX[[#This Row],[入庫]]+_018_5XX[[#This Row],[總不良數]]=_018_5XX[[#This Row],[入料數]],_018_5XX[[#This Row],[入庫]]/_018_5XX[[#This Row],[入料數]],"")</f>
        <v>1</v>
      </c>
      <c r="AG37" s="172">
        <v>45761</v>
      </c>
      <c r="AH37" s="115" t="s">
        <v>594</v>
      </c>
      <c r="AI37" s="128" t="s">
        <v>641</v>
      </c>
      <c r="AJ37" s="129" t="s">
        <v>768</v>
      </c>
      <c r="AK37" s="122">
        <v>4</v>
      </c>
    </row>
    <row r="38" spans="1:37" ht="26.25" x14ac:dyDescent="0.25">
      <c r="A38" s="113">
        <v>46045</v>
      </c>
      <c r="B38" s="114" t="s">
        <v>1503</v>
      </c>
      <c r="C38" s="115" t="s">
        <v>502</v>
      </c>
      <c r="D38" s="116">
        <v>297</v>
      </c>
      <c r="E38" s="117">
        <f>_018_5XX[[#This Row],[入料數]]-_018_5XX[[#This Row],['#03已發料數量]]</f>
        <v>0</v>
      </c>
      <c r="F38" s="117">
        <f>SUMIFS(record[OK],record[製程料號],_018_5XX[[#This Row],[製令單號]],record[ProcessSN],F$1)</f>
        <v>297</v>
      </c>
      <c r="G38" s="117">
        <f>_018_5XX[[#This Row],['#03已發料數量]]-_018_5XX[[#This Row],['#3 OK]]-_018_5XX[[#This Row],['#3 NG]]</f>
        <v>0</v>
      </c>
      <c r="H38" s="117">
        <f>SUMIFS(record[OK],record[製程料號],_018_5XX[[#This Row],[製令單號]],record[ProcessSN],H$1)</f>
        <v>297</v>
      </c>
      <c r="I38" s="117">
        <f>SUMIFS(record[NG],record[製程料號],_018_5XX[[#This Row],[製令單號]],record[ProcessSN],I$1)</f>
        <v>0</v>
      </c>
      <c r="J38" s="117">
        <f>_018_5XX[[#This Row],['#3 OK]]-_018_5XX[[#This Row],['#4 OK]]-_018_5XX[[#This Row],['#4 NG]]</f>
        <v>0</v>
      </c>
      <c r="K38" s="117">
        <f>SUMIFS(record[OK],record[製程料號],_018_5XX[[#This Row],[製令單號]],record[ProcessSN],K$1)</f>
        <v>297</v>
      </c>
      <c r="L38" s="117">
        <f>SUMIFS(record[NG],record[製程料號],_018_5XX[[#This Row],[製令單號]],record[ProcessSN],L$1)</f>
        <v>0</v>
      </c>
      <c r="M38" s="117">
        <f>_018_5XX[[#This Row],['#4 OK]]-_018_5XX[[#This Row],['#5 OK]]-_018_5XX[[#This Row],['#5 NG]]</f>
        <v>0</v>
      </c>
      <c r="N38" s="117">
        <f>SUMIFS(record[OK],record[製程料號],_018_5XX[[#This Row],[製令單號]],record[ProcessSN],N$1)</f>
        <v>296</v>
      </c>
      <c r="O38" s="117">
        <f>SUMIFS(record[NG],record[製程料號],_018_5XX[[#This Row],[製令單號]],record[ProcessSN],O$1)</f>
        <v>1</v>
      </c>
      <c r="P38" s="117">
        <f>_018_5XX[[#This Row],['#5 OK]]-_018_5XX[[#This Row],['#6 OK]]-_018_5XX[[#This Row],['#6 NG]]</f>
        <v>0</v>
      </c>
      <c r="Q38" s="117">
        <f>SUMIFS(record[OK],record[製程料號],_018_5XX[[#This Row],[製令單號]],record[ProcessSN],Q$1)</f>
        <v>294</v>
      </c>
      <c r="R38" s="117">
        <f>SUMIFS(record[NG],record[製程料號],_018_5XX[[#This Row],[製令單號]],record[ProcessSN],R$1)</f>
        <v>2</v>
      </c>
      <c r="S38" s="117">
        <f>_018_5XX[[#This Row],['#6 OK]]-_018_5XX[[#This Row],['#7NG]]-_018_5XX[[#This Row],['#7OK]]</f>
        <v>0</v>
      </c>
      <c r="T38" s="117">
        <f>SUMIFS(record[OK],record[製程料號],_018_5XX[[#This Row],[製令單號]],record[ProcessSN],T$1)</f>
        <v>289</v>
      </c>
      <c r="U38" s="117">
        <f>SUMIFS(record[NG],record[製程料號],_018_5XX[[#This Row],[製令單號]],record[ProcessSN],U$1)</f>
        <v>5</v>
      </c>
      <c r="V38" s="117">
        <f>_018_5XX[[#This Row],['#7OK]]-_018_5XX[[#This Row],[OK]]-_018_5XX[[#This Row],[NG]]</f>
        <v>0</v>
      </c>
      <c r="W38" s="117">
        <f>SUMIFS(record[OK],record[製程料號],_018_5XX[[#This Row],[製令單號]],record[ProcessSN],W$1)</f>
        <v>275</v>
      </c>
      <c r="X38" s="117">
        <f>SUMIFS(record[NG],record[製程料號],_018_5XX[[#This Row],[製令單號]],record[ProcessSN],X$1)</f>
        <v>14</v>
      </c>
      <c r="Y38" s="117">
        <f>_018_5XX[[#This Row],[OK]]-_018_5XX[[#This Row],[入庫]]</f>
        <v>0</v>
      </c>
      <c r="Z38" s="117">
        <f>SUMIFS(record[OK],record[製程料號],_018_5XX[[#This Row],[製令單號]],record[ProcessSN],Z$1)</f>
        <v>275</v>
      </c>
      <c r="AA38" s="117">
        <f>_018_5XX[[#This Row],[入庫]]-IFERROR(SUMIF(分料0185XX[第一製程製令],_018_5XX[[#This Row],[製令單號]],分料0185XX[分配數量]),0)</f>
        <v>0</v>
      </c>
      <c r="AB38" s="187"/>
      <c r="AC38" s="117">
        <f>_018_5XX[[#This Row],[NG]]+_018_5XX[[#This Row],['#6 NG]]+_018_5XX[[#This Row],['#5 NG]]+_018_5XX[[#This Row],['#4 NG]]+_018_5XX[[#This Row],['#3 NG]]+_018_5XX[[#This Row],['#7NG]]</f>
        <v>22</v>
      </c>
      <c r="AD38" s="119">
        <f>IF(_018_5XX[[#This Row],[入庫]]+_018_5XX[[#This Row],[總不良數]]=_018_5XX[[#This Row],[入料數]],_018_5XX[[#This Row],[入庫]]/_018_5XX[[#This Row],[入料數]],"")</f>
        <v>0.92592592592592593</v>
      </c>
      <c r="AG38" s="172">
        <v>45761</v>
      </c>
      <c r="AH38" s="115" t="s">
        <v>752</v>
      </c>
      <c r="AI38" s="128" t="s">
        <v>641</v>
      </c>
      <c r="AJ38" s="129" t="s">
        <v>768</v>
      </c>
      <c r="AK38" s="122">
        <v>292</v>
      </c>
    </row>
    <row r="39" spans="1:37" ht="26.25" x14ac:dyDescent="0.25">
      <c r="A39" s="113">
        <v>46048</v>
      </c>
      <c r="B39" s="114" t="s">
        <v>1506</v>
      </c>
      <c r="C39" s="115" t="s">
        <v>502</v>
      </c>
      <c r="D39" s="116">
        <v>420</v>
      </c>
      <c r="E39" s="117">
        <f>_018_5XX[[#This Row],[入料數]]-_018_5XX[[#This Row],['#03已發料數量]]</f>
        <v>0</v>
      </c>
      <c r="F39" s="117">
        <f>SUMIFS(record[OK],record[製程料號],_018_5XX[[#This Row],[製令單號]],record[ProcessSN],F$1)</f>
        <v>420</v>
      </c>
      <c r="G39" s="117">
        <f>_018_5XX[[#This Row],['#03已發料數量]]-_018_5XX[[#This Row],['#3 OK]]-_018_5XX[[#This Row],['#3 NG]]</f>
        <v>0</v>
      </c>
      <c r="H39" s="117">
        <f>SUMIFS(record[OK],record[製程料號],_018_5XX[[#This Row],[製令單號]],record[ProcessSN],H$1)</f>
        <v>420</v>
      </c>
      <c r="I39" s="117">
        <f>SUMIFS(record[NG],record[製程料號],_018_5XX[[#This Row],[製令單號]],record[ProcessSN],I$1)</f>
        <v>0</v>
      </c>
      <c r="J39" s="117">
        <f>_018_5XX[[#This Row],['#3 OK]]-_018_5XX[[#This Row],['#4 OK]]-_018_5XX[[#This Row],['#4 NG]]</f>
        <v>0</v>
      </c>
      <c r="K39" s="117">
        <f>SUMIFS(record[OK],record[製程料號],_018_5XX[[#This Row],[製令單號]],record[ProcessSN],K$1)</f>
        <v>420</v>
      </c>
      <c r="L39" s="117">
        <f>SUMIFS(record[NG],record[製程料號],_018_5XX[[#This Row],[製令單號]],record[ProcessSN],L$1)</f>
        <v>0</v>
      </c>
      <c r="M39" s="117">
        <f>_018_5XX[[#This Row],['#4 OK]]-_018_5XX[[#This Row],['#5 OK]]-_018_5XX[[#This Row],['#5 NG]]</f>
        <v>0</v>
      </c>
      <c r="N39" s="117">
        <f>SUMIFS(record[OK],record[製程料號],_018_5XX[[#This Row],[製令單號]],record[ProcessSN],N$1)</f>
        <v>419</v>
      </c>
      <c r="O39" s="117">
        <f>SUMIFS(record[NG],record[製程料號],_018_5XX[[#This Row],[製令單號]],record[ProcessSN],O$1)</f>
        <v>1</v>
      </c>
      <c r="P39" s="117">
        <f>_018_5XX[[#This Row],['#5 OK]]-_018_5XX[[#This Row],['#6 OK]]-_018_5XX[[#This Row],['#6 NG]]</f>
        <v>0</v>
      </c>
      <c r="Q39" s="117">
        <f>SUMIFS(record[OK],record[製程料號],_018_5XX[[#This Row],[製令單號]],record[ProcessSN],Q$1)</f>
        <v>419</v>
      </c>
      <c r="R39" s="117">
        <f>SUMIFS(record[NG],record[製程料號],_018_5XX[[#This Row],[製令單號]],record[ProcessSN],R$1)</f>
        <v>0</v>
      </c>
      <c r="S39" s="117">
        <f>_018_5XX[[#This Row],['#6 OK]]-_018_5XX[[#This Row],['#7NG]]-_018_5XX[[#This Row],['#7OK]]</f>
        <v>0</v>
      </c>
      <c r="T39" s="117">
        <f>SUMIFS(record[OK],record[製程料號],_018_5XX[[#This Row],[製令單號]],record[ProcessSN],T$1)</f>
        <v>417</v>
      </c>
      <c r="U39" s="117">
        <f>SUMIFS(record[NG],record[製程料號],_018_5XX[[#This Row],[製令單號]],record[ProcessSN],U$1)</f>
        <v>2</v>
      </c>
      <c r="V39" s="117">
        <f>_018_5XX[[#This Row],['#7OK]]-_018_5XX[[#This Row],[OK]]-_018_5XX[[#This Row],[NG]]</f>
        <v>0</v>
      </c>
      <c r="W39" s="117">
        <f>SUMIFS(record[OK],record[製程料號],_018_5XX[[#This Row],[製令單號]],record[ProcessSN],W$1)</f>
        <v>413</v>
      </c>
      <c r="X39" s="117">
        <f>SUMIFS(record[NG],record[製程料號],_018_5XX[[#This Row],[製令單號]],record[ProcessSN],X$1)</f>
        <v>4</v>
      </c>
      <c r="Y39" s="117">
        <f>_018_5XX[[#This Row],[OK]]-_018_5XX[[#This Row],[入庫]]</f>
        <v>0</v>
      </c>
      <c r="Z39" s="117">
        <f>SUMIFS(record[OK],record[製程料號],_018_5XX[[#This Row],[製令單號]],record[ProcessSN],Z$1)</f>
        <v>413</v>
      </c>
      <c r="AA39" s="117">
        <f>_018_5XX[[#This Row],[入庫]]-IFERROR(SUMIF(分料0185XX[第一製程製令],_018_5XX[[#This Row],[製令單號]],分料0185XX[分配數量]),0)</f>
        <v>0</v>
      </c>
      <c r="AB39" s="187"/>
      <c r="AC39" s="117">
        <f>_018_5XX[[#This Row],[NG]]+_018_5XX[[#This Row],['#6 NG]]+_018_5XX[[#This Row],['#5 NG]]+_018_5XX[[#This Row],['#4 NG]]+_018_5XX[[#This Row],['#3 NG]]+_018_5XX[[#This Row],['#7NG]]</f>
        <v>7</v>
      </c>
      <c r="AD39" s="119">
        <f>IF(_018_5XX[[#This Row],[入庫]]+_018_5XX[[#This Row],[總不良數]]=_018_5XX[[#This Row],[入料數]],_018_5XX[[#This Row],[入庫]]/_018_5XX[[#This Row],[入料數]],"")</f>
        <v>0.98333333333333328</v>
      </c>
      <c r="AG39" s="172">
        <v>45761</v>
      </c>
      <c r="AH39" s="115" t="s">
        <v>767</v>
      </c>
      <c r="AI39" s="128" t="s">
        <v>641</v>
      </c>
      <c r="AJ39" s="129" t="s">
        <v>768</v>
      </c>
      <c r="AK39" s="122">
        <v>6</v>
      </c>
    </row>
    <row r="40" spans="1:37" ht="26.25" x14ac:dyDescent="0.25">
      <c r="A40" s="113">
        <v>46049</v>
      </c>
      <c r="B40" s="114" t="s">
        <v>1516</v>
      </c>
      <c r="C40" s="115" t="s">
        <v>502</v>
      </c>
      <c r="D40" s="116">
        <v>446</v>
      </c>
      <c r="E40" s="117">
        <f>_018_5XX[[#This Row],[入料數]]-_018_5XX[[#This Row],['#03已發料數量]]</f>
        <v>0</v>
      </c>
      <c r="F40" s="117">
        <f>SUMIFS(record[OK],record[製程料號],_018_5XX[[#This Row],[製令單號]],record[ProcessSN],F$1)</f>
        <v>446</v>
      </c>
      <c r="G40" s="117">
        <f>_018_5XX[[#This Row],['#03已發料數量]]-_018_5XX[[#This Row],['#3 OK]]-_018_5XX[[#This Row],['#3 NG]]</f>
        <v>0</v>
      </c>
      <c r="H40" s="117">
        <f>SUMIFS(record[OK],record[製程料號],_018_5XX[[#This Row],[製令單號]],record[ProcessSN],H$1)</f>
        <v>446</v>
      </c>
      <c r="I40" s="117">
        <f>SUMIFS(record[NG],record[製程料號],_018_5XX[[#This Row],[製令單號]],record[ProcessSN],I$1)</f>
        <v>0</v>
      </c>
      <c r="J40" s="117">
        <f>_018_5XX[[#This Row],['#3 OK]]-_018_5XX[[#This Row],['#4 OK]]-_018_5XX[[#This Row],['#4 NG]]</f>
        <v>0</v>
      </c>
      <c r="K40" s="117">
        <f>SUMIFS(record[OK],record[製程料號],_018_5XX[[#This Row],[製令單號]],record[ProcessSN],K$1)</f>
        <v>446</v>
      </c>
      <c r="L40" s="117">
        <f>SUMIFS(record[NG],record[製程料號],_018_5XX[[#This Row],[製令單號]],record[ProcessSN],L$1)</f>
        <v>0</v>
      </c>
      <c r="M40" s="117">
        <f>_018_5XX[[#This Row],['#4 OK]]-_018_5XX[[#This Row],['#5 OK]]-_018_5XX[[#This Row],['#5 NG]]</f>
        <v>0</v>
      </c>
      <c r="N40" s="117">
        <f>SUMIFS(record[OK],record[製程料號],_018_5XX[[#This Row],[製令單號]],record[ProcessSN],N$1)</f>
        <v>446</v>
      </c>
      <c r="O40" s="117">
        <f>SUMIFS(record[NG],record[製程料號],_018_5XX[[#This Row],[製令單號]],record[ProcessSN],O$1)</f>
        <v>0</v>
      </c>
      <c r="P40" s="117">
        <f>_018_5XX[[#This Row],['#5 OK]]-_018_5XX[[#This Row],['#6 OK]]-_018_5XX[[#This Row],['#6 NG]]</f>
        <v>0</v>
      </c>
      <c r="Q40" s="117">
        <f>SUMIFS(record[OK],record[製程料號],_018_5XX[[#This Row],[製令單號]],record[ProcessSN],Q$1)</f>
        <v>446</v>
      </c>
      <c r="R40" s="117">
        <f>SUMIFS(record[NG],record[製程料號],_018_5XX[[#This Row],[製令單號]],record[ProcessSN],R$1)</f>
        <v>0</v>
      </c>
      <c r="S40" s="117">
        <f>_018_5XX[[#This Row],['#6 OK]]-_018_5XX[[#This Row],['#7NG]]-_018_5XX[[#This Row],['#7OK]]</f>
        <v>0</v>
      </c>
      <c r="T40" s="117">
        <f>SUMIFS(record[OK],record[製程料號],_018_5XX[[#This Row],[製令單號]],record[ProcessSN],T$1)</f>
        <v>443</v>
      </c>
      <c r="U40" s="117">
        <f>SUMIFS(record[NG],record[製程料號],_018_5XX[[#This Row],[製令單號]],record[ProcessSN],U$1)</f>
        <v>3</v>
      </c>
      <c r="V40" s="117">
        <f>_018_5XX[[#This Row],['#7OK]]-_018_5XX[[#This Row],[OK]]-_018_5XX[[#This Row],[NG]]</f>
        <v>0</v>
      </c>
      <c r="W40" s="117">
        <f>SUMIFS(record[OK],record[製程料號],_018_5XX[[#This Row],[製令單號]],record[ProcessSN],W$1)</f>
        <v>423</v>
      </c>
      <c r="X40" s="117">
        <f>SUMIFS(record[NG],record[製程料號],_018_5XX[[#This Row],[製令單號]],record[ProcessSN],X$1)</f>
        <v>20</v>
      </c>
      <c r="Y40" s="117">
        <f>_018_5XX[[#This Row],[OK]]-_018_5XX[[#This Row],[入庫]]</f>
        <v>0</v>
      </c>
      <c r="Z40" s="117">
        <f>SUMIFS(record[OK],record[製程料號],_018_5XX[[#This Row],[製令單號]],record[ProcessSN],Z$1)</f>
        <v>423</v>
      </c>
      <c r="AA40" s="117">
        <f>_018_5XX[[#This Row],[入庫]]-IFERROR(SUMIF(分料0185XX[第一製程製令],_018_5XX[[#This Row],[製令單號]],分料0185XX[分配數量]),0)</f>
        <v>0</v>
      </c>
      <c r="AB40" s="187"/>
      <c r="AC40" s="117">
        <f>_018_5XX[[#This Row],[NG]]+_018_5XX[[#This Row],['#6 NG]]+_018_5XX[[#This Row],['#5 NG]]+_018_5XX[[#This Row],['#4 NG]]+_018_5XX[[#This Row],['#3 NG]]+_018_5XX[[#This Row],['#7NG]]</f>
        <v>23</v>
      </c>
      <c r="AD40" s="119">
        <f>IF(_018_5XX[[#This Row],[入庫]]+_018_5XX[[#This Row],[總不良數]]=_018_5XX[[#This Row],[入料數]],_018_5XX[[#This Row],[入庫]]/_018_5XX[[#This Row],[入料數]],"")</f>
        <v>0.94843049327354256</v>
      </c>
      <c r="AG40" s="173">
        <v>45764</v>
      </c>
      <c r="AH40" s="127" t="s">
        <v>752</v>
      </c>
      <c r="AI40" s="128" t="s">
        <v>641</v>
      </c>
      <c r="AJ40" s="129" t="s">
        <v>773</v>
      </c>
      <c r="AK40" s="129">
        <v>504</v>
      </c>
    </row>
    <row r="41" spans="1:37" ht="26.25" x14ac:dyDescent="0.25">
      <c r="A41" s="113">
        <v>46050</v>
      </c>
      <c r="B41" s="114" t="s">
        <v>1526</v>
      </c>
      <c r="C41" s="115" t="s">
        <v>502</v>
      </c>
      <c r="D41" s="116">
        <v>212</v>
      </c>
      <c r="E41" s="117">
        <f>_018_5XX[[#This Row],[入料數]]-_018_5XX[[#This Row],['#03已發料數量]]</f>
        <v>0</v>
      </c>
      <c r="F41" s="117">
        <f>SUMIFS(record[OK],record[製程料號],_018_5XX[[#This Row],[製令單號]],record[ProcessSN],F$1)</f>
        <v>212</v>
      </c>
      <c r="G41" s="117">
        <f>_018_5XX[[#This Row],['#03已發料數量]]-_018_5XX[[#This Row],['#3 OK]]-_018_5XX[[#This Row],['#3 NG]]</f>
        <v>0</v>
      </c>
      <c r="H41" s="117">
        <f>SUMIFS(record[OK],record[製程料號],_018_5XX[[#This Row],[製令單號]],record[ProcessSN],H$1)</f>
        <v>212</v>
      </c>
      <c r="I41" s="117">
        <f>SUMIFS(record[NG],record[製程料號],_018_5XX[[#This Row],[製令單號]],record[ProcessSN],I$1)</f>
        <v>0</v>
      </c>
      <c r="J41" s="117">
        <f>_018_5XX[[#This Row],['#3 OK]]-_018_5XX[[#This Row],['#4 OK]]-_018_5XX[[#This Row],['#4 NG]]</f>
        <v>0</v>
      </c>
      <c r="K41" s="117">
        <f>SUMIFS(record[OK],record[製程料號],_018_5XX[[#This Row],[製令單號]],record[ProcessSN],K$1)</f>
        <v>209</v>
      </c>
      <c r="L41" s="117">
        <f>SUMIFS(record[NG],record[製程料號],_018_5XX[[#This Row],[製令單號]],record[ProcessSN],L$1)</f>
        <v>3</v>
      </c>
      <c r="M41" s="117">
        <f>_018_5XX[[#This Row],['#4 OK]]-_018_5XX[[#This Row],['#5 OK]]-_018_5XX[[#This Row],['#5 NG]]</f>
        <v>0</v>
      </c>
      <c r="N41" s="117">
        <f>SUMIFS(record[OK],record[製程料號],_018_5XX[[#This Row],[製令單號]],record[ProcessSN],N$1)</f>
        <v>209</v>
      </c>
      <c r="O41" s="117">
        <f>SUMIFS(record[NG],record[製程料號],_018_5XX[[#This Row],[製令單號]],record[ProcessSN],O$1)</f>
        <v>0</v>
      </c>
      <c r="P41" s="117">
        <f>_018_5XX[[#This Row],['#5 OK]]-_018_5XX[[#This Row],['#6 OK]]-_018_5XX[[#This Row],['#6 NG]]</f>
        <v>0</v>
      </c>
      <c r="Q41" s="117">
        <f>SUMIFS(record[OK],record[製程料號],_018_5XX[[#This Row],[製令單號]],record[ProcessSN],Q$1)</f>
        <v>209</v>
      </c>
      <c r="R41" s="117">
        <f>SUMIFS(record[NG],record[製程料號],_018_5XX[[#This Row],[製令單號]],record[ProcessSN],R$1)</f>
        <v>0</v>
      </c>
      <c r="S41" s="117">
        <f>_018_5XX[[#This Row],['#6 OK]]-_018_5XX[[#This Row],['#7NG]]-_018_5XX[[#This Row],['#7OK]]</f>
        <v>0</v>
      </c>
      <c r="T41" s="117">
        <f>SUMIFS(record[OK],record[製程料號],_018_5XX[[#This Row],[製令單號]],record[ProcessSN],T$1)</f>
        <v>208</v>
      </c>
      <c r="U41" s="117">
        <f>SUMIFS(record[NG],record[製程料號],_018_5XX[[#This Row],[製令單號]],record[ProcessSN],U$1)</f>
        <v>1</v>
      </c>
      <c r="V41" s="117">
        <f>_018_5XX[[#This Row],['#7OK]]-_018_5XX[[#This Row],[OK]]-_018_5XX[[#This Row],[NG]]</f>
        <v>0</v>
      </c>
      <c r="W41" s="117">
        <f>SUMIFS(record[OK],record[製程料號],_018_5XX[[#This Row],[製令單號]],record[ProcessSN],W$1)</f>
        <v>208</v>
      </c>
      <c r="X41" s="117">
        <f>SUMIFS(record[NG],record[製程料號],_018_5XX[[#This Row],[製令單號]],record[ProcessSN],X$1)</f>
        <v>0</v>
      </c>
      <c r="Y41" s="117">
        <f>_018_5XX[[#This Row],[OK]]-_018_5XX[[#This Row],[入庫]]</f>
        <v>0</v>
      </c>
      <c r="Z41" s="117">
        <f>SUMIFS(record[OK],record[製程料號],_018_5XX[[#This Row],[製令單號]],record[ProcessSN],Z$1)</f>
        <v>208</v>
      </c>
      <c r="AA41" s="117">
        <f>_018_5XX[[#This Row],[入庫]]-IFERROR(SUMIF(分料0185XX[第一製程製令],_018_5XX[[#This Row],[製令單號]],分料0185XX[分配數量]),0)</f>
        <v>0</v>
      </c>
      <c r="AB41" s="187"/>
      <c r="AC41" s="117">
        <f>_018_5XX[[#This Row],[NG]]+_018_5XX[[#This Row],['#6 NG]]+_018_5XX[[#This Row],['#5 NG]]+_018_5XX[[#This Row],['#4 NG]]+_018_5XX[[#This Row],['#3 NG]]+_018_5XX[[#This Row],['#7NG]]</f>
        <v>4</v>
      </c>
      <c r="AD41" s="119">
        <f>IF(_018_5XX[[#This Row],[入庫]]+_018_5XX[[#This Row],[總不良數]]=_018_5XX[[#This Row],[入料數]],_018_5XX[[#This Row],[入庫]]/_018_5XX[[#This Row],[入料數]],"")</f>
        <v>0.98113207547169812</v>
      </c>
      <c r="AG41" s="173">
        <v>45765</v>
      </c>
      <c r="AH41" s="127" t="s">
        <v>752</v>
      </c>
      <c r="AI41" s="128" t="s">
        <v>641</v>
      </c>
      <c r="AJ41" s="129" t="s">
        <v>776</v>
      </c>
      <c r="AK41" s="129">
        <v>304</v>
      </c>
    </row>
    <row r="42" spans="1:37" ht="26.25" x14ac:dyDescent="0.25">
      <c r="A42" s="113">
        <v>46051</v>
      </c>
      <c r="B42" s="114" t="s">
        <v>1540</v>
      </c>
      <c r="C42" s="115" t="s">
        <v>502</v>
      </c>
      <c r="D42" s="116">
        <v>848</v>
      </c>
      <c r="E42" s="117">
        <f>_018_5XX[[#This Row],[入料數]]-_018_5XX[[#This Row],['#03已發料數量]]</f>
        <v>0</v>
      </c>
      <c r="F42" s="117">
        <f>SUMIFS(record[OK],record[製程料號],_018_5XX[[#This Row],[製令單號]],record[ProcessSN],F$1)</f>
        <v>848</v>
      </c>
      <c r="G42" s="117">
        <f>_018_5XX[[#This Row],['#03已發料數量]]-_018_5XX[[#This Row],['#3 OK]]-_018_5XX[[#This Row],['#3 NG]]</f>
        <v>0</v>
      </c>
      <c r="H42" s="117">
        <f>SUMIFS(record[OK],record[製程料號],_018_5XX[[#This Row],[製令單號]],record[ProcessSN],H$1)</f>
        <v>832</v>
      </c>
      <c r="I42" s="117">
        <f>SUMIFS(record[NG],record[製程料號],_018_5XX[[#This Row],[製令單號]],record[ProcessSN],I$1)</f>
        <v>16</v>
      </c>
      <c r="J42" s="117">
        <f>_018_5XX[[#This Row],['#3 OK]]-_018_5XX[[#This Row],['#4 OK]]-_018_5XX[[#This Row],['#4 NG]]</f>
        <v>0</v>
      </c>
      <c r="K42" s="117">
        <f>SUMIFS(record[OK],record[製程料號],_018_5XX[[#This Row],[製令單號]],record[ProcessSN],K$1)</f>
        <v>832</v>
      </c>
      <c r="L42" s="117">
        <f>SUMIFS(record[NG],record[製程料號],_018_5XX[[#This Row],[製令單號]],record[ProcessSN],L$1)</f>
        <v>0</v>
      </c>
      <c r="M42" s="117">
        <f>_018_5XX[[#This Row],['#4 OK]]-_018_5XX[[#This Row],['#5 OK]]-_018_5XX[[#This Row],['#5 NG]]</f>
        <v>0</v>
      </c>
      <c r="N42" s="117">
        <f>SUMIFS(record[OK],record[製程料號],_018_5XX[[#This Row],[製令單號]],record[ProcessSN],N$1)</f>
        <v>832</v>
      </c>
      <c r="O42" s="117">
        <f>SUMIFS(record[NG],record[製程料號],_018_5XX[[#This Row],[製令單號]],record[ProcessSN],O$1)</f>
        <v>0</v>
      </c>
      <c r="P42" s="117">
        <f>_018_5XX[[#This Row],['#5 OK]]-_018_5XX[[#This Row],['#6 OK]]-_018_5XX[[#This Row],['#6 NG]]</f>
        <v>0</v>
      </c>
      <c r="Q42" s="117">
        <f>SUMIFS(record[OK],record[製程料號],_018_5XX[[#This Row],[製令單號]],record[ProcessSN],Q$1)</f>
        <v>823</v>
      </c>
      <c r="R42" s="117">
        <f>SUMIFS(record[NG],record[製程料號],_018_5XX[[#This Row],[製令單號]],record[ProcessSN],R$1)</f>
        <v>9</v>
      </c>
      <c r="S42" s="117">
        <f>_018_5XX[[#This Row],['#6 OK]]-_018_5XX[[#This Row],['#7NG]]-_018_5XX[[#This Row],['#7OK]]</f>
        <v>0</v>
      </c>
      <c r="T42" s="117">
        <f>SUMIFS(record[OK],record[製程料號],_018_5XX[[#This Row],[製令單號]],record[ProcessSN],T$1)</f>
        <v>818</v>
      </c>
      <c r="U42" s="117">
        <f>SUMIFS(record[NG],record[製程料號],_018_5XX[[#This Row],[製令單號]],record[ProcessSN],U$1)</f>
        <v>5</v>
      </c>
      <c r="V42" s="117">
        <f>_018_5XX[[#This Row],['#7OK]]-_018_5XX[[#This Row],[OK]]-_018_5XX[[#This Row],[NG]]</f>
        <v>0</v>
      </c>
      <c r="W42" s="117">
        <f>SUMIFS(record[OK],record[製程料號],_018_5XX[[#This Row],[製令單號]],record[ProcessSN],W$1)</f>
        <v>816</v>
      </c>
      <c r="X42" s="117">
        <f>SUMIFS(record[NG],record[製程料號],_018_5XX[[#This Row],[製令單號]],record[ProcessSN],X$1)</f>
        <v>2</v>
      </c>
      <c r="Y42" s="117">
        <f>_018_5XX[[#This Row],[OK]]-_018_5XX[[#This Row],[入庫]]</f>
        <v>0</v>
      </c>
      <c r="Z42" s="117">
        <f>SUMIFS(record[OK],record[製程料號],_018_5XX[[#This Row],[製令單號]],record[ProcessSN],Z$1)</f>
        <v>816</v>
      </c>
      <c r="AA42" s="117">
        <f>_018_5XX[[#This Row],[入庫]]-IFERROR(SUMIF(分料0185XX[第一製程製令],_018_5XX[[#This Row],[製令單號]],分料0185XX[分配數量]),0)</f>
        <v>0</v>
      </c>
      <c r="AB42" s="187"/>
      <c r="AC42" s="117">
        <f>_018_5XX[[#This Row],[NG]]+_018_5XX[[#This Row],['#6 NG]]+_018_5XX[[#This Row],['#5 NG]]+_018_5XX[[#This Row],['#4 NG]]+_018_5XX[[#This Row],['#3 NG]]+_018_5XX[[#This Row],['#7NG]]</f>
        <v>32</v>
      </c>
      <c r="AD42" s="119">
        <f>IF(_018_5XX[[#This Row],[入庫]]+_018_5XX[[#This Row],[總不良數]]=_018_5XX[[#This Row],[入料數]],_018_5XX[[#This Row],[入庫]]/_018_5XX[[#This Row],[入料數]],"")</f>
        <v>0.96226415094339623</v>
      </c>
      <c r="AG42" s="173">
        <v>45769</v>
      </c>
      <c r="AH42" s="127" t="s">
        <v>752</v>
      </c>
      <c r="AI42" s="128" t="s">
        <v>641</v>
      </c>
      <c r="AJ42" s="129" t="s">
        <v>783</v>
      </c>
      <c r="AK42" s="129">
        <v>328</v>
      </c>
    </row>
    <row r="43" spans="1:37" ht="26.25" x14ac:dyDescent="0.25">
      <c r="A43" s="113">
        <v>46057</v>
      </c>
      <c r="B43" s="114" t="s">
        <v>1568</v>
      </c>
      <c r="C43" s="115" t="s">
        <v>502</v>
      </c>
      <c r="D43" s="116">
        <v>800</v>
      </c>
      <c r="E43" s="117">
        <f>_018_5XX[[#This Row],[入料數]]-_018_5XX[[#This Row],['#03已發料數量]]</f>
        <v>0</v>
      </c>
      <c r="F43" s="117">
        <f>SUMIFS(record[OK],record[製程料號],_018_5XX[[#This Row],[製令單號]],record[ProcessSN],F$1)</f>
        <v>800</v>
      </c>
      <c r="G43" s="117">
        <f>_018_5XX[[#This Row],['#03已發料數量]]-_018_5XX[[#This Row],['#3 OK]]-_018_5XX[[#This Row],['#3 NG]]</f>
        <v>0</v>
      </c>
      <c r="H43" s="117">
        <f>SUMIFS(record[OK],record[製程料號],_018_5XX[[#This Row],[製令單號]],record[ProcessSN],H$1)</f>
        <v>799</v>
      </c>
      <c r="I43" s="117">
        <f>SUMIFS(record[NG],record[製程料號],_018_5XX[[#This Row],[製令單號]],record[ProcessSN],I$1)</f>
        <v>1</v>
      </c>
      <c r="J43" s="117">
        <f>_018_5XX[[#This Row],['#3 OK]]-_018_5XX[[#This Row],['#4 OK]]-_018_5XX[[#This Row],['#4 NG]]</f>
        <v>0</v>
      </c>
      <c r="K43" s="117">
        <f>SUMIFS(record[OK],record[製程料號],_018_5XX[[#This Row],[製令單號]],record[ProcessSN],K$1)</f>
        <v>799</v>
      </c>
      <c r="L43" s="117">
        <f>SUMIFS(record[NG],record[製程料號],_018_5XX[[#This Row],[製令單號]],record[ProcessSN],L$1)</f>
        <v>0</v>
      </c>
      <c r="M43" s="117">
        <f>_018_5XX[[#This Row],['#4 OK]]-_018_5XX[[#This Row],['#5 OK]]-_018_5XX[[#This Row],['#5 NG]]</f>
        <v>0</v>
      </c>
      <c r="N43" s="117">
        <f>SUMIFS(record[OK],record[製程料號],_018_5XX[[#This Row],[製令單號]],record[ProcessSN],N$1)</f>
        <v>799</v>
      </c>
      <c r="O43" s="117">
        <f>SUMIFS(record[NG],record[製程料號],_018_5XX[[#This Row],[製令單號]],record[ProcessSN],O$1)</f>
        <v>0</v>
      </c>
      <c r="P43" s="117">
        <f>_018_5XX[[#This Row],['#5 OK]]-_018_5XX[[#This Row],['#6 OK]]-_018_5XX[[#This Row],['#6 NG]]</f>
        <v>0</v>
      </c>
      <c r="Q43" s="117">
        <f>SUMIFS(record[OK],record[製程料號],_018_5XX[[#This Row],[製令單號]],record[ProcessSN],Q$1)</f>
        <v>799</v>
      </c>
      <c r="R43" s="117">
        <f>SUMIFS(record[NG],record[製程料號],_018_5XX[[#This Row],[製令單號]],record[ProcessSN],R$1)</f>
        <v>0</v>
      </c>
      <c r="S43" s="117">
        <f>_018_5XX[[#This Row],['#6 OK]]-_018_5XX[[#This Row],['#7NG]]-_018_5XX[[#This Row],['#7OK]]</f>
        <v>0</v>
      </c>
      <c r="T43" s="117">
        <f>SUMIFS(record[OK],record[製程料號],_018_5XX[[#This Row],[製令單號]],record[ProcessSN],T$1)</f>
        <v>794</v>
      </c>
      <c r="U43" s="117">
        <f>SUMIFS(record[NG],record[製程料號],_018_5XX[[#This Row],[製令單號]],record[ProcessSN],U$1)</f>
        <v>5</v>
      </c>
      <c r="V43" s="117">
        <f>_018_5XX[[#This Row],['#7OK]]-_018_5XX[[#This Row],[OK]]-_018_5XX[[#This Row],[NG]]</f>
        <v>0</v>
      </c>
      <c r="W43" s="117">
        <f>SUMIFS(record[OK],record[製程料號],_018_5XX[[#This Row],[製令單號]],record[ProcessSN],W$1)</f>
        <v>793</v>
      </c>
      <c r="X43" s="117">
        <f>SUMIFS(record[NG],record[製程料號],_018_5XX[[#This Row],[製令單號]],record[ProcessSN],X$1)</f>
        <v>1</v>
      </c>
      <c r="Y43" s="117">
        <f>_018_5XX[[#This Row],[OK]]-_018_5XX[[#This Row],[入庫]]</f>
        <v>0</v>
      </c>
      <c r="Z43" s="117">
        <f>SUMIFS(record[OK],record[製程料號],_018_5XX[[#This Row],[製令單號]],record[ProcessSN],Z$1)</f>
        <v>793</v>
      </c>
      <c r="AA43" s="117">
        <f>_018_5XX[[#This Row],[入庫]]-IFERROR(SUMIF(分料0185XX[第一製程製令],_018_5XX[[#This Row],[製令單號]],分料0185XX[分配數量]),0)</f>
        <v>0</v>
      </c>
      <c r="AB43" s="187"/>
      <c r="AC43" s="117">
        <f>_018_5XX[[#This Row],[NG]]+_018_5XX[[#This Row],['#6 NG]]+_018_5XX[[#This Row],['#5 NG]]+_018_5XX[[#This Row],['#4 NG]]+_018_5XX[[#This Row],['#3 NG]]+_018_5XX[[#This Row],['#7NG]]</f>
        <v>7</v>
      </c>
      <c r="AD43" s="119">
        <f>IF(_018_5XX[[#This Row],[入庫]]+_018_5XX[[#This Row],[總不良數]]=_018_5XX[[#This Row],[入料數]],_018_5XX[[#This Row],[入庫]]/_018_5XX[[#This Row],[入料數]],"")</f>
        <v>0.99124999999999996</v>
      </c>
      <c r="AG43" s="173">
        <v>45770</v>
      </c>
      <c r="AH43" s="127" t="s">
        <v>752</v>
      </c>
      <c r="AI43" s="128" t="s">
        <v>641</v>
      </c>
      <c r="AJ43" s="129" t="s">
        <v>784</v>
      </c>
      <c r="AK43" s="129">
        <v>383</v>
      </c>
    </row>
    <row r="44" spans="1:37" ht="26.25" x14ac:dyDescent="0.25">
      <c r="A44" s="113">
        <v>46076</v>
      </c>
      <c r="B44" s="114" t="s">
        <v>1589</v>
      </c>
      <c r="C44" s="115" t="s">
        <v>502</v>
      </c>
      <c r="D44" s="116">
        <v>2000</v>
      </c>
      <c r="E44" s="117">
        <f>_018_5XX[[#This Row],[入料數]]-_018_5XX[[#This Row],['#03已發料數量]]</f>
        <v>0</v>
      </c>
      <c r="F44" s="117">
        <f>SUMIFS(record[OK],record[製程料號],_018_5XX[[#This Row],[製令單號]],record[ProcessSN],F$1)</f>
        <v>2000</v>
      </c>
      <c r="G44" s="117">
        <f>_018_5XX[[#This Row],['#03已發料數量]]-_018_5XX[[#This Row],['#3 OK]]-_018_5XX[[#This Row],['#3 NG]]</f>
        <v>0</v>
      </c>
      <c r="H44" s="117">
        <f>SUMIFS(record[OK],record[製程料號],_018_5XX[[#This Row],[製令單號]],record[ProcessSN],H$1)</f>
        <v>2000</v>
      </c>
      <c r="I44" s="117">
        <f>SUMIFS(record[NG],record[製程料號],_018_5XX[[#This Row],[製令單號]],record[ProcessSN],I$1)</f>
        <v>0</v>
      </c>
      <c r="J44" s="117">
        <f>_018_5XX[[#This Row],['#3 OK]]-_018_5XX[[#This Row],['#4 OK]]-_018_5XX[[#This Row],['#4 NG]]</f>
        <v>0</v>
      </c>
      <c r="K44" s="117">
        <f>SUMIFS(record[OK],record[製程料號],_018_5XX[[#This Row],[製令單號]],record[ProcessSN],K$1)</f>
        <v>1982</v>
      </c>
      <c r="L44" s="117">
        <f>SUMIFS(record[NG],record[製程料號],_018_5XX[[#This Row],[製令單號]],record[ProcessSN],L$1)</f>
        <v>18</v>
      </c>
      <c r="M44" s="117">
        <f>_018_5XX[[#This Row],['#4 OK]]-_018_5XX[[#This Row],['#5 OK]]-_018_5XX[[#This Row],['#5 NG]]</f>
        <v>0</v>
      </c>
      <c r="N44" s="117">
        <f>SUMIFS(record[OK],record[製程料號],_018_5XX[[#This Row],[製令單號]],record[ProcessSN],N$1)</f>
        <v>1982</v>
      </c>
      <c r="O44" s="117">
        <f>SUMIFS(record[NG],record[製程料號],_018_5XX[[#This Row],[製令單號]],record[ProcessSN],O$1)</f>
        <v>0</v>
      </c>
      <c r="P44" s="117">
        <f>_018_5XX[[#This Row],['#5 OK]]-_018_5XX[[#This Row],['#6 OK]]-_018_5XX[[#This Row],['#6 NG]]</f>
        <v>0</v>
      </c>
      <c r="Q44" s="117">
        <f>SUMIFS(record[OK],record[製程料號],_018_5XX[[#This Row],[製令單號]],record[ProcessSN],Q$1)</f>
        <v>1977</v>
      </c>
      <c r="R44" s="117">
        <f>SUMIFS(record[NG],record[製程料號],_018_5XX[[#This Row],[製令單號]],record[ProcessSN],R$1)</f>
        <v>5</v>
      </c>
      <c r="S44" s="117">
        <f>_018_5XX[[#This Row],['#6 OK]]-_018_5XX[[#This Row],['#7NG]]-_018_5XX[[#This Row],['#7OK]]</f>
        <v>0</v>
      </c>
      <c r="T44" s="117">
        <f>SUMIFS(record[OK],record[製程料號],_018_5XX[[#This Row],[製令單號]],record[ProcessSN],T$1)</f>
        <v>1950</v>
      </c>
      <c r="U44" s="117">
        <f>SUMIFS(record[NG],record[製程料號],_018_5XX[[#This Row],[製令單號]],record[ProcessSN],U$1)</f>
        <v>27</v>
      </c>
      <c r="V44" s="117">
        <f>_018_5XX[[#This Row],['#7OK]]-_018_5XX[[#This Row],[OK]]-_018_5XX[[#This Row],[NG]]</f>
        <v>0</v>
      </c>
      <c r="W44" s="117">
        <f>SUMIFS(record[OK],record[製程料號],_018_5XX[[#This Row],[製令單號]],record[ProcessSN],W$1)</f>
        <v>1919</v>
      </c>
      <c r="X44" s="117">
        <f>SUMIFS(record[NG],record[製程料號],_018_5XX[[#This Row],[製令單號]],record[ProcessSN],X$1)</f>
        <v>31</v>
      </c>
      <c r="Y44" s="117">
        <f>_018_5XX[[#This Row],[OK]]-_018_5XX[[#This Row],[入庫]]</f>
        <v>0</v>
      </c>
      <c r="Z44" s="117">
        <f>SUMIFS(record[OK],record[製程料號],_018_5XX[[#This Row],[製令單號]],record[ProcessSN],Z$1)</f>
        <v>1919</v>
      </c>
      <c r="AA44" s="117">
        <f>_018_5XX[[#This Row],[入庫]]-IFERROR(SUMIF(分料0185XX[第一製程製令],_018_5XX[[#This Row],[製令單號]],分料0185XX[分配數量]),0)</f>
        <v>0</v>
      </c>
      <c r="AB44" s="187"/>
      <c r="AC44" s="117">
        <f>_018_5XX[[#This Row],[NG]]+_018_5XX[[#This Row],['#6 NG]]+_018_5XX[[#This Row],['#5 NG]]+_018_5XX[[#This Row],['#4 NG]]+_018_5XX[[#This Row],['#3 NG]]+_018_5XX[[#This Row],['#7NG]]</f>
        <v>81</v>
      </c>
      <c r="AD44" s="119">
        <f>IF(_018_5XX[[#This Row],[入庫]]+_018_5XX[[#This Row],[總不良數]]=_018_5XX[[#This Row],[入料數]],_018_5XX[[#This Row],[入庫]]/_018_5XX[[#This Row],[入料數]],"")</f>
        <v>0.95950000000000002</v>
      </c>
      <c r="AG44" s="173">
        <v>45793</v>
      </c>
      <c r="AH44" s="127" t="s">
        <v>753</v>
      </c>
      <c r="AI44" s="128" t="s">
        <v>641</v>
      </c>
      <c r="AJ44" s="129" t="s">
        <v>792</v>
      </c>
      <c r="AK44" s="129">
        <v>22</v>
      </c>
    </row>
    <row r="45" spans="1:37" ht="26.25" x14ac:dyDescent="0.25">
      <c r="A45" s="113">
        <v>46100</v>
      </c>
      <c r="B45" s="114" t="s">
        <v>1653</v>
      </c>
      <c r="C45" s="115" t="s">
        <v>502</v>
      </c>
      <c r="D45" s="116">
        <v>3500</v>
      </c>
      <c r="E45" s="117">
        <f>_018_5XX[[#This Row],[入料數]]-_018_5XX[[#This Row],['#03已發料數量]]</f>
        <v>0</v>
      </c>
      <c r="F45" s="117">
        <f>SUMIFS(record[OK],record[製程料號],_018_5XX[[#This Row],[製令單號]],record[ProcessSN],F$1)</f>
        <v>3500</v>
      </c>
      <c r="G45" s="117">
        <f>_018_5XX[[#This Row],['#03已發料數量]]-_018_5XX[[#This Row],['#3 OK]]-_018_5XX[[#This Row],['#3 NG]]</f>
        <v>0</v>
      </c>
      <c r="H45" s="117">
        <f>SUMIFS(record[OK],record[製程料號],_018_5XX[[#This Row],[製令單號]],record[ProcessSN],H$1)</f>
        <v>3478</v>
      </c>
      <c r="I45" s="117">
        <f>SUMIFS(record[NG],record[製程料號],_018_5XX[[#This Row],[製令單號]],record[ProcessSN],I$1)</f>
        <v>22</v>
      </c>
      <c r="J45" s="117">
        <f>_018_5XX[[#This Row],['#3 OK]]-_018_5XX[[#This Row],['#4 OK]]-_018_5XX[[#This Row],['#4 NG]]</f>
        <v>0</v>
      </c>
      <c r="K45" s="117">
        <f>SUMIFS(record[OK],record[製程料號],_018_5XX[[#This Row],[製令單號]],record[ProcessSN],K$1)</f>
        <v>3382</v>
      </c>
      <c r="L45" s="117">
        <f>SUMIFS(record[NG],record[製程料號],_018_5XX[[#This Row],[製令單號]],record[ProcessSN],L$1)</f>
        <v>96</v>
      </c>
      <c r="M45" s="117">
        <f>_018_5XX[[#This Row],['#4 OK]]-_018_5XX[[#This Row],['#5 OK]]-_018_5XX[[#This Row],['#5 NG]]</f>
        <v>0</v>
      </c>
      <c r="N45" s="117">
        <f>SUMIFS(record[OK],record[製程料號],_018_5XX[[#This Row],[製令單號]],record[ProcessSN],N$1)</f>
        <v>3381</v>
      </c>
      <c r="O45" s="117">
        <f>SUMIFS(record[NG],record[製程料號],_018_5XX[[#This Row],[製令單號]],record[ProcessSN],O$1)</f>
        <v>1</v>
      </c>
      <c r="P45" s="117">
        <f>_018_5XX[[#This Row],['#5 OK]]-_018_5XX[[#This Row],['#6 OK]]-_018_5XX[[#This Row],['#6 NG]]</f>
        <v>0</v>
      </c>
      <c r="Q45" s="117">
        <f>SUMIFS(record[OK],record[製程料號],_018_5XX[[#This Row],[製令單號]],record[ProcessSN],Q$1)</f>
        <v>3379</v>
      </c>
      <c r="R45" s="117">
        <f>SUMIFS(record[NG],record[製程料號],_018_5XX[[#This Row],[製令單號]],record[ProcessSN],R$1)</f>
        <v>2</v>
      </c>
      <c r="S45" s="117">
        <f>_018_5XX[[#This Row],['#6 OK]]-_018_5XX[[#This Row],['#7NG]]-_018_5XX[[#This Row],['#7OK]]</f>
        <v>0</v>
      </c>
      <c r="T45" s="117">
        <f>SUMIFS(record[OK],record[製程料號],_018_5XX[[#This Row],[製令單號]],record[ProcessSN],T$1)</f>
        <v>3352</v>
      </c>
      <c r="U45" s="117">
        <f>SUMIFS(record[NG],record[製程料號],_018_5XX[[#This Row],[製令單號]],record[ProcessSN],U$1)</f>
        <v>27</v>
      </c>
      <c r="V45" s="117">
        <f>_018_5XX[[#This Row],['#7OK]]-_018_5XX[[#This Row],[OK]]-_018_5XX[[#This Row],[NG]]</f>
        <v>0</v>
      </c>
      <c r="W45" s="117">
        <f>SUMIFS(record[OK],record[製程料號],_018_5XX[[#This Row],[製令單號]],record[ProcessSN],W$1)</f>
        <v>3261</v>
      </c>
      <c r="X45" s="117">
        <f>SUMIFS(record[NG],record[製程料號],_018_5XX[[#This Row],[製令單號]],record[ProcessSN],X$1)</f>
        <v>91</v>
      </c>
      <c r="Y45" s="117">
        <f>_018_5XX[[#This Row],[OK]]-_018_5XX[[#This Row],[入庫]]</f>
        <v>0</v>
      </c>
      <c r="Z45" s="117">
        <f>SUMIFS(record[OK],record[製程料號],_018_5XX[[#This Row],[製令單號]],record[ProcessSN],Z$1)</f>
        <v>3261</v>
      </c>
      <c r="AA45" s="117">
        <f>_018_5XX[[#This Row],[入庫]]-IFERROR(SUMIF(分料0185XX[第一製程製令],_018_5XX[[#This Row],[製令單號]],分料0185XX[分配數量]),0)</f>
        <v>0</v>
      </c>
      <c r="AB45" s="187"/>
      <c r="AC45" s="117">
        <f>_018_5XX[[#This Row],[NG]]+_018_5XX[[#This Row],['#6 NG]]+_018_5XX[[#This Row],['#5 NG]]+_018_5XX[[#This Row],['#4 NG]]+_018_5XX[[#This Row],['#3 NG]]+_018_5XX[[#This Row],['#7NG]]</f>
        <v>239</v>
      </c>
      <c r="AD45" s="119">
        <f>IF(_018_5XX[[#This Row],[入庫]]+_018_5XX[[#This Row],[總不良數]]=_018_5XX[[#This Row],[入料數]],_018_5XX[[#This Row],[入庫]]/_018_5XX[[#This Row],[入料數]],"")</f>
        <v>0.93171428571428572</v>
      </c>
      <c r="AG45" s="173">
        <v>45793</v>
      </c>
      <c r="AH45" s="127" t="s">
        <v>780</v>
      </c>
      <c r="AI45" s="128" t="s">
        <v>641</v>
      </c>
      <c r="AJ45" s="129" t="s">
        <v>792</v>
      </c>
      <c r="AK45" s="129">
        <v>347</v>
      </c>
    </row>
    <row r="46" spans="1:37" ht="26.25" x14ac:dyDescent="0.25">
      <c r="A46" s="113">
        <v>46120</v>
      </c>
      <c r="B46" s="114" t="s">
        <v>1767</v>
      </c>
      <c r="C46" s="115" t="s">
        <v>502</v>
      </c>
      <c r="D46" s="116">
        <v>504</v>
      </c>
      <c r="E46" s="117">
        <f>_018_5XX[[#This Row],[入料數]]-_018_5XX[[#This Row],['#03已發料數量]]</f>
        <v>0</v>
      </c>
      <c r="F46" s="117">
        <f>SUMIFS(record[OK],record[製程料號],_018_5XX[[#This Row],[製令單號]],record[ProcessSN],F$1)</f>
        <v>504</v>
      </c>
      <c r="G46" s="117">
        <f>_018_5XX[[#This Row],['#03已發料數量]]-_018_5XX[[#This Row],['#3 OK]]-_018_5XX[[#This Row],['#3 NG]]</f>
        <v>0</v>
      </c>
      <c r="H46" s="117">
        <f>SUMIFS(record[OK],record[製程料號],_018_5XX[[#This Row],[製令單號]],record[ProcessSN],H$1)</f>
        <v>503</v>
      </c>
      <c r="I46" s="117">
        <f>SUMIFS(record[NG],record[製程料號],_018_5XX[[#This Row],[製令單號]],record[ProcessSN],I$1)</f>
        <v>1</v>
      </c>
      <c r="J46" s="117">
        <f>_018_5XX[[#This Row],['#3 OK]]-_018_5XX[[#This Row],['#4 OK]]-_018_5XX[[#This Row],['#4 NG]]</f>
        <v>0</v>
      </c>
      <c r="K46" s="117">
        <f>SUMIFS(record[OK],record[製程料號],_018_5XX[[#This Row],[製令單號]],record[ProcessSN],K$1)</f>
        <v>485</v>
      </c>
      <c r="L46" s="117">
        <f>SUMIFS(record[NG],record[製程料號],_018_5XX[[#This Row],[製令單號]],record[ProcessSN],L$1)</f>
        <v>18</v>
      </c>
      <c r="M46" s="117">
        <f>_018_5XX[[#This Row],['#4 OK]]-_018_5XX[[#This Row],['#5 OK]]-_018_5XX[[#This Row],['#5 NG]]</f>
        <v>0</v>
      </c>
      <c r="N46" s="117">
        <f>SUMIFS(record[OK],record[製程料號],_018_5XX[[#This Row],[製令單號]],record[ProcessSN],N$1)</f>
        <v>485</v>
      </c>
      <c r="O46" s="117">
        <f>SUMIFS(record[NG],record[製程料號],_018_5XX[[#This Row],[製令單號]],record[ProcessSN],O$1)</f>
        <v>0</v>
      </c>
      <c r="P46" s="117">
        <f>_018_5XX[[#This Row],['#5 OK]]-_018_5XX[[#This Row],['#6 OK]]-_018_5XX[[#This Row],['#6 NG]]</f>
        <v>0</v>
      </c>
      <c r="Q46" s="117">
        <f>SUMIFS(record[OK],record[製程料號],_018_5XX[[#This Row],[製令單號]],record[ProcessSN],Q$1)</f>
        <v>485</v>
      </c>
      <c r="R46" s="117">
        <f>SUMIFS(record[NG],record[製程料號],_018_5XX[[#This Row],[製令單號]],record[ProcessSN],R$1)</f>
        <v>0</v>
      </c>
      <c r="S46" s="117">
        <f>_018_5XX[[#This Row],['#6 OK]]-_018_5XX[[#This Row],['#7NG]]-_018_5XX[[#This Row],['#7OK]]</f>
        <v>0</v>
      </c>
      <c r="T46" s="117">
        <f>SUMIFS(record[OK],record[製程料號],_018_5XX[[#This Row],[製令單號]],record[ProcessSN],T$1)</f>
        <v>476</v>
      </c>
      <c r="U46" s="117">
        <f>SUMIFS(record[NG],record[製程料號],_018_5XX[[#This Row],[製令單號]],record[ProcessSN],U$1)</f>
        <v>9</v>
      </c>
      <c r="V46" s="117">
        <f>_018_5XX[[#This Row],['#7OK]]-_018_5XX[[#This Row],[OK]]-_018_5XX[[#This Row],[NG]]</f>
        <v>0</v>
      </c>
      <c r="W46" s="117">
        <f>SUMIFS(record[OK],record[製程料號],_018_5XX[[#This Row],[製令單號]],record[ProcessSN],W$1)</f>
        <v>476</v>
      </c>
      <c r="X46" s="117">
        <f>SUMIFS(record[NG],record[製程料號],_018_5XX[[#This Row],[製令單號]],record[ProcessSN],X$1)</f>
        <v>0</v>
      </c>
      <c r="Y46" s="117">
        <f>_018_5XX[[#This Row],[OK]]-_018_5XX[[#This Row],[入庫]]</f>
        <v>0</v>
      </c>
      <c r="Z46" s="117">
        <f>SUMIFS(record[OK],record[製程料號],_018_5XX[[#This Row],[製令單號]],record[ProcessSN],Z$1)</f>
        <v>476</v>
      </c>
      <c r="AA46" s="117">
        <f>_018_5XX[[#This Row],[入庫]]-IFERROR(SUMIF(分料0185XX[第一製程製令],_018_5XX[[#This Row],[製令單號]],分料0185XX[分配數量]),0)</f>
        <v>0</v>
      </c>
      <c r="AB46" s="187"/>
      <c r="AC46" s="117">
        <f>_018_5XX[[#This Row],[NG]]+_018_5XX[[#This Row],['#6 NG]]+_018_5XX[[#This Row],['#5 NG]]+_018_5XX[[#This Row],['#4 NG]]+_018_5XX[[#This Row],['#3 NG]]+_018_5XX[[#This Row],['#7NG]]</f>
        <v>28</v>
      </c>
      <c r="AD46" s="119">
        <f>IF(_018_5XX[[#This Row],[入庫]]+_018_5XX[[#This Row],[總不良數]]=_018_5XX[[#This Row],[入料數]],_018_5XX[[#This Row],[入庫]]/_018_5XX[[#This Row],[入料數]],"")</f>
        <v>0.94444444444444442</v>
      </c>
      <c r="AG46" s="173">
        <v>45793</v>
      </c>
      <c r="AH46" s="127" t="s">
        <v>780</v>
      </c>
      <c r="AI46" s="128" t="s">
        <v>641</v>
      </c>
      <c r="AJ46" s="129" t="s">
        <v>795</v>
      </c>
      <c r="AK46" s="129">
        <v>306</v>
      </c>
    </row>
    <row r="47" spans="1:37" ht="26.25" x14ac:dyDescent="0.25">
      <c r="A47" s="113">
        <v>46121</v>
      </c>
      <c r="B47" s="114" t="s">
        <v>1782</v>
      </c>
      <c r="C47" s="115" t="s">
        <v>502</v>
      </c>
      <c r="D47" s="116">
        <v>839</v>
      </c>
      <c r="E47" s="117">
        <f>_018_5XX[[#This Row],[入料數]]-_018_5XX[[#This Row],['#03已發料數量]]</f>
        <v>0</v>
      </c>
      <c r="F47" s="117">
        <f>SUMIFS(record[OK],record[製程料號],_018_5XX[[#This Row],[製令單號]],record[ProcessSN],F$1)</f>
        <v>839</v>
      </c>
      <c r="G47" s="117">
        <f>_018_5XX[[#This Row],['#03已發料數量]]-_018_5XX[[#This Row],['#3 OK]]-_018_5XX[[#This Row],['#3 NG]]</f>
        <v>0</v>
      </c>
      <c r="H47" s="117">
        <f>SUMIFS(record[OK],record[製程料號],_018_5XX[[#This Row],[製令單號]],record[ProcessSN],H$1)</f>
        <v>839</v>
      </c>
      <c r="I47" s="117">
        <f>SUMIFS(record[NG],record[製程料號],_018_5XX[[#This Row],[製令單號]],record[ProcessSN],I$1)</f>
        <v>0</v>
      </c>
      <c r="J47" s="117">
        <f>_018_5XX[[#This Row],['#3 OK]]-_018_5XX[[#This Row],['#4 OK]]-_018_5XX[[#This Row],['#4 NG]]</f>
        <v>0</v>
      </c>
      <c r="K47" s="117">
        <f>SUMIFS(record[OK],record[製程料號],_018_5XX[[#This Row],[製令單號]],record[ProcessSN],K$1)</f>
        <v>835</v>
      </c>
      <c r="L47" s="117">
        <f>SUMIFS(record[NG],record[製程料號],_018_5XX[[#This Row],[製令單號]],record[ProcessSN],L$1)</f>
        <v>4</v>
      </c>
      <c r="M47" s="117">
        <f>_018_5XX[[#This Row],['#4 OK]]-_018_5XX[[#This Row],['#5 OK]]-_018_5XX[[#This Row],['#5 NG]]</f>
        <v>0</v>
      </c>
      <c r="N47" s="117">
        <f>SUMIFS(record[OK],record[製程料號],_018_5XX[[#This Row],[製令單號]],record[ProcessSN],N$1)</f>
        <v>832</v>
      </c>
      <c r="O47" s="117">
        <f>SUMIFS(record[NG],record[製程料號],_018_5XX[[#This Row],[製令單號]],record[ProcessSN],O$1)</f>
        <v>3</v>
      </c>
      <c r="P47" s="117">
        <f>_018_5XX[[#This Row],['#5 OK]]-_018_5XX[[#This Row],['#6 OK]]-_018_5XX[[#This Row],['#6 NG]]</f>
        <v>0</v>
      </c>
      <c r="Q47" s="117">
        <f>SUMIFS(record[OK],record[製程料號],_018_5XX[[#This Row],[製令單號]],record[ProcessSN],Q$1)</f>
        <v>827</v>
      </c>
      <c r="R47" s="117">
        <f>SUMIFS(record[NG],record[製程料號],_018_5XX[[#This Row],[製令單號]],record[ProcessSN],R$1)</f>
        <v>5</v>
      </c>
      <c r="S47" s="117">
        <f>_018_5XX[[#This Row],['#6 OK]]-_018_5XX[[#This Row],['#7NG]]-_018_5XX[[#This Row],['#7OK]]</f>
        <v>0</v>
      </c>
      <c r="T47" s="117">
        <f>SUMIFS(record[OK],record[製程料號],_018_5XX[[#This Row],[製令單號]],record[ProcessSN],T$1)</f>
        <v>816</v>
      </c>
      <c r="U47" s="117">
        <f>SUMIFS(record[NG],record[製程料號],_018_5XX[[#This Row],[製令單號]],record[ProcessSN],U$1)</f>
        <v>11</v>
      </c>
      <c r="V47" s="117">
        <f>_018_5XX[[#This Row],['#7OK]]-_018_5XX[[#This Row],[OK]]-_018_5XX[[#This Row],[NG]]</f>
        <v>0</v>
      </c>
      <c r="W47" s="117">
        <f>SUMIFS(record[OK],record[製程料號],_018_5XX[[#This Row],[製令單號]],record[ProcessSN],W$1)</f>
        <v>782</v>
      </c>
      <c r="X47" s="117">
        <f>SUMIFS(record[NG],record[製程料號],_018_5XX[[#This Row],[製令單號]],record[ProcessSN],X$1)</f>
        <v>34</v>
      </c>
      <c r="Y47" s="117">
        <f>_018_5XX[[#This Row],[OK]]-_018_5XX[[#This Row],[入庫]]</f>
        <v>0</v>
      </c>
      <c r="Z47" s="117">
        <f>SUMIFS(record[OK],record[製程料號],_018_5XX[[#This Row],[製令單號]],record[ProcessSN],Z$1)</f>
        <v>782</v>
      </c>
      <c r="AA47" s="117">
        <f>_018_5XX[[#This Row],[入庫]]-IFERROR(SUMIF(分料0185XX[第一製程製令],_018_5XX[[#This Row],[製令單號]],分料0185XX[分配數量]),0)</f>
        <v>0</v>
      </c>
      <c r="AB47" s="187"/>
      <c r="AC47" s="117">
        <f>_018_5XX[[#This Row],[NG]]+_018_5XX[[#This Row],['#6 NG]]+_018_5XX[[#This Row],['#5 NG]]+_018_5XX[[#This Row],['#4 NG]]+_018_5XX[[#This Row],['#3 NG]]+_018_5XX[[#This Row],['#7NG]]</f>
        <v>57</v>
      </c>
      <c r="AD47" s="119">
        <f>IF(_018_5XX[[#This Row],[入庫]]+_018_5XX[[#This Row],[總不良數]]=_018_5XX[[#This Row],[入料數]],_018_5XX[[#This Row],[入庫]]/_018_5XX[[#This Row],[入料數]],"")</f>
        <v>0.93206197854588801</v>
      </c>
      <c r="AG47" s="173">
        <v>45797</v>
      </c>
      <c r="AH47" s="127" t="s">
        <v>778</v>
      </c>
      <c r="AI47" s="128" t="s">
        <v>641</v>
      </c>
      <c r="AJ47" s="129" t="s">
        <v>803</v>
      </c>
      <c r="AK47" s="129">
        <v>390</v>
      </c>
    </row>
    <row r="48" spans="1:37" ht="26.25" x14ac:dyDescent="0.25">
      <c r="A48" s="113">
        <v>46125</v>
      </c>
      <c r="B48" s="114" t="s">
        <v>1794</v>
      </c>
      <c r="C48" s="115" t="s">
        <v>502</v>
      </c>
      <c r="D48" s="116">
        <v>828</v>
      </c>
      <c r="E48" s="117">
        <f>_018_5XX[[#This Row],[入料數]]-_018_5XX[[#This Row],['#03已發料數量]]</f>
        <v>0</v>
      </c>
      <c r="F48" s="117">
        <f>SUMIFS(record[OK],record[製程料號],_018_5XX[[#This Row],[製令單號]],record[ProcessSN],F$1)</f>
        <v>828</v>
      </c>
      <c r="G48" s="117">
        <f>_018_5XX[[#This Row],['#03已發料數量]]-_018_5XX[[#This Row],['#3 OK]]-_018_5XX[[#This Row],['#3 NG]]</f>
        <v>0</v>
      </c>
      <c r="H48" s="117">
        <f>SUMIFS(record[OK],record[製程料號],_018_5XX[[#This Row],[製令單號]],record[ProcessSN],H$1)</f>
        <v>828</v>
      </c>
      <c r="I48" s="117">
        <f>SUMIFS(record[NG],record[製程料號],_018_5XX[[#This Row],[製令單號]],record[ProcessSN],I$1)</f>
        <v>0</v>
      </c>
      <c r="J48" s="117">
        <f>_018_5XX[[#This Row],['#3 OK]]-_018_5XX[[#This Row],['#4 OK]]-_018_5XX[[#This Row],['#4 NG]]</f>
        <v>0</v>
      </c>
      <c r="K48" s="117">
        <f>SUMIFS(record[OK],record[製程料號],_018_5XX[[#This Row],[製令單號]],record[ProcessSN],K$1)</f>
        <v>814</v>
      </c>
      <c r="L48" s="117">
        <f>SUMIFS(record[NG],record[製程料號],_018_5XX[[#This Row],[製令單號]],record[ProcessSN],L$1)</f>
        <v>14</v>
      </c>
      <c r="M48" s="117">
        <f>_018_5XX[[#This Row],['#4 OK]]-_018_5XX[[#This Row],['#5 OK]]-_018_5XX[[#This Row],['#5 NG]]</f>
        <v>0</v>
      </c>
      <c r="N48" s="117">
        <f>SUMIFS(record[OK],record[製程料號],_018_5XX[[#This Row],[製令單號]],record[ProcessSN],N$1)</f>
        <v>814</v>
      </c>
      <c r="O48" s="117">
        <f>SUMIFS(record[NG],record[製程料號],_018_5XX[[#This Row],[製令單號]],record[ProcessSN],O$1)</f>
        <v>0</v>
      </c>
      <c r="P48" s="117">
        <f>_018_5XX[[#This Row],['#5 OK]]-_018_5XX[[#This Row],['#6 OK]]-_018_5XX[[#This Row],['#6 NG]]</f>
        <v>0</v>
      </c>
      <c r="Q48" s="117">
        <f>SUMIFS(record[OK],record[製程料號],_018_5XX[[#This Row],[製令單號]],record[ProcessSN],Q$1)</f>
        <v>814</v>
      </c>
      <c r="R48" s="117">
        <f>SUMIFS(record[NG],record[製程料號],_018_5XX[[#This Row],[製令單號]],record[ProcessSN],R$1)</f>
        <v>0</v>
      </c>
      <c r="S48" s="117">
        <f>_018_5XX[[#This Row],['#6 OK]]-_018_5XX[[#This Row],['#7NG]]-_018_5XX[[#This Row],['#7OK]]</f>
        <v>0</v>
      </c>
      <c r="T48" s="117">
        <f>SUMIFS(record[OK],record[製程料號],_018_5XX[[#This Row],[製令單號]],record[ProcessSN],T$1)</f>
        <v>811</v>
      </c>
      <c r="U48" s="117">
        <f>SUMIFS(record[NG],record[製程料號],_018_5XX[[#This Row],[製令單號]],record[ProcessSN],U$1)</f>
        <v>3</v>
      </c>
      <c r="V48" s="117">
        <f>_018_5XX[[#This Row],['#7OK]]-_018_5XX[[#This Row],[OK]]-_018_5XX[[#This Row],[NG]]</f>
        <v>0</v>
      </c>
      <c r="W48" s="117">
        <f>SUMIFS(record[OK],record[製程料號],_018_5XX[[#This Row],[製令單號]],record[ProcessSN],W$1)</f>
        <v>787</v>
      </c>
      <c r="X48" s="117">
        <f>SUMIFS(record[NG],record[製程料號],_018_5XX[[#This Row],[製令單號]],record[ProcessSN],X$1)</f>
        <v>24</v>
      </c>
      <c r="Y48" s="117">
        <f>_018_5XX[[#This Row],[OK]]-_018_5XX[[#This Row],[入庫]]</f>
        <v>0</v>
      </c>
      <c r="Z48" s="117">
        <f>SUMIFS(record[OK],record[製程料號],_018_5XX[[#This Row],[製令單號]],record[ProcessSN],Z$1)</f>
        <v>787</v>
      </c>
      <c r="AA48" s="117">
        <f>_018_5XX[[#This Row],[入庫]]-IFERROR(SUMIF(分料0185XX[第一製程製令],_018_5XX[[#This Row],[製令單號]],分料0185XX[分配數量]),0)</f>
        <v>0</v>
      </c>
      <c r="AB48" s="187"/>
      <c r="AC48" s="117">
        <f>_018_5XX[[#This Row],[NG]]+_018_5XX[[#This Row],['#6 NG]]+_018_5XX[[#This Row],['#5 NG]]+_018_5XX[[#This Row],['#4 NG]]+_018_5XX[[#This Row],['#3 NG]]+_018_5XX[[#This Row],['#7NG]]</f>
        <v>41</v>
      </c>
      <c r="AD48" s="119">
        <f>IF(_018_5XX[[#This Row],[入庫]]+_018_5XX[[#This Row],[總不良數]]=_018_5XX[[#This Row],[入料數]],_018_5XX[[#This Row],[入庫]]/_018_5XX[[#This Row],[入料數]],"")</f>
        <v>0.95048309178743962</v>
      </c>
      <c r="AG48" s="173">
        <v>45798</v>
      </c>
      <c r="AH48" s="127" t="s">
        <v>778</v>
      </c>
      <c r="AI48" s="128" t="s">
        <v>641</v>
      </c>
      <c r="AJ48" s="129" t="s">
        <v>804</v>
      </c>
      <c r="AK48" s="129">
        <v>134</v>
      </c>
    </row>
    <row r="49" spans="1:37" ht="26.25" x14ac:dyDescent="0.25">
      <c r="A49" s="113">
        <v>46127</v>
      </c>
      <c r="B49" s="114" t="s">
        <v>1803</v>
      </c>
      <c r="C49" s="115" t="s">
        <v>502</v>
      </c>
      <c r="D49" s="116">
        <v>2611</v>
      </c>
      <c r="E49" s="117">
        <f>_018_5XX[[#This Row],[入料數]]-_018_5XX[[#This Row],['#03已發料數量]]</f>
        <v>0</v>
      </c>
      <c r="F49" s="117">
        <f>SUMIFS(record[OK],record[製程料號],_018_5XX[[#This Row],[製令單號]],record[ProcessSN],F$1)</f>
        <v>2611</v>
      </c>
      <c r="G49" s="117">
        <f>_018_5XX[[#This Row],['#03已發料數量]]-_018_5XX[[#This Row],['#3 OK]]-_018_5XX[[#This Row],['#3 NG]]</f>
        <v>0</v>
      </c>
      <c r="H49" s="117">
        <f>SUMIFS(record[OK],record[製程料號],_018_5XX[[#This Row],[製令單號]],record[ProcessSN],H$1)</f>
        <v>2582</v>
      </c>
      <c r="I49" s="117">
        <f>SUMIFS(record[NG],record[製程料號],_018_5XX[[#This Row],[製令單號]],record[ProcessSN],I$1)</f>
        <v>29</v>
      </c>
      <c r="J49" s="117">
        <f>_018_5XX[[#This Row],['#3 OK]]-_018_5XX[[#This Row],['#4 OK]]-_018_5XX[[#This Row],['#4 NG]]</f>
        <v>0</v>
      </c>
      <c r="K49" s="117">
        <f>SUMIFS(record[OK],record[製程料號],_018_5XX[[#This Row],[製令單號]],record[ProcessSN],K$1)</f>
        <v>2568</v>
      </c>
      <c r="L49" s="117">
        <f>SUMIFS(record[NG],record[製程料號],_018_5XX[[#This Row],[製令單號]],record[ProcessSN],L$1)</f>
        <v>14</v>
      </c>
      <c r="M49" s="117">
        <f>_018_5XX[[#This Row],['#4 OK]]-_018_5XX[[#This Row],['#5 OK]]-_018_5XX[[#This Row],['#5 NG]]</f>
        <v>1</v>
      </c>
      <c r="N49" s="117">
        <f>SUMIFS(record[OK],record[製程料號],_018_5XX[[#This Row],[製令單號]],record[ProcessSN],N$1)</f>
        <v>2565</v>
      </c>
      <c r="O49" s="117">
        <f>SUMIFS(record[NG],record[製程料號],_018_5XX[[#This Row],[製令單號]],record[ProcessSN],O$1)</f>
        <v>2</v>
      </c>
      <c r="P49" s="117">
        <f>_018_5XX[[#This Row],['#5 OK]]-_018_5XX[[#This Row],['#6 OK]]-_018_5XX[[#This Row],['#6 NG]]</f>
        <v>0</v>
      </c>
      <c r="Q49" s="117">
        <f>SUMIFS(record[OK],record[製程料號],_018_5XX[[#This Row],[製令單號]],record[ProcessSN],Q$1)</f>
        <v>2550</v>
      </c>
      <c r="R49" s="117">
        <f>SUMIFS(record[NG],record[製程料號],_018_5XX[[#This Row],[製令單號]],record[ProcessSN],R$1)</f>
        <v>15</v>
      </c>
      <c r="S49" s="117">
        <f>_018_5XX[[#This Row],['#6 OK]]-_018_5XX[[#This Row],['#7NG]]-_018_5XX[[#This Row],['#7OK]]</f>
        <v>0</v>
      </c>
      <c r="T49" s="117">
        <f>SUMIFS(record[OK],record[製程料號],_018_5XX[[#This Row],[製令單號]],record[ProcessSN],T$1)</f>
        <v>2519</v>
      </c>
      <c r="U49" s="117">
        <f>SUMIFS(record[NG],record[製程料號],_018_5XX[[#This Row],[製令單號]],record[ProcessSN],U$1)</f>
        <v>31</v>
      </c>
      <c r="V49" s="117">
        <f>_018_5XX[[#This Row],['#7OK]]-_018_5XX[[#This Row],[OK]]-_018_5XX[[#This Row],[NG]]</f>
        <v>0</v>
      </c>
      <c r="W49" s="117">
        <f>SUMIFS(record[OK],record[製程料號],_018_5XX[[#This Row],[製令單號]],record[ProcessSN],W$1)</f>
        <v>2392</v>
      </c>
      <c r="X49" s="117">
        <f>SUMIFS(record[NG],record[製程料號],_018_5XX[[#This Row],[製令單號]],record[ProcessSN],X$1)</f>
        <v>127</v>
      </c>
      <c r="Y49" s="117">
        <f>_018_5XX[[#This Row],[OK]]-_018_5XX[[#This Row],[入庫]]</f>
        <v>0</v>
      </c>
      <c r="Z49" s="117">
        <f>SUMIFS(record[OK],record[製程料號],_018_5XX[[#This Row],[製令單號]],record[ProcessSN],Z$1)</f>
        <v>2392</v>
      </c>
      <c r="AA49" s="117">
        <f>_018_5XX[[#This Row],[入庫]]-IFERROR(SUMIF(分料0185XX[第一製程製令],_018_5XX[[#This Row],[製令單號]],分料0185XX[分配數量]),0)</f>
        <v>0</v>
      </c>
      <c r="AB49" s="187"/>
      <c r="AC49" s="117">
        <f>_018_5XX[[#This Row],[NG]]+_018_5XX[[#This Row],['#6 NG]]+_018_5XX[[#This Row],['#5 NG]]+_018_5XX[[#This Row],['#4 NG]]+_018_5XX[[#This Row],['#3 NG]]+_018_5XX[[#This Row],['#7NG]]</f>
        <v>218</v>
      </c>
      <c r="AD49" s="119" t="str">
        <f>IF(_018_5XX[[#This Row],[入庫]]+_018_5XX[[#This Row],[總不良數]]=_018_5XX[[#This Row],[入料數]],_018_5XX[[#This Row],[入庫]]/_018_5XX[[#This Row],[入料數]],"")</f>
        <v/>
      </c>
      <c r="AG49" s="173">
        <v>45799</v>
      </c>
      <c r="AH49" s="127" t="s">
        <v>778</v>
      </c>
      <c r="AI49" s="128" t="s">
        <v>641</v>
      </c>
      <c r="AJ49" s="129" t="s">
        <v>805</v>
      </c>
      <c r="AK49" s="129">
        <v>240</v>
      </c>
    </row>
    <row r="50" spans="1:37" ht="26.25" x14ac:dyDescent="0.25">
      <c r="A50" s="113">
        <v>46133</v>
      </c>
      <c r="B50" s="114" t="s">
        <v>1850</v>
      </c>
      <c r="C50" s="115" t="s">
        <v>502</v>
      </c>
      <c r="D50" s="116">
        <v>1500</v>
      </c>
      <c r="E50" s="117">
        <f>_018_5XX[[#This Row],[入料數]]-_018_5XX[[#This Row],['#03已發料數量]]</f>
        <v>0</v>
      </c>
      <c r="F50" s="117">
        <f>SUMIFS(record[OK],record[製程料號],_018_5XX[[#This Row],[製令單號]],record[ProcessSN],F$1)</f>
        <v>1500</v>
      </c>
      <c r="G50" s="117">
        <f>_018_5XX[[#This Row],['#03已發料數量]]-_018_5XX[[#This Row],['#3 OK]]-_018_5XX[[#This Row],['#3 NG]]</f>
        <v>0</v>
      </c>
      <c r="H50" s="117">
        <f>SUMIFS(record[OK],record[製程料號],_018_5XX[[#This Row],[製令單號]],record[ProcessSN],H$1)</f>
        <v>1500</v>
      </c>
      <c r="I50" s="117">
        <f>SUMIFS(record[NG],record[製程料號],_018_5XX[[#This Row],[製令單號]],record[ProcessSN],I$1)</f>
        <v>0</v>
      </c>
      <c r="J50" s="117">
        <f>_018_5XX[[#This Row],['#3 OK]]-_018_5XX[[#This Row],['#4 OK]]-_018_5XX[[#This Row],['#4 NG]]</f>
        <v>0</v>
      </c>
      <c r="K50" s="117">
        <f>SUMIFS(record[OK],record[製程料號],_018_5XX[[#This Row],[製令單號]],record[ProcessSN],K$1)</f>
        <v>1498</v>
      </c>
      <c r="L50" s="117">
        <f>SUMIFS(record[NG],record[製程料號],_018_5XX[[#This Row],[製令單號]],record[ProcessSN],L$1)</f>
        <v>2</v>
      </c>
      <c r="M50" s="117">
        <f>_018_5XX[[#This Row],['#4 OK]]-_018_5XX[[#This Row],['#5 OK]]-_018_5XX[[#This Row],['#5 NG]]</f>
        <v>0</v>
      </c>
      <c r="N50" s="117">
        <f>SUMIFS(record[OK],record[製程料號],_018_5XX[[#This Row],[製令單號]],record[ProcessSN],N$1)</f>
        <v>1497</v>
      </c>
      <c r="O50" s="117">
        <f>SUMIFS(record[NG],record[製程料號],_018_5XX[[#This Row],[製令單號]],record[ProcessSN],O$1)</f>
        <v>1</v>
      </c>
      <c r="P50" s="117">
        <f>_018_5XX[[#This Row],['#5 OK]]-_018_5XX[[#This Row],['#6 OK]]-_018_5XX[[#This Row],['#6 NG]]</f>
        <v>0</v>
      </c>
      <c r="Q50" s="117">
        <f>SUMIFS(record[OK],record[製程料號],_018_5XX[[#This Row],[製令單號]],record[ProcessSN],Q$1)</f>
        <v>1497</v>
      </c>
      <c r="R50" s="117">
        <f>SUMIFS(record[NG],record[製程料號],_018_5XX[[#This Row],[製令單號]],record[ProcessSN],R$1)</f>
        <v>0</v>
      </c>
      <c r="S50" s="117">
        <f>_018_5XX[[#This Row],['#6 OK]]-_018_5XX[[#This Row],['#7NG]]-_018_5XX[[#This Row],['#7OK]]</f>
        <v>0</v>
      </c>
      <c r="T50" s="117">
        <f>SUMIFS(record[OK],record[製程料號],_018_5XX[[#This Row],[製令單號]],record[ProcessSN],T$1)</f>
        <v>1489</v>
      </c>
      <c r="U50" s="117">
        <f>SUMIFS(record[NG],record[製程料號],_018_5XX[[#This Row],[製令單號]],record[ProcessSN],U$1)</f>
        <v>8</v>
      </c>
      <c r="V50" s="117">
        <f>_018_5XX[[#This Row],['#7OK]]-_018_5XX[[#This Row],[OK]]-_018_5XX[[#This Row],[NG]]</f>
        <v>0</v>
      </c>
      <c r="W50" s="117">
        <f>SUMIFS(record[OK],record[製程料號],_018_5XX[[#This Row],[製令單號]],record[ProcessSN],W$1)</f>
        <v>1460</v>
      </c>
      <c r="X50" s="117">
        <f>SUMIFS(record[NG],record[製程料號],_018_5XX[[#This Row],[製令單號]],record[ProcessSN],X$1)</f>
        <v>29</v>
      </c>
      <c r="Y50" s="117">
        <f>_018_5XX[[#This Row],[OK]]-_018_5XX[[#This Row],[入庫]]</f>
        <v>0</v>
      </c>
      <c r="Z50" s="117">
        <f>SUMIFS(record[OK],record[製程料號],_018_5XX[[#This Row],[製令單號]],record[ProcessSN],Z$1)</f>
        <v>1460</v>
      </c>
      <c r="AA50" s="117">
        <f>_018_5XX[[#This Row],[入庫]]-IFERROR(SUMIF(分料0185XX[第一製程製令],_018_5XX[[#This Row],[製令單號]],分料0185XX[分配數量]),0)</f>
        <v>0</v>
      </c>
      <c r="AB50" s="187"/>
      <c r="AC50" s="117">
        <f>_018_5XX[[#This Row],[NG]]+_018_5XX[[#This Row],['#6 NG]]+_018_5XX[[#This Row],['#5 NG]]+_018_5XX[[#This Row],['#4 NG]]+_018_5XX[[#This Row],['#3 NG]]+_018_5XX[[#This Row],['#7NG]]</f>
        <v>40</v>
      </c>
      <c r="AD50" s="119">
        <f>IF(_018_5XX[[#This Row],[入庫]]+_018_5XX[[#This Row],[總不良數]]=_018_5XX[[#This Row],[入料數]],_018_5XX[[#This Row],[入庫]]/_018_5XX[[#This Row],[入料數]],"")</f>
        <v>0.97333333333333338</v>
      </c>
      <c r="AG50" s="173">
        <v>45799</v>
      </c>
      <c r="AH50" s="127" t="s">
        <v>778</v>
      </c>
      <c r="AI50" s="128" t="s">
        <v>641</v>
      </c>
      <c r="AJ50" s="129" t="s">
        <v>811</v>
      </c>
      <c r="AK50" s="129">
        <v>134</v>
      </c>
    </row>
    <row r="51" spans="1:37" ht="26.25" x14ac:dyDescent="0.25">
      <c r="A51" s="113">
        <v>46136</v>
      </c>
      <c r="B51" s="114" t="s">
        <v>1906</v>
      </c>
      <c r="C51" s="115" t="s">
        <v>502</v>
      </c>
      <c r="D51" s="116">
        <v>2000</v>
      </c>
      <c r="E51" s="117">
        <f>_018_5XX[[#This Row],[入料數]]-_018_5XX[[#This Row],['#03已發料數量]]</f>
        <v>0</v>
      </c>
      <c r="F51" s="117">
        <f>SUMIFS(record[OK],record[製程料號],_018_5XX[[#This Row],[製令單號]],record[ProcessSN],F$1)</f>
        <v>2000</v>
      </c>
      <c r="G51" s="117">
        <f>_018_5XX[[#This Row],['#03已發料數量]]-_018_5XX[[#This Row],['#3 OK]]-_018_5XX[[#This Row],['#3 NG]]</f>
        <v>0</v>
      </c>
      <c r="H51" s="117">
        <f>SUMIFS(record[OK],record[製程料號],_018_5XX[[#This Row],[製令單號]],record[ProcessSN],H$1)</f>
        <v>2000</v>
      </c>
      <c r="I51" s="117">
        <f>SUMIFS(record[NG],record[製程料號],_018_5XX[[#This Row],[製令單號]],record[ProcessSN],I$1)</f>
        <v>0</v>
      </c>
      <c r="J51" s="117">
        <f>_018_5XX[[#This Row],['#3 OK]]-_018_5XX[[#This Row],['#4 OK]]-_018_5XX[[#This Row],['#4 NG]]</f>
        <v>54</v>
      </c>
      <c r="K51" s="117">
        <f>SUMIFS(record[OK],record[製程料號],_018_5XX[[#This Row],[製令單號]],record[ProcessSN],K$1)</f>
        <v>1944</v>
      </c>
      <c r="L51" s="117">
        <f>SUMIFS(record[NG],record[製程料號],_018_5XX[[#This Row],[製令單號]],record[ProcessSN],L$1)</f>
        <v>2</v>
      </c>
      <c r="M51" s="117">
        <f>_018_5XX[[#This Row],['#4 OK]]-_018_5XX[[#This Row],['#5 OK]]-_018_5XX[[#This Row],['#5 NG]]</f>
        <v>0</v>
      </c>
      <c r="N51" s="117">
        <f>SUMIFS(record[OK],record[製程料號],_018_5XX[[#This Row],[製令單號]],record[ProcessSN],N$1)</f>
        <v>1943</v>
      </c>
      <c r="O51" s="117">
        <f>SUMIFS(record[NG],record[製程料號],_018_5XX[[#This Row],[製令單號]],record[ProcessSN],O$1)</f>
        <v>1</v>
      </c>
      <c r="P51" s="117">
        <f>_018_5XX[[#This Row],['#5 OK]]-_018_5XX[[#This Row],['#6 OK]]-_018_5XX[[#This Row],['#6 NG]]</f>
        <v>0</v>
      </c>
      <c r="Q51" s="117">
        <f>SUMIFS(record[OK],record[製程料號],_018_5XX[[#This Row],[製令單號]],record[ProcessSN],Q$1)</f>
        <v>1864</v>
      </c>
      <c r="R51" s="117">
        <f>SUMIFS(record[NG],record[製程料號],_018_5XX[[#This Row],[製令單號]],record[ProcessSN],R$1)</f>
        <v>79</v>
      </c>
      <c r="S51" s="117">
        <f>_018_5XX[[#This Row],['#6 OK]]-_018_5XX[[#This Row],['#7NG]]-_018_5XX[[#This Row],['#7OK]]</f>
        <v>95</v>
      </c>
      <c r="T51" s="117">
        <f>SUMIFS(record[OK],record[製程料號],_018_5XX[[#This Row],[製令單號]],record[ProcessSN],T$1)</f>
        <v>1768</v>
      </c>
      <c r="U51" s="117">
        <f>SUMIFS(record[NG],record[製程料號],_018_5XX[[#This Row],[製令單號]],record[ProcessSN],U$1)</f>
        <v>1</v>
      </c>
      <c r="V51" s="117">
        <f>_018_5XX[[#This Row],['#7OK]]-_018_5XX[[#This Row],[OK]]-_018_5XX[[#This Row],[NG]]</f>
        <v>0</v>
      </c>
      <c r="W51" s="117">
        <f>SUMIFS(record[OK],record[製程料號],_018_5XX[[#This Row],[製令單號]],record[ProcessSN],W$1)</f>
        <v>1606</v>
      </c>
      <c r="X51" s="117">
        <f>SUMIFS(record[NG],record[製程料號],_018_5XX[[#This Row],[製令單號]],record[ProcessSN],X$1)</f>
        <v>162</v>
      </c>
      <c r="Y51" s="117">
        <f>_018_5XX[[#This Row],[OK]]-_018_5XX[[#This Row],[入庫]]</f>
        <v>0</v>
      </c>
      <c r="Z51" s="117">
        <f>SUMIFS(record[OK],record[製程料號],_018_5XX[[#This Row],[製令單號]],record[ProcessSN],Z$1)</f>
        <v>1606</v>
      </c>
      <c r="AA51" s="117">
        <f>_018_5XX[[#This Row],[入庫]]-IFERROR(SUMIF(分料0185XX[第一製程製令],_018_5XX[[#This Row],[製令單號]],分料0185XX[分配數量]),0)</f>
        <v>0</v>
      </c>
      <c r="AB51" s="187"/>
      <c r="AC51" s="117">
        <f>_018_5XX[[#This Row],[NG]]+_018_5XX[[#This Row],['#6 NG]]+_018_5XX[[#This Row],['#5 NG]]+_018_5XX[[#This Row],['#4 NG]]+_018_5XX[[#This Row],['#3 NG]]+_018_5XX[[#This Row],['#7NG]]</f>
        <v>245</v>
      </c>
      <c r="AD51" s="119" t="str">
        <f>IF(_018_5XX[[#This Row],[入庫]]+_018_5XX[[#This Row],[總不良數]]=_018_5XX[[#This Row],[入料數]],_018_5XX[[#This Row],[入庫]]/_018_5XX[[#This Row],[入料數]],"")</f>
        <v/>
      </c>
      <c r="AG51" s="173">
        <v>45800</v>
      </c>
      <c r="AH51" s="127" t="s">
        <v>778</v>
      </c>
      <c r="AI51" s="128" t="s">
        <v>641</v>
      </c>
      <c r="AJ51" s="129" t="s">
        <v>812</v>
      </c>
      <c r="AK51" s="129">
        <v>88</v>
      </c>
    </row>
    <row r="52" spans="1:37" ht="26.25" x14ac:dyDescent="0.25">
      <c r="A52" s="113">
        <v>46141</v>
      </c>
      <c r="B52" s="114" t="s">
        <v>1944</v>
      </c>
      <c r="C52" s="115" t="s">
        <v>502</v>
      </c>
      <c r="D52" s="116">
        <v>2000</v>
      </c>
      <c r="E52" s="117">
        <f>_018_5XX[[#This Row],[入料數]]-_018_5XX[[#This Row],['#03已發料數量]]</f>
        <v>0</v>
      </c>
      <c r="F52" s="117">
        <f>SUMIFS(record[OK],record[製程料號],_018_5XX[[#This Row],[製令單號]],record[ProcessSN],F$1)</f>
        <v>2000</v>
      </c>
      <c r="G52" s="117">
        <f>_018_5XX[[#This Row],['#03已發料數量]]-_018_5XX[[#This Row],['#3 OK]]-_018_5XX[[#This Row],['#3 NG]]</f>
        <v>0</v>
      </c>
      <c r="H52" s="117">
        <f>SUMIFS(record[OK],record[製程料號],_018_5XX[[#This Row],[製令單號]],record[ProcessSN],H$1)</f>
        <v>2000</v>
      </c>
      <c r="I52" s="117">
        <f>SUMIFS(record[NG],record[製程料號],_018_5XX[[#This Row],[製令單號]],record[ProcessSN],I$1)</f>
        <v>0</v>
      </c>
      <c r="J52" s="117">
        <f>_018_5XX[[#This Row],['#3 OK]]-_018_5XX[[#This Row],['#4 OK]]-_018_5XX[[#This Row],['#4 NG]]</f>
        <v>0</v>
      </c>
      <c r="K52" s="117">
        <f>SUMIFS(record[OK],record[製程料號],_018_5XX[[#This Row],[製令單號]],record[ProcessSN],K$1)</f>
        <v>1941</v>
      </c>
      <c r="L52" s="117">
        <f>SUMIFS(record[NG],record[製程料號],_018_5XX[[#This Row],[製令單號]],record[ProcessSN],L$1)</f>
        <v>59</v>
      </c>
      <c r="M52" s="117">
        <f>_018_5XX[[#This Row],['#4 OK]]-_018_5XX[[#This Row],['#5 OK]]-_018_5XX[[#This Row],['#5 NG]]</f>
        <v>0</v>
      </c>
      <c r="N52" s="117">
        <f>SUMIFS(record[OK],record[製程料號],_018_5XX[[#This Row],[製令單號]],record[ProcessSN],N$1)</f>
        <v>1938</v>
      </c>
      <c r="O52" s="117">
        <f>SUMIFS(record[NG],record[製程料號],_018_5XX[[#This Row],[製令單號]],record[ProcessSN],O$1)</f>
        <v>3</v>
      </c>
      <c r="P52" s="117">
        <f>_018_5XX[[#This Row],['#5 OK]]-_018_5XX[[#This Row],['#6 OK]]-_018_5XX[[#This Row],['#6 NG]]</f>
        <v>305</v>
      </c>
      <c r="Q52" s="117">
        <f>SUMIFS(record[OK],record[製程料號],_018_5XX[[#This Row],[製令單號]],record[ProcessSN],Q$1)</f>
        <v>1632</v>
      </c>
      <c r="R52" s="117">
        <f>SUMIFS(record[NG],record[製程料號],_018_5XX[[#This Row],[製令單號]],record[ProcessSN],R$1)</f>
        <v>1</v>
      </c>
      <c r="S52" s="117">
        <f>_018_5XX[[#This Row],['#6 OK]]-_018_5XX[[#This Row],['#7NG]]-_018_5XX[[#This Row],['#7OK]]</f>
        <v>187</v>
      </c>
      <c r="T52" s="117">
        <f>SUMIFS(record[OK],record[製程料號],_018_5XX[[#This Row],[製令單號]],record[ProcessSN],T$1)</f>
        <v>1438</v>
      </c>
      <c r="U52" s="117">
        <f>SUMIFS(record[NG],record[製程料號],_018_5XX[[#This Row],[製令單號]],record[ProcessSN],U$1)</f>
        <v>7</v>
      </c>
      <c r="V52" s="117">
        <f>_018_5XX[[#This Row],['#7OK]]-_018_5XX[[#This Row],[OK]]-_018_5XX[[#This Row],[NG]]</f>
        <v>597</v>
      </c>
      <c r="W52" s="117">
        <f>SUMIFS(record[OK],record[製程料號],_018_5XX[[#This Row],[製令單號]],record[ProcessSN],W$1)</f>
        <v>743</v>
      </c>
      <c r="X52" s="117">
        <f>SUMIFS(record[NG],record[製程料號],_018_5XX[[#This Row],[製令單號]],record[ProcessSN],X$1)</f>
        <v>98</v>
      </c>
      <c r="Y52" s="117">
        <f>_018_5XX[[#This Row],[OK]]-_018_5XX[[#This Row],[入庫]]</f>
        <v>101</v>
      </c>
      <c r="Z52" s="117">
        <f>SUMIFS(record[OK],record[製程料號],_018_5XX[[#This Row],[製令單號]],record[ProcessSN],Z$1)</f>
        <v>642</v>
      </c>
      <c r="AA52" s="117">
        <f>_018_5XX[[#This Row],[入庫]]-IFERROR(SUMIF(分料0185XX[第一製程製令],_018_5XX[[#This Row],[製令單號]],分料0185XX[分配數量]),0)</f>
        <v>0</v>
      </c>
      <c r="AB52" s="187"/>
      <c r="AC52" s="117">
        <f>_018_5XX[[#This Row],[NG]]+_018_5XX[[#This Row],['#6 NG]]+_018_5XX[[#This Row],['#5 NG]]+_018_5XX[[#This Row],['#4 NG]]+_018_5XX[[#This Row],['#3 NG]]+_018_5XX[[#This Row],['#7NG]]</f>
        <v>168</v>
      </c>
      <c r="AD52" s="119" t="str">
        <f>IF(_018_5XX[[#This Row],[入庫]]+_018_5XX[[#This Row],[總不良數]]=_018_5XX[[#This Row],[入料數]],_018_5XX[[#This Row],[入庫]]/_018_5XX[[#This Row],[入料數]],"")</f>
        <v/>
      </c>
      <c r="AG52" s="173">
        <v>45812</v>
      </c>
      <c r="AH52" s="127" t="s">
        <v>778</v>
      </c>
      <c r="AI52" s="128" t="s">
        <v>641</v>
      </c>
      <c r="AJ52" s="129" t="s">
        <v>829</v>
      </c>
      <c r="AK52" s="129">
        <v>394</v>
      </c>
    </row>
    <row r="53" spans="1:37" ht="26.25" x14ac:dyDescent="0.25">
      <c r="A53" s="113">
        <v>46147</v>
      </c>
      <c r="B53" s="114" t="s">
        <v>1965</v>
      </c>
      <c r="C53" s="115" t="s">
        <v>502</v>
      </c>
      <c r="D53" s="116">
        <v>1492</v>
      </c>
      <c r="E53" s="117">
        <f>_018_5XX[[#This Row],[入料數]]-_018_5XX[[#This Row],['#03已發料數量]]</f>
        <v>0</v>
      </c>
      <c r="F53" s="117">
        <f>SUMIFS(record[OK],record[製程料號],_018_5XX[[#This Row],[製令單號]],record[ProcessSN],F$1)</f>
        <v>1492</v>
      </c>
      <c r="G53" s="117">
        <f>_018_5XX[[#This Row],['#03已發料數量]]-_018_5XX[[#This Row],['#3 OK]]-_018_5XX[[#This Row],['#3 NG]]</f>
        <v>0</v>
      </c>
      <c r="H53" s="117">
        <f>SUMIFS(record[OK],record[製程料號],_018_5XX[[#This Row],[製令單號]],record[ProcessSN],H$1)</f>
        <v>1480</v>
      </c>
      <c r="I53" s="117">
        <f>SUMIFS(record[NG],record[製程料號],_018_5XX[[#This Row],[製令單號]],record[ProcessSN],I$1)</f>
        <v>12</v>
      </c>
      <c r="J53" s="117">
        <f>_018_5XX[[#This Row],['#3 OK]]-_018_5XX[[#This Row],['#4 OK]]-_018_5XX[[#This Row],['#4 NG]]</f>
        <v>1124</v>
      </c>
      <c r="K53" s="117">
        <f>SUMIFS(record[OK],record[製程料號],_018_5XX[[#This Row],[製令單號]],record[ProcessSN],K$1)</f>
        <v>355</v>
      </c>
      <c r="L53" s="117">
        <f>SUMIFS(record[NG],record[製程料號],_018_5XX[[#This Row],[製令單號]],record[ProcessSN],L$1)</f>
        <v>1</v>
      </c>
      <c r="M53" s="117">
        <f>_018_5XX[[#This Row],['#4 OK]]-_018_5XX[[#This Row],['#5 OK]]-_018_5XX[[#This Row],['#5 NG]]</f>
        <v>20</v>
      </c>
      <c r="N53" s="117">
        <f>SUMIFS(record[OK],record[製程料號],_018_5XX[[#This Row],[製令單號]],record[ProcessSN],N$1)</f>
        <v>335</v>
      </c>
      <c r="O53" s="117">
        <f>SUMIFS(record[NG],record[製程料號],_018_5XX[[#This Row],[製令單號]],record[ProcessSN],O$1)</f>
        <v>0</v>
      </c>
      <c r="P53" s="117">
        <f>_018_5XX[[#This Row],['#5 OK]]-_018_5XX[[#This Row],['#6 OK]]-_018_5XX[[#This Row],['#6 NG]]</f>
        <v>239</v>
      </c>
      <c r="Q53" s="117">
        <f>SUMIFS(record[OK],record[製程料號],_018_5XX[[#This Row],[製令單號]],record[ProcessSN],Q$1)</f>
        <v>96</v>
      </c>
      <c r="R53" s="117">
        <f>SUMIFS(record[NG],record[製程料號],_018_5XX[[#This Row],[製令單號]],record[ProcessSN],R$1)</f>
        <v>0</v>
      </c>
      <c r="S53" s="117">
        <f>_018_5XX[[#This Row],['#6 OK]]-_018_5XX[[#This Row],['#7NG]]-_018_5XX[[#This Row],['#7OK]]</f>
        <v>96</v>
      </c>
      <c r="T53" s="117">
        <f>SUMIFS(record[OK],record[製程料號],_018_5XX[[#This Row],[製令單號]],record[ProcessSN],T$1)</f>
        <v>0</v>
      </c>
      <c r="U53" s="117">
        <f>SUMIFS(record[NG],record[製程料號],_018_5XX[[#This Row],[製令單號]],record[ProcessSN],U$1)</f>
        <v>0</v>
      </c>
      <c r="V53" s="117">
        <f>_018_5XX[[#This Row],['#7OK]]-_018_5XX[[#This Row],[OK]]-_018_5XX[[#This Row],[NG]]</f>
        <v>0</v>
      </c>
      <c r="W53" s="117">
        <f>SUMIFS(record[OK],record[製程料號],_018_5XX[[#This Row],[製令單號]],record[ProcessSN],W$1)</f>
        <v>0</v>
      </c>
      <c r="X53" s="117">
        <f>SUMIFS(record[NG],record[製程料號],_018_5XX[[#This Row],[製令單號]],record[ProcessSN],X$1)</f>
        <v>0</v>
      </c>
      <c r="Y53" s="117">
        <f>_018_5XX[[#This Row],[OK]]-_018_5XX[[#This Row],[入庫]]</f>
        <v>0</v>
      </c>
      <c r="Z53" s="117">
        <f>SUMIFS(record[OK],record[製程料號],_018_5XX[[#This Row],[製令單號]],record[ProcessSN],Z$1)</f>
        <v>0</v>
      </c>
      <c r="AA53" s="117">
        <f>_018_5XX[[#This Row],[入庫]]-IFERROR(SUMIF(分料0185XX[第一製程製令],_018_5XX[[#This Row],[製令單號]],分料0185XX[分配數量]),0)</f>
        <v>0</v>
      </c>
      <c r="AB53" s="187"/>
      <c r="AC53" s="117">
        <f>_018_5XX[[#This Row],[NG]]+_018_5XX[[#This Row],['#6 NG]]+_018_5XX[[#This Row],['#5 NG]]+_018_5XX[[#This Row],['#4 NG]]+_018_5XX[[#This Row],['#3 NG]]+_018_5XX[[#This Row],['#7NG]]</f>
        <v>13</v>
      </c>
      <c r="AD53" s="119" t="str">
        <f>IF(_018_5XX[[#This Row],[入庫]]+_018_5XX[[#This Row],[總不良數]]=_018_5XX[[#This Row],[入料數]],_018_5XX[[#This Row],[入庫]]/_018_5XX[[#This Row],[入料數]],"")</f>
        <v/>
      </c>
      <c r="AG53" s="173">
        <v>45813</v>
      </c>
      <c r="AH53" s="127" t="s">
        <v>778</v>
      </c>
      <c r="AI53" s="128" t="s">
        <v>641</v>
      </c>
      <c r="AJ53" s="129" t="s">
        <v>833</v>
      </c>
      <c r="AK53" s="129">
        <v>228</v>
      </c>
    </row>
    <row r="54" spans="1:37" ht="26.25" x14ac:dyDescent="0.25">
      <c r="A54" s="167">
        <v>2958465</v>
      </c>
      <c r="B54" s="169" t="s">
        <v>759</v>
      </c>
      <c r="C54" s="127" t="s">
        <v>759</v>
      </c>
      <c r="D54" s="171">
        <v>0</v>
      </c>
      <c r="E54" s="149">
        <f>_018_5XX[[#This Row],[入料數]]-_018_5XX[[#This Row],['#03已發料數量]]</f>
        <v>0</v>
      </c>
      <c r="F54" s="149">
        <f>SUMIFS(record[OK],record[製程料號],_018_5XX[[#This Row],[製令單號]],record[ProcessSN],F$1)</f>
        <v>0</v>
      </c>
      <c r="G54" s="149">
        <f>_018_5XX[[#This Row],['#03已發料數量]]-_018_5XX[[#This Row],['#3 OK]]-_018_5XX[[#This Row],['#3 NG]]</f>
        <v>0</v>
      </c>
      <c r="H54" s="149">
        <f>SUMIFS(record[OK],record[製程料號],_018_5XX[[#This Row],[製令單號]],record[ProcessSN],H$1)</f>
        <v>0</v>
      </c>
      <c r="I54" s="149">
        <f>SUMIFS(record[NG],record[製程料號],_018_5XX[[#This Row],[製令單號]],record[ProcessSN],I$1)</f>
        <v>0</v>
      </c>
      <c r="J54" s="149">
        <f>_018_5XX[[#This Row],['#3 OK]]-_018_5XX[[#This Row],['#4 OK]]-_018_5XX[[#This Row],['#4 NG]]</f>
        <v>0</v>
      </c>
      <c r="K54" s="149">
        <f>SUMIFS(record[OK],record[製程料號],_018_5XX[[#This Row],[製令單號]],record[ProcessSN],K$1)</f>
        <v>0</v>
      </c>
      <c r="L54" s="149">
        <f>SUMIFS(record[NG],record[製程料號],_018_5XX[[#This Row],[製令單號]],record[ProcessSN],L$1)</f>
        <v>0</v>
      </c>
      <c r="M54" s="149">
        <f>_018_5XX[[#This Row],['#4 OK]]-_018_5XX[[#This Row],['#5 OK]]-_018_5XX[[#This Row],['#5 NG]]</f>
        <v>0</v>
      </c>
      <c r="N54" s="149">
        <f>SUMIFS(record[OK],record[製程料號],_018_5XX[[#This Row],[製令單號]],record[ProcessSN],N$1)</f>
        <v>0</v>
      </c>
      <c r="O54" s="149">
        <f>SUMIFS(record[NG],record[製程料號],_018_5XX[[#This Row],[製令單號]],record[ProcessSN],O$1)</f>
        <v>0</v>
      </c>
      <c r="P54" s="149">
        <f>_018_5XX[[#This Row],['#5 OK]]-_018_5XX[[#This Row],['#6 OK]]-_018_5XX[[#This Row],['#6 NG]]</f>
        <v>0</v>
      </c>
      <c r="Q54" s="149">
        <f>SUMIFS(record[OK],record[製程料號],_018_5XX[[#This Row],[製令單號]],record[ProcessSN],Q$1)</f>
        <v>0</v>
      </c>
      <c r="R54" s="149">
        <f>SUMIFS(record[NG],record[製程料號],_018_5XX[[#This Row],[製令單號]],record[ProcessSN],R$1)</f>
        <v>0</v>
      </c>
      <c r="S54" s="149">
        <f>_018_5XX[[#This Row],['#6 OK]]-_018_5XX[[#This Row],['#7NG]]-_018_5XX[[#This Row],['#7OK]]</f>
        <v>0</v>
      </c>
      <c r="T54" s="149">
        <f>SUMIFS(record[OK],record[製程料號],_018_5XX[[#This Row],[製令單號]],record[ProcessSN],T$1)</f>
        <v>0</v>
      </c>
      <c r="U54" s="149">
        <f>SUMIFS(record[NG],record[製程料號],_018_5XX[[#This Row],[製令單號]],record[ProcessSN],U$1)</f>
        <v>0</v>
      </c>
      <c r="V54" s="149">
        <f>_018_5XX[[#This Row],['#7OK]]-_018_5XX[[#This Row],[OK]]-_018_5XX[[#This Row],[NG]]</f>
        <v>0</v>
      </c>
      <c r="W54" s="149">
        <f>SUMIFS(record[OK],record[製程料號],_018_5XX[[#This Row],[製令單號]],record[ProcessSN],W$1)</f>
        <v>0</v>
      </c>
      <c r="X54" s="149">
        <f>SUMIFS(record[NG],record[製程料號],_018_5XX[[#This Row],[製令單號]],record[ProcessSN],X$1)</f>
        <v>0</v>
      </c>
      <c r="Y54" s="149">
        <f>_018_5XX[[#This Row],[OK]]-_018_5XX[[#This Row],[入庫]]</f>
        <v>0</v>
      </c>
      <c r="Z54" s="149">
        <f>SUMIFS(record[OK],record[製程料號],_018_5XX[[#This Row],[製令單號]],record[ProcessSN],Z$1)</f>
        <v>0</v>
      </c>
      <c r="AA54" s="149">
        <f>_018_5XX[[#This Row],[入庫]]-IFERROR(SUMIF(分料0185XX[第一製程製令],_018_5XX[[#This Row],[製令單號]],分料0185XX[分配數量]),0)</f>
        <v>0</v>
      </c>
      <c r="AB54" s="198"/>
      <c r="AC54" s="149">
        <f>_018_5XX[[#This Row],[NG]]+_018_5XX[[#This Row],['#6 NG]]+_018_5XX[[#This Row],['#5 NG]]+_018_5XX[[#This Row],['#4 NG]]+_018_5XX[[#This Row],['#3 NG]]+_018_5XX[[#This Row],['#7NG]]</f>
        <v>0</v>
      </c>
      <c r="AD54" s="165" t="e">
        <f>IF(_018_5XX[[#This Row],[入庫]]+_018_5XX[[#This Row],[總不良數]]=_018_5XX[[#This Row],[入料數]],_018_5XX[[#This Row],[入庫]]/_018_5XX[[#This Row],[入料數]],"")</f>
        <v>#DIV/0!</v>
      </c>
      <c r="AG54" s="173">
        <v>45814</v>
      </c>
      <c r="AH54" s="127" t="s">
        <v>778</v>
      </c>
      <c r="AI54" s="128" t="s">
        <v>641</v>
      </c>
      <c r="AJ54" s="129" t="s">
        <v>835</v>
      </c>
      <c r="AK54" s="129">
        <v>336</v>
      </c>
    </row>
    <row r="55" spans="1:37" ht="23.25" customHeight="1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AG55" s="173">
        <v>45817</v>
      </c>
      <c r="AH55" s="127" t="s">
        <v>778</v>
      </c>
      <c r="AI55" s="128" t="s">
        <v>641</v>
      </c>
      <c r="AJ55" s="129" t="s">
        <v>838</v>
      </c>
      <c r="AK55" s="129">
        <v>453</v>
      </c>
    </row>
    <row r="56" spans="1:37" ht="23.25" customHeight="1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AG56" s="172">
        <v>45818</v>
      </c>
      <c r="AH56" s="127" t="s">
        <v>778</v>
      </c>
      <c r="AI56" s="128" t="s">
        <v>641</v>
      </c>
      <c r="AJ56" s="122" t="s">
        <v>839</v>
      </c>
      <c r="AK56" s="122">
        <v>164</v>
      </c>
    </row>
    <row r="57" spans="1:37" ht="23.25" customHeight="1" x14ac:dyDescent="0.25"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AG57" s="173">
        <v>45819</v>
      </c>
      <c r="AH57" s="127" t="s">
        <v>778</v>
      </c>
      <c r="AI57" s="128" t="s">
        <v>641</v>
      </c>
      <c r="AJ57" s="129" t="s">
        <v>848</v>
      </c>
      <c r="AK57" s="129">
        <v>244</v>
      </c>
    </row>
    <row r="58" spans="1:37" ht="23.25" customHeight="1" x14ac:dyDescent="0.25"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AG58" s="173">
        <v>45825</v>
      </c>
      <c r="AH58" s="127" t="s">
        <v>857</v>
      </c>
      <c r="AI58" s="128" t="s">
        <v>641</v>
      </c>
      <c r="AJ58" s="129" t="s">
        <v>856</v>
      </c>
      <c r="AK58" s="129">
        <v>222</v>
      </c>
    </row>
    <row r="59" spans="1:37" ht="23.25" customHeight="1" x14ac:dyDescent="0.25"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AG59" s="173">
        <v>45825</v>
      </c>
      <c r="AH59" s="127" t="s">
        <v>778</v>
      </c>
      <c r="AI59" s="128" t="s">
        <v>641</v>
      </c>
      <c r="AJ59" s="129" t="s">
        <v>856</v>
      </c>
      <c r="AK59" s="129">
        <v>5</v>
      </c>
    </row>
    <row r="60" spans="1:37" ht="23.25" customHeight="1" x14ac:dyDescent="0.25">
      <c r="J60" s="2" t="s">
        <v>714</v>
      </c>
      <c r="AG60" s="173">
        <v>45828</v>
      </c>
      <c r="AH60" s="127" t="s">
        <v>854</v>
      </c>
      <c r="AI60" s="128" t="s">
        <v>861</v>
      </c>
      <c r="AJ60" s="129" t="s">
        <v>863</v>
      </c>
      <c r="AK60" s="129">
        <v>168</v>
      </c>
    </row>
    <row r="61" spans="1:37" ht="23.25" customHeight="1" x14ac:dyDescent="0.25"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AG61" s="173">
        <v>45831</v>
      </c>
      <c r="AH61" s="127" t="s">
        <v>854</v>
      </c>
      <c r="AI61" s="128" t="s">
        <v>861</v>
      </c>
      <c r="AJ61" s="129" t="s">
        <v>867</v>
      </c>
      <c r="AK61" s="129">
        <v>327</v>
      </c>
    </row>
    <row r="62" spans="1:37" ht="23.25" customHeight="1" x14ac:dyDescent="0.25"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AG62" s="173">
        <v>45832</v>
      </c>
      <c r="AH62" s="127" t="s">
        <v>854</v>
      </c>
      <c r="AI62" s="128" t="s">
        <v>870</v>
      </c>
      <c r="AJ62" s="129" t="s">
        <v>871</v>
      </c>
      <c r="AK62" s="129">
        <v>322</v>
      </c>
    </row>
    <row r="63" spans="1:37" ht="23.25" customHeight="1" x14ac:dyDescent="0.25"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AG63" s="173">
        <v>45835</v>
      </c>
      <c r="AH63" s="127" t="s">
        <v>854</v>
      </c>
      <c r="AI63" s="128" t="s">
        <v>861</v>
      </c>
      <c r="AJ63" s="129" t="s">
        <v>873</v>
      </c>
      <c r="AK63" s="129">
        <v>159</v>
      </c>
    </row>
    <row r="64" spans="1:37" ht="23.25" customHeight="1" x14ac:dyDescent="0.25"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AG64" s="173">
        <v>45838</v>
      </c>
      <c r="AH64" s="127" t="s">
        <v>854</v>
      </c>
      <c r="AI64" s="128" t="s">
        <v>861</v>
      </c>
      <c r="AJ64" s="129" t="s">
        <v>874</v>
      </c>
      <c r="AK64" s="129">
        <v>167</v>
      </c>
    </row>
    <row r="65" spans="10:37" ht="23.25" customHeight="1" x14ac:dyDescent="0.25"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AG65" s="173">
        <v>45839</v>
      </c>
      <c r="AH65" s="127" t="s">
        <v>854</v>
      </c>
      <c r="AI65" s="128" t="s">
        <v>861</v>
      </c>
      <c r="AJ65" s="129" t="s">
        <v>880</v>
      </c>
      <c r="AK65" s="129">
        <v>165</v>
      </c>
    </row>
    <row r="66" spans="10:37" ht="23.25" customHeight="1" x14ac:dyDescent="0.25"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AG66" s="173">
        <v>45848</v>
      </c>
      <c r="AH66" s="127" t="s">
        <v>594</v>
      </c>
      <c r="AI66" s="128" t="s">
        <v>861</v>
      </c>
      <c r="AJ66" s="129" t="s">
        <v>892</v>
      </c>
      <c r="AK66" s="129">
        <v>2</v>
      </c>
    </row>
    <row r="67" spans="10:37" ht="23.25" customHeight="1" x14ac:dyDescent="0.25"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AG67" s="172">
        <v>45848</v>
      </c>
      <c r="AH67" s="115" t="s">
        <v>778</v>
      </c>
      <c r="AI67" s="128" t="s">
        <v>861</v>
      </c>
      <c r="AJ67" s="129" t="s">
        <v>892</v>
      </c>
      <c r="AK67" s="122">
        <v>1</v>
      </c>
    </row>
    <row r="68" spans="10:37" ht="23.25" customHeight="1" x14ac:dyDescent="0.25"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AG68" s="173">
        <v>45848</v>
      </c>
      <c r="AH68" s="127" t="s">
        <v>854</v>
      </c>
      <c r="AI68" s="128" t="s">
        <v>861</v>
      </c>
      <c r="AJ68" s="129" t="s">
        <v>892</v>
      </c>
      <c r="AK68" s="129">
        <v>374</v>
      </c>
    </row>
    <row r="69" spans="10:37" ht="23.25" customHeight="1" x14ac:dyDescent="0.25"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AG69" s="173">
        <v>45852</v>
      </c>
      <c r="AH69" s="127" t="s">
        <v>877</v>
      </c>
      <c r="AI69" s="128" t="s">
        <v>861</v>
      </c>
      <c r="AJ69" s="129" t="s">
        <v>899</v>
      </c>
      <c r="AK69" s="129">
        <v>364</v>
      </c>
    </row>
    <row r="70" spans="10:37" ht="23.25" customHeight="1" x14ac:dyDescent="0.25"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AG70" s="173">
        <v>45856</v>
      </c>
      <c r="AH70" s="127" t="s">
        <v>877</v>
      </c>
      <c r="AI70" s="128" t="s">
        <v>861</v>
      </c>
      <c r="AJ70" s="129" t="s">
        <v>907</v>
      </c>
      <c r="AK70" s="129">
        <v>180</v>
      </c>
    </row>
    <row r="71" spans="10:37" ht="23.25" customHeight="1" x14ac:dyDescent="0.25"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AG71" s="173">
        <v>45860</v>
      </c>
      <c r="AH71" s="127" t="s">
        <v>877</v>
      </c>
      <c r="AI71" s="128" t="s">
        <v>861</v>
      </c>
      <c r="AJ71" s="129" t="s">
        <v>915</v>
      </c>
      <c r="AK71" s="129">
        <v>115</v>
      </c>
    </row>
    <row r="72" spans="10:37" ht="23.25" customHeight="1" x14ac:dyDescent="0.25">
      <c r="AG72" s="173">
        <v>45861</v>
      </c>
      <c r="AH72" s="127" t="s">
        <v>877</v>
      </c>
      <c r="AI72" s="128" t="s">
        <v>916</v>
      </c>
      <c r="AJ72" s="129" t="s">
        <v>918</v>
      </c>
      <c r="AK72" s="129">
        <v>346</v>
      </c>
    </row>
    <row r="73" spans="10:37" ht="23.25" customHeight="1" x14ac:dyDescent="0.25">
      <c r="AG73" s="173">
        <v>45862</v>
      </c>
      <c r="AH73" s="127" t="s">
        <v>897</v>
      </c>
      <c r="AI73" s="128" t="s">
        <v>919</v>
      </c>
      <c r="AJ73" s="129" t="s">
        <v>921</v>
      </c>
      <c r="AK73" s="129">
        <v>323</v>
      </c>
    </row>
    <row r="74" spans="10:37" ht="23.25" customHeight="1" x14ac:dyDescent="0.25">
      <c r="AG74" s="173">
        <v>45866</v>
      </c>
      <c r="AH74" s="127" t="s">
        <v>897</v>
      </c>
      <c r="AI74" s="128" t="s">
        <v>926</v>
      </c>
      <c r="AJ74" s="129" t="s">
        <v>925</v>
      </c>
      <c r="AK74" s="129">
        <v>166</v>
      </c>
    </row>
    <row r="75" spans="10:37" ht="23.25" customHeight="1" x14ac:dyDescent="0.25">
      <c r="AG75" s="173">
        <v>45867</v>
      </c>
      <c r="AH75" s="127" t="s">
        <v>897</v>
      </c>
      <c r="AI75" s="128" t="s">
        <v>861</v>
      </c>
      <c r="AJ75" s="129" t="s">
        <v>928</v>
      </c>
      <c r="AK75" s="129">
        <v>320</v>
      </c>
    </row>
    <row r="76" spans="10:37" ht="23.25" customHeight="1" x14ac:dyDescent="0.25">
      <c r="AG76" s="173">
        <v>45868</v>
      </c>
      <c r="AH76" s="127" t="s">
        <v>897</v>
      </c>
      <c r="AI76" s="128" t="s">
        <v>641</v>
      </c>
      <c r="AJ76" s="129" t="s">
        <v>931</v>
      </c>
      <c r="AK76" s="129">
        <v>162</v>
      </c>
    </row>
    <row r="77" spans="10:37" ht="23.25" customHeight="1" x14ac:dyDescent="0.25">
      <c r="AG77" s="173" t="s">
        <v>933</v>
      </c>
      <c r="AH77" s="127" t="s">
        <v>877</v>
      </c>
      <c r="AI77" s="128" t="s">
        <v>641</v>
      </c>
      <c r="AJ77" s="129" t="s">
        <v>928</v>
      </c>
      <c r="AK77" s="129">
        <v>1</v>
      </c>
    </row>
    <row r="78" spans="10:37" ht="23.25" customHeight="1" x14ac:dyDescent="0.25">
      <c r="AG78" s="173">
        <v>45876</v>
      </c>
      <c r="AH78" s="127" t="s">
        <v>877</v>
      </c>
      <c r="AI78" s="128" t="s">
        <v>641</v>
      </c>
      <c r="AJ78" s="129" t="s">
        <v>967</v>
      </c>
      <c r="AK78" s="129">
        <v>1</v>
      </c>
    </row>
    <row r="79" spans="10:37" ht="23.25" customHeight="1" x14ac:dyDescent="0.25">
      <c r="AG79" s="173">
        <v>45876</v>
      </c>
      <c r="AH79" s="127" t="s">
        <v>897</v>
      </c>
      <c r="AI79" s="128" t="s">
        <v>641</v>
      </c>
      <c r="AJ79" s="129" t="s">
        <v>967</v>
      </c>
      <c r="AK79" s="129">
        <v>4</v>
      </c>
    </row>
    <row r="80" spans="10:37" ht="23.25" customHeight="1" x14ac:dyDescent="0.25">
      <c r="AG80" s="173">
        <v>45876</v>
      </c>
      <c r="AH80" s="127" t="s">
        <v>904</v>
      </c>
      <c r="AI80" s="128" t="s">
        <v>641</v>
      </c>
      <c r="AJ80" s="129" t="s">
        <v>967</v>
      </c>
      <c r="AK80" s="129">
        <v>3</v>
      </c>
    </row>
    <row r="81" spans="33:37" ht="23.25" customHeight="1" x14ac:dyDescent="0.25">
      <c r="AG81" s="173">
        <v>45876</v>
      </c>
      <c r="AH81" s="127" t="s">
        <v>778</v>
      </c>
      <c r="AI81" s="128" t="s">
        <v>641</v>
      </c>
      <c r="AJ81" s="129" t="s">
        <v>967</v>
      </c>
      <c r="AK81" s="129">
        <v>29</v>
      </c>
    </row>
    <row r="82" spans="33:37" ht="23.25" customHeight="1" x14ac:dyDescent="0.25">
      <c r="AG82" s="173">
        <v>45880</v>
      </c>
      <c r="AH82" s="127" t="s">
        <v>972</v>
      </c>
      <c r="AI82" s="128" t="s">
        <v>641</v>
      </c>
      <c r="AJ82" s="129" t="s">
        <v>971</v>
      </c>
      <c r="AK82" s="129">
        <v>310</v>
      </c>
    </row>
    <row r="83" spans="33:37" ht="23.25" customHeight="1" x14ac:dyDescent="0.25">
      <c r="AG83" s="173">
        <v>45880</v>
      </c>
      <c r="AH83" s="127" t="s">
        <v>974</v>
      </c>
      <c r="AI83" s="128" t="s">
        <v>641</v>
      </c>
      <c r="AJ83" s="129" t="s">
        <v>975</v>
      </c>
      <c r="AK83" s="129">
        <v>145</v>
      </c>
    </row>
    <row r="84" spans="33:37" ht="23.25" customHeight="1" x14ac:dyDescent="0.25">
      <c r="AG84" s="173">
        <v>45880</v>
      </c>
      <c r="AH84" s="127" t="s">
        <v>976</v>
      </c>
      <c r="AI84" s="128" t="s">
        <v>641</v>
      </c>
      <c r="AJ84" s="129" t="s">
        <v>975</v>
      </c>
      <c r="AK84" s="129">
        <v>47</v>
      </c>
    </row>
    <row r="85" spans="33:37" ht="23.25" customHeight="1" x14ac:dyDescent="0.25">
      <c r="AG85" s="173">
        <v>45881</v>
      </c>
      <c r="AH85" s="127" t="s">
        <v>897</v>
      </c>
      <c r="AI85" s="128" t="s">
        <v>641</v>
      </c>
      <c r="AJ85" s="129" t="s">
        <v>980</v>
      </c>
      <c r="AK85" s="129">
        <v>292</v>
      </c>
    </row>
    <row r="86" spans="33:37" ht="23.25" customHeight="1" x14ac:dyDescent="0.25">
      <c r="AG86" s="173">
        <v>45881</v>
      </c>
      <c r="AH86" s="127" t="s">
        <v>897</v>
      </c>
      <c r="AI86" s="128" t="s">
        <v>981</v>
      </c>
      <c r="AJ86" s="129" t="s">
        <v>982</v>
      </c>
      <c r="AK86" s="129">
        <v>49</v>
      </c>
    </row>
    <row r="87" spans="33:37" ht="23.25" customHeight="1" x14ac:dyDescent="0.25">
      <c r="AG87" s="173">
        <v>45881</v>
      </c>
      <c r="AH87" s="127" t="s">
        <v>904</v>
      </c>
      <c r="AI87" s="128" t="s">
        <v>981</v>
      </c>
      <c r="AJ87" s="129" t="s">
        <v>982</v>
      </c>
      <c r="AK87" s="129">
        <v>113</v>
      </c>
    </row>
    <row r="88" spans="33:37" ht="23.25" customHeight="1" x14ac:dyDescent="0.25">
      <c r="AG88" s="173">
        <v>45881</v>
      </c>
      <c r="AH88" s="127" t="s">
        <v>897</v>
      </c>
      <c r="AI88" s="128" t="s">
        <v>981</v>
      </c>
      <c r="AJ88" s="129" t="s">
        <v>983</v>
      </c>
      <c r="AK88" s="129">
        <v>167</v>
      </c>
    </row>
    <row r="89" spans="33:37" ht="23.25" customHeight="1" x14ac:dyDescent="0.25">
      <c r="AG89" s="173">
        <v>45888</v>
      </c>
      <c r="AH89" s="127" t="s">
        <v>998</v>
      </c>
      <c r="AI89" s="128" t="s">
        <v>641</v>
      </c>
      <c r="AJ89" s="129" t="s">
        <v>994</v>
      </c>
      <c r="AK89" s="129">
        <v>1</v>
      </c>
    </row>
    <row r="90" spans="33:37" ht="23.25" customHeight="1" x14ac:dyDescent="0.25">
      <c r="AG90" s="173">
        <v>45888</v>
      </c>
      <c r="AH90" s="127" t="s">
        <v>995</v>
      </c>
      <c r="AI90" s="128" t="s">
        <v>641</v>
      </c>
      <c r="AJ90" s="129" t="s">
        <v>994</v>
      </c>
      <c r="AK90" s="129">
        <v>71</v>
      </c>
    </row>
    <row r="91" spans="33:37" ht="23.25" customHeight="1" x14ac:dyDescent="0.25">
      <c r="AG91" s="173">
        <v>45888</v>
      </c>
      <c r="AH91" s="127" t="s">
        <v>996</v>
      </c>
      <c r="AI91" s="128" t="s">
        <v>641</v>
      </c>
      <c r="AJ91" s="129" t="s">
        <v>994</v>
      </c>
      <c r="AK91" s="129">
        <v>4</v>
      </c>
    </row>
    <row r="92" spans="33:37" ht="23.25" customHeight="1" x14ac:dyDescent="0.25">
      <c r="AG92" s="173">
        <v>45888</v>
      </c>
      <c r="AH92" s="127" t="s">
        <v>997</v>
      </c>
      <c r="AI92" s="128" t="s">
        <v>641</v>
      </c>
      <c r="AJ92" s="129" t="s">
        <v>994</v>
      </c>
      <c r="AK92" s="129">
        <v>260</v>
      </c>
    </row>
    <row r="93" spans="33:37" ht="23.25" customHeight="1" x14ac:dyDescent="0.25">
      <c r="AG93" s="173">
        <v>45889</v>
      </c>
      <c r="AH93" s="127" t="s">
        <v>778</v>
      </c>
      <c r="AI93" s="128" t="s">
        <v>641</v>
      </c>
      <c r="AJ93" s="129" t="s">
        <v>1009</v>
      </c>
      <c r="AK93" s="129">
        <v>1</v>
      </c>
    </row>
    <row r="94" spans="33:37" ht="23.25" customHeight="1" x14ac:dyDescent="0.25">
      <c r="AG94" s="173">
        <v>45889</v>
      </c>
      <c r="AH94" s="127" t="s">
        <v>1006</v>
      </c>
      <c r="AI94" s="128" t="s">
        <v>641</v>
      </c>
      <c r="AJ94" s="129" t="s">
        <v>1009</v>
      </c>
      <c r="AK94" s="129">
        <v>122</v>
      </c>
    </row>
    <row r="95" spans="33:37" ht="23.25" customHeight="1" x14ac:dyDescent="0.25">
      <c r="AG95" s="173">
        <v>45889</v>
      </c>
      <c r="AH95" s="127" t="s">
        <v>1007</v>
      </c>
      <c r="AI95" s="128" t="s">
        <v>641</v>
      </c>
      <c r="AJ95" s="129" t="s">
        <v>1009</v>
      </c>
      <c r="AK95" s="129">
        <v>157</v>
      </c>
    </row>
    <row r="96" spans="33:37" ht="23.25" customHeight="1" x14ac:dyDescent="0.25">
      <c r="AG96" s="173">
        <v>45890</v>
      </c>
      <c r="AH96" s="127" t="s">
        <v>1007</v>
      </c>
      <c r="AI96" s="128" t="s">
        <v>641</v>
      </c>
      <c r="AJ96" s="129" t="s">
        <v>1008</v>
      </c>
      <c r="AK96" s="129">
        <v>183</v>
      </c>
    </row>
    <row r="97" spans="33:37" ht="23.25" customHeight="1" x14ac:dyDescent="0.25">
      <c r="AG97" s="173">
        <v>45891</v>
      </c>
      <c r="AH97" s="127" t="s">
        <v>1014</v>
      </c>
      <c r="AI97" s="128" t="s">
        <v>641</v>
      </c>
      <c r="AJ97" s="129" t="s">
        <v>1013</v>
      </c>
      <c r="AK97" s="129">
        <v>187</v>
      </c>
    </row>
    <row r="98" spans="33:37" ht="23.25" customHeight="1" x14ac:dyDescent="0.25">
      <c r="AG98" s="173">
        <v>45891</v>
      </c>
      <c r="AH98" s="127" t="s">
        <v>1014</v>
      </c>
      <c r="AI98" s="128" t="s">
        <v>641</v>
      </c>
      <c r="AJ98" s="129" t="s">
        <v>1012</v>
      </c>
      <c r="AK98" s="129">
        <v>73</v>
      </c>
    </row>
    <row r="99" spans="33:37" ht="23.25" customHeight="1" x14ac:dyDescent="0.25">
      <c r="AG99" s="173">
        <v>45902</v>
      </c>
      <c r="AH99" s="127" t="s">
        <v>1021</v>
      </c>
      <c r="AI99" s="128" t="s">
        <v>641</v>
      </c>
      <c r="AJ99" s="129" t="s">
        <v>1022</v>
      </c>
      <c r="AK99" s="129">
        <v>464</v>
      </c>
    </row>
    <row r="100" spans="33:37" ht="23.25" customHeight="1" x14ac:dyDescent="0.25">
      <c r="AG100" s="173">
        <v>45903</v>
      </c>
      <c r="AH100" s="127" t="s">
        <v>1004</v>
      </c>
      <c r="AI100" s="128" t="s">
        <v>641</v>
      </c>
      <c r="AJ100" s="129" t="s">
        <v>1034</v>
      </c>
      <c r="AK100" s="129">
        <v>163</v>
      </c>
    </row>
    <row r="101" spans="33:37" ht="23.25" customHeight="1" x14ac:dyDescent="0.25">
      <c r="AG101" s="173">
        <v>45904</v>
      </c>
      <c r="AH101" s="127" t="s">
        <v>1037</v>
      </c>
      <c r="AI101" s="128" t="s">
        <v>641</v>
      </c>
      <c r="AJ101" s="129" t="s">
        <v>1036</v>
      </c>
      <c r="AK101" s="129">
        <v>164</v>
      </c>
    </row>
    <row r="102" spans="33:37" ht="23.25" customHeight="1" x14ac:dyDescent="0.25">
      <c r="AG102" s="173">
        <v>45905</v>
      </c>
      <c r="AH102" s="127" t="s">
        <v>1015</v>
      </c>
      <c r="AI102" s="128" t="s">
        <v>641</v>
      </c>
      <c r="AJ102" s="129" t="s">
        <v>1039</v>
      </c>
      <c r="AK102" s="129">
        <v>300</v>
      </c>
    </row>
    <row r="103" spans="33:37" ht="23.25" customHeight="1" x14ac:dyDescent="0.25">
      <c r="AG103" s="173">
        <v>45911</v>
      </c>
      <c r="AH103" s="127" t="s">
        <v>1050</v>
      </c>
      <c r="AI103" s="128" t="s">
        <v>641</v>
      </c>
      <c r="AJ103" s="129" t="s">
        <v>1049</v>
      </c>
      <c r="AK103" s="129">
        <v>160</v>
      </c>
    </row>
    <row r="104" spans="33:37" ht="23.25" customHeight="1" x14ac:dyDescent="0.25">
      <c r="AG104" s="172">
        <v>45912</v>
      </c>
      <c r="AH104" s="115" t="s">
        <v>1024</v>
      </c>
      <c r="AI104" s="159" t="s">
        <v>641</v>
      </c>
      <c r="AJ104" s="122" t="s">
        <v>1048</v>
      </c>
      <c r="AK104" s="122">
        <v>326</v>
      </c>
    </row>
    <row r="105" spans="33:37" ht="23.25" customHeight="1" x14ac:dyDescent="0.25">
      <c r="AG105" s="172">
        <v>45915</v>
      </c>
      <c r="AH105" s="115" t="s">
        <v>1054</v>
      </c>
      <c r="AI105" s="159" t="s">
        <v>641</v>
      </c>
      <c r="AJ105" s="122" t="s">
        <v>1053</v>
      </c>
      <c r="AK105" s="122">
        <v>471</v>
      </c>
    </row>
    <row r="106" spans="33:37" ht="23.25" customHeight="1" x14ac:dyDescent="0.25">
      <c r="AG106" s="172">
        <v>45916</v>
      </c>
      <c r="AH106" s="115" t="s">
        <v>1055</v>
      </c>
      <c r="AI106" s="159" t="s">
        <v>1061</v>
      </c>
      <c r="AJ106" s="122" t="s">
        <v>1056</v>
      </c>
      <c r="AK106" s="122">
        <v>313</v>
      </c>
    </row>
    <row r="107" spans="33:37" ht="23.25" customHeight="1" x14ac:dyDescent="0.25">
      <c r="AG107" s="172">
        <v>45917</v>
      </c>
      <c r="AH107" s="115" t="s">
        <v>1060</v>
      </c>
      <c r="AI107" s="159" t="s">
        <v>1061</v>
      </c>
      <c r="AJ107" s="122" t="s">
        <v>1062</v>
      </c>
      <c r="AK107" s="122">
        <v>499</v>
      </c>
    </row>
    <row r="108" spans="33:37" ht="23.25" customHeight="1" x14ac:dyDescent="0.25">
      <c r="AG108" s="173">
        <v>45918</v>
      </c>
      <c r="AH108" s="127" t="s">
        <v>1091</v>
      </c>
      <c r="AI108" s="159" t="s">
        <v>861</v>
      </c>
      <c r="AJ108" s="129" t="s">
        <v>1089</v>
      </c>
      <c r="AK108" s="129">
        <v>2</v>
      </c>
    </row>
    <row r="109" spans="33:37" ht="23.25" customHeight="1" x14ac:dyDescent="0.25">
      <c r="AG109" s="173">
        <v>45918</v>
      </c>
      <c r="AH109" s="127" t="s">
        <v>1092</v>
      </c>
      <c r="AI109" s="159" t="s">
        <v>861</v>
      </c>
      <c r="AJ109" s="129" t="s">
        <v>1089</v>
      </c>
      <c r="AK109" s="129">
        <v>334</v>
      </c>
    </row>
    <row r="110" spans="33:37" ht="23.25" customHeight="1" x14ac:dyDescent="0.25">
      <c r="AG110" s="172">
        <v>45919</v>
      </c>
      <c r="AH110" s="115" t="s">
        <v>1092</v>
      </c>
      <c r="AI110" s="159" t="s">
        <v>861</v>
      </c>
      <c r="AJ110" s="129" t="s">
        <v>1090</v>
      </c>
      <c r="AK110" s="129">
        <v>318</v>
      </c>
    </row>
    <row r="111" spans="33:37" ht="23.25" customHeight="1" x14ac:dyDescent="0.25">
      <c r="AG111" s="173">
        <v>45958</v>
      </c>
      <c r="AH111" s="127" t="s">
        <v>1160</v>
      </c>
      <c r="AI111" s="128" t="s">
        <v>641</v>
      </c>
      <c r="AJ111" s="129" t="s">
        <v>1159</v>
      </c>
      <c r="AK111" s="129">
        <v>1</v>
      </c>
    </row>
    <row r="112" spans="33:37" ht="23.25" customHeight="1" x14ac:dyDescent="0.25">
      <c r="AG112" s="173">
        <v>45958</v>
      </c>
      <c r="AH112" s="127" t="s">
        <v>1161</v>
      </c>
      <c r="AI112" s="128" t="s">
        <v>641</v>
      </c>
      <c r="AJ112" s="129" t="s">
        <v>1159</v>
      </c>
      <c r="AK112" s="129">
        <v>10</v>
      </c>
    </row>
    <row r="113" spans="33:37" ht="23.25" customHeight="1" x14ac:dyDescent="0.25">
      <c r="AG113" s="173">
        <v>45958</v>
      </c>
      <c r="AH113" s="127" t="s">
        <v>1162</v>
      </c>
      <c r="AI113" s="128" t="s">
        <v>641</v>
      </c>
      <c r="AJ113" s="129" t="s">
        <v>1159</v>
      </c>
      <c r="AK113" s="129">
        <v>2</v>
      </c>
    </row>
    <row r="114" spans="33:37" ht="23.25" customHeight="1" x14ac:dyDescent="0.25">
      <c r="AG114" s="173">
        <v>45958</v>
      </c>
      <c r="AH114" s="127" t="s">
        <v>1163</v>
      </c>
      <c r="AI114" s="128" t="s">
        <v>641</v>
      </c>
      <c r="AJ114" s="129" t="s">
        <v>1159</v>
      </c>
      <c r="AK114" s="129">
        <v>18</v>
      </c>
    </row>
    <row r="115" spans="33:37" ht="23.25" customHeight="1" x14ac:dyDescent="0.25">
      <c r="AG115" s="173">
        <v>45958</v>
      </c>
      <c r="AH115" s="127" t="s">
        <v>1164</v>
      </c>
      <c r="AI115" s="128" t="s">
        <v>641</v>
      </c>
      <c r="AJ115" s="129" t="s">
        <v>1159</v>
      </c>
      <c r="AK115" s="129">
        <v>59</v>
      </c>
    </row>
    <row r="116" spans="33:37" ht="23.25" customHeight="1" x14ac:dyDescent="0.25">
      <c r="AG116" s="173">
        <v>45958</v>
      </c>
      <c r="AH116" s="127" t="s">
        <v>1165</v>
      </c>
      <c r="AI116" s="128" t="s">
        <v>641</v>
      </c>
      <c r="AJ116" s="129" t="s">
        <v>1159</v>
      </c>
      <c r="AK116" s="129">
        <v>20</v>
      </c>
    </row>
    <row r="117" spans="33:37" ht="23.25" customHeight="1" x14ac:dyDescent="0.25">
      <c r="AG117" s="173">
        <v>45958</v>
      </c>
      <c r="AH117" s="127" t="s">
        <v>1166</v>
      </c>
      <c r="AI117" s="128" t="s">
        <v>641</v>
      </c>
      <c r="AJ117" s="129" t="s">
        <v>1159</v>
      </c>
      <c r="AK117" s="129">
        <v>5</v>
      </c>
    </row>
    <row r="118" spans="33:37" ht="23.25" customHeight="1" x14ac:dyDescent="0.25">
      <c r="AG118" s="173">
        <v>45958</v>
      </c>
      <c r="AH118" s="127" t="s">
        <v>1167</v>
      </c>
      <c r="AI118" s="128" t="s">
        <v>641</v>
      </c>
      <c r="AJ118" s="129" t="s">
        <v>1159</v>
      </c>
      <c r="AK118" s="129">
        <v>7</v>
      </c>
    </row>
    <row r="119" spans="33:37" ht="23.25" customHeight="1" x14ac:dyDescent="0.25">
      <c r="AG119" s="173">
        <v>45958</v>
      </c>
      <c r="AH119" s="127" t="s">
        <v>1168</v>
      </c>
      <c r="AI119" s="128" t="s">
        <v>641</v>
      </c>
      <c r="AJ119" s="129" t="s">
        <v>1159</v>
      </c>
      <c r="AK119" s="129">
        <v>35</v>
      </c>
    </row>
    <row r="120" spans="33:37" ht="23.25" customHeight="1" x14ac:dyDescent="0.25">
      <c r="AG120" s="173">
        <v>45966</v>
      </c>
      <c r="AH120" s="129" t="s">
        <v>1193</v>
      </c>
      <c r="AI120" s="128" t="s">
        <v>641</v>
      </c>
      <c r="AJ120" s="129" t="s">
        <v>1194</v>
      </c>
      <c r="AK120" s="129">
        <f>120+88</f>
        <v>208</v>
      </c>
    </row>
    <row r="121" spans="33:37" ht="23.25" customHeight="1" x14ac:dyDescent="0.25">
      <c r="AG121" s="173">
        <v>45965</v>
      </c>
      <c r="AH121" s="127" t="s">
        <v>897</v>
      </c>
      <c r="AI121" s="128" t="s">
        <v>641</v>
      </c>
      <c r="AJ121" s="129" t="s">
        <v>1196</v>
      </c>
      <c r="AK121" s="129">
        <v>3</v>
      </c>
    </row>
    <row r="122" spans="33:37" ht="23.25" customHeight="1" x14ac:dyDescent="0.25">
      <c r="AG122" s="173">
        <v>45965</v>
      </c>
      <c r="AH122" s="127" t="s">
        <v>1193</v>
      </c>
      <c r="AI122" s="128" t="s">
        <v>641</v>
      </c>
      <c r="AJ122" s="129" t="s">
        <v>1196</v>
      </c>
      <c r="AK122" s="129">
        <v>167</v>
      </c>
    </row>
    <row r="123" spans="33:37" ht="23.25" customHeight="1" x14ac:dyDescent="0.25">
      <c r="AG123" s="173">
        <v>45967</v>
      </c>
      <c r="AH123" s="127" t="s">
        <v>1169</v>
      </c>
      <c r="AI123" s="128" t="s">
        <v>641</v>
      </c>
      <c r="AJ123" s="129" t="s">
        <v>1199</v>
      </c>
      <c r="AK123" s="129">
        <v>264</v>
      </c>
    </row>
    <row r="124" spans="33:37" ht="23.25" customHeight="1" x14ac:dyDescent="0.25">
      <c r="AG124" s="173">
        <v>45968</v>
      </c>
      <c r="AH124" s="127" t="s">
        <v>1169</v>
      </c>
      <c r="AI124" s="128" t="s">
        <v>641</v>
      </c>
      <c r="AJ124" s="129" t="s">
        <v>1202</v>
      </c>
      <c r="AK124" s="129">
        <v>130</v>
      </c>
    </row>
    <row r="125" spans="33:37" ht="23.25" customHeight="1" x14ac:dyDescent="0.25">
      <c r="AG125" s="172">
        <v>45968</v>
      </c>
      <c r="AH125" s="115" t="s">
        <v>1180</v>
      </c>
      <c r="AI125" s="159" t="s">
        <v>641</v>
      </c>
      <c r="AJ125" s="129" t="s">
        <v>1202</v>
      </c>
      <c r="AK125" s="122">
        <v>168</v>
      </c>
    </row>
    <row r="126" spans="33:37" ht="23.25" customHeight="1" x14ac:dyDescent="0.25">
      <c r="AG126" s="172">
        <v>45971</v>
      </c>
      <c r="AH126" s="115" t="s">
        <v>1169</v>
      </c>
      <c r="AI126" s="159" t="s">
        <v>641</v>
      </c>
      <c r="AJ126" s="122" t="s">
        <v>1207</v>
      </c>
      <c r="AK126" s="122">
        <v>204</v>
      </c>
    </row>
    <row r="127" spans="33:37" ht="23.25" customHeight="1" x14ac:dyDescent="0.25">
      <c r="AG127" s="173">
        <v>45971</v>
      </c>
      <c r="AH127" s="127" t="s">
        <v>1180</v>
      </c>
      <c r="AI127" s="159" t="s">
        <v>641</v>
      </c>
      <c r="AJ127" s="129" t="s">
        <v>1208</v>
      </c>
      <c r="AK127" s="129">
        <v>327</v>
      </c>
    </row>
    <row r="128" spans="33:37" ht="23.25" customHeight="1" x14ac:dyDescent="0.25">
      <c r="AG128" s="173">
        <v>45975</v>
      </c>
      <c r="AH128" s="127" t="s">
        <v>1180</v>
      </c>
      <c r="AI128" s="159" t="s">
        <v>641</v>
      </c>
      <c r="AJ128" s="129" t="s">
        <v>1215</v>
      </c>
      <c r="AK128" s="129">
        <v>157</v>
      </c>
    </row>
    <row r="129" spans="33:37" ht="23.25" customHeight="1" x14ac:dyDescent="0.25">
      <c r="AG129" s="173">
        <v>45975</v>
      </c>
      <c r="AH129" s="127" t="s">
        <v>1169</v>
      </c>
      <c r="AI129" s="159" t="s">
        <v>641</v>
      </c>
      <c r="AJ129" s="129" t="s">
        <v>1215</v>
      </c>
      <c r="AK129" s="129">
        <v>1</v>
      </c>
    </row>
    <row r="130" spans="33:37" ht="23.25" customHeight="1" x14ac:dyDescent="0.25">
      <c r="AG130" s="173">
        <v>45978</v>
      </c>
      <c r="AH130" s="127" t="s">
        <v>1219</v>
      </c>
      <c r="AI130" s="128" t="s">
        <v>641</v>
      </c>
      <c r="AJ130" s="129" t="s">
        <v>1220</v>
      </c>
      <c r="AK130" s="129">
        <v>100</v>
      </c>
    </row>
    <row r="131" spans="33:37" ht="23.25" customHeight="1" x14ac:dyDescent="0.25">
      <c r="AG131" s="173">
        <v>45979</v>
      </c>
      <c r="AH131" s="127" t="s">
        <v>1222</v>
      </c>
      <c r="AI131" s="128" t="s">
        <v>641</v>
      </c>
      <c r="AJ131" s="129" t="s">
        <v>1223</v>
      </c>
      <c r="AK131" s="129">
        <v>139</v>
      </c>
    </row>
    <row r="132" spans="33:37" ht="23.25" customHeight="1" x14ac:dyDescent="0.25">
      <c r="AG132" s="173">
        <v>45981</v>
      </c>
      <c r="AH132" s="127" t="s">
        <v>1229</v>
      </c>
      <c r="AI132" s="128" t="s">
        <v>641</v>
      </c>
      <c r="AJ132" s="129" t="s">
        <v>1230</v>
      </c>
      <c r="AK132" s="129">
        <v>5</v>
      </c>
    </row>
    <row r="133" spans="33:37" ht="23.25" customHeight="1" x14ac:dyDescent="0.25">
      <c r="AG133" s="173">
        <v>45981</v>
      </c>
      <c r="AH133" s="127" t="s">
        <v>1231</v>
      </c>
      <c r="AI133" s="128" t="s">
        <v>641</v>
      </c>
      <c r="AJ133" s="129" t="s">
        <v>1230</v>
      </c>
      <c r="AK133" s="129">
        <v>426</v>
      </c>
    </row>
    <row r="134" spans="33:37" ht="23.25" customHeight="1" x14ac:dyDescent="0.25">
      <c r="AG134" s="173">
        <v>45982</v>
      </c>
      <c r="AH134" s="127" t="s">
        <v>1235</v>
      </c>
      <c r="AI134" s="128" t="s">
        <v>641</v>
      </c>
      <c r="AJ134" s="129" t="s">
        <v>1234</v>
      </c>
      <c r="AK134" s="129">
        <v>656</v>
      </c>
    </row>
    <row r="135" spans="33:37" ht="23.25" customHeight="1" x14ac:dyDescent="0.25">
      <c r="AG135" s="173">
        <v>45985</v>
      </c>
      <c r="AH135" s="127" t="s">
        <v>1240</v>
      </c>
      <c r="AI135" s="128" t="s">
        <v>641</v>
      </c>
      <c r="AJ135" s="129" t="s">
        <v>1241</v>
      </c>
      <c r="AK135" s="129">
        <v>146</v>
      </c>
    </row>
    <row r="136" spans="33:37" ht="23.25" customHeight="1" x14ac:dyDescent="0.25">
      <c r="AG136" s="173">
        <v>45986</v>
      </c>
      <c r="AH136" s="127" t="s">
        <v>1244</v>
      </c>
      <c r="AI136" s="128" t="s">
        <v>641</v>
      </c>
      <c r="AJ136" s="129" t="s">
        <v>1245</v>
      </c>
      <c r="AK136" s="129">
        <v>472</v>
      </c>
    </row>
    <row r="137" spans="33:37" ht="23.25" customHeight="1" x14ac:dyDescent="0.25">
      <c r="AG137" s="173">
        <v>45987</v>
      </c>
      <c r="AH137" s="127" t="s">
        <v>1247</v>
      </c>
      <c r="AI137" s="128" t="s">
        <v>641</v>
      </c>
      <c r="AJ137" s="129" t="s">
        <v>1248</v>
      </c>
      <c r="AK137" s="129">
        <v>132</v>
      </c>
    </row>
    <row r="138" spans="33:37" ht="23.25" customHeight="1" x14ac:dyDescent="0.25">
      <c r="AG138" s="173">
        <v>45987</v>
      </c>
      <c r="AH138" s="127" t="s">
        <v>1249</v>
      </c>
      <c r="AI138" s="128" t="s">
        <v>641</v>
      </c>
      <c r="AJ138" s="129" t="s">
        <v>1248</v>
      </c>
      <c r="AK138" s="129">
        <v>168</v>
      </c>
    </row>
    <row r="139" spans="33:37" ht="23.25" customHeight="1" x14ac:dyDescent="0.25">
      <c r="AG139" s="173">
        <v>45988</v>
      </c>
      <c r="AH139" s="127" t="s">
        <v>1251</v>
      </c>
      <c r="AI139" s="128" t="s">
        <v>641</v>
      </c>
      <c r="AJ139" s="129" t="s">
        <v>1252</v>
      </c>
      <c r="AK139" s="129">
        <v>109</v>
      </c>
    </row>
    <row r="140" spans="33:37" ht="23.25" customHeight="1" x14ac:dyDescent="0.25">
      <c r="AG140" s="173">
        <v>45989</v>
      </c>
      <c r="AH140" s="127" t="s">
        <v>1256</v>
      </c>
      <c r="AI140" s="128" t="s">
        <v>641</v>
      </c>
      <c r="AJ140" s="129" t="s">
        <v>1257</v>
      </c>
      <c r="AK140" s="129">
        <v>325</v>
      </c>
    </row>
    <row r="141" spans="33:37" ht="23.25" customHeight="1" x14ac:dyDescent="0.25">
      <c r="AG141" s="172">
        <v>45992</v>
      </c>
      <c r="AH141" s="115" t="s">
        <v>1225</v>
      </c>
      <c r="AI141" s="128" t="s">
        <v>641</v>
      </c>
      <c r="AJ141" s="122" t="s">
        <v>1266</v>
      </c>
      <c r="AK141" s="122">
        <v>27</v>
      </c>
    </row>
    <row r="142" spans="33:37" ht="23.25" customHeight="1" x14ac:dyDescent="0.25">
      <c r="AG142" s="173">
        <v>45992</v>
      </c>
      <c r="AH142" s="127" t="s">
        <v>1236</v>
      </c>
      <c r="AI142" s="128" t="s">
        <v>641</v>
      </c>
      <c r="AJ142" s="122" t="s">
        <v>1266</v>
      </c>
      <c r="AK142" s="129">
        <v>468</v>
      </c>
    </row>
    <row r="143" spans="33:37" ht="23.25" customHeight="1" x14ac:dyDescent="0.25">
      <c r="AG143" s="173">
        <v>45992</v>
      </c>
      <c r="AH143" s="127" t="s">
        <v>1265</v>
      </c>
      <c r="AI143" s="128" t="s">
        <v>641</v>
      </c>
      <c r="AJ143" s="129" t="s">
        <v>1267</v>
      </c>
      <c r="AK143" s="129">
        <v>280</v>
      </c>
    </row>
    <row r="144" spans="33:37" ht="23.25" customHeight="1" x14ac:dyDescent="0.25">
      <c r="AG144" s="173">
        <v>45994</v>
      </c>
      <c r="AH144" s="159" t="s">
        <v>1280</v>
      </c>
      <c r="AI144" s="128" t="s">
        <v>641</v>
      </c>
      <c r="AJ144" s="129" t="s">
        <v>1281</v>
      </c>
      <c r="AK144" s="129">
        <v>166</v>
      </c>
    </row>
    <row r="145" spans="33:37" ht="23.25" customHeight="1" x14ac:dyDescent="0.25">
      <c r="AG145" s="173">
        <v>45996</v>
      </c>
      <c r="AH145" s="127" t="s">
        <v>1297</v>
      </c>
      <c r="AI145" s="128" t="s">
        <v>641</v>
      </c>
      <c r="AJ145" s="129" t="s">
        <v>1298</v>
      </c>
      <c r="AK145" s="129">
        <v>3</v>
      </c>
    </row>
    <row r="146" spans="33:37" ht="23.25" customHeight="1" x14ac:dyDescent="0.25">
      <c r="AG146" s="173">
        <v>45996</v>
      </c>
      <c r="AH146" s="127" t="s">
        <v>1299</v>
      </c>
      <c r="AI146" s="128" t="s">
        <v>641</v>
      </c>
      <c r="AJ146" s="129" t="s">
        <v>1298</v>
      </c>
      <c r="AK146" s="129">
        <v>23</v>
      </c>
    </row>
    <row r="147" spans="33:37" ht="23.25" customHeight="1" x14ac:dyDescent="0.25">
      <c r="AG147" s="173">
        <v>45996</v>
      </c>
      <c r="AH147" s="127" t="s">
        <v>1300</v>
      </c>
      <c r="AI147" s="128" t="s">
        <v>641</v>
      </c>
      <c r="AJ147" s="129" t="s">
        <v>1300</v>
      </c>
      <c r="AK147" s="129">
        <v>330</v>
      </c>
    </row>
    <row r="148" spans="33:37" ht="23.25" customHeight="1" x14ac:dyDescent="0.25">
      <c r="AG148" s="172">
        <v>45999</v>
      </c>
      <c r="AH148" s="115" t="s">
        <v>1253</v>
      </c>
      <c r="AI148" s="128" t="s">
        <v>641</v>
      </c>
      <c r="AJ148" s="122" t="s">
        <v>1303</v>
      </c>
      <c r="AK148" s="122">
        <v>252</v>
      </c>
    </row>
    <row r="149" spans="33:37" ht="23.25" customHeight="1" x14ac:dyDescent="0.25">
      <c r="AG149" s="172">
        <v>45999</v>
      </c>
      <c r="AH149" s="127" t="s">
        <v>1275</v>
      </c>
      <c r="AI149" s="128" t="s">
        <v>641</v>
      </c>
      <c r="AJ149" s="122" t="s">
        <v>1303</v>
      </c>
      <c r="AK149" s="129">
        <v>84</v>
      </c>
    </row>
    <row r="150" spans="33:37" ht="23.25" customHeight="1" x14ac:dyDescent="0.25">
      <c r="AG150" s="173">
        <v>46000</v>
      </c>
      <c r="AH150" s="159" t="s">
        <v>1305</v>
      </c>
      <c r="AI150" s="128" t="s">
        <v>641</v>
      </c>
      <c r="AJ150" s="129" t="s">
        <v>1307</v>
      </c>
      <c r="AK150" s="129">
        <v>3</v>
      </c>
    </row>
    <row r="151" spans="33:37" ht="23.25" customHeight="1" x14ac:dyDescent="0.25">
      <c r="AG151" s="173">
        <v>46000</v>
      </c>
      <c r="AH151" s="127" t="s">
        <v>1308</v>
      </c>
      <c r="AI151" s="128" t="s">
        <v>641</v>
      </c>
      <c r="AJ151" s="129" t="s">
        <v>1307</v>
      </c>
      <c r="AK151" s="129">
        <v>1</v>
      </c>
    </row>
    <row r="152" spans="33:37" ht="23.25" customHeight="1" x14ac:dyDescent="0.25">
      <c r="AG152" s="173">
        <v>46000</v>
      </c>
      <c r="AH152" s="127" t="s">
        <v>1309</v>
      </c>
      <c r="AI152" s="128" t="s">
        <v>641</v>
      </c>
      <c r="AJ152" s="129" t="s">
        <v>1307</v>
      </c>
      <c r="AK152" s="129">
        <v>12</v>
      </c>
    </row>
    <row r="153" spans="33:37" ht="23.25" customHeight="1" x14ac:dyDescent="0.25">
      <c r="AG153" s="173">
        <v>46000</v>
      </c>
      <c r="AH153" s="127" t="s">
        <v>1310</v>
      </c>
      <c r="AI153" s="128" t="s">
        <v>641</v>
      </c>
      <c r="AJ153" s="129" t="s">
        <v>1307</v>
      </c>
      <c r="AK153" s="129">
        <v>409</v>
      </c>
    </row>
    <row r="154" spans="33:37" ht="23.25" customHeight="1" x14ac:dyDescent="0.25">
      <c r="AG154" s="173">
        <v>46001</v>
      </c>
      <c r="AH154" s="127" t="s">
        <v>1320</v>
      </c>
      <c r="AI154" s="128" t="s">
        <v>641</v>
      </c>
      <c r="AJ154" s="129" t="s">
        <v>1321</v>
      </c>
      <c r="AK154" s="129">
        <v>1</v>
      </c>
    </row>
    <row r="155" spans="33:37" ht="23.25" customHeight="1" x14ac:dyDescent="0.25">
      <c r="AG155" s="173">
        <v>46001</v>
      </c>
      <c r="AH155" s="127" t="s">
        <v>1322</v>
      </c>
      <c r="AI155" s="128" t="s">
        <v>641</v>
      </c>
      <c r="AJ155" s="129" t="s">
        <v>1321</v>
      </c>
      <c r="AK155" s="129">
        <v>144</v>
      </c>
    </row>
    <row r="156" spans="33:37" ht="23.25" customHeight="1" x14ac:dyDescent="0.25">
      <c r="AG156" s="173">
        <v>46006</v>
      </c>
      <c r="AH156" s="127" t="s">
        <v>1330</v>
      </c>
      <c r="AI156" s="128" t="s">
        <v>641</v>
      </c>
      <c r="AJ156" s="129" t="s">
        <v>1331</v>
      </c>
      <c r="AK156" s="129">
        <v>500</v>
      </c>
    </row>
    <row r="157" spans="33:37" ht="23.25" customHeight="1" x14ac:dyDescent="0.25">
      <c r="AG157" s="173">
        <v>46006</v>
      </c>
      <c r="AH157" s="127" t="s">
        <v>1332</v>
      </c>
      <c r="AI157" s="128" t="s">
        <v>641</v>
      </c>
      <c r="AJ157" s="129" t="s">
        <v>1331</v>
      </c>
      <c r="AK157" s="129">
        <v>1</v>
      </c>
    </row>
    <row r="158" spans="33:37" ht="23.25" customHeight="1" x14ac:dyDescent="0.25">
      <c r="AG158" s="173">
        <v>46008</v>
      </c>
      <c r="AH158" s="127" t="s">
        <v>1344</v>
      </c>
      <c r="AI158" s="128" t="s">
        <v>641</v>
      </c>
      <c r="AJ158" s="129" t="s">
        <v>1345</v>
      </c>
      <c r="AK158" s="129">
        <v>166</v>
      </c>
    </row>
    <row r="159" spans="33:37" ht="23.25" customHeight="1" x14ac:dyDescent="0.25">
      <c r="AG159" s="173">
        <v>46013</v>
      </c>
      <c r="AH159" s="127" t="s">
        <v>1374</v>
      </c>
      <c r="AI159" s="128" t="s">
        <v>641</v>
      </c>
      <c r="AJ159" s="129" t="s">
        <v>1375</v>
      </c>
      <c r="AK159" s="129">
        <v>1</v>
      </c>
    </row>
    <row r="160" spans="33:37" ht="23.25" customHeight="1" x14ac:dyDescent="0.25">
      <c r="AG160" s="172">
        <v>46013</v>
      </c>
      <c r="AH160" s="115" t="s">
        <v>1376</v>
      </c>
      <c r="AI160" s="159" t="s">
        <v>641</v>
      </c>
      <c r="AJ160" s="129" t="s">
        <v>1375</v>
      </c>
      <c r="AK160" s="122">
        <v>828</v>
      </c>
    </row>
    <row r="161" spans="33:37" ht="23.25" customHeight="1" x14ac:dyDescent="0.25">
      <c r="AG161" s="173">
        <v>46027</v>
      </c>
      <c r="AH161" s="127" t="s">
        <v>1418</v>
      </c>
      <c r="AI161" s="128" t="s">
        <v>641</v>
      </c>
      <c r="AJ161" s="129" t="s">
        <v>1419</v>
      </c>
      <c r="AK161" s="129">
        <v>3</v>
      </c>
    </row>
    <row r="162" spans="33:37" ht="23.25" customHeight="1" x14ac:dyDescent="0.25">
      <c r="AG162" s="173">
        <v>46027</v>
      </c>
      <c r="AH162" s="127" t="s">
        <v>1420</v>
      </c>
      <c r="AI162" s="128" t="s">
        <v>641</v>
      </c>
      <c r="AJ162" s="129" t="s">
        <v>1419</v>
      </c>
      <c r="AK162" s="129">
        <v>138</v>
      </c>
    </row>
    <row r="163" spans="33:37" ht="23.25" customHeight="1" x14ac:dyDescent="0.25">
      <c r="AG163" s="172">
        <v>46027</v>
      </c>
      <c r="AH163" s="115" t="s">
        <v>1421</v>
      </c>
      <c r="AI163" s="159" t="s">
        <v>641</v>
      </c>
      <c r="AJ163" s="129" t="s">
        <v>1419</v>
      </c>
      <c r="AK163" s="122">
        <v>630</v>
      </c>
    </row>
    <row r="164" spans="33:37" ht="23.25" customHeight="1" x14ac:dyDescent="0.25">
      <c r="AG164" s="173">
        <v>46028</v>
      </c>
      <c r="AH164" s="127" t="s">
        <v>1437</v>
      </c>
      <c r="AI164" s="128" t="s">
        <v>641</v>
      </c>
      <c r="AJ164" s="129" t="s">
        <v>1438</v>
      </c>
      <c r="AK164" s="129">
        <v>163</v>
      </c>
    </row>
    <row r="165" spans="33:37" ht="23.25" customHeight="1" x14ac:dyDescent="0.25">
      <c r="AG165" s="173">
        <v>46029</v>
      </c>
      <c r="AH165" s="127" t="s">
        <v>1440</v>
      </c>
      <c r="AI165" s="128" t="s">
        <v>641</v>
      </c>
      <c r="AJ165" s="129" t="s">
        <v>1441</v>
      </c>
      <c r="AK165" s="129">
        <v>165</v>
      </c>
    </row>
    <row r="166" spans="33:37" ht="23.25" customHeight="1" x14ac:dyDescent="0.25">
      <c r="AG166" s="172">
        <v>46029</v>
      </c>
      <c r="AH166" s="115" t="s">
        <v>1442</v>
      </c>
      <c r="AI166" s="159" t="s">
        <v>641</v>
      </c>
      <c r="AJ166" s="129" t="s">
        <v>1441</v>
      </c>
      <c r="AK166" s="122">
        <v>186</v>
      </c>
    </row>
    <row r="167" spans="33:37" ht="23.25" customHeight="1" x14ac:dyDescent="0.25">
      <c r="AG167" s="173">
        <v>46029</v>
      </c>
      <c r="AH167" s="127" t="s">
        <v>1445</v>
      </c>
      <c r="AI167" s="128" t="s">
        <v>641</v>
      </c>
      <c r="AJ167" s="129" t="s">
        <v>1446</v>
      </c>
      <c r="AK167" s="129">
        <v>111</v>
      </c>
    </row>
    <row r="168" spans="33:37" ht="23.25" customHeight="1" x14ac:dyDescent="0.25">
      <c r="AG168" s="173">
        <v>46035</v>
      </c>
      <c r="AH168" s="127" t="s">
        <v>1452</v>
      </c>
      <c r="AI168" s="128" t="s">
        <v>641</v>
      </c>
      <c r="AJ168" s="129" t="s">
        <v>1453</v>
      </c>
      <c r="AK168" s="129">
        <v>600</v>
      </c>
    </row>
    <row r="169" spans="33:37" ht="23.25" customHeight="1" x14ac:dyDescent="0.25">
      <c r="AG169" s="173">
        <v>46035</v>
      </c>
      <c r="AH169" s="127" t="s">
        <v>1454</v>
      </c>
      <c r="AI169" s="128" t="s">
        <v>641</v>
      </c>
      <c r="AJ169" s="129" t="s">
        <v>1453</v>
      </c>
      <c r="AK169" s="129">
        <v>163</v>
      </c>
    </row>
    <row r="170" spans="33:37" ht="23.25" customHeight="1" x14ac:dyDescent="0.25">
      <c r="AG170" s="173">
        <v>46036</v>
      </c>
      <c r="AH170" s="127" t="s">
        <v>1459</v>
      </c>
      <c r="AI170" s="128" t="s">
        <v>641</v>
      </c>
      <c r="AJ170" s="129" t="s">
        <v>1458</v>
      </c>
      <c r="AK170" s="129">
        <v>298</v>
      </c>
    </row>
    <row r="171" spans="33:37" ht="23.25" customHeight="1" x14ac:dyDescent="0.25">
      <c r="AG171" s="173">
        <v>46041</v>
      </c>
      <c r="AH171" s="127" t="s">
        <v>1425</v>
      </c>
      <c r="AI171" s="128" t="s">
        <v>641</v>
      </c>
      <c r="AJ171" s="129" t="s">
        <v>1477</v>
      </c>
      <c r="AK171" s="129">
        <v>415</v>
      </c>
    </row>
    <row r="172" spans="33:37" ht="23.25" customHeight="1" x14ac:dyDescent="0.25">
      <c r="AG172" s="173">
        <v>46042</v>
      </c>
      <c r="AH172" s="127" t="s">
        <v>1481</v>
      </c>
      <c r="AI172" s="128" t="s">
        <v>641</v>
      </c>
      <c r="AJ172" s="129" t="s">
        <v>1482</v>
      </c>
      <c r="AK172" s="129">
        <v>287</v>
      </c>
    </row>
    <row r="173" spans="33:37" ht="23.25" customHeight="1" x14ac:dyDescent="0.25">
      <c r="AG173" s="173">
        <v>46044</v>
      </c>
      <c r="AH173" s="127" t="s">
        <v>1473</v>
      </c>
      <c r="AI173" s="128" t="s">
        <v>641</v>
      </c>
      <c r="AJ173" s="129" t="s">
        <v>1498</v>
      </c>
      <c r="AK173" s="129">
        <v>562</v>
      </c>
    </row>
    <row r="174" spans="33:37" ht="23.25" customHeight="1" x14ac:dyDescent="0.25">
      <c r="AG174" s="173">
        <v>46050</v>
      </c>
      <c r="AH174" s="127" t="s">
        <v>1472</v>
      </c>
      <c r="AI174" s="128" t="s">
        <v>641</v>
      </c>
      <c r="AJ174" s="129" t="s">
        <v>1538</v>
      </c>
      <c r="AK174" s="129">
        <v>96</v>
      </c>
    </row>
    <row r="175" spans="33:37" ht="23.25" customHeight="1" x14ac:dyDescent="0.25">
      <c r="AG175" s="173">
        <v>46052</v>
      </c>
      <c r="AH175" s="117" t="s">
        <v>1189</v>
      </c>
      <c r="AI175" s="128" t="s">
        <v>641</v>
      </c>
      <c r="AJ175" s="129" t="s">
        <v>1546</v>
      </c>
      <c r="AK175" s="129">
        <v>3</v>
      </c>
    </row>
    <row r="176" spans="33:37" ht="23.25" customHeight="1" x14ac:dyDescent="0.25">
      <c r="AG176" s="172">
        <v>46052</v>
      </c>
      <c r="AH176" s="115" t="s">
        <v>1547</v>
      </c>
      <c r="AI176" s="159" t="s">
        <v>641</v>
      </c>
      <c r="AJ176" s="129" t="s">
        <v>1546</v>
      </c>
      <c r="AK176" s="122">
        <v>122</v>
      </c>
    </row>
    <row r="177" spans="33:37" ht="23.25" customHeight="1" x14ac:dyDescent="0.25">
      <c r="AG177" s="172">
        <v>46052</v>
      </c>
      <c r="AH177" s="127" t="s">
        <v>1492</v>
      </c>
      <c r="AI177" s="128" t="s">
        <v>641</v>
      </c>
      <c r="AJ177" s="129" t="s">
        <v>1546</v>
      </c>
      <c r="AK177" s="129">
        <v>240</v>
      </c>
    </row>
    <row r="178" spans="33:37" ht="23.25" customHeight="1" x14ac:dyDescent="0.25">
      <c r="AG178" s="172">
        <v>46052</v>
      </c>
      <c r="AH178" s="127" t="s">
        <v>1472</v>
      </c>
      <c r="AI178" s="128" t="s">
        <v>641</v>
      </c>
      <c r="AJ178" s="129" t="s">
        <v>1546</v>
      </c>
      <c r="AK178" s="129">
        <v>224</v>
      </c>
    </row>
    <row r="179" spans="33:37" ht="23.25" customHeight="1" x14ac:dyDescent="0.25">
      <c r="AG179" s="172">
        <v>46052</v>
      </c>
      <c r="AH179" s="127" t="s">
        <v>1548</v>
      </c>
      <c r="AI179" s="128" t="s">
        <v>641</v>
      </c>
      <c r="AJ179" s="129" t="s">
        <v>1546</v>
      </c>
      <c r="AK179" s="129">
        <v>50</v>
      </c>
    </row>
    <row r="180" spans="33:37" ht="23.25" customHeight="1" x14ac:dyDescent="0.25">
      <c r="AG180" s="173">
        <v>46055</v>
      </c>
      <c r="AH180" s="117" t="s">
        <v>1503</v>
      </c>
      <c r="AI180" s="128" t="s">
        <v>641</v>
      </c>
      <c r="AJ180" s="129" t="s">
        <v>1550</v>
      </c>
      <c r="AK180" s="129">
        <v>149</v>
      </c>
    </row>
    <row r="181" spans="33:37" ht="23.25" customHeight="1" x14ac:dyDescent="0.25">
      <c r="AG181" s="172">
        <v>46055</v>
      </c>
      <c r="AH181" s="117" t="s">
        <v>1506</v>
      </c>
      <c r="AI181" s="159" t="s">
        <v>641</v>
      </c>
      <c r="AJ181" s="129" t="s">
        <v>1550</v>
      </c>
      <c r="AK181" s="122">
        <v>384</v>
      </c>
    </row>
    <row r="182" spans="33:37" ht="23.25" customHeight="1" x14ac:dyDescent="0.25">
      <c r="AG182" s="172">
        <v>46055</v>
      </c>
      <c r="AH182" s="127" t="s">
        <v>1516</v>
      </c>
      <c r="AI182" s="128" t="s">
        <v>641</v>
      </c>
      <c r="AJ182" s="129" t="s">
        <v>1550</v>
      </c>
      <c r="AK182" s="129">
        <v>86</v>
      </c>
    </row>
    <row r="183" spans="33:37" ht="23.25" customHeight="1" x14ac:dyDescent="0.25">
      <c r="AG183" s="173">
        <v>46056</v>
      </c>
      <c r="AH183" s="117" t="s">
        <v>1506</v>
      </c>
      <c r="AI183" s="128" t="s">
        <v>641</v>
      </c>
      <c r="AJ183" s="129" t="s">
        <v>1555</v>
      </c>
      <c r="AK183" s="129">
        <v>3</v>
      </c>
    </row>
    <row r="184" spans="33:37" ht="23.25" customHeight="1" x14ac:dyDescent="0.25">
      <c r="AG184" s="173">
        <v>46056</v>
      </c>
      <c r="AH184" s="117" t="s">
        <v>1516</v>
      </c>
      <c r="AI184" s="128" t="s">
        <v>641</v>
      </c>
      <c r="AJ184" s="129" t="s">
        <v>1555</v>
      </c>
      <c r="AK184" s="129">
        <v>74</v>
      </c>
    </row>
    <row r="185" spans="33:37" ht="23.25" customHeight="1" x14ac:dyDescent="0.25">
      <c r="AG185" s="173">
        <v>46057</v>
      </c>
      <c r="AH185" s="127" t="s">
        <v>1558</v>
      </c>
      <c r="AI185" s="128" t="s">
        <v>641</v>
      </c>
      <c r="AJ185" s="129" t="s">
        <v>1559</v>
      </c>
      <c r="AK185" s="129">
        <v>4</v>
      </c>
    </row>
    <row r="186" spans="33:37" ht="23.25" customHeight="1" x14ac:dyDescent="0.25">
      <c r="AG186" s="173">
        <v>46057</v>
      </c>
      <c r="AH186" s="127" t="s">
        <v>1560</v>
      </c>
      <c r="AI186" s="128" t="s">
        <v>641</v>
      </c>
      <c r="AJ186" s="129" t="s">
        <v>1559</v>
      </c>
      <c r="AK186" s="129">
        <v>26</v>
      </c>
    </row>
    <row r="187" spans="33:37" ht="23.25" customHeight="1" x14ac:dyDescent="0.25">
      <c r="AG187" s="173">
        <v>46064</v>
      </c>
      <c r="AH187" s="127" t="s">
        <v>1381</v>
      </c>
      <c r="AI187" s="128" t="s">
        <v>641</v>
      </c>
      <c r="AJ187" s="129" t="s">
        <v>1584</v>
      </c>
      <c r="AK187" s="129">
        <v>22</v>
      </c>
    </row>
    <row r="188" spans="33:37" ht="23.25" customHeight="1" x14ac:dyDescent="0.25">
      <c r="AG188" s="173">
        <v>46086</v>
      </c>
      <c r="AH188" s="234" t="s">
        <v>1516</v>
      </c>
      <c r="AI188" s="128" t="s">
        <v>641</v>
      </c>
      <c r="AJ188" s="129" t="s">
        <v>1604</v>
      </c>
      <c r="AK188" s="129">
        <v>223</v>
      </c>
    </row>
    <row r="189" spans="33:37" ht="23.25" customHeight="1" x14ac:dyDescent="0.25">
      <c r="AG189" s="173">
        <v>46086</v>
      </c>
      <c r="AH189" s="127" t="s">
        <v>1526</v>
      </c>
      <c r="AI189" s="128" t="s">
        <v>641</v>
      </c>
      <c r="AJ189" s="129" t="s">
        <v>1604</v>
      </c>
      <c r="AK189" s="129">
        <v>173</v>
      </c>
    </row>
    <row r="190" spans="33:37" ht="23.25" customHeight="1" x14ac:dyDescent="0.25">
      <c r="AG190" s="173">
        <v>46087</v>
      </c>
      <c r="AH190" s="127" t="s">
        <v>1516</v>
      </c>
      <c r="AI190" s="128" t="s">
        <v>641</v>
      </c>
      <c r="AJ190" s="129" t="s">
        <v>1606</v>
      </c>
      <c r="AK190" s="129">
        <v>40</v>
      </c>
    </row>
    <row r="191" spans="33:37" ht="23.25" customHeight="1" x14ac:dyDescent="0.25">
      <c r="AG191" s="172">
        <v>46087</v>
      </c>
      <c r="AH191" s="117" t="s">
        <v>1526</v>
      </c>
      <c r="AI191" s="159" t="s">
        <v>641</v>
      </c>
      <c r="AJ191" s="129" t="s">
        <v>1606</v>
      </c>
      <c r="AK191" s="122">
        <v>35</v>
      </c>
    </row>
    <row r="192" spans="33:37" ht="23.25" customHeight="1" x14ac:dyDescent="0.25">
      <c r="AG192" s="172">
        <v>46087</v>
      </c>
      <c r="AH192" s="117" t="s">
        <v>1568</v>
      </c>
      <c r="AI192" s="159" t="s">
        <v>641</v>
      </c>
      <c r="AJ192" s="129" t="s">
        <v>1606</v>
      </c>
      <c r="AK192" s="122">
        <v>277</v>
      </c>
    </row>
    <row r="193" spans="33:37" ht="23.25" customHeight="1" x14ac:dyDescent="0.25">
      <c r="AG193" s="173">
        <v>46091</v>
      </c>
      <c r="AH193" s="127" t="s">
        <v>1540</v>
      </c>
      <c r="AI193" s="128" t="s">
        <v>641</v>
      </c>
      <c r="AJ193" s="129" t="s">
        <v>1620</v>
      </c>
      <c r="AK193" s="129">
        <v>457</v>
      </c>
    </row>
    <row r="194" spans="33:37" ht="23.25" customHeight="1" x14ac:dyDescent="0.25">
      <c r="AG194" s="173">
        <v>46092</v>
      </c>
      <c r="AH194" s="127" t="s">
        <v>1540</v>
      </c>
      <c r="AI194" s="128" t="s">
        <v>641</v>
      </c>
      <c r="AJ194" s="129" t="s">
        <v>1624</v>
      </c>
      <c r="AK194" s="129">
        <v>60</v>
      </c>
    </row>
    <row r="195" spans="33:37" ht="23.25" customHeight="1" x14ac:dyDescent="0.25">
      <c r="AG195" s="173">
        <v>46092</v>
      </c>
      <c r="AH195" s="127" t="s">
        <v>1568</v>
      </c>
      <c r="AI195" s="128" t="s">
        <v>641</v>
      </c>
      <c r="AJ195" s="129" t="s">
        <v>1624</v>
      </c>
      <c r="AK195" s="129">
        <v>349</v>
      </c>
    </row>
    <row r="196" spans="33:37" ht="23.25" customHeight="1" x14ac:dyDescent="0.25">
      <c r="AG196" s="173">
        <v>46093</v>
      </c>
      <c r="AH196" s="127" t="s">
        <v>1540</v>
      </c>
      <c r="AI196" s="128" t="s">
        <v>641</v>
      </c>
      <c r="AJ196" s="129" t="s">
        <v>1635</v>
      </c>
      <c r="AK196" s="129">
        <v>48</v>
      </c>
    </row>
    <row r="197" spans="33:37" ht="23.25" customHeight="1" x14ac:dyDescent="0.25">
      <c r="AG197" s="173">
        <v>46098</v>
      </c>
      <c r="AH197" s="127" t="s">
        <v>1589</v>
      </c>
      <c r="AI197" s="128" t="s">
        <v>641</v>
      </c>
      <c r="AJ197" s="129" t="s">
        <v>1643</v>
      </c>
      <c r="AK197" s="129">
        <v>317</v>
      </c>
    </row>
    <row r="198" spans="33:37" ht="23.25" customHeight="1" x14ac:dyDescent="0.25">
      <c r="AG198" s="173">
        <v>46099</v>
      </c>
      <c r="AH198" s="127" t="s">
        <v>1568</v>
      </c>
      <c r="AI198" s="128" t="s">
        <v>641</v>
      </c>
      <c r="AJ198" s="129" t="s">
        <v>1648</v>
      </c>
      <c r="AK198" s="129">
        <v>128</v>
      </c>
    </row>
    <row r="199" spans="33:37" ht="23.25" customHeight="1" x14ac:dyDescent="0.25">
      <c r="AG199" s="173">
        <v>46099</v>
      </c>
      <c r="AH199" s="117" t="s">
        <v>1540</v>
      </c>
      <c r="AI199" s="128" t="s">
        <v>641</v>
      </c>
      <c r="AJ199" s="122" t="s">
        <v>1648</v>
      </c>
      <c r="AK199" s="122">
        <v>228</v>
      </c>
    </row>
    <row r="200" spans="33:37" ht="23.25" customHeight="1" x14ac:dyDescent="0.25">
      <c r="AG200" s="173">
        <v>46101</v>
      </c>
      <c r="AH200" s="127" t="s">
        <v>1589</v>
      </c>
      <c r="AI200" s="128" t="s">
        <v>641</v>
      </c>
      <c r="AJ200" s="129" t="s">
        <v>1659</v>
      </c>
      <c r="AK200" s="129">
        <v>860</v>
      </c>
    </row>
    <row r="201" spans="33:37" ht="23.25" customHeight="1" x14ac:dyDescent="0.25">
      <c r="AG201" s="173">
        <v>46101</v>
      </c>
      <c r="AH201" s="117" t="s">
        <v>1540</v>
      </c>
      <c r="AI201" s="128" t="s">
        <v>641</v>
      </c>
      <c r="AJ201" s="129" t="s">
        <v>1659</v>
      </c>
      <c r="AK201" s="129">
        <v>23</v>
      </c>
    </row>
    <row r="202" spans="33:37" ht="23.25" customHeight="1" x14ac:dyDescent="0.25">
      <c r="AG202" s="173">
        <v>46104</v>
      </c>
      <c r="AH202" s="127" t="s">
        <v>1589</v>
      </c>
      <c r="AI202" s="128" t="s">
        <v>641</v>
      </c>
      <c r="AJ202" s="129" t="s">
        <v>1661</v>
      </c>
      <c r="AK202" s="129">
        <v>419</v>
      </c>
    </row>
    <row r="203" spans="33:37" ht="23.25" customHeight="1" x14ac:dyDescent="0.25">
      <c r="AG203" s="173">
        <v>46108</v>
      </c>
      <c r="AH203" s="127" t="s">
        <v>1568</v>
      </c>
      <c r="AI203" s="128" t="s">
        <v>641</v>
      </c>
      <c r="AJ203" s="129" t="s">
        <v>1687</v>
      </c>
      <c r="AK203" s="129">
        <v>24</v>
      </c>
    </row>
    <row r="204" spans="33:37" ht="23.25" customHeight="1" x14ac:dyDescent="0.25">
      <c r="AG204" s="173">
        <v>46108</v>
      </c>
      <c r="AH204" s="127" t="s">
        <v>1589</v>
      </c>
      <c r="AI204" s="128" t="s">
        <v>641</v>
      </c>
      <c r="AJ204" s="129" t="s">
        <v>1687</v>
      </c>
      <c r="AK204" s="129">
        <v>185</v>
      </c>
    </row>
    <row r="205" spans="33:37" ht="23.25" customHeight="1" x14ac:dyDescent="0.25">
      <c r="AG205" s="173">
        <v>46108</v>
      </c>
      <c r="AH205" s="127" t="s">
        <v>1653</v>
      </c>
      <c r="AI205" s="128" t="s">
        <v>641</v>
      </c>
      <c r="AJ205" s="129" t="s">
        <v>1687</v>
      </c>
      <c r="AK205" s="129">
        <v>129</v>
      </c>
    </row>
    <row r="206" spans="33:37" ht="23.25" customHeight="1" x14ac:dyDescent="0.25">
      <c r="AG206" s="173">
        <v>46111</v>
      </c>
      <c r="AH206" s="127" t="s">
        <v>1653</v>
      </c>
      <c r="AI206" s="128" t="s">
        <v>641</v>
      </c>
      <c r="AJ206" s="129" t="s">
        <v>1695</v>
      </c>
      <c r="AK206" s="129">
        <v>267</v>
      </c>
    </row>
    <row r="207" spans="33:37" ht="23.25" customHeight="1" x14ac:dyDescent="0.25">
      <c r="AG207" s="173">
        <v>46112</v>
      </c>
      <c r="AH207" s="127" t="s">
        <v>1653</v>
      </c>
      <c r="AI207" s="128" t="s">
        <v>641</v>
      </c>
      <c r="AJ207" s="129" t="s">
        <v>1706</v>
      </c>
      <c r="AK207" s="129">
        <v>331</v>
      </c>
    </row>
    <row r="208" spans="33:37" ht="23.25" customHeight="1" x14ac:dyDescent="0.25">
      <c r="AG208" s="173">
        <v>46113</v>
      </c>
      <c r="AH208" s="127" t="s">
        <v>1568</v>
      </c>
      <c r="AI208" s="128" t="s">
        <v>641</v>
      </c>
      <c r="AJ208" s="129" t="s">
        <v>1717</v>
      </c>
      <c r="AK208" s="129">
        <v>15</v>
      </c>
    </row>
    <row r="209" spans="33:37" ht="23.25" customHeight="1" x14ac:dyDescent="0.25">
      <c r="AG209" s="173">
        <v>46113</v>
      </c>
      <c r="AH209" s="127" t="s">
        <v>1589</v>
      </c>
      <c r="AI209" s="128" t="s">
        <v>641</v>
      </c>
      <c r="AJ209" s="129" t="s">
        <v>1717</v>
      </c>
      <c r="AK209" s="129">
        <v>17</v>
      </c>
    </row>
    <row r="210" spans="33:37" ht="23.25" customHeight="1" x14ac:dyDescent="0.25">
      <c r="AG210" s="173">
        <v>46113</v>
      </c>
      <c r="AH210" s="127" t="s">
        <v>1653</v>
      </c>
      <c r="AI210" s="128" t="s">
        <v>641</v>
      </c>
      <c r="AJ210" s="129" t="s">
        <v>1717</v>
      </c>
      <c r="AK210" s="129">
        <v>470</v>
      </c>
    </row>
    <row r="211" spans="33:37" ht="23.25" customHeight="1" x14ac:dyDescent="0.25">
      <c r="AG211" s="173">
        <v>46114</v>
      </c>
      <c r="AH211" s="127" t="s">
        <v>1653</v>
      </c>
      <c r="AI211" s="128" t="s">
        <v>641</v>
      </c>
      <c r="AJ211" s="129" t="s">
        <v>1723</v>
      </c>
      <c r="AK211" s="129">
        <v>145</v>
      </c>
    </row>
    <row r="212" spans="33:37" ht="23.25" customHeight="1" x14ac:dyDescent="0.25">
      <c r="AG212" s="173">
        <v>46119</v>
      </c>
      <c r="AH212" s="127" t="s">
        <v>1589</v>
      </c>
      <c r="AI212" s="128" t="s">
        <v>641</v>
      </c>
      <c r="AJ212" s="129" t="s">
        <v>1730</v>
      </c>
      <c r="AK212" s="129">
        <v>120</v>
      </c>
    </row>
    <row r="213" spans="33:37" ht="23.25" customHeight="1" x14ac:dyDescent="0.25">
      <c r="AG213" s="173">
        <v>46119</v>
      </c>
      <c r="AH213" s="149" t="s">
        <v>1653</v>
      </c>
      <c r="AI213" s="128" t="s">
        <v>641</v>
      </c>
      <c r="AJ213" s="129" t="s">
        <v>1730</v>
      </c>
      <c r="AK213" s="129">
        <v>25</v>
      </c>
    </row>
    <row r="214" spans="33:37" ht="23.25" customHeight="1" x14ac:dyDescent="0.25">
      <c r="AG214" s="173">
        <v>46119</v>
      </c>
      <c r="AH214" s="127" t="s">
        <v>1653</v>
      </c>
      <c r="AI214" s="128" t="s">
        <v>641</v>
      </c>
      <c r="AJ214" s="129" t="s">
        <v>1763</v>
      </c>
      <c r="AK214" s="129">
        <v>159</v>
      </c>
    </row>
    <row r="215" spans="33:37" ht="23.25" customHeight="1" x14ac:dyDescent="0.25">
      <c r="AG215" s="173">
        <v>46120</v>
      </c>
      <c r="AH215" s="127" t="s">
        <v>1653</v>
      </c>
      <c r="AI215" s="128" t="s">
        <v>1768</v>
      </c>
      <c r="AJ215" s="129" t="s">
        <v>1769</v>
      </c>
      <c r="AK215" s="129">
        <v>128</v>
      </c>
    </row>
    <row r="216" spans="33:37" ht="23.25" customHeight="1" x14ac:dyDescent="0.25">
      <c r="AG216" s="173">
        <v>46121</v>
      </c>
      <c r="AH216" s="127" t="s">
        <v>1381</v>
      </c>
      <c r="AI216" s="128" t="s">
        <v>641</v>
      </c>
      <c r="AJ216" s="129" t="s">
        <v>1785</v>
      </c>
      <c r="AK216" s="129">
        <v>1</v>
      </c>
    </row>
    <row r="217" spans="33:37" ht="23.25" customHeight="1" x14ac:dyDescent="0.25">
      <c r="AG217" s="173">
        <v>46121</v>
      </c>
      <c r="AH217" s="117" t="s">
        <v>1472</v>
      </c>
      <c r="AI217" s="128" t="s">
        <v>641</v>
      </c>
      <c r="AJ217" s="129" t="s">
        <v>1785</v>
      </c>
      <c r="AK217" s="129">
        <v>2</v>
      </c>
    </row>
    <row r="218" spans="33:37" ht="23.25" customHeight="1" x14ac:dyDescent="0.25">
      <c r="AG218" s="173">
        <v>46121</v>
      </c>
      <c r="AH218" s="117" t="s">
        <v>1653</v>
      </c>
      <c r="AI218" s="128" t="s">
        <v>641</v>
      </c>
      <c r="AJ218" s="129" t="s">
        <v>1785</v>
      </c>
      <c r="AK218" s="129">
        <v>627</v>
      </c>
    </row>
    <row r="219" spans="33:37" ht="23.25" customHeight="1" x14ac:dyDescent="0.25">
      <c r="AG219" s="173">
        <v>46122</v>
      </c>
      <c r="AH219" s="127" t="s">
        <v>1653</v>
      </c>
      <c r="AI219" s="128" t="s">
        <v>641</v>
      </c>
      <c r="AJ219" s="129" t="s">
        <v>1793</v>
      </c>
      <c r="AK219" s="129">
        <v>504</v>
      </c>
    </row>
    <row r="220" spans="33:37" ht="23.25" customHeight="1" x14ac:dyDescent="0.25">
      <c r="AG220" s="173">
        <v>46126</v>
      </c>
      <c r="AH220" s="127" t="s">
        <v>1653</v>
      </c>
      <c r="AI220" s="128" t="s">
        <v>641</v>
      </c>
      <c r="AJ220" s="129" t="s">
        <v>1800</v>
      </c>
      <c r="AK220" s="129">
        <v>421</v>
      </c>
    </row>
    <row r="221" spans="33:37" ht="23.25" customHeight="1" x14ac:dyDescent="0.25">
      <c r="AG221" s="173">
        <v>46126</v>
      </c>
      <c r="AH221" s="117" t="s">
        <v>1767</v>
      </c>
      <c r="AI221" s="128" t="s">
        <v>641</v>
      </c>
      <c r="AJ221" s="129" t="s">
        <v>1800</v>
      </c>
      <c r="AK221" s="129">
        <v>203</v>
      </c>
    </row>
    <row r="222" spans="33:37" ht="23.25" customHeight="1" x14ac:dyDescent="0.25">
      <c r="AG222" s="173">
        <v>46127</v>
      </c>
      <c r="AH222" s="127" t="s">
        <v>1653</v>
      </c>
      <c r="AI222" s="128" t="s">
        <v>641</v>
      </c>
      <c r="AJ222" s="129" t="s">
        <v>1813</v>
      </c>
      <c r="AK222" s="129">
        <v>31</v>
      </c>
    </row>
    <row r="223" spans="33:37" ht="23.25" customHeight="1" x14ac:dyDescent="0.25">
      <c r="AG223" s="173">
        <v>46127</v>
      </c>
      <c r="AH223" s="127" t="s">
        <v>1767</v>
      </c>
      <c r="AI223" s="128" t="s">
        <v>641</v>
      </c>
      <c r="AJ223" s="129" t="s">
        <v>1813</v>
      </c>
      <c r="AK223" s="129">
        <v>273</v>
      </c>
    </row>
    <row r="224" spans="33:37" ht="23.25" customHeight="1" x14ac:dyDescent="0.25">
      <c r="AG224" s="173">
        <v>46127</v>
      </c>
      <c r="AH224" s="127" t="s">
        <v>1782</v>
      </c>
      <c r="AI224" s="128" t="s">
        <v>641</v>
      </c>
      <c r="AJ224" s="129" t="s">
        <v>1813</v>
      </c>
      <c r="AK224" s="129">
        <v>217</v>
      </c>
    </row>
    <row r="225" spans="33:37" ht="23.25" customHeight="1" x14ac:dyDescent="0.25">
      <c r="AG225" s="173">
        <v>46128</v>
      </c>
      <c r="AH225" s="127" t="s">
        <v>1782</v>
      </c>
      <c r="AI225" s="128" t="s">
        <v>641</v>
      </c>
      <c r="AJ225" s="129" t="s">
        <v>1820</v>
      </c>
      <c r="AK225" s="129">
        <v>504</v>
      </c>
    </row>
    <row r="226" spans="33:37" ht="23.25" customHeight="1" x14ac:dyDescent="0.25">
      <c r="AG226" s="173">
        <v>46129</v>
      </c>
      <c r="AH226" s="127" t="s">
        <v>1782</v>
      </c>
      <c r="AI226" s="128" t="s">
        <v>641</v>
      </c>
      <c r="AJ226" s="129" t="s">
        <v>1831</v>
      </c>
      <c r="AK226" s="129">
        <v>27</v>
      </c>
    </row>
    <row r="227" spans="33:37" ht="23.25" customHeight="1" x14ac:dyDescent="0.25">
      <c r="AG227" s="173">
        <v>46129</v>
      </c>
      <c r="AH227" s="117" t="s">
        <v>1803</v>
      </c>
      <c r="AI227" s="128" t="s">
        <v>641</v>
      </c>
      <c r="AJ227" s="129" t="s">
        <v>1831</v>
      </c>
      <c r="AK227" s="129">
        <v>680</v>
      </c>
    </row>
    <row r="228" spans="33:37" ht="23.25" customHeight="1" x14ac:dyDescent="0.25">
      <c r="AG228" s="173">
        <v>46132</v>
      </c>
      <c r="AH228" s="127" t="s">
        <v>1653</v>
      </c>
      <c r="AI228" s="128" t="s">
        <v>641</v>
      </c>
      <c r="AJ228" s="129" t="s">
        <v>1843</v>
      </c>
      <c r="AK228" s="129">
        <v>24</v>
      </c>
    </row>
    <row r="229" spans="33:37" ht="23.25" customHeight="1" x14ac:dyDescent="0.25">
      <c r="AG229" s="173">
        <v>46132</v>
      </c>
      <c r="AH229" s="127" t="s">
        <v>1782</v>
      </c>
      <c r="AI229" s="128" t="s">
        <v>641</v>
      </c>
      <c r="AJ229" s="129" t="s">
        <v>1843</v>
      </c>
      <c r="AK229" s="129">
        <v>34</v>
      </c>
    </row>
    <row r="230" spans="33:37" ht="23.25" customHeight="1" x14ac:dyDescent="0.25">
      <c r="AG230" s="173">
        <v>46132</v>
      </c>
      <c r="AH230" s="127" t="s">
        <v>1803</v>
      </c>
      <c r="AI230" s="128" t="s">
        <v>641</v>
      </c>
      <c r="AJ230" s="129" t="s">
        <v>1843</v>
      </c>
      <c r="AK230" s="129">
        <v>348</v>
      </c>
    </row>
    <row r="231" spans="33:37" ht="23.25" customHeight="1" x14ac:dyDescent="0.25">
      <c r="AG231" s="173">
        <v>46132</v>
      </c>
      <c r="AH231" s="127" t="s">
        <v>1803</v>
      </c>
      <c r="AI231" s="128" t="s">
        <v>1755</v>
      </c>
      <c r="AJ231" s="129" t="s">
        <v>1844</v>
      </c>
      <c r="AK231" s="129">
        <v>600</v>
      </c>
    </row>
    <row r="232" spans="33:37" ht="23.25" customHeight="1" x14ac:dyDescent="0.25">
      <c r="AG232" s="173">
        <v>46133</v>
      </c>
      <c r="AH232" s="127" t="s">
        <v>1589</v>
      </c>
      <c r="AI232" s="128" t="s">
        <v>1755</v>
      </c>
      <c r="AJ232" s="129" t="s">
        <v>1869</v>
      </c>
      <c r="AK232" s="129">
        <v>1</v>
      </c>
    </row>
    <row r="233" spans="33:37" ht="23.25" customHeight="1" x14ac:dyDescent="0.25">
      <c r="AG233" s="173">
        <v>46133</v>
      </c>
      <c r="AH233" s="117" t="s">
        <v>1803</v>
      </c>
      <c r="AI233" s="128" t="s">
        <v>1755</v>
      </c>
      <c r="AJ233" s="129" t="s">
        <v>1869</v>
      </c>
      <c r="AK233" s="129">
        <v>449</v>
      </c>
    </row>
    <row r="234" spans="33:37" ht="23.25" customHeight="1" x14ac:dyDescent="0.25">
      <c r="AG234" s="172">
        <v>46133</v>
      </c>
      <c r="AH234" s="117" t="s">
        <v>1803</v>
      </c>
      <c r="AI234" s="159" t="s">
        <v>641</v>
      </c>
      <c r="AJ234" s="122" t="s">
        <v>1870</v>
      </c>
      <c r="AK234" s="122">
        <v>314</v>
      </c>
    </row>
    <row r="235" spans="33:37" ht="23.25" customHeight="1" x14ac:dyDescent="0.25">
      <c r="AG235" s="173">
        <v>46134</v>
      </c>
      <c r="AH235" s="117" t="s">
        <v>1794</v>
      </c>
      <c r="AI235" s="128" t="s">
        <v>1754</v>
      </c>
      <c r="AJ235" s="129" t="s">
        <v>1875</v>
      </c>
      <c r="AK235" s="129">
        <v>230</v>
      </c>
    </row>
    <row r="236" spans="33:37" ht="23.25" customHeight="1" x14ac:dyDescent="0.25">
      <c r="AG236" s="173">
        <v>46134</v>
      </c>
      <c r="AH236" s="117" t="s">
        <v>1794</v>
      </c>
      <c r="AI236" s="128" t="s">
        <v>641</v>
      </c>
      <c r="AJ236" s="129" t="s">
        <v>1876</v>
      </c>
      <c r="AK236" s="129">
        <v>557</v>
      </c>
    </row>
    <row r="237" spans="33:37" ht="23.25" customHeight="1" x14ac:dyDescent="0.25">
      <c r="AG237" s="173">
        <v>46134</v>
      </c>
      <c r="AH237" s="117" t="s">
        <v>1850</v>
      </c>
      <c r="AI237" s="128" t="s">
        <v>641</v>
      </c>
      <c r="AJ237" s="129" t="s">
        <v>1876</v>
      </c>
      <c r="AK237" s="129">
        <v>32</v>
      </c>
    </row>
    <row r="238" spans="33:37" ht="23.25" customHeight="1" x14ac:dyDescent="0.25">
      <c r="AG238" s="173">
        <v>46135</v>
      </c>
      <c r="AH238" s="127" t="s">
        <v>1850</v>
      </c>
      <c r="AI238" s="128" t="s">
        <v>1755</v>
      </c>
      <c r="AJ238" s="129" t="s">
        <v>1894</v>
      </c>
      <c r="AK238" s="129">
        <v>130</v>
      </c>
    </row>
    <row r="239" spans="33:37" ht="23.25" customHeight="1" x14ac:dyDescent="0.25">
      <c r="AG239" s="173">
        <v>46136</v>
      </c>
      <c r="AH239" s="127" t="s">
        <v>1850</v>
      </c>
      <c r="AI239" s="128" t="s">
        <v>1755</v>
      </c>
      <c r="AJ239" s="129" t="s">
        <v>1911</v>
      </c>
      <c r="AK239" s="129">
        <v>472</v>
      </c>
    </row>
    <row r="240" spans="33:37" ht="23.25" customHeight="1" x14ac:dyDescent="0.25">
      <c r="AG240" s="172">
        <v>46139</v>
      </c>
      <c r="AH240" s="115" t="s">
        <v>1803</v>
      </c>
      <c r="AI240" s="159" t="s">
        <v>1917</v>
      </c>
      <c r="AJ240" s="122" t="s">
        <v>1916</v>
      </c>
      <c r="AK240" s="122">
        <v>1</v>
      </c>
    </row>
    <row r="241" spans="33:37" ht="23.25" customHeight="1" x14ac:dyDescent="0.25">
      <c r="AG241" s="173">
        <v>46139</v>
      </c>
      <c r="AH241" s="127" t="s">
        <v>1850</v>
      </c>
      <c r="AI241" s="128" t="s">
        <v>1917</v>
      </c>
      <c r="AJ241" s="122" t="s">
        <v>1916</v>
      </c>
      <c r="AK241" s="129">
        <v>508</v>
      </c>
    </row>
    <row r="242" spans="33:37" ht="23.25" customHeight="1" x14ac:dyDescent="0.25">
      <c r="AG242" s="173">
        <v>46140</v>
      </c>
      <c r="AH242" s="127" t="s">
        <v>1850</v>
      </c>
      <c r="AI242" s="128" t="s">
        <v>1754</v>
      </c>
      <c r="AJ242" s="129" t="s">
        <v>1937</v>
      </c>
      <c r="AK242" s="129">
        <v>109</v>
      </c>
    </row>
    <row r="243" spans="33:37" ht="23.25" customHeight="1" x14ac:dyDescent="0.25">
      <c r="AG243" s="173">
        <v>46140</v>
      </c>
      <c r="AH243" s="127" t="s">
        <v>1850</v>
      </c>
      <c r="AI243" s="128" t="s">
        <v>1756</v>
      </c>
      <c r="AJ243" s="129" t="s">
        <v>1938</v>
      </c>
      <c r="AK243" s="129">
        <v>209</v>
      </c>
    </row>
    <row r="244" spans="33:37" ht="23.25" customHeight="1" x14ac:dyDescent="0.25">
      <c r="AG244" s="173">
        <v>46141</v>
      </c>
      <c r="AH244" s="127" t="s">
        <v>1906</v>
      </c>
      <c r="AI244" s="128" t="s">
        <v>1755</v>
      </c>
      <c r="AJ244" s="129" t="s">
        <v>1942</v>
      </c>
      <c r="AK244" s="129">
        <v>129</v>
      </c>
    </row>
    <row r="245" spans="33:37" ht="23.25" customHeight="1" x14ac:dyDescent="0.25">
      <c r="AG245" s="173">
        <v>46141</v>
      </c>
      <c r="AH245" s="127" t="s">
        <v>1906</v>
      </c>
      <c r="AI245" s="128" t="s">
        <v>641</v>
      </c>
      <c r="AJ245" s="129" t="s">
        <v>1943</v>
      </c>
      <c r="AK245" s="129">
        <v>336</v>
      </c>
    </row>
    <row r="246" spans="33:37" ht="23.25" customHeight="1" x14ac:dyDescent="0.25">
      <c r="AG246" s="173">
        <v>46142</v>
      </c>
      <c r="AH246" s="127" t="s">
        <v>1906</v>
      </c>
      <c r="AI246" s="128" t="s">
        <v>641</v>
      </c>
      <c r="AJ246" s="129" t="s">
        <v>1953</v>
      </c>
      <c r="AK246" s="129">
        <v>596</v>
      </c>
    </row>
    <row r="247" spans="33:37" ht="23.25" customHeight="1" x14ac:dyDescent="0.25">
      <c r="AG247" s="173">
        <v>46146</v>
      </c>
      <c r="AH247" s="127" t="s">
        <v>1906</v>
      </c>
      <c r="AI247" s="128" t="s">
        <v>641</v>
      </c>
      <c r="AJ247" s="129" t="s">
        <v>1963</v>
      </c>
      <c r="AK247" s="129">
        <v>545</v>
      </c>
    </row>
    <row r="248" spans="33:37" ht="23.25" customHeight="1" x14ac:dyDescent="0.25">
      <c r="AG248" s="173">
        <v>46158</v>
      </c>
      <c r="AH248" s="127" t="s">
        <v>2030</v>
      </c>
      <c r="AI248" s="128" t="s">
        <v>641</v>
      </c>
      <c r="AJ248" s="129" t="s">
        <v>2031</v>
      </c>
      <c r="AK248" s="129">
        <v>168</v>
      </c>
    </row>
    <row r="249" spans="33:37" ht="23.25" customHeight="1" x14ac:dyDescent="0.25">
      <c r="AG249" s="173">
        <v>46160</v>
      </c>
      <c r="AH249" s="127" t="s">
        <v>1949</v>
      </c>
      <c r="AI249" s="128" t="s">
        <v>2036</v>
      </c>
      <c r="AJ249" s="129" t="s">
        <v>2037</v>
      </c>
      <c r="AK249" s="129">
        <v>138</v>
      </c>
    </row>
    <row r="250" spans="33:37" ht="23.25" customHeight="1" x14ac:dyDescent="0.25">
      <c r="AG250" s="173">
        <v>46160</v>
      </c>
      <c r="AH250" s="127" t="s">
        <v>1949</v>
      </c>
      <c r="AI250" s="128" t="s">
        <v>2038</v>
      </c>
      <c r="AJ250" s="129" t="s">
        <v>2039</v>
      </c>
      <c r="AK250" s="129">
        <v>336</v>
      </c>
    </row>
  </sheetData>
  <protectedRanges>
    <protectedRange sqref="AG1:AK5 AG6:AG14 AI6:AK14 AG15:AK26 AH27:AK27 AG28:AK29 AG30:AG33 AI30:AK33 AG34:AK64 AG65:AG68 AI65:AK68 AG69:AK73 AG74:AG76 AI74:AK76 AG88:AK88 AG85:AG87 AI85:AK87 AG77:AK84 AG89 AI89:AK89 AG90:AK120 AG121:AG122 AI121:AK122 AG123:AK125 AG126:AG127 AI126:AK127 AG128:AK140 AG141:AG142 AI141:AK142 AG143:AK143 AG145:AK147 AG144 AI144:AK144 AG148:AG150 AI148:AK150 AG151:AK173 AG174:AG175 AI174:AK175 AG176:AK176 AG177:AG178 AI177:AK178 AG179:AK179 AG180:AG184 AI180:AK184 AG185:AK186 AG215:AK215 AG187:AG214 AI187:AK214 AG216:AG218 AI216:AK218 AG219:AK219 AG220:AG247 AI220:AK247 AG248:AK1048576" name="範圍1"/>
    <protectedRange sqref="AH6:AH14" name="範圍1_1"/>
  </protectedRanges>
  <mergeCells count="24">
    <mergeCell ref="AC2:AC3"/>
    <mergeCell ref="AD2:AD4"/>
    <mergeCell ref="AG2:AK2"/>
    <mergeCell ref="A2:A4"/>
    <mergeCell ref="B2:B4"/>
    <mergeCell ref="D2:D3"/>
    <mergeCell ref="E2:F3"/>
    <mergeCell ref="G2:I2"/>
    <mergeCell ref="AL2:AL4"/>
    <mergeCell ref="G3:I3"/>
    <mergeCell ref="J3:L3"/>
    <mergeCell ref="M3:O3"/>
    <mergeCell ref="P3:R3"/>
    <mergeCell ref="S3:U3"/>
    <mergeCell ref="M2:O2"/>
    <mergeCell ref="P2:R2"/>
    <mergeCell ref="S2:U2"/>
    <mergeCell ref="V2:X2"/>
    <mergeCell ref="Y2:Y3"/>
    <mergeCell ref="Z2:Z3"/>
    <mergeCell ref="V3:X3"/>
    <mergeCell ref="J2:L2"/>
    <mergeCell ref="AG3:AK4"/>
    <mergeCell ref="AA2:AA3"/>
  </mergeCells>
  <phoneticPr fontId="3" type="noConversion"/>
  <conditionalFormatting sqref="E6:H54 Y6:AB54 J6:K54 P6:Q54 M6:N54 V6:W54 S6:T54">
    <cfRule type="cellIs" dxfId="598" priority="27" operator="lessThan">
      <formula>0</formula>
    </cfRule>
    <cfRule type="cellIs" dxfId="597" priority="28" operator="greaterThan">
      <formula>0</formula>
    </cfRule>
  </conditionalFormatting>
  <conditionalFormatting sqref="R6:R54 I6:I54 AC6:AC54 L6:L54 O6:O54 X6:X54 U6:U54">
    <cfRule type="cellIs" dxfId="596" priority="26" operator="greaterThan">
      <formula>0</formula>
    </cfRule>
  </conditionalFormatting>
  <conditionalFormatting sqref="AL5">
    <cfRule type="cellIs" dxfId="595" priority="25" operator="greaterThan">
      <formula>0</formula>
    </cfRule>
  </conditionalFormatting>
  <conditionalFormatting sqref="AD6:AD54">
    <cfRule type="containsBlanks" dxfId="594" priority="22">
      <formula>LEN(TRIM(AD6))=0</formula>
    </cfRule>
    <cfRule type="cellIs" dxfId="593" priority="23" operator="greaterThanOrEqual">
      <formula>0.97</formula>
    </cfRule>
    <cfRule type="notContainsBlanks" dxfId="592" priority="24">
      <formula>LEN(TRIM(AD6))&gt;0</formula>
    </cfRule>
  </conditionalFormatting>
  <conditionalFormatting sqref="AD6:AD54">
    <cfRule type="cellIs" dxfId="591" priority="21" operator="lessThan">
      <formula>0.97</formula>
    </cfRule>
  </conditionalFormatting>
  <dataValidations count="2">
    <dataValidation type="list" allowBlank="1" showInputMessage="1" showErrorMessage="1" sqref="AH6:AH119" xr:uid="{2796B111-554F-4868-B201-C6CBA02F3CB8}">
      <formula1>_4XX可分料</formula1>
    </dataValidation>
    <dataValidation type="list" allowBlank="1" showInputMessage="1" showErrorMessage="1" sqref="AI6:AI250" xr:uid="{17A550C5-8DF3-42C3-8134-AB14C07BCE3E}">
      <formula1>$AM$3:$AP$3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E8CC0-3004-481D-AB33-81CFEF7DCDF0}">
  <sheetPr codeName="工作表23">
    <tabColor theme="4"/>
  </sheetPr>
  <dimension ref="A1:AQ150"/>
  <sheetViews>
    <sheetView zoomScale="64" zoomScaleNormal="64" workbookViewId="0">
      <pane xSplit="4" ySplit="5" topLeftCell="U135" activePane="bottomRight" state="frozen"/>
      <selection activeCell="X31" sqref="X31"/>
      <selection pane="topRight" activeCell="X31" sqref="X31"/>
      <selection pane="bottomLeft" activeCell="X31" sqref="X31"/>
      <selection pane="bottomRight" activeCell="AG150" sqref="AG150"/>
    </sheetView>
  </sheetViews>
  <sheetFormatPr defaultColWidth="10.28515625" defaultRowHeight="23.25" customHeight="1" x14ac:dyDescent="0.25"/>
  <cols>
    <col min="1" max="1" width="21.140625" style="3" bestFit="1" customWidth="1"/>
    <col min="2" max="2" width="29.140625" style="2" bestFit="1" customWidth="1"/>
    <col min="3" max="3" width="17.5703125" style="2" hidden="1" customWidth="1"/>
    <col min="4" max="4" width="17.7109375" style="2" bestFit="1" customWidth="1"/>
    <col min="5" max="5" width="30.28515625" style="2" bestFit="1" customWidth="1"/>
    <col min="6" max="6" width="29.42578125" style="2" hidden="1" customWidth="1"/>
    <col min="7" max="7" width="22" style="2" bestFit="1" customWidth="1"/>
    <col min="8" max="8" width="19.85546875" style="4" hidden="1" customWidth="1"/>
    <col min="9" max="9" width="18.28515625" style="2" bestFit="1" customWidth="1"/>
    <col min="10" max="10" width="22" style="2" bestFit="1" customWidth="1"/>
    <col min="11" max="11" width="19.85546875" style="2" hidden="1" customWidth="1"/>
    <col min="12" max="12" width="18.28515625" style="2" bestFit="1" customWidth="1"/>
    <col min="13" max="13" width="22" style="2" bestFit="1" customWidth="1"/>
    <col min="14" max="14" width="19.85546875" style="2" hidden="1" customWidth="1"/>
    <col min="15" max="15" width="18.28515625" style="2" bestFit="1" customWidth="1"/>
    <col min="16" max="16" width="22" style="2" bestFit="1" customWidth="1"/>
    <col min="17" max="17" width="19.85546875" style="2" hidden="1" customWidth="1"/>
    <col min="18" max="18" width="18.28515625" style="2" bestFit="1" customWidth="1"/>
    <col min="19" max="19" width="22" style="2" bestFit="1" customWidth="1"/>
    <col min="20" max="20" width="19.28515625" style="2" hidden="1" customWidth="1"/>
    <col min="21" max="21" width="17.28515625" style="2" bestFit="1" customWidth="1"/>
    <col min="22" max="22" width="24.42578125" style="2" bestFit="1" customWidth="1"/>
    <col min="23" max="23" width="16.140625" style="2" hidden="1" customWidth="1"/>
    <col min="24" max="24" width="14" style="2" bestFit="1" customWidth="1"/>
    <col min="25" max="25" width="20.85546875" style="2" bestFit="1" customWidth="1"/>
    <col min="26" max="26" width="26.28515625" style="2" hidden="1" customWidth="1"/>
    <col min="27" max="27" width="24" style="2" bestFit="1" customWidth="1"/>
    <col min="28" max="28" width="10.42578125" style="2" bestFit="1" customWidth="1"/>
    <col min="29" max="29" width="21.140625" style="2" bestFit="1" customWidth="1"/>
    <col min="30" max="30" width="17.7109375" style="2" bestFit="1" customWidth="1"/>
    <col min="31" max="31" width="23.5703125" style="2" hidden="1" customWidth="1"/>
    <col min="32" max="32" width="2.28515625" style="2" customWidth="1"/>
    <col min="33" max="33" width="12" style="3" bestFit="1" customWidth="1"/>
    <col min="34" max="34" width="23.5703125" style="3" bestFit="1" customWidth="1"/>
    <col min="35" max="35" width="17.85546875" style="5" bestFit="1" customWidth="1"/>
    <col min="36" max="36" width="21.5703125" style="5" bestFit="1" customWidth="1"/>
    <col min="37" max="37" width="15.42578125" style="2" bestFit="1" customWidth="1"/>
    <col min="38" max="38" width="13.140625" style="2" bestFit="1" customWidth="1"/>
    <col min="39" max="41" width="13.140625" style="2" customWidth="1"/>
    <col min="42" max="42" width="17.28515625" style="2" customWidth="1"/>
    <col min="43" max="43" width="29" style="2" bestFit="1" customWidth="1"/>
    <col min="44" max="16384" width="10.28515625" style="2"/>
  </cols>
  <sheetData>
    <row r="1" spans="1:43" ht="60" hidden="1" customHeight="1" thickBot="1" x14ac:dyDescent="0.3">
      <c r="F1" s="2" t="s">
        <v>446</v>
      </c>
      <c r="H1" s="2" t="s">
        <v>447</v>
      </c>
      <c r="I1" s="2" t="s">
        <v>447</v>
      </c>
      <c r="K1" s="2" t="s">
        <v>448</v>
      </c>
      <c r="L1" s="2" t="s">
        <v>448</v>
      </c>
      <c r="N1" s="2" t="s">
        <v>449</v>
      </c>
      <c r="O1" s="2" t="s">
        <v>449</v>
      </c>
      <c r="Q1" s="2" t="s">
        <v>450</v>
      </c>
      <c r="R1" s="2" t="s">
        <v>450</v>
      </c>
      <c r="T1" s="2" t="s">
        <v>451</v>
      </c>
      <c r="U1" s="2" t="s">
        <v>451</v>
      </c>
      <c r="W1" s="2" t="s">
        <v>452</v>
      </c>
      <c r="X1" s="2" t="s">
        <v>452</v>
      </c>
      <c r="Z1" s="2" t="s">
        <v>453</v>
      </c>
    </row>
    <row r="2" spans="1:43" s="18" customFormat="1" ht="23.25" customHeight="1" thickBot="1" x14ac:dyDescent="0.3">
      <c r="A2" s="280" t="str">
        <f ca="1">YEAR(TODAY())-1911&amp;"年度"</f>
        <v>115年度</v>
      </c>
      <c r="B2" s="283" t="s">
        <v>1515</v>
      </c>
      <c r="C2" s="15"/>
      <c r="D2" s="286" t="s">
        <v>9</v>
      </c>
      <c r="E2" s="288" t="s">
        <v>519</v>
      </c>
      <c r="F2" s="289"/>
      <c r="G2" s="257" t="s">
        <v>295</v>
      </c>
      <c r="H2" s="258"/>
      <c r="I2" s="259"/>
      <c r="J2" s="254" t="s">
        <v>295</v>
      </c>
      <c r="K2" s="255"/>
      <c r="L2" s="256"/>
      <c r="M2" s="254" t="s">
        <v>295</v>
      </c>
      <c r="N2" s="255"/>
      <c r="O2" s="256"/>
      <c r="P2" s="257" t="s">
        <v>296</v>
      </c>
      <c r="Q2" s="258"/>
      <c r="R2" s="259"/>
      <c r="S2" s="257" t="s">
        <v>295</v>
      </c>
      <c r="T2" s="258"/>
      <c r="U2" s="259"/>
      <c r="V2" s="260" t="s">
        <v>0</v>
      </c>
      <c r="W2" s="261"/>
      <c r="X2" s="262"/>
      <c r="Y2" s="263" t="s">
        <v>40</v>
      </c>
      <c r="Z2" s="263" t="s">
        <v>294</v>
      </c>
      <c r="AA2" s="263" t="s">
        <v>26</v>
      </c>
      <c r="AB2" s="181"/>
      <c r="AC2" s="272" t="s">
        <v>67</v>
      </c>
      <c r="AD2" s="274" t="s">
        <v>69</v>
      </c>
      <c r="AE2" s="16"/>
      <c r="AF2" s="17"/>
      <c r="AG2" s="277" t="s">
        <v>4</v>
      </c>
      <c r="AH2" s="278"/>
      <c r="AI2" s="278"/>
      <c r="AJ2" s="278"/>
      <c r="AK2" s="279"/>
      <c r="AL2" s="248" t="s">
        <v>42</v>
      </c>
      <c r="AM2" s="174">
        <f>'570'!U4+'570'!W4</f>
        <v>26</v>
      </c>
      <c r="AN2" s="174">
        <f>'600'!U4+'600'!W4</f>
        <v>34</v>
      </c>
      <c r="AO2" s="174">
        <f>'620'!U4+'620'!W4</f>
        <v>64</v>
      </c>
      <c r="AP2" s="174">
        <f>'650'!U4+'650'!W4</f>
        <v>389</v>
      </c>
      <c r="AQ2" s="56" t="s">
        <v>62</v>
      </c>
    </row>
    <row r="3" spans="1:43" s="17" customFormat="1" ht="24" customHeight="1" thickBot="1" x14ac:dyDescent="0.3">
      <c r="A3" s="281"/>
      <c r="B3" s="284"/>
      <c r="C3" s="19"/>
      <c r="D3" s="287"/>
      <c r="E3" s="290"/>
      <c r="F3" s="291"/>
      <c r="G3" s="251" t="s">
        <v>562</v>
      </c>
      <c r="H3" s="252"/>
      <c r="I3" s="253"/>
      <c r="J3" s="251" t="s">
        <v>563</v>
      </c>
      <c r="K3" s="252"/>
      <c r="L3" s="253"/>
      <c r="M3" s="251" t="s">
        <v>564</v>
      </c>
      <c r="N3" s="252"/>
      <c r="O3" s="253"/>
      <c r="P3" s="251" t="s">
        <v>658</v>
      </c>
      <c r="Q3" s="252"/>
      <c r="R3" s="253"/>
      <c r="S3" s="251" t="s">
        <v>565</v>
      </c>
      <c r="T3" s="252"/>
      <c r="U3" s="253"/>
      <c r="V3" s="266" t="s">
        <v>506</v>
      </c>
      <c r="W3" s="267"/>
      <c r="X3" s="268"/>
      <c r="Y3" s="264"/>
      <c r="Z3" s="265"/>
      <c r="AA3" s="264"/>
      <c r="AB3" s="182"/>
      <c r="AC3" s="273"/>
      <c r="AD3" s="275"/>
      <c r="AE3" s="20"/>
      <c r="AG3" s="269" t="s">
        <v>506</v>
      </c>
      <c r="AH3" s="270"/>
      <c r="AI3" s="270"/>
      <c r="AJ3" s="270"/>
      <c r="AK3" s="271"/>
      <c r="AL3" s="249"/>
      <c r="AM3" s="175" t="s">
        <v>1757</v>
      </c>
      <c r="AN3" s="175" t="s">
        <v>577</v>
      </c>
      <c r="AO3" s="175" t="s">
        <v>1758</v>
      </c>
      <c r="AP3" s="175" t="s">
        <v>1759</v>
      </c>
    </row>
    <row r="4" spans="1:43" s="69" customFormat="1" ht="28.5" thickBot="1" x14ac:dyDescent="0.3">
      <c r="A4" s="282"/>
      <c r="B4" s="285"/>
      <c r="C4" s="63"/>
      <c r="D4" s="71">
        <f>SUM(_018_6XX[入料數])</f>
        <v>30168</v>
      </c>
      <c r="E4" s="73">
        <f>SUM(_018_6XX['#03待發料數量])</f>
        <v>0</v>
      </c>
      <c r="F4" s="73">
        <f>SUM(_018_6XX['#03已發料數量])</f>
        <v>30168</v>
      </c>
      <c r="G4" s="74">
        <f>SUM(_018_6XX['#3未加工])</f>
        <v>0</v>
      </c>
      <c r="H4" s="74">
        <f>SUM(_018_6XX['#3 OK])</f>
        <v>30105</v>
      </c>
      <c r="I4" s="79">
        <f>SUM(_018_6XX['#3 NG])</f>
        <v>63</v>
      </c>
      <c r="J4" s="74">
        <f>SUM(_018_6XX['#4未加工])</f>
        <v>0</v>
      </c>
      <c r="K4" s="74">
        <f>SUM(_018_6XX['#4 OK])</f>
        <v>29755</v>
      </c>
      <c r="L4" s="79">
        <f>SUM(_018_6XX['#4 NG])</f>
        <v>350</v>
      </c>
      <c r="M4" s="74">
        <f>SUM(_018_6XX['#5未加工])</f>
        <v>0</v>
      </c>
      <c r="N4" s="74">
        <f>SUM(_018_6XX['#5 OK])</f>
        <v>29704</v>
      </c>
      <c r="O4" s="79">
        <f>SUM(_018_6XX['#5 NG])</f>
        <v>51</v>
      </c>
      <c r="P4" s="74">
        <f>SUM(_018_6XX['#6未加工])</f>
        <v>48</v>
      </c>
      <c r="Q4" s="74">
        <f>SUM(_018_6XX['#6 OK])</f>
        <v>29406</v>
      </c>
      <c r="R4" s="79">
        <f>SUM(_018_6XX['#6 NG])</f>
        <v>250</v>
      </c>
      <c r="S4" s="74">
        <f>SUM(_018_6XX['#7未加工])</f>
        <v>300</v>
      </c>
      <c r="T4" s="74">
        <f>SUM(_018_6XX['#7OK])</f>
        <v>28785</v>
      </c>
      <c r="U4" s="79">
        <f>SUM(_018_6XX['#7NG])</f>
        <v>321</v>
      </c>
      <c r="V4" s="26">
        <f>SUM(_018_6XX[品管待檢驗])</f>
        <v>62</v>
      </c>
      <c r="W4" s="26">
        <f>SUM(_018_6XX[OK])</f>
        <v>27291</v>
      </c>
      <c r="X4" s="80">
        <f>SUM(_018_6XX[NG])</f>
        <v>1432</v>
      </c>
      <c r="Y4" s="77">
        <f>SUM('6XX'!$Y$6:$Y$38)</f>
        <v>395</v>
      </c>
      <c r="Z4" s="72">
        <f>SUM(_018_6XX[入庫])</f>
        <v>26896</v>
      </c>
      <c r="AA4" s="188">
        <f>SUM('6XX'!$AA$6:$AA$38)</f>
        <v>0</v>
      </c>
      <c r="AB4" s="189"/>
      <c r="AC4" s="75">
        <f>SUM(_018_6XX[總不良數])</f>
        <v>2467</v>
      </c>
      <c r="AD4" s="276"/>
      <c r="AE4" s="68"/>
      <c r="AG4" s="269"/>
      <c r="AH4" s="270"/>
      <c r="AI4" s="270"/>
      <c r="AJ4" s="270"/>
      <c r="AK4" s="271"/>
      <c r="AL4" s="250"/>
      <c r="AM4" s="176" t="s">
        <v>10</v>
      </c>
      <c r="AN4" s="176" t="s">
        <v>10</v>
      </c>
      <c r="AO4" s="176" t="s">
        <v>10</v>
      </c>
      <c r="AP4" s="176" t="s">
        <v>10</v>
      </c>
      <c r="AQ4" s="155" t="s">
        <v>656</v>
      </c>
    </row>
    <row r="5" spans="1:43" s="21" customFormat="1" ht="21.75" thickBot="1" x14ac:dyDescent="0.3">
      <c r="A5" s="86" t="s">
        <v>16</v>
      </c>
      <c r="B5" s="87" t="s">
        <v>13</v>
      </c>
      <c r="C5" s="87" t="s">
        <v>14</v>
      </c>
      <c r="D5" s="87" t="s">
        <v>15</v>
      </c>
      <c r="E5" s="88" t="s">
        <v>540</v>
      </c>
      <c r="F5" s="88" t="s">
        <v>541</v>
      </c>
      <c r="G5" s="89" t="s">
        <v>537</v>
      </c>
      <c r="H5" s="89" t="s">
        <v>538</v>
      </c>
      <c r="I5" s="89" t="s">
        <v>539</v>
      </c>
      <c r="J5" s="89" t="s">
        <v>542</v>
      </c>
      <c r="K5" s="89" t="s">
        <v>552</v>
      </c>
      <c r="L5" s="89" t="s">
        <v>553</v>
      </c>
      <c r="M5" s="89" t="s">
        <v>551</v>
      </c>
      <c r="N5" s="89" t="s">
        <v>549</v>
      </c>
      <c r="O5" s="89" t="s">
        <v>550</v>
      </c>
      <c r="P5" s="89" t="s">
        <v>546</v>
      </c>
      <c r="Q5" s="89" t="s">
        <v>547</v>
      </c>
      <c r="R5" s="89" t="s">
        <v>548</v>
      </c>
      <c r="S5" s="89" t="s">
        <v>543</v>
      </c>
      <c r="T5" s="89" t="s">
        <v>544</v>
      </c>
      <c r="U5" s="89" t="s">
        <v>545</v>
      </c>
      <c r="V5" s="78" t="s">
        <v>297</v>
      </c>
      <c r="W5" s="78" t="s">
        <v>298</v>
      </c>
      <c r="X5" s="78" t="s">
        <v>299</v>
      </c>
      <c r="Y5" s="90" t="s">
        <v>41</v>
      </c>
      <c r="Z5" s="91" t="s">
        <v>293</v>
      </c>
      <c r="AA5" s="92" t="s">
        <v>29</v>
      </c>
      <c r="AB5" s="184" t="s">
        <v>640</v>
      </c>
      <c r="AC5" s="93" t="s">
        <v>68</v>
      </c>
      <c r="AD5" s="93" t="s">
        <v>69</v>
      </c>
      <c r="AE5" s="11" t="s">
        <v>13</v>
      </c>
      <c r="AG5" s="160" t="s">
        <v>1</v>
      </c>
      <c r="AH5" s="161" t="s">
        <v>38</v>
      </c>
      <c r="AI5" s="162" t="s">
        <v>6</v>
      </c>
      <c r="AJ5" s="163" t="s">
        <v>7</v>
      </c>
      <c r="AK5" s="164" t="s">
        <v>39</v>
      </c>
      <c r="AL5" s="96">
        <f>SUM(分料0186XX[分配數量])-SUM(AM5:AP5)+AQ5</f>
        <v>0</v>
      </c>
      <c r="AM5" s="177">
        <f>'570'!D4</f>
        <v>617</v>
      </c>
      <c r="AN5" s="177">
        <f>'600'!D4</f>
        <v>26501</v>
      </c>
      <c r="AO5" s="177">
        <f>'620'!D4</f>
        <v>1050</v>
      </c>
      <c r="AP5" s="177">
        <f>'650'!D4</f>
        <v>2566</v>
      </c>
      <c r="AQ5" s="156">
        <f>3331</f>
        <v>3331</v>
      </c>
    </row>
    <row r="6" spans="1:43" s="17" customFormat="1" ht="27" thickBot="1" x14ac:dyDescent="0.3">
      <c r="A6" s="166">
        <v>45556</v>
      </c>
      <c r="B6" s="168" t="s">
        <v>716</v>
      </c>
      <c r="C6" s="24" t="s">
        <v>506</v>
      </c>
      <c r="D6" s="170">
        <v>9</v>
      </c>
      <c r="E6" s="148">
        <f>_018_6XX[[#This Row],[入料數]]-_018_6XX[[#This Row],['#03已發料數量]]</f>
        <v>0</v>
      </c>
      <c r="F6" s="148">
        <f>SUMIFS(record[OK],record[製程料號],_018_6XX[[#This Row],[製令單號]],record[ProcessSN],F$1)</f>
        <v>9</v>
      </c>
      <c r="G6" s="148">
        <f>_018_6XX[[#This Row],['#03已發料數量]]-_018_6XX[[#This Row],['#3 OK]]-_018_6XX[[#This Row],['#3 NG]]</f>
        <v>0</v>
      </c>
      <c r="H6" s="148">
        <f>SUMIFS(record[OK],record[製程料號],_018_6XX[[#This Row],[製令單號]],record[ProcessSN],H$1)</f>
        <v>9</v>
      </c>
      <c r="I6" s="148">
        <f>SUMIFS(record[NG],record[製程料號],_018_6XX[[#This Row],[製令單號]],record[ProcessSN],I$1)</f>
        <v>0</v>
      </c>
      <c r="J6" s="148">
        <f>_018_6XX[[#This Row],['#3 OK]]-_018_6XX[[#This Row],['#4 OK]]-_018_6XX[[#This Row],['#4 NG]]</f>
        <v>0</v>
      </c>
      <c r="K6" s="148">
        <f>SUMIFS(record[OK],record[製程料號],_018_6XX[[#This Row],[製令單號]],record[ProcessSN],K$1)</f>
        <v>9</v>
      </c>
      <c r="L6" s="148">
        <f>SUMIFS(record[NG],record[製程料號],_018_6XX[[#This Row],[製令單號]],record[ProcessSN],L$1)</f>
        <v>0</v>
      </c>
      <c r="M6" s="148">
        <f>_018_6XX[[#This Row],['#4 OK]]-_018_6XX[[#This Row],['#5 OK]]-_018_6XX[[#This Row],['#5 NG]]</f>
        <v>0</v>
      </c>
      <c r="N6" s="148">
        <f>SUMIFS(record[OK],record[製程料號],_018_6XX[[#This Row],[製令單號]],record[ProcessSN],N$1)</f>
        <v>9</v>
      </c>
      <c r="O6" s="148">
        <f>SUMIFS(record[NG],record[製程料號],_018_6XX[[#This Row],[製令單號]],record[ProcessSN],O$1)</f>
        <v>0</v>
      </c>
      <c r="P6" s="148">
        <f>_018_6XX[[#This Row],['#5 OK]]-_018_6XX[[#This Row],['#6 OK]]-_018_6XX[[#This Row],['#6 NG]]</f>
        <v>0</v>
      </c>
      <c r="Q6" s="148">
        <f>SUMIFS(record[OK],record[製程料號],_018_6XX[[#This Row],[製令單號]],record[ProcessSN],Q$1)</f>
        <v>9</v>
      </c>
      <c r="R6" s="148">
        <f>SUMIFS(record[NG],record[製程料號],_018_6XX[[#This Row],[製令單號]],record[ProcessSN],R$1)</f>
        <v>0</v>
      </c>
      <c r="S6" s="148">
        <f>_018_6XX[[#This Row],['#6 OK]]-_018_6XX[[#This Row],['#7NG]]-_018_6XX[[#This Row],['#7OK]]</f>
        <v>0</v>
      </c>
      <c r="T6" s="148">
        <f>SUMIFS(record[OK],record[製程料號],_018_6XX[[#This Row],[製令單號]],record[ProcessSN],T$1)</f>
        <v>9</v>
      </c>
      <c r="U6" s="148">
        <f>SUMIFS(record[NG],record[製程料號],_018_6XX[[#This Row],[製令單號]],record[ProcessSN],U$1)</f>
        <v>0</v>
      </c>
      <c r="V6" s="148">
        <f>_018_6XX[[#This Row],['#7OK]]-_018_6XX[[#This Row],[OK]]-_018_6XX[[#This Row],[NG]]</f>
        <v>0</v>
      </c>
      <c r="W6" s="148">
        <f>SUMIFS(record[OK],record[製程料號],_018_6XX[[#This Row],[製令單號]],record[ProcessSN],W$1)</f>
        <v>9</v>
      </c>
      <c r="X6" s="148">
        <f>SUMIFS(record[NG],record[製程料號],_018_6XX[[#This Row],[製令單號]],record[ProcessSN],X$1)</f>
        <v>0</v>
      </c>
      <c r="Y6" s="148">
        <f>_018_6XX[[#This Row],[OK]]-_018_6XX[[#This Row],[入庫]]</f>
        <v>0</v>
      </c>
      <c r="Z6" s="148">
        <f>SUMIFS(record[OK],record[製程料號],_018_6XX[[#This Row],[製令單號]],record[ProcessSN],Z$1)</f>
        <v>9</v>
      </c>
      <c r="AA6" s="148">
        <f>_018_6XX[[#This Row],[入庫]]-IFERROR(SUMIF(分料0186XX[第一製程製令],_018_6XX[[#This Row],[製令單號]],分料0186XX[分配數量]),0)</f>
        <v>0</v>
      </c>
      <c r="AB6" s="186"/>
      <c r="AC6" s="148">
        <f>_018_6XX[[#This Row],[NG]]+_018_6XX[[#This Row],['#6 NG]]+_018_6XX[[#This Row],['#5 NG]]+_018_6XX[[#This Row],['#4 NG]]+_018_6XX[[#This Row],['#3 NG]]+_018_6XX[[#This Row],['#7NG]]</f>
        <v>0</v>
      </c>
      <c r="AD6" s="154">
        <f>IF(_018_6XX[[#This Row],[入庫]]+_018_6XX[[#This Row],[總不良數]]=_018_6XX[[#This Row],[入料數]],_018_6XX[[#This Row],[入庫]]/_018_6XX[[#This Row],[入料數]],"")</f>
        <v>1</v>
      </c>
      <c r="AE6" s="97"/>
      <c r="AG6" s="172">
        <v>45695</v>
      </c>
      <c r="AH6" s="115" t="s">
        <v>724</v>
      </c>
      <c r="AI6" s="159" t="s">
        <v>725</v>
      </c>
      <c r="AJ6" s="122" t="s">
        <v>726</v>
      </c>
      <c r="AK6" s="122">
        <v>332</v>
      </c>
      <c r="AM6" s="178">
        <f>'570'!E4+'570'!G4</f>
        <v>0</v>
      </c>
      <c r="AN6" s="178">
        <f>'600'!E4+'600'!G4</f>
        <v>1120</v>
      </c>
      <c r="AO6" s="178">
        <f>'620'!E4+'620'!G4</f>
        <v>0</v>
      </c>
      <c r="AP6" s="178">
        <f>'650'!E4+'650'!G4</f>
        <v>0</v>
      </c>
      <c r="AQ6" s="56" t="s">
        <v>63</v>
      </c>
    </row>
    <row r="7" spans="1:43" s="17" customFormat="1" ht="27" thickBot="1" x14ac:dyDescent="0.3">
      <c r="A7" s="113">
        <v>45647</v>
      </c>
      <c r="B7" s="114" t="s">
        <v>595</v>
      </c>
      <c r="C7" s="115" t="s">
        <v>506</v>
      </c>
      <c r="D7" s="116">
        <v>2135</v>
      </c>
      <c r="E7" s="117">
        <f>_018_6XX[[#This Row],[入料數]]-_018_6XX[[#This Row],['#03已發料數量]]</f>
        <v>0</v>
      </c>
      <c r="F7" s="117">
        <f>SUMIFS(record[OK],record[製程料號],_018_6XX[[#This Row],[製令單號]],record[ProcessSN],F$1)</f>
        <v>2135</v>
      </c>
      <c r="G7" s="117">
        <f>_018_6XX[[#This Row],['#03已發料數量]]-_018_6XX[[#This Row],['#3 OK]]-_018_6XX[[#This Row],['#3 NG]]</f>
        <v>0</v>
      </c>
      <c r="H7" s="117">
        <f>SUMIFS(record[OK],record[製程料號],_018_6XX[[#This Row],[製令單號]],record[ProcessSN],H$1)</f>
        <v>2134</v>
      </c>
      <c r="I7" s="117">
        <f>SUMIFS(record[NG],record[製程料號],_018_6XX[[#This Row],[製令單號]],record[ProcessSN],I$1)</f>
        <v>1</v>
      </c>
      <c r="J7" s="117">
        <f>_018_6XX[[#This Row],['#3 OK]]-_018_6XX[[#This Row],['#4 OK]]-_018_6XX[[#This Row],['#4 NG]]</f>
        <v>0</v>
      </c>
      <c r="K7" s="117">
        <f>SUMIFS(record[OK],record[製程料號],_018_6XX[[#This Row],[製令單號]],record[ProcessSN],K$1)</f>
        <v>2118</v>
      </c>
      <c r="L7" s="117">
        <f>SUMIFS(record[NG],record[製程料號],_018_6XX[[#This Row],[製令單號]],record[ProcessSN],L$1)</f>
        <v>16</v>
      </c>
      <c r="M7" s="117">
        <f>_018_6XX[[#This Row],['#4 OK]]-_018_6XX[[#This Row],['#5 OK]]-_018_6XX[[#This Row],['#5 NG]]</f>
        <v>0</v>
      </c>
      <c r="N7" s="117">
        <f>SUMIFS(record[OK],record[製程料號],_018_6XX[[#This Row],[製令單號]],record[ProcessSN],N$1)</f>
        <v>2115</v>
      </c>
      <c r="O7" s="117">
        <f>SUMIFS(record[NG],record[製程料號],_018_6XX[[#This Row],[製令單號]],record[ProcessSN],O$1)</f>
        <v>3</v>
      </c>
      <c r="P7" s="117">
        <f>_018_6XX[[#This Row],['#5 OK]]-_018_6XX[[#This Row],['#6 OK]]-_018_6XX[[#This Row],['#6 NG]]</f>
        <v>0</v>
      </c>
      <c r="Q7" s="117">
        <f>SUMIFS(record[OK],record[製程料號],_018_6XX[[#This Row],[製令單號]],record[ProcessSN],Q$1)</f>
        <v>2111</v>
      </c>
      <c r="R7" s="117">
        <f>SUMIFS(record[NG],record[製程料號],_018_6XX[[#This Row],[製令單號]],record[ProcessSN],R$1)</f>
        <v>4</v>
      </c>
      <c r="S7" s="117">
        <f>_018_6XX[[#This Row],['#6 OK]]-_018_6XX[[#This Row],['#7NG]]-_018_6XX[[#This Row],['#7OK]]</f>
        <v>0</v>
      </c>
      <c r="T7" s="117">
        <f>SUMIFS(record[OK],record[製程料號],_018_6XX[[#This Row],[製令單號]],record[ProcessSN],T$1)</f>
        <v>2109</v>
      </c>
      <c r="U7" s="117">
        <f>SUMIFS(record[NG],record[製程料號],_018_6XX[[#This Row],[製令單號]],record[ProcessSN],U$1)</f>
        <v>2</v>
      </c>
      <c r="V7" s="117">
        <f>_018_6XX[[#This Row],['#7OK]]-_018_6XX[[#This Row],[OK]]-_018_6XX[[#This Row],[NG]]</f>
        <v>0</v>
      </c>
      <c r="W7" s="117">
        <f>SUMIFS(record[OK],record[製程料號],_018_6XX[[#This Row],[製令單號]],record[ProcessSN],W$1)</f>
        <v>2107</v>
      </c>
      <c r="X7" s="117">
        <f>SUMIFS(record[NG],record[製程料號],_018_6XX[[#This Row],[製令單號]],record[ProcessSN],X$1)</f>
        <v>2</v>
      </c>
      <c r="Y7" s="117">
        <f>_018_6XX[[#This Row],[OK]]-_018_6XX[[#This Row],[入庫]]</f>
        <v>0</v>
      </c>
      <c r="Z7" s="117">
        <f>SUMIFS(record[OK],record[製程料號],_018_6XX[[#This Row],[製令單號]],record[ProcessSN],Z$1)</f>
        <v>2107</v>
      </c>
      <c r="AA7" s="117">
        <f>_018_6XX[[#This Row],[入庫]]-IFERROR(SUMIF(分料0186XX[第一製程製令],_018_6XX[[#This Row],[製令單號]],分料0186XX[分配數量]),0)</f>
        <v>0</v>
      </c>
      <c r="AB7" s="187"/>
      <c r="AC7" s="117">
        <f>_018_6XX[[#This Row],[NG]]+_018_6XX[[#This Row],['#6 NG]]+_018_6XX[[#This Row],['#5 NG]]+_018_6XX[[#This Row],['#4 NG]]+_018_6XX[[#This Row],['#3 NG]]+_018_6XX[[#This Row],['#7NG]]</f>
        <v>28</v>
      </c>
      <c r="AD7" s="119">
        <f>IF(_018_6XX[[#This Row],[入庫]]+_018_6XX[[#This Row],[總不良數]]=_018_6XX[[#This Row],[入料數]],_018_6XX[[#This Row],[入庫]]/_018_6XX[[#This Row],[入料數]],"")</f>
        <v>0.9868852459016394</v>
      </c>
      <c r="AG7" s="172">
        <v>45696</v>
      </c>
      <c r="AH7" s="115" t="s">
        <v>724</v>
      </c>
      <c r="AI7" s="159" t="s">
        <v>725</v>
      </c>
      <c r="AJ7" s="122" t="s">
        <v>727</v>
      </c>
      <c r="AK7" s="122">
        <v>177</v>
      </c>
      <c r="AM7" s="179">
        <f>'570'!L4+'570'!O4+'570'!R4</f>
        <v>0</v>
      </c>
      <c r="AN7" s="179">
        <f>'600'!L4+'600'!O4+'600'!R4</f>
        <v>0</v>
      </c>
      <c r="AO7" s="179">
        <f>'620'!L4+'620'!O4+'620'!R4</f>
        <v>0</v>
      </c>
      <c r="AP7" s="179">
        <f>'650'!L4+'650'!O4+'650'!R4</f>
        <v>0</v>
      </c>
      <c r="AQ7" s="56" t="s">
        <v>291</v>
      </c>
    </row>
    <row r="8" spans="1:43" s="17" customFormat="1" ht="26.25" x14ac:dyDescent="0.25">
      <c r="A8" s="113">
        <v>45763</v>
      </c>
      <c r="B8" s="114" t="s">
        <v>771</v>
      </c>
      <c r="C8" s="115" t="s">
        <v>506</v>
      </c>
      <c r="D8" s="116">
        <v>4</v>
      </c>
      <c r="E8" s="117">
        <f>_018_6XX[[#This Row],[入料數]]-_018_6XX[[#This Row],['#03已發料數量]]</f>
        <v>0</v>
      </c>
      <c r="F8" s="117">
        <f>SUMIFS(record[OK],record[製程料號],_018_6XX[[#This Row],[製令單號]],record[ProcessSN],F$1)</f>
        <v>4</v>
      </c>
      <c r="G8" s="117">
        <f>_018_6XX[[#This Row],['#03已發料數量]]-_018_6XX[[#This Row],['#3 OK]]-_018_6XX[[#This Row],['#3 NG]]</f>
        <v>0</v>
      </c>
      <c r="H8" s="117">
        <f>SUMIFS(record[OK],record[製程料號],_018_6XX[[#This Row],[製令單號]],record[ProcessSN],H$1)</f>
        <v>4</v>
      </c>
      <c r="I8" s="117">
        <f>SUMIFS(record[NG],record[製程料號],_018_6XX[[#This Row],[製令單號]],record[ProcessSN],I$1)</f>
        <v>0</v>
      </c>
      <c r="J8" s="117">
        <f>_018_6XX[[#This Row],['#3 OK]]-_018_6XX[[#This Row],['#4 OK]]-_018_6XX[[#This Row],['#4 NG]]</f>
        <v>0</v>
      </c>
      <c r="K8" s="117">
        <f>SUMIFS(record[OK],record[製程料號],_018_6XX[[#This Row],[製令單號]],record[ProcessSN],K$1)</f>
        <v>4</v>
      </c>
      <c r="L8" s="117">
        <f>SUMIFS(record[NG],record[製程料號],_018_6XX[[#This Row],[製令單號]],record[ProcessSN],L$1)</f>
        <v>0</v>
      </c>
      <c r="M8" s="117">
        <f>_018_6XX[[#This Row],['#4 OK]]-_018_6XX[[#This Row],['#5 OK]]-_018_6XX[[#This Row],['#5 NG]]</f>
        <v>0</v>
      </c>
      <c r="N8" s="117">
        <f>SUMIFS(record[OK],record[製程料號],_018_6XX[[#This Row],[製令單號]],record[ProcessSN],N$1)</f>
        <v>4</v>
      </c>
      <c r="O8" s="117">
        <f>SUMIFS(record[NG],record[製程料號],_018_6XX[[#This Row],[製令單號]],record[ProcessSN],O$1)</f>
        <v>0</v>
      </c>
      <c r="P8" s="117">
        <f>_018_6XX[[#This Row],['#5 OK]]-_018_6XX[[#This Row],['#6 OK]]-_018_6XX[[#This Row],['#6 NG]]</f>
        <v>0</v>
      </c>
      <c r="Q8" s="117">
        <f>SUMIFS(record[OK],record[製程料號],_018_6XX[[#This Row],[製令單號]],record[ProcessSN],Q$1)</f>
        <v>4</v>
      </c>
      <c r="R8" s="117">
        <f>SUMIFS(record[NG],record[製程料號],_018_6XX[[#This Row],[製令單號]],record[ProcessSN],R$1)</f>
        <v>0</v>
      </c>
      <c r="S8" s="117">
        <f>_018_6XX[[#This Row],['#6 OK]]-_018_6XX[[#This Row],['#7NG]]-_018_6XX[[#This Row],['#7OK]]</f>
        <v>0</v>
      </c>
      <c r="T8" s="117">
        <f>SUMIFS(record[OK],record[製程料號],_018_6XX[[#This Row],[製令單號]],record[ProcessSN],T$1)</f>
        <v>4</v>
      </c>
      <c r="U8" s="117">
        <f>SUMIFS(record[NG],record[製程料號],_018_6XX[[#This Row],[製令單號]],record[ProcessSN],U$1)</f>
        <v>0</v>
      </c>
      <c r="V8" s="117">
        <f>_018_6XX[[#This Row],['#7OK]]-_018_6XX[[#This Row],[OK]]-_018_6XX[[#This Row],[NG]]</f>
        <v>0</v>
      </c>
      <c r="W8" s="117">
        <f>SUMIFS(record[OK],record[製程料號],_018_6XX[[#This Row],[製令單號]],record[ProcessSN],W$1)</f>
        <v>4</v>
      </c>
      <c r="X8" s="117">
        <f>SUMIFS(record[NG],record[製程料號],_018_6XX[[#This Row],[製令單號]],record[ProcessSN],X$1)</f>
        <v>0</v>
      </c>
      <c r="Y8" s="117">
        <f>_018_6XX[[#This Row],[OK]]-_018_6XX[[#This Row],[入庫]]</f>
        <v>0</v>
      </c>
      <c r="Z8" s="117">
        <f>SUMIFS(record[OK],record[製程料號],_018_6XX[[#This Row],[製令單號]],record[ProcessSN],Z$1)</f>
        <v>4</v>
      </c>
      <c r="AA8" s="117">
        <f>_018_6XX[[#This Row],[入庫]]-IFERROR(SUMIF(分料0186XX[第一製程製令],_018_6XX[[#This Row],[製令單號]],分料0186XX[分配數量]),0)</f>
        <v>0</v>
      </c>
      <c r="AB8" s="187"/>
      <c r="AC8" s="117">
        <f>_018_6XX[[#This Row],[NG]]+_018_6XX[[#This Row],['#6 NG]]+_018_6XX[[#This Row],['#5 NG]]+_018_6XX[[#This Row],['#4 NG]]+_018_6XX[[#This Row],['#3 NG]]+_018_6XX[[#This Row],['#7NG]]</f>
        <v>0</v>
      </c>
      <c r="AD8" s="119">
        <f>IF(_018_6XX[[#This Row],[入庫]]+_018_6XX[[#This Row],[總不良數]]=_018_6XX[[#This Row],[入料數]],_018_6XX[[#This Row],[入庫]]/_018_6XX[[#This Row],[入料數]],"")</f>
        <v>1</v>
      </c>
      <c r="AE8" s="2"/>
      <c r="AG8" s="172">
        <v>45698</v>
      </c>
      <c r="AH8" s="115" t="s">
        <v>724</v>
      </c>
      <c r="AI8" s="159" t="s">
        <v>725</v>
      </c>
      <c r="AJ8" s="122" t="s">
        <v>728</v>
      </c>
      <c r="AK8" s="122">
        <v>316</v>
      </c>
    </row>
    <row r="9" spans="1:43" ht="26.25" x14ac:dyDescent="0.25">
      <c r="A9" s="113">
        <v>45768</v>
      </c>
      <c r="B9" s="114" t="s">
        <v>777</v>
      </c>
      <c r="C9" s="115" t="s">
        <v>506</v>
      </c>
      <c r="D9" s="116">
        <v>1000</v>
      </c>
      <c r="E9" s="117">
        <f>_018_6XX[[#This Row],[入料數]]-_018_6XX[[#This Row],['#03已發料數量]]</f>
        <v>0</v>
      </c>
      <c r="F9" s="117">
        <f>SUMIFS(record[OK],record[製程料號],_018_6XX[[#This Row],[製令單號]],record[ProcessSN],F$1)</f>
        <v>1000</v>
      </c>
      <c r="G9" s="117">
        <f>_018_6XX[[#This Row],['#03已發料數量]]-_018_6XX[[#This Row],['#3 OK]]-_018_6XX[[#This Row],['#3 NG]]</f>
        <v>0</v>
      </c>
      <c r="H9" s="117">
        <f>SUMIFS(record[OK],record[製程料號],_018_6XX[[#This Row],[製令單號]],record[ProcessSN],H$1)</f>
        <v>994</v>
      </c>
      <c r="I9" s="117">
        <f>SUMIFS(record[NG],record[製程料號],_018_6XX[[#This Row],[製令單號]],record[ProcessSN],I$1)</f>
        <v>6</v>
      </c>
      <c r="J9" s="117">
        <f>_018_6XX[[#This Row],['#3 OK]]-_018_6XX[[#This Row],['#4 OK]]-_018_6XX[[#This Row],['#4 NG]]</f>
        <v>0</v>
      </c>
      <c r="K9" s="117">
        <f>SUMIFS(record[OK],record[製程料號],_018_6XX[[#This Row],[製令單號]],record[ProcessSN],K$1)</f>
        <v>986</v>
      </c>
      <c r="L9" s="117">
        <f>SUMIFS(record[NG],record[製程料號],_018_6XX[[#This Row],[製令單號]],record[ProcessSN],L$1)</f>
        <v>8</v>
      </c>
      <c r="M9" s="117">
        <f>_018_6XX[[#This Row],['#4 OK]]-_018_6XX[[#This Row],['#5 OK]]-_018_6XX[[#This Row],['#5 NG]]</f>
        <v>0</v>
      </c>
      <c r="N9" s="117">
        <f>SUMIFS(record[OK],record[製程料號],_018_6XX[[#This Row],[製令單號]],record[ProcessSN],N$1)</f>
        <v>986</v>
      </c>
      <c r="O9" s="117">
        <f>SUMIFS(record[NG],record[製程料號],_018_6XX[[#This Row],[製令單號]],record[ProcessSN],O$1)</f>
        <v>0</v>
      </c>
      <c r="P9" s="117">
        <f>_018_6XX[[#This Row],['#5 OK]]-_018_6XX[[#This Row],['#6 OK]]-_018_6XX[[#This Row],['#6 NG]]</f>
        <v>0</v>
      </c>
      <c r="Q9" s="117">
        <f>SUMIFS(record[OK],record[製程料號],_018_6XX[[#This Row],[製令單號]],record[ProcessSN],Q$1)</f>
        <v>985</v>
      </c>
      <c r="R9" s="117">
        <f>SUMIFS(record[NG],record[製程料號],_018_6XX[[#This Row],[製令單號]],record[ProcessSN],R$1)</f>
        <v>1</v>
      </c>
      <c r="S9" s="117">
        <f>_018_6XX[[#This Row],['#6 OK]]-_018_6XX[[#This Row],['#7NG]]-_018_6XX[[#This Row],['#7OK]]</f>
        <v>0</v>
      </c>
      <c r="T9" s="117">
        <f>SUMIFS(record[OK],record[製程料號],_018_6XX[[#This Row],[製令單號]],record[ProcessSN],T$1)</f>
        <v>959</v>
      </c>
      <c r="U9" s="117">
        <f>SUMIFS(record[NG],record[製程料號],_018_6XX[[#This Row],[製令單號]],record[ProcessSN],U$1)</f>
        <v>26</v>
      </c>
      <c r="V9" s="117">
        <f>_018_6XX[[#This Row],['#7OK]]-_018_6XX[[#This Row],[OK]]-_018_6XX[[#This Row],[NG]]</f>
        <v>0</v>
      </c>
      <c r="W9" s="117">
        <f>SUMIFS(record[OK],record[製程料號],_018_6XX[[#This Row],[製令單號]],record[ProcessSN],W$1)</f>
        <v>950</v>
      </c>
      <c r="X9" s="117">
        <f>SUMIFS(record[NG],record[製程料號],_018_6XX[[#This Row],[製令單號]],record[ProcessSN],X$1)</f>
        <v>9</v>
      </c>
      <c r="Y9" s="117">
        <f>_018_6XX[[#This Row],[OK]]-_018_6XX[[#This Row],[入庫]]</f>
        <v>0</v>
      </c>
      <c r="Z9" s="117">
        <f>SUMIFS(record[OK],record[製程料號],_018_6XX[[#This Row],[製令單號]],record[ProcessSN],Z$1)</f>
        <v>950</v>
      </c>
      <c r="AA9" s="117">
        <f>_018_6XX[[#This Row],[入庫]]-IFERROR(SUMIF(分料0186XX[第一製程製令],_018_6XX[[#This Row],[製令單號]],分料0186XX[分配數量]),0)</f>
        <v>0</v>
      </c>
      <c r="AB9" s="187"/>
      <c r="AC9" s="117">
        <f>_018_6XX[[#This Row],[NG]]+_018_6XX[[#This Row],['#6 NG]]+_018_6XX[[#This Row],['#5 NG]]+_018_6XX[[#This Row],['#4 NG]]+_018_6XX[[#This Row],['#3 NG]]+_018_6XX[[#This Row],['#7NG]]</f>
        <v>50</v>
      </c>
      <c r="AD9" s="119">
        <f>IF(_018_6XX[[#This Row],[入庫]]+_018_6XX[[#This Row],[總不良數]]=_018_6XX[[#This Row],[入料數]],_018_6XX[[#This Row],[入庫]]/_018_6XX[[#This Row],[入料數]],"")</f>
        <v>0.95</v>
      </c>
      <c r="AG9" s="172">
        <v>45698</v>
      </c>
      <c r="AH9" s="115" t="s">
        <v>716</v>
      </c>
      <c r="AI9" s="159" t="s">
        <v>725</v>
      </c>
      <c r="AJ9" s="122" t="s">
        <v>728</v>
      </c>
      <c r="AK9" s="122">
        <v>9</v>
      </c>
    </row>
    <row r="10" spans="1:43" ht="26.25" x14ac:dyDescent="0.25">
      <c r="A10" s="113">
        <v>45831</v>
      </c>
      <c r="B10" s="114" t="s">
        <v>864</v>
      </c>
      <c r="C10" s="115" t="s">
        <v>506</v>
      </c>
      <c r="D10" s="116">
        <v>1000</v>
      </c>
      <c r="E10" s="117">
        <f>_018_6XX[[#This Row],[入料數]]-_018_6XX[[#This Row],['#03已發料數量]]</f>
        <v>0</v>
      </c>
      <c r="F10" s="117">
        <f>SUMIFS(record[OK],record[製程料號],_018_6XX[[#This Row],[製令單號]],record[ProcessSN],F$1)</f>
        <v>1000</v>
      </c>
      <c r="G10" s="117">
        <f>_018_6XX[[#This Row],['#03已發料數量]]-_018_6XX[[#This Row],['#3 OK]]-_018_6XX[[#This Row],['#3 NG]]</f>
        <v>0</v>
      </c>
      <c r="H10" s="117">
        <f>SUMIFS(record[OK],record[製程料號],_018_6XX[[#This Row],[製令單號]],record[ProcessSN],H$1)</f>
        <v>1000</v>
      </c>
      <c r="I10" s="117">
        <f>SUMIFS(record[NG],record[製程料號],_018_6XX[[#This Row],[製令單號]],record[ProcessSN],I$1)</f>
        <v>0</v>
      </c>
      <c r="J10" s="117">
        <f>_018_6XX[[#This Row],['#3 OK]]-_018_6XX[[#This Row],['#4 OK]]-_018_6XX[[#This Row],['#4 NG]]</f>
        <v>0</v>
      </c>
      <c r="K10" s="117">
        <f>SUMIFS(record[OK],record[製程料號],_018_6XX[[#This Row],[製令單號]],record[ProcessSN],K$1)</f>
        <v>983</v>
      </c>
      <c r="L10" s="117">
        <f>SUMIFS(record[NG],record[製程料號],_018_6XX[[#This Row],[製令單號]],record[ProcessSN],L$1)</f>
        <v>17</v>
      </c>
      <c r="M10" s="117">
        <f>_018_6XX[[#This Row],['#4 OK]]-_018_6XX[[#This Row],['#5 OK]]-_018_6XX[[#This Row],['#5 NG]]</f>
        <v>0</v>
      </c>
      <c r="N10" s="117">
        <f>SUMIFS(record[OK],record[製程料號],_018_6XX[[#This Row],[製令單號]],record[ProcessSN],N$1)</f>
        <v>958</v>
      </c>
      <c r="O10" s="117">
        <f>SUMIFS(record[NG],record[製程料號],_018_6XX[[#This Row],[製令單號]],record[ProcessSN],O$1)</f>
        <v>25</v>
      </c>
      <c r="P10" s="117">
        <f>_018_6XX[[#This Row],['#5 OK]]-_018_6XX[[#This Row],['#6 OK]]-_018_6XX[[#This Row],['#6 NG]]</f>
        <v>0</v>
      </c>
      <c r="Q10" s="117">
        <f>SUMIFS(record[OK],record[製程料號],_018_6XX[[#This Row],[製令單號]],record[ProcessSN],Q$1)</f>
        <v>940</v>
      </c>
      <c r="R10" s="117">
        <f>SUMIFS(record[NG],record[製程料號],_018_6XX[[#This Row],[製令單號]],record[ProcessSN],R$1)</f>
        <v>18</v>
      </c>
      <c r="S10" s="117">
        <f>_018_6XX[[#This Row],['#6 OK]]-_018_6XX[[#This Row],['#7NG]]-_018_6XX[[#This Row],['#7OK]]</f>
        <v>0</v>
      </c>
      <c r="T10" s="117">
        <f>SUMIFS(record[OK],record[製程料號],_018_6XX[[#This Row],[製令單號]],record[ProcessSN],T$1)</f>
        <v>931</v>
      </c>
      <c r="U10" s="117">
        <f>SUMIFS(record[NG],record[製程料號],_018_6XX[[#This Row],[製令單號]],record[ProcessSN],U$1)</f>
        <v>9</v>
      </c>
      <c r="V10" s="117">
        <f>_018_6XX[[#This Row],['#7OK]]-_018_6XX[[#This Row],[OK]]-_018_6XX[[#This Row],[NG]]</f>
        <v>0</v>
      </c>
      <c r="W10" s="117">
        <f>SUMIFS(record[OK],record[製程料號],_018_6XX[[#This Row],[製令單號]],record[ProcessSN],W$1)</f>
        <v>838</v>
      </c>
      <c r="X10" s="117">
        <f>SUMIFS(record[NG],record[製程料號],_018_6XX[[#This Row],[製令單號]],record[ProcessSN],X$1)</f>
        <v>93</v>
      </c>
      <c r="Y10" s="117">
        <f>_018_6XX[[#This Row],[OK]]-_018_6XX[[#This Row],[入庫]]</f>
        <v>0</v>
      </c>
      <c r="Z10" s="117">
        <f>SUMIFS(record[OK],record[製程料號],_018_6XX[[#This Row],[製令單號]],record[ProcessSN],Z$1)</f>
        <v>838</v>
      </c>
      <c r="AA10" s="117">
        <f>_018_6XX[[#This Row],[入庫]]-IFERROR(SUMIF(分料0186XX[第一製程製令],_018_6XX[[#This Row],[製令單號]],分料0186XX[分配數量]),0)</f>
        <v>0</v>
      </c>
      <c r="AB10" s="187"/>
      <c r="AC10" s="117">
        <f>_018_6XX[[#This Row],[NG]]+_018_6XX[[#This Row],['#6 NG]]+_018_6XX[[#This Row],['#5 NG]]+_018_6XX[[#This Row],['#4 NG]]+_018_6XX[[#This Row],['#3 NG]]+_018_6XX[[#This Row],['#7NG]]</f>
        <v>162</v>
      </c>
      <c r="AD10" s="119">
        <f>IF(_018_6XX[[#This Row],[入庫]]+_018_6XX[[#This Row],[總不良數]]=_018_6XX[[#This Row],[入料數]],_018_6XX[[#This Row],[入庫]]/_018_6XX[[#This Row],[入料數]],"")</f>
        <v>0.83799999999999997</v>
      </c>
      <c r="AG10" s="172">
        <v>45702</v>
      </c>
      <c r="AH10" s="115" t="s">
        <v>724</v>
      </c>
      <c r="AI10" s="159" t="s">
        <v>725</v>
      </c>
      <c r="AJ10" s="122" t="s">
        <v>729</v>
      </c>
      <c r="AK10" s="122">
        <v>163</v>
      </c>
    </row>
    <row r="11" spans="1:43" ht="26.25" x14ac:dyDescent="0.25">
      <c r="A11" s="113">
        <v>45838</v>
      </c>
      <c r="B11" s="114" t="s">
        <v>875</v>
      </c>
      <c r="C11" s="115" t="s">
        <v>506</v>
      </c>
      <c r="D11" s="116">
        <v>1000</v>
      </c>
      <c r="E11" s="117">
        <f>_018_6XX[[#This Row],[入料數]]-_018_6XX[[#This Row],['#03已發料數量]]</f>
        <v>0</v>
      </c>
      <c r="F11" s="117">
        <f>SUMIFS(record[OK],record[製程料號],_018_6XX[[#This Row],[製令單號]],record[ProcessSN],F$1)</f>
        <v>1000</v>
      </c>
      <c r="G11" s="117">
        <f>_018_6XX[[#This Row],['#03已發料數量]]-_018_6XX[[#This Row],['#3 OK]]-_018_6XX[[#This Row],['#3 NG]]</f>
        <v>0</v>
      </c>
      <c r="H11" s="117">
        <f>SUMIFS(record[OK],record[製程料號],_018_6XX[[#This Row],[製令單號]],record[ProcessSN],H$1)</f>
        <v>1000</v>
      </c>
      <c r="I11" s="117">
        <f>SUMIFS(record[NG],record[製程料號],_018_6XX[[#This Row],[製令單號]],record[ProcessSN],I$1)</f>
        <v>0</v>
      </c>
      <c r="J11" s="117">
        <f>_018_6XX[[#This Row],['#3 OK]]-_018_6XX[[#This Row],['#4 OK]]-_018_6XX[[#This Row],['#4 NG]]</f>
        <v>0</v>
      </c>
      <c r="K11" s="117">
        <f>SUMIFS(record[OK],record[製程料號],_018_6XX[[#This Row],[製令單號]],record[ProcessSN],K$1)</f>
        <v>975</v>
      </c>
      <c r="L11" s="117">
        <f>SUMIFS(record[NG],record[製程料號],_018_6XX[[#This Row],[製令單號]],record[ProcessSN],L$1)</f>
        <v>25</v>
      </c>
      <c r="M11" s="117">
        <f>_018_6XX[[#This Row],['#4 OK]]-_018_6XX[[#This Row],['#5 OK]]-_018_6XX[[#This Row],['#5 NG]]</f>
        <v>0</v>
      </c>
      <c r="N11" s="117">
        <f>SUMIFS(record[OK],record[製程料號],_018_6XX[[#This Row],[製令單號]],record[ProcessSN],N$1)</f>
        <v>975</v>
      </c>
      <c r="O11" s="117">
        <f>SUMIFS(record[NG],record[製程料號],_018_6XX[[#This Row],[製令單號]],record[ProcessSN],O$1)</f>
        <v>0</v>
      </c>
      <c r="P11" s="117">
        <f>_018_6XX[[#This Row],['#5 OK]]-_018_6XX[[#This Row],['#6 OK]]-_018_6XX[[#This Row],['#6 NG]]</f>
        <v>0</v>
      </c>
      <c r="Q11" s="117">
        <f>SUMIFS(record[OK],record[製程料號],_018_6XX[[#This Row],[製令單號]],record[ProcessSN],Q$1)</f>
        <v>869</v>
      </c>
      <c r="R11" s="117">
        <f>SUMIFS(record[NG],record[製程料號],_018_6XX[[#This Row],[製令單號]],record[ProcessSN],R$1)</f>
        <v>106</v>
      </c>
      <c r="S11" s="117">
        <f>_018_6XX[[#This Row],['#6 OK]]-_018_6XX[[#This Row],['#7NG]]-_018_6XX[[#This Row],['#7OK]]</f>
        <v>0</v>
      </c>
      <c r="T11" s="117">
        <f>SUMIFS(record[OK],record[製程料號],_018_6XX[[#This Row],[製令單號]],record[ProcessSN],T$1)</f>
        <v>846</v>
      </c>
      <c r="U11" s="117">
        <f>SUMIFS(record[NG],record[製程料號],_018_6XX[[#This Row],[製令單號]],record[ProcessSN],U$1)</f>
        <v>23</v>
      </c>
      <c r="V11" s="117">
        <f>_018_6XX[[#This Row],['#7OK]]-_018_6XX[[#This Row],[OK]]-_018_6XX[[#This Row],[NG]]</f>
        <v>0</v>
      </c>
      <c r="W11" s="117">
        <f>SUMIFS(record[OK],record[製程料號],_018_6XX[[#This Row],[製令單號]],record[ProcessSN],W$1)</f>
        <v>819</v>
      </c>
      <c r="X11" s="117">
        <f>SUMIFS(record[NG],record[製程料號],_018_6XX[[#This Row],[製令單號]],record[ProcessSN],X$1)</f>
        <v>27</v>
      </c>
      <c r="Y11" s="117">
        <f>_018_6XX[[#This Row],[OK]]-_018_6XX[[#This Row],[入庫]]</f>
        <v>0</v>
      </c>
      <c r="Z11" s="117">
        <f>SUMIFS(record[OK],record[製程料號],_018_6XX[[#This Row],[製令單號]],record[ProcessSN],Z$1)</f>
        <v>819</v>
      </c>
      <c r="AA11" s="117">
        <f>_018_6XX[[#This Row],[入庫]]-IFERROR(SUMIF(分料0186XX[第一製程製令],_018_6XX[[#This Row],[製令單號]],分料0186XX[分配數量]),0)</f>
        <v>0</v>
      </c>
      <c r="AB11" s="187"/>
      <c r="AC11" s="117">
        <f>_018_6XX[[#This Row],[NG]]+_018_6XX[[#This Row],['#6 NG]]+_018_6XX[[#This Row],['#5 NG]]+_018_6XX[[#This Row],['#4 NG]]+_018_6XX[[#This Row],['#3 NG]]+_018_6XX[[#This Row],['#7NG]]</f>
        <v>181</v>
      </c>
      <c r="AD11" s="119">
        <f>IF(_018_6XX[[#This Row],[入庫]]+_018_6XX[[#This Row],[總不良數]]=_018_6XX[[#This Row],[入料數]],_018_6XX[[#This Row],[入庫]]/_018_6XX[[#This Row],[入料數]],"")</f>
        <v>0.81899999999999995</v>
      </c>
      <c r="AG11" s="173">
        <v>45706</v>
      </c>
      <c r="AH11" s="115" t="s">
        <v>595</v>
      </c>
      <c r="AI11" s="159" t="s">
        <v>725</v>
      </c>
      <c r="AJ11" s="129" t="s">
        <v>731</v>
      </c>
      <c r="AK11" s="129">
        <v>165</v>
      </c>
    </row>
    <row r="12" spans="1:43" ht="26.25" x14ac:dyDescent="0.25">
      <c r="A12" s="113">
        <v>45847</v>
      </c>
      <c r="B12" s="114" t="s">
        <v>887</v>
      </c>
      <c r="C12" s="115" t="s">
        <v>506</v>
      </c>
      <c r="D12" s="116">
        <v>194</v>
      </c>
      <c r="E12" s="117">
        <f>_018_6XX[[#This Row],[入料數]]-_018_6XX[[#This Row],['#03已發料數量]]</f>
        <v>0</v>
      </c>
      <c r="F12" s="117">
        <f>SUMIFS(record[OK],record[製程料號],_018_6XX[[#This Row],[製令單號]],record[ProcessSN],F$1)</f>
        <v>194</v>
      </c>
      <c r="G12" s="117">
        <f>_018_6XX[[#This Row],['#03已發料數量]]-_018_6XX[[#This Row],['#3 OK]]-_018_6XX[[#This Row],['#3 NG]]</f>
        <v>0</v>
      </c>
      <c r="H12" s="117">
        <f>SUMIFS(record[OK],record[製程料號],_018_6XX[[#This Row],[製令單號]],record[ProcessSN],H$1)</f>
        <v>194</v>
      </c>
      <c r="I12" s="117">
        <f>SUMIFS(record[NG],record[製程料號],_018_6XX[[#This Row],[製令單號]],record[ProcessSN],I$1)</f>
        <v>0</v>
      </c>
      <c r="J12" s="117">
        <f>_018_6XX[[#This Row],['#3 OK]]-_018_6XX[[#This Row],['#4 OK]]-_018_6XX[[#This Row],['#4 NG]]</f>
        <v>0</v>
      </c>
      <c r="K12" s="117">
        <f>SUMIFS(record[OK],record[製程料號],_018_6XX[[#This Row],[製令單號]],record[ProcessSN],K$1)</f>
        <v>194</v>
      </c>
      <c r="L12" s="117">
        <f>SUMIFS(record[NG],record[製程料號],_018_6XX[[#This Row],[製令單號]],record[ProcessSN],L$1)</f>
        <v>0</v>
      </c>
      <c r="M12" s="117">
        <f>_018_6XX[[#This Row],['#4 OK]]-_018_6XX[[#This Row],['#5 OK]]-_018_6XX[[#This Row],['#5 NG]]</f>
        <v>0</v>
      </c>
      <c r="N12" s="117">
        <f>SUMIFS(record[OK],record[製程料號],_018_6XX[[#This Row],[製令單號]],record[ProcessSN],N$1)</f>
        <v>194</v>
      </c>
      <c r="O12" s="117">
        <f>SUMIFS(record[NG],record[製程料號],_018_6XX[[#This Row],[製令單號]],record[ProcessSN],O$1)</f>
        <v>0</v>
      </c>
      <c r="P12" s="117">
        <f>_018_6XX[[#This Row],['#5 OK]]-_018_6XX[[#This Row],['#6 OK]]-_018_6XX[[#This Row],['#6 NG]]</f>
        <v>0</v>
      </c>
      <c r="Q12" s="117">
        <f>SUMIFS(record[OK],record[製程料號],_018_6XX[[#This Row],[製令單號]],record[ProcessSN],Q$1)</f>
        <v>194</v>
      </c>
      <c r="R12" s="117">
        <f>SUMIFS(record[NG],record[製程料號],_018_6XX[[#This Row],[製令單號]],record[ProcessSN],R$1)</f>
        <v>0</v>
      </c>
      <c r="S12" s="117">
        <f>_018_6XX[[#This Row],['#6 OK]]-_018_6XX[[#This Row],['#7NG]]-_018_6XX[[#This Row],['#7OK]]</f>
        <v>0</v>
      </c>
      <c r="T12" s="117">
        <f>SUMIFS(record[OK],record[製程料號],_018_6XX[[#This Row],[製令單號]],record[ProcessSN],T$1)</f>
        <v>194</v>
      </c>
      <c r="U12" s="117">
        <f>SUMIFS(record[NG],record[製程料號],_018_6XX[[#This Row],[製令單號]],record[ProcessSN],U$1)</f>
        <v>0</v>
      </c>
      <c r="V12" s="117">
        <f>_018_6XX[[#This Row],['#7OK]]-_018_6XX[[#This Row],[OK]]-_018_6XX[[#This Row],[NG]]</f>
        <v>0</v>
      </c>
      <c r="W12" s="117">
        <f>SUMIFS(record[OK],record[製程料號],_018_6XX[[#This Row],[製令單號]],record[ProcessSN],W$1)</f>
        <v>194</v>
      </c>
      <c r="X12" s="117">
        <f>SUMIFS(record[NG],record[製程料號],_018_6XX[[#This Row],[製令單號]],record[ProcessSN],X$1)</f>
        <v>0</v>
      </c>
      <c r="Y12" s="117">
        <f>_018_6XX[[#This Row],[OK]]-_018_6XX[[#This Row],[入庫]]</f>
        <v>0</v>
      </c>
      <c r="Z12" s="117">
        <f>SUMIFS(record[OK],record[製程料號],_018_6XX[[#This Row],[製令單號]],record[ProcessSN],Z$1)</f>
        <v>194</v>
      </c>
      <c r="AA12" s="117">
        <f>_018_6XX[[#This Row],[入庫]]-IFERROR(SUMIF(分料0186XX[第一製程製令],_018_6XX[[#This Row],[製令單號]],分料0186XX[分配數量]),0)</f>
        <v>0</v>
      </c>
      <c r="AB12" s="187"/>
      <c r="AC12" s="117">
        <f>_018_6XX[[#This Row],[NG]]+_018_6XX[[#This Row],['#6 NG]]+_018_6XX[[#This Row],['#5 NG]]+_018_6XX[[#This Row],['#4 NG]]+_018_6XX[[#This Row],['#3 NG]]+_018_6XX[[#This Row],['#7NG]]</f>
        <v>0</v>
      </c>
      <c r="AD12" s="119">
        <f>IF(_018_6XX[[#This Row],[入庫]]+_018_6XX[[#This Row],[總不良數]]=_018_6XX[[#This Row],[入料數]],_018_6XX[[#This Row],[入庫]]/_018_6XX[[#This Row],[入料數]],"")</f>
        <v>1</v>
      </c>
      <c r="AG12" s="173">
        <v>45707</v>
      </c>
      <c r="AH12" s="127" t="s">
        <v>595</v>
      </c>
      <c r="AI12" s="128" t="s">
        <v>738</v>
      </c>
      <c r="AJ12" s="129" t="s">
        <v>737</v>
      </c>
      <c r="AK12" s="129">
        <v>336</v>
      </c>
    </row>
    <row r="13" spans="1:43" ht="26.25" x14ac:dyDescent="0.25">
      <c r="A13" s="113">
        <v>45853</v>
      </c>
      <c r="B13" s="114" t="s">
        <v>900</v>
      </c>
      <c r="C13" s="115" t="s">
        <v>506</v>
      </c>
      <c r="D13" s="116">
        <v>1000</v>
      </c>
      <c r="E13" s="117">
        <f>_018_6XX[[#This Row],[入料數]]-_018_6XX[[#This Row],['#03已發料數量]]</f>
        <v>0</v>
      </c>
      <c r="F13" s="117">
        <f>SUMIFS(record[OK],record[製程料號],_018_6XX[[#This Row],[製令單號]],record[ProcessSN],F$1)</f>
        <v>1000</v>
      </c>
      <c r="G13" s="117">
        <f>_018_6XX[[#This Row],['#03已發料數量]]-_018_6XX[[#This Row],['#3 OK]]-_018_6XX[[#This Row],['#3 NG]]</f>
        <v>0</v>
      </c>
      <c r="H13" s="117">
        <f>SUMIFS(record[OK],record[製程料號],_018_6XX[[#This Row],[製令單號]],record[ProcessSN],H$1)</f>
        <v>1000</v>
      </c>
      <c r="I13" s="117">
        <f>SUMIFS(record[NG],record[製程料號],_018_6XX[[#This Row],[製令單號]],record[ProcessSN],I$1)</f>
        <v>0</v>
      </c>
      <c r="J13" s="117">
        <f>_018_6XX[[#This Row],['#3 OK]]-_018_6XX[[#This Row],['#4 OK]]-_018_6XX[[#This Row],['#4 NG]]</f>
        <v>0</v>
      </c>
      <c r="K13" s="117">
        <f>SUMIFS(record[OK],record[製程料號],_018_6XX[[#This Row],[製令單號]],record[ProcessSN],K$1)</f>
        <v>999</v>
      </c>
      <c r="L13" s="117">
        <f>SUMIFS(record[NG],record[製程料號],_018_6XX[[#This Row],[製令單號]],record[ProcessSN],L$1)</f>
        <v>1</v>
      </c>
      <c r="M13" s="117">
        <f>_018_6XX[[#This Row],['#4 OK]]-_018_6XX[[#This Row],['#5 OK]]-_018_6XX[[#This Row],['#5 NG]]</f>
        <v>0</v>
      </c>
      <c r="N13" s="117">
        <f>SUMIFS(record[OK],record[製程料號],_018_6XX[[#This Row],[製令單號]],record[ProcessSN],N$1)</f>
        <v>999</v>
      </c>
      <c r="O13" s="117">
        <f>SUMIFS(record[NG],record[製程料號],_018_6XX[[#This Row],[製令單號]],record[ProcessSN],O$1)</f>
        <v>0</v>
      </c>
      <c r="P13" s="117">
        <f>_018_6XX[[#This Row],['#5 OK]]-_018_6XX[[#This Row],['#6 OK]]-_018_6XX[[#This Row],['#6 NG]]</f>
        <v>0</v>
      </c>
      <c r="Q13" s="117">
        <f>SUMIFS(record[OK],record[製程料號],_018_6XX[[#This Row],[製令單號]],record[ProcessSN],Q$1)</f>
        <v>980</v>
      </c>
      <c r="R13" s="117">
        <f>SUMIFS(record[NG],record[製程料號],_018_6XX[[#This Row],[製令單號]],record[ProcessSN],R$1)</f>
        <v>19</v>
      </c>
      <c r="S13" s="117">
        <f>_018_6XX[[#This Row],['#6 OK]]-_018_6XX[[#This Row],['#7NG]]-_018_6XX[[#This Row],['#7OK]]</f>
        <v>0</v>
      </c>
      <c r="T13" s="117">
        <f>SUMIFS(record[OK],record[製程料號],_018_6XX[[#This Row],[製令單號]],record[ProcessSN],T$1)</f>
        <v>975</v>
      </c>
      <c r="U13" s="117">
        <f>SUMIFS(record[NG],record[製程料號],_018_6XX[[#This Row],[製令單號]],record[ProcessSN],U$1)</f>
        <v>5</v>
      </c>
      <c r="V13" s="117">
        <f>_018_6XX[[#This Row],['#7OK]]-_018_6XX[[#This Row],[OK]]-_018_6XX[[#This Row],[NG]]</f>
        <v>0</v>
      </c>
      <c r="W13" s="117">
        <f>SUMIFS(record[OK],record[製程料號],_018_6XX[[#This Row],[製令單號]],record[ProcessSN],W$1)</f>
        <v>912</v>
      </c>
      <c r="X13" s="117">
        <f>SUMIFS(record[NG],record[製程料號],_018_6XX[[#This Row],[製令單號]],record[ProcessSN],X$1)</f>
        <v>63</v>
      </c>
      <c r="Y13" s="117">
        <f>_018_6XX[[#This Row],[OK]]-_018_6XX[[#This Row],[入庫]]</f>
        <v>0</v>
      </c>
      <c r="Z13" s="117">
        <f>SUMIFS(record[OK],record[製程料號],_018_6XX[[#This Row],[製令單號]],record[ProcessSN],Z$1)</f>
        <v>912</v>
      </c>
      <c r="AA13" s="117">
        <f>_018_6XX[[#This Row],[入庫]]-IFERROR(SUMIF(分料0186XX[第一製程製令],_018_6XX[[#This Row],[製令單號]],分料0186XX[分配數量]),0)</f>
        <v>0</v>
      </c>
      <c r="AB13" s="187"/>
      <c r="AC13" s="117">
        <f>_018_6XX[[#This Row],[NG]]+_018_6XX[[#This Row],['#6 NG]]+_018_6XX[[#This Row],['#5 NG]]+_018_6XX[[#This Row],['#4 NG]]+_018_6XX[[#This Row],['#3 NG]]+_018_6XX[[#This Row],['#7NG]]</f>
        <v>88</v>
      </c>
      <c r="AD13" s="119">
        <f>IF(_018_6XX[[#This Row],[入庫]]+_018_6XX[[#This Row],[總不良數]]=_018_6XX[[#This Row],[入料數]],_018_6XX[[#This Row],[入庫]]/_018_6XX[[#This Row],[入料數]],"")</f>
        <v>0.91200000000000003</v>
      </c>
      <c r="AG13" s="173">
        <v>45707</v>
      </c>
      <c r="AH13" s="127" t="s">
        <v>595</v>
      </c>
      <c r="AI13" s="128" t="s">
        <v>738</v>
      </c>
      <c r="AJ13" s="129" t="s">
        <v>740</v>
      </c>
      <c r="AK13" s="129">
        <v>327</v>
      </c>
    </row>
    <row r="14" spans="1:43" ht="26.25" x14ac:dyDescent="0.25">
      <c r="A14" s="113">
        <v>45902</v>
      </c>
      <c r="B14" s="114" t="s">
        <v>1025</v>
      </c>
      <c r="C14" s="115" t="s">
        <v>506</v>
      </c>
      <c r="D14" s="116">
        <v>1000</v>
      </c>
      <c r="E14" s="117">
        <f>_018_6XX[[#This Row],[入料數]]-_018_6XX[[#This Row],['#03已發料數量]]</f>
        <v>0</v>
      </c>
      <c r="F14" s="117">
        <f>SUMIFS(record[OK],record[製程料號],_018_6XX[[#This Row],[製令單號]],record[ProcessSN],F$1)</f>
        <v>1000</v>
      </c>
      <c r="G14" s="117">
        <f>_018_6XX[[#This Row],['#03已發料數量]]-_018_6XX[[#This Row],['#3 OK]]-_018_6XX[[#This Row],['#3 NG]]</f>
        <v>0</v>
      </c>
      <c r="H14" s="117">
        <f>SUMIFS(record[OK],record[製程料號],_018_6XX[[#This Row],[製令單號]],record[ProcessSN],H$1)</f>
        <v>1000</v>
      </c>
      <c r="I14" s="117">
        <f>SUMIFS(record[NG],record[製程料號],_018_6XX[[#This Row],[製令單號]],record[ProcessSN],I$1)</f>
        <v>0</v>
      </c>
      <c r="J14" s="117">
        <f>_018_6XX[[#This Row],['#3 OK]]-_018_6XX[[#This Row],['#4 OK]]-_018_6XX[[#This Row],['#4 NG]]</f>
        <v>0</v>
      </c>
      <c r="K14" s="117">
        <f>SUMIFS(record[OK],record[製程料號],_018_6XX[[#This Row],[製令單號]],record[ProcessSN],K$1)</f>
        <v>1000</v>
      </c>
      <c r="L14" s="117">
        <f>SUMIFS(record[NG],record[製程料號],_018_6XX[[#This Row],[製令單號]],record[ProcessSN],L$1)</f>
        <v>0</v>
      </c>
      <c r="M14" s="117">
        <f>_018_6XX[[#This Row],['#4 OK]]-_018_6XX[[#This Row],['#5 OK]]-_018_6XX[[#This Row],['#5 NG]]</f>
        <v>0</v>
      </c>
      <c r="N14" s="117">
        <f>SUMIFS(record[OK],record[製程料號],_018_6XX[[#This Row],[製令單號]],record[ProcessSN],N$1)</f>
        <v>1000</v>
      </c>
      <c r="O14" s="117">
        <f>SUMIFS(record[NG],record[製程料號],_018_6XX[[#This Row],[製令單號]],record[ProcessSN],O$1)</f>
        <v>0</v>
      </c>
      <c r="P14" s="117">
        <f>_018_6XX[[#This Row],['#5 OK]]-_018_6XX[[#This Row],['#6 OK]]-_018_6XX[[#This Row],['#6 NG]]</f>
        <v>0</v>
      </c>
      <c r="Q14" s="117">
        <f>SUMIFS(record[OK],record[製程料號],_018_6XX[[#This Row],[製令單號]],record[ProcessSN],Q$1)</f>
        <v>999</v>
      </c>
      <c r="R14" s="117">
        <f>SUMIFS(record[NG],record[製程料號],_018_6XX[[#This Row],[製令單號]],record[ProcessSN],R$1)</f>
        <v>1</v>
      </c>
      <c r="S14" s="117">
        <f>_018_6XX[[#This Row],['#6 OK]]-_018_6XX[[#This Row],['#7NG]]-_018_6XX[[#This Row],['#7OK]]</f>
        <v>0</v>
      </c>
      <c r="T14" s="117">
        <f>SUMIFS(record[OK],record[製程料號],_018_6XX[[#This Row],[製令單號]],record[ProcessSN],T$1)</f>
        <v>999</v>
      </c>
      <c r="U14" s="117">
        <f>SUMIFS(record[NG],record[製程料號],_018_6XX[[#This Row],[製令單號]],record[ProcessSN],U$1)</f>
        <v>0</v>
      </c>
      <c r="V14" s="117">
        <f>_018_6XX[[#This Row],['#7OK]]-_018_6XX[[#This Row],[OK]]-_018_6XX[[#This Row],[NG]]</f>
        <v>0</v>
      </c>
      <c r="W14" s="117">
        <f>SUMIFS(record[OK],record[製程料號],_018_6XX[[#This Row],[製令單號]],record[ProcessSN],W$1)</f>
        <v>998</v>
      </c>
      <c r="X14" s="117">
        <f>SUMIFS(record[NG],record[製程料號],_018_6XX[[#This Row],[製令單號]],record[ProcessSN],X$1)</f>
        <v>1</v>
      </c>
      <c r="Y14" s="117">
        <f>_018_6XX[[#This Row],[OK]]-_018_6XX[[#This Row],[入庫]]</f>
        <v>0</v>
      </c>
      <c r="Z14" s="117">
        <f>SUMIFS(record[OK],record[製程料號],_018_6XX[[#This Row],[製令單號]],record[ProcessSN],Z$1)</f>
        <v>998</v>
      </c>
      <c r="AA14" s="117">
        <f>_018_6XX[[#This Row],[入庫]]-IFERROR(SUMIF(分料0186XX[第一製程製令],_018_6XX[[#This Row],[製令單號]],分料0186XX[分配數量]),0)</f>
        <v>0</v>
      </c>
      <c r="AB14" s="187"/>
      <c r="AC14" s="117">
        <f>_018_6XX[[#This Row],[NG]]+_018_6XX[[#This Row],['#6 NG]]+_018_6XX[[#This Row],['#5 NG]]+_018_6XX[[#This Row],['#4 NG]]+_018_6XX[[#This Row],['#3 NG]]+_018_6XX[[#This Row],['#7NG]]</f>
        <v>2</v>
      </c>
      <c r="AD14" s="119">
        <f>IF(_018_6XX[[#This Row],[入庫]]+_018_6XX[[#This Row],[總不良數]]=_018_6XX[[#This Row],[入料數]],_018_6XX[[#This Row],[入庫]]/_018_6XX[[#This Row],[入料數]],"")</f>
        <v>0.998</v>
      </c>
      <c r="AG14" s="173">
        <v>45709</v>
      </c>
      <c r="AH14" s="127" t="s">
        <v>595</v>
      </c>
      <c r="AI14" s="128" t="s">
        <v>738</v>
      </c>
      <c r="AJ14" s="129" t="s">
        <v>743</v>
      </c>
      <c r="AK14" s="129">
        <v>283</v>
      </c>
    </row>
    <row r="15" spans="1:43" ht="26.25" x14ac:dyDescent="0.25">
      <c r="A15" s="113">
        <v>45924</v>
      </c>
      <c r="B15" s="114" t="s">
        <v>1082</v>
      </c>
      <c r="C15" s="115" t="s">
        <v>506</v>
      </c>
      <c r="D15" s="116">
        <v>54</v>
      </c>
      <c r="E15" s="117">
        <f>_018_6XX[[#This Row],[入料數]]-_018_6XX[[#This Row],['#03已發料數量]]</f>
        <v>0</v>
      </c>
      <c r="F15" s="117">
        <f>SUMIFS(record[OK],record[製程料號],_018_6XX[[#This Row],[製令單號]],record[ProcessSN],F$1)</f>
        <v>54</v>
      </c>
      <c r="G15" s="117">
        <f>_018_6XX[[#This Row],['#03已發料數量]]-_018_6XX[[#This Row],['#3 OK]]-_018_6XX[[#This Row],['#3 NG]]</f>
        <v>0</v>
      </c>
      <c r="H15" s="117">
        <f>SUMIFS(record[OK],record[製程料號],_018_6XX[[#This Row],[製令單號]],record[ProcessSN],H$1)</f>
        <v>54</v>
      </c>
      <c r="I15" s="117">
        <f>SUMIFS(record[NG],record[製程料號],_018_6XX[[#This Row],[製令單號]],record[ProcessSN],I$1)</f>
        <v>0</v>
      </c>
      <c r="J15" s="117">
        <f>_018_6XX[[#This Row],['#3 OK]]-_018_6XX[[#This Row],['#4 OK]]-_018_6XX[[#This Row],['#4 NG]]</f>
        <v>0</v>
      </c>
      <c r="K15" s="117">
        <f>SUMIFS(record[OK],record[製程料號],_018_6XX[[#This Row],[製令單號]],record[ProcessSN],K$1)</f>
        <v>54</v>
      </c>
      <c r="L15" s="117">
        <f>SUMIFS(record[NG],record[製程料號],_018_6XX[[#This Row],[製令單號]],record[ProcessSN],L$1)</f>
        <v>0</v>
      </c>
      <c r="M15" s="117">
        <f>_018_6XX[[#This Row],['#4 OK]]-_018_6XX[[#This Row],['#5 OK]]-_018_6XX[[#This Row],['#5 NG]]</f>
        <v>0</v>
      </c>
      <c r="N15" s="117">
        <f>SUMIFS(record[OK],record[製程料號],_018_6XX[[#This Row],[製令單號]],record[ProcessSN],N$1)</f>
        <v>54</v>
      </c>
      <c r="O15" s="117">
        <f>SUMIFS(record[NG],record[製程料號],_018_6XX[[#This Row],[製令單號]],record[ProcessSN],O$1)</f>
        <v>0</v>
      </c>
      <c r="P15" s="117">
        <f>_018_6XX[[#This Row],['#5 OK]]-_018_6XX[[#This Row],['#6 OK]]-_018_6XX[[#This Row],['#6 NG]]</f>
        <v>0</v>
      </c>
      <c r="Q15" s="117">
        <f>SUMIFS(record[OK],record[製程料號],_018_6XX[[#This Row],[製令單號]],record[ProcessSN],Q$1)</f>
        <v>54</v>
      </c>
      <c r="R15" s="117">
        <f>SUMIFS(record[NG],record[製程料號],_018_6XX[[#This Row],[製令單號]],record[ProcessSN],R$1)</f>
        <v>0</v>
      </c>
      <c r="S15" s="117">
        <f>_018_6XX[[#This Row],['#6 OK]]-_018_6XX[[#This Row],['#7NG]]-_018_6XX[[#This Row],['#7OK]]</f>
        <v>0</v>
      </c>
      <c r="T15" s="117">
        <f>SUMIFS(record[OK],record[製程料號],_018_6XX[[#This Row],[製令單號]],record[ProcessSN],T$1)</f>
        <v>54</v>
      </c>
      <c r="U15" s="117">
        <f>SUMIFS(record[NG],record[製程料號],_018_6XX[[#This Row],[製令單號]],record[ProcessSN],U$1)</f>
        <v>0</v>
      </c>
      <c r="V15" s="117">
        <f>_018_6XX[[#This Row],['#7OK]]-_018_6XX[[#This Row],[OK]]-_018_6XX[[#This Row],[NG]]</f>
        <v>0</v>
      </c>
      <c r="W15" s="117">
        <f>SUMIFS(record[OK],record[製程料號],_018_6XX[[#This Row],[製令單號]],record[ProcessSN],W$1)</f>
        <v>54</v>
      </c>
      <c r="X15" s="117">
        <f>SUMIFS(record[NG],record[製程料號],_018_6XX[[#This Row],[製令單號]],record[ProcessSN],X$1)</f>
        <v>0</v>
      </c>
      <c r="Y15" s="117">
        <f>_018_6XX[[#This Row],[OK]]-_018_6XX[[#This Row],[入庫]]</f>
        <v>0</v>
      </c>
      <c r="Z15" s="117">
        <f>SUMIFS(record[OK],record[製程料號],_018_6XX[[#This Row],[製令單號]],record[ProcessSN],Z$1)</f>
        <v>54</v>
      </c>
      <c r="AA15" s="117">
        <f>_018_6XX[[#This Row],[入庫]]-IFERROR(SUMIF(分料0186XX[第一製程製令],_018_6XX[[#This Row],[製令單號]],分料0186XX[分配數量]),0)</f>
        <v>0</v>
      </c>
      <c r="AB15" s="187"/>
      <c r="AC15" s="117">
        <f>_018_6XX[[#This Row],[NG]]+_018_6XX[[#This Row],['#6 NG]]+_018_6XX[[#This Row],['#5 NG]]+_018_6XX[[#This Row],['#4 NG]]+_018_6XX[[#This Row],['#3 NG]]+_018_6XX[[#This Row],['#7NG]]</f>
        <v>0</v>
      </c>
      <c r="AD15" s="119">
        <f>IF(_018_6XX[[#This Row],[入庫]]+_018_6XX[[#This Row],[總不良數]]=_018_6XX[[#This Row],[入料數]],_018_6XX[[#This Row],[入庫]]/_018_6XX[[#This Row],[入料數]],"")</f>
        <v>1</v>
      </c>
      <c r="AG15" s="173">
        <v>45800</v>
      </c>
      <c r="AH15" s="127" t="s">
        <v>771</v>
      </c>
      <c r="AI15" s="128" t="s">
        <v>738</v>
      </c>
      <c r="AJ15" s="129" t="s">
        <v>810</v>
      </c>
      <c r="AK15" s="129">
        <v>4</v>
      </c>
    </row>
    <row r="16" spans="1:43" ht="26.25" x14ac:dyDescent="0.25">
      <c r="A16" s="113">
        <v>45933</v>
      </c>
      <c r="B16" s="114" t="s">
        <v>1099</v>
      </c>
      <c r="C16" s="115" t="s">
        <v>506</v>
      </c>
      <c r="D16" s="116">
        <v>2500</v>
      </c>
      <c r="E16" s="117">
        <f>_018_6XX[[#This Row],[入料數]]-_018_6XX[[#This Row],['#03已發料數量]]</f>
        <v>0</v>
      </c>
      <c r="F16" s="117">
        <f>SUMIFS(record[OK],record[製程料號],_018_6XX[[#This Row],[製令單號]],record[ProcessSN],F$1)</f>
        <v>2500</v>
      </c>
      <c r="G16" s="117">
        <f>_018_6XX[[#This Row],['#03已發料數量]]-_018_6XX[[#This Row],['#3 OK]]-_018_6XX[[#This Row],['#3 NG]]</f>
        <v>0</v>
      </c>
      <c r="H16" s="117">
        <f>SUMIFS(record[OK],record[製程料號],_018_6XX[[#This Row],[製令單號]],record[ProcessSN],H$1)</f>
        <v>2500</v>
      </c>
      <c r="I16" s="117">
        <f>SUMIFS(record[NG],record[製程料號],_018_6XX[[#This Row],[製令單號]],record[ProcessSN],I$1)</f>
        <v>0</v>
      </c>
      <c r="J16" s="117">
        <f>_018_6XX[[#This Row],['#3 OK]]-_018_6XX[[#This Row],['#4 OK]]-_018_6XX[[#This Row],['#4 NG]]</f>
        <v>0</v>
      </c>
      <c r="K16" s="117">
        <f>SUMIFS(record[OK],record[製程料號],_018_6XX[[#This Row],[製令單號]],record[ProcessSN],K$1)</f>
        <v>2480</v>
      </c>
      <c r="L16" s="117">
        <f>SUMIFS(record[NG],record[製程料號],_018_6XX[[#This Row],[製令單號]],record[ProcessSN],L$1)</f>
        <v>20</v>
      </c>
      <c r="M16" s="117">
        <f>_018_6XX[[#This Row],['#4 OK]]-_018_6XX[[#This Row],['#5 OK]]-_018_6XX[[#This Row],['#5 NG]]</f>
        <v>0</v>
      </c>
      <c r="N16" s="117">
        <f>SUMIFS(record[OK],record[製程料號],_018_6XX[[#This Row],[製令單號]],record[ProcessSN],N$1)</f>
        <v>2477</v>
      </c>
      <c r="O16" s="117">
        <f>SUMIFS(record[NG],record[製程料號],_018_6XX[[#This Row],[製令單號]],record[ProcessSN],O$1)</f>
        <v>3</v>
      </c>
      <c r="P16" s="117">
        <f>_018_6XX[[#This Row],['#5 OK]]-_018_6XX[[#This Row],['#6 OK]]-_018_6XX[[#This Row],['#6 NG]]</f>
        <v>0</v>
      </c>
      <c r="Q16" s="117">
        <f>SUMIFS(record[OK],record[製程料號],_018_6XX[[#This Row],[製令單號]],record[ProcessSN],Q$1)</f>
        <v>2442</v>
      </c>
      <c r="R16" s="117">
        <f>SUMIFS(record[NG],record[製程料號],_018_6XX[[#This Row],[製令單號]],record[ProcessSN],R$1)</f>
        <v>35</v>
      </c>
      <c r="S16" s="117">
        <f>_018_6XX[[#This Row],['#6 OK]]-_018_6XX[[#This Row],['#7NG]]-_018_6XX[[#This Row],['#7OK]]</f>
        <v>0</v>
      </c>
      <c r="T16" s="117">
        <f>SUMIFS(record[OK],record[製程料號],_018_6XX[[#This Row],[製令單號]],record[ProcessSN],T$1)</f>
        <v>2421</v>
      </c>
      <c r="U16" s="117">
        <f>SUMIFS(record[NG],record[製程料號],_018_6XX[[#This Row],[製令單號]],record[ProcessSN],U$1)</f>
        <v>21</v>
      </c>
      <c r="V16" s="117">
        <f>_018_6XX[[#This Row],['#7OK]]-_018_6XX[[#This Row],[OK]]-_018_6XX[[#This Row],[NG]]</f>
        <v>0</v>
      </c>
      <c r="W16" s="117">
        <f>SUMIFS(record[OK],record[製程料號],_018_6XX[[#This Row],[製令單號]],record[ProcessSN],W$1)</f>
        <v>2406</v>
      </c>
      <c r="X16" s="117">
        <f>SUMIFS(record[NG],record[製程料號],_018_6XX[[#This Row],[製令單號]],record[ProcessSN],X$1)</f>
        <v>15</v>
      </c>
      <c r="Y16" s="117">
        <f>_018_6XX[[#This Row],[OK]]-_018_6XX[[#This Row],[入庫]]</f>
        <v>0</v>
      </c>
      <c r="Z16" s="117">
        <f>SUMIFS(record[OK],record[製程料號],_018_6XX[[#This Row],[製令單號]],record[ProcessSN],Z$1)</f>
        <v>2406</v>
      </c>
      <c r="AA16" s="117">
        <f>_018_6XX[[#This Row],[入庫]]-IFERROR(SUMIF(分料0186XX[第一製程製令],_018_6XX[[#This Row],[製令單號]],分料0186XX[分配數量]),0)</f>
        <v>0</v>
      </c>
      <c r="AB16" s="187"/>
      <c r="AC16" s="117">
        <f>_018_6XX[[#This Row],[NG]]+_018_6XX[[#This Row],['#6 NG]]+_018_6XX[[#This Row],['#5 NG]]+_018_6XX[[#This Row],['#4 NG]]+_018_6XX[[#This Row],['#3 NG]]+_018_6XX[[#This Row],['#7NG]]</f>
        <v>94</v>
      </c>
      <c r="AD16" s="119">
        <f>IF(_018_6XX[[#This Row],[入庫]]+_018_6XX[[#This Row],[總不良數]]=_018_6XX[[#This Row],[入料數]],_018_6XX[[#This Row],[入庫]]/_018_6XX[[#This Row],[入料數]],"")</f>
        <v>0.96240000000000003</v>
      </c>
      <c r="AG16" s="173">
        <v>45800</v>
      </c>
      <c r="AH16" s="127" t="s">
        <v>777</v>
      </c>
      <c r="AI16" s="128" t="s">
        <v>738</v>
      </c>
      <c r="AJ16" s="129" t="s">
        <v>810</v>
      </c>
      <c r="AK16" s="129">
        <v>157</v>
      </c>
    </row>
    <row r="17" spans="1:37" ht="26.25" x14ac:dyDescent="0.25">
      <c r="A17" s="113">
        <v>46002</v>
      </c>
      <c r="B17" s="114" t="s">
        <v>1324</v>
      </c>
      <c r="C17" s="115" t="s">
        <v>506</v>
      </c>
      <c r="D17" s="116">
        <v>827</v>
      </c>
      <c r="E17" s="117">
        <f>_018_6XX[[#This Row],[入料數]]-_018_6XX[[#This Row],['#03已發料數量]]</f>
        <v>0</v>
      </c>
      <c r="F17" s="117">
        <f>SUMIFS(record[OK],record[製程料號],_018_6XX[[#This Row],[製令單號]],record[ProcessSN],F$1)</f>
        <v>827</v>
      </c>
      <c r="G17" s="117">
        <f>_018_6XX[[#This Row],['#03已發料數量]]-_018_6XX[[#This Row],['#3 OK]]-_018_6XX[[#This Row],['#3 NG]]</f>
        <v>0</v>
      </c>
      <c r="H17" s="117">
        <f>SUMIFS(record[OK],record[製程料號],_018_6XX[[#This Row],[製令單號]],record[ProcessSN],H$1)</f>
        <v>827</v>
      </c>
      <c r="I17" s="117">
        <f>SUMIFS(record[NG],record[製程料號],_018_6XX[[#This Row],[製令單號]],record[ProcessSN],I$1)</f>
        <v>0</v>
      </c>
      <c r="J17" s="117">
        <f>_018_6XX[[#This Row],['#3 OK]]-_018_6XX[[#This Row],['#4 OK]]-_018_6XX[[#This Row],['#4 NG]]</f>
        <v>0</v>
      </c>
      <c r="K17" s="117">
        <f>SUMIFS(record[OK],record[製程料號],_018_6XX[[#This Row],[製令單號]],record[ProcessSN],K$1)</f>
        <v>827</v>
      </c>
      <c r="L17" s="117">
        <f>SUMIFS(record[NG],record[製程料號],_018_6XX[[#This Row],[製令單號]],record[ProcessSN],L$1)</f>
        <v>0</v>
      </c>
      <c r="M17" s="117">
        <f>_018_6XX[[#This Row],['#4 OK]]-_018_6XX[[#This Row],['#5 OK]]-_018_6XX[[#This Row],['#5 NG]]</f>
        <v>0</v>
      </c>
      <c r="N17" s="117">
        <f>SUMIFS(record[OK],record[製程料號],_018_6XX[[#This Row],[製令單號]],record[ProcessSN],N$1)</f>
        <v>824</v>
      </c>
      <c r="O17" s="117">
        <f>SUMIFS(record[NG],record[製程料號],_018_6XX[[#This Row],[製令單號]],record[ProcessSN],O$1)</f>
        <v>3</v>
      </c>
      <c r="P17" s="117">
        <f>_018_6XX[[#This Row],['#5 OK]]-_018_6XX[[#This Row],['#6 OK]]-_018_6XX[[#This Row],['#6 NG]]</f>
        <v>0</v>
      </c>
      <c r="Q17" s="117">
        <f>SUMIFS(record[OK],record[製程料號],_018_6XX[[#This Row],[製令單號]],record[ProcessSN],Q$1)</f>
        <v>819</v>
      </c>
      <c r="R17" s="117">
        <f>SUMIFS(record[NG],record[製程料號],_018_6XX[[#This Row],[製令單號]],record[ProcessSN],R$1)</f>
        <v>5</v>
      </c>
      <c r="S17" s="117">
        <f>_018_6XX[[#This Row],['#6 OK]]-_018_6XX[[#This Row],['#7NG]]-_018_6XX[[#This Row],['#7OK]]</f>
        <v>0</v>
      </c>
      <c r="T17" s="117">
        <f>SUMIFS(record[OK],record[製程料號],_018_6XX[[#This Row],[製令單號]],record[ProcessSN],T$1)</f>
        <v>800</v>
      </c>
      <c r="U17" s="117">
        <f>SUMIFS(record[NG],record[製程料號],_018_6XX[[#This Row],[製令單號]],record[ProcessSN],U$1)</f>
        <v>19</v>
      </c>
      <c r="V17" s="117">
        <f>_018_6XX[[#This Row],['#7OK]]-_018_6XX[[#This Row],[OK]]-_018_6XX[[#This Row],[NG]]</f>
        <v>0</v>
      </c>
      <c r="W17" s="117">
        <f>SUMIFS(record[OK],record[製程料號],_018_6XX[[#This Row],[製令單號]],record[ProcessSN],W$1)</f>
        <v>686</v>
      </c>
      <c r="X17" s="117">
        <f>SUMIFS(record[NG],record[製程料號],_018_6XX[[#This Row],[製令單號]],record[ProcessSN],X$1)</f>
        <v>114</v>
      </c>
      <c r="Y17" s="117">
        <f>_018_6XX[[#This Row],[OK]]-_018_6XX[[#This Row],[入庫]]</f>
        <v>0</v>
      </c>
      <c r="Z17" s="117">
        <f>SUMIFS(record[OK],record[製程料號],_018_6XX[[#This Row],[製令單號]],record[ProcessSN],Z$1)</f>
        <v>686</v>
      </c>
      <c r="AA17" s="117">
        <f>_018_6XX[[#This Row],[入庫]]-IFERROR(SUMIF(分料0186XX[第一製程製令],_018_6XX[[#This Row],[製令單號]],分料0186XX[分配數量]),0)</f>
        <v>0</v>
      </c>
      <c r="AB17" s="187"/>
      <c r="AC17" s="117">
        <f>_018_6XX[[#This Row],[NG]]+_018_6XX[[#This Row],['#6 NG]]+_018_6XX[[#This Row],['#5 NG]]+_018_6XX[[#This Row],['#4 NG]]+_018_6XX[[#This Row],['#3 NG]]+_018_6XX[[#This Row],['#7NG]]</f>
        <v>141</v>
      </c>
      <c r="AD17" s="119">
        <f>IF(_018_6XX[[#This Row],[入庫]]+_018_6XX[[#This Row],[總不良數]]=_018_6XX[[#This Row],[入料數]],_018_6XX[[#This Row],[入庫]]/_018_6XX[[#This Row],[入料數]],"")</f>
        <v>0.8295042321644498</v>
      </c>
      <c r="AG17" s="173">
        <v>45805</v>
      </c>
      <c r="AH17" s="127" t="s">
        <v>817</v>
      </c>
      <c r="AI17" s="128" t="s">
        <v>738</v>
      </c>
      <c r="AJ17" s="129" t="s">
        <v>819</v>
      </c>
      <c r="AK17" s="129">
        <v>164</v>
      </c>
    </row>
    <row r="18" spans="1:37" ht="26.25" x14ac:dyDescent="0.25">
      <c r="A18" s="113">
        <v>46003</v>
      </c>
      <c r="B18" s="114" t="s">
        <v>1327</v>
      </c>
      <c r="C18" s="115" t="s">
        <v>506</v>
      </c>
      <c r="D18" s="116">
        <v>336</v>
      </c>
      <c r="E18" s="117">
        <f>_018_6XX[[#This Row],[入料數]]-_018_6XX[[#This Row],['#03已發料數量]]</f>
        <v>0</v>
      </c>
      <c r="F18" s="117">
        <f>SUMIFS(record[OK],record[製程料號],_018_6XX[[#This Row],[製令單號]],record[ProcessSN],F$1)</f>
        <v>336</v>
      </c>
      <c r="G18" s="117">
        <f>_018_6XX[[#This Row],['#03已發料數量]]-_018_6XX[[#This Row],['#3 OK]]-_018_6XX[[#This Row],['#3 NG]]</f>
        <v>0</v>
      </c>
      <c r="H18" s="117">
        <f>SUMIFS(record[OK],record[製程料號],_018_6XX[[#This Row],[製令單號]],record[ProcessSN],H$1)</f>
        <v>336</v>
      </c>
      <c r="I18" s="117">
        <f>SUMIFS(record[NG],record[製程料號],_018_6XX[[#This Row],[製令單號]],record[ProcessSN],I$1)</f>
        <v>0</v>
      </c>
      <c r="J18" s="117">
        <f>_018_6XX[[#This Row],['#3 OK]]-_018_6XX[[#This Row],['#4 OK]]-_018_6XX[[#This Row],['#4 NG]]</f>
        <v>0</v>
      </c>
      <c r="K18" s="117">
        <f>SUMIFS(record[OK],record[製程料號],_018_6XX[[#This Row],[製令單號]],record[ProcessSN],K$1)</f>
        <v>336</v>
      </c>
      <c r="L18" s="117">
        <f>SUMIFS(record[NG],record[製程料號],_018_6XX[[#This Row],[製令單號]],record[ProcessSN],L$1)</f>
        <v>0</v>
      </c>
      <c r="M18" s="117">
        <f>_018_6XX[[#This Row],['#4 OK]]-_018_6XX[[#This Row],['#5 OK]]-_018_6XX[[#This Row],['#5 NG]]</f>
        <v>0</v>
      </c>
      <c r="N18" s="117">
        <f>SUMIFS(record[OK],record[製程料號],_018_6XX[[#This Row],[製令單號]],record[ProcessSN],N$1)</f>
        <v>335</v>
      </c>
      <c r="O18" s="117">
        <f>SUMIFS(record[NG],record[製程料號],_018_6XX[[#This Row],[製令單號]],record[ProcessSN],O$1)</f>
        <v>1</v>
      </c>
      <c r="P18" s="117">
        <f>_018_6XX[[#This Row],['#5 OK]]-_018_6XX[[#This Row],['#6 OK]]-_018_6XX[[#This Row],['#6 NG]]</f>
        <v>0</v>
      </c>
      <c r="Q18" s="117">
        <f>SUMIFS(record[OK],record[製程料號],_018_6XX[[#This Row],[製令單號]],record[ProcessSN],Q$1)</f>
        <v>335</v>
      </c>
      <c r="R18" s="117">
        <f>SUMIFS(record[NG],record[製程料號],_018_6XX[[#This Row],[製令單號]],record[ProcessSN],R$1)</f>
        <v>0</v>
      </c>
      <c r="S18" s="117">
        <f>_018_6XX[[#This Row],['#6 OK]]-_018_6XX[[#This Row],['#7NG]]-_018_6XX[[#This Row],['#7OK]]</f>
        <v>0</v>
      </c>
      <c r="T18" s="117">
        <f>SUMIFS(record[OK],record[製程料號],_018_6XX[[#This Row],[製令單號]],record[ProcessSN],T$1)</f>
        <v>335</v>
      </c>
      <c r="U18" s="117">
        <f>SUMIFS(record[NG],record[製程料號],_018_6XX[[#This Row],[製令單號]],record[ProcessSN],U$1)</f>
        <v>0</v>
      </c>
      <c r="V18" s="117">
        <f>_018_6XX[[#This Row],['#7OK]]-_018_6XX[[#This Row],[OK]]-_018_6XX[[#This Row],[NG]]</f>
        <v>0</v>
      </c>
      <c r="W18" s="117">
        <f>SUMIFS(record[OK],record[製程料號],_018_6XX[[#This Row],[製令單號]],record[ProcessSN],W$1)</f>
        <v>335</v>
      </c>
      <c r="X18" s="117">
        <f>SUMIFS(record[NG],record[製程料號],_018_6XX[[#This Row],[製令單號]],record[ProcessSN],X$1)</f>
        <v>0</v>
      </c>
      <c r="Y18" s="117">
        <f>_018_6XX[[#This Row],[OK]]-_018_6XX[[#This Row],[入庫]]</f>
        <v>0</v>
      </c>
      <c r="Z18" s="117">
        <f>SUMIFS(record[OK],record[製程料號],_018_6XX[[#This Row],[製令單號]],record[ProcessSN],Z$1)</f>
        <v>335</v>
      </c>
      <c r="AA18" s="117">
        <f>_018_6XX[[#This Row],[入庫]]-IFERROR(SUMIF(分料0186XX[第一製程製令],_018_6XX[[#This Row],[製令單號]],分料0186XX[分配數量]),0)</f>
        <v>0</v>
      </c>
      <c r="AB18" s="187"/>
      <c r="AC18" s="117">
        <f>_018_6XX[[#This Row],[NG]]+_018_6XX[[#This Row],['#6 NG]]+_018_6XX[[#This Row],['#5 NG]]+_018_6XX[[#This Row],['#4 NG]]+_018_6XX[[#This Row],['#3 NG]]+_018_6XX[[#This Row],['#7NG]]</f>
        <v>1</v>
      </c>
      <c r="AD18" s="119">
        <f>IF(_018_6XX[[#This Row],[入庫]]+_018_6XX[[#This Row],[總不良數]]=_018_6XX[[#This Row],[入料數]],_018_6XX[[#This Row],[入庫]]/_018_6XX[[#This Row],[入料數]],"")</f>
        <v>0.99702380952380953</v>
      </c>
      <c r="AG18" s="173">
        <v>45806</v>
      </c>
      <c r="AH18" s="127" t="s">
        <v>779</v>
      </c>
      <c r="AI18" s="128" t="s">
        <v>738</v>
      </c>
      <c r="AJ18" s="129" t="s">
        <v>821</v>
      </c>
      <c r="AK18" s="129">
        <v>147</v>
      </c>
    </row>
    <row r="19" spans="1:37" ht="26.25" x14ac:dyDescent="0.25">
      <c r="A19" s="113">
        <v>46007</v>
      </c>
      <c r="B19" s="114" t="s">
        <v>1333</v>
      </c>
      <c r="C19" s="115" t="s">
        <v>506</v>
      </c>
      <c r="D19" s="116">
        <v>840</v>
      </c>
      <c r="E19" s="117">
        <f>_018_6XX[[#This Row],[入料數]]-_018_6XX[[#This Row],['#03已發料數量]]</f>
        <v>0</v>
      </c>
      <c r="F19" s="117">
        <f>SUMIFS(record[OK],record[製程料號],_018_6XX[[#This Row],[製令單號]],record[ProcessSN],F$1)</f>
        <v>840</v>
      </c>
      <c r="G19" s="117">
        <f>_018_6XX[[#This Row],['#03已發料數量]]-_018_6XX[[#This Row],['#3 OK]]-_018_6XX[[#This Row],['#3 NG]]</f>
        <v>0</v>
      </c>
      <c r="H19" s="117">
        <f>SUMIFS(record[OK],record[製程料號],_018_6XX[[#This Row],[製令單號]],record[ProcessSN],H$1)</f>
        <v>840</v>
      </c>
      <c r="I19" s="117">
        <f>SUMIFS(record[NG],record[製程料號],_018_6XX[[#This Row],[製令單號]],record[ProcessSN],I$1)</f>
        <v>0</v>
      </c>
      <c r="J19" s="117">
        <f>_018_6XX[[#This Row],['#3 OK]]-_018_6XX[[#This Row],['#4 OK]]-_018_6XX[[#This Row],['#4 NG]]</f>
        <v>0</v>
      </c>
      <c r="K19" s="117">
        <f>SUMIFS(record[OK],record[製程料號],_018_6XX[[#This Row],[製令單號]],record[ProcessSN],K$1)</f>
        <v>837</v>
      </c>
      <c r="L19" s="117">
        <f>SUMIFS(record[NG],record[製程料號],_018_6XX[[#This Row],[製令單號]],record[ProcessSN],L$1)</f>
        <v>3</v>
      </c>
      <c r="M19" s="117">
        <f>_018_6XX[[#This Row],['#4 OK]]-_018_6XX[[#This Row],['#5 OK]]-_018_6XX[[#This Row],['#5 NG]]</f>
        <v>0</v>
      </c>
      <c r="N19" s="117">
        <f>SUMIFS(record[OK],record[製程料號],_018_6XX[[#This Row],[製令單號]],record[ProcessSN],N$1)</f>
        <v>837</v>
      </c>
      <c r="O19" s="117">
        <f>SUMIFS(record[NG],record[製程料號],_018_6XX[[#This Row],[製令單號]],record[ProcessSN],O$1)</f>
        <v>0</v>
      </c>
      <c r="P19" s="117">
        <f>_018_6XX[[#This Row],['#5 OK]]-_018_6XX[[#This Row],['#6 OK]]-_018_6XX[[#This Row],['#6 NG]]</f>
        <v>0</v>
      </c>
      <c r="Q19" s="117">
        <f>SUMIFS(record[OK],record[製程料號],_018_6XX[[#This Row],[製令單號]],record[ProcessSN],Q$1)</f>
        <v>835</v>
      </c>
      <c r="R19" s="117">
        <f>SUMIFS(record[NG],record[製程料號],_018_6XX[[#This Row],[製令單號]],record[ProcessSN],R$1)</f>
        <v>2</v>
      </c>
      <c r="S19" s="117">
        <f>_018_6XX[[#This Row],['#6 OK]]-_018_6XX[[#This Row],['#7NG]]-_018_6XX[[#This Row],['#7OK]]</f>
        <v>0</v>
      </c>
      <c r="T19" s="117">
        <f>SUMIFS(record[OK],record[製程料號],_018_6XX[[#This Row],[製令單號]],record[ProcessSN],T$1)</f>
        <v>806</v>
      </c>
      <c r="U19" s="117">
        <f>SUMIFS(record[NG],record[製程料號],_018_6XX[[#This Row],[製令單號]],record[ProcessSN],U$1)</f>
        <v>29</v>
      </c>
      <c r="V19" s="117">
        <f>_018_6XX[[#This Row],['#7OK]]-_018_6XX[[#This Row],[OK]]-_018_6XX[[#This Row],[NG]]</f>
        <v>0</v>
      </c>
      <c r="W19" s="117">
        <f>SUMIFS(record[OK],record[製程料號],_018_6XX[[#This Row],[製令單號]],record[ProcessSN],W$1)</f>
        <v>797</v>
      </c>
      <c r="X19" s="117">
        <f>SUMIFS(record[NG],record[製程料號],_018_6XX[[#This Row],[製令單號]],record[ProcessSN],X$1)</f>
        <v>9</v>
      </c>
      <c r="Y19" s="117">
        <f>_018_6XX[[#This Row],[OK]]-_018_6XX[[#This Row],[入庫]]</f>
        <v>0</v>
      </c>
      <c r="Z19" s="117">
        <f>SUMIFS(record[OK],record[製程料號],_018_6XX[[#This Row],[製令單號]],record[ProcessSN],Z$1)</f>
        <v>797</v>
      </c>
      <c r="AA19" s="117">
        <f>_018_6XX[[#This Row],[入庫]]-IFERROR(SUMIF(分料0186XX[第一製程製令],_018_6XX[[#This Row],[製令單號]],分料0186XX[分配數量]),0)</f>
        <v>0</v>
      </c>
      <c r="AB19" s="187"/>
      <c r="AC19" s="117">
        <f>_018_6XX[[#This Row],[NG]]+_018_6XX[[#This Row],['#6 NG]]+_018_6XX[[#This Row],['#5 NG]]+_018_6XX[[#This Row],['#4 NG]]+_018_6XX[[#This Row],['#3 NG]]+_018_6XX[[#This Row],['#7NG]]</f>
        <v>43</v>
      </c>
      <c r="AD19" s="119">
        <f>IF(_018_6XX[[#This Row],[入庫]]+_018_6XX[[#This Row],[總不良數]]=_018_6XX[[#This Row],[入料數]],_018_6XX[[#This Row],[入庫]]/_018_6XX[[#This Row],[入料數]],"")</f>
        <v>0.94880952380952377</v>
      </c>
      <c r="AG19" s="173">
        <v>45806</v>
      </c>
      <c r="AH19" s="127" t="s">
        <v>779</v>
      </c>
      <c r="AI19" s="128" t="s">
        <v>738</v>
      </c>
      <c r="AJ19" s="129" t="s">
        <v>823</v>
      </c>
      <c r="AK19" s="129">
        <v>164</v>
      </c>
    </row>
    <row r="20" spans="1:37" ht="26.25" x14ac:dyDescent="0.25">
      <c r="A20" s="113">
        <v>46008</v>
      </c>
      <c r="B20" s="114" t="s">
        <v>1338</v>
      </c>
      <c r="C20" s="115" t="s">
        <v>506</v>
      </c>
      <c r="D20" s="116">
        <v>180</v>
      </c>
      <c r="E20" s="117">
        <f>_018_6XX[[#This Row],[入料數]]-_018_6XX[[#This Row],['#03已發料數量]]</f>
        <v>0</v>
      </c>
      <c r="F20" s="117">
        <f>SUMIFS(record[OK],record[製程料號],_018_6XX[[#This Row],[製令單號]],record[ProcessSN],F$1)</f>
        <v>180</v>
      </c>
      <c r="G20" s="117">
        <f>_018_6XX[[#This Row],['#03已發料數量]]-_018_6XX[[#This Row],['#3 OK]]-_018_6XX[[#This Row],['#3 NG]]</f>
        <v>0</v>
      </c>
      <c r="H20" s="117">
        <f>SUMIFS(record[OK],record[製程料號],_018_6XX[[#This Row],[製令單號]],record[ProcessSN],H$1)</f>
        <v>180</v>
      </c>
      <c r="I20" s="117">
        <f>SUMIFS(record[NG],record[製程料號],_018_6XX[[#This Row],[製令單號]],record[ProcessSN],I$1)</f>
        <v>0</v>
      </c>
      <c r="J20" s="117">
        <f>_018_6XX[[#This Row],['#3 OK]]-_018_6XX[[#This Row],['#4 OK]]-_018_6XX[[#This Row],['#4 NG]]</f>
        <v>0</v>
      </c>
      <c r="K20" s="117">
        <f>SUMIFS(record[OK],record[製程料號],_018_6XX[[#This Row],[製令單號]],record[ProcessSN],K$1)</f>
        <v>180</v>
      </c>
      <c r="L20" s="117">
        <f>SUMIFS(record[NG],record[製程料號],_018_6XX[[#This Row],[製令單號]],record[ProcessSN],L$1)</f>
        <v>0</v>
      </c>
      <c r="M20" s="117">
        <f>_018_6XX[[#This Row],['#4 OK]]-_018_6XX[[#This Row],['#5 OK]]-_018_6XX[[#This Row],['#5 NG]]</f>
        <v>0</v>
      </c>
      <c r="N20" s="117">
        <f>SUMIFS(record[OK],record[製程料號],_018_6XX[[#This Row],[製令單號]],record[ProcessSN],N$1)</f>
        <v>180</v>
      </c>
      <c r="O20" s="117">
        <f>SUMIFS(record[NG],record[製程料號],_018_6XX[[#This Row],[製令單號]],record[ProcessSN],O$1)</f>
        <v>0</v>
      </c>
      <c r="P20" s="117">
        <f>_018_6XX[[#This Row],['#5 OK]]-_018_6XX[[#This Row],['#6 OK]]-_018_6XX[[#This Row],['#6 NG]]</f>
        <v>0</v>
      </c>
      <c r="Q20" s="117">
        <f>SUMIFS(record[OK],record[製程料號],_018_6XX[[#This Row],[製令單號]],record[ProcessSN],Q$1)</f>
        <v>178</v>
      </c>
      <c r="R20" s="117">
        <f>SUMIFS(record[NG],record[製程料號],_018_6XX[[#This Row],[製令單號]],record[ProcessSN],R$1)</f>
        <v>2</v>
      </c>
      <c r="S20" s="117">
        <f>_018_6XX[[#This Row],['#6 OK]]-_018_6XX[[#This Row],['#7NG]]-_018_6XX[[#This Row],['#7OK]]</f>
        <v>0</v>
      </c>
      <c r="T20" s="117">
        <f>SUMIFS(record[OK],record[製程料號],_018_6XX[[#This Row],[製令單號]],record[ProcessSN],T$1)</f>
        <v>178</v>
      </c>
      <c r="U20" s="117">
        <f>SUMIFS(record[NG],record[製程料號],_018_6XX[[#This Row],[製令單號]],record[ProcessSN],U$1)</f>
        <v>0</v>
      </c>
      <c r="V20" s="117">
        <f>_018_6XX[[#This Row],['#7OK]]-_018_6XX[[#This Row],[OK]]-_018_6XX[[#This Row],[NG]]</f>
        <v>0</v>
      </c>
      <c r="W20" s="117">
        <f>SUMIFS(record[OK],record[製程料號],_018_6XX[[#This Row],[製令單號]],record[ProcessSN],W$1)</f>
        <v>178</v>
      </c>
      <c r="X20" s="117">
        <f>SUMIFS(record[NG],record[製程料號],_018_6XX[[#This Row],[製令單號]],record[ProcessSN],X$1)</f>
        <v>0</v>
      </c>
      <c r="Y20" s="117">
        <f>_018_6XX[[#This Row],[OK]]-_018_6XX[[#This Row],[入庫]]</f>
        <v>0</v>
      </c>
      <c r="Z20" s="117">
        <f>SUMIFS(record[OK],record[製程料號],_018_6XX[[#This Row],[製令單號]],record[ProcessSN],Z$1)</f>
        <v>178</v>
      </c>
      <c r="AA20" s="117">
        <f>_018_6XX[[#This Row],[入庫]]-IFERROR(SUMIF(分料0186XX[第一製程製令],_018_6XX[[#This Row],[製令單號]],分料0186XX[分配數量]),0)</f>
        <v>0</v>
      </c>
      <c r="AB20" s="187"/>
      <c r="AC20" s="117">
        <f>_018_6XX[[#This Row],[NG]]+_018_6XX[[#This Row],['#6 NG]]+_018_6XX[[#This Row],['#5 NG]]+_018_6XX[[#This Row],['#4 NG]]+_018_6XX[[#This Row],['#3 NG]]+_018_6XX[[#This Row],['#7NG]]</f>
        <v>2</v>
      </c>
      <c r="AD20" s="119">
        <f>IF(_018_6XX[[#This Row],[入庫]]+_018_6XX[[#This Row],[總不良數]]=_018_6XX[[#This Row],[入料數]],_018_6XX[[#This Row],[入庫]]/_018_6XX[[#This Row],[入料數]],"")</f>
        <v>0.98888888888888893</v>
      </c>
      <c r="AG20" s="173">
        <v>45812</v>
      </c>
      <c r="AH20" s="127" t="s">
        <v>777</v>
      </c>
      <c r="AI20" s="128" t="s">
        <v>738</v>
      </c>
      <c r="AJ20" s="129" t="s">
        <v>831</v>
      </c>
      <c r="AK20" s="129">
        <v>261</v>
      </c>
    </row>
    <row r="21" spans="1:37" ht="26.25" x14ac:dyDescent="0.25">
      <c r="A21" s="113">
        <v>46027</v>
      </c>
      <c r="B21" s="114" t="s">
        <v>1417</v>
      </c>
      <c r="C21" s="115" t="s">
        <v>506</v>
      </c>
      <c r="D21" s="116">
        <v>1600</v>
      </c>
      <c r="E21" s="117">
        <f>_018_6XX[[#This Row],[入料數]]-_018_6XX[[#This Row],['#03已發料數量]]</f>
        <v>0</v>
      </c>
      <c r="F21" s="117">
        <f>SUMIFS(record[OK],record[製程料號],_018_6XX[[#This Row],[製令單號]],record[ProcessSN],F$1)</f>
        <v>1600</v>
      </c>
      <c r="G21" s="117">
        <f>_018_6XX[[#This Row],['#03已發料數量]]-_018_6XX[[#This Row],['#3 OK]]-_018_6XX[[#This Row],['#3 NG]]</f>
        <v>0</v>
      </c>
      <c r="H21" s="117">
        <f>SUMIFS(record[OK],record[製程料號],_018_6XX[[#This Row],[製令單號]],record[ProcessSN],H$1)</f>
        <v>1598</v>
      </c>
      <c r="I21" s="117">
        <f>SUMIFS(record[NG],record[製程料號],_018_6XX[[#This Row],[製令單號]],record[ProcessSN],I$1)</f>
        <v>2</v>
      </c>
      <c r="J21" s="117">
        <f>_018_6XX[[#This Row],['#3 OK]]-_018_6XX[[#This Row],['#4 OK]]-_018_6XX[[#This Row],['#4 NG]]</f>
        <v>0</v>
      </c>
      <c r="K21" s="117">
        <f>SUMIFS(record[OK],record[製程料號],_018_6XX[[#This Row],[製令單號]],record[ProcessSN],K$1)</f>
        <v>1583</v>
      </c>
      <c r="L21" s="117">
        <f>SUMIFS(record[NG],record[製程料號],_018_6XX[[#This Row],[製令單號]],record[ProcessSN],L$1)</f>
        <v>15</v>
      </c>
      <c r="M21" s="117">
        <f>_018_6XX[[#This Row],['#4 OK]]-_018_6XX[[#This Row],['#5 OK]]-_018_6XX[[#This Row],['#5 NG]]</f>
        <v>0</v>
      </c>
      <c r="N21" s="117">
        <f>SUMIFS(record[OK],record[製程料號],_018_6XX[[#This Row],[製令單號]],record[ProcessSN],N$1)</f>
        <v>1583</v>
      </c>
      <c r="O21" s="117">
        <f>SUMIFS(record[NG],record[製程料號],_018_6XX[[#This Row],[製令單號]],record[ProcessSN],O$1)</f>
        <v>0</v>
      </c>
      <c r="P21" s="117">
        <f>_018_6XX[[#This Row],['#5 OK]]-_018_6XX[[#This Row],['#6 OK]]-_018_6XX[[#This Row],['#6 NG]]</f>
        <v>0</v>
      </c>
      <c r="Q21" s="117">
        <f>SUMIFS(record[OK],record[製程料號],_018_6XX[[#This Row],[製令單號]],record[ProcessSN],Q$1)</f>
        <v>1583</v>
      </c>
      <c r="R21" s="117">
        <f>SUMIFS(record[NG],record[製程料號],_018_6XX[[#This Row],[製令單號]],record[ProcessSN],R$1)</f>
        <v>0</v>
      </c>
      <c r="S21" s="117">
        <f>_018_6XX[[#This Row],['#6 OK]]-_018_6XX[[#This Row],['#7NG]]-_018_6XX[[#This Row],['#7OK]]</f>
        <v>0</v>
      </c>
      <c r="T21" s="117">
        <f>SUMIFS(record[OK],record[製程料號],_018_6XX[[#This Row],[製令單號]],record[ProcessSN],T$1)</f>
        <v>1555</v>
      </c>
      <c r="U21" s="117">
        <f>SUMIFS(record[NG],record[製程料號],_018_6XX[[#This Row],[製令單號]],record[ProcessSN],U$1)</f>
        <v>28</v>
      </c>
      <c r="V21" s="117">
        <f>_018_6XX[[#This Row],['#7OK]]-_018_6XX[[#This Row],[OK]]-_018_6XX[[#This Row],[NG]]</f>
        <v>0</v>
      </c>
      <c r="W21" s="117">
        <f>SUMIFS(record[OK],record[製程料號],_018_6XX[[#This Row],[製令單號]],record[ProcessSN],W$1)</f>
        <v>1510</v>
      </c>
      <c r="X21" s="117">
        <f>SUMIFS(record[NG],record[製程料號],_018_6XX[[#This Row],[製令單號]],record[ProcessSN],X$1)</f>
        <v>45</v>
      </c>
      <c r="Y21" s="117">
        <f>_018_6XX[[#This Row],[OK]]-_018_6XX[[#This Row],[入庫]]</f>
        <v>0</v>
      </c>
      <c r="Z21" s="117">
        <f>SUMIFS(record[OK],record[製程料號],_018_6XX[[#This Row],[製令單號]],record[ProcessSN],Z$1)</f>
        <v>1510</v>
      </c>
      <c r="AA21" s="117">
        <f>_018_6XX[[#This Row],[入庫]]-IFERROR(SUMIF(分料0186XX[第一製程製令],_018_6XX[[#This Row],[製令單號]],分料0186XX[分配數量]),0)</f>
        <v>0</v>
      </c>
      <c r="AB21" s="187"/>
      <c r="AC21" s="117">
        <f>_018_6XX[[#This Row],[NG]]+_018_6XX[[#This Row],['#6 NG]]+_018_6XX[[#This Row],['#5 NG]]+_018_6XX[[#This Row],['#4 NG]]+_018_6XX[[#This Row],['#3 NG]]+_018_6XX[[#This Row],['#7NG]]</f>
        <v>90</v>
      </c>
      <c r="AD21" s="119">
        <f>IF(_018_6XX[[#This Row],[入庫]]+_018_6XX[[#This Row],[總不良數]]=_018_6XX[[#This Row],[入料數]],_018_6XX[[#This Row],[入庫]]/_018_6XX[[#This Row],[入料數]],"")</f>
        <v>0.94374999999999998</v>
      </c>
      <c r="AG21" s="173">
        <v>45841</v>
      </c>
      <c r="AH21" s="127" t="s">
        <v>864</v>
      </c>
      <c r="AI21" s="128" t="s">
        <v>738</v>
      </c>
      <c r="AJ21" s="129" t="s">
        <v>883</v>
      </c>
      <c r="AK21" s="129">
        <v>161</v>
      </c>
    </row>
    <row r="22" spans="1:37" ht="26.25" x14ac:dyDescent="0.25">
      <c r="A22" s="113">
        <v>46038</v>
      </c>
      <c r="B22" s="114" t="s">
        <v>1474</v>
      </c>
      <c r="C22" s="115" t="s">
        <v>506</v>
      </c>
      <c r="D22" s="116">
        <v>1159</v>
      </c>
      <c r="E22" s="117">
        <f>_018_6XX[[#This Row],[入料數]]-_018_6XX[[#This Row],['#03已發料數量]]</f>
        <v>0</v>
      </c>
      <c r="F22" s="117">
        <f>SUMIFS(record[OK],record[製程料號],_018_6XX[[#This Row],[製令單號]],record[ProcessSN],F$1)</f>
        <v>1159</v>
      </c>
      <c r="G22" s="117">
        <f>_018_6XX[[#This Row],['#03已發料數量]]-_018_6XX[[#This Row],['#3 OK]]-_018_6XX[[#This Row],['#3 NG]]</f>
        <v>0</v>
      </c>
      <c r="H22" s="117">
        <f>SUMIFS(record[OK],record[製程料號],_018_6XX[[#This Row],[製令單號]],record[ProcessSN],H$1)</f>
        <v>1159</v>
      </c>
      <c r="I22" s="117">
        <f>SUMIFS(record[NG],record[製程料號],_018_6XX[[#This Row],[製令單號]],record[ProcessSN],I$1)</f>
        <v>0</v>
      </c>
      <c r="J22" s="117">
        <f>_018_6XX[[#This Row],['#3 OK]]-_018_6XX[[#This Row],['#4 OK]]-_018_6XX[[#This Row],['#4 NG]]</f>
        <v>0</v>
      </c>
      <c r="K22" s="117">
        <f>SUMIFS(record[OK],record[製程料號],_018_6XX[[#This Row],[製令單號]],record[ProcessSN],K$1)</f>
        <v>1159</v>
      </c>
      <c r="L22" s="117">
        <f>SUMIFS(record[NG],record[製程料號],_018_6XX[[#This Row],[製令單號]],record[ProcessSN],L$1)</f>
        <v>0</v>
      </c>
      <c r="M22" s="117">
        <f>_018_6XX[[#This Row],['#4 OK]]-_018_6XX[[#This Row],['#5 OK]]-_018_6XX[[#This Row],['#5 NG]]</f>
        <v>0</v>
      </c>
      <c r="N22" s="117">
        <f>SUMIFS(record[OK],record[製程料號],_018_6XX[[#This Row],[製令單號]],record[ProcessSN],N$1)</f>
        <v>1159</v>
      </c>
      <c r="O22" s="117">
        <f>SUMIFS(record[NG],record[製程料號],_018_6XX[[#This Row],[製令單號]],record[ProcessSN],O$1)</f>
        <v>0</v>
      </c>
      <c r="P22" s="117">
        <f>_018_6XX[[#This Row],['#5 OK]]-_018_6XX[[#This Row],['#6 OK]]-_018_6XX[[#This Row],['#6 NG]]</f>
        <v>0</v>
      </c>
      <c r="Q22" s="117">
        <f>SUMIFS(record[OK],record[製程料號],_018_6XX[[#This Row],[製令單號]],record[ProcessSN],Q$1)</f>
        <v>1159</v>
      </c>
      <c r="R22" s="117">
        <f>SUMIFS(record[NG],record[製程料號],_018_6XX[[#This Row],[製令單號]],record[ProcessSN],R$1)</f>
        <v>0</v>
      </c>
      <c r="S22" s="117">
        <f>_018_6XX[[#This Row],['#6 OK]]-_018_6XX[[#This Row],['#7NG]]-_018_6XX[[#This Row],['#7OK]]</f>
        <v>0</v>
      </c>
      <c r="T22" s="117">
        <f>SUMIFS(record[OK],record[製程料號],_018_6XX[[#This Row],[製令單號]],record[ProcessSN],T$1)</f>
        <v>1152</v>
      </c>
      <c r="U22" s="117">
        <f>SUMIFS(record[NG],record[製程料號],_018_6XX[[#This Row],[製令單號]],record[ProcessSN],U$1)</f>
        <v>7</v>
      </c>
      <c r="V22" s="117">
        <f>_018_6XX[[#This Row],['#7OK]]-_018_6XX[[#This Row],[OK]]-_018_6XX[[#This Row],[NG]]</f>
        <v>0</v>
      </c>
      <c r="W22" s="117">
        <f>SUMIFS(record[OK],record[製程料號],_018_6XX[[#This Row],[製令單號]],record[ProcessSN],W$1)</f>
        <v>1139</v>
      </c>
      <c r="X22" s="117">
        <f>SUMIFS(record[NG],record[製程料號],_018_6XX[[#This Row],[製令單號]],record[ProcessSN],X$1)</f>
        <v>13</v>
      </c>
      <c r="Y22" s="117">
        <f>_018_6XX[[#This Row],[OK]]-_018_6XX[[#This Row],[入庫]]</f>
        <v>0</v>
      </c>
      <c r="Z22" s="117">
        <f>SUMIFS(record[OK],record[製程料號],_018_6XX[[#This Row],[製令單號]],record[ProcessSN],Z$1)</f>
        <v>1139</v>
      </c>
      <c r="AA22" s="117">
        <f>_018_6XX[[#This Row],[入庫]]-IFERROR(SUMIF(分料0186XX[第一製程製令],_018_6XX[[#This Row],[製令單號]],分料0186XX[分配數量]),0)</f>
        <v>0</v>
      </c>
      <c r="AB22" s="187"/>
      <c r="AC22" s="117">
        <f>_018_6XX[[#This Row],[NG]]+_018_6XX[[#This Row],['#6 NG]]+_018_6XX[[#This Row],['#5 NG]]+_018_6XX[[#This Row],['#4 NG]]+_018_6XX[[#This Row],['#3 NG]]+_018_6XX[[#This Row],['#7NG]]</f>
        <v>20</v>
      </c>
      <c r="AD22" s="119">
        <f>IF(_018_6XX[[#This Row],[入庫]]+_018_6XX[[#This Row],[總不良數]]=_018_6XX[[#This Row],[入料數]],_018_6XX[[#This Row],[入庫]]/_018_6XX[[#This Row],[入料數]],"")</f>
        <v>0.9827437446074202</v>
      </c>
      <c r="AG22" s="173">
        <v>45842</v>
      </c>
      <c r="AH22" s="127" t="s">
        <v>864</v>
      </c>
      <c r="AI22" s="128" t="s">
        <v>738</v>
      </c>
      <c r="AJ22" s="129" t="s">
        <v>885</v>
      </c>
      <c r="AK22" s="129">
        <v>328</v>
      </c>
    </row>
    <row r="23" spans="1:37" ht="26.25" x14ac:dyDescent="0.25">
      <c r="A23" s="113">
        <v>46044</v>
      </c>
      <c r="B23" s="114" t="s">
        <v>1493</v>
      </c>
      <c r="C23" s="115" t="s">
        <v>506</v>
      </c>
      <c r="D23" s="116">
        <v>101</v>
      </c>
      <c r="E23" s="117">
        <f>_018_6XX[[#This Row],[入料數]]-_018_6XX[[#This Row],['#03已發料數量]]</f>
        <v>0</v>
      </c>
      <c r="F23" s="117">
        <f>SUMIFS(record[OK],record[製程料號],_018_6XX[[#This Row],[製令單號]],record[ProcessSN],F$1)</f>
        <v>101</v>
      </c>
      <c r="G23" s="117">
        <f>_018_6XX[[#This Row],['#03已發料數量]]-_018_6XX[[#This Row],['#3 OK]]-_018_6XX[[#This Row],['#3 NG]]</f>
        <v>0</v>
      </c>
      <c r="H23" s="117">
        <f>SUMIFS(record[OK],record[製程料號],_018_6XX[[#This Row],[製令單號]],record[ProcessSN],H$1)</f>
        <v>101</v>
      </c>
      <c r="I23" s="117">
        <f>SUMIFS(record[NG],record[製程料號],_018_6XX[[#This Row],[製令單號]],record[ProcessSN],I$1)</f>
        <v>0</v>
      </c>
      <c r="J23" s="117">
        <f>_018_6XX[[#This Row],['#3 OK]]-_018_6XX[[#This Row],['#4 OK]]-_018_6XX[[#This Row],['#4 NG]]</f>
        <v>0</v>
      </c>
      <c r="K23" s="117">
        <f>SUMIFS(record[OK],record[製程料號],_018_6XX[[#This Row],[製令單號]],record[ProcessSN],K$1)</f>
        <v>101</v>
      </c>
      <c r="L23" s="117">
        <f>SUMIFS(record[NG],record[製程料號],_018_6XX[[#This Row],[製令單號]],record[ProcessSN],L$1)</f>
        <v>0</v>
      </c>
      <c r="M23" s="117">
        <f>_018_6XX[[#This Row],['#4 OK]]-_018_6XX[[#This Row],['#5 OK]]-_018_6XX[[#This Row],['#5 NG]]</f>
        <v>0</v>
      </c>
      <c r="N23" s="117">
        <f>SUMIFS(record[OK],record[製程料號],_018_6XX[[#This Row],[製令單號]],record[ProcessSN],N$1)</f>
        <v>101</v>
      </c>
      <c r="O23" s="117">
        <f>SUMIFS(record[NG],record[製程料號],_018_6XX[[#This Row],[製令單號]],record[ProcessSN],O$1)</f>
        <v>0</v>
      </c>
      <c r="P23" s="117">
        <f>_018_6XX[[#This Row],['#5 OK]]-_018_6XX[[#This Row],['#6 OK]]-_018_6XX[[#This Row],['#6 NG]]</f>
        <v>0</v>
      </c>
      <c r="Q23" s="117">
        <f>SUMIFS(record[OK],record[製程料號],_018_6XX[[#This Row],[製令單號]],record[ProcessSN],Q$1)</f>
        <v>101</v>
      </c>
      <c r="R23" s="117">
        <f>SUMIFS(record[NG],record[製程料號],_018_6XX[[#This Row],[製令單號]],record[ProcessSN],R$1)</f>
        <v>0</v>
      </c>
      <c r="S23" s="117">
        <f>_018_6XX[[#This Row],['#6 OK]]-_018_6XX[[#This Row],['#7NG]]-_018_6XX[[#This Row],['#7OK]]</f>
        <v>0</v>
      </c>
      <c r="T23" s="117">
        <f>SUMIFS(record[OK],record[製程料號],_018_6XX[[#This Row],[製令單號]],record[ProcessSN],T$1)</f>
        <v>101</v>
      </c>
      <c r="U23" s="117">
        <f>SUMIFS(record[NG],record[製程料號],_018_6XX[[#This Row],[製令單號]],record[ProcessSN],U$1)</f>
        <v>0</v>
      </c>
      <c r="V23" s="117">
        <f>_018_6XX[[#This Row],['#7OK]]-_018_6XX[[#This Row],[OK]]-_018_6XX[[#This Row],[NG]]</f>
        <v>0</v>
      </c>
      <c r="W23" s="117">
        <f>SUMIFS(record[OK],record[製程料號],_018_6XX[[#This Row],[製令單號]],record[ProcessSN],W$1)</f>
        <v>101</v>
      </c>
      <c r="X23" s="117">
        <f>SUMIFS(record[NG],record[製程料號],_018_6XX[[#This Row],[製令單號]],record[ProcessSN],X$1)</f>
        <v>0</v>
      </c>
      <c r="Y23" s="117">
        <f>_018_6XX[[#This Row],[OK]]-_018_6XX[[#This Row],[入庫]]</f>
        <v>0</v>
      </c>
      <c r="Z23" s="117">
        <f>SUMIFS(record[OK],record[製程料號],_018_6XX[[#This Row],[製令單號]],record[ProcessSN],Z$1)</f>
        <v>101</v>
      </c>
      <c r="AA23" s="117">
        <f>_018_6XX[[#This Row],[入庫]]-IFERROR(SUMIF(分料0186XX[第一製程製令],_018_6XX[[#This Row],[製令單號]],分料0186XX[分配數量]),0)</f>
        <v>0</v>
      </c>
      <c r="AB23" s="187"/>
      <c r="AC23" s="117">
        <f>_018_6XX[[#This Row],[NG]]+_018_6XX[[#This Row],['#6 NG]]+_018_6XX[[#This Row],['#5 NG]]+_018_6XX[[#This Row],['#4 NG]]+_018_6XX[[#This Row],['#3 NG]]+_018_6XX[[#This Row],['#7NG]]</f>
        <v>0</v>
      </c>
      <c r="AD23" s="119">
        <f>IF(_018_6XX[[#This Row],[入庫]]+_018_6XX[[#This Row],[總不良數]]=_018_6XX[[#This Row],[入料數]],_018_6XX[[#This Row],[入庫]]/_018_6XX[[#This Row],[入料數]],"")</f>
        <v>1</v>
      </c>
      <c r="AG23" s="173">
        <v>45848</v>
      </c>
      <c r="AH23" s="127" t="s">
        <v>864</v>
      </c>
      <c r="AI23" s="128" t="s">
        <v>738</v>
      </c>
      <c r="AJ23" s="129" t="s">
        <v>891</v>
      </c>
      <c r="AK23" s="129">
        <v>275</v>
      </c>
    </row>
    <row r="24" spans="1:37" ht="26.25" x14ac:dyDescent="0.25">
      <c r="A24" s="113">
        <v>46045</v>
      </c>
      <c r="B24" s="114" t="s">
        <v>1504</v>
      </c>
      <c r="C24" s="115" t="s">
        <v>506</v>
      </c>
      <c r="D24" s="116">
        <v>298</v>
      </c>
      <c r="E24" s="117">
        <f>_018_6XX[[#This Row],[入料數]]-_018_6XX[[#This Row],['#03已發料數量]]</f>
        <v>0</v>
      </c>
      <c r="F24" s="117">
        <f>SUMIFS(record[OK],record[製程料號],_018_6XX[[#This Row],[製令單號]],record[ProcessSN],F$1)</f>
        <v>298</v>
      </c>
      <c r="G24" s="117">
        <f>_018_6XX[[#This Row],['#03已發料數量]]-_018_6XX[[#This Row],['#3 OK]]-_018_6XX[[#This Row],['#3 NG]]</f>
        <v>0</v>
      </c>
      <c r="H24" s="117">
        <f>SUMIFS(record[OK],record[製程料號],_018_6XX[[#This Row],[製令單號]],record[ProcessSN],H$1)</f>
        <v>298</v>
      </c>
      <c r="I24" s="117">
        <f>SUMIFS(record[NG],record[製程料號],_018_6XX[[#This Row],[製令單號]],record[ProcessSN],I$1)</f>
        <v>0</v>
      </c>
      <c r="J24" s="117">
        <f>_018_6XX[[#This Row],['#3 OK]]-_018_6XX[[#This Row],['#4 OK]]-_018_6XX[[#This Row],['#4 NG]]</f>
        <v>0</v>
      </c>
      <c r="K24" s="117">
        <f>SUMIFS(record[OK],record[製程料號],_018_6XX[[#This Row],[製令單號]],record[ProcessSN],K$1)</f>
        <v>297</v>
      </c>
      <c r="L24" s="117">
        <f>SUMIFS(record[NG],record[製程料號],_018_6XX[[#This Row],[製令單號]],record[ProcessSN],L$1)</f>
        <v>1</v>
      </c>
      <c r="M24" s="117">
        <f>_018_6XX[[#This Row],['#4 OK]]-_018_6XX[[#This Row],['#5 OK]]-_018_6XX[[#This Row],['#5 NG]]</f>
        <v>0</v>
      </c>
      <c r="N24" s="117">
        <f>SUMIFS(record[OK],record[製程料號],_018_6XX[[#This Row],[製令單號]],record[ProcessSN],N$1)</f>
        <v>297</v>
      </c>
      <c r="O24" s="117">
        <f>SUMIFS(record[NG],record[製程料號],_018_6XX[[#This Row],[製令單號]],record[ProcessSN],O$1)</f>
        <v>0</v>
      </c>
      <c r="P24" s="117">
        <f>_018_6XX[[#This Row],['#5 OK]]-_018_6XX[[#This Row],['#6 OK]]-_018_6XX[[#This Row],['#6 NG]]</f>
        <v>0</v>
      </c>
      <c r="Q24" s="117">
        <f>SUMIFS(record[OK],record[製程料號],_018_6XX[[#This Row],[製令單號]],record[ProcessSN],Q$1)</f>
        <v>296</v>
      </c>
      <c r="R24" s="117">
        <f>SUMIFS(record[NG],record[製程料號],_018_6XX[[#This Row],[製令單號]],record[ProcessSN],R$1)</f>
        <v>1</v>
      </c>
      <c r="S24" s="117">
        <f>_018_6XX[[#This Row],['#6 OK]]-_018_6XX[[#This Row],['#7NG]]-_018_6XX[[#This Row],['#7OK]]</f>
        <v>0</v>
      </c>
      <c r="T24" s="117">
        <f>SUMIFS(record[OK],record[製程料號],_018_6XX[[#This Row],[製令單號]],record[ProcessSN],T$1)</f>
        <v>289</v>
      </c>
      <c r="U24" s="117">
        <f>SUMIFS(record[NG],record[製程料號],_018_6XX[[#This Row],[製令單號]],record[ProcessSN],U$1)</f>
        <v>7</v>
      </c>
      <c r="V24" s="117">
        <f>_018_6XX[[#This Row],['#7OK]]-_018_6XX[[#This Row],[OK]]-_018_6XX[[#This Row],[NG]]</f>
        <v>0</v>
      </c>
      <c r="W24" s="117">
        <f>SUMIFS(record[OK],record[製程料號],_018_6XX[[#This Row],[製令單號]],record[ProcessSN],W$1)</f>
        <v>287</v>
      </c>
      <c r="X24" s="117">
        <f>SUMIFS(record[NG],record[製程料號],_018_6XX[[#This Row],[製令單號]],record[ProcessSN],X$1)</f>
        <v>2</v>
      </c>
      <c r="Y24" s="117">
        <f>_018_6XX[[#This Row],[OK]]-_018_6XX[[#This Row],[入庫]]</f>
        <v>0</v>
      </c>
      <c r="Z24" s="117">
        <f>SUMIFS(record[OK],record[製程料號],_018_6XX[[#This Row],[製令單號]],record[ProcessSN],Z$1)</f>
        <v>287</v>
      </c>
      <c r="AA24" s="117">
        <f>_018_6XX[[#This Row],[入庫]]-IFERROR(SUMIF(分料0186XX[第一製程製令],_018_6XX[[#This Row],[製令單號]],分料0186XX[分配數量]),0)</f>
        <v>0</v>
      </c>
      <c r="AB24" s="187"/>
      <c r="AC24" s="117">
        <f>_018_6XX[[#This Row],[NG]]+_018_6XX[[#This Row],['#6 NG]]+_018_6XX[[#This Row],['#5 NG]]+_018_6XX[[#This Row],['#4 NG]]+_018_6XX[[#This Row],['#3 NG]]+_018_6XX[[#This Row],['#7NG]]</f>
        <v>11</v>
      </c>
      <c r="AD24" s="119">
        <f>IF(_018_6XX[[#This Row],[入庫]]+_018_6XX[[#This Row],[總不良數]]=_018_6XX[[#This Row],[入料數]],_018_6XX[[#This Row],[入庫]]/_018_6XX[[#This Row],[入料數]],"")</f>
        <v>0.96308724832214765</v>
      </c>
      <c r="AG24" s="173">
        <v>45848</v>
      </c>
      <c r="AH24" s="127" t="s">
        <v>887</v>
      </c>
      <c r="AI24" s="128" t="s">
        <v>738</v>
      </c>
      <c r="AJ24" s="129" t="s">
        <v>891</v>
      </c>
      <c r="AK24" s="129">
        <v>194</v>
      </c>
    </row>
    <row r="25" spans="1:37" ht="26.25" x14ac:dyDescent="0.25">
      <c r="A25" s="113">
        <v>46048</v>
      </c>
      <c r="B25" s="114" t="s">
        <v>1507</v>
      </c>
      <c r="C25" s="115" t="s">
        <v>506</v>
      </c>
      <c r="D25" s="116">
        <v>420</v>
      </c>
      <c r="E25" s="117">
        <f>_018_6XX[[#This Row],[入料數]]-_018_6XX[[#This Row],['#03已發料數量]]</f>
        <v>0</v>
      </c>
      <c r="F25" s="117">
        <f>SUMIFS(record[OK],record[製程料號],_018_6XX[[#This Row],[製令單號]],record[ProcessSN],F$1)</f>
        <v>420</v>
      </c>
      <c r="G25" s="117">
        <f>_018_6XX[[#This Row],['#03已發料數量]]-_018_6XX[[#This Row],['#3 OK]]-_018_6XX[[#This Row],['#3 NG]]</f>
        <v>0</v>
      </c>
      <c r="H25" s="117">
        <f>SUMIFS(record[OK],record[製程料號],_018_6XX[[#This Row],[製令單號]],record[ProcessSN],H$1)</f>
        <v>420</v>
      </c>
      <c r="I25" s="117">
        <f>SUMIFS(record[NG],record[製程料號],_018_6XX[[#This Row],[製令單號]],record[ProcessSN],I$1)</f>
        <v>0</v>
      </c>
      <c r="J25" s="117">
        <f>_018_6XX[[#This Row],['#3 OK]]-_018_6XX[[#This Row],['#4 OK]]-_018_6XX[[#This Row],['#4 NG]]</f>
        <v>0</v>
      </c>
      <c r="K25" s="117">
        <f>SUMIFS(record[OK],record[製程料號],_018_6XX[[#This Row],[製令單號]],record[ProcessSN],K$1)</f>
        <v>414</v>
      </c>
      <c r="L25" s="117">
        <f>SUMIFS(record[NG],record[製程料號],_018_6XX[[#This Row],[製令單號]],record[ProcessSN],L$1)</f>
        <v>6</v>
      </c>
      <c r="M25" s="117">
        <f>_018_6XX[[#This Row],['#4 OK]]-_018_6XX[[#This Row],['#5 OK]]-_018_6XX[[#This Row],['#5 NG]]</f>
        <v>0</v>
      </c>
      <c r="N25" s="117">
        <f>SUMIFS(record[OK],record[製程料號],_018_6XX[[#This Row],[製令單號]],record[ProcessSN],N$1)</f>
        <v>414</v>
      </c>
      <c r="O25" s="117">
        <f>SUMIFS(record[NG],record[製程料號],_018_6XX[[#This Row],[製令單號]],record[ProcessSN],O$1)</f>
        <v>0</v>
      </c>
      <c r="P25" s="117">
        <f>_018_6XX[[#This Row],['#5 OK]]-_018_6XX[[#This Row],['#6 OK]]-_018_6XX[[#This Row],['#6 NG]]</f>
        <v>0</v>
      </c>
      <c r="Q25" s="117">
        <f>SUMIFS(record[OK],record[製程料號],_018_6XX[[#This Row],[製令單號]],record[ProcessSN],Q$1)</f>
        <v>414</v>
      </c>
      <c r="R25" s="117">
        <f>SUMIFS(record[NG],record[製程料號],_018_6XX[[#This Row],[製令單號]],record[ProcessSN],R$1)</f>
        <v>0</v>
      </c>
      <c r="S25" s="117">
        <f>_018_6XX[[#This Row],['#6 OK]]-_018_6XX[[#This Row],['#7NG]]-_018_6XX[[#This Row],['#7OK]]</f>
        <v>0</v>
      </c>
      <c r="T25" s="117">
        <f>SUMIFS(record[OK],record[製程料號],_018_6XX[[#This Row],[製令單號]],record[ProcessSN],T$1)</f>
        <v>407</v>
      </c>
      <c r="U25" s="117">
        <f>SUMIFS(record[NG],record[製程料號],_018_6XX[[#This Row],[製令單號]],record[ProcessSN],U$1)</f>
        <v>7</v>
      </c>
      <c r="V25" s="117">
        <f>_018_6XX[[#This Row],['#7OK]]-_018_6XX[[#This Row],[OK]]-_018_6XX[[#This Row],[NG]]</f>
        <v>0</v>
      </c>
      <c r="W25" s="117">
        <f>SUMIFS(record[OK],record[製程料號],_018_6XX[[#This Row],[製令單號]],record[ProcessSN],W$1)</f>
        <v>387</v>
      </c>
      <c r="X25" s="117">
        <f>SUMIFS(record[NG],record[製程料號],_018_6XX[[#This Row],[製令單號]],record[ProcessSN],X$1)</f>
        <v>20</v>
      </c>
      <c r="Y25" s="117">
        <f>_018_6XX[[#This Row],[OK]]-_018_6XX[[#This Row],[入庫]]</f>
        <v>0</v>
      </c>
      <c r="Z25" s="117">
        <f>SUMIFS(record[OK],record[製程料號],_018_6XX[[#This Row],[製令單號]],record[ProcessSN],Z$1)</f>
        <v>387</v>
      </c>
      <c r="AA25" s="117">
        <f>_018_6XX[[#This Row],[入庫]]-IFERROR(SUMIF(分料0186XX[第一製程製令],_018_6XX[[#This Row],[製令單號]],分料0186XX[分配數量]),0)</f>
        <v>0</v>
      </c>
      <c r="AB25" s="187"/>
      <c r="AC25" s="117">
        <f>_018_6XX[[#This Row],[NG]]+_018_6XX[[#This Row],['#6 NG]]+_018_6XX[[#This Row],['#5 NG]]+_018_6XX[[#This Row],['#4 NG]]+_018_6XX[[#This Row],['#3 NG]]+_018_6XX[[#This Row],['#7NG]]</f>
        <v>33</v>
      </c>
      <c r="AD25" s="119">
        <f>IF(_018_6XX[[#This Row],[入庫]]+_018_6XX[[#This Row],[總不良數]]=_018_6XX[[#This Row],[入料數]],_018_6XX[[#This Row],[入庫]]/_018_6XX[[#This Row],[入料數]],"")</f>
        <v>0.92142857142857137</v>
      </c>
      <c r="AG25" s="173">
        <v>45849</v>
      </c>
      <c r="AH25" s="127" t="s">
        <v>876</v>
      </c>
      <c r="AI25" s="128" t="s">
        <v>738</v>
      </c>
      <c r="AJ25" s="129" t="s">
        <v>894</v>
      </c>
      <c r="AK25" s="129">
        <v>133</v>
      </c>
    </row>
    <row r="26" spans="1:37" ht="26.25" x14ac:dyDescent="0.25">
      <c r="A26" s="113">
        <v>46049</v>
      </c>
      <c r="B26" s="114" t="s">
        <v>1517</v>
      </c>
      <c r="C26" s="115" t="s">
        <v>506</v>
      </c>
      <c r="D26" s="116">
        <v>446</v>
      </c>
      <c r="E26" s="117">
        <f>_018_6XX[[#This Row],[入料數]]-_018_6XX[[#This Row],['#03已發料數量]]</f>
        <v>0</v>
      </c>
      <c r="F26" s="117">
        <f>SUMIFS(record[OK],record[製程料號],_018_6XX[[#This Row],[製令單號]],record[ProcessSN],F$1)</f>
        <v>446</v>
      </c>
      <c r="G26" s="117">
        <f>_018_6XX[[#This Row],['#03已發料數量]]-_018_6XX[[#This Row],['#3 OK]]-_018_6XX[[#This Row],['#3 NG]]</f>
        <v>0</v>
      </c>
      <c r="H26" s="117">
        <f>SUMIFS(record[OK],record[製程料號],_018_6XX[[#This Row],[製令單號]],record[ProcessSN],H$1)</f>
        <v>446</v>
      </c>
      <c r="I26" s="117">
        <f>SUMIFS(record[NG],record[製程料號],_018_6XX[[#This Row],[製令單號]],record[ProcessSN],I$1)</f>
        <v>0</v>
      </c>
      <c r="J26" s="117">
        <f>_018_6XX[[#This Row],['#3 OK]]-_018_6XX[[#This Row],['#4 OK]]-_018_6XX[[#This Row],['#4 NG]]</f>
        <v>0</v>
      </c>
      <c r="K26" s="117">
        <f>SUMIFS(record[OK],record[製程料號],_018_6XX[[#This Row],[製令單號]],record[ProcessSN],K$1)</f>
        <v>446</v>
      </c>
      <c r="L26" s="117">
        <f>SUMIFS(record[NG],record[製程料號],_018_6XX[[#This Row],[製令單號]],record[ProcessSN],L$1)</f>
        <v>0</v>
      </c>
      <c r="M26" s="117">
        <f>_018_6XX[[#This Row],['#4 OK]]-_018_6XX[[#This Row],['#5 OK]]-_018_6XX[[#This Row],['#5 NG]]</f>
        <v>0</v>
      </c>
      <c r="N26" s="117">
        <f>SUMIFS(record[OK],record[製程料號],_018_6XX[[#This Row],[製令單號]],record[ProcessSN],N$1)</f>
        <v>446</v>
      </c>
      <c r="O26" s="117">
        <f>SUMIFS(record[NG],record[製程料號],_018_6XX[[#This Row],[製令單號]],record[ProcessSN],O$1)</f>
        <v>0</v>
      </c>
      <c r="P26" s="117">
        <f>_018_6XX[[#This Row],['#5 OK]]-_018_6XX[[#This Row],['#6 OK]]-_018_6XX[[#This Row],['#6 NG]]</f>
        <v>0</v>
      </c>
      <c r="Q26" s="117">
        <f>SUMIFS(record[OK],record[製程料號],_018_6XX[[#This Row],[製令單號]],record[ProcessSN],Q$1)</f>
        <v>446</v>
      </c>
      <c r="R26" s="117">
        <f>SUMIFS(record[NG],record[製程料號],_018_6XX[[#This Row],[製令單號]],record[ProcessSN],R$1)</f>
        <v>0</v>
      </c>
      <c r="S26" s="117">
        <f>_018_6XX[[#This Row],['#6 OK]]-_018_6XX[[#This Row],['#7NG]]-_018_6XX[[#This Row],['#7OK]]</f>
        <v>0</v>
      </c>
      <c r="T26" s="117">
        <f>SUMIFS(record[OK],record[製程料號],_018_6XX[[#This Row],[製令單號]],record[ProcessSN],T$1)</f>
        <v>442</v>
      </c>
      <c r="U26" s="117">
        <f>SUMIFS(record[NG],record[製程料號],_018_6XX[[#This Row],[製令單號]],record[ProcessSN],U$1)</f>
        <v>4</v>
      </c>
      <c r="V26" s="117">
        <f>_018_6XX[[#This Row],['#7OK]]-_018_6XX[[#This Row],[OK]]-_018_6XX[[#This Row],[NG]]</f>
        <v>0</v>
      </c>
      <c r="W26" s="117">
        <f>SUMIFS(record[OK],record[製程料號],_018_6XX[[#This Row],[製令單號]],record[ProcessSN],W$1)</f>
        <v>439</v>
      </c>
      <c r="X26" s="117">
        <f>SUMIFS(record[NG],record[製程料號],_018_6XX[[#This Row],[製令單號]],record[ProcessSN],X$1)</f>
        <v>3</v>
      </c>
      <c r="Y26" s="117">
        <f>_018_6XX[[#This Row],[OK]]-_018_6XX[[#This Row],[入庫]]</f>
        <v>0</v>
      </c>
      <c r="Z26" s="117">
        <f>SUMIFS(record[OK],record[製程料號],_018_6XX[[#This Row],[製令單號]],record[ProcessSN],Z$1)</f>
        <v>439</v>
      </c>
      <c r="AA26" s="117">
        <f>_018_6XX[[#This Row],[入庫]]-IFERROR(SUMIF(分料0186XX[第一製程製令],_018_6XX[[#This Row],[製令單號]],分料0186XX[分配數量]),0)</f>
        <v>0</v>
      </c>
      <c r="AB26" s="187"/>
      <c r="AC26" s="117">
        <f>_018_6XX[[#This Row],[NG]]+_018_6XX[[#This Row],['#6 NG]]+_018_6XX[[#This Row],['#5 NG]]+_018_6XX[[#This Row],['#4 NG]]+_018_6XX[[#This Row],['#3 NG]]+_018_6XX[[#This Row],['#7NG]]</f>
        <v>7</v>
      </c>
      <c r="AD26" s="119">
        <f>IF(_018_6XX[[#This Row],[入庫]]+_018_6XX[[#This Row],[總不良數]]=_018_6XX[[#This Row],[入料數]],_018_6XX[[#This Row],[入庫]]/_018_6XX[[#This Row],[入料數]],"")</f>
        <v>0.98430493273542596</v>
      </c>
      <c r="AG26" s="173">
        <v>45868</v>
      </c>
      <c r="AH26" s="127" t="s">
        <v>865</v>
      </c>
      <c r="AI26" s="128" t="s">
        <v>738</v>
      </c>
      <c r="AJ26" s="129" t="s">
        <v>934</v>
      </c>
      <c r="AK26" s="129">
        <v>3</v>
      </c>
    </row>
    <row r="27" spans="1:37" ht="26.25" x14ac:dyDescent="0.25">
      <c r="A27" s="113">
        <v>46050</v>
      </c>
      <c r="B27" s="114" t="s">
        <v>1527</v>
      </c>
      <c r="C27" s="115" t="s">
        <v>506</v>
      </c>
      <c r="D27" s="116">
        <v>1300</v>
      </c>
      <c r="E27" s="117">
        <f>_018_6XX[[#This Row],[入料數]]-_018_6XX[[#This Row],['#03已發料數量]]</f>
        <v>0</v>
      </c>
      <c r="F27" s="117">
        <f>SUMIFS(record[OK],record[製程料號],_018_6XX[[#This Row],[製令單號]],record[ProcessSN],F$1)</f>
        <v>1300</v>
      </c>
      <c r="G27" s="117">
        <f>_018_6XX[[#This Row],['#03已發料數量]]-_018_6XX[[#This Row],['#3 OK]]-_018_6XX[[#This Row],['#3 NG]]</f>
        <v>0</v>
      </c>
      <c r="H27" s="117">
        <f>SUMIFS(record[OK],record[製程料號],_018_6XX[[#This Row],[製令單號]],record[ProcessSN],H$1)</f>
        <v>1300</v>
      </c>
      <c r="I27" s="117">
        <f>SUMIFS(record[NG],record[製程料號],_018_6XX[[#This Row],[製令單號]],record[ProcessSN],I$1)</f>
        <v>0</v>
      </c>
      <c r="J27" s="117">
        <f>_018_6XX[[#This Row],['#3 OK]]-_018_6XX[[#This Row],['#4 OK]]-_018_6XX[[#This Row],['#4 NG]]</f>
        <v>0</v>
      </c>
      <c r="K27" s="117">
        <f>SUMIFS(record[OK],record[製程料號],_018_6XX[[#This Row],[製令單號]],record[ProcessSN],K$1)</f>
        <v>1300</v>
      </c>
      <c r="L27" s="117">
        <f>SUMIFS(record[NG],record[製程料號],_018_6XX[[#This Row],[製令單號]],record[ProcessSN],L$1)</f>
        <v>0</v>
      </c>
      <c r="M27" s="117">
        <f>_018_6XX[[#This Row],['#4 OK]]-_018_6XX[[#This Row],['#5 OK]]-_018_6XX[[#This Row],['#5 NG]]</f>
        <v>0</v>
      </c>
      <c r="N27" s="117">
        <f>SUMIFS(record[OK],record[製程料號],_018_6XX[[#This Row],[製令單號]],record[ProcessSN],N$1)</f>
        <v>1300</v>
      </c>
      <c r="O27" s="117">
        <f>SUMIFS(record[NG],record[製程料號],_018_6XX[[#This Row],[製令單號]],record[ProcessSN],O$1)</f>
        <v>0</v>
      </c>
      <c r="P27" s="117">
        <f>_018_6XX[[#This Row],['#5 OK]]-_018_6XX[[#This Row],['#6 OK]]-_018_6XX[[#This Row],['#6 NG]]</f>
        <v>0</v>
      </c>
      <c r="Q27" s="117">
        <f>SUMIFS(record[OK],record[製程料號],_018_6XX[[#This Row],[製令單號]],record[ProcessSN],Q$1)</f>
        <v>1300</v>
      </c>
      <c r="R27" s="117">
        <f>SUMIFS(record[NG],record[製程料號],_018_6XX[[#This Row],[製令單號]],record[ProcessSN],R$1)</f>
        <v>0</v>
      </c>
      <c r="S27" s="117">
        <f>_018_6XX[[#This Row],['#6 OK]]-_018_6XX[[#This Row],['#7NG]]-_018_6XX[[#This Row],['#7OK]]</f>
        <v>0</v>
      </c>
      <c r="T27" s="117">
        <f>SUMIFS(record[OK],record[製程料號],_018_6XX[[#This Row],[製令單號]],record[ProcessSN],T$1)</f>
        <v>1286</v>
      </c>
      <c r="U27" s="117">
        <f>SUMIFS(record[NG],record[製程料號],_018_6XX[[#This Row],[製令單號]],record[ProcessSN],U$1)</f>
        <v>14</v>
      </c>
      <c r="V27" s="117">
        <f>_018_6XX[[#This Row],['#7OK]]-_018_6XX[[#This Row],[OK]]-_018_6XX[[#This Row],[NG]]</f>
        <v>0</v>
      </c>
      <c r="W27" s="117">
        <f>SUMIFS(record[OK],record[製程料號],_018_6XX[[#This Row],[製令單號]],record[ProcessSN],W$1)</f>
        <v>1283</v>
      </c>
      <c r="X27" s="117">
        <f>SUMIFS(record[NG],record[製程料號],_018_6XX[[#This Row],[製令單號]],record[ProcessSN],X$1)</f>
        <v>3</v>
      </c>
      <c r="Y27" s="117">
        <f>_018_6XX[[#This Row],[OK]]-_018_6XX[[#This Row],[入庫]]</f>
        <v>0</v>
      </c>
      <c r="Z27" s="117">
        <f>SUMIFS(record[OK],record[製程料號],_018_6XX[[#This Row],[製令單號]],record[ProcessSN],Z$1)</f>
        <v>1283</v>
      </c>
      <c r="AA27" s="117">
        <f>_018_6XX[[#This Row],[入庫]]-IFERROR(SUMIF(分料0186XX[第一製程製令],_018_6XX[[#This Row],[製令單號]],分料0186XX[分配數量]),0)</f>
        <v>0</v>
      </c>
      <c r="AB27" s="187"/>
      <c r="AC27" s="117">
        <f>_018_6XX[[#This Row],[NG]]+_018_6XX[[#This Row],['#6 NG]]+_018_6XX[[#This Row],['#5 NG]]+_018_6XX[[#This Row],['#4 NG]]+_018_6XX[[#This Row],['#3 NG]]+_018_6XX[[#This Row],['#7NG]]</f>
        <v>17</v>
      </c>
      <c r="AD27" s="119">
        <f>IF(_018_6XX[[#This Row],[入庫]]+_018_6XX[[#This Row],[總不良數]]=_018_6XX[[#This Row],[入料數]],_018_6XX[[#This Row],[入庫]]/_018_6XX[[#This Row],[入料數]],"")</f>
        <v>0.9869230769230769</v>
      </c>
      <c r="AG27" s="173">
        <v>45868</v>
      </c>
      <c r="AH27" s="127" t="s">
        <v>876</v>
      </c>
      <c r="AI27" s="128" t="s">
        <v>738</v>
      </c>
      <c r="AJ27" s="129" t="s">
        <v>934</v>
      </c>
      <c r="AK27" s="129">
        <v>307</v>
      </c>
    </row>
    <row r="28" spans="1:37" ht="26.25" x14ac:dyDescent="0.25">
      <c r="A28" s="113">
        <v>46057</v>
      </c>
      <c r="B28" s="114" t="s">
        <v>1569</v>
      </c>
      <c r="C28" s="115" t="s">
        <v>506</v>
      </c>
      <c r="D28" s="116">
        <v>1500</v>
      </c>
      <c r="E28" s="117">
        <f>_018_6XX[[#This Row],[入料數]]-_018_6XX[[#This Row],['#03已發料數量]]</f>
        <v>0</v>
      </c>
      <c r="F28" s="117">
        <f>SUMIFS(record[OK],record[製程料號],_018_6XX[[#This Row],[製令單號]],record[ProcessSN],F$1)</f>
        <v>1500</v>
      </c>
      <c r="G28" s="117">
        <f>_018_6XX[[#This Row],['#03已發料數量]]-_018_6XX[[#This Row],['#3 OK]]-_018_6XX[[#This Row],['#3 NG]]</f>
        <v>0</v>
      </c>
      <c r="H28" s="117">
        <f>SUMIFS(record[OK],record[製程料號],_018_6XX[[#This Row],[製令單號]],record[ProcessSN],H$1)</f>
        <v>1500</v>
      </c>
      <c r="I28" s="117">
        <f>SUMIFS(record[NG],record[製程料號],_018_6XX[[#This Row],[製令單號]],record[ProcessSN],I$1)</f>
        <v>0</v>
      </c>
      <c r="J28" s="117">
        <f>_018_6XX[[#This Row],['#3 OK]]-_018_6XX[[#This Row],['#4 OK]]-_018_6XX[[#This Row],['#4 NG]]</f>
        <v>0</v>
      </c>
      <c r="K28" s="117">
        <f>SUMIFS(record[OK],record[製程料號],_018_6XX[[#This Row],[製令單號]],record[ProcessSN],K$1)</f>
        <v>1499</v>
      </c>
      <c r="L28" s="117">
        <f>SUMIFS(record[NG],record[製程料號],_018_6XX[[#This Row],[製令單號]],record[ProcessSN],L$1)</f>
        <v>1</v>
      </c>
      <c r="M28" s="117">
        <f>_018_6XX[[#This Row],['#4 OK]]-_018_6XX[[#This Row],['#5 OK]]-_018_6XX[[#This Row],['#5 NG]]</f>
        <v>0</v>
      </c>
      <c r="N28" s="117">
        <f>SUMIFS(record[OK],record[製程料號],_018_6XX[[#This Row],[製令單號]],record[ProcessSN],N$1)</f>
        <v>1498</v>
      </c>
      <c r="O28" s="117">
        <f>SUMIFS(record[NG],record[製程料號],_018_6XX[[#This Row],[製令單號]],record[ProcessSN],O$1)</f>
        <v>1</v>
      </c>
      <c r="P28" s="117">
        <f>_018_6XX[[#This Row],['#5 OK]]-_018_6XX[[#This Row],['#6 OK]]-_018_6XX[[#This Row],['#6 NG]]</f>
        <v>0</v>
      </c>
      <c r="Q28" s="117">
        <f>SUMIFS(record[OK],record[製程料號],_018_6XX[[#This Row],[製令單號]],record[ProcessSN],Q$1)</f>
        <v>1498</v>
      </c>
      <c r="R28" s="117">
        <f>SUMIFS(record[NG],record[製程料號],_018_6XX[[#This Row],[製令單號]],record[ProcessSN],R$1)</f>
        <v>0</v>
      </c>
      <c r="S28" s="117">
        <f>_018_6XX[[#This Row],['#6 OK]]-_018_6XX[[#This Row],['#7NG]]-_018_6XX[[#This Row],['#7OK]]</f>
        <v>0</v>
      </c>
      <c r="T28" s="117">
        <f>SUMIFS(record[OK],record[製程料號],_018_6XX[[#This Row],[製令單號]],record[ProcessSN],T$1)</f>
        <v>1485</v>
      </c>
      <c r="U28" s="117">
        <f>SUMIFS(record[NG],record[製程料號],_018_6XX[[#This Row],[製令單號]],record[ProcessSN],U$1)</f>
        <v>13</v>
      </c>
      <c r="V28" s="117">
        <f>_018_6XX[[#This Row],['#7OK]]-_018_6XX[[#This Row],[OK]]-_018_6XX[[#This Row],[NG]]</f>
        <v>0</v>
      </c>
      <c r="W28" s="117">
        <f>SUMIFS(record[OK],record[製程料號],_018_6XX[[#This Row],[製令單號]],record[ProcessSN],W$1)</f>
        <v>1453</v>
      </c>
      <c r="X28" s="117">
        <f>SUMIFS(record[NG],record[製程料號],_018_6XX[[#This Row],[製令單號]],record[ProcessSN],X$1)</f>
        <v>32</v>
      </c>
      <c r="Y28" s="117">
        <f>_018_6XX[[#This Row],[OK]]-_018_6XX[[#This Row],[入庫]]</f>
        <v>0</v>
      </c>
      <c r="Z28" s="117">
        <f>SUMIFS(record[OK],record[製程料號],_018_6XX[[#This Row],[製令單號]],record[ProcessSN],Z$1)</f>
        <v>1453</v>
      </c>
      <c r="AA28" s="117">
        <f>_018_6XX[[#This Row],[入庫]]-IFERROR(SUMIF(分料0186XX[第一製程製令],_018_6XX[[#This Row],[製令單號]],分料0186XX[分配數量]),0)</f>
        <v>0</v>
      </c>
      <c r="AB28" s="187"/>
      <c r="AC28" s="117">
        <f>_018_6XX[[#This Row],[NG]]+_018_6XX[[#This Row],['#6 NG]]+_018_6XX[[#This Row],['#5 NG]]+_018_6XX[[#This Row],['#4 NG]]+_018_6XX[[#This Row],['#3 NG]]+_018_6XX[[#This Row],['#7NG]]</f>
        <v>47</v>
      </c>
      <c r="AD28" s="119">
        <f>IF(_018_6XX[[#This Row],[入庫]]+_018_6XX[[#This Row],[總不良數]]=_018_6XX[[#This Row],[入料數]],_018_6XX[[#This Row],[入庫]]/_018_6XX[[#This Row],[入料數]],"")</f>
        <v>0.96866666666666668</v>
      </c>
      <c r="AG28" s="173">
        <v>45869</v>
      </c>
      <c r="AH28" s="127" t="s">
        <v>875</v>
      </c>
      <c r="AI28" s="128" t="s">
        <v>738</v>
      </c>
      <c r="AJ28" s="129" t="s">
        <v>946</v>
      </c>
      <c r="AK28" s="129">
        <v>261</v>
      </c>
    </row>
    <row r="29" spans="1:37" ht="26.25" x14ac:dyDescent="0.25">
      <c r="A29" s="113">
        <v>46098</v>
      </c>
      <c r="B29" s="114" t="s">
        <v>1637</v>
      </c>
      <c r="C29" s="115" t="s">
        <v>506</v>
      </c>
      <c r="D29" s="116">
        <v>2228</v>
      </c>
      <c r="E29" s="117">
        <f>_018_6XX[[#This Row],[入料數]]-_018_6XX[[#This Row],['#03已發料數量]]</f>
        <v>0</v>
      </c>
      <c r="F29" s="117">
        <f>SUMIFS(record[OK],record[製程料號],_018_6XX[[#This Row],[製令單號]],record[ProcessSN],F$1)</f>
        <v>2228</v>
      </c>
      <c r="G29" s="117">
        <f>_018_6XX[[#This Row],['#03已發料數量]]-_018_6XX[[#This Row],['#3 OK]]-_018_6XX[[#This Row],['#3 NG]]</f>
        <v>0</v>
      </c>
      <c r="H29" s="117">
        <f>SUMIFS(record[OK],record[製程料號],_018_6XX[[#This Row],[製令單號]],record[ProcessSN],H$1)</f>
        <v>2203</v>
      </c>
      <c r="I29" s="117">
        <f>SUMIFS(record[NG],record[製程料號],_018_6XX[[#This Row],[製令單號]],record[ProcessSN],I$1)</f>
        <v>25</v>
      </c>
      <c r="J29" s="117">
        <f>_018_6XX[[#This Row],['#3 OK]]-_018_6XX[[#This Row],['#4 OK]]-_018_6XX[[#This Row],['#4 NG]]</f>
        <v>0</v>
      </c>
      <c r="K29" s="117">
        <f>SUMIFS(record[OK],record[製程料號],_018_6XX[[#This Row],[製令單號]],record[ProcessSN],K$1)</f>
        <v>2156</v>
      </c>
      <c r="L29" s="117">
        <f>SUMIFS(record[NG],record[製程料號],_018_6XX[[#This Row],[製令單號]],record[ProcessSN],L$1)</f>
        <v>47</v>
      </c>
      <c r="M29" s="117">
        <f>_018_6XX[[#This Row],['#4 OK]]-_018_6XX[[#This Row],['#5 OK]]-_018_6XX[[#This Row],['#5 NG]]</f>
        <v>0</v>
      </c>
      <c r="N29" s="117">
        <f>SUMIFS(record[OK],record[製程料號],_018_6XX[[#This Row],[製令單號]],record[ProcessSN],N$1)</f>
        <v>2156</v>
      </c>
      <c r="O29" s="117">
        <f>SUMIFS(record[NG],record[製程料號],_018_6XX[[#This Row],[製令單號]],record[ProcessSN],O$1)</f>
        <v>0</v>
      </c>
      <c r="P29" s="117">
        <f>_018_6XX[[#This Row],['#5 OK]]-_018_6XX[[#This Row],['#6 OK]]-_018_6XX[[#This Row],['#6 NG]]</f>
        <v>0</v>
      </c>
      <c r="Q29" s="117">
        <f>SUMIFS(record[OK],record[製程料號],_018_6XX[[#This Row],[製令單號]],record[ProcessSN],Q$1)</f>
        <v>2149</v>
      </c>
      <c r="R29" s="117">
        <f>SUMIFS(record[NG],record[製程料號],_018_6XX[[#This Row],[製令單號]],record[ProcessSN],R$1)</f>
        <v>7</v>
      </c>
      <c r="S29" s="117">
        <f>_018_6XX[[#This Row],['#6 OK]]-_018_6XX[[#This Row],['#7NG]]-_018_6XX[[#This Row],['#7OK]]</f>
        <v>0</v>
      </c>
      <c r="T29" s="117">
        <f>SUMIFS(record[OK],record[製程料號],_018_6XX[[#This Row],[製令單號]],record[ProcessSN],T$1)</f>
        <v>2103</v>
      </c>
      <c r="U29" s="117">
        <f>SUMIFS(record[NG],record[製程料號],_018_6XX[[#This Row],[製令單號]],record[ProcessSN],U$1)</f>
        <v>46</v>
      </c>
      <c r="V29" s="117">
        <f>_018_6XX[[#This Row],['#7OK]]-_018_6XX[[#This Row],[OK]]-_018_6XX[[#This Row],[NG]]</f>
        <v>0</v>
      </c>
      <c r="W29" s="117">
        <f>SUMIFS(record[OK],record[製程料號],_018_6XX[[#This Row],[製令單號]],record[ProcessSN],W$1)</f>
        <v>1944</v>
      </c>
      <c r="X29" s="117">
        <f>SUMIFS(record[NG],record[製程料號],_018_6XX[[#This Row],[製令單號]],record[ProcessSN],X$1)</f>
        <v>159</v>
      </c>
      <c r="Y29" s="117">
        <f>_018_6XX[[#This Row],[OK]]-_018_6XX[[#This Row],[入庫]]</f>
        <v>0</v>
      </c>
      <c r="Z29" s="117">
        <f>SUMIFS(record[OK],record[製程料號],_018_6XX[[#This Row],[製令單號]],record[ProcessSN],Z$1)</f>
        <v>1944</v>
      </c>
      <c r="AA29" s="117">
        <f>_018_6XX[[#This Row],[入庫]]-IFERROR(SUMIF(分料0186XX[第一製程製令],_018_6XX[[#This Row],[製令單號]],分料0186XX[分配數量]),0)</f>
        <v>0</v>
      </c>
      <c r="AB29" s="187"/>
      <c r="AC29" s="117">
        <f>_018_6XX[[#This Row],[NG]]+_018_6XX[[#This Row],['#6 NG]]+_018_6XX[[#This Row],['#5 NG]]+_018_6XX[[#This Row],['#4 NG]]+_018_6XX[[#This Row],['#3 NG]]+_018_6XX[[#This Row],['#7NG]]</f>
        <v>284</v>
      </c>
      <c r="AD29" s="119">
        <f>IF(_018_6XX[[#This Row],[入庫]]+_018_6XX[[#This Row],[總不良數]]=_018_6XX[[#This Row],[入料數]],_018_6XX[[#This Row],[入庫]]/_018_6XX[[#This Row],[入料數]],"")</f>
        <v>0.87253141831238779</v>
      </c>
      <c r="AG29" s="173">
        <v>45875</v>
      </c>
      <c r="AH29" s="127" t="s">
        <v>953</v>
      </c>
      <c r="AI29" s="128" t="s">
        <v>738</v>
      </c>
      <c r="AJ29" s="129" t="s">
        <v>954</v>
      </c>
      <c r="AK29" s="129">
        <v>477</v>
      </c>
    </row>
    <row r="30" spans="1:37" ht="26.25" x14ac:dyDescent="0.25">
      <c r="A30" s="113">
        <v>46100</v>
      </c>
      <c r="B30" s="114" t="s">
        <v>1652</v>
      </c>
      <c r="C30" s="115" t="s">
        <v>506</v>
      </c>
      <c r="D30" s="116">
        <v>168</v>
      </c>
      <c r="E30" s="117">
        <f>_018_6XX[[#This Row],[入料數]]-_018_6XX[[#This Row],['#03已發料數量]]</f>
        <v>0</v>
      </c>
      <c r="F30" s="117">
        <f>SUMIFS(record[OK],record[製程料號],_018_6XX[[#This Row],[製令單號]],record[ProcessSN],F$1)</f>
        <v>168</v>
      </c>
      <c r="G30" s="117">
        <f>_018_6XX[[#This Row],['#03已發料數量]]-_018_6XX[[#This Row],['#3 OK]]-_018_6XX[[#This Row],['#3 NG]]</f>
        <v>0</v>
      </c>
      <c r="H30" s="117">
        <f>SUMIFS(record[OK],record[製程料號],_018_6XX[[#This Row],[製令單號]],record[ProcessSN],H$1)</f>
        <v>168</v>
      </c>
      <c r="I30" s="117">
        <f>SUMIFS(record[NG],record[製程料號],_018_6XX[[#This Row],[製令單號]],record[ProcessSN],I$1)</f>
        <v>0</v>
      </c>
      <c r="J30" s="117">
        <f>_018_6XX[[#This Row],['#3 OK]]-_018_6XX[[#This Row],['#4 OK]]-_018_6XX[[#This Row],['#4 NG]]</f>
        <v>0</v>
      </c>
      <c r="K30" s="117">
        <f>SUMIFS(record[OK],record[製程料號],_018_6XX[[#This Row],[製令單號]],record[ProcessSN],K$1)</f>
        <v>162</v>
      </c>
      <c r="L30" s="117">
        <f>SUMIFS(record[NG],record[製程料號],_018_6XX[[#This Row],[製令單號]],record[ProcessSN],L$1)</f>
        <v>6</v>
      </c>
      <c r="M30" s="117">
        <f>_018_6XX[[#This Row],['#4 OK]]-_018_6XX[[#This Row],['#5 OK]]-_018_6XX[[#This Row],['#5 NG]]</f>
        <v>0</v>
      </c>
      <c r="N30" s="117">
        <f>SUMIFS(record[OK],record[製程料號],_018_6XX[[#This Row],[製令單號]],record[ProcessSN],N$1)</f>
        <v>162</v>
      </c>
      <c r="O30" s="117">
        <f>SUMIFS(record[NG],record[製程料號],_018_6XX[[#This Row],[製令單號]],record[ProcessSN],O$1)</f>
        <v>0</v>
      </c>
      <c r="P30" s="117">
        <f>_018_6XX[[#This Row],['#5 OK]]-_018_6XX[[#This Row],['#6 OK]]-_018_6XX[[#This Row],['#6 NG]]</f>
        <v>0</v>
      </c>
      <c r="Q30" s="117">
        <f>SUMIFS(record[OK],record[製程料號],_018_6XX[[#This Row],[製令單號]],record[ProcessSN],Q$1)</f>
        <v>162</v>
      </c>
      <c r="R30" s="117">
        <f>SUMIFS(record[NG],record[製程料號],_018_6XX[[#This Row],[製令單號]],record[ProcessSN],R$1)</f>
        <v>0</v>
      </c>
      <c r="S30" s="117">
        <f>_018_6XX[[#This Row],['#6 OK]]-_018_6XX[[#This Row],['#7NG]]-_018_6XX[[#This Row],['#7OK]]</f>
        <v>0</v>
      </c>
      <c r="T30" s="117">
        <f>SUMIFS(record[OK],record[製程料號],_018_6XX[[#This Row],[製令單號]],record[ProcessSN],T$1)</f>
        <v>162</v>
      </c>
      <c r="U30" s="117">
        <f>SUMIFS(record[NG],record[製程料號],_018_6XX[[#This Row],[製令單號]],record[ProcessSN],U$1)</f>
        <v>0</v>
      </c>
      <c r="V30" s="117">
        <f>_018_6XX[[#This Row],['#7OK]]-_018_6XX[[#This Row],[OK]]-_018_6XX[[#This Row],[NG]]</f>
        <v>0</v>
      </c>
      <c r="W30" s="117">
        <f>SUMIFS(record[OK],record[製程料號],_018_6XX[[#This Row],[製令單號]],record[ProcessSN],W$1)</f>
        <v>149</v>
      </c>
      <c r="X30" s="117">
        <f>SUMIFS(record[NG],record[製程料號],_018_6XX[[#This Row],[製令單號]],record[ProcessSN],X$1)</f>
        <v>13</v>
      </c>
      <c r="Y30" s="117">
        <f>_018_6XX[[#This Row],[OK]]-_018_6XX[[#This Row],[入庫]]</f>
        <v>0</v>
      </c>
      <c r="Z30" s="117">
        <f>SUMIFS(record[OK],record[製程料號],_018_6XX[[#This Row],[製令單號]],record[ProcessSN],Z$1)</f>
        <v>149</v>
      </c>
      <c r="AA30" s="117">
        <f>_018_6XX[[#This Row],[入庫]]-IFERROR(SUMIF(分料0186XX[第一製程製令],_018_6XX[[#This Row],[製令單號]],分料0186XX[分配數量]),0)</f>
        <v>0</v>
      </c>
      <c r="AB30" s="187"/>
      <c r="AC30" s="117">
        <f>_018_6XX[[#This Row],[NG]]+_018_6XX[[#This Row],['#6 NG]]+_018_6XX[[#This Row],['#5 NG]]+_018_6XX[[#This Row],['#4 NG]]+_018_6XX[[#This Row],['#3 NG]]+_018_6XX[[#This Row],['#7NG]]</f>
        <v>19</v>
      </c>
      <c r="AD30" s="119">
        <f>IF(_018_6XX[[#This Row],[入庫]]+_018_6XX[[#This Row],[總不良數]]=_018_6XX[[#This Row],[入料數]],_018_6XX[[#This Row],[入庫]]/_018_6XX[[#This Row],[入料數]],"")</f>
        <v>0.88690476190476186</v>
      </c>
      <c r="AG30" s="173">
        <v>45876</v>
      </c>
      <c r="AH30" s="127" t="s">
        <v>963</v>
      </c>
      <c r="AI30" s="128" t="s">
        <v>738</v>
      </c>
      <c r="AJ30" s="129" t="s">
        <v>964</v>
      </c>
      <c r="AK30" s="129">
        <v>54</v>
      </c>
    </row>
    <row r="31" spans="1:37" ht="26.25" x14ac:dyDescent="0.25">
      <c r="A31" s="113">
        <v>46128</v>
      </c>
      <c r="B31" s="114" t="s">
        <v>1815</v>
      </c>
      <c r="C31" s="115" t="s">
        <v>506</v>
      </c>
      <c r="D31" s="116">
        <v>836</v>
      </c>
      <c r="E31" s="117">
        <f>_018_6XX[[#This Row],[入料數]]-_018_6XX[[#This Row],['#03已發料數量]]</f>
        <v>0</v>
      </c>
      <c r="F31" s="117">
        <f>SUMIFS(record[OK],record[製程料號],_018_6XX[[#This Row],[製令單號]],record[ProcessSN],F$1)</f>
        <v>836</v>
      </c>
      <c r="G31" s="117">
        <f>_018_6XX[[#This Row],['#03已發料數量]]-_018_6XX[[#This Row],['#3 OK]]-_018_6XX[[#This Row],['#3 NG]]</f>
        <v>0</v>
      </c>
      <c r="H31" s="117">
        <f>SUMIFS(record[OK],record[製程料號],_018_6XX[[#This Row],[製令單號]],record[ProcessSN],H$1)</f>
        <v>808</v>
      </c>
      <c r="I31" s="117">
        <f>SUMIFS(record[NG],record[製程料號],_018_6XX[[#This Row],[製令單號]],record[ProcessSN],I$1)</f>
        <v>28</v>
      </c>
      <c r="J31" s="117">
        <f>_018_6XX[[#This Row],['#3 OK]]-_018_6XX[[#This Row],['#4 OK]]-_018_6XX[[#This Row],['#4 NG]]</f>
        <v>0</v>
      </c>
      <c r="K31" s="117">
        <f>SUMIFS(record[OK],record[製程料號],_018_6XX[[#This Row],[製令單號]],record[ProcessSN],K$1)</f>
        <v>796</v>
      </c>
      <c r="L31" s="117">
        <f>SUMIFS(record[NG],record[製程料號],_018_6XX[[#This Row],[製令單號]],record[ProcessSN],L$1)</f>
        <v>12</v>
      </c>
      <c r="M31" s="117">
        <f>_018_6XX[[#This Row],['#4 OK]]-_018_6XX[[#This Row],['#5 OK]]-_018_6XX[[#This Row],['#5 NG]]</f>
        <v>0</v>
      </c>
      <c r="N31" s="117">
        <f>SUMIFS(record[OK],record[製程料號],_018_6XX[[#This Row],[製令單號]],record[ProcessSN],N$1)</f>
        <v>796</v>
      </c>
      <c r="O31" s="117">
        <f>SUMIFS(record[NG],record[製程料號],_018_6XX[[#This Row],[製令單號]],record[ProcessSN],O$1)</f>
        <v>0</v>
      </c>
      <c r="P31" s="117">
        <f>_018_6XX[[#This Row],['#5 OK]]-_018_6XX[[#This Row],['#6 OK]]-_018_6XX[[#This Row],['#6 NG]]</f>
        <v>0</v>
      </c>
      <c r="Q31" s="117">
        <f>SUMIFS(record[OK],record[製程料號],_018_6XX[[#This Row],[製令單號]],record[ProcessSN],Q$1)</f>
        <v>795</v>
      </c>
      <c r="R31" s="117">
        <f>SUMIFS(record[NG],record[製程料號],_018_6XX[[#This Row],[製令單號]],record[ProcessSN],R$1)</f>
        <v>1</v>
      </c>
      <c r="S31" s="117">
        <f>_018_6XX[[#This Row],['#6 OK]]-_018_6XX[[#This Row],['#7NG]]-_018_6XX[[#This Row],['#7OK]]</f>
        <v>0</v>
      </c>
      <c r="T31" s="117">
        <f>SUMIFS(record[OK],record[製程料號],_018_6XX[[#This Row],[製令單號]],record[ProcessSN],T$1)</f>
        <v>781</v>
      </c>
      <c r="U31" s="117">
        <f>SUMIFS(record[NG],record[製程料號],_018_6XX[[#This Row],[製令單號]],record[ProcessSN],U$1)</f>
        <v>14</v>
      </c>
      <c r="V31" s="117">
        <f>_018_6XX[[#This Row],['#7OK]]-_018_6XX[[#This Row],[OK]]-_018_6XX[[#This Row],[NG]]</f>
        <v>0</v>
      </c>
      <c r="W31" s="117">
        <f>SUMIFS(record[OK],record[製程料號],_018_6XX[[#This Row],[製令單號]],record[ProcessSN],W$1)</f>
        <v>582</v>
      </c>
      <c r="X31" s="117">
        <f>SUMIFS(record[NG],record[製程料號],_018_6XX[[#This Row],[製令單號]],record[ProcessSN],X$1)</f>
        <v>199</v>
      </c>
      <c r="Y31" s="117">
        <f>_018_6XX[[#This Row],[OK]]-_018_6XX[[#This Row],[入庫]]</f>
        <v>0</v>
      </c>
      <c r="Z31" s="117">
        <f>SUMIFS(record[OK],record[製程料號],_018_6XX[[#This Row],[製令單號]],record[ProcessSN],Z$1)</f>
        <v>582</v>
      </c>
      <c r="AA31" s="117">
        <f>_018_6XX[[#This Row],[入庫]]-IFERROR(SUMIF(分料0186XX[第一製程製令],_018_6XX[[#This Row],[製令單號]],分料0186XX[分配數量]),0)</f>
        <v>0</v>
      </c>
      <c r="AB31" s="187"/>
      <c r="AC31" s="117">
        <f>_018_6XX[[#This Row],[NG]]+_018_6XX[[#This Row],['#6 NG]]+_018_6XX[[#This Row],['#5 NG]]+_018_6XX[[#This Row],['#4 NG]]+_018_6XX[[#This Row],['#3 NG]]+_018_6XX[[#This Row],['#7NG]]</f>
        <v>254</v>
      </c>
      <c r="AD31" s="119">
        <f>IF(_018_6XX[[#This Row],[入庫]]+_018_6XX[[#This Row],[總不良數]]=_018_6XX[[#This Row],[入料數]],_018_6XX[[#This Row],[入庫]]/_018_6XX[[#This Row],[入料數]],"")</f>
        <v>0.69617224880382778</v>
      </c>
      <c r="AG31" s="173">
        <v>45876</v>
      </c>
      <c r="AH31" s="127" t="s">
        <v>965</v>
      </c>
      <c r="AI31" s="128" t="s">
        <v>738</v>
      </c>
      <c r="AJ31" s="129" t="s">
        <v>964</v>
      </c>
      <c r="AK31" s="129">
        <v>160</v>
      </c>
    </row>
    <row r="32" spans="1:37" ht="26.25" x14ac:dyDescent="0.25">
      <c r="A32" s="113">
        <v>46129</v>
      </c>
      <c r="B32" s="114" t="s">
        <v>1822</v>
      </c>
      <c r="C32" s="115" t="s">
        <v>1823</v>
      </c>
      <c r="D32" s="116">
        <v>658</v>
      </c>
      <c r="E32" s="117">
        <f>_018_6XX[[#This Row],[入料數]]-_018_6XX[[#This Row],['#03已發料數量]]</f>
        <v>0</v>
      </c>
      <c r="F32" s="117">
        <f>SUMIFS(record[OK],record[製程料號],_018_6XX[[#This Row],[製令單號]],record[ProcessSN],F$1)</f>
        <v>658</v>
      </c>
      <c r="G32" s="117">
        <f>_018_6XX[[#This Row],['#03已發料數量]]-_018_6XX[[#This Row],['#3 OK]]-_018_6XX[[#This Row],['#3 NG]]</f>
        <v>0</v>
      </c>
      <c r="H32" s="117">
        <f>SUMIFS(record[OK],record[製程料號],_018_6XX[[#This Row],[製令單號]],record[ProcessSN],H$1)</f>
        <v>658</v>
      </c>
      <c r="I32" s="117">
        <f>SUMIFS(record[NG],record[製程料號],_018_6XX[[#This Row],[製令單號]],record[ProcessSN],I$1)</f>
        <v>0</v>
      </c>
      <c r="J32" s="117">
        <f>_018_6XX[[#This Row],['#3 OK]]-_018_6XX[[#This Row],['#4 OK]]-_018_6XX[[#This Row],['#4 NG]]</f>
        <v>0</v>
      </c>
      <c r="K32" s="117">
        <f>SUMIFS(record[OK],record[製程料號],_018_6XX[[#This Row],[製令單號]],record[ProcessSN],K$1)</f>
        <v>617</v>
      </c>
      <c r="L32" s="117">
        <f>SUMIFS(record[NG],record[製程料號],_018_6XX[[#This Row],[製令單號]],record[ProcessSN],L$1)</f>
        <v>41</v>
      </c>
      <c r="M32" s="117">
        <f>_018_6XX[[#This Row],['#4 OK]]-_018_6XX[[#This Row],['#5 OK]]-_018_6XX[[#This Row],['#5 NG]]</f>
        <v>0</v>
      </c>
      <c r="N32" s="117">
        <f>SUMIFS(record[OK],record[製程料號],_018_6XX[[#This Row],[製令單號]],record[ProcessSN],N$1)</f>
        <v>617</v>
      </c>
      <c r="O32" s="117">
        <f>SUMIFS(record[NG],record[製程料號],_018_6XX[[#This Row],[製令單號]],record[ProcessSN],O$1)</f>
        <v>0</v>
      </c>
      <c r="P32" s="117">
        <f>_018_6XX[[#This Row],['#5 OK]]-_018_6XX[[#This Row],['#6 OK]]-_018_6XX[[#This Row],['#6 NG]]</f>
        <v>0</v>
      </c>
      <c r="Q32" s="117">
        <f>SUMIFS(record[OK],record[製程料號],_018_6XX[[#This Row],[製令單號]],record[ProcessSN],Q$1)</f>
        <v>617</v>
      </c>
      <c r="R32" s="117">
        <f>SUMIFS(record[NG],record[製程料號],_018_6XX[[#This Row],[製令單號]],record[ProcessSN],R$1)</f>
        <v>0</v>
      </c>
      <c r="S32" s="117">
        <f>_018_6XX[[#This Row],['#6 OK]]-_018_6XX[[#This Row],['#7NG]]-_018_6XX[[#This Row],['#7OK]]</f>
        <v>0</v>
      </c>
      <c r="T32" s="117">
        <f>SUMIFS(record[OK],record[製程料號],_018_6XX[[#This Row],[製令單號]],record[ProcessSN],T$1)</f>
        <v>617</v>
      </c>
      <c r="U32" s="117">
        <f>SUMIFS(record[NG],record[製程料號],_018_6XX[[#This Row],[製令單號]],record[ProcessSN],U$1)</f>
        <v>0</v>
      </c>
      <c r="V32" s="117">
        <f>_018_6XX[[#This Row],['#7OK]]-_018_6XX[[#This Row],[OK]]-_018_6XX[[#This Row],[NG]]</f>
        <v>0</v>
      </c>
      <c r="W32" s="117">
        <f>SUMIFS(record[OK],record[製程料號],_018_6XX[[#This Row],[製令單號]],record[ProcessSN],W$1)</f>
        <v>604</v>
      </c>
      <c r="X32" s="117">
        <f>SUMIFS(record[NG],record[製程料號],_018_6XX[[#This Row],[製令單號]],record[ProcessSN],X$1)</f>
        <v>13</v>
      </c>
      <c r="Y32" s="117">
        <f>_018_6XX[[#This Row],[OK]]-_018_6XX[[#This Row],[入庫]]</f>
        <v>0</v>
      </c>
      <c r="Z32" s="117">
        <f>SUMIFS(record[OK],record[製程料號],_018_6XX[[#This Row],[製令單號]],record[ProcessSN],Z$1)</f>
        <v>604</v>
      </c>
      <c r="AA32" s="117">
        <f>_018_6XX[[#This Row],[入庫]]-IFERROR(SUMIF(分料0186XX[第一製程製令],_018_6XX[[#This Row],[製令單號]],分料0186XX[分配數量]),0)</f>
        <v>0</v>
      </c>
      <c r="AB32" s="187"/>
      <c r="AC32" s="117">
        <f>_018_6XX[[#This Row],[NG]]+_018_6XX[[#This Row],['#6 NG]]+_018_6XX[[#This Row],['#5 NG]]+_018_6XX[[#This Row],['#4 NG]]+_018_6XX[[#This Row],['#3 NG]]+_018_6XX[[#This Row],['#7NG]]</f>
        <v>54</v>
      </c>
      <c r="AD32" s="119">
        <f>IF(_018_6XX[[#This Row],[入庫]]+_018_6XX[[#This Row],[總不良數]]=_018_6XX[[#This Row],[入料數]],_018_6XX[[#This Row],[入庫]]/_018_6XX[[#This Row],[入料數]],"")</f>
        <v>0.91793313069908811</v>
      </c>
      <c r="AG32" s="173">
        <v>45883</v>
      </c>
      <c r="AH32" s="127" t="s">
        <v>986</v>
      </c>
      <c r="AI32" s="128" t="s">
        <v>738</v>
      </c>
      <c r="AJ32" s="129" t="s">
        <v>987</v>
      </c>
      <c r="AK32" s="129">
        <v>20</v>
      </c>
    </row>
    <row r="33" spans="1:37" ht="26.25" x14ac:dyDescent="0.25">
      <c r="A33" s="113">
        <v>46133</v>
      </c>
      <c r="B33" s="114" t="s">
        <v>1859</v>
      </c>
      <c r="C33" s="115" t="s">
        <v>506</v>
      </c>
      <c r="D33" s="116">
        <v>999</v>
      </c>
      <c r="E33" s="117">
        <f>_018_6XX[[#This Row],[入料數]]-_018_6XX[[#This Row],['#03已發料數量]]</f>
        <v>0</v>
      </c>
      <c r="F33" s="117">
        <f>SUMIFS(record[OK],record[製程料號],_018_6XX[[#This Row],[製令單號]],record[ProcessSN],F$1)</f>
        <v>999</v>
      </c>
      <c r="G33" s="117">
        <f>_018_6XX[[#This Row],['#03已發料數量]]-_018_6XX[[#This Row],['#3 OK]]-_018_6XX[[#This Row],['#3 NG]]</f>
        <v>0</v>
      </c>
      <c r="H33" s="117">
        <f>SUMIFS(record[OK],record[製程料號],_018_6XX[[#This Row],[製令單號]],record[ProcessSN],H$1)</f>
        <v>999</v>
      </c>
      <c r="I33" s="117">
        <f>SUMIFS(record[NG],record[製程料號],_018_6XX[[#This Row],[製令單號]],record[ProcessSN],I$1)</f>
        <v>0</v>
      </c>
      <c r="J33" s="117">
        <f>_018_6XX[[#This Row],['#3 OK]]-_018_6XX[[#This Row],['#4 OK]]-_018_6XX[[#This Row],['#4 NG]]</f>
        <v>0</v>
      </c>
      <c r="K33" s="117">
        <f>SUMIFS(record[OK],record[製程料號],_018_6XX[[#This Row],[製令單號]],record[ProcessSN],K$1)</f>
        <v>992</v>
      </c>
      <c r="L33" s="117">
        <f>SUMIFS(record[NG],record[製程料號],_018_6XX[[#This Row],[製令單號]],record[ProcessSN],L$1)</f>
        <v>7</v>
      </c>
      <c r="M33" s="117">
        <f>_018_6XX[[#This Row],['#4 OK]]-_018_6XX[[#This Row],['#5 OK]]-_018_6XX[[#This Row],['#5 NG]]</f>
        <v>0</v>
      </c>
      <c r="N33" s="117">
        <f>SUMIFS(record[OK],record[製程料號],_018_6XX[[#This Row],[製令單號]],record[ProcessSN],N$1)</f>
        <v>992</v>
      </c>
      <c r="O33" s="117">
        <f>SUMIFS(record[NG],record[製程料號],_018_6XX[[#This Row],[製令單號]],record[ProcessSN],O$1)</f>
        <v>0</v>
      </c>
      <c r="P33" s="117">
        <f>_018_6XX[[#This Row],['#5 OK]]-_018_6XX[[#This Row],['#6 OK]]-_018_6XX[[#This Row],['#6 NG]]</f>
        <v>0</v>
      </c>
      <c r="Q33" s="117">
        <f>SUMIFS(record[OK],record[製程料號],_018_6XX[[#This Row],[製令單號]],record[ProcessSN],Q$1)</f>
        <v>991</v>
      </c>
      <c r="R33" s="117">
        <f>SUMIFS(record[NG],record[製程料號],_018_6XX[[#This Row],[製令單號]],record[ProcessSN],R$1)</f>
        <v>1</v>
      </c>
      <c r="S33" s="117">
        <f>_018_6XX[[#This Row],['#6 OK]]-_018_6XX[[#This Row],['#7NG]]-_018_6XX[[#This Row],['#7OK]]</f>
        <v>0</v>
      </c>
      <c r="T33" s="117">
        <f>SUMIFS(record[OK],record[製程料號],_018_6XX[[#This Row],[製令單號]],record[ProcessSN],T$1)</f>
        <v>985</v>
      </c>
      <c r="U33" s="117">
        <f>SUMIFS(record[NG],record[製程料號],_018_6XX[[#This Row],[製令單號]],record[ProcessSN],U$1)</f>
        <v>6</v>
      </c>
      <c r="V33" s="117">
        <f>_018_6XX[[#This Row],['#7OK]]-_018_6XX[[#This Row],[OK]]-_018_6XX[[#This Row],[NG]]</f>
        <v>0</v>
      </c>
      <c r="W33" s="117">
        <f>SUMIFS(record[OK],record[製程料號],_018_6XX[[#This Row],[製令單號]],record[ProcessSN],W$1)</f>
        <v>981</v>
      </c>
      <c r="X33" s="117">
        <f>SUMIFS(record[NG],record[製程料號],_018_6XX[[#This Row],[製令單號]],record[ProcessSN],X$1)</f>
        <v>4</v>
      </c>
      <c r="Y33" s="117">
        <f>_018_6XX[[#This Row],[OK]]-_018_6XX[[#This Row],[入庫]]</f>
        <v>0</v>
      </c>
      <c r="Z33" s="117">
        <f>SUMIFS(record[OK],record[製程料號],_018_6XX[[#This Row],[製令單號]],record[ProcessSN],Z$1)</f>
        <v>981</v>
      </c>
      <c r="AA33" s="117">
        <f>_018_6XX[[#This Row],[入庫]]-IFERROR(SUMIF(分料0186XX[第一製程製令],_018_6XX[[#This Row],[製令單號]],分料0186XX[分配數量]),0)</f>
        <v>0</v>
      </c>
      <c r="AB33" s="187"/>
      <c r="AC33" s="117">
        <f>_018_6XX[[#This Row],[NG]]+_018_6XX[[#This Row],['#6 NG]]+_018_6XX[[#This Row],['#5 NG]]+_018_6XX[[#This Row],['#4 NG]]+_018_6XX[[#This Row],['#3 NG]]+_018_6XX[[#This Row],['#7NG]]</f>
        <v>18</v>
      </c>
      <c r="AD33" s="119">
        <f>IF(_018_6XX[[#This Row],[入庫]]+_018_6XX[[#This Row],[總不良數]]=_018_6XX[[#This Row],[入料數]],_018_6XX[[#This Row],[入庫]]/_018_6XX[[#This Row],[入料數]],"")</f>
        <v>0.98198198198198194</v>
      </c>
      <c r="AG33" s="172">
        <v>45883</v>
      </c>
      <c r="AH33" s="115" t="s">
        <v>988</v>
      </c>
      <c r="AI33" s="159" t="s">
        <v>738</v>
      </c>
      <c r="AJ33" s="122" t="s">
        <v>987</v>
      </c>
      <c r="AK33" s="122">
        <v>118</v>
      </c>
    </row>
    <row r="34" spans="1:37" ht="26.25" x14ac:dyDescent="0.25">
      <c r="A34" s="113">
        <v>46139</v>
      </c>
      <c r="B34" s="114" t="s">
        <v>1924</v>
      </c>
      <c r="C34" s="115" t="s">
        <v>506</v>
      </c>
      <c r="D34" s="116">
        <v>1500</v>
      </c>
      <c r="E34" s="117">
        <f>_018_6XX[[#This Row],[入料數]]-_018_6XX[[#This Row],['#03已發料數量]]</f>
        <v>0</v>
      </c>
      <c r="F34" s="117">
        <f>SUMIFS(record[OK],record[製程料號],_018_6XX[[#This Row],[製令單號]],record[ProcessSN],F$1)</f>
        <v>1500</v>
      </c>
      <c r="G34" s="117">
        <f>_018_6XX[[#This Row],['#03已發料數量]]-_018_6XX[[#This Row],['#3 OK]]-_018_6XX[[#This Row],['#3 NG]]</f>
        <v>0</v>
      </c>
      <c r="H34" s="117">
        <f>SUMIFS(record[OK],record[製程料號],_018_6XX[[#This Row],[製令單號]],record[ProcessSN],H$1)</f>
        <v>1500</v>
      </c>
      <c r="I34" s="117">
        <f>SUMIFS(record[NG],record[製程料號],_018_6XX[[#This Row],[製令單號]],record[ProcessSN],I$1)</f>
        <v>0</v>
      </c>
      <c r="J34" s="117">
        <f>_018_6XX[[#This Row],['#3 OK]]-_018_6XX[[#This Row],['#4 OK]]-_018_6XX[[#This Row],['#4 NG]]</f>
        <v>0</v>
      </c>
      <c r="K34" s="117">
        <f>SUMIFS(record[OK],record[製程料號],_018_6XX[[#This Row],[製令單號]],record[ProcessSN],K$1)</f>
        <v>1468</v>
      </c>
      <c r="L34" s="117">
        <f>SUMIFS(record[NG],record[製程料號],_018_6XX[[#This Row],[製令單號]],record[ProcessSN],L$1)</f>
        <v>32</v>
      </c>
      <c r="M34" s="117">
        <f>_018_6XX[[#This Row],['#4 OK]]-_018_6XX[[#This Row],['#5 OK]]-_018_6XX[[#This Row],['#5 NG]]</f>
        <v>0</v>
      </c>
      <c r="N34" s="117">
        <f>SUMIFS(record[OK],record[製程料號],_018_6XX[[#This Row],[製令單號]],record[ProcessSN],N$1)</f>
        <v>1468</v>
      </c>
      <c r="O34" s="117">
        <f>SUMIFS(record[NG],record[製程料號],_018_6XX[[#This Row],[製令單號]],record[ProcessSN],O$1)</f>
        <v>0</v>
      </c>
      <c r="P34" s="117">
        <f>_018_6XX[[#This Row],['#5 OK]]-_018_6XX[[#This Row],['#6 OK]]-_018_6XX[[#This Row],['#6 NG]]</f>
        <v>0</v>
      </c>
      <c r="Q34" s="117">
        <f>SUMIFS(record[OK],record[製程料號],_018_6XX[[#This Row],[製令單號]],record[ProcessSN],Q$1)</f>
        <v>1467</v>
      </c>
      <c r="R34" s="117">
        <f>SUMIFS(record[NG],record[製程料號],_018_6XX[[#This Row],[製令單號]],record[ProcessSN],R$1)</f>
        <v>1</v>
      </c>
      <c r="S34" s="117">
        <f>_018_6XX[[#This Row],['#6 OK]]-_018_6XX[[#This Row],['#7NG]]-_018_6XX[[#This Row],['#7OK]]</f>
        <v>0</v>
      </c>
      <c r="T34" s="117">
        <f>SUMIFS(record[OK],record[製程料號],_018_6XX[[#This Row],[製令單號]],record[ProcessSN],T$1)</f>
        <v>1454</v>
      </c>
      <c r="U34" s="117">
        <f>SUMIFS(record[NG],record[製程料號],_018_6XX[[#This Row],[製令單號]],record[ProcessSN],U$1)</f>
        <v>13</v>
      </c>
      <c r="V34" s="117">
        <f>_018_6XX[[#This Row],['#7OK]]-_018_6XX[[#This Row],[OK]]-_018_6XX[[#This Row],[NG]]</f>
        <v>0</v>
      </c>
      <c r="W34" s="117">
        <f>SUMIFS(record[OK],record[製程料號],_018_6XX[[#This Row],[製令單號]],record[ProcessSN],W$1)</f>
        <v>1450</v>
      </c>
      <c r="X34" s="117">
        <f>SUMIFS(record[NG],record[製程料號],_018_6XX[[#This Row],[製令單號]],record[ProcessSN],X$1)</f>
        <v>4</v>
      </c>
      <c r="Y34" s="117">
        <f>_018_6XX[[#This Row],[OK]]-_018_6XX[[#This Row],[入庫]]</f>
        <v>0</v>
      </c>
      <c r="Z34" s="117">
        <f>SUMIFS(record[OK],record[製程料號],_018_6XX[[#This Row],[製令單號]],record[ProcessSN],Z$1)</f>
        <v>1450</v>
      </c>
      <c r="AA34" s="117">
        <f>_018_6XX[[#This Row],[入庫]]-IFERROR(SUMIF(分料0186XX[第一製程製令],_018_6XX[[#This Row],[製令單號]],分料0186XX[分配數量]),0)</f>
        <v>0</v>
      </c>
      <c r="AB34" s="187"/>
      <c r="AC34" s="117">
        <f>_018_6XX[[#This Row],[NG]]+_018_6XX[[#This Row],['#6 NG]]+_018_6XX[[#This Row],['#5 NG]]+_018_6XX[[#This Row],['#4 NG]]+_018_6XX[[#This Row],['#3 NG]]+_018_6XX[[#This Row],['#7NG]]</f>
        <v>50</v>
      </c>
      <c r="AD34" s="119">
        <f>IF(_018_6XX[[#This Row],[入庫]]+_018_6XX[[#This Row],[總不良數]]=_018_6XX[[#This Row],[入料數]],_018_6XX[[#This Row],[入庫]]/_018_6XX[[#This Row],[入料數]],"")</f>
        <v>0.96666666666666667</v>
      </c>
      <c r="AG34" s="173">
        <v>45883</v>
      </c>
      <c r="AH34" s="127" t="s">
        <v>985</v>
      </c>
      <c r="AI34" s="128" t="s">
        <v>738</v>
      </c>
      <c r="AJ34" s="129" t="s">
        <v>987</v>
      </c>
      <c r="AK34" s="129">
        <f>331-56</f>
        <v>275</v>
      </c>
    </row>
    <row r="35" spans="1:37" ht="26.25" x14ac:dyDescent="0.25">
      <c r="A35" s="113">
        <v>46141</v>
      </c>
      <c r="B35" s="114" t="s">
        <v>1945</v>
      </c>
      <c r="C35" s="115" t="s">
        <v>506</v>
      </c>
      <c r="D35" s="116">
        <v>1688</v>
      </c>
      <c r="E35" s="117">
        <f>_018_6XX[[#This Row],[入料數]]-_018_6XX[[#This Row],['#03已發料數量]]</f>
        <v>0</v>
      </c>
      <c r="F35" s="117">
        <f>SUMIFS(record[OK],record[製程料號],_018_6XX[[#This Row],[製令單號]],record[ProcessSN],F$1)</f>
        <v>1688</v>
      </c>
      <c r="G35" s="117">
        <f>_018_6XX[[#This Row],['#03已發料數量]]-_018_6XX[[#This Row],['#3 OK]]-_018_6XX[[#This Row],['#3 NG]]</f>
        <v>0</v>
      </c>
      <c r="H35" s="117">
        <f>SUMIFS(record[OK],record[製程料號],_018_6XX[[#This Row],[製令單號]],record[ProcessSN],H$1)</f>
        <v>1688</v>
      </c>
      <c r="I35" s="117">
        <f>SUMIFS(record[NG],record[製程料號],_018_6XX[[#This Row],[製令單號]],record[ProcessSN],I$1)</f>
        <v>0</v>
      </c>
      <c r="J35" s="117">
        <f>_018_6XX[[#This Row],['#3 OK]]-_018_6XX[[#This Row],['#4 OK]]-_018_6XX[[#This Row],['#4 NG]]</f>
        <v>0</v>
      </c>
      <c r="K35" s="117">
        <f>SUMIFS(record[OK],record[製程料號],_018_6XX[[#This Row],[製令單號]],record[ProcessSN],K$1)</f>
        <v>1630</v>
      </c>
      <c r="L35" s="117">
        <f>SUMIFS(record[NG],record[製程料號],_018_6XX[[#This Row],[製令單號]],record[ProcessSN],L$1)</f>
        <v>58</v>
      </c>
      <c r="M35" s="117">
        <f>_018_6XX[[#This Row],['#4 OK]]-_018_6XX[[#This Row],['#5 OK]]-_018_6XX[[#This Row],['#5 NG]]</f>
        <v>0</v>
      </c>
      <c r="N35" s="117">
        <f>SUMIFS(record[OK],record[製程料號],_018_6XX[[#This Row],[製令單號]],record[ProcessSN],N$1)</f>
        <v>1615</v>
      </c>
      <c r="O35" s="117">
        <f>SUMIFS(record[NG],record[製程料號],_018_6XX[[#This Row],[製令單號]],record[ProcessSN],O$1)</f>
        <v>15</v>
      </c>
      <c r="P35" s="117">
        <f>_018_6XX[[#This Row],['#5 OK]]-_018_6XX[[#This Row],['#6 OK]]-_018_6XX[[#This Row],['#6 NG]]</f>
        <v>0</v>
      </c>
      <c r="Q35" s="117">
        <f>SUMIFS(record[OK],record[製程料號],_018_6XX[[#This Row],[製令單號]],record[ProcessSN],Q$1)</f>
        <v>1571</v>
      </c>
      <c r="R35" s="117">
        <f>SUMIFS(record[NG],record[製程料號],_018_6XX[[#This Row],[製令單號]],record[ProcessSN],R$1)</f>
        <v>44</v>
      </c>
      <c r="S35" s="117">
        <f>_018_6XX[[#This Row],['#6 OK]]-_018_6XX[[#This Row],['#7NG]]-_018_6XX[[#This Row],['#7OK]]</f>
        <v>0</v>
      </c>
      <c r="T35" s="117">
        <f>SUMIFS(record[OK],record[製程料號],_018_6XX[[#This Row],[製令單號]],record[ProcessSN],T$1)</f>
        <v>1561</v>
      </c>
      <c r="U35" s="117">
        <f>SUMIFS(record[NG],record[製程料號],_018_6XX[[#This Row],[製令單號]],record[ProcessSN],U$1)</f>
        <v>10</v>
      </c>
      <c r="V35" s="117">
        <f>_018_6XX[[#This Row],['#7OK]]-_018_6XX[[#This Row],[OK]]-_018_6XX[[#This Row],[NG]]</f>
        <v>0</v>
      </c>
      <c r="W35" s="117">
        <f>SUMIFS(record[OK],record[製程料號],_018_6XX[[#This Row],[製令單號]],record[ProcessSN],W$1)</f>
        <v>1201</v>
      </c>
      <c r="X35" s="117">
        <f>SUMIFS(record[NG],record[製程料號],_018_6XX[[#This Row],[製令單號]],record[ProcessSN],X$1)</f>
        <v>360</v>
      </c>
      <c r="Y35" s="117">
        <f>_018_6XX[[#This Row],[OK]]-_018_6XX[[#This Row],[入庫]]</f>
        <v>0</v>
      </c>
      <c r="Z35" s="117">
        <f>SUMIFS(record[OK],record[製程料號],_018_6XX[[#This Row],[製令單號]],record[ProcessSN],Z$1)</f>
        <v>1201</v>
      </c>
      <c r="AA35" s="117">
        <f>_018_6XX[[#This Row],[入庫]]-IFERROR(SUMIF(分料0186XX[第一製程製令],_018_6XX[[#This Row],[製令單號]],分料0186XX[分配數量]),0)</f>
        <v>0</v>
      </c>
      <c r="AB35" s="187"/>
      <c r="AC35" s="117">
        <f>_018_6XX[[#This Row],[NG]]+_018_6XX[[#This Row],['#6 NG]]+_018_6XX[[#This Row],['#5 NG]]+_018_6XX[[#This Row],['#4 NG]]+_018_6XX[[#This Row],['#3 NG]]+_018_6XX[[#This Row],['#7NG]]</f>
        <v>487</v>
      </c>
      <c r="AD35" s="119">
        <f>IF(_018_6XX[[#This Row],[入庫]]+_018_6XX[[#This Row],[總不良數]]=_018_6XX[[#This Row],[入料數]],_018_6XX[[#This Row],[入庫]]/_018_6XX[[#This Row],[入料數]],"")</f>
        <v>0.7114928909952607</v>
      </c>
      <c r="AG35" s="173">
        <v>45919</v>
      </c>
      <c r="AH35" s="127" t="s">
        <v>1078</v>
      </c>
      <c r="AI35" s="128" t="s">
        <v>738</v>
      </c>
      <c r="AJ35" s="129" t="s">
        <v>1065</v>
      </c>
      <c r="AK35" s="129">
        <v>167</v>
      </c>
    </row>
    <row r="36" spans="1:37" ht="26.25" x14ac:dyDescent="0.25">
      <c r="A36" s="113">
        <v>46150</v>
      </c>
      <c r="B36" s="114" t="s">
        <v>1987</v>
      </c>
      <c r="C36" s="115" t="s">
        <v>506</v>
      </c>
      <c r="D36" s="116">
        <v>2000</v>
      </c>
      <c r="E36" s="117">
        <f>_018_6XX[[#This Row],[入料數]]-_018_6XX[[#This Row],['#03已發料數量]]</f>
        <v>0</v>
      </c>
      <c r="F36" s="117">
        <f>SUMIFS(record[OK],record[製程料號],_018_6XX[[#This Row],[製令單號]],record[ProcessSN],F$1)</f>
        <v>2000</v>
      </c>
      <c r="G36" s="117">
        <f>_018_6XX[[#This Row],['#03已發料數量]]-_018_6XX[[#This Row],['#3 OK]]-_018_6XX[[#This Row],['#3 NG]]</f>
        <v>0</v>
      </c>
      <c r="H36" s="117">
        <f>SUMIFS(record[OK],record[製程料號],_018_6XX[[#This Row],[製令單號]],record[ProcessSN],H$1)</f>
        <v>1999</v>
      </c>
      <c r="I36" s="117">
        <f>SUMIFS(record[NG],record[製程料號],_018_6XX[[#This Row],[製令單號]],record[ProcessSN],I$1)</f>
        <v>1</v>
      </c>
      <c r="J36" s="117">
        <f>_018_6XX[[#This Row],['#3 OK]]-_018_6XX[[#This Row],['#4 OK]]-_018_6XX[[#This Row],['#4 NG]]</f>
        <v>0</v>
      </c>
      <c r="K36" s="117">
        <f>SUMIFS(record[OK],record[製程料號],_018_6XX[[#This Row],[製令單號]],record[ProcessSN],K$1)</f>
        <v>1970</v>
      </c>
      <c r="L36" s="117">
        <f>SUMIFS(record[NG],record[製程料號],_018_6XX[[#This Row],[製令單號]],record[ProcessSN],L$1)</f>
        <v>29</v>
      </c>
      <c r="M36" s="117">
        <f>_018_6XX[[#This Row],['#4 OK]]-_018_6XX[[#This Row],['#5 OK]]-_018_6XX[[#This Row],['#5 NG]]</f>
        <v>0</v>
      </c>
      <c r="N36" s="117">
        <f>SUMIFS(record[OK],record[製程料號],_018_6XX[[#This Row],[製令單號]],record[ProcessSN],N$1)</f>
        <v>1970</v>
      </c>
      <c r="O36" s="117">
        <f>SUMIFS(record[NG],record[製程料號],_018_6XX[[#This Row],[製令單號]],record[ProcessSN],O$1)</f>
        <v>0</v>
      </c>
      <c r="P36" s="117">
        <f>_018_6XX[[#This Row],['#5 OK]]-_018_6XX[[#This Row],['#6 OK]]-_018_6XX[[#This Row],['#6 NG]]</f>
        <v>0</v>
      </c>
      <c r="Q36" s="117">
        <f>SUMIFS(record[OK],record[製程料號],_018_6XX[[#This Row],[製令單號]],record[ProcessSN],Q$1)</f>
        <v>1968</v>
      </c>
      <c r="R36" s="117">
        <f>SUMIFS(record[NG],record[製程料號],_018_6XX[[#This Row],[製令單號]],record[ProcessSN],R$1)</f>
        <v>2</v>
      </c>
      <c r="S36" s="117">
        <f>_018_6XX[[#This Row],['#6 OK]]-_018_6XX[[#This Row],['#7NG]]-_018_6XX[[#This Row],['#7OK]]</f>
        <v>0</v>
      </c>
      <c r="T36" s="117">
        <f>SUMIFS(record[OK],record[製程料號],_018_6XX[[#This Row],[製令單號]],record[ProcessSN],T$1)</f>
        <v>1953</v>
      </c>
      <c r="U36" s="117">
        <f>SUMIFS(record[NG],record[製程料號],_018_6XX[[#This Row],[製令單號]],record[ProcessSN],U$1)</f>
        <v>15</v>
      </c>
      <c r="V36" s="117">
        <f>_018_6XX[[#This Row],['#7OK]]-_018_6XX[[#This Row],[OK]]-_018_6XX[[#This Row],[NG]]</f>
        <v>0</v>
      </c>
      <c r="W36" s="117">
        <f>SUMIFS(record[OK],record[製程料號],_018_6XX[[#This Row],[製令單號]],record[ProcessSN],W$1)</f>
        <v>1825</v>
      </c>
      <c r="X36" s="117">
        <f>SUMIFS(record[NG],record[製程料號],_018_6XX[[#This Row],[製令單號]],record[ProcessSN],X$1)</f>
        <v>128</v>
      </c>
      <c r="Y36" s="117">
        <f>_018_6XX[[#This Row],[OK]]-_018_6XX[[#This Row],[入庫]]</f>
        <v>60</v>
      </c>
      <c r="Z36" s="117">
        <f>SUMIFS(record[OK],record[製程料號],_018_6XX[[#This Row],[製令單號]],record[ProcessSN],Z$1)</f>
        <v>1765</v>
      </c>
      <c r="AA36" s="117">
        <f>_018_6XX[[#This Row],[入庫]]-IFERROR(SUMIF(分料0186XX[第一製程製令],_018_6XX[[#This Row],[製令單號]],分料0186XX[分配數量]),0)</f>
        <v>0</v>
      </c>
      <c r="AB36" s="187"/>
      <c r="AC36" s="117">
        <f>_018_6XX[[#This Row],[NG]]+_018_6XX[[#This Row],['#6 NG]]+_018_6XX[[#This Row],['#5 NG]]+_018_6XX[[#This Row],['#4 NG]]+_018_6XX[[#This Row],['#3 NG]]+_018_6XX[[#This Row],['#7NG]]</f>
        <v>175</v>
      </c>
      <c r="AD36" s="119" t="str">
        <f>IF(_018_6XX[[#This Row],[入庫]]+_018_6XX[[#This Row],[總不良數]]=_018_6XX[[#This Row],[入料數]],_018_6XX[[#This Row],[入庫]]/_018_6XX[[#This Row],[入料數]],"")</f>
        <v/>
      </c>
      <c r="AG36" s="173">
        <v>45922</v>
      </c>
      <c r="AH36" s="127" t="s">
        <v>1078</v>
      </c>
      <c r="AI36" s="128" t="s">
        <v>738</v>
      </c>
      <c r="AJ36" s="129" t="s">
        <v>1077</v>
      </c>
      <c r="AK36" s="129">
        <v>163</v>
      </c>
    </row>
    <row r="37" spans="1:37" ht="26.25" x14ac:dyDescent="0.25">
      <c r="A37" s="113">
        <v>46155</v>
      </c>
      <c r="B37" s="114" t="s">
        <v>2016</v>
      </c>
      <c r="C37" s="115" t="s">
        <v>506</v>
      </c>
      <c r="D37" s="116">
        <v>1188</v>
      </c>
      <c r="E37" s="117">
        <f>_018_6XX[[#This Row],[入料數]]-_018_6XX[[#This Row],['#03已發料數量]]</f>
        <v>0</v>
      </c>
      <c r="F37" s="117">
        <f>SUMIFS(record[OK],record[製程料號],_018_6XX[[#This Row],[製令單號]],record[ProcessSN],F$1)</f>
        <v>1188</v>
      </c>
      <c r="G37" s="117">
        <f>_018_6XX[[#This Row],['#03已發料數量]]-_018_6XX[[#This Row],['#3 OK]]-_018_6XX[[#This Row],['#3 NG]]</f>
        <v>0</v>
      </c>
      <c r="H37" s="117">
        <f>SUMIFS(record[OK],record[製程料號],_018_6XX[[#This Row],[製令單號]],record[ProcessSN],H$1)</f>
        <v>1188</v>
      </c>
      <c r="I37" s="117">
        <f>SUMIFS(record[NG],record[製程料號],_018_6XX[[#This Row],[製令單號]],record[ProcessSN],I$1)</f>
        <v>0</v>
      </c>
      <c r="J37" s="117">
        <f>_018_6XX[[#This Row],['#3 OK]]-_018_6XX[[#This Row],['#4 OK]]-_018_6XX[[#This Row],['#4 NG]]</f>
        <v>0</v>
      </c>
      <c r="K37" s="117">
        <f>SUMIFS(record[OK],record[製程料號],_018_6XX[[#This Row],[製令單號]],record[ProcessSN],K$1)</f>
        <v>1183</v>
      </c>
      <c r="L37" s="117">
        <f>SUMIFS(record[NG],record[製程料號],_018_6XX[[#This Row],[製令單號]],record[ProcessSN],L$1)</f>
        <v>5</v>
      </c>
      <c r="M37" s="117">
        <f>_018_6XX[[#This Row],['#4 OK]]-_018_6XX[[#This Row],['#5 OK]]-_018_6XX[[#This Row],['#5 NG]]</f>
        <v>0</v>
      </c>
      <c r="N37" s="117">
        <f>SUMIFS(record[OK],record[製程料號],_018_6XX[[#This Row],[製令單號]],record[ProcessSN],N$1)</f>
        <v>1183</v>
      </c>
      <c r="O37" s="117">
        <f>SUMIFS(record[NG],record[製程料號],_018_6XX[[#This Row],[製令單號]],record[ProcessSN],O$1)</f>
        <v>0</v>
      </c>
      <c r="P37" s="117">
        <f>_018_6XX[[#This Row],['#5 OK]]-_018_6XX[[#This Row],['#6 OK]]-_018_6XX[[#This Row],['#6 NG]]</f>
        <v>48</v>
      </c>
      <c r="Q37" s="117">
        <f>SUMIFS(record[OK],record[製程料號],_018_6XX[[#This Row],[製令單號]],record[ProcessSN],Q$1)</f>
        <v>1135</v>
      </c>
      <c r="R37" s="117">
        <f>SUMIFS(record[NG],record[製程料號],_018_6XX[[#This Row],[製令單號]],record[ProcessSN],R$1)</f>
        <v>0</v>
      </c>
      <c r="S37" s="117">
        <f>_018_6XX[[#This Row],['#6 OK]]-_018_6XX[[#This Row],['#7NG]]-_018_6XX[[#This Row],['#7OK]]</f>
        <v>300</v>
      </c>
      <c r="T37" s="117">
        <f>SUMIFS(record[OK],record[製程料號],_018_6XX[[#This Row],[製令單號]],record[ProcessSN],T$1)</f>
        <v>832</v>
      </c>
      <c r="U37" s="117">
        <f>SUMIFS(record[NG],record[製程料號],_018_6XX[[#This Row],[製令單號]],record[ProcessSN],U$1)</f>
        <v>3</v>
      </c>
      <c r="V37" s="117">
        <f>_018_6XX[[#This Row],['#7OK]]-_018_6XX[[#This Row],[OK]]-_018_6XX[[#This Row],[NG]]</f>
        <v>62</v>
      </c>
      <c r="W37" s="117">
        <f>SUMIFS(record[OK],record[製程料號],_018_6XX[[#This Row],[製令單號]],record[ProcessSN],W$1)</f>
        <v>669</v>
      </c>
      <c r="X37" s="117">
        <f>SUMIFS(record[NG],record[製程料號],_018_6XX[[#This Row],[製令單號]],record[ProcessSN],X$1)</f>
        <v>101</v>
      </c>
      <c r="Y37" s="117">
        <f>_018_6XX[[#This Row],[OK]]-_018_6XX[[#This Row],[入庫]]</f>
        <v>335</v>
      </c>
      <c r="Z37" s="117">
        <f>SUMIFS(record[OK],record[製程料號],_018_6XX[[#This Row],[製令單號]],record[ProcessSN],Z$1)</f>
        <v>334</v>
      </c>
      <c r="AA37" s="117">
        <f>_018_6XX[[#This Row],[入庫]]-IFERROR(SUMIF(分料0186XX[第一製程製令],_018_6XX[[#This Row],[製令單號]],分料0186XX[分配數量]),0)</f>
        <v>0</v>
      </c>
      <c r="AB37" s="187"/>
      <c r="AC37" s="117">
        <f>_018_6XX[[#This Row],[NG]]+_018_6XX[[#This Row],['#6 NG]]+_018_6XX[[#This Row],['#5 NG]]+_018_6XX[[#This Row],['#4 NG]]+_018_6XX[[#This Row],['#3 NG]]+_018_6XX[[#This Row],['#7NG]]</f>
        <v>109</v>
      </c>
      <c r="AD37" s="119" t="str">
        <f>IF(_018_6XX[[#This Row],[入庫]]+_018_6XX[[#This Row],[總不良數]]=_018_6XX[[#This Row],[入料數]],_018_6XX[[#This Row],[入庫]]/_018_6XX[[#This Row],[入料數]],"")</f>
        <v/>
      </c>
      <c r="AG37" s="173">
        <v>45924</v>
      </c>
      <c r="AH37" s="127" t="s">
        <v>1087</v>
      </c>
      <c r="AI37" s="128" t="s">
        <v>738</v>
      </c>
      <c r="AJ37" s="129" t="s">
        <v>1086</v>
      </c>
      <c r="AK37" s="129">
        <v>604</v>
      </c>
    </row>
    <row r="38" spans="1:37" ht="26.25" x14ac:dyDescent="0.25">
      <c r="A38" s="113">
        <v>2958465</v>
      </c>
      <c r="B38" s="114" t="s">
        <v>759</v>
      </c>
      <c r="C38" s="115" t="s">
        <v>759</v>
      </c>
      <c r="D38" s="116">
        <v>0</v>
      </c>
      <c r="E38" s="117">
        <f>_018_6XX[[#This Row],[入料數]]-_018_6XX[[#This Row],['#03已發料數量]]</f>
        <v>0</v>
      </c>
      <c r="F38" s="117">
        <f>SUMIFS(record[OK],record[製程料號],_018_6XX[[#This Row],[製令單號]],record[ProcessSN],F$1)</f>
        <v>0</v>
      </c>
      <c r="G38" s="117">
        <f>_018_6XX[[#This Row],['#03已發料數量]]-_018_6XX[[#This Row],['#3 OK]]-_018_6XX[[#This Row],['#3 NG]]</f>
        <v>0</v>
      </c>
      <c r="H38" s="117">
        <f>SUMIFS(record[OK],record[製程料號],_018_6XX[[#This Row],[製令單號]],record[ProcessSN],H$1)</f>
        <v>0</v>
      </c>
      <c r="I38" s="117">
        <f>SUMIFS(record[NG],record[製程料號],_018_6XX[[#This Row],[製令單號]],record[ProcessSN],I$1)</f>
        <v>0</v>
      </c>
      <c r="J38" s="117">
        <f>_018_6XX[[#This Row],['#3 OK]]-_018_6XX[[#This Row],['#4 OK]]-_018_6XX[[#This Row],['#4 NG]]</f>
        <v>0</v>
      </c>
      <c r="K38" s="117">
        <f>SUMIFS(record[OK],record[製程料號],_018_6XX[[#This Row],[製令單號]],record[ProcessSN],K$1)</f>
        <v>0</v>
      </c>
      <c r="L38" s="117">
        <f>SUMIFS(record[NG],record[製程料號],_018_6XX[[#This Row],[製令單號]],record[ProcessSN],L$1)</f>
        <v>0</v>
      </c>
      <c r="M38" s="117">
        <f>_018_6XX[[#This Row],['#4 OK]]-_018_6XX[[#This Row],['#5 OK]]-_018_6XX[[#This Row],['#5 NG]]</f>
        <v>0</v>
      </c>
      <c r="N38" s="117">
        <f>SUMIFS(record[OK],record[製程料號],_018_6XX[[#This Row],[製令單號]],record[ProcessSN],N$1)</f>
        <v>0</v>
      </c>
      <c r="O38" s="117">
        <f>SUMIFS(record[NG],record[製程料號],_018_6XX[[#This Row],[製令單號]],record[ProcessSN],O$1)</f>
        <v>0</v>
      </c>
      <c r="P38" s="117">
        <f>_018_6XX[[#This Row],['#5 OK]]-_018_6XX[[#This Row],['#6 OK]]-_018_6XX[[#This Row],['#6 NG]]</f>
        <v>0</v>
      </c>
      <c r="Q38" s="117">
        <f>SUMIFS(record[OK],record[製程料號],_018_6XX[[#This Row],[製令單號]],record[ProcessSN],Q$1)</f>
        <v>0</v>
      </c>
      <c r="R38" s="117">
        <f>SUMIFS(record[NG],record[製程料號],_018_6XX[[#This Row],[製令單號]],record[ProcessSN],R$1)</f>
        <v>0</v>
      </c>
      <c r="S38" s="117">
        <f>_018_6XX[[#This Row],['#6 OK]]-_018_6XX[[#This Row],['#7NG]]-_018_6XX[[#This Row],['#7OK]]</f>
        <v>0</v>
      </c>
      <c r="T38" s="117">
        <f>SUMIFS(record[OK],record[製程料號],_018_6XX[[#This Row],[製令單號]],record[ProcessSN],T$1)</f>
        <v>0</v>
      </c>
      <c r="U38" s="117">
        <f>SUMIFS(record[NG],record[製程料號],_018_6XX[[#This Row],[製令單號]],record[ProcessSN],U$1)</f>
        <v>0</v>
      </c>
      <c r="V38" s="117">
        <f>_018_6XX[[#This Row],['#7OK]]-_018_6XX[[#This Row],[OK]]-_018_6XX[[#This Row],[NG]]</f>
        <v>0</v>
      </c>
      <c r="W38" s="117">
        <f>SUMIFS(record[OK],record[製程料號],_018_6XX[[#This Row],[製令單號]],record[ProcessSN],W$1)</f>
        <v>0</v>
      </c>
      <c r="X38" s="117">
        <f>SUMIFS(record[NG],record[製程料號],_018_6XX[[#This Row],[製令單號]],record[ProcessSN],X$1)</f>
        <v>0</v>
      </c>
      <c r="Y38" s="117">
        <f>_018_6XX[[#This Row],[OK]]-_018_6XX[[#This Row],[入庫]]</f>
        <v>0</v>
      </c>
      <c r="Z38" s="117">
        <f>SUMIFS(record[OK],record[製程料號],_018_6XX[[#This Row],[製令單號]],record[ProcessSN],Z$1)</f>
        <v>0</v>
      </c>
      <c r="AA38" s="117">
        <f>_018_6XX[[#This Row],[入庫]]-IFERROR(SUMIF(分料0186XX[第一製程製令],_018_6XX[[#This Row],[製令單號]],分料0186XX[分配數量]),0)</f>
        <v>0</v>
      </c>
      <c r="AB38" s="187"/>
      <c r="AC38" s="117">
        <f>_018_6XX[[#This Row],[NG]]+_018_6XX[[#This Row],['#6 NG]]+_018_6XX[[#This Row],['#5 NG]]+_018_6XX[[#This Row],['#4 NG]]+_018_6XX[[#This Row],['#3 NG]]+_018_6XX[[#This Row],['#7NG]]</f>
        <v>0</v>
      </c>
      <c r="AD38" s="119" t="e">
        <f>IF(_018_6XX[[#This Row],[入庫]]+_018_6XX[[#This Row],[總不良數]]=_018_6XX[[#This Row],[入料數]],_018_6XX[[#This Row],[入庫]]/_018_6XX[[#This Row],[入料數]],"")</f>
        <v>#DIV/0!</v>
      </c>
      <c r="AG38" s="173">
        <v>45924</v>
      </c>
      <c r="AH38" s="127" t="s">
        <v>1088</v>
      </c>
      <c r="AI38" s="128" t="s">
        <v>738</v>
      </c>
      <c r="AJ38" s="129" t="s">
        <v>1081</v>
      </c>
      <c r="AK38" s="129">
        <v>54</v>
      </c>
    </row>
    <row r="39" spans="1:37" ht="18.75" x14ac:dyDescent="0.25"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AG39" s="173">
        <v>45944</v>
      </c>
      <c r="AH39" s="127" t="s">
        <v>1109</v>
      </c>
      <c r="AI39" s="128" t="s">
        <v>738</v>
      </c>
      <c r="AJ39" s="129" t="s">
        <v>1110</v>
      </c>
      <c r="AK39" s="129">
        <v>23</v>
      </c>
    </row>
    <row r="40" spans="1:37" ht="23.25" customHeight="1" x14ac:dyDescent="0.25"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AG40" s="173">
        <v>45944</v>
      </c>
      <c r="AH40" s="127" t="s">
        <v>1108</v>
      </c>
      <c r="AI40" s="128" t="s">
        <v>738</v>
      </c>
      <c r="AJ40" s="129" t="s">
        <v>1110</v>
      </c>
      <c r="AK40" s="129">
        <v>124</v>
      </c>
    </row>
    <row r="41" spans="1:37" ht="23.25" customHeight="1" x14ac:dyDescent="0.25"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AG41" s="173">
        <v>45945</v>
      </c>
      <c r="AH41" s="127" t="s">
        <v>1099</v>
      </c>
      <c r="AI41" s="128" t="s">
        <v>738</v>
      </c>
      <c r="AJ41" s="129" t="s">
        <v>1114</v>
      </c>
      <c r="AK41" s="129">
        <v>191</v>
      </c>
    </row>
    <row r="42" spans="1:37" ht="23.25" customHeight="1" x14ac:dyDescent="0.25"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AG42" s="173">
        <v>45946</v>
      </c>
      <c r="AH42" s="127" t="s">
        <v>1099</v>
      </c>
      <c r="AI42" s="128" t="s">
        <v>738</v>
      </c>
      <c r="AJ42" s="129" t="s">
        <v>1118</v>
      </c>
      <c r="AK42" s="129">
        <v>474</v>
      </c>
    </row>
    <row r="43" spans="1:37" ht="23.25" customHeight="1" x14ac:dyDescent="0.25"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AG43" s="173">
        <v>45950</v>
      </c>
      <c r="AH43" s="127" t="s">
        <v>1132</v>
      </c>
      <c r="AI43" s="128" t="s">
        <v>738</v>
      </c>
      <c r="AJ43" s="129" t="s">
        <v>1131</v>
      </c>
      <c r="AK43" s="129">
        <v>31</v>
      </c>
    </row>
    <row r="44" spans="1:37" ht="23.25" customHeight="1" x14ac:dyDescent="0.25">
      <c r="H44" s="3"/>
      <c r="AG44" s="173">
        <v>45950</v>
      </c>
      <c r="AH44" s="127" t="s">
        <v>1133</v>
      </c>
      <c r="AI44" s="128" t="s">
        <v>738</v>
      </c>
      <c r="AJ44" s="129" t="s">
        <v>1131</v>
      </c>
      <c r="AK44" s="129">
        <v>16</v>
      </c>
    </row>
    <row r="45" spans="1:37" ht="23.25" customHeight="1" x14ac:dyDescent="0.25"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AG45" s="173">
        <v>45953</v>
      </c>
      <c r="AH45" s="127" t="s">
        <v>1100</v>
      </c>
      <c r="AI45" s="128" t="s">
        <v>738</v>
      </c>
      <c r="AJ45" s="129" t="s">
        <v>1144</v>
      </c>
      <c r="AK45" s="129">
        <v>625</v>
      </c>
    </row>
    <row r="46" spans="1:37" ht="23.25" customHeight="1" x14ac:dyDescent="0.25">
      <c r="AG46" s="173">
        <v>45959</v>
      </c>
      <c r="AH46" s="127" t="s">
        <v>1175</v>
      </c>
      <c r="AI46" s="128" t="s">
        <v>738</v>
      </c>
      <c r="AJ46" s="129" t="s">
        <v>1174</v>
      </c>
      <c r="AK46" s="129">
        <v>326</v>
      </c>
    </row>
    <row r="47" spans="1:37" ht="23.25" customHeight="1" x14ac:dyDescent="0.25">
      <c r="AG47" s="173">
        <v>45960</v>
      </c>
      <c r="AH47" s="127" t="s">
        <v>1099</v>
      </c>
      <c r="AI47" s="128" t="s">
        <v>738</v>
      </c>
      <c r="AJ47" s="129" t="s">
        <v>1239</v>
      </c>
      <c r="AK47" s="129">
        <v>634</v>
      </c>
    </row>
    <row r="48" spans="1:37" ht="23.25" customHeight="1" x14ac:dyDescent="0.25">
      <c r="AG48" s="173">
        <v>45992</v>
      </c>
      <c r="AH48" s="127" t="s">
        <v>1265</v>
      </c>
      <c r="AI48" s="128" t="s">
        <v>1269</v>
      </c>
      <c r="AJ48" s="129" t="s">
        <v>1268</v>
      </c>
      <c r="AK48" s="129">
        <v>221</v>
      </c>
    </row>
    <row r="49" spans="25:37" ht="23.25" customHeight="1" x14ac:dyDescent="0.25">
      <c r="AG49" s="173">
        <v>45992</v>
      </c>
      <c r="AH49" s="127" t="s">
        <v>1099</v>
      </c>
      <c r="AI49" s="128" t="s">
        <v>1269</v>
      </c>
      <c r="AJ49" s="129" t="s">
        <v>1268</v>
      </c>
      <c r="AK49" s="129">
        <v>7</v>
      </c>
    </row>
    <row r="50" spans="25:37" ht="23.25" customHeight="1" x14ac:dyDescent="0.25">
      <c r="AG50" s="173">
        <v>46007</v>
      </c>
      <c r="AH50" s="127" t="s">
        <v>1324</v>
      </c>
      <c r="AI50" s="128" t="s">
        <v>725</v>
      </c>
      <c r="AJ50" s="129" t="s">
        <v>1336</v>
      </c>
      <c r="AK50" s="129">
        <v>249</v>
      </c>
    </row>
    <row r="51" spans="25:37" ht="23.25" customHeight="1" x14ac:dyDescent="0.25">
      <c r="Y51" s="196"/>
      <c r="AG51" s="173">
        <v>46008</v>
      </c>
      <c r="AH51" s="127" t="s">
        <v>1346</v>
      </c>
      <c r="AI51" s="128" t="s">
        <v>738</v>
      </c>
      <c r="AJ51" s="129" t="s">
        <v>1347</v>
      </c>
      <c r="AK51" s="129">
        <v>134</v>
      </c>
    </row>
    <row r="52" spans="25:37" ht="23.25" customHeight="1" x14ac:dyDescent="0.25">
      <c r="AG52" s="173">
        <v>46013</v>
      </c>
      <c r="AH52" s="127" t="s">
        <v>1367</v>
      </c>
      <c r="AI52" s="128" t="s">
        <v>738</v>
      </c>
      <c r="AJ52" s="129" t="s">
        <v>1370</v>
      </c>
      <c r="AK52" s="129">
        <v>10</v>
      </c>
    </row>
    <row r="53" spans="25:37" ht="23.25" customHeight="1" x14ac:dyDescent="0.25">
      <c r="AG53" s="173">
        <v>46013</v>
      </c>
      <c r="AH53" s="127" t="s">
        <v>1368</v>
      </c>
      <c r="AI53" s="128" t="s">
        <v>738</v>
      </c>
      <c r="AJ53" s="129" t="s">
        <v>1370</v>
      </c>
      <c r="AK53" s="129">
        <v>8</v>
      </c>
    </row>
    <row r="54" spans="25:37" ht="23.25" customHeight="1" x14ac:dyDescent="0.25">
      <c r="AG54" s="173">
        <v>46013</v>
      </c>
      <c r="AH54" s="127" t="s">
        <v>1371</v>
      </c>
      <c r="AI54" s="128" t="s">
        <v>738</v>
      </c>
      <c r="AJ54" s="129" t="s">
        <v>1370</v>
      </c>
      <c r="AK54" s="129">
        <v>299</v>
      </c>
    </row>
    <row r="55" spans="25:37" ht="23.25" customHeight="1" x14ac:dyDescent="0.25">
      <c r="AG55" s="172">
        <v>46013</v>
      </c>
      <c r="AH55" s="115" t="s">
        <v>1372</v>
      </c>
      <c r="AI55" s="159" t="s">
        <v>738</v>
      </c>
      <c r="AJ55" s="129" t="s">
        <v>1370</v>
      </c>
      <c r="AK55" s="122">
        <v>285</v>
      </c>
    </row>
    <row r="56" spans="25:37" ht="23.25" customHeight="1" x14ac:dyDescent="0.25">
      <c r="AG56" s="172">
        <v>46013</v>
      </c>
      <c r="AH56" s="115" t="s">
        <v>1373</v>
      </c>
      <c r="AI56" s="159" t="s">
        <v>738</v>
      </c>
      <c r="AJ56" s="129" t="s">
        <v>1370</v>
      </c>
      <c r="AK56" s="122">
        <v>281</v>
      </c>
    </row>
    <row r="57" spans="25:37" ht="23.25" customHeight="1" x14ac:dyDescent="0.25">
      <c r="AG57" s="173">
        <v>46020</v>
      </c>
      <c r="AH57" s="149" t="s">
        <v>1338</v>
      </c>
      <c r="AI57" s="128" t="s">
        <v>738</v>
      </c>
      <c r="AJ57" s="129" t="s">
        <v>1389</v>
      </c>
      <c r="AK57" s="129">
        <v>178</v>
      </c>
    </row>
    <row r="58" spans="25:37" ht="23.25" customHeight="1" x14ac:dyDescent="0.25">
      <c r="AG58" s="173">
        <v>46020</v>
      </c>
      <c r="AH58" s="127" t="s">
        <v>1392</v>
      </c>
      <c r="AI58" s="128" t="s">
        <v>738</v>
      </c>
      <c r="AJ58" s="129" t="s">
        <v>1393</v>
      </c>
      <c r="AK58" s="129">
        <v>4</v>
      </c>
    </row>
    <row r="59" spans="25:37" ht="23.25" customHeight="1" x14ac:dyDescent="0.25">
      <c r="AG59" s="173">
        <v>46020</v>
      </c>
      <c r="AH59" s="127" t="s">
        <v>1394</v>
      </c>
      <c r="AI59" s="128" t="s">
        <v>738</v>
      </c>
      <c r="AJ59" s="129" t="s">
        <v>1393</v>
      </c>
      <c r="AK59" s="129">
        <v>50</v>
      </c>
    </row>
    <row r="60" spans="25:37" ht="23.25" customHeight="1" x14ac:dyDescent="0.25">
      <c r="AG60" s="172">
        <v>46020</v>
      </c>
      <c r="AH60" s="115" t="s">
        <v>1395</v>
      </c>
      <c r="AI60" s="159" t="s">
        <v>738</v>
      </c>
      <c r="AJ60" s="129" t="s">
        <v>1393</v>
      </c>
      <c r="AK60" s="122">
        <v>377</v>
      </c>
    </row>
    <row r="61" spans="25:37" ht="23.25" customHeight="1" x14ac:dyDescent="0.25">
      <c r="AG61" s="173">
        <v>46021</v>
      </c>
      <c r="AH61" s="127" t="s">
        <v>1404</v>
      </c>
      <c r="AI61" s="128" t="s">
        <v>738</v>
      </c>
      <c r="AJ61" s="129" t="s">
        <v>1405</v>
      </c>
      <c r="AK61" s="129">
        <v>139</v>
      </c>
    </row>
    <row r="62" spans="25:37" ht="23.25" customHeight="1" x14ac:dyDescent="0.25">
      <c r="AG62" s="173">
        <v>46036</v>
      </c>
      <c r="AH62" s="127" t="s">
        <v>1460</v>
      </c>
      <c r="AI62" s="128" t="s">
        <v>738</v>
      </c>
      <c r="AJ62" s="129" t="s">
        <v>1461</v>
      </c>
      <c r="AK62" s="129">
        <v>8</v>
      </c>
    </row>
    <row r="63" spans="25:37" ht="23.25" customHeight="1" x14ac:dyDescent="0.25">
      <c r="AG63" s="172">
        <v>46036</v>
      </c>
      <c r="AH63" s="115" t="s">
        <v>1462</v>
      </c>
      <c r="AI63" s="128" t="s">
        <v>738</v>
      </c>
      <c r="AJ63" s="129" t="s">
        <v>1461</v>
      </c>
      <c r="AK63" s="122">
        <v>51</v>
      </c>
    </row>
    <row r="64" spans="25:37" ht="23.25" customHeight="1" x14ac:dyDescent="0.25">
      <c r="AG64" s="172">
        <v>46036</v>
      </c>
      <c r="AH64" s="115" t="s">
        <v>1463</v>
      </c>
      <c r="AI64" s="128" t="s">
        <v>738</v>
      </c>
      <c r="AJ64" s="129" t="s">
        <v>1461</v>
      </c>
      <c r="AK64" s="122">
        <v>293</v>
      </c>
    </row>
    <row r="65" spans="33:37" ht="23.25" customHeight="1" x14ac:dyDescent="0.25">
      <c r="AG65" s="173">
        <v>46037</v>
      </c>
      <c r="AH65" s="127" t="s">
        <v>1468</v>
      </c>
      <c r="AI65" s="128" t="s">
        <v>738</v>
      </c>
      <c r="AJ65" s="129" t="s">
        <v>1469</v>
      </c>
      <c r="AK65" s="129">
        <v>201</v>
      </c>
    </row>
    <row r="66" spans="33:37" ht="23.25" customHeight="1" x14ac:dyDescent="0.25">
      <c r="AG66" s="173">
        <v>46041</v>
      </c>
      <c r="AH66" s="127" t="s">
        <v>1426</v>
      </c>
      <c r="AI66" s="128" t="s">
        <v>738</v>
      </c>
      <c r="AJ66" s="129" t="s">
        <v>1479</v>
      </c>
      <c r="AK66" s="129">
        <v>163</v>
      </c>
    </row>
    <row r="67" spans="33:37" ht="23.25" customHeight="1" x14ac:dyDescent="0.25">
      <c r="AG67" s="173">
        <v>46043</v>
      </c>
      <c r="AH67" s="127" t="s">
        <v>1485</v>
      </c>
      <c r="AI67" s="128" t="s">
        <v>738</v>
      </c>
      <c r="AJ67" s="129" t="s">
        <v>1486</v>
      </c>
      <c r="AK67" s="129">
        <v>304</v>
      </c>
    </row>
    <row r="68" spans="33:37" ht="23.25" customHeight="1" x14ac:dyDescent="0.25">
      <c r="AG68" s="173">
        <v>46044</v>
      </c>
      <c r="AH68" s="127" t="s">
        <v>1495</v>
      </c>
      <c r="AI68" s="128" t="s">
        <v>738</v>
      </c>
      <c r="AJ68" s="129" t="s">
        <v>1496</v>
      </c>
      <c r="AK68" s="129">
        <v>145</v>
      </c>
    </row>
    <row r="69" spans="33:37" ht="23.25" customHeight="1" x14ac:dyDescent="0.25">
      <c r="AG69" s="173">
        <v>46048</v>
      </c>
      <c r="AH69" s="127" t="s">
        <v>1511</v>
      </c>
      <c r="AI69" s="128" t="s">
        <v>738</v>
      </c>
      <c r="AJ69" s="129" t="s">
        <v>1512</v>
      </c>
      <c r="AK69" s="129">
        <v>159</v>
      </c>
    </row>
    <row r="70" spans="33:37" ht="23.25" customHeight="1" x14ac:dyDescent="0.25">
      <c r="AG70" s="173">
        <v>46049</v>
      </c>
      <c r="AH70" s="127" t="s">
        <v>1520</v>
      </c>
      <c r="AI70" s="128" t="s">
        <v>738</v>
      </c>
      <c r="AJ70" s="129" t="s">
        <v>1523</v>
      </c>
      <c r="AK70" s="129">
        <v>3</v>
      </c>
    </row>
    <row r="71" spans="33:37" ht="23.25" customHeight="1" x14ac:dyDescent="0.25">
      <c r="AG71" s="173">
        <v>46049</v>
      </c>
      <c r="AH71" s="127" t="s">
        <v>1521</v>
      </c>
      <c r="AI71" s="128" t="s">
        <v>738</v>
      </c>
      <c r="AJ71" s="129" t="s">
        <v>1523</v>
      </c>
      <c r="AK71" s="129">
        <v>165</v>
      </c>
    </row>
    <row r="72" spans="33:37" ht="23.25" customHeight="1" x14ac:dyDescent="0.25">
      <c r="AG72" s="173">
        <v>46050</v>
      </c>
      <c r="AH72" s="117" t="s">
        <v>1417</v>
      </c>
      <c r="AI72" s="128" t="s">
        <v>738</v>
      </c>
      <c r="AJ72" s="129" t="s">
        <v>1537</v>
      </c>
      <c r="AK72" s="129">
        <v>239</v>
      </c>
    </row>
    <row r="73" spans="33:37" ht="23.25" customHeight="1" x14ac:dyDescent="0.25">
      <c r="AG73" s="172">
        <v>46050</v>
      </c>
      <c r="AH73" s="117" t="s">
        <v>1474</v>
      </c>
      <c r="AI73" s="159" t="s">
        <v>738</v>
      </c>
      <c r="AJ73" s="129" t="s">
        <v>1537</v>
      </c>
      <c r="AK73" s="122">
        <v>650</v>
      </c>
    </row>
    <row r="74" spans="33:37" ht="23.25" customHeight="1" x14ac:dyDescent="0.25">
      <c r="AG74" s="173">
        <v>46056</v>
      </c>
      <c r="AH74" s="117" t="s">
        <v>1417</v>
      </c>
      <c r="AI74" s="128" t="s">
        <v>738</v>
      </c>
      <c r="AJ74" s="129" t="s">
        <v>1554</v>
      </c>
      <c r="AK74" s="129">
        <v>1</v>
      </c>
    </row>
    <row r="75" spans="33:37" ht="23.25" customHeight="1" x14ac:dyDescent="0.25">
      <c r="AG75" s="172">
        <v>46056</v>
      </c>
      <c r="AH75" s="117" t="s">
        <v>1474</v>
      </c>
      <c r="AI75" s="128" t="s">
        <v>738</v>
      </c>
      <c r="AJ75" s="129" t="s">
        <v>1554</v>
      </c>
      <c r="AK75" s="122">
        <v>323</v>
      </c>
    </row>
    <row r="76" spans="33:37" ht="23.25" customHeight="1" x14ac:dyDescent="0.25">
      <c r="AG76" s="173">
        <v>46057</v>
      </c>
      <c r="AH76" s="117" t="s">
        <v>1493</v>
      </c>
      <c r="AI76" s="128" t="s">
        <v>738</v>
      </c>
      <c r="AJ76" s="129" t="s">
        <v>1561</v>
      </c>
      <c r="AK76" s="129">
        <v>85</v>
      </c>
    </row>
    <row r="77" spans="33:37" ht="23.25" customHeight="1" x14ac:dyDescent="0.25">
      <c r="AG77" s="173">
        <v>46057</v>
      </c>
      <c r="AH77" s="127" t="s">
        <v>1562</v>
      </c>
      <c r="AI77" s="128" t="s">
        <v>738</v>
      </c>
      <c r="AJ77" s="129" t="s">
        <v>1561</v>
      </c>
      <c r="AK77" s="129">
        <v>287</v>
      </c>
    </row>
    <row r="78" spans="33:37" ht="23.25" customHeight="1" x14ac:dyDescent="0.25">
      <c r="AG78" s="173">
        <v>46058</v>
      </c>
      <c r="AH78" s="127" t="s">
        <v>1572</v>
      </c>
      <c r="AI78" s="128" t="s">
        <v>738</v>
      </c>
      <c r="AJ78" s="129" t="s">
        <v>1573</v>
      </c>
      <c r="AK78" s="129">
        <v>304</v>
      </c>
    </row>
    <row r="79" spans="33:37" ht="23.25" customHeight="1" x14ac:dyDescent="0.25">
      <c r="AG79" s="173">
        <v>46059</v>
      </c>
      <c r="AH79" s="127" t="s">
        <v>1509</v>
      </c>
      <c r="AI79" s="128" t="s">
        <v>738</v>
      </c>
      <c r="AJ79" s="129" t="s">
        <v>1575</v>
      </c>
      <c r="AK79" s="129">
        <v>83</v>
      </c>
    </row>
    <row r="80" spans="33:37" ht="23.25" customHeight="1" x14ac:dyDescent="0.25">
      <c r="AG80" s="173">
        <v>46059</v>
      </c>
      <c r="AH80" s="127" t="s">
        <v>1527</v>
      </c>
      <c r="AI80" s="128" t="s">
        <v>738</v>
      </c>
      <c r="AJ80" s="129" t="s">
        <v>1575</v>
      </c>
      <c r="AK80" s="129">
        <v>160</v>
      </c>
    </row>
    <row r="81" spans="33:37" ht="23.25" customHeight="1" x14ac:dyDescent="0.25">
      <c r="AG81" s="173">
        <v>46062</v>
      </c>
      <c r="AH81" s="127" t="s">
        <v>1527</v>
      </c>
      <c r="AI81" s="128" t="s">
        <v>738</v>
      </c>
      <c r="AJ81" s="129" t="s">
        <v>1579</v>
      </c>
      <c r="AK81" s="129">
        <v>165</v>
      </c>
    </row>
    <row r="82" spans="33:37" ht="23.25" customHeight="1" x14ac:dyDescent="0.25">
      <c r="AG82" s="173">
        <v>46065</v>
      </c>
      <c r="AH82" s="127" t="s">
        <v>1527</v>
      </c>
      <c r="AI82" s="128" t="s">
        <v>738</v>
      </c>
      <c r="AJ82" s="129" t="s">
        <v>1586</v>
      </c>
      <c r="AK82" s="129">
        <v>528</v>
      </c>
    </row>
    <row r="83" spans="33:37" ht="23.25" customHeight="1" x14ac:dyDescent="0.25">
      <c r="AG83" s="173">
        <v>46079</v>
      </c>
      <c r="AH83" s="117" t="s">
        <v>1527</v>
      </c>
      <c r="AI83" s="128" t="s">
        <v>738</v>
      </c>
      <c r="AJ83" s="129" t="s">
        <v>1594</v>
      </c>
      <c r="AK83" s="129">
        <v>379</v>
      </c>
    </row>
    <row r="84" spans="33:37" ht="23.25" customHeight="1" x14ac:dyDescent="0.25">
      <c r="AG84" s="173">
        <v>46083</v>
      </c>
      <c r="AH84" s="127" t="s">
        <v>1517</v>
      </c>
      <c r="AI84" s="128" t="s">
        <v>738</v>
      </c>
      <c r="AJ84" s="129" t="s">
        <v>1597</v>
      </c>
      <c r="AK84" s="129">
        <v>376</v>
      </c>
    </row>
    <row r="85" spans="33:37" ht="23.25" customHeight="1" x14ac:dyDescent="0.25">
      <c r="AG85" s="173">
        <v>46085</v>
      </c>
      <c r="AH85" s="127" t="s">
        <v>1517</v>
      </c>
      <c r="AI85" s="128" t="s">
        <v>738</v>
      </c>
      <c r="AJ85" s="129" t="s">
        <v>1601</v>
      </c>
      <c r="AK85" s="129">
        <v>62</v>
      </c>
    </row>
    <row r="86" spans="33:37" ht="23.25" customHeight="1" x14ac:dyDescent="0.25">
      <c r="AG86" s="173">
        <v>46085</v>
      </c>
      <c r="AH86" s="127" t="s">
        <v>1569</v>
      </c>
      <c r="AI86" s="128" t="s">
        <v>738</v>
      </c>
      <c r="AJ86" s="129" t="s">
        <v>1601</v>
      </c>
      <c r="AK86" s="129">
        <v>131</v>
      </c>
    </row>
    <row r="87" spans="33:37" ht="23.25" customHeight="1" x14ac:dyDescent="0.25">
      <c r="AG87" s="173">
        <v>46098</v>
      </c>
      <c r="AH87" s="127" t="s">
        <v>1569</v>
      </c>
      <c r="AI87" s="128" t="s">
        <v>738</v>
      </c>
      <c r="AJ87" s="129" t="s">
        <v>1642</v>
      </c>
      <c r="AK87" s="129">
        <v>197</v>
      </c>
    </row>
    <row r="88" spans="33:37" ht="23.25" customHeight="1" x14ac:dyDescent="0.25">
      <c r="AG88" s="173">
        <v>46105</v>
      </c>
      <c r="AH88" s="127" t="s">
        <v>1569</v>
      </c>
      <c r="AI88" s="128" t="s">
        <v>738</v>
      </c>
      <c r="AJ88" s="129" t="s">
        <v>1674</v>
      </c>
      <c r="AK88" s="129">
        <v>486</v>
      </c>
    </row>
    <row r="89" spans="33:37" ht="23.25" customHeight="1" x14ac:dyDescent="0.25">
      <c r="AG89" s="173">
        <v>46106</v>
      </c>
      <c r="AH89" s="127" t="s">
        <v>1569</v>
      </c>
      <c r="AI89" s="128" t="s">
        <v>738</v>
      </c>
      <c r="AJ89" s="129" t="s">
        <v>1677</v>
      </c>
      <c r="AK89" s="129">
        <v>392</v>
      </c>
    </row>
    <row r="90" spans="33:37" ht="23.25" customHeight="1" x14ac:dyDescent="0.25">
      <c r="AG90" s="173">
        <v>46107</v>
      </c>
      <c r="AH90" s="127" t="s">
        <v>1099</v>
      </c>
      <c r="AI90" s="128" t="s">
        <v>738</v>
      </c>
      <c r="AJ90" s="129" t="s">
        <v>1682</v>
      </c>
      <c r="AK90" s="129">
        <v>1</v>
      </c>
    </row>
    <row r="91" spans="33:37" ht="23.25" customHeight="1" x14ac:dyDescent="0.25">
      <c r="AG91" s="173">
        <v>46107</v>
      </c>
      <c r="AH91" s="127" t="s">
        <v>1417</v>
      </c>
      <c r="AI91" s="128" t="s">
        <v>738</v>
      </c>
      <c r="AJ91" s="129" t="s">
        <v>1682</v>
      </c>
      <c r="AK91" s="129">
        <v>2</v>
      </c>
    </row>
    <row r="92" spans="33:37" ht="23.25" customHeight="1" x14ac:dyDescent="0.25">
      <c r="AG92" s="173">
        <v>46107</v>
      </c>
      <c r="AH92" s="127" t="s">
        <v>1517</v>
      </c>
      <c r="AI92" s="128" t="s">
        <v>738</v>
      </c>
      <c r="AJ92" s="129" t="s">
        <v>1682</v>
      </c>
      <c r="AK92" s="129">
        <v>1</v>
      </c>
    </row>
    <row r="93" spans="33:37" ht="23.25" customHeight="1" x14ac:dyDescent="0.25">
      <c r="AG93" s="173">
        <v>46107</v>
      </c>
      <c r="AH93" s="127" t="s">
        <v>1527</v>
      </c>
      <c r="AI93" s="128" t="s">
        <v>738</v>
      </c>
      <c r="AJ93" s="129" t="s">
        <v>1682</v>
      </c>
      <c r="AK93" s="129">
        <v>27</v>
      </c>
    </row>
    <row r="94" spans="33:37" ht="23.25" customHeight="1" x14ac:dyDescent="0.25">
      <c r="AG94" s="173">
        <v>46107</v>
      </c>
      <c r="AH94" s="127" t="s">
        <v>1569</v>
      </c>
      <c r="AI94" s="128" t="s">
        <v>738</v>
      </c>
      <c r="AJ94" s="129" t="s">
        <v>1682</v>
      </c>
      <c r="AK94" s="129">
        <v>84</v>
      </c>
    </row>
    <row r="95" spans="33:37" ht="23.25" customHeight="1" x14ac:dyDescent="0.25">
      <c r="AG95" s="173">
        <v>46107</v>
      </c>
      <c r="AH95" s="127" t="s">
        <v>1637</v>
      </c>
      <c r="AI95" s="128" t="s">
        <v>738</v>
      </c>
      <c r="AJ95" s="129" t="s">
        <v>1682</v>
      </c>
      <c r="AK95" s="129">
        <v>167</v>
      </c>
    </row>
    <row r="96" spans="33:37" ht="23.25" customHeight="1" x14ac:dyDescent="0.25">
      <c r="AG96" s="173">
        <v>46108</v>
      </c>
      <c r="AH96" s="127" t="s">
        <v>1569</v>
      </c>
      <c r="AI96" s="128" t="s">
        <v>738</v>
      </c>
      <c r="AJ96" s="129" t="s">
        <v>1688</v>
      </c>
      <c r="AK96" s="129">
        <v>67</v>
      </c>
    </row>
    <row r="97" spans="33:37" ht="23.25" customHeight="1" x14ac:dyDescent="0.25">
      <c r="AG97" s="173">
        <v>46108</v>
      </c>
      <c r="AH97" s="127" t="s">
        <v>1637</v>
      </c>
      <c r="AI97" s="128" t="s">
        <v>738</v>
      </c>
      <c r="AJ97" s="129" t="s">
        <v>1688</v>
      </c>
      <c r="AK97" s="129">
        <v>93</v>
      </c>
    </row>
    <row r="98" spans="33:37" ht="23.25" customHeight="1" x14ac:dyDescent="0.25">
      <c r="AG98" s="173">
        <v>46109</v>
      </c>
      <c r="AH98" s="127" t="s">
        <v>1690</v>
      </c>
      <c r="AI98" s="128" t="s">
        <v>738</v>
      </c>
      <c r="AJ98" s="129" t="s">
        <v>1691</v>
      </c>
      <c r="AK98" s="129">
        <v>312</v>
      </c>
    </row>
    <row r="99" spans="33:37" ht="23.25" customHeight="1" x14ac:dyDescent="0.25">
      <c r="AG99" s="173">
        <v>46111</v>
      </c>
      <c r="AH99" s="127" t="s">
        <v>1637</v>
      </c>
      <c r="AI99" s="128" t="s">
        <v>738</v>
      </c>
      <c r="AJ99" s="129" t="s">
        <v>1696</v>
      </c>
      <c r="AK99" s="129">
        <v>187</v>
      </c>
    </row>
    <row r="100" spans="33:37" ht="23.25" customHeight="1" x14ac:dyDescent="0.25">
      <c r="AG100" s="173">
        <v>46112</v>
      </c>
      <c r="AH100" s="127" t="s">
        <v>1474</v>
      </c>
      <c r="AI100" s="128" t="s">
        <v>738</v>
      </c>
      <c r="AJ100" s="129" t="s">
        <v>1707</v>
      </c>
      <c r="AK100" s="129">
        <v>1</v>
      </c>
    </row>
    <row r="101" spans="33:37" ht="23.25" customHeight="1" x14ac:dyDescent="0.25">
      <c r="AG101" s="173">
        <v>46112</v>
      </c>
      <c r="AH101" s="127" t="s">
        <v>1493</v>
      </c>
      <c r="AI101" s="128" t="s">
        <v>738</v>
      </c>
      <c r="AJ101" s="129" t="s">
        <v>1707</v>
      </c>
      <c r="AK101" s="129">
        <v>16</v>
      </c>
    </row>
    <row r="102" spans="33:37" ht="23.25" customHeight="1" x14ac:dyDescent="0.25">
      <c r="AG102" s="173">
        <v>46112</v>
      </c>
      <c r="AH102" s="127" t="s">
        <v>1527</v>
      </c>
      <c r="AI102" s="128" t="s">
        <v>738</v>
      </c>
      <c r="AJ102" s="129" t="s">
        <v>1707</v>
      </c>
      <c r="AK102" s="129">
        <v>24</v>
      </c>
    </row>
    <row r="103" spans="33:37" ht="23.25" customHeight="1" x14ac:dyDescent="0.25">
      <c r="AG103" s="172">
        <v>46112</v>
      </c>
      <c r="AH103" s="117" t="s">
        <v>1637</v>
      </c>
      <c r="AI103" s="128" t="s">
        <v>738</v>
      </c>
      <c r="AJ103" s="129" t="s">
        <v>1707</v>
      </c>
      <c r="AK103" s="122">
        <v>340</v>
      </c>
    </row>
    <row r="104" spans="33:37" ht="23.25" customHeight="1" x14ac:dyDescent="0.25">
      <c r="AG104" s="173">
        <v>46113</v>
      </c>
      <c r="AH104" s="127" t="s">
        <v>1637</v>
      </c>
      <c r="AI104" s="128" t="s">
        <v>738</v>
      </c>
      <c r="AJ104" s="129" t="s">
        <v>1716</v>
      </c>
      <c r="AK104" s="129">
        <v>129</v>
      </c>
    </row>
    <row r="105" spans="33:37" ht="23.25" customHeight="1" x14ac:dyDescent="0.25">
      <c r="AG105" s="173">
        <v>46127</v>
      </c>
      <c r="AH105" s="127" t="s">
        <v>1265</v>
      </c>
      <c r="AI105" s="128" t="s">
        <v>1808</v>
      </c>
      <c r="AJ105" s="129" t="s">
        <v>1809</v>
      </c>
      <c r="AK105" s="129">
        <v>286</v>
      </c>
    </row>
    <row r="106" spans="33:37" ht="23.25" customHeight="1" x14ac:dyDescent="0.25">
      <c r="AG106" s="173">
        <v>46129</v>
      </c>
      <c r="AH106" s="127" t="s">
        <v>1637</v>
      </c>
      <c r="AI106" s="128" t="s">
        <v>1759</v>
      </c>
      <c r="AJ106" s="129" t="s">
        <v>1832</v>
      </c>
      <c r="AK106" s="129">
        <v>200</v>
      </c>
    </row>
    <row r="107" spans="33:37" ht="23.25" customHeight="1" x14ac:dyDescent="0.25">
      <c r="AG107" s="173">
        <v>46129</v>
      </c>
      <c r="AH107" s="127" t="s">
        <v>1417</v>
      </c>
      <c r="AI107" s="128" t="s">
        <v>1758</v>
      </c>
      <c r="AJ107" s="129" t="s">
        <v>1833</v>
      </c>
      <c r="AK107" s="129">
        <v>3</v>
      </c>
    </row>
    <row r="108" spans="33:37" ht="23.25" customHeight="1" x14ac:dyDescent="0.25">
      <c r="AG108" s="173">
        <v>46129</v>
      </c>
      <c r="AH108" s="127" t="s">
        <v>1569</v>
      </c>
      <c r="AI108" s="128" t="s">
        <v>1758</v>
      </c>
      <c r="AJ108" s="129" t="s">
        <v>1833</v>
      </c>
      <c r="AK108" s="129">
        <v>96</v>
      </c>
    </row>
    <row r="109" spans="33:37" ht="23.25" customHeight="1" x14ac:dyDescent="0.25">
      <c r="AG109" s="173">
        <v>46129</v>
      </c>
      <c r="AH109" s="127" t="s">
        <v>1637</v>
      </c>
      <c r="AI109" s="128" t="s">
        <v>1758</v>
      </c>
      <c r="AJ109" s="129" t="s">
        <v>1833</v>
      </c>
      <c r="AK109" s="129">
        <v>251</v>
      </c>
    </row>
    <row r="110" spans="33:37" ht="23.25" customHeight="1" x14ac:dyDescent="0.25">
      <c r="AG110" s="172">
        <v>46132</v>
      </c>
      <c r="AH110" s="115" t="s">
        <v>1637</v>
      </c>
      <c r="AI110" s="159" t="s">
        <v>738</v>
      </c>
      <c r="AJ110" s="122" t="s">
        <v>1845</v>
      </c>
      <c r="AK110" s="122">
        <v>75</v>
      </c>
    </row>
    <row r="111" spans="33:37" ht="23.25" customHeight="1" x14ac:dyDescent="0.25">
      <c r="AG111" s="173">
        <v>46133</v>
      </c>
      <c r="AH111" s="127" t="s">
        <v>1637</v>
      </c>
      <c r="AI111" s="128" t="s">
        <v>1758</v>
      </c>
      <c r="AJ111" s="129" t="s">
        <v>1863</v>
      </c>
      <c r="AK111" s="129">
        <v>147</v>
      </c>
    </row>
    <row r="112" spans="33:37" ht="23.25" customHeight="1" x14ac:dyDescent="0.25">
      <c r="AG112" s="173">
        <v>46133</v>
      </c>
      <c r="AH112" s="127" t="s">
        <v>1652</v>
      </c>
      <c r="AI112" s="128" t="s">
        <v>1758</v>
      </c>
      <c r="AJ112" s="129" t="s">
        <v>1863</v>
      </c>
      <c r="AK112" s="129">
        <v>103</v>
      </c>
    </row>
    <row r="113" spans="33:37" ht="23.25" customHeight="1" x14ac:dyDescent="0.25">
      <c r="AG113" s="173">
        <v>46133</v>
      </c>
      <c r="AH113" s="127" t="s">
        <v>1652</v>
      </c>
      <c r="AI113" s="128" t="s">
        <v>1757</v>
      </c>
      <c r="AJ113" s="129" t="s">
        <v>1864</v>
      </c>
      <c r="AK113" s="129">
        <v>46</v>
      </c>
    </row>
    <row r="114" spans="33:37" ht="23.25" customHeight="1" x14ac:dyDescent="0.25">
      <c r="AG114" s="173">
        <v>46133</v>
      </c>
      <c r="AH114" s="117" t="s">
        <v>1815</v>
      </c>
      <c r="AI114" s="128" t="s">
        <v>1757</v>
      </c>
      <c r="AJ114" s="129" t="s">
        <v>1864</v>
      </c>
      <c r="AK114" s="129">
        <v>147</v>
      </c>
    </row>
    <row r="115" spans="33:37" ht="23.25" customHeight="1" x14ac:dyDescent="0.25">
      <c r="AG115" s="173">
        <v>46134</v>
      </c>
      <c r="AH115" s="127" t="s">
        <v>1637</v>
      </c>
      <c r="AI115" s="128" t="s">
        <v>738</v>
      </c>
      <c r="AJ115" s="129" t="s">
        <v>1873</v>
      </c>
      <c r="AK115" s="129">
        <v>43</v>
      </c>
    </row>
    <row r="116" spans="33:37" ht="23.25" customHeight="1" x14ac:dyDescent="0.25">
      <c r="AG116" s="173">
        <v>46134</v>
      </c>
      <c r="AH116" s="117" t="s">
        <v>1815</v>
      </c>
      <c r="AI116" s="128" t="s">
        <v>738</v>
      </c>
      <c r="AJ116" s="129" t="s">
        <v>1873</v>
      </c>
      <c r="AK116" s="129">
        <v>317</v>
      </c>
    </row>
    <row r="117" spans="33:37" ht="23.25" customHeight="1" x14ac:dyDescent="0.25">
      <c r="AG117" s="173">
        <v>46135</v>
      </c>
      <c r="AH117" s="127" t="s">
        <v>1815</v>
      </c>
      <c r="AI117" s="128" t="s">
        <v>738</v>
      </c>
      <c r="AJ117" s="129" t="s">
        <v>1893</v>
      </c>
      <c r="AK117" s="129">
        <v>116</v>
      </c>
    </row>
    <row r="118" spans="33:37" ht="23.25" customHeight="1" x14ac:dyDescent="0.25">
      <c r="AG118" s="173">
        <v>46136</v>
      </c>
      <c r="AH118" s="127" t="s">
        <v>1822</v>
      </c>
      <c r="AI118" s="128" t="s">
        <v>738</v>
      </c>
      <c r="AJ118" s="129" t="s">
        <v>1912</v>
      </c>
      <c r="AK118" s="129">
        <v>149</v>
      </c>
    </row>
    <row r="119" spans="33:37" ht="23.25" customHeight="1" x14ac:dyDescent="0.25">
      <c r="AG119" s="172">
        <v>46136</v>
      </c>
      <c r="AH119" s="115" t="s">
        <v>1815</v>
      </c>
      <c r="AI119" s="159" t="s">
        <v>1922</v>
      </c>
      <c r="AJ119" s="122" t="s">
        <v>1920</v>
      </c>
      <c r="AK119" s="122">
        <v>2</v>
      </c>
    </row>
    <row r="120" spans="33:37" ht="23.25" customHeight="1" x14ac:dyDescent="0.25">
      <c r="AG120" s="172">
        <v>46136</v>
      </c>
      <c r="AH120" s="127" t="s">
        <v>1822</v>
      </c>
      <c r="AI120" s="128" t="s">
        <v>1922</v>
      </c>
      <c r="AJ120" s="122" t="s">
        <v>1920</v>
      </c>
      <c r="AK120" s="129">
        <v>305</v>
      </c>
    </row>
    <row r="121" spans="33:37" ht="23.25" customHeight="1" x14ac:dyDescent="0.25">
      <c r="AG121" s="172">
        <v>46136</v>
      </c>
      <c r="AH121" s="115" t="s">
        <v>1822</v>
      </c>
      <c r="AI121" s="159" t="s">
        <v>1923</v>
      </c>
      <c r="AJ121" s="122" t="s">
        <v>1921</v>
      </c>
      <c r="AK121" s="122">
        <v>149</v>
      </c>
    </row>
    <row r="122" spans="33:37" ht="23.25" customHeight="1" x14ac:dyDescent="0.25">
      <c r="AG122" s="172">
        <v>46136</v>
      </c>
      <c r="AH122" s="127" t="s">
        <v>1859</v>
      </c>
      <c r="AI122" s="128" t="s">
        <v>1923</v>
      </c>
      <c r="AJ122" s="122" t="s">
        <v>1921</v>
      </c>
      <c r="AK122" s="129">
        <v>331</v>
      </c>
    </row>
    <row r="123" spans="33:37" ht="23.25" customHeight="1" x14ac:dyDescent="0.25">
      <c r="AG123" s="173">
        <v>46140</v>
      </c>
      <c r="AH123" s="127" t="s">
        <v>1859</v>
      </c>
      <c r="AI123" s="128" t="s">
        <v>1757</v>
      </c>
      <c r="AJ123" s="129" t="s">
        <v>1936</v>
      </c>
      <c r="AK123" s="129">
        <v>199</v>
      </c>
    </row>
    <row r="124" spans="33:37" ht="23.25" customHeight="1" x14ac:dyDescent="0.25">
      <c r="AG124" s="173">
        <v>46142</v>
      </c>
      <c r="AH124" s="127" t="s">
        <v>1859</v>
      </c>
      <c r="AI124" s="128" t="s">
        <v>738</v>
      </c>
      <c r="AJ124" s="129" t="s">
        <v>1954</v>
      </c>
      <c r="AK124" s="129">
        <v>216</v>
      </c>
    </row>
    <row r="125" spans="33:37" ht="23.25" customHeight="1" x14ac:dyDescent="0.25">
      <c r="AG125" s="173">
        <v>46147</v>
      </c>
      <c r="AH125" s="127" t="s">
        <v>1859</v>
      </c>
      <c r="AI125" s="128" t="s">
        <v>738</v>
      </c>
      <c r="AJ125" s="129" t="s">
        <v>1972</v>
      </c>
      <c r="AK125" s="129">
        <v>76</v>
      </c>
    </row>
    <row r="126" spans="33:37" ht="23.25" customHeight="1" x14ac:dyDescent="0.25">
      <c r="AG126" s="173">
        <v>46147</v>
      </c>
      <c r="AH126" s="117" t="s">
        <v>1924</v>
      </c>
      <c r="AI126" s="128" t="s">
        <v>738</v>
      </c>
      <c r="AJ126" s="129" t="s">
        <v>1972</v>
      </c>
      <c r="AK126" s="129">
        <v>82</v>
      </c>
    </row>
    <row r="127" spans="33:37" ht="23.25" customHeight="1" x14ac:dyDescent="0.25">
      <c r="AG127" s="173">
        <v>46147</v>
      </c>
      <c r="AH127" s="127" t="s">
        <v>1859</v>
      </c>
      <c r="AI127" s="128" t="s">
        <v>1757</v>
      </c>
      <c r="AJ127" s="129" t="s">
        <v>1973</v>
      </c>
      <c r="AK127" s="129">
        <v>105</v>
      </c>
    </row>
    <row r="128" spans="33:37" ht="23.25" customHeight="1" x14ac:dyDescent="0.25">
      <c r="AG128" s="173">
        <v>46148</v>
      </c>
      <c r="AH128" s="127" t="s">
        <v>1859</v>
      </c>
      <c r="AI128" s="128" t="s">
        <v>738</v>
      </c>
      <c r="AJ128" s="129" t="s">
        <v>1978</v>
      </c>
      <c r="AK128" s="129">
        <v>54</v>
      </c>
    </row>
    <row r="129" spans="33:37" ht="23.25" customHeight="1" x14ac:dyDescent="0.25">
      <c r="AG129" s="173">
        <v>46148</v>
      </c>
      <c r="AH129" s="117" t="s">
        <v>1924</v>
      </c>
      <c r="AI129" s="128" t="s">
        <v>738</v>
      </c>
      <c r="AJ129" s="129" t="s">
        <v>1978</v>
      </c>
      <c r="AK129" s="129">
        <v>354</v>
      </c>
    </row>
    <row r="130" spans="33:37" ht="23.25" customHeight="1" x14ac:dyDescent="0.25">
      <c r="AG130" s="173">
        <v>46149</v>
      </c>
      <c r="AH130" s="127" t="s">
        <v>1924</v>
      </c>
      <c r="AI130" s="128" t="s">
        <v>1757</v>
      </c>
      <c r="AJ130" s="129" t="s">
        <v>1983</v>
      </c>
      <c r="AK130" s="129">
        <v>120</v>
      </c>
    </row>
    <row r="131" spans="33:37" ht="23.25" customHeight="1" x14ac:dyDescent="0.25">
      <c r="AG131" s="173">
        <v>46149</v>
      </c>
      <c r="AH131" s="127" t="s">
        <v>1924</v>
      </c>
      <c r="AI131" s="128" t="s">
        <v>738</v>
      </c>
      <c r="AJ131" s="129" t="s">
        <v>1984</v>
      </c>
      <c r="AK131" s="129">
        <v>153</v>
      </c>
    </row>
    <row r="132" spans="33:37" ht="23.25" customHeight="1" x14ac:dyDescent="0.25">
      <c r="AG132" s="172">
        <v>46149</v>
      </c>
      <c r="AH132" s="117" t="s">
        <v>1945</v>
      </c>
      <c r="AI132" s="128" t="s">
        <v>738</v>
      </c>
      <c r="AJ132" s="129" t="s">
        <v>1984</v>
      </c>
      <c r="AK132" s="122">
        <v>63</v>
      </c>
    </row>
    <row r="133" spans="33:37" ht="23.25" customHeight="1" x14ac:dyDescent="0.25">
      <c r="AG133" s="173">
        <v>46150</v>
      </c>
      <c r="AH133" s="127" t="s">
        <v>1945</v>
      </c>
      <c r="AI133" s="128" t="s">
        <v>1758</v>
      </c>
      <c r="AJ133" s="129" t="s">
        <v>1991</v>
      </c>
      <c r="AK133" s="129">
        <v>200</v>
      </c>
    </row>
    <row r="134" spans="33:37" ht="23.25" customHeight="1" x14ac:dyDescent="0.25">
      <c r="AG134" s="173">
        <v>46150</v>
      </c>
      <c r="AH134" s="127" t="s">
        <v>1945</v>
      </c>
      <c r="AI134" s="128" t="s">
        <v>1759</v>
      </c>
      <c r="AJ134" s="129" t="s">
        <v>1992</v>
      </c>
      <c r="AK134" s="129">
        <v>112</v>
      </c>
    </row>
    <row r="135" spans="33:37" ht="23.25" customHeight="1" x14ac:dyDescent="0.25">
      <c r="AG135" s="173">
        <v>46151</v>
      </c>
      <c r="AH135" s="127" t="s">
        <v>1996</v>
      </c>
      <c r="AI135" s="128" t="s">
        <v>1759</v>
      </c>
      <c r="AJ135" s="129" t="s">
        <v>1997</v>
      </c>
      <c r="AK135" s="129">
        <v>384</v>
      </c>
    </row>
    <row r="136" spans="33:37" ht="23.25" customHeight="1" x14ac:dyDescent="0.25">
      <c r="AG136" s="173">
        <v>46153</v>
      </c>
      <c r="AH136" s="127" t="s">
        <v>1924</v>
      </c>
      <c r="AI136" s="128" t="s">
        <v>1759</v>
      </c>
      <c r="AJ136" s="129" t="s">
        <v>2000</v>
      </c>
      <c r="AK136" s="129">
        <v>168</v>
      </c>
    </row>
    <row r="137" spans="33:37" ht="23.25" customHeight="1" x14ac:dyDescent="0.25">
      <c r="AG137" s="173">
        <v>46153</v>
      </c>
      <c r="AH137" s="127" t="s">
        <v>2001</v>
      </c>
      <c r="AI137" s="128" t="s">
        <v>1759</v>
      </c>
      <c r="AJ137" s="129" t="s">
        <v>2000</v>
      </c>
      <c r="AK137" s="129">
        <v>168</v>
      </c>
    </row>
    <row r="138" spans="33:37" ht="23.25" customHeight="1" x14ac:dyDescent="0.25">
      <c r="AG138" s="173">
        <v>46153</v>
      </c>
      <c r="AH138" s="127" t="s">
        <v>1987</v>
      </c>
      <c r="AI138" s="128" t="s">
        <v>1758</v>
      </c>
      <c r="AJ138" s="129" t="s">
        <v>2006</v>
      </c>
      <c r="AK138" s="129">
        <v>250</v>
      </c>
    </row>
    <row r="139" spans="33:37" ht="23.25" customHeight="1" x14ac:dyDescent="0.25">
      <c r="AG139" s="173">
        <v>46153</v>
      </c>
      <c r="AH139" s="117" t="s">
        <v>1822</v>
      </c>
      <c r="AI139" s="128" t="s">
        <v>1759</v>
      </c>
      <c r="AJ139" s="129" t="s">
        <v>2007</v>
      </c>
      <c r="AK139" s="129">
        <v>1</v>
      </c>
    </row>
    <row r="140" spans="33:37" ht="23.25" customHeight="1" x14ac:dyDescent="0.25">
      <c r="AG140" s="173">
        <v>46153</v>
      </c>
      <c r="AH140" s="127" t="s">
        <v>1924</v>
      </c>
      <c r="AI140" s="128" t="s">
        <v>1759</v>
      </c>
      <c r="AJ140" s="129" t="s">
        <v>2007</v>
      </c>
      <c r="AK140" s="129">
        <v>334</v>
      </c>
    </row>
    <row r="141" spans="33:37" ht="23.25" customHeight="1" x14ac:dyDescent="0.25">
      <c r="AG141" s="173">
        <v>46153</v>
      </c>
      <c r="AH141" s="127" t="s">
        <v>1945</v>
      </c>
      <c r="AI141" s="128" t="s">
        <v>1759</v>
      </c>
      <c r="AJ141" s="129" t="s">
        <v>2007</v>
      </c>
      <c r="AK141" s="129">
        <v>81</v>
      </c>
    </row>
    <row r="142" spans="33:37" ht="23.25" customHeight="1" x14ac:dyDescent="0.25">
      <c r="AG142" s="173">
        <v>46153</v>
      </c>
      <c r="AH142" s="127" t="s">
        <v>1987</v>
      </c>
      <c r="AI142" s="128" t="s">
        <v>1759</v>
      </c>
      <c r="AJ142" s="129" t="s">
        <v>2007</v>
      </c>
      <c r="AK142" s="129">
        <v>352</v>
      </c>
    </row>
    <row r="143" spans="33:37" ht="23.25" customHeight="1" x14ac:dyDescent="0.25">
      <c r="AG143" s="173">
        <v>46154</v>
      </c>
      <c r="AH143" s="127" t="s">
        <v>1924</v>
      </c>
      <c r="AI143" s="128" t="s">
        <v>738</v>
      </c>
      <c r="AJ143" s="129" t="s">
        <v>2012</v>
      </c>
      <c r="AK143" s="129">
        <v>239</v>
      </c>
    </row>
    <row r="144" spans="33:37" ht="23.25" customHeight="1" x14ac:dyDescent="0.25">
      <c r="AG144" s="173">
        <v>46154</v>
      </c>
      <c r="AH144" s="127" t="s">
        <v>1945</v>
      </c>
      <c r="AI144" s="128" t="s">
        <v>738</v>
      </c>
      <c r="AJ144" s="129" t="s">
        <v>2012</v>
      </c>
      <c r="AK144" s="129">
        <v>193</v>
      </c>
    </row>
    <row r="145" spans="33:37" ht="23.25" customHeight="1" x14ac:dyDescent="0.25">
      <c r="AG145" s="173">
        <v>46154</v>
      </c>
      <c r="AH145" s="117" t="s">
        <v>1987</v>
      </c>
      <c r="AI145" s="128" t="s">
        <v>738</v>
      </c>
      <c r="AJ145" s="122" t="s">
        <v>2012</v>
      </c>
      <c r="AK145" s="122">
        <v>377</v>
      </c>
    </row>
    <row r="146" spans="33:37" ht="23.25" customHeight="1" x14ac:dyDescent="0.25">
      <c r="AG146" s="173">
        <v>46157</v>
      </c>
      <c r="AH146" s="127" t="s">
        <v>1987</v>
      </c>
      <c r="AI146" s="128" t="s">
        <v>738</v>
      </c>
      <c r="AJ146" s="129" t="s">
        <v>2022</v>
      </c>
      <c r="AK146" s="129">
        <v>280</v>
      </c>
    </row>
    <row r="147" spans="33:37" ht="23.25" customHeight="1" x14ac:dyDescent="0.25">
      <c r="AG147" s="173">
        <v>46158</v>
      </c>
      <c r="AH147" s="127" t="s">
        <v>2028</v>
      </c>
      <c r="AI147" s="128" t="s">
        <v>738</v>
      </c>
      <c r="AJ147" s="129" t="s">
        <v>2029</v>
      </c>
      <c r="AK147" s="129">
        <v>504</v>
      </c>
    </row>
    <row r="148" spans="33:37" ht="23.25" customHeight="1" x14ac:dyDescent="0.25">
      <c r="AG148" s="173">
        <v>46160</v>
      </c>
      <c r="AH148" s="127" t="s">
        <v>2032</v>
      </c>
      <c r="AI148" s="128" t="s">
        <v>2033</v>
      </c>
      <c r="AJ148" s="129" t="s">
        <v>2034</v>
      </c>
      <c r="AK148" s="129">
        <v>2</v>
      </c>
    </row>
    <row r="149" spans="33:37" ht="23.25" customHeight="1" x14ac:dyDescent="0.25">
      <c r="AG149" s="173">
        <v>46160</v>
      </c>
      <c r="AH149" s="127" t="s">
        <v>2035</v>
      </c>
      <c r="AI149" s="128" t="s">
        <v>2033</v>
      </c>
      <c r="AJ149" s="129" t="s">
        <v>2034</v>
      </c>
      <c r="AK149" s="129">
        <v>334</v>
      </c>
    </row>
    <row r="150" spans="33:37" ht="23.25" customHeight="1" x14ac:dyDescent="0.25">
      <c r="AG150" s="173"/>
      <c r="AH150" s="127"/>
      <c r="AI150" s="128"/>
      <c r="AJ150" s="129"/>
      <c r="AK150" s="129"/>
    </row>
  </sheetData>
  <protectedRanges>
    <protectedRange sqref="AG1:AK5 AG6:AG8 AI6:AK8 AG9:AK49 AG50 AI50:AK50 AG51:AK56 AG57 AI57:AK57 AG58:AK71 AG72:AG76 AI72:AK76 AG77:AK79 AG98:AK98 AG80:AG97 AI80:AK97 AG99:AG104 AI99:AK104 AG105:AK105 AG135:AK135 AG106:AG134 AI106:AK134 AG136 AI136:AK136 AG137:AK137 AG138:AG145 AI138:AK145 AG146:AK1048576" name="範圍1"/>
    <protectedRange sqref="AH6:AH8" name="範圍1_1"/>
  </protectedRanges>
  <mergeCells count="24">
    <mergeCell ref="AC2:AC3"/>
    <mergeCell ref="AD2:AD4"/>
    <mergeCell ref="AG2:AK2"/>
    <mergeCell ref="A2:A4"/>
    <mergeCell ref="B2:B4"/>
    <mergeCell ref="D2:D3"/>
    <mergeCell ref="E2:F3"/>
    <mergeCell ref="G2:I2"/>
    <mergeCell ref="AL2:AL4"/>
    <mergeCell ref="G3:I3"/>
    <mergeCell ref="J3:L3"/>
    <mergeCell ref="M3:O3"/>
    <mergeCell ref="P3:R3"/>
    <mergeCell ref="S3:U3"/>
    <mergeCell ref="M2:O2"/>
    <mergeCell ref="P2:R2"/>
    <mergeCell ref="S2:U2"/>
    <mergeCell ref="V2:X2"/>
    <mergeCell ref="Y2:Y3"/>
    <mergeCell ref="Z2:Z3"/>
    <mergeCell ref="V3:X3"/>
    <mergeCell ref="J2:L2"/>
    <mergeCell ref="AG3:AK4"/>
    <mergeCell ref="AA2:AA3"/>
  </mergeCells>
  <phoneticPr fontId="3" type="noConversion"/>
  <conditionalFormatting sqref="E6:H38 Y6:AB38 J6:K38 P6:Q38 M6:N38 V6:W38 S6:T38">
    <cfRule type="cellIs" dxfId="590" priority="27" operator="lessThan">
      <formula>0</formula>
    </cfRule>
    <cfRule type="cellIs" dxfId="589" priority="28" operator="greaterThan">
      <formula>0</formula>
    </cfRule>
  </conditionalFormatting>
  <conditionalFormatting sqref="R6:R38 I6:I38 AC6:AC38 L6:L38 O6:O38 X6:X38 U6:U38">
    <cfRule type="cellIs" dxfId="588" priority="26" operator="greaterThan">
      <formula>0</formula>
    </cfRule>
  </conditionalFormatting>
  <conditionalFormatting sqref="AL5">
    <cfRule type="cellIs" dxfId="587" priority="25" operator="greaterThan">
      <formula>0</formula>
    </cfRule>
  </conditionalFormatting>
  <conditionalFormatting sqref="AD6:AD38">
    <cfRule type="containsBlanks" dxfId="586" priority="22">
      <formula>LEN(TRIM(AD6))=0</formula>
    </cfRule>
    <cfRule type="cellIs" dxfId="585" priority="23" operator="greaterThanOrEqual">
      <formula>0.97</formula>
    </cfRule>
    <cfRule type="notContainsBlanks" dxfId="584" priority="24">
      <formula>LEN(TRIM(AD6))&gt;0</formula>
    </cfRule>
  </conditionalFormatting>
  <conditionalFormatting sqref="AD6:AD38">
    <cfRule type="cellIs" dxfId="583" priority="21" operator="lessThan">
      <formula>0.97</formula>
    </cfRule>
  </conditionalFormatting>
  <dataValidations count="2">
    <dataValidation type="list" allowBlank="1" showInputMessage="1" showErrorMessage="1" sqref="AH6:AH56 AH105" xr:uid="{B44B9C4C-D297-4027-8794-243A86DD5BA8}">
      <formula1>_4XX可分料</formula1>
    </dataValidation>
    <dataValidation type="list" allowBlank="1" showInputMessage="1" showErrorMessage="1" sqref="AI6:AI150" xr:uid="{FEF4A197-9C2E-459C-96A8-C3BB78868391}">
      <formula1>$AM$3:$AP$3</formula1>
    </dataValidation>
  </dataValidation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FB25F-BD32-4A78-A59E-FE0883A4D18C}">
  <sheetPr codeName="工作表5">
    <tabColor rgb="FF92D050"/>
  </sheetPr>
  <dimension ref="A1:AA41"/>
  <sheetViews>
    <sheetView zoomScale="50" zoomScaleNormal="50" workbookViewId="0">
      <pane xSplit="4" ySplit="5" topLeftCell="E6" activePane="bottomRight" state="frozen"/>
      <selection activeCell="K2" sqref="K2:K5"/>
      <selection pane="topRight" activeCell="K2" sqref="K2:K5"/>
      <selection pane="bottomLeft" activeCell="K2" sqref="K2:K5"/>
      <selection pane="bottomRight" activeCell="E3" sqref="E3:J3"/>
    </sheetView>
  </sheetViews>
  <sheetFormatPr defaultColWidth="17.7109375" defaultRowHeight="42" customHeight="1" x14ac:dyDescent="0.25"/>
  <cols>
    <col min="1" max="1" width="25.85546875" style="3" bestFit="1" customWidth="1"/>
    <col min="2" max="2" width="25.85546875" style="2" bestFit="1" customWidth="1"/>
    <col min="3" max="3" width="25.5703125" style="2" hidden="1" customWidth="1"/>
    <col min="4" max="4" width="22.5703125" style="2" bestFit="1" customWidth="1"/>
    <col min="5" max="5" width="25.85546875" style="2" bestFit="1" customWidth="1"/>
    <col min="6" max="6" width="26.85546875" style="2" hidden="1" customWidth="1"/>
    <col min="7" max="8" width="25.85546875" style="2" bestFit="1" customWidth="1"/>
    <col min="9" max="9" width="19.42578125" style="2" hidden="1" customWidth="1"/>
    <col min="10" max="11" width="25.85546875" style="2" bestFit="1" customWidth="1"/>
    <col min="12" max="12" width="25.85546875" style="3" bestFit="1" customWidth="1"/>
    <col min="13" max="13" width="25.140625" style="2" hidden="1" customWidth="1"/>
    <col min="14" max="14" width="23.7109375" style="2" bestFit="1" customWidth="1"/>
    <col min="15" max="15" width="25.85546875" style="3" bestFit="1" customWidth="1"/>
    <col min="16" max="16" width="16.5703125" style="2" hidden="1" customWidth="1"/>
    <col min="17" max="17" width="22.5703125" style="2" bestFit="1" customWidth="1"/>
    <col min="18" max="18" width="25.85546875" style="3" bestFit="1" customWidth="1"/>
    <col min="19" max="19" width="23.7109375" style="2" hidden="1" customWidth="1"/>
    <col min="20" max="20" width="25.85546875" style="2" bestFit="1" customWidth="1"/>
    <col min="21" max="21" width="22.5703125" style="2" bestFit="1" customWidth="1"/>
    <col min="22" max="22" width="16.5703125" style="2" hidden="1" customWidth="1"/>
    <col min="23" max="23" width="25.85546875" style="2" bestFit="1" customWidth="1"/>
    <col min="24" max="24" width="17.7109375" style="2" bestFit="1" customWidth="1"/>
    <col min="25" max="25" width="19.85546875" style="2" hidden="1" customWidth="1"/>
    <col min="26" max="26" width="25.85546875" style="2" bestFit="1" customWidth="1"/>
    <col min="27" max="27" width="22.5703125" style="2" bestFit="1" customWidth="1"/>
    <col min="28" max="16384" width="17.7109375" style="2"/>
  </cols>
  <sheetData>
    <row r="1" spans="1:27" ht="101.25" hidden="1" customHeight="1" thickBot="1" x14ac:dyDescent="0.3">
      <c r="F1" s="2" t="s">
        <v>323</v>
      </c>
      <c r="G1" s="2" t="s">
        <v>323</v>
      </c>
      <c r="I1" s="2" t="s">
        <v>324</v>
      </c>
      <c r="J1" s="2" t="s">
        <v>324</v>
      </c>
      <c r="M1" s="2" t="s">
        <v>325</v>
      </c>
      <c r="N1" s="2" t="s">
        <v>325</v>
      </c>
      <c r="P1" s="2" t="s">
        <v>326</v>
      </c>
      <c r="Q1" s="2" t="s">
        <v>326</v>
      </c>
      <c r="S1" s="2" t="s">
        <v>327</v>
      </c>
      <c r="T1" s="2" t="s">
        <v>327</v>
      </c>
      <c r="V1" s="2" t="s">
        <v>328</v>
      </c>
      <c r="Y1" s="2" t="s">
        <v>329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1731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34" t="s">
        <v>67</v>
      </c>
      <c r="AA2" s="336" t="s">
        <v>69</v>
      </c>
    </row>
    <row r="3" spans="1:27" ht="42" customHeight="1" thickBot="1" x14ac:dyDescent="0.3">
      <c r="A3" s="281"/>
      <c r="B3" s="325"/>
      <c r="C3" s="14"/>
      <c r="D3" s="328"/>
      <c r="E3" s="313" t="s">
        <v>1732</v>
      </c>
      <c r="F3" s="314"/>
      <c r="G3" s="314"/>
      <c r="H3" s="314"/>
      <c r="I3" s="314"/>
      <c r="J3" s="315"/>
      <c r="K3" s="330"/>
      <c r="L3" s="316" t="s">
        <v>491</v>
      </c>
      <c r="M3" s="317"/>
      <c r="N3" s="318"/>
      <c r="O3" s="339" t="s">
        <v>1733</v>
      </c>
      <c r="P3" s="340"/>
      <c r="Q3" s="341"/>
      <c r="R3" s="342" t="s">
        <v>491</v>
      </c>
      <c r="S3" s="343"/>
      <c r="T3" s="344"/>
      <c r="U3" s="351"/>
      <c r="V3" s="352"/>
      <c r="W3" s="353"/>
      <c r="X3" s="134"/>
      <c r="Y3" s="333"/>
      <c r="Z3" s="335"/>
      <c r="AA3" s="337"/>
    </row>
    <row r="4" spans="1:27" ht="42" customHeight="1" thickBot="1" x14ac:dyDescent="0.3">
      <c r="A4" s="282"/>
      <c r="B4" s="326"/>
      <c r="C4" s="10"/>
      <c r="D4" s="27">
        <f>SUM(_018_370[入料數])</f>
        <v>418</v>
      </c>
      <c r="E4" s="25">
        <f>SUM(_018_370['#08待委外數量])</f>
        <v>0</v>
      </c>
      <c r="F4" s="25">
        <f>SUM(_018_370['#08已委外數量])</f>
        <v>418</v>
      </c>
      <c r="G4" s="319">
        <f>SUM(_018_370['#08待回數量])</f>
        <v>0</v>
      </c>
      <c r="H4" s="320"/>
      <c r="I4" s="25">
        <f>SUM(_018_370['#08已委外數量])</f>
        <v>418</v>
      </c>
      <c r="J4" s="25">
        <f>SUM(_018_370['#08委外NG])</f>
        <v>0</v>
      </c>
      <c r="K4" s="331"/>
      <c r="L4" s="26">
        <f>SUM(_018_370['#06待檢驗
數量])</f>
        <v>0</v>
      </c>
      <c r="M4" s="26">
        <f>SUM(_018_370['#06檢驗OK])</f>
        <v>418</v>
      </c>
      <c r="N4" s="26">
        <f>SUM(_018_370['#06
QC NG])</f>
        <v>0</v>
      </c>
      <c r="O4" s="26">
        <f>SUM(_018_370[成品待檢驗])</f>
        <v>0</v>
      </c>
      <c r="P4" s="26">
        <f>SUM(_018_370[良品])</f>
        <v>402</v>
      </c>
      <c r="Q4" s="26">
        <f>SUM(_018_370[不良品])</f>
        <v>16</v>
      </c>
      <c r="R4" s="26">
        <f>SUM(_018_370[已包裝待放行])</f>
        <v>0</v>
      </c>
      <c r="S4" s="26">
        <f>SUM(_018_370[良品])</f>
        <v>402</v>
      </c>
      <c r="T4" s="26">
        <f>SUM(_018_370[不良品])</f>
        <v>16</v>
      </c>
      <c r="U4" s="131">
        <f>SUM(_018_370[未入庫])</f>
        <v>132</v>
      </c>
      <c r="V4" s="131">
        <f>SUM(_018_370[入庫])</f>
        <v>270</v>
      </c>
      <c r="W4" s="131">
        <f>SUM(_018_370[可出貨數量])</f>
        <v>0</v>
      </c>
      <c r="X4" s="135"/>
      <c r="Y4" s="132">
        <f>SUM(_018_370[已出貨])</f>
        <v>270</v>
      </c>
      <c r="Z4" s="138">
        <f>SUM(_018_370[總不良數])</f>
        <v>16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293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239">
        <v>46146</v>
      </c>
      <c r="B6" s="240" t="s">
        <v>1958</v>
      </c>
      <c r="C6" s="241" t="s">
        <v>491</v>
      </c>
      <c r="D6" s="242">
        <v>273</v>
      </c>
      <c r="E6" s="243">
        <f>_018_370[[#This Row],[入料數]]-_018_370[[#This Row],['#08已委外數量]]</f>
        <v>0</v>
      </c>
      <c r="F6" s="243">
        <f>SUMIFS(record[OK],record[製程料號],_018_370[[#This Row],[製令單號]],record[ProcessSN],F$1)</f>
        <v>273</v>
      </c>
      <c r="G6" s="242" t="str">
        <f>IF(_018_370[[#This Row],['#08已委外數量]]&gt;0,VLOOKUP(G$1,record[[ProcessSN]:[廠商]],12,FALSE),"尚未委外")</f>
        <v>泉盛</v>
      </c>
      <c r="H6" s="243">
        <f>_018_370[[#This Row],['#08已委外數量]]-_018_370[[#This Row],['#08回
良品]]-_018_370[[#This Row],['#08委外NG]]</f>
        <v>0</v>
      </c>
      <c r="I6" s="243">
        <f>SUMIFS(record[OK],record[製程料號],_018_370[[#This Row],[製令單號]],record[ProcessSN],I$1)</f>
        <v>273</v>
      </c>
      <c r="J6" s="244">
        <f>SUMIFS(record[NG],record[製程料號],_018_370[[#This Row],[製令單號]],record[ProcessSN],J$1)</f>
        <v>0</v>
      </c>
      <c r="K6" s="150">
        <f>IFERROR(_018_370[[#This Row],['#08委外NG]]/_018_370[[#This Row],['#08已委外數量]],"")</f>
        <v>0</v>
      </c>
      <c r="L6" s="243">
        <f>_018_370[[#This Row],['#08回
良品]]-_018_370[[#This Row],['#06檢驗OK]]-_018_370[[#This Row],['#06
QC NG]]</f>
        <v>0</v>
      </c>
      <c r="M6" s="243">
        <f>SUMIFS(record[OK],record[製程料號],_018_370[[#This Row],[製令單號]],record[ProcessSN],M$1)</f>
        <v>273</v>
      </c>
      <c r="N6" s="244">
        <f>SUMIFS(record[NG],record[製程料號],_018_370[[#This Row],[製令單號]],record[ProcessSN],N$1)</f>
        <v>0</v>
      </c>
      <c r="O6" s="243">
        <f>_018_370[[#This Row],['#06檢驗OK]]-_018_370[[#This Row],[不良品]]-_018_370[[#This Row],[良品]]</f>
        <v>0</v>
      </c>
      <c r="P6" s="243">
        <f>SUMIFS(record[OK],record[製程料號],_018_370[[#This Row],[製令單號]],record[ProcessSN],P$1)</f>
        <v>261</v>
      </c>
      <c r="Q6" s="244">
        <f>SUMIFS(record[NG],record[製程料號],_018_370[[#This Row],[製令單號]],record[ProcessSN],Q$1)</f>
        <v>12</v>
      </c>
      <c r="R6" s="243">
        <f>_018_370[[#This Row],[良品]]-_018_370[[#This Row],[良品放行]]-_018_370[[#This Row],[不良待處理]]</f>
        <v>0</v>
      </c>
      <c r="S6" s="243">
        <f>SUMIFS(record[OK],record[製程料號],_018_370[[#This Row],[製令單號]],record[ProcessSN],S$1)</f>
        <v>261</v>
      </c>
      <c r="T6" s="244">
        <f>SUMIFS(record[NG],record[製程料號],_018_370[[#This Row],[製令單號]],record[ProcessSN],T$1)</f>
        <v>0</v>
      </c>
      <c r="U6" s="243">
        <f>_018_370[[#This Row],[良品放行]]-_018_370[[#This Row],[入庫]]</f>
        <v>0</v>
      </c>
      <c r="V6" s="243">
        <f>SUMIFS(record[OK],record[製程料號],_018_370[[#This Row],[製令單號]],record[ProcessSN],V$1)</f>
        <v>261</v>
      </c>
      <c r="W6" s="243">
        <f>_018_370[[#This Row],[入庫]]-_018_370[[#This Row],[已出貨]]</f>
        <v>0</v>
      </c>
      <c r="X6" s="246"/>
      <c r="Y6" s="243">
        <f>SUMIFS(record[OK],record[製程料號],_018_370[[#This Row],[製令單號]],record[ProcessSN],Y$1)</f>
        <v>261</v>
      </c>
      <c r="Z6" s="247">
        <f>_018_370[[#This Row],[不良待處理]]+_018_370[[#This Row],[不良品]]+_018_370[[#This Row],['#06
QC NG]]+_018_370[[#This Row],['#08委外NG]]</f>
        <v>12</v>
      </c>
      <c r="AA6" s="150">
        <f>IF(_018_370[[#This Row],[已出貨]]+_018_370[[#This Row],[總不良數]]+_018_370[[#This Row],[可出貨數量]]=_018_370[[#This Row],[入料數]],(_018_370[[#This Row],[可出貨數量]]+_018_370[[#This Row],[已出貨]])/_018_370[[#This Row],[入料數]],"")</f>
        <v>0.95604395604395609</v>
      </c>
    </row>
    <row r="7" spans="1:27" ht="30.75" x14ac:dyDescent="0.25">
      <c r="A7" s="239">
        <v>46147</v>
      </c>
      <c r="B7" s="240" t="s">
        <v>1968</v>
      </c>
      <c r="C7" s="241" t="s">
        <v>491</v>
      </c>
      <c r="D7" s="242">
        <v>145</v>
      </c>
      <c r="E7" s="243">
        <f>_018_370[[#This Row],[入料數]]-_018_370[[#This Row],['#08已委外數量]]</f>
        <v>0</v>
      </c>
      <c r="F7" s="243">
        <f>SUMIFS(record[OK],record[製程料號],_018_370[[#This Row],[製令單號]],record[ProcessSN],F$1)</f>
        <v>145</v>
      </c>
      <c r="G7" s="242" t="str">
        <f>IF(_018_370[[#This Row],['#08已委外數量]]&gt;0,VLOOKUP(G$1,record[[ProcessSN]:[廠商]],12,FALSE),"尚未委外")</f>
        <v>泉盛</v>
      </c>
      <c r="H7" s="243">
        <f>_018_370[[#This Row],['#08已委外數量]]-_018_370[[#This Row],['#08回
良品]]-_018_370[[#This Row],['#08委外NG]]</f>
        <v>0</v>
      </c>
      <c r="I7" s="243">
        <f>SUMIFS(record[OK],record[製程料號],_018_370[[#This Row],[製令單號]],record[ProcessSN],I$1)</f>
        <v>145</v>
      </c>
      <c r="J7" s="244">
        <f>SUMIFS(record[NG],record[製程料號],_018_370[[#This Row],[製令單號]],record[ProcessSN],J$1)</f>
        <v>0</v>
      </c>
      <c r="K7" s="245">
        <f>IFERROR(_018_370[[#This Row],['#08委外NG]]/_018_370[[#This Row],['#08已委外數量]],"")</f>
        <v>0</v>
      </c>
      <c r="L7" s="243">
        <f>_018_370[[#This Row],['#08回
良品]]-_018_370[[#This Row],['#06檢驗OK]]-_018_370[[#This Row],['#06
QC NG]]</f>
        <v>0</v>
      </c>
      <c r="M7" s="243">
        <f>SUMIFS(record[OK],record[製程料號],_018_370[[#This Row],[製令單號]],record[ProcessSN],M$1)</f>
        <v>145</v>
      </c>
      <c r="N7" s="244">
        <f>SUMIFS(record[NG],record[製程料號],_018_370[[#This Row],[製令單號]],record[ProcessSN],N$1)</f>
        <v>0</v>
      </c>
      <c r="O7" s="243">
        <f>_018_370[[#This Row],['#06檢驗OK]]-_018_370[[#This Row],[不良品]]-_018_370[[#This Row],[良品]]</f>
        <v>0</v>
      </c>
      <c r="P7" s="243">
        <f>SUMIFS(record[OK],record[製程料號],_018_370[[#This Row],[製令單號]],record[ProcessSN],P$1)</f>
        <v>141</v>
      </c>
      <c r="Q7" s="244">
        <f>SUMIFS(record[NG],record[製程料號],_018_370[[#This Row],[製令單號]],record[ProcessSN],Q$1)</f>
        <v>4</v>
      </c>
      <c r="R7" s="243">
        <f>_018_370[[#This Row],[良品]]-_018_370[[#This Row],[良品放行]]-_018_370[[#This Row],[不良待處理]]</f>
        <v>0</v>
      </c>
      <c r="S7" s="243">
        <f>SUMIFS(record[OK],record[製程料號],_018_370[[#This Row],[製令單號]],record[ProcessSN],S$1)</f>
        <v>141</v>
      </c>
      <c r="T7" s="244">
        <f>SUMIFS(record[NG],record[製程料號],_018_370[[#This Row],[製令單號]],record[ProcessSN],T$1)</f>
        <v>0</v>
      </c>
      <c r="U7" s="243">
        <f>_018_370[[#This Row],[良品放行]]-_018_370[[#This Row],[入庫]]</f>
        <v>132</v>
      </c>
      <c r="V7" s="243">
        <f>SUMIFS(record[OK],record[製程料號],_018_370[[#This Row],[製令單號]],record[ProcessSN],V$1)</f>
        <v>9</v>
      </c>
      <c r="W7" s="243">
        <f>_018_370[[#This Row],[入庫]]-_018_370[[#This Row],[已出貨]]</f>
        <v>0</v>
      </c>
      <c r="X7" s="246"/>
      <c r="Y7" s="243">
        <f>SUMIFS(record[OK],record[製程料號],_018_370[[#This Row],[製令單號]],record[ProcessSN],Y$1)</f>
        <v>9</v>
      </c>
      <c r="Z7" s="247">
        <f>_018_370[[#This Row],[不良待處理]]+_018_370[[#This Row],[不良品]]+_018_370[[#This Row],['#06
QC NG]]+_018_370[[#This Row],['#08委外NG]]</f>
        <v>4</v>
      </c>
      <c r="AA7" s="245" t="str">
        <f>IF(_018_370[[#This Row],[已出貨]]+_018_370[[#This Row],[總不良數]]+_018_370[[#This Row],[可出貨數量]]=_018_370[[#This Row],[入料數]],(_018_370[[#This Row],[可出貨數量]]+_018_370[[#This Row],[已出貨]])/_018_370[[#This Row],[入料數]],"")</f>
        <v/>
      </c>
    </row>
    <row r="8" spans="1:27" ht="15.75" x14ac:dyDescent="0.25"/>
    <row r="9" spans="1:27" ht="15.75" x14ac:dyDescent="0.25"/>
    <row r="10" spans="1:27" ht="15.75" x14ac:dyDescent="0.25"/>
    <row r="11" spans="1:27" ht="15.75" x14ac:dyDescent="0.25"/>
    <row r="12" spans="1:27" ht="15.75" x14ac:dyDescent="0.25"/>
    <row r="13" spans="1:27" ht="15.75" x14ac:dyDescent="0.25"/>
    <row r="14" spans="1:27" ht="15.75" x14ac:dyDescent="0.25"/>
    <row r="15" spans="1:27" ht="15.75" x14ac:dyDescent="0.25"/>
    <row r="16" spans="1:27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  <row r="22" ht="15.75" x14ac:dyDescent="0.25"/>
    <row r="23" ht="15.75" x14ac:dyDescent="0.25"/>
    <row r="24" ht="15.75" x14ac:dyDescent="0.25"/>
    <row r="25" ht="15.75" x14ac:dyDescent="0.25"/>
    <row r="26" ht="15.75" x14ac:dyDescent="0.25"/>
    <row r="27" ht="15.75" x14ac:dyDescent="0.25"/>
    <row r="28" ht="15.75" x14ac:dyDescent="0.25"/>
    <row r="29" ht="15.75" x14ac:dyDescent="0.25"/>
    <row r="30" ht="15.75" x14ac:dyDescent="0.25"/>
    <row r="31" ht="15.75" x14ac:dyDescent="0.25"/>
    <row r="32" ht="15.75" x14ac:dyDescent="0.25"/>
    <row r="33" ht="15.75" x14ac:dyDescent="0.25"/>
    <row r="34" ht="15.75" x14ac:dyDescent="0.25"/>
    <row r="35" ht="15.75" x14ac:dyDescent="0.25"/>
    <row r="36" ht="15.75" x14ac:dyDescent="0.25"/>
    <row r="37" ht="15.75" x14ac:dyDescent="0.25"/>
    <row r="38" ht="15.75" x14ac:dyDescent="0.25"/>
    <row r="39" ht="15.75" x14ac:dyDescent="0.25"/>
    <row r="40" ht="15.75" x14ac:dyDescent="0.25"/>
    <row r="41" ht="15.75" x14ac:dyDescent="0.25"/>
  </sheetData>
  <mergeCells count="17">
    <mergeCell ref="Y2:Y3"/>
    <mergeCell ref="Z2:Z3"/>
    <mergeCell ref="AA2:AA4"/>
    <mergeCell ref="O3:Q3"/>
    <mergeCell ref="R3:T3"/>
    <mergeCell ref="R2:T2"/>
    <mergeCell ref="U2:W3"/>
    <mergeCell ref="A2:A4"/>
    <mergeCell ref="B2:B4"/>
    <mergeCell ref="D2:D3"/>
    <mergeCell ref="E2:J2"/>
    <mergeCell ref="K2:K4"/>
    <mergeCell ref="L2:N2"/>
    <mergeCell ref="E3:J3"/>
    <mergeCell ref="L3:N3"/>
    <mergeCell ref="G4:H4"/>
    <mergeCell ref="O2:Q2"/>
  </mergeCells>
  <phoneticPr fontId="3" type="noConversion"/>
  <conditionalFormatting sqref="E5:F7 H5:I7 L5:M7 O5:P7 R5:S7 U5:Y7">
    <cfRule type="cellIs" dxfId="582" priority="10" operator="lessThan">
      <formula>0</formula>
    </cfRule>
    <cfRule type="cellIs" dxfId="581" priority="11" operator="greaterThan">
      <formula>0</formula>
    </cfRule>
  </conditionalFormatting>
  <conditionalFormatting sqref="AA5:AA7">
    <cfRule type="cellIs" dxfId="580" priority="3" operator="lessThan">
      <formula>0.97</formula>
    </cfRule>
  </conditionalFormatting>
  <conditionalFormatting sqref="J5:K7 N5:N7 Q5:Q7 T5:T7">
    <cfRule type="cellIs" dxfId="579" priority="8" operator="greaterThan">
      <formula>0</formula>
    </cfRule>
  </conditionalFormatting>
  <conditionalFormatting sqref="G5:G7">
    <cfRule type="containsText" dxfId="578" priority="6" operator="containsText" text="尚未委外">
      <formula>NOT(ISERROR(SEARCH("尚未委外",G5)))</formula>
    </cfRule>
    <cfRule type="notContainsBlanks" dxfId="577" priority="7">
      <formula>LEN(TRIM(G5))&gt;0</formula>
    </cfRule>
  </conditionalFormatting>
  <conditionalFormatting sqref="K5:K7">
    <cfRule type="containsBlanks" dxfId="576" priority="4">
      <formula>LEN(TRIM(K5))=0</formula>
    </cfRule>
    <cfRule type="cellIs" dxfId="575" priority="5" operator="greaterThan">
      <formula>0.03</formula>
    </cfRule>
  </conditionalFormatting>
  <conditionalFormatting sqref="AA5:AA7">
    <cfRule type="containsBlanks" dxfId="574" priority="1">
      <formula>LEN(TRIM(AA5))=0</formula>
    </cfRule>
    <cfRule type="cellIs" dxfId="573" priority="2" operator="greaterThanOrEqual">
      <formula>0.97</formula>
    </cfRule>
    <cfRule type="notContainsBlanks" dxfId="572" priority="9">
      <formula>LEN(TRIM(AA5))&gt;0</formula>
    </cfRule>
  </conditionalFormatting>
  <pageMargins left="0.7" right="0.7" top="0.75" bottom="0.75" header="0.51180555555555496" footer="0.51180555555555496"/>
  <pageSetup paperSize="9" firstPageNumber="0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F981-C684-4643-BF89-870FBDEE2D66}">
  <sheetPr codeName="工作表16">
    <tabColor rgb="FF92D050"/>
  </sheetPr>
  <dimension ref="A1:AA41"/>
  <sheetViews>
    <sheetView zoomScale="50" zoomScaleNormal="50" workbookViewId="0">
      <pane xSplit="4" ySplit="5" topLeftCell="E6" activePane="bottomRight" state="frozen"/>
      <selection activeCell="K2" sqref="K2:K5"/>
      <selection pane="topRight" activeCell="K2" sqref="K2:K5"/>
      <selection pane="bottomLeft" activeCell="K2" sqref="K2:K5"/>
      <selection pane="bottomRight" activeCell="E3" sqref="E3:J3"/>
    </sheetView>
  </sheetViews>
  <sheetFormatPr defaultColWidth="17.7109375" defaultRowHeight="42" customHeight="1" x14ac:dyDescent="0.25"/>
  <cols>
    <col min="1" max="1" width="25.85546875" style="3" bestFit="1" customWidth="1"/>
    <col min="2" max="2" width="25.85546875" style="2" bestFit="1" customWidth="1"/>
    <col min="3" max="3" width="25.5703125" style="2" hidden="1" customWidth="1"/>
    <col min="4" max="4" width="22.5703125" style="2" bestFit="1" customWidth="1"/>
    <col min="5" max="5" width="25.85546875" style="2" bestFit="1" customWidth="1"/>
    <col min="6" max="6" width="26.85546875" style="2" hidden="1" customWidth="1"/>
    <col min="7" max="8" width="25.85546875" style="2" bestFit="1" customWidth="1"/>
    <col min="9" max="9" width="19.42578125" style="2" hidden="1" customWidth="1"/>
    <col min="10" max="11" width="25.85546875" style="2" bestFit="1" customWidth="1"/>
    <col min="12" max="12" width="25.85546875" style="3" bestFit="1" customWidth="1"/>
    <col min="13" max="13" width="25.140625" style="2" hidden="1" customWidth="1"/>
    <col min="14" max="14" width="23.7109375" style="2" bestFit="1" customWidth="1"/>
    <col min="15" max="15" width="25.85546875" style="3" bestFit="1" customWidth="1"/>
    <col min="16" max="16" width="16.5703125" style="2" hidden="1" customWidth="1"/>
    <col min="17" max="17" width="22.5703125" style="2" bestFit="1" customWidth="1"/>
    <col min="18" max="18" width="25.85546875" style="3" bestFit="1" customWidth="1"/>
    <col min="19" max="19" width="23.7109375" style="2" hidden="1" customWidth="1"/>
    <col min="20" max="20" width="25.85546875" style="2" bestFit="1" customWidth="1"/>
    <col min="21" max="21" width="22.5703125" style="2" bestFit="1" customWidth="1"/>
    <col min="22" max="22" width="16.5703125" style="2" hidden="1" customWidth="1"/>
    <col min="23" max="23" width="25.85546875" style="2" bestFit="1" customWidth="1"/>
    <col min="24" max="24" width="17.7109375" style="2" bestFit="1" customWidth="1"/>
    <col min="25" max="25" width="19.85546875" style="2" hidden="1" customWidth="1"/>
    <col min="26" max="26" width="25.85546875" style="2" bestFit="1" customWidth="1"/>
    <col min="27" max="27" width="22.5703125" style="2" bestFit="1" customWidth="1"/>
    <col min="28" max="16384" width="17.7109375" style="2"/>
  </cols>
  <sheetData>
    <row r="1" spans="1:27" ht="101.25" hidden="1" customHeight="1" thickBot="1" x14ac:dyDescent="0.3">
      <c r="F1" s="2" t="s">
        <v>340</v>
      </c>
      <c r="G1" s="2" t="s">
        <v>340</v>
      </c>
      <c r="I1" s="2" t="s">
        <v>341</v>
      </c>
      <c r="J1" s="2" t="s">
        <v>341</v>
      </c>
      <c r="M1" s="2" t="s">
        <v>342</v>
      </c>
      <c r="N1" s="2" t="s">
        <v>342</v>
      </c>
      <c r="P1" s="2" t="s">
        <v>343</v>
      </c>
      <c r="Q1" s="2" t="s">
        <v>343</v>
      </c>
      <c r="S1" s="2" t="s">
        <v>344</v>
      </c>
      <c r="T1" s="2" t="s">
        <v>344</v>
      </c>
      <c r="V1" s="2" t="s">
        <v>345</v>
      </c>
      <c r="Y1" s="2" t="s">
        <v>346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1898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34" t="s">
        <v>67</v>
      </c>
      <c r="AA2" s="336" t="s">
        <v>69</v>
      </c>
    </row>
    <row r="3" spans="1:27" ht="42" customHeight="1" thickBot="1" x14ac:dyDescent="0.3">
      <c r="A3" s="281"/>
      <c r="B3" s="325"/>
      <c r="C3" s="14"/>
      <c r="D3" s="328"/>
      <c r="E3" s="313" t="s">
        <v>1899</v>
      </c>
      <c r="F3" s="314"/>
      <c r="G3" s="314"/>
      <c r="H3" s="314"/>
      <c r="I3" s="314"/>
      <c r="J3" s="315"/>
      <c r="K3" s="330"/>
      <c r="L3" s="316" t="s">
        <v>493</v>
      </c>
      <c r="M3" s="317"/>
      <c r="N3" s="318"/>
      <c r="O3" s="339" t="s">
        <v>1900</v>
      </c>
      <c r="P3" s="340"/>
      <c r="Q3" s="341"/>
      <c r="R3" s="342" t="s">
        <v>493</v>
      </c>
      <c r="S3" s="343"/>
      <c r="T3" s="344"/>
      <c r="U3" s="351"/>
      <c r="V3" s="352"/>
      <c r="W3" s="353"/>
      <c r="X3" s="134"/>
      <c r="Y3" s="333"/>
      <c r="Z3" s="335"/>
      <c r="AA3" s="337"/>
    </row>
    <row r="4" spans="1:27" ht="42" customHeight="1" thickBot="1" x14ac:dyDescent="0.3">
      <c r="A4" s="282"/>
      <c r="B4" s="326"/>
      <c r="C4" s="10"/>
      <c r="D4" s="27">
        <f>SUM(_018_400[入料數])</f>
        <v>100</v>
      </c>
      <c r="E4" s="25">
        <f>SUM(_018_400['#08待委外數量])</f>
        <v>0</v>
      </c>
      <c r="F4" s="25">
        <f>SUM(_018_400['#08已委外數量])</f>
        <v>100</v>
      </c>
      <c r="G4" s="319">
        <f>SUM(_018_400['#08待回數量])</f>
        <v>0</v>
      </c>
      <c r="H4" s="320"/>
      <c r="I4" s="25">
        <f>SUM(_018_400['#08已委外數量])</f>
        <v>100</v>
      </c>
      <c r="J4" s="25">
        <f>SUM(_018_400['#08委外NG])</f>
        <v>0</v>
      </c>
      <c r="K4" s="331"/>
      <c r="L4" s="26">
        <f>SUM(_018_400['#06待檢驗
數量])</f>
        <v>0</v>
      </c>
      <c r="M4" s="26">
        <f>SUM(_018_400['#06檢驗OK])</f>
        <v>100</v>
      </c>
      <c r="N4" s="26">
        <f>SUM(_018_400['#06
QC NG])</f>
        <v>0</v>
      </c>
      <c r="O4" s="26">
        <f>SUM(_018_400[成品待檢驗])</f>
        <v>0</v>
      </c>
      <c r="P4" s="26">
        <f>SUM(_018_400[良品])</f>
        <v>97</v>
      </c>
      <c r="Q4" s="26">
        <f>SUM(_018_400[不良品])</f>
        <v>3</v>
      </c>
      <c r="R4" s="26">
        <f>SUM(_018_400[已包裝待放行])</f>
        <v>0</v>
      </c>
      <c r="S4" s="26">
        <f>SUM(_018_400[良品])</f>
        <v>97</v>
      </c>
      <c r="T4" s="26">
        <f>SUM(_018_400[不良品])</f>
        <v>3</v>
      </c>
      <c r="U4" s="131">
        <f>SUM(_018_400[未入庫])</f>
        <v>0</v>
      </c>
      <c r="V4" s="131">
        <f>SUM(_018_400[入庫])</f>
        <v>97</v>
      </c>
      <c r="W4" s="131">
        <f>SUM(_018_400[可出貨數量])</f>
        <v>89</v>
      </c>
      <c r="X4" s="135"/>
      <c r="Y4" s="132">
        <f>SUM(_018_400[已出貨])</f>
        <v>8</v>
      </c>
      <c r="Z4" s="138">
        <f>SUM(_018_400[總不良數])</f>
        <v>3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293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140">
        <v>46146</v>
      </c>
      <c r="B6" s="142" t="s">
        <v>1957</v>
      </c>
      <c r="C6" s="6" t="s">
        <v>493</v>
      </c>
      <c r="D6" s="144">
        <v>100</v>
      </c>
      <c r="E6" s="146">
        <f>_018_400[[#This Row],[入料數]]-_018_400[[#This Row],['#08已委外數量]]</f>
        <v>0</v>
      </c>
      <c r="F6" s="146">
        <f>SUMIFS(record[OK],record[製程料號],_018_400[[#This Row],[製令單號]],record[ProcessSN],F$1)</f>
        <v>100</v>
      </c>
      <c r="G6" s="144" t="str">
        <f>IF(_018_400[[#This Row],['#08已委外數量]]&gt;0,VLOOKUP(G$1,record[[ProcessSN]:[廠商]],12,FALSE),"尚未委外")</f>
        <v>泉盛</v>
      </c>
      <c r="H6" s="146">
        <f>_018_400[[#This Row],['#08已委外數量]]-_018_400[[#This Row],['#08回
良品]]-_018_400[[#This Row],['#08委外NG]]</f>
        <v>0</v>
      </c>
      <c r="I6" s="146">
        <f>SUMIFS(record[OK],record[製程料號],_018_400[[#This Row],[製令單號]],record[ProcessSN],I$1)</f>
        <v>100</v>
      </c>
      <c r="J6" s="148">
        <f>SUMIFS(record[NG],record[製程料號],_018_400[[#This Row],[製令單號]],record[ProcessSN],J$1)</f>
        <v>0</v>
      </c>
      <c r="K6" s="150">
        <f>IFERROR(_018_400[[#This Row],['#08委外NG]]/_018_400[[#This Row],['#08已委外數量]],"")</f>
        <v>0</v>
      </c>
      <c r="L6" s="146">
        <f>_018_400[[#This Row],['#08回
良品]]-_018_400[[#This Row],['#06檢驗OK]]-_018_400[[#This Row],['#06
QC NG]]</f>
        <v>0</v>
      </c>
      <c r="M6" s="146">
        <f>SUMIFS(record[OK],record[製程料號],_018_400[[#This Row],[製令單號]],record[ProcessSN],M$1)</f>
        <v>100</v>
      </c>
      <c r="N6" s="148">
        <f>SUMIFS(record[NG],record[製程料號],_018_400[[#This Row],[製令單號]],record[ProcessSN],N$1)</f>
        <v>0</v>
      </c>
      <c r="O6" s="146">
        <f>_018_400[[#This Row],['#06檢驗OK]]-_018_400[[#This Row],[不良品]]-_018_400[[#This Row],[良品]]</f>
        <v>0</v>
      </c>
      <c r="P6" s="146">
        <f>SUMIFS(record[OK],record[製程料號],_018_400[[#This Row],[製令單號]],record[ProcessSN],P$1)</f>
        <v>97</v>
      </c>
      <c r="Q6" s="148">
        <f>SUMIFS(record[NG],record[製程料號],_018_400[[#This Row],[製令單號]],record[ProcessSN],Q$1)</f>
        <v>3</v>
      </c>
      <c r="R6" s="146">
        <f>_018_400[[#This Row],[良品]]-_018_400[[#This Row],[良品放行]]-_018_400[[#This Row],[不良待處理]]</f>
        <v>0</v>
      </c>
      <c r="S6" s="146">
        <f>SUMIFS(record[OK],record[製程料號],_018_400[[#This Row],[製令單號]],record[ProcessSN],S$1)</f>
        <v>97</v>
      </c>
      <c r="T6" s="148">
        <f>SUMIFS(record[NG],record[製程料號],_018_400[[#This Row],[製令單號]],record[ProcessSN],T$1)</f>
        <v>0</v>
      </c>
      <c r="U6" s="146">
        <f>_018_400[[#This Row],[良品放行]]-_018_400[[#This Row],[入庫]]</f>
        <v>0</v>
      </c>
      <c r="V6" s="146">
        <f>SUMIFS(record[OK],record[製程料號],_018_400[[#This Row],[製令單號]],record[ProcessSN],V$1)</f>
        <v>97</v>
      </c>
      <c r="W6" s="146">
        <f>_018_400[[#This Row],[入庫]]-_018_400[[#This Row],[已出貨]]</f>
        <v>89</v>
      </c>
      <c r="X6" s="157"/>
      <c r="Y6" s="146">
        <f>SUMIFS(record[OK],record[製程料號],_018_400[[#This Row],[製令單號]],record[ProcessSN],Y$1)</f>
        <v>8</v>
      </c>
      <c r="Z6" s="152">
        <f>_018_400[[#This Row],[不良待處理]]+_018_400[[#This Row],[不良品]]+_018_400[[#This Row],['#06
QC NG]]+_018_400[[#This Row],['#08委外NG]]</f>
        <v>3</v>
      </c>
      <c r="AA6" s="150">
        <f>IF(_018_400[[#This Row],[已出貨]]+_018_400[[#This Row],[總不良數]]+_018_400[[#This Row],[可出貨數量]]=_018_400[[#This Row],[入料數]],(_018_400[[#This Row],[可出貨數量]]+_018_400[[#This Row],[已出貨]])/_018_400[[#This Row],[入料數]],"")</f>
        <v>0.97</v>
      </c>
    </row>
    <row r="7" spans="1:27" ht="15.75" x14ac:dyDescent="0.25"/>
    <row r="8" spans="1:27" ht="15.75" x14ac:dyDescent="0.25"/>
    <row r="9" spans="1:27" ht="15.75" x14ac:dyDescent="0.25"/>
    <row r="10" spans="1:27" ht="15.75" x14ac:dyDescent="0.25"/>
    <row r="11" spans="1:27" ht="15.75" x14ac:dyDescent="0.25"/>
    <row r="12" spans="1:27" ht="15.75" x14ac:dyDescent="0.25"/>
    <row r="13" spans="1:27" ht="15.75" x14ac:dyDescent="0.25"/>
    <row r="14" spans="1:27" ht="15.75" x14ac:dyDescent="0.25"/>
    <row r="15" spans="1:27" ht="15.75" x14ac:dyDescent="0.25"/>
    <row r="16" spans="1:27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  <row r="22" ht="15.75" x14ac:dyDescent="0.25"/>
    <row r="23" ht="15.75" x14ac:dyDescent="0.25"/>
    <row r="24" ht="15.75" x14ac:dyDescent="0.25"/>
    <row r="25" ht="15.75" x14ac:dyDescent="0.25"/>
    <row r="26" ht="15.75" x14ac:dyDescent="0.25"/>
    <row r="27" ht="15.75" x14ac:dyDescent="0.25"/>
    <row r="28" ht="15.75" x14ac:dyDescent="0.25"/>
    <row r="29" ht="15.75" x14ac:dyDescent="0.25"/>
    <row r="30" ht="15.75" x14ac:dyDescent="0.25"/>
    <row r="31" ht="15.75" x14ac:dyDescent="0.25"/>
    <row r="32" ht="15.75" x14ac:dyDescent="0.25"/>
    <row r="33" ht="15.75" x14ac:dyDescent="0.25"/>
    <row r="34" ht="15.75" x14ac:dyDescent="0.25"/>
    <row r="35" ht="15.75" x14ac:dyDescent="0.25"/>
    <row r="36" ht="15.75" x14ac:dyDescent="0.25"/>
    <row r="37" ht="15.75" x14ac:dyDescent="0.25"/>
    <row r="38" ht="15.75" x14ac:dyDescent="0.25"/>
    <row r="39" ht="15.75" x14ac:dyDescent="0.25"/>
    <row r="40" ht="15.75" x14ac:dyDescent="0.25"/>
    <row r="41" ht="15.75" x14ac:dyDescent="0.25"/>
  </sheetData>
  <mergeCells count="17">
    <mergeCell ref="L2:N2"/>
    <mergeCell ref="E3:J3"/>
    <mergeCell ref="L3:N3"/>
    <mergeCell ref="G4:H4"/>
    <mergeCell ref="O2:Q2"/>
    <mergeCell ref="A2:A4"/>
    <mergeCell ref="B2:B4"/>
    <mergeCell ref="D2:D3"/>
    <mergeCell ref="E2:J2"/>
    <mergeCell ref="K2:K4"/>
    <mergeCell ref="Y2:Y3"/>
    <mergeCell ref="Z2:Z3"/>
    <mergeCell ref="AA2:AA4"/>
    <mergeCell ref="O3:Q3"/>
    <mergeCell ref="R3:T3"/>
    <mergeCell ref="R2:T2"/>
    <mergeCell ref="U2:W3"/>
  </mergeCells>
  <phoneticPr fontId="3" type="noConversion"/>
  <conditionalFormatting sqref="E6:F6 H6:I6 L6:M6 O6:P6 R6:S6 U6:Y6">
    <cfRule type="cellIs" dxfId="571" priority="10" operator="lessThan">
      <formula>0</formula>
    </cfRule>
    <cfRule type="cellIs" dxfId="570" priority="11" operator="greaterThan">
      <formula>0</formula>
    </cfRule>
  </conditionalFormatting>
  <conditionalFormatting sqref="AA5:AA6">
    <cfRule type="cellIs" dxfId="569" priority="3" operator="lessThan">
      <formula>0.97</formula>
    </cfRule>
  </conditionalFormatting>
  <conditionalFormatting sqref="J6:K6 N6 Q6 T6">
    <cfRule type="cellIs" dxfId="568" priority="8" operator="greaterThan">
      <formula>0</formula>
    </cfRule>
  </conditionalFormatting>
  <conditionalFormatting sqref="G6">
    <cfRule type="containsText" dxfId="567" priority="6" operator="containsText" text="尚未委外">
      <formula>NOT(ISERROR(SEARCH("尚未委外",G6)))</formula>
    </cfRule>
    <cfRule type="notContainsBlanks" dxfId="566" priority="7">
      <formula>LEN(TRIM(G6))&gt;0</formula>
    </cfRule>
  </conditionalFormatting>
  <conditionalFormatting sqref="K6">
    <cfRule type="containsBlanks" dxfId="565" priority="4">
      <formula>LEN(TRIM(K6))=0</formula>
    </cfRule>
    <cfRule type="cellIs" dxfId="564" priority="5" operator="greaterThan">
      <formula>0.03</formula>
    </cfRule>
  </conditionalFormatting>
  <conditionalFormatting sqref="AA6">
    <cfRule type="containsBlanks" dxfId="563" priority="1">
      <formula>LEN(TRIM(AA6))=0</formula>
    </cfRule>
    <cfRule type="cellIs" dxfId="562" priority="2" operator="greaterThanOrEqual">
      <formula>0.97</formula>
    </cfRule>
    <cfRule type="notContainsBlanks" dxfId="561" priority="9">
      <formula>LEN(TRIM(AA6))&gt;0</formula>
    </cfRule>
  </conditionalFormatting>
  <pageMargins left="0.7" right="0.7" top="0.75" bottom="0.75" header="0.51180555555555496" footer="0.51180555555555496"/>
  <pageSetup paperSize="9" firstPageNumber="0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3D0A2-89AD-457E-83EF-12480334AFA3}">
  <sheetPr codeName="工作表15">
    <tabColor rgb="FF92D050"/>
  </sheetPr>
  <dimension ref="A1:AA41"/>
  <sheetViews>
    <sheetView zoomScale="50" zoomScaleNormal="50" workbookViewId="0">
      <pane xSplit="4" ySplit="5" topLeftCell="E6" activePane="bottomRight" state="frozen"/>
      <selection activeCell="K2" sqref="K2:K5"/>
      <selection pane="topRight" activeCell="K2" sqref="K2:K5"/>
      <selection pane="bottomLeft" activeCell="K2" sqref="K2:K5"/>
      <selection pane="bottomRight" activeCell="E3" sqref="E3:J3"/>
    </sheetView>
  </sheetViews>
  <sheetFormatPr defaultColWidth="17.7109375" defaultRowHeight="42" customHeight="1" x14ac:dyDescent="0.25"/>
  <cols>
    <col min="1" max="1" width="25.85546875" style="3" bestFit="1" customWidth="1"/>
    <col min="2" max="2" width="25.85546875" style="2" bestFit="1" customWidth="1"/>
    <col min="3" max="3" width="25.5703125" style="2" hidden="1" customWidth="1"/>
    <col min="4" max="4" width="22.5703125" style="2" bestFit="1" customWidth="1"/>
    <col min="5" max="5" width="25.85546875" style="2" bestFit="1" customWidth="1"/>
    <col min="6" max="6" width="26.85546875" style="2" hidden="1" customWidth="1"/>
    <col min="7" max="8" width="25.85546875" style="2" bestFit="1" customWidth="1"/>
    <col min="9" max="9" width="19.42578125" style="2" hidden="1" customWidth="1"/>
    <col min="10" max="11" width="25.85546875" style="2" bestFit="1" customWidth="1"/>
    <col min="12" max="12" width="25.85546875" style="3" bestFit="1" customWidth="1"/>
    <col min="13" max="13" width="25.140625" style="2" hidden="1" customWidth="1"/>
    <col min="14" max="14" width="23.7109375" style="2" bestFit="1" customWidth="1"/>
    <col min="15" max="15" width="25.85546875" style="3" bestFit="1" customWidth="1"/>
    <col min="16" max="16" width="16.5703125" style="2" hidden="1" customWidth="1"/>
    <col min="17" max="17" width="22.5703125" style="2" bestFit="1" customWidth="1"/>
    <col min="18" max="18" width="25.85546875" style="3" bestFit="1" customWidth="1"/>
    <col min="19" max="19" width="23.7109375" style="2" hidden="1" customWidth="1"/>
    <col min="20" max="20" width="25.85546875" style="2" bestFit="1" customWidth="1"/>
    <col min="21" max="21" width="22.5703125" style="2" bestFit="1" customWidth="1"/>
    <col min="22" max="22" width="16.5703125" style="2" hidden="1" customWidth="1"/>
    <col min="23" max="23" width="25.85546875" style="2" bestFit="1" customWidth="1"/>
    <col min="24" max="24" width="17.7109375" style="2" bestFit="1" customWidth="1"/>
    <col min="25" max="25" width="19.85546875" style="2" hidden="1" customWidth="1"/>
    <col min="26" max="26" width="25.85546875" style="2" bestFit="1" customWidth="1"/>
    <col min="27" max="27" width="22.5703125" style="2" bestFit="1" customWidth="1"/>
    <col min="28" max="16384" width="17.7109375" style="2"/>
  </cols>
  <sheetData>
    <row r="1" spans="1:27" ht="101.25" hidden="1" customHeight="1" thickBot="1" x14ac:dyDescent="0.3">
      <c r="F1" s="2" t="s">
        <v>348</v>
      </c>
      <c r="G1" s="2" t="s">
        <v>348</v>
      </c>
      <c r="I1" s="2" t="s">
        <v>349</v>
      </c>
      <c r="J1" s="2" t="s">
        <v>349</v>
      </c>
      <c r="M1" s="2" t="s">
        <v>350</v>
      </c>
      <c r="N1" s="2" t="s">
        <v>350</v>
      </c>
      <c r="P1" s="2" t="s">
        <v>351</v>
      </c>
      <c r="Q1" s="2" t="s">
        <v>351</v>
      </c>
      <c r="S1" s="2" t="s">
        <v>352</v>
      </c>
      <c r="T1" s="2" t="s">
        <v>352</v>
      </c>
      <c r="V1" s="2" t="s">
        <v>353</v>
      </c>
      <c r="Y1" s="2" t="s">
        <v>354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1885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34" t="s">
        <v>67</v>
      </c>
      <c r="AA2" s="336" t="s">
        <v>69</v>
      </c>
    </row>
    <row r="3" spans="1:27" ht="42" customHeight="1" thickBot="1" x14ac:dyDescent="0.3">
      <c r="A3" s="281"/>
      <c r="B3" s="325"/>
      <c r="C3" s="14"/>
      <c r="D3" s="328"/>
      <c r="E3" s="313" t="s">
        <v>1886</v>
      </c>
      <c r="F3" s="314"/>
      <c r="G3" s="314"/>
      <c r="H3" s="314"/>
      <c r="I3" s="314"/>
      <c r="J3" s="315"/>
      <c r="K3" s="330"/>
      <c r="L3" s="316" t="s">
        <v>494</v>
      </c>
      <c r="M3" s="317"/>
      <c r="N3" s="318"/>
      <c r="O3" s="339" t="s">
        <v>1887</v>
      </c>
      <c r="P3" s="340"/>
      <c r="Q3" s="341"/>
      <c r="R3" s="342" t="s">
        <v>494</v>
      </c>
      <c r="S3" s="343"/>
      <c r="T3" s="344"/>
      <c r="U3" s="351"/>
      <c r="V3" s="352"/>
      <c r="W3" s="353"/>
      <c r="X3" s="134"/>
      <c r="Y3" s="333"/>
      <c r="Z3" s="335"/>
      <c r="AA3" s="337"/>
    </row>
    <row r="4" spans="1:27" ht="42" customHeight="1" thickBot="1" x14ac:dyDescent="0.3">
      <c r="A4" s="282"/>
      <c r="B4" s="326"/>
      <c r="C4" s="10"/>
      <c r="D4" s="27">
        <f>SUM(_018_420[入料數])</f>
        <v>30</v>
      </c>
      <c r="E4" s="25">
        <f>SUM(_018_420['#08待委外數量])</f>
        <v>0</v>
      </c>
      <c r="F4" s="25">
        <f>SUM(_018_420['#08已委外數量])</f>
        <v>30</v>
      </c>
      <c r="G4" s="319">
        <f>SUM(_018_420['#08待回數量])</f>
        <v>0</v>
      </c>
      <c r="H4" s="320"/>
      <c r="I4" s="25">
        <f>SUM(_018_420['#08已委外數量])</f>
        <v>30</v>
      </c>
      <c r="J4" s="25">
        <f>SUM(_018_420['#08委外NG])</f>
        <v>2</v>
      </c>
      <c r="K4" s="331"/>
      <c r="L4" s="26">
        <f>SUM(_018_420['#06待檢驗
數量])</f>
        <v>0</v>
      </c>
      <c r="M4" s="26">
        <f>SUM(_018_420['#06檢驗OK])</f>
        <v>28</v>
      </c>
      <c r="N4" s="26">
        <f>SUM(_018_420['#06
QC NG])</f>
        <v>0</v>
      </c>
      <c r="O4" s="26">
        <f>SUM(_018_420[成品待檢驗])</f>
        <v>0</v>
      </c>
      <c r="P4" s="26">
        <f>SUM(_018_420[良品])</f>
        <v>26</v>
      </c>
      <c r="Q4" s="26">
        <f>SUM(_018_420[不良品])</f>
        <v>2</v>
      </c>
      <c r="R4" s="26">
        <f>SUM(_018_420[已包裝待放行])</f>
        <v>0</v>
      </c>
      <c r="S4" s="26">
        <f>SUM(_018_420[良品])</f>
        <v>26</v>
      </c>
      <c r="T4" s="26">
        <f>SUM(_018_420[不良品])</f>
        <v>2</v>
      </c>
      <c r="U4" s="131">
        <f>SUM(_018_420[未入庫])</f>
        <v>0</v>
      </c>
      <c r="V4" s="131">
        <f>SUM(_018_420[入庫])</f>
        <v>26</v>
      </c>
      <c r="W4" s="131">
        <f>SUM(_018_420[可出貨數量])</f>
        <v>22</v>
      </c>
      <c r="X4" s="135"/>
      <c r="Y4" s="132">
        <f>SUM(_018_420[已出貨])</f>
        <v>4</v>
      </c>
      <c r="Z4" s="138">
        <f>SUM(_018_420[總不良數])</f>
        <v>4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293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140">
        <v>46135</v>
      </c>
      <c r="B6" s="142" t="s">
        <v>1884</v>
      </c>
      <c r="C6" s="6" t="s">
        <v>494</v>
      </c>
      <c r="D6" s="144">
        <v>30</v>
      </c>
      <c r="E6" s="146">
        <f>_018_420[[#This Row],[入料數]]-_018_420[[#This Row],['#08已委外數量]]</f>
        <v>0</v>
      </c>
      <c r="F6" s="146">
        <f>SUMIFS(record[OK],record[製程料號],_018_420[[#This Row],[製令單號]],record[ProcessSN],F$1)</f>
        <v>30</v>
      </c>
      <c r="G6" s="144" t="str">
        <f>IF(_018_420[[#This Row],['#08已委外數量]]&gt;0,VLOOKUP(G$1,record[[ProcessSN]:[廠商]],12,FALSE),"尚未委外")</f>
        <v>泉盛</v>
      </c>
      <c r="H6" s="146">
        <f>_018_420[[#This Row],['#08已委外數量]]-_018_420[[#This Row],['#08回
良品]]-_018_420[[#This Row],['#08委外NG]]</f>
        <v>0</v>
      </c>
      <c r="I6" s="146">
        <f>SUMIFS(record[OK],record[製程料號],_018_420[[#This Row],[製令單號]],record[ProcessSN],I$1)</f>
        <v>28</v>
      </c>
      <c r="J6" s="148">
        <f>SUMIFS(record[NG],record[製程料號],_018_420[[#This Row],[製令單號]],record[ProcessSN],J$1)</f>
        <v>2</v>
      </c>
      <c r="K6" s="150">
        <f>IFERROR(_018_420[[#This Row],['#08委外NG]]/_018_420[[#This Row],['#08已委外數量]],"")</f>
        <v>6.6666666666666666E-2</v>
      </c>
      <c r="L6" s="146">
        <f>_018_420[[#This Row],['#08回
良品]]-_018_420[[#This Row],['#06檢驗OK]]-_018_420[[#This Row],['#06
QC NG]]</f>
        <v>0</v>
      </c>
      <c r="M6" s="146">
        <f>SUMIFS(record[OK],record[製程料號],_018_420[[#This Row],[製令單號]],record[ProcessSN],M$1)</f>
        <v>28</v>
      </c>
      <c r="N6" s="148">
        <f>SUMIFS(record[NG],record[製程料號],_018_420[[#This Row],[製令單號]],record[ProcessSN],N$1)</f>
        <v>0</v>
      </c>
      <c r="O6" s="146">
        <f>_018_420[[#This Row],['#06檢驗OK]]-_018_420[[#This Row],[不良品]]-_018_420[[#This Row],[良品]]</f>
        <v>0</v>
      </c>
      <c r="P6" s="146">
        <f>SUMIFS(record[OK],record[製程料號],_018_420[[#This Row],[製令單號]],record[ProcessSN],P$1)</f>
        <v>26</v>
      </c>
      <c r="Q6" s="148">
        <f>SUMIFS(record[NG],record[製程料號],_018_420[[#This Row],[製令單號]],record[ProcessSN],Q$1)</f>
        <v>2</v>
      </c>
      <c r="R6" s="146">
        <f>_018_420[[#This Row],[良品]]-_018_420[[#This Row],[良品放行]]-_018_420[[#This Row],[不良待處理]]</f>
        <v>0</v>
      </c>
      <c r="S6" s="146">
        <f>SUMIFS(record[OK],record[製程料號],_018_420[[#This Row],[製令單號]],record[ProcessSN],S$1)</f>
        <v>26</v>
      </c>
      <c r="T6" s="148">
        <f>SUMIFS(record[NG],record[製程料號],_018_420[[#This Row],[製令單號]],record[ProcessSN],T$1)</f>
        <v>0</v>
      </c>
      <c r="U6" s="146">
        <f>_018_420[[#This Row],[良品放行]]-_018_420[[#This Row],[入庫]]</f>
        <v>0</v>
      </c>
      <c r="V6" s="146">
        <f>SUMIFS(record[OK],record[製程料號],_018_420[[#This Row],[製令單號]],record[ProcessSN],V$1)</f>
        <v>26</v>
      </c>
      <c r="W6" s="146">
        <f>_018_420[[#This Row],[入庫]]-_018_420[[#This Row],[已出貨]]</f>
        <v>22</v>
      </c>
      <c r="X6" s="157"/>
      <c r="Y6" s="146">
        <f>SUMIFS(record[OK],record[製程料號],_018_420[[#This Row],[製令單號]],record[ProcessSN],Y$1)</f>
        <v>4</v>
      </c>
      <c r="Z6" s="152">
        <f>_018_420[[#This Row],[不良待處理]]+_018_420[[#This Row],[不良品]]+_018_420[[#This Row],['#06
QC NG]]+_018_420[[#This Row],['#08委外NG]]</f>
        <v>4</v>
      </c>
      <c r="AA6" s="150">
        <f>IF(_018_420[[#This Row],[已出貨]]+_018_420[[#This Row],[總不良數]]+_018_420[[#This Row],[可出貨數量]]=_018_420[[#This Row],[入料數]],(_018_420[[#This Row],[可出貨數量]]+_018_420[[#This Row],[已出貨]])/_018_420[[#This Row],[入料數]],"")</f>
        <v>0.8666666666666667</v>
      </c>
    </row>
    <row r="7" spans="1:27" ht="15.75" x14ac:dyDescent="0.25"/>
    <row r="8" spans="1:27" ht="15.75" x14ac:dyDescent="0.25"/>
    <row r="9" spans="1:27" ht="15.75" x14ac:dyDescent="0.25"/>
    <row r="10" spans="1:27" ht="15.75" x14ac:dyDescent="0.25"/>
    <row r="11" spans="1:27" ht="15.75" x14ac:dyDescent="0.25"/>
    <row r="12" spans="1:27" ht="15.75" x14ac:dyDescent="0.25"/>
    <row r="13" spans="1:27" ht="15.75" x14ac:dyDescent="0.25"/>
    <row r="14" spans="1:27" ht="15.75" x14ac:dyDescent="0.25"/>
    <row r="15" spans="1:27" ht="15.75" x14ac:dyDescent="0.25"/>
    <row r="16" spans="1:27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  <row r="22" ht="15.75" x14ac:dyDescent="0.25"/>
    <row r="23" ht="15.75" x14ac:dyDescent="0.25"/>
    <row r="24" ht="15.75" x14ac:dyDescent="0.25"/>
    <row r="25" ht="15.75" x14ac:dyDescent="0.25"/>
    <row r="26" ht="15.75" x14ac:dyDescent="0.25"/>
    <row r="27" ht="15.75" x14ac:dyDescent="0.25"/>
    <row r="28" ht="15.75" x14ac:dyDescent="0.25"/>
    <row r="29" ht="15.75" x14ac:dyDescent="0.25"/>
    <row r="30" ht="15.75" x14ac:dyDescent="0.25"/>
    <row r="31" ht="15.75" x14ac:dyDescent="0.25"/>
    <row r="32" ht="15.75" x14ac:dyDescent="0.25"/>
    <row r="33" ht="15.75" x14ac:dyDescent="0.25"/>
    <row r="34" ht="15.75" x14ac:dyDescent="0.25"/>
    <row r="35" ht="15.75" x14ac:dyDescent="0.25"/>
    <row r="36" ht="15.75" x14ac:dyDescent="0.25"/>
    <row r="37" ht="15.75" x14ac:dyDescent="0.25"/>
    <row r="38" ht="15.75" x14ac:dyDescent="0.25"/>
    <row r="39" ht="15.75" x14ac:dyDescent="0.25"/>
    <row r="40" ht="15.75" x14ac:dyDescent="0.25"/>
    <row r="41" ht="15.75" x14ac:dyDescent="0.25"/>
  </sheetData>
  <mergeCells count="17">
    <mergeCell ref="Y2:Y3"/>
    <mergeCell ref="Z2:Z3"/>
    <mergeCell ref="AA2:AA4"/>
    <mergeCell ref="O3:Q3"/>
    <mergeCell ref="R3:T3"/>
    <mergeCell ref="R2:T2"/>
    <mergeCell ref="U2:W3"/>
    <mergeCell ref="A2:A4"/>
    <mergeCell ref="B2:B4"/>
    <mergeCell ref="D2:D3"/>
    <mergeCell ref="E2:J2"/>
    <mergeCell ref="K2:K4"/>
    <mergeCell ref="L2:N2"/>
    <mergeCell ref="E3:J3"/>
    <mergeCell ref="L3:N3"/>
    <mergeCell ref="G4:H4"/>
    <mergeCell ref="O2:Q2"/>
  </mergeCells>
  <phoneticPr fontId="3" type="noConversion"/>
  <conditionalFormatting sqref="E6:F6 H6:I6 L6:M6 O6:P6 R6:S6 U6:Y6">
    <cfRule type="cellIs" dxfId="560" priority="10" operator="lessThan">
      <formula>0</formula>
    </cfRule>
    <cfRule type="cellIs" dxfId="559" priority="11" operator="greaterThan">
      <formula>0</formula>
    </cfRule>
  </conditionalFormatting>
  <conditionalFormatting sqref="AA5:AA6">
    <cfRule type="cellIs" dxfId="558" priority="3" operator="lessThan">
      <formula>0.97</formula>
    </cfRule>
  </conditionalFormatting>
  <conditionalFormatting sqref="J6:K6 N6 Q6 T6">
    <cfRule type="cellIs" dxfId="557" priority="8" operator="greaterThan">
      <formula>0</formula>
    </cfRule>
  </conditionalFormatting>
  <conditionalFormatting sqref="G6">
    <cfRule type="containsText" dxfId="556" priority="6" operator="containsText" text="尚未委外">
      <formula>NOT(ISERROR(SEARCH("尚未委外",G6)))</formula>
    </cfRule>
    <cfRule type="notContainsBlanks" dxfId="555" priority="7">
      <formula>LEN(TRIM(G6))&gt;0</formula>
    </cfRule>
  </conditionalFormatting>
  <conditionalFormatting sqref="K6">
    <cfRule type="containsBlanks" dxfId="554" priority="4">
      <formula>LEN(TRIM(K6))=0</formula>
    </cfRule>
    <cfRule type="cellIs" dxfId="553" priority="5" operator="greaterThan">
      <formula>0.03</formula>
    </cfRule>
  </conditionalFormatting>
  <conditionalFormatting sqref="AA6">
    <cfRule type="containsBlanks" dxfId="552" priority="1">
      <formula>LEN(TRIM(AA6))=0</formula>
    </cfRule>
    <cfRule type="cellIs" dxfId="551" priority="2" operator="greaterThanOrEqual">
      <formula>0.97</formula>
    </cfRule>
    <cfRule type="notContainsBlanks" dxfId="550" priority="9">
      <formula>LEN(TRIM(AA6))&gt;0</formula>
    </cfRule>
  </conditionalFormatting>
  <pageMargins left="0.7" right="0.7" top="0.75" bottom="0.75" header="0.51180555555555496" footer="0.51180555555555496"/>
  <pageSetup paperSize="9" firstPageNumber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>
    <tabColor rgb="FF92D050"/>
  </sheetPr>
  <dimension ref="A1:AA47"/>
  <sheetViews>
    <sheetView zoomScale="50" zoomScaleNormal="50" workbookViewId="0">
      <pane xSplit="4" ySplit="5" topLeftCell="E26" activePane="bottomRight" state="frozen"/>
      <selection activeCell="N20" sqref="N20"/>
      <selection pane="topRight" activeCell="N20" sqref="N20"/>
      <selection pane="bottomLeft" activeCell="N20" sqref="N20"/>
      <selection pane="bottomRight" activeCell="E3" sqref="E3:J3"/>
    </sheetView>
  </sheetViews>
  <sheetFormatPr defaultColWidth="17.7109375" defaultRowHeight="42" customHeight="1" x14ac:dyDescent="0.25"/>
  <cols>
    <col min="1" max="1" width="25.85546875" style="3" bestFit="1" customWidth="1"/>
    <col min="2" max="2" width="25.85546875" style="2" bestFit="1" customWidth="1"/>
    <col min="3" max="3" width="25.5703125" style="2" hidden="1" customWidth="1"/>
    <col min="4" max="4" width="22.5703125" style="2" bestFit="1" customWidth="1"/>
    <col min="5" max="5" width="25.85546875" style="2" bestFit="1" customWidth="1"/>
    <col min="6" max="6" width="26.85546875" style="2" hidden="1" customWidth="1"/>
    <col min="7" max="8" width="25.85546875" style="2" bestFit="1" customWidth="1"/>
    <col min="9" max="9" width="19.42578125" style="2" hidden="1" customWidth="1"/>
    <col min="10" max="11" width="25.85546875" style="2" bestFit="1" customWidth="1"/>
    <col min="12" max="12" width="25.85546875" style="3" bestFit="1" customWidth="1"/>
    <col min="13" max="13" width="25.140625" style="2" hidden="1" customWidth="1"/>
    <col min="14" max="14" width="23.7109375" style="2" bestFit="1" customWidth="1"/>
    <col min="15" max="15" width="25.85546875" style="3" bestFit="1" customWidth="1"/>
    <col min="16" max="16" width="16.5703125" style="2" hidden="1" customWidth="1"/>
    <col min="17" max="17" width="22.5703125" style="2" bestFit="1" customWidth="1"/>
    <col min="18" max="18" width="25.85546875" style="3" bestFit="1" customWidth="1"/>
    <col min="19" max="19" width="23.7109375" style="2" hidden="1" customWidth="1"/>
    <col min="20" max="20" width="25.85546875" style="2" bestFit="1" customWidth="1"/>
    <col min="21" max="21" width="22.5703125" style="2" bestFit="1" customWidth="1"/>
    <col min="22" max="22" width="16.5703125" style="2" hidden="1" customWidth="1"/>
    <col min="23" max="23" width="25.85546875" style="2" bestFit="1" customWidth="1"/>
    <col min="24" max="24" width="17.7109375" style="2" bestFit="1" customWidth="1"/>
    <col min="25" max="25" width="19.85546875" style="2" hidden="1" customWidth="1"/>
    <col min="26" max="26" width="25.85546875" style="2" bestFit="1" customWidth="1"/>
    <col min="27" max="27" width="22.5703125" style="2" bestFit="1" customWidth="1"/>
    <col min="28" max="16384" width="17.7109375" style="2"/>
  </cols>
  <sheetData>
    <row r="1" spans="1:27" ht="101.25" hidden="1" customHeight="1" thickBot="1" x14ac:dyDescent="0.3">
      <c r="F1" s="2" t="s">
        <v>356</v>
      </c>
      <c r="G1" s="2" t="s">
        <v>356</v>
      </c>
      <c r="I1" s="2" t="s">
        <v>357</v>
      </c>
      <c r="J1" s="2" t="s">
        <v>357</v>
      </c>
      <c r="M1" s="2" t="s">
        <v>358</v>
      </c>
      <c r="N1" s="2" t="s">
        <v>358</v>
      </c>
      <c r="P1" s="2" t="s">
        <v>359</v>
      </c>
      <c r="Q1" s="2" t="s">
        <v>359</v>
      </c>
      <c r="S1" s="2" t="s">
        <v>360</v>
      </c>
      <c r="T1" s="2" t="s">
        <v>360</v>
      </c>
      <c r="V1" s="2" t="s">
        <v>361</v>
      </c>
      <c r="Y1" s="2" t="s">
        <v>362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572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34" t="s">
        <v>67</v>
      </c>
      <c r="AA2" s="336" t="s">
        <v>70</v>
      </c>
    </row>
    <row r="3" spans="1:27" ht="42" customHeight="1" thickBot="1" x14ac:dyDescent="0.3">
      <c r="A3" s="281"/>
      <c r="B3" s="325"/>
      <c r="C3" s="14"/>
      <c r="D3" s="328"/>
      <c r="E3" s="313" t="s">
        <v>1044</v>
      </c>
      <c r="F3" s="314"/>
      <c r="G3" s="314"/>
      <c r="H3" s="314"/>
      <c r="I3" s="314"/>
      <c r="J3" s="315"/>
      <c r="K3" s="330"/>
      <c r="L3" s="316" t="s">
        <v>495</v>
      </c>
      <c r="M3" s="317"/>
      <c r="N3" s="318"/>
      <c r="O3" s="339" t="s">
        <v>755</v>
      </c>
      <c r="P3" s="340"/>
      <c r="Q3" s="341"/>
      <c r="R3" s="342" t="s">
        <v>495</v>
      </c>
      <c r="S3" s="343"/>
      <c r="T3" s="344"/>
      <c r="U3" s="351"/>
      <c r="V3" s="352"/>
      <c r="W3" s="353"/>
      <c r="X3" s="134"/>
      <c r="Y3" s="333"/>
      <c r="Z3" s="335"/>
      <c r="AA3" s="337"/>
    </row>
    <row r="4" spans="1:27" ht="42" customHeight="1" thickBot="1" x14ac:dyDescent="0.3">
      <c r="A4" s="282"/>
      <c r="B4" s="326"/>
      <c r="C4" s="10"/>
      <c r="D4" s="27">
        <f>SUM(_018_450[入料數])</f>
        <v>13224</v>
      </c>
      <c r="E4" s="25">
        <f>SUM(_018_450['#08待委外數量])</f>
        <v>0</v>
      </c>
      <c r="F4" s="25">
        <f>SUM(_018_450['#08已委外數量])</f>
        <v>13224</v>
      </c>
      <c r="G4" s="319">
        <f>SUM(_018_450['#08待回數量])</f>
        <v>0</v>
      </c>
      <c r="H4" s="320"/>
      <c r="I4" s="25">
        <f>SUM(_018_450['#08已委外數量])</f>
        <v>13224</v>
      </c>
      <c r="J4" s="25">
        <f>SUM(_018_450['#08委外NG])</f>
        <v>335</v>
      </c>
      <c r="K4" s="331"/>
      <c r="L4" s="26">
        <f>SUM(_018_450['#06待檢驗
數量])</f>
        <v>0</v>
      </c>
      <c r="M4" s="26">
        <f>SUM(_018_450['#06檢驗OK])</f>
        <v>12834</v>
      </c>
      <c r="N4" s="26">
        <f>SUM(_018_450['#06
QC NG])</f>
        <v>55</v>
      </c>
      <c r="O4" s="26">
        <f>SUM(_018_450[成品待檢驗])</f>
        <v>0</v>
      </c>
      <c r="P4" s="26">
        <f>SUM(_018_450[良品])</f>
        <v>12660</v>
      </c>
      <c r="Q4" s="26">
        <f>SUM(_018_450[不良品])</f>
        <v>174</v>
      </c>
      <c r="R4" s="26">
        <f>SUM(_018_450[已包裝待放行])</f>
        <v>77</v>
      </c>
      <c r="S4" s="26">
        <f>SUM(_018_450[良品])</f>
        <v>12660</v>
      </c>
      <c r="T4" s="26">
        <f>SUM(_018_450[不良品])</f>
        <v>174</v>
      </c>
      <c r="U4" s="131">
        <f>SUM(_018_450[未入庫])</f>
        <v>0</v>
      </c>
      <c r="V4" s="131">
        <f>SUM(_018_450[入庫])</f>
        <v>12500</v>
      </c>
      <c r="W4" s="131">
        <f>SUM(_018_450[可出貨數量])</f>
        <v>297</v>
      </c>
      <c r="X4" s="135"/>
      <c r="Y4" s="132">
        <f>SUM(_018_450[已出貨])</f>
        <v>12203</v>
      </c>
      <c r="Z4" s="138">
        <f>SUM(_018_450[總不良數])</f>
        <v>647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301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140">
        <v>45647</v>
      </c>
      <c r="B6" s="142" t="s">
        <v>596</v>
      </c>
      <c r="C6" s="6" t="s">
        <v>495</v>
      </c>
      <c r="D6" s="144">
        <v>168</v>
      </c>
      <c r="E6" s="146">
        <f>_018_450[[#This Row],[入料數]]-_018_450[[#This Row],['#08已委外數量]]</f>
        <v>0</v>
      </c>
      <c r="F6" s="146">
        <f>SUMIFS(record[OK],record[製程料號],_018_450[[#This Row],[製令單號]],record[ProcessSN],F$1)</f>
        <v>168</v>
      </c>
      <c r="G6" s="144" t="str">
        <f>IF(_018_450[[#This Row],['#08已委外數量]]&gt;0,VLOOKUP(G$1,record[[ProcessSN]:[廠商]],12,FALSE),"尚未委外")</f>
        <v>泉盛</v>
      </c>
      <c r="H6" s="146">
        <f>_018_450[[#This Row],['#08已委外數量]]-_018_450[[#This Row],['#08回
良品]]-_018_450[[#This Row],['#08委外NG]]</f>
        <v>0</v>
      </c>
      <c r="I6" s="146">
        <f>SUMIFS(record[OK],record[製程料號],_018_450[[#This Row],[製令單號]],record[ProcessSN],I$1)</f>
        <v>168</v>
      </c>
      <c r="J6" s="148">
        <f>SUMIFS(record[NG],record[製程料號],_018_450[[#This Row],[製令單號]],record[ProcessSN],J$1)</f>
        <v>0</v>
      </c>
      <c r="K6" s="150">
        <f>IFERROR(_018_450[[#This Row],['#08委外NG]]/_018_450[[#This Row],['#08已委外數量]],"")</f>
        <v>0</v>
      </c>
      <c r="L6" s="146">
        <f>_018_450[[#This Row],['#08回
良品]]-_018_450[[#This Row],['#06檢驗OK]]-_018_450[[#This Row],['#06
QC NG]]</f>
        <v>0</v>
      </c>
      <c r="M6" s="146">
        <f>SUMIFS(record[OK],record[製程料號],_018_450[[#This Row],[製令單號]],record[ProcessSN],M$1)</f>
        <v>168</v>
      </c>
      <c r="N6" s="148">
        <f>SUMIFS(record[NG],record[製程料號],_018_450[[#This Row],[製令單號]],record[ProcessSN],N$1)</f>
        <v>0</v>
      </c>
      <c r="O6" s="146">
        <f>_018_450[[#This Row],['#06檢驗OK]]-_018_450[[#This Row],[不良品]]-_018_450[[#This Row],[良品]]</f>
        <v>0</v>
      </c>
      <c r="P6" s="146">
        <f>SUMIFS(record[OK],record[製程料號],_018_450[[#This Row],[製令單號]],record[ProcessSN],P$1)</f>
        <v>168</v>
      </c>
      <c r="Q6" s="148">
        <f>SUMIFS(record[NG],record[製程料號],_018_450[[#This Row],[製令單號]],record[ProcessSN],Q$1)</f>
        <v>0</v>
      </c>
      <c r="R6" s="146">
        <f>_018_450[[#This Row],[良品]]-_018_450[[#This Row],[良品放行]]-_018_450[[#This Row],[不良待處理]]</f>
        <v>0</v>
      </c>
      <c r="S6" s="146">
        <f>SUMIFS(record[OK],record[製程料號],_018_450[[#This Row],[製令單號]],record[ProcessSN],S$1)</f>
        <v>168</v>
      </c>
      <c r="T6" s="148">
        <f>SUMIFS(record[NG],record[製程料號],_018_450[[#This Row],[製令單號]],record[ProcessSN],T$1)</f>
        <v>0</v>
      </c>
      <c r="U6" s="146">
        <f>_018_450[[#This Row],[良品放行]]-_018_450[[#This Row],[入庫]]</f>
        <v>0</v>
      </c>
      <c r="V6" s="146">
        <f>SUMIFS(record[OK],record[製程料號],_018_450[[#This Row],[製令單號]],record[ProcessSN],V$1)</f>
        <v>168</v>
      </c>
      <c r="W6" s="146">
        <f>_018_450[[#This Row],[入庫]]-_018_450[[#This Row],[已出貨]]</f>
        <v>0</v>
      </c>
      <c r="X6" s="157"/>
      <c r="Y6" s="146">
        <f>SUMIFS(record[OK],record[製程料號],_018_450[[#This Row],[製令單號]],record[ProcessSN],Y$1)</f>
        <v>168</v>
      </c>
      <c r="Z6" s="152">
        <f>_018_450[[#This Row],[不良待處理]]+_018_450[[#This Row],[不良品]]+_018_450[[#This Row],['#06
QC NG]]+_018_450[[#This Row],['#08委外NG]]</f>
        <v>0</v>
      </c>
      <c r="AA6" s="150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1</v>
      </c>
    </row>
    <row r="7" spans="1:27" ht="30.75" x14ac:dyDescent="0.25">
      <c r="A7" s="120">
        <v>45647</v>
      </c>
      <c r="B7" s="121" t="s">
        <v>601</v>
      </c>
      <c r="C7" s="122" t="s">
        <v>495</v>
      </c>
      <c r="D7" s="118">
        <v>373</v>
      </c>
      <c r="E7" s="123">
        <f>_018_450[[#This Row],[入料數]]-_018_450[[#This Row],['#08已委外數量]]</f>
        <v>0</v>
      </c>
      <c r="F7" s="123">
        <f>SUMIFS(record[OK],record[製程料號],_018_450[[#This Row],[製令單號]],record[ProcessSN],F$1)</f>
        <v>373</v>
      </c>
      <c r="G7" s="118" t="str">
        <f>IF(_018_450[[#This Row],['#08已委外數量]]&gt;0,VLOOKUP(G$1,record[[ProcessSN]:[廠商]],12,FALSE),"尚未委外")</f>
        <v>泉盛</v>
      </c>
      <c r="H7" s="123">
        <f>_018_450[[#This Row],['#08已委外數量]]-_018_450[[#This Row],['#08回
良品]]-_018_450[[#This Row],['#08委外NG]]</f>
        <v>0</v>
      </c>
      <c r="I7" s="123">
        <f>SUMIFS(record[OK],record[製程料號],_018_450[[#This Row],[製令單號]],record[ProcessSN],I$1)</f>
        <v>336</v>
      </c>
      <c r="J7" s="117">
        <f>SUMIFS(record[NG],record[製程料號],_018_450[[#This Row],[製令單號]],record[ProcessSN],J$1)</f>
        <v>37</v>
      </c>
      <c r="K7" s="124">
        <f>IFERROR(_018_450[[#This Row],['#08委外NG]]/_018_450[[#This Row],['#08已委外數量]],"")</f>
        <v>9.9195710455764072E-2</v>
      </c>
      <c r="L7" s="123">
        <f>_018_450[[#This Row],['#08回
良品]]-_018_450[[#This Row],['#06檢驗OK]]-_018_450[[#This Row],['#06
QC NG]]</f>
        <v>0</v>
      </c>
      <c r="M7" s="123">
        <f>SUMIFS(record[OK],record[製程料號],_018_450[[#This Row],[製令單號]],record[ProcessSN],M$1)</f>
        <v>312</v>
      </c>
      <c r="N7" s="117">
        <f>SUMIFS(record[NG],record[製程料號],_018_450[[#This Row],[製令單號]],record[ProcessSN],N$1)</f>
        <v>24</v>
      </c>
      <c r="O7" s="123">
        <f>_018_450[[#This Row],['#06檢驗OK]]-_018_450[[#This Row],[不良品]]-_018_450[[#This Row],[良品]]</f>
        <v>0</v>
      </c>
      <c r="P7" s="123">
        <f>SUMIFS(record[OK],record[製程料號],_018_450[[#This Row],[製令單號]],record[ProcessSN],P$1)</f>
        <v>312</v>
      </c>
      <c r="Q7" s="117">
        <f>SUMIFS(record[NG],record[製程料號],_018_450[[#This Row],[製令單號]],record[ProcessSN],Q$1)</f>
        <v>0</v>
      </c>
      <c r="R7" s="123">
        <f>_018_450[[#This Row],[良品]]-_018_450[[#This Row],[良品放行]]-_018_450[[#This Row],[不良待處理]]</f>
        <v>0</v>
      </c>
      <c r="S7" s="123">
        <f>SUMIFS(record[OK],record[製程料號],_018_450[[#This Row],[製令單號]],record[ProcessSN],S$1)</f>
        <v>312</v>
      </c>
      <c r="T7" s="117">
        <f>SUMIFS(record[NG],record[製程料號],_018_450[[#This Row],[製令單號]],record[ProcessSN],T$1)</f>
        <v>0</v>
      </c>
      <c r="U7" s="123">
        <f>_018_450[[#This Row],[良品放行]]-_018_450[[#This Row],[入庫]]</f>
        <v>0</v>
      </c>
      <c r="V7" s="123">
        <f>SUMIFS(record[OK],record[製程料號],_018_450[[#This Row],[製令單號]],record[ProcessSN],V$1)</f>
        <v>312</v>
      </c>
      <c r="W7" s="123">
        <f>_018_450[[#This Row],[入庫]]-_018_450[[#This Row],[已出貨]]</f>
        <v>0</v>
      </c>
      <c r="X7" s="137"/>
      <c r="Y7" s="123">
        <f>SUMIFS(record[OK],record[製程料號],_018_450[[#This Row],[製令單號]],record[ProcessSN],Y$1)</f>
        <v>312</v>
      </c>
      <c r="Z7" s="125">
        <f>_018_450[[#This Row],[不良待處理]]+_018_450[[#This Row],[不良品]]+_018_450[[#This Row],['#06
QC NG]]+_018_450[[#This Row],['#08委外NG]]</f>
        <v>61</v>
      </c>
      <c r="AA7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0.83646112600536193</v>
      </c>
    </row>
    <row r="8" spans="1:27" ht="30.75" x14ac:dyDescent="0.25">
      <c r="A8" s="120">
        <v>45647</v>
      </c>
      <c r="B8" s="121" t="s">
        <v>602</v>
      </c>
      <c r="C8" s="122" t="s">
        <v>495</v>
      </c>
      <c r="D8" s="118">
        <v>47</v>
      </c>
      <c r="E8" s="123">
        <f>_018_450[[#This Row],[入料數]]-_018_450[[#This Row],['#08已委外數量]]</f>
        <v>0</v>
      </c>
      <c r="F8" s="123">
        <f>SUMIFS(record[OK],record[製程料號],_018_450[[#This Row],[製令單號]],record[ProcessSN],F$1)</f>
        <v>47</v>
      </c>
      <c r="G8" s="118" t="str">
        <f>IF(_018_450[[#This Row],['#08已委外數量]]&gt;0,VLOOKUP(G$1,record[[ProcessSN]:[廠商]],12,FALSE),"尚未委外")</f>
        <v>泉盛</v>
      </c>
      <c r="H8" s="123">
        <f>_018_450[[#This Row],['#08已委外數量]]-_018_450[[#This Row],['#08回
良品]]-_018_450[[#This Row],['#08委外NG]]</f>
        <v>0</v>
      </c>
      <c r="I8" s="123">
        <f>SUMIFS(record[OK],record[製程料號],_018_450[[#This Row],[製令單號]],record[ProcessSN],I$1)</f>
        <v>43</v>
      </c>
      <c r="J8" s="117">
        <f>SUMIFS(record[NG],record[製程料號],_018_450[[#This Row],[製令單號]],record[ProcessSN],J$1)</f>
        <v>4</v>
      </c>
      <c r="K8" s="124">
        <f>IFERROR(_018_450[[#This Row],['#08委外NG]]/_018_450[[#This Row],['#08已委外數量]],"")</f>
        <v>8.5106382978723402E-2</v>
      </c>
      <c r="L8" s="123">
        <f>_018_450[[#This Row],['#08回
良品]]-_018_450[[#This Row],['#06檢驗OK]]-_018_450[[#This Row],['#06
QC NG]]</f>
        <v>0</v>
      </c>
      <c r="M8" s="123">
        <f>SUMIFS(record[OK],record[製程料號],_018_450[[#This Row],[製令單號]],record[ProcessSN],M$1)</f>
        <v>43</v>
      </c>
      <c r="N8" s="117">
        <f>SUMIFS(record[NG],record[製程料號],_018_450[[#This Row],[製令單號]],record[ProcessSN],N$1)</f>
        <v>0</v>
      </c>
      <c r="O8" s="123">
        <f>_018_450[[#This Row],['#06檢驗OK]]-_018_450[[#This Row],[不良品]]-_018_450[[#This Row],[良品]]</f>
        <v>0</v>
      </c>
      <c r="P8" s="123">
        <f>SUMIFS(record[OK],record[製程料號],_018_450[[#This Row],[製令單號]],record[ProcessSN],P$1)</f>
        <v>43</v>
      </c>
      <c r="Q8" s="117">
        <f>SUMIFS(record[NG],record[製程料號],_018_450[[#This Row],[製令單號]],record[ProcessSN],Q$1)</f>
        <v>0</v>
      </c>
      <c r="R8" s="123">
        <f>_018_450[[#This Row],[良品]]-_018_450[[#This Row],[良品放行]]-_018_450[[#This Row],[不良待處理]]</f>
        <v>0</v>
      </c>
      <c r="S8" s="123">
        <f>SUMIFS(record[OK],record[製程料號],_018_450[[#This Row],[製令單號]],record[ProcessSN],S$1)</f>
        <v>43</v>
      </c>
      <c r="T8" s="117">
        <f>SUMIFS(record[NG],record[製程料號],_018_450[[#This Row],[製令單號]],record[ProcessSN],T$1)</f>
        <v>0</v>
      </c>
      <c r="U8" s="123">
        <f>_018_450[[#This Row],[良品放行]]-_018_450[[#This Row],[入庫]]</f>
        <v>0</v>
      </c>
      <c r="V8" s="123">
        <f>SUMIFS(record[OK],record[製程料號],_018_450[[#This Row],[製令單號]],record[ProcessSN],V$1)</f>
        <v>43</v>
      </c>
      <c r="W8" s="123">
        <f>_018_450[[#This Row],[入庫]]-_018_450[[#This Row],[已出貨]]</f>
        <v>0</v>
      </c>
      <c r="X8" s="137"/>
      <c r="Y8" s="123">
        <f>SUMIFS(record[OK],record[製程料號],_018_450[[#This Row],[製令單號]],record[ProcessSN],Y$1)</f>
        <v>43</v>
      </c>
      <c r="Z8" s="125">
        <f>_018_450[[#This Row],[不良待處理]]+_018_450[[#This Row],[不良品]]+_018_450[[#This Row],['#06
QC NG]]+_018_450[[#This Row],['#08委外NG]]</f>
        <v>4</v>
      </c>
      <c r="AA8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0.91489361702127658</v>
      </c>
    </row>
    <row r="9" spans="1:27" ht="30.75" x14ac:dyDescent="0.25">
      <c r="A9" s="120">
        <v>45647</v>
      </c>
      <c r="B9" s="121" t="s">
        <v>603</v>
      </c>
      <c r="C9" s="122" t="s">
        <v>495</v>
      </c>
      <c r="D9" s="118">
        <v>54</v>
      </c>
      <c r="E9" s="123">
        <f>_018_450[[#This Row],[入料數]]-_018_450[[#This Row],['#08已委外數量]]</f>
        <v>0</v>
      </c>
      <c r="F9" s="123">
        <f>SUMIFS(record[OK],record[製程料號],_018_450[[#This Row],[製令單號]],record[ProcessSN],F$1)</f>
        <v>54</v>
      </c>
      <c r="G9" s="118" t="str">
        <f>IF(_018_450[[#This Row],['#08已委外數量]]&gt;0,VLOOKUP(G$1,record[[ProcessSN]:[廠商]],12,FALSE),"尚未委外")</f>
        <v>泉盛</v>
      </c>
      <c r="H9" s="123">
        <f>_018_450[[#This Row],['#08已委外數量]]-_018_450[[#This Row],['#08回
良品]]-_018_450[[#This Row],['#08委外NG]]</f>
        <v>0</v>
      </c>
      <c r="I9" s="123">
        <f>SUMIFS(record[OK],record[製程料號],_018_450[[#This Row],[製令單號]],record[ProcessSN],I$1)</f>
        <v>54</v>
      </c>
      <c r="J9" s="117">
        <f>SUMIFS(record[NG],record[製程料號],_018_450[[#This Row],[製令單號]],record[ProcessSN],J$1)</f>
        <v>0</v>
      </c>
      <c r="K9" s="124">
        <f>IFERROR(_018_450[[#This Row],['#08委外NG]]/_018_450[[#This Row],['#08已委外數量]],"")</f>
        <v>0</v>
      </c>
      <c r="L9" s="123">
        <f>_018_450[[#This Row],['#08回
良品]]-_018_450[[#This Row],['#06檢驗OK]]-_018_450[[#This Row],['#06
QC NG]]</f>
        <v>0</v>
      </c>
      <c r="M9" s="123">
        <f>SUMIFS(record[OK],record[製程料號],_018_450[[#This Row],[製令單號]],record[ProcessSN],M$1)</f>
        <v>54</v>
      </c>
      <c r="N9" s="117">
        <f>SUMIFS(record[NG],record[製程料號],_018_450[[#This Row],[製令單號]],record[ProcessSN],N$1)</f>
        <v>0</v>
      </c>
      <c r="O9" s="123">
        <f>_018_450[[#This Row],['#06檢驗OK]]-_018_450[[#This Row],[不良品]]-_018_450[[#This Row],[良品]]</f>
        <v>0</v>
      </c>
      <c r="P9" s="123">
        <f>SUMIFS(record[OK],record[製程料號],_018_450[[#This Row],[製令單號]],record[ProcessSN],P$1)</f>
        <v>54</v>
      </c>
      <c r="Q9" s="117">
        <f>SUMIFS(record[NG],record[製程料號],_018_450[[#This Row],[製令單號]],record[ProcessSN],Q$1)</f>
        <v>0</v>
      </c>
      <c r="R9" s="123">
        <f>_018_450[[#This Row],[良品]]-_018_450[[#This Row],[良品放行]]-_018_450[[#This Row],[不良待處理]]</f>
        <v>0</v>
      </c>
      <c r="S9" s="123">
        <f>SUMIFS(record[OK],record[製程料號],_018_450[[#This Row],[製令單號]],record[ProcessSN],S$1)</f>
        <v>54</v>
      </c>
      <c r="T9" s="117">
        <f>SUMIFS(record[NG],record[製程料號],_018_450[[#This Row],[製令單號]],record[ProcessSN],T$1)</f>
        <v>0</v>
      </c>
      <c r="U9" s="123">
        <f>_018_450[[#This Row],[良品放行]]-_018_450[[#This Row],[入庫]]</f>
        <v>0</v>
      </c>
      <c r="V9" s="123">
        <f>SUMIFS(record[OK],record[製程料號],_018_450[[#This Row],[製令單號]],record[ProcessSN],V$1)</f>
        <v>54</v>
      </c>
      <c r="W9" s="123">
        <f>_018_450[[#This Row],[入庫]]-_018_450[[#This Row],[已出貨]]</f>
        <v>0</v>
      </c>
      <c r="X9" s="137"/>
      <c r="Y9" s="123">
        <f>SUMIFS(record[OK],record[製程料號],_018_450[[#This Row],[製令單號]],record[ProcessSN],Y$1)</f>
        <v>54</v>
      </c>
      <c r="Z9" s="125">
        <f>_018_450[[#This Row],[不良待處理]]+_018_450[[#This Row],[不良品]]+_018_450[[#This Row],['#06
QC NG]]+_018_450[[#This Row],['#08委外NG]]</f>
        <v>0</v>
      </c>
      <c r="AA9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1</v>
      </c>
    </row>
    <row r="10" spans="1:27" ht="30.75" x14ac:dyDescent="0.25">
      <c r="A10" s="120">
        <v>45665</v>
      </c>
      <c r="B10" s="121" t="s">
        <v>668</v>
      </c>
      <c r="C10" s="122" t="s">
        <v>495</v>
      </c>
      <c r="D10" s="118">
        <v>641</v>
      </c>
      <c r="E10" s="123">
        <f>_018_450[[#This Row],[入料數]]-_018_450[[#This Row],['#08已委外數量]]</f>
        <v>0</v>
      </c>
      <c r="F10" s="123">
        <f>SUMIFS(record[OK],record[製程料號],_018_450[[#This Row],[製令單號]],record[ProcessSN],F$1)</f>
        <v>641</v>
      </c>
      <c r="G10" s="118" t="str">
        <f>IF(_018_450[[#This Row],['#08已委外數量]]&gt;0,VLOOKUP(G$1,record[[ProcessSN]:[廠商]],12,FALSE),"尚未委外")</f>
        <v>泉盛</v>
      </c>
      <c r="H10" s="123">
        <f>_018_450[[#This Row],['#08已委外數量]]-_018_450[[#This Row],['#08回
良品]]-_018_450[[#This Row],['#08委外NG]]</f>
        <v>0</v>
      </c>
      <c r="I10" s="123">
        <f>SUMIFS(record[OK],record[製程料號],_018_450[[#This Row],[製令單號]],record[ProcessSN],I$1)</f>
        <v>625</v>
      </c>
      <c r="J10" s="117">
        <f>SUMIFS(record[NG],record[製程料號],_018_450[[#This Row],[製令單號]],record[ProcessSN],J$1)</f>
        <v>16</v>
      </c>
      <c r="K10" s="124">
        <f>IFERROR(_018_450[[#This Row],['#08委外NG]]/_018_450[[#This Row],['#08已委外數量]],"")</f>
        <v>2.4960998439937598E-2</v>
      </c>
      <c r="L10" s="123">
        <f>_018_450[[#This Row],['#08回
良品]]-_018_450[[#This Row],['#06檢驗OK]]-_018_450[[#This Row],['#06
QC NG]]</f>
        <v>0</v>
      </c>
      <c r="M10" s="123">
        <f>SUMIFS(record[OK],record[製程料號],_018_450[[#This Row],[製令單號]],record[ProcessSN],M$1)</f>
        <v>625</v>
      </c>
      <c r="N10" s="117">
        <f>SUMIFS(record[NG],record[製程料號],_018_450[[#This Row],[製令單號]],record[ProcessSN],N$1)</f>
        <v>0</v>
      </c>
      <c r="O10" s="123">
        <f>_018_450[[#This Row],['#06檢驗OK]]-_018_450[[#This Row],[不良品]]-_018_450[[#This Row],[良品]]</f>
        <v>0</v>
      </c>
      <c r="P10" s="123">
        <f>SUMIFS(record[OK],record[製程料號],_018_450[[#This Row],[製令單號]],record[ProcessSN],P$1)</f>
        <v>618</v>
      </c>
      <c r="Q10" s="117">
        <f>SUMIFS(record[NG],record[製程料號],_018_450[[#This Row],[製令單號]],record[ProcessSN],Q$1)</f>
        <v>7</v>
      </c>
      <c r="R10" s="123">
        <f>_018_450[[#This Row],[良品]]-_018_450[[#This Row],[良品放行]]-_018_450[[#This Row],[不良待處理]]</f>
        <v>0</v>
      </c>
      <c r="S10" s="123">
        <f>SUMIFS(record[OK],record[製程料號],_018_450[[#This Row],[製令單號]],record[ProcessSN],S$1)</f>
        <v>618</v>
      </c>
      <c r="T10" s="117">
        <f>SUMIFS(record[NG],record[製程料號],_018_450[[#This Row],[製令單號]],record[ProcessSN],T$1)</f>
        <v>0</v>
      </c>
      <c r="U10" s="123">
        <f>_018_450[[#This Row],[良品放行]]-_018_450[[#This Row],[入庫]]</f>
        <v>0</v>
      </c>
      <c r="V10" s="123">
        <f>SUMIFS(record[OK],record[製程料號],_018_450[[#This Row],[製令單號]],record[ProcessSN],V$1)</f>
        <v>618</v>
      </c>
      <c r="W10" s="123">
        <f>_018_450[[#This Row],[入庫]]-_018_450[[#This Row],[已出貨]]</f>
        <v>0</v>
      </c>
      <c r="X10" s="137"/>
      <c r="Y10" s="123">
        <f>SUMIFS(record[OK],record[製程料號],_018_450[[#This Row],[製令單號]],record[ProcessSN],Y$1)</f>
        <v>618</v>
      </c>
      <c r="Z10" s="125">
        <f>_018_450[[#This Row],[不良待處理]]+_018_450[[#This Row],[不良品]]+_018_450[[#This Row],['#06
QC NG]]+_018_450[[#This Row],['#08委外NG]]</f>
        <v>23</v>
      </c>
      <c r="AA10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0.96411856474258972</v>
      </c>
    </row>
    <row r="11" spans="1:27" ht="30.75" x14ac:dyDescent="0.25">
      <c r="A11" s="120">
        <v>45666</v>
      </c>
      <c r="B11" s="121" t="s">
        <v>678</v>
      </c>
      <c r="C11" s="122" t="s">
        <v>495</v>
      </c>
      <c r="D11" s="118">
        <v>319</v>
      </c>
      <c r="E11" s="123">
        <f>_018_450[[#This Row],[入料數]]-_018_450[[#This Row],['#08已委外數量]]</f>
        <v>0</v>
      </c>
      <c r="F11" s="123">
        <f>SUMIFS(record[OK],record[製程料號],_018_450[[#This Row],[製令單號]],record[ProcessSN],F$1)</f>
        <v>319</v>
      </c>
      <c r="G11" s="118" t="str">
        <f>IF(_018_450[[#This Row],['#08已委外數量]]&gt;0,VLOOKUP(G$1,record[[ProcessSN]:[廠商]],12,FALSE),"尚未委外")</f>
        <v>泉盛</v>
      </c>
      <c r="H11" s="123">
        <f>_018_450[[#This Row],['#08已委外數量]]-_018_450[[#This Row],['#08回
良品]]-_018_450[[#This Row],['#08委外NG]]</f>
        <v>0</v>
      </c>
      <c r="I11" s="123">
        <f>SUMIFS(record[OK],record[製程料號],_018_450[[#This Row],[製令單號]],record[ProcessSN],I$1)</f>
        <v>315</v>
      </c>
      <c r="J11" s="117">
        <f>SUMIFS(record[NG],record[製程料號],_018_450[[#This Row],[製令單號]],record[ProcessSN],J$1)</f>
        <v>4</v>
      </c>
      <c r="K11" s="124">
        <f>IFERROR(_018_450[[#This Row],['#08委外NG]]/_018_450[[#This Row],['#08已委外數量]],"")</f>
        <v>1.2539184952978056E-2</v>
      </c>
      <c r="L11" s="123">
        <f>_018_450[[#This Row],['#08回
良品]]-_018_450[[#This Row],['#06檢驗OK]]-_018_450[[#This Row],['#06
QC NG]]</f>
        <v>0</v>
      </c>
      <c r="M11" s="123">
        <f>SUMIFS(record[OK],record[製程料號],_018_450[[#This Row],[製令單號]],record[ProcessSN],M$1)</f>
        <v>315</v>
      </c>
      <c r="N11" s="117">
        <f>SUMIFS(record[NG],record[製程料號],_018_450[[#This Row],[製令單號]],record[ProcessSN],N$1)</f>
        <v>0</v>
      </c>
      <c r="O11" s="123">
        <f>_018_450[[#This Row],['#06檢驗OK]]-_018_450[[#This Row],[不良品]]-_018_450[[#This Row],[良品]]</f>
        <v>0</v>
      </c>
      <c r="P11" s="123">
        <f>SUMIFS(record[OK],record[製程料號],_018_450[[#This Row],[製令單號]],record[ProcessSN],P$1)</f>
        <v>313</v>
      </c>
      <c r="Q11" s="117">
        <f>SUMIFS(record[NG],record[製程料號],_018_450[[#This Row],[製令單號]],record[ProcessSN],Q$1)</f>
        <v>2</v>
      </c>
      <c r="R11" s="123">
        <f>_018_450[[#This Row],[良品]]-_018_450[[#This Row],[良品放行]]-_018_450[[#This Row],[不良待處理]]</f>
        <v>0</v>
      </c>
      <c r="S11" s="123">
        <f>SUMIFS(record[OK],record[製程料號],_018_450[[#This Row],[製令單號]],record[ProcessSN],S$1)</f>
        <v>313</v>
      </c>
      <c r="T11" s="117">
        <f>SUMIFS(record[NG],record[製程料號],_018_450[[#This Row],[製令單號]],record[ProcessSN],T$1)</f>
        <v>0</v>
      </c>
      <c r="U11" s="123">
        <f>_018_450[[#This Row],[良品放行]]-_018_450[[#This Row],[入庫]]</f>
        <v>0</v>
      </c>
      <c r="V11" s="123">
        <f>SUMIFS(record[OK],record[製程料號],_018_450[[#This Row],[製令單號]],record[ProcessSN],V$1)</f>
        <v>313</v>
      </c>
      <c r="W11" s="123">
        <f>_018_450[[#This Row],[入庫]]-_018_450[[#This Row],[已出貨]]</f>
        <v>0</v>
      </c>
      <c r="X11" s="137"/>
      <c r="Y11" s="123">
        <f>SUMIFS(record[OK],record[製程料號],_018_450[[#This Row],[製令單號]],record[ProcessSN],Y$1)</f>
        <v>313</v>
      </c>
      <c r="Z11" s="125">
        <f>_018_450[[#This Row],[不良待處理]]+_018_450[[#This Row],[不良品]]+_018_450[[#This Row],['#06
QC NG]]+_018_450[[#This Row],['#08委外NG]]</f>
        <v>6</v>
      </c>
      <c r="AA11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0.98119122257053293</v>
      </c>
    </row>
    <row r="12" spans="1:27" ht="30.75" x14ac:dyDescent="0.25">
      <c r="A12" s="120">
        <v>45667</v>
      </c>
      <c r="B12" s="121" t="s">
        <v>680</v>
      </c>
      <c r="C12" s="122" t="s">
        <v>495</v>
      </c>
      <c r="D12" s="118">
        <v>360</v>
      </c>
      <c r="E12" s="123">
        <f>_018_450[[#This Row],[入料數]]-_018_450[[#This Row],['#08已委外數量]]</f>
        <v>0</v>
      </c>
      <c r="F12" s="123">
        <f>SUMIFS(record[OK],record[製程料號],_018_450[[#This Row],[製令單號]],record[ProcessSN],F$1)</f>
        <v>360</v>
      </c>
      <c r="G12" s="118" t="str">
        <f>IF(_018_450[[#This Row],['#08已委外數量]]&gt;0,VLOOKUP(G$1,record[[ProcessSN]:[廠商]],12,FALSE),"尚未委外")</f>
        <v>泉盛</v>
      </c>
      <c r="H12" s="123">
        <f>_018_450[[#This Row],['#08已委外數量]]-_018_450[[#This Row],['#08回
良品]]-_018_450[[#This Row],['#08委外NG]]</f>
        <v>0</v>
      </c>
      <c r="I12" s="123">
        <f>SUMIFS(record[OK],record[製程料號],_018_450[[#This Row],[製令單號]],record[ProcessSN],I$1)</f>
        <v>355</v>
      </c>
      <c r="J12" s="117">
        <f>SUMIFS(record[NG],record[製程料號],_018_450[[#This Row],[製令單號]],record[ProcessSN],J$1)</f>
        <v>5</v>
      </c>
      <c r="K12" s="124">
        <f>IFERROR(_018_450[[#This Row],['#08委外NG]]/_018_450[[#This Row],['#08已委外數量]],"")</f>
        <v>1.3888888888888888E-2</v>
      </c>
      <c r="L12" s="123">
        <f>_018_450[[#This Row],['#08回
良品]]-_018_450[[#This Row],['#06檢驗OK]]-_018_450[[#This Row],['#06
QC NG]]</f>
        <v>0</v>
      </c>
      <c r="M12" s="123">
        <f>SUMIFS(record[OK],record[製程料號],_018_450[[#This Row],[製令單號]],record[ProcessSN],M$1)</f>
        <v>355</v>
      </c>
      <c r="N12" s="117">
        <f>SUMIFS(record[NG],record[製程料號],_018_450[[#This Row],[製令單號]],record[ProcessSN],N$1)</f>
        <v>0</v>
      </c>
      <c r="O12" s="123">
        <f>_018_450[[#This Row],['#06檢驗OK]]-_018_450[[#This Row],[不良品]]-_018_450[[#This Row],[良品]]</f>
        <v>0</v>
      </c>
      <c r="P12" s="123">
        <f>SUMIFS(record[OK],record[製程料號],_018_450[[#This Row],[製令單號]],record[ProcessSN],P$1)</f>
        <v>353</v>
      </c>
      <c r="Q12" s="117">
        <f>SUMIFS(record[NG],record[製程料號],_018_450[[#This Row],[製令單號]],record[ProcessSN],Q$1)</f>
        <v>2</v>
      </c>
      <c r="R12" s="123">
        <f>_018_450[[#This Row],[良品]]-_018_450[[#This Row],[良品放行]]-_018_450[[#This Row],[不良待處理]]</f>
        <v>0</v>
      </c>
      <c r="S12" s="123">
        <f>SUMIFS(record[OK],record[製程料號],_018_450[[#This Row],[製令單號]],record[ProcessSN],S$1)</f>
        <v>353</v>
      </c>
      <c r="T12" s="117">
        <f>SUMIFS(record[NG],record[製程料號],_018_450[[#This Row],[製令單號]],record[ProcessSN],T$1)</f>
        <v>0</v>
      </c>
      <c r="U12" s="123">
        <f>_018_450[[#This Row],[良品放行]]-_018_450[[#This Row],[入庫]]</f>
        <v>0</v>
      </c>
      <c r="V12" s="123">
        <f>SUMIFS(record[OK],record[製程料號],_018_450[[#This Row],[製令單號]],record[ProcessSN],V$1)</f>
        <v>353</v>
      </c>
      <c r="W12" s="123">
        <f>_018_450[[#This Row],[入庫]]-_018_450[[#This Row],[已出貨]]</f>
        <v>0</v>
      </c>
      <c r="X12" s="137"/>
      <c r="Y12" s="123">
        <f>SUMIFS(record[OK],record[製程料號],_018_450[[#This Row],[製令單號]],record[ProcessSN],Y$1)</f>
        <v>353</v>
      </c>
      <c r="Z12" s="125">
        <f>_018_450[[#This Row],[不良待處理]]+_018_450[[#This Row],[不良品]]+_018_450[[#This Row],['#06
QC NG]]+_018_450[[#This Row],['#08委外NG]]</f>
        <v>7</v>
      </c>
      <c r="AA12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0.98055555555555551</v>
      </c>
    </row>
    <row r="13" spans="1:27" ht="30.75" x14ac:dyDescent="0.25">
      <c r="A13" s="120">
        <v>45670</v>
      </c>
      <c r="B13" s="121" t="s">
        <v>683</v>
      </c>
      <c r="C13" s="122" t="s">
        <v>495</v>
      </c>
      <c r="D13" s="118">
        <v>220</v>
      </c>
      <c r="E13" s="123">
        <f>_018_450[[#This Row],[入料數]]-_018_450[[#This Row],['#08已委外數量]]</f>
        <v>0</v>
      </c>
      <c r="F13" s="123">
        <f>SUMIFS(record[OK],record[製程料號],_018_450[[#This Row],[製令單號]],record[ProcessSN],F$1)</f>
        <v>220</v>
      </c>
      <c r="G13" s="118" t="str">
        <f>IF(_018_450[[#This Row],['#08已委外數量]]&gt;0,VLOOKUP(G$1,record[[ProcessSN]:[廠商]],12,FALSE),"尚未委外")</f>
        <v>泉盛</v>
      </c>
      <c r="H13" s="123">
        <f>_018_450[[#This Row],['#08已委外數量]]-_018_450[[#This Row],['#08回
良品]]-_018_450[[#This Row],['#08委外NG]]</f>
        <v>0</v>
      </c>
      <c r="I13" s="123">
        <f>SUMIFS(record[OK],record[製程料號],_018_450[[#This Row],[製令單號]],record[ProcessSN],I$1)</f>
        <v>220</v>
      </c>
      <c r="J13" s="117">
        <f>SUMIFS(record[NG],record[製程料號],_018_450[[#This Row],[製令單號]],record[ProcessSN],J$1)</f>
        <v>0</v>
      </c>
      <c r="K13" s="124">
        <f>IFERROR(_018_450[[#This Row],['#08委外NG]]/_018_450[[#This Row],['#08已委外數量]],"")</f>
        <v>0</v>
      </c>
      <c r="L13" s="123">
        <f>_018_450[[#This Row],['#08回
良品]]-_018_450[[#This Row],['#06檢驗OK]]-_018_450[[#This Row],['#06
QC NG]]</f>
        <v>0</v>
      </c>
      <c r="M13" s="123">
        <f>SUMIFS(record[OK],record[製程料號],_018_450[[#This Row],[製令單號]],record[ProcessSN],M$1)</f>
        <v>220</v>
      </c>
      <c r="N13" s="117">
        <f>SUMIFS(record[NG],record[製程料號],_018_450[[#This Row],[製令單號]],record[ProcessSN],N$1)</f>
        <v>0</v>
      </c>
      <c r="O13" s="123">
        <f>_018_450[[#This Row],['#06檢驗OK]]-_018_450[[#This Row],[不良品]]-_018_450[[#This Row],[良品]]</f>
        <v>0</v>
      </c>
      <c r="P13" s="123">
        <f>SUMIFS(record[OK],record[製程料號],_018_450[[#This Row],[製令單號]],record[ProcessSN],P$1)</f>
        <v>220</v>
      </c>
      <c r="Q13" s="117">
        <f>SUMIFS(record[NG],record[製程料號],_018_450[[#This Row],[製令單號]],record[ProcessSN],Q$1)</f>
        <v>0</v>
      </c>
      <c r="R13" s="123">
        <f>_018_450[[#This Row],[良品]]-_018_450[[#This Row],[良品放行]]-_018_450[[#This Row],[不良待處理]]</f>
        <v>0</v>
      </c>
      <c r="S13" s="123">
        <f>SUMIFS(record[OK],record[製程料號],_018_450[[#This Row],[製令單號]],record[ProcessSN],S$1)</f>
        <v>220</v>
      </c>
      <c r="T13" s="117">
        <f>SUMIFS(record[NG],record[製程料號],_018_450[[#This Row],[製令單號]],record[ProcessSN],T$1)</f>
        <v>0</v>
      </c>
      <c r="U13" s="123">
        <f>_018_450[[#This Row],[良品放行]]-_018_450[[#This Row],[入庫]]</f>
        <v>0</v>
      </c>
      <c r="V13" s="123">
        <f>SUMIFS(record[OK],record[製程料號],_018_450[[#This Row],[製令單號]],record[ProcessSN],V$1)</f>
        <v>220</v>
      </c>
      <c r="W13" s="123">
        <f>_018_450[[#This Row],[入庫]]-_018_450[[#This Row],[已出貨]]</f>
        <v>0</v>
      </c>
      <c r="X13" s="137"/>
      <c r="Y13" s="123">
        <f>SUMIFS(record[OK],record[製程料號],_018_450[[#This Row],[製令單號]],record[ProcessSN],Y$1)</f>
        <v>220</v>
      </c>
      <c r="Z13" s="125">
        <f>_018_450[[#This Row],[不良待處理]]+_018_450[[#This Row],[不良品]]+_018_450[[#This Row],['#06
QC NG]]+_018_450[[#This Row],['#08委外NG]]</f>
        <v>0</v>
      </c>
      <c r="AA13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1</v>
      </c>
    </row>
    <row r="14" spans="1:27" ht="30.75" x14ac:dyDescent="0.25">
      <c r="A14" s="120">
        <v>45869</v>
      </c>
      <c r="B14" s="121" t="s">
        <v>938</v>
      </c>
      <c r="C14" s="122" t="s">
        <v>495</v>
      </c>
      <c r="D14" s="118">
        <v>165</v>
      </c>
      <c r="E14" s="123">
        <f>_018_450[[#This Row],[入料數]]-_018_450[[#This Row],['#08已委外數量]]</f>
        <v>0</v>
      </c>
      <c r="F14" s="123">
        <f>SUMIFS(record[OK],record[製程料號],_018_450[[#This Row],[製令單號]],record[ProcessSN],F$1)</f>
        <v>165</v>
      </c>
      <c r="G14" s="118" t="str">
        <f>IF(_018_450[[#This Row],['#08已委外數量]]&gt;0,VLOOKUP(G$1,record[[ProcessSN]:[廠商]],12,FALSE),"尚未委外")</f>
        <v>泉盛</v>
      </c>
      <c r="H14" s="123">
        <f>_018_450[[#This Row],['#08已委外數量]]-_018_450[[#This Row],['#08回
良品]]-_018_450[[#This Row],['#08委外NG]]</f>
        <v>0</v>
      </c>
      <c r="I14" s="123">
        <f>SUMIFS(record[OK],record[製程料號],_018_450[[#This Row],[製令單號]],record[ProcessSN],I$1)</f>
        <v>164</v>
      </c>
      <c r="J14" s="117">
        <f>SUMIFS(record[NG],record[製程料號],_018_450[[#This Row],[製令單號]],record[ProcessSN],J$1)</f>
        <v>1</v>
      </c>
      <c r="K14" s="124">
        <f>IFERROR(_018_450[[#This Row],['#08委外NG]]/_018_450[[#This Row],['#08已委外數量]],"")</f>
        <v>6.0606060606060606E-3</v>
      </c>
      <c r="L14" s="123">
        <f>_018_450[[#This Row],['#08回
良品]]-_018_450[[#This Row],['#06檢驗OK]]-_018_450[[#This Row],['#06
QC NG]]</f>
        <v>0</v>
      </c>
      <c r="M14" s="123">
        <f>SUMIFS(record[OK],record[製程料號],_018_450[[#This Row],[製令單號]],record[ProcessSN],M$1)</f>
        <v>164</v>
      </c>
      <c r="N14" s="117">
        <f>SUMIFS(record[NG],record[製程料號],_018_450[[#This Row],[製令單號]],record[ProcessSN],N$1)</f>
        <v>0</v>
      </c>
      <c r="O14" s="123">
        <f>_018_450[[#This Row],['#06檢驗OK]]-_018_450[[#This Row],[不良品]]-_018_450[[#This Row],[良品]]</f>
        <v>0</v>
      </c>
      <c r="P14" s="123">
        <f>SUMIFS(record[OK],record[製程料號],_018_450[[#This Row],[製令單號]],record[ProcessSN],P$1)</f>
        <v>164</v>
      </c>
      <c r="Q14" s="117">
        <f>SUMIFS(record[NG],record[製程料號],_018_450[[#This Row],[製令單號]],record[ProcessSN],Q$1)</f>
        <v>0</v>
      </c>
      <c r="R14" s="123">
        <f>_018_450[[#This Row],[良品]]-_018_450[[#This Row],[良品放行]]-_018_450[[#This Row],[不良待處理]]</f>
        <v>0</v>
      </c>
      <c r="S14" s="123">
        <f>SUMIFS(record[OK],record[製程料號],_018_450[[#This Row],[製令單號]],record[ProcessSN],S$1)</f>
        <v>164</v>
      </c>
      <c r="T14" s="117">
        <f>SUMIFS(record[NG],record[製程料號],_018_450[[#This Row],[製令單號]],record[ProcessSN],T$1)</f>
        <v>0</v>
      </c>
      <c r="U14" s="123">
        <f>_018_450[[#This Row],[良品放行]]-_018_450[[#This Row],[入庫]]</f>
        <v>0</v>
      </c>
      <c r="V14" s="123">
        <f>SUMIFS(record[OK],record[製程料號],_018_450[[#This Row],[製令單號]],record[ProcessSN],V$1)</f>
        <v>164</v>
      </c>
      <c r="W14" s="123">
        <f>_018_450[[#This Row],[入庫]]-_018_450[[#This Row],[已出貨]]</f>
        <v>0</v>
      </c>
      <c r="X14" s="137"/>
      <c r="Y14" s="123">
        <f>SUMIFS(record[OK],record[製程料號],_018_450[[#This Row],[製令單號]],record[ProcessSN],Y$1)</f>
        <v>164</v>
      </c>
      <c r="Z14" s="125">
        <f>_018_450[[#This Row],[不良待處理]]+_018_450[[#This Row],[不良品]]+_018_450[[#This Row],['#06
QC NG]]+_018_450[[#This Row],['#08委外NG]]</f>
        <v>1</v>
      </c>
      <c r="AA14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0.9939393939393939</v>
      </c>
    </row>
    <row r="15" spans="1:27" ht="30.75" x14ac:dyDescent="0.25">
      <c r="A15" s="120">
        <v>45870</v>
      </c>
      <c r="B15" s="121" t="s">
        <v>940</v>
      </c>
      <c r="C15" s="122" t="s">
        <v>495</v>
      </c>
      <c r="D15" s="118">
        <v>167</v>
      </c>
      <c r="E15" s="123">
        <f>_018_450[[#This Row],[入料數]]-_018_450[[#This Row],['#08已委外數量]]</f>
        <v>0</v>
      </c>
      <c r="F15" s="123">
        <f>SUMIFS(record[OK],record[製程料號],_018_450[[#This Row],[製令單號]],record[ProcessSN],F$1)</f>
        <v>167</v>
      </c>
      <c r="G15" s="118" t="str">
        <f>IF(_018_450[[#This Row],['#08已委外數量]]&gt;0,VLOOKUP(G$1,record[[ProcessSN]:[廠商]],12,FALSE),"尚未委外")</f>
        <v>泉盛</v>
      </c>
      <c r="H15" s="123">
        <f>_018_450[[#This Row],['#08已委外數量]]-_018_450[[#This Row],['#08回
良品]]-_018_450[[#This Row],['#08委外NG]]</f>
        <v>0</v>
      </c>
      <c r="I15" s="123">
        <f>SUMIFS(record[OK],record[製程料號],_018_450[[#This Row],[製令單號]],record[ProcessSN],I$1)</f>
        <v>164</v>
      </c>
      <c r="J15" s="117">
        <f>SUMIFS(record[NG],record[製程料號],_018_450[[#This Row],[製令單號]],record[ProcessSN],J$1)</f>
        <v>3</v>
      </c>
      <c r="K15" s="124">
        <f>IFERROR(_018_450[[#This Row],['#08委外NG]]/_018_450[[#This Row],['#08已委外數量]],"")</f>
        <v>1.7964071856287425E-2</v>
      </c>
      <c r="L15" s="123">
        <f>_018_450[[#This Row],['#08回
良品]]-_018_450[[#This Row],['#06檢驗OK]]-_018_450[[#This Row],['#06
QC NG]]</f>
        <v>0</v>
      </c>
      <c r="M15" s="123">
        <f>SUMIFS(record[OK],record[製程料號],_018_450[[#This Row],[製令單號]],record[ProcessSN],M$1)</f>
        <v>164</v>
      </c>
      <c r="N15" s="117">
        <f>SUMIFS(record[NG],record[製程料號],_018_450[[#This Row],[製令單號]],record[ProcessSN],N$1)</f>
        <v>0</v>
      </c>
      <c r="O15" s="123">
        <f>_018_450[[#This Row],['#06檢驗OK]]-_018_450[[#This Row],[不良品]]-_018_450[[#This Row],[良品]]</f>
        <v>0</v>
      </c>
      <c r="P15" s="123">
        <f>SUMIFS(record[OK],record[製程料號],_018_450[[#This Row],[製令單號]],record[ProcessSN],P$1)</f>
        <v>164</v>
      </c>
      <c r="Q15" s="117">
        <f>SUMIFS(record[NG],record[製程料號],_018_450[[#This Row],[製令單號]],record[ProcessSN],Q$1)</f>
        <v>0</v>
      </c>
      <c r="R15" s="123">
        <f>_018_450[[#This Row],[良品]]-_018_450[[#This Row],[良品放行]]-_018_450[[#This Row],[不良待處理]]</f>
        <v>0</v>
      </c>
      <c r="S15" s="123">
        <f>SUMIFS(record[OK],record[製程料號],_018_450[[#This Row],[製令單號]],record[ProcessSN],S$1)</f>
        <v>164</v>
      </c>
      <c r="T15" s="117">
        <f>SUMIFS(record[NG],record[製程料號],_018_450[[#This Row],[製令單號]],record[ProcessSN],T$1)</f>
        <v>0</v>
      </c>
      <c r="U15" s="123">
        <f>_018_450[[#This Row],[良品放行]]-_018_450[[#This Row],[入庫]]</f>
        <v>0</v>
      </c>
      <c r="V15" s="123">
        <f>SUMIFS(record[OK],record[製程料號],_018_450[[#This Row],[製令單號]],record[ProcessSN],V$1)</f>
        <v>164</v>
      </c>
      <c r="W15" s="123">
        <f>_018_450[[#This Row],[入庫]]-_018_450[[#This Row],[已出貨]]</f>
        <v>0</v>
      </c>
      <c r="X15" s="137"/>
      <c r="Y15" s="123">
        <f>SUMIFS(record[OK],record[製程料號],_018_450[[#This Row],[製令單號]],record[ProcessSN],Y$1)</f>
        <v>164</v>
      </c>
      <c r="Z15" s="125">
        <f>_018_450[[#This Row],[不良待處理]]+_018_450[[#This Row],[不良品]]+_018_450[[#This Row],['#06
QC NG]]+_018_450[[#This Row],['#08委外NG]]</f>
        <v>3</v>
      </c>
      <c r="AA15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0.98203592814371254</v>
      </c>
    </row>
    <row r="16" spans="1:27" ht="30.75" x14ac:dyDescent="0.25">
      <c r="A16" s="120">
        <v>45873</v>
      </c>
      <c r="B16" s="121" t="s">
        <v>945</v>
      </c>
      <c r="C16" s="122" t="s">
        <v>495</v>
      </c>
      <c r="D16" s="118">
        <v>302</v>
      </c>
      <c r="E16" s="123">
        <f>_018_450[[#This Row],[入料數]]-_018_450[[#This Row],['#08已委外數量]]</f>
        <v>0</v>
      </c>
      <c r="F16" s="123">
        <f>SUMIFS(record[OK],record[製程料號],_018_450[[#This Row],[製令單號]],record[ProcessSN],F$1)</f>
        <v>302</v>
      </c>
      <c r="G16" s="118" t="str">
        <f>IF(_018_450[[#This Row],['#08已委外數量]]&gt;0,VLOOKUP(G$1,record[[ProcessSN]:[廠商]],12,FALSE),"尚未委外")</f>
        <v>泉盛</v>
      </c>
      <c r="H16" s="123">
        <f>_018_450[[#This Row],['#08已委外數量]]-_018_450[[#This Row],['#08回
良品]]-_018_450[[#This Row],['#08委外NG]]</f>
        <v>0</v>
      </c>
      <c r="I16" s="123">
        <f>SUMIFS(record[OK],record[製程料號],_018_450[[#This Row],[製令單號]],record[ProcessSN],I$1)</f>
        <v>302</v>
      </c>
      <c r="J16" s="117">
        <f>SUMIFS(record[NG],record[製程料號],_018_450[[#This Row],[製令單號]],record[ProcessSN],J$1)</f>
        <v>0</v>
      </c>
      <c r="K16" s="124">
        <f>IFERROR(_018_450[[#This Row],['#08委外NG]]/_018_450[[#This Row],['#08已委外數量]],"")</f>
        <v>0</v>
      </c>
      <c r="L16" s="123">
        <f>_018_450[[#This Row],['#08回
良品]]-_018_450[[#This Row],['#06檢驗OK]]-_018_450[[#This Row],['#06
QC NG]]</f>
        <v>0</v>
      </c>
      <c r="M16" s="123">
        <f>SUMIFS(record[OK],record[製程料號],_018_450[[#This Row],[製令單號]],record[ProcessSN],M$1)</f>
        <v>302</v>
      </c>
      <c r="N16" s="117">
        <f>SUMIFS(record[NG],record[製程料號],_018_450[[#This Row],[製令單號]],record[ProcessSN],N$1)</f>
        <v>0</v>
      </c>
      <c r="O16" s="123">
        <f>_018_450[[#This Row],['#06檢驗OK]]-_018_450[[#This Row],[不良品]]-_018_450[[#This Row],[良品]]</f>
        <v>0</v>
      </c>
      <c r="P16" s="123">
        <f>SUMIFS(record[OK],record[製程料號],_018_450[[#This Row],[製令單號]],record[ProcessSN],P$1)</f>
        <v>302</v>
      </c>
      <c r="Q16" s="117">
        <f>SUMIFS(record[NG],record[製程料號],_018_450[[#This Row],[製令單號]],record[ProcessSN],Q$1)</f>
        <v>0</v>
      </c>
      <c r="R16" s="123">
        <f>_018_450[[#This Row],[良品]]-_018_450[[#This Row],[良品放行]]-_018_450[[#This Row],[不良待處理]]</f>
        <v>0</v>
      </c>
      <c r="S16" s="123">
        <f>SUMIFS(record[OK],record[製程料號],_018_450[[#This Row],[製令單號]],record[ProcessSN],S$1)</f>
        <v>302</v>
      </c>
      <c r="T16" s="117">
        <f>SUMIFS(record[NG],record[製程料號],_018_450[[#This Row],[製令單號]],record[ProcessSN],T$1)</f>
        <v>0</v>
      </c>
      <c r="U16" s="123">
        <f>_018_450[[#This Row],[良品放行]]-_018_450[[#This Row],[入庫]]</f>
        <v>0</v>
      </c>
      <c r="V16" s="123">
        <f>SUMIFS(record[OK],record[製程料號],_018_450[[#This Row],[製令單號]],record[ProcessSN],V$1)</f>
        <v>302</v>
      </c>
      <c r="W16" s="123">
        <f>_018_450[[#This Row],[入庫]]-_018_450[[#This Row],[已出貨]]</f>
        <v>0</v>
      </c>
      <c r="X16" s="137"/>
      <c r="Y16" s="123">
        <f>SUMIFS(record[OK],record[製程料號],_018_450[[#This Row],[製令單號]],record[ProcessSN],Y$1)</f>
        <v>302</v>
      </c>
      <c r="Z16" s="125">
        <f>_018_450[[#This Row],[不良待處理]]+_018_450[[#This Row],[不良品]]+_018_450[[#This Row],['#06
QC NG]]+_018_450[[#This Row],['#08委外NG]]</f>
        <v>0</v>
      </c>
      <c r="AA16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1</v>
      </c>
    </row>
    <row r="17" spans="1:27" ht="30.75" x14ac:dyDescent="0.25">
      <c r="A17" s="120">
        <v>45874</v>
      </c>
      <c r="B17" s="121" t="s">
        <v>948</v>
      </c>
      <c r="C17" s="122" t="s">
        <v>495</v>
      </c>
      <c r="D17" s="118">
        <v>310</v>
      </c>
      <c r="E17" s="123">
        <f>_018_450[[#This Row],[入料數]]-_018_450[[#This Row],['#08已委外數量]]</f>
        <v>0</v>
      </c>
      <c r="F17" s="123">
        <f>SUMIFS(record[OK],record[製程料號],_018_450[[#This Row],[製令單號]],record[ProcessSN],F$1)</f>
        <v>310</v>
      </c>
      <c r="G17" s="118" t="str">
        <f>IF(_018_450[[#This Row],['#08已委外數量]]&gt;0,VLOOKUP(G$1,record[[ProcessSN]:[廠商]],12,FALSE),"尚未委外")</f>
        <v>泉盛</v>
      </c>
      <c r="H17" s="123">
        <f>_018_450[[#This Row],['#08已委外數量]]-_018_450[[#This Row],['#08回
良品]]-_018_450[[#This Row],['#08委外NG]]</f>
        <v>0</v>
      </c>
      <c r="I17" s="123">
        <f>SUMIFS(record[OK],record[製程料號],_018_450[[#This Row],[製令單號]],record[ProcessSN],I$1)</f>
        <v>304</v>
      </c>
      <c r="J17" s="117">
        <f>SUMIFS(record[NG],record[製程料號],_018_450[[#This Row],[製令單號]],record[ProcessSN],J$1)</f>
        <v>6</v>
      </c>
      <c r="K17" s="124">
        <f>IFERROR(_018_450[[#This Row],['#08委外NG]]/_018_450[[#This Row],['#08已委外數量]],"")</f>
        <v>1.935483870967742E-2</v>
      </c>
      <c r="L17" s="123">
        <f>_018_450[[#This Row],['#08回
良品]]-_018_450[[#This Row],['#06檢驗OK]]-_018_450[[#This Row],['#06
QC NG]]</f>
        <v>0</v>
      </c>
      <c r="M17" s="123">
        <f>SUMIFS(record[OK],record[製程料號],_018_450[[#This Row],[製令單號]],record[ProcessSN],M$1)</f>
        <v>304</v>
      </c>
      <c r="N17" s="117">
        <f>SUMIFS(record[NG],record[製程料號],_018_450[[#This Row],[製令單號]],record[ProcessSN],N$1)</f>
        <v>0</v>
      </c>
      <c r="O17" s="123">
        <f>_018_450[[#This Row],['#06檢驗OK]]-_018_450[[#This Row],[不良品]]-_018_450[[#This Row],[良品]]</f>
        <v>0</v>
      </c>
      <c r="P17" s="123">
        <f>SUMIFS(record[OK],record[製程料號],_018_450[[#This Row],[製令單號]],record[ProcessSN],P$1)</f>
        <v>304</v>
      </c>
      <c r="Q17" s="117">
        <f>SUMIFS(record[NG],record[製程料號],_018_450[[#This Row],[製令單號]],record[ProcessSN],Q$1)</f>
        <v>0</v>
      </c>
      <c r="R17" s="123">
        <f>_018_450[[#This Row],[良品]]-_018_450[[#This Row],[良品放行]]-_018_450[[#This Row],[不良待處理]]</f>
        <v>0</v>
      </c>
      <c r="S17" s="123">
        <f>SUMIFS(record[OK],record[製程料號],_018_450[[#This Row],[製令單號]],record[ProcessSN],S$1)</f>
        <v>304</v>
      </c>
      <c r="T17" s="117">
        <f>SUMIFS(record[NG],record[製程料號],_018_450[[#This Row],[製令單號]],record[ProcessSN],T$1)</f>
        <v>0</v>
      </c>
      <c r="U17" s="123">
        <f>_018_450[[#This Row],[良品放行]]-_018_450[[#This Row],[入庫]]</f>
        <v>0</v>
      </c>
      <c r="V17" s="123">
        <f>SUMIFS(record[OK],record[製程料號],_018_450[[#This Row],[製令單號]],record[ProcessSN],V$1)</f>
        <v>304</v>
      </c>
      <c r="W17" s="123">
        <f>_018_450[[#This Row],[入庫]]-_018_450[[#This Row],[已出貨]]</f>
        <v>0</v>
      </c>
      <c r="X17" s="137"/>
      <c r="Y17" s="123">
        <f>SUMIFS(record[OK],record[製程料號],_018_450[[#This Row],[製令單號]],record[ProcessSN],Y$1)</f>
        <v>304</v>
      </c>
      <c r="Z17" s="125">
        <f>_018_450[[#This Row],[不良待處理]]+_018_450[[#This Row],[不良品]]+_018_450[[#This Row],['#06
QC NG]]+_018_450[[#This Row],['#08委外NG]]</f>
        <v>6</v>
      </c>
      <c r="AA17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0.98064516129032253</v>
      </c>
    </row>
    <row r="18" spans="1:27" ht="30.75" x14ac:dyDescent="0.25">
      <c r="A18" s="120">
        <v>45876</v>
      </c>
      <c r="B18" s="121" t="s">
        <v>956</v>
      </c>
      <c r="C18" s="122" t="s">
        <v>495</v>
      </c>
      <c r="D18" s="118">
        <v>151</v>
      </c>
      <c r="E18" s="123">
        <f>_018_450[[#This Row],[入料數]]-_018_450[[#This Row],['#08已委外數量]]</f>
        <v>0</v>
      </c>
      <c r="F18" s="123">
        <f>SUMIFS(record[OK],record[製程料號],_018_450[[#This Row],[製令單號]],record[ProcessSN],F$1)</f>
        <v>151</v>
      </c>
      <c r="G18" s="118" t="str">
        <f>IF(_018_450[[#This Row],['#08已委外數量]]&gt;0,VLOOKUP(G$1,record[[ProcessSN]:[廠商]],12,FALSE),"尚未委外")</f>
        <v>泉盛</v>
      </c>
      <c r="H18" s="123">
        <f>_018_450[[#This Row],['#08已委外數量]]-_018_450[[#This Row],['#08回
良品]]-_018_450[[#This Row],['#08委外NG]]</f>
        <v>0</v>
      </c>
      <c r="I18" s="123">
        <f>SUMIFS(record[OK],record[製程料號],_018_450[[#This Row],[製令單號]],record[ProcessSN],I$1)</f>
        <v>151</v>
      </c>
      <c r="J18" s="117">
        <f>SUMIFS(record[NG],record[製程料號],_018_450[[#This Row],[製令單號]],record[ProcessSN],J$1)</f>
        <v>0</v>
      </c>
      <c r="K18" s="124">
        <f>IFERROR(_018_450[[#This Row],['#08委外NG]]/_018_450[[#This Row],['#08已委外數量]],"")</f>
        <v>0</v>
      </c>
      <c r="L18" s="123">
        <f>_018_450[[#This Row],['#08回
良品]]-_018_450[[#This Row],['#06檢驗OK]]-_018_450[[#This Row],['#06
QC NG]]</f>
        <v>0</v>
      </c>
      <c r="M18" s="123">
        <f>SUMIFS(record[OK],record[製程料號],_018_450[[#This Row],[製令單號]],record[ProcessSN],M$1)</f>
        <v>151</v>
      </c>
      <c r="N18" s="117">
        <f>SUMIFS(record[NG],record[製程料號],_018_450[[#This Row],[製令單號]],record[ProcessSN],N$1)</f>
        <v>0</v>
      </c>
      <c r="O18" s="123">
        <f>_018_450[[#This Row],['#06檢驗OK]]-_018_450[[#This Row],[不良品]]-_018_450[[#This Row],[良品]]</f>
        <v>0</v>
      </c>
      <c r="P18" s="123">
        <f>SUMIFS(record[OK],record[製程料號],_018_450[[#This Row],[製令單號]],record[ProcessSN],P$1)</f>
        <v>151</v>
      </c>
      <c r="Q18" s="117">
        <f>SUMIFS(record[NG],record[製程料號],_018_450[[#This Row],[製令單號]],record[ProcessSN],Q$1)</f>
        <v>0</v>
      </c>
      <c r="R18" s="123">
        <f>_018_450[[#This Row],[良品]]-_018_450[[#This Row],[良品放行]]-_018_450[[#This Row],[不良待處理]]</f>
        <v>0</v>
      </c>
      <c r="S18" s="123">
        <f>SUMIFS(record[OK],record[製程料號],_018_450[[#This Row],[製令單號]],record[ProcessSN],S$1)</f>
        <v>68</v>
      </c>
      <c r="T18" s="117">
        <f>SUMIFS(record[NG],record[製程料號],_018_450[[#This Row],[製令單號]],record[ProcessSN],T$1)</f>
        <v>83</v>
      </c>
      <c r="U18" s="123">
        <f>_018_450[[#This Row],[良品放行]]-_018_450[[#This Row],[入庫]]</f>
        <v>0</v>
      </c>
      <c r="V18" s="123">
        <f>SUMIFS(record[OK],record[製程料號],_018_450[[#This Row],[製令單號]],record[ProcessSN],V$1)</f>
        <v>68</v>
      </c>
      <c r="W18" s="123">
        <f>_018_450[[#This Row],[入庫]]-_018_450[[#This Row],[已出貨]]</f>
        <v>0</v>
      </c>
      <c r="X18" s="137"/>
      <c r="Y18" s="123">
        <f>SUMIFS(record[OK],record[製程料號],_018_450[[#This Row],[製令單號]],record[ProcessSN],Y$1)</f>
        <v>68</v>
      </c>
      <c r="Z18" s="125">
        <f>_018_450[[#This Row],[不良待處理]]+_018_450[[#This Row],[不良品]]+_018_450[[#This Row],['#06
QC NG]]+_018_450[[#This Row],['#08委外NG]]</f>
        <v>83</v>
      </c>
      <c r="AA18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0.45033112582781459</v>
      </c>
    </row>
    <row r="19" spans="1:27" ht="30.75" x14ac:dyDescent="0.25">
      <c r="A19" s="120">
        <v>45876</v>
      </c>
      <c r="B19" s="121" t="s">
        <v>959</v>
      </c>
      <c r="C19" s="122" t="s">
        <v>495</v>
      </c>
      <c r="D19" s="118">
        <v>32</v>
      </c>
      <c r="E19" s="123">
        <f>_018_450[[#This Row],[入料數]]-_018_450[[#This Row],['#08已委外數量]]</f>
        <v>0</v>
      </c>
      <c r="F19" s="123">
        <f>SUMIFS(record[OK],record[製程料號],_018_450[[#This Row],[製令單號]],record[ProcessSN],F$1)</f>
        <v>32</v>
      </c>
      <c r="G19" s="118" t="str">
        <f>IF(_018_450[[#This Row],['#08已委外數量]]&gt;0,VLOOKUP(G$1,record[[ProcessSN]:[廠商]],12,FALSE),"尚未委外")</f>
        <v>泉盛</v>
      </c>
      <c r="H19" s="123">
        <f>_018_450[[#This Row],['#08已委外數量]]-_018_450[[#This Row],['#08回
良品]]-_018_450[[#This Row],['#08委外NG]]</f>
        <v>0</v>
      </c>
      <c r="I19" s="123">
        <f>SUMIFS(record[OK],record[製程料號],_018_450[[#This Row],[製令單號]],record[ProcessSN],I$1)</f>
        <v>30</v>
      </c>
      <c r="J19" s="117">
        <f>SUMIFS(record[NG],record[製程料號],_018_450[[#This Row],[製令單號]],record[ProcessSN],J$1)</f>
        <v>2</v>
      </c>
      <c r="K19" s="124">
        <f>IFERROR(_018_450[[#This Row],['#08委外NG]]/_018_450[[#This Row],['#08已委外數量]],"")</f>
        <v>6.25E-2</v>
      </c>
      <c r="L19" s="123">
        <f>_018_450[[#This Row],['#08回
良品]]-_018_450[[#This Row],['#06檢驗OK]]-_018_450[[#This Row],['#06
QC NG]]</f>
        <v>0</v>
      </c>
      <c r="M19" s="123">
        <f>SUMIFS(record[OK],record[製程料號],_018_450[[#This Row],[製令單號]],record[ProcessSN],M$1)</f>
        <v>30</v>
      </c>
      <c r="N19" s="117">
        <f>SUMIFS(record[NG],record[製程料號],_018_450[[#This Row],[製令單號]],record[ProcessSN],N$1)</f>
        <v>0</v>
      </c>
      <c r="O19" s="123">
        <f>_018_450[[#This Row],['#06檢驗OK]]-_018_450[[#This Row],[不良品]]-_018_450[[#This Row],[良品]]</f>
        <v>0</v>
      </c>
      <c r="P19" s="123">
        <f>SUMIFS(record[OK],record[製程料號],_018_450[[#This Row],[製令單號]],record[ProcessSN],P$1)</f>
        <v>30</v>
      </c>
      <c r="Q19" s="117">
        <f>SUMIFS(record[NG],record[製程料號],_018_450[[#This Row],[製令單號]],record[ProcessSN],Q$1)</f>
        <v>0</v>
      </c>
      <c r="R19" s="123">
        <f>_018_450[[#This Row],[良品]]-_018_450[[#This Row],[良品放行]]-_018_450[[#This Row],[不良待處理]]</f>
        <v>0</v>
      </c>
      <c r="S19" s="123">
        <f>SUMIFS(record[OK],record[製程料號],_018_450[[#This Row],[製令單號]],record[ProcessSN],S$1)</f>
        <v>30</v>
      </c>
      <c r="T19" s="117">
        <f>SUMIFS(record[NG],record[製程料號],_018_450[[#This Row],[製令單號]],record[ProcessSN],T$1)</f>
        <v>0</v>
      </c>
      <c r="U19" s="123">
        <f>_018_450[[#This Row],[良品放行]]-_018_450[[#This Row],[入庫]]</f>
        <v>0</v>
      </c>
      <c r="V19" s="123">
        <f>SUMIFS(record[OK],record[製程料號],_018_450[[#This Row],[製令單號]],record[ProcessSN],V$1)</f>
        <v>30</v>
      </c>
      <c r="W19" s="123">
        <f>_018_450[[#This Row],[入庫]]-_018_450[[#This Row],[已出貨]]</f>
        <v>0</v>
      </c>
      <c r="X19" s="137"/>
      <c r="Y19" s="123">
        <f>SUMIFS(record[OK],record[製程料號],_018_450[[#This Row],[製令單號]],record[ProcessSN],Y$1)</f>
        <v>30</v>
      </c>
      <c r="Z19" s="125">
        <f>_018_450[[#This Row],[不良待處理]]+_018_450[[#This Row],[不良品]]+_018_450[[#This Row],['#06
QC NG]]+_018_450[[#This Row],['#08委外NG]]</f>
        <v>2</v>
      </c>
      <c r="AA19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0.9375</v>
      </c>
    </row>
    <row r="20" spans="1:27" ht="30.75" x14ac:dyDescent="0.25">
      <c r="A20" s="120">
        <v>45908</v>
      </c>
      <c r="B20" s="121" t="s">
        <v>1041</v>
      </c>
      <c r="C20" s="122" t="s">
        <v>495</v>
      </c>
      <c r="D20" s="118">
        <v>326</v>
      </c>
      <c r="E20" s="123">
        <f>_018_450[[#This Row],[入料數]]-_018_450[[#This Row],['#08已委外數量]]</f>
        <v>0</v>
      </c>
      <c r="F20" s="123">
        <f>SUMIFS(record[OK],record[製程料號],_018_450[[#This Row],[製令單號]],record[ProcessSN],F$1)</f>
        <v>326</v>
      </c>
      <c r="G20" s="118" t="str">
        <f>IF(_018_450[[#This Row],['#08已委外數量]]&gt;0,VLOOKUP(G$1,record[[ProcessSN]:[廠商]],12,FALSE),"尚未委外")</f>
        <v>泉盛</v>
      </c>
      <c r="H20" s="123">
        <f>_018_450[[#This Row],['#08已委外數量]]-_018_450[[#This Row],['#08回
良品]]-_018_450[[#This Row],['#08委外NG]]</f>
        <v>0</v>
      </c>
      <c r="I20" s="123">
        <f>SUMIFS(record[OK],record[製程料號],_018_450[[#This Row],[製令單號]],record[ProcessSN],I$1)</f>
        <v>323</v>
      </c>
      <c r="J20" s="117">
        <f>SUMIFS(record[NG],record[製程料號],_018_450[[#This Row],[製令單號]],record[ProcessSN],J$1)</f>
        <v>3</v>
      </c>
      <c r="K20" s="124">
        <f>IFERROR(_018_450[[#This Row],['#08委外NG]]/_018_450[[#This Row],['#08已委外數量]],"")</f>
        <v>9.202453987730062E-3</v>
      </c>
      <c r="L20" s="123">
        <f>_018_450[[#This Row],['#08回
良品]]-_018_450[[#This Row],['#06檢驗OK]]-_018_450[[#This Row],['#06
QC NG]]</f>
        <v>0</v>
      </c>
      <c r="M20" s="123">
        <f>SUMIFS(record[OK],record[製程料號],_018_450[[#This Row],[製令單號]],record[ProcessSN],M$1)</f>
        <v>323</v>
      </c>
      <c r="N20" s="117">
        <f>SUMIFS(record[NG],record[製程料號],_018_450[[#This Row],[製令單號]],record[ProcessSN],N$1)</f>
        <v>0</v>
      </c>
      <c r="O20" s="123">
        <f>_018_450[[#This Row],['#06檢驗OK]]-_018_450[[#This Row],[不良品]]-_018_450[[#This Row],[良品]]</f>
        <v>0</v>
      </c>
      <c r="P20" s="123">
        <f>SUMIFS(record[OK],record[製程料號],_018_450[[#This Row],[製令單號]],record[ProcessSN],P$1)</f>
        <v>323</v>
      </c>
      <c r="Q20" s="117">
        <f>SUMIFS(record[NG],record[製程料號],_018_450[[#This Row],[製令單號]],record[ProcessSN],Q$1)</f>
        <v>0</v>
      </c>
      <c r="R20" s="123">
        <f>_018_450[[#This Row],[良品]]-_018_450[[#This Row],[良品放行]]-_018_450[[#This Row],[不良待處理]]</f>
        <v>0</v>
      </c>
      <c r="S20" s="123">
        <f>SUMIFS(record[OK],record[製程料號],_018_450[[#This Row],[製令單號]],record[ProcessSN],S$1)</f>
        <v>323</v>
      </c>
      <c r="T20" s="117">
        <f>SUMIFS(record[NG],record[製程料號],_018_450[[#This Row],[製令單號]],record[ProcessSN],T$1)</f>
        <v>0</v>
      </c>
      <c r="U20" s="123">
        <f>_018_450[[#This Row],[良品放行]]-_018_450[[#This Row],[入庫]]</f>
        <v>0</v>
      </c>
      <c r="V20" s="123">
        <f>SUMIFS(record[OK],record[製程料號],_018_450[[#This Row],[製令單號]],record[ProcessSN],V$1)</f>
        <v>323</v>
      </c>
      <c r="W20" s="123">
        <f>_018_450[[#This Row],[入庫]]-_018_450[[#This Row],[已出貨]]</f>
        <v>0</v>
      </c>
      <c r="X20" s="137"/>
      <c r="Y20" s="123">
        <f>SUMIFS(record[OK],record[製程料號],_018_450[[#This Row],[製令單號]],record[ProcessSN],Y$1)</f>
        <v>323</v>
      </c>
      <c r="Z20" s="125">
        <f>_018_450[[#This Row],[不良待處理]]+_018_450[[#This Row],[不良品]]+_018_450[[#This Row],['#06
QC NG]]+_018_450[[#This Row],['#08委外NG]]</f>
        <v>3</v>
      </c>
      <c r="AA20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0.99079754601226999</v>
      </c>
    </row>
    <row r="21" spans="1:27" ht="30.75" x14ac:dyDescent="0.25">
      <c r="A21" s="120">
        <v>45909</v>
      </c>
      <c r="B21" s="121" t="s">
        <v>1045</v>
      </c>
      <c r="C21" s="122" t="s">
        <v>495</v>
      </c>
      <c r="D21" s="118">
        <v>620</v>
      </c>
      <c r="E21" s="123">
        <f>_018_450[[#This Row],[入料數]]-_018_450[[#This Row],['#08已委外數量]]</f>
        <v>0</v>
      </c>
      <c r="F21" s="123">
        <f>SUMIFS(record[OK],record[製程料號],_018_450[[#This Row],[製令單號]],record[ProcessSN],F$1)</f>
        <v>620</v>
      </c>
      <c r="G21" s="118" t="str">
        <f>IF(_018_450[[#This Row],['#08已委外數量]]&gt;0,VLOOKUP(G$1,record[[ProcessSN]:[廠商]],12,FALSE),"尚未委外")</f>
        <v>泉盛</v>
      </c>
      <c r="H21" s="123">
        <f>_018_450[[#This Row],['#08已委外數量]]-_018_450[[#This Row],['#08回
良品]]-_018_450[[#This Row],['#08委外NG]]</f>
        <v>0</v>
      </c>
      <c r="I21" s="123">
        <f>SUMIFS(record[OK],record[製程料號],_018_450[[#This Row],[製令單號]],record[ProcessSN],I$1)</f>
        <v>606</v>
      </c>
      <c r="J21" s="117">
        <f>SUMIFS(record[NG],record[製程料號],_018_450[[#This Row],[製令單號]],record[ProcessSN],J$1)</f>
        <v>14</v>
      </c>
      <c r="K21" s="124">
        <f>IFERROR(_018_450[[#This Row],['#08委外NG]]/_018_450[[#This Row],['#08已委外數量]],"")</f>
        <v>2.2580645161290321E-2</v>
      </c>
      <c r="L21" s="123">
        <f>_018_450[[#This Row],['#08回
良品]]-_018_450[[#This Row],['#06檢驗OK]]-_018_450[[#This Row],['#06
QC NG]]</f>
        <v>0</v>
      </c>
      <c r="M21" s="123">
        <f>SUMIFS(record[OK],record[製程料號],_018_450[[#This Row],[製令單號]],record[ProcessSN],M$1)</f>
        <v>606</v>
      </c>
      <c r="N21" s="117">
        <f>SUMIFS(record[NG],record[製程料號],_018_450[[#This Row],[製令單號]],record[ProcessSN],N$1)</f>
        <v>0</v>
      </c>
      <c r="O21" s="123">
        <f>_018_450[[#This Row],['#06檢驗OK]]-_018_450[[#This Row],[不良品]]-_018_450[[#This Row],[良品]]</f>
        <v>0</v>
      </c>
      <c r="P21" s="123">
        <f>SUMIFS(record[OK],record[製程料號],_018_450[[#This Row],[製令單號]],record[ProcessSN],P$1)</f>
        <v>606</v>
      </c>
      <c r="Q21" s="117">
        <f>SUMIFS(record[NG],record[製程料號],_018_450[[#This Row],[製令單號]],record[ProcessSN],Q$1)</f>
        <v>0</v>
      </c>
      <c r="R21" s="123">
        <f>_018_450[[#This Row],[良品]]-_018_450[[#This Row],[良品放行]]-_018_450[[#This Row],[不良待處理]]</f>
        <v>0</v>
      </c>
      <c r="S21" s="123">
        <f>SUMIFS(record[OK],record[製程料號],_018_450[[#This Row],[製令單號]],record[ProcessSN],S$1)</f>
        <v>606</v>
      </c>
      <c r="T21" s="117">
        <f>SUMIFS(record[NG],record[製程料號],_018_450[[#This Row],[製令單號]],record[ProcessSN],T$1)</f>
        <v>0</v>
      </c>
      <c r="U21" s="123">
        <f>_018_450[[#This Row],[良品放行]]-_018_450[[#This Row],[入庫]]</f>
        <v>0</v>
      </c>
      <c r="V21" s="123">
        <f>SUMIFS(record[OK],record[製程料號],_018_450[[#This Row],[製令單號]],record[ProcessSN],V$1)</f>
        <v>606</v>
      </c>
      <c r="W21" s="123">
        <f>_018_450[[#This Row],[入庫]]-_018_450[[#This Row],[已出貨]]</f>
        <v>0</v>
      </c>
      <c r="X21" s="137"/>
      <c r="Y21" s="123">
        <f>SUMIFS(record[OK],record[製程料號],_018_450[[#This Row],[製令單號]],record[ProcessSN],Y$1)</f>
        <v>606</v>
      </c>
      <c r="Z21" s="125">
        <f>_018_450[[#This Row],[不良待處理]]+_018_450[[#This Row],[不良品]]+_018_450[[#This Row],['#06
QC NG]]+_018_450[[#This Row],['#08委外NG]]</f>
        <v>14</v>
      </c>
      <c r="AA21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0.97741935483870968</v>
      </c>
    </row>
    <row r="22" spans="1:27" ht="30.75" x14ac:dyDescent="0.25">
      <c r="A22" s="120">
        <v>45946</v>
      </c>
      <c r="B22" s="121" t="s">
        <v>1122</v>
      </c>
      <c r="C22" s="122" t="s">
        <v>495</v>
      </c>
      <c r="D22" s="118">
        <v>186</v>
      </c>
      <c r="E22" s="123">
        <f>_018_450[[#This Row],[入料數]]-_018_450[[#This Row],['#08已委外數量]]</f>
        <v>0</v>
      </c>
      <c r="F22" s="123">
        <f>SUMIFS(record[OK],record[製程料號],_018_450[[#This Row],[製令單號]],record[ProcessSN],F$1)</f>
        <v>186</v>
      </c>
      <c r="G22" s="118" t="str">
        <f>IF(_018_450[[#This Row],['#08已委外數量]]&gt;0,VLOOKUP(G$1,record[[ProcessSN]:[廠商]],12,FALSE),"尚未委外")</f>
        <v>泉盛</v>
      </c>
      <c r="H22" s="123">
        <f>_018_450[[#This Row],['#08已委外數量]]-_018_450[[#This Row],['#08回
良品]]-_018_450[[#This Row],['#08委外NG]]</f>
        <v>0</v>
      </c>
      <c r="I22" s="123">
        <f>SUMIFS(record[OK],record[製程料號],_018_450[[#This Row],[製令單號]],record[ProcessSN],I$1)</f>
        <v>183</v>
      </c>
      <c r="J22" s="117">
        <f>SUMIFS(record[NG],record[製程料號],_018_450[[#This Row],[製令單號]],record[ProcessSN],J$1)</f>
        <v>3</v>
      </c>
      <c r="K22" s="124">
        <f>IFERROR(_018_450[[#This Row],['#08委外NG]]/_018_450[[#This Row],['#08已委外數量]],"")</f>
        <v>1.6129032258064516E-2</v>
      </c>
      <c r="L22" s="123">
        <f>_018_450[[#This Row],['#08回
良品]]-_018_450[[#This Row],['#06檢驗OK]]-_018_450[[#This Row],['#06
QC NG]]</f>
        <v>0</v>
      </c>
      <c r="M22" s="123">
        <f>SUMIFS(record[OK],record[製程料號],_018_450[[#This Row],[製令單號]],record[ProcessSN],M$1)</f>
        <v>183</v>
      </c>
      <c r="N22" s="117">
        <f>SUMIFS(record[NG],record[製程料號],_018_450[[#This Row],[製令單號]],record[ProcessSN],N$1)</f>
        <v>0</v>
      </c>
      <c r="O22" s="123">
        <f>_018_450[[#This Row],['#06檢驗OK]]-_018_450[[#This Row],[不良品]]-_018_450[[#This Row],[良品]]</f>
        <v>0</v>
      </c>
      <c r="P22" s="123">
        <f>SUMIFS(record[OK],record[製程料號],_018_450[[#This Row],[製令單號]],record[ProcessSN],P$1)</f>
        <v>183</v>
      </c>
      <c r="Q22" s="117">
        <f>SUMIFS(record[NG],record[製程料號],_018_450[[#This Row],[製令單號]],record[ProcessSN],Q$1)</f>
        <v>0</v>
      </c>
      <c r="R22" s="123">
        <f>_018_450[[#This Row],[良品]]-_018_450[[#This Row],[良品放行]]-_018_450[[#This Row],[不良待處理]]</f>
        <v>0</v>
      </c>
      <c r="S22" s="123">
        <f>SUMIFS(record[OK],record[製程料號],_018_450[[#This Row],[製令單號]],record[ProcessSN],S$1)</f>
        <v>183</v>
      </c>
      <c r="T22" s="117">
        <f>SUMIFS(record[NG],record[製程料號],_018_450[[#This Row],[製令單號]],record[ProcessSN],T$1)</f>
        <v>0</v>
      </c>
      <c r="U22" s="123">
        <f>_018_450[[#This Row],[良品放行]]-_018_450[[#This Row],[入庫]]</f>
        <v>0</v>
      </c>
      <c r="V22" s="123">
        <f>SUMIFS(record[OK],record[製程料號],_018_450[[#This Row],[製令單號]],record[ProcessSN],V$1)</f>
        <v>183</v>
      </c>
      <c r="W22" s="123">
        <f>_018_450[[#This Row],[入庫]]-_018_450[[#This Row],[已出貨]]</f>
        <v>0</v>
      </c>
      <c r="X22" s="137"/>
      <c r="Y22" s="123">
        <f>SUMIFS(record[OK],record[製程料號],_018_450[[#This Row],[製令單號]],record[ProcessSN],Y$1)</f>
        <v>183</v>
      </c>
      <c r="Z22" s="125">
        <f>_018_450[[#This Row],[不良待處理]]+_018_450[[#This Row],[不良品]]+_018_450[[#This Row],['#06
QC NG]]+_018_450[[#This Row],['#08委外NG]]</f>
        <v>3</v>
      </c>
      <c r="AA22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0.9838709677419355</v>
      </c>
    </row>
    <row r="23" spans="1:27" ht="30.75" x14ac:dyDescent="0.25">
      <c r="A23" s="120">
        <v>45950</v>
      </c>
      <c r="B23" s="121" t="s">
        <v>1129</v>
      </c>
      <c r="C23" s="122" t="s">
        <v>495</v>
      </c>
      <c r="D23" s="118">
        <v>316</v>
      </c>
      <c r="E23" s="123">
        <f>_018_450[[#This Row],[入料數]]-_018_450[[#This Row],['#08已委外數量]]</f>
        <v>0</v>
      </c>
      <c r="F23" s="123">
        <f>SUMIFS(record[OK],record[製程料號],_018_450[[#This Row],[製令單號]],record[ProcessSN],F$1)</f>
        <v>316</v>
      </c>
      <c r="G23" s="118" t="str">
        <f>IF(_018_450[[#This Row],['#08已委外數量]]&gt;0,VLOOKUP(G$1,record[[ProcessSN]:[廠商]],12,FALSE),"尚未委外")</f>
        <v>泉盛</v>
      </c>
      <c r="H23" s="123">
        <f>_018_450[[#This Row],['#08已委外數量]]-_018_450[[#This Row],['#08回
良品]]-_018_450[[#This Row],['#08委外NG]]</f>
        <v>0</v>
      </c>
      <c r="I23" s="123">
        <f>SUMIFS(record[OK],record[製程料號],_018_450[[#This Row],[製令單號]],record[ProcessSN],I$1)</f>
        <v>312</v>
      </c>
      <c r="J23" s="117">
        <f>SUMIFS(record[NG],record[製程料號],_018_450[[#This Row],[製令單號]],record[ProcessSN],J$1)</f>
        <v>4</v>
      </c>
      <c r="K23" s="124">
        <f>IFERROR(_018_450[[#This Row],['#08委外NG]]/_018_450[[#This Row],['#08已委外數量]],"")</f>
        <v>1.2658227848101266E-2</v>
      </c>
      <c r="L23" s="123">
        <f>_018_450[[#This Row],['#08回
良品]]-_018_450[[#This Row],['#06檢驗OK]]-_018_450[[#This Row],['#06
QC NG]]</f>
        <v>0</v>
      </c>
      <c r="M23" s="123">
        <f>SUMIFS(record[OK],record[製程料號],_018_450[[#This Row],[製令單號]],record[ProcessSN],M$1)</f>
        <v>312</v>
      </c>
      <c r="N23" s="117">
        <f>SUMIFS(record[NG],record[製程料號],_018_450[[#This Row],[製令單號]],record[ProcessSN],N$1)</f>
        <v>0</v>
      </c>
      <c r="O23" s="123">
        <f>_018_450[[#This Row],['#06檢驗OK]]-_018_450[[#This Row],[不良品]]-_018_450[[#This Row],[良品]]</f>
        <v>0</v>
      </c>
      <c r="P23" s="123">
        <f>SUMIFS(record[OK],record[製程料號],_018_450[[#This Row],[製令單號]],record[ProcessSN],P$1)</f>
        <v>312</v>
      </c>
      <c r="Q23" s="117">
        <f>SUMIFS(record[NG],record[製程料號],_018_450[[#This Row],[製令單號]],record[ProcessSN],Q$1)</f>
        <v>0</v>
      </c>
      <c r="R23" s="123">
        <f>_018_450[[#This Row],[良品]]-_018_450[[#This Row],[良品放行]]-_018_450[[#This Row],[不良待處理]]</f>
        <v>0</v>
      </c>
      <c r="S23" s="123">
        <f>SUMIFS(record[OK],record[製程料號],_018_450[[#This Row],[製令單號]],record[ProcessSN],S$1)</f>
        <v>312</v>
      </c>
      <c r="T23" s="117">
        <f>SUMIFS(record[NG],record[製程料號],_018_450[[#This Row],[製令單號]],record[ProcessSN],T$1)</f>
        <v>0</v>
      </c>
      <c r="U23" s="123">
        <f>_018_450[[#This Row],[良品放行]]-_018_450[[#This Row],[入庫]]</f>
        <v>0</v>
      </c>
      <c r="V23" s="123">
        <f>SUMIFS(record[OK],record[製程料號],_018_450[[#This Row],[製令單號]],record[ProcessSN],V$1)</f>
        <v>312</v>
      </c>
      <c r="W23" s="123">
        <f>_018_450[[#This Row],[入庫]]-_018_450[[#This Row],[已出貨]]</f>
        <v>0</v>
      </c>
      <c r="X23" s="137"/>
      <c r="Y23" s="123">
        <f>SUMIFS(record[OK],record[製程料號],_018_450[[#This Row],[製令單號]],record[ProcessSN],Y$1)</f>
        <v>312</v>
      </c>
      <c r="Z23" s="125">
        <f>_018_450[[#This Row],[不良待處理]]+_018_450[[#This Row],[不良品]]+_018_450[[#This Row],['#06
QC NG]]+_018_450[[#This Row],['#08委外NG]]</f>
        <v>4</v>
      </c>
      <c r="AA23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0.98734177215189878</v>
      </c>
    </row>
    <row r="24" spans="1:27" ht="30.75" x14ac:dyDescent="0.25">
      <c r="A24" s="120">
        <v>45951</v>
      </c>
      <c r="B24" s="121" t="s">
        <v>1136</v>
      </c>
      <c r="C24" s="122" t="s">
        <v>495</v>
      </c>
      <c r="D24" s="118">
        <v>495</v>
      </c>
      <c r="E24" s="123">
        <f>_018_450[[#This Row],[入料數]]-_018_450[[#This Row],['#08已委外數量]]</f>
        <v>0</v>
      </c>
      <c r="F24" s="123">
        <f>SUMIFS(record[OK],record[製程料號],_018_450[[#This Row],[製令單號]],record[ProcessSN],F$1)</f>
        <v>495</v>
      </c>
      <c r="G24" s="118" t="str">
        <f>IF(_018_450[[#This Row],['#08已委外數量]]&gt;0,VLOOKUP(G$1,record[[ProcessSN]:[廠商]],12,FALSE),"尚未委外")</f>
        <v>泉盛</v>
      </c>
      <c r="H24" s="123">
        <f>_018_450[[#This Row],['#08已委外數量]]-_018_450[[#This Row],['#08回
良品]]-_018_450[[#This Row],['#08委外NG]]</f>
        <v>0</v>
      </c>
      <c r="I24" s="123">
        <f>SUMIFS(record[OK],record[製程料號],_018_450[[#This Row],[製令單號]],record[ProcessSN],I$1)</f>
        <v>479</v>
      </c>
      <c r="J24" s="117">
        <f>SUMIFS(record[NG],record[製程料號],_018_450[[#This Row],[製令單號]],record[ProcessSN],J$1)</f>
        <v>16</v>
      </c>
      <c r="K24" s="124">
        <f>IFERROR(_018_450[[#This Row],['#08委外NG]]/_018_450[[#This Row],['#08已委外數量]],"")</f>
        <v>3.2323232323232323E-2</v>
      </c>
      <c r="L24" s="123">
        <f>_018_450[[#This Row],['#08回
良品]]-_018_450[[#This Row],['#06檢驗OK]]-_018_450[[#This Row],['#06
QC NG]]</f>
        <v>0</v>
      </c>
      <c r="M24" s="123">
        <f>SUMIFS(record[OK],record[製程料號],_018_450[[#This Row],[製令單號]],record[ProcessSN],M$1)</f>
        <v>479</v>
      </c>
      <c r="N24" s="117">
        <f>SUMIFS(record[NG],record[製程料號],_018_450[[#This Row],[製令單號]],record[ProcessSN],N$1)</f>
        <v>0</v>
      </c>
      <c r="O24" s="123">
        <f>_018_450[[#This Row],['#06檢驗OK]]-_018_450[[#This Row],[不良品]]-_018_450[[#This Row],[良品]]</f>
        <v>0</v>
      </c>
      <c r="P24" s="123">
        <f>SUMIFS(record[OK],record[製程料號],_018_450[[#This Row],[製令單號]],record[ProcessSN],P$1)</f>
        <v>479</v>
      </c>
      <c r="Q24" s="117">
        <f>SUMIFS(record[NG],record[製程料號],_018_450[[#This Row],[製令單號]],record[ProcessSN],Q$1)</f>
        <v>0</v>
      </c>
      <c r="R24" s="123">
        <f>_018_450[[#This Row],[良品]]-_018_450[[#This Row],[良品放行]]-_018_450[[#This Row],[不良待處理]]</f>
        <v>0</v>
      </c>
      <c r="S24" s="123">
        <f>SUMIFS(record[OK],record[製程料號],_018_450[[#This Row],[製令單號]],record[ProcessSN],S$1)</f>
        <v>479</v>
      </c>
      <c r="T24" s="117">
        <f>SUMIFS(record[NG],record[製程料號],_018_450[[#This Row],[製令單號]],record[ProcessSN],T$1)</f>
        <v>0</v>
      </c>
      <c r="U24" s="123">
        <f>_018_450[[#This Row],[良品放行]]-_018_450[[#This Row],[入庫]]</f>
        <v>0</v>
      </c>
      <c r="V24" s="123">
        <f>SUMIFS(record[OK],record[製程料號],_018_450[[#This Row],[製令單號]],record[ProcessSN],V$1)</f>
        <v>479</v>
      </c>
      <c r="W24" s="123">
        <f>_018_450[[#This Row],[入庫]]-_018_450[[#This Row],[已出貨]]</f>
        <v>0</v>
      </c>
      <c r="X24" s="137"/>
      <c r="Y24" s="123">
        <f>SUMIFS(record[OK],record[製程料號],_018_450[[#This Row],[製令單號]],record[ProcessSN],Y$1)</f>
        <v>479</v>
      </c>
      <c r="Z24" s="125">
        <f>_018_450[[#This Row],[不良待處理]]+_018_450[[#This Row],[不良品]]+_018_450[[#This Row],['#06
QC NG]]+_018_450[[#This Row],['#08委外NG]]</f>
        <v>16</v>
      </c>
      <c r="AA24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0.96767676767676769</v>
      </c>
    </row>
    <row r="25" spans="1:27" ht="30.75" x14ac:dyDescent="0.25">
      <c r="A25" s="120">
        <v>45964</v>
      </c>
      <c r="B25" s="121" t="s">
        <v>1184</v>
      </c>
      <c r="C25" s="122" t="s">
        <v>495</v>
      </c>
      <c r="D25" s="118">
        <v>429</v>
      </c>
      <c r="E25" s="123">
        <f>_018_450[[#This Row],[入料數]]-_018_450[[#This Row],['#08已委外數量]]</f>
        <v>0</v>
      </c>
      <c r="F25" s="123">
        <f>SUMIFS(record[OK],record[製程料號],_018_450[[#This Row],[製令單號]],record[ProcessSN],F$1)</f>
        <v>429</v>
      </c>
      <c r="G25" s="118" t="str">
        <f>IF(_018_450[[#This Row],['#08已委外數量]]&gt;0,VLOOKUP(G$1,record[[ProcessSN]:[廠商]],12,FALSE),"尚未委外")</f>
        <v>泉盛</v>
      </c>
      <c r="H25" s="123">
        <f>_018_450[[#This Row],['#08已委外數量]]-_018_450[[#This Row],['#08回
良品]]-_018_450[[#This Row],['#08委外NG]]</f>
        <v>0</v>
      </c>
      <c r="I25" s="123">
        <f>SUMIFS(record[OK],record[製程料號],_018_450[[#This Row],[製令單號]],record[ProcessSN],I$1)</f>
        <v>415</v>
      </c>
      <c r="J25" s="117">
        <f>SUMIFS(record[NG],record[製程料號],_018_450[[#This Row],[製令單號]],record[ProcessSN],J$1)</f>
        <v>14</v>
      </c>
      <c r="K25" s="124">
        <f>IFERROR(_018_450[[#This Row],['#08委外NG]]/_018_450[[#This Row],['#08已委外數量]],"")</f>
        <v>3.2634032634032632E-2</v>
      </c>
      <c r="L25" s="123">
        <f>_018_450[[#This Row],['#08回
良品]]-_018_450[[#This Row],['#06檢驗OK]]-_018_450[[#This Row],['#06
QC NG]]</f>
        <v>0</v>
      </c>
      <c r="M25" s="123">
        <f>SUMIFS(record[OK],record[製程料號],_018_450[[#This Row],[製令單號]],record[ProcessSN],M$1)</f>
        <v>415</v>
      </c>
      <c r="N25" s="117">
        <f>SUMIFS(record[NG],record[製程料號],_018_450[[#This Row],[製令單號]],record[ProcessSN],N$1)</f>
        <v>0</v>
      </c>
      <c r="O25" s="123">
        <f>_018_450[[#This Row],['#06檢驗OK]]-_018_450[[#This Row],[不良品]]-_018_450[[#This Row],[良品]]</f>
        <v>0</v>
      </c>
      <c r="P25" s="123">
        <f>SUMIFS(record[OK],record[製程料號],_018_450[[#This Row],[製令單號]],record[ProcessSN],P$1)</f>
        <v>415</v>
      </c>
      <c r="Q25" s="117">
        <f>SUMIFS(record[NG],record[製程料號],_018_450[[#This Row],[製令單號]],record[ProcessSN],Q$1)</f>
        <v>0</v>
      </c>
      <c r="R25" s="123">
        <f>_018_450[[#This Row],[良品]]-_018_450[[#This Row],[良品放行]]-_018_450[[#This Row],[不良待處理]]</f>
        <v>0</v>
      </c>
      <c r="S25" s="123">
        <f>SUMIFS(record[OK],record[製程料號],_018_450[[#This Row],[製令單號]],record[ProcessSN],S$1)</f>
        <v>415</v>
      </c>
      <c r="T25" s="117">
        <f>SUMIFS(record[NG],record[製程料號],_018_450[[#This Row],[製令單號]],record[ProcessSN],T$1)</f>
        <v>0</v>
      </c>
      <c r="U25" s="123">
        <f>_018_450[[#This Row],[良品放行]]-_018_450[[#This Row],[入庫]]</f>
        <v>0</v>
      </c>
      <c r="V25" s="123">
        <f>SUMIFS(record[OK],record[製程料號],_018_450[[#This Row],[製令單號]],record[ProcessSN],V$1)</f>
        <v>415</v>
      </c>
      <c r="W25" s="123">
        <f>_018_450[[#This Row],[入庫]]-_018_450[[#This Row],[已出貨]]</f>
        <v>0</v>
      </c>
      <c r="X25" s="137"/>
      <c r="Y25" s="123">
        <f>SUMIFS(record[OK],record[製程料號],_018_450[[#This Row],[製令單號]],record[ProcessSN],Y$1)</f>
        <v>415</v>
      </c>
      <c r="Z25" s="125">
        <f>_018_450[[#This Row],[不良待處理]]+_018_450[[#This Row],[不良品]]+_018_450[[#This Row],['#06
QC NG]]+_018_450[[#This Row],['#08委外NG]]</f>
        <v>14</v>
      </c>
      <c r="AA25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0.96736596736596736</v>
      </c>
    </row>
    <row r="26" spans="1:27" ht="30.75" x14ac:dyDescent="0.25">
      <c r="A26" s="120">
        <v>45992</v>
      </c>
      <c r="B26" s="121" t="s">
        <v>1259</v>
      </c>
      <c r="C26" s="122" t="s">
        <v>495</v>
      </c>
      <c r="D26" s="118">
        <v>99</v>
      </c>
      <c r="E26" s="123">
        <f>_018_450[[#This Row],[入料數]]-_018_450[[#This Row],['#08已委外數量]]</f>
        <v>0</v>
      </c>
      <c r="F26" s="123">
        <f>SUMIFS(record[OK],record[製程料號],_018_450[[#This Row],[製令單號]],record[ProcessSN],F$1)</f>
        <v>99</v>
      </c>
      <c r="G26" s="118" t="str">
        <f>IF(_018_450[[#This Row],['#08已委外數量]]&gt;0,VLOOKUP(G$1,record[[ProcessSN]:[廠商]],12,FALSE),"尚未委外")</f>
        <v>泉盛</v>
      </c>
      <c r="H26" s="123">
        <f>_018_450[[#This Row],['#08已委外數量]]-_018_450[[#This Row],['#08回
良品]]-_018_450[[#This Row],['#08委外NG]]</f>
        <v>0</v>
      </c>
      <c r="I26" s="123">
        <f>SUMIFS(record[OK],record[製程料號],_018_450[[#This Row],[製令單號]],record[ProcessSN],I$1)</f>
        <v>99</v>
      </c>
      <c r="J26" s="117">
        <f>SUMIFS(record[NG],record[製程料號],_018_450[[#This Row],[製令單號]],record[ProcessSN],J$1)</f>
        <v>0</v>
      </c>
      <c r="K26" s="124">
        <f>IFERROR(_018_450[[#This Row],['#08委外NG]]/_018_450[[#This Row],['#08已委外數量]],"")</f>
        <v>0</v>
      </c>
      <c r="L26" s="123">
        <f>_018_450[[#This Row],['#08回
良品]]-_018_450[[#This Row],['#06檢驗OK]]-_018_450[[#This Row],['#06
QC NG]]</f>
        <v>0</v>
      </c>
      <c r="M26" s="123">
        <f>SUMIFS(record[OK],record[製程料號],_018_450[[#This Row],[製令單號]],record[ProcessSN],M$1)</f>
        <v>99</v>
      </c>
      <c r="N26" s="117">
        <f>SUMIFS(record[NG],record[製程料號],_018_450[[#This Row],[製令單號]],record[ProcessSN],N$1)</f>
        <v>0</v>
      </c>
      <c r="O26" s="123">
        <f>_018_450[[#This Row],['#06檢驗OK]]-_018_450[[#This Row],[不良品]]-_018_450[[#This Row],[良品]]</f>
        <v>0</v>
      </c>
      <c r="P26" s="123">
        <f>SUMIFS(record[OK],record[製程料號],_018_450[[#This Row],[製令單號]],record[ProcessSN],P$1)</f>
        <v>83</v>
      </c>
      <c r="Q26" s="117">
        <f>SUMIFS(record[NG],record[製程料號],_018_450[[#This Row],[製令單號]],record[ProcessSN],Q$1)</f>
        <v>16</v>
      </c>
      <c r="R26" s="123">
        <f>_018_450[[#This Row],[良品]]-_018_450[[#This Row],[良品放行]]-_018_450[[#This Row],[不良待處理]]</f>
        <v>0</v>
      </c>
      <c r="S26" s="123">
        <f>SUMIFS(record[OK],record[製程料號],_018_450[[#This Row],[製令單號]],record[ProcessSN],S$1)</f>
        <v>83</v>
      </c>
      <c r="T26" s="117">
        <f>SUMIFS(record[NG],record[製程料號],_018_450[[#This Row],[製令單號]],record[ProcessSN],T$1)</f>
        <v>0</v>
      </c>
      <c r="U26" s="123">
        <f>_018_450[[#This Row],[良品放行]]-_018_450[[#This Row],[入庫]]</f>
        <v>0</v>
      </c>
      <c r="V26" s="123">
        <f>SUMIFS(record[OK],record[製程料號],_018_450[[#This Row],[製令單號]],record[ProcessSN],V$1)</f>
        <v>83</v>
      </c>
      <c r="W26" s="123">
        <f>_018_450[[#This Row],[入庫]]-_018_450[[#This Row],[已出貨]]</f>
        <v>0</v>
      </c>
      <c r="X26" s="137"/>
      <c r="Y26" s="123">
        <f>SUMIFS(record[OK],record[製程料號],_018_450[[#This Row],[製令單號]],record[ProcessSN],Y$1)</f>
        <v>83</v>
      </c>
      <c r="Z26" s="125">
        <f>_018_450[[#This Row],[不良待處理]]+_018_450[[#This Row],[不良品]]+_018_450[[#This Row],['#06
QC NG]]+_018_450[[#This Row],['#08委外NG]]</f>
        <v>16</v>
      </c>
      <c r="AA26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0.83838383838383834</v>
      </c>
    </row>
    <row r="27" spans="1:27" ht="30.75" x14ac:dyDescent="0.25">
      <c r="A27" s="120">
        <v>45994</v>
      </c>
      <c r="B27" s="121" t="s">
        <v>1277</v>
      </c>
      <c r="C27" s="122" t="s">
        <v>495</v>
      </c>
      <c r="D27" s="118">
        <v>238</v>
      </c>
      <c r="E27" s="123">
        <f>_018_450[[#This Row],[入料數]]-_018_450[[#This Row],['#08已委外數量]]</f>
        <v>0</v>
      </c>
      <c r="F27" s="123">
        <f>SUMIFS(record[OK],record[製程料號],_018_450[[#This Row],[製令單號]],record[ProcessSN],F$1)</f>
        <v>238</v>
      </c>
      <c r="G27" s="118" t="str">
        <f>IF(_018_450[[#This Row],['#08已委外數量]]&gt;0,VLOOKUP(G$1,record[[ProcessSN]:[廠商]],12,FALSE),"尚未委外")</f>
        <v>泉盛</v>
      </c>
      <c r="H27" s="123">
        <f>_018_450[[#This Row],['#08已委外數量]]-_018_450[[#This Row],['#08回
良品]]-_018_450[[#This Row],['#08委外NG]]</f>
        <v>0</v>
      </c>
      <c r="I27" s="123">
        <f>SUMIFS(record[OK],record[製程料號],_018_450[[#This Row],[製令單號]],record[ProcessSN],I$1)</f>
        <v>238</v>
      </c>
      <c r="J27" s="117">
        <f>SUMIFS(record[NG],record[製程料號],_018_450[[#This Row],[製令單號]],record[ProcessSN],J$1)</f>
        <v>0</v>
      </c>
      <c r="K27" s="124">
        <f>IFERROR(_018_450[[#This Row],['#08委外NG]]/_018_450[[#This Row],['#08已委外數量]],"")</f>
        <v>0</v>
      </c>
      <c r="L27" s="123">
        <f>_018_450[[#This Row],['#08回
良品]]-_018_450[[#This Row],['#06檢驗OK]]-_018_450[[#This Row],['#06
QC NG]]</f>
        <v>0</v>
      </c>
      <c r="M27" s="123">
        <f>SUMIFS(record[OK],record[製程料號],_018_450[[#This Row],[製令單號]],record[ProcessSN],M$1)</f>
        <v>238</v>
      </c>
      <c r="N27" s="117">
        <f>SUMIFS(record[NG],record[製程料號],_018_450[[#This Row],[製令單號]],record[ProcessSN],N$1)</f>
        <v>0</v>
      </c>
      <c r="O27" s="123">
        <f>_018_450[[#This Row],['#06檢驗OK]]-_018_450[[#This Row],[不良品]]-_018_450[[#This Row],[良品]]</f>
        <v>0</v>
      </c>
      <c r="P27" s="123">
        <f>SUMIFS(record[OK],record[製程料號],_018_450[[#This Row],[製令單號]],record[ProcessSN],P$1)</f>
        <v>238</v>
      </c>
      <c r="Q27" s="117">
        <f>SUMIFS(record[NG],record[製程料號],_018_450[[#This Row],[製令單號]],record[ProcessSN],Q$1)</f>
        <v>0</v>
      </c>
      <c r="R27" s="123">
        <f>_018_450[[#This Row],[良品]]-_018_450[[#This Row],[良品放行]]-_018_450[[#This Row],[不良待處理]]</f>
        <v>0</v>
      </c>
      <c r="S27" s="123">
        <f>SUMIFS(record[OK],record[製程料號],_018_450[[#This Row],[製令單號]],record[ProcessSN],S$1)</f>
        <v>238</v>
      </c>
      <c r="T27" s="117">
        <f>SUMIFS(record[NG],record[製程料號],_018_450[[#This Row],[製令單號]],record[ProcessSN],T$1)</f>
        <v>0</v>
      </c>
      <c r="U27" s="123">
        <f>_018_450[[#This Row],[良品放行]]-_018_450[[#This Row],[入庫]]</f>
        <v>0</v>
      </c>
      <c r="V27" s="123">
        <f>SUMIFS(record[OK],record[製程料號],_018_450[[#This Row],[製令單號]],record[ProcessSN],V$1)</f>
        <v>238</v>
      </c>
      <c r="W27" s="123">
        <f>_018_450[[#This Row],[入庫]]-_018_450[[#This Row],[已出貨]]</f>
        <v>0</v>
      </c>
      <c r="X27" s="137"/>
      <c r="Y27" s="123">
        <f>SUMIFS(record[OK],record[製程料號],_018_450[[#This Row],[製令單號]],record[ProcessSN],Y$1)</f>
        <v>238</v>
      </c>
      <c r="Z27" s="125">
        <f>_018_450[[#This Row],[不良待處理]]+_018_450[[#This Row],[不良品]]+_018_450[[#This Row],['#06
QC NG]]+_018_450[[#This Row],['#08委外NG]]</f>
        <v>0</v>
      </c>
      <c r="AA27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1</v>
      </c>
    </row>
    <row r="28" spans="1:27" ht="30.75" x14ac:dyDescent="0.25">
      <c r="A28" s="120">
        <v>45995</v>
      </c>
      <c r="B28" s="121" t="s">
        <v>1286</v>
      </c>
      <c r="C28" s="122" t="s">
        <v>495</v>
      </c>
      <c r="D28" s="118">
        <v>248</v>
      </c>
      <c r="E28" s="123">
        <f>_018_450[[#This Row],[入料數]]-_018_450[[#This Row],['#08已委外數量]]</f>
        <v>0</v>
      </c>
      <c r="F28" s="123">
        <f>SUMIFS(record[OK],record[製程料號],_018_450[[#This Row],[製令單號]],record[ProcessSN],F$1)</f>
        <v>248</v>
      </c>
      <c r="G28" s="118" t="str">
        <f>IF(_018_450[[#This Row],['#08已委外數量]]&gt;0,VLOOKUP(G$1,record[[ProcessSN]:[廠商]],12,FALSE),"尚未委外")</f>
        <v>泉盛</v>
      </c>
      <c r="H28" s="123">
        <f>_018_450[[#This Row],['#08已委外數量]]-_018_450[[#This Row],['#08回
良品]]-_018_450[[#This Row],['#08委外NG]]</f>
        <v>0</v>
      </c>
      <c r="I28" s="123">
        <f>SUMIFS(record[OK],record[製程料號],_018_450[[#This Row],[製令單號]],record[ProcessSN],I$1)</f>
        <v>239</v>
      </c>
      <c r="J28" s="117">
        <f>SUMIFS(record[NG],record[製程料號],_018_450[[#This Row],[製令單號]],record[ProcessSN],J$1)</f>
        <v>9</v>
      </c>
      <c r="K28" s="124">
        <f>IFERROR(_018_450[[#This Row],['#08委外NG]]/_018_450[[#This Row],['#08已委外數量]],"")</f>
        <v>3.6290322580645164E-2</v>
      </c>
      <c r="L28" s="123">
        <f>_018_450[[#This Row],['#08回
良品]]-_018_450[[#This Row],['#06檢驗OK]]-_018_450[[#This Row],['#06
QC NG]]</f>
        <v>0</v>
      </c>
      <c r="M28" s="123">
        <f>SUMIFS(record[OK],record[製程料號],_018_450[[#This Row],[製令單號]],record[ProcessSN],M$1)</f>
        <v>239</v>
      </c>
      <c r="N28" s="117">
        <f>SUMIFS(record[NG],record[製程料號],_018_450[[#This Row],[製令單號]],record[ProcessSN],N$1)</f>
        <v>0</v>
      </c>
      <c r="O28" s="123">
        <f>_018_450[[#This Row],['#06檢驗OK]]-_018_450[[#This Row],[不良品]]-_018_450[[#This Row],[良品]]</f>
        <v>0</v>
      </c>
      <c r="P28" s="123">
        <f>SUMIFS(record[OK],record[製程料號],_018_450[[#This Row],[製令單號]],record[ProcessSN],P$1)</f>
        <v>239</v>
      </c>
      <c r="Q28" s="117">
        <f>SUMIFS(record[NG],record[製程料號],_018_450[[#This Row],[製令單號]],record[ProcessSN],Q$1)</f>
        <v>0</v>
      </c>
      <c r="R28" s="123">
        <f>_018_450[[#This Row],[良品]]-_018_450[[#This Row],[良品放行]]-_018_450[[#This Row],[不良待處理]]</f>
        <v>0</v>
      </c>
      <c r="S28" s="123">
        <f>SUMIFS(record[OK],record[製程料號],_018_450[[#This Row],[製令單號]],record[ProcessSN],S$1)</f>
        <v>239</v>
      </c>
      <c r="T28" s="117">
        <f>SUMIFS(record[NG],record[製程料號],_018_450[[#This Row],[製令單號]],record[ProcessSN],T$1)</f>
        <v>0</v>
      </c>
      <c r="U28" s="123">
        <f>_018_450[[#This Row],[良品放行]]-_018_450[[#This Row],[入庫]]</f>
        <v>0</v>
      </c>
      <c r="V28" s="123">
        <f>SUMIFS(record[OK],record[製程料號],_018_450[[#This Row],[製令單號]],record[ProcessSN],V$1)</f>
        <v>239</v>
      </c>
      <c r="W28" s="123">
        <f>_018_450[[#This Row],[入庫]]-_018_450[[#This Row],[已出貨]]</f>
        <v>0</v>
      </c>
      <c r="X28" s="137"/>
      <c r="Y28" s="123">
        <f>SUMIFS(record[OK],record[製程料號],_018_450[[#This Row],[製令單號]],record[ProcessSN],Y$1)</f>
        <v>239</v>
      </c>
      <c r="Z28" s="125">
        <f>_018_450[[#This Row],[不良待處理]]+_018_450[[#This Row],[不良品]]+_018_450[[#This Row],['#06
QC NG]]+_018_450[[#This Row],['#08委外NG]]</f>
        <v>9</v>
      </c>
      <c r="AA28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0.96370967741935487</v>
      </c>
    </row>
    <row r="29" spans="1:27" ht="30.75" x14ac:dyDescent="0.25">
      <c r="A29" s="120">
        <v>46001</v>
      </c>
      <c r="B29" s="121" t="s">
        <v>1315</v>
      </c>
      <c r="C29" s="122" t="s">
        <v>495</v>
      </c>
      <c r="D29" s="118">
        <v>341</v>
      </c>
      <c r="E29" s="123">
        <f>_018_450[[#This Row],[入料數]]-_018_450[[#This Row],['#08已委外數量]]</f>
        <v>0</v>
      </c>
      <c r="F29" s="123">
        <f>SUMIFS(record[OK],record[製程料號],_018_450[[#This Row],[製令單號]],record[ProcessSN],F$1)</f>
        <v>341</v>
      </c>
      <c r="G29" s="118" t="str">
        <f>IF(_018_450[[#This Row],['#08已委外數量]]&gt;0,VLOOKUP(G$1,record[[ProcessSN]:[廠商]],12,FALSE),"尚未委外")</f>
        <v>泉盛</v>
      </c>
      <c r="H29" s="123">
        <f>_018_450[[#This Row],['#08已委外數量]]-_018_450[[#This Row],['#08回
良品]]-_018_450[[#This Row],['#08委外NG]]</f>
        <v>0</v>
      </c>
      <c r="I29" s="123">
        <f>SUMIFS(record[OK],record[製程料號],_018_450[[#This Row],[製令單號]],record[ProcessSN],I$1)</f>
        <v>332</v>
      </c>
      <c r="J29" s="117">
        <f>SUMIFS(record[NG],record[製程料號],_018_450[[#This Row],[製令單號]],record[ProcessSN],J$1)</f>
        <v>9</v>
      </c>
      <c r="K29" s="124">
        <f>IFERROR(_018_450[[#This Row],['#08委外NG]]/_018_450[[#This Row],['#08已委外數量]],"")</f>
        <v>2.6392961876832845E-2</v>
      </c>
      <c r="L29" s="123">
        <f>_018_450[[#This Row],['#08回
良品]]-_018_450[[#This Row],['#06檢驗OK]]-_018_450[[#This Row],['#06
QC NG]]</f>
        <v>0</v>
      </c>
      <c r="M29" s="123">
        <f>SUMIFS(record[OK],record[製程料號],_018_450[[#This Row],[製令單號]],record[ProcessSN],M$1)</f>
        <v>332</v>
      </c>
      <c r="N29" s="117">
        <f>SUMIFS(record[NG],record[製程料號],_018_450[[#This Row],[製令單號]],record[ProcessSN],N$1)</f>
        <v>0</v>
      </c>
      <c r="O29" s="123">
        <f>_018_450[[#This Row],['#06檢驗OK]]-_018_450[[#This Row],[不良品]]-_018_450[[#This Row],[良品]]</f>
        <v>0</v>
      </c>
      <c r="P29" s="123">
        <f>SUMIFS(record[OK],record[製程料號],_018_450[[#This Row],[製令單號]],record[ProcessSN],P$1)</f>
        <v>332</v>
      </c>
      <c r="Q29" s="117">
        <f>SUMIFS(record[NG],record[製程料號],_018_450[[#This Row],[製令單號]],record[ProcessSN],Q$1)</f>
        <v>0</v>
      </c>
      <c r="R29" s="123">
        <f>_018_450[[#This Row],[良品]]-_018_450[[#This Row],[良品放行]]-_018_450[[#This Row],[不良待處理]]</f>
        <v>0</v>
      </c>
      <c r="S29" s="123">
        <f>SUMIFS(record[OK],record[製程料號],_018_450[[#This Row],[製令單號]],record[ProcessSN],S$1)</f>
        <v>332</v>
      </c>
      <c r="T29" s="117">
        <f>SUMIFS(record[NG],record[製程料號],_018_450[[#This Row],[製令單號]],record[ProcessSN],T$1)</f>
        <v>0</v>
      </c>
      <c r="U29" s="123">
        <f>_018_450[[#This Row],[良品放行]]-_018_450[[#This Row],[入庫]]</f>
        <v>0</v>
      </c>
      <c r="V29" s="123">
        <f>SUMIFS(record[OK],record[製程料號],_018_450[[#This Row],[製令單號]],record[ProcessSN],V$1)</f>
        <v>332</v>
      </c>
      <c r="W29" s="123">
        <f>_018_450[[#This Row],[入庫]]-_018_450[[#This Row],[已出貨]]</f>
        <v>0</v>
      </c>
      <c r="X29" s="137"/>
      <c r="Y29" s="123">
        <f>SUMIFS(record[OK],record[製程料號],_018_450[[#This Row],[製令單號]],record[ProcessSN],Y$1)</f>
        <v>332</v>
      </c>
      <c r="Z29" s="125">
        <f>_018_450[[#This Row],[不良待處理]]+_018_450[[#This Row],[不良品]]+_018_450[[#This Row],['#06
QC NG]]+_018_450[[#This Row],['#08委外NG]]</f>
        <v>9</v>
      </c>
      <c r="AA29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0.97360703812316718</v>
      </c>
    </row>
    <row r="30" spans="1:27" ht="30.75" x14ac:dyDescent="0.25">
      <c r="A30" s="120">
        <v>46021</v>
      </c>
      <c r="B30" s="121" t="s">
        <v>1400</v>
      </c>
      <c r="C30" s="122" t="s">
        <v>495</v>
      </c>
      <c r="D30" s="118">
        <v>241</v>
      </c>
      <c r="E30" s="123">
        <f>_018_450[[#This Row],[入料數]]-_018_450[[#This Row],['#08已委外數量]]</f>
        <v>0</v>
      </c>
      <c r="F30" s="123">
        <f>SUMIFS(record[OK],record[製程料號],_018_450[[#This Row],[製令單號]],record[ProcessSN],F$1)</f>
        <v>241</v>
      </c>
      <c r="G30" s="118" t="str">
        <f>IF(_018_450[[#This Row],['#08已委外數量]]&gt;0,VLOOKUP(G$1,record[[ProcessSN]:[廠商]],12,FALSE),"尚未委外")</f>
        <v>泉盛</v>
      </c>
      <c r="H30" s="123">
        <f>_018_450[[#This Row],['#08已委外數量]]-_018_450[[#This Row],['#08回
良品]]-_018_450[[#This Row],['#08委外NG]]</f>
        <v>0</v>
      </c>
      <c r="I30" s="123">
        <f>SUMIFS(record[OK],record[製程料號],_018_450[[#This Row],[製令單號]],record[ProcessSN],I$1)</f>
        <v>231</v>
      </c>
      <c r="J30" s="117">
        <f>SUMIFS(record[NG],record[製程料號],_018_450[[#This Row],[製令單號]],record[ProcessSN],J$1)</f>
        <v>10</v>
      </c>
      <c r="K30" s="124">
        <f>IFERROR(_018_450[[#This Row],['#08委外NG]]/_018_450[[#This Row],['#08已委外數量]],"")</f>
        <v>4.1493775933609957E-2</v>
      </c>
      <c r="L30" s="123">
        <f>_018_450[[#This Row],['#08回
良品]]-_018_450[[#This Row],['#06檢驗OK]]-_018_450[[#This Row],['#06
QC NG]]</f>
        <v>0</v>
      </c>
      <c r="M30" s="123">
        <f>SUMIFS(record[OK],record[製程料號],_018_450[[#This Row],[製令單號]],record[ProcessSN],M$1)</f>
        <v>231</v>
      </c>
      <c r="N30" s="117">
        <f>SUMIFS(record[NG],record[製程料號],_018_450[[#This Row],[製令單號]],record[ProcessSN],N$1)</f>
        <v>0</v>
      </c>
      <c r="O30" s="123">
        <f>_018_450[[#This Row],['#06檢驗OK]]-_018_450[[#This Row],[不良品]]-_018_450[[#This Row],[良品]]</f>
        <v>0</v>
      </c>
      <c r="P30" s="123">
        <f>SUMIFS(record[OK],record[製程料號],_018_450[[#This Row],[製令單號]],record[ProcessSN],P$1)</f>
        <v>231</v>
      </c>
      <c r="Q30" s="117">
        <f>SUMIFS(record[NG],record[製程料號],_018_450[[#This Row],[製令單號]],record[ProcessSN],Q$1)</f>
        <v>0</v>
      </c>
      <c r="R30" s="123">
        <f>_018_450[[#This Row],[良品]]-_018_450[[#This Row],[良品放行]]-_018_450[[#This Row],[不良待處理]]</f>
        <v>0</v>
      </c>
      <c r="S30" s="123">
        <f>SUMIFS(record[OK],record[製程料號],_018_450[[#This Row],[製令單號]],record[ProcessSN],S$1)</f>
        <v>231</v>
      </c>
      <c r="T30" s="117">
        <f>SUMIFS(record[NG],record[製程料號],_018_450[[#This Row],[製令單號]],record[ProcessSN],T$1)</f>
        <v>0</v>
      </c>
      <c r="U30" s="123">
        <f>_018_450[[#This Row],[良品放行]]-_018_450[[#This Row],[入庫]]</f>
        <v>0</v>
      </c>
      <c r="V30" s="123">
        <f>SUMIFS(record[OK],record[製程料號],_018_450[[#This Row],[製令單號]],record[ProcessSN],V$1)</f>
        <v>231</v>
      </c>
      <c r="W30" s="123">
        <f>_018_450[[#This Row],[入庫]]-_018_450[[#This Row],[已出貨]]</f>
        <v>0</v>
      </c>
      <c r="X30" s="137"/>
      <c r="Y30" s="123">
        <f>SUMIFS(record[OK],record[製程料號],_018_450[[#This Row],[製令單號]],record[ProcessSN],Y$1)</f>
        <v>231</v>
      </c>
      <c r="Z30" s="125">
        <f>_018_450[[#This Row],[不良待處理]]+_018_450[[#This Row],[不良品]]+_018_450[[#This Row],['#06
QC NG]]+_018_450[[#This Row],['#08委外NG]]</f>
        <v>10</v>
      </c>
      <c r="AA30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0.95850622406639008</v>
      </c>
    </row>
    <row r="31" spans="1:27" ht="30.75" x14ac:dyDescent="0.25">
      <c r="A31" s="120">
        <v>46022</v>
      </c>
      <c r="B31" s="121" t="s">
        <v>1407</v>
      </c>
      <c r="C31" s="122" t="s">
        <v>495</v>
      </c>
      <c r="D31" s="118">
        <v>1120</v>
      </c>
      <c r="E31" s="123">
        <f>_018_450[[#This Row],[入料數]]-_018_450[[#This Row],['#08已委外數量]]</f>
        <v>0</v>
      </c>
      <c r="F31" s="123">
        <f>SUMIFS(record[OK],record[製程料號],_018_450[[#This Row],[製令單號]],record[ProcessSN],F$1)</f>
        <v>1120</v>
      </c>
      <c r="G31" s="118" t="str">
        <f>IF(_018_450[[#This Row],['#08已委外數量]]&gt;0,VLOOKUP(G$1,record[[ProcessSN]:[廠商]],12,FALSE),"尚未委外")</f>
        <v>泉盛</v>
      </c>
      <c r="H31" s="123">
        <f>_018_450[[#This Row],['#08已委外數量]]-_018_450[[#This Row],['#08回
良品]]-_018_450[[#This Row],['#08委外NG]]</f>
        <v>0</v>
      </c>
      <c r="I31" s="123">
        <f>SUMIFS(record[OK],record[製程料號],_018_450[[#This Row],[製令單號]],record[ProcessSN],I$1)</f>
        <v>1074</v>
      </c>
      <c r="J31" s="117">
        <f>SUMIFS(record[NG],record[製程料號],_018_450[[#This Row],[製令單號]],record[ProcessSN],J$1)</f>
        <v>46</v>
      </c>
      <c r="K31" s="124">
        <f>IFERROR(_018_450[[#This Row],['#08委外NG]]/_018_450[[#This Row],['#08已委外數量]],"")</f>
        <v>4.1071428571428571E-2</v>
      </c>
      <c r="L31" s="123">
        <f>_018_450[[#This Row],['#08回
良品]]-_018_450[[#This Row],['#06檢驗OK]]-_018_450[[#This Row],['#06
QC NG]]</f>
        <v>0</v>
      </c>
      <c r="M31" s="123">
        <f>SUMIFS(record[OK],record[製程料號],_018_450[[#This Row],[製令單號]],record[ProcessSN],M$1)</f>
        <v>1074</v>
      </c>
      <c r="N31" s="117">
        <f>SUMIFS(record[NG],record[製程料號],_018_450[[#This Row],[製令單號]],record[ProcessSN],N$1)</f>
        <v>0</v>
      </c>
      <c r="O31" s="123">
        <f>_018_450[[#This Row],['#06檢驗OK]]-_018_450[[#This Row],[不良品]]-_018_450[[#This Row],[良品]]</f>
        <v>0</v>
      </c>
      <c r="P31" s="123">
        <f>SUMIFS(record[OK],record[製程料號],_018_450[[#This Row],[製令單號]],record[ProcessSN],P$1)</f>
        <v>1074</v>
      </c>
      <c r="Q31" s="117">
        <f>SUMIFS(record[NG],record[製程料號],_018_450[[#This Row],[製令單號]],record[ProcessSN],Q$1)</f>
        <v>0</v>
      </c>
      <c r="R31" s="123">
        <f>_018_450[[#This Row],[良品]]-_018_450[[#This Row],[良品放行]]-_018_450[[#This Row],[不良待處理]]</f>
        <v>0</v>
      </c>
      <c r="S31" s="123">
        <f>SUMIFS(record[OK],record[製程料號],_018_450[[#This Row],[製令單號]],record[ProcessSN],S$1)</f>
        <v>1074</v>
      </c>
      <c r="T31" s="117">
        <f>SUMIFS(record[NG],record[製程料號],_018_450[[#This Row],[製令單號]],record[ProcessSN],T$1)</f>
        <v>0</v>
      </c>
      <c r="U31" s="123">
        <f>_018_450[[#This Row],[良品放行]]-_018_450[[#This Row],[入庫]]</f>
        <v>0</v>
      </c>
      <c r="V31" s="123">
        <f>SUMIFS(record[OK],record[製程料號],_018_450[[#This Row],[製令單號]],record[ProcessSN],V$1)</f>
        <v>1074</v>
      </c>
      <c r="W31" s="123">
        <f>_018_450[[#This Row],[入庫]]-_018_450[[#This Row],[已出貨]]</f>
        <v>0</v>
      </c>
      <c r="X31" s="137"/>
      <c r="Y31" s="123">
        <f>SUMIFS(record[OK],record[製程料號],_018_450[[#This Row],[製令單號]],record[ProcessSN],Y$1)</f>
        <v>1074</v>
      </c>
      <c r="Z31" s="125">
        <f>_018_450[[#This Row],[不良待處理]]+_018_450[[#This Row],[不良品]]+_018_450[[#This Row],['#06
QC NG]]+_018_450[[#This Row],['#08委外NG]]</f>
        <v>46</v>
      </c>
      <c r="AA31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0.95892857142857146</v>
      </c>
    </row>
    <row r="32" spans="1:27" ht="30.75" x14ac:dyDescent="0.25">
      <c r="A32" s="120">
        <v>46028</v>
      </c>
      <c r="B32" s="121" t="s">
        <v>1432</v>
      </c>
      <c r="C32" s="122" t="s">
        <v>495</v>
      </c>
      <c r="D32" s="118">
        <v>326</v>
      </c>
      <c r="E32" s="123">
        <f>_018_450[[#This Row],[入料數]]-_018_450[[#This Row],['#08已委外數量]]</f>
        <v>0</v>
      </c>
      <c r="F32" s="123">
        <f>SUMIFS(record[OK],record[製程料號],_018_450[[#This Row],[製令單號]],record[ProcessSN],F$1)</f>
        <v>326</v>
      </c>
      <c r="G32" s="118" t="str">
        <f>IF(_018_450[[#This Row],['#08已委外數量]]&gt;0,VLOOKUP(G$1,record[[ProcessSN]:[廠商]],12,FALSE),"尚未委外")</f>
        <v>泉盛</v>
      </c>
      <c r="H32" s="123">
        <f>_018_450[[#This Row],['#08已委外數量]]-_018_450[[#This Row],['#08回
良品]]-_018_450[[#This Row],['#08委外NG]]</f>
        <v>0</v>
      </c>
      <c r="I32" s="123">
        <f>SUMIFS(record[OK],record[製程料號],_018_450[[#This Row],[製令單號]],record[ProcessSN],I$1)</f>
        <v>326</v>
      </c>
      <c r="J32" s="117">
        <f>SUMIFS(record[NG],record[製程料號],_018_450[[#This Row],[製令單號]],record[ProcessSN],J$1)</f>
        <v>0</v>
      </c>
      <c r="K32" s="124">
        <f>IFERROR(_018_450[[#This Row],['#08委外NG]]/_018_450[[#This Row],['#08已委外數量]],"")</f>
        <v>0</v>
      </c>
      <c r="L32" s="123">
        <f>_018_450[[#This Row],['#08回
良品]]-_018_450[[#This Row],['#06檢驗OK]]-_018_450[[#This Row],['#06
QC NG]]</f>
        <v>0</v>
      </c>
      <c r="M32" s="123">
        <f>SUMIFS(record[OK],record[製程料號],_018_450[[#This Row],[製令單號]],record[ProcessSN],M$1)</f>
        <v>326</v>
      </c>
      <c r="N32" s="117">
        <f>SUMIFS(record[NG],record[製程料號],_018_450[[#This Row],[製令單號]],record[ProcessSN],N$1)</f>
        <v>0</v>
      </c>
      <c r="O32" s="123">
        <f>_018_450[[#This Row],['#06檢驗OK]]-_018_450[[#This Row],[不良品]]-_018_450[[#This Row],[良品]]</f>
        <v>0</v>
      </c>
      <c r="P32" s="123">
        <f>SUMIFS(record[OK],record[製程料號],_018_450[[#This Row],[製令單號]],record[ProcessSN],P$1)</f>
        <v>326</v>
      </c>
      <c r="Q32" s="117">
        <f>SUMIFS(record[NG],record[製程料號],_018_450[[#This Row],[製令單號]],record[ProcessSN],Q$1)</f>
        <v>0</v>
      </c>
      <c r="R32" s="123">
        <f>_018_450[[#This Row],[良品]]-_018_450[[#This Row],[良品放行]]-_018_450[[#This Row],[不良待處理]]</f>
        <v>0</v>
      </c>
      <c r="S32" s="123">
        <f>SUMIFS(record[OK],record[製程料號],_018_450[[#This Row],[製令單號]],record[ProcessSN],S$1)</f>
        <v>326</v>
      </c>
      <c r="T32" s="117">
        <f>SUMIFS(record[NG],record[製程料號],_018_450[[#This Row],[製令單號]],record[ProcessSN],T$1)</f>
        <v>0</v>
      </c>
      <c r="U32" s="123">
        <f>_018_450[[#This Row],[良品放行]]-_018_450[[#This Row],[入庫]]</f>
        <v>0</v>
      </c>
      <c r="V32" s="123">
        <f>SUMIFS(record[OK],record[製程料號],_018_450[[#This Row],[製令單號]],record[ProcessSN],V$1)</f>
        <v>326</v>
      </c>
      <c r="W32" s="123">
        <f>_018_450[[#This Row],[入庫]]-_018_450[[#This Row],[已出貨]]</f>
        <v>0</v>
      </c>
      <c r="X32" s="137"/>
      <c r="Y32" s="123">
        <f>SUMIFS(record[OK],record[製程料號],_018_450[[#This Row],[製令單號]],record[ProcessSN],Y$1)</f>
        <v>326</v>
      </c>
      <c r="Z32" s="125">
        <f>_018_450[[#This Row],[不良待處理]]+_018_450[[#This Row],[不良品]]+_018_450[[#This Row],['#06
QC NG]]+_018_450[[#This Row],['#08委外NG]]</f>
        <v>0</v>
      </c>
      <c r="AA32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1</v>
      </c>
    </row>
    <row r="33" spans="1:27" ht="30.75" x14ac:dyDescent="0.25">
      <c r="A33" s="120">
        <v>46064</v>
      </c>
      <c r="B33" s="121" t="s">
        <v>1581</v>
      </c>
      <c r="C33" s="122" t="s">
        <v>495</v>
      </c>
      <c r="D33" s="118">
        <v>31</v>
      </c>
      <c r="E33" s="123">
        <f>_018_450[[#This Row],[入料數]]-_018_450[[#This Row],['#08已委外數量]]</f>
        <v>0</v>
      </c>
      <c r="F33" s="123">
        <f>SUMIFS(record[OK],record[製程料號],_018_450[[#This Row],[製令單號]],record[ProcessSN],F$1)</f>
        <v>31</v>
      </c>
      <c r="G33" s="118" t="str">
        <f>IF(_018_450[[#This Row],['#08已委外數量]]&gt;0,VLOOKUP(G$1,record[[ProcessSN]:[廠商]],12,FALSE),"尚未委外")</f>
        <v>泉盛</v>
      </c>
      <c r="H33" s="123">
        <f>_018_450[[#This Row],['#08已委外數量]]-_018_450[[#This Row],['#08回
良品]]-_018_450[[#This Row],['#08委外NG]]</f>
        <v>0</v>
      </c>
      <c r="I33" s="123">
        <f>SUMIFS(record[OK],record[製程料號],_018_450[[#This Row],[製令單號]],record[ProcessSN],I$1)</f>
        <v>31</v>
      </c>
      <c r="J33" s="117">
        <f>SUMIFS(record[NG],record[製程料號],_018_450[[#This Row],[製令單號]],record[ProcessSN],J$1)</f>
        <v>0</v>
      </c>
      <c r="K33" s="124">
        <f>IFERROR(_018_450[[#This Row],['#08委外NG]]/_018_450[[#This Row],['#08已委外數量]],"")</f>
        <v>0</v>
      </c>
      <c r="L33" s="123">
        <f>_018_450[[#This Row],['#08回
良品]]-_018_450[[#This Row],['#06檢驗OK]]-_018_450[[#This Row],['#06
QC NG]]</f>
        <v>0</v>
      </c>
      <c r="M33" s="123">
        <f>SUMIFS(record[OK],record[製程料號],_018_450[[#This Row],[製令單號]],record[ProcessSN],M$1)</f>
        <v>0</v>
      </c>
      <c r="N33" s="117">
        <f>SUMIFS(record[NG],record[製程料號],_018_450[[#This Row],[製令單號]],record[ProcessSN],N$1)</f>
        <v>31</v>
      </c>
      <c r="O33" s="123">
        <f>_018_450[[#This Row],['#06檢驗OK]]-_018_450[[#This Row],[不良品]]-_018_450[[#This Row],[良品]]</f>
        <v>0</v>
      </c>
      <c r="P33" s="123">
        <f>SUMIFS(record[OK],record[製程料號],_018_450[[#This Row],[製令單號]],record[ProcessSN],P$1)</f>
        <v>0</v>
      </c>
      <c r="Q33" s="117">
        <f>SUMIFS(record[NG],record[製程料號],_018_450[[#This Row],[製令單號]],record[ProcessSN],Q$1)</f>
        <v>0</v>
      </c>
      <c r="R33" s="123">
        <f>_018_450[[#This Row],[良品]]-_018_450[[#This Row],[良品放行]]-_018_450[[#This Row],[不良待處理]]</f>
        <v>0</v>
      </c>
      <c r="S33" s="123">
        <f>SUMIFS(record[OK],record[製程料號],_018_450[[#This Row],[製令單號]],record[ProcessSN],S$1)</f>
        <v>0</v>
      </c>
      <c r="T33" s="117">
        <f>SUMIFS(record[NG],record[製程料號],_018_450[[#This Row],[製令單號]],record[ProcessSN],T$1)</f>
        <v>0</v>
      </c>
      <c r="U33" s="123">
        <f>_018_450[[#This Row],[良品放行]]-_018_450[[#This Row],[入庫]]</f>
        <v>0</v>
      </c>
      <c r="V33" s="123">
        <f>SUMIFS(record[OK],record[製程料號],_018_450[[#This Row],[製令單號]],record[ProcessSN],V$1)</f>
        <v>0</v>
      </c>
      <c r="W33" s="123">
        <f>_018_450[[#This Row],[入庫]]-_018_450[[#This Row],[已出貨]]</f>
        <v>0</v>
      </c>
      <c r="X33" s="137"/>
      <c r="Y33" s="123">
        <f>SUMIFS(record[OK],record[製程料號],_018_450[[#This Row],[製令單號]],record[ProcessSN],Y$1)</f>
        <v>0</v>
      </c>
      <c r="Z33" s="125">
        <f>_018_450[[#This Row],[不良待處理]]+_018_450[[#This Row],[不良品]]+_018_450[[#This Row],['#06
QC NG]]+_018_450[[#This Row],['#08委外NG]]</f>
        <v>31</v>
      </c>
      <c r="AA33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</v>
      </c>
    </row>
    <row r="34" spans="1:27" ht="30.75" x14ac:dyDescent="0.25">
      <c r="A34" s="120">
        <v>46090</v>
      </c>
      <c r="B34" s="121" t="s">
        <v>1613</v>
      </c>
      <c r="C34" s="122" t="s">
        <v>495</v>
      </c>
      <c r="D34" s="118">
        <v>240</v>
      </c>
      <c r="E34" s="123">
        <f>_018_450[[#This Row],[入料數]]-_018_450[[#This Row],['#08已委外數量]]</f>
        <v>0</v>
      </c>
      <c r="F34" s="123">
        <f>SUMIFS(record[OK],record[製程料號],_018_450[[#This Row],[製令單號]],record[ProcessSN],F$1)</f>
        <v>240</v>
      </c>
      <c r="G34" s="118" t="str">
        <f>IF(_018_450[[#This Row],['#08已委外數量]]&gt;0,VLOOKUP(G$1,record[[ProcessSN]:[廠商]],12,FALSE),"尚未委外")</f>
        <v>泉盛</v>
      </c>
      <c r="H34" s="123">
        <f>_018_450[[#This Row],['#08已委外數量]]-_018_450[[#This Row],['#08回
良品]]-_018_450[[#This Row],['#08委外NG]]</f>
        <v>0</v>
      </c>
      <c r="I34" s="123">
        <f>SUMIFS(record[OK],record[製程料號],_018_450[[#This Row],[製令單號]],record[ProcessSN],I$1)</f>
        <v>233</v>
      </c>
      <c r="J34" s="117">
        <f>SUMIFS(record[NG],record[製程料號],_018_450[[#This Row],[製令單號]],record[ProcessSN],J$1)</f>
        <v>7</v>
      </c>
      <c r="K34" s="124">
        <f>IFERROR(_018_450[[#This Row],['#08委外NG]]/_018_450[[#This Row],['#08已委外數量]],"")</f>
        <v>2.9166666666666667E-2</v>
      </c>
      <c r="L34" s="123">
        <f>_018_450[[#This Row],['#08回
良品]]-_018_450[[#This Row],['#06檢驗OK]]-_018_450[[#This Row],['#06
QC NG]]</f>
        <v>0</v>
      </c>
      <c r="M34" s="123">
        <f>SUMIFS(record[OK],record[製程料號],_018_450[[#This Row],[製令單號]],record[ProcessSN],M$1)</f>
        <v>233</v>
      </c>
      <c r="N34" s="117">
        <f>SUMIFS(record[NG],record[製程料號],_018_450[[#This Row],[製令單號]],record[ProcessSN],N$1)</f>
        <v>0</v>
      </c>
      <c r="O34" s="123">
        <f>_018_450[[#This Row],['#06檢驗OK]]-_018_450[[#This Row],[不良品]]-_018_450[[#This Row],[良品]]</f>
        <v>0</v>
      </c>
      <c r="P34" s="123">
        <f>SUMIFS(record[OK],record[製程料號],_018_450[[#This Row],[製令單號]],record[ProcessSN],P$1)</f>
        <v>232</v>
      </c>
      <c r="Q34" s="117">
        <f>SUMIFS(record[NG],record[製程料號],_018_450[[#This Row],[製令單號]],record[ProcessSN],Q$1)</f>
        <v>1</v>
      </c>
      <c r="R34" s="123">
        <f>_018_450[[#This Row],[良品]]-_018_450[[#This Row],[良品放行]]-_018_450[[#This Row],[不良待處理]]</f>
        <v>0</v>
      </c>
      <c r="S34" s="123">
        <f>SUMIFS(record[OK],record[製程料號],_018_450[[#This Row],[製令單號]],record[ProcessSN],S$1)</f>
        <v>232</v>
      </c>
      <c r="T34" s="117">
        <f>SUMIFS(record[NG],record[製程料號],_018_450[[#This Row],[製令單號]],record[ProcessSN],T$1)</f>
        <v>0</v>
      </c>
      <c r="U34" s="123">
        <f>_018_450[[#This Row],[良品放行]]-_018_450[[#This Row],[入庫]]</f>
        <v>0</v>
      </c>
      <c r="V34" s="123">
        <f>SUMIFS(record[OK],record[製程料號],_018_450[[#This Row],[製令單號]],record[ProcessSN],V$1)</f>
        <v>232</v>
      </c>
      <c r="W34" s="123">
        <f>_018_450[[#This Row],[入庫]]-_018_450[[#This Row],[已出貨]]</f>
        <v>0</v>
      </c>
      <c r="X34" s="137"/>
      <c r="Y34" s="123">
        <f>SUMIFS(record[OK],record[製程料號],_018_450[[#This Row],[製令單號]],record[ProcessSN],Y$1)</f>
        <v>232</v>
      </c>
      <c r="Z34" s="125">
        <f>_018_450[[#This Row],[不良待處理]]+_018_450[[#This Row],[不良品]]+_018_450[[#This Row],['#06
QC NG]]+_018_450[[#This Row],['#08委外NG]]</f>
        <v>8</v>
      </c>
      <c r="AA34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0.96666666666666667</v>
      </c>
    </row>
    <row r="35" spans="1:27" ht="30.75" x14ac:dyDescent="0.25">
      <c r="A35" s="120">
        <v>46091</v>
      </c>
      <c r="B35" s="121" t="s">
        <v>1617</v>
      </c>
      <c r="C35" s="122" t="s">
        <v>495</v>
      </c>
      <c r="D35" s="118">
        <v>239</v>
      </c>
      <c r="E35" s="123">
        <f>_018_450[[#This Row],[入料數]]-_018_450[[#This Row],['#08已委外數量]]</f>
        <v>0</v>
      </c>
      <c r="F35" s="123">
        <f>SUMIFS(record[OK],record[製程料號],_018_450[[#This Row],[製令單號]],record[ProcessSN],F$1)</f>
        <v>239</v>
      </c>
      <c r="G35" s="118" t="str">
        <f>IF(_018_450[[#This Row],['#08已委外數量]]&gt;0,VLOOKUP(G$1,record[[ProcessSN]:[廠商]],12,FALSE),"尚未委外")</f>
        <v>泉盛</v>
      </c>
      <c r="H35" s="123">
        <f>_018_450[[#This Row],['#08已委外數量]]-_018_450[[#This Row],['#08回
良品]]-_018_450[[#This Row],['#08委外NG]]</f>
        <v>0</v>
      </c>
      <c r="I35" s="123">
        <f>SUMIFS(record[OK],record[製程料號],_018_450[[#This Row],[製令單號]],record[ProcessSN],I$1)</f>
        <v>237</v>
      </c>
      <c r="J35" s="117">
        <f>SUMIFS(record[NG],record[製程料號],_018_450[[#This Row],[製令單號]],record[ProcessSN],J$1)</f>
        <v>2</v>
      </c>
      <c r="K35" s="124">
        <f>IFERROR(_018_450[[#This Row],['#08委外NG]]/_018_450[[#This Row],['#08已委外數量]],"")</f>
        <v>8.368200836820083E-3</v>
      </c>
      <c r="L35" s="123">
        <f>_018_450[[#This Row],['#08回
良品]]-_018_450[[#This Row],['#06檢驗OK]]-_018_450[[#This Row],['#06
QC NG]]</f>
        <v>0</v>
      </c>
      <c r="M35" s="123">
        <f>SUMIFS(record[OK],record[製程料號],_018_450[[#This Row],[製令單號]],record[ProcessSN],M$1)</f>
        <v>237</v>
      </c>
      <c r="N35" s="117">
        <f>SUMIFS(record[NG],record[製程料號],_018_450[[#This Row],[製令單號]],record[ProcessSN],N$1)</f>
        <v>0</v>
      </c>
      <c r="O35" s="123">
        <f>_018_450[[#This Row],['#06檢驗OK]]-_018_450[[#This Row],[不良品]]-_018_450[[#This Row],[良品]]</f>
        <v>0</v>
      </c>
      <c r="P35" s="123">
        <f>SUMIFS(record[OK],record[製程料號],_018_450[[#This Row],[製令單號]],record[ProcessSN],P$1)</f>
        <v>228</v>
      </c>
      <c r="Q35" s="117">
        <f>SUMIFS(record[NG],record[製程料號],_018_450[[#This Row],[製令單號]],record[ProcessSN],Q$1)</f>
        <v>9</v>
      </c>
      <c r="R35" s="123">
        <f>_018_450[[#This Row],[良品]]-_018_450[[#This Row],[良品放行]]-_018_450[[#This Row],[不良待處理]]</f>
        <v>0</v>
      </c>
      <c r="S35" s="123">
        <f>SUMIFS(record[OK],record[製程料號],_018_450[[#This Row],[製令單號]],record[ProcessSN],S$1)</f>
        <v>228</v>
      </c>
      <c r="T35" s="117">
        <f>SUMIFS(record[NG],record[製程料號],_018_450[[#This Row],[製令單號]],record[ProcessSN],T$1)</f>
        <v>0</v>
      </c>
      <c r="U35" s="123">
        <f>_018_450[[#This Row],[良品放行]]-_018_450[[#This Row],[入庫]]</f>
        <v>0</v>
      </c>
      <c r="V35" s="123">
        <f>SUMIFS(record[OK],record[製程料號],_018_450[[#This Row],[製令單號]],record[ProcessSN],V$1)</f>
        <v>228</v>
      </c>
      <c r="W35" s="123">
        <f>_018_450[[#This Row],[入庫]]-_018_450[[#This Row],[已出貨]]</f>
        <v>0</v>
      </c>
      <c r="X35" s="137"/>
      <c r="Y35" s="123">
        <f>SUMIFS(record[OK],record[製程料號],_018_450[[#This Row],[製令單號]],record[ProcessSN],Y$1)</f>
        <v>228</v>
      </c>
      <c r="Z35" s="125">
        <f>_018_450[[#This Row],[不良待處理]]+_018_450[[#This Row],[不良品]]+_018_450[[#This Row],['#06
QC NG]]+_018_450[[#This Row],['#08委外NG]]</f>
        <v>11</v>
      </c>
      <c r="AA35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0.95397489539748959</v>
      </c>
    </row>
    <row r="36" spans="1:27" ht="30.75" x14ac:dyDescent="0.25">
      <c r="A36" s="120">
        <v>46092</v>
      </c>
      <c r="B36" s="121" t="s">
        <v>1623</v>
      </c>
      <c r="C36" s="122" t="s">
        <v>495</v>
      </c>
      <c r="D36" s="118">
        <v>288</v>
      </c>
      <c r="E36" s="123">
        <f>_018_450[[#This Row],[入料數]]-_018_450[[#This Row],['#08已委外數量]]</f>
        <v>0</v>
      </c>
      <c r="F36" s="123">
        <f>SUMIFS(record[OK],record[製程料號],_018_450[[#This Row],[製令單號]],record[ProcessSN],F$1)</f>
        <v>288</v>
      </c>
      <c r="G36" s="118" t="str">
        <f>IF(_018_450[[#This Row],['#08已委外數量]]&gt;0,VLOOKUP(G$1,record[[ProcessSN]:[廠商]],12,FALSE),"尚未委外")</f>
        <v>泉盛</v>
      </c>
      <c r="H36" s="123">
        <f>_018_450[[#This Row],['#08已委外數量]]-_018_450[[#This Row],['#08回
良品]]-_018_450[[#This Row],['#08委外NG]]</f>
        <v>0</v>
      </c>
      <c r="I36" s="123">
        <f>SUMIFS(record[OK],record[製程料號],_018_450[[#This Row],[製令單號]],record[ProcessSN],I$1)</f>
        <v>276</v>
      </c>
      <c r="J36" s="117">
        <f>SUMIFS(record[NG],record[製程料號],_018_450[[#This Row],[製令單號]],record[ProcessSN],J$1)</f>
        <v>12</v>
      </c>
      <c r="K36" s="124">
        <f>IFERROR(_018_450[[#This Row],['#08委外NG]]/_018_450[[#This Row],['#08已委外數量]],"")</f>
        <v>4.1666666666666664E-2</v>
      </c>
      <c r="L36" s="123">
        <f>_018_450[[#This Row],['#08回
良品]]-_018_450[[#This Row],['#06檢驗OK]]-_018_450[[#This Row],['#06
QC NG]]</f>
        <v>0</v>
      </c>
      <c r="M36" s="123">
        <f>SUMIFS(record[OK],record[製程料號],_018_450[[#This Row],[製令單號]],record[ProcessSN],M$1)</f>
        <v>276</v>
      </c>
      <c r="N36" s="117">
        <f>SUMIFS(record[NG],record[製程料號],_018_450[[#This Row],[製令單號]],record[ProcessSN],N$1)</f>
        <v>0</v>
      </c>
      <c r="O36" s="123">
        <f>_018_450[[#This Row],['#06檢驗OK]]-_018_450[[#This Row],[不良品]]-_018_450[[#This Row],[良品]]</f>
        <v>0</v>
      </c>
      <c r="P36" s="123">
        <f>SUMIFS(record[OK],record[製程料號],_018_450[[#This Row],[製令單號]],record[ProcessSN],P$1)</f>
        <v>276</v>
      </c>
      <c r="Q36" s="117">
        <f>SUMIFS(record[NG],record[製程料號],_018_450[[#This Row],[製令單號]],record[ProcessSN],Q$1)</f>
        <v>0</v>
      </c>
      <c r="R36" s="123">
        <f>_018_450[[#This Row],[良品]]-_018_450[[#This Row],[良品放行]]-_018_450[[#This Row],[不良待處理]]</f>
        <v>0</v>
      </c>
      <c r="S36" s="123">
        <f>SUMIFS(record[OK],record[製程料號],_018_450[[#This Row],[製令單號]],record[ProcessSN],S$1)</f>
        <v>276</v>
      </c>
      <c r="T36" s="117">
        <f>SUMIFS(record[NG],record[製程料號],_018_450[[#This Row],[製令單號]],record[ProcessSN],T$1)</f>
        <v>0</v>
      </c>
      <c r="U36" s="123">
        <f>_018_450[[#This Row],[良品放行]]-_018_450[[#This Row],[入庫]]</f>
        <v>0</v>
      </c>
      <c r="V36" s="123">
        <f>SUMIFS(record[OK],record[製程料號],_018_450[[#This Row],[製令單號]],record[ProcessSN],V$1)</f>
        <v>276</v>
      </c>
      <c r="W36" s="123">
        <f>_018_450[[#This Row],[入庫]]-_018_450[[#This Row],[已出貨]]</f>
        <v>0</v>
      </c>
      <c r="X36" s="137"/>
      <c r="Y36" s="123">
        <f>SUMIFS(record[OK],record[製程料號],_018_450[[#This Row],[製令單號]],record[ProcessSN],Y$1)</f>
        <v>276</v>
      </c>
      <c r="Z36" s="125">
        <f>_018_450[[#This Row],[不良待處理]]+_018_450[[#This Row],[不良品]]+_018_450[[#This Row],['#06
QC NG]]+_018_450[[#This Row],['#08委外NG]]</f>
        <v>12</v>
      </c>
      <c r="AA36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0.95833333333333337</v>
      </c>
    </row>
    <row r="37" spans="1:27" ht="30.75" x14ac:dyDescent="0.25">
      <c r="A37" s="120">
        <v>46093</v>
      </c>
      <c r="B37" s="121" t="s">
        <v>1630</v>
      </c>
      <c r="C37" s="122" t="s">
        <v>495</v>
      </c>
      <c r="D37" s="118">
        <v>190</v>
      </c>
      <c r="E37" s="123">
        <f>_018_450[[#This Row],[入料數]]-_018_450[[#This Row],['#08已委外數量]]</f>
        <v>0</v>
      </c>
      <c r="F37" s="123">
        <f>SUMIFS(record[OK],record[製程料號],_018_450[[#This Row],[製令單號]],record[ProcessSN],F$1)</f>
        <v>190</v>
      </c>
      <c r="G37" s="118" t="str">
        <f>IF(_018_450[[#This Row],['#08已委外數量]]&gt;0,VLOOKUP(G$1,record[[ProcessSN]:[廠商]],12,FALSE),"尚未委外")</f>
        <v>泉盛</v>
      </c>
      <c r="H37" s="123">
        <f>_018_450[[#This Row],['#08已委外數量]]-_018_450[[#This Row],['#08回
良品]]-_018_450[[#This Row],['#08委外NG]]</f>
        <v>0</v>
      </c>
      <c r="I37" s="123">
        <f>SUMIFS(record[OK],record[製程料號],_018_450[[#This Row],[製令單號]],record[ProcessSN],I$1)</f>
        <v>189</v>
      </c>
      <c r="J37" s="117">
        <f>SUMIFS(record[NG],record[製程料號],_018_450[[#This Row],[製令單號]],record[ProcessSN],J$1)</f>
        <v>1</v>
      </c>
      <c r="K37" s="124">
        <f>IFERROR(_018_450[[#This Row],['#08委外NG]]/_018_450[[#This Row],['#08已委外數量]],"")</f>
        <v>5.263157894736842E-3</v>
      </c>
      <c r="L37" s="123">
        <f>_018_450[[#This Row],['#08回
良品]]-_018_450[[#This Row],['#06檢驗OK]]-_018_450[[#This Row],['#06
QC NG]]</f>
        <v>0</v>
      </c>
      <c r="M37" s="123">
        <f>SUMIFS(record[OK],record[製程料號],_018_450[[#This Row],[製令單號]],record[ProcessSN],M$1)</f>
        <v>189</v>
      </c>
      <c r="N37" s="117">
        <f>SUMIFS(record[NG],record[製程料號],_018_450[[#This Row],[製令單號]],record[ProcessSN],N$1)</f>
        <v>0</v>
      </c>
      <c r="O37" s="123">
        <f>_018_450[[#This Row],['#06檢驗OK]]-_018_450[[#This Row],[不良品]]-_018_450[[#This Row],[良品]]</f>
        <v>0</v>
      </c>
      <c r="P37" s="123">
        <f>SUMIFS(record[OK],record[製程料號],_018_450[[#This Row],[製令單號]],record[ProcessSN],P$1)</f>
        <v>189</v>
      </c>
      <c r="Q37" s="117">
        <f>SUMIFS(record[NG],record[製程料號],_018_450[[#This Row],[製令單號]],record[ProcessSN],Q$1)</f>
        <v>0</v>
      </c>
      <c r="R37" s="123">
        <f>_018_450[[#This Row],[良品]]-_018_450[[#This Row],[良品放行]]-_018_450[[#This Row],[不良待處理]]</f>
        <v>0</v>
      </c>
      <c r="S37" s="123">
        <f>SUMIFS(record[OK],record[製程料號],_018_450[[#This Row],[製令單號]],record[ProcessSN],S$1)</f>
        <v>189</v>
      </c>
      <c r="T37" s="117">
        <f>SUMIFS(record[NG],record[製程料號],_018_450[[#This Row],[製令單號]],record[ProcessSN],T$1)</f>
        <v>0</v>
      </c>
      <c r="U37" s="123">
        <f>_018_450[[#This Row],[良品放行]]-_018_450[[#This Row],[入庫]]</f>
        <v>0</v>
      </c>
      <c r="V37" s="123">
        <f>SUMIFS(record[OK],record[製程料號],_018_450[[#This Row],[製令單號]],record[ProcessSN],V$1)</f>
        <v>189</v>
      </c>
      <c r="W37" s="123">
        <f>_018_450[[#This Row],[入庫]]-_018_450[[#This Row],[已出貨]]</f>
        <v>0</v>
      </c>
      <c r="X37" s="137"/>
      <c r="Y37" s="123">
        <f>SUMIFS(record[OK],record[製程料號],_018_450[[#This Row],[製令單號]],record[ProcessSN],Y$1)</f>
        <v>189</v>
      </c>
      <c r="Z37" s="125">
        <f>_018_450[[#This Row],[不良待處理]]+_018_450[[#This Row],[不良品]]+_018_450[[#This Row],['#06
QC NG]]+_018_450[[#This Row],['#08委外NG]]</f>
        <v>1</v>
      </c>
      <c r="AA37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0.99473684210526314</v>
      </c>
    </row>
    <row r="38" spans="1:27" ht="30.75" x14ac:dyDescent="0.25">
      <c r="A38" s="120">
        <v>46098</v>
      </c>
      <c r="B38" s="121" t="s">
        <v>1641</v>
      </c>
      <c r="C38" s="122" t="s">
        <v>495</v>
      </c>
      <c r="D38" s="118">
        <v>474</v>
      </c>
      <c r="E38" s="123">
        <f>_018_450[[#This Row],[入料數]]-_018_450[[#This Row],['#08已委外數量]]</f>
        <v>0</v>
      </c>
      <c r="F38" s="123">
        <f>SUMIFS(record[OK],record[製程料號],_018_450[[#This Row],[製令單號]],record[ProcessSN],F$1)</f>
        <v>474</v>
      </c>
      <c r="G38" s="118" t="str">
        <f>IF(_018_450[[#This Row],['#08已委外數量]]&gt;0,VLOOKUP(G$1,record[[ProcessSN]:[廠商]],12,FALSE),"尚未委外")</f>
        <v>泉盛</v>
      </c>
      <c r="H38" s="123">
        <f>_018_450[[#This Row],['#08已委外數量]]-_018_450[[#This Row],['#08回
良品]]-_018_450[[#This Row],['#08委外NG]]</f>
        <v>0</v>
      </c>
      <c r="I38" s="123">
        <f>SUMIFS(record[OK],record[製程料號],_018_450[[#This Row],[製令單號]],record[ProcessSN],I$1)</f>
        <v>448</v>
      </c>
      <c r="J38" s="117">
        <f>SUMIFS(record[NG],record[製程料號],_018_450[[#This Row],[製令單號]],record[ProcessSN],J$1)</f>
        <v>26</v>
      </c>
      <c r="K38" s="124">
        <f>IFERROR(_018_450[[#This Row],['#08委外NG]]/_018_450[[#This Row],['#08已委外數量]],"")</f>
        <v>5.4852320675105488E-2</v>
      </c>
      <c r="L38" s="123">
        <f>_018_450[[#This Row],['#08回
良品]]-_018_450[[#This Row],['#06檢驗OK]]-_018_450[[#This Row],['#06
QC NG]]</f>
        <v>0</v>
      </c>
      <c r="M38" s="123">
        <f>SUMIFS(record[OK],record[製程料號],_018_450[[#This Row],[製令單號]],record[ProcessSN],M$1)</f>
        <v>448</v>
      </c>
      <c r="N38" s="117">
        <f>SUMIFS(record[NG],record[製程料號],_018_450[[#This Row],[製令單號]],record[ProcessSN],N$1)</f>
        <v>0</v>
      </c>
      <c r="O38" s="123">
        <f>_018_450[[#This Row],['#06檢驗OK]]-_018_450[[#This Row],[不良品]]-_018_450[[#This Row],[良品]]</f>
        <v>0</v>
      </c>
      <c r="P38" s="123">
        <f>SUMIFS(record[OK],record[製程料號],_018_450[[#This Row],[製令單號]],record[ProcessSN],P$1)</f>
        <v>431</v>
      </c>
      <c r="Q38" s="117">
        <f>SUMIFS(record[NG],record[製程料號],_018_450[[#This Row],[製令單號]],record[ProcessSN],Q$1)</f>
        <v>17</v>
      </c>
      <c r="R38" s="123">
        <f>_018_450[[#This Row],[良品]]-_018_450[[#This Row],[良品放行]]-_018_450[[#This Row],[不良待處理]]</f>
        <v>0</v>
      </c>
      <c r="S38" s="123">
        <f>SUMIFS(record[OK],record[製程料號],_018_450[[#This Row],[製令單號]],record[ProcessSN],S$1)</f>
        <v>431</v>
      </c>
      <c r="T38" s="117">
        <f>SUMIFS(record[NG],record[製程料號],_018_450[[#This Row],[製令單號]],record[ProcessSN],T$1)</f>
        <v>0</v>
      </c>
      <c r="U38" s="123">
        <f>_018_450[[#This Row],[良品放行]]-_018_450[[#This Row],[入庫]]</f>
        <v>0</v>
      </c>
      <c r="V38" s="123">
        <f>SUMIFS(record[OK],record[製程料號],_018_450[[#This Row],[製令單號]],record[ProcessSN],V$1)</f>
        <v>431</v>
      </c>
      <c r="W38" s="123">
        <f>_018_450[[#This Row],[入庫]]-_018_450[[#This Row],[已出貨]]</f>
        <v>0</v>
      </c>
      <c r="X38" s="137"/>
      <c r="Y38" s="123">
        <f>SUMIFS(record[OK],record[製程料號],_018_450[[#This Row],[製令單號]],record[ProcessSN],Y$1)</f>
        <v>431</v>
      </c>
      <c r="Z38" s="125">
        <f>_018_450[[#This Row],[不良待處理]]+_018_450[[#This Row],[不良品]]+_018_450[[#This Row],['#06
QC NG]]+_018_450[[#This Row],['#08委外NG]]</f>
        <v>43</v>
      </c>
      <c r="AA38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0.90928270042194093</v>
      </c>
    </row>
    <row r="39" spans="1:27" ht="30.75" x14ac:dyDescent="0.25">
      <c r="A39" s="120">
        <v>46099</v>
      </c>
      <c r="B39" s="121" t="s">
        <v>1646</v>
      </c>
      <c r="C39" s="122" t="s">
        <v>495</v>
      </c>
      <c r="D39" s="118">
        <v>285</v>
      </c>
      <c r="E39" s="123">
        <f>_018_450[[#This Row],[入料數]]-_018_450[[#This Row],['#08已委外數量]]</f>
        <v>0</v>
      </c>
      <c r="F39" s="123">
        <f>SUMIFS(record[OK],record[製程料號],_018_450[[#This Row],[製令單號]],record[ProcessSN],F$1)</f>
        <v>285</v>
      </c>
      <c r="G39" s="118" t="str">
        <f>IF(_018_450[[#This Row],['#08已委外數量]]&gt;0,VLOOKUP(G$1,record[[ProcessSN]:[廠商]],12,FALSE),"尚未委外")</f>
        <v>泉盛</v>
      </c>
      <c r="H39" s="123">
        <f>_018_450[[#This Row],['#08已委外數量]]-_018_450[[#This Row],['#08回
良品]]-_018_450[[#This Row],['#08委外NG]]</f>
        <v>0</v>
      </c>
      <c r="I39" s="123">
        <f>SUMIFS(record[OK],record[製程料號],_018_450[[#This Row],[製令單號]],record[ProcessSN],I$1)</f>
        <v>273</v>
      </c>
      <c r="J39" s="117">
        <f>SUMIFS(record[NG],record[製程料號],_018_450[[#This Row],[製令單號]],record[ProcessSN],J$1)</f>
        <v>12</v>
      </c>
      <c r="K39" s="124">
        <f>IFERROR(_018_450[[#This Row],['#08委外NG]]/_018_450[[#This Row],['#08已委外數量]],"")</f>
        <v>4.2105263157894736E-2</v>
      </c>
      <c r="L39" s="123">
        <f>_018_450[[#This Row],['#08回
良品]]-_018_450[[#This Row],['#06檢驗OK]]-_018_450[[#This Row],['#06
QC NG]]</f>
        <v>0</v>
      </c>
      <c r="M39" s="123">
        <f>SUMIFS(record[OK],record[製程料號],_018_450[[#This Row],[製令單號]],record[ProcessSN],M$1)</f>
        <v>273</v>
      </c>
      <c r="N39" s="117">
        <f>SUMIFS(record[NG],record[製程料號],_018_450[[#This Row],[製令單號]],record[ProcessSN],N$1)</f>
        <v>0</v>
      </c>
      <c r="O39" s="123">
        <f>_018_450[[#This Row],['#06檢驗OK]]-_018_450[[#This Row],[不良品]]-_018_450[[#This Row],[良品]]</f>
        <v>0</v>
      </c>
      <c r="P39" s="123">
        <f>SUMIFS(record[OK],record[製程料號],_018_450[[#This Row],[製令單號]],record[ProcessSN],P$1)</f>
        <v>273</v>
      </c>
      <c r="Q39" s="117">
        <f>SUMIFS(record[NG],record[製程料號],_018_450[[#This Row],[製令單號]],record[ProcessSN],Q$1)</f>
        <v>0</v>
      </c>
      <c r="R39" s="123">
        <f>_018_450[[#This Row],[良品]]-_018_450[[#This Row],[良品放行]]-_018_450[[#This Row],[不良待處理]]</f>
        <v>0</v>
      </c>
      <c r="S39" s="123">
        <f>SUMIFS(record[OK],record[製程料號],_018_450[[#This Row],[製令單號]],record[ProcessSN],S$1)</f>
        <v>273</v>
      </c>
      <c r="T39" s="117">
        <f>SUMIFS(record[NG],record[製程料號],_018_450[[#This Row],[製令單號]],record[ProcessSN],T$1)</f>
        <v>0</v>
      </c>
      <c r="U39" s="123">
        <f>_018_450[[#This Row],[良品放行]]-_018_450[[#This Row],[入庫]]</f>
        <v>0</v>
      </c>
      <c r="V39" s="123">
        <f>SUMIFS(record[OK],record[製程料號],_018_450[[#This Row],[製令單號]],record[ProcessSN],V$1)</f>
        <v>273</v>
      </c>
      <c r="W39" s="123">
        <f>_018_450[[#This Row],[入庫]]-_018_450[[#This Row],[已出貨]]</f>
        <v>0</v>
      </c>
      <c r="X39" s="137"/>
      <c r="Y39" s="123">
        <f>SUMIFS(record[OK],record[製程料號],_018_450[[#This Row],[製令單號]],record[ProcessSN],Y$1)</f>
        <v>273</v>
      </c>
      <c r="Z39" s="125">
        <f>_018_450[[#This Row],[不良待處理]]+_018_450[[#This Row],[不良品]]+_018_450[[#This Row],['#06
QC NG]]+_018_450[[#This Row],['#08委外NG]]</f>
        <v>12</v>
      </c>
      <c r="AA39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0.95789473684210524</v>
      </c>
    </row>
    <row r="40" spans="1:27" ht="30.75" x14ac:dyDescent="0.25">
      <c r="A40" s="120">
        <v>46114</v>
      </c>
      <c r="B40" s="121" t="s">
        <v>1719</v>
      </c>
      <c r="C40" s="122" t="s">
        <v>495</v>
      </c>
      <c r="D40" s="118">
        <v>205</v>
      </c>
      <c r="E40" s="123">
        <f>_018_450[[#This Row],[入料數]]-_018_450[[#This Row],['#08已委外數量]]</f>
        <v>0</v>
      </c>
      <c r="F40" s="123">
        <f>SUMIFS(record[OK],record[製程料號],_018_450[[#This Row],[製令單號]],record[ProcessSN],F$1)</f>
        <v>205</v>
      </c>
      <c r="G40" s="118" t="str">
        <f>IF(_018_450[[#This Row],['#08已委外數量]]&gt;0,VLOOKUP(G$1,record[[ProcessSN]:[廠商]],12,FALSE),"尚未委外")</f>
        <v>泉盛</v>
      </c>
      <c r="H40" s="123">
        <f>_018_450[[#This Row],['#08已委外數量]]-_018_450[[#This Row],['#08回
良品]]-_018_450[[#This Row],['#08委外NG]]</f>
        <v>0</v>
      </c>
      <c r="I40" s="123">
        <f>SUMIFS(record[OK],record[製程料號],_018_450[[#This Row],[製令單號]],record[ProcessSN],I$1)</f>
        <v>202</v>
      </c>
      <c r="J40" s="117">
        <f>SUMIFS(record[NG],record[製程料號],_018_450[[#This Row],[製令單號]],record[ProcessSN],J$1)</f>
        <v>3</v>
      </c>
      <c r="K40" s="124">
        <f>IFERROR(_018_450[[#This Row],['#08委外NG]]/_018_450[[#This Row],['#08已委外數量]],"")</f>
        <v>1.4634146341463415E-2</v>
      </c>
      <c r="L40" s="123">
        <f>_018_450[[#This Row],['#08回
良品]]-_018_450[[#This Row],['#06檢驗OK]]-_018_450[[#This Row],['#06
QC NG]]</f>
        <v>0</v>
      </c>
      <c r="M40" s="123">
        <f>SUMIFS(record[OK],record[製程料號],_018_450[[#This Row],[製令單號]],record[ProcessSN],M$1)</f>
        <v>202</v>
      </c>
      <c r="N40" s="117">
        <f>SUMIFS(record[NG],record[製程料號],_018_450[[#This Row],[製令單號]],record[ProcessSN],N$1)</f>
        <v>0</v>
      </c>
      <c r="O40" s="123">
        <f>_018_450[[#This Row],['#06檢驗OK]]-_018_450[[#This Row],[不良品]]-_018_450[[#This Row],[良品]]</f>
        <v>0</v>
      </c>
      <c r="P40" s="123">
        <f>SUMIFS(record[OK],record[製程料號],_018_450[[#This Row],[製令單號]],record[ProcessSN],P$1)</f>
        <v>198</v>
      </c>
      <c r="Q40" s="117">
        <f>SUMIFS(record[NG],record[製程料號],_018_450[[#This Row],[製令單號]],record[ProcessSN],Q$1)</f>
        <v>4</v>
      </c>
      <c r="R40" s="123">
        <f>_018_450[[#This Row],[良品]]-_018_450[[#This Row],[良品放行]]-_018_450[[#This Row],[不良待處理]]</f>
        <v>0</v>
      </c>
      <c r="S40" s="123">
        <f>SUMIFS(record[OK],record[製程料號],_018_450[[#This Row],[製令單號]],record[ProcessSN],S$1)</f>
        <v>198</v>
      </c>
      <c r="T40" s="117">
        <f>SUMIFS(record[NG],record[製程料號],_018_450[[#This Row],[製令單號]],record[ProcessSN],T$1)</f>
        <v>0</v>
      </c>
      <c r="U40" s="123">
        <f>_018_450[[#This Row],[良品放行]]-_018_450[[#This Row],[入庫]]</f>
        <v>0</v>
      </c>
      <c r="V40" s="123">
        <f>SUMIFS(record[OK],record[製程料號],_018_450[[#This Row],[製令單號]],record[ProcessSN],V$1)</f>
        <v>198</v>
      </c>
      <c r="W40" s="123">
        <f>_018_450[[#This Row],[入庫]]-_018_450[[#This Row],[已出貨]]</f>
        <v>0</v>
      </c>
      <c r="X40" s="137"/>
      <c r="Y40" s="123">
        <f>SUMIFS(record[OK],record[製程料號],_018_450[[#This Row],[製令單號]],record[ProcessSN],Y$1)</f>
        <v>198</v>
      </c>
      <c r="Z40" s="125">
        <f>_018_450[[#This Row],[不良待處理]]+_018_450[[#This Row],[不良品]]+_018_450[[#This Row],['#06
QC NG]]+_018_450[[#This Row],['#08委外NG]]</f>
        <v>7</v>
      </c>
      <c r="AA40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0.96585365853658534</v>
      </c>
    </row>
    <row r="41" spans="1:27" ht="30.75" x14ac:dyDescent="0.25">
      <c r="A41" s="120">
        <v>46114</v>
      </c>
      <c r="B41" s="121" t="s">
        <v>1721</v>
      </c>
      <c r="C41" s="122" t="s">
        <v>495</v>
      </c>
      <c r="D41" s="118">
        <v>487</v>
      </c>
      <c r="E41" s="123">
        <f>_018_450[[#This Row],[入料數]]-_018_450[[#This Row],['#08已委外數量]]</f>
        <v>0</v>
      </c>
      <c r="F41" s="123">
        <f>SUMIFS(record[OK],record[製程料號],_018_450[[#This Row],[製令單號]],record[ProcessSN],F$1)</f>
        <v>487</v>
      </c>
      <c r="G41" s="118" t="str">
        <f>IF(_018_450[[#This Row],['#08已委外數量]]&gt;0,VLOOKUP(G$1,record[[ProcessSN]:[廠商]],12,FALSE),"尚未委外")</f>
        <v>泉盛</v>
      </c>
      <c r="H41" s="123">
        <f>_018_450[[#This Row],['#08已委外數量]]-_018_450[[#This Row],['#08回
良品]]-_018_450[[#This Row],['#08委外NG]]</f>
        <v>0</v>
      </c>
      <c r="I41" s="123">
        <f>SUMIFS(record[OK],record[製程料號],_018_450[[#This Row],[製令單號]],record[ProcessSN],I$1)</f>
        <v>487</v>
      </c>
      <c r="J41" s="117">
        <f>SUMIFS(record[NG],record[製程料號],_018_450[[#This Row],[製令單號]],record[ProcessSN],J$1)</f>
        <v>0</v>
      </c>
      <c r="K41" s="124">
        <f>IFERROR(_018_450[[#This Row],['#08委外NG]]/_018_450[[#This Row],['#08已委外數量]],"")</f>
        <v>0</v>
      </c>
      <c r="L41" s="123">
        <f>_018_450[[#This Row],['#08回
良品]]-_018_450[[#This Row],['#06檢驗OK]]-_018_450[[#This Row],['#06
QC NG]]</f>
        <v>0</v>
      </c>
      <c r="M41" s="123">
        <f>SUMIFS(record[OK],record[製程料號],_018_450[[#This Row],[製令單號]],record[ProcessSN],M$1)</f>
        <v>487</v>
      </c>
      <c r="N41" s="117">
        <f>SUMIFS(record[NG],record[製程料號],_018_450[[#This Row],[製令單號]],record[ProcessSN],N$1)</f>
        <v>0</v>
      </c>
      <c r="O41" s="123">
        <f>_018_450[[#This Row],['#06檢驗OK]]-_018_450[[#This Row],[不良品]]-_018_450[[#This Row],[良品]]</f>
        <v>0</v>
      </c>
      <c r="P41" s="123">
        <f>SUMIFS(record[OK],record[製程料號],_018_450[[#This Row],[製令單號]],record[ProcessSN],P$1)</f>
        <v>482</v>
      </c>
      <c r="Q41" s="117">
        <f>SUMIFS(record[NG],record[製程料號],_018_450[[#This Row],[製令單號]],record[ProcessSN],Q$1)</f>
        <v>5</v>
      </c>
      <c r="R41" s="123">
        <f>_018_450[[#This Row],[良品]]-_018_450[[#This Row],[良品放行]]-_018_450[[#This Row],[不良待處理]]</f>
        <v>0</v>
      </c>
      <c r="S41" s="123">
        <f>SUMIFS(record[OK],record[製程料號],_018_450[[#This Row],[製令單號]],record[ProcessSN],S$1)</f>
        <v>482</v>
      </c>
      <c r="T41" s="117">
        <f>SUMIFS(record[NG],record[製程料號],_018_450[[#This Row],[製令單號]],record[ProcessSN],T$1)</f>
        <v>0</v>
      </c>
      <c r="U41" s="123">
        <f>_018_450[[#This Row],[良品放行]]-_018_450[[#This Row],[入庫]]</f>
        <v>0</v>
      </c>
      <c r="V41" s="123">
        <f>SUMIFS(record[OK],record[製程料號],_018_450[[#This Row],[製令單號]],record[ProcessSN],V$1)</f>
        <v>482</v>
      </c>
      <c r="W41" s="123">
        <f>_018_450[[#This Row],[入庫]]-_018_450[[#This Row],[已出貨]]</f>
        <v>0</v>
      </c>
      <c r="X41" s="137"/>
      <c r="Y41" s="123">
        <f>SUMIFS(record[OK],record[製程料號],_018_450[[#This Row],[製令單號]],record[ProcessSN],Y$1)</f>
        <v>482</v>
      </c>
      <c r="Z41" s="125">
        <f>_018_450[[#This Row],[不良待處理]]+_018_450[[#This Row],[不良品]]+_018_450[[#This Row],['#06
QC NG]]+_018_450[[#This Row],['#08委外NG]]</f>
        <v>5</v>
      </c>
      <c r="AA41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0.98973305954825463</v>
      </c>
    </row>
    <row r="42" spans="1:27" ht="30.75" x14ac:dyDescent="0.25">
      <c r="A42" s="120">
        <v>46119</v>
      </c>
      <c r="B42" s="121" t="s">
        <v>1737</v>
      </c>
      <c r="C42" s="122" t="s">
        <v>495</v>
      </c>
      <c r="D42" s="118">
        <v>1325</v>
      </c>
      <c r="E42" s="123">
        <f>_018_450[[#This Row],[入料數]]-_018_450[[#This Row],['#08已委外數量]]</f>
        <v>0</v>
      </c>
      <c r="F42" s="123">
        <f>SUMIFS(record[OK],record[製程料號],_018_450[[#This Row],[製令單號]],record[ProcessSN],F$1)</f>
        <v>1325</v>
      </c>
      <c r="G42" s="118" t="str">
        <f>IF(_018_450[[#This Row],['#08已委外數量]]&gt;0,VLOOKUP(G$1,record[[ProcessSN]:[廠商]],12,FALSE),"尚未委外")</f>
        <v>泉盛</v>
      </c>
      <c r="H42" s="123">
        <f>_018_450[[#This Row],['#08已委外數量]]-_018_450[[#This Row],['#08回
良品]]-_018_450[[#This Row],['#08委外NG]]</f>
        <v>0</v>
      </c>
      <c r="I42" s="123">
        <f>SUMIFS(record[OK],record[製程料號],_018_450[[#This Row],[製令單號]],record[ProcessSN],I$1)</f>
        <v>1270</v>
      </c>
      <c r="J42" s="117">
        <f>SUMIFS(record[NG],record[製程料號],_018_450[[#This Row],[製令單號]],record[ProcessSN],J$1)</f>
        <v>55</v>
      </c>
      <c r="K42" s="124">
        <f>IFERROR(_018_450[[#This Row],['#08委外NG]]/_018_450[[#This Row],['#08已委外數量]],"")</f>
        <v>4.1509433962264149E-2</v>
      </c>
      <c r="L42" s="123">
        <f>_018_450[[#This Row],['#08回
良品]]-_018_450[[#This Row],['#06檢驗OK]]-_018_450[[#This Row],['#06
QC NG]]</f>
        <v>0</v>
      </c>
      <c r="M42" s="123">
        <f>SUMIFS(record[OK],record[製程料號],_018_450[[#This Row],[製令單號]],record[ProcessSN],M$1)</f>
        <v>1270</v>
      </c>
      <c r="N42" s="117">
        <f>SUMIFS(record[NG],record[製程料號],_018_450[[#This Row],[製令單號]],record[ProcessSN],N$1)</f>
        <v>0</v>
      </c>
      <c r="O42" s="123">
        <f>_018_450[[#This Row],['#06檢驗OK]]-_018_450[[#This Row],[不良品]]-_018_450[[#This Row],[良品]]</f>
        <v>0</v>
      </c>
      <c r="P42" s="123">
        <f>SUMIFS(record[OK],record[製程料號],_018_450[[#This Row],[製令單號]],record[ProcessSN],P$1)</f>
        <v>1262</v>
      </c>
      <c r="Q42" s="117">
        <f>SUMIFS(record[NG],record[製程料號],_018_450[[#This Row],[製令單號]],record[ProcessSN],Q$1)</f>
        <v>8</v>
      </c>
      <c r="R42" s="123">
        <f>_018_450[[#This Row],[良品]]-_018_450[[#This Row],[良品放行]]-_018_450[[#This Row],[不良待處理]]</f>
        <v>0</v>
      </c>
      <c r="S42" s="123">
        <f>SUMIFS(record[OK],record[製程料號],_018_450[[#This Row],[製令單號]],record[ProcessSN],S$1)</f>
        <v>1262</v>
      </c>
      <c r="T42" s="117">
        <f>SUMIFS(record[NG],record[製程料號],_018_450[[#This Row],[製令單號]],record[ProcessSN],T$1)</f>
        <v>0</v>
      </c>
      <c r="U42" s="123">
        <f>_018_450[[#This Row],[良品放行]]-_018_450[[#This Row],[入庫]]</f>
        <v>0</v>
      </c>
      <c r="V42" s="123">
        <f>SUMIFS(record[OK],record[製程料號],_018_450[[#This Row],[製令單號]],record[ProcessSN],V$1)</f>
        <v>1262</v>
      </c>
      <c r="W42" s="123">
        <f>_018_450[[#This Row],[入庫]]-_018_450[[#This Row],[已出貨]]</f>
        <v>0</v>
      </c>
      <c r="X42" s="137"/>
      <c r="Y42" s="123">
        <f>SUMIFS(record[OK],record[製程料號],_018_450[[#This Row],[製令單號]],record[ProcessSN],Y$1)</f>
        <v>1262</v>
      </c>
      <c r="Z42" s="125">
        <f>_018_450[[#This Row],[不良待處理]]+_018_450[[#This Row],[不良品]]+_018_450[[#This Row],['#06
QC NG]]+_018_450[[#This Row],['#08委外NG]]</f>
        <v>63</v>
      </c>
      <c r="AA42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0.95245283018867921</v>
      </c>
    </row>
    <row r="43" spans="1:27" ht="30.75" x14ac:dyDescent="0.25">
      <c r="A43" s="120">
        <v>46119</v>
      </c>
      <c r="B43" s="121" t="s">
        <v>1761</v>
      </c>
      <c r="C43" s="122" t="s">
        <v>495</v>
      </c>
      <c r="D43" s="118">
        <v>122</v>
      </c>
      <c r="E43" s="123">
        <f>_018_450[[#This Row],[入料數]]-_018_450[[#This Row],['#08已委外數量]]</f>
        <v>0</v>
      </c>
      <c r="F43" s="123">
        <f>SUMIFS(record[OK],record[製程料號],_018_450[[#This Row],[製令單號]],record[ProcessSN],F$1)</f>
        <v>122</v>
      </c>
      <c r="G43" s="118" t="str">
        <f>IF(_018_450[[#This Row],['#08已委外數量]]&gt;0,VLOOKUP(G$1,record[[ProcessSN]:[廠商]],12,FALSE),"尚未委外")</f>
        <v>泉盛</v>
      </c>
      <c r="H43" s="123">
        <f>_018_450[[#This Row],['#08已委外數量]]-_018_450[[#This Row],['#08回
良品]]-_018_450[[#This Row],['#08委外NG]]</f>
        <v>0</v>
      </c>
      <c r="I43" s="123">
        <f>SUMIFS(record[OK],record[製程料號],_018_450[[#This Row],[製令單號]],record[ProcessSN],I$1)</f>
        <v>122</v>
      </c>
      <c r="J43" s="117">
        <f>SUMIFS(record[NG],record[製程料號],_018_450[[#This Row],[製令單號]],record[ProcessSN],J$1)</f>
        <v>0</v>
      </c>
      <c r="K43" s="124">
        <f>IFERROR(_018_450[[#This Row],['#08委外NG]]/_018_450[[#This Row],['#08已委外數量]],"")</f>
        <v>0</v>
      </c>
      <c r="L43" s="123">
        <f>_018_450[[#This Row],['#08回
良品]]-_018_450[[#This Row],['#06檢驗OK]]-_018_450[[#This Row],['#06
QC NG]]</f>
        <v>0</v>
      </c>
      <c r="M43" s="123">
        <f>SUMIFS(record[OK],record[製程料號],_018_450[[#This Row],[製令單號]],record[ProcessSN],M$1)</f>
        <v>122</v>
      </c>
      <c r="N43" s="117">
        <f>SUMIFS(record[NG],record[製程料號],_018_450[[#This Row],[製令單號]],record[ProcessSN],N$1)</f>
        <v>0</v>
      </c>
      <c r="O43" s="123">
        <f>_018_450[[#This Row],['#06檢驗OK]]-_018_450[[#This Row],[不良品]]-_018_450[[#This Row],[良品]]</f>
        <v>0</v>
      </c>
      <c r="P43" s="123">
        <f>SUMIFS(record[OK],record[製程料號],_018_450[[#This Row],[製令單號]],record[ProcessSN],P$1)</f>
        <v>71</v>
      </c>
      <c r="Q43" s="117">
        <f>SUMIFS(record[NG],record[製程料號],_018_450[[#This Row],[製令單號]],record[ProcessSN],Q$1)</f>
        <v>51</v>
      </c>
      <c r="R43" s="123">
        <f>_018_450[[#This Row],[良品]]-_018_450[[#This Row],[良品放行]]-_018_450[[#This Row],[不良待處理]]</f>
        <v>0</v>
      </c>
      <c r="S43" s="123">
        <f>SUMIFS(record[OK],record[製程料號],_018_450[[#This Row],[製令單號]],record[ProcessSN],S$1)</f>
        <v>71</v>
      </c>
      <c r="T43" s="117">
        <f>SUMIFS(record[NG],record[製程料號],_018_450[[#This Row],[製令單號]],record[ProcessSN],T$1)</f>
        <v>0</v>
      </c>
      <c r="U43" s="123">
        <f>_018_450[[#This Row],[良品放行]]-_018_450[[#This Row],[入庫]]</f>
        <v>0</v>
      </c>
      <c r="V43" s="123">
        <f>SUMIFS(record[OK],record[製程料號],_018_450[[#This Row],[製令單號]],record[ProcessSN],V$1)</f>
        <v>71</v>
      </c>
      <c r="W43" s="123">
        <f>_018_450[[#This Row],[入庫]]-_018_450[[#This Row],[已出貨]]</f>
        <v>0</v>
      </c>
      <c r="X43" s="137"/>
      <c r="Y43" s="123">
        <f>SUMIFS(record[OK],record[製程料號],_018_450[[#This Row],[製令單號]],record[ProcessSN],Y$1)</f>
        <v>71</v>
      </c>
      <c r="Z43" s="125">
        <f>_018_450[[#This Row],[不良待處理]]+_018_450[[#This Row],[不良品]]+_018_450[[#This Row],['#06
QC NG]]+_018_450[[#This Row],['#08委外NG]]</f>
        <v>51</v>
      </c>
      <c r="AA43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0.58196721311475408</v>
      </c>
    </row>
    <row r="44" spans="1:27" ht="30.75" x14ac:dyDescent="0.25">
      <c r="A44" s="120">
        <v>46120</v>
      </c>
      <c r="B44" s="121" t="s">
        <v>1774</v>
      </c>
      <c r="C44" s="122" t="s">
        <v>495</v>
      </c>
      <c r="D44" s="118">
        <v>614</v>
      </c>
      <c r="E44" s="123">
        <f>_018_450[[#This Row],[入料數]]-_018_450[[#This Row],['#08已委外數量]]</f>
        <v>0</v>
      </c>
      <c r="F44" s="123">
        <f>SUMIFS(record[OK],record[製程料號],_018_450[[#This Row],[製令單號]],record[ProcessSN],F$1)</f>
        <v>614</v>
      </c>
      <c r="G44" s="118" t="str">
        <f>IF(_018_450[[#This Row],['#08已委外數量]]&gt;0,VLOOKUP(G$1,record[[ProcessSN]:[廠商]],12,FALSE),"尚未委外")</f>
        <v>泉盛</v>
      </c>
      <c r="H44" s="123">
        <f>_018_450[[#This Row],['#08已委外數量]]-_018_450[[#This Row],['#08回
良品]]-_018_450[[#This Row],['#08委外NG]]</f>
        <v>0</v>
      </c>
      <c r="I44" s="123">
        <f>SUMIFS(record[OK],record[製程料號],_018_450[[#This Row],[製令單號]],record[ProcessSN],I$1)</f>
        <v>606</v>
      </c>
      <c r="J44" s="117">
        <f>SUMIFS(record[NG],record[製程料號],_018_450[[#This Row],[製令單號]],record[ProcessSN],J$1)</f>
        <v>8</v>
      </c>
      <c r="K44" s="124">
        <f>IFERROR(_018_450[[#This Row],['#08委外NG]]/_018_450[[#This Row],['#08已委外數量]],"")</f>
        <v>1.3029315960912053E-2</v>
      </c>
      <c r="L44" s="123">
        <f>_018_450[[#This Row],['#08回
良品]]-_018_450[[#This Row],['#06檢驗OK]]-_018_450[[#This Row],['#06
QC NG]]</f>
        <v>0</v>
      </c>
      <c r="M44" s="123">
        <f>SUMIFS(record[OK],record[製程料號],_018_450[[#This Row],[製令單號]],record[ProcessSN],M$1)</f>
        <v>606</v>
      </c>
      <c r="N44" s="117">
        <f>SUMIFS(record[NG],record[製程料號],_018_450[[#This Row],[製令單號]],record[ProcessSN],N$1)</f>
        <v>0</v>
      </c>
      <c r="O44" s="123">
        <f>_018_450[[#This Row],['#06檢驗OK]]-_018_450[[#This Row],[不良品]]-_018_450[[#This Row],[良品]]</f>
        <v>0</v>
      </c>
      <c r="P44" s="123">
        <f>SUMIFS(record[OK],record[製程料號],_018_450[[#This Row],[製令單號]],record[ProcessSN],P$1)</f>
        <v>579</v>
      </c>
      <c r="Q44" s="117">
        <f>SUMIFS(record[NG],record[製程料號],_018_450[[#This Row],[製令單號]],record[ProcessSN],Q$1)</f>
        <v>27</v>
      </c>
      <c r="R44" s="123">
        <f>_018_450[[#This Row],[良品]]-_018_450[[#This Row],[良品放行]]-_018_450[[#This Row],[不良待處理]]</f>
        <v>0</v>
      </c>
      <c r="S44" s="123">
        <f>SUMIFS(record[OK],record[製程料號],_018_450[[#This Row],[製令單號]],record[ProcessSN],S$1)</f>
        <v>579</v>
      </c>
      <c r="T44" s="117">
        <f>SUMIFS(record[NG],record[製程料號],_018_450[[#This Row],[製令單號]],record[ProcessSN],T$1)</f>
        <v>0</v>
      </c>
      <c r="U44" s="123">
        <f>_018_450[[#This Row],[良品放行]]-_018_450[[#This Row],[入庫]]</f>
        <v>0</v>
      </c>
      <c r="V44" s="123">
        <f>SUMIFS(record[OK],record[製程料號],_018_450[[#This Row],[製令單號]],record[ProcessSN],V$1)</f>
        <v>579</v>
      </c>
      <c r="W44" s="123">
        <f>_018_450[[#This Row],[入庫]]-_018_450[[#This Row],[已出貨]]</f>
        <v>0</v>
      </c>
      <c r="X44" s="137"/>
      <c r="Y44" s="123">
        <f>SUMIFS(record[OK],record[製程料號],_018_450[[#This Row],[製令單號]],record[ProcessSN],Y$1)</f>
        <v>579</v>
      </c>
      <c r="Z44" s="125">
        <f>_018_450[[#This Row],[不良待處理]]+_018_450[[#This Row],[不良品]]+_018_450[[#This Row],['#06
QC NG]]+_018_450[[#This Row],['#08委外NG]]</f>
        <v>35</v>
      </c>
      <c r="AA44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0.94299674267100975</v>
      </c>
    </row>
    <row r="45" spans="1:27" ht="30.75" x14ac:dyDescent="0.25">
      <c r="A45" s="120">
        <v>46132</v>
      </c>
      <c r="B45" s="121" t="s">
        <v>1840</v>
      </c>
      <c r="C45" s="122" t="s">
        <v>495</v>
      </c>
      <c r="D45" s="118">
        <v>267</v>
      </c>
      <c r="E45" s="123">
        <f>_018_450[[#This Row],[入料數]]-_018_450[[#This Row],['#08已委外數量]]</f>
        <v>0</v>
      </c>
      <c r="F45" s="123">
        <f>SUMIFS(record[OK],record[製程料號],_018_450[[#This Row],[製令單號]],record[ProcessSN],F$1)</f>
        <v>267</v>
      </c>
      <c r="G45" s="118" t="str">
        <f>IF(_018_450[[#This Row],['#08已委外數量]]&gt;0,VLOOKUP(G$1,record[[ProcessSN]:[廠商]],12,FALSE),"尚未委外")</f>
        <v>泉盛</v>
      </c>
      <c r="H45" s="123">
        <f>_018_450[[#This Row],['#08已委外數量]]-_018_450[[#This Row],['#08回
良品]]-_018_450[[#This Row],['#08委外NG]]</f>
        <v>0</v>
      </c>
      <c r="I45" s="123">
        <f>SUMIFS(record[OK],record[製程料號],_018_450[[#This Row],[製令單號]],record[ProcessSN],I$1)</f>
        <v>267</v>
      </c>
      <c r="J45" s="117">
        <f>SUMIFS(record[NG],record[製程料號],_018_450[[#This Row],[製令單號]],record[ProcessSN],J$1)</f>
        <v>0</v>
      </c>
      <c r="K45" s="124">
        <f>IFERROR(_018_450[[#This Row],['#08委外NG]]/_018_450[[#This Row],['#08已委外數量]],"")</f>
        <v>0</v>
      </c>
      <c r="L45" s="123">
        <f>_018_450[[#This Row],['#08回
良品]]-_018_450[[#This Row],['#06檢驗OK]]-_018_450[[#This Row],['#06
QC NG]]</f>
        <v>0</v>
      </c>
      <c r="M45" s="123">
        <f>SUMIFS(record[OK],record[製程料號],_018_450[[#This Row],[製令單號]],record[ProcessSN],M$1)</f>
        <v>267</v>
      </c>
      <c r="N45" s="117">
        <f>SUMIFS(record[NG],record[製程料號],_018_450[[#This Row],[製令單號]],record[ProcessSN],N$1)</f>
        <v>0</v>
      </c>
      <c r="O45" s="123">
        <f>_018_450[[#This Row],['#06檢驗OK]]-_018_450[[#This Row],[不良品]]-_018_450[[#This Row],[良品]]</f>
        <v>0</v>
      </c>
      <c r="P45" s="123">
        <f>SUMIFS(record[OK],record[製程料號],_018_450[[#This Row],[製令單號]],record[ProcessSN],P$1)</f>
        <v>242</v>
      </c>
      <c r="Q45" s="117">
        <f>SUMIFS(record[NG],record[製程料號],_018_450[[#This Row],[製令單號]],record[ProcessSN],Q$1)</f>
        <v>25</v>
      </c>
      <c r="R45" s="123">
        <f>_018_450[[#This Row],[良品]]-_018_450[[#This Row],[良品放行]]-_018_450[[#This Row],[不良待處理]]</f>
        <v>0</v>
      </c>
      <c r="S45" s="123">
        <f>SUMIFS(record[OK],record[製程料號],_018_450[[#This Row],[製令單號]],record[ProcessSN],S$1)</f>
        <v>242</v>
      </c>
      <c r="T45" s="117">
        <f>SUMIFS(record[NG],record[製程料號],_018_450[[#This Row],[製令單號]],record[ProcessSN],T$1)</f>
        <v>0</v>
      </c>
      <c r="U45" s="123">
        <f>_018_450[[#This Row],[良品放行]]-_018_450[[#This Row],[入庫]]</f>
        <v>0</v>
      </c>
      <c r="V45" s="123">
        <f>SUMIFS(record[OK],record[製程料號],_018_450[[#This Row],[製令單號]],record[ProcessSN],V$1)</f>
        <v>242</v>
      </c>
      <c r="W45" s="123">
        <f>_018_450[[#This Row],[入庫]]-_018_450[[#This Row],[已出貨]]</f>
        <v>214</v>
      </c>
      <c r="X45" s="137"/>
      <c r="Y45" s="123">
        <f>SUMIFS(record[OK],record[製程料號],_018_450[[#This Row],[製令單號]],record[ProcessSN],Y$1)</f>
        <v>28</v>
      </c>
      <c r="Z45" s="125">
        <f>_018_450[[#This Row],[不良待處理]]+_018_450[[#This Row],[不良品]]+_018_450[[#This Row],['#06
QC NG]]+_018_450[[#This Row],['#08委外NG]]</f>
        <v>25</v>
      </c>
      <c r="AA45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0.90636704119850187</v>
      </c>
    </row>
    <row r="46" spans="1:27" ht="30.75" x14ac:dyDescent="0.25">
      <c r="A46" s="120">
        <v>46135</v>
      </c>
      <c r="B46" s="121" t="s">
        <v>1888</v>
      </c>
      <c r="C46" s="122" t="s">
        <v>495</v>
      </c>
      <c r="D46" s="118">
        <v>85</v>
      </c>
      <c r="E46" s="123">
        <f>_018_450[[#This Row],[入料數]]-_018_450[[#This Row],['#08已委外數量]]</f>
        <v>0</v>
      </c>
      <c r="F46" s="123">
        <f>SUMIFS(record[OK],record[製程料號],_018_450[[#This Row],[製令單號]],record[ProcessSN],F$1)</f>
        <v>85</v>
      </c>
      <c r="G46" s="118" t="str">
        <f>IF(_018_450[[#This Row],['#08已委外數量]]&gt;0,VLOOKUP(G$1,record[[ProcessSN]:[廠商]],12,FALSE),"尚未委外")</f>
        <v>泉盛</v>
      </c>
      <c r="H46" s="123">
        <f>_018_450[[#This Row],['#08已委外數量]]-_018_450[[#This Row],['#08回
良品]]-_018_450[[#This Row],['#08委外NG]]</f>
        <v>0</v>
      </c>
      <c r="I46" s="123">
        <f>SUMIFS(record[OK],record[製程料號],_018_450[[#This Row],[製令單號]],record[ProcessSN],I$1)</f>
        <v>83</v>
      </c>
      <c r="J46" s="117">
        <f>SUMIFS(record[NG],record[製程料號],_018_450[[#This Row],[製令單號]],record[ProcessSN],J$1)</f>
        <v>2</v>
      </c>
      <c r="K46" s="124">
        <f>IFERROR(_018_450[[#This Row],['#08委外NG]]/_018_450[[#This Row],['#08已委外數量]],"")</f>
        <v>2.3529411764705882E-2</v>
      </c>
      <c r="L46" s="123">
        <f>_018_450[[#This Row],['#08回
良品]]-_018_450[[#This Row],['#06檢驗OK]]-_018_450[[#This Row],['#06
QC NG]]</f>
        <v>0</v>
      </c>
      <c r="M46" s="123">
        <f>SUMIFS(record[OK],record[製程料號],_018_450[[#This Row],[製令單號]],record[ProcessSN],M$1)</f>
        <v>83</v>
      </c>
      <c r="N46" s="117">
        <f>SUMIFS(record[NG],record[製程料號],_018_450[[#This Row],[製令單號]],record[ProcessSN],N$1)</f>
        <v>0</v>
      </c>
      <c r="O46" s="123">
        <f>_018_450[[#This Row],['#06檢驗OK]]-_018_450[[#This Row],[不良品]]-_018_450[[#This Row],[良品]]</f>
        <v>0</v>
      </c>
      <c r="P46" s="123">
        <f>SUMIFS(record[OK],record[製程料號],_018_450[[#This Row],[製令單號]],record[ProcessSN],P$1)</f>
        <v>83</v>
      </c>
      <c r="Q46" s="117">
        <f>SUMIFS(record[NG],record[製程料號],_018_450[[#This Row],[製令單號]],record[ProcessSN],Q$1)</f>
        <v>0</v>
      </c>
      <c r="R46" s="123">
        <f>_018_450[[#This Row],[良品]]-_018_450[[#This Row],[良品放行]]-_018_450[[#This Row],[不良待處理]]</f>
        <v>0</v>
      </c>
      <c r="S46" s="123">
        <f>SUMIFS(record[OK],record[製程料號],_018_450[[#This Row],[製令單號]],record[ProcessSN],S$1)</f>
        <v>83</v>
      </c>
      <c r="T46" s="117">
        <f>SUMIFS(record[NG],record[製程料號],_018_450[[#This Row],[製令單號]],record[ProcessSN],T$1)</f>
        <v>0</v>
      </c>
      <c r="U46" s="123">
        <f>_018_450[[#This Row],[良品放行]]-_018_450[[#This Row],[入庫]]</f>
        <v>0</v>
      </c>
      <c r="V46" s="123">
        <f>SUMIFS(record[OK],record[製程料號],_018_450[[#This Row],[製令單號]],record[ProcessSN],V$1)</f>
        <v>83</v>
      </c>
      <c r="W46" s="123">
        <f>_018_450[[#This Row],[入庫]]-_018_450[[#This Row],[已出貨]]</f>
        <v>83</v>
      </c>
      <c r="X46" s="137"/>
      <c r="Y46" s="123">
        <f>SUMIFS(record[OK],record[製程料號],_018_450[[#This Row],[製令單號]],record[ProcessSN],Y$1)</f>
        <v>0</v>
      </c>
      <c r="Z46" s="125">
        <f>_018_450[[#This Row],[不良待處理]]+_018_450[[#This Row],[不良品]]+_018_450[[#This Row],['#06
QC NG]]+_018_450[[#This Row],['#08委外NG]]</f>
        <v>2</v>
      </c>
      <c r="AA46" s="124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>0.97647058823529409</v>
      </c>
    </row>
    <row r="47" spans="1:27" ht="30.75" x14ac:dyDescent="0.25">
      <c r="A47" s="141">
        <v>46148</v>
      </c>
      <c r="B47" s="143" t="s">
        <v>1976</v>
      </c>
      <c r="C47" s="129" t="s">
        <v>495</v>
      </c>
      <c r="D47" s="145">
        <v>78</v>
      </c>
      <c r="E47" s="147">
        <f>_018_450[[#This Row],[入料數]]-_018_450[[#This Row],['#08已委外數量]]</f>
        <v>0</v>
      </c>
      <c r="F47" s="147">
        <f>SUMIFS(record[OK],record[製程料號],_018_450[[#This Row],[製令單號]],record[ProcessSN],F$1)</f>
        <v>78</v>
      </c>
      <c r="G47" s="145" t="str">
        <f>IF(_018_450[[#This Row],['#08已委外數量]]&gt;0,VLOOKUP(G$1,record[[ProcessSN]:[廠商]],12,FALSE),"尚未委外")</f>
        <v>泉盛</v>
      </c>
      <c r="H47" s="147">
        <f>_018_450[[#This Row],['#08已委外數量]]-_018_450[[#This Row],['#08回
良品]]-_018_450[[#This Row],['#08委外NG]]</f>
        <v>0</v>
      </c>
      <c r="I47" s="147">
        <f>SUMIFS(record[OK],record[製程料號],_018_450[[#This Row],[製令單號]],record[ProcessSN],I$1)</f>
        <v>77</v>
      </c>
      <c r="J47" s="149">
        <f>SUMIFS(record[NG],record[製程料號],_018_450[[#This Row],[製令單號]],record[ProcessSN],J$1)</f>
        <v>1</v>
      </c>
      <c r="K47" s="151">
        <f>IFERROR(_018_450[[#This Row],['#08委外NG]]/_018_450[[#This Row],['#08已委外數量]],"")</f>
        <v>1.282051282051282E-2</v>
      </c>
      <c r="L47" s="147">
        <f>_018_450[[#This Row],['#08回
良品]]-_018_450[[#This Row],['#06檢驗OK]]-_018_450[[#This Row],['#06
QC NG]]</f>
        <v>0</v>
      </c>
      <c r="M47" s="147">
        <f>SUMIFS(record[OK],record[製程料號],_018_450[[#This Row],[製令單號]],record[ProcessSN],M$1)</f>
        <v>77</v>
      </c>
      <c r="N47" s="149">
        <f>SUMIFS(record[NG],record[製程料號],_018_450[[#This Row],[製令單號]],record[ProcessSN],N$1)</f>
        <v>0</v>
      </c>
      <c r="O47" s="147">
        <f>_018_450[[#This Row],['#06檢驗OK]]-_018_450[[#This Row],[不良品]]-_018_450[[#This Row],[良品]]</f>
        <v>0</v>
      </c>
      <c r="P47" s="147">
        <f>SUMIFS(record[OK],record[製程料號],_018_450[[#This Row],[製令單號]],record[ProcessSN],P$1)</f>
        <v>77</v>
      </c>
      <c r="Q47" s="149">
        <f>SUMIFS(record[NG],record[製程料號],_018_450[[#This Row],[製令單號]],record[ProcessSN],Q$1)</f>
        <v>0</v>
      </c>
      <c r="R47" s="147">
        <f>_018_450[[#This Row],[良品]]-_018_450[[#This Row],[良品放行]]-_018_450[[#This Row],[不良待處理]]</f>
        <v>77</v>
      </c>
      <c r="S47" s="147">
        <f>SUMIFS(record[OK],record[製程料號],_018_450[[#This Row],[製令單號]],record[ProcessSN],S$1)</f>
        <v>0</v>
      </c>
      <c r="T47" s="149">
        <f>SUMIFS(record[NG],record[製程料號],_018_450[[#This Row],[製令單號]],record[ProcessSN],T$1)</f>
        <v>0</v>
      </c>
      <c r="U47" s="147">
        <f>_018_450[[#This Row],[良品放行]]-_018_450[[#This Row],[入庫]]</f>
        <v>0</v>
      </c>
      <c r="V47" s="147">
        <f>SUMIFS(record[OK],record[製程料號],_018_450[[#This Row],[製令單號]],record[ProcessSN],V$1)</f>
        <v>0</v>
      </c>
      <c r="W47" s="147">
        <f>_018_450[[#This Row],[入庫]]-_018_450[[#This Row],[已出貨]]</f>
        <v>0</v>
      </c>
      <c r="X47" s="158"/>
      <c r="Y47" s="147">
        <f>SUMIFS(record[OK],record[製程料號],_018_450[[#This Row],[製令單號]],record[ProcessSN],Y$1)</f>
        <v>0</v>
      </c>
      <c r="Z47" s="153">
        <f>_018_450[[#This Row],[不良待處理]]+_018_450[[#This Row],[不良品]]+_018_450[[#This Row],['#06
QC NG]]+_018_450[[#This Row],['#08委外NG]]</f>
        <v>1</v>
      </c>
      <c r="AA47" s="151" t="str">
        <f>IF(_018_450[[#This Row],[已出貨]]+_018_450[[#This Row],[總不良數]]+_018_450[[#This Row],[可出貨數量]]=_018_450[[#This Row],[入料數]],(_018_450[[#This Row],[可出貨數量]]+_018_450[[#This Row],[已出貨]])/_018_450[[#This Row],[入料數]],"")</f>
        <v/>
      </c>
    </row>
  </sheetData>
  <mergeCells count="17">
    <mergeCell ref="O3:Q3"/>
    <mergeCell ref="O2:Q2"/>
    <mergeCell ref="A2:A4"/>
    <mergeCell ref="B2:B4"/>
    <mergeCell ref="D2:D3"/>
    <mergeCell ref="E3:J3"/>
    <mergeCell ref="L3:N3"/>
    <mergeCell ref="E2:J2"/>
    <mergeCell ref="L2:N2"/>
    <mergeCell ref="G4:H4"/>
    <mergeCell ref="K2:K4"/>
    <mergeCell ref="R2:T2"/>
    <mergeCell ref="U2:W3"/>
    <mergeCell ref="R3:T3"/>
    <mergeCell ref="Z2:Z3"/>
    <mergeCell ref="AA2:AA4"/>
    <mergeCell ref="Y2:Y3"/>
  </mergeCells>
  <phoneticPr fontId="3" type="noConversion"/>
  <conditionalFormatting sqref="E6:F47 H6:I47 L6:M47 O6:P47 R6:S47 U6:Y47">
    <cfRule type="cellIs" dxfId="549" priority="131" operator="lessThan">
      <formula>0</formula>
    </cfRule>
    <cfRule type="cellIs" dxfId="548" priority="132" operator="greaterThan">
      <formula>0</formula>
    </cfRule>
  </conditionalFormatting>
  <conditionalFormatting sqref="AA5:AA47">
    <cfRule type="cellIs" dxfId="547" priority="4" operator="lessThan">
      <formula>0.97</formula>
    </cfRule>
  </conditionalFormatting>
  <conditionalFormatting sqref="J6:K47 N6:N47 Q6:Q47 T6:T47">
    <cfRule type="cellIs" dxfId="546" priority="62" operator="greaterThan">
      <formula>0</formula>
    </cfRule>
  </conditionalFormatting>
  <conditionalFormatting sqref="G6:G47">
    <cfRule type="containsText" dxfId="545" priority="13" operator="containsText" text="尚未委外">
      <formula>NOT(ISERROR(SEARCH("尚未委外",G6)))</formula>
    </cfRule>
    <cfRule type="notContainsBlanks" dxfId="544" priority="14">
      <formula>LEN(TRIM(G6))&gt;0</formula>
    </cfRule>
  </conditionalFormatting>
  <conditionalFormatting sqref="K6:K47">
    <cfRule type="containsBlanks" dxfId="543" priority="5">
      <formula>LEN(TRIM(K6))=0</formula>
    </cfRule>
    <cfRule type="cellIs" dxfId="542" priority="6" operator="greaterThan">
      <formula>0.03</formula>
    </cfRule>
  </conditionalFormatting>
  <conditionalFormatting sqref="AA6:AA47">
    <cfRule type="containsBlanks" dxfId="541" priority="2">
      <formula>LEN(TRIM(AA6))=0</formula>
    </cfRule>
    <cfRule type="cellIs" dxfId="540" priority="3" operator="greaterThanOrEqual">
      <formula>0.97</formula>
    </cfRule>
    <cfRule type="notContainsBlanks" dxfId="539" priority="69">
      <formula>LEN(TRIM(AA6))&gt;0</formula>
    </cfRule>
  </conditionalFormatting>
  <pageMargins left="0.7" right="0.7" top="0.75" bottom="0.75" header="0.51180555555555496" footer="0.51180555555555496"/>
  <pageSetup paperSize="9" firstPageNumber="0"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4B5C1-26AE-4A3B-8571-A50BA57CEE89}">
  <sheetPr codeName="工作表8">
    <tabColor rgb="FFFFC000"/>
  </sheetPr>
  <dimension ref="A1:AA41"/>
  <sheetViews>
    <sheetView zoomScale="50" zoomScaleNormal="50" workbookViewId="0">
      <pane xSplit="4" ySplit="5" topLeftCell="E6" activePane="bottomRight" state="frozen"/>
      <selection sqref="A1:XFD1048576"/>
      <selection pane="topRight" sqref="A1:XFD1048576"/>
      <selection pane="bottomLeft" sqref="A1:XFD1048576"/>
      <selection pane="bottomRight" activeCell="E3" sqref="E3:J3"/>
    </sheetView>
  </sheetViews>
  <sheetFormatPr defaultColWidth="17.7109375" defaultRowHeight="42" customHeight="1" x14ac:dyDescent="0.25"/>
  <cols>
    <col min="1" max="1" width="25.85546875" style="3" bestFit="1" customWidth="1"/>
    <col min="2" max="2" width="25.85546875" style="2" bestFit="1" customWidth="1"/>
    <col min="3" max="3" width="25.5703125" style="2" hidden="1" customWidth="1"/>
    <col min="4" max="4" width="22.5703125" style="2" bestFit="1" customWidth="1"/>
    <col min="5" max="5" width="25.85546875" style="2" bestFit="1" customWidth="1"/>
    <col min="6" max="6" width="26.85546875" style="2" hidden="1" customWidth="1"/>
    <col min="7" max="8" width="25.85546875" style="2" bestFit="1" customWidth="1"/>
    <col min="9" max="9" width="19.42578125" style="2" hidden="1" customWidth="1"/>
    <col min="10" max="11" width="25.85546875" style="2" bestFit="1" customWidth="1"/>
    <col min="12" max="12" width="25.85546875" style="3" bestFit="1" customWidth="1"/>
    <col min="13" max="13" width="25.140625" style="2" hidden="1" customWidth="1"/>
    <col min="14" max="14" width="23.7109375" style="2" bestFit="1" customWidth="1"/>
    <col min="15" max="15" width="25.85546875" style="3" bestFit="1" customWidth="1"/>
    <col min="16" max="16" width="16.5703125" style="2" hidden="1" customWidth="1"/>
    <col min="17" max="17" width="22.5703125" style="2" bestFit="1" customWidth="1"/>
    <col min="18" max="18" width="25.85546875" style="3" bestFit="1" customWidth="1"/>
    <col min="19" max="19" width="23.7109375" style="2" hidden="1" customWidth="1"/>
    <col min="20" max="20" width="25.85546875" style="2" bestFit="1" customWidth="1"/>
    <col min="21" max="21" width="22.5703125" style="2" bestFit="1" customWidth="1"/>
    <col min="22" max="22" width="16.5703125" style="2" hidden="1" customWidth="1"/>
    <col min="23" max="23" width="25.85546875" style="2" bestFit="1" customWidth="1"/>
    <col min="24" max="24" width="17.7109375" style="2" bestFit="1" customWidth="1"/>
    <col min="25" max="25" width="19.85546875" style="2" hidden="1" customWidth="1"/>
    <col min="26" max="26" width="25.85546875" style="2" bestFit="1" customWidth="1"/>
    <col min="27" max="27" width="22.5703125" style="2" bestFit="1" customWidth="1"/>
    <col min="28" max="16384" width="17.7109375" style="2"/>
  </cols>
  <sheetData>
    <row r="1" spans="1:27" ht="101.25" hidden="1" customHeight="1" thickBot="1" x14ac:dyDescent="0.3">
      <c r="F1" s="2" t="s">
        <v>364</v>
      </c>
      <c r="G1" s="2" t="s">
        <v>364</v>
      </c>
      <c r="I1" s="2" t="s">
        <v>365</v>
      </c>
      <c r="J1" s="2" t="s">
        <v>365</v>
      </c>
      <c r="M1" s="2" t="s">
        <v>366</v>
      </c>
      <c r="N1" s="2" t="s">
        <v>366</v>
      </c>
      <c r="P1" s="2" t="s">
        <v>367</v>
      </c>
      <c r="Q1" s="2" t="s">
        <v>367</v>
      </c>
      <c r="S1" s="2" t="s">
        <v>368</v>
      </c>
      <c r="T1" s="2" t="s">
        <v>368</v>
      </c>
      <c r="V1" s="2" t="s">
        <v>369</v>
      </c>
      <c r="Y1" s="2" t="s">
        <v>370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1734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34" t="s">
        <v>67</v>
      </c>
      <c r="AA2" s="336" t="s">
        <v>69</v>
      </c>
    </row>
    <row r="3" spans="1:27" ht="42" customHeight="1" thickBot="1" x14ac:dyDescent="0.3">
      <c r="A3" s="281"/>
      <c r="B3" s="325"/>
      <c r="C3" s="14"/>
      <c r="D3" s="328"/>
      <c r="E3" s="313" t="s">
        <v>1735</v>
      </c>
      <c r="F3" s="314"/>
      <c r="G3" s="314"/>
      <c r="H3" s="314"/>
      <c r="I3" s="314"/>
      <c r="J3" s="315"/>
      <c r="K3" s="330"/>
      <c r="L3" s="316" t="s">
        <v>496</v>
      </c>
      <c r="M3" s="317"/>
      <c r="N3" s="318"/>
      <c r="O3" s="339" t="s">
        <v>1736</v>
      </c>
      <c r="P3" s="340"/>
      <c r="Q3" s="341"/>
      <c r="R3" s="342" t="s">
        <v>496</v>
      </c>
      <c r="S3" s="343"/>
      <c r="T3" s="344"/>
      <c r="U3" s="351"/>
      <c r="V3" s="352"/>
      <c r="W3" s="353"/>
      <c r="X3" s="134"/>
      <c r="Y3" s="333"/>
      <c r="Z3" s="335"/>
      <c r="AA3" s="337"/>
    </row>
    <row r="4" spans="1:27" ht="42" customHeight="1" thickBot="1" x14ac:dyDescent="0.3">
      <c r="A4" s="282"/>
      <c r="B4" s="326"/>
      <c r="C4" s="10"/>
      <c r="D4" s="27">
        <f>SUM(_018_470[入料數])</f>
        <v>339</v>
      </c>
      <c r="E4" s="25">
        <f>SUM(_018_470['#08待委外數量])</f>
        <v>0</v>
      </c>
      <c r="F4" s="25">
        <f>SUM(_018_470['#08已委外數量])</f>
        <v>339</v>
      </c>
      <c r="G4" s="319">
        <f>SUM(_018_470['#08待回數量])</f>
        <v>0</v>
      </c>
      <c r="H4" s="320"/>
      <c r="I4" s="25">
        <f>SUM(_018_470['#08已委外數量])</f>
        <v>339</v>
      </c>
      <c r="J4" s="25">
        <f>SUM(_018_470['#08委外NG])</f>
        <v>3</v>
      </c>
      <c r="K4" s="331"/>
      <c r="L4" s="26">
        <f>SUM(_018_470['#06待檢驗
數量])</f>
        <v>0</v>
      </c>
      <c r="M4" s="26">
        <f>SUM(_018_470['#06檢驗OK])</f>
        <v>336</v>
      </c>
      <c r="N4" s="26">
        <f>SUM(_018_470['#06
QC NG])</f>
        <v>0</v>
      </c>
      <c r="O4" s="26">
        <f>SUM(_018_470[成品待檢驗])</f>
        <v>0</v>
      </c>
      <c r="P4" s="26">
        <f>SUM(_018_470[良品])</f>
        <v>319</v>
      </c>
      <c r="Q4" s="26">
        <f>SUM(_018_470[不良品])</f>
        <v>17</v>
      </c>
      <c r="R4" s="26">
        <f>SUM(_018_470[已包裝待放行])</f>
        <v>0</v>
      </c>
      <c r="S4" s="26">
        <f>SUM(_018_470[良品])</f>
        <v>319</v>
      </c>
      <c r="T4" s="26">
        <f>SUM(_018_470[不良品])</f>
        <v>17</v>
      </c>
      <c r="U4" s="131">
        <f>SUM(_018_470[未入庫])</f>
        <v>0</v>
      </c>
      <c r="V4" s="131">
        <f>SUM(_018_470[入庫])</f>
        <v>319</v>
      </c>
      <c r="W4" s="131">
        <f>SUM(_018_470[可出貨數量])</f>
        <v>19</v>
      </c>
      <c r="X4" s="135"/>
      <c r="Y4" s="132">
        <f>SUM(_018_470[已出貨])</f>
        <v>300</v>
      </c>
      <c r="Z4" s="138">
        <f>SUM(_018_470[總不良數])</f>
        <v>20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293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239">
        <v>46134</v>
      </c>
      <c r="B6" s="240" t="s">
        <v>1874</v>
      </c>
      <c r="C6" s="241" t="s">
        <v>496</v>
      </c>
      <c r="D6" s="242">
        <v>230</v>
      </c>
      <c r="E6" s="243">
        <f>_018_470[[#This Row],[入料數]]-_018_470[[#This Row],['#08已委外數量]]</f>
        <v>0</v>
      </c>
      <c r="F6" s="243">
        <f>SUMIFS(record[OK],record[製程料號],_018_470[[#This Row],[製令單號]],record[ProcessSN],F$1)</f>
        <v>230</v>
      </c>
      <c r="G6" s="242" t="str">
        <f>IF(_018_470[[#This Row],['#08已委外數量]]&gt;0,VLOOKUP(G$1,record[[ProcessSN]:[廠商]],12,FALSE),"尚未委外")</f>
        <v>泉盛</v>
      </c>
      <c r="H6" s="243">
        <f>_018_470[[#This Row],['#08已委外數量]]-_018_470[[#This Row],['#08回
良品]]-_018_470[[#This Row],['#08委外NG]]</f>
        <v>0</v>
      </c>
      <c r="I6" s="243">
        <f>SUMIFS(record[OK],record[製程料號],_018_470[[#This Row],[製令單號]],record[ProcessSN],I$1)</f>
        <v>230</v>
      </c>
      <c r="J6" s="244">
        <f>SUMIFS(record[NG],record[製程料號],_018_470[[#This Row],[製令單號]],record[ProcessSN],J$1)</f>
        <v>0</v>
      </c>
      <c r="K6" s="150">
        <f>IFERROR(_018_470[[#This Row],['#08委外NG]]/_018_470[[#This Row],['#08已委外數量]],"")</f>
        <v>0</v>
      </c>
      <c r="L6" s="243">
        <f>_018_470[[#This Row],['#08回
良品]]-_018_470[[#This Row],['#06檢驗OK]]-_018_470[[#This Row],['#06
QC NG]]</f>
        <v>0</v>
      </c>
      <c r="M6" s="243">
        <f>SUMIFS(record[OK],record[製程料號],_018_470[[#This Row],[製令單號]],record[ProcessSN],M$1)</f>
        <v>230</v>
      </c>
      <c r="N6" s="244">
        <f>SUMIFS(record[NG],record[製程料號],_018_470[[#This Row],[製令單號]],record[ProcessSN],N$1)</f>
        <v>0</v>
      </c>
      <c r="O6" s="243">
        <f>_018_470[[#This Row],['#06檢驗OK]]-_018_470[[#This Row],[不良品]]-_018_470[[#This Row],[良品]]</f>
        <v>0</v>
      </c>
      <c r="P6" s="243">
        <f>SUMIFS(record[OK],record[製程料號],_018_470[[#This Row],[製令單號]],record[ProcessSN],P$1)</f>
        <v>213</v>
      </c>
      <c r="Q6" s="244">
        <f>SUMIFS(record[NG],record[製程料號],_018_470[[#This Row],[製令單號]],record[ProcessSN],Q$1)</f>
        <v>17</v>
      </c>
      <c r="R6" s="243">
        <f>_018_470[[#This Row],[良品]]-_018_470[[#This Row],[良品放行]]-_018_470[[#This Row],[不良待處理]]</f>
        <v>0</v>
      </c>
      <c r="S6" s="243">
        <f>SUMIFS(record[OK],record[製程料號],_018_470[[#This Row],[製令單號]],record[ProcessSN],S$1)</f>
        <v>213</v>
      </c>
      <c r="T6" s="244">
        <f>SUMIFS(record[NG],record[製程料號],_018_470[[#This Row],[製令單號]],record[ProcessSN],T$1)</f>
        <v>0</v>
      </c>
      <c r="U6" s="243">
        <f>_018_470[[#This Row],[良品放行]]-_018_470[[#This Row],[入庫]]</f>
        <v>0</v>
      </c>
      <c r="V6" s="243">
        <f>SUMIFS(record[OK],record[製程料號],_018_470[[#This Row],[製令單號]],record[ProcessSN],V$1)</f>
        <v>213</v>
      </c>
      <c r="W6" s="243">
        <f>_018_470[[#This Row],[入庫]]-_018_470[[#This Row],[已出貨]]</f>
        <v>0</v>
      </c>
      <c r="X6" s="246"/>
      <c r="Y6" s="243">
        <f>SUMIFS(record[OK],record[製程料號],_018_470[[#This Row],[製令單號]],record[ProcessSN],Y$1)</f>
        <v>213</v>
      </c>
      <c r="Z6" s="247">
        <f>_018_470[[#This Row],[不良待處理]]+_018_470[[#This Row],[不良品]]+_018_470[[#This Row],['#06
QC NG]]+_018_470[[#This Row],['#08委外NG]]</f>
        <v>17</v>
      </c>
      <c r="AA6" s="150">
        <f>IF(_018_470[[#This Row],[已出貨]]+_018_470[[#This Row],[總不良數]]+_018_470[[#This Row],[可出貨數量]]=_018_470[[#This Row],[入料數]],(_018_470[[#This Row],[可出貨數量]]+_018_470[[#This Row],[已出貨]])/_018_470[[#This Row],[入料數]],"")</f>
        <v>0.92608695652173911</v>
      </c>
    </row>
    <row r="7" spans="1:27" ht="30.75" x14ac:dyDescent="0.25">
      <c r="A7" s="239">
        <v>46140</v>
      </c>
      <c r="B7" s="240" t="s">
        <v>1934</v>
      </c>
      <c r="C7" s="241" t="s">
        <v>496</v>
      </c>
      <c r="D7" s="242">
        <v>109</v>
      </c>
      <c r="E7" s="243">
        <f>_018_470[[#This Row],[入料數]]-_018_470[[#This Row],['#08已委外數量]]</f>
        <v>0</v>
      </c>
      <c r="F7" s="243">
        <f>SUMIFS(record[OK],record[製程料號],_018_470[[#This Row],[製令單號]],record[ProcessSN],F$1)</f>
        <v>109</v>
      </c>
      <c r="G7" s="242" t="str">
        <f>IF(_018_470[[#This Row],['#08已委外數量]]&gt;0,VLOOKUP(G$1,record[[ProcessSN]:[廠商]],12,FALSE),"尚未委外")</f>
        <v>泉盛</v>
      </c>
      <c r="H7" s="243">
        <f>_018_470[[#This Row],['#08已委外數量]]-_018_470[[#This Row],['#08回
良品]]-_018_470[[#This Row],['#08委外NG]]</f>
        <v>0</v>
      </c>
      <c r="I7" s="243">
        <f>SUMIFS(record[OK],record[製程料號],_018_470[[#This Row],[製令單號]],record[ProcessSN],I$1)</f>
        <v>106</v>
      </c>
      <c r="J7" s="244">
        <f>SUMIFS(record[NG],record[製程料號],_018_470[[#This Row],[製令單號]],record[ProcessSN],J$1)</f>
        <v>3</v>
      </c>
      <c r="K7" s="245">
        <f>IFERROR(_018_470[[#This Row],['#08委外NG]]/_018_470[[#This Row],['#08已委外數量]],"")</f>
        <v>2.7522935779816515E-2</v>
      </c>
      <c r="L7" s="243">
        <f>_018_470[[#This Row],['#08回
良品]]-_018_470[[#This Row],['#06檢驗OK]]-_018_470[[#This Row],['#06
QC NG]]</f>
        <v>0</v>
      </c>
      <c r="M7" s="243">
        <f>SUMIFS(record[OK],record[製程料號],_018_470[[#This Row],[製令單號]],record[ProcessSN],M$1)</f>
        <v>106</v>
      </c>
      <c r="N7" s="244">
        <f>SUMIFS(record[NG],record[製程料號],_018_470[[#This Row],[製令單號]],record[ProcessSN],N$1)</f>
        <v>0</v>
      </c>
      <c r="O7" s="243">
        <f>_018_470[[#This Row],['#06檢驗OK]]-_018_470[[#This Row],[不良品]]-_018_470[[#This Row],[良品]]</f>
        <v>0</v>
      </c>
      <c r="P7" s="243">
        <f>SUMIFS(record[OK],record[製程料號],_018_470[[#This Row],[製令單號]],record[ProcessSN],P$1)</f>
        <v>106</v>
      </c>
      <c r="Q7" s="244">
        <f>SUMIFS(record[NG],record[製程料號],_018_470[[#This Row],[製令單號]],record[ProcessSN],Q$1)</f>
        <v>0</v>
      </c>
      <c r="R7" s="243">
        <f>_018_470[[#This Row],[良品]]-_018_470[[#This Row],[良品放行]]-_018_470[[#This Row],[不良待處理]]</f>
        <v>0</v>
      </c>
      <c r="S7" s="243">
        <f>SUMIFS(record[OK],record[製程料號],_018_470[[#This Row],[製令單號]],record[ProcessSN],S$1)</f>
        <v>106</v>
      </c>
      <c r="T7" s="244">
        <f>SUMIFS(record[NG],record[製程料號],_018_470[[#This Row],[製令單號]],record[ProcessSN],T$1)</f>
        <v>0</v>
      </c>
      <c r="U7" s="243">
        <f>_018_470[[#This Row],[良品放行]]-_018_470[[#This Row],[入庫]]</f>
        <v>0</v>
      </c>
      <c r="V7" s="243">
        <f>SUMIFS(record[OK],record[製程料號],_018_470[[#This Row],[製令單號]],record[ProcessSN],V$1)</f>
        <v>106</v>
      </c>
      <c r="W7" s="243">
        <f>_018_470[[#This Row],[入庫]]-_018_470[[#This Row],[已出貨]]</f>
        <v>19</v>
      </c>
      <c r="X7" s="246"/>
      <c r="Y7" s="243">
        <f>SUMIFS(record[OK],record[製程料號],_018_470[[#This Row],[製令單號]],record[ProcessSN],Y$1)</f>
        <v>87</v>
      </c>
      <c r="Z7" s="247">
        <f>_018_470[[#This Row],[不良待處理]]+_018_470[[#This Row],[不良品]]+_018_470[[#This Row],['#06
QC NG]]+_018_470[[#This Row],['#08委外NG]]</f>
        <v>3</v>
      </c>
      <c r="AA7" s="245">
        <f>IF(_018_470[[#This Row],[已出貨]]+_018_470[[#This Row],[總不良數]]+_018_470[[#This Row],[可出貨數量]]=_018_470[[#This Row],[入料數]],(_018_470[[#This Row],[可出貨數量]]+_018_470[[#This Row],[已出貨]])/_018_470[[#This Row],[入料數]],"")</f>
        <v>0.97247706422018354</v>
      </c>
    </row>
    <row r="8" spans="1:27" ht="15.75" x14ac:dyDescent="0.25"/>
    <row r="9" spans="1:27" ht="15.75" x14ac:dyDescent="0.25"/>
    <row r="10" spans="1:27" ht="15.75" x14ac:dyDescent="0.25"/>
    <row r="11" spans="1:27" ht="15.75" x14ac:dyDescent="0.25"/>
    <row r="12" spans="1:27" ht="15.75" x14ac:dyDescent="0.25"/>
    <row r="13" spans="1:27" ht="15.75" x14ac:dyDescent="0.25"/>
    <row r="14" spans="1:27" ht="15.75" x14ac:dyDescent="0.25"/>
    <row r="15" spans="1:27" ht="15.75" x14ac:dyDescent="0.25"/>
    <row r="16" spans="1:27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  <row r="22" ht="15.75" x14ac:dyDescent="0.25"/>
    <row r="23" ht="15.75" x14ac:dyDescent="0.25"/>
    <row r="24" ht="15.75" x14ac:dyDescent="0.25"/>
    <row r="25" ht="15.75" x14ac:dyDescent="0.25"/>
    <row r="26" ht="15.75" x14ac:dyDescent="0.25"/>
    <row r="27" ht="15.75" x14ac:dyDescent="0.25"/>
    <row r="28" ht="15.75" x14ac:dyDescent="0.25"/>
    <row r="29" ht="15.75" x14ac:dyDescent="0.25"/>
    <row r="30" ht="15.75" x14ac:dyDescent="0.25"/>
    <row r="31" ht="15.75" x14ac:dyDescent="0.25"/>
    <row r="32" ht="15.75" x14ac:dyDescent="0.25"/>
    <row r="33" ht="15.75" x14ac:dyDescent="0.25"/>
    <row r="34" ht="15.75" x14ac:dyDescent="0.25"/>
    <row r="35" ht="15.75" x14ac:dyDescent="0.25"/>
    <row r="36" ht="15.75" x14ac:dyDescent="0.25"/>
    <row r="37" ht="15.75" x14ac:dyDescent="0.25"/>
    <row r="38" ht="15.75" x14ac:dyDescent="0.25"/>
    <row r="39" ht="15.75" x14ac:dyDescent="0.25"/>
    <row r="40" ht="15.75" x14ac:dyDescent="0.25"/>
    <row r="41" ht="15.75" x14ac:dyDescent="0.25"/>
  </sheetData>
  <mergeCells count="17">
    <mergeCell ref="Y2:Y3"/>
    <mergeCell ref="Z2:Z3"/>
    <mergeCell ref="AA2:AA4"/>
    <mergeCell ref="O3:Q3"/>
    <mergeCell ref="R3:T3"/>
    <mergeCell ref="R2:T2"/>
    <mergeCell ref="U2:W3"/>
    <mergeCell ref="A2:A4"/>
    <mergeCell ref="B2:B4"/>
    <mergeCell ref="D2:D3"/>
    <mergeCell ref="E2:J2"/>
    <mergeCell ref="K2:K4"/>
    <mergeCell ref="L2:N2"/>
    <mergeCell ref="E3:J3"/>
    <mergeCell ref="L3:N3"/>
    <mergeCell ref="G4:H4"/>
    <mergeCell ref="O2:Q2"/>
  </mergeCells>
  <phoneticPr fontId="3" type="noConversion"/>
  <conditionalFormatting sqref="E5:F7 H5:I7 L5:M7 O5:P7 R5:S7 U5:Y7">
    <cfRule type="cellIs" dxfId="538" priority="10" operator="lessThan">
      <formula>0</formula>
    </cfRule>
    <cfRule type="cellIs" dxfId="537" priority="11" operator="greaterThan">
      <formula>0</formula>
    </cfRule>
  </conditionalFormatting>
  <conditionalFormatting sqref="AA5:AA7">
    <cfRule type="cellIs" dxfId="536" priority="3" operator="lessThan">
      <formula>0.97</formula>
    </cfRule>
  </conditionalFormatting>
  <conditionalFormatting sqref="J5:K7 N5:N7 Q5:Q7 T5:T7">
    <cfRule type="cellIs" dxfId="535" priority="8" operator="greaterThan">
      <formula>0</formula>
    </cfRule>
  </conditionalFormatting>
  <conditionalFormatting sqref="G5:G7">
    <cfRule type="containsText" dxfId="534" priority="6" operator="containsText" text="尚未委外">
      <formula>NOT(ISERROR(SEARCH("尚未委外",G5)))</formula>
    </cfRule>
    <cfRule type="notContainsBlanks" dxfId="533" priority="7">
      <formula>LEN(TRIM(G5))&gt;0</formula>
    </cfRule>
  </conditionalFormatting>
  <conditionalFormatting sqref="K5:K7">
    <cfRule type="containsBlanks" dxfId="532" priority="4">
      <formula>LEN(TRIM(K5))=0</formula>
    </cfRule>
    <cfRule type="cellIs" dxfId="531" priority="5" operator="greaterThan">
      <formula>0.03</formula>
    </cfRule>
  </conditionalFormatting>
  <conditionalFormatting sqref="AA5:AA7">
    <cfRule type="containsBlanks" dxfId="530" priority="1">
      <formula>LEN(TRIM(AA5))=0</formula>
    </cfRule>
    <cfRule type="cellIs" dxfId="529" priority="2" operator="greaterThanOrEqual">
      <formula>0.97</formula>
    </cfRule>
    <cfRule type="notContainsBlanks" dxfId="528" priority="9">
      <formula>LEN(TRIM(AA5))&gt;0</formula>
    </cfRule>
  </conditionalFormatting>
  <pageMargins left="0.7" right="0.7" top="0.75" bottom="0.75" header="0.51180555555555496" footer="0.51180555555555496"/>
  <pageSetup paperSize="9" firstPageNumber="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0DED5-624D-4BA8-8193-78B65454EFEC}">
  <sheetPr codeName="工作表10">
    <tabColor rgb="FFFFC000"/>
  </sheetPr>
  <dimension ref="A1:AA42"/>
  <sheetViews>
    <sheetView zoomScale="50" zoomScaleNormal="50" workbookViewId="0">
      <pane xSplit="4" ySplit="5" topLeftCell="E6" activePane="bottomRight" state="frozen"/>
      <selection sqref="A1:XFD1048576"/>
      <selection pane="topRight" sqref="A1:XFD1048576"/>
      <selection pane="bottomLeft" sqref="A1:XFD1048576"/>
      <selection pane="bottomRight" activeCell="E3" sqref="E3:J3"/>
    </sheetView>
  </sheetViews>
  <sheetFormatPr defaultColWidth="17.7109375" defaultRowHeight="42" customHeight="1" x14ac:dyDescent="0.25"/>
  <cols>
    <col min="1" max="1" width="25.85546875" style="3" bestFit="1" customWidth="1"/>
    <col min="2" max="2" width="25.85546875" style="2" bestFit="1" customWidth="1"/>
    <col min="3" max="3" width="25.5703125" style="2" hidden="1" customWidth="1"/>
    <col min="4" max="4" width="22.5703125" style="2" bestFit="1" customWidth="1"/>
    <col min="5" max="5" width="25.85546875" style="2" bestFit="1" customWidth="1"/>
    <col min="6" max="6" width="26.85546875" style="2" hidden="1" customWidth="1"/>
    <col min="7" max="8" width="25.85546875" style="2" bestFit="1" customWidth="1"/>
    <col min="9" max="9" width="19.42578125" style="2" hidden="1" customWidth="1"/>
    <col min="10" max="11" width="25.85546875" style="2" bestFit="1" customWidth="1"/>
    <col min="12" max="12" width="25.85546875" style="3" bestFit="1" customWidth="1"/>
    <col min="13" max="13" width="25.140625" style="2" hidden="1" customWidth="1"/>
    <col min="14" max="14" width="23.7109375" style="2" bestFit="1" customWidth="1"/>
    <col min="15" max="15" width="25.85546875" style="3" bestFit="1" customWidth="1"/>
    <col min="16" max="16" width="16.5703125" style="2" hidden="1" customWidth="1"/>
    <col min="17" max="17" width="22.5703125" style="2" bestFit="1" customWidth="1"/>
    <col min="18" max="18" width="25.85546875" style="3" bestFit="1" customWidth="1"/>
    <col min="19" max="19" width="23.7109375" style="2" hidden="1" customWidth="1"/>
    <col min="20" max="20" width="25.85546875" style="2" bestFit="1" customWidth="1"/>
    <col min="21" max="21" width="22.5703125" style="2" bestFit="1" customWidth="1"/>
    <col min="22" max="22" width="16.5703125" style="2" hidden="1" customWidth="1"/>
    <col min="23" max="23" width="25.85546875" style="2" bestFit="1" customWidth="1"/>
    <col min="24" max="24" width="17.7109375" style="2" bestFit="1" customWidth="1"/>
    <col min="25" max="25" width="19.85546875" style="2" hidden="1" customWidth="1"/>
    <col min="26" max="26" width="25.85546875" style="2" bestFit="1" customWidth="1"/>
    <col min="27" max="27" width="22.5703125" style="2" bestFit="1" customWidth="1"/>
    <col min="28" max="16384" width="17.7109375" style="2"/>
  </cols>
  <sheetData>
    <row r="1" spans="1:27" ht="101.25" hidden="1" customHeight="1" thickBot="1" x14ac:dyDescent="0.3">
      <c r="F1" s="2" t="s">
        <v>381</v>
      </c>
      <c r="G1" s="2" t="s">
        <v>381</v>
      </c>
      <c r="I1" s="2" t="s">
        <v>382</v>
      </c>
      <c r="J1" s="2" t="s">
        <v>382</v>
      </c>
      <c r="M1" s="2" t="s">
        <v>383</v>
      </c>
      <c r="N1" s="2" t="s">
        <v>383</v>
      </c>
      <c r="P1" s="2" t="s">
        <v>384</v>
      </c>
      <c r="Q1" s="2" t="s">
        <v>384</v>
      </c>
      <c r="S1" s="2" t="s">
        <v>385</v>
      </c>
      <c r="T1" s="2" t="s">
        <v>385</v>
      </c>
      <c r="V1" s="2" t="s">
        <v>386</v>
      </c>
      <c r="Y1" s="2" t="s">
        <v>387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1738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34" t="s">
        <v>67</v>
      </c>
      <c r="AA2" s="336" t="s">
        <v>69</v>
      </c>
    </row>
    <row r="3" spans="1:27" ht="42" customHeight="1" thickBot="1" x14ac:dyDescent="0.3">
      <c r="A3" s="281"/>
      <c r="B3" s="325"/>
      <c r="C3" s="14"/>
      <c r="D3" s="328"/>
      <c r="E3" s="313" t="s">
        <v>1739</v>
      </c>
      <c r="F3" s="314"/>
      <c r="G3" s="314"/>
      <c r="H3" s="314"/>
      <c r="I3" s="314"/>
      <c r="J3" s="315"/>
      <c r="K3" s="330"/>
      <c r="L3" s="316" t="s">
        <v>498</v>
      </c>
      <c r="M3" s="317"/>
      <c r="N3" s="318"/>
      <c r="O3" s="339" t="s">
        <v>1740</v>
      </c>
      <c r="P3" s="340"/>
      <c r="Q3" s="341"/>
      <c r="R3" s="342" t="s">
        <v>498</v>
      </c>
      <c r="S3" s="343"/>
      <c r="T3" s="344"/>
      <c r="U3" s="351"/>
      <c r="V3" s="352"/>
      <c r="W3" s="353"/>
      <c r="X3" s="134"/>
      <c r="Y3" s="333"/>
      <c r="Z3" s="335"/>
      <c r="AA3" s="337"/>
    </row>
    <row r="4" spans="1:27" ht="42" customHeight="1" thickBot="1" x14ac:dyDescent="0.3">
      <c r="A4" s="282"/>
      <c r="B4" s="326"/>
      <c r="C4" s="10"/>
      <c r="D4" s="27">
        <f>SUM(_018_500[入料數])</f>
        <v>1781</v>
      </c>
      <c r="E4" s="25">
        <f>SUM(_018_500['#08待委外數量])</f>
        <v>0</v>
      </c>
      <c r="F4" s="25">
        <f>SUM(_018_500['#08已委外數量])</f>
        <v>1781</v>
      </c>
      <c r="G4" s="319">
        <f>SUM(_018_500['#08待回數量])</f>
        <v>0</v>
      </c>
      <c r="H4" s="320"/>
      <c r="I4" s="25">
        <f>SUM(_018_500['#08已委外數量])</f>
        <v>1781</v>
      </c>
      <c r="J4" s="25">
        <f>SUM(_018_500['#08委外NG])</f>
        <v>11</v>
      </c>
      <c r="K4" s="331"/>
      <c r="L4" s="26">
        <f>SUM(_018_500['#06待檢驗
數量])</f>
        <v>0</v>
      </c>
      <c r="M4" s="26">
        <f>SUM(_018_500['#06檢驗OK])</f>
        <v>1770</v>
      </c>
      <c r="N4" s="26">
        <f>SUM(_018_500['#06
QC NG])</f>
        <v>0</v>
      </c>
      <c r="O4" s="26">
        <f>SUM(_018_500[成品待檢驗])</f>
        <v>0</v>
      </c>
      <c r="P4" s="26">
        <f>SUM(_018_500[良品])</f>
        <v>1691</v>
      </c>
      <c r="Q4" s="26">
        <f>SUM(_018_500[不良品])</f>
        <v>79</v>
      </c>
      <c r="R4" s="26">
        <f>SUM(_018_500[已包裝待放行])</f>
        <v>0</v>
      </c>
      <c r="S4" s="26">
        <f>SUM(_018_500[良品])</f>
        <v>1691</v>
      </c>
      <c r="T4" s="26">
        <f>SUM(_018_500[不良品])</f>
        <v>79</v>
      </c>
      <c r="U4" s="131">
        <f>SUM(_018_500[未入庫])</f>
        <v>0</v>
      </c>
      <c r="V4" s="131">
        <f>SUM(_018_500[入庫])</f>
        <v>1691</v>
      </c>
      <c r="W4" s="131">
        <f>SUM(_018_500[可出貨數量])</f>
        <v>161</v>
      </c>
      <c r="X4" s="135"/>
      <c r="Y4" s="132">
        <f>SUM(_018_500[已出貨])</f>
        <v>1530</v>
      </c>
      <c r="Z4" s="138">
        <f>SUM(_018_500[總不良數])</f>
        <v>90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293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140">
        <v>46132</v>
      </c>
      <c r="B6" s="142" t="s">
        <v>1839</v>
      </c>
      <c r="C6" s="6" t="s">
        <v>498</v>
      </c>
      <c r="D6" s="144">
        <v>600</v>
      </c>
      <c r="E6" s="146">
        <f>_018_500[[#This Row],[入料數]]-_018_500[[#This Row],['#08已委外數量]]</f>
        <v>0</v>
      </c>
      <c r="F6" s="146">
        <f>SUMIFS(record[OK],record[製程料號],_018_500[[#This Row],[製令單號]],record[ProcessSN],F$1)</f>
        <v>600</v>
      </c>
      <c r="G6" s="144" t="str">
        <f>IF(_018_500[[#This Row],['#08已委外數量]]&gt;0,VLOOKUP(G$1,record[[ProcessSN]:[廠商]],12,FALSE),"尚未委外")</f>
        <v>泉盛</v>
      </c>
      <c r="H6" s="146">
        <f>_018_500[[#This Row],['#08已委外數量]]-_018_500[[#This Row],['#08回
良品]]-_018_500[[#This Row],['#08委外NG]]</f>
        <v>0</v>
      </c>
      <c r="I6" s="146">
        <f>SUMIFS(record[OK],record[製程料號],_018_500[[#This Row],[製令單號]],record[ProcessSN],I$1)</f>
        <v>600</v>
      </c>
      <c r="J6" s="148">
        <f>SUMIFS(record[NG],record[製程料號],_018_500[[#This Row],[製令單號]],record[ProcessSN],J$1)</f>
        <v>0</v>
      </c>
      <c r="K6" s="150">
        <f>IFERROR(_018_500[[#This Row],['#08委外NG]]/_018_500[[#This Row],['#08已委外數量]],"")</f>
        <v>0</v>
      </c>
      <c r="L6" s="146">
        <f>_018_500[[#This Row],['#08回
良品]]-_018_500[[#This Row],['#06檢驗OK]]-_018_500[[#This Row],['#06
QC NG]]</f>
        <v>0</v>
      </c>
      <c r="M6" s="146">
        <f>SUMIFS(record[OK],record[製程料號],_018_500[[#This Row],[製令單號]],record[ProcessSN],M$1)</f>
        <v>600</v>
      </c>
      <c r="N6" s="148">
        <f>SUMIFS(record[NG],record[製程料號],_018_500[[#This Row],[製令單號]],record[ProcessSN],N$1)</f>
        <v>0</v>
      </c>
      <c r="O6" s="146">
        <f>_018_500[[#This Row],['#06檢驗OK]]-_018_500[[#This Row],[不良品]]-_018_500[[#This Row],[良品]]</f>
        <v>0</v>
      </c>
      <c r="P6" s="146">
        <f>SUMIFS(record[OK],record[製程料號],_018_500[[#This Row],[製令單號]],record[ProcessSN],P$1)</f>
        <v>578</v>
      </c>
      <c r="Q6" s="148">
        <f>SUMIFS(record[NG],record[製程料號],_018_500[[#This Row],[製令單號]],record[ProcessSN],Q$1)</f>
        <v>22</v>
      </c>
      <c r="R6" s="146">
        <f>_018_500[[#This Row],[良品]]-_018_500[[#This Row],[良品放行]]-_018_500[[#This Row],[不良待處理]]</f>
        <v>0</v>
      </c>
      <c r="S6" s="146">
        <f>SUMIFS(record[OK],record[製程料號],_018_500[[#This Row],[製令單號]],record[ProcessSN],S$1)</f>
        <v>578</v>
      </c>
      <c r="T6" s="148">
        <f>SUMIFS(record[NG],record[製程料號],_018_500[[#This Row],[製令單號]],record[ProcessSN],T$1)</f>
        <v>0</v>
      </c>
      <c r="U6" s="146">
        <f>_018_500[[#This Row],[良品放行]]-_018_500[[#This Row],[入庫]]</f>
        <v>0</v>
      </c>
      <c r="V6" s="146">
        <f>SUMIFS(record[OK],record[製程料號],_018_500[[#This Row],[製令單號]],record[ProcessSN],V$1)</f>
        <v>578</v>
      </c>
      <c r="W6" s="146">
        <f>_018_500[[#This Row],[入庫]]-_018_500[[#This Row],[已出貨]]</f>
        <v>0</v>
      </c>
      <c r="X6" s="157"/>
      <c r="Y6" s="146">
        <f>SUMIFS(record[OK],record[製程料號],_018_500[[#This Row],[製令單號]],record[ProcessSN],Y$1)</f>
        <v>578</v>
      </c>
      <c r="Z6" s="152">
        <f>_018_500[[#This Row],[不良待處理]]+_018_500[[#This Row],[不良品]]+_018_500[[#This Row],['#06
QC NG]]+_018_500[[#This Row],['#08委外NG]]</f>
        <v>22</v>
      </c>
      <c r="AA6" s="150">
        <f>IF(_018_500[[#This Row],[已出貨]]+_018_500[[#This Row],[總不良數]]+_018_500[[#This Row],[可出貨數量]]=_018_500[[#This Row],[入料數]],(_018_500[[#This Row],[可出貨數量]]+_018_500[[#This Row],[已出貨]])/_018_500[[#This Row],[入料數]],"")</f>
        <v>0.96333333333333337</v>
      </c>
    </row>
    <row r="7" spans="1:27" ht="30.75" x14ac:dyDescent="0.25">
      <c r="A7" s="120">
        <v>46133</v>
      </c>
      <c r="B7" s="121" t="s">
        <v>1865</v>
      </c>
      <c r="C7" s="122" t="s">
        <v>498</v>
      </c>
      <c r="D7" s="118">
        <v>450</v>
      </c>
      <c r="E7" s="123">
        <f>_018_500[[#This Row],[入料數]]-_018_500[[#This Row],['#08已委外數量]]</f>
        <v>0</v>
      </c>
      <c r="F7" s="123">
        <f>SUMIFS(record[OK],record[製程料號],_018_500[[#This Row],[製令單號]],record[ProcessSN],F$1)</f>
        <v>450</v>
      </c>
      <c r="G7" s="118" t="str">
        <f>IF(_018_500[[#This Row],['#08已委外數量]]&gt;0,VLOOKUP(G$1,record[[ProcessSN]:[廠商]],12,FALSE),"尚未委外")</f>
        <v>泉盛</v>
      </c>
      <c r="H7" s="123">
        <f>_018_500[[#This Row],['#08已委外數量]]-_018_500[[#This Row],['#08回
良品]]-_018_500[[#This Row],['#08委外NG]]</f>
        <v>0</v>
      </c>
      <c r="I7" s="123">
        <f>SUMIFS(record[OK],record[製程料號],_018_500[[#This Row],[製令單號]],record[ProcessSN],I$1)</f>
        <v>450</v>
      </c>
      <c r="J7" s="117">
        <f>SUMIFS(record[NG],record[製程料號],_018_500[[#This Row],[製令單號]],record[ProcessSN],J$1)</f>
        <v>0</v>
      </c>
      <c r="K7" s="124">
        <f>IFERROR(_018_500[[#This Row],['#08委外NG]]/_018_500[[#This Row],['#08已委外數量]],"")</f>
        <v>0</v>
      </c>
      <c r="L7" s="123">
        <f>_018_500[[#This Row],['#08回
良品]]-_018_500[[#This Row],['#06檢驗OK]]-_018_500[[#This Row],['#06
QC NG]]</f>
        <v>0</v>
      </c>
      <c r="M7" s="123">
        <f>SUMIFS(record[OK],record[製程料號],_018_500[[#This Row],[製令單號]],record[ProcessSN],M$1)</f>
        <v>450</v>
      </c>
      <c r="N7" s="117">
        <f>SUMIFS(record[NG],record[製程料號],_018_500[[#This Row],[製令單號]],record[ProcessSN],N$1)</f>
        <v>0</v>
      </c>
      <c r="O7" s="123">
        <f>_018_500[[#This Row],['#06檢驗OK]]-_018_500[[#This Row],[不良品]]-_018_500[[#This Row],[良品]]</f>
        <v>0</v>
      </c>
      <c r="P7" s="123">
        <f>SUMIFS(record[OK],record[製程料號],_018_500[[#This Row],[製令單號]],record[ProcessSN],P$1)</f>
        <v>428</v>
      </c>
      <c r="Q7" s="117">
        <f>SUMIFS(record[NG],record[製程料號],_018_500[[#This Row],[製令單號]],record[ProcessSN],Q$1)</f>
        <v>22</v>
      </c>
      <c r="R7" s="123">
        <f>_018_500[[#This Row],[良品]]-_018_500[[#This Row],[良品放行]]-_018_500[[#This Row],[不良待處理]]</f>
        <v>0</v>
      </c>
      <c r="S7" s="123">
        <f>SUMIFS(record[OK],record[製程料號],_018_500[[#This Row],[製令單號]],record[ProcessSN],S$1)</f>
        <v>428</v>
      </c>
      <c r="T7" s="117">
        <f>SUMIFS(record[NG],record[製程料號],_018_500[[#This Row],[製令單號]],record[ProcessSN],T$1)</f>
        <v>0</v>
      </c>
      <c r="U7" s="123">
        <f>_018_500[[#This Row],[良品放行]]-_018_500[[#This Row],[入庫]]</f>
        <v>0</v>
      </c>
      <c r="V7" s="123">
        <f>SUMIFS(record[OK],record[製程料號],_018_500[[#This Row],[製令單號]],record[ProcessSN],V$1)</f>
        <v>428</v>
      </c>
      <c r="W7" s="123">
        <f>_018_500[[#This Row],[入庫]]-_018_500[[#This Row],[已出貨]]</f>
        <v>0</v>
      </c>
      <c r="X7" s="137"/>
      <c r="Y7" s="123">
        <f>SUMIFS(record[OK],record[製程料號],_018_500[[#This Row],[製令單號]],record[ProcessSN],Y$1)</f>
        <v>428</v>
      </c>
      <c r="Z7" s="125">
        <f>_018_500[[#This Row],[不良待處理]]+_018_500[[#This Row],[不良品]]+_018_500[[#This Row],['#06
QC NG]]+_018_500[[#This Row],['#08委外NG]]</f>
        <v>22</v>
      </c>
      <c r="AA7" s="124">
        <f>IF(_018_500[[#This Row],[已出貨]]+_018_500[[#This Row],[總不良數]]+_018_500[[#This Row],[可出貨數量]]=_018_500[[#This Row],[入料數]],(_018_500[[#This Row],[可出貨數量]]+_018_500[[#This Row],[已出貨]])/_018_500[[#This Row],[入料數]],"")</f>
        <v>0.95111111111111113</v>
      </c>
    </row>
    <row r="8" spans="1:27" ht="30.75" x14ac:dyDescent="0.25">
      <c r="A8" s="120">
        <v>46135</v>
      </c>
      <c r="B8" s="121" t="s">
        <v>1890</v>
      </c>
      <c r="C8" s="122" t="s">
        <v>498</v>
      </c>
      <c r="D8" s="118">
        <v>130</v>
      </c>
      <c r="E8" s="123">
        <f>_018_500[[#This Row],[入料數]]-_018_500[[#This Row],['#08已委外數量]]</f>
        <v>0</v>
      </c>
      <c r="F8" s="123">
        <f>SUMIFS(record[OK],record[製程料號],_018_500[[#This Row],[製令單號]],record[ProcessSN],F$1)</f>
        <v>130</v>
      </c>
      <c r="G8" s="118" t="str">
        <f>IF(_018_500[[#This Row],['#08已委外數量]]&gt;0,VLOOKUP(G$1,record[[ProcessSN]:[廠商]],12,FALSE),"尚未委外")</f>
        <v>泉盛</v>
      </c>
      <c r="H8" s="123">
        <f>_018_500[[#This Row],['#08已委外數量]]-_018_500[[#This Row],['#08回
良品]]-_018_500[[#This Row],['#08委外NG]]</f>
        <v>0</v>
      </c>
      <c r="I8" s="123">
        <f>SUMIFS(record[OK],record[製程料號],_018_500[[#This Row],[製令單號]],record[ProcessSN],I$1)</f>
        <v>125</v>
      </c>
      <c r="J8" s="117">
        <f>SUMIFS(record[NG],record[製程料號],_018_500[[#This Row],[製令單號]],record[ProcessSN],J$1)</f>
        <v>5</v>
      </c>
      <c r="K8" s="124">
        <f>IFERROR(_018_500[[#This Row],['#08委外NG]]/_018_500[[#This Row],['#08已委外數量]],"")</f>
        <v>3.8461538461538464E-2</v>
      </c>
      <c r="L8" s="123">
        <f>_018_500[[#This Row],['#08回
良品]]-_018_500[[#This Row],['#06檢驗OK]]-_018_500[[#This Row],['#06
QC NG]]</f>
        <v>0</v>
      </c>
      <c r="M8" s="123">
        <f>SUMIFS(record[OK],record[製程料號],_018_500[[#This Row],[製令單號]],record[ProcessSN],M$1)</f>
        <v>125</v>
      </c>
      <c r="N8" s="117">
        <f>SUMIFS(record[NG],record[製程料號],_018_500[[#This Row],[製令單號]],record[ProcessSN],N$1)</f>
        <v>0</v>
      </c>
      <c r="O8" s="123">
        <f>_018_500[[#This Row],['#06檢驗OK]]-_018_500[[#This Row],[不良品]]-_018_500[[#This Row],[良品]]</f>
        <v>0</v>
      </c>
      <c r="P8" s="123">
        <f>SUMIFS(record[OK],record[製程料號],_018_500[[#This Row],[製令單號]],record[ProcessSN],P$1)</f>
        <v>114</v>
      </c>
      <c r="Q8" s="117">
        <f>SUMIFS(record[NG],record[製程料號],_018_500[[#This Row],[製令單號]],record[ProcessSN],Q$1)</f>
        <v>11</v>
      </c>
      <c r="R8" s="123">
        <f>_018_500[[#This Row],[良品]]-_018_500[[#This Row],[良品放行]]-_018_500[[#This Row],[不良待處理]]</f>
        <v>0</v>
      </c>
      <c r="S8" s="123">
        <f>SUMIFS(record[OK],record[製程料號],_018_500[[#This Row],[製令單號]],record[ProcessSN],S$1)</f>
        <v>114</v>
      </c>
      <c r="T8" s="117">
        <f>SUMIFS(record[NG],record[製程料號],_018_500[[#This Row],[製令單號]],record[ProcessSN],T$1)</f>
        <v>0</v>
      </c>
      <c r="U8" s="123">
        <f>_018_500[[#This Row],[良品放行]]-_018_500[[#This Row],[入庫]]</f>
        <v>0</v>
      </c>
      <c r="V8" s="123">
        <f>SUMIFS(record[OK],record[製程料號],_018_500[[#This Row],[製令單號]],record[ProcessSN],V$1)</f>
        <v>114</v>
      </c>
      <c r="W8" s="123">
        <f>_018_500[[#This Row],[入庫]]-_018_500[[#This Row],[已出貨]]</f>
        <v>0</v>
      </c>
      <c r="X8" s="137"/>
      <c r="Y8" s="123">
        <f>SUMIFS(record[OK],record[製程料號],_018_500[[#This Row],[製令單號]],record[ProcessSN],Y$1)</f>
        <v>114</v>
      </c>
      <c r="Z8" s="125">
        <f>_018_500[[#This Row],[不良待處理]]+_018_500[[#This Row],[不良品]]+_018_500[[#This Row],['#06
QC NG]]+_018_500[[#This Row],['#08委外NG]]</f>
        <v>16</v>
      </c>
      <c r="AA8" s="124">
        <f>IF(_018_500[[#This Row],[已出貨]]+_018_500[[#This Row],[總不良數]]+_018_500[[#This Row],[可出貨數量]]=_018_500[[#This Row],[入料數]],(_018_500[[#This Row],[可出貨數量]]+_018_500[[#This Row],[已出貨]])/_018_500[[#This Row],[入料數]],"")</f>
        <v>0.87692307692307692</v>
      </c>
    </row>
    <row r="9" spans="1:27" ht="30.75" x14ac:dyDescent="0.25">
      <c r="A9" s="120">
        <v>46136</v>
      </c>
      <c r="B9" s="121" t="s">
        <v>1903</v>
      </c>
      <c r="C9" s="122" t="s">
        <v>498</v>
      </c>
      <c r="D9" s="118">
        <v>472</v>
      </c>
      <c r="E9" s="123">
        <f>_018_500[[#This Row],[入料數]]-_018_500[[#This Row],['#08已委外數量]]</f>
        <v>0</v>
      </c>
      <c r="F9" s="123">
        <f>SUMIFS(record[OK],record[製程料號],_018_500[[#This Row],[製令單號]],record[ProcessSN],F$1)</f>
        <v>472</v>
      </c>
      <c r="G9" s="118" t="str">
        <f>IF(_018_500[[#This Row],['#08已委外數量]]&gt;0,VLOOKUP(G$1,record[[ProcessSN]:[廠商]],12,FALSE),"尚未委外")</f>
        <v>泉盛</v>
      </c>
      <c r="H9" s="123">
        <f>_018_500[[#This Row],['#08已委外數量]]-_018_500[[#This Row],['#08回
良品]]-_018_500[[#This Row],['#08委外NG]]</f>
        <v>0</v>
      </c>
      <c r="I9" s="123">
        <f>SUMIFS(record[OK],record[製程料號],_018_500[[#This Row],[製令單號]],record[ProcessSN],I$1)</f>
        <v>472</v>
      </c>
      <c r="J9" s="117">
        <f>SUMIFS(record[NG],record[製程料號],_018_500[[#This Row],[製令單號]],record[ProcessSN],J$1)</f>
        <v>0</v>
      </c>
      <c r="K9" s="124">
        <f>IFERROR(_018_500[[#This Row],['#08委外NG]]/_018_500[[#This Row],['#08已委外數量]],"")</f>
        <v>0</v>
      </c>
      <c r="L9" s="123">
        <f>_018_500[[#This Row],['#08回
良品]]-_018_500[[#This Row],['#06檢驗OK]]-_018_500[[#This Row],['#06
QC NG]]</f>
        <v>0</v>
      </c>
      <c r="M9" s="123">
        <f>SUMIFS(record[OK],record[製程料號],_018_500[[#This Row],[製令單號]],record[ProcessSN],M$1)</f>
        <v>472</v>
      </c>
      <c r="N9" s="117">
        <f>SUMIFS(record[NG],record[製程料號],_018_500[[#This Row],[製令單號]],record[ProcessSN],N$1)</f>
        <v>0</v>
      </c>
      <c r="O9" s="123">
        <f>_018_500[[#This Row],['#06檢驗OK]]-_018_500[[#This Row],[不良品]]-_018_500[[#This Row],[良品]]</f>
        <v>0</v>
      </c>
      <c r="P9" s="123">
        <f>SUMIFS(record[OK],record[製程料號],_018_500[[#This Row],[製令單號]],record[ProcessSN],P$1)</f>
        <v>451</v>
      </c>
      <c r="Q9" s="117">
        <f>SUMIFS(record[NG],record[製程料號],_018_500[[#This Row],[製令單號]],record[ProcessSN],Q$1)</f>
        <v>21</v>
      </c>
      <c r="R9" s="123">
        <f>_018_500[[#This Row],[良品]]-_018_500[[#This Row],[良品放行]]-_018_500[[#This Row],[不良待處理]]</f>
        <v>0</v>
      </c>
      <c r="S9" s="123">
        <f>SUMIFS(record[OK],record[製程料號],_018_500[[#This Row],[製令單號]],record[ProcessSN],S$1)</f>
        <v>451</v>
      </c>
      <c r="T9" s="117">
        <f>SUMIFS(record[NG],record[製程料號],_018_500[[#This Row],[製令單號]],record[ProcessSN],T$1)</f>
        <v>0</v>
      </c>
      <c r="U9" s="123">
        <f>_018_500[[#This Row],[良品放行]]-_018_500[[#This Row],[入庫]]</f>
        <v>0</v>
      </c>
      <c r="V9" s="123">
        <f>SUMIFS(record[OK],record[製程料號],_018_500[[#This Row],[製令單號]],record[ProcessSN],V$1)</f>
        <v>451</v>
      </c>
      <c r="W9" s="123">
        <f>_018_500[[#This Row],[入庫]]-_018_500[[#This Row],[已出貨]]</f>
        <v>41</v>
      </c>
      <c r="X9" s="137"/>
      <c r="Y9" s="123">
        <f>SUMIFS(record[OK],record[製程料號],_018_500[[#This Row],[製令單號]],record[ProcessSN],Y$1)</f>
        <v>410</v>
      </c>
      <c r="Z9" s="125">
        <f>_018_500[[#This Row],[不良待處理]]+_018_500[[#This Row],[不良品]]+_018_500[[#This Row],['#06
QC NG]]+_018_500[[#This Row],['#08委外NG]]</f>
        <v>21</v>
      </c>
      <c r="AA9" s="124">
        <f>IF(_018_500[[#This Row],[已出貨]]+_018_500[[#This Row],[總不良數]]+_018_500[[#This Row],[可出貨數量]]=_018_500[[#This Row],[入料數]],(_018_500[[#This Row],[可出貨數量]]+_018_500[[#This Row],[已出貨]])/_018_500[[#This Row],[入料數]],"")</f>
        <v>0.95550847457627119</v>
      </c>
    </row>
    <row r="10" spans="1:27" ht="30.75" x14ac:dyDescent="0.25">
      <c r="A10" s="141">
        <v>46141</v>
      </c>
      <c r="B10" s="143" t="s">
        <v>1941</v>
      </c>
      <c r="C10" s="129" t="s">
        <v>498</v>
      </c>
      <c r="D10" s="145">
        <v>129</v>
      </c>
      <c r="E10" s="147">
        <f>_018_500[[#This Row],[入料數]]-_018_500[[#This Row],['#08已委外數量]]</f>
        <v>0</v>
      </c>
      <c r="F10" s="147">
        <f>SUMIFS(record[OK],record[製程料號],_018_500[[#This Row],[製令單號]],record[ProcessSN],F$1)</f>
        <v>129</v>
      </c>
      <c r="G10" s="145" t="str">
        <f>IF(_018_500[[#This Row],['#08已委外數量]]&gt;0,VLOOKUP(G$1,record[[ProcessSN]:[廠商]],12,FALSE),"尚未委外")</f>
        <v>泉盛</v>
      </c>
      <c r="H10" s="147">
        <f>_018_500[[#This Row],['#08已委外數量]]-_018_500[[#This Row],['#08回
良品]]-_018_500[[#This Row],['#08委外NG]]</f>
        <v>0</v>
      </c>
      <c r="I10" s="147">
        <f>SUMIFS(record[OK],record[製程料號],_018_500[[#This Row],[製令單號]],record[ProcessSN],I$1)</f>
        <v>123</v>
      </c>
      <c r="J10" s="149">
        <f>SUMIFS(record[NG],record[製程料號],_018_500[[#This Row],[製令單號]],record[ProcessSN],J$1)</f>
        <v>6</v>
      </c>
      <c r="K10" s="151">
        <f>IFERROR(_018_500[[#This Row],['#08委外NG]]/_018_500[[#This Row],['#08已委外數量]],"")</f>
        <v>4.6511627906976744E-2</v>
      </c>
      <c r="L10" s="147">
        <f>_018_500[[#This Row],['#08回
良品]]-_018_500[[#This Row],['#06檢驗OK]]-_018_500[[#This Row],['#06
QC NG]]</f>
        <v>0</v>
      </c>
      <c r="M10" s="147">
        <f>SUMIFS(record[OK],record[製程料號],_018_500[[#This Row],[製令單號]],record[ProcessSN],M$1)</f>
        <v>123</v>
      </c>
      <c r="N10" s="149">
        <f>SUMIFS(record[NG],record[製程料號],_018_500[[#This Row],[製令單號]],record[ProcessSN],N$1)</f>
        <v>0</v>
      </c>
      <c r="O10" s="147">
        <f>_018_500[[#This Row],['#06檢驗OK]]-_018_500[[#This Row],[不良品]]-_018_500[[#This Row],[良品]]</f>
        <v>0</v>
      </c>
      <c r="P10" s="147">
        <f>SUMIFS(record[OK],record[製程料號],_018_500[[#This Row],[製令單號]],record[ProcessSN],P$1)</f>
        <v>120</v>
      </c>
      <c r="Q10" s="149">
        <f>SUMIFS(record[NG],record[製程料號],_018_500[[#This Row],[製令單號]],record[ProcessSN],Q$1)</f>
        <v>3</v>
      </c>
      <c r="R10" s="147">
        <f>_018_500[[#This Row],[良品]]-_018_500[[#This Row],[良品放行]]-_018_500[[#This Row],[不良待處理]]</f>
        <v>0</v>
      </c>
      <c r="S10" s="147">
        <f>SUMIFS(record[OK],record[製程料號],_018_500[[#This Row],[製令單號]],record[ProcessSN],S$1)</f>
        <v>120</v>
      </c>
      <c r="T10" s="149">
        <f>SUMIFS(record[NG],record[製程料號],_018_500[[#This Row],[製令單號]],record[ProcessSN],T$1)</f>
        <v>0</v>
      </c>
      <c r="U10" s="147">
        <f>_018_500[[#This Row],[良品放行]]-_018_500[[#This Row],[入庫]]</f>
        <v>0</v>
      </c>
      <c r="V10" s="147">
        <f>SUMIFS(record[OK],record[製程料號],_018_500[[#This Row],[製令單號]],record[ProcessSN],V$1)</f>
        <v>120</v>
      </c>
      <c r="W10" s="147">
        <f>_018_500[[#This Row],[入庫]]-_018_500[[#This Row],[已出貨]]</f>
        <v>120</v>
      </c>
      <c r="X10" s="158"/>
      <c r="Y10" s="147">
        <f>SUMIFS(record[OK],record[製程料號],_018_500[[#This Row],[製令單號]],record[ProcessSN],Y$1)</f>
        <v>0</v>
      </c>
      <c r="Z10" s="153">
        <f>_018_500[[#This Row],[不良待處理]]+_018_500[[#This Row],[不良品]]+_018_500[[#This Row],['#06
QC NG]]+_018_500[[#This Row],['#08委外NG]]</f>
        <v>9</v>
      </c>
      <c r="AA10" s="151">
        <f>IF(_018_500[[#This Row],[已出貨]]+_018_500[[#This Row],[總不良數]]+_018_500[[#This Row],[可出貨數量]]=_018_500[[#This Row],[入料數]],(_018_500[[#This Row],[可出貨數量]]+_018_500[[#This Row],[已出貨]])/_018_500[[#This Row],[入料數]],"")</f>
        <v>0.93023255813953487</v>
      </c>
    </row>
    <row r="11" spans="1:27" ht="15.75" x14ac:dyDescent="0.25"/>
    <row r="12" spans="1:27" ht="15.75" x14ac:dyDescent="0.25"/>
    <row r="13" spans="1:27" ht="15.75" x14ac:dyDescent="0.25"/>
    <row r="14" spans="1:27" ht="15.75" x14ac:dyDescent="0.25"/>
    <row r="15" spans="1:27" ht="15.75" x14ac:dyDescent="0.25"/>
    <row r="16" spans="1:27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  <row r="22" ht="15.75" x14ac:dyDescent="0.25"/>
    <row r="23" ht="15.75" x14ac:dyDescent="0.25"/>
    <row r="24" ht="15.75" x14ac:dyDescent="0.25"/>
    <row r="25" ht="15.75" x14ac:dyDescent="0.25"/>
    <row r="26" ht="15.75" x14ac:dyDescent="0.25"/>
    <row r="27" ht="15.75" x14ac:dyDescent="0.25"/>
    <row r="28" ht="15.75" x14ac:dyDescent="0.25"/>
    <row r="29" ht="15.75" x14ac:dyDescent="0.25"/>
    <row r="30" ht="15.75" x14ac:dyDescent="0.25"/>
    <row r="31" ht="15.75" x14ac:dyDescent="0.25"/>
    <row r="32" ht="15.75" x14ac:dyDescent="0.25"/>
    <row r="33" ht="15.75" x14ac:dyDescent="0.25"/>
    <row r="34" ht="15.75" x14ac:dyDescent="0.25"/>
    <row r="35" ht="15.75" x14ac:dyDescent="0.25"/>
    <row r="36" ht="15.75" x14ac:dyDescent="0.25"/>
    <row r="37" ht="15.75" x14ac:dyDescent="0.25"/>
    <row r="38" ht="15.75" x14ac:dyDescent="0.25"/>
    <row r="39" ht="15.75" x14ac:dyDescent="0.25"/>
    <row r="40" ht="15.75" x14ac:dyDescent="0.25"/>
    <row r="41" ht="15.75" x14ac:dyDescent="0.25"/>
    <row r="42" ht="15.75" x14ac:dyDescent="0.25"/>
  </sheetData>
  <mergeCells count="17">
    <mergeCell ref="Y2:Y3"/>
    <mergeCell ref="Z2:Z3"/>
    <mergeCell ref="AA2:AA4"/>
    <mergeCell ref="O3:Q3"/>
    <mergeCell ref="R3:T3"/>
    <mergeCell ref="R2:T2"/>
    <mergeCell ref="U2:W3"/>
    <mergeCell ref="A2:A4"/>
    <mergeCell ref="B2:B4"/>
    <mergeCell ref="D2:D3"/>
    <mergeCell ref="E2:J2"/>
    <mergeCell ref="K2:K4"/>
    <mergeCell ref="L2:N2"/>
    <mergeCell ref="E3:J3"/>
    <mergeCell ref="L3:N3"/>
    <mergeCell ref="G4:H4"/>
    <mergeCell ref="O2:Q2"/>
  </mergeCells>
  <phoneticPr fontId="3" type="noConversion"/>
  <conditionalFormatting sqref="E6:F10 H6:I10 L6:M10 O6:P10 R6:S10 U6:Y10">
    <cfRule type="cellIs" dxfId="527" priority="10" operator="lessThan">
      <formula>0</formula>
    </cfRule>
    <cfRule type="cellIs" dxfId="526" priority="11" operator="greaterThan">
      <formula>0</formula>
    </cfRule>
  </conditionalFormatting>
  <conditionalFormatting sqref="AA6:AA10">
    <cfRule type="cellIs" dxfId="525" priority="3" operator="lessThan">
      <formula>0.97</formula>
    </cfRule>
  </conditionalFormatting>
  <conditionalFormatting sqref="J6:K10 N6:N10 Q6:Q10 T6:T10">
    <cfRule type="cellIs" dxfId="524" priority="8" operator="greaterThan">
      <formula>0</formula>
    </cfRule>
  </conditionalFormatting>
  <conditionalFormatting sqref="G6:G10">
    <cfRule type="containsText" dxfId="523" priority="6" operator="containsText" text="尚未委外">
      <formula>NOT(ISERROR(SEARCH("尚未委外",G6)))</formula>
    </cfRule>
    <cfRule type="notContainsBlanks" dxfId="522" priority="7">
      <formula>LEN(TRIM(G6))&gt;0</formula>
    </cfRule>
  </conditionalFormatting>
  <conditionalFormatting sqref="K6:K10">
    <cfRule type="containsBlanks" dxfId="521" priority="4">
      <formula>LEN(TRIM(K6))=0</formula>
    </cfRule>
    <cfRule type="cellIs" dxfId="520" priority="5" operator="greaterThan">
      <formula>0.03</formula>
    </cfRule>
  </conditionalFormatting>
  <conditionalFormatting sqref="AA6:AA10">
    <cfRule type="containsBlanks" dxfId="519" priority="1">
      <formula>LEN(TRIM(AA6))=0</formula>
    </cfRule>
    <cfRule type="cellIs" dxfId="518" priority="2" operator="greaterThanOrEqual">
      <formula>0.97</formula>
    </cfRule>
    <cfRule type="notContainsBlanks" dxfId="517" priority="9">
      <formula>LEN(TRIM(AA6))&gt;0</formula>
    </cfRule>
  </conditionalFormatting>
  <pageMargins left="0.7" right="0.7" top="0.75" bottom="0.75" header="0.51180555555555496" footer="0.51180555555555496"/>
  <pageSetup paperSize="9" firstPageNumber="0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C7EF4-7C96-465F-BD03-5561729FCCDF}">
  <sheetPr codeName="工作表11">
    <tabColor rgb="FFFFC000"/>
  </sheetPr>
  <dimension ref="A1:AA42"/>
  <sheetViews>
    <sheetView zoomScale="50" zoomScaleNormal="50" workbookViewId="0">
      <pane xSplit="4" ySplit="5" topLeftCell="E6" activePane="bottomRight" state="frozen"/>
      <selection sqref="A1:XFD1048576"/>
      <selection pane="topRight" sqref="A1:XFD1048576"/>
      <selection pane="bottomLeft" sqref="A1:XFD1048576"/>
      <selection pane="bottomRight" activeCell="E3" sqref="E3:J3"/>
    </sheetView>
  </sheetViews>
  <sheetFormatPr defaultColWidth="17.7109375" defaultRowHeight="42" customHeight="1" x14ac:dyDescent="0.25"/>
  <cols>
    <col min="1" max="1" width="25.85546875" style="3" bestFit="1" customWidth="1"/>
    <col min="2" max="2" width="25.85546875" style="2" bestFit="1" customWidth="1"/>
    <col min="3" max="3" width="25.5703125" style="2" hidden="1" customWidth="1"/>
    <col min="4" max="4" width="22.5703125" style="2" bestFit="1" customWidth="1"/>
    <col min="5" max="5" width="25.85546875" style="2" bestFit="1" customWidth="1"/>
    <col min="6" max="6" width="26.85546875" style="2" hidden="1" customWidth="1"/>
    <col min="7" max="8" width="25.85546875" style="2" bestFit="1" customWidth="1"/>
    <col min="9" max="9" width="19.42578125" style="2" hidden="1" customWidth="1"/>
    <col min="10" max="11" width="25.85546875" style="2" bestFit="1" customWidth="1"/>
    <col min="12" max="12" width="25.85546875" style="3" bestFit="1" customWidth="1"/>
    <col min="13" max="13" width="25.140625" style="2" hidden="1" customWidth="1"/>
    <col min="14" max="14" width="23.7109375" style="2" bestFit="1" customWidth="1"/>
    <col min="15" max="15" width="25.85546875" style="3" bestFit="1" customWidth="1"/>
    <col min="16" max="16" width="16.5703125" style="2" hidden="1" customWidth="1"/>
    <col min="17" max="17" width="22.5703125" style="2" bestFit="1" customWidth="1"/>
    <col min="18" max="18" width="25.85546875" style="3" bestFit="1" customWidth="1"/>
    <col min="19" max="19" width="23.7109375" style="2" hidden="1" customWidth="1"/>
    <col min="20" max="20" width="25.85546875" style="2" bestFit="1" customWidth="1"/>
    <col min="21" max="21" width="22.5703125" style="2" bestFit="1" customWidth="1"/>
    <col min="22" max="22" width="16.5703125" style="2" hidden="1" customWidth="1"/>
    <col min="23" max="23" width="25.85546875" style="2" bestFit="1" customWidth="1"/>
    <col min="24" max="24" width="17.7109375" style="2" bestFit="1" customWidth="1"/>
    <col min="25" max="25" width="19.85546875" style="2" hidden="1" customWidth="1"/>
    <col min="26" max="26" width="25.85546875" style="2" bestFit="1" customWidth="1"/>
    <col min="27" max="27" width="22.5703125" style="2" bestFit="1" customWidth="1"/>
    <col min="28" max="16384" width="17.7109375" style="2"/>
  </cols>
  <sheetData>
    <row r="1" spans="1:27" ht="101.25" hidden="1" customHeight="1" thickBot="1" x14ac:dyDescent="0.3">
      <c r="F1" s="2" t="s">
        <v>389</v>
      </c>
      <c r="G1" s="2" t="s">
        <v>389</v>
      </c>
      <c r="I1" s="2" t="s">
        <v>390</v>
      </c>
      <c r="J1" s="2" t="s">
        <v>390</v>
      </c>
      <c r="M1" s="2" t="s">
        <v>391</v>
      </c>
      <c r="N1" s="2" t="s">
        <v>391</v>
      </c>
      <c r="P1" s="2" t="s">
        <v>392</v>
      </c>
      <c r="Q1" s="2" t="s">
        <v>392</v>
      </c>
      <c r="S1" s="2" t="s">
        <v>393</v>
      </c>
      <c r="T1" s="2" t="s">
        <v>393</v>
      </c>
      <c r="V1" s="2" t="s">
        <v>394</v>
      </c>
      <c r="Y1" s="2" t="s">
        <v>395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1741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34" t="s">
        <v>67</v>
      </c>
      <c r="AA2" s="336" t="s">
        <v>69</v>
      </c>
    </row>
    <row r="3" spans="1:27" ht="42" customHeight="1" thickBot="1" x14ac:dyDescent="0.3">
      <c r="A3" s="281"/>
      <c r="B3" s="325"/>
      <c r="C3" s="14"/>
      <c r="D3" s="328"/>
      <c r="E3" s="313" t="s">
        <v>1742</v>
      </c>
      <c r="F3" s="314"/>
      <c r="G3" s="314"/>
      <c r="H3" s="314"/>
      <c r="I3" s="314"/>
      <c r="J3" s="315"/>
      <c r="K3" s="330"/>
      <c r="L3" s="316" t="s">
        <v>499</v>
      </c>
      <c r="M3" s="317"/>
      <c r="N3" s="318"/>
      <c r="O3" s="339" t="s">
        <v>1743</v>
      </c>
      <c r="P3" s="340"/>
      <c r="Q3" s="341"/>
      <c r="R3" s="342" t="s">
        <v>499</v>
      </c>
      <c r="S3" s="343"/>
      <c r="T3" s="344"/>
      <c r="U3" s="351"/>
      <c r="V3" s="352"/>
      <c r="W3" s="353"/>
      <c r="X3" s="134"/>
      <c r="Y3" s="333"/>
      <c r="Z3" s="335"/>
      <c r="AA3" s="337"/>
    </row>
    <row r="4" spans="1:27" ht="42" customHeight="1" thickBot="1" x14ac:dyDescent="0.3">
      <c r="A4" s="282"/>
      <c r="B4" s="326"/>
      <c r="C4" s="10"/>
      <c r="D4" s="27">
        <f>SUM(_018_520[入料數])</f>
        <v>347</v>
      </c>
      <c r="E4" s="25">
        <f>SUM(_018_520['#08待委外數量])</f>
        <v>0</v>
      </c>
      <c r="F4" s="25">
        <f>SUM(_018_520['#08已委外數量])</f>
        <v>347</v>
      </c>
      <c r="G4" s="319">
        <f>SUM(_018_520['#08待回數量])</f>
        <v>138</v>
      </c>
      <c r="H4" s="320"/>
      <c r="I4" s="25">
        <f>SUM(_018_520['#08已委外數量])</f>
        <v>347</v>
      </c>
      <c r="J4" s="25">
        <f>SUM(_018_520['#08委外NG])</f>
        <v>3</v>
      </c>
      <c r="K4" s="331"/>
      <c r="L4" s="26">
        <f>SUM(_018_520['#06待檢驗
數量])</f>
        <v>0</v>
      </c>
      <c r="M4" s="26">
        <f>SUM(_018_520['#06檢驗OK])</f>
        <v>206</v>
      </c>
      <c r="N4" s="26">
        <f>SUM(_018_520['#06
QC NG])</f>
        <v>0</v>
      </c>
      <c r="O4" s="26">
        <f>SUM(_018_520[成品待檢驗])</f>
        <v>0</v>
      </c>
      <c r="P4" s="26">
        <f>SUM(_018_520[良品])</f>
        <v>201</v>
      </c>
      <c r="Q4" s="26">
        <f>SUM(_018_520[不良品])</f>
        <v>5</v>
      </c>
      <c r="R4" s="26">
        <f>SUM(_018_520[已包裝待放行])</f>
        <v>0</v>
      </c>
      <c r="S4" s="26">
        <f>SUM(_018_520[良品])</f>
        <v>201</v>
      </c>
      <c r="T4" s="26">
        <f>SUM(_018_520[不良品])</f>
        <v>5</v>
      </c>
      <c r="U4" s="131">
        <f>SUM(_018_520[未入庫])</f>
        <v>0</v>
      </c>
      <c r="V4" s="131">
        <f>SUM(_018_520[入庫])</f>
        <v>201</v>
      </c>
      <c r="W4" s="131">
        <f>SUM(_018_520[可出貨數量])</f>
        <v>18</v>
      </c>
      <c r="X4" s="135"/>
      <c r="Y4" s="132">
        <f>SUM(_018_520[已出貨])</f>
        <v>183</v>
      </c>
      <c r="Z4" s="138">
        <f>SUM(_018_520[總不良數])</f>
        <v>8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293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239">
        <v>46140</v>
      </c>
      <c r="B6" s="240" t="s">
        <v>1935</v>
      </c>
      <c r="C6" s="241" t="s">
        <v>499</v>
      </c>
      <c r="D6" s="242">
        <v>209</v>
      </c>
      <c r="E6" s="243">
        <f>_018_520[[#This Row],[入料數]]-_018_520[[#This Row],['#08已委外數量]]</f>
        <v>0</v>
      </c>
      <c r="F6" s="243">
        <f>SUMIFS(record[OK],record[製程料號],_018_520[[#This Row],[製令單號]],record[ProcessSN],F$1)</f>
        <v>209</v>
      </c>
      <c r="G6" s="242" t="str">
        <f>IF(_018_520[[#This Row],['#08已委外數量]]&gt;0,VLOOKUP(G$1,record[[ProcessSN]:[廠商]],12,FALSE),"尚未委外")</f>
        <v>泉盛</v>
      </c>
      <c r="H6" s="243">
        <f>_018_520[[#This Row],['#08已委外數量]]-_018_520[[#This Row],['#08回
良品]]-_018_520[[#This Row],['#08委外NG]]</f>
        <v>0</v>
      </c>
      <c r="I6" s="243">
        <f>SUMIFS(record[OK],record[製程料號],_018_520[[#This Row],[製令單號]],record[ProcessSN],I$1)</f>
        <v>206</v>
      </c>
      <c r="J6" s="244">
        <f>SUMIFS(record[NG],record[製程料號],_018_520[[#This Row],[製令單號]],record[ProcessSN],J$1)</f>
        <v>3</v>
      </c>
      <c r="K6" s="150">
        <f>IFERROR(_018_520[[#This Row],['#08委外NG]]/_018_520[[#This Row],['#08已委外數量]],"")</f>
        <v>1.4354066985645933E-2</v>
      </c>
      <c r="L6" s="243">
        <f>_018_520[[#This Row],['#08回
良品]]-_018_520[[#This Row],['#06檢驗OK]]-_018_520[[#This Row],['#06
QC NG]]</f>
        <v>0</v>
      </c>
      <c r="M6" s="243">
        <f>SUMIFS(record[OK],record[製程料號],_018_520[[#This Row],[製令單號]],record[ProcessSN],M$1)</f>
        <v>206</v>
      </c>
      <c r="N6" s="244">
        <f>SUMIFS(record[NG],record[製程料號],_018_520[[#This Row],[製令單號]],record[ProcessSN],N$1)</f>
        <v>0</v>
      </c>
      <c r="O6" s="243">
        <f>_018_520[[#This Row],['#06檢驗OK]]-_018_520[[#This Row],[不良品]]-_018_520[[#This Row],[良品]]</f>
        <v>0</v>
      </c>
      <c r="P6" s="243">
        <f>SUMIFS(record[OK],record[製程料號],_018_520[[#This Row],[製令單號]],record[ProcessSN],P$1)</f>
        <v>201</v>
      </c>
      <c r="Q6" s="244">
        <f>SUMIFS(record[NG],record[製程料號],_018_520[[#This Row],[製令單號]],record[ProcessSN],Q$1)</f>
        <v>5</v>
      </c>
      <c r="R6" s="243">
        <f>_018_520[[#This Row],[良品]]-_018_520[[#This Row],[良品放行]]-_018_520[[#This Row],[不良待處理]]</f>
        <v>0</v>
      </c>
      <c r="S6" s="243">
        <f>SUMIFS(record[OK],record[製程料號],_018_520[[#This Row],[製令單號]],record[ProcessSN],S$1)</f>
        <v>201</v>
      </c>
      <c r="T6" s="244">
        <f>SUMIFS(record[NG],record[製程料號],_018_520[[#This Row],[製令單號]],record[ProcessSN],T$1)</f>
        <v>0</v>
      </c>
      <c r="U6" s="243">
        <f>_018_520[[#This Row],[良品放行]]-_018_520[[#This Row],[入庫]]</f>
        <v>0</v>
      </c>
      <c r="V6" s="243">
        <f>SUMIFS(record[OK],record[製程料號],_018_520[[#This Row],[製令單號]],record[ProcessSN],V$1)</f>
        <v>201</v>
      </c>
      <c r="W6" s="243">
        <f>_018_520[[#This Row],[入庫]]-_018_520[[#This Row],[已出貨]]</f>
        <v>18</v>
      </c>
      <c r="X6" s="246"/>
      <c r="Y6" s="243">
        <f>SUMIFS(record[OK],record[製程料號],_018_520[[#This Row],[製令單號]],record[ProcessSN],Y$1)</f>
        <v>183</v>
      </c>
      <c r="Z6" s="247">
        <f>_018_520[[#This Row],[不良待處理]]+_018_520[[#This Row],[不良品]]+_018_520[[#This Row],['#06
QC NG]]+_018_520[[#This Row],['#08委外NG]]</f>
        <v>8</v>
      </c>
      <c r="AA6" s="150">
        <f>IF(_018_520[[#This Row],[已出貨]]+_018_520[[#This Row],[總不良數]]+_018_520[[#This Row],[可出貨數量]]=_018_520[[#This Row],[入料數]],(_018_520[[#This Row],[可出貨數量]]+_018_520[[#This Row],[已出貨]])/_018_520[[#This Row],[入料數]],"")</f>
        <v>0.96172248803827753</v>
      </c>
    </row>
    <row r="7" spans="1:27" ht="30.75" x14ac:dyDescent="0.25">
      <c r="A7" s="239">
        <v>46160</v>
      </c>
      <c r="B7" s="240" t="s">
        <v>2042</v>
      </c>
      <c r="C7" s="241" t="s">
        <v>499</v>
      </c>
      <c r="D7" s="242">
        <v>138</v>
      </c>
      <c r="E7" s="243">
        <f>_018_520[[#This Row],[入料數]]-_018_520[[#This Row],['#08已委外數量]]</f>
        <v>0</v>
      </c>
      <c r="F7" s="243">
        <f>SUMIFS(record[OK],record[製程料號],_018_520[[#This Row],[製令單號]],record[ProcessSN],F$1)</f>
        <v>138</v>
      </c>
      <c r="G7" s="242" t="str">
        <f>IF(_018_520[[#This Row],['#08已委外數量]]&gt;0,VLOOKUP(G$1,record[[ProcessSN]:[廠商]],12,FALSE),"尚未委外")</f>
        <v>泉盛</v>
      </c>
      <c r="H7" s="243">
        <f>_018_520[[#This Row],['#08已委外數量]]-_018_520[[#This Row],['#08回
良品]]-_018_520[[#This Row],['#08委外NG]]</f>
        <v>138</v>
      </c>
      <c r="I7" s="243">
        <f>SUMIFS(record[OK],record[製程料號],_018_520[[#This Row],[製令單號]],record[ProcessSN],I$1)</f>
        <v>0</v>
      </c>
      <c r="J7" s="244">
        <f>SUMIFS(record[NG],record[製程料號],_018_520[[#This Row],[製令單號]],record[ProcessSN],J$1)</f>
        <v>0</v>
      </c>
      <c r="K7" s="245">
        <f>IFERROR(_018_520[[#This Row],['#08委外NG]]/_018_520[[#This Row],['#08已委外數量]],"")</f>
        <v>0</v>
      </c>
      <c r="L7" s="243">
        <f>_018_520[[#This Row],['#08回
良品]]-_018_520[[#This Row],['#06檢驗OK]]-_018_520[[#This Row],['#06
QC NG]]</f>
        <v>0</v>
      </c>
      <c r="M7" s="243">
        <f>SUMIFS(record[OK],record[製程料號],_018_520[[#This Row],[製令單號]],record[ProcessSN],M$1)</f>
        <v>0</v>
      </c>
      <c r="N7" s="244">
        <f>SUMIFS(record[NG],record[製程料號],_018_520[[#This Row],[製令單號]],record[ProcessSN],N$1)</f>
        <v>0</v>
      </c>
      <c r="O7" s="243">
        <f>_018_520[[#This Row],['#06檢驗OK]]-_018_520[[#This Row],[不良品]]-_018_520[[#This Row],[良品]]</f>
        <v>0</v>
      </c>
      <c r="P7" s="243">
        <f>SUMIFS(record[OK],record[製程料號],_018_520[[#This Row],[製令單號]],record[ProcessSN],P$1)</f>
        <v>0</v>
      </c>
      <c r="Q7" s="244">
        <f>SUMIFS(record[NG],record[製程料號],_018_520[[#This Row],[製令單號]],record[ProcessSN],Q$1)</f>
        <v>0</v>
      </c>
      <c r="R7" s="243">
        <f>_018_520[[#This Row],[良品]]-_018_520[[#This Row],[良品放行]]-_018_520[[#This Row],[不良待處理]]</f>
        <v>0</v>
      </c>
      <c r="S7" s="243">
        <f>SUMIFS(record[OK],record[製程料號],_018_520[[#This Row],[製令單號]],record[ProcessSN],S$1)</f>
        <v>0</v>
      </c>
      <c r="T7" s="244">
        <f>SUMIFS(record[NG],record[製程料號],_018_520[[#This Row],[製令單號]],record[ProcessSN],T$1)</f>
        <v>0</v>
      </c>
      <c r="U7" s="243">
        <f>_018_520[[#This Row],[良品放行]]-_018_520[[#This Row],[入庫]]</f>
        <v>0</v>
      </c>
      <c r="V7" s="243">
        <f>SUMIFS(record[OK],record[製程料號],_018_520[[#This Row],[製令單號]],record[ProcessSN],V$1)</f>
        <v>0</v>
      </c>
      <c r="W7" s="243">
        <f>_018_520[[#This Row],[入庫]]-_018_520[[#This Row],[已出貨]]</f>
        <v>0</v>
      </c>
      <c r="X7" s="246"/>
      <c r="Y7" s="243">
        <f>SUMIFS(record[OK],record[製程料號],_018_520[[#This Row],[製令單號]],record[ProcessSN],Y$1)</f>
        <v>0</v>
      </c>
      <c r="Z7" s="247">
        <f>_018_520[[#This Row],[不良待處理]]+_018_520[[#This Row],[不良品]]+_018_520[[#This Row],['#06
QC NG]]+_018_520[[#This Row],['#08委外NG]]</f>
        <v>0</v>
      </c>
      <c r="AA7" s="245" t="str">
        <f>IF(_018_520[[#This Row],[已出貨]]+_018_520[[#This Row],[總不良數]]+_018_520[[#This Row],[可出貨數量]]=_018_520[[#This Row],[入料數]],(_018_520[[#This Row],[可出貨數量]]+_018_520[[#This Row],[已出貨]])/_018_520[[#This Row],[入料數]],"")</f>
        <v/>
      </c>
    </row>
    <row r="8" spans="1:27" ht="15.75" x14ac:dyDescent="0.25"/>
    <row r="9" spans="1:27" ht="15.75" x14ac:dyDescent="0.25"/>
    <row r="10" spans="1:27" ht="15.75" x14ac:dyDescent="0.25"/>
    <row r="11" spans="1:27" ht="15.75" x14ac:dyDescent="0.25"/>
    <row r="12" spans="1:27" ht="15.75" x14ac:dyDescent="0.25"/>
    <row r="13" spans="1:27" ht="15.75" x14ac:dyDescent="0.25"/>
    <row r="14" spans="1:27" ht="15.75" x14ac:dyDescent="0.25"/>
    <row r="15" spans="1:27" ht="15.75" x14ac:dyDescent="0.25"/>
    <row r="16" spans="1:27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  <row r="22" ht="15.75" x14ac:dyDescent="0.25"/>
    <row r="23" ht="15.75" x14ac:dyDescent="0.25"/>
    <row r="24" ht="15.75" x14ac:dyDescent="0.25"/>
    <row r="25" ht="15.75" x14ac:dyDescent="0.25"/>
    <row r="26" ht="15.75" x14ac:dyDescent="0.25"/>
    <row r="27" ht="15.75" x14ac:dyDescent="0.25"/>
    <row r="28" ht="15.75" x14ac:dyDescent="0.25"/>
    <row r="29" ht="15.75" x14ac:dyDescent="0.25"/>
    <row r="30" ht="15.75" x14ac:dyDescent="0.25"/>
    <row r="31" ht="15.75" x14ac:dyDescent="0.25"/>
    <row r="32" ht="15.75" x14ac:dyDescent="0.25"/>
    <row r="33" ht="15.75" x14ac:dyDescent="0.25"/>
    <row r="34" ht="15.75" x14ac:dyDescent="0.25"/>
    <row r="35" ht="15.75" x14ac:dyDescent="0.25"/>
    <row r="36" ht="15.75" x14ac:dyDescent="0.25"/>
    <row r="37" ht="15.75" x14ac:dyDescent="0.25"/>
    <row r="38" ht="15.75" x14ac:dyDescent="0.25"/>
    <row r="39" ht="15.75" x14ac:dyDescent="0.25"/>
    <row r="40" ht="15.75" x14ac:dyDescent="0.25"/>
    <row r="41" ht="15.75" x14ac:dyDescent="0.25"/>
    <row r="42" ht="15.75" x14ac:dyDescent="0.25"/>
  </sheetData>
  <mergeCells count="17">
    <mergeCell ref="Y2:Y3"/>
    <mergeCell ref="Z2:Z3"/>
    <mergeCell ref="AA2:AA4"/>
    <mergeCell ref="O3:Q3"/>
    <mergeCell ref="R3:T3"/>
    <mergeCell ref="R2:T2"/>
    <mergeCell ref="U2:W3"/>
    <mergeCell ref="A2:A4"/>
    <mergeCell ref="B2:B4"/>
    <mergeCell ref="D2:D3"/>
    <mergeCell ref="E2:J2"/>
    <mergeCell ref="K2:K4"/>
    <mergeCell ref="L2:N2"/>
    <mergeCell ref="E3:J3"/>
    <mergeCell ref="L3:N3"/>
    <mergeCell ref="G4:H4"/>
    <mergeCell ref="O2:Q2"/>
  </mergeCells>
  <phoneticPr fontId="3" type="noConversion"/>
  <conditionalFormatting sqref="E5:F7 H5:I7 L5:M7 O5:P7 R5:S7 U5:Y7">
    <cfRule type="cellIs" dxfId="516" priority="10" operator="lessThan">
      <formula>0</formula>
    </cfRule>
    <cfRule type="cellIs" dxfId="515" priority="11" operator="greaterThan">
      <formula>0</formula>
    </cfRule>
  </conditionalFormatting>
  <conditionalFormatting sqref="AA5:AA7">
    <cfRule type="cellIs" dxfId="514" priority="3" operator="lessThan">
      <formula>0.97</formula>
    </cfRule>
  </conditionalFormatting>
  <conditionalFormatting sqref="J5:K7 N5:N7 Q5:Q7 T5:T7">
    <cfRule type="cellIs" dxfId="513" priority="8" operator="greaterThan">
      <formula>0</formula>
    </cfRule>
  </conditionalFormatting>
  <conditionalFormatting sqref="G5:G7">
    <cfRule type="containsText" dxfId="512" priority="6" operator="containsText" text="尚未委外">
      <formula>NOT(ISERROR(SEARCH("尚未委外",G5)))</formula>
    </cfRule>
    <cfRule type="notContainsBlanks" dxfId="511" priority="7">
      <formula>LEN(TRIM(G5))&gt;0</formula>
    </cfRule>
  </conditionalFormatting>
  <conditionalFormatting sqref="K5:K7">
    <cfRule type="containsBlanks" dxfId="510" priority="4">
      <formula>LEN(TRIM(K5))=0</formula>
    </cfRule>
    <cfRule type="cellIs" dxfId="509" priority="5" operator="greaterThan">
      <formula>0.03</formula>
    </cfRule>
  </conditionalFormatting>
  <conditionalFormatting sqref="AA5:AA7">
    <cfRule type="containsBlanks" dxfId="508" priority="1">
      <formula>LEN(TRIM(AA5))=0</formula>
    </cfRule>
    <cfRule type="cellIs" dxfId="507" priority="2" operator="greaterThanOrEqual">
      <formula>0.97</formula>
    </cfRule>
    <cfRule type="notContainsBlanks" dxfId="506" priority="9">
      <formula>LEN(TRIM(AA5))&gt;0</formula>
    </cfRule>
  </conditionalFormatting>
  <pageMargins left="0.7" right="0.7" top="0.75" bottom="0.75" header="0.51180555555555496" footer="0.51180555555555496"/>
  <pageSetup paperSize="9" firstPageNumber="0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6E590-B4D2-443A-9F12-5BCCD7FE118D}">
  <sheetPr codeName="工作表19">
    <tabColor rgb="FFFFC000"/>
  </sheetPr>
  <dimension ref="A1:AA164"/>
  <sheetViews>
    <sheetView zoomScale="55" zoomScaleNormal="55" workbookViewId="0">
      <pane xSplit="4" ySplit="5" topLeftCell="G144" activePane="bottomRight" state="frozen"/>
      <selection sqref="A1:XFD1048576"/>
      <selection pane="topRight" sqref="A1:XFD1048576"/>
      <selection pane="bottomLeft" sqref="A1:XFD1048576"/>
      <selection pane="bottomRight" activeCell="R165" sqref="R165"/>
    </sheetView>
  </sheetViews>
  <sheetFormatPr defaultColWidth="17.7109375" defaultRowHeight="42" customHeight="1" x14ac:dyDescent="0.25"/>
  <cols>
    <col min="1" max="1" width="24.7109375" style="3" bestFit="1" customWidth="1"/>
    <col min="2" max="2" width="28.28515625" style="2" bestFit="1" customWidth="1"/>
    <col min="3" max="3" width="25.5703125" style="2" hidden="1" customWidth="1"/>
    <col min="4" max="4" width="20.85546875" style="2" bestFit="1" customWidth="1"/>
    <col min="5" max="5" width="28.28515625" style="2" bestFit="1" customWidth="1"/>
    <col min="6" max="6" width="26.85546875" style="2" hidden="1" customWidth="1"/>
    <col min="7" max="7" width="24.140625" style="2" bestFit="1" customWidth="1"/>
    <col min="8" max="8" width="28.28515625" style="2" bestFit="1" customWidth="1"/>
    <col min="9" max="9" width="19.42578125" style="2" hidden="1" customWidth="1"/>
    <col min="10" max="11" width="28.28515625" style="2" bestFit="1" customWidth="1"/>
    <col min="12" max="12" width="27.85546875" style="3" bestFit="1" customWidth="1"/>
    <col min="13" max="13" width="28.7109375" style="2" hidden="1" customWidth="1"/>
    <col min="14" max="14" width="22.140625" style="2" bestFit="1" customWidth="1"/>
    <col min="15" max="15" width="28.28515625" style="3" bestFit="1" customWidth="1"/>
    <col min="16" max="16" width="16.5703125" style="2" hidden="1" customWidth="1"/>
    <col min="17" max="17" width="20.85546875" style="2" bestFit="1" customWidth="1"/>
    <col min="18" max="18" width="28.28515625" style="3" bestFit="1" customWidth="1"/>
    <col min="19" max="19" width="23.7109375" style="2" hidden="1" customWidth="1"/>
    <col min="20" max="20" width="28.28515625" style="2" bestFit="1" customWidth="1"/>
    <col min="21" max="21" width="20.85546875" style="2" bestFit="1" customWidth="1"/>
    <col min="22" max="22" width="30.42578125" style="2" hidden="1" customWidth="1"/>
    <col min="23" max="23" width="28.28515625" style="2" bestFit="1" customWidth="1"/>
    <col min="24" max="24" width="16.42578125" style="2" bestFit="1" customWidth="1"/>
    <col min="25" max="25" width="22.5703125" style="2" hidden="1" customWidth="1"/>
    <col min="26" max="26" width="24.7109375" style="2" bestFit="1" customWidth="1"/>
    <col min="27" max="27" width="21" style="2" bestFit="1" customWidth="1"/>
    <col min="28" max="16384" width="17.7109375" style="2"/>
  </cols>
  <sheetData>
    <row r="1" spans="1:27" ht="101.25" hidden="1" customHeight="1" thickBot="1" x14ac:dyDescent="0.3">
      <c r="F1" s="2" t="s">
        <v>397</v>
      </c>
      <c r="G1" s="2" t="s">
        <v>397</v>
      </c>
      <c r="I1" s="2" t="s">
        <v>398</v>
      </c>
      <c r="J1" s="2" t="s">
        <v>398</v>
      </c>
      <c r="M1" s="2" t="s">
        <v>399</v>
      </c>
      <c r="N1" s="2" t="s">
        <v>399</v>
      </c>
      <c r="P1" s="2" t="s">
        <v>400</v>
      </c>
      <c r="Q1" s="2" t="s">
        <v>400</v>
      </c>
      <c r="S1" s="2" t="s">
        <v>401</v>
      </c>
      <c r="T1" s="2" t="s">
        <v>401</v>
      </c>
      <c r="V1" s="2" t="s">
        <v>402</v>
      </c>
      <c r="Y1" s="2" t="s">
        <v>403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573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34" t="s">
        <v>67</v>
      </c>
      <c r="AA2" s="336" t="s">
        <v>69</v>
      </c>
    </row>
    <row r="3" spans="1:27" ht="42" customHeight="1" thickBot="1" x14ac:dyDescent="0.3">
      <c r="A3" s="281"/>
      <c r="B3" s="325"/>
      <c r="C3" s="14"/>
      <c r="D3" s="328"/>
      <c r="E3" s="313" t="s">
        <v>1058</v>
      </c>
      <c r="F3" s="314"/>
      <c r="G3" s="314"/>
      <c r="H3" s="314"/>
      <c r="I3" s="314"/>
      <c r="J3" s="315"/>
      <c r="K3" s="331"/>
      <c r="L3" s="316" t="s">
        <v>500</v>
      </c>
      <c r="M3" s="317"/>
      <c r="N3" s="318"/>
      <c r="O3" s="339" t="s">
        <v>754</v>
      </c>
      <c r="P3" s="340"/>
      <c r="Q3" s="341"/>
      <c r="R3" s="342" t="s">
        <v>500</v>
      </c>
      <c r="S3" s="343"/>
      <c r="T3" s="344"/>
      <c r="U3" s="351"/>
      <c r="V3" s="352"/>
      <c r="W3" s="353"/>
      <c r="X3" s="134"/>
      <c r="Y3" s="333"/>
      <c r="Z3" s="335"/>
      <c r="AA3" s="337"/>
    </row>
    <row r="4" spans="1:27" ht="42" customHeight="1" thickBot="1" x14ac:dyDescent="0.3">
      <c r="A4" s="282"/>
      <c r="B4" s="326"/>
      <c r="C4" s="10"/>
      <c r="D4" s="27">
        <f>SUM(_018_550[入料數])</f>
        <v>50606</v>
      </c>
      <c r="E4" s="25">
        <f>SUM(_018_550['#08待委外數量])</f>
        <v>0</v>
      </c>
      <c r="F4" s="25">
        <f>SUM(_018_550['#08已委外數量])</f>
        <v>50606</v>
      </c>
      <c r="G4" s="319">
        <f>SUM(_018_550['#08待回數量])</f>
        <v>336</v>
      </c>
      <c r="H4" s="320"/>
      <c r="I4" s="25">
        <f>SUM(_018_550['#08已委外數量])</f>
        <v>50606</v>
      </c>
      <c r="J4" s="25">
        <f>SUM(_018_550['#08委外NG])</f>
        <v>962</v>
      </c>
      <c r="K4" s="180">
        <f>AVERAGE(_018_550[陽極不良率])</f>
        <v>2.0750963699528807E-2</v>
      </c>
      <c r="L4" s="26">
        <f>SUM(_018_550['#06待檢驗
數量])</f>
        <v>0</v>
      </c>
      <c r="M4" s="26">
        <f>SUM(_018_550['#06檢驗OK])</f>
        <v>49308</v>
      </c>
      <c r="N4" s="26">
        <f>SUM(_018_550['#06
QC NG])</f>
        <v>0</v>
      </c>
      <c r="O4" s="26">
        <f>SUM(_018_550[成品待檢驗])</f>
        <v>0</v>
      </c>
      <c r="P4" s="26">
        <f>SUM(_018_550[良品])</f>
        <v>48602</v>
      </c>
      <c r="Q4" s="26">
        <f>SUM(_018_550[不良品])</f>
        <v>706</v>
      </c>
      <c r="R4" s="26">
        <f>SUM(_018_550[已包裝待放行])</f>
        <v>0</v>
      </c>
      <c r="S4" s="26">
        <f>SUM(_018_550[良品])</f>
        <v>48602</v>
      </c>
      <c r="T4" s="26">
        <f>SUM(_018_550[不良品])</f>
        <v>706</v>
      </c>
      <c r="U4" s="131">
        <f>SUM(_018_550[未入庫])</f>
        <v>169</v>
      </c>
      <c r="V4" s="131">
        <f>SUM(_018_550[入庫])</f>
        <v>48433</v>
      </c>
      <c r="W4" s="131">
        <f>SUM(_018_550[可出貨數量])</f>
        <v>305</v>
      </c>
      <c r="X4" s="135"/>
      <c r="Y4" s="132">
        <f>SUM(_018_550[已出貨])</f>
        <v>48128</v>
      </c>
      <c r="Z4" s="138">
        <f>SUM(_018_550[總不良數])</f>
        <v>1668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301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140">
        <v>45647</v>
      </c>
      <c r="B6" s="142" t="s">
        <v>607</v>
      </c>
      <c r="C6" s="6" t="s">
        <v>500</v>
      </c>
      <c r="D6" s="144">
        <v>150</v>
      </c>
      <c r="E6" s="146">
        <f>_018_550[[#This Row],[入料數]]-_018_550[[#This Row],['#08已委外數量]]</f>
        <v>0</v>
      </c>
      <c r="F6" s="146">
        <f>SUMIFS(record[OK],record[製程料號],_018_550[[#This Row],[製令單號]],record[ProcessSN],F$1)</f>
        <v>150</v>
      </c>
      <c r="G6" s="144" t="str">
        <f>IF(_018_550[[#This Row],['#08已委外數量]]&gt;0,VLOOKUP(G$1,record[[ProcessSN]:[廠商]],12,FALSE),"尚未委外")</f>
        <v>泉盛</v>
      </c>
      <c r="H6" s="146">
        <f>_018_550[[#This Row],['#08已委外數量]]-_018_550[[#This Row],['#08回
良品]]-_018_550[[#This Row],['#08委外NG]]</f>
        <v>0</v>
      </c>
      <c r="I6" s="146">
        <f>SUMIFS(record[OK],record[製程料號],_018_550[[#This Row],[製令單號]],record[ProcessSN],I$1)</f>
        <v>141</v>
      </c>
      <c r="J6" s="148">
        <f>SUMIFS(record[NG],record[製程料號],_018_550[[#This Row],[製令單號]],record[ProcessSN],J$1)</f>
        <v>9</v>
      </c>
      <c r="K6" s="150">
        <f>IFERROR(_018_550[[#This Row],['#08委外NG]]/_018_550[[#This Row],['#08已委外數量]],"")</f>
        <v>0.06</v>
      </c>
      <c r="L6" s="146">
        <f>_018_550[[#This Row],['#08回
良品]]-_018_550[[#This Row],['#06檢驗OK]]-_018_550[[#This Row],['#06
QC NG]]</f>
        <v>0</v>
      </c>
      <c r="M6" s="146">
        <f>SUMIFS(record[OK],record[製程料號],_018_550[[#This Row],[製令單號]],record[ProcessSN],M$1)</f>
        <v>141</v>
      </c>
      <c r="N6" s="148">
        <f>SUMIFS(record[NG],record[製程料號],_018_550[[#This Row],[製令單號]],record[ProcessSN],N$1)</f>
        <v>0</v>
      </c>
      <c r="O6" s="146">
        <f>_018_550[[#This Row],['#06檢驗OK]]-_018_550[[#This Row],[不良品]]-_018_550[[#This Row],[良品]]</f>
        <v>0</v>
      </c>
      <c r="P6" s="146">
        <f>SUMIFS(record[OK],record[製程料號],_018_550[[#This Row],[製令單號]],record[ProcessSN],P$1)</f>
        <v>141</v>
      </c>
      <c r="Q6" s="148">
        <f>SUMIFS(record[NG],record[製程料號],_018_550[[#This Row],[製令單號]],record[ProcessSN],Q$1)</f>
        <v>0</v>
      </c>
      <c r="R6" s="146">
        <f>_018_550[[#This Row],[良品]]-_018_550[[#This Row],[良品放行]]-_018_550[[#This Row],[不良待處理]]</f>
        <v>0</v>
      </c>
      <c r="S6" s="146">
        <f>SUMIFS(record[OK],record[製程料號],_018_550[[#This Row],[製令單號]],record[ProcessSN],S$1)</f>
        <v>141</v>
      </c>
      <c r="T6" s="148">
        <f>SUMIFS(record[NG],record[製程料號],_018_550[[#This Row],[製令單號]],record[ProcessSN],T$1)</f>
        <v>0</v>
      </c>
      <c r="U6" s="146">
        <f>_018_550[[#This Row],[良品放行]]-_018_550[[#This Row],[入庫]]</f>
        <v>0</v>
      </c>
      <c r="V6" s="146">
        <f>SUMIFS(record[OK],record[製程料號],_018_550[[#This Row],[製令單號]],record[ProcessSN],V$1)</f>
        <v>141</v>
      </c>
      <c r="W6" s="146">
        <f>_018_550[[#This Row],[入庫]]-_018_550[[#This Row],[已出貨]]</f>
        <v>0</v>
      </c>
      <c r="X6" s="157"/>
      <c r="Y6" s="146">
        <f>SUMIFS(record[OK],record[製程料號],_018_550[[#This Row],[製令單號]],record[ProcessSN],Y$1)</f>
        <v>141</v>
      </c>
      <c r="Z6" s="152">
        <f>_018_550[[#This Row],[不良待處理]]+_018_550[[#This Row],[不良品]]+_018_550[[#This Row],['#06
QC NG]]+_018_550[[#This Row],['#08委外NG]]</f>
        <v>9</v>
      </c>
      <c r="AA6" s="150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0.94</v>
      </c>
    </row>
    <row r="7" spans="1:27" ht="30.75" x14ac:dyDescent="0.25">
      <c r="A7" s="120">
        <v>45647</v>
      </c>
      <c r="B7" s="121" t="s">
        <v>604</v>
      </c>
      <c r="C7" s="122" t="s">
        <v>500</v>
      </c>
      <c r="D7" s="118">
        <v>614</v>
      </c>
      <c r="E7" s="123">
        <f>_018_550[[#This Row],[入料數]]-_018_550[[#This Row],['#08已委外數量]]</f>
        <v>0</v>
      </c>
      <c r="F7" s="123">
        <f>SUMIFS(record[OK],record[製程料號],_018_550[[#This Row],[製令單號]],record[ProcessSN],F$1)</f>
        <v>614</v>
      </c>
      <c r="G7" s="118" t="str">
        <f>IF(_018_550[[#This Row],['#08已委外數量]]&gt;0,VLOOKUP(G$1,record[[ProcessSN]:[廠商]],12,FALSE),"尚未委外")</f>
        <v>泉盛</v>
      </c>
      <c r="H7" s="123">
        <f>_018_550[[#This Row],['#08已委外數量]]-_018_550[[#This Row],['#08回
良品]]-_018_550[[#This Row],['#08委外NG]]</f>
        <v>0</v>
      </c>
      <c r="I7" s="123">
        <f>SUMIFS(record[OK],record[製程料號],_018_550[[#This Row],[製令單號]],record[ProcessSN],I$1)</f>
        <v>603</v>
      </c>
      <c r="J7" s="117">
        <f>SUMIFS(record[NG],record[製程料號],_018_550[[#This Row],[製令單號]],record[ProcessSN],J$1)</f>
        <v>11</v>
      </c>
      <c r="K7" s="124">
        <f>IFERROR(_018_550[[#This Row],['#08委外NG]]/_018_550[[#This Row],['#08已委外數量]],"")</f>
        <v>1.7915309446254073E-2</v>
      </c>
      <c r="L7" s="123">
        <f>_018_550[[#This Row],['#08回
良品]]-_018_550[[#This Row],['#06檢驗OK]]-_018_550[[#This Row],['#06
QC NG]]</f>
        <v>0</v>
      </c>
      <c r="M7" s="123">
        <f>SUMIFS(record[OK],record[製程料號],_018_550[[#This Row],[製令單號]],record[ProcessSN],M$1)</f>
        <v>603</v>
      </c>
      <c r="N7" s="117">
        <f>SUMIFS(record[NG],record[製程料號],_018_550[[#This Row],[製令單號]],record[ProcessSN],N$1)</f>
        <v>0</v>
      </c>
      <c r="O7" s="123">
        <f>_018_550[[#This Row],['#06檢驗OK]]-_018_550[[#This Row],[不良品]]-_018_550[[#This Row],[良品]]</f>
        <v>0</v>
      </c>
      <c r="P7" s="123">
        <f>SUMIFS(record[OK],record[製程料號],_018_550[[#This Row],[製令單號]],record[ProcessSN],P$1)</f>
        <v>601</v>
      </c>
      <c r="Q7" s="117">
        <f>SUMIFS(record[NG],record[製程料號],_018_550[[#This Row],[製令單號]],record[ProcessSN],Q$1)</f>
        <v>2</v>
      </c>
      <c r="R7" s="123">
        <f>_018_550[[#This Row],[良品]]-_018_550[[#This Row],[良品放行]]-_018_550[[#This Row],[不良待處理]]</f>
        <v>0</v>
      </c>
      <c r="S7" s="123">
        <f>SUMIFS(record[OK],record[製程料號],_018_550[[#This Row],[製令單號]],record[ProcessSN],S$1)</f>
        <v>601</v>
      </c>
      <c r="T7" s="117">
        <f>SUMIFS(record[NG],record[製程料號],_018_550[[#This Row],[製令單號]],record[ProcessSN],T$1)</f>
        <v>0</v>
      </c>
      <c r="U7" s="123">
        <f>_018_550[[#This Row],[良品放行]]-_018_550[[#This Row],[入庫]]</f>
        <v>0</v>
      </c>
      <c r="V7" s="123">
        <f>SUMIFS(record[OK],record[製程料號],_018_550[[#This Row],[製令單號]],record[ProcessSN],V$1)</f>
        <v>601</v>
      </c>
      <c r="W7" s="123">
        <f>_018_550[[#This Row],[入庫]]-_018_550[[#This Row],[已出貨]]</f>
        <v>0</v>
      </c>
      <c r="X7" s="137"/>
      <c r="Y7" s="123">
        <f>SUMIFS(record[OK],record[製程料號],_018_550[[#This Row],[製令單號]],record[ProcessSN],Y$1)</f>
        <v>601</v>
      </c>
      <c r="Z7" s="125">
        <f>_018_550[[#This Row],[不良待處理]]+_018_550[[#This Row],[不良品]]+_018_550[[#This Row],['#06
QC NG]]+_018_550[[#This Row],['#08委外NG]]</f>
        <v>13</v>
      </c>
      <c r="AA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0.97882736156351791</v>
      </c>
    </row>
    <row r="8" spans="1:27" ht="30.75" x14ac:dyDescent="0.25">
      <c r="A8" s="120">
        <v>45647</v>
      </c>
      <c r="B8" s="121" t="s">
        <v>608</v>
      </c>
      <c r="C8" s="122" t="s">
        <v>500</v>
      </c>
      <c r="D8" s="118">
        <v>283</v>
      </c>
      <c r="E8" s="123">
        <f>_018_550[[#This Row],[入料數]]-_018_550[[#This Row],['#08已委外數量]]</f>
        <v>0</v>
      </c>
      <c r="F8" s="123">
        <f>SUMIFS(record[OK],record[製程料號],_018_550[[#This Row],[製令單號]],record[ProcessSN],F$1)</f>
        <v>283</v>
      </c>
      <c r="G8" s="118" t="str">
        <f>IF(_018_550[[#This Row],['#08已委外數量]]&gt;0,VLOOKUP(G$1,record[[ProcessSN]:[廠商]],12,FALSE),"尚未委外")</f>
        <v>泉盛</v>
      </c>
      <c r="H8" s="123">
        <f>_018_550[[#This Row],['#08已委外數量]]-_018_550[[#This Row],['#08回
良品]]-_018_550[[#This Row],['#08委外NG]]</f>
        <v>0</v>
      </c>
      <c r="I8" s="123">
        <f>SUMIFS(record[OK],record[製程料號],_018_550[[#This Row],[製令單號]],record[ProcessSN],I$1)</f>
        <v>275</v>
      </c>
      <c r="J8" s="117">
        <f>SUMIFS(record[NG],record[製程料號],_018_550[[#This Row],[製令單號]],record[ProcessSN],J$1)</f>
        <v>8</v>
      </c>
      <c r="K8" s="124">
        <f>IFERROR(_018_550[[#This Row],['#08委外NG]]/_018_550[[#This Row],['#08已委外數量]],"")</f>
        <v>2.8268551236749116E-2</v>
      </c>
      <c r="L8" s="123">
        <f>_018_550[[#This Row],['#08回
良品]]-_018_550[[#This Row],['#06檢驗OK]]-_018_550[[#This Row],['#06
QC NG]]</f>
        <v>0</v>
      </c>
      <c r="M8" s="123">
        <f>SUMIFS(record[OK],record[製程料號],_018_550[[#This Row],[製令單號]],record[ProcessSN],M$1)</f>
        <v>275</v>
      </c>
      <c r="N8" s="117">
        <f>SUMIFS(record[NG],record[製程料號],_018_550[[#This Row],[製令單號]],record[ProcessSN],N$1)</f>
        <v>0</v>
      </c>
      <c r="O8" s="123">
        <f>_018_550[[#This Row],['#06檢驗OK]]-_018_550[[#This Row],[不良品]]-_018_550[[#This Row],[良品]]</f>
        <v>0</v>
      </c>
      <c r="P8" s="123">
        <f>SUMIFS(record[OK],record[製程料號],_018_550[[#This Row],[製令單號]],record[ProcessSN],P$1)</f>
        <v>255</v>
      </c>
      <c r="Q8" s="117">
        <f>SUMIFS(record[NG],record[製程料號],_018_550[[#This Row],[製令單號]],record[ProcessSN],Q$1)</f>
        <v>20</v>
      </c>
      <c r="R8" s="123">
        <f>_018_550[[#This Row],[良品]]-_018_550[[#This Row],[良品放行]]-_018_550[[#This Row],[不良待處理]]</f>
        <v>0</v>
      </c>
      <c r="S8" s="123">
        <f>SUMIFS(record[OK],record[製程料號],_018_550[[#This Row],[製令單號]],record[ProcessSN],S$1)</f>
        <v>255</v>
      </c>
      <c r="T8" s="117">
        <f>SUMIFS(record[NG],record[製程料號],_018_550[[#This Row],[製令單號]],record[ProcessSN],T$1)</f>
        <v>0</v>
      </c>
      <c r="U8" s="123">
        <f>_018_550[[#This Row],[良品放行]]-_018_550[[#This Row],[入庫]]</f>
        <v>0</v>
      </c>
      <c r="V8" s="123">
        <f>SUMIFS(record[OK],record[製程料號],_018_550[[#This Row],[製令單號]],record[ProcessSN],V$1)</f>
        <v>255</v>
      </c>
      <c r="W8" s="123">
        <f>_018_550[[#This Row],[入庫]]-_018_550[[#This Row],[已出貨]]</f>
        <v>0</v>
      </c>
      <c r="X8" s="137"/>
      <c r="Y8" s="123">
        <f>SUMIFS(record[OK],record[製程料號],_018_550[[#This Row],[製令單號]],record[ProcessSN],Y$1)</f>
        <v>255</v>
      </c>
      <c r="Z8" s="125">
        <f>_018_550[[#This Row],[不良待處理]]+_018_550[[#This Row],[不良品]]+_018_550[[#This Row],['#06
QC NG]]+_018_550[[#This Row],['#08委外NG]]</f>
        <v>28</v>
      </c>
      <c r="AA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0.90106007067137805</v>
      </c>
    </row>
    <row r="9" spans="1:27" ht="30.75" x14ac:dyDescent="0.25">
      <c r="A9" s="120">
        <v>45647</v>
      </c>
      <c r="B9" s="121" t="s">
        <v>605</v>
      </c>
      <c r="C9" s="122" t="s">
        <v>500</v>
      </c>
      <c r="D9" s="118">
        <v>168</v>
      </c>
      <c r="E9" s="123">
        <f>_018_550[[#This Row],[入料數]]-_018_550[[#This Row],['#08已委外數量]]</f>
        <v>0</v>
      </c>
      <c r="F9" s="123">
        <f>SUMIFS(record[OK],record[製程料號],_018_550[[#This Row],[製令單號]],record[ProcessSN],F$1)</f>
        <v>168</v>
      </c>
      <c r="G9" s="118" t="str">
        <f>IF(_018_550[[#This Row],['#08已委外數量]]&gt;0,VLOOKUP(G$1,record[[ProcessSN]:[廠商]],12,FALSE),"尚未委外")</f>
        <v>泉盛</v>
      </c>
      <c r="H9" s="123">
        <f>_018_550[[#This Row],['#08已委外數量]]-_018_550[[#This Row],['#08回
良品]]-_018_550[[#This Row],['#08委外NG]]</f>
        <v>0</v>
      </c>
      <c r="I9" s="123">
        <f>SUMIFS(record[OK],record[製程料號],_018_550[[#This Row],[製令單號]],record[ProcessSN],I$1)</f>
        <v>164</v>
      </c>
      <c r="J9" s="117">
        <f>SUMIFS(record[NG],record[製程料號],_018_550[[#This Row],[製令單號]],record[ProcessSN],J$1)</f>
        <v>4</v>
      </c>
      <c r="K9" s="124">
        <f>IFERROR(_018_550[[#This Row],['#08委外NG]]/_018_550[[#This Row],['#08已委外數量]],"")</f>
        <v>2.3809523809523808E-2</v>
      </c>
      <c r="L9" s="123">
        <f>_018_550[[#This Row],['#08回
良品]]-_018_550[[#This Row],['#06檢驗OK]]-_018_550[[#This Row],['#06
QC NG]]</f>
        <v>0</v>
      </c>
      <c r="M9" s="123">
        <f>SUMIFS(record[OK],record[製程料號],_018_550[[#This Row],[製令單號]],record[ProcessSN],M$1)</f>
        <v>164</v>
      </c>
      <c r="N9" s="117">
        <f>SUMIFS(record[NG],record[製程料號],_018_550[[#This Row],[製令單號]],record[ProcessSN],N$1)</f>
        <v>0</v>
      </c>
      <c r="O9" s="123">
        <f>_018_550[[#This Row],['#06檢驗OK]]-_018_550[[#This Row],[不良品]]-_018_550[[#This Row],[良品]]</f>
        <v>0</v>
      </c>
      <c r="P9" s="123">
        <f>SUMIFS(record[OK],record[製程料號],_018_550[[#This Row],[製令單號]],record[ProcessSN],P$1)</f>
        <v>164</v>
      </c>
      <c r="Q9" s="117">
        <f>SUMIFS(record[NG],record[製程料號],_018_550[[#This Row],[製令單號]],record[ProcessSN],Q$1)</f>
        <v>0</v>
      </c>
      <c r="R9" s="123">
        <f>_018_550[[#This Row],[良品]]-_018_550[[#This Row],[良品放行]]-_018_550[[#This Row],[不良待處理]]</f>
        <v>0</v>
      </c>
      <c r="S9" s="123">
        <f>SUMIFS(record[OK],record[製程料號],_018_550[[#This Row],[製令單號]],record[ProcessSN],S$1)</f>
        <v>164</v>
      </c>
      <c r="T9" s="117">
        <f>SUMIFS(record[NG],record[製程料號],_018_550[[#This Row],[製令單號]],record[ProcessSN],T$1)</f>
        <v>0</v>
      </c>
      <c r="U9" s="123">
        <f>_018_550[[#This Row],[良品放行]]-_018_550[[#This Row],[入庫]]</f>
        <v>0</v>
      </c>
      <c r="V9" s="123">
        <f>SUMIFS(record[OK],record[製程料號],_018_550[[#This Row],[製令單號]],record[ProcessSN],V$1)</f>
        <v>164</v>
      </c>
      <c r="W9" s="123">
        <f>_018_550[[#This Row],[入庫]]-_018_550[[#This Row],[已出貨]]</f>
        <v>0</v>
      </c>
      <c r="X9" s="137"/>
      <c r="Y9" s="123">
        <f>SUMIFS(record[OK],record[製程料號],_018_550[[#This Row],[製令單號]],record[ProcessSN],Y$1)</f>
        <v>164</v>
      </c>
      <c r="Z9" s="125">
        <f>_018_550[[#This Row],[不良待處理]]+_018_550[[#This Row],[不良品]]+_018_550[[#This Row],['#06
QC NG]]+_018_550[[#This Row],['#08委外NG]]</f>
        <v>4</v>
      </c>
      <c r="AA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0.97619047619047616</v>
      </c>
    </row>
    <row r="10" spans="1:27" ht="30.75" x14ac:dyDescent="0.25">
      <c r="A10" s="120">
        <v>45647</v>
      </c>
      <c r="B10" s="121" t="s">
        <v>609</v>
      </c>
      <c r="C10" s="122" t="s">
        <v>500</v>
      </c>
      <c r="D10" s="118">
        <v>432</v>
      </c>
      <c r="E10" s="123">
        <f>_018_550[[#This Row],[入料數]]-_018_550[[#This Row],['#08已委外數量]]</f>
        <v>0</v>
      </c>
      <c r="F10" s="123">
        <f>SUMIFS(record[OK],record[製程料號],_018_550[[#This Row],[製令單號]],record[ProcessSN],F$1)</f>
        <v>432</v>
      </c>
      <c r="G10" s="118" t="str">
        <f>IF(_018_550[[#This Row],['#08已委外數量]]&gt;0,VLOOKUP(G$1,record[[ProcessSN]:[廠商]],12,FALSE),"尚未委外")</f>
        <v>泉盛</v>
      </c>
      <c r="H10" s="123">
        <f>_018_550[[#This Row],['#08已委外數量]]-_018_550[[#This Row],['#08回
良品]]-_018_550[[#This Row],['#08委外NG]]</f>
        <v>0</v>
      </c>
      <c r="I10" s="123">
        <f>SUMIFS(record[OK],record[製程料號],_018_550[[#This Row],[製令單號]],record[ProcessSN],I$1)</f>
        <v>425</v>
      </c>
      <c r="J10" s="117">
        <f>SUMIFS(record[NG],record[製程料號],_018_550[[#This Row],[製令單號]],record[ProcessSN],J$1)</f>
        <v>7</v>
      </c>
      <c r="K10" s="124">
        <f>IFERROR(_018_550[[#This Row],['#08委外NG]]/_018_550[[#This Row],['#08已委外數量]],"")</f>
        <v>1.6203703703703703E-2</v>
      </c>
      <c r="L10" s="123">
        <f>_018_550[[#This Row],['#08回
良品]]-_018_550[[#This Row],['#06檢驗OK]]-_018_550[[#This Row],['#06
QC NG]]</f>
        <v>0</v>
      </c>
      <c r="M10" s="123">
        <f>SUMIFS(record[OK],record[製程料號],_018_550[[#This Row],[製令單號]],record[ProcessSN],M$1)</f>
        <v>425</v>
      </c>
      <c r="N10" s="117">
        <f>SUMIFS(record[NG],record[製程料號],_018_550[[#This Row],[製令單號]],record[ProcessSN],N$1)</f>
        <v>0</v>
      </c>
      <c r="O10" s="123">
        <f>_018_550[[#This Row],['#06檢驗OK]]-_018_550[[#This Row],[不良品]]-_018_550[[#This Row],[良品]]</f>
        <v>0</v>
      </c>
      <c r="P10" s="123">
        <f>SUMIFS(record[OK],record[製程料號],_018_550[[#This Row],[製令單號]],record[ProcessSN],P$1)</f>
        <v>424</v>
      </c>
      <c r="Q10" s="117">
        <f>SUMIFS(record[NG],record[製程料號],_018_550[[#This Row],[製令單號]],record[ProcessSN],Q$1)</f>
        <v>1</v>
      </c>
      <c r="R10" s="123">
        <f>_018_550[[#This Row],[良品]]-_018_550[[#This Row],[良品放行]]-_018_550[[#This Row],[不良待處理]]</f>
        <v>0</v>
      </c>
      <c r="S10" s="123">
        <f>SUMIFS(record[OK],record[製程料號],_018_550[[#This Row],[製令單號]],record[ProcessSN],S$1)</f>
        <v>424</v>
      </c>
      <c r="T10" s="117">
        <f>SUMIFS(record[NG],record[製程料號],_018_550[[#This Row],[製令單號]],record[ProcessSN],T$1)</f>
        <v>0</v>
      </c>
      <c r="U10" s="123">
        <f>_018_550[[#This Row],[良品放行]]-_018_550[[#This Row],[入庫]]</f>
        <v>0</v>
      </c>
      <c r="V10" s="123">
        <f>SUMIFS(record[OK],record[製程料號],_018_550[[#This Row],[製令單號]],record[ProcessSN],V$1)</f>
        <v>424</v>
      </c>
      <c r="W10" s="123">
        <f>_018_550[[#This Row],[入庫]]-_018_550[[#This Row],[已出貨]]</f>
        <v>0</v>
      </c>
      <c r="X10" s="137"/>
      <c r="Y10" s="123">
        <f>SUMIFS(record[OK],record[製程料號],_018_550[[#This Row],[製令單號]],record[ProcessSN],Y$1)</f>
        <v>424</v>
      </c>
      <c r="Z10" s="125">
        <f>_018_550[[#This Row],[不良待處理]]+_018_550[[#This Row],[不良品]]+_018_550[[#This Row],['#06
QC NG]]+_018_550[[#This Row],['#08委外NG]]</f>
        <v>8</v>
      </c>
      <c r="AA1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0.98148148148148151</v>
      </c>
    </row>
    <row r="11" spans="1:27" ht="30.75" x14ac:dyDescent="0.25">
      <c r="A11" s="120">
        <v>45647</v>
      </c>
      <c r="B11" s="121" t="s">
        <v>610</v>
      </c>
      <c r="C11" s="122" t="s">
        <v>500</v>
      </c>
      <c r="D11" s="118">
        <v>504</v>
      </c>
      <c r="E11" s="123">
        <f>_018_550[[#This Row],[入料數]]-_018_550[[#This Row],['#08已委外數量]]</f>
        <v>0</v>
      </c>
      <c r="F11" s="123">
        <f>SUMIFS(record[OK],record[製程料號],_018_550[[#This Row],[製令單號]],record[ProcessSN],F$1)</f>
        <v>504</v>
      </c>
      <c r="G11" s="118" t="str">
        <f>IF(_018_550[[#This Row],['#08已委外數量]]&gt;0,VLOOKUP(G$1,record[[ProcessSN]:[廠商]],12,FALSE),"尚未委外")</f>
        <v>泉盛</v>
      </c>
      <c r="H11" s="123">
        <f>_018_550[[#This Row],['#08已委外數量]]-_018_550[[#This Row],['#08回
良品]]-_018_550[[#This Row],['#08委外NG]]</f>
        <v>0</v>
      </c>
      <c r="I11" s="123">
        <f>SUMIFS(record[OK],record[製程料號],_018_550[[#This Row],[製令單號]],record[ProcessSN],I$1)</f>
        <v>501</v>
      </c>
      <c r="J11" s="117">
        <f>SUMIFS(record[NG],record[製程料號],_018_550[[#This Row],[製令單號]],record[ProcessSN],J$1)</f>
        <v>3</v>
      </c>
      <c r="K11" s="124">
        <f>IFERROR(_018_550[[#This Row],['#08委外NG]]/_018_550[[#This Row],['#08已委外數量]],"")</f>
        <v>5.9523809523809521E-3</v>
      </c>
      <c r="L11" s="123">
        <f>_018_550[[#This Row],['#08回
良品]]-_018_550[[#This Row],['#06檢驗OK]]-_018_550[[#This Row],['#06
QC NG]]</f>
        <v>0</v>
      </c>
      <c r="M11" s="123">
        <f>SUMIFS(record[OK],record[製程料號],_018_550[[#This Row],[製令單號]],record[ProcessSN],M$1)</f>
        <v>501</v>
      </c>
      <c r="N11" s="117">
        <f>SUMIFS(record[NG],record[製程料號],_018_550[[#This Row],[製令單號]],record[ProcessSN],N$1)</f>
        <v>0</v>
      </c>
      <c r="O11" s="123">
        <f>_018_550[[#This Row],['#06檢驗OK]]-_018_550[[#This Row],[不良品]]-_018_550[[#This Row],[良品]]</f>
        <v>0</v>
      </c>
      <c r="P11" s="123">
        <f>SUMIFS(record[OK],record[製程料號],_018_550[[#This Row],[製令單號]],record[ProcessSN],P$1)</f>
        <v>501</v>
      </c>
      <c r="Q11" s="117">
        <f>SUMIFS(record[NG],record[製程料號],_018_550[[#This Row],[製令單號]],record[ProcessSN],Q$1)</f>
        <v>0</v>
      </c>
      <c r="R11" s="123">
        <f>_018_550[[#This Row],[良品]]-_018_550[[#This Row],[良品放行]]-_018_550[[#This Row],[不良待處理]]</f>
        <v>0</v>
      </c>
      <c r="S11" s="123">
        <f>SUMIFS(record[OK],record[製程料號],_018_550[[#This Row],[製令單號]],record[ProcessSN],S$1)</f>
        <v>501</v>
      </c>
      <c r="T11" s="117">
        <f>SUMIFS(record[NG],record[製程料號],_018_550[[#This Row],[製令單號]],record[ProcessSN],T$1)</f>
        <v>0</v>
      </c>
      <c r="U11" s="123">
        <f>_018_550[[#This Row],[良品放行]]-_018_550[[#This Row],[入庫]]</f>
        <v>0</v>
      </c>
      <c r="V11" s="123">
        <f>SUMIFS(record[OK],record[製程料號],_018_550[[#This Row],[製令單號]],record[ProcessSN],V$1)</f>
        <v>501</v>
      </c>
      <c r="W11" s="123">
        <f>_018_550[[#This Row],[入庫]]-_018_550[[#This Row],[已出貨]]</f>
        <v>0</v>
      </c>
      <c r="X11" s="137"/>
      <c r="Y11" s="123">
        <f>SUMIFS(record[OK],record[製程料號],_018_550[[#This Row],[製令單號]],record[ProcessSN],Y$1)</f>
        <v>501</v>
      </c>
      <c r="Z11" s="125">
        <f>_018_550[[#This Row],[不良待處理]]+_018_550[[#This Row],[不良品]]+_018_550[[#This Row],['#06
QC NG]]+_018_550[[#This Row],['#08委外NG]]</f>
        <v>3</v>
      </c>
      <c r="AA1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0.99404761904761907</v>
      </c>
    </row>
    <row r="12" spans="1:27" ht="30.75" x14ac:dyDescent="0.25">
      <c r="A12" s="120">
        <v>45647</v>
      </c>
      <c r="B12" s="121" t="s">
        <v>611</v>
      </c>
      <c r="C12" s="122" t="s">
        <v>500</v>
      </c>
      <c r="D12" s="118">
        <v>925</v>
      </c>
      <c r="E12" s="123">
        <f>_018_550[[#This Row],[入料數]]-_018_550[[#This Row],['#08已委外數量]]</f>
        <v>0</v>
      </c>
      <c r="F12" s="123">
        <f>SUMIFS(record[OK],record[製程料號],_018_550[[#This Row],[製令單號]],record[ProcessSN],F$1)</f>
        <v>925</v>
      </c>
      <c r="G12" s="118" t="str">
        <f>IF(_018_550[[#This Row],['#08已委外數量]]&gt;0,VLOOKUP(G$1,record[[ProcessSN]:[廠商]],12,FALSE),"尚未委外")</f>
        <v>泉盛</v>
      </c>
      <c r="H12" s="123">
        <f>_018_550[[#This Row],['#08已委外數量]]-_018_550[[#This Row],['#08回
良品]]-_018_550[[#This Row],['#08委外NG]]</f>
        <v>0</v>
      </c>
      <c r="I12" s="123">
        <f>SUMIFS(record[OK],record[製程料號],_018_550[[#This Row],[製令單號]],record[ProcessSN],I$1)</f>
        <v>901</v>
      </c>
      <c r="J12" s="117">
        <f>SUMIFS(record[NG],record[製程料號],_018_550[[#This Row],[製令單號]],record[ProcessSN],J$1)</f>
        <v>24</v>
      </c>
      <c r="K12" s="124">
        <f>IFERROR(_018_550[[#This Row],['#08委外NG]]/_018_550[[#This Row],['#08已委外數量]],"")</f>
        <v>2.5945945945945945E-2</v>
      </c>
      <c r="L12" s="123">
        <f>_018_550[[#This Row],['#08回
良品]]-_018_550[[#This Row],['#06檢驗OK]]-_018_550[[#This Row],['#06
QC NG]]</f>
        <v>0</v>
      </c>
      <c r="M12" s="123">
        <f>SUMIFS(record[OK],record[製程料號],_018_550[[#This Row],[製令單號]],record[ProcessSN],M$1)</f>
        <v>901</v>
      </c>
      <c r="N12" s="117">
        <f>SUMIFS(record[NG],record[製程料號],_018_550[[#This Row],[製令單號]],record[ProcessSN],N$1)</f>
        <v>0</v>
      </c>
      <c r="O12" s="123">
        <f>_018_550[[#This Row],['#06檢驗OK]]-_018_550[[#This Row],[不良品]]-_018_550[[#This Row],[良品]]</f>
        <v>0</v>
      </c>
      <c r="P12" s="123">
        <f>SUMIFS(record[OK],record[製程料號],_018_550[[#This Row],[製令單號]],record[ProcessSN],P$1)</f>
        <v>896</v>
      </c>
      <c r="Q12" s="117">
        <f>SUMIFS(record[NG],record[製程料號],_018_550[[#This Row],[製令單號]],record[ProcessSN],Q$1)</f>
        <v>5</v>
      </c>
      <c r="R12" s="123">
        <f>_018_550[[#This Row],[良品]]-_018_550[[#This Row],[良品放行]]-_018_550[[#This Row],[不良待處理]]</f>
        <v>0</v>
      </c>
      <c r="S12" s="123">
        <f>SUMIFS(record[OK],record[製程料號],_018_550[[#This Row],[製令單號]],record[ProcessSN],S$1)</f>
        <v>896</v>
      </c>
      <c r="T12" s="117">
        <f>SUMIFS(record[NG],record[製程料號],_018_550[[#This Row],[製令單號]],record[ProcessSN],T$1)</f>
        <v>0</v>
      </c>
      <c r="U12" s="123">
        <f>_018_550[[#This Row],[良品放行]]-_018_550[[#This Row],[入庫]]</f>
        <v>0</v>
      </c>
      <c r="V12" s="123">
        <f>SUMIFS(record[OK],record[製程料號],_018_550[[#This Row],[製令單號]],record[ProcessSN],V$1)</f>
        <v>896</v>
      </c>
      <c r="W12" s="123">
        <f>_018_550[[#This Row],[入庫]]-_018_550[[#This Row],[已出貨]]</f>
        <v>0</v>
      </c>
      <c r="X12" s="137"/>
      <c r="Y12" s="123">
        <f>SUMIFS(record[OK],record[製程料號],_018_550[[#This Row],[製令單號]],record[ProcessSN],Y$1)</f>
        <v>896</v>
      </c>
      <c r="Z12" s="125">
        <f>_018_550[[#This Row],[不良待處理]]+_018_550[[#This Row],[不良品]]+_018_550[[#This Row],['#06
QC NG]]+_018_550[[#This Row],['#08委外NG]]</f>
        <v>29</v>
      </c>
      <c r="AA1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0.96864864864864864</v>
      </c>
    </row>
    <row r="13" spans="1:27" ht="30.75" x14ac:dyDescent="0.25">
      <c r="A13" s="120">
        <v>45647</v>
      </c>
      <c r="B13" s="121" t="s">
        <v>612</v>
      </c>
      <c r="C13" s="122" t="s">
        <v>500</v>
      </c>
      <c r="D13" s="118">
        <v>504</v>
      </c>
      <c r="E13" s="123">
        <f>_018_550[[#This Row],[入料數]]-_018_550[[#This Row],['#08已委外數量]]</f>
        <v>0</v>
      </c>
      <c r="F13" s="123">
        <f>SUMIFS(record[OK],record[製程料號],_018_550[[#This Row],[製令單號]],record[ProcessSN],F$1)</f>
        <v>504</v>
      </c>
      <c r="G13" s="118" t="str">
        <f>IF(_018_550[[#This Row],['#08已委外數量]]&gt;0,VLOOKUP(G$1,record[[ProcessSN]:[廠商]],12,FALSE),"尚未委外")</f>
        <v>泉盛</v>
      </c>
      <c r="H13" s="123">
        <f>_018_550[[#This Row],['#08已委外數量]]-_018_550[[#This Row],['#08回
良品]]-_018_550[[#This Row],['#08委外NG]]</f>
        <v>0</v>
      </c>
      <c r="I13" s="123">
        <f>SUMIFS(record[OK],record[製程料號],_018_550[[#This Row],[製令單號]],record[ProcessSN],I$1)</f>
        <v>502</v>
      </c>
      <c r="J13" s="117">
        <f>SUMIFS(record[NG],record[製程料號],_018_550[[#This Row],[製令單號]],record[ProcessSN],J$1)</f>
        <v>2</v>
      </c>
      <c r="K13" s="124">
        <f>IFERROR(_018_550[[#This Row],['#08委外NG]]/_018_550[[#This Row],['#08已委外數量]],"")</f>
        <v>3.968253968253968E-3</v>
      </c>
      <c r="L13" s="123">
        <f>_018_550[[#This Row],['#08回
良品]]-_018_550[[#This Row],['#06檢驗OK]]-_018_550[[#This Row],['#06
QC NG]]</f>
        <v>0</v>
      </c>
      <c r="M13" s="123">
        <f>SUMIFS(record[OK],record[製程料號],_018_550[[#This Row],[製令單號]],record[ProcessSN],M$1)</f>
        <v>502</v>
      </c>
      <c r="N13" s="117">
        <f>SUMIFS(record[NG],record[製程料號],_018_550[[#This Row],[製令單號]],record[ProcessSN],N$1)</f>
        <v>0</v>
      </c>
      <c r="O13" s="123">
        <f>_018_550[[#This Row],['#06檢驗OK]]-_018_550[[#This Row],[不良品]]-_018_550[[#This Row],[良品]]</f>
        <v>0</v>
      </c>
      <c r="P13" s="123">
        <f>SUMIFS(record[OK],record[製程料號],_018_550[[#This Row],[製令單號]],record[ProcessSN],P$1)</f>
        <v>501</v>
      </c>
      <c r="Q13" s="117">
        <f>SUMIFS(record[NG],record[製程料號],_018_550[[#This Row],[製令單號]],record[ProcessSN],Q$1)</f>
        <v>1</v>
      </c>
      <c r="R13" s="123">
        <f>_018_550[[#This Row],[良品]]-_018_550[[#This Row],[良品放行]]-_018_550[[#This Row],[不良待處理]]</f>
        <v>0</v>
      </c>
      <c r="S13" s="123">
        <f>SUMIFS(record[OK],record[製程料號],_018_550[[#This Row],[製令單號]],record[ProcessSN],S$1)</f>
        <v>501</v>
      </c>
      <c r="T13" s="117">
        <f>SUMIFS(record[NG],record[製程料號],_018_550[[#This Row],[製令單號]],record[ProcessSN],T$1)</f>
        <v>0</v>
      </c>
      <c r="U13" s="123">
        <f>_018_550[[#This Row],[良品放行]]-_018_550[[#This Row],[入庫]]</f>
        <v>0</v>
      </c>
      <c r="V13" s="123">
        <f>SUMIFS(record[OK],record[製程料號],_018_550[[#This Row],[製令單號]],record[ProcessSN],V$1)</f>
        <v>501</v>
      </c>
      <c r="W13" s="123">
        <f>_018_550[[#This Row],[入庫]]-_018_550[[#This Row],[已出貨]]</f>
        <v>0</v>
      </c>
      <c r="X13" s="137"/>
      <c r="Y13" s="123">
        <f>SUMIFS(record[OK],record[製程料號],_018_550[[#This Row],[製令單號]],record[ProcessSN],Y$1)</f>
        <v>501</v>
      </c>
      <c r="Z13" s="125">
        <f>_018_550[[#This Row],[不良待處理]]+_018_550[[#This Row],[不良品]]+_018_550[[#This Row],['#06
QC NG]]+_018_550[[#This Row],['#08委外NG]]</f>
        <v>3</v>
      </c>
      <c r="AA1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0.99404761904761907</v>
      </c>
    </row>
    <row r="14" spans="1:27" ht="30.75" x14ac:dyDescent="0.25">
      <c r="A14" s="120">
        <v>45647</v>
      </c>
      <c r="B14" s="121" t="s">
        <v>613</v>
      </c>
      <c r="C14" s="122" t="s">
        <v>500</v>
      </c>
      <c r="D14" s="118">
        <v>576</v>
      </c>
      <c r="E14" s="123">
        <f>_018_550[[#This Row],[入料數]]-_018_550[[#This Row],['#08已委外數量]]</f>
        <v>0</v>
      </c>
      <c r="F14" s="123">
        <f>SUMIFS(record[OK],record[製程料號],_018_550[[#This Row],[製令單號]],record[ProcessSN],F$1)</f>
        <v>576</v>
      </c>
      <c r="G14" s="118" t="str">
        <f>IF(_018_550[[#This Row],['#08已委外數量]]&gt;0,VLOOKUP(G$1,record[[ProcessSN]:[廠商]],12,FALSE),"尚未委外")</f>
        <v>泉盛</v>
      </c>
      <c r="H14" s="123">
        <f>_018_550[[#This Row],['#08已委外數量]]-_018_550[[#This Row],['#08回
良品]]-_018_550[[#This Row],['#08委外NG]]</f>
        <v>0</v>
      </c>
      <c r="I14" s="123">
        <f>SUMIFS(record[OK],record[製程料號],_018_550[[#This Row],[製令單號]],record[ProcessSN],I$1)</f>
        <v>566</v>
      </c>
      <c r="J14" s="117">
        <f>SUMIFS(record[NG],record[製程料號],_018_550[[#This Row],[製令單號]],record[ProcessSN],J$1)</f>
        <v>10</v>
      </c>
      <c r="K14" s="124">
        <f>IFERROR(_018_550[[#This Row],['#08委外NG]]/_018_550[[#This Row],['#08已委外數量]],"")</f>
        <v>1.7361111111111112E-2</v>
      </c>
      <c r="L14" s="123">
        <f>_018_550[[#This Row],['#08回
良品]]-_018_550[[#This Row],['#06檢驗OK]]-_018_550[[#This Row],['#06
QC NG]]</f>
        <v>0</v>
      </c>
      <c r="M14" s="123">
        <f>SUMIFS(record[OK],record[製程料號],_018_550[[#This Row],[製令單號]],record[ProcessSN],M$1)</f>
        <v>566</v>
      </c>
      <c r="N14" s="117">
        <f>SUMIFS(record[NG],record[製程料號],_018_550[[#This Row],[製令單號]],record[ProcessSN],N$1)</f>
        <v>0</v>
      </c>
      <c r="O14" s="123">
        <f>_018_550[[#This Row],['#06檢驗OK]]-_018_550[[#This Row],[不良品]]-_018_550[[#This Row],[良品]]</f>
        <v>0</v>
      </c>
      <c r="P14" s="123">
        <f>SUMIFS(record[OK],record[製程料號],_018_550[[#This Row],[製令單號]],record[ProcessSN],P$1)</f>
        <v>557</v>
      </c>
      <c r="Q14" s="117">
        <f>SUMIFS(record[NG],record[製程料號],_018_550[[#This Row],[製令單號]],record[ProcessSN],Q$1)</f>
        <v>9</v>
      </c>
      <c r="R14" s="123">
        <f>_018_550[[#This Row],[良品]]-_018_550[[#This Row],[良品放行]]-_018_550[[#This Row],[不良待處理]]</f>
        <v>0</v>
      </c>
      <c r="S14" s="123">
        <f>SUMIFS(record[OK],record[製程料號],_018_550[[#This Row],[製令單號]],record[ProcessSN],S$1)</f>
        <v>557</v>
      </c>
      <c r="T14" s="117">
        <f>SUMIFS(record[NG],record[製程料號],_018_550[[#This Row],[製令單號]],record[ProcessSN],T$1)</f>
        <v>0</v>
      </c>
      <c r="U14" s="123">
        <f>_018_550[[#This Row],[良品放行]]-_018_550[[#This Row],[入庫]]</f>
        <v>0</v>
      </c>
      <c r="V14" s="123">
        <f>SUMIFS(record[OK],record[製程料號],_018_550[[#This Row],[製令單號]],record[ProcessSN],V$1)</f>
        <v>557</v>
      </c>
      <c r="W14" s="123">
        <f>_018_550[[#This Row],[入庫]]-_018_550[[#This Row],[已出貨]]</f>
        <v>0</v>
      </c>
      <c r="X14" s="137"/>
      <c r="Y14" s="123">
        <f>SUMIFS(record[OK],record[製程料號],_018_550[[#This Row],[製令單號]],record[ProcessSN],Y$1)</f>
        <v>557</v>
      </c>
      <c r="Z14" s="125">
        <f>_018_550[[#This Row],[不良待處理]]+_018_550[[#This Row],[不良品]]+_018_550[[#This Row],['#06
QC NG]]+_018_550[[#This Row],['#08委外NG]]</f>
        <v>19</v>
      </c>
      <c r="AA1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0.96701388888888884</v>
      </c>
    </row>
    <row r="15" spans="1:27" ht="30.75" x14ac:dyDescent="0.25">
      <c r="A15" s="120">
        <v>45647</v>
      </c>
      <c r="B15" s="121" t="s">
        <v>616</v>
      </c>
      <c r="C15" s="122" t="s">
        <v>500</v>
      </c>
      <c r="D15" s="118">
        <v>168</v>
      </c>
      <c r="E15" s="123">
        <f>_018_550[[#This Row],[入料數]]-_018_550[[#This Row],['#08已委外數量]]</f>
        <v>0</v>
      </c>
      <c r="F15" s="123">
        <f>SUMIFS(record[OK],record[製程料號],_018_550[[#This Row],[製令單號]],record[ProcessSN],F$1)</f>
        <v>168</v>
      </c>
      <c r="G15" s="118" t="str">
        <f>IF(_018_550[[#This Row],['#08已委外數量]]&gt;0,VLOOKUP(G$1,record[[ProcessSN]:[廠商]],12,FALSE),"尚未委外")</f>
        <v>泉盛</v>
      </c>
      <c r="H15" s="123">
        <f>_018_550[[#This Row],['#08已委外數量]]-_018_550[[#This Row],['#08回
良品]]-_018_550[[#This Row],['#08委外NG]]</f>
        <v>0</v>
      </c>
      <c r="I15" s="123">
        <f>SUMIFS(record[OK],record[製程料號],_018_550[[#This Row],[製令單號]],record[ProcessSN],I$1)</f>
        <v>164</v>
      </c>
      <c r="J15" s="117">
        <f>SUMIFS(record[NG],record[製程料號],_018_550[[#This Row],[製令單號]],record[ProcessSN],J$1)</f>
        <v>4</v>
      </c>
      <c r="K15" s="124">
        <f>IFERROR(_018_550[[#This Row],['#08委外NG]]/_018_550[[#This Row],['#08已委外數量]],"")</f>
        <v>2.3809523809523808E-2</v>
      </c>
      <c r="L15" s="123">
        <f>_018_550[[#This Row],['#08回
良品]]-_018_550[[#This Row],['#06檢驗OK]]-_018_550[[#This Row],['#06
QC NG]]</f>
        <v>0</v>
      </c>
      <c r="M15" s="123">
        <f>SUMIFS(record[OK],record[製程料號],_018_550[[#This Row],[製令單號]],record[ProcessSN],M$1)</f>
        <v>164</v>
      </c>
      <c r="N15" s="117">
        <f>SUMIFS(record[NG],record[製程料號],_018_550[[#This Row],[製令單號]],record[ProcessSN],N$1)</f>
        <v>0</v>
      </c>
      <c r="O15" s="123">
        <f>_018_550[[#This Row],['#06檢驗OK]]-_018_550[[#This Row],[不良品]]-_018_550[[#This Row],[良品]]</f>
        <v>0</v>
      </c>
      <c r="P15" s="123">
        <f>SUMIFS(record[OK],record[製程料號],_018_550[[#This Row],[製令單號]],record[ProcessSN],P$1)</f>
        <v>164</v>
      </c>
      <c r="Q15" s="117">
        <f>SUMIFS(record[NG],record[製程料號],_018_550[[#This Row],[製令單號]],record[ProcessSN],Q$1)</f>
        <v>0</v>
      </c>
      <c r="R15" s="123">
        <f>_018_550[[#This Row],[良品]]-_018_550[[#This Row],[良品放行]]-_018_550[[#This Row],[不良待處理]]</f>
        <v>0</v>
      </c>
      <c r="S15" s="123">
        <f>SUMIFS(record[OK],record[製程料號],_018_550[[#This Row],[製令單號]],record[ProcessSN],S$1)</f>
        <v>164</v>
      </c>
      <c r="T15" s="117">
        <f>SUMIFS(record[NG],record[製程料號],_018_550[[#This Row],[製令單號]],record[ProcessSN],T$1)</f>
        <v>0</v>
      </c>
      <c r="U15" s="123">
        <f>_018_550[[#This Row],[良品放行]]-_018_550[[#This Row],[入庫]]</f>
        <v>0</v>
      </c>
      <c r="V15" s="123">
        <f>SUMIFS(record[OK],record[製程料號],_018_550[[#This Row],[製令單號]],record[ProcessSN],V$1)</f>
        <v>164</v>
      </c>
      <c r="W15" s="123">
        <f>_018_550[[#This Row],[入庫]]-_018_550[[#This Row],[已出貨]]</f>
        <v>0</v>
      </c>
      <c r="X15" s="137"/>
      <c r="Y15" s="123">
        <f>SUMIFS(record[OK],record[製程料號],_018_550[[#This Row],[製令單號]],record[ProcessSN],Y$1)</f>
        <v>164</v>
      </c>
      <c r="Z15" s="125">
        <f>_018_550[[#This Row],[不良待處理]]+_018_550[[#This Row],[不良品]]+_018_550[[#This Row],['#06
QC NG]]+_018_550[[#This Row],['#08委外NG]]</f>
        <v>4</v>
      </c>
      <c r="AA1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0.97619047619047616</v>
      </c>
    </row>
    <row r="16" spans="1:27" ht="30.75" x14ac:dyDescent="0.25">
      <c r="A16" s="120">
        <v>45647</v>
      </c>
      <c r="B16" s="121" t="s">
        <v>617</v>
      </c>
      <c r="C16" s="122" t="s">
        <v>500</v>
      </c>
      <c r="D16" s="118">
        <v>518</v>
      </c>
      <c r="E16" s="123">
        <f>_018_550[[#This Row],[入料數]]-_018_550[[#This Row],['#08已委外數量]]</f>
        <v>0</v>
      </c>
      <c r="F16" s="123">
        <f>SUMIFS(record[OK],record[製程料號],_018_550[[#This Row],[製令單號]],record[ProcessSN],F$1)</f>
        <v>518</v>
      </c>
      <c r="G16" s="118" t="str">
        <f>IF(_018_550[[#This Row],['#08已委外數量]]&gt;0,VLOOKUP(G$1,record[[ProcessSN]:[廠商]],12,FALSE),"尚未委外")</f>
        <v>泉盛</v>
      </c>
      <c r="H16" s="123">
        <f>_018_550[[#This Row],['#08已委外數量]]-_018_550[[#This Row],['#08回
良品]]-_018_550[[#This Row],['#08委外NG]]</f>
        <v>0</v>
      </c>
      <c r="I16" s="123">
        <f>SUMIFS(record[OK],record[製程料號],_018_550[[#This Row],[製令單號]],record[ProcessSN],I$1)</f>
        <v>514</v>
      </c>
      <c r="J16" s="117">
        <f>SUMIFS(record[NG],record[製程料號],_018_550[[#This Row],[製令單號]],record[ProcessSN],J$1)</f>
        <v>4</v>
      </c>
      <c r="K16" s="124">
        <f>IFERROR(_018_550[[#This Row],['#08委外NG]]/_018_550[[#This Row],['#08已委外數量]],"")</f>
        <v>7.7220077220077222E-3</v>
      </c>
      <c r="L16" s="123">
        <f>_018_550[[#This Row],['#08回
良品]]-_018_550[[#This Row],['#06檢驗OK]]-_018_550[[#This Row],['#06
QC NG]]</f>
        <v>0</v>
      </c>
      <c r="M16" s="123">
        <f>SUMIFS(record[OK],record[製程料號],_018_550[[#This Row],[製令單號]],record[ProcessSN],M$1)</f>
        <v>514</v>
      </c>
      <c r="N16" s="117">
        <f>SUMIFS(record[NG],record[製程料號],_018_550[[#This Row],[製令單號]],record[ProcessSN],N$1)</f>
        <v>0</v>
      </c>
      <c r="O16" s="123">
        <f>_018_550[[#This Row],['#06檢驗OK]]-_018_550[[#This Row],[不良品]]-_018_550[[#This Row],[良品]]</f>
        <v>0</v>
      </c>
      <c r="P16" s="123">
        <f>SUMIFS(record[OK],record[製程料號],_018_550[[#This Row],[製令單號]],record[ProcessSN],P$1)</f>
        <v>509</v>
      </c>
      <c r="Q16" s="117">
        <f>SUMIFS(record[NG],record[製程料號],_018_550[[#This Row],[製令單號]],record[ProcessSN],Q$1)</f>
        <v>5</v>
      </c>
      <c r="R16" s="123">
        <f>_018_550[[#This Row],[良品]]-_018_550[[#This Row],[良品放行]]-_018_550[[#This Row],[不良待處理]]</f>
        <v>0</v>
      </c>
      <c r="S16" s="123">
        <f>SUMIFS(record[OK],record[製程料號],_018_550[[#This Row],[製令單號]],record[ProcessSN],S$1)</f>
        <v>509</v>
      </c>
      <c r="T16" s="117">
        <f>SUMIFS(record[NG],record[製程料號],_018_550[[#This Row],[製令單號]],record[ProcessSN],T$1)</f>
        <v>0</v>
      </c>
      <c r="U16" s="123">
        <f>_018_550[[#This Row],[良品放行]]-_018_550[[#This Row],[入庫]]</f>
        <v>0</v>
      </c>
      <c r="V16" s="123">
        <f>SUMIFS(record[OK],record[製程料號],_018_550[[#This Row],[製令單號]],record[ProcessSN],V$1)</f>
        <v>509</v>
      </c>
      <c r="W16" s="123">
        <f>_018_550[[#This Row],[入庫]]-_018_550[[#This Row],[已出貨]]</f>
        <v>0</v>
      </c>
      <c r="X16" s="137"/>
      <c r="Y16" s="123">
        <f>SUMIFS(record[OK],record[製程料號],_018_550[[#This Row],[製令單號]],record[ProcessSN],Y$1)</f>
        <v>509</v>
      </c>
      <c r="Z16" s="125">
        <f>_018_550[[#This Row],[不良待處理]]+_018_550[[#This Row],[不良品]]+_018_550[[#This Row],['#06
QC NG]]+_018_550[[#This Row],['#08委外NG]]</f>
        <v>9</v>
      </c>
      <c r="AA1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0.98262548262548266</v>
      </c>
    </row>
    <row r="17" spans="1:27" ht="30.75" x14ac:dyDescent="0.25">
      <c r="A17" s="120">
        <v>45647</v>
      </c>
      <c r="B17" s="121" t="s">
        <v>618</v>
      </c>
      <c r="C17" s="122" t="s">
        <v>500</v>
      </c>
      <c r="D17" s="118">
        <v>160</v>
      </c>
      <c r="E17" s="123">
        <f>_018_550[[#This Row],[入料數]]-_018_550[[#This Row],['#08已委外數量]]</f>
        <v>0</v>
      </c>
      <c r="F17" s="123">
        <f>SUMIFS(record[OK],record[製程料號],_018_550[[#This Row],[製令單號]],record[ProcessSN],F$1)</f>
        <v>160</v>
      </c>
      <c r="G17" s="118" t="str">
        <f>IF(_018_550[[#This Row],['#08已委外數量]]&gt;0,VLOOKUP(G$1,record[[ProcessSN]:[廠商]],12,FALSE),"尚未委外")</f>
        <v>泉盛</v>
      </c>
      <c r="H17" s="123">
        <f>_018_550[[#This Row],['#08已委外數量]]-_018_550[[#This Row],['#08回
良品]]-_018_550[[#This Row],['#08委外NG]]</f>
        <v>0</v>
      </c>
      <c r="I17" s="123">
        <f>SUMIFS(record[OK],record[製程料號],_018_550[[#This Row],[製令單號]],record[ProcessSN],I$1)</f>
        <v>156</v>
      </c>
      <c r="J17" s="117">
        <f>SUMIFS(record[NG],record[製程料號],_018_550[[#This Row],[製令單號]],record[ProcessSN],J$1)</f>
        <v>4</v>
      </c>
      <c r="K17" s="124">
        <f>IFERROR(_018_550[[#This Row],['#08委外NG]]/_018_550[[#This Row],['#08已委外數量]],"")</f>
        <v>2.5000000000000001E-2</v>
      </c>
      <c r="L17" s="123">
        <f>_018_550[[#This Row],['#08回
良品]]-_018_550[[#This Row],['#06檢驗OK]]-_018_550[[#This Row],['#06
QC NG]]</f>
        <v>0</v>
      </c>
      <c r="M17" s="123">
        <f>SUMIFS(record[OK],record[製程料號],_018_550[[#This Row],[製令單號]],record[ProcessSN],M$1)</f>
        <v>156</v>
      </c>
      <c r="N17" s="117">
        <f>SUMIFS(record[NG],record[製程料號],_018_550[[#This Row],[製令單號]],record[ProcessSN],N$1)</f>
        <v>0</v>
      </c>
      <c r="O17" s="123">
        <f>_018_550[[#This Row],['#06檢驗OK]]-_018_550[[#This Row],[不良品]]-_018_550[[#This Row],[良品]]</f>
        <v>0</v>
      </c>
      <c r="P17" s="123">
        <f>SUMIFS(record[OK],record[製程料號],_018_550[[#This Row],[製令單號]],record[ProcessSN],P$1)</f>
        <v>156</v>
      </c>
      <c r="Q17" s="117">
        <f>SUMIFS(record[NG],record[製程料號],_018_550[[#This Row],[製令單號]],record[ProcessSN],Q$1)</f>
        <v>0</v>
      </c>
      <c r="R17" s="123">
        <f>_018_550[[#This Row],[良品]]-_018_550[[#This Row],[良品放行]]-_018_550[[#This Row],[不良待處理]]</f>
        <v>0</v>
      </c>
      <c r="S17" s="123">
        <f>SUMIFS(record[OK],record[製程料號],_018_550[[#This Row],[製令單號]],record[ProcessSN],S$1)</f>
        <v>156</v>
      </c>
      <c r="T17" s="117">
        <f>SUMIFS(record[NG],record[製程料號],_018_550[[#This Row],[製令單號]],record[ProcessSN],T$1)</f>
        <v>0</v>
      </c>
      <c r="U17" s="123">
        <f>_018_550[[#This Row],[良品放行]]-_018_550[[#This Row],[入庫]]</f>
        <v>0</v>
      </c>
      <c r="V17" s="123">
        <f>SUMIFS(record[OK],record[製程料號],_018_550[[#This Row],[製令單號]],record[ProcessSN],V$1)</f>
        <v>156</v>
      </c>
      <c r="W17" s="123">
        <f>_018_550[[#This Row],[入庫]]-_018_550[[#This Row],[已出貨]]</f>
        <v>0</v>
      </c>
      <c r="X17" s="137"/>
      <c r="Y17" s="123">
        <f>SUMIFS(record[OK],record[製程料號],_018_550[[#This Row],[製令單號]],record[ProcessSN],Y$1)</f>
        <v>156</v>
      </c>
      <c r="Z17" s="125">
        <f>_018_550[[#This Row],[不良待處理]]+_018_550[[#This Row],[不良品]]+_018_550[[#This Row],['#06
QC NG]]+_018_550[[#This Row],['#08委外NG]]</f>
        <v>4</v>
      </c>
      <c r="AA1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0.97499999999999998</v>
      </c>
    </row>
    <row r="18" spans="1:27" ht="30.75" x14ac:dyDescent="0.25">
      <c r="A18" s="120">
        <v>45647</v>
      </c>
      <c r="B18" s="121" t="s">
        <v>614</v>
      </c>
      <c r="C18" s="122" t="s">
        <v>500</v>
      </c>
      <c r="D18" s="118">
        <v>385</v>
      </c>
      <c r="E18" s="123">
        <f>_018_550[[#This Row],[入料數]]-_018_550[[#This Row],['#08已委外數量]]</f>
        <v>0</v>
      </c>
      <c r="F18" s="123">
        <f>SUMIFS(record[OK],record[製程料號],_018_550[[#This Row],[製令單號]],record[ProcessSN],F$1)</f>
        <v>385</v>
      </c>
      <c r="G18" s="118" t="str">
        <f>IF(_018_550[[#This Row],['#08已委外數量]]&gt;0,VLOOKUP(G$1,record[[ProcessSN]:[廠商]],12,FALSE),"尚未委外")</f>
        <v>泉盛</v>
      </c>
      <c r="H18" s="123">
        <f>_018_550[[#This Row],['#08已委外數量]]-_018_550[[#This Row],['#08回
良品]]-_018_550[[#This Row],['#08委外NG]]</f>
        <v>0</v>
      </c>
      <c r="I18" s="123">
        <f>SUMIFS(record[OK],record[製程料號],_018_550[[#This Row],[製令單號]],record[ProcessSN],I$1)</f>
        <v>373</v>
      </c>
      <c r="J18" s="117">
        <f>SUMIFS(record[NG],record[製程料號],_018_550[[#This Row],[製令單號]],record[ProcessSN],J$1)</f>
        <v>12</v>
      </c>
      <c r="K18" s="124">
        <f>IFERROR(_018_550[[#This Row],['#08委外NG]]/_018_550[[#This Row],['#08已委外數量]],"")</f>
        <v>3.1168831168831169E-2</v>
      </c>
      <c r="L18" s="123">
        <f>_018_550[[#This Row],['#08回
良品]]-_018_550[[#This Row],['#06檢驗OK]]-_018_550[[#This Row],['#06
QC NG]]</f>
        <v>0</v>
      </c>
      <c r="M18" s="123">
        <f>SUMIFS(record[OK],record[製程料號],_018_550[[#This Row],[製令單號]],record[ProcessSN],M$1)</f>
        <v>373</v>
      </c>
      <c r="N18" s="117">
        <f>SUMIFS(record[NG],record[製程料號],_018_550[[#This Row],[製令單號]],record[ProcessSN],N$1)</f>
        <v>0</v>
      </c>
      <c r="O18" s="123">
        <f>_018_550[[#This Row],['#06檢驗OK]]-_018_550[[#This Row],[不良品]]-_018_550[[#This Row],[良品]]</f>
        <v>0</v>
      </c>
      <c r="P18" s="123">
        <f>SUMIFS(record[OK],record[製程料號],_018_550[[#This Row],[製令單號]],record[ProcessSN],P$1)</f>
        <v>373</v>
      </c>
      <c r="Q18" s="117">
        <f>SUMIFS(record[NG],record[製程料號],_018_550[[#This Row],[製令單號]],record[ProcessSN],Q$1)</f>
        <v>0</v>
      </c>
      <c r="R18" s="123">
        <f>_018_550[[#This Row],[良品]]-_018_550[[#This Row],[良品放行]]-_018_550[[#This Row],[不良待處理]]</f>
        <v>0</v>
      </c>
      <c r="S18" s="123">
        <f>SUMIFS(record[OK],record[製程料號],_018_550[[#This Row],[製令單號]],record[ProcessSN],S$1)</f>
        <v>373</v>
      </c>
      <c r="T18" s="117">
        <f>SUMIFS(record[NG],record[製程料號],_018_550[[#This Row],[製令單號]],record[ProcessSN],T$1)</f>
        <v>0</v>
      </c>
      <c r="U18" s="123">
        <f>_018_550[[#This Row],[良品放行]]-_018_550[[#This Row],[入庫]]</f>
        <v>0</v>
      </c>
      <c r="V18" s="123">
        <f>SUMIFS(record[OK],record[製程料號],_018_550[[#This Row],[製令單號]],record[ProcessSN],V$1)</f>
        <v>373</v>
      </c>
      <c r="W18" s="123">
        <f>_018_550[[#This Row],[入庫]]-_018_550[[#This Row],[已出貨]]</f>
        <v>0</v>
      </c>
      <c r="X18" s="137"/>
      <c r="Y18" s="123">
        <f>SUMIFS(record[OK],record[製程料號],_018_550[[#This Row],[製令單號]],record[ProcessSN],Y$1)</f>
        <v>373</v>
      </c>
      <c r="Z18" s="125">
        <f>_018_550[[#This Row],[不良待處理]]+_018_550[[#This Row],[不良品]]+_018_550[[#This Row],['#06
QC NG]]+_018_550[[#This Row],['#08委外NG]]</f>
        <v>12</v>
      </c>
      <c r="AA1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0.96883116883116882</v>
      </c>
    </row>
    <row r="19" spans="1:27" ht="30.75" x14ac:dyDescent="0.25">
      <c r="A19" s="120">
        <v>45653</v>
      </c>
      <c r="B19" s="121" t="s">
        <v>652</v>
      </c>
      <c r="C19" s="122" t="s">
        <v>500</v>
      </c>
      <c r="D19" s="118">
        <v>161</v>
      </c>
      <c r="E19" s="123">
        <f>_018_550[[#This Row],[入料數]]-_018_550[[#This Row],['#08已委外數量]]</f>
        <v>0</v>
      </c>
      <c r="F19" s="123">
        <f>SUMIFS(record[OK],record[製程料號],_018_550[[#This Row],[製令單號]],record[ProcessSN],F$1)</f>
        <v>161</v>
      </c>
      <c r="G19" s="118" t="str">
        <f>IF(_018_550[[#This Row],['#08已委外數量]]&gt;0,VLOOKUP(G$1,record[[ProcessSN]:[廠商]],12,FALSE),"尚未委外")</f>
        <v>泉盛</v>
      </c>
      <c r="H19" s="123">
        <f>_018_550[[#This Row],['#08已委外數量]]-_018_550[[#This Row],['#08回
良品]]-_018_550[[#This Row],['#08委外NG]]</f>
        <v>0</v>
      </c>
      <c r="I19" s="123">
        <f>SUMIFS(record[OK],record[製程料號],_018_550[[#This Row],[製令單號]],record[ProcessSN],I$1)</f>
        <v>148</v>
      </c>
      <c r="J19" s="117">
        <f>SUMIFS(record[NG],record[製程料號],_018_550[[#This Row],[製令單號]],record[ProcessSN],J$1)</f>
        <v>13</v>
      </c>
      <c r="K19" s="124">
        <f>IFERROR(_018_550[[#This Row],['#08委外NG]]/_018_550[[#This Row],['#08已委外數量]],"")</f>
        <v>8.0745341614906832E-2</v>
      </c>
      <c r="L19" s="123">
        <f>_018_550[[#This Row],['#08回
良品]]-_018_550[[#This Row],['#06檢驗OK]]-_018_550[[#This Row],['#06
QC NG]]</f>
        <v>0</v>
      </c>
      <c r="M19" s="123">
        <f>SUMIFS(record[OK],record[製程料號],_018_550[[#This Row],[製令單號]],record[ProcessSN],M$1)</f>
        <v>148</v>
      </c>
      <c r="N19" s="117">
        <f>SUMIFS(record[NG],record[製程料號],_018_550[[#This Row],[製令單號]],record[ProcessSN],N$1)</f>
        <v>0</v>
      </c>
      <c r="O19" s="123">
        <f>_018_550[[#This Row],['#06檢驗OK]]-_018_550[[#This Row],[不良品]]-_018_550[[#This Row],[良品]]</f>
        <v>0</v>
      </c>
      <c r="P19" s="123">
        <f>SUMIFS(record[OK],record[製程料號],_018_550[[#This Row],[製令單號]],record[ProcessSN],P$1)</f>
        <v>148</v>
      </c>
      <c r="Q19" s="117">
        <f>SUMIFS(record[NG],record[製程料號],_018_550[[#This Row],[製令單號]],record[ProcessSN],Q$1)</f>
        <v>0</v>
      </c>
      <c r="R19" s="123">
        <f>_018_550[[#This Row],[良品]]-_018_550[[#This Row],[良品放行]]-_018_550[[#This Row],[不良待處理]]</f>
        <v>0</v>
      </c>
      <c r="S19" s="123">
        <f>SUMIFS(record[OK],record[製程料號],_018_550[[#This Row],[製令單號]],record[ProcessSN],S$1)</f>
        <v>148</v>
      </c>
      <c r="T19" s="117">
        <f>SUMIFS(record[NG],record[製程料號],_018_550[[#This Row],[製令單號]],record[ProcessSN],T$1)</f>
        <v>0</v>
      </c>
      <c r="U19" s="123">
        <f>_018_550[[#This Row],[良品放行]]-_018_550[[#This Row],[入庫]]</f>
        <v>0</v>
      </c>
      <c r="V19" s="123">
        <f>SUMIFS(record[OK],record[製程料號],_018_550[[#This Row],[製令單號]],record[ProcessSN],V$1)</f>
        <v>148</v>
      </c>
      <c r="W19" s="123">
        <f>_018_550[[#This Row],[入庫]]-_018_550[[#This Row],[已出貨]]</f>
        <v>0</v>
      </c>
      <c r="X19" s="137"/>
      <c r="Y19" s="123">
        <f>SUMIFS(record[OK],record[製程料號],_018_550[[#This Row],[製令單號]],record[ProcessSN],Y$1)</f>
        <v>148</v>
      </c>
      <c r="Z19" s="125">
        <f>_018_550[[#This Row],[不良待處理]]+_018_550[[#This Row],[不良品]]+_018_550[[#This Row],['#06
QC NG]]+_018_550[[#This Row],['#08委外NG]]</f>
        <v>13</v>
      </c>
      <c r="AA1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0.91925465838509313</v>
      </c>
    </row>
    <row r="20" spans="1:27" ht="30.75" x14ac:dyDescent="0.25">
      <c r="A20" s="120">
        <v>45656</v>
      </c>
      <c r="B20" s="121" t="s">
        <v>653</v>
      </c>
      <c r="C20" s="122" t="s">
        <v>500</v>
      </c>
      <c r="D20" s="118">
        <v>314</v>
      </c>
      <c r="E20" s="123">
        <f>_018_550[[#This Row],[入料數]]-_018_550[[#This Row],['#08已委外數量]]</f>
        <v>0</v>
      </c>
      <c r="F20" s="123">
        <f>SUMIFS(record[OK],record[製程料號],_018_550[[#This Row],[製令單號]],record[ProcessSN],F$1)</f>
        <v>314</v>
      </c>
      <c r="G20" s="118" t="str">
        <f>IF(_018_550[[#This Row],['#08已委外數量]]&gt;0,VLOOKUP(G$1,record[[ProcessSN]:[廠商]],12,FALSE),"尚未委外")</f>
        <v>泉盛</v>
      </c>
      <c r="H20" s="123">
        <f>_018_550[[#This Row],['#08已委外數量]]-_018_550[[#This Row],['#08回
良品]]-_018_550[[#This Row],['#08委外NG]]</f>
        <v>0</v>
      </c>
      <c r="I20" s="123">
        <f>SUMIFS(record[OK],record[製程料號],_018_550[[#This Row],[製令單號]],record[ProcessSN],I$1)</f>
        <v>314</v>
      </c>
      <c r="J20" s="117">
        <f>SUMIFS(record[NG],record[製程料號],_018_550[[#This Row],[製令單號]],record[ProcessSN],J$1)</f>
        <v>0</v>
      </c>
      <c r="K20" s="124">
        <f>IFERROR(_018_550[[#This Row],['#08委外NG]]/_018_550[[#This Row],['#08已委外數量]],"")</f>
        <v>0</v>
      </c>
      <c r="L20" s="123">
        <f>_018_550[[#This Row],['#08回
良品]]-_018_550[[#This Row],['#06檢驗OK]]-_018_550[[#This Row],['#06
QC NG]]</f>
        <v>0</v>
      </c>
      <c r="M20" s="123">
        <f>SUMIFS(record[OK],record[製程料號],_018_550[[#This Row],[製令單號]],record[ProcessSN],M$1)</f>
        <v>314</v>
      </c>
      <c r="N20" s="117">
        <f>SUMIFS(record[NG],record[製程料號],_018_550[[#This Row],[製令單號]],record[ProcessSN],N$1)</f>
        <v>0</v>
      </c>
      <c r="O20" s="123">
        <f>_018_550[[#This Row],['#06檢驗OK]]-_018_550[[#This Row],[不良品]]-_018_550[[#This Row],[良品]]</f>
        <v>0</v>
      </c>
      <c r="P20" s="123">
        <f>SUMIFS(record[OK],record[製程料號],_018_550[[#This Row],[製令單號]],record[ProcessSN],P$1)</f>
        <v>314</v>
      </c>
      <c r="Q20" s="117">
        <f>SUMIFS(record[NG],record[製程料號],_018_550[[#This Row],[製令單號]],record[ProcessSN],Q$1)</f>
        <v>0</v>
      </c>
      <c r="R20" s="123">
        <f>_018_550[[#This Row],[良品]]-_018_550[[#This Row],[良品放行]]-_018_550[[#This Row],[不良待處理]]</f>
        <v>0</v>
      </c>
      <c r="S20" s="123">
        <f>SUMIFS(record[OK],record[製程料號],_018_550[[#This Row],[製令單號]],record[ProcessSN],S$1)</f>
        <v>314</v>
      </c>
      <c r="T20" s="117">
        <f>SUMIFS(record[NG],record[製程料號],_018_550[[#This Row],[製令單號]],record[ProcessSN],T$1)</f>
        <v>0</v>
      </c>
      <c r="U20" s="123">
        <f>_018_550[[#This Row],[良品放行]]-_018_550[[#This Row],[入庫]]</f>
        <v>0</v>
      </c>
      <c r="V20" s="123">
        <f>SUMIFS(record[OK],record[製程料號],_018_550[[#This Row],[製令單號]],record[ProcessSN],V$1)</f>
        <v>314</v>
      </c>
      <c r="W20" s="123">
        <f>_018_550[[#This Row],[入庫]]-_018_550[[#This Row],[已出貨]]</f>
        <v>0</v>
      </c>
      <c r="X20" s="137"/>
      <c r="Y20" s="123">
        <f>SUMIFS(record[OK],record[製程料號],_018_550[[#This Row],[製令單號]],record[ProcessSN],Y$1)</f>
        <v>314</v>
      </c>
      <c r="Z20" s="125">
        <f>_018_550[[#This Row],[不良待處理]]+_018_550[[#This Row],[不良品]]+_018_550[[#This Row],['#06
QC NG]]+_018_550[[#This Row],['#08委外NG]]</f>
        <v>0</v>
      </c>
      <c r="AA2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21" spans="1:27" ht="30.75" x14ac:dyDescent="0.25">
      <c r="A21" s="120">
        <v>45657</v>
      </c>
      <c r="B21" s="121" t="s">
        <v>654</v>
      </c>
      <c r="C21" s="122" t="s">
        <v>500</v>
      </c>
      <c r="D21" s="118">
        <v>167</v>
      </c>
      <c r="E21" s="123">
        <f>_018_550[[#This Row],[入料數]]-_018_550[[#This Row],['#08已委外數量]]</f>
        <v>0</v>
      </c>
      <c r="F21" s="123">
        <f>SUMIFS(record[OK],record[製程料號],_018_550[[#This Row],[製令單號]],record[ProcessSN],F$1)</f>
        <v>167</v>
      </c>
      <c r="G21" s="118" t="str">
        <f>IF(_018_550[[#This Row],['#08已委外數量]]&gt;0,VLOOKUP(G$1,record[[ProcessSN]:[廠商]],12,FALSE),"尚未委外")</f>
        <v>泉盛</v>
      </c>
      <c r="H21" s="123">
        <f>_018_550[[#This Row],['#08已委外數量]]-_018_550[[#This Row],['#08回
良品]]-_018_550[[#This Row],['#08委外NG]]</f>
        <v>0</v>
      </c>
      <c r="I21" s="123">
        <f>SUMIFS(record[OK],record[製程料號],_018_550[[#This Row],[製令單號]],record[ProcessSN],I$1)</f>
        <v>167</v>
      </c>
      <c r="J21" s="117">
        <f>SUMIFS(record[NG],record[製程料號],_018_550[[#This Row],[製令單號]],record[ProcessSN],J$1)</f>
        <v>0</v>
      </c>
      <c r="K21" s="124">
        <f>IFERROR(_018_550[[#This Row],['#08委外NG]]/_018_550[[#This Row],['#08已委外數量]],"")</f>
        <v>0</v>
      </c>
      <c r="L21" s="123">
        <f>_018_550[[#This Row],['#08回
良品]]-_018_550[[#This Row],['#06檢驗OK]]-_018_550[[#This Row],['#06
QC NG]]</f>
        <v>0</v>
      </c>
      <c r="M21" s="123">
        <f>SUMIFS(record[OK],record[製程料號],_018_550[[#This Row],[製令單號]],record[ProcessSN],M$1)</f>
        <v>167</v>
      </c>
      <c r="N21" s="117">
        <f>SUMIFS(record[NG],record[製程料號],_018_550[[#This Row],[製令單號]],record[ProcessSN],N$1)</f>
        <v>0</v>
      </c>
      <c r="O21" s="123">
        <f>_018_550[[#This Row],['#06檢驗OK]]-_018_550[[#This Row],[不良品]]-_018_550[[#This Row],[良品]]</f>
        <v>0</v>
      </c>
      <c r="P21" s="123">
        <f>SUMIFS(record[OK],record[製程料號],_018_550[[#This Row],[製令單號]],record[ProcessSN],P$1)</f>
        <v>167</v>
      </c>
      <c r="Q21" s="117">
        <f>SUMIFS(record[NG],record[製程料號],_018_550[[#This Row],[製令單號]],record[ProcessSN],Q$1)</f>
        <v>0</v>
      </c>
      <c r="R21" s="123">
        <f>_018_550[[#This Row],[良品]]-_018_550[[#This Row],[良品放行]]-_018_550[[#This Row],[不良待處理]]</f>
        <v>0</v>
      </c>
      <c r="S21" s="123">
        <f>SUMIFS(record[OK],record[製程料號],_018_550[[#This Row],[製令單號]],record[ProcessSN],S$1)</f>
        <v>167</v>
      </c>
      <c r="T21" s="117">
        <f>SUMIFS(record[NG],record[製程料號],_018_550[[#This Row],[製令單號]],record[ProcessSN],T$1)</f>
        <v>0</v>
      </c>
      <c r="U21" s="123">
        <f>_018_550[[#This Row],[良品放行]]-_018_550[[#This Row],[入庫]]</f>
        <v>0</v>
      </c>
      <c r="V21" s="123">
        <f>SUMIFS(record[OK],record[製程料號],_018_550[[#This Row],[製令單號]],record[ProcessSN],V$1)</f>
        <v>167</v>
      </c>
      <c r="W21" s="123">
        <f>_018_550[[#This Row],[入庫]]-_018_550[[#This Row],[已出貨]]</f>
        <v>0</v>
      </c>
      <c r="X21" s="137"/>
      <c r="Y21" s="123">
        <f>SUMIFS(record[OK],record[製程料號],_018_550[[#This Row],[製令單號]],record[ProcessSN],Y$1)</f>
        <v>167</v>
      </c>
      <c r="Z21" s="125">
        <f>_018_550[[#This Row],[不良待處理]]+_018_550[[#This Row],[不良品]]+_018_550[[#This Row],['#06
QC NG]]+_018_550[[#This Row],['#08委外NG]]</f>
        <v>0</v>
      </c>
      <c r="AA2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22" spans="1:27" ht="30.75" x14ac:dyDescent="0.25">
      <c r="A22" s="120">
        <v>45659</v>
      </c>
      <c r="B22" s="121" t="s">
        <v>655</v>
      </c>
      <c r="C22" s="122" t="s">
        <v>500</v>
      </c>
      <c r="D22" s="118">
        <v>329</v>
      </c>
      <c r="E22" s="123">
        <f>_018_550[[#This Row],[入料數]]-_018_550[[#This Row],['#08已委外數量]]</f>
        <v>0</v>
      </c>
      <c r="F22" s="123">
        <f>SUMIFS(record[OK],record[製程料號],_018_550[[#This Row],[製令單號]],record[ProcessSN],F$1)</f>
        <v>329</v>
      </c>
      <c r="G22" s="118" t="str">
        <f>IF(_018_550[[#This Row],['#08已委外數量]]&gt;0,VLOOKUP(G$1,record[[ProcessSN]:[廠商]],12,FALSE),"尚未委外")</f>
        <v>泉盛</v>
      </c>
      <c r="H22" s="123">
        <f>_018_550[[#This Row],['#08已委外數量]]-_018_550[[#This Row],['#08回
良品]]-_018_550[[#This Row],['#08委外NG]]</f>
        <v>0</v>
      </c>
      <c r="I22" s="123">
        <f>SUMIFS(record[OK],record[製程料號],_018_550[[#This Row],[製令單號]],record[ProcessSN],I$1)</f>
        <v>319</v>
      </c>
      <c r="J22" s="117">
        <f>SUMIFS(record[NG],record[製程料號],_018_550[[#This Row],[製令單號]],record[ProcessSN],J$1)</f>
        <v>10</v>
      </c>
      <c r="K22" s="124">
        <f>IFERROR(_018_550[[#This Row],['#08委外NG]]/_018_550[[#This Row],['#08已委外數量]],"")</f>
        <v>3.0395136778115502E-2</v>
      </c>
      <c r="L22" s="123">
        <f>_018_550[[#This Row],['#08回
良品]]-_018_550[[#This Row],['#06檢驗OK]]-_018_550[[#This Row],['#06
QC NG]]</f>
        <v>0</v>
      </c>
      <c r="M22" s="123">
        <f>SUMIFS(record[OK],record[製程料號],_018_550[[#This Row],[製令單號]],record[ProcessSN],M$1)</f>
        <v>319</v>
      </c>
      <c r="N22" s="117">
        <f>SUMIFS(record[NG],record[製程料號],_018_550[[#This Row],[製令單號]],record[ProcessSN],N$1)</f>
        <v>0</v>
      </c>
      <c r="O22" s="123">
        <f>_018_550[[#This Row],['#06檢驗OK]]-_018_550[[#This Row],[不良品]]-_018_550[[#This Row],[良品]]</f>
        <v>0</v>
      </c>
      <c r="P22" s="123">
        <f>SUMIFS(record[OK],record[製程料號],_018_550[[#This Row],[製令單號]],record[ProcessSN],P$1)</f>
        <v>318</v>
      </c>
      <c r="Q22" s="117">
        <f>SUMIFS(record[NG],record[製程料號],_018_550[[#This Row],[製令單號]],record[ProcessSN],Q$1)</f>
        <v>1</v>
      </c>
      <c r="R22" s="123">
        <f>_018_550[[#This Row],[良品]]-_018_550[[#This Row],[良品放行]]-_018_550[[#This Row],[不良待處理]]</f>
        <v>0</v>
      </c>
      <c r="S22" s="123">
        <f>SUMIFS(record[OK],record[製程料號],_018_550[[#This Row],[製令單號]],record[ProcessSN],S$1)</f>
        <v>318</v>
      </c>
      <c r="T22" s="117">
        <f>SUMIFS(record[NG],record[製程料號],_018_550[[#This Row],[製令單號]],record[ProcessSN],T$1)</f>
        <v>0</v>
      </c>
      <c r="U22" s="123">
        <f>_018_550[[#This Row],[良品放行]]-_018_550[[#This Row],[入庫]]</f>
        <v>0</v>
      </c>
      <c r="V22" s="123">
        <f>SUMIFS(record[OK],record[製程料號],_018_550[[#This Row],[製令單號]],record[ProcessSN],V$1)</f>
        <v>318</v>
      </c>
      <c r="W22" s="123">
        <f>_018_550[[#This Row],[入庫]]-_018_550[[#This Row],[已出貨]]</f>
        <v>0</v>
      </c>
      <c r="X22" s="137"/>
      <c r="Y22" s="123">
        <f>SUMIFS(record[OK],record[製程料號],_018_550[[#This Row],[製令單號]],record[ProcessSN],Y$1)</f>
        <v>318</v>
      </c>
      <c r="Z22" s="125">
        <f>_018_550[[#This Row],[不良待處理]]+_018_550[[#This Row],[不良品]]+_018_550[[#This Row],['#06
QC NG]]+_018_550[[#This Row],['#08委外NG]]</f>
        <v>11</v>
      </c>
      <c r="AA2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0.96656534954407292</v>
      </c>
    </row>
    <row r="23" spans="1:27" ht="30.75" x14ac:dyDescent="0.25">
      <c r="A23" s="120">
        <v>45660</v>
      </c>
      <c r="B23" s="121" t="s">
        <v>660</v>
      </c>
      <c r="C23" s="122" t="s">
        <v>500</v>
      </c>
      <c r="D23" s="118">
        <v>464</v>
      </c>
      <c r="E23" s="123">
        <f>_018_550[[#This Row],[入料數]]-_018_550[[#This Row],['#08已委外數量]]</f>
        <v>0</v>
      </c>
      <c r="F23" s="123">
        <f>SUMIFS(record[OK],record[製程料號],_018_550[[#This Row],[製令單號]],record[ProcessSN],F$1)</f>
        <v>464</v>
      </c>
      <c r="G23" s="118" t="str">
        <f>IF(_018_550[[#This Row],['#08已委外數量]]&gt;0,VLOOKUP(G$1,record[[ProcessSN]:[廠商]],12,FALSE),"尚未委外")</f>
        <v>泉盛</v>
      </c>
      <c r="H23" s="123">
        <f>_018_550[[#This Row],['#08已委外數量]]-_018_550[[#This Row],['#08回
良品]]-_018_550[[#This Row],['#08委外NG]]</f>
        <v>0</v>
      </c>
      <c r="I23" s="123">
        <f>SUMIFS(record[OK],record[製程料號],_018_550[[#This Row],[製令單號]],record[ProcessSN],I$1)</f>
        <v>461</v>
      </c>
      <c r="J23" s="117">
        <f>SUMIFS(record[NG],record[製程料號],_018_550[[#This Row],[製令單號]],record[ProcessSN],J$1)</f>
        <v>3</v>
      </c>
      <c r="K23" s="124">
        <f>IFERROR(_018_550[[#This Row],['#08委外NG]]/_018_550[[#This Row],['#08已委外數量]],"")</f>
        <v>6.4655172413793103E-3</v>
      </c>
      <c r="L23" s="123">
        <f>_018_550[[#This Row],['#08回
良品]]-_018_550[[#This Row],['#06檢驗OK]]-_018_550[[#This Row],['#06
QC NG]]</f>
        <v>0</v>
      </c>
      <c r="M23" s="123">
        <f>SUMIFS(record[OK],record[製程料號],_018_550[[#This Row],[製令單號]],record[ProcessSN],M$1)</f>
        <v>461</v>
      </c>
      <c r="N23" s="117">
        <f>SUMIFS(record[NG],record[製程料號],_018_550[[#This Row],[製令單號]],record[ProcessSN],N$1)</f>
        <v>0</v>
      </c>
      <c r="O23" s="123">
        <f>_018_550[[#This Row],['#06檢驗OK]]-_018_550[[#This Row],[不良品]]-_018_550[[#This Row],[良品]]</f>
        <v>0</v>
      </c>
      <c r="P23" s="123">
        <f>SUMIFS(record[OK],record[製程料號],_018_550[[#This Row],[製令單號]],record[ProcessSN],P$1)</f>
        <v>452</v>
      </c>
      <c r="Q23" s="117">
        <f>SUMIFS(record[NG],record[製程料號],_018_550[[#This Row],[製令單號]],record[ProcessSN],Q$1)</f>
        <v>9</v>
      </c>
      <c r="R23" s="123">
        <f>_018_550[[#This Row],[良品]]-_018_550[[#This Row],[良品放行]]-_018_550[[#This Row],[不良待處理]]</f>
        <v>0</v>
      </c>
      <c r="S23" s="123">
        <f>SUMIFS(record[OK],record[製程料號],_018_550[[#This Row],[製令單號]],record[ProcessSN],S$1)</f>
        <v>452</v>
      </c>
      <c r="T23" s="117">
        <f>SUMIFS(record[NG],record[製程料號],_018_550[[#This Row],[製令單號]],record[ProcessSN],T$1)</f>
        <v>0</v>
      </c>
      <c r="U23" s="123">
        <f>_018_550[[#This Row],[良品放行]]-_018_550[[#This Row],[入庫]]</f>
        <v>0</v>
      </c>
      <c r="V23" s="123">
        <f>SUMIFS(record[OK],record[製程料號],_018_550[[#This Row],[製令單號]],record[ProcessSN],V$1)</f>
        <v>452</v>
      </c>
      <c r="W23" s="123">
        <f>_018_550[[#This Row],[入庫]]-_018_550[[#This Row],[已出貨]]</f>
        <v>0</v>
      </c>
      <c r="X23" s="137"/>
      <c r="Y23" s="123">
        <f>SUMIFS(record[OK],record[製程料號],_018_550[[#This Row],[製令單號]],record[ProcessSN],Y$1)</f>
        <v>452</v>
      </c>
      <c r="Z23" s="125">
        <f>_018_550[[#This Row],[不良待處理]]+_018_550[[#This Row],[不良品]]+_018_550[[#This Row],['#06
QC NG]]+_018_550[[#This Row],['#08委外NG]]</f>
        <v>12</v>
      </c>
      <c r="AA2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0.97413793103448276</v>
      </c>
    </row>
    <row r="24" spans="1:27" ht="30.75" x14ac:dyDescent="0.25">
      <c r="A24" s="120">
        <v>45663</v>
      </c>
      <c r="B24" s="121" t="s">
        <v>662</v>
      </c>
      <c r="C24" s="122" t="s">
        <v>500</v>
      </c>
      <c r="D24" s="118">
        <v>486</v>
      </c>
      <c r="E24" s="123">
        <f>_018_550[[#This Row],[入料數]]-_018_550[[#This Row],['#08已委外數量]]</f>
        <v>0</v>
      </c>
      <c r="F24" s="123">
        <f>SUMIFS(record[OK],record[製程料號],_018_550[[#This Row],[製令單號]],record[ProcessSN],F$1)</f>
        <v>486</v>
      </c>
      <c r="G24" s="118" t="str">
        <f>IF(_018_550[[#This Row],['#08已委外數量]]&gt;0,VLOOKUP(G$1,record[[ProcessSN]:[廠商]],12,FALSE),"尚未委外")</f>
        <v>泉盛</v>
      </c>
      <c r="H24" s="123">
        <f>_018_550[[#This Row],['#08已委外數量]]-_018_550[[#This Row],['#08回
良品]]-_018_550[[#This Row],['#08委外NG]]</f>
        <v>0</v>
      </c>
      <c r="I24" s="123">
        <f>SUMIFS(record[OK],record[製程料號],_018_550[[#This Row],[製令單號]],record[ProcessSN],I$1)</f>
        <v>480</v>
      </c>
      <c r="J24" s="117">
        <f>SUMIFS(record[NG],record[製程料號],_018_550[[#This Row],[製令單號]],record[ProcessSN],J$1)</f>
        <v>6</v>
      </c>
      <c r="K24" s="124">
        <f>IFERROR(_018_550[[#This Row],['#08委外NG]]/_018_550[[#This Row],['#08已委外數量]],"")</f>
        <v>1.2345679012345678E-2</v>
      </c>
      <c r="L24" s="123">
        <f>_018_550[[#This Row],['#08回
良品]]-_018_550[[#This Row],['#06檢驗OK]]-_018_550[[#This Row],['#06
QC NG]]</f>
        <v>0</v>
      </c>
      <c r="M24" s="123">
        <f>SUMIFS(record[OK],record[製程料號],_018_550[[#This Row],[製令單號]],record[ProcessSN],M$1)</f>
        <v>480</v>
      </c>
      <c r="N24" s="117">
        <f>SUMIFS(record[NG],record[製程料號],_018_550[[#This Row],[製令單號]],record[ProcessSN],N$1)</f>
        <v>0</v>
      </c>
      <c r="O24" s="123">
        <f>_018_550[[#This Row],['#06檢驗OK]]-_018_550[[#This Row],[不良品]]-_018_550[[#This Row],[良品]]</f>
        <v>0</v>
      </c>
      <c r="P24" s="123">
        <f>SUMIFS(record[OK],record[製程料號],_018_550[[#This Row],[製令單號]],record[ProcessSN],P$1)</f>
        <v>479</v>
      </c>
      <c r="Q24" s="117">
        <f>SUMIFS(record[NG],record[製程料號],_018_550[[#This Row],[製令單號]],record[ProcessSN],Q$1)</f>
        <v>1</v>
      </c>
      <c r="R24" s="123">
        <f>_018_550[[#This Row],[良品]]-_018_550[[#This Row],[良品放行]]-_018_550[[#This Row],[不良待處理]]</f>
        <v>0</v>
      </c>
      <c r="S24" s="123">
        <f>SUMIFS(record[OK],record[製程料號],_018_550[[#This Row],[製令單號]],record[ProcessSN],S$1)</f>
        <v>479</v>
      </c>
      <c r="T24" s="117">
        <f>SUMIFS(record[NG],record[製程料號],_018_550[[#This Row],[製令單號]],record[ProcessSN],T$1)</f>
        <v>0</v>
      </c>
      <c r="U24" s="123">
        <f>_018_550[[#This Row],[良品放行]]-_018_550[[#This Row],[入庫]]</f>
        <v>0</v>
      </c>
      <c r="V24" s="123">
        <f>SUMIFS(record[OK],record[製程料號],_018_550[[#This Row],[製令單號]],record[ProcessSN],V$1)</f>
        <v>479</v>
      </c>
      <c r="W24" s="123">
        <f>_018_550[[#This Row],[入庫]]-_018_550[[#This Row],[已出貨]]</f>
        <v>0</v>
      </c>
      <c r="X24" s="137"/>
      <c r="Y24" s="123">
        <f>SUMIFS(record[OK],record[製程料號],_018_550[[#This Row],[製令單號]],record[ProcessSN],Y$1)</f>
        <v>479</v>
      </c>
      <c r="Z24" s="125">
        <f>_018_550[[#This Row],[不良待處理]]+_018_550[[#This Row],[不良品]]+_018_550[[#This Row],['#06
QC NG]]+_018_550[[#This Row],['#08委外NG]]</f>
        <v>7</v>
      </c>
      <c r="AA2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0.98559670781893005</v>
      </c>
    </row>
    <row r="25" spans="1:27" ht="30.75" x14ac:dyDescent="0.25">
      <c r="A25" s="120">
        <v>45671</v>
      </c>
      <c r="B25" s="121" t="s">
        <v>684</v>
      </c>
      <c r="C25" s="122" t="s">
        <v>500</v>
      </c>
      <c r="D25" s="118">
        <v>352</v>
      </c>
      <c r="E25" s="123">
        <f>_018_550[[#This Row],[入料數]]-_018_550[[#This Row],['#08已委外數量]]</f>
        <v>0</v>
      </c>
      <c r="F25" s="123">
        <f>SUMIFS(record[OK],record[製程料號],_018_550[[#This Row],[製令單號]],record[ProcessSN],F$1)</f>
        <v>352</v>
      </c>
      <c r="G25" s="118" t="str">
        <f>IF(_018_550[[#This Row],['#08已委外數量]]&gt;0,VLOOKUP(G$1,record[[ProcessSN]:[廠商]],12,FALSE),"尚未委外")</f>
        <v>泉盛</v>
      </c>
      <c r="H25" s="123">
        <f>_018_550[[#This Row],['#08已委外數量]]-_018_550[[#This Row],['#08回
良品]]-_018_550[[#This Row],['#08委外NG]]</f>
        <v>0</v>
      </c>
      <c r="I25" s="123">
        <f>SUMIFS(record[OK],record[製程料號],_018_550[[#This Row],[製令單號]],record[ProcessSN],I$1)</f>
        <v>352</v>
      </c>
      <c r="J25" s="117">
        <f>SUMIFS(record[NG],record[製程料號],_018_550[[#This Row],[製令單號]],record[ProcessSN],J$1)</f>
        <v>0</v>
      </c>
      <c r="K25" s="124">
        <f>IFERROR(_018_550[[#This Row],['#08委外NG]]/_018_550[[#This Row],['#08已委外數量]],"")</f>
        <v>0</v>
      </c>
      <c r="L25" s="123">
        <f>_018_550[[#This Row],['#08回
良品]]-_018_550[[#This Row],['#06檢驗OK]]-_018_550[[#This Row],['#06
QC NG]]</f>
        <v>0</v>
      </c>
      <c r="M25" s="123">
        <f>SUMIFS(record[OK],record[製程料號],_018_550[[#This Row],[製令單號]],record[ProcessSN],M$1)</f>
        <v>352</v>
      </c>
      <c r="N25" s="117">
        <f>SUMIFS(record[NG],record[製程料號],_018_550[[#This Row],[製令單號]],record[ProcessSN],N$1)</f>
        <v>0</v>
      </c>
      <c r="O25" s="123">
        <f>_018_550[[#This Row],['#06檢驗OK]]-_018_550[[#This Row],[不良品]]-_018_550[[#This Row],[良品]]</f>
        <v>0</v>
      </c>
      <c r="P25" s="123">
        <f>SUMIFS(record[OK],record[製程料號],_018_550[[#This Row],[製令單號]],record[ProcessSN],P$1)</f>
        <v>352</v>
      </c>
      <c r="Q25" s="117">
        <f>SUMIFS(record[NG],record[製程料號],_018_550[[#This Row],[製令單號]],record[ProcessSN],Q$1)</f>
        <v>0</v>
      </c>
      <c r="R25" s="123">
        <f>_018_550[[#This Row],[良品]]-_018_550[[#This Row],[良品放行]]-_018_550[[#This Row],[不良待處理]]</f>
        <v>0</v>
      </c>
      <c r="S25" s="123">
        <f>SUMIFS(record[OK],record[製程料號],_018_550[[#This Row],[製令單號]],record[ProcessSN],S$1)</f>
        <v>352</v>
      </c>
      <c r="T25" s="117">
        <f>SUMIFS(record[NG],record[製程料號],_018_550[[#This Row],[製令單號]],record[ProcessSN],T$1)</f>
        <v>0</v>
      </c>
      <c r="U25" s="123">
        <f>_018_550[[#This Row],[良品放行]]-_018_550[[#This Row],[入庫]]</f>
        <v>0</v>
      </c>
      <c r="V25" s="123">
        <f>SUMIFS(record[OK],record[製程料號],_018_550[[#This Row],[製令單號]],record[ProcessSN],V$1)</f>
        <v>352</v>
      </c>
      <c r="W25" s="123">
        <f>_018_550[[#This Row],[入庫]]-_018_550[[#This Row],[已出貨]]</f>
        <v>0</v>
      </c>
      <c r="X25" s="137"/>
      <c r="Y25" s="123">
        <f>SUMIFS(record[OK],record[製程料號],_018_550[[#This Row],[製令單號]],record[ProcessSN],Y$1)</f>
        <v>352</v>
      </c>
      <c r="Z25" s="125">
        <f>_018_550[[#This Row],[不良待處理]]+_018_550[[#This Row],[不良品]]+_018_550[[#This Row],['#06
QC NG]]+_018_550[[#This Row],['#08委外NG]]</f>
        <v>0</v>
      </c>
      <c r="AA2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26" spans="1:27" ht="30.75" x14ac:dyDescent="0.25">
      <c r="A26" s="120">
        <v>45672</v>
      </c>
      <c r="B26" s="121" t="s">
        <v>689</v>
      </c>
      <c r="C26" s="122" t="s">
        <v>500</v>
      </c>
      <c r="D26" s="118">
        <v>162</v>
      </c>
      <c r="E26" s="123">
        <f>_018_550[[#This Row],[入料數]]-_018_550[[#This Row],['#08已委外數量]]</f>
        <v>0</v>
      </c>
      <c r="F26" s="123">
        <f>SUMIFS(record[OK],record[製程料號],_018_550[[#This Row],[製令單號]],record[ProcessSN],F$1)</f>
        <v>162</v>
      </c>
      <c r="G26" s="118" t="str">
        <f>IF(_018_550[[#This Row],['#08已委外數量]]&gt;0,VLOOKUP(G$1,record[[ProcessSN]:[廠商]],12,FALSE),"尚未委外")</f>
        <v>泉盛</v>
      </c>
      <c r="H26" s="123">
        <f>_018_550[[#This Row],['#08已委外數量]]-_018_550[[#This Row],['#08回
良品]]-_018_550[[#This Row],['#08委外NG]]</f>
        <v>0</v>
      </c>
      <c r="I26" s="123">
        <f>SUMIFS(record[OK],record[製程料號],_018_550[[#This Row],[製令單號]],record[ProcessSN],I$1)</f>
        <v>162</v>
      </c>
      <c r="J26" s="117">
        <f>SUMIFS(record[NG],record[製程料號],_018_550[[#This Row],[製令單號]],record[ProcessSN],J$1)</f>
        <v>0</v>
      </c>
      <c r="K26" s="124">
        <f>IFERROR(_018_550[[#This Row],['#08委外NG]]/_018_550[[#This Row],['#08已委外數量]],"")</f>
        <v>0</v>
      </c>
      <c r="L26" s="123">
        <f>_018_550[[#This Row],['#08回
良品]]-_018_550[[#This Row],['#06檢驗OK]]-_018_550[[#This Row],['#06
QC NG]]</f>
        <v>0</v>
      </c>
      <c r="M26" s="123">
        <f>SUMIFS(record[OK],record[製程料號],_018_550[[#This Row],[製令單號]],record[ProcessSN],M$1)</f>
        <v>162</v>
      </c>
      <c r="N26" s="117">
        <f>SUMIFS(record[NG],record[製程料號],_018_550[[#This Row],[製令單號]],record[ProcessSN],N$1)</f>
        <v>0</v>
      </c>
      <c r="O26" s="123">
        <f>_018_550[[#This Row],['#06檢驗OK]]-_018_550[[#This Row],[不良品]]-_018_550[[#This Row],[良品]]</f>
        <v>0</v>
      </c>
      <c r="P26" s="123">
        <f>SUMIFS(record[OK],record[製程料號],_018_550[[#This Row],[製令單號]],record[ProcessSN],P$1)</f>
        <v>162</v>
      </c>
      <c r="Q26" s="117">
        <f>SUMIFS(record[NG],record[製程料號],_018_550[[#This Row],[製令單號]],record[ProcessSN],Q$1)</f>
        <v>0</v>
      </c>
      <c r="R26" s="123">
        <f>_018_550[[#This Row],[良品]]-_018_550[[#This Row],[良品放行]]-_018_550[[#This Row],[不良待處理]]</f>
        <v>0</v>
      </c>
      <c r="S26" s="123">
        <f>SUMIFS(record[OK],record[製程料號],_018_550[[#This Row],[製令單號]],record[ProcessSN],S$1)</f>
        <v>162</v>
      </c>
      <c r="T26" s="117">
        <f>SUMIFS(record[NG],record[製程料號],_018_550[[#This Row],[製令單號]],record[ProcessSN],T$1)</f>
        <v>0</v>
      </c>
      <c r="U26" s="123">
        <f>_018_550[[#This Row],[良品放行]]-_018_550[[#This Row],[入庫]]</f>
        <v>0</v>
      </c>
      <c r="V26" s="123">
        <f>SUMIFS(record[OK],record[製程料號],_018_550[[#This Row],[製令單號]],record[ProcessSN],V$1)</f>
        <v>162</v>
      </c>
      <c r="W26" s="123">
        <f>_018_550[[#This Row],[入庫]]-_018_550[[#This Row],[已出貨]]</f>
        <v>0</v>
      </c>
      <c r="X26" s="137"/>
      <c r="Y26" s="123">
        <f>SUMIFS(record[OK],record[製程料號],_018_550[[#This Row],[製令單號]],record[ProcessSN],Y$1)</f>
        <v>162</v>
      </c>
      <c r="Z26" s="125">
        <f>_018_550[[#This Row],[不良待處理]]+_018_550[[#This Row],[不良品]]+_018_550[[#This Row],['#06
QC NG]]+_018_550[[#This Row],['#08委外NG]]</f>
        <v>0</v>
      </c>
      <c r="AA2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27" spans="1:27" ht="30.75" x14ac:dyDescent="0.25">
      <c r="A27" s="120">
        <v>45673</v>
      </c>
      <c r="B27" s="121" t="s">
        <v>697</v>
      </c>
      <c r="C27" s="122" t="s">
        <v>500</v>
      </c>
      <c r="D27" s="118">
        <v>159</v>
      </c>
      <c r="E27" s="123">
        <f>_018_550[[#This Row],[入料數]]-_018_550[[#This Row],['#08已委外數量]]</f>
        <v>0</v>
      </c>
      <c r="F27" s="123">
        <f>SUMIFS(record[OK],record[製程料號],_018_550[[#This Row],[製令單號]],record[ProcessSN],F$1)</f>
        <v>159</v>
      </c>
      <c r="G27" s="118" t="str">
        <f>IF(_018_550[[#This Row],['#08已委外數量]]&gt;0,VLOOKUP(G$1,record[[ProcessSN]:[廠商]],12,FALSE),"尚未委外")</f>
        <v>泉盛</v>
      </c>
      <c r="H27" s="123">
        <f>_018_550[[#This Row],['#08已委外數量]]-_018_550[[#This Row],['#08回
良品]]-_018_550[[#This Row],['#08委外NG]]</f>
        <v>0</v>
      </c>
      <c r="I27" s="123">
        <f>SUMIFS(record[OK],record[製程料號],_018_550[[#This Row],[製令單號]],record[ProcessSN],I$1)</f>
        <v>159</v>
      </c>
      <c r="J27" s="117">
        <f>SUMIFS(record[NG],record[製程料號],_018_550[[#This Row],[製令單號]],record[ProcessSN],J$1)</f>
        <v>0</v>
      </c>
      <c r="K27" s="124">
        <f>IFERROR(_018_550[[#This Row],['#08委外NG]]/_018_550[[#This Row],['#08已委外數量]],"")</f>
        <v>0</v>
      </c>
      <c r="L27" s="123">
        <f>_018_550[[#This Row],['#08回
良品]]-_018_550[[#This Row],['#06檢驗OK]]-_018_550[[#This Row],['#06
QC NG]]</f>
        <v>0</v>
      </c>
      <c r="M27" s="123">
        <f>SUMIFS(record[OK],record[製程料號],_018_550[[#This Row],[製令單號]],record[ProcessSN],M$1)</f>
        <v>159</v>
      </c>
      <c r="N27" s="117">
        <f>SUMIFS(record[NG],record[製程料號],_018_550[[#This Row],[製令單號]],record[ProcessSN],N$1)</f>
        <v>0</v>
      </c>
      <c r="O27" s="123">
        <f>_018_550[[#This Row],['#06檢驗OK]]-_018_550[[#This Row],[不良品]]-_018_550[[#This Row],[良品]]</f>
        <v>0</v>
      </c>
      <c r="P27" s="123">
        <f>SUMIFS(record[OK],record[製程料號],_018_550[[#This Row],[製令單號]],record[ProcessSN],P$1)</f>
        <v>159</v>
      </c>
      <c r="Q27" s="117">
        <f>SUMIFS(record[NG],record[製程料號],_018_550[[#This Row],[製令單號]],record[ProcessSN],Q$1)</f>
        <v>0</v>
      </c>
      <c r="R27" s="123">
        <f>_018_550[[#This Row],[良品]]-_018_550[[#This Row],[良品放行]]-_018_550[[#This Row],[不良待處理]]</f>
        <v>0</v>
      </c>
      <c r="S27" s="123">
        <f>SUMIFS(record[OK],record[製程料號],_018_550[[#This Row],[製令單號]],record[ProcessSN],S$1)</f>
        <v>159</v>
      </c>
      <c r="T27" s="117">
        <f>SUMIFS(record[NG],record[製程料號],_018_550[[#This Row],[製令單號]],record[ProcessSN],T$1)</f>
        <v>0</v>
      </c>
      <c r="U27" s="123">
        <f>_018_550[[#This Row],[良品放行]]-_018_550[[#This Row],[入庫]]</f>
        <v>0</v>
      </c>
      <c r="V27" s="123">
        <f>SUMIFS(record[OK],record[製程料號],_018_550[[#This Row],[製令單號]],record[ProcessSN],V$1)</f>
        <v>159</v>
      </c>
      <c r="W27" s="123">
        <f>_018_550[[#This Row],[入庫]]-_018_550[[#This Row],[已出貨]]</f>
        <v>0</v>
      </c>
      <c r="X27" s="137"/>
      <c r="Y27" s="123">
        <f>SUMIFS(record[OK],record[製程料號],_018_550[[#This Row],[製令單號]],record[ProcessSN],Y$1)</f>
        <v>159</v>
      </c>
      <c r="Z27" s="125">
        <f>_018_550[[#This Row],[不良待處理]]+_018_550[[#This Row],[不良品]]+_018_550[[#This Row],['#06
QC NG]]+_018_550[[#This Row],['#08委外NG]]</f>
        <v>0</v>
      </c>
      <c r="AA2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28" spans="1:27" ht="30.75" x14ac:dyDescent="0.25">
      <c r="A28" s="120">
        <v>45674</v>
      </c>
      <c r="B28" s="121" t="s">
        <v>699</v>
      </c>
      <c r="C28" s="122" t="s">
        <v>500</v>
      </c>
      <c r="D28" s="118">
        <v>314</v>
      </c>
      <c r="E28" s="123">
        <f>_018_550[[#This Row],[入料數]]-_018_550[[#This Row],['#08已委外數量]]</f>
        <v>0</v>
      </c>
      <c r="F28" s="123">
        <f>SUMIFS(record[OK],record[製程料號],_018_550[[#This Row],[製令單號]],record[ProcessSN],F$1)</f>
        <v>314</v>
      </c>
      <c r="G28" s="118" t="str">
        <f>IF(_018_550[[#This Row],['#08已委外數量]]&gt;0,VLOOKUP(G$1,record[[ProcessSN]:[廠商]],12,FALSE),"尚未委外")</f>
        <v>泉盛</v>
      </c>
      <c r="H28" s="123">
        <f>_018_550[[#This Row],['#08已委外數量]]-_018_550[[#This Row],['#08回
良品]]-_018_550[[#This Row],['#08委外NG]]</f>
        <v>0</v>
      </c>
      <c r="I28" s="123">
        <f>SUMIFS(record[OK],record[製程料號],_018_550[[#This Row],[製令單號]],record[ProcessSN],I$1)</f>
        <v>312</v>
      </c>
      <c r="J28" s="117">
        <f>SUMIFS(record[NG],record[製程料號],_018_550[[#This Row],[製令單號]],record[ProcessSN],J$1)</f>
        <v>2</v>
      </c>
      <c r="K28" s="124">
        <f>IFERROR(_018_550[[#This Row],['#08委外NG]]/_018_550[[#This Row],['#08已委外數量]],"")</f>
        <v>6.369426751592357E-3</v>
      </c>
      <c r="L28" s="123">
        <f>_018_550[[#This Row],['#08回
良品]]-_018_550[[#This Row],['#06檢驗OK]]-_018_550[[#This Row],['#06
QC NG]]</f>
        <v>0</v>
      </c>
      <c r="M28" s="123">
        <f>SUMIFS(record[OK],record[製程料號],_018_550[[#This Row],[製令單號]],record[ProcessSN],M$1)</f>
        <v>312</v>
      </c>
      <c r="N28" s="117">
        <f>SUMIFS(record[NG],record[製程料號],_018_550[[#This Row],[製令單號]],record[ProcessSN],N$1)</f>
        <v>0</v>
      </c>
      <c r="O28" s="123">
        <f>_018_550[[#This Row],['#06檢驗OK]]-_018_550[[#This Row],[不良品]]-_018_550[[#This Row],[良品]]</f>
        <v>0</v>
      </c>
      <c r="P28" s="123">
        <f>SUMIFS(record[OK],record[製程料號],_018_550[[#This Row],[製令單號]],record[ProcessSN],P$1)</f>
        <v>304</v>
      </c>
      <c r="Q28" s="117">
        <f>SUMIFS(record[NG],record[製程料號],_018_550[[#This Row],[製令單號]],record[ProcessSN],Q$1)</f>
        <v>8</v>
      </c>
      <c r="R28" s="123">
        <f>_018_550[[#This Row],[良品]]-_018_550[[#This Row],[良品放行]]-_018_550[[#This Row],[不良待處理]]</f>
        <v>0</v>
      </c>
      <c r="S28" s="123">
        <f>SUMIFS(record[OK],record[製程料號],_018_550[[#This Row],[製令單號]],record[ProcessSN],S$1)</f>
        <v>304</v>
      </c>
      <c r="T28" s="117">
        <f>SUMIFS(record[NG],record[製程料號],_018_550[[#This Row],[製令單號]],record[ProcessSN],T$1)</f>
        <v>0</v>
      </c>
      <c r="U28" s="123">
        <f>_018_550[[#This Row],[良品放行]]-_018_550[[#This Row],[入庫]]</f>
        <v>0</v>
      </c>
      <c r="V28" s="123">
        <f>SUMIFS(record[OK],record[製程料號],_018_550[[#This Row],[製令單號]],record[ProcessSN],V$1)</f>
        <v>304</v>
      </c>
      <c r="W28" s="123">
        <f>_018_550[[#This Row],[入庫]]-_018_550[[#This Row],[已出貨]]</f>
        <v>0</v>
      </c>
      <c r="X28" s="137"/>
      <c r="Y28" s="123">
        <f>SUMIFS(record[OK],record[製程料號],_018_550[[#This Row],[製令單號]],record[ProcessSN],Y$1)</f>
        <v>304</v>
      </c>
      <c r="Z28" s="125">
        <f>_018_550[[#This Row],[不良待處理]]+_018_550[[#This Row],[不良品]]+_018_550[[#This Row],['#06
QC NG]]+_018_550[[#This Row],['#08委外NG]]</f>
        <v>10</v>
      </c>
      <c r="AA2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0.96815286624203822</v>
      </c>
    </row>
    <row r="29" spans="1:27" ht="30.75" x14ac:dyDescent="0.25">
      <c r="A29" s="120">
        <v>45677</v>
      </c>
      <c r="B29" s="121" t="s">
        <v>701</v>
      </c>
      <c r="C29" s="122" t="s">
        <v>500</v>
      </c>
      <c r="D29" s="118">
        <v>165</v>
      </c>
      <c r="E29" s="123">
        <f>_018_550[[#This Row],[入料數]]-_018_550[[#This Row],['#08已委外數量]]</f>
        <v>0</v>
      </c>
      <c r="F29" s="123">
        <f>SUMIFS(record[OK],record[製程料號],_018_550[[#This Row],[製令單號]],record[ProcessSN],F$1)</f>
        <v>165</v>
      </c>
      <c r="G29" s="118" t="str">
        <f>IF(_018_550[[#This Row],['#08已委外數量]]&gt;0,VLOOKUP(G$1,record[[ProcessSN]:[廠商]],12,FALSE),"尚未委外")</f>
        <v>泉盛</v>
      </c>
      <c r="H29" s="123">
        <f>_018_550[[#This Row],['#08已委外數量]]-_018_550[[#This Row],['#08回
良品]]-_018_550[[#This Row],['#08委外NG]]</f>
        <v>0</v>
      </c>
      <c r="I29" s="123">
        <f>SUMIFS(record[OK],record[製程料號],_018_550[[#This Row],[製令單號]],record[ProcessSN],I$1)</f>
        <v>164</v>
      </c>
      <c r="J29" s="117">
        <f>SUMIFS(record[NG],record[製程料號],_018_550[[#This Row],[製令單號]],record[ProcessSN],J$1)</f>
        <v>1</v>
      </c>
      <c r="K29" s="124">
        <f>IFERROR(_018_550[[#This Row],['#08委外NG]]/_018_550[[#This Row],['#08已委外數量]],"")</f>
        <v>6.0606060606060606E-3</v>
      </c>
      <c r="L29" s="123">
        <f>_018_550[[#This Row],['#08回
良品]]-_018_550[[#This Row],['#06檢驗OK]]-_018_550[[#This Row],['#06
QC NG]]</f>
        <v>0</v>
      </c>
      <c r="M29" s="123">
        <f>SUMIFS(record[OK],record[製程料號],_018_550[[#This Row],[製令單號]],record[ProcessSN],M$1)</f>
        <v>164</v>
      </c>
      <c r="N29" s="117">
        <f>SUMIFS(record[NG],record[製程料號],_018_550[[#This Row],[製令單號]],record[ProcessSN],N$1)</f>
        <v>0</v>
      </c>
      <c r="O29" s="123">
        <f>_018_550[[#This Row],['#06檢驗OK]]-_018_550[[#This Row],[不良品]]-_018_550[[#This Row],[良品]]</f>
        <v>0</v>
      </c>
      <c r="P29" s="123">
        <f>SUMIFS(record[OK],record[製程料號],_018_550[[#This Row],[製令單號]],record[ProcessSN],P$1)</f>
        <v>164</v>
      </c>
      <c r="Q29" s="117">
        <f>SUMIFS(record[NG],record[製程料號],_018_550[[#This Row],[製令單號]],record[ProcessSN],Q$1)</f>
        <v>0</v>
      </c>
      <c r="R29" s="123">
        <f>_018_550[[#This Row],[良品]]-_018_550[[#This Row],[良品放行]]-_018_550[[#This Row],[不良待處理]]</f>
        <v>0</v>
      </c>
      <c r="S29" s="123">
        <f>SUMIFS(record[OK],record[製程料號],_018_550[[#This Row],[製令單號]],record[ProcessSN],S$1)</f>
        <v>164</v>
      </c>
      <c r="T29" s="117">
        <f>SUMIFS(record[NG],record[製程料號],_018_550[[#This Row],[製令單號]],record[ProcessSN],T$1)</f>
        <v>0</v>
      </c>
      <c r="U29" s="123">
        <f>_018_550[[#This Row],[良品放行]]-_018_550[[#This Row],[入庫]]</f>
        <v>0</v>
      </c>
      <c r="V29" s="123">
        <f>SUMIFS(record[OK],record[製程料號],_018_550[[#This Row],[製令單號]],record[ProcessSN],V$1)</f>
        <v>164</v>
      </c>
      <c r="W29" s="123">
        <f>_018_550[[#This Row],[入庫]]-_018_550[[#This Row],[已出貨]]</f>
        <v>0</v>
      </c>
      <c r="X29" s="137"/>
      <c r="Y29" s="123">
        <f>SUMIFS(record[OK],record[製程料號],_018_550[[#This Row],[製令單號]],record[ProcessSN],Y$1)</f>
        <v>164</v>
      </c>
      <c r="Z29" s="125">
        <f>_018_550[[#This Row],[不良待處理]]+_018_550[[#This Row],[不良品]]+_018_550[[#This Row],['#06
QC NG]]+_018_550[[#This Row],['#08委外NG]]</f>
        <v>1</v>
      </c>
      <c r="AA2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0.9939393939393939</v>
      </c>
    </row>
    <row r="30" spans="1:27" ht="30.75" x14ac:dyDescent="0.25">
      <c r="A30" s="120">
        <v>45678</v>
      </c>
      <c r="B30" s="121" t="s">
        <v>707</v>
      </c>
      <c r="C30" s="122" t="s">
        <v>500</v>
      </c>
      <c r="D30" s="118">
        <v>317</v>
      </c>
      <c r="E30" s="123">
        <f>_018_550[[#This Row],[入料數]]-_018_550[[#This Row],['#08已委外數量]]</f>
        <v>0</v>
      </c>
      <c r="F30" s="123">
        <f>SUMIFS(record[OK],record[製程料號],_018_550[[#This Row],[製令單號]],record[ProcessSN],F$1)</f>
        <v>317</v>
      </c>
      <c r="G30" s="118" t="str">
        <f>IF(_018_550[[#This Row],['#08已委外數量]]&gt;0,VLOOKUP(G$1,record[[ProcessSN]:[廠商]],12,FALSE),"尚未委外")</f>
        <v>泉盛</v>
      </c>
      <c r="H30" s="123">
        <f>_018_550[[#This Row],['#08已委外數量]]-_018_550[[#This Row],['#08回
良品]]-_018_550[[#This Row],['#08委外NG]]</f>
        <v>0</v>
      </c>
      <c r="I30" s="123">
        <f>SUMIFS(record[OK],record[製程料號],_018_550[[#This Row],[製令單號]],record[ProcessSN],I$1)</f>
        <v>314</v>
      </c>
      <c r="J30" s="117">
        <f>SUMIFS(record[NG],record[製程料號],_018_550[[#This Row],[製令單號]],record[ProcessSN],J$1)</f>
        <v>3</v>
      </c>
      <c r="K30" s="124">
        <f>IFERROR(_018_550[[#This Row],['#08委外NG]]/_018_550[[#This Row],['#08已委外數量]],"")</f>
        <v>9.4637223974763408E-3</v>
      </c>
      <c r="L30" s="123">
        <f>_018_550[[#This Row],['#08回
良品]]-_018_550[[#This Row],['#06檢驗OK]]-_018_550[[#This Row],['#06
QC NG]]</f>
        <v>0</v>
      </c>
      <c r="M30" s="123">
        <f>SUMIFS(record[OK],record[製程料號],_018_550[[#This Row],[製令單號]],record[ProcessSN],M$1)</f>
        <v>314</v>
      </c>
      <c r="N30" s="117">
        <f>SUMIFS(record[NG],record[製程料號],_018_550[[#This Row],[製令單號]],record[ProcessSN],N$1)</f>
        <v>0</v>
      </c>
      <c r="O30" s="123">
        <f>_018_550[[#This Row],['#06檢驗OK]]-_018_550[[#This Row],[不良品]]-_018_550[[#This Row],[良品]]</f>
        <v>0</v>
      </c>
      <c r="P30" s="123">
        <f>SUMIFS(record[OK],record[製程料號],_018_550[[#This Row],[製令單號]],record[ProcessSN],P$1)</f>
        <v>310</v>
      </c>
      <c r="Q30" s="117">
        <f>SUMIFS(record[NG],record[製程料號],_018_550[[#This Row],[製令單號]],record[ProcessSN],Q$1)</f>
        <v>4</v>
      </c>
      <c r="R30" s="123">
        <f>_018_550[[#This Row],[良品]]-_018_550[[#This Row],[良品放行]]-_018_550[[#This Row],[不良待處理]]</f>
        <v>0</v>
      </c>
      <c r="S30" s="123">
        <f>SUMIFS(record[OK],record[製程料號],_018_550[[#This Row],[製令單號]],record[ProcessSN],S$1)</f>
        <v>310</v>
      </c>
      <c r="T30" s="117">
        <f>SUMIFS(record[NG],record[製程料號],_018_550[[#This Row],[製令單號]],record[ProcessSN],T$1)</f>
        <v>0</v>
      </c>
      <c r="U30" s="123">
        <f>_018_550[[#This Row],[良品放行]]-_018_550[[#This Row],[入庫]]</f>
        <v>0</v>
      </c>
      <c r="V30" s="123">
        <f>SUMIFS(record[OK],record[製程料號],_018_550[[#This Row],[製令單號]],record[ProcessSN],V$1)</f>
        <v>310</v>
      </c>
      <c r="W30" s="123">
        <f>_018_550[[#This Row],[入庫]]-_018_550[[#This Row],[已出貨]]</f>
        <v>0</v>
      </c>
      <c r="X30" s="137"/>
      <c r="Y30" s="123">
        <f>SUMIFS(record[OK],record[製程料號],_018_550[[#This Row],[製令單號]],record[ProcessSN],Y$1)</f>
        <v>310</v>
      </c>
      <c r="Z30" s="125">
        <f>_018_550[[#This Row],[不良待處理]]+_018_550[[#This Row],[不良品]]+_018_550[[#This Row],['#06
QC NG]]+_018_550[[#This Row],['#08委外NG]]</f>
        <v>7</v>
      </c>
      <c r="AA3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0.97791798107255523</v>
      </c>
    </row>
    <row r="31" spans="1:27" ht="30.75" x14ac:dyDescent="0.25">
      <c r="A31" s="120">
        <v>45679</v>
      </c>
      <c r="B31" s="121" t="s">
        <v>713</v>
      </c>
      <c r="C31" s="122" t="s">
        <v>500</v>
      </c>
      <c r="D31" s="118">
        <v>528</v>
      </c>
      <c r="E31" s="123">
        <f>_018_550[[#This Row],[入料數]]-_018_550[[#This Row],['#08已委外數量]]</f>
        <v>0</v>
      </c>
      <c r="F31" s="123">
        <f>SUMIFS(record[OK],record[製程料號],_018_550[[#This Row],[製令單號]],record[ProcessSN],F$1)</f>
        <v>528</v>
      </c>
      <c r="G31" s="118" t="str">
        <f>IF(_018_550[[#This Row],['#08已委外數量]]&gt;0,VLOOKUP(G$1,record[[ProcessSN]:[廠商]],12,FALSE),"尚未委外")</f>
        <v>泉盛</v>
      </c>
      <c r="H31" s="123">
        <f>_018_550[[#This Row],['#08已委外數量]]-_018_550[[#This Row],['#08回
良品]]-_018_550[[#This Row],['#08委外NG]]</f>
        <v>0</v>
      </c>
      <c r="I31" s="123">
        <f>SUMIFS(record[OK],record[製程料號],_018_550[[#This Row],[製令單號]],record[ProcessSN],I$1)</f>
        <v>514</v>
      </c>
      <c r="J31" s="117">
        <f>SUMIFS(record[NG],record[製程料號],_018_550[[#This Row],[製令單號]],record[ProcessSN],J$1)</f>
        <v>14</v>
      </c>
      <c r="K31" s="124">
        <f>IFERROR(_018_550[[#This Row],['#08委外NG]]/_018_550[[#This Row],['#08已委外數量]],"")</f>
        <v>2.6515151515151516E-2</v>
      </c>
      <c r="L31" s="123">
        <f>_018_550[[#This Row],['#08回
良品]]-_018_550[[#This Row],['#06檢驗OK]]-_018_550[[#This Row],['#06
QC NG]]</f>
        <v>0</v>
      </c>
      <c r="M31" s="123">
        <f>SUMIFS(record[OK],record[製程料號],_018_550[[#This Row],[製令單號]],record[ProcessSN],M$1)</f>
        <v>514</v>
      </c>
      <c r="N31" s="117">
        <f>SUMIFS(record[NG],record[製程料號],_018_550[[#This Row],[製令單號]],record[ProcessSN],N$1)</f>
        <v>0</v>
      </c>
      <c r="O31" s="123">
        <f>_018_550[[#This Row],['#06檢驗OK]]-_018_550[[#This Row],[不良品]]-_018_550[[#This Row],[良品]]</f>
        <v>0</v>
      </c>
      <c r="P31" s="123">
        <f>SUMIFS(record[OK],record[製程料號],_018_550[[#This Row],[製令單號]],record[ProcessSN],P$1)</f>
        <v>510</v>
      </c>
      <c r="Q31" s="117">
        <f>SUMIFS(record[NG],record[製程料號],_018_550[[#This Row],[製令單號]],record[ProcessSN],Q$1)</f>
        <v>4</v>
      </c>
      <c r="R31" s="123">
        <f>_018_550[[#This Row],[良品]]-_018_550[[#This Row],[良品放行]]-_018_550[[#This Row],[不良待處理]]</f>
        <v>0</v>
      </c>
      <c r="S31" s="123">
        <f>SUMIFS(record[OK],record[製程料號],_018_550[[#This Row],[製令單號]],record[ProcessSN],S$1)</f>
        <v>510</v>
      </c>
      <c r="T31" s="117">
        <f>SUMIFS(record[NG],record[製程料號],_018_550[[#This Row],[製令單號]],record[ProcessSN],T$1)</f>
        <v>0</v>
      </c>
      <c r="U31" s="123">
        <f>_018_550[[#This Row],[良品放行]]-_018_550[[#This Row],[入庫]]</f>
        <v>0</v>
      </c>
      <c r="V31" s="123">
        <f>SUMIFS(record[OK],record[製程料號],_018_550[[#This Row],[製令單號]],record[ProcessSN],V$1)</f>
        <v>510</v>
      </c>
      <c r="W31" s="123">
        <f>_018_550[[#This Row],[入庫]]-_018_550[[#This Row],[已出貨]]</f>
        <v>0</v>
      </c>
      <c r="X31" s="137"/>
      <c r="Y31" s="123">
        <f>SUMIFS(record[OK],record[製程料號],_018_550[[#This Row],[製令單號]],record[ProcessSN],Y$1)</f>
        <v>510</v>
      </c>
      <c r="Z31" s="125">
        <f>_018_550[[#This Row],[不良待處理]]+_018_550[[#This Row],[不良品]]+_018_550[[#This Row],['#06
QC NG]]+_018_550[[#This Row],['#08委外NG]]</f>
        <v>18</v>
      </c>
      <c r="AA3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0.96590909090909094</v>
      </c>
    </row>
    <row r="32" spans="1:27" ht="30.75" x14ac:dyDescent="0.25">
      <c r="A32" s="120">
        <v>45722</v>
      </c>
      <c r="B32" s="121" t="s">
        <v>748</v>
      </c>
      <c r="C32" s="122" t="s">
        <v>500</v>
      </c>
      <c r="D32" s="118">
        <v>54</v>
      </c>
      <c r="E32" s="123">
        <f>_018_550[[#This Row],[入料數]]-_018_550[[#This Row],['#08已委外數量]]</f>
        <v>0</v>
      </c>
      <c r="F32" s="123">
        <f>SUMIFS(record[OK],record[製程料號],_018_550[[#This Row],[製令單號]],record[ProcessSN],F$1)</f>
        <v>54</v>
      </c>
      <c r="G32" s="118" t="str">
        <f>IF(_018_550[[#This Row],['#08已委外數量]]&gt;0,VLOOKUP(G$1,record[[ProcessSN]:[廠商]],12,FALSE),"尚未委外")</f>
        <v>泉盛</v>
      </c>
      <c r="H32" s="123">
        <f>_018_550[[#This Row],['#08已委外數量]]-_018_550[[#This Row],['#08回
良品]]-_018_550[[#This Row],['#08委外NG]]</f>
        <v>0</v>
      </c>
      <c r="I32" s="123">
        <f>SUMIFS(record[OK],record[製程料號],_018_550[[#This Row],[製令單號]],record[ProcessSN],I$1)</f>
        <v>54</v>
      </c>
      <c r="J32" s="117">
        <f>SUMIFS(record[NG],record[製程料號],_018_550[[#This Row],[製令單號]],record[ProcessSN],J$1)</f>
        <v>0</v>
      </c>
      <c r="K32" s="124">
        <f>IFERROR(_018_550[[#This Row],['#08委外NG]]/_018_550[[#This Row],['#08已委外數量]],"")</f>
        <v>0</v>
      </c>
      <c r="L32" s="123">
        <f>_018_550[[#This Row],['#08回
良品]]-_018_550[[#This Row],['#06檢驗OK]]-_018_550[[#This Row],['#06
QC NG]]</f>
        <v>0</v>
      </c>
      <c r="M32" s="123">
        <f>SUMIFS(record[OK],record[製程料號],_018_550[[#This Row],[製令單號]],record[ProcessSN],M$1)</f>
        <v>54</v>
      </c>
      <c r="N32" s="117">
        <f>SUMIFS(record[NG],record[製程料號],_018_550[[#This Row],[製令單號]],record[ProcessSN],N$1)</f>
        <v>0</v>
      </c>
      <c r="O32" s="123">
        <f>_018_550[[#This Row],['#06檢驗OK]]-_018_550[[#This Row],[不良品]]-_018_550[[#This Row],[良品]]</f>
        <v>0</v>
      </c>
      <c r="P32" s="123">
        <f>SUMIFS(record[OK],record[製程料號],_018_550[[#This Row],[製令單號]],record[ProcessSN],P$1)</f>
        <v>54</v>
      </c>
      <c r="Q32" s="117">
        <f>SUMIFS(record[NG],record[製程料號],_018_550[[#This Row],[製令單號]],record[ProcessSN],Q$1)</f>
        <v>0</v>
      </c>
      <c r="R32" s="123">
        <f>_018_550[[#This Row],[良品]]-_018_550[[#This Row],[良品放行]]-_018_550[[#This Row],[不良待處理]]</f>
        <v>0</v>
      </c>
      <c r="S32" s="123">
        <f>SUMIFS(record[OK],record[製程料號],_018_550[[#This Row],[製令單號]],record[ProcessSN],S$1)</f>
        <v>54</v>
      </c>
      <c r="T32" s="117">
        <f>SUMIFS(record[NG],record[製程料號],_018_550[[#This Row],[製令單號]],record[ProcessSN],T$1)</f>
        <v>0</v>
      </c>
      <c r="U32" s="123">
        <f>_018_550[[#This Row],[良品放行]]-_018_550[[#This Row],[入庫]]</f>
        <v>0</v>
      </c>
      <c r="V32" s="123">
        <f>SUMIFS(record[OK],record[製程料號],_018_550[[#This Row],[製令單號]],record[ProcessSN],V$1)</f>
        <v>54</v>
      </c>
      <c r="W32" s="123">
        <f>_018_550[[#This Row],[入庫]]-_018_550[[#This Row],[已出貨]]</f>
        <v>0</v>
      </c>
      <c r="X32" s="137"/>
      <c r="Y32" s="123">
        <f>SUMIFS(record[OK],record[製程料號],_018_550[[#This Row],[製令單號]],record[ProcessSN],Y$1)</f>
        <v>54</v>
      </c>
      <c r="Z32" s="125">
        <f>_018_550[[#This Row],[不良待處理]]+_018_550[[#This Row],[不良品]]+_018_550[[#This Row],['#06
QC NG]]+_018_550[[#This Row],['#08委外NG]]</f>
        <v>0</v>
      </c>
      <c r="AA3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33" spans="1:27" ht="30.75" x14ac:dyDescent="0.25">
      <c r="A33" s="120">
        <v>45761</v>
      </c>
      <c r="B33" s="121" t="s">
        <v>768</v>
      </c>
      <c r="C33" s="122" t="s">
        <v>500</v>
      </c>
      <c r="D33" s="118">
        <v>314</v>
      </c>
      <c r="E33" s="123">
        <f>_018_550[[#This Row],[入料數]]-_018_550[[#This Row],['#08已委外數量]]</f>
        <v>0</v>
      </c>
      <c r="F33" s="123">
        <f>SUMIFS(record[OK],record[製程料號],_018_550[[#This Row],[製令單號]],record[ProcessSN],F$1)</f>
        <v>314</v>
      </c>
      <c r="G33" s="118" t="str">
        <f>IF(_018_550[[#This Row],['#08已委外數量]]&gt;0,VLOOKUP(G$1,record[[ProcessSN]:[廠商]],12,FALSE),"尚未委外")</f>
        <v>泉盛</v>
      </c>
      <c r="H33" s="123">
        <f>_018_550[[#This Row],['#08已委外數量]]-_018_550[[#This Row],['#08回
良品]]-_018_550[[#This Row],['#08委外NG]]</f>
        <v>0</v>
      </c>
      <c r="I33" s="123">
        <f>SUMIFS(record[OK],record[製程料號],_018_550[[#This Row],[製令單號]],record[ProcessSN],I$1)</f>
        <v>300</v>
      </c>
      <c r="J33" s="117">
        <f>SUMIFS(record[NG],record[製程料號],_018_550[[#This Row],[製令單號]],record[ProcessSN],J$1)</f>
        <v>14</v>
      </c>
      <c r="K33" s="124">
        <f>IFERROR(_018_550[[#This Row],['#08委外NG]]/_018_550[[#This Row],['#08已委外數量]],"")</f>
        <v>4.4585987261146494E-2</v>
      </c>
      <c r="L33" s="123">
        <f>_018_550[[#This Row],['#08回
良品]]-_018_550[[#This Row],['#06檢驗OK]]-_018_550[[#This Row],['#06
QC NG]]</f>
        <v>0</v>
      </c>
      <c r="M33" s="123">
        <f>SUMIFS(record[OK],record[製程料號],_018_550[[#This Row],[製令單號]],record[ProcessSN],M$1)</f>
        <v>300</v>
      </c>
      <c r="N33" s="117">
        <f>SUMIFS(record[NG],record[製程料號],_018_550[[#This Row],[製令單號]],record[ProcessSN],N$1)</f>
        <v>0</v>
      </c>
      <c r="O33" s="123">
        <f>_018_550[[#This Row],['#06檢驗OK]]-_018_550[[#This Row],[不良品]]-_018_550[[#This Row],[良品]]</f>
        <v>0</v>
      </c>
      <c r="P33" s="123">
        <f>SUMIFS(record[OK],record[製程料號],_018_550[[#This Row],[製令單號]],record[ProcessSN],P$1)</f>
        <v>300</v>
      </c>
      <c r="Q33" s="117">
        <f>SUMIFS(record[NG],record[製程料號],_018_550[[#This Row],[製令單號]],record[ProcessSN],Q$1)</f>
        <v>0</v>
      </c>
      <c r="R33" s="123">
        <f>_018_550[[#This Row],[良品]]-_018_550[[#This Row],[良品放行]]-_018_550[[#This Row],[不良待處理]]</f>
        <v>0</v>
      </c>
      <c r="S33" s="123">
        <f>SUMIFS(record[OK],record[製程料號],_018_550[[#This Row],[製令單號]],record[ProcessSN],S$1)</f>
        <v>300</v>
      </c>
      <c r="T33" s="117">
        <f>SUMIFS(record[NG],record[製程料號],_018_550[[#This Row],[製令單號]],record[ProcessSN],T$1)</f>
        <v>0</v>
      </c>
      <c r="U33" s="123">
        <f>_018_550[[#This Row],[良品放行]]-_018_550[[#This Row],[入庫]]</f>
        <v>0</v>
      </c>
      <c r="V33" s="123">
        <f>SUMIFS(record[OK],record[製程料號],_018_550[[#This Row],[製令單號]],record[ProcessSN],V$1)</f>
        <v>300</v>
      </c>
      <c r="W33" s="123">
        <f>_018_550[[#This Row],[入庫]]-_018_550[[#This Row],[已出貨]]</f>
        <v>0</v>
      </c>
      <c r="X33" s="137"/>
      <c r="Y33" s="123">
        <f>SUMIFS(record[OK],record[製程料號],_018_550[[#This Row],[製令單號]],record[ProcessSN],Y$1)</f>
        <v>300</v>
      </c>
      <c r="Z33" s="125">
        <f>_018_550[[#This Row],[不良待處理]]+_018_550[[#This Row],[不良品]]+_018_550[[#This Row],['#06
QC NG]]+_018_550[[#This Row],['#08委外NG]]</f>
        <v>14</v>
      </c>
      <c r="AA3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0.95541401273885351</v>
      </c>
    </row>
    <row r="34" spans="1:27" ht="30.75" x14ac:dyDescent="0.25">
      <c r="A34" s="120">
        <v>45764</v>
      </c>
      <c r="B34" s="121" t="s">
        <v>772</v>
      </c>
      <c r="C34" s="122" t="s">
        <v>500</v>
      </c>
      <c r="D34" s="118">
        <v>504</v>
      </c>
      <c r="E34" s="123">
        <f>_018_550[[#This Row],[入料數]]-_018_550[[#This Row],['#08已委外數量]]</f>
        <v>0</v>
      </c>
      <c r="F34" s="123">
        <f>SUMIFS(record[OK],record[製程料號],_018_550[[#This Row],[製令單號]],record[ProcessSN],F$1)</f>
        <v>504</v>
      </c>
      <c r="G34" s="118" t="str">
        <f>IF(_018_550[[#This Row],['#08已委外數量]]&gt;0,VLOOKUP(G$1,record[[ProcessSN]:[廠商]],12,FALSE),"尚未委外")</f>
        <v>泉盛</v>
      </c>
      <c r="H34" s="123">
        <f>_018_550[[#This Row],['#08已委外數量]]-_018_550[[#This Row],['#08回
良品]]-_018_550[[#This Row],['#08委外NG]]</f>
        <v>0</v>
      </c>
      <c r="I34" s="123">
        <f>SUMIFS(record[OK],record[製程料號],_018_550[[#This Row],[製令單號]],record[ProcessSN],I$1)</f>
        <v>492</v>
      </c>
      <c r="J34" s="117">
        <f>SUMIFS(record[NG],record[製程料號],_018_550[[#This Row],[製令單號]],record[ProcessSN],J$1)</f>
        <v>12</v>
      </c>
      <c r="K34" s="124">
        <f>IFERROR(_018_550[[#This Row],['#08委外NG]]/_018_550[[#This Row],['#08已委外數量]],"")</f>
        <v>2.3809523809523808E-2</v>
      </c>
      <c r="L34" s="123">
        <f>_018_550[[#This Row],['#08回
良品]]-_018_550[[#This Row],['#06檢驗OK]]-_018_550[[#This Row],['#06
QC NG]]</f>
        <v>0</v>
      </c>
      <c r="M34" s="123">
        <f>SUMIFS(record[OK],record[製程料號],_018_550[[#This Row],[製令單號]],record[ProcessSN],M$1)</f>
        <v>492</v>
      </c>
      <c r="N34" s="117">
        <f>SUMIFS(record[NG],record[製程料號],_018_550[[#This Row],[製令單號]],record[ProcessSN],N$1)</f>
        <v>0</v>
      </c>
      <c r="O34" s="123">
        <f>_018_550[[#This Row],['#06檢驗OK]]-_018_550[[#This Row],[不良品]]-_018_550[[#This Row],[良品]]</f>
        <v>0</v>
      </c>
      <c r="P34" s="123">
        <f>SUMIFS(record[OK],record[製程料號],_018_550[[#This Row],[製令單號]],record[ProcessSN],P$1)</f>
        <v>492</v>
      </c>
      <c r="Q34" s="117">
        <f>SUMIFS(record[NG],record[製程料號],_018_550[[#This Row],[製令單號]],record[ProcessSN],Q$1)</f>
        <v>0</v>
      </c>
      <c r="R34" s="123">
        <f>_018_550[[#This Row],[良品]]-_018_550[[#This Row],[良品放行]]-_018_550[[#This Row],[不良待處理]]</f>
        <v>0</v>
      </c>
      <c r="S34" s="123">
        <f>SUMIFS(record[OK],record[製程料號],_018_550[[#This Row],[製令單號]],record[ProcessSN],S$1)</f>
        <v>492</v>
      </c>
      <c r="T34" s="117">
        <f>SUMIFS(record[NG],record[製程料號],_018_550[[#This Row],[製令單號]],record[ProcessSN],T$1)</f>
        <v>0</v>
      </c>
      <c r="U34" s="123">
        <f>_018_550[[#This Row],[良品放行]]-_018_550[[#This Row],[入庫]]</f>
        <v>0</v>
      </c>
      <c r="V34" s="123">
        <f>SUMIFS(record[OK],record[製程料號],_018_550[[#This Row],[製令單號]],record[ProcessSN],V$1)</f>
        <v>492</v>
      </c>
      <c r="W34" s="123">
        <f>_018_550[[#This Row],[入庫]]-_018_550[[#This Row],[已出貨]]</f>
        <v>0</v>
      </c>
      <c r="X34" s="137"/>
      <c r="Y34" s="123">
        <f>SUMIFS(record[OK],record[製程料號],_018_550[[#This Row],[製令單號]],record[ProcessSN],Y$1)</f>
        <v>492</v>
      </c>
      <c r="Z34" s="125">
        <f>_018_550[[#This Row],[不良待處理]]+_018_550[[#This Row],[不良品]]+_018_550[[#This Row],['#06
QC NG]]+_018_550[[#This Row],['#08委外NG]]</f>
        <v>12</v>
      </c>
      <c r="AA3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0.97619047619047616</v>
      </c>
    </row>
    <row r="35" spans="1:27" ht="30.75" x14ac:dyDescent="0.25">
      <c r="A35" s="120">
        <v>45765</v>
      </c>
      <c r="B35" s="121" t="s">
        <v>775</v>
      </c>
      <c r="C35" s="122" t="s">
        <v>500</v>
      </c>
      <c r="D35" s="118">
        <v>304</v>
      </c>
      <c r="E35" s="123">
        <f>_018_550[[#This Row],[入料數]]-_018_550[[#This Row],['#08已委外數量]]</f>
        <v>0</v>
      </c>
      <c r="F35" s="123">
        <f>SUMIFS(record[OK],record[製程料號],_018_550[[#This Row],[製令單號]],record[ProcessSN],F$1)</f>
        <v>304</v>
      </c>
      <c r="G35" s="118" t="str">
        <f>IF(_018_550[[#This Row],['#08已委外數量]]&gt;0,VLOOKUP(G$1,record[[ProcessSN]:[廠商]],12,FALSE),"尚未委外")</f>
        <v>泉盛</v>
      </c>
      <c r="H35" s="123">
        <f>_018_550[[#This Row],['#08已委外數量]]-_018_550[[#This Row],['#08回
良品]]-_018_550[[#This Row],['#08委外NG]]</f>
        <v>0</v>
      </c>
      <c r="I35" s="123">
        <f>SUMIFS(record[OK],record[製程料號],_018_550[[#This Row],[製令單號]],record[ProcessSN],I$1)</f>
        <v>297</v>
      </c>
      <c r="J35" s="117">
        <f>SUMIFS(record[NG],record[製程料號],_018_550[[#This Row],[製令單號]],record[ProcessSN],J$1)</f>
        <v>7</v>
      </c>
      <c r="K35" s="124">
        <f>IFERROR(_018_550[[#This Row],['#08委外NG]]/_018_550[[#This Row],['#08已委外數量]],"")</f>
        <v>2.3026315789473683E-2</v>
      </c>
      <c r="L35" s="123">
        <f>_018_550[[#This Row],['#08回
良品]]-_018_550[[#This Row],['#06檢驗OK]]-_018_550[[#This Row],['#06
QC NG]]</f>
        <v>0</v>
      </c>
      <c r="M35" s="123">
        <f>SUMIFS(record[OK],record[製程料號],_018_550[[#This Row],[製令單號]],record[ProcessSN],M$1)</f>
        <v>297</v>
      </c>
      <c r="N35" s="117">
        <f>SUMIFS(record[NG],record[製程料號],_018_550[[#This Row],[製令單號]],record[ProcessSN],N$1)</f>
        <v>0</v>
      </c>
      <c r="O35" s="123">
        <f>_018_550[[#This Row],['#06檢驗OK]]-_018_550[[#This Row],[不良品]]-_018_550[[#This Row],[良品]]</f>
        <v>0</v>
      </c>
      <c r="P35" s="123">
        <f>SUMIFS(record[OK],record[製程料號],_018_550[[#This Row],[製令單號]],record[ProcessSN],P$1)</f>
        <v>297</v>
      </c>
      <c r="Q35" s="117">
        <f>SUMIFS(record[NG],record[製程料號],_018_550[[#This Row],[製令單號]],record[ProcessSN],Q$1)</f>
        <v>0</v>
      </c>
      <c r="R35" s="123">
        <f>_018_550[[#This Row],[良品]]-_018_550[[#This Row],[良品放行]]-_018_550[[#This Row],[不良待處理]]</f>
        <v>0</v>
      </c>
      <c r="S35" s="123">
        <f>SUMIFS(record[OK],record[製程料號],_018_550[[#This Row],[製令單號]],record[ProcessSN],S$1)</f>
        <v>297</v>
      </c>
      <c r="T35" s="117">
        <f>SUMIFS(record[NG],record[製程料號],_018_550[[#This Row],[製令單號]],record[ProcessSN],T$1)</f>
        <v>0</v>
      </c>
      <c r="U35" s="123">
        <f>_018_550[[#This Row],[良品放行]]-_018_550[[#This Row],[入庫]]</f>
        <v>0</v>
      </c>
      <c r="V35" s="123">
        <f>SUMIFS(record[OK],record[製程料號],_018_550[[#This Row],[製令單號]],record[ProcessSN],V$1)</f>
        <v>297</v>
      </c>
      <c r="W35" s="123">
        <f>_018_550[[#This Row],[入庫]]-_018_550[[#This Row],[已出貨]]</f>
        <v>0</v>
      </c>
      <c r="X35" s="137"/>
      <c r="Y35" s="123">
        <f>SUMIFS(record[OK],record[製程料號],_018_550[[#This Row],[製令單號]],record[ProcessSN],Y$1)</f>
        <v>297</v>
      </c>
      <c r="Z35" s="125">
        <f>_018_550[[#This Row],[不良待處理]]+_018_550[[#This Row],[不良品]]+_018_550[[#This Row],['#06
QC NG]]+_018_550[[#This Row],['#08委外NG]]</f>
        <v>7</v>
      </c>
      <c r="AA3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0.97697368421052633</v>
      </c>
    </row>
    <row r="36" spans="1:27" ht="30.75" x14ac:dyDescent="0.25">
      <c r="A36" s="120">
        <v>45769</v>
      </c>
      <c r="B36" s="121" t="s">
        <v>783</v>
      </c>
      <c r="C36" s="122" t="s">
        <v>500</v>
      </c>
      <c r="D36" s="118">
        <v>328</v>
      </c>
      <c r="E36" s="123">
        <f>_018_550[[#This Row],[入料數]]-_018_550[[#This Row],['#08已委外數量]]</f>
        <v>0</v>
      </c>
      <c r="F36" s="123">
        <f>SUMIFS(record[OK],record[製程料號],_018_550[[#This Row],[製令單號]],record[ProcessSN],F$1)</f>
        <v>328</v>
      </c>
      <c r="G36" s="118" t="str">
        <f>IF(_018_550[[#This Row],['#08已委外數量]]&gt;0,VLOOKUP(G$1,record[[ProcessSN]:[廠商]],12,FALSE),"尚未委外")</f>
        <v>泉盛</v>
      </c>
      <c r="H36" s="123">
        <f>_018_550[[#This Row],['#08已委外數量]]-_018_550[[#This Row],['#08回
良品]]-_018_550[[#This Row],['#08委外NG]]</f>
        <v>0</v>
      </c>
      <c r="I36" s="123">
        <f>SUMIFS(record[OK],record[製程料號],_018_550[[#This Row],[製令單號]],record[ProcessSN],I$1)</f>
        <v>318</v>
      </c>
      <c r="J36" s="117">
        <f>SUMIFS(record[NG],record[製程料號],_018_550[[#This Row],[製令單號]],record[ProcessSN],J$1)</f>
        <v>10</v>
      </c>
      <c r="K36" s="124">
        <f>IFERROR(_018_550[[#This Row],['#08委外NG]]/_018_550[[#This Row],['#08已委外數量]],"")</f>
        <v>3.048780487804878E-2</v>
      </c>
      <c r="L36" s="123">
        <f>_018_550[[#This Row],['#08回
良品]]-_018_550[[#This Row],['#06檢驗OK]]-_018_550[[#This Row],['#06
QC NG]]</f>
        <v>0</v>
      </c>
      <c r="M36" s="123">
        <f>SUMIFS(record[OK],record[製程料號],_018_550[[#This Row],[製令單號]],record[ProcessSN],M$1)</f>
        <v>318</v>
      </c>
      <c r="N36" s="117">
        <f>SUMIFS(record[NG],record[製程料號],_018_550[[#This Row],[製令單號]],record[ProcessSN],N$1)</f>
        <v>0</v>
      </c>
      <c r="O36" s="123">
        <f>_018_550[[#This Row],['#06檢驗OK]]-_018_550[[#This Row],[不良品]]-_018_550[[#This Row],[良品]]</f>
        <v>0</v>
      </c>
      <c r="P36" s="123">
        <f>SUMIFS(record[OK],record[製程料號],_018_550[[#This Row],[製令單號]],record[ProcessSN],P$1)</f>
        <v>317</v>
      </c>
      <c r="Q36" s="117">
        <f>SUMIFS(record[NG],record[製程料號],_018_550[[#This Row],[製令單號]],record[ProcessSN],Q$1)</f>
        <v>1</v>
      </c>
      <c r="R36" s="123">
        <f>_018_550[[#This Row],[良品]]-_018_550[[#This Row],[良品放行]]-_018_550[[#This Row],[不良待處理]]</f>
        <v>0</v>
      </c>
      <c r="S36" s="123">
        <f>SUMIFS(record[OK],record[製程料號],_018_550[[#This Row],[製令單號]],record[ProcessSN],S$1)</f>
        <v>317</v>
      </c>
      <c r="T36" s="117">
        <f>SUMIFS(record[NG],record[製程料號],_018_550[[#This Row],[製令單號]],record[ProcessSN],T$1)</f>
        <v>0</v>
      </c>
      <c r="U36" s="123">
        <f>_018_550[[#This Row],[良品放行]]-_018_550[[#This Row],[入庫]]</f>
        <v>0</v>
      </c>
      <c r="V36" s="123">
        <f>SUMIFS(record[OK],record[製程料號],_018_550[[#This Row],[製令單號]],record[ProcessSN],V$1)</f>
        <v>317</v>
      </c>
      <c r="W36" s="123">
        <f>_018_550[[#This Row],[入庫]]-_018_550[[#This Row],[已出貨]]</f>
        <v>0</v>
      </c>
      <c r="X36" s="137"/>
      <c r="Y36" s="123">
        <f>SUMIFS(record[OK],record[製程料號],_018_550[[#This Row],[製令單號]],record[ProcessSN],Y$1)</f>
        <v>317</v>
      </c>
      <c r="Z36" s="125">
        <f>_018_550[[#This Row],[不良待處理]]+_018_550[[#This Row],[不良品]]+_018_550[[#This Row],['#06
QC NG]]+_018_550[[#This Row],['#08委外NG]]</f>
        <v>11</v>
      </c>
      <c r="AA3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0.96646341463414631</v>
      </c>
    </row>
    <row r="37" spans="1:27" ht="30.75" x14ac:dyDescent="0.25">
      <c r="A37" s="120">
        <v>45770</v>
      </c>
      <c r="B37" s="121" t="s">
        <v>784</v>
      </c>
      <c r="C37" s="122" t="s">
        <v>500</v>
      </c>
      <c r="D37" s="118">
        <v>383</v>
      </c>
      <c r="E37" s="123">
        <f>_018_550[[#This Row],[入料數]]-_018_550[[#This Row],['#08已委外數量]]</f>
        <v>0</v>
      </c>
      <c r="F37" s="123">
        <f>SUMIFS(record[OK],record[製程料號],_018_550[[#This Row],[製令單號]],record[ProcessSN],F$1)</f>
        <v>383</v>
      </c>
      <c r="G37" s="118" t="str">
        <f>IF(_018_550[[#This Row],['#08已委外數量]]&gt;0,VLOOKUP(G$1,record[[ProcessSN]:[廠商]],12,FALSE),"尚未委外")</f>
        <v>泉盛</v>
      </c>
      <c r="H37" s="123">
        <f>_018_550[[#This Row],['#08已委外數量]]-_018_550[[#This Row],['#08回
良品]]-_018_550[[#This Row],['#08委外NG]]</f>
        <v>0</v>
      </c>
      <c r="I37" s="123">
        <f>SUMIFS(record[OK],record[製程料號],_018_550[[#This Row],[製令單號]],record[ProcessSN],I$1)</f>
        <v>383</v>
      </c>
      <c r="J37" s="117">
        <f>SUMIFS(record[NG],record[製程料號],_018_550[[#This Row],[製令單號]],record[ProcessSN],J$1)</f>
        <v>0</v>
      </c>
      <c r="K37" s="124">
        <f>IFERROR(_018_550[[#This Row],['#08委外NG]]/_018_550[[#This Row],['#08已委外數量]],"")</f>
        <v>0</v>
      </c>
      <c r="L37" s="123">
        <f>_018_550[[#This Row],['#08回
良品]]-_018_550[[#This Row],['#06檢驗OK]]-_018_550[[#This Row],['#06
QC NG]]</f>
        <v>0</v>
      </c>
      <c r="M37" s="123">
        <f>SUMIFS(record[OK],record[製程料號],_018_550[[#This Row],[製令單號]],record[ProcessSN],M$1)</f>
        <v>383</v>
      </c>
      <c r="N37" s="117">
        <f>SUMIFS(record[NG],record[製程料號],_018_550[[#This Row],[製令單號]],record[ProcessSN],N$1)</f>
        <v>0</v>
      </c>
      <c r="O37" s="123">
        <f>_018_550[[#This Row],['#06檢驗OK]]-_018_550[[#This Row],[不良品]]-_018_550[[#This Row],[良品]]</f>
        <v>0</v>
      </c>
      <c r="P37" s="123">
        <f>SUMIFS(record[OK],record[製程料號],_018_550[[#This Row],[製令單號]],record[ProcessSN],P$1)</f>
        <v>373</v>
      </c>
      <c r="Q37" s="117">
        <f>SUMIFS(record[NG],record[製程料號],_018_550[[#This Row],[製令單號]],record[ProcessSN],Q$1)</f>
        <v>10</v>
      </c>
      <c r="R37" s="123">
        <f>_018_550[[#This Row],[良品]]-_018_550[[#This Row],[良品放行]]-_018_550[[#This Row],[不良待處理]]</f>
        <v>0</v>
      </c>
      <c r="S37" s="123">
        <f>SUMIFS(record[OK],record[製程料號],_018_550[[#This Row],[製令單號]],record[ProcessSN],S$1)</f>
        <v>373</v>
      </c>
      <c r="T37" s="117">
        <f>SUMIFS(record[NG],record[製程料號],_018_550[[#This Row],[製令單號]],record[ProcessSN],T$1)</f>
        <v>0</v>
      </c>
      <c r="U37" s="123">
        <f>_018_550[[#This Row],[良品放行]]-_018_550[[#This Row],[入庫]]</f>
        <v>0</v>
      </c>
      <c r="V37" s="123">
        <f>SUMIFS(record[OK],record[製程料號],_018_550[[#This Row],[製令單號]],record[ProcessSN],V$1)</f>
        <v>373</v>
      </c>
      <c r="W37" s="123">
        <f>_018_550[[#This Row],[入庫]]-_018_550[[#This Row],[已出貨]]</f>
        <v>0</v>
      </c>
      <c r="X37" s="137"/>
      <c r="Y37" s="123">
        <f>SUMIFS(record[OK],record[製程料號],_018_550[[#This Row],[製令單號]],record[ProcessSN],Y$1)</f>
        <v>373</v>
      </c>
      <c r="Z37" s="125">
        <f>_018_550[[#This Row],[不良待處理]]+_018_550[[#This Row],[不良品]]+_018_550[[#This Row],['#06
QC NG]]+_018_550[[#This Row],['#08委外NG]]</f>
        <v>10</v>
      </c>
      <c r="AA3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0.97389033942558745</v>
      </c>
    </row>
    <row r="38" spans="1:27" ht="30.75" x14ac:dyDescent="0.25">
      <c r="A38" s="120">
        <v>45793</v>
      </c>
      <c r="B38" s="121" t="s">
        <v>791</v>
      </c>
      <c r="C38" s="122" t="s">
        <v>500</v>
      </c>
      <c r="D38" s="118">
        <v>369</v>
      </c>
      <c r="E38" s="123">
        <f>_018_550[[#This Row],[入料數]]-_018_550[[#This Row],['#08已委外數量]]</f>
        <v>0</v>
      </c>
      <c r="F38" s="123">
        <f>SUMIFS(record[OK],record[製程料號],_018_550[[#This Row],[製令單號]],record[ProcessSN],F$1)</f>
        <v>369</v>
      </c>
      <c r="G38" s="118" t="str">
        <f>IF(_018_550[[#This Row],['#08已委外數量]]&gt;0,VLOOKUP(G$1,record[[ProcessSN]:[廠商]],12,FALSE),"尚未委外")</f>
        <v>泉盛</v>
      </c>
      <c r="H38" s="123">
        <f>_018_550[[#This Row],['#08已委外數量]]-_018_550[[#This Row],['#08回
良品]]-_018_550[[#This Row],['#08委外NG]]</f>
        <v>0</v>
      </c>
      <c r="I38" s="123">
        <f>SUMIFS(record[OK],record[製程料號],_018_550[[#This Row],[製令單號]],record[ProcessSN],I$1)</f>
        <v>348</v>
      </c>
      <c r="J38" s="117">
        <f>SUMIFS(record[NG],record[製程料號],_018_550[[#This Row],[製令單號]],record[ProcessSN],J$1)</f>
        <v>21</v>
      </c>
      <c r="K38" s="124">
        <f>IFERROR(_018_550[[#This Row],['#08委外NG]]/_018_550[[#This Row],['#08已委外數量]],"")</f>
        <v>5.6910569105691054E-2</v>
      </c>
      <c r="L38" s="123">
        <f>_018_550[[#This Row],['#08回
良品]]-_018_550[[#This Row],['#06檢驗OK]]-_018_550[[#This Row],['#06
QC NG]]</f>
        <v>0</v>
      </c>
      <c r="M38" s="123">
        <f>SUMIFS(record[OK],record[製程料號],_018_550[[#This Row],[製令單號]],record[ProcessSN],M$1)</f>
        <v>348</v>
      </c>
      <c r="N38" s="117">
        <f>SUMIFS(record[NG],record[製程料號],_018_550[[#This Row],[製令單號]],record[ProcessSN],N$1)</f>
        <v>0</v>
      </c>
      <c r="O38" s="123">
        <f>_018_550[[#This Row],['#06檢驗OK]]-_018_550[[#This Row],[不良品]]-_018_550[[#This Row],[良品]]</f>
        <v>0</v>
      </c>
      <c r="P38" s="123">
        <f>SUMIFS(record[OK],record[製程料號],_018_550[[#This Row],[製令單號]],record[ProcessSN],P$1)</f>
        <v>348</v>
      </c>
      <c r="Q38" s="117">
        <f>SUMIFS(record[NG],record[製程料號],_018_550[[#This Row],[製令單號]],record[ProcessSN],Q$1)</f>
        <v>0</v>
      </c>
      <c r="R38" s="123">
        <f>_018_550[[#This Row],[良品]]-_018_550[[#This Row],[良品放行]]-_018_550[[#This Row],[不良待處理]]</f>
        <v>0</v>
      </c>
      <c r="S38" s="123">
        <f>SUMIFS(record[OK],record[製程料號],_018_550[[#This Row],[製令單號]],record[ProcessSN],S$1)</f>
        <v>348</v>
      </c>
      <c r="T38" s="117">
        <f>SUMIFS(record[NG],record[製程料號],_018_550[[#This Row],[製令單號]],record[ProcessSN],T$1)</f>
        <v>0</v>
      </c>
      <c r="U38" s="123">
        <f>_018_550[[#This Row],[良品放行]]-_018_550[[#This Row],[入庫]]</f>
        <v>0</v>
      </c>
      <c r="V38" s="123">
        <f>SUMIFS(record[OK],record[製程料號],_018_550[[#This Row],[製令單號]],record[ProcessSN],V$1)</f>
        <v>348</v>
      </c>
      <c r="W38" s="123">
        <f>_018_550[[#This Row],[入庫]]-_018_550[[#This Row],[已出貨]]</f>
        <v>0</v>
      </c>
      <c r="X38" s="137"/>
      <c r="Y38" s="123">
        <f>SUMIFS(record[OK],record[製程料號],_018_550[[#This Row],[製令單號]],record[ProcessSN],Y$1)</f>
        <v>348</v>
      </c>
      <c r="Z38" s="125">
        <f>_018_550[[#This Row],[不良待處理]]+_018_550[[#This Row],[不良品]]+_018_550[[#This Row],['#06
QC NG]]+_018_550[[#This Row],['#08委外NG]]</f>
        <v>21</v>
      </c>
      <c r="AA3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0.94308943089430897</v>
      </c>
    </row>
    <row r="39" spans="1:27" ht="30.75" x14ac:dyDescent="0.25">
      <c r="A39" s="120">
        <v>45793</v>
      </c>
      <c r="B39" s="121" t="s">
        <v>793</v>
      </c>
      <c r="C39" s="122" t="s">
        <v>500</v>
      </c>
      <c r="D39" s="118">
        <v>4</v>
      </c>
      <c r="E39" s="123">
        <f>_018_550[[#This Row],[入料數]]-_018_550[[#This Row],['#08已委外數量]]</f>
        <v>0</v>
      </c>
      <c r="F39" s="123">
        <f>SUMIFS(record[OK],record[製程料號],_018_550[[#This Row],[製令單號]],record[ProcessSN],F$1)</f>
        <v>4</v>
      </c>
      <c r="G39" s="118" t="str">
        <f>IF(_018_550[[#This Row],['#08已委外數量]]&gt;0,VLOOKUP(G$1,record[[ProcessSN]:[廠商]],12,FALSE),"尚未委外")</f>
        <v>泉盛</v>
      </c>
      <c r="H39" s="123">
        <f>_018_550[[#This Row],['#08已委外數量]]-_018_550[[#This Row],['#08回
良品]]-_018_550[[#This Row],['#08委外NG]]</f>
        <v>0</v>
      </c>
      <c r="I39" s="123">
        <f>SUMIFS(record[OK],record[製程料號],_018_550[[#This Row],[製令單號]],record[ProcessSN],I$1)</f>
        <v>4</v>
      </c>
      <c r="J39" s="117">
        <f>SUMIFS(record[NG],record[製程料號],_018_550[[#This Row],[製令單號]],record[ProcessSN],J$1)</f>
        <v>0</v>
      </c>
      <c r="K39" s="124">
        <f>IFERROR(_018_550[[#This Row],['#08委外NG]]/_018_550[[#This Row],['#08已委外數量]],"")</f>
        <v>0</v>
      </c>
      <c r="L39" s="123">
        <f>_018_550[[#This Row],['#08回
良品]]-_018_550[[#This Row],['#06檢驗OK]]-_018_550[[#This Row],['#06
QC NG]]</f>
        <v>0</v>
      </c>
      <c r="M39" s="123">
        <f>SUMIFS(record[OK],record[製程料號],_018_550[[#This Row],[製令單號]],record[ProcessSN],M$1)</f>
        <v>4</v>
      </c>
      <c r="N39" s="117">
        <f>SUMIFS(record[NG],record[製程料號],_018_550[[#This Row],[製令單號]],record[ProcessSN],N$1)</f>
        <v>0</v>
      </c>
      <c r="O39" s="123">
        <f>_018_550[[#This Row],['#06檢驗OK]]-_018_550[[#This Row],[不良品]]-_018_550[[#This Row],[良品]]</f>
        <v>0</v>
      </c>
      <c r="P39" s="123">
        <f>SUMIFS(record[OK],record[製程料號],_018_550[[#This Row],[製令單號]],record[ProcessSN],P$1)</f>
        <v>4</v>
      </c>
      <c r="Q39" s="117">
        <f>SUMIFS(record[NG],record[製程料號],_018_550[[#This Row],[製令單號]],record[ProcessSN],Q$1)</f>
        <v>0</v>
      </c>
      <c r="R39" s="123">
        <f>_018_550[[#This Row],[良品]]-_018_550[[#This Row],[良品放行]]-_018_550[[#This Row],[不良待處理]]</f>
        <v>0</v>
      </c>
      <c r="S39" s="123">
        <f>SUMIFS(record[OK],record[製程料號],_018_550[[#This Row],[製令單號]],record[ProcessSN],S$1)</f>
        <v>4</v>
      </c>
      <c r="T39" s="117">
        <f>SUMIFS(record[NG],record[製程料號],_018_550[[#This Row],[製令單號]],record[ProcessSN],T$1)</f>
        <v>0</v>
      </c>
      <c r="U39" s="123">
        <f>_018_550[[#This Row],[良品放行]]-_018_550[[#This Row],[入庫]]</f>
        <v>0</v>
      </c>
      <c r="V39" s="123">
        <f>SUMIFS(record[OK],record[製程料號],_018_550[[#This Row],[製令單號]],record[ProcessSN],V$1)</f>
        <v>4</v>
      </c>
      <c r="W39" s="123">
        <f>_018_550[[#This Row],[入庫]]-_018_550[[#This Row],[已出貨]]</f>
        <v>0</v>
      </c>
      <c r="X39" s="137"/>
      <c r="Y39" s="123">
        <f>SUMIFS(record[OK],record[製程料號],_018_550[[#This Row],[製令單號]],record[ProcessSN],Y$1)</f>
        <v>4</v>
      </c>
      <c r="Z39" s="125">
        <f>_018_550[[#This Row],[不良待處理]]+_018_550[[#This Row],[不良品]]+_018_550[[#This Row],['#06
QC NG]]+_018_550[[#This Row],['#08委外NG]]</f>
        <v>0</v>
      </c>
      <c r="AA3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40" spans="1:27" ht="30.75" x14ac:dyDescent="0.25">
      <c r="A40" s="120">
        <v>45794</v>
      </c>
      <c r="B40" s="121" t="s">
        <v>794</v>
      </c>
      <c r="C40" s="122" t="s">
        <v>500</v>
      </c>
      <c r="D40" s="118">
        <v>306</v>
      </c>
      <c r="E40" s="123">
        <f>_018_550[[#This Row],[入料數]]-_018_550[[#This Row],['#08已委外數量]]</f>
        <v>0</v>
      </c>
      <c r="F40" s="123">
        <f>SUMIFS(record[OK],record[製程料號],_018_550[[#This Row],[製令單號]],record[ProcessSN],F$1)</f>
        <v>306</v>
      </c>
      <c r="G40" s="118" t="str">
        <f>IF(_018_550[[#This Row],['#08已委外數量]]&gt;0,VLOOKUP(G$1,record[[ProcessSN]:[廠商]],12,FALSE),"尚未委外")</f>
        <v>泉盛</v>
      </c>
      <c r="H40" s="123">
        <f>_018_550[[#This Row],['#08已委外數量]]-_018_550[[#This Row],['#08回
良品]]-_018_550[[#This Row],['#08委外NG]]</f>
        <v>0</v>
      </c>
      <c r="I40" s="123">
        <f>SUMIFS(record[OK],record[製程料號],_018_550[[#This Row],[製令單號]],record[ProcessSN],I$1)</f>
        <v>283</v>
      </c>
      <c r="J40" s="117">
        <f>SUMIFS(record[NG],record[製程料號],_018_550[[#This Row],[製令單號]],record[ProcessSN],J$1)</f>
        <v>23</v>
      </c>
      <c r="K40" s="124">
        <f>IFERROR(_018_550[[#This Row],['#08委外NG]]/_018_550[[#This Row],['#08已委外數量]],"")</f>
        <v>7.5163398692810454E-2</v>
      </c>
      <c r="L40" s="123">
        <f>_018_550[[#This Row],['#08回
良品]]-_018_550[[#This Row],['#06檢驗OK]]-_018_550[[#This Row],['#06
QC NG]]</f>
        <v>0</v>
      </c>
      <c r="M40" s="123">
        <f>SUMIFS(record[OK],record[製程料號],_018_550[[#This Row],[製令單號]],record[ProcessSN],M$1)</f>
        <v>283</v>
      </c>
      <c r="N40" s="117">
        <f>SUMIFS(record[NG],record[製程料號],_018_550[[#This Row],[製令單號]],record[ProcessSN],N$1)</f>
        <v>0</v>
      </c>
      <c r="O40" s="123">
        <f>_018_550[[#This Row],['#06檢驗OK]]-_018_550[[#This Row],[不良品]]-_018_550[[#This Row],[良品]]</f>
        <v>0</v>
      </c>
      <c r="P40" s="123">
        <f>SUMIFS(record[OK],record[製程料號],_018_550[[#This Row],[製令單號]],record[ProcessSN],P$1)</f>
        <v>283</v>
      </c>
      <c r="Q40" s="117">
        <f>SUMIFS(record[NG],record[製程料號],_018_550[[#This Row],[製令單號]],record[ProcessSN],Q$1)</f>
        <v>0</v>
      </c>
      <c r="R40" s="123">
        <f>_018_550[[#This Row],[良品]]-_018_550[[#This Row],[良品放行]]-_018_550[[#This Row],[不良待處理]]</f>
        <v>0</v>
      </c>
      <c r="S40" s="123">
        <f>SUMIFS(record[OK],record[製程料號],_018_550[[#This Row],[製令單號]],record[ProcessSN],S$1)</f>
        <v>283</v>
      </c>
      <c r="T40" s="117">
        <f>SUMIFS(record[NG],record[製程料號],_018_550[[#This Row],[製令單號]],record[ProcessSN],T$1)</f>
        <v>0</v>
      </c>
      <c r="U40" s="123">
        <f>_018_550[[#This Row],[良品放行]]-_018_550[[#This Row],[入庫]]</f>
        <v>0</v>
      </c>
      <c r="V40" s="123">
        <f>SUMIFS(record[OK],record[製程料號],_018_550[[#This Row],[製令單號]],record[ProcessSN],V$1)</f>
        <v>283</v>
      </c>
      <c r="W40" s="123">
        <f>_018_550[[#This Row],[入庫]]-_018_550[[#This Row],[已出貨]]</f>
        <v>0</v>
      </c>
      <c r="X40" s="137"/>
      <c r="Y40" s="123">
        <f>SUMIFS(record[OK],record[製程料號],_018_550[[#This Row],[製令單號]],record[ProcessSN],Y$1)</f>
        <v>283</v>
      </c>
      <c r="Z40" s="125">
        <f>_018_550[[#This Row],[不良待處理]]+_018_550[[#This Row],[不良品]]+_018_550[[#This Row],['#06
QC NG]]+_018_550[[#This Row],['#08委外NG]]</f>
        <v>23</v>
      </c>
      <c r="AA4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0.92483660130718959</v>
      </c>
    </row>
    <row r="41" spans="1:27" ht="30.75" x14ac:dyDescent="0.25">
      <c r="A41" s="120">
        <v>45797</v>
      </c>
      <c r="B41" s="121" t="s">
        <v>797</v>
      </c>
      <c r="C41" s="122" t="s">
        <v>500</v>
      </c>
      <c r="D41" s="118">
        <v>390</v>
      </c>
      <c r="E41" s="123">
        <f>_018_550[[#This Row],[入料數]]-_018_550[[#This Row],['#08已委外數量]]</f>
        <v>0</v>
      </c>
      <c r="F41" s="123">
        <f>SUMIFS(record[OK],record[製程料號],_018_550[[#This Row],[製令單號]],record[ProcessSN],F$1)</f>
        <v>390</v>
      </c>
      <c r="G41" s="118" t="str">
        <f>IF(_018_550[[#This Row],['#08已委外數量]]&gt;0,VLOOKUP(G$1,record[[ProcessSN]:[廠商]],12,FALSE),"尚未委外")</f>
        <v>泉盛</v>
      </c>
      <c r="H41" s="123">
        <f>_018_550[[#This Row],['#08已委外數量]]-_018_550[[#This Row],['#08回
良品]]-_018_550[[#This Row],['#08委外NG]]</f>
        <v>0</v>
      </c>
      <c r="I41" s="123">
        <f>SUMIFS(record[OK],record[製程料號],_018_550[[#This Row],[製令單號]],record[ProcessSN],I$1)</f>
        <v>390</v>
      </c>
      <c r="J41" s="117">
        <f>SUMIFS(record[NG],record[製程料號],_018_550[[#This Row],[製令單號]],record[ProcessSN],J$1)</f>
        <v>0</v>
      </c>
      <c r="K41" s="124">
        <f>IFERROR(_018_550[[#This Row],['#08委外NG]]/_018_550[[#This Row],['#08已委外數量]],"")</f>
        <v>0</v>
      </c>
      <c r="L41" s="123">
        <f>_018_550[[#This Row],['#08回
良品]]-_018_550[[#This Row],['#06檢驗OK]]-_018_550[[#This Row],['#06
QC NG]]</f>
        <v>0</v>
      </c>
      <c r="M41" s="123">
        <f>SUMIFS(record[OK],record[製程料號],_018_550[[#This Row],[製令單號]],record[ProcessSN],M$1)</f>
        <v>390</v>
      </c>
      <c r="N41" s="117">
        <f>SUMIFS(record[NG],record[製程料號],_018_550[[#This Row],[製令單號]],record[ProcessSN],N$1)</f>
        <v>0</v>
      </c>
      <c r="O41" s="123">
        <f>_018_550[[#This Row],['#06檢驗OK]]-_018_550[[#This Row],[不良品]]-_018_550[[#This Row],[良品]]</f>
        <v>0</v>
      </c>
      <c r="P41" s="123">
        <f>SUMIFS(record[OK],record[製程料號],_018_550[[#This Row],[製令單號]],record[ProcessSN],P$1)</f>
        <v>386</v>
      </c>
      <c r="Q41" s="117">
        <f>SUMIFS(record[NG],record[製程料號],_018_550[[#This Row],[製令單號]],record[ProcessSN],Q$1)</f>
        <v>4</v>
      </c>
      <c r="R41" s="123">
        <f>_018_550[[#This Row],[良品]]-_018_550[[#This Row],[良品放行]]-_018_550[[#This Row],[不良待處理]]</f>
        <v>0</v>
      </c>
      <c r="S41" s="123">
        <f>SUMIFS(record[OK],record[製程料號],_018_550[[#This Row],[製令單號]],record[ProcessSN],S$1)</f>
        <v>386</v>
      </c>
      <c r="T41" s="117">
        <f>SUMIFS(record[NG],record[製程料號],_018_550[[#This Row],[製令單號]],record[ProcessSN],T$1)</f>
        <v>0</v>
      </c>
      <c r="U41" s="123">
        <f>_018_550[[#This Row],[良品放行]]-_018_550[[#This Row],[入庫]]</f>
        <v>0</v>
      </c>
      <c r="V41" s="123">
        <f>SUMIFS(record[OK],record[製程料號],_018_550[[#This Row],[製令單號]],record[ProcessSN],V$1)</f>
        <v>386</v>
      </c>
      <c r="W41" s="123">
        <f>_018_550[[#This Row],[入庫]]-_018_550[[#This Row],[已出貨]]</f>
        <v>0</v>
      </c>
      <c r="X41" s="137"/>
      <c r="Y41" s="123">
        <f>SUMIFS(record[OK],record[製程料號],_018_550[[#This Row],[製令單號]],record[ProcessSN],Y$1)</f>
        <v>386</v>
      </c>
      <c r="Z41" s="125">
        <f>_018_550[[#This Row],[不良待處理]]+_018_550[[#This Row],[不良品]]+_018_550[[#This Row],['#06
QC NG]]+_018_550[[#This Row],['#08委外NG]]</f>
        <v>4</v>
      </c>
      <c r="AA4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0.98974358974358978</v>
      </c>
    </row>
    <row r="42" spans="1:27" ht="30.75" x14ac:dyDescent="0.25">
      <c r="A42" s="120">
        <v>45798</v>
      </c>
      <c r="B42" s="121" t="s">
        <v>800</v>
      </c>
      <c r="C42" s="122" t="s">
        <v>500</v>
      </c>
      <c r="D42" s="118">
        <v>134</v>
      </c>
      <c r="E42" s="123">
        <f>_018_550[[#This Row],[入料數]]-_018_550[[#This Row],['#08已委外數量]]</f>
        <v>0</v>
      </c>
      <c r="F42" s="123">
        <f>SUMIFS(record[OK],record[製程料號],_018_550[[#This Row],[製令單號]],record[ProcessSN],F$1)</f>
        <v>134</v>
      </c>
      <c r="G42" s="118" t="str">
        <f>IF(_018_550[[#This Row],['#08已委外數量]]&gt;0,VLOOKUP(G$1,record[[ProcessSN]:[廠商]],12,FALSE),"尚未委外")</f>
        <v>泉盛</v>
      </c>
      <c r="H42" s="123">
        <f>_018_550[[#This Row],['#08已委外數量]]-_018_550[[#This Row],['#08回
良品]]-_018_550[[#This Row],['#08委外NG]]</f>
        <v>0</v>
      </c>
      <c r="I42" s="123">
        <f>SUMIFS(record[OK],record[製程料號],_018_550[[#This Row],[製令單號]],record[ProcessSN],I$1)</f>
        <v>134</v>
      </c>
      <c r="J42" s="117">
        <f>SUMIFS(record[NG],record[製程料號],_018_550[[#This Row],[製令單號]],record[ProcessSN],J$1)</f>
        <v>0</v>
      </c>
      <c r="K42" s="124">
        <f>IFERROR(_018_550[[#This Row],['#08委外NG]]/_018_550[[#This Row],['#08已委外數量]],"")</f>
        <v>0</v>
      </c>
      <c r="L42" s="123">
        <f>_018_550[[#This Row],['#08回
良品]]-_018_550[[#This Row],['#06檢驗OK]]-_018_550[[#This Row],['#06
QC NG]]</f>
        <v>0</v>
      </c>
      <c r="M42" s="123">
        <f>SUMIFS(record[OK],record[製程料號],_018_550[[#This Row],[製令單號]],record[ProcessSN],M$1)</f>
        <v>134</v>
      </c>
      <c r="N42" s="117">
        <f>SUMIFS(record[NG],record[製程料號],_018_550[[#This Row],[製令單號]],record[ProcessSN],N$1)</f>
        <v>0</v>
      </c>
      <c r="O42" s="123">
        <f>_018_550[[#This Row],['#06檢驗OK]]-_018_550[[#This Row],[不良品]]-_018_550[[#This Row],[良品]]</f>
        <v>0</v>
      </c>
      <c r="P42" s="123">
        <f>SUMIFS(record[OK],record[製程料號],_018_550[[#This Row],[製令單號]],record[ProcessSN],P$1)</f>
        <v>134</v>
      </c>
      <c r="Q42" s="117">
        <f>SUMIFS(record[NG],record[製程料號],_018_550[[#This Row],[製令單號]],record[ProcessSN],Q$1)</f>
        <v>0</v>
      </c>
      <c r="R42" s="123">
        <f>_018_550[[#This Row],[良品]]-_018_550[[#This Row],[良品放行]]-_018_550[[#This Row],[不良待處理]]</f>
        <v>0</v>
      </c>
      <c r="S42" s="123">
        <f>SUMIFS(record[OK],record[製程料號],_018_550[[#This Row],[製令單號]],record[ProcessSN],S$1)</f>
        <v>134</v>
      </c>
      <c r="T42" s="117">
        <f>SUMIFS(record[NG],record[製程料號],_018_550[[#This Row],[製令單號]],record[ProcessSN],T$1)</f>
        <v>0</v>
      </c>
      <c r="U42" s="123">
        <f>_018_550[[#This Row],[良品放行]]-_018_550[[#This Row],[入庫]]</f>
        <v>0</v>
      </c>
      <c r="V42" s="123">
        <f>SUMIFS(record[OK],record[製程料號],_018_550[[#This Row],[製令單號]],record[ProcessSN],V$1)</f>
        <v>134</v>
      </c>
      <c r="W42" s="123">
        <f>_018_550[[#This Row],[入庫]]-_018_550[[#This Row],[已出貨]]</f>
        <v>0</v>
      </c>
      <c r="X42" s="137"/>
      <c r="Y42" s="123">
        <f>SUMIFS(record[OK],record[製程料號],_018_550[[#This Row],[製令單號]],record[ProcessSN],Y$1)</f>
        <v>134</v>
      </c>
      <c r="Z42" s="125">
        <f>_018_550[[#This Row],[不良待處理]]+_018_550[[#This Row],[不良品]]+_018_550[[#This Row],['#06
QC NG]]+_018_550[[#This Row],['#08委外NG]]</f>
        <v>0</v>
      </c>
      <c r="AA4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43" spans="1:27" ht="30.75" x14ac:dyDescent="0.25">
      <c r="A43" s="120">
        <v>45799</v>
      </c>
      <c r="B43" s="121" t="s">
        <v>801</v>
      </c>
      <c r="C43" s="122" t="s">
        <v>500</v>
      </c>
      <c r="D43" s="118">
        <v>240</v>
      </c>
      <c r="E43" s="123">
        <f>_018_550[[#This Row],[入料數]]-_018_550[[#This Row],['#08已委外數量]]</f>
        <v>0</v>
      </c>
      <c r="F43" s="123">
        <f>SUMIFS(record[OK],record[製程料號],_018_550[[#This Row],[製令單號]],record[ProcessSN],F$1)</f>
        <v>240</v>
      </c>
      <c r="G43" s="118" t="str">
        <f>IF(_018_550[[#This Row],['#08已委外數量]]&gt;0,VLOOKUP(G$1,record[[ProcessSN]:[廠商]],12,FALSE),"尚未委外")</f>
        <v>泉盛</v>
      </c>
      <c r="H43" s="123">
        <f>_018_550[[#This Row],['#08已委外數量]]-_018_550[[#This Row],['#08回
良品]]-_018_550[[#This Row],['#08委外NG]]</f>
        <v>0</v>
      </c>
      <c r="I43" s="123">
        <f>SUMIFS(record[OK],record[製程料號],_018_550[[#This Row],[製令單號]],record[ProcessSN],I$1)</f>
        <v>239</v>
      </c>
      <c r="J43" s="117">
        <f>SUMIFS(record[NG],record[製程料號],_018_550[[#This Row],[製令單號]],record[ProcessSN],J$1)</f>
        <v>1</v>
      </c>
      <c r="K43" s="124">
        <f>IFERROR(_018_550[[#This Row],['#08委外NG]]/_018_550[[#This Row],['#08已委外數量]],"")</f>
        <v>4.1666666666666666E-3</v>
      </c>
      <c r="L43" s="123">
        <f>_018_550[[#This Row],['#08回
良品]]-_018_550[[#This Row],['#06檢驗OK]]-_018_550[[#This Row],['#06
QC NG]]</f>
        <v>0</v>
      </c>
      <c r="M43" s="123">
        <f>SUMIFS(record[OK],record[製程料號],_018_550[[#This Row],[製令單號]],record[ProcessSN],M$1)</f>
        <v>239</v>
      </c>
      <c r="N43" s="117">
        <f>SUMIFS(record[NG],record[製程料號],_018_550[[#This Row],[製令單號]],record[ProcessSN],N$1)</f>
        <v>0</v>
      </c>
      <c r="O43" s="123">
        <f>_018_550[[#This Row],['#06檢驗OK]]-_018_550[[#This Row],[不良品]]-_018_550[[#This Row],[良品]]</f>
        <v>0</v>
      </c>
      <c r="P43" s="123">
        <f>SUMIFS(record[OK],record[製程料號],_018_550[[#This Row],[製令單號]],record[ProcessSN],P$1)</f>
        <v>223</v>
      </c>
      <c r="Q43" s="117">
        <f>SUMIFS(record[NG],record[製程料號],_018_550[[#This Row],[製令單號]],record[ProcessSN],Q$1)</f>
        <v>16</v>
      </c>
      <c r="R43" s="123">
        <f>_018_550[[#This Row],[良品]]-_018_550[[#This Row],[良品放行]]-_018_550[[#This Row],[不良待處理]]</f>
        <v>0</v>
      </c>
      <c r="S43" s="123">
        <f>SUMIFS(record[OK],record[製程料號],_018_550[[#This Row],[製令單號]],record[ProcessSN],S$1)</f>
        <v>223</v>
      </c>
      <c r="T43" s="117">
        <f>SUMIFS(record[NG],record[製程料號],_018_550[[#This Row],[製令單號]],record[ProcessSN],T$1)</f>
        <v>0</v>
      </c>
      <c r="U43" s="123">
        <f>_018_550[[#This Row],[良品放行]]-_018_550[[#This Row],[入庫]]</f>
        <v>0</v>
      </c>
      <c r="V43" s="123">
        <f>SUMIFS(record[OK],record[製程料號],_018_550[[#This Row],[製令單號]],record[ProcessSN],V$1)</f>
        <v>223</v>
      </c>
      <c r="W43" s="123">
        <f>_018_550[[#This Row],[入庫]]-_018_550[[#This Row],[已出貨]]</f>
        <v>0</v>
      </c>
      <c r="X43" s="137"/>
      <c r="Y43" s="123">
        <f>SUMIFS(record[OK],record[製程料號],_018_550[[#This Row],[製令單號]],record[ProcessSN],Y$1)</f>
        <v>223</v>
      </c>
      <c r="Z43" s="125">
        <f>_018_550[[#This Row],[不良待處理]]+_018_550[[#This Row],[不良品]]+_018_550[[#This Row],['#06
QC NG]]+_018_550[[#This Row],['#08委外NG]]</f>
        <v>17</v>
      </c>
      <c r="AA4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0.9291666666666667</v>
      </c>
    </row>
    <row r="44" spans="1:27" ht="30.75" x14ac:dyDescent="0.25">
      <c r="A44" s="120">
        <v>45800</v>
      </c>
      <c r="B44" s="121" t="s">
        <v>811</v>
      </c>
      <c r="C44" s="122" t="s">
        <v>500</v>
      </c>
      <c r="D44" s="118">
        <v>134</v>
      </c>
      <c r="E44" s="123">
        <f>_018_550[[#This Row],[入料數]]-_018_550[[#This Row],['#08已委外數量]]</f>
        <v>0</v>
      </c>
      <c r="F44" s="123">
        <f>SUMIFS(record[OK],record[製程料號],_018_550[[#This Row],[製令單號]],record[ProcessSN],F$1)</f>
        <v>134</v>
      </c>
      <c r="G44" s="118" t="str">
        <f>IF(_018_550[[#This Row],['#08已委外數量]]&gt;0,VLOOKUP(G$1,record[[ProcessSN]:[廠商]],12,FALSE),"尚未委外")</f>
        <v>泉盛</v>
      </c>
      <c r="H44" s="123">
        <f>_018_550[[#This Row],['#08已委外數量]]-_018_550[[#This Row],['#08回
良品]]-_018_550[[#This Row],['#08委外NG]]</f>
        <v>0</v>
      </c>
      <c r="I44" s="123">
        <f>SUMIFS(record[OK],record[製程料號],_018_550[[#This Row],[製令單號]],record[ProcessSN],I$1)</f>
        <v>134</v>
      </c>
      <c r="J44" s="117">
        <f>SUMIFS(record[NG],record[製程料號],_018_550[[#This Row],[製令單號]],record[ProcessSN],J$1)</f>
        <v>0</v>
      </c>
      <c r="K44" s="124">
        <f>IFERROR(_018_550[[#This Row],['#08委外NG]]/_018_550[[#This Row],['#08已委外數量]],"")</f>
        <v>0</v>
      </c>
      <c r="L44" s="123">
        <f>_018_550[[#This Row],['#08回
良品]]-_018_550[[#This Row],['#06檢驗OK]]-_018_550[[#This Row],['#06
QC NG]]</f>
        <v>0</v>
      </c>
      <c r="M44" s="123">
        <f>SUMIFS(record[OK],record[製程料號],_018_550[[#This Row],[製令單號]],record[ProcessSN],M$1)</f>
        <v>134</v>
      </c>
      <c r="N44" s="117">
        <f>SUMIFS(record[NG],record[製程料號],_018_550[[#This Row],[製令單號]],record[ProcessSN],N$1)</f>
        <v>0</v>
      </c>
      <c r="O44" s="123">
        <f>_018_550[[#This Row],['#06檢驗OK]]-_018_550[[#This Row],[不良品]]-_018_550[[#This Row],[良品]]</f>
        <v>0</v>
      </c>
      <c r="P44" s="123">
        <f>SUMIFS(record[OK],record[製程料號],_018_550[[#This Row],[製令單號]],record[ProcessSN],P$1)</f>
        <v>134</v>
      </c>
      <c r="Q44" s="117">
        <f>SUMIFS(record[NG],record[製程料號],_018_550[[#This Row],[製令單號]],record[ProcessSN],Q$1)</f>
        <v>0</v>
      </c>
      <c r="R44" s="123">
        <f>_018_550[[#This Row],[良品]]-_018_550[[#This Row],[良品放行]]-_018_550[[#This Row],[不良待處理]]</f>
        <v>0</v>
      </c>
      <c r="S44" s="123">
        <f>SUMIFS(record[OK],record[製程料號],_018_550[[#This Row],[製令單號]],record[ProcessSN],S$1)</f>
        <v>134</v>
      </c>
      <c r="T44" s="117">
        <f>SUMIFS(record[NG],record[製程料號],_018_550[[#This Row],[製令單號]],record[ProcessSN],T$1)</f>
        <v>0</v>
      </c>
      <c r="U44" s="123">
        <f>_018_550[[#This Row],[良品放行]]-_018_550[[#This Row],[入庫]]</f>
        <v>0</v>
      </c>
      <c r="V44" s="123">
        <f>SUMIFS(record[OK],record[製程料號],_018_550[[#This Row],[製令單號]],record[ProcessSN],V$1)</f>
        <v>134</v>
      </c>
      <c r="W44" s="123">
        <f>_018_550[[#This Row],[入庫]]-_018_550[[#This Row],[已出貨]]</f>
        <v>0</v>
      </c>
      <c r="X44" s="137"/>
      <c r="Y44" s="123">
        <f>SUMIFS(record[OK],record[製程料號],_018_550[[#This Row],[製令單號]],record[ProcessSN],Y$1)</f>
        <v>134</v>
      </c>
      <c r="Z44" s="125">
        <f>_018_550[[#This Row],[不良待處理]]+_018_550[[#This Row],[不良品]]+_018_550[[#This Row],['#06
QC NG]]+_018_550[[#This Row],['#08委外NG]]</f>
        <v>0</v>
      </c>
      <c r="AA4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45" spans="1:27" ht="30.75" x14ac:dyDescent="0.25">
      <c r="A45" s="120">
        <v>45800</v>
      </c>
      <c r="B45" s="121" t="s">
        <v>812</v>
      </c>
      <c r="C45" s="122" t="s">
        <v>500</v>
      </c>
      <c r="D45" s="118">
        <v>88</v>
      </c>
      <c r="E45" s="123">
        <f>_018_550[[#This Row],[入料數]]-_018_550[[#This Row],['#08已委外數量]]</f>
        <v>0</v>
      </c>
      <c r="F45" s="123">
        <f>SUMIFS(record[OK],record[製程料號],_018_550[[#This Row],[製令單號]],record[ProcessSN],F$1)</f>
        <v>88</v>
      </c>
      <c r="G45" s="118" t="str">
        <f>IF(_018_550[[#This Row],['#08已委外數量]]&gt;0,VLOOKUP(G$1,record[[ProcessSN]:[廠商]],12,FALSE),"尚未委外")</f>
        <v>泉盛</v>
      </c>
      <c r="H45" s="123">
        <f>_018_550[[#This Row],['#08已委外數量]]-_018_550[[#This Row],['#08回
良品]]-_018_550[[#This Row],['#08委外NG]]</f>
        <v>0</v>
      </c>
      <c r="I45" s="123">
        <f>SUMIFS(record[OK],record[製程料號],_018_550[[#This Row],[製令單號]],record[ProcessSN],I$1)</f>
        <v>88</v>
      </c>
      <c r="J45" s="117">
        <f>SUMIFS(record[NG],record[製程料號],_018_550[[#This Row],[製令單號]],record[ProcessSN],J$1)</f>
        <v>0</v>
      </c>
      <c r="K45" s="124">
        <f>IFERROR(_018_550[[#This Row],['#08委外NG]]/_018_550[[#This Row],['#08已委外數量]],"")</f>
        <v>0</v>
      </c>
      <c r="L45" s="123">
        <f>_018_550[[#This Row],['#08回
良品]]-_018_550[[#This Row],['#06檢驗OK]]-_018_550[[#This Row],['#06
QC NG]]</f>
        <v>0</v>
      </c>
      <c r="M45" s="123">
        <f>SUMIFS(record[OK],record[製程料號],_018_550[[#This Row],[製令單號]],record[ProcessSN],M$1)</f>
        <v>88</v>
      </c>
      <c r="N45" s="117">
        <f>SUMIFS(record[NG],record[製程料號],_018_550[[#This Row],[製令單號]],record[ProcessSN],N$1)</f>
        <v>0</v>
      </c>
      <c r="O45" s="123">
        <f>_018_550[[#This Row],['#06檢驗OK]]-_018_550[[#This Row],[不良品]]-_018_550[[#This Row],[良品]]</f>
        <v>0</v>
      </c>
      <c r="P45" s="123">
        <f>SUMIFS(record[OK],record[製程料號],_018_550[[#This Row],[製令單號]],record[ProcessSN],P$1)</f>
        <v>49</v>
      </c>
      <c r="Q45" s="117">
        <f>SUMIFS(record[NG],record[製程料號],_018_550[[#This Row],[製令單號]],record[ProcessSN],Q$1)</f>
        <v>39</v>
      </c>
      <c r="R45" s="123">
        <f>_018_550[[#This Row],[良品]]-_018_550[[#This Row],[良品放行]]-_018_550[[#This Row],[不良待處理]]</f>
        <v>0</v>
      </c>
      <c r="S45" s="123">
        <f>SUMIFS(record[OK],record[製程料號],_018_550[[#This Row],[製令單號]],record[ProcessSN],S$1)</f>
        <v>49</v>
      </c>
      <c r="T45" s="117">
        <f>SUMIFS(record[NG],record[製程料號],_018_550[[#This Row],[製令單號]],record[ProcessSN],T$1)</f>
        <v>0</v>
      </c>
      <c r="U45" s="123">
        <f>_018_550[[#This Row],[良品放行]]-_018_550[[#This Row],[入庫]]</f>
        <v>0</v>
      </c>
      <c r="V45" s="123">
        <f>SUMIFS(record[OK],record[製程料號],_018_550[[#This Row],[製令單號]],record[ProcessSN],V$1)</f>
        <v>49</v>
      </c>
      <c r="W45" s="123">
        <f>_018_550[[#This Row],[入庫]]-_018_550[[#This Row],[已出貨]]</f>
        <v>0</v>
      </c>
      <c r="X45" s="137"/>
      <c r="Y45" s="123">
        <f>SUMIFS(record[OK],record[製程料號],_018_550[[#This Row],[製令單號]],record[ProcessSN],Y$1)</f>
        <v>49</v>
      </c>
      <c r="Z45" s="125">
        <f>_018_550[[#This Row],[不良待處理]]+_018_550[[#This Row],[不良品]]+_018_550[[#This Row],['#06
QC NG]]+_018_550[[#This Row],['#08委外NG]]</f>
        <v>39</v>
      </c>
      <c r="AA4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0.55681818181818177</v>
      </c>
    </row>
    <row r="46" spans="1:27" ht="30.75" x14ac:dyDescent="0.25">
      <c r="A46" s="120">
        <v>45812</v>
      </c>
      <c r="B46" s="121" t="s">
        <v>828</v>
      </c>
      <c r="C46" s="122" t="s">
        <v>500</v>
      </c>
      <c r="D46" s="118">
        <v>394</v>
      </c>
      <c r="E46" s="123">
        <f>_018_550[[#This Row],[入料數]]-_018_550[[#This Row],['#08已委外數量]]</f>
        <v>0</v>
      </c>
      <c r="F46" s="123">
        <f>SUMIFS(record[OK],record[製程料號],_018_550[[#This Row],[製令單號]],record[ProcessSN],F$1)</f>
        <v>394</v>
      </c>
      <c r="G46" s="118" t="str">
        <f>IF(_018_550[[#This Row],['#08已委外數量]]&gt;0,VLOOKUP(G$1,record[[ProcessSN]:[廠商]],12,FALSE),"尚未委外")</f>
        <v>泉盛</v>
      </c>
      <c r="H46" s="123">
        <f>_018_550[[#This Row],['#08已委外數量]]-_018_550[[#This Row],['#08回
良品]]-_018_550[[#This Row],['#08委外NG]]</f>
        <v>0</v>
      </c>
      <c r="I46" s="123">
        <f>SUMIFS(record[OK],record[製程料號],_018_550[[#This Row],[製令單號]],record[ProcessSN],I$1)</f>
        <v>394</v>
      </c>
      <c r="J46" s="117">
        <f>SUMIFS(record[NG],record[製程料號],_018_550[[#This Row],[製令單號]],record[ProcessSN],J$1)</f>
        <v>0</v>
      </c>
      <c r="K46" s="124">
        <f>IFERROR(_018_550[[#This Row],['#08委外NG]]/_018_550[[#This Row],['#08已委外數量]],"")</f>
        <v>0</v>
      </c>
      <c r="L46" s="123">
        <f>_018_550[[#This Row],['#08回
良品]]-_018_550[[#This Row],['#06檢驗OK]]-_018_550[[#This Row],['#06
QC NG]]</f>
        <v>0</v>
      </c>
      <c r="M46" s="123">
        <f>SUMIFS(record[OK],record[製程料號],_018_550[[#This Row],[製令單號]],record[ProcessSN],M$1)</f>
        <v>394</v>
      </c>
      <c r="N46" s="117">
        <f>SUMIFS(record[NG],record[製程料號],_018_550[[#This Row],[製令單號]],record[ProcessSN],N$1)</f>
        <v>0</v>
      </c>
      <c r="O46" s="123">
        <f>_018_550[[#This Row],['#06檢驗OK]]-_018_550[[#This Row],[不良品]]-_018_550[[#This Row],[良品]]</f>
        <v>0</v>
      </c>
      <c r="P46" s="123">
        <f>SUMIFS(record[OK],record[製程料號],_018_550[[#This Row],[製令單號]],record[ProcessSN],P$1)</f>
        <v>393</v>
      </c>
      <c r="Q46" s="117">
        <f>SUMIFS(record[NG],record[製程料號],_018_550[[#This Row],[製令單號]],record[ProcessSN],Q$1)</f>
        <v>1</v>
      </c>
      <c r="R46" s="123">
        <f>_018_550[[#This Row],[良品]]-_018_550[[#This Row],[良品放行]]-_018_550[[#This Row],[不良待處理]]</f>
        <v>0</v>
      </c>
      <c r="S46" s="123">
        <f>SUMIFS(record[OK],record[製程料號],_018_550[[#This Row],[製令單號]],record[ProcessSN],S$1)</f>
        <v>393</v>
      </c>
      <c r="T46" s="117">
        <f>SUMIFS(record[NG],record[製程料號],_018_550[[#This Row],[製令單號]],record[ProcessSN],T$1)</f>
        <v>0</v>
      </c>
      <c r="U46" s="123">
        <f>_018_550[[#This Row],[良品放行]]-_018_550[[#This Row],[入庫]]</f>
        <v>0</v>
      </c>
      <c r="V46" s="123">
        <f>SUMIFS(record[OK],record[製程料號],_018_550[[#This Row],[製令單號]],record[ProcessSN],V$1)</f>
        <v>393</v>
      </c>
      <c r="W46" s="123">
        <f>_018_550[[#This Row],[入庫]]-_018_550[[#This Row],[已出貨]]</f>
        <v>0</v>
      </c>
      <c r="X46" s="137"/>
      <c r="Y46" s="123">
        <f>SUMIFS(record[OK],record[製程料號],_018_550[[#This Row],[製令單號]],record[ProcessSN],Y$1)</f>
        <v>393</v>
      </c>
      <c r="Z46" s="125">
        <f>_018_550[[#This Row],[不良待處理]]+_018_550[[#This Row],[不良品]]+_018_550[[#This Row],['#06
QC NG]]+_018_550[[#This Row],['#08委外NG]]</f>
        <v>1</v>
      </c>
      <c r="AA4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0.9974619289340102</v>
      </c>
    </row>
    <row r="47" spans="1:27" ht="30.75" x14ac:dyDescent="0.25">
      <c r="A47" s="120">
        <v>45813</v>
      </c>
      <c r="B47" s="121" t="s">
        <v>832</v>
      </c>
      <c r="C47" s="122" t="s">
        <v>500</v>
      </c>
      <c r="D47" s="118">
        <v>228</v>
      </c>
      <c r="E47" s="123">
        <f>_018_550[[#This Row],[入料數]]-_018_550[[#This Row],['#08已委外數量]]</f>
        <v>0</v>
      </c>
      <c r="F47" s="123">
        <f>SUMIFS(record[OK],record[製程料號],_018_550[[#This Row],[製令單號]],record[ProcessSN],F$1)</f>
        <v>228</v>
      </c>
      <c r="G47" s="118" t="str">
        <f>IF(_018_550[[#This Row],['#08已委外數量]]&gt;0,VLOOKUP(G$1,record[[ProcessSN]:[廠商]],12,FALSE),"尚未委外")</f>
        <v>泉盛</v>
      </c>
      <c r="H47" s="123">
        <f>_018_550[[#This Row],['#08已委外數量]]-_018_550[[#This Row],['#08回
良品]]-_018_550[[#This Row],['#08委外NG]]</f>
        <v>0</v>
      </c>
      <c r="I47" s="123">
        <f>SUMIFS(record[OK],record[製程料號],_018_550[[#This Row],[製令單號]],record[ProcessSN],I$1)</f>
        <v>228</v>
      </c>
      <c r="J47" s="117">
        <f>SUMIFS(record[NG],record[製程料號],_018_550[[#This Row],[製令單號]],record[ProcessSN],J$1)</f>
        <v>0</v>
      </c>
      <c r="K47" s="124">
        <f>IFERROR(_018_550[[#This Row],['#08委外NG]]/_018_550[[#This Row],['#08已委外數量]],"")</f>
        <v>0</v>
      </c>
      <c r="L47" s="123">
        <f>_018_550[[#This Row],['#08回
良品]]-_018_550[[#This Row],['#06檢驗OK]]-_018_550[[#This Row],['#06
QC NG]]</f>
        <v>0</v>
      </c>
      <c r="M47" s="123">
        <f>SUMIFS(record[OK],record[製程料號],_018_550[[#This Row],[製令單號]],record[ProcessSN],M$1)</f>
        <v>228</v>
      </c>
      <c r="N47" s="117">
        <f>SUMIFS(record[NG],record[製程料號],_018_550[[#This Row],[製令單號]],record[ProcessSN],N$1)</f>
        <v>0</v>
      </c>
      <c r="O47" s="123">
        <f>_018_550[[#This Row],['#06檢驗OK]]-_018_550[[#This Row],[不良品]]-_018_550[[#This Row],[良品]]</f>
        <v>0</v>
      </c>
      <c r="P47" s="123">
        <f>SUMIFS(record[OK],record[製程料號],_018_550[[#This Row],[製令單號]],record[ProcessSN],P$1)</f>
        <v>228</v>
      </c>
      <c r="Q47" s="117">
        <f>SUMIFS(record[NG],record[製程料號],_018_550[[#This Row],[製令單號]],record[ProcessSN],Q$1)</f>
        <v>0</v>
      </c>
      <c r="R47" s="123">
        <f>_018_550[[#This Row],[良品]]-_018_550[[#This Row],[良品放行]]-_018_550[[#This Row],[不良待處理]]</f>
        <v>0</v>
      </c>
      <c r="S47" s="123">
        <f>SUMIFS(record[OK],record[製程料號],_018_550[[#This Row],[製令單號]],record[ProcessSN],S$1)</f>
        <v>228</v>
      </c>
      <c r="T47" s="117">
        <f>SUMIFS(record[NG],record[製程料號],_018_550[[#This Row],[製令單號]],record[ProcessSN],T$1)</f>
        <v>0</v>
      </c>
      <c r="U47" s="123">
        <f>_018_550[[#This Row],[良品放行]]-_018_550[[#This Row],[入庫]]</f>
        <v>0</v>
      </c>
      <c r="V47" s="123">
        <f>SUMIFS(record[OK],record[製程料號],_018_550[[#This Row],[製令單號]],record[ProcessSN],V$1)</f>
        <v>228</v>
      </c>
      <c r="W47" s="123">
        <f>_018_550[[#This Row],[入庫]]-_018_550[[#This Row],[已出貨]]</f>
        <v>0</v>
      </c>
      <c r="X47" s="137"/>
      <c r="Y47" s="123">
        <f>SUMIFS(record[OK],record[製程料號],_018_550[[#This Row],[製令單號]],record[ProcessSN],Y$1)</f>
        <v>228</v>
      </c>
      <c r="Z47" s="125">
        <f>_018_550[[#This Row],[不良待處理]]+_018_550[[#This Row],[不良品]]+_018_550[[#This Row],['#06
QC NG]]+_018_550[[#This Row],['#08委外NG]]</f>
        <v>0</v>
      </c>
      <c r="AA4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48" spans="1:27" ht="30.75" x14ac:dyDescent="0.25">
      <c r="A48" s="120">
        <v>45814</v>
      </c>
      <c r="B48" s="121" t="s">
        <v>834</v>
      </c>
      <c r="C48" s="122" t="s">
        <v>500</v>
      </c>
      <c r="D48" s="118">
        <v>336</v>
      </c>
      <c r="E48" s="123">
        <f>_018_550[[#This Row],[入料數]]-_018_550[[#This Row],['#08已委外數量]]</f>
        <v>0</v>
      </c>
      <c r="F48" s="123">
        <f>SUMIFS(record[OK],record[製程料號],_018_550[[#This Row],[製令單號]],record[ProcessSN],F$1)</f>
        <v>336</v>
      </c>
      <c r="G48" s="118" t="str">
        <f>IF(_018_550[[#This Row],['#08已委外數量]]&gt;0,VLOOKUP(G$1,record[[ProcessSN]:[廠商]],12,FALSE),"尚未委外")</f>
        <v>泉盛</v>
      </c>
      <c r="H48" s="123">
        <f>_018_550[[#This Row],['#08已委外數量]]-_018_550[[#This Row],['#08回
良品]]-_018_550[[#This Row],['#08委外NG]]</f>
        <v>0</v>
      </c>
      <c r="I48" s="123">
        <f>SUMIFS(record[OK],record[製程料號],_018_550[[#This Row],[製令單號]],record[ProcessSN],I$1)</f>
        <v>325</v>
      </c>
      <c r="J48" s="117">
        <f>SUMIFS(record[NG],record[製程料號],_018_550[[#This Row],[製令單號]],record[ProcessSN],J$1)</f>
        <v>11</v>
      </c>
      <c r="K48" s="124">
        <f>IFERROR(_018_550[[#This Row],['#08委外NG]]/_018_550[[#This Row],['#08已委外數量]],"")</f>
        <v>3.273809523809524E-2</v>
      </c>
      <c r="L48" s="123">
        <f>_018_550[[#This Row],['#08回
良品]]-_018_550[[#This Row],['#06檢驗OK]]-_018_550[[#This Row],['#06
QC NG]]</f>
        <v>0</v>
      </c>
      <c r="M48" s="123">
        <f>SUMIFS(record[OK],record[製程料號],_018_550[[#This Row],[製令單號]],record[ProcessSN],M$1)</f>
        <v>325</v>
      </c>
      <c r="N48" s="117">
        <f>SUMIFS(record[NG],record[製程料號],_018_550[[#This Row],[製令單號]],record[ProcessSN],N$1)</f>
        <v>0</v>
      </c>
      <c r="O48" s="123">
        <f>_018_550[[#This Row],['#06檢驗OK]]-_018_550[[#This Row],[不良品]]-_018_550[[#This Row],[良品]]</f>
        <v>0</v>
      </c>
      <c r="P48" s="123">
        <f>SUMIFS(record[OK],record[製程料號],_018_550[[#This Row],[製令單號]],record[ProcessSN],P$1)</f>
        <v>325</v>
      </c>
      <c r="Q48" s="117">
        <f>SUMIFS(record[NG],record[製程料號],_018_550[[#This Row],[製令單號]],record[ProcessSN],Q$1)</f>
        <v>0</v>
      </c>
      <c r="R48" s="123">
        <f>_018_550[[#This Row],[良品]]-_018_550[[#This Row],[良品放行]]-_018_550[[#This Row],[不良待處理]]</f>
        <v>0</v>
      </c>
      <c r="S48" s="123">
        <f>SUMIFS(record[OK],record[製程料號],_018_550[[#This Row],[製令單號]],record[ProcessSN],S$1)</f>
        <v>325</v>
      </c>
      <c r="T48" s="117">
        <f>SUMIFS(record[NG],record[製程料號],_018_550[[#This Row],[製令單號]],record[ProcessSN],T$1)</f>
        <v>0</v>
      </c>
      <c r="U48" s="123">
        <f>_018_550[[#This Row],[良品放行]]-_018_550[[#This Row],[入庫]]</f>
        <v>0</v>
      </c>
      <c r="V48" s="123">
        <f>SUMIFS(record[OK],record[製程料號],_018_550[[#This Row],[製令單號]],record[ProcessSN],V$1)</f>
        <v>325</v>
      </c>
      <c r="W48" s="123">
        <f>_018_550[[#This Row],[入庫]]-_018_550[[#This Row],[已出貨]]</f>
        <v>0</v>
      </c>
      <c r="X48" s="137"/>
      <c r="Y48" s="123">
        <f>SUMIFS(record[OK],record[製程料號],_018_550[[#This Row],[製令單號]],record[ProcessSN],Y$1)</f>
        <v>325</v>
      </c>
      <c r="Z48" s="125">
        <f>_018_550[[#This Row],[不良待處理]]+_018_550[[#This Row],[不良品]]+_018_550[[#This Row],['#06
QC NG]]+_018_550[[#This Row],['#08委外NG]]</f>
        <v>11</v>
      </c>
      <c r="AA4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0.96726190476190477</v>
      </c>
    </row>
    <row r="49" spans="1:27" ht="30.75" x14ac:dyDescent="0.25">
      <c r="A49" s="120">
        <v>45817</v>
      </c>
      <c r="B49" s="121" t="s">
        <v>836</v>
      </c>
      <c r="C49" s="122" t="s">
        <v>500</v>
      </c>
      <c r="D49" s="118">
        <v>453</v>
      </c>
      <c r="E49" s="123">
        <f>_018_550[[#This Row],[入料數]]-_018_550[[#This Row],['#08已委外數量]]</f>
        <v>0</v>
      </c>
      <c r="F49" s="123">
        <f>SUMIFS(record[OK],record[製程料號],_018_550[[#This Row],[製令單號]],record[ProcessSN],F$1)</f>
        <v>453</v>
      </c>
      <c r="G49" s="118" t="str">
        <f>IF(_018_550[[#This Row],['#08已委外數量]]&gt;0,VLOOKUP(G$1,record[[ProcessSN]:[廠商]],12,FALSE),"尚未委外")</f>
        <v>泉盛</v>
      </c>
      <c r="H49" s="123">
        <f>_018_550[[#This Row],['#08已委外數量]]-_018_550[[#This Row],['#08回
良品]]-_018_550[[#This Row],['#08委外NG]]</f>
        <v>0</v>
      </c>
      <c r="I49" s="123">
        <f>SUMIFS(record[OK],record[製程料號],_018_550[[#This Row],[製令單號]],record[ProcessSN],I$1)</f>
        <v>453</v>
      </c>
      <c r="J49" s="117">
        <f>SUMIFS(record[NG],record[製程料號],_018_550[[#This Row],[製令單號]],record[ProcessSN],J$1)</f>
        <v>0</v>
      </c>
      <c r="K49" s="124">
        <f>IFERROR(_018_550[[#This Row],['#08委外NG]]/_018_550[[#This Row],['#08已委外數量]],"")</f>
        <v>0</v>
      </c>
      <c r="L49" s="123">
        <f>_018_550[[#This Row],['#08回
良品]]-_018_550[[#This Row],['#06檢驗OK]]-_018_550[[#This Row],['#06
QC NG]]</f>
        <v>0</v>
      </c>
      <c r="M49" s="123">
        <f>SUMIFS(record[OK],record[製程料號],_018_550[[#This Row],[製令單號]],record[ProcessSN],M$1)</f>
        <v>453</v>
      </c>
      <c r="N49" s="117">
        <f>SUMIFS(record[NG],record[製程料號],_018_550[[#This Row],[製令單號]],record[ProcessSN],N$1)</f>
        <v>0</v>
      </c>
      <c r="O49" s="123">
        <f>_018_550[[#This Row],['#06檢驗OK]]-_018_550[[#This Row],[不良品]]-_018_550[[#This Row],[良品]]</f>
        <v>0</v>
      </c>
      <c r="P49" s="123">
        <f>SUMIFS(record[OK],record[製程料號],_018_550[[#This Row],[製令單號]],record[ProcessSN],P$1)</f>
        <v>446</v>
      </c>
      <c r="Q49" s="117">
        <f>SUMIFS(record[NG],record[製程料號],_018_550[[#This Row],[製令單號]],record[ProcessSN],Q$1)</f>
        <v>7</v>
      </c>
      <c r="R49" s="123">
        <f>_018_550[[#This Row],[良品]]-_018_550[[#This Row],[良品放行]]-_018_550[[#This Row],[不良待處理]]</f>
        <v>0</v>
      </c>
      <c r="S49" s="123">
        <f>SUMIFS(record[OK],record[製程料號],_018_550[[#This Row],[製令單號]],record[ProcessSN],S$1)</f>
        <v>446</v>
      </c>
      <c r="T49" s="117">
        <f>SUMIFS(record[NG],record[製程料號],_018_550[[#This Row],[製令單號]],record[ProcessSN],T$1)</f>
        <v>0</v>
      </c>
      <c r="U49" s="123">
        <f>_018_550[[#This Row],[良品放行]]-_018_550[[#This Row],[入庫]]</f>
        <v>0</v>
      </c>
      <c r="V49" s="123">
        <f>SUMIFS(record[OK],record[製程料號],_018_550[[#This Row],[製令單號]],record[ProcessSN],V$1)</f>
        <v>446</v>
      </c>
      <c r="W49" s="123">
        <f>_018_550[[#This Row],[入庫]]-_018_550[[#This Row],[已出貨]]</f>
        <v>0</v>
      </c>
      <c r="X49" s="137"/>
      <c r="Y49" s="123">
        <f>SUMIFS(record[OK],record[製程料號],_018_550[[#This Row],[製令單號]],record[ProcessSN],Y$1)</f>
        <v>446</v>
      </c>
      <c r="Z49" s="125">
        <f>_018_550[[#This Row],[不良待處理]]+_018_550[[#This Row],[不良品]]+_018_550[[#This Row],['#06
QC NG]]+_018_550[[#This Row],['#08委外NG]]</f>
        <v>7</v>
      </c>
      <c r="AA4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0.98454746136865345</v>
      </c>
    </row>
    <row r="50" spans="1:27" ht="30.75" x14ac:dyDescent="0.25">
      <c r="A50" s="120">
        <v>45818</v>
      </c>
      <c r="B50" s="121" t="s">
        <v>840</v>
      </c>
      <c r="C50" s="122" t="s">
        <v>500</v>
      </c>
      <c r="D50" s="118">
        <v>164</v>
      </c>
      <c r="E50" s="123">
        <f>_018_550[[#This Row],[入料數]]-_018_550[[#This Row],['#08已委外數量]]</f>
        <v>0</v>
      </c>
      <c r="F50" s="123">
        <f>SUMIFS(record[OK],record[製程料號],_018_550[[#This Row],[製令單號]],record[ProcessSN],F$1)</f>
        <v>164</v>
      </c>
      <c r="G50" s="118" t="str">
        <f>IF(_018_550[[#This Row],['#08已委外數量]]&gt;0,VLOOKUP(G$1,record[[ProcessSN]:[廠商]],12,FALSE),"尚未委外")</f>
        <v>泉盛</v>
      </c>
      <c r="H50" s="123">
        <f>_018_550[[#This Row],['#08已委外數量]]-_018_550[[#This Row],['#08回
良品]]-_018_550[[#This Row],['#08委外NG]]</f>
        <v>0</v>
      </c>
      <c r="I50" s="123">
        <f>SUMIFS(record[OK],record[製程料號],_018_550[[#This Row],[製令單號]],record[ProcessSN],I$1)</f>
        <v>164</v>
      </c>
      <c r="J50" s="117">
        <f>SUMIFS(record[NG],record[製程料號],_018_550[[#This Row],[製令單號]],record[ProcessSN],J$1)</f>
        <v>0</v>
      </c>
      <c r="K50" s="124">
        <f>IFERROR(_018_550[[#This Row],['#08委外NG]]/_018_550[[#This Row],['#08已委外數量]],"")</f>
        <v>0</v>
      </c>
      <c r="L50" s="123">
        <f>_018_550[[#This Row],['#08回
良品]]-_018_550[[#This Row],['#06檢驗OK]]-_018_550[[#This Row],['#06
QC NG]]</f>
        <v>0</v>
      </c>
      <c r="M50" s="123">
        <f>SUMIFS(record[OK],record[製程料號],_018_550[[#This Row],[製令單號]],record[ProcessSN],M$1)</f>
        <v>164</v>
      </c>
      <c r="N50" s="117">
        <f>SUMIFS(record[NG],record[製程料號],_018_550[[#This Row],[製令單號]],record[ProcessSN],N$1)</f>
        <v>0</v>
      </c>
      <c r="O50" s="123">
        <f>_018_550[[#This Row],['#06檢驗OK]]-_018_550[[#This Row],[不良品]]-_018_550[[#This Row],[良品]]</f>
        <v>0</v>
      </c>
      <c r="P50" s="123">
        <f>SUMIFS(record[OK],record[製程料號],_018_550[[#This Row],[製令單號]],record[ProcessSN],P$1)</f>
        <v>164</v>
      </c>
      <c r="Q50" s="117">
        <f>SUMIFS(record[NG],record[製程料號],_018_550[[#This Row],[製令單號]],record[ProcessSN],Q$1)</f>
        <v>0</v>
      </c>
      <c r="R50" s="123">
        <f>_018_550[[#This Row],[良品]]-_018_550[[#This Row],[良品放行]]-_018_550[[#This Row],[不良待處理]]</f>
        <v>0</v>
      </c>
      <c r="S50" s="123">
        <f>SUMIFS(record[OK],record[製程料號],_018_550[[#This Row],[製令單號]],record[ProcessSN],S$1)</f>
        <v>164</v>
      </c>
      <c r="T50" s="117">
        <f>SUMIFS(record[NG],record[製程料號],_018_550[[#This Row],[製令單號]],record[ProcessSN],T$1)</f>
        <v>0</v>
      </c>
      <c r="U50" s="123">
        <f>_018_550[[#This Row],[良品放行]]-_018_550[[#This Row],[入庫]]</f>
        <v>0</v>
      </c>
      <c r="V50" s="123">
        <f>SUMIFS(record[OK],record[製程料號],_018_550[[#This Row],[製令單號]],record[ProcessSN],V$1)</f>
        <v>164</v>
      </c>
      <c r="W50" s="123">
        <f>_018_550[[#This Row],[入庫]]-_018_550[[#This Row],[已出貨]]</f>
        <v>0</v>
      </c>
      <c r="X50" s="137"/>
      <c r="Y50" s="123">
        <f>SUMIFS(record[OK],record[製程料號],_018_550[[#This Row],[製令單號]],record[ProcessSN],Y$1)</f>
        <v>164</v>
      </c>
      <c r="Z50" s="125">
        <f>_018_550[[#This Row],[不良待處理]]+_018_550[[#This Row],[不良品]]+_018_550[[#This Row],['#06
QC NG]]+_018_550[[#This Row],['#08委外NG]]</f>
        <v>0</v>
      </c>
      <c r="AA5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51" spans="1:27" ht="30.75" x14ac:dyDescent="0.25">
      <c r="A51" s="120">
        <v>45819</v>
      </c>
      <c r="B51" s="121" t="s">
        <v>847</v>
      </c>
      <c r="C51" s="122" t="s">
        <v>500</v>
      </c>
      <c r="D51" s="118">
        <v>244</v>
      </c>
      <c r="E51" s="123">
        <f>_018_550[[#This Row],[入料數]]-_018_550[[#This Row],['#08已委外數量]]</f>
        <v>0</v>
      </c>
      <c r="F51" s="123">
        <f>SUMIFS(record[OK],record[製程料號],_018_550[[#This Row],[製令單號]],record[ProcessSN],F$1)</f>
        <v>244</v>
      </c>
      <c r="G51" s="118" t="str">
        <f>IF(_018_550[[#This Row],['#08已委外數量]]&gt;0,VLOOKUP(G$1,record[[ProcessSN]:[廠商]],12,FALSE),"尚未委外")</f>
        <v>泉盛</v>
      </c>
      <c r="H51" s="123">
        <f>_018_550[[#This Row],['#08已委外數量]]-_018_550[[#This Row],['#08回
良品]]-_018_550[[#This Row],['#08委外NG]]</f>
        <v>0</v>
      </c>
      <c r="I51" s="123">
        <f>SUMIFS(record[OK],record[製程料號],_018_550[[#This Row],[製令單號]],record[ProcessSN],I$1)</f>
        <v>177</v>
      </c>
      <c r="J51" s="117">
        <f>SUMIFS(record[NG],record[製程料號],_018_550[[#This Row],[製令單號]],record[ProcessSN],J$1)</f>
        <v>67</v>
      </c>
      <c r="K51" s="124">
        <f>IFERROR(_018_550[[#This Row],['#08委外NG]]/_018_550[[#This Row],['#08已委外數量]],"")</f>
        <v>0.27459016393442626</v>
      </c>
      <c r="L51" s="123">
        <f>_018_550[[#This Row],['#08回
良品]]-_018_550[[#This Row],['#06檢驗OK]]-_018_550[[#This Row],['#06
QC NG]]</f>
        <v>0</v>
      </c>
      <c r="M51" s="123">
        <f>SUMIFS(record[OK],record[製程料號],_018_550[[#This Row],[製令單號]],record[ProcessSN],M$1)</f>
        <v>177</v>
      </c>
      <c r="N51" s="117">
        <f>SUMIFS(record[NG],record[製程料號],_018_550[[#This Row],[製令單號]],record[ProcessSN],N$1)</f>
        <v>0</v>
      </c>
      <c r="O51" s="123">
        <f>_018_550[[#This Row],['#06檢驗OK]]-_018_550[[#This Row],[不良品]]-_018_550[[#This Row],[良品]]</f>
        <v>0</v>
      </c>
      <c r="P51" s="123">
        <f>SUMIFS(record[OK],record[製程料號],_018_550[[#This Row],[製令單號]],record[ProcessSN],P$1)</f>
        <v>177</v>
      </c>
      <c r="Q51" s="117">
        <f>SUMIFS(record[NG],record[製程料號],_018_550[[#This Row],[製令單號]],record[ProcessSN],Q$1)</f>
        <v>0</v>
      </c>
      <c r="R51" s="123">
        <f>_018_550[[#This Row],[良品]]-_018_550[[#This Row],[良品放行]]-_018_550[[#This Row],[不良待處理]]</f>
        <v>0</v>
      </c>
      <c r="S51" s="123">
        <f>SUMIFS(record[OK],record[製程料號],_018_550[[#This Row],[製令單號]],record[ProcessSN],S$1)</f>
        <v>177</v>
      </c>
      <c r="T51" s="117">
        <f>SUMIFS(record[NG],record[製程料號],_018_550[[#This Row],[製令單號]],record[ProcessSN],T$1)</f>
        <v>0</v>
      </c>
      <c r="U51" s="123">
        <f>_018_550[[#This Row],[良品放行]]-_018_550[[#This Row],[入庫]]</f>
        <v>0</v>
      </c>
      <c r="V51" s="123">
        <f>SUMIFS(record[OK],record[製程料號],_018_550[[#This Row],[製令單號]],record[ProcessSN],V$1)</f>
        <v>177</v>
      </c>
      <c r="W51" s="123">
        <f>_018_550[[#This Row],[入庫]]-_018_550[[#This Row],[已出貨]]</f>
        <v>0</v>
      </c>
      <c r="X51" s="137"/>
      <c r="Y51" s="123">
        <f>SUMIFS(record[OK],record[製程料號],_018_550[[#This Row],[製令單號]],record[ProcessSN],Y$1)</f>
        <v>177</v>
      </c>
      <c r="Z51" s="125">
        <f>_018_550[[#This Row],[不良待處理]]+_018_550[[#This Row],[不良品]]+_018_550[[#This Row],['#06
QC NG]]+_018_550[[#This Row],['#08委外NG]]</f>
        <v>67</v>
      </c>
      <c r="AA5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0.72540983606557374</v>
      </c>
    </row>
    <row r="52" spans="1:27" ht="30.75" x14ac:dyDescent="0.25">
      <c r="A52" s="120">
        <v>45825</v>
      </c>
      <c r="B52" s="121" t="s">
        <v>858</v>
      </c>
      <c r="C52" s="122" t="s">
        <v>500</v>
      </c>
      <c r="D52" s="118">
        <v>227</v>
      </c>
      <c r="E52" s="123">
        <f>_018_550[[#This Row],[入料數]]-_018_550[[#This Row],['#08已委外數量]]</f>
        <v>0</v>
      </c>
      <c r="F52" s="123">
        <f>SUMIFS(record[OK],record[製程料號],_018_550[[#This Row],[製令單號]],record[ProcessSN],F$1)</f>
        <v>227</v>
      </c>
      <c r="G52" s="118" t="str">
        <f>IF(_018_550[[#This Row],['#08已委外數量]]&gt;0,VLOOKUP(G$1,record[[ProcessSN]:[廠商]],12,FALSE),"尚未委外")</f>
        <v>泉盛</v>
      </c>
      <c r="H52" s="123">
        <f>_018_550[[#This Row],['#08已委外數量]]-_018_550[[#This Row],['#08回
良品]]-_018_550[[#This Row],['#08委外NG]]</f>
        <v>0</v>
      </c>
      <c r="I52" s="123">
        <f>SUMIFS(record[OK],record[製程料號],_018_550[[#This Row],[製令單號]],record[ProcessSN],I$1)</f>
        <v>227</v>
      </c>
      <c r="J52" s="117">
        <f>SUMIFS(record[NG],record[製程料號],_018_550[[#This Row],[製令單號]],record[ProcessSN],J$1)</f>
        <v>0</v>
      </c>
      <c r="K52" s="124">
        <f>IFERROR(_018_550[[#This Row],['#08委外NG]]/_018_550[[#This Row],['#08已委外數量]],"")</f>
        <v>0</v>
      </c>
      <c r="L52" s="123">
        <f>_018_550[[#This Row],['#08回
良品]]-_018_550[[#This Row],['#06檢驗OK]]-_018_550[[#This Row],['#06
QC NG]]</f>
        <v>0</v>
      </c>
      <c r="M52" s="123">
        <f>SUMIFS(record[OK],record[製程料號],_018_550[[#This Row],[製令單號]],record[ProcessSN],M$1)</f>
        <v>227</v>
      </c>
      <c r="N52" s="117">
        <f>SUMIFS(record[NG],record[製程料號],_018_550[[#This Row],[製令單號]],record[ProcessSN],N$1)</f>
        <v>0</v>
      </c>
      <c r="O52" s="123">
        <f>_018_550[[#This Row],['#06檢驗OK]]-_018_550[[#This Row],[不良品]]-_018_550[[#This Row],[良品]]</f>
        <v>0</v>
      </c>
      <c r="P52" s="123">
        <f>SUMIFS(record[OK],record[製程料號],_018_550[[#This Row],[製令單號]],record[ProcessSN],P$1)</f>
        <v>225</v>
      </c>
      <c r="Q52" s="117">
        <f>SUMIFS(record[NG],record[製程料號],_018_550[[#This Row],[製令單號]],record[ProcessSN],Q$1)</f>
        <v>2</v>
      </c>
      <c r="R52" s="123">
        <f>_018_550[[#This Row],[良品]]-_018_550[[#This Row],[良品放行]]-_018_550[[#This Row],[不良待處理]]</f>
        <v>0</v>
      </c>
      <c r="S52" s="123">
        <f>SUMIFS(record[OK],record[製程料號],_018_550[[#This Row],[製令單號]],record[ProcessSN],S$1)</f>
        <v>225</v>
      </c>
      <c r="T52" s="117">
        <f>SUMIFS(record[NG],record[製程料號],_018_550[[#This Row],[製令單號]],record[ProcessSN],T$1)</f>
        <v>0</v>
      </c>
      <c r="U52" s="123">
        <f>_018_550[[#This Row],[良品放行]]-_018_550[[#This Row],[入庫]]</f>
        <v>0</v>
      </c>
      <c r="V52" s="123">
        <f>SUMIFS(record[OK],record[製程料號],_018_550[[#This Row],[製令單號]],record[ProcessSN],V$1)</f>
        <v>225</v>
      </c>
      <c r="W52" s="123">
        <f>_018_550[[#This Row],[入庫]]-_018_550[[#This Row],[已出貨]]</f>
        <v>0</v>
      </c>
      <c r="X52" s="137"/>
      <c r="Y52" s="123">
        <f>SUMIFS(record[OK],record[製程料號],_018_550[[#This Row],[製令單號]],record[ProcessSN],Y$1)</f>
        <v>225</v>
      </c>
      <c r="Z52" s="125">
        <f>_018_550[[#This Row],[不良待處理]]+_018_550[[#This Row],[不良品]]+_018_550[[#This Row],['#06
QC NG]]+_018_550[[#This Row],['#08委外NG]]</f>
        <v>2</v>
      </c>
      <c r="AA5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0.99118942731277537</v>
      </c>
    </row>
    <row r="53" spans="1:27" ht="30.75" x14ac:dyDescent="0.25">
      <c r="A53" s="120">
        <v>45828</v>
      </c>
      <c r="B53" s="121" t="s">
        <v>862</v>
      </c>
      <c r="C53" s="122" t="s">
        <v>500</v>
      </c>
      <c r="D53" s="118">
        <v>168</v>
      </c>
      <c r="E53" s="123">
        <f>_018_550[[#This Row],[入料數]]-_018_550[[#This Row],['#08已委外數量]]</f>
        <v>0</v>
      </c>
      <c r="F53" s="123">
        <f>SUMIFS(record[OK],record[製程料號],_018_550[[#This Row],[製令單號]],record[ProcessSN],F$1)</f>
        <v>168</v>
      </c>
      <c r="G53" s="118" t="str">
        <f>IF(_018_550[[#This Row],['#08已委外數量]]&gt;0,VLOOKUP(G$1,record[[ProcessSN]:[廠商]],12,FALSE),"尚未委外")</f>
        <v>泉盛</v>
      </c>
      <c r="H53" s="123">
        <f>_018_550[[#This Row],['#08已委外數量]]-_018_550[[#This Row],['#08回
良品]]-_018_550[[#This Row],['#08委外NG]]</f>
        <v>0</v>
      </c>
      <c r="I53" s="123">
        <f>SUMIFS(record[OK],record[製程料號],_018_550[[#This Row],[製令單號]],record[ProcessSN],I$1)</f>
        <v>168</v>
      </c>
      <c r="J53" s="117">
        <f>SUMIFS(record[NG],record[製程料號],_018_550[[#This Row],[製令單號]],record[ProcessSN],J$1)</f>
        <v>0</v>
      </c>
      <c r="K53" s="124">
        <f>IFERROR(_018_550[[#This Row],['#08委外NG]]/_018_550[[#This Row],['#08已委外數量]],"")</f>
        <v>0</v>
      </c>
      <c r="L53" s="123">
        <f>_018_550[[#This Row],['#08回
良品]]-_018_550[[#This Row],['#06檢驗OK]]-_018_550[[#This Row],['#06
QC NG]]</f>
        <v>0</v>
      </c>
      <c r="M53" s="123">
        <f>SUMIFS(record[OK],record[製程料號],_018_550[[#This Row],[製令單號]],record[ProcessSN],M$1)</f>
        <v>168</v>
      </c>
      <c r="N53" s="117">
        <f>SUMIFS(record[NG],record[製程料號],_018_550[[#This Row],[製令單號]],record[ProcessSN],N$1)</f>
        <v>0</v>
      </c>
      <c r="O53" s="123">
        <f>_018_550[[#This Row],['#06檢驗OK]]-_018_550[[#This Row],[不良品]]-_018_550[[#This Row],[良品]]</f>
        <v>0</v>
      </c>
      <c r="P53" s="123">
        <f>SUMIFS(record[OK],record[製程料號],_018_550[[#This Row],[製令單號]],record[ProcessSN],P$1)</f>
        <v>168</v>
      </c>
      <c r="Q53" s="117">
        <f>SUMIFS(record[NG],record[製程料號],_018_550[[#This Row],[製令單號]],record[ProcessSN],Q$1)</f>
        <v>0</v>
      </c>
      <c r="R53" s="123">
        <f>_018_550[[#This Row],[良品]]-_018_550[[#This Row],[良品放行]]-_018_550[[#This Row],[不良待處理]]</f>
        <v>0</v>
      </c>
      <c r="S53" s="123">
        <f>SUMIFS(record[OK],record[製程料號],_018_550[[#This Row],[製令單號]],record[ProcessSN],S$1)</f>
        <v>168</v>
      </c>
      <c r="T53" s="117">
        <f>SUMIFS(record[NG],record[製程料號],_018_550[[#This Row],[製令單號]],record[ProcessSN],T$1)</f>
        <v>0</v>
      </c>
      <c r="U53" s="123">
        <f>_018_550[[#This Row],[良品放行]]-_018_550[[#This Row],[入庫]]</f>
        <v>0</v>
      </c>
      <c r="V53" s="123">
        <f>SUMIFS(record[OK],record[製程料號],_018_550[[#This Row],[製令單號]],record[ProcessSN],V$1)</f>
        <v>168</v>
      </c>
      <c r="W53" s="123">
        <f>_018_550[[#This Row],[入庫]]-_018_550[[#This Row],[已出貨]]</f>
        <v>0</v>
      </c>
      <c r="X53" s="137"/>
      <c r="Y53" s="123">
        <f>SUMIFS(record[OK],record[製程料號],_018_550[[#This Row],[製令單號]],record[ProcessSN],Y$1)</f>
        <v>168</v>
      </c>
      <c r="Z53" s="125">
        <f>_018_550[[#This Row],[不良待處理]]+_018_550[[#This Row],[不良品]]+_018_550[[#This Row],['#06
QC NG]]+_018_550[[#This Row],['#08委外NG]]</f>
        <v>0</v>
      </c>
      <c r="AA5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54" spans="1:27" ht="30.75" x14ac:dyDescent="0.25">
      <c r="A54" s="120">
        <v>45831</v>
      </c>
      <c r="B54" s="121" t="s">
        <v>866</v>
      </c>
      <c r="C54" s="122" t="s">
        <v>500</v>
      </c>
      <c r="D54" s="118">
        <v>327</v>
      </c>
      <c r="E54" s="123">
        <f>_018_550[[#This Row],[入料數]]-_018_550[[#This Row],['#08已委外數量]]</f>
        <v>0</v>
      </c>
      <c r="F54" s="123">
        <f>SUMIFS(record[OK],record[製程料號],_018_550[[#This Row],[製令單號]],record[ProcessSN],F$1)</f>
        <v>327</v>
      </c>
      <c r="G54" s="118" t="str">
        <f>IF(_018_550[[#This Row],['#08已委外數量]]&gt;0,VLOOKUP(G$1,record[[ProcessSN]:[廠商]],12,FALSE),"尚未委外")</f>
        <v>泉盛</v>
      </c>
      <c r="H54" s="123">
        <f>_018_550[[#This Row],['#08已委外數量]]-_018_550[[#This Row],['#08回
良品]]-_018_550[[#This Row],['#08委外NG]]</f>
        <v>0</v>
      </c>
      <c r="I54" s="123">
        <f>SUMIFS(record[OK],record[製程料號],_018_550[[#This Row],[製令單號]],record[ProcessSN],I$1)</f>
        <v>326</v>
      </c>
      <c r="J54" s="117">
        <f>SUMIFS(record[NG],record[製程料號],_018_550[[#This Row],[製令單號]],record[ProcessSN],J$1)</f>
        <v>1</v>
      </c>
      <c r="K54" s="124">
        <f>IFERROR(_018_550[[#This Row],['#08委外NG]]/_018_550[[#This Row],['#08已委外數量]],"")</f>
        <v>3.0581039755351682E-3</v>
      </c>
      <c r="L54" s="123">
        <f>_018_550[[#This Row],['#08回
良品]]-_018_550[[#This Row],['#06檢驗OK]]-_018_550[[#This Row],['#06
QC NG]]</f>
        <v>0</v>
      </c>
      <c r="M54" s="123">
        <f>SUMIFS(record[OK],record[製程料號],_018_550[[#This Row],[製令單號]],record[ProcessSN],M$1)</f>
        <v>326</v>
      </c>
      <c r="N54" s="117">
        <f>SUMIFS(record[NG],record[製程料號],_018_550[[#This Row],[製令單號]],record[ProcessSN],N$1)</f>
        <v>0</v>
      </c>
      <c r="O54" s="123">
        <f>_018_550[[#This Row],['#06檢驗OK]]-_018_550[[#This Row],[不良品]]-_018_550[[#This Row],[良品]]</f>
        <v>0</v>
      </c>
      <c r="P54" s="123">
        <f>SUMIFS(record[OK],record[製程料號],_018_550[[#This Row],[製令單號]],record[ProcessSN],P$1)</f>
        <v>326</v>
      </c>
      <c r="Q54" s="117">
        <f>SUMIFS(record[NG],record[製程料號],_018_550[[#This Row],[製令單號]],record[ProcessSN],Q$1)</f>
        <v>0</v>
      </c>
      <c r="R54" s="123">
        <f>_018_550[[#This Row],[良品]]-_018_550[[#This Row],[良品放行]]-_018_550[[#This Row],[不良待處理]]</f>
        <v>0</v>
      </c>
      <c r="S54" s="123">
        <f>SUMIFS(record[OK],record[製程料號],_018_550[[#This Row],[製令單號]],record[ProcessSN],S$1)</f>
        <v>326</v>
      </c>
      <c r="T54" s="117">
        <f>SUMIFS(record[NG],record[製程料號],_018_550[[#This Row],[製令單號]],record[ProcessSN],T$1)</f>
        <v>0</v>
      </c>
      <c r="U54" s="123">
        <f>_018_550[[#This Row],[良品放行]]-_018_550[[#This Row],[入庫]]</f>
        <v>0</v>
      </c>
      <c r="V54" s="123">
        <f>SUMIFS(record[OK],record[製程料號],_018_550[[#This Row],[製令單號]],record[ProcessSN],V$1)</f>
        <v>326</v>
      </c>
      <c r="W54" s="123">
        <f>_018_550[[#This Row],[入庫]]-_018_550[[#This Row],[已出貨]]</f>
        <v>0</v>
      </c>
      <c r="X54" s="137"/>
      <c r="Y54" s="123">
        <f>SUMIFS(record[OK],record[製程料號],_018_550[[#This Row],[製令單號]],record[ProcessSN],Y$1)</f>
        <v>326</v>
      </c>
      <c r="Z54" s="125">
        <f>_018_550[[#This Row],[不良待處理]]+_018_550[[#This Row],[不良品]]+_018_550[[#This Row],['#06
QC NG]]+_018_550[[#This Row],['#08委外NG]]</f>
        <v>1</v>
      </c>
      <c r="AA5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0.99694189602446481</v>
      </c>
    </row>
    <row r="55" spans="1:27" ht="30.75" x14ac:dyDescent="0.25">
      <c r="A55" s="120">
        <v>45832</v>
      </c>
      <c r="B55" s="121" t="s">
        <v>869</v>
      </c>
      <c r="C55" s="122" t="s">
        <v>500</v>
      </c>
      <c r="D55" s="118">
        <v>322</v>
      </c>
      <c r="E55" s="123">
        <f>_018_550[[#This Row],[入料數]]-_018_550[[#This Row],['#08已委外數量]]</f>
        <v>0</v>
      </c>
      <c r="F55" s="123">
        <f>SUMIFS(record[OK],record[製程料號],_018_550[[#This Row],[製令單號]],record[ProcessSN],F$1)</f>
        <v>322</v>
      </c>
      <c r="G55" s="118" t="str">
        <f>IF(_018_550[[#This Row],['#08已委外數量]]&gt;0,VLOOKUP(G$1,record[[ProcessSN]:[廠商]],12,FALSE),"尚未委外")</f>
        <v>泉盛</v>
      </c>
      <c r="H55" s="123">
        <f>_018_550[[#This Row],['#08已委外數量]]-_018_550[[#This Row],['#08回
良品]]-_018_550[[#This Row],['#08委外NG]]</f>
        <v>0</v>
      </c>
      <c r="I55" s="123">
        <f>SUMIFS(record[OK],record[製程料號],_018_550[[#This Row],[製令單號]],record[ProcessSN],I$1)</f>
        <v>322</v>
      </c>
      <c r="J55" s="117">
        <f>SUMIFS(record[NG],record[製程料號],_018_550[[#This Row],[製令單號]],record[ProcessSN],J$1)</f>
        <v>0</v>
      </c>
      <c r="K55" s="124">
        <f>IFERROR(_018_550[[#This Row],['#08委外NG]]/_018_550[[#This Row],['#08已委外數量]],"")</f>
        <v>0</v>
      </c>
      <c r="L55" s="123">
        <f>_018_550[[#This Row],['#08回
良品]]-_018_550[[#This Row],['#06檢驗OK]]-_018_550[[#This Row],['#06
QC NG]]</f>
        <v>0</v>
      </c>
      <c r="M55" s="123">
        <f>SUMIFS(record[OK],record[製程料號],_018_550[[#This Row],[製令單號]],record[ProcessSN],M$1)</f>
        <v>322</v>
      </c>
      <c r="N55" s="117">
        <f>SUMIFS(record[NG],record[製程料號],_018_550[[#This Row],[製令單號]],record[ProcessSN],N$1)</f>
        <v>0</v>
      </c>
      <c r="O55" s="123">
        <f>_018_550[[#This Row],['#06檢驗OK]]-_018_550[[#This Row],[不良品]]-_018_550[[#This Row],[良品]]</f>
        <v>0</v>
      </c>
      <c r="P55" s="123">
        <f>SUMIFS(record[OK],record[製程料號],_018_550[[#This Row],[製令單號]],record[ProcessSN],P$1)</f>
        <v>322</v>
      </c>
      <c r="Q55" s="117">
        <f>SUMIFS(record[NG],record[製程料號],_018_550[[#This Row],[製令單號]],record[ProcessSN],Q$1)</f>
        <v>0</v>
      </c>
      <c r="R55" s="123">
        <f>_018_550[[#This Row],[良品]]-_018_550[[#This Row],[良品放行]]-_018_550[[#This Row],[不良待處理]]</f>
        <v>0</v>
      </c>
      <c r="S55" s="123">
        <f>SUMIFS(record[OK],record[製程料號],_018_550[[#This Row],[製令單號]],record[ProcessSN],S$1)</f>
        <v>322</v>
      </c>
      <c r="T55" s="117">
        <f>SUMIFS(record[NG],record[製程料號],_018_550[[#This Row],[製令單號]],record[ProcessSN],T$1)</f>
        <v>0</v>
      </c>
      <c r="U55" s="123">
        <f>_018_550[[#This Row],[良品放行]]-_018_550[[#This Row],[入庫]]</f>
        <v>0</v>
      </c>
      <c r="V55" s="123">
        <f>SUMIFS(record[OK],record[製程料號],_018_550[[#This Row],[製令單號]],record[ProcessSN],V$1)</f>
        <v>322</v>
      </c>
      <c r="W55" s="123">
        <f>_018_550[[#This Row],[入庫]]-_018_550[[#This Row],[已出貨]]</f>
        <v>0</v>
      </c>
      <c r="X55" s="137"/>
      <c r="Y55" s="123">
        <f>SUMIFS(record[OK],record[製程料號],_018_550[[#This Row],[製令單號]],record[ProcessSN],Y$1)</f>
        <v>322</v>
      </c>
      <c r="Z55" s="125">
        <f>_018_550[[#This Row],[不良待處理]]+_018_550[[#This Row],[不良品]]+_018_550[[#This Row],['#06
QC NG]]+_018_550[[#This Row],['#08委外NG]]</f>
        <v>0</v>
      </c>
      <c r="AA5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56" spans="1:27" ht="30.75" x14ac:dyDescent="0.25">
      <c r="A56" s="120">
        <v>45835</v>
      </c>
      <c r="B56" s="121" t="s">
        <v>873</v>
      </c>
      <c r="C56" s="122" t="s">
        <v>500</v>
      </c>
      <c r="D56" s="118">
        <v>159</v>
      </c>
      <c r="E56" s="123">
        <f>_018_550[[#This Row],[入料數]]-_018_550[[#This Row],['#08已委外數量]]</f>
        <v>0</v>
      </c>
      <c r="F56" s="123">
        <f>SUMIFS(record[OK],record[製程料號],_018_550[[#This Row],[製令單號]],record[ProcessSN],F$1)</f>
        <v>159</v>
      </c>
      <c r="G56" s="118" t="str">
        <f>IF(_018_550[[#This Row],['#08已委外數量]]&gt;0,VLOOKUP(G$1,record[[ProcessSN]:[廠商]],12,FALSE),"尚未委外")</f>
        <v>泉盛</v>
      </c>
      <c r="H56" s="123">
        <f>_018_550[[#This Row],['#08已委外數量]]-_018_550[[#This Row],['#08回
良品]]-_018_550[[#This Row],['#08委外NG]]</f>
        <v>0</v>
      </c>
      <c r="I56" s="123">
        <f>SUMIFS(record[OK],record[製程料號],_018_550[[#This Row],[製令單號]],record[ProcessSN],I$1)</f>
        <v>159</v>
      </c>
      <c r="J56" s="117">
        <f>SUMIFS(record[NG],record[製程料號],_018_550[[#This Row],[製令單號]],record[ProcessSN],J$1)</f>
        <v>0</v>
      </c>
      <c r="K56" s="124">
        <f>IFERROR(_018_550[[#This Row],['#08委外NG]]/_018_550[[#This Row],['#08已委外數量]],"")</f>
        <v>0</v>
      </c>
      <c r="L56" s="123">
        <f>_018_550[[#This Row],['#08回
良品]]-_018_550[[#This Row],['#06檢驗OK]]-_018_550[[#This Row],['#06
QC NG]]</f>
        <v>0</v>
      </c>
      <c r="M56" s="123">
        <f>SUMIFS(record[OK],record[製程料號],_018_550[[#This Row],[製令單號]],record[ProcessSN],M$1)</f>
        <v>159</v>
      </c>
      <c r="N56" s="117">
        <f>SUMIFS(record[NG],record[製程料號],_018_550[[#This Row],[製令單號]],record[ProcessSN],N$1)</f>
        <v>0</v>
      </c>
      <c r="O56" s="123">
        <f>_018_550[[#This Row],['#06檢驗OK]]-_018_550[[#This Row],[不良品]]-_018_550[[#This Row],[良品]]</f>
        <v>0</v>
      </c>
      <c r="P56" s="123">
        <f>SUMIFS(record[OK],record[製程料號],_018_550[[#This Row],[製令單號]],record[ProcessSN],P$1)</f>
        <v>156</v>
      </c>
      <c r="Q56" s="117">
        <f>SUMIFS(record[NG],record[製程料號],_018_550[[#This Row],[製令單號]],record[ProcessSN],Q$1)</f>
        <v>3</v>
      </c>
      <c r="R56" s="123">
        <f>_018_550[[#This Row],[良品]]-_018_550[[#This Row],[良品放行]]-_018_550[[#This Row],[不良待處理]]</f>
        <v>0</v>
      </c>
      <c r="S56" s="123">
        <f>SUMIFS(record[OK],record[製程料號],_018_550[[#This Row],[製令單號]],record[ProcessSN],S$1)</f>
        <v>156</v>
      </c>
      <c r="T56" s="117">
        <f>SUMIFS(record[NG],record[製程料號],_018_550[[#This Row],[製令單號]],record[ProcessSN],T$1)</f>
        <v>0</v>
      </c>
      <c r="U56" s="123">
        <f>_018_550[[#This Row],[良品放行]]-_018_550[[#This Row],[入庫]]</f>
        <v>0</v>
      </c>
      <c r="V56" s="123">
        <f>SUMIFS(record[OK],record[製程料號],_018_550[[#This Row],[製令單號]],record[ProcessSN],V$1)</f>
        <v>156</v>
      </c>
      <c r="W56" s="123">
        <f>_018_550[[#This Row],[入庫]]-_018_550[[#This Row],[已出貨]]</f>
        <v>0</v>
      </c>
      <c r="X56" s="137"/>
      <c r="Y56" s="123">
        <f>SUMIFS(record[OK],record[製程料號],_018_550[[#This Row],[製令單號]],record[ProcessSN],Y$1)</f>
        <v>156</v>
      </c>
      <c r="Z56" s="125">
        <f>_018_550[[#This Row],[不良待處理]]+_018_550[[#This Row],[不良品]]+_018_550[[#This Row],['#06
QC NG]]+_018_550[[#This Row],['#08委外NG]]</f>
        <v>3</v>
      </c>
      <c r="AA5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0.98113207547169812</v>
      </c>
    </row>
    <row r="57" spans="1:27" ht="30.75" x14ac:dyDescent="0.25">
      <c r="A57" s="120">
        <v>45838</v>
      </c>
      <c r="B57" s="121" t="s">
        <v>874</v>
      </c>
      <c r="C57" s="122" t="s">
        <v>500</v>
      </c>
      <c r="D57" s="118">
        <v>167</v>
      </c>
      <c r="E57" s="123">
        <f>_018_550[[#This Row],[入料數]]-_018_550[[#This Row],['#08已委外數量]]</f>
        <v>0</v>
      </c>
      <c r="F57" s="123">
        <f>SUMIFS(record[OK],record[製程料號],_018_550[[#This Row],[製令單號]],record[ProcessSN],F$1)</f>
        <v>167</v>
      </c>
      <c r="G57" s="118" t="str">
        <f>IF(_018_550[[#This Row],['#08已委外數量]]&gt;0,VLOOKUP(G$1,record[[ProcessSN]:[廠商]],12,FALSE),"尚未委外")</f>
        <v>泉盛</v>
      </c>
      <c r="H57" s="123">
        <f>_018_550[[#This Row],['#08已委外數量]]-_018_550[[#This Row],['#08回
良品]]-_018_550[[#This Row],['#08委外NG]]</f>
        <v>0</v>
      </c>
      <c r="I57" s="123">
        <f>SUMIFS(record[OK],record[製程料號],_018_550[[#This Row],[製令單號]],record[ProcessSN],I$1)</f>
        <v>167</v>
      </c>
      <c r="J57" s="117">
        <f>SUMIFS(record[NG],record[製程料號],_018_550[[#This Row],[製令單號]],record[ProcessSN],J$1)</f>
        <v>0</v>
      </c>
      <c r="K57" s="124">
        <f>IFERROR(_018_550[[#This Row],['#08委外NG]]/_018_550[[#This Row],['#08已委外數量]],"")</f>
        <v>0</v>
      </c>
      <c r="L57" s="123">
        <f>_018_550[[#This Row],['#08回
良品]]-_018_550[[#This Row],['#06檢驗OK]]-_018_550[[#This Row],['#06
QC NG]]</f>
        <v>0</v>
      </c>
      <c r="M57" s="123">
        <f>SUMIFS(record[OK],record[製程料號],_018_550[[#This Row],[製令單號]],record[ProcessSN],M$1)</f>
        <v>167</v>
      </c>
      <c r="N57" s="117">
        <f>SUMIFS(record[NG],record[製程料號],_018_550[[#This Row],[製令單號]],record[ProcessSN],N$1)</f>
        <v>0</v>
      </c>
      <c r="O57" s="123">
        <f>_018_550[[#This Row],['#06檢驗OK]]-_018_550[[#This Row],[不良品]]-_018_550[[#This Row],[良品]]</f>
        <v>0</v>
      </c>
      <c r="P57" s="123">
        <f>SUMIFS(record[OK],record[製程料號],_018_550[[#This Row],[製令單號]],record[ProcessSN],P$1)</f>
        <v>159</v>
      </c>
      <c r="Q57" s="117">
        <f>SUMIFS(record[NG],record[製程料號],_018_550[[#This Row],[製令單號]],record[ProcessSN],Q$1)</f>
        <v>8</v>
      </c>
      <c r="R57" s="123">
        <f>_018_550[[#This Row],[良品]]-_018_550[[#This Row],[良品放行]]-_018_550[[#This Row],[不良待處理]]</f>
        <v>0</v>
      </c>
      <c r="S57" s="123">
        <f>SUMIFS(record[OK],record[製程料號],_018_550[[#This Row],[製令單號]],record[ProcessSN],S$1)</f>
        <v>159</v>
      </c>
      <c r="T57" s="117">
        <f>SUMIFS(record[NG],record[製程料號],_018_550[[#This Row],[製令單號]],record[ProcessSN],T$1)</f>
        <v>0</v>
      </c>
      <c r="U57" s="123">
        <f>_018_550[[#This Row],[良品放行]]-_018_550[[#This Row],[入庫]]</f>
        <v>0</v>
      </c>
      <c r="V57" s="123">
        <f>SUMIFS(record[OK],record[製程料號],_018_550[[#This Row],[製令單號]],record[ProcessSN],V$1)</f>
        <v>159</v>
      </c>
      <c r="W57" s="123">
        <f>_018_550[[#This Row],[入庫]]-_018_550[[#This Row],[已出貨]]</f>
        <v>0</v>
      </c>
      <c r="X57" s="137"/>
      <c r="Y57" s="123">
        <f>SUMIFS(record[OK],record[製程料號],_018_550[[#This Row],[製令單號]],record[ProcessSN],Y$1)</f>
        <v>159</v>
      </c>
      <c r="Z57" s="125">
        <f>_018_550[[#This Row],[不良待處理]]+_018_550[[#This Row],[不良品]]+_018_550[[#This Row],['#06
QC NG]]+_018_550[[#This Row],['#08委外NG]]</f>
        <v>8</v>
      </c>
      <c r="AA5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0.95209580838323349</v>
      </c>
    </row>
    <row r="58" spans="1:27" ht="30.75" x14ac:dyDescent="0.25">
      <c r="A58" s="120">
        <v>45839</v>
      </c>
      <c r="B58" s="121" t="s">
        <v>879</v>
      </c>
      <c r="C58" s="122" t="s">
        <v>500</v>
      </c>
      <c r="D58" s="118">
        <v>165</v>
      </c>
      <c r="E58" s="123">
        <f>_018_550[[#This Row],[入料數]]-_018_550[[#This Row],['#08已委外數量]]</f>
        <v>0</v>
      </c>
      <c r="F58" s="123">
        <f>SUMIFS(record[OK],record[製程料號],_018_550[[#This Row],[製令單號]],record[ProcessSN],F$1)</f>
        <v>165</v>
      </c>
      <c r="G58" s="118" t="str">
        <f>IF(_018_550[[#This Row],['#08已委外數量]]&gt;0,VLOOKUP(G$1,record[[ProcessSN]:[廠商]],12,FALSE),"尚未委外")</f>
        <v>泉盛</v>
      </c>
      <c r="H58" s="123">
        <f>_018_550[[#This Row],['#08已委外數量]]-_018_550[[#This Row],['#08回
良品]]-_018_550[[#This Row],['#08委外NG]]</f>
        <v>0</v>
      </c>
      <c r="I58" s="123">
        <f>SUMIFS(record[OK],record[製程料號],_018_550[[#This Row],[製令單號]],record[ProcessSN],I$1)</f>
        <v>165</v>
      </c>
      <c r="J58" s="117">
        <f>SUMIFS(record[NG],record[製程料號],_018_550[[#This Row],[製令單號]],record[ProcessSN],J$1)</f>
        <v>0</v>
      </c>
      <c r="K58" s="124">
        <f>IFERROR(_018_550[[#This Row],['#08委外NG]]/_018_550[[#This Row],['#08已委外數量]],"")</f>
        <v>0</v>
      </c>
      <c r="L58" s="123">
        <f>_018_550[[#This Row],['#08回
良品]]-_018_550[[#This Row],['#06檢驗OK]]-_018_550[[#This Row],['#06
QC NG]]</f>
        <v>0</v>
      </c>
      <c r="M58" s="123">
        <f>SUMIFS(record[OK],record[製程料號],_018_550[[#This Row],[製令單號]],record[ProcessSN],M$1)</f>
        <v>165</v>
      </c>
      <c r="N58" s="117">
        <f>SUMIFS(record[NG],record[製程料號],_018_550[[#This Row],[製令單號]],record[ProcessSN],N$1)</f>
        <v>0</v>
      </c>
      <c r="O58" s="123">
        <f>_018_550[[#This Row],['#06檢驗OK]]-_018_550[[#This Row],[不良品]]-_018_550[[#This Row],[良品]]</f>
        <v>0</v>
      </c>
      <c r="P58" s="123">
        <f>SUMIFS(record[OK],record[製程料號],_018_550[[#This Row],[製令單號]],record[ProcessSN],P$1)</f>
        <v>165</v>
      </c>
      <c r="Q58" s="117">
        <f>SUMIFS(record[NG],record[製程料號],_018_550[[#This Row],[製令單號]],record[ProcessSN],Q$1)</f>
        <v>0</v>
      </c>
      <c r="R58" s="123">
        <f>_018_550[[#This Row],[良品]]-_018_550[[#This Row],[良品放行]]-_018_550[[#This Row],[不良待處理]]</f>
        <v>0</v>
      </c>
      <c r="S58" s="123">
        <f>SUMIFS(record[OK],record[製程料號],_018_550[[#This Row],[製令單號]],record[ProcessSN],S$1)</f>
        <v>165</v>
      </c>
      <c r="T58" s="117">
        <f>SUMIFS(record[NG],record[製程料號],_018_550[[#This Row],[製令單號]],record[ProcessSN],T$1)</f>
        <v>0</v>
      </c>
      <c r="U58" s="123">
        <f>_018_550[[#This Row],[良品放行]]-_018_550[[#This Row],[入庫]]</f>
        <v>0</v>
      </c>
      <c r="V58" s="123">
        <f>SUMIFS(record[OK],record[製程料號],_018_550[[#This Row],[製令單號]],record[ProcessSN],V$1)</f>
        <v>165</v>
      </c>
      <c r="W58" s="123">
        <f>_018_550[[#This Row],[入庫]]-_018_550[[#This Row],[已出貨]]</f>
        <v>0</v>
      </c>
      <c r="X58" s="137"/>
      <c r="Y58" s="123">
        <f>SUMIFS(record[OK],record[製程料號],_018_550[[#This Row],[製令單號]],record[ProcessSN],Y$1)</f>
        <v>165</v>
      </c>
      <c r="Z58" s="125">
        <f>_018_550[[#This Row],[不良待處理]]+_018_550[[#This Row],[不良品]]+_018_550[[#This Row],['#06
QC NG]]+_018_550[[#This Row],['#08委外NG]]</f>
        <v>0</v>
      </c>
      <c r="AA5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59" spans="1:27" ht="30.75" x14ac:dyDescent="0.25">
      <c r="A59" s="120">
        <v>45840</v>
      </c>
      <c r="B59" s="121" t="s">
        <v>881</v>
      </c>
      <c r="C59" s="122" t="s">
        <v>500</v>
      </c>
      <c r="D59" s="118">
        <v>377</v>
      </c>
      <c r="E59" s="123">
        <f>_018_550[[#This Row],[入料數]]-_018_550[[#This Row],['#08已委外數量]]</f>
        <v>0</v>
      </c>
      <c r="F59" s="123">
        <f>SUMIFS(record[OK],record[製程料號],_018_550[[#This Row],[製令單號]],record[ProcessSN],F$1)</f>
        <v>377</v>
      </c>
      <c r="G59" s="118" t="str">
        <f>IF(_018_550[[#This Row],['#08已委外數量]]&gt;0,VLOOKUP(G$1,record[[ProcessSN]:[廠商]],12,FALSE),"尚未委外")</f>
        <v>泉盛</v>
      </c>
      <c r="H59" s="123">
        <f>_018_550[[#This Row],['#08已委外數量]]-_018_550[[#This Row],['#08回
良品]]-_018_550[[#This Row],['#08委外NG]]</f>
        <v>0</v>
      </c>
      <c r="I59" s="123">
        <f>SUMIFS(record[OK],record[製程料號],_018_550[[#This Row],[製令單號]],record[ProcessSN],I$1)</f>
        <v>375</v>
      </c>
      <c r="J59" s="117">
        <f>SUMIFS(record[NG],record[製程料號],_018_550[[#This Row],[製令單號]],record[ProcessSN],J$1)</f>
        <v>2</v>
      </c>
      <c r="K59" s="124">
        <f>IFERROR(_018_550[[#This Row],['#08委外NG]]/_018_550[[#This Row],['#08已委外數量]],"")</f>
        <v>5.3050397877984082E-3</v>
      </c>
      <c r="L59" s="123">
        <f>_018_550[[#This Row],['#08回
良品]]-_018_550[[#This Row],['#06檢驗OK]]-_018_550[[#This Row],['#06
QC NG]]</f>
        <v>0</v>
      </c>
      <c r="M59" s="123">
        <f>SUMIFS(record[OK],record[製程料號],_018_550[[#This Row],[製令單號]],record[ProcessSN],M$1)</f>
        <v>375</v>
      </c>
      <c r="N59" s="117">
        <f>SUMIFS(record[NG],record[製程料號],_018_550[[#This Row],[製令單號]],record[ProcessSN],N$1)</f>
        <v>0</v>
      </c>
      <c r="O59" s="123">
        <f>_018_550[[#This Row],['#06檢驗OK]]-_018_550[[#This Row],[不良品]]-_018_550[[#This Row],[良品]]</f>
        <v>0</v>
      </c>
      <c r="P59" s="123">
        <f>SUMIFS(record[OK],record[製程料號],_018_550[[#This Row],[製令單號]],record[ProcessSN],P$1)</f>
        <v>365</v>
      </c>
      <c r="Q59" s="117">
        <f>SUMIFS(record[NG],record[製程料號],_018_550[[#This Row],[製令單號]],record[ProcessSN],Q$1)</f>
        <v>10</v>
      </c>
      <c r="R59" s="123">
        <f>_018_550[[#This Row],[良品]]-_018_550[[#This Row],[良品放行]]-_018_550[[#This Row],[不良待處理]]</f>
        <v>0</v>
      </c>
      <c r="S59" s="123">
        <f>SUMIFS(record[OK],record[製程料號],_018_550[[#This Row],[製令單號]],record[ProcessSN],S$1)</f>
        <v>365</v>
      </c>
      <c r="T59" s="117">
        <f>SUMIFS(record[NG],record[製程料號],_018_550[[#This Row],[製令單號]],record[ProcessSN],T$1)</f>
        <v>0</v>
      </c>
      <c r="U59" s="123">
        <f>_018_550[[#This Row],[良品放行]]-_018_550[[#This Row],[入庫]]</f>
        <v>0</v>
      </c>
      <c r="V59" s="123">
        <f>SUMIFS(record[OK],record[製程料號],_018_550[[#This Row],[製令單號]],record[ProcessSN],V$1)</f>
        <v>365</v>
      </c>
      <c r="W59" s="123">
        <f>_018_550[[#This Row],[入庫]]-_018_550[[#This Row],[已出貨]]</f>
        <v>0</v>
      </c>
      <c r="X59" s="137"/>
      <c r="Y59" s="123">
        <f>SUMIFS(record[OK],record[製程料號],_018_550[[#This Row],[製令單號]],record[ProcessSN],Y$1)</f>
        <v>365</v>
      </c>
      <c r="Z59" s="125">
        <f>_018_550[[#This Row],[不良待處理]]+_018_550[[#This Row],[不良品]]+_018_550[[#This Row],['#06
QC NG]]+_018_550[[#This Row],['#08委外NG]]</f>
        <v>12</v>
      </c>
      <c r="AA5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0.96816976127320953</v>
      </c>
    </row>
    <row r="60" spans="1:27" ht="30.75" x14ac:dyDescent="0.25">
      <c r="A60" s="120">
        <v>45852</v>
      </c>
      <c r="B60" s="121" t="s">
        <v>895</v>
      </c>
      <c r="C60" s="122" t="s">
        <v>500</v>
      </c>
      <c r="D60" s="118">
        <v>364</v>
      </c>
      <c r="E60" s="123">
        <f>_018_550[[#This Row],[入料數]]-_018_550[[#This Row],['#08已委外數量]]</f>
        <v>0</v>
      </c>
      <c r="F60" s="123">
        <f>SUMIFS(record[OK],record[製程料號],_018_550[[#This Row],[製令單號]],record[ProcessSN],F$1)</f>
        <v>364</v>
      </c>
      <c r="G60" s="118" t="str">
        <f>IF(_018_550[[#This Row],['#08已委外數量]]&gt;0,VLOOKUP(G$1,record[[ProcessSN]:[廠商]],12,FALSE),"尚未委外")</f>
        <v>泉盛</v>
      </c>
      <c r="H60" s="123">
        <f>_018_550[[#This Row],['#08已委外數量]]-_018_550[[#This Row],['#08回
良品]]-_018_550[[#This Row],['#08委外NG]]</f>
        <v>0</v>
      </c>
      <c r="I60" s="123">
        <f>SUMIFS(record[OK],record[製程料號],_018_550[[#This Row],[製令單號]],record[ProcessSN],I$1)</f>
        <v>364</v>
      </c>
      <c r="J60" s="117">
        <f>SUMIFS(record[NG],record[製程料號],_018_550[[#This Row],[製令單號]],record[ProcessSN],J$1)</f>
        <v>0</v>
      </c>
      <c r="K60" s="124">
        <f>IFERROR(_018_550[[#This Row],['#08委外NG]]/_018_550[[#This Row],['#08已委外數量]],"")</f>
        <v>0</v>
      </c>
      <c r="L60" s="123">
        <f>_018_550[[#This Row],['#08回
良品]]-_018_550[[#This Row],['#06檢驗OK]]-_018_550[[#This Row],['#06
QC NG]]</f>
        <v>0</v>
      </c>
      <c r="M60" s="123">
        <f>SUMIFS(record[OK],record[製程料號],_018_550[[#This Row],[製令單號]],record[ProcessSN],M$1)</f>
        <v>364</v>
      </c>
      <c r="N60" s="117">
        <f>SUMIFS(record[NG],record[製程料號],_018_550[[#This Row],[製令單號]],record[ProcessSN],N$1)</f>
        <v>0</v>
      </c>
      <c r="O60" s="123">
        <f>_018_550[[#This Row],['#06檢驗OK]]-_018_550[[#This Row],[不良品]]-_018_550[[#This Row],[良品]]</f>
        <v>0</v>
      </c>
      <c r="P60" s="123">
        <f>SUMIFS(record[OK],record[製程料號],_018_550[[#This Row],[製令單號]],record[ProcessSN],P$1)</f>
        <v>344</v>
      </c>
      <c r="Q60" s="117">
        <f>SUMIFS(record[NG],record[製程料號],_018_550[[#This Row],[製令單號]],record[ProcessSN],Q$1)</f>
        <v>20</v>
      </c>
      <c r="R60" s="123">
        <f>_018_550[[#This Row],[良品]]-_018_550[[#This Row],[良品放行]]-_018_550[[#This Row],[不良待處理]]</f>
        <v>0</v>
      </c>
      <c r="S60" s="123">
        <f>SUMIFS(record[OK],record[製程料號],_018_550[[#This Row],[製令單號]],record[ProcessSN],S$1)</f>
        <v>344</v>
      </c>
      <c r="T60" s="117">
        <f>SUMIFS(record[NG],record[製程料號],_018_550[[#This Row],[製令單號]],record[ProcessSN],T$1)</f>
        <v>0</v>
      </c>
      <c r="U60" s="123">
        <f>_018_550[[#This Row],[良品放行]]-_018_550[[#This Row],[入庫]]</f>
        <v>0</v>
      </c>
      <c r="V60" s="123">
        <f>SUMIFS(record[OK],record[製程料號],_018_550[[#This Row],[製令單號]],record[ProcessSN],V$1)</f>
        <v>344</v>
      </c>
      <c r="W60" s="123">
        <f>_018_550[[#This Row],[入庫]]-_018_550[[#This Row],[已出貨]]</f>
        <v>0</v>
      </c>
      <c r="X60" s="137"/>
      <c r="Y60" s="123">
        <f>SUMIFS(record[OK],record[製程料號],_018_550[[#This Row],[製令單號]],record[ProcessSN],Y$1)</f>
        <v>344</v>
      </c>
      <c r="Z60" s="125">
        <f>_018_550[[#This Row],[不良待處理]]+_018_550[[#This Row],[不良品]]+_018_550[[#This Row],['#06
QC NG]]+_018_550[[#This Row],['#08委外NG]]</f>
        <v>20</v>
      </c>
      <c r="AA6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0.94505494505494503</v>
      </c>
    </row>
    <row r="61" spans="1:27" ht="30.75" x14ac:dyDescent="0.25">
      <c r="A61" s="120">
        <v>45855</v>
      </c>
      <c r="B61" s="121" t="s">
        <v>907</v>
      </c>
      <c r="C61" s="122" t="s">
        <v>500</v>
      </c>
      <c r="D61" s="118">
        <v>180</v>
      </c>
      <c r="E61" s="123">
        <f>_018_550[[#This Row],[入料數]]-_018_550[[#This Row],['#08已委外數量]]</f>
        <v>0</v>
      </c>
      <c r="F61" s="123">
        <f>SUMIFS(record[OK],record[製程料號],_018_550[[#This Row],[製令單號]],record[ProcessSN],F$1)</f>
        <v>180</v>
      </c>
      <c r="G61" s="118" t="str">
        <f>IF(_018_550[[#This Row],['#08已委外數量]]&gt;0,VLOOKUP(G$1,record[[ProcessSN]:[廠商]],12,FALSE),"尚未委外")</f>
        <v>泉盛</v>
      </c>
      <c r="H61" s="123">
        <f>_018_550[[#This Row],['#08已委外數量]]-_018_550[[#This Row],['#08回
良品]]-_018_550[[#This Row],['#08委外NG]]</f>
        <v>0</v>
      </c>
      <c r="I61" s="123">
        <f>SUMIFS(record[OK],record[製程料號],_018_550[[#This Row],[製令單號]],record[ProcessSN],I$1)</f>
        <v>179</v>
      </c>
      <c r="J61" s="117">
        <f>SUMIFS(record[NG],record[製程料號],_018_550[[#This Row],[製令單號]],record[ProcessSN],J$1)</f>
        <v>1</v>
      </c>
      <c r="K61" s="124">
        <f>IFERROR(_018_550[[#This Row],['#08委外NG]]/_018_550[[#This Row],['#08已委外數量]],"")</f>
        <v>5.5555555555555558E-3</v>
      </c>
      <c r="L61" s="123">
        <f>_018_550[[#This Row],['#08回
良品]]-_018_550[[#This Row],['#06檢驗OK]]-_018_550[[#This Row],['#06
QC NG]]</f>
        <v>0</v>
      </c>
      <c r="M61" s="123">
        <f>SUMIFS(record[OK],record[製程料號],_018_550[[#This Row],[製令單號]],record[ProcessSN],M$1)</f>
        <v>179</v>
      </c>
      <c r="N61" s="117">
        <f>SUMIFS(record[NG],record[製程料號],_018_550[[#This Row],[製令單號]],record[ProcessSN],N$1)</f>
        <v>0</v>
      </c>
      <c r="O61" s="123">
        <f>_018_550[[#This Row],['#06檢驗OK]]-_018_550[[#This Row],[不良品]]-_018_550[[#This Row],[良品]]</f>
        <v>0</v>
      </c>
      <c r="P61" s="123">
        <f>SUMIFS(record[OK],record[製程料號],_018_550[[#This Row],[製令單號]],record[ProcessSN],P$1)</f>
        <v>177</v>
      </c>
      <c r="Q61" s="117">
        <f>SUMIFS(record[NG],record[製程料號],_018_550[[#This Row],[製令單號]],record[ProcessSN],Q$1)</f>
        <v>2</v>
      </c>
      <c r="R61" s="123">
        <f>_018_550[[#This Row],[良品]]-_018_550[[#This Row],[良品放行]]-_018_550[[#This Row],[不良待處理]]</f>
        <v>0</v>
      </c>
      <c r="S61" s="123">
        <f>SUMIFS(record[OK],record[製程料號],_018_550[[#This Row],[製令單號]],record[ProcessSN],S$1)</f>
        <v>177</v>
      </c>
      <c r="T61" s="117">
        <f>SUMIFS(record[NG],record[製程料號],_018_550[[#This Row],[製令單號]],record[ProcessSN],T$1)</f>
        <v>0</v>
      </c>
      <c r="U61" s="123">
        <f>_018_550[[#This Row],[良品放行]]-_018_550[[#This Row],[入庫]]</f>
        <v>0</v>
      </c>
      <c r="V61" s="123">
        <f>SUMIFS(record[OK],record[製程料號],_018_550[[#This Row],[製令單號]],record[ProcessSN],V$1)</f>
        <v>177</v>
      </c>
      <c r="W61" s="123">
        <f>_018_550[[#This Row],[入庫]]-_018_550[[#This Row],[已出貨]]</f>
        <v>0</v>
      </c>
      <c r="X61" s="137"/>
      <c r="Y61" s="123">
        <f>SUMIFS(record[OK],record[製程料號],_018_550[[#This Row],[製令單號]],record[ProcessSN],Y$1)</f>
        <v>177</v>
      </c>
      <c r="Z61" s="125">
        <f>_018_550[[#This Row],[不良待處理]]+_018_550[[#This Row],[不良品]]+_018_550[[#This Row],['#06
QC NG]]+_018_550[[#This Row],['#08委外NG]]</f>
        <v>3</v>
      </c>
      <c r="AA6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0.98333333333333328</v>
      </c>
    </row>
    <row r="62" spans="1:27" ht="30.75" x14ac:dyDescent="0.25">
      <c r="A62" s="120">
        <v>45860</v>
      </c>
      <c r="B62" s="121" t="s">
        <v>914</v>
      </c>
      <c r="C62" s="122" t="s">
        <v>500</v>
      </c>
      <c r="D62" s="118">
        <v>115</v>
      </c>
      <c r="E62" s="123">
        <f>_018_550[[#This Row],[入料數]]-_018_550[[#This Row],['#08已委外數量]]</f>
        <v>0</v>
      </c>
      <c r="F62" s="123">
        <f>SUMIFS(record[OK],record[製程料號],_018_550[[#This Row],[製令單號]],record[ProcessSN],F$1)</f>
        <v>115</v>
      </c>
      <c r="G62" s="118" t="str">
        <f>IF(_018_550[[#This Row],['#08已委外數量]]&gt;0,VLOOKUP(G$1,record[[ProcessSN]:[廠商]],12,FALSE),"尚未委外")</f>
        <v>泉盛</v>
      </c>
      <c r="H62" s="123">
        <f>_018_550[[#This Row],['#08已委外數量]]-_018_550[[#This Row],['#08回
良品]]-_018_550[[#This Row],['#08委外NG]]</f>
        <v>0</v>
      </c>
      <c r="I62" s="123">
        <f>SUMIFS(record[OK],record[製程料號],_018_550[[#This Row],[製令單號]],record[ProcessSN],I$1)</f>
        <v>115</v>
      </c>
      <c r="J62" s="117">
        <f>SUMIFS(record[NG],record[製程料號],_018_550[[#This Row],[製令單號]],record[ProcessSN],J$1)</f>
        <v>0</v>
      </c>
      <c r="K62" s="124">
        <f>IFERROR(_018_550[[#This Row],['#08委外NG]]/_018_550[[#This Row],['#08已委外數量]],"")</f>
        <v>0</v>
      </c>
      <c r="L62" s="123">
        <f>_018_550[[#This Row],['#08回
良品]]-_018_550[[#This Row],['#06檢驗OK]]-_018_550[[#This Row],['#06
QC NG]]</f>
        <v>0</v>
      </c>
      <c r="M62" s="123">
        <f>SUMIFS(record[OK],record[製程料號],_018_550[[#This Row],[製令單號]],record[ProcessSN],M$1)</f>
        <v>115</v>
      </c>
      <c r="N62" s="117">
        <f>SUMIFS(record[NG],record[製程料號],_018_550[[#This Row],[製令單號]],record[ProcessSN],N$1)</f>
        <v>0</v>
      </c>
      <c r="O62" s="123">
        <f>_018_550[[#This Row],['#06檢驗OK]]-_018_550[[#This Row],[不良品]]-_018_550[[#This Row],[良品]]</f>
        <v>0</v>
      </c>
      <c r="P62" s="123">
        <f>SUMIFS(record[OK],record[製程料號],_018_550[[#This Row],[製令單號]],record[ProcessSN],P$1)</f>
        <v>115</v>
      </c>
      <c r="Q62" s="117">
        <f>SUMIFS(record[NG],record[製程料號],_018_550[[#This Row],[製令單號]],record[ProcessSN],Q$1)</f>
        <v>0</v>
      </c>
      <c r="R62" s="123">
        <f>_018_550[[#This Row],[良品]]-_018_550[[#This Row],[良品放行]]-_018_550[[#This Row],[不良待處理]]</f>
        <v>0</v>
      </c>
      <c r="S62" s="123">
        <f>SUMIFS(record[OK],record[製程料號],_018_550[[#This Row],[製令單號]],record[ProcessSN],S$1)</f>
        <v>115</v>
      </c>
      <c r="T62" s="117">
        <f>SUMIFS(record[NG],record[製程料號],_018_550[[#This Row],[製令單號]],record[ProcessSN],T$1)</f>
        <v>0</v>
      </c>
      <c r="U62" s="123">
        <f>_018_550[[#This Row],[良品放行]]-_018_550[[#This Row],[入庫]]</f>
        <v>0</v>
      </c>
      <c r="V62" s="123">
        <f>SUMIFS(record[OK],record[製程料號],_018_550[[#This Row],[製令單號]],record[ProcessSN],V$1)</f>
        <v>115</v>
      </c>
      <c r="W62" s="123">
        <f>_018_550[[#This Row],[入庫]]-_018_550[[#This Row],[已出貨]]</f>
        <v>0</v>
      </c>
      <c r="X62" s="137"/>
      <c r="Y62" s="123">
        <f>SUMIFS(record[OK],record[製程料號],_018_550[[#This Row],[製令單號]],record[ProcessSN],Y$1)</f>
        <v>115</v>
      </c>
      <c r="Z62" s="125">
        <f>_018_550[[#This Row],[不良待處理]]+_018_550[[#This Row],[不良品]]+_018_550[[#This Row],['#06
QC NG]]+_018_550[[#This Row],['#08委外NG]]</f>
        <v>0</v>
      </c>
      <c r="AA6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63" spans="1:27" ht="30.75" x14ac:dyDescent="0.25">
      <c r="A63" s="120">
        <v>45861</v>
      </c>
      <c r="B63" s="121" t="s">
        <v>917</v>
      </c>
      <c r="C63" s="122" t="s">
        <v>500</v>
      </c>
      <c r="D63" s="118">
        <v>346</v>
      </c>
      <c r="E63" s="123">
        <f>_018_550[[#This Row],[入料數]]-_018_550[[#This Row],['#08已委外數量]]</f>
        <v>0</v>
      </c>
      <c r="F63" s="123">
        <f>SUMIFS(record[OK],record[製程料號],_018_550[[#This Row],[製令單號]],record[ProcessSN],F$1)</f>
        <v>346</v>
      </c>
      <c r="G63" s="118" t="str">
        <f>IF(_018_550[[#This Row],['#08已委外數量]]&gt;0,VLOOKUP(G$1,record[[ProcessSN]:[廠商]],12,FALSE),"尚未委外")</f>
        <v>泉盛</v>
      </c>
      <c r="H63" s="123">
        <f>_018_550[[#This Row],['#08已委外數量]]-_018_550[[#This Row],['#08回
良品]]-_018_550[[#This Row],['#08委外NG]]</f>
        <v>0</v>
      </c>
      <c r="I63" s="123">
        <f>SUMIFS(record[OK],record[製程料號],_018_550[[#This Row],[製令單號]],record[ProcessSN],I$1)</f>
        <v>346</v>
      </c>
      <c r="J63" s="117">
        <f>SUMIFS(record[NG],record[製程料號],_018_550[[#This Row],[製令單號]],record[ProcessSN],J$1)</f>
        <v>0</v>
      </c>
      <c r="K63" s="124">
        <f>IFERROR(_018_550[[#This Row],['#08委外NG]]/_018_550[[#This Row],['#08已委外數量]],"")</f>
        <v>0</v>
      </c>
      <c r="L63" s="123">
        <f>_018_550[[#This Row],['#08回
良品]]-_018_550[[#This Row],['#06檢驗OK]]-_018_550[[#This Row],['#06
QC NG]]</f>
        <v>0</v>
      </c>
      <c r="M63" s="123">
        <f>SUMIFS(record[OK],record[製程料號],_018_550[[#This Row],[製令單號]],record[ProcessSN],M$1)</f>
        <v>346</v>
      </c>
      <c r="N63" s="117">
        <f>SUMIFS(record[NG],record[製程料號],_018_550[[#This Row],[製令單號]],record[ProcessSN],N$1)</f>
        <v>0</v>
      </c>
      <c r="O63" s="123">
        <f>_018_550[[#This Row],['#06檢驗OK]]-_018_550[[#This Row],[不良品]]-_018_550[[#This Row],[良品]]</f>
        <v>0</v>
      </c>
      <c r="P63" s="123">
        <f>SUMIFS(record[OK],record[製程料號],_018_550[[#This Row],[製令單號]],record[ProcessSN],P$1)</f>
        <v>334</v>
      </c>
      <c r="Q63" s="117">
        <f>SUMIFS(record[NG],record[製程料號],_018_550[[#This Row],[製令單號]],record[ProcessSN],Q$1)</f>
        <v>12</v>
      </c>
      <c r="R63" s="123">
        <f>_018_550[[#This Row],[良品]]-_018_550[[#This Row],[良品放行]]-_018_550[[#This Row],[不良待處理]]</f>
        <v>0</v>
      </c>
      <c r="S63" s="123">
        <f>SUMIFS(record[OK],record[製程料號],_018_550[[#This Row],[製令單號]],record[ProcessSN],S$1)</f>
        <v>334</v>
      </c>
      <c r="T63" s="117">
        <f>SUMIFS(record[NG],record[製程料號],_018_550[[#This Row],[製令單號]],record[ProcessSN],T$1)</f>
        <v>0</v>
      </c>
      <c r="U63" s="123">
        <f>_018_550[[#This Row],[良品放行]]-_018_550[[#This Row],[入庫]]</f>
        <v>0</v>
      </c>
      <c r="V63" s="123">
        <f>SUMIFS(record[OK],record[製程料號],_018_550[[#This Row],[製令單號]],record[ProcessSN],V$1)</f>
        <v>334</v>
      </c>
      <c r="W63" s="123">
        <f>_018_550[[#This Row],[入庫]]-_018_550[[#This Row],[已出貨]]</f>
        <v>0</v>
      </c>
      <c r="X63" s="137"/>
      <c r="Y63" s="123">
        <f>SUMIFS(record[OK],record[製程料號],_018_550[[#This Row],[製令單號]],record[ProcessSN],Y$1)</f>
        <v>334</v>
      </c>
      <c r="Z63" s="125">
        <f>_018_550[[#This Row],[不良待處理]]+_018_550[[#This Row],[不良品]]+_018_550[[#This Row],['#06
QC NG]]+_018_550[[#This Row],['#08委外NG]]</f>
        <v>12</v>
      </c>
      <c r="AA6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0.96531791907514453</v>
      </c>
    </row>
    <row r="64" spans="1:27" ht="30.75" x14ac:dyDescent="0.25">
      <c r="A64" s="120">
        <v>45862</v>
      </c>
      <c r="B64" s="121" t="s">
        <v>920</v>
      </c>
      <c r="C64" s="122" t="s">
        <v>500</v>
      </c>
      <c r="D64" s="118">
        <v>323</v>
      </c>
      <c r="E64" s="123">
        <f>_018_550[[#This Row],[入料數]]-_018_550[[#This Row],['#08已委外數量]]</f>
        <v>0</v>
      </c>
      <c r="F64" s="123">
        <f>SUMIFS(record[OK],record[製程料號],_018_550[[#This Row],[製令單號]],record[ProcessSN],F$1)</f>
        <v>323</v>
      </c>
      <c r="G64" s="118" t="str">
        <f>IF(_018_550[[#This Row],['#08已委外數量]]&gt;0,VLOOKUP(G$1,record[[ProcessSN]:[廠商]],12,FALSE),"尚未委外")</f>
        <v>泉盛</v>
      </c>
      <c r="H64" s="123">
        <f>_018_550[[#This Row],['#08已委外數量]]-_018_550[[#This Row],['#08回
良品]]-_018_550[[#This Row],['#08委外NG]]</f>
        <v>0</v>
      </c>
      <c r="I64" s="123">
        <f>SUMIFS(record[OK],record[製程料號],_018_550[[#This Row],[製令單號]],record[ProcessSN],I$1)</f>
        <v>323</v>
      </c>
      <c r="J64" s="117">
        <f>SUMIFS(record[NG],record[製程料號],_018_550[[#This Row],[製令單號]],record[ProcessSN],J$1)</f>
        <v>0</v>
      </c>
      <c r="K64" s="124">
        <f>IFERROR(_018_550[[#This Row],['#08委外NG]]/_018_550[[#This Row],['#08已委外數量]],"")</f>
        <v>0</v>
      </c>
      <c r="L64" s="123">
        <f>_018_550[[#This Row],['#08回
良品]]-_018_550[[#This Row],['#06檢驗OK]]-_018_550[[#This Row],['#06
QC NG]]</f>
        <v>0</v>
      </c>
      <c r="M64" s="123">
        <f>SUMIFS(record[OK],record[製程料號],_018_550[[#This Row],[製令單號]],record[ProcessSN],M$1)</f>
        <v>323</v>
      </c>
      <c r="N64" s="117">
        <f>SUMIFS(record[NG],record[製程料號],_018_550[[#This Row],[製令單號]],record[ProcessSN],N$1)</f>
        <v>0</v>
      </c>
      <c r="O64" s="123">
        <f>_018_550[[#This Row],['#06檢驗OK]]-_018_550[[#This Row],[不良品]]-_018_550[[#This Row],[良品]]</f>
        <v>0</v>
      </c>
      <c r="P64" s="123">
        <f>SUMIFS(record[OK],record[製程料號],_018_550[[#This Row],[製令單號]],record[ProcessSN],P$1)</f>
        <v>301</v>
      </c>
      <c r="Q64" s="117">
        <f>SUMIFS(record[NG],record[製程料號],_018_550[[#This Row],[製令單號]],record[ProcessSN],Q$1)</f>
        <v>22</v>
      </c>
      <c r="R64" s="123">
        <f>_018_550[[#This Row],[良品]]-_018_550[[#This Row],[良品放行]]-_018_550[[#This Row],[不良待處理]]</f>
        <v>0</v>
      </c>
      <c r="S64" s="123">
        <f>SUMIFS(record[OK],record[製程料號],_018_550[[#This Row],[製令單號]],record[ProcessSN],S$1)</f>
        <v>301</v>
      </c>
      <c r="T64" s="117">
        <f>SUMIFS(record[NG],record[製程料號],_018_550[[#This Row],[製令單號]],record[ProcessSN],T$1)</f>
        <v>0</v>
      </c>
      <c r="U64" s="123">
        <f>_018_550[[#This Row],[良品放行]]-_018_550[[#This Row],[入庫]]</f>
        <v>0</v>
      </c>
      <c r="V64" s="123">
        <f>SUMIFS(record[OK],record[製程料號],_018_550[[#This Row],[製令單號]],record[ProcessSN],V$1)</f>
        <v>301</v>
      </c>
      <c r="W64" s="123">
        <f>_018_550[[#This Row],[入庫]]-_018_550[[#This Row],[已出貨]]</f>
        <v>0</v>
      </c>
      <c r="X64" s="137"/>
      <c r="Y64" s="123">
        <f>SUMIFS(record[OK],record[製程料號],_018_550[[#This Row],[製令單號]],record[ProcessSN],Y$1)</f>
        <v>301</v>
      </c>
      <c r="Z64" s="125">
        <f>_018_550[[#This Row],[不良待處理]]+_018_550[[#This Row],[不良品]]+_018_550[[#This Row],['#06
QC NG]]+_018_550[[#This Row],['#08委外NG]]</f>
        <v>22</v>
      </c>
      <c r="AA6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0.93188854489164086</v>
      </c>
    </row>
    <row r="65" spans="1:27" ht="30.75" x14ac:dyDescent="0.25">
      <c r="A65" s="120">
        <v>45866</v>
      </c>
      <c r="B65" s="121" t="s">
        <v>924</v>
      </c>
      <c r="C65" s="122" t="s">
        <v>500</v>
      </c>
      <c r="D65" s="118">
        <v>166</v>
      </c>
      <c r="E65" s="123">
        <f>_018_550[[#This Row],[入料數]]-_018_550[[#This Row],['#08已委外數量]]</f>
        <v>0</v>
      </c>
      <c r="F65" s="123">
        <f>SUMIFS(record[OK],record[製程料號],_018_550[[#This Row],[製令單號]],record[ProcessSN],F$1)</f>
        <v>166</v>
      </c>
      <c r="G65" s="118" t="str">
        <f>IF(_018_550[[#This Row],['#08已委外數量]]&gt;0,VLOOKUP(G$1,record[[ProcessSN]:[廠商]],12,FALSE),"尚未委外")</f>
        <v>泉盛</v>
      </c>
      <c r="H65" s="123">
        <f>_018_550[[#This Row],['#08已委外數量]]-_018_550[[#This Row],['#08回
良品]]-_018_550[[#This Row],['#08委外NG]]</f>
        <v>0</v>
      </c>
      <c r="I65" s="123">
        <f>SUMIFS(record[OK],record[製程料號],_018_550[[#This Row],[製令單號]],record[ProcessSN],I$1)</f>
        <v>166</v>
      </c>
      <c r="J65" s="117">
        <f>SUMIFS(record[NG],record[製程料號],_018_550[[#This Row],[製令單號]],record[ProcessSN],J$1)</f>
        <v>0</v>
      </c>
      <c r="K65" s="124">
        <f>IFERROR(_018_550[[#This Row],['#08委外NG]]/_018_550[[#This Row],['#08已委外數量]],"")</f>
        <v>0</v>
      </c>
      <c r="L65" s="123">
        <f>_018_550[[#This Row],['#08回
良品]]-_018_550[[#This Row],['#06檢驗OK]]-_018_550[[#This Row],['#06
QC NG]]</f>
        <v>0</v>
      </c>
      <c r="M65" s="123">
        <f>SUMIFS(record[OK],record[製程料號],_018_550[[#This Row],[製令單號]],record[ProcessSN],M$1)</f>
        <v>166</v>
      </c>
      <c r="N65" s="117">
        <f>SUMIFS(record[NG],record[製程料號],_018_550[[#This Row],[製令單號]],record[ProcessSN],N$1)</f>
        <v>0</v>
      </c>
      <c r="O65" s="123">
        <f>_018_550[[#This Row],['#06檢驗OK]]-_018_550[[#This Row],[不良品]]-_018_550[[#This Row],[良品]]</f>
        <v>0</v>
      </c>
      <c r="P65" s="123">
        <f>SUMIFS(record[OK],record[製程料號],_018_550[[#This Row],[製令單號]],record[ProcessSN],P$1)</f>
        <v>155</v>
      </c>
      <c r="Q65" s="117">
        <f>SUMIFS(record[NG],record[製程料號],_018_550[[#This Row],[製令單號]],record[ProcessSN],Q$1)</f>
        <v>11</v>
      </c>
      <c r="R65" s="123">
        <f>_018_550[[#This Row],[良品]]-_018_550[[#This Row],[良品放行]]-_018_550[[#This Row],[不良待處理]]</f>
        <v>0</v>
      </c>
      <c r="S65" s="123">
        <f>SUMIFS(record[OK],record[製程料號],_018_550[[#This Row],[製令單號]],record[ProcessSN],S$1)</f>
        <v>155</v>
      </c>
      <c r="T65" s="117">
        <f>SUMIFS(record[NG],record[製程料號],_018_550[[#This Row],[製令單號]],record[ProcessSN],T$1)</f>
        <v>0</v>
      </c>
      <c r="U65" s="123">
        <f>_018_550[[#This Row],[良品放行]]-_018_550[[#This Row],[入庫]]</f>
        <v>0</v>
      </c>
      <c r="V65" s="123">
        <f>SUMIFS(record[OK],record[製程料號],_018_550[[#This Row],[製令單號]],record[ProcessSN],V$1)</f>
        <v>155</v>
      </c>
      <c r="W65" s="123">
        <f>_018_550[[#This Row],[入庫]]-_018_550[[#This Row],[已出貨]]</f>
        <v>0</v>
      </c>
      <c r="X65" s="137"/>
      <c r="Y65" s="123">
        <f>SUMIFS(record[OK],record[製程料號],_018_550[[#This Row],[製令單號]],record[ProcessSN],Y$1)</f>
        <v>155</v>
      </c>
      <c r="Z65" s="125">
        <f>_018_550[[#This Row],[不良待處理]]+_018_550[[#This Row],[不良品]]+_018_550[[#This Row],['#06
QC NG]]+_018_550[[#This Row],['#08委外NG]]</f>
        <v>11</v>
      </c>
      <c r="AA6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0.9337349397590361</v>
      </c>
    </row>
    <row r="66" spans="1:27" ht="30.75" x14ac:dyDescent="0.25">
      <c r="A66" s="120">
        <v>45867</v>
      </c>
      <c r="B66" s="121" t="s">
        <v>927</v>
      </c>
      <c r="C66" s="122" t="s">
        <v>500</v>
      </c>
      <c r="D66" s="118">
        <v>321</v>
      </c>
      <c r="E66" s="123">
        <f>_018_550[[#This Row],[入料數]]-_018_550[[#This Row],['#08已委外數量]]</f>
        <v>0</v>
      </c>
      <c r="F66" s="123">
        <f>SUMIFS(record[OK],record[製程料號],_018_550[[#This Row],[製令單號]],record[ProcessSN],F$1)</f>
        <v>321</v>
      </c>
      <c r="G66" s="118" t="str">
        <f>IF(_018_550[[#This Row],['#08已委外數量]]&gt;0,VLOOKUP(G$1,record[[ProcessSN]:[廠商]],12,FALSE),"尚未委外")</f>
        <v>泉盛</v>
      </c>
      <c r="H66" s="123">
        <f>_018_550[[#This Row],['#08已委外數量]]-_018_550[[#This Row],['#08回
良品]]-_018_550[[#This Row],['#08委外NG]]</f>
        <v>0</v>
      </c>
      <c r="I66" s="123">
        <f>SUMIFS(record[OK],record[製程料號],_018_550[[#This Row],[製令單號]],record[ProcessSN],I$1)</f>
        <v>321</v>
      </c>
      <c r="J66" s="117">
        <f>SUMIFS(record[NG],record[製程料號],_018_550[[#This Row],[製令單號]],record[ProcessSN],J$1)</f>
        <v>0</v>
      </c>
      <c r="K66" s="124">
        <f>IFERROR(_018_550[[#This Row],['#08委外NG]]/_018_550[[#This Row],['#08已委外數量]],"")</f>
        <v>0</v>
      </c>
      <c r="L66" s="123">
        <f>_018_550[[#This Row],['#08回
良品]]-_018_550[[#This Row],['#06檢驗OK]]-_018_550[[#This Row],['#06
QC NG]]</f>
        <v>0</v>
      </c>
      <c r="M66" s="123">
        <f>SUMIFS(record[OK],record[製程料號],_018_550[[#This Row],[製令單號]],record[ProcessSN],M$1)</f>
        <v>321</v>
      </c>
      <c r="N66" s="117">
        <f>SUMIFS(record[NG],record[製程料號],_018_550[[#This Row],[製令單號]],record[ProcessSN],N$1)</f>
        <v>0</v>
      </c>
      <c r="O66" s="123">
        <f>_018_550[[#This Row],['#06檢驗OK]]-_018_550[[#This Row],[不良品]]-_018_550[[#This Row],[良品]]</f>
        <v>0</v>
      </c>
      <c r="P66" s="123">
        <f>SUMIFS(record[OK],record[製程料號],_018_550[[#This Row],[製令單號]],record[ProcessSN],P$1)</f>
        <v>310</v>
      </c>
      <c r="Q66" s="117">
        <f>SUMIFS(record[NG],record[製程料號],_018_550[[#This Row],[製令單號]],record[ProcessSN],Q$1)</f>
        <v>11</v>
      </c>
      <c r="R66" s="123">
        <f>_018_550[[#This Row],[良品]]-_018_550[[#This Row],[良品放行]]-_018_550[[#This Row],[不良待處理]]</f>
        <v>0</v>
      </c>
      <c r="S66" s="123">
        <f>SUMIFS(record[OK],record[製程料號],_018_550[[#This Row],[製令單號]],record[ProcessSN],S$1)</f>
        <v>310</v>
      </c>
      <c r="T66" s="117">
        <f>SUMIFS(record[NG],record[製程料號],_018_550[[#This Row],[製令單號]],record[ProcessSN],T$1)</f>
        <v>0</v>
      </c>
      <c r="U66" s="123">
        <f>_018_550[[#This Row],[良品放行]]-_018_550[[#This Row],[入庫]]</f>
        <v>0</v>
      </c>
      <c r="V66" s="123">
        <f>SUMIFS(record[OK],record[製程料號],_018_550[[#This Row],[製令單號]],record[ProcessSN],V$1)</f>
        <v>310</v>
      </c>
      <c r="W66" s="123">
        <f>_018_550[[#This Row],[入庫]]-_018_550[[#This Row],[已出貨]]</f>
        <v>0</v>
      </c>
      <c r="X66" s="137"/>
      <c r="Y66" s="123">
        <f>SUMIFS(record[OK],record[製程料號],_018_550[[#This Row],[製令單號]],record[ProcessSN],Y$1)</f>
        <v>310</v>
      </c>
      <c r="Z66" s="125">
        <f>_018_550[[#This Row],[不良待處理]]+_018_550[[#This Row],[不良品]]+_018_550[[#This Row],['#06
QC NG]]+_018_550[[#This Row],['#08委外NG]]</f>
        <v>11</v>
      </c>
      <c r="AA6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0.96573208722741433</v>
      </c>
    </row>
    <row r="67" spans="1:27" ht="30.75" x14ac:dyDescent="0.25">
      <c r="A67" s="120">
        <v>45868</v>
      </c>
      <c r="B67" s="121" t="s">
        <v>930</v>
      </c>
      <c r="C67" s="122" t="s">
        <v>500</v>
      </c>
      <c r="D67" s="118">
        <v>162</v>
      </c>
      <c r="E67" s="123">
        <f>_018_550[[#This Row],[入料數]]-_018_550[[#This Row],['#08已委外數量]]</f>
        <v>0</v>
      </c>
      <c r="F67" s="123">
        <f>SUMIFS(record[OK],record[製程料號],_018_550[[#This Row],[製令單號]],record[ProcessSN],F$1)</f>
        <v>162</v>
      </c>
      <c r="G67" s="118" t="str">
        <f>IF(_018_550[[#This Row],['#08已委外數量]]&gt;0,VLOOKUP(G$1,record[[ProcessSN]:[廠商]],12,FALSE),"尚未委外")</f>
        <v>泉盛</v>
      </c>
      <c r="H67" s="123">
        <f>_018_550[[#This Row],['#08已委外數量]]-_018_550[[#This Row],['#08回
良品]]-_018_550[[#This Row],['#08委外NG]]</f>
        <v>0</v>
      </c>
      <c r="I67" s="123">
        <f>SUMIFS(record[OK],record[製程料號],_018_550[[#This Row],[製令單號]],record[ProcessSN],I$1)</f>
        <v>154</v>
      </c>
      <c r="J67" s="117">
        <f>SUMIFS(record[NG],record[製程料號],_018_550[[#This Row],[製令單號]],record[ProcessSN],J$1)</f>
        <v>8</v>
      </c>
      <c r="K67" s="124">
        <f>IFERROR(_018_550[[#This Row],['#08委外NG]]/_018_550[[#This Row],['#08已委外數量]],"")</f>
        <v>4.9382716049382713E-2</v>
      </c>
      <c r="L67" s="123">
        <f>_018_550[[#This Row],['#08回
良品]]-_018_550[[#This Row],['#06檢驗OK]]-_018_550[[#This Row],['#06
QC NG]]</f>
        <v>0</v>
      </c>
      <c r="M67" s="123">
        <f>SUMIFS(record[OK],record[製程料號],_018_550[[#This Row],[製令單號]],record[ProcessSN],M$1)</f>
        <v>154</v>
      </c>
      <c r="N67" s="117">
        <f>SUMIFS(record[NG],record[製程料號],_018_550[[#This Row],[製令單號]],record[ProcessSN],N$1)</f>
        <v>0</v>
      </c>
      <c r="O67" s="123">
        <f>_018_550[[#This Row],['#06檢驗OK]]-_018_550[[#This Row],[不良品]]-_018_550[[#This Row],[良品]]</f>
        <v>0</v>
      </c>
      <c r="P67" s="123">
        <f>SUMIFS(record[OK],record[製程料號],_018_550[[#This Row],[製令單號]],record[ProcessSN],P$1)</f>
        <v>148</v>
      </c>
      <c r="Q67" s="117">
        <f>SUMIFS(record[NG],record[製程料號],_018_550[[#This Row],[製令單號]],record[ProcessSN],Q$1)</f>
        <v>6</v>
      </c>
      <c r="R67" s="123">
        <f>_018_550[[#This Row],[良品]]-_018_550[[#This Row],[良品放行]]-_018_550[[#This Row],[不良待處理]]</f>
        <v>0</v>
      </c>
      <c r="S67" s="123">
        <f>SUMIFS(record[OK],record[製程料號],_018_550[[#This Row],[製令單號]],record[ProcessSN],S$1)</f>
        <v>148</v>
      </c>
      <c r="T67" s="117">
        <f>SUMIFS(record[NG],record[製程料號],_018_550[[#This Row],[製令單號]],record[ProcessSN],T$1)</f>
        <v>0</v>
      </c>
      <c r="U67" s="123">
        <f>_018_550[[#This Row],[良品放行]]-_018_550[[#This Row],[入庫]]</f>
        <v>0</v>
      </c>
      <c r="V67" s="123">
        <f>SUMIFS(record[OK],record[製程料號],_018_550[[#This Row],[製令單號]],record[ProcessSN],V$1)</f>
        <v>148</v>
      </c>
      <c r="W67" s="123">
        <f>_018_550[[#This Row],[入庫]]-_018_550[[#This Row],[已出貨]]</f>
        <v>0</v>
      </c>
      <c r="X67" s="137"/>
      <c r="Y67" s="123">
        <f>SUMIFS(record[OK],record[製程料號],_018_550[[#This Row],[製令單號]],record[ProcessSN],Y$1)</f>
        <v>148</v>
      </c>
      <c r="Z67" s="125">
        <f>_018_550[[#This Row],[不良待處理]]+_018_550[[#This Row],[不良品]]+_018_550[[#This Row],['#06
QC NG]]+_018_550[[#This Row],['#08委外NG]]</f>
        <v>14</v>
      </c>
      <c r="AA6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0.9135802469135802</v>
      </c>
    </row>
    <row r="68" spans="1:27" ht="30.75" x14ac:dyDescent="0.25">
      <c r="A68" s="120">
        <v>45876</v>
      </c>
      <c r="B68" s="121" t="s">
        <v>966</v>
      </c>
      <c r="C68" s="122" t="s">
        <v>500</v>
      </c>
      <c r="D68" s="118">
        <v>37</v>
      </c>
      <c r="E68" s="123">
        <f>_018_550[[#This Row],[入料數]]-_018_550[[#This Row],['#08已委外數量]]</f>
        <v>0</v>
      </c>
      <c r="F68" s="123">
        <f>SUMIFS(record[OK],record[製程料號],_018_550[[#This Row],[製令單號]],record[ProcessSN],F$1)</f>
        <v>37</v>
      </c>
      <c r="G68" s="118" t="str">
        <f>IF(_018_550[[#This Row],['#08已委外數量]]&gt;0,VLOOKUP(G$1,record[[ProcessSN]:[廠商]],12,FALSE),"尚未委外")</f>
        <v>泉盛</v>
      </c>
      <c r="H68" s="123">
        <f>_018_550[[#This Row],['#08已委外數量]]-_018_550[[#This Row],['#08回
良品]]-_018_550[[#This Row],['#08委外NG]]</f>
        <v>0</v>
      </c>
      <c r="I68" s="123">
        <f>SUMIFS(record[OK],record[製程料號],_018_550[[#This Row],[製令單號]],record[ProcessSN],I$1)</f>
        <v>31</v>
      </c>
      <c r="J68" s="117">
        <f>SUMIFS(record[NG],record[製程料號],_018_550[[#This Row],[製令單號]],record[ProcessSN],J$1)</f>
        <v>6</v>
      </c>
      <c r="K68" s="124">
        <f>IFERROR(_018_550[[#This Row],['#08委外NG]]/_018_550[[#This Row],['#08已委外數量]],"")</f>
        <v>0.16216216216216217</v>
      </c>
      <c r="L68" s="123">
        <f>_018_550[[#This Row],['#08回
良品]]-_018_550[[#This Row],['#06檢驗OK]]-_018_550[[#This Row],['#06
QC NG]]</f>
        <v>0</v>
      </c>
      <c r="M68" s="123">
        <f>SUMIFS(record[OK],record[製程料號],_018_550[[#This Row],[製令單號]],record[ProcessSN],M$1)</f>
        <v>31</v>
      </c>
      <c r="N68" s="117">
        <f>SUMIFS(record[NG],record[製程料號],_018_550[[#This Row],[製令單號]],record[ProcessSN],N$1)</f>
        <v>0</v>
      </c>
      <c r="O68" s="123">
        <f>_018_550[[#This Row],['#06檢驗OK]]-_018_550[[#This Row],[不良品]]-_018_550[[#This Row],[良品]]</f>
        <v>0</v>
      </c>
      <c r="P68" s="123">
        <f>SUMIFS(record[OK],record[製程料號],_018_550[[#This Row],[製令單號]],record[ProcessSN],P$1)</f>
        <v>31</v>
      </c>
      <c r="Q68" s="117">
        <f>SUMIFS(record[NG],record[製程料號],_018_550[[#This Row],[製令單號]],record[ProcessSN],Q$1)</f>
        <v>0</v>
      </c>
      <c r="R68" s="123">
        <f>_018_550[[#This Row],[良品]]-_018_550[[#This Row],[良品放行]]-_018_550[[#This Row],[不良待處理]]</f>
        <v>0</v>
      </c>
      <c r="S68" s="123">
        <f>SUMIFS(record[OK],record[製程料號],_018_550[[#This Row],[製令單號]],record[ProcessSN],S$1)</f>
        <v>31</v>
      </c>
      <c r="T68" s="117">
        <f>SUMIFS(record[NG],record[製程料號],_018_550[[#This Row],[製令單號]],record[ProcessSN],T$1)</f>
        <v>0</v>
      </c>
      <c r="U68" s="123">
        <f>_018_550[[#This Row],[良品放行]]-_018_550[[#This Row],[入庫]]</f>
        <v>0</v>
      </c>
      <c r="V68" s="123">
        <f>SUMIFS(record[OK],record[製程料號],_018_550[[#This Row],[製令單號]],record[ProcessSN],V$1)</f>
        <v>31</v>
      </c>
      <c r="W68" s="123">
        <f>_018_550[[#This Row],[入庫]]-_018_550[[#This Row],[已出貨]]</f>
        <v>0</v>
      </c>
      <c r="X68" s="137"/>
      <c r="Y68" s="123">
        <f>SUMIFS(record[OK],record[製程料號],_018_550[[#This Row],[製令單號]],record[ProcessSN],Y$1)</f>
        <v>31</v>
      </c>
      <c r="Z68" s="125">
        <f>_018_550[[#This Row],[不良待處理]]+_018_550[[#This Row],[不良品]]+_018_550[[#This Row],['#06
QC NG]]+_018_550[[#This Row],['#08委外NG]]</f>
        <v>6</v>
      </c>
      <c r="AA6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0.83783783783783783</v>
      </c>
    </row>
    <row r="69" spans="1:27" ht="30.75" x14ac:dyDescent="0.25">
      <c r="A69" s="120">
        <v>45880</v>
      </c>
      <c r="B69" s="121" t="s">
        <v>970</v>
      </c>
      <c r="C69" s="122" t="s">
        <v>500</v>
      </c>
      <c r="D69" s="118">
        <v>310</v>
      </c>
      <c r="E69" s="123">
        <f>_018_550[[#This Row],[入料數]]-_018_550[[#This Row],['#08已委外數量]]</f>
        <v>0</v>
      </c>
      <c r="F69" s="123">
        <f>SUMIFS(record[OK],record[製程料號],_018_550[[#This Row],[製令單號]],record[ProcessSN],F$1)</f>
        <v>310</v>
      </c>
      <c r="G69" s="118" t="str">
        <f>IF(_018_550[[#This Row],['#08已委外數量]]&gt;0,VLOOKUP(G$1,record[[ProcessSN]:[廠商]],12,FALSE),"尚未委外")</f>
        <v>泉盛</v>
      </c>
      <c r="H69" s="123">
        <f>_018_550[[#This Row],['#08已委外數量]]-_018_550[[#This Row],['#08回
良品]]-_018_550[[#This Row],['#08委外NG]]</f>
        <v>0</v>
      </c>
      <c r="I69" s="123">
        <f>SUMIFS(record[OK],record[製程料號],_018_550[[#This Row],[製令單號]],record[ProcessSN],I$1)</f>
        <v>310</v>
      </c>
      <c r="J69" s="117">
        <f>SUMIFS(record[NG],record[製程料號],_018_550[[#This Row],[製令單號]],record[ProcessSN],J$1)</f>
        <v>0</v>
      </c>
      <c r="K69" s="124">
        <f>IFERROR(_018_550[[#This Row],['#08委外NG]]/_018_550[[#This Row],['#08已委外數量]],"")</f>
        <v>0</v>
      </c>
      <c r="L69" s="123">
        <f>_018_550[[#This Row],['#08回
良品]]-_018_550[[#This Row],['#06檢驗OK]]-_018_550[[#This Row],['#06
QC NG]]</f>
        <v>0</v>
      </c>
      <c r="M69" s="123">
        <f>SUMIFS(record[OK],record[製程料號],_018_550[[#This Row],[製令單號]],record[ProcessSN],M$1)</f>
        <v>310</v>
      </c>
      <c r="N69" s="117">
        <f>SUMIFS(record[NG],record[製程料號],_018_550[[#This Row],[製令單號]],record[ProcessSN],N$1)</f>
        <v>0</v>
      </c>
      <c r="O69" s="123">
        <f>_018_550[[#This Row],['#06檢驗OK]]-_018_550[[#This Row],[不良品]]-_018_550[[#This Row],[良品]]</f>
        <v>0</v>
      </c>
      <c r="P69" s="123">
        <f>SUMIFS(record[OK],record[製程料號],_018_550[[#This Row],[製令單號]],record[ProcessSN],P$1)</f>
        <v>310</v>
      </c>
      <c r="Q69" s="117">
        <f>SUMIFS(record[NG],record[製程料號],_018_550[[#This Row],[製令單號]],record[ProcessSN],Q$1)</f>
        <v>0</v>
      </c>
      <c r="R69" s="123">
        <f>_018_550[[#This Row],[良品]]-_018_550[[#This Row],[良品放行]]-_018_550[[#This Row],[不良待處理]]</f>
        <v>0</v>
      </c>
      <c r="S69" s="123">
        <f>SUMIFS(record[OK],record[製程料號],_018_550[[#This Row],[製令單號]],record[ProcessSN],S$1)</f>
        <v>310</v>
      </c>
      <c r="T69" s="117">
        <f>SUMIFS(record[NG],record[製程料號],_018_550[[#This Row],[製令單號]],record[ProcessSN],T$1)</f>
        <v>0</v>
      </c>
      <c r="U69" s="123">
        <f>_018_550[[#This Row],[良品放行]]-_018_550[[#This Row],[入庫]]</f>
        <v>0</v>
      </c>
      <c r="V69" s="123">
        <f>SUMIFS(record[OK],record[製程料號],_018_550[[#This Row],[製令單號]],record[ProcessSN],V$1)</f>
        <v>310</v>
      </c>
      <c r="W69" s="123">
        <f>_018_550[[#This Row],[入庫]]-_018_550[[#This Row],[已出貨]]</f>
        <v>0</v>
      </c>
      <c r="X69" s="137"/>
      <c r="Y69" s="123">
        <f>SUMIFS(record[OK],record[製程料號],_018_550[[#This Row],[製令單號]],record[ProcessSN],Y$1)</f>
        <v>310</v>
      </c>
      <c r="Z69" s="125">
        <f>_018_550[[#This Row],[不良待處理]]+_018_550[[#This Row],[不良品]]+_018_550[[#This Row],['#06
QC NG]]+_018_550[[#This Row],['#08委外NG]]</f>
        <v>0</v>
      </c>
      <c r="AA6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70" spans="1:27" ht="30.75" x14ac:dyDescent="0.25">
      <c r="A70" s="120">
        <v>45880</v>
      </c>
      <c r="B70" s="121" t="s">
        <v>973</v>
      </c>
      <c r="C70" s="122" t="s">
        <v>500</v>
      </c>
      <c r="D70" s="118">
        <v>192</v>
      </c>
      <c r="E70" s="123">
        <f>_018_550[[#This Row],[入料數]]-_018_550[[#This Row],['#08已委外數量]]</f>
        <v>0</v>
      </c>
      <c r="F70" s="123">
        <f>SUMIFS(record[OK],record[製程料號],_018_550[[#This Row],[製令單號]],record[ProcessSN],F$1)</f>
        <v>192</v>
      </c>
      <c r="G70" s="118" t="str">
        <f>IF(_018_550[[#This Row],['#08已委外數量]]&gt;0,VLOOKUP(G$1,record[[ProcessSN]:[廠商]],12,FALSE),"尚未委外")</f>
        <v>泉盛</v>
      </c>
      <c r="H70" s="123">
        <f>_018_550[[#This Row],['#08已委外數量]]-_018_550[[#This Row],['#08回
良品]]-_018_550[[#This Row],['#08委外NG]]</f>
        <v>0</v>
      </c>
      <c r="I70" s="123">
        <f>SUMIFS(record[OK],record[製程料號],_018_550[[#This Row],[製令單號]],record[ProcessSN],I$1)</f>
        <v>192</v>
      </c>
      <c r="J70" s="117">
        <f>SUMIFS(record[NG],record[製程料號],_018_550[[#This Row],[製令單號]],record[ProcessSN],J$1)</f>
        <v>0</v>
      </c>
      <c r="K70" s="124">
        <f>IFERROR(_018_550[[#This Row],['#08委外NG]]/_018_550[[#This Row],['#08已委外數量]],"")</f>
        <v>0</v>
      </c>
      <c r="L70" s="123">
        <f>_018_550[[#This Row],['#08回
良品]]-_018_550[[#This Row],['#06檢驗OK]]-_018_550[[#This Row],['#06
QC NG]]</f>
        <v>0</v>
      </c>
      <c r="M70" s="123">
        <f>SUMIFS(record[OK],record[製程料號],_018_550[[#This Row],[製令單號]],record[ProcessSN],M$1)</f>
        <v>192</v>
      </c>
      <c r="N70" s="117">
        <f>SUMIFS(record[NG],record[製程料號],_018_550[[#This Row],[製令單號]],record[ProcessSN],N$1)</f>
        <v>0</v>
      </c>
      <c r="O70" s="123">
        <f>_018_550[[#This Row],['#06檢驗OK]]-_018_550[[#This Row],[不良品]]-_018_550[[#This Row],[良品]]</f>
        <v>0</v>
      </c>
      <c r="P70" s="123">
        <f>SUMIFS(record[OK],record[製程料號],_018_550[[#This Row],[製令單號]],record[ProcessSN],P$1)</f>
        <v>192</v>
      </c>
      <c r="Q70" s="117">
        <f>SUMIFS(record[NG],record[製程料號],_018_550[[#This Row],[製令單號]],record[ProcessSN],Q$1)</f>
        <v>0</v>
      </c>
      <c r="R70" s="123">
        <f>_018_550[[#This Row],[良品]]-_018_550[[#This Row],[良品放行]]-_018_550[[#This Row],[不良待處理]]</f>
        <v>0</v>
      </c>
      <c r="S70" s="123">
        <f>SUMIFS(record[OK],record[製程料號],_018_550[[#This Row],[製令單號]],record[ProcessSN],S$1)</f>
        <v>192</v>
      </c>
      <c r="T70" s="117">
        <f>SUMIFS(record[NG],record[製程料號],_018_550[[#This Row],[製令單號]],record[ProcessSN],T$1)</f>
        <v>0</v>
      </c>
      <c r="U70" s="123">
        <f>_018_550[[#This Row],[良品放行]]-_018_550[[#This Row],[入庫]]</f>
        <v>0</v>
      </c>
      <c r="V70" s="123">
        <f>SUMIFS(record[OK],record[製程料號],_018_550[[#This Row],[製令單號]],record[ProcessSN],V$1)</f>
        <v>192</v>
      </c>
      <c r="W70" s="123">
        <f>_018_550[[#This Row],[入庫]]-_018_550[[#This Row],[已出貨]]</f>
        <v>0</v>
      </c>
      <c r="X70" s="137"/>
      <c r="Y70" s="123">
        <f>SUMIFS(record[OK],record[製程料號],_018_550[[#This Row],[製令單號]],record[ProcessSN],Y$1)</f>
        <v>192</v>
      </c>
      <c r="Z70" s="125">
        <f>_018_550[[#This Row],[不良待處理]]+_018_550[[#This Row],[不良品]]+_018_550[[#This Row],['#06
QC NG]]+_018_550[[#This Row],['#08委外NG]]</f>
        <v>0</v>
      </c>
      <c r="AA7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71" spans="1:27" ht="30.75" x14ac:dyDescent="0.25">
      <c r="A71" s="120">
        <v>45881</v>
      </c>
      <c r="B71" s="121" t="s">
        <v>977</v>
      </c>
      <c r="C71" s="122" t="s">
        <v>500</v>
      </c>
      <c r="D71" s="118">
        <v>292</v>
      </c>
      <c r="E71" s="123">
        <f>_018_550[[#This Row],[入料數]]-_018_550[[#This Row],['#08已委外數量]]</f>
        <v>0</v>
      </c>
      <c r="F71" s="123">
        <f>SUMIFS(record[OK],record[製程料號],_018_550[[#This Row],[製令單號]],record[ProcessSN],F$1)</f>
        <v>292</v>
      </c>
      <c r="G71" s="118" t="str">
        <f>IF(_018_550[[#This Row],['#08已委外數量]]&gt;0,VLOOKUP(G$1,record[[ProcessSN]:[廠商]],12,FALSE),"尚未委外")</f>
        <v>泉盛</v>
      </c>
      <c r="H71" s="123">
        <f>_018_550[[#This Row],['#08已委外數量]]-_018_550[[#This Row],['#08回
良品]]-_018_550[[#This Row],['#08委外NG]]</f>
        <v>0</v>
      </c>
      <c r="I71" s="123">
        <f>SUMIFS(record[OK],record[製程料號],_018_550[[#This Row],[製令單號]],record[ProcessSN],I$1)</f>
        <v>282</v>
      </c>
      <c r="J71" s="117">
        <f>SUMIFS(record[NG],record[製程料號],_018_550[[#This Row],[製令單號]],record[ProcessSN],J$1)</f>
        <v>10</v>
      </c>
      <c r="K71" s="124">
        <f>IFERROR(_018_550[[#This Row],['#08委外NG]]/_018_550[[#This Row],['#08已委外數量]],"")</f>
        <v>3.4246575342465752E-2</v>
      </c>
      <c r="L71" s="123">
        <f>_018_550[[#This Row],['#08回
良品]]-_018_550[[#This Row],['#06檢驗OK]]-_018_550[[#This Row],['#06
QC NG]]</f>
        <v>0</v>
      </c>
      <c r="M71" s="123">
        <f>SUMIFS(record[OK],record[製程料號],_018_550[[#This Row],[製令單號]],record[ProcessSN],M$1)</f>
        <v>282</v>
      </c>
      <c r="N71" s="117">
        <f>SUMIFS(record[NG],record[製程料號],_018_550[[#This Row],[製令單號]],record[ProcessSN],N$1)</f>
        <v>0</v>
      </c>
      <c r="O71" s="123">
        <f>_018_550[[#This Row],['#06檢驗OK]]-_018_550[[#This Row],[不良品]]-_018_550[[#This Row],[良品]]</f>
        <v>0</v>
      </c>
      <c r="P71" s="123">
        <f>SUMIFS(record[OK],record[製程料號],_018_550[[#This Row],[製令單號]],record[ProcessSN],P$1)</f>
        <v>282</v>
      </c>
      <c r="Q71" s="117">
        <f>SUMIFS(record[NG],record[製程料號],_018_550[[#This Row],[製令單號]],record[ProcessSN],Q$1)</f>
        <v>0</v>
      </c>
      <c r="R71" s="123">
        <f>_018_550[[#This Row],[良品]]-_018_550[[#This Row],[良品放行]]-_018_550[[#This Row],[不良待處理]]</f>
        <v>0</v>
      </c>
      <c r="S71" s="123">
        <f>SUMIFS(record[OK],record[製程料號],_018_550[[#This Row],[製令單號]],record[ProcessSN],S$1)</f>
        <v>282</v>
      </c>
      <c r="T71" s="117">
        <f>SUMIFS(record[NG],record[製程料號],_018_550[[#This Row],[製令單號]],record[ProcessSN],T$1)</f>
        <v>0</v>
      </c>
      <c r="U71" s="123">
        <f>_018_550[[#This Row],[良品放行]]-_018_550[[#This Row],[入庫]]</f>
        <v>0</v>
      </c>
      <c r="V71" s="123">
        <f>SUMIFS(record[OK],record[製程料號],_018_550[[#This Row],[製令單號]],record[ProcessSN],V$1)</f>
        <v>282</v>
      </c>
      <c r="W71" s="123">
        <f>_018_550[[#This Row],[入庫]]-_018_550[[#This Row],[已出貨]]</f>
        <v>0</v>
      </c>
      <c r="X71" s="137"/>
      <c r="Y71" s="123">
        <f>SUMIFS(record[OK],record[製程料號],_018_550[[#This Row],[製令單號]],record[ProcessSN],Y$1)</f>
        <v>282</v>
      </c>
      <c r="Z71" s="125">
        <f>_018_550[[#This Row],[不良待處理]]+_018_550[[#This Row],[不良品]]+_018_550[[#This Row],['#06
QC NG]]+_018_550[[#This Row],['#08委外NG]]</f>
        <v>10</v>
      </c>
      <c r="AA7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0.96575342465753422</v>
      </c>
    </row>
    <row r="72" spans="1:27" ht="30.75" x14ac:dyDescent="0.25">
      <c r="A72" s="120">
        <v>45881</v>
      </c>
      <c r="B72" s="121" t="s">
        <v>978</v>
      </c>
      <c r="C72" s="122" t="s">
        <v>500</v>
      </c>
      <c r="D72" s="118">
        <v>162</v>
      </c>
      <c r="E72" s="123">
        <f>_018_550[[#This Row],[入料數]]-_018_550[[#This Row],['#08已委外數量]]</f>
        <v>0</v>
      </c>
      <c r="F72" s="123">
        <f>SUMIFS(record[OK],record[製程料號],_018_550[[#This Row],[製令單號]],record[ProcessSN],F$1)</f>
        <v>162</v>
      </c>
      <c r="G72" s="118" t="str">
        <f>IF(_018_550[[#This Row],['#08已委外數量]]&gt;0,VLOOKUP(G$1,record[[ProcessSN]:[廠商]],12,FALSE),"尚未委外")</f>
        <v>泉盛</v>
      </c>
      <c r="H72" s="123">
        <f>_018_550[[#This Row],['#08已委外數量]]-_018_550[[#This Row],['#08回
良品]]-_018_550[[#This Row],['#08委外NG]]</f>
        <v>0</v>
      </c>
      <c r="I72" s="123">
        <f>SUMIFS(record[OK],record[製程料號],_018_550[[#This Row],[製令單號]],record[ProcessSN],I$1)</f>
        <v>162</v>
      </c>
      <c r="J72" s="117">
        <f>SUMIFS(record[NG],record[製程料號],_018_550[[#This Row],[製令單號]],record[ProcessSN],J$1)</f>
        <v>0</v>
      </c>
      <c r="K72" s="124">
        <f>IFERROR(_018_550[[#This Row],['#08委外NG]]/_018_550[[#This Row],['#08已委外數量]],"")</f>
        <v>0</v>
      </c>
      <c r="L72" s="123">
        <f>_018_550[[#This Row],['#08回
良品]]-_018_550[[#This Row],['#06檢驗OK]]-_018_550[[#This Row],['#06
QC NG]]</f>
        <v>0</v>
      </c>
      <c r="M72" s="123">
        <f>SUMIFS(record[OK],record[製程料號],_018_550[[#This Row],[製令單號]],record[ProcessSN],M$1)</f>
        <v>162</v>
      </c>
      <c r="N72" s="117">
        <f>SUMIFS(record[NG],record[製程料號],_018_550[[#This Row],[製令單號]],record[ProcessSN],N$1)</f>
        <v>0</v>
      </c>
      <c r="O72" s="123">
        <f>_018_550[[#This Row],['#06檢驗OK]]-_018_550[[#This Row],[不良品]]-_018_550[[#This Row],[良品]]</f>
        <v>0</v>
      </c>
      <c r="P72" s="123">
        <f>SUMIFS(record[OK],record[製程料號],_018_550[[#This Row],[製令單號]],record[ProcessSN],P$1)</f>
        <v>162</v>
      </c>
      <c r="Q72" s="117">
        <f>SUMIFS(record[NG],record[製程料號],_018_550[[#This Row],[製令單號]],record[ProcessSN],Q$1)</f>
        <v>0</v>
      </c>
      <c r="R72" s="123">
        <f>_018_550[[#This Row],[良品]]-_018_550[[#This Row],[良品放行]]-_018_550[[#This Row],[不良待處理]]</f>
        <v>0</v>
      </c>
      <c r="S72" s="123">
        <f>SUMIFS(record[OK],record[製程料號],_018_550[[#This Row],[製令單號]],record[ProcessSN],S$1)</f>
        <v>162</v>
      </c>
      <c r="T72" s="117">
        <f>SUMIFS(record[NG],record[製程料號],_018_550[[#This Row],[製令單號]],record[ProcessSN],T$1)</f>
        <v>0</v>
      </c>
      <c r="U72" s="123">
        <f>_018_550[[#This Row],[良品放行]]-_018_550[[#This Row],[入庫]]</f>
        <v>0</v>
      </c>
      <c r="V72" s="123">
        <f>SUMIFS(record[OK],record[製程料號],_018_550[[#This Row],[製令單號]],record[ProcessSN],V$1)</f>
        <v>162</v>
      </c>
      <c r="W72" s="123">
        <f>_018_550[[#This Row],[入庫]]-_018_550[[#This Row],[已出貨]]</f>
        <v>0</v>
      </c>
      <c r="X72" s="137"/>
      <c r="Y72" s="123">
        <f>SUMIFS(record[OK],record[製程料號],_018_550[[#This Row],[製令單號]],record[ProcessSN],Y$1)</f>
        <v>162</v>
      </c>
      <c r="Z72" s="125">
        <f>_018_550[[#This Row],[不良待處理]]+_018_550[[#This Row],[不良品]]+_018_550[[#This Row],['#06
QC NG]]+_018_550[[#This Row],['#08委外NG]]</f>
        <v>0</v>
      </c>
      <c r="AA7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73" spans="1:27" ht="30.75" x14ac:dyDescent="0.25">
      <c r="A73" s="120">
        <v>45881</v>
      </c>
      <c r="B73" s="121" t="s">
        <v>979</v>
      </c>
      <c r="C73" s="122" t="s">
        <v>500</v>
      </c>
      <c r="D73" s="118">
        <v>167</v>
      </c>
      <c r="E73" s="123">
        <f>_018_550[[#This Row],[入料數]]-_018_550[[#This Row],['#08已委外數量]]</f>
        <v>0</v>
      </c>
      <c r="F73" s="123">
        <f>SUMIFS(record[OK],record[製程料號],_018_550[[#This Row],[製令單號]],record[ProcessSN],F$1)</f>
        <v>167</v>
      </c>
      <c r="G73" s="118" t="str">
        <f>IF(_018_550[[#This Row],['#08已委外數量]]&gt;0,VLOOKUP(G$1,record[[ProcessSN]:[廠商]],12,FALSE),"尚未委外")</f>
        <v>泉盛</v>
      </c>
      <c r="H73" s="123">
        <f>_018_550[[#This Row],['#08已委外數量]]-_018_550[[#This Row],['#08回
良品]]-_018_550[[#This Row],['#08委外NG]]</f>
        <v>0</v>
      </c>
      <c r="I73" s="123">
        <f>SUMIFS(record[OK],record[製程料號],_018_550[[#This Row],[製令單號]],record[ProcessSN],I$1)</f>
        <v>167</v>
      </c>
      <c r="J73" s="117">
        <f>SUMIFS(record[NG],record[製程料號],_018_550[[#This Row],[製令單號]],record[ProcessSN],J$1)</f>
        <v>0</v>
      </c>
      <c r="K73" s="124">
        <f>IFERROR(_018_550[[#This Row],['#08委外NG]]/_018_550[[#This Row],['#08已委外數量]],"")</f>
        <v>0</v>
      </c>
      <c r="L73" s="123">
        <f>_018_550[[#This Row],['#08回
良品]]-_018_550[[#This Row],['#06檢驗OK]]-_018_550[[#This Row],['#06
QC NG]]</f>
        <v>0</v>
      </c>
      <c r="M73" s="123">
        <f>SUMIFS(record[OK],record[製程料號],_018_550[[#This Row],[製令單號]],record[ProcessSN],M$1)</f>
        <v>167</v>
      </c>
      <c r="N73" s="117">
        <f>SUMIFS(record[NG],record[製程料號],_018_550[[#This Row],[製令單號]],record[ProcessSN],N$1)</f>
        <v>0</v>
      </c>
      <c r="O73" s="123">
        <f>_018_550[[#This Row],['#06檢驗OK]]-_018_550[[#This Row],[不良品]]-_018_550[[#This Row],[良品]]</f>
        <v>0</v>
      </c>
      <c r="P73" s="123">
        <f>SUMIFS(record[OK],record[製程料號],_018_550[[#This Row],[製令單號]],record[ProcessSN],P$1)</f>
        <v>167</v>
      </c>
      <c r="Q73" s="117">
        <f>SUMIFS(record[NG],record[製程料號],_018_550[[#This Row],[製令單號]],record[ProcessSN],Q$1)</f>
        <v>0</v>
      </c>
      <c r="R73" s="123">
        <f>_018_550[[#This Row],[良品]]-_018_550[[#This Row],[良品放行]]-_018_550[[#This Row],[不良待處理]]</f>
        <v>0</v>
      </c>
      <c r="S73" s="123">
        <f>SUMIFS(record[OK],record[製程料號],_018_550[[#This Row],[製令單號]],record[ProcessSN],S$1)</f>
        <v>167</v>
      </c>
      <c r="T73" s="117">
        <f>SUMIFS(record[NG],record[製程料號],_018_550[[#This Row],[製令單號]],record[ProcessSN],T$1)</f>
        <v>0</v>
      </c>
      <c r="U73" s="123">
        <f>_018_550[[#This Row],[良品放行]]-_018_550[[#This Row],[入庫]]</f>
        <v>0</v>
      </c>
      <c r="V73" s="123">
        <f>SUMIFS(record[OK],record[製程料號],_018_550[[#This Row],[製令單號]],record[ProcessSN],V$1)</f>
        <v>167</v>
      </c>
      <c r="W73" s="123">
        <f>_018_550[[#This Row],[入庫]]-_018_550[[#This Row],[已出貨]]</f>
        <v>0</v>
      </c>
      <c r="X73" s="137"/>
      <c r="Y73" s="123">
        <f>SUMIFS(record[OK],record[製程料號],_018_550[[#This Row],[製令單號]],record[ProcessSN],Y$1)</f>
        <v>167</v>
      </c>
      <c r="Z73" s="125">
        <f>_018_550[[#This Row],[不良待處理]]+_018_550[[#This Row],[不良品]]+_018_550[[#This Row],['#06
QC NG]]+_018_550[[#This Row],['#08委外NG]]</f>
        <v>0</v>
      </c>
      <c r="AA7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74" spans="1:27" ht="30.75" x14ac:dyDescent="0.25">
      <c r="A74" s="120">
        <v>45888</v>
      </c>
      <c r="B74" s="121" t="s">
        <v>993</v>
      </c>
      <c r="C74" s="122" t="s">
        <v>500</v>
      </c>
      <c r="D74" s="118">
        <v>336</v>
      </c>
      <c r="E74" s="123">
        <f>_018_550[[#This Row],[入料數]]-_018_550[[#This Row],['#08已委外數量]]</f>
        <v>0</v>
      </c>
      <c r="F74" s="123">
        <f>SUMIFS(record[OK],record[製程料號],_018_550[[#This Row],[製令單號]],record[ProcessSN],F$1)</f>
        <v>336</v>
      </c>
      <c r="G74" s="118" t="str">
        <f>IF(_018_550[[#This Row],['#08已委外數量]]&gt;0,VLOOKUP(G$1,record[[ProcessSN]:[廠商]],12,FALSE),"尚未委外")</f>
        <v>泉盛</v>
      </c>
      <c r="H74" s="123">
        <f>_018_550[[#This Row],['#08已委外數量]]-_018_550[[#This Row],['#08回
良品]]-_018_550[[#This Row],['#08委外NG]]</f>
        <v>0</v>
      </c>
      <c r="I74" s="123">
        <f>SUMIFS(record[OK],record[製程料號],_018_550[[#This Row],[製令單號]],record[ProcessSN],I$1)</f>
        <v>336</v>
      </c>
      <c r="J74" s="117">
        <f>SUMIFS(record[NG],record[製程料號],_018_550[[#This Row],[製令單號]],record[ProcessSN],J$1)</f>
        <v>0</v>
      </c>
      <c r="K74" s="124">
        <f>IFERROR(_018_550[[#This Row],['#08委外NG]]/_018_550[[#This Row],['#08已委外數量]],"")</f>
        <v>0</v>
      </c>
      <c r="L74" s="123">
        <f>_018_550[[#This Row],['#08回
良品]]-_018_550[[#This Row],['#06檢驗OK]]-_018_550[[#This Row],['#06
QC NG]]</f>
        <v>0</v>
      </c>
      <c r="M74" s="123">
        <f>SUMIFS(record[OK],record[製程料號],_018_550[[#This Row],[製令單號]],record[ProcessSN],M$1)</f>
        <v>336</v>
      </c>
      <c r="N74" s="117">
        <f>SUMIFS(record[NG],record[製程料號],_018_550[[#This Row],[製令單號]],record[ProcessSN],N$1)</f>
        <v>0</v>
      </c>
      <c r="O74" s="123">
        <f>_018_550[[#This Row],['#06檢驗OK]]-_018_550[[#This Row],[不良品]]-_018_550[[#This Row],[良品]]</f>
        <v>0</v>
      </c>
      <c r="P74" s="123">
        <f>SUMIFS(record[OK],record[製程料號],_018_550[[#This Row],[製令單號]],record[ProcessSN],P$1)</f>
        <v>324</v>
      </c>
      <c r="Q74" s="117">
        <f>SUMIFS(record[NG],record[製程料號],_018_550[[#This Row],[製令單號]],record[ProcessSN],Q$1)</f>
        <v>12</v>
      </c>
      <c r="R74" s="123">
        <f>_018_550[[#This Row],[良品]]-_018_550[[#This Row],[良品放行]]-_018_550[[#This Row],[不良待處理]]</f>
        <v>0</v>
      </c>
      <c r="S74" s="123">
        <f>SUMIFS(record[OK],record[製程料號],_018_550[[#This Row],[製令單號]],record[ProcessSN],S$1)</f>
        <v>324</v>
      </c>
      <c r="T74" s="117">
        <f>SUMIFS(record[NG],record[製程料號],_018_550[[#This Row],[製令單號]],record[ProcessSN],T$1)</f>
        <v>0</v>
      </c>
      <c r="U74" s="123">
        <f>_018_550[[#This Row],[良品放行]]-_018_550[[#This Row],[入庫]]</f>
        <v>0</v>
      </c>
      <c r="V74" s="123">
        <f>SUMIFS(record[OK],record[製程料號],_018_550[[#This Row],[製令單號]],record[ProcessSN],V$1)</f>
        <v>324</v>
      </c>
      <c r="W74" s="123">
        <f>_018_550[[#This Row],[入庫]]-_018_550[[#This Row],[已出貨]]</f>
        <v>0</v>
      </c>
      <c r="X74" s="137"/>
      <c r="Y74" s="123">
        <f>SUMIFS(record[OK],record[製程料號],_018_550[[#This Row],[製令單號]],record[ProcessSN],Y$1)</f>
        <v>324</v>
      </c>
      <c r="Z74" s="125">
        <f>_018_550[[#This Row],[不良待處理]]+_018_550[[#This Row],[不良品]]+_018_550[[#This Row],['#06
QC NG]]+_018_550[[#This Row],['#08委外NG]]</f>
        <v>12</v>
      </c>
      <c r="AA7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0.9642857142857143</v>
      </c>
    </row>
    <row r="75" spans="1:27" ht="30.75" x14ac:dyDescent="0.25">
      <c r="A75" s="120">
        <v>45889</v>
      </c>
      <c r="B75" s="121" t="s">
        <v>999</v>
      </c>
      <c r="C75" s="122" t="s">
        <v>500</v>
      </c>
      <c r="D75" s="118">
        <v>280</v>
      </c>
      <c r="E75" s="123">
        <f>_018_550[[#This Row],[入料數]]-_018_550[[#This Row],['#08已委外數量]]</f>
        <v>0</v>
      </c>
      <c r="F75" s="123">
        <f>SUMIFS(record[OK],record[製程料號],_018_550[[#This Row],[製令單號]],record[ProcessSN],F$1)</f>
        <v>280</v>
      </c>
      <c r="G75" s="118" t="str">
        <f>IF(_018_550[[#This Row],['#08已委外數量]]&gt;0,VLOOKUP(G$1,record[[ProcessSN]:[廠商]],12,FALSE),"尚未委外")</f>
        <v>泉盛</v>
      </c>
      <c r="H75" s="123">
        <f>_018_550[[#This Row],['#08已委外數量]]-_018_550[[#This Row],['#08回
良品]]-_018_550[[#This Row],['#08委外NG]]</f>
        <v>0</v>
      </c>
      <c r="I75" s="123">
        <f>SUMIFS(record[OK],record[製程料號],_018_550[[#This Row],[製令單號]],record[ProcessSN],I$1)</f>
        <v>276</v>
      </c>
      <c r="J75" s="117">
        <f>SUMIFS(record[NG],record[製程料號],_018_550[[#This Row],[製令單號]],record[ProcessSN],J$1)</f>
        <v>4</v>
      </c>
      <c r="K75" s="124">
        <f>IFERROR(_018_550[[#This Row],['#08委外NG]]/_018_550[[#This Row],['#08已委外數量]],"")</f>
        <v>1.4285714285714285E-2</v>
      </c>
      <c r="L75" s="123">
        <f>_018_550[[#This Row],['#08回
良品]]-_018_550[[#This Row],['#06檢驗OK]]-_018_550[[#This Row],['#06
QC NG]]</f>
        <v>0</v>
      </c>
      <c r="M75" s="123">
        <f>SUMIFS(record[OK],record[製程料號],_018_550[[#This Row],[製令單號]],record[ProcessSN],M$1)</f>
        <v>276</v>
      </c>
      <c r="N75" s="117">
        <f>SUMIFS(record[NG],record[製程料號],_018_550[[#This Row],[製令單號]],record[ProcessSN],N$1)</f>
        <v>0</v>
      </c>
      <c r="O75" s="123">
        <f>_018_550[[#This Row],['#06檢驗OK]]-_018_550[[#This Row],[不良品]]-_018_550[[#This Row],[良品]]</f>
        <v>0</v>
      </c>
      <c r="P75" s="123">
        <f>SUMIFS(record[OK],record[製程料號],_018_550[[#This Row],[製令單號]],record[ProcessSN],P$1)</f>
        <v>276</v>
      </c>
      <c r="Q75" s="117">
        <f>SUMIFS(record[NG],record[製程料號],_018_550[[#This Row],[製令單號]],record[ProcessSN],Q$1)</f>
        <v>0</v>
      </c>
      <c r="R75" s="123">
        <f>_018_550[[#This Row],[良品]]-_018_550[[#This Row],[良品放行]]-_018_550[[#This Row],[不良待處理]]</f>
        <v>0</v>
      </c>
      <c r="S75" s="123">
        <f>SUMIFS(record[OK],record[製程料號],_018_550[[#This Row],[製令單號]],record[ProcessSN],S$1)</f>
        <v>276</v>
      </c>
      <c r="T75" s="117">
        <f>SUMIFS(record[NG],record[製程料號],_018_550[[#This Row],[製令單號]],record[ProcessSN],T$1)</f>
        <v>0</v>
      </c>
      <c r="U75" s="123">
        <f>_018_550[[#This Row],[良品放行]]-_018_550[[#This Row],[入庫]]</f>
        <v>0</v>
      </c>
      <c r="V75" s="123">
        <f>SUMIFS(record[OK],record[製程料號],_018_550[[#This Row],[製令單號]],record[ProcessSN],V$1)</f>
        <v>276</v>
      </c>
      <c r="W75" s="123">
        <f>_018_550[[#This Row],[入庫]]-_018_550[[#This Row],[已出貨]]</f>
        <v>0</v>
      </c>
      <c r="X75" s="137"/>
      <c r="Y75" s="123">
        <f>SUMIFS(record[OK],record[製程料號],_018_550[[#This Row],[製令單號]],record[ProcessSN],Y$1)</f>
        <v>276</v>
      </c>
      <c r="Z75" s="125">
        <f>_018_550[[#This Row],[不良待處理]]+_018_550[[#This Row],[不良品]]+_018_550[[#This Row],['#06
QC NG]]+_018_550[[#This Row],['#08委外NG]]</f>
        <v>4</v>
      </c>
      <c r="AA7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0.98571428571428577</v>
      </c>
    </row>
    <row r="76" spans="1:27" ht="30.75" x14ac:dyDescent="0.25">
      <c r="A76" s="120">
        <v>45890</v>
      </c>
      <c r="B76" s="121" t="s">
        <v>1000</v>
      </c>
      <c r="C76" s="122" t="s">
        <v>500</v>
      </c>
      <c r="D76" s="118">
        <v>183</v>
      </c>
      <c r="E76" s="123">
        <f>_018_550[[#This Row],[入料數]]-_018_550[[#This Row],['#08已委外數量]]</f>
        <v>0</v>
      </c>
      <c r="F76" s="123">
        <f>SUMIFS(record[OK],record[製程料號],_018_550[[#This Row],[製令單號]],record[ProcessSN],F$1)</f>
        <v>183</v>
      </c>
      <c r="G76" s="118" t="str">
        <f>IF(_018_550[[#This Row],['#08已委外數量]]&gt;0,VLOOKUP(G$1,record[[ProcessSN]:[廠商]],12,FALSE),"尚未委外")</f>
        <v>泉盛</v>
      </c>
      <c r="H76" s="123">
        <f>_018_550[[#This Row],['#08已委外數量]]-_018_550[[#This Row],['#08回
良品]]-_018_550[[#This Row],['#08委外NG]]</f>
        <v>0</v>
      </c>
      <c r="I76" s="123">
        <f>SUMIFS(record[OK],record[製程料號],_018_550[[#This Row],[製令單號]],record[ProcessSN],I$1)</f>
        <v>183</v>
      </c>
      <c r="J76" s="117">
        <f>SUMIFS(record[NG],record[製程料號],_018_550[[#This Row],[製令單號]],record[ProcessSN],J$1)</f>
        <v>0</v>
      </c>
      <c r="K76" s="124">
        <f>IFERROR(_018_550[[#This Row],['#08委外NG]]/_018_550[[#This Row],['#08已委外數量]],"")</f>
        <v>0</v>
      </c>
      <c r="L76" s="123">
        <f>_018_550[[#This Row],['#08回
良品]]-_018_550[[#This Row],['#06檢驗OK]]-_018_550[[#This Row],['#06
QC NG]]</f>
        <v>0</v>
      </c>
      <c r="M76" s="123">
        <f>SUMIFS(record[OK],record[製程料號],_018_550[[#This Row],[製令單號]],record[ProcessSN],M$1)</f>
        <v>183</v>
      </c>
      <c r="N76" s="117">
        <f>SUMIFS(record[NG],record[製程料號],_018_550[[#This Row],[製令單號]],record[ProcessSN],N$1)</f>
        <v>0</v>
      </c>
      <c r="O76" s="123">
        <f>_018_550[[#This Row],['#06檢驗OK]]-_018_550[[#This Row],[不良品]]-_018_550[[#This Row],[良品]]</f>
        <v>0</v>
      </c>
      <c r="P76" s="123">
        <f>SUMIFS(record[OK],record[製程料號],_018_550[[#This Row],[製令單號]],record[ProcessSN],P$1)</f>
        <v>183</v>
      </c>
      <c r="Q76" s="117">
        <f>SUMIFS(record[NG],record[製程料號],_018_550[[#This Row],[製令單號]],record[ProcessSN],Q$1)</f>
        <v>0</v>
      </c>
      <c r="R76" s="123">
        <f>_018_550[[#This Row],[良品]]-_018_550[[#This Row],[良品放行]]-_018_550[[#This Row],[不良待處理]]</f>
        <v>0</v>
      </c>
      <c r="S76" s="123">
        <f>SUMIFS(record[OK],record[製程料號],_018_550[[#This Row],[製令單號]],record[ProcessSN],S$1)</f>
        <v>183</v>
      </c>
      <c r="T76" s="117">
        <f>SUMIFS(record[NG],record[製程料號],_018_550[[#This Row],[製令單號]],record[ProcessSN],T$1)</f>
        <v>0</v>
      </c>
      <c r="U76" s="123">
        <f>_018_550[[#This Row],[良品放行]]-_018_550[[#This Row],[入庫]]</f>
        <v>0</v>
      </c>
      <c r="V76" s="123">
        <f>SUMIFS(record[OK],record[製程料號],_018_550[[#This Row],[製令單號]],record[ProcessSN],V$1)</f>
        <v>183</v>
      </c>
      <c r="W76" s="123">
        <f>_018_550[[#This Row],[入庫]]-_018_550[[#This Row],[已出貨]]</f>
        <v>0</v>
      </c>
      <c r="X76" s="137"/>
      <c r="Y76" s="123">
        <f>SUMIFS(record[OK],record[製程料號],_018_550[[#This Row],[製令單號]],record[ProcessSN],Y$1)</f>
        <v>183</v>
      </c>
      <c r="Z76" s="125">
        <f>_018_550[[#This Row],[不良待處理]]+_018_550[[#This Row],[不良品]]+_018_550[[#This Row],['#06
QC NG]]+_018_550[[#This Row],['#08委外NG]]</f>
        <v>0</v>
      </c>
      <c r="AA7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77" spans="1:27" ht="30.75" x14ac:dyDescent="0.25">
      <c r="A77" s="120">
        <v>45891</v>
      </c>
      <c r="B77" s="121" t="s">
        <v>1011</v>
      </c>
      <c r="C77" s="122" t="s">
        <v>500</v>
      </c>
      <c r="D77" s="118">
        <v>187</v>
      </c>
      <c r="E77" s="123">
        <f>_018_550[[#This Row],[入料數]]-_018_550[[#This Row],['#08已委外數量]]</f>
        <v>0</v>
      </c>
      <c r="F77" s="123">
        <f>SUMIFS(record[OK],record[製程料號],_018_550[[#This Row],[製令單號]],record[ProcessSN],F$1)</f>
        <v>187</v>
      </c>
      <c r="G77" s="118" t="str">
        <f>IF(_018_550[[#This Row],['#08已委外數量]]&gt;0,VLOOKUP(G$1,record[[ProcessSN]:[廠商]],12,FALSE),"尚未委外")</f>
        <v>泉盛</v>
      </c>
      <c r="H77" s="123">
        <f>_018_550[[#This Row],['#08已委外數量]]-_018_550[[#This Row],['#08回
良品]]-_018_550[[#This Row],['#08委外NG]]</f>
        <v>0</v>
      </c>
      <c r="I77" s="123">
        <f>SUMIFS(record[OK],record[製程料號],_018_550[[#This Row],[製令單號]],record[ProcessSN],I$1)</f>
        <v>178</v>
      </c>
      <c r="J77" s="117">
        <f>SUMIFS(record[NG],record[製程料號],_018_550[[#This Row],[製令單號]],record[ProcessSN],J$1)</f>
        <v>9</v>
      </c>
      <c r="K77" s="124">
        <f>IFERROR(_018_550[[#This Row],['#08委外NG]]/_018_550[[#This Row],['#08已委外數量]],"")</f>
        <v>4.8128342245989303E-2</v>
      </c>
      <c r="L77" s="123">
        <f>_018_550[[#This Row],['#08回
良品]]-_018_550[[#This Row],['#06檢驗OK]]-_018_550[[#This Row],['#06
QC NG]]</f>
        <v>0</v>
      </c>
      <c r="M77" s="123">
        <f>SUMIFS(record[OK],record[製程料號],_018_550[[#This Row],[製令單號]],record[ProcessSN],M$1)</f>
        <v>178</v>
      </c>
      <c r="N77" s="117">
        <f>SUMIFS(record[NG],record[製程料號],_018_550[[#This Row],[製令單號]],record[ProcessSN],N$1)</f>
        <v>0</v>
      </c>
      <c r="O77" s="123">
        <f>_018_550[[#This Row],['#06檢驗OK]]-_018_550[[#This Row],[不良品]]-_018_550[[#This Row],[良品]]</f>
        <v>0</v>
      </c>
      <c r="P77" s="123">
        <f>SUMIFS(record[OK],record[製程料號],_018_550[[#This Row],[製令單號]],record[ProcessSN],P$1)</f>
        <v>178</v>
      </c>
      <c r="Q77" s="117">
        <f>SUMIFS(record[NG],record[製程料號],_018_550[[#This Row],[製令單號]],record[ProcessSN],Q$1)</f>
        <v>0</v>
      </c>
      <c r="R77" s="123">
        <f>_018_550[[#This Row],[良品]]-_018_550[[#This Row],[良品放行]]-_018_550[[#This Row],[不良待處理]]</f>
        <v>0</v>
      </c>
      <c r="S77" s="123">
        <f>SUMIFS(record[OK],record[製程料號],_018_550[[#This Row],[製令單號]],record[ProcessSN],S$1)</f>
        <v>178</v>
      </c>
      <c r="T77" s="117">
        <f>SUMIFS(record[NG],record[製程料號],_018_550[[#This Row],[製令單號]],record[ProcessSN],T$1)</f>
        <v>0</v>
      </c>
      <c r="U77" s="123">
        <f>_018_550[[#This Row],[良品放行]]-_018_550[[#This Row],[入庫]]</f>
        <v>0</v>
      </c>
      <c r="V77" s="123">
        <f>SUMIFS(record[OK],record[製程料號],_018_550[[#This Row],[製令單號]],record[ProcessSN],V$1)</f>
        <v>178</v>
      </c>
      <c r="W77" s="123">
        <f>_018_550[[#This Row],[入庫]]-_018_550[[#This Row],[已出貨]]</f>
        <v>0</v>
      </c>
      <c r="X77" s="137"/>
      <c r="Y77" s="123">
        <f>SUMIFS(record[OK],record[製程料號],_018_550[[#This Row],[製令單號]],record[ProcessSN],Y$1)</f>
        <v>178</v>
      </c>
      <c r="Z77" s="125">
        <f>_018_550[[#This Row],[不良待處理]]+_018_550[[#This Row],[不良品]]+_018_550[[#This Row],['#06
QC NG]]+_018_550[[#This Row],['#08委外NG]]</f>
        <v>9</v>
      </c>
      <c r="AA7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0.95187165775401072</v>
      </c>
    </row>
    <row r="78" spans="1:27" ht="30.75" x14ac:dyDescent="0.25">
      <c r="A78" s="120">
        <v>45891</v>
      </c>
      <c r="B78" s="121" t="s">
        <v>1012</v>
      </c>
      <c r="C78" s="122" t="s">
        <v>500</v>
      </c>
      <c r="D78" s="118">
        <v>73</v>
      </c>
      <c r="E78" s="123">
        <f>_018_550[[#This Row],[入料數]]-_018_550[[#This Row],['#08已委外數量]]</f>
        <v>0</v>
      </c>
      <c r="F78" s="123">
        <f>SUMIFS(record[OK],record[製程料號],_018_550[[#This Row],[製令單號]],record[ProcessSN],F$1)</f>
        <v>73</v>
      </c>
      <c r="G78" s="118" t="str">
        <f>IF(_018_550[[#This Row],['#08已委外數量]]&gt;0,VLOOKUP(G$1,record[[ProcessSN]:[廠商]],12,FALSE),"尚未委外")</f>
        <v>泉盛</v>
      </c>
      <c r="H78" s="123">
        <f>_018_550[[#This Row],['#08已委外數量]]-_018_550[[#This Row],['#08回
良品]]-_018_550[[#This Row],['#08委外NG]]</f>
        <v>0</v>
      </c>
      <c r="I78" s="123">
        <f>SUMIFS(record[OK],record[製程料號],_018_550[[#This Row],[製令單號]],record[ProcessSN],I$1)</f>
        <v>72</v>
      </c>
      <c r="J78" s="117">
        <f>SUMIFS(record[NG],record[製程料號],_018_550[[#This Row],[製令單號]],record[ProcessSN],J$1)</f>
        <v>1</v>
      </c>
      <c r="K78" s="124">
        <f>IFERROR(_018_550[[#This Row],['#08委外NG]]/_018_550[[#This Row],['#08已委外數量]],"")</f>
        <v>1.3698630136986301E-2</v>
      </c>
      <c r="L78" s="123">
        <f>_018_550[[#This Row],['#08回
良品]]-_018_550[[#This Row],['#06檢驗OK]]-_018_550[[#This Row],['#06
QC NG]]</f>
        <v>0</v>
      </c>
      <c r="M78" s="123">
        <f>SUMIFS(record[OK],record[製程料號],_018_550[[#This Row],[製令單號]],record[ProcessSN],M$1)</f>
        <v>72</v>
      </c>
      <c r="N78" s="117">
        <f>SUMIFS(record[NG],record[製程料號],_018_550[[#This Row],[製令單號]],record[ProcessSN],N$1)</f>
        <v>0</v>
      </c>
      <c r="O78" s="123">
        <f>_018_550[[#This Row],['#06檢驗OK]]-_018_550[[#This Row],[不良品]]-_018_550[[#This Row],[良品]]</f>
        <v>0</v>
      </c>
      <c r="P78" s="123">
        <f>SUMIFS(record[OK],record[製程料號],_018_550[[#This Row],[製令單號]],record[ProcessSN],P$1)</f>
        <v>72</v>
      </c>
      <c r="Q78" s="117">
        <f>SUMIFS(record[NG],record[製程料號],_018_550[[#This Row],[製令單號]],record[ProcessSN],Q$1)</f>
        <v>0</v>
      </c>
      <c r="R78" s="123">
        <f>_018_550[[#This Row],[良品]]-_018_550[[#This Row],[良品放行]]-_018_550[[#This Row],[不良待處理]]</f>
        <v>0</v>
      </c>
      <c r="S78" s="123">
        <f>SUMIFS(record[OK],record[製程料號],_018_550[[#This Row],[製令單號]],record[ProcessSN],S$1)</f>
        <v>72</v>
      </c>
      <c r="T78" s="117">
        <f>SUMIFS(record[NG],record[製程料號],_018_550[[#This Row],[製令單號]],record[ProcessSN],T$1)</f>
        <v>0</v>
      </c>
      <c r="U78" s="123">
        <f>_018_550[[#This Row],[良品放行]]-_018_550[[#This Row],[入庫]]</f>
        <v>0</v>
      </c>
      <c r="V78" s="123">
        <f>SUMIFS(record[OK],record[製程料號],_018_550[[#This Row],[製令單號]],record[ProcessSN],V$1)</f>
        <v>72</v>
      </c>
      <c r="W78" s="123">
        <f>_018_550[[#This Row],[入庫]]-_018_550[[#This Row],[已出貨]]</f>
        <v>0</v>
      </c>
      <c r="X78" s="137"/>
      <c r="Y78" s="123">
        <f>SUMIFS(record[OK],record[製程料號],_018_550[[#This Row],[製令單號]],record[ProcessSN],Y$1)</f>
        <v>72</v>
      </c>
      <c r="Z78" s="125">
        <f>_018_550[[#This Row],[不良待處理]]+_018_550[[#This Row],[不良品]]+_018_550[[#This Row],['#06
QC NG]]+_018_550[[#This Row],['#08委外NG]]</f>
        <v>1</v>
      </c>
      <c r="AA7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0.98630136986301364</v>
      </c>
    </row>
    <row r="79" spans="1:27" ht="30.75" x14ac:dyDescent="0.25">
      <c r="A79" s="120">
        <v>45902</v>
      </c>
      <c r="B79" s="121" t="s">
        <v>1022</v>
      </c>
      <c r="C79" s="122" t="s">
        <v>500</v>
      </c>
      <c r="D79" s="118">
        <v>464</v>
      </c>
      <c r="E79" s="123">
        <f>_018_550[[#This Row],[入料數]]-_018_550[[#This Row],['#08已委外數量]]</f>
        <v>0</v>
      </c>
      <c r="F79" s="123">
        <f>SUMIFS(record[OK],record[製程料號],_018_550[[#This Row],[製令單號]],record[ProcessSN],F$1)</f>
        <v>464</v>
      </c>
      <c r="G79" s="118" t="str">
        <f>IF(_018_550[[#This Row],['#08已委外數量]]&gt;0,VLOOKUP(G$1,record[[ProcessSN]:[廠商]],12,FALSE),"尚未委外")</f>
        <v>泉盛</v>
      </c>
      <c r="H79" s="123">
        <f>_018_550[[#This Row],['#08已委外數量]]-_018_550[[#This Row],['#08回
良品]]-_018_550[[#This Row],['#08委外NG]]</f>
        <v>0</v>
      </c>
      <c r="I79" s="123">
        <f>SUMIFS(record[OK],record[製程料號],_018_550[[#This Row],[製令單號]],record[ProcessSN],I$1)</f>
        <v>440</v>
      </c>
      <c r="J79" s="117">
        <f>SUMIFS(record[NG],record[製程料號],_018_550[[#This Row],[製令單號]],record[ProcessSN],J$1)</f>
        <v>24</v>
      </c>
      <c r="K79" s="124">
        <f>IFERROR(_018_550[[#This Row],['#08委外NG]]/_018_550[[#This Row],['#08已委外數量]],"")</f>
        <v>5.1724137931034482E-2</v>
      </c>
      <c r="L79" s="123">
        <f>_018_550[[#This Row],['#08回
良品]]-_018_550[[#This Row],['#06檢驗OK]]-_018_550[[#This Row],['#06
QC NG]]</f>
        <v>0</v>
      </c>
      <c r="M79" s="123">
        <f>SUMIFS(record[OK],record[製程料號],_018_550[[#This Row],[製令單號]],record[ProcessSN],M$1)</f>
        <v>440</v>
      </c>
      <c r="N79" s="117">
        <f>SUMIFS(record[NG],record[製程料號],_018_550[[#This Row],[製令單號]],record[ProcessSN],N$1)</f>
        <v>0</v>
      </c>
      <c r="O79" s="123">
        <f>_018_550[[#This Row],['#06檢驗OK]]-_018_550[[#This Row],[不良品]]-_018_550[[#This Row],[良品]]</f>
        <v>0</v>
      </c>
      <c r="P79" s="123">
        <f>SUMIFS(record[OK],record[製程料號],_018_550[[#This Row],[製令單號]],record[ProcessSN],P$1)</f>
        <v>440</v>
      </c>
      <c r="Q79" s="117">
        <f>SUMIFS(record[NG],record[製程料號],_018_550[[#This Row],[製令單號]],record[ProcessSN],Q$1)</f>
        <v>0</v>
      </c>
      <c r="R79" s="123">
        <f>_018_550[[#This Row],[良品]]-_018_550[[#This Row],[良品放行]]-_018_550[[#This Row],[不良待處理]]</f>
        <v>0</v>
      </c>
      <c r="S79" s="123">
        <f>SUMIFS(record[OK],record[製程料號],_018_550[[#This Row],[製令單號]],record[ProcessSN],S$1)</f>
        <v>440</v>
      </c>
      <c r="T79" s="117">
        <f>SUMIFS(record[NG],record[製程料號],_018_550[[#This Row],[製令單號]],record[ProcessSN],T$1)</f>
        <v>0</v>
      </c>
      <c r="U79" s="123">
        <f>_018_550[[#This Row],[良品放行]]-_018_550[[#This Row],[入庫]]</f>
        <v>0</v>
      </c>
      <c r="V79" s="123">
        <f>SUMIFS(record[OK],record[製程料號],_018_550[[#This Row],[製令單號]],record[ProcessSN],V$1)</f>
        <v>440</v>
      </c>
      <c r="W79" s="123">
        <f>_018_550[[#This Row],[入庫]]-_018_550[[#This Row],[已出貨]]</f>
        <v>0</v>
      </c>
      <c r="X79" s="137"/>
      <c r="Y79" s="123">
        <f>SUMIFS(record[OK],record[製程料號],_018_550[[#This Row],[製令單號]],record[ProcessSN],Y$1)</f>
        <v>440</v>
      </c>
      <c r="Z79" s="125">
        <f>_018_550[[#This Row],[不良待處理]]+_018_550[[#This Row],[不良品]]+_018_550[[#This Row],['#06
QC NG]]+_018_550[[#This Row],['#08委外NG]]</f>
        <v>24</v>
      </c>
      <c r="AA7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0.94827586206896552</v>
      </c>
    </row>
    <row r="80" spans="1:27" ht="30.75" x14ac:dyDescent="0.25">
      <c r="A80" s="120">
        <v>45903</v>
      </c>
      <c r="B80" s="121" t="s">
        <v>1033</v>
      </c>
      <c r="C80" s="122" t="s">
        <v>500</v>
      </c>
      <c r="D80" s="118">
        <v>163</v>
      </c>
      <c r="E80" s="123">
        <f>_018_550[[#This Row],[入料數]]-_018_550[[#This Row],['#08已委外數量]]</f>
        <v>0</v>
      </c>
      <c r="F80" s="123">
        <f>SUMIFS(record[OK],record[製程料號],_018_550[[#This Row],[製令單號]],record[ProcessSN],F$1)</f>
        <v>163</v>
      </c>
      <c r="G80" s="118" t="str">
        <f>IF(_018_550[[#This Row],['#08已委外數量]]&gt;0,VLOOKUP(G$1,record[[ProcessSN]:[廠商]],12,FALSE),"尚未委外")</f>
        <v>泉盛</v>
      </c>
      <c r="H80" s="123">
        <f>_018_550[[#This Row],['#08已委外數量]]-_018_550[[#This Row],['#08回
良品]]-_018_550[[#This Row],['#08委外NG]]</f>
        <v>0</v>
      </c>
      <c r="I80" s="123">
        <f>SUMIFS(record[OK],record[製程料號],_018_550[[#This Row],[製令單號]],record[ProcessSN],I$1)</f>
        <v>159</v>
      </c>
      <c r="J80" s="117">
        <f>SUMIFS(record[NG],record[製程料號],_018_550[[#This Row],[製令單號]],record[ProcessSN],J$1)</f>
        <v>4</v>
      </c>
      <c r="K80" s="124">
        <f>IFERROR(_018_550[[#This Row],['#08委外NG]]/_018_550[[#This Row],['#08已委外數量]],"")</f>
        <v>2.4539877300613498E-2</v>
      </c>
      <c r="L80" s="123">
        <f>_018_550[[#This Row],['#08回
良品]]-_018_550[[#This Row],['#06檢驗OK]]-_018_550[[#This Row],['#06
QC NG]]</f>
        <v>0</v>
      </c>
      <c r="M80" s="123">
        <f>SUMIFS(record[OK],record[製程料號],_018_550[[#This Row],[製令單號]],record[ProcessSN],M$1)</f>
        <v>159</v>
      </c>
      <c r="N80" s="117">
        <f>SUMIFS(record[NG],record[製程料號],_018_550[[#This Row],[製令單號]],record[ProcessSN],N$1)</f>
        <v>0</v>
      </c>
      <c r="O80" s="123">
        <f>_018_550[[#This Row],['#06檢驗OK]]-_018_550[[#This Row],[不良品]]-_018_550[[#This Row],[良品]]</f>
        <v>0</v>
      </c>
      <c r="P80" s="123">
        <f>SUMIFS(record[OK],record[製程料號],_018_550[[#This Row],[製令單號]],record[ProcessSN],P$1)</f>
        <v>159</v>
      </c>
      <c r="Q80" s="117">
        <f>SUMIFS(record[NG],record[製程料號],_018_550[[#This Row],[製令單號]],record[ProcessSN],Q$1)</f>
        <v>0</v>
      </c>
      <c r="R80" s="123">
        <f>_018_550[[#This Row],[良品]]-_018_550[[#This Row],[良品放行]]-_018_550[[#This Row],[不良待處理]]</f>
        <v>0</v>
      </c>
      <c r="S80" s="123">
        <f>SUMIFS(record[OK],record[製程料號],_018_550[[#This Row],[製令單號]],record[ProcessSN],S$1)</f>
        <v>159</v>
      </c>
      <c r="T80" s="117">
        <f>SUMIFS(record[NG],record[製程料號],_018_550[[#This Row],[製令單號]],record[ProcessSN],T$1)</f>
        <v>0</v>
      </c>
      <c r="U80" s="123">
        <f>_018_550[[#This Row],[良品放行]]-_018_550[[#This Row],[入庫]]</f>
        <v>0</v>
      </c>
      <c r="V80" s="123">
        <f>SUMIFS(record[OK],record[製程料號],_018_550[[#This Row],[製令單號]],record[ProcessSN],V$1)</f>
        <v>159</v>
      </c>
      <c r="W80" s="123">
        <f>_018_550[[#This Row],[入庫]]-_018_550[[#This Row],[已出貨]]</f>
        <v>0</v>
      </c>
      <c r="X80" s="137"/>
      <c r="Y80" s="123">
        <f>SUMIFS(record[OK],record[製程料號],_018_550[[#This Row],[製令單號]],record[ProcessSN],Y$1)</f>
        <v>159</v>
      </c>
      <c r="Z80" s="125">
        <f>_018_550[[#This Row],[不良待處理]]+_018_550[[#This Row],[不良品]]+_018_550[[#This Row],['#06
QC NG]]+_018_550[[#This Row],['#08委外NG]]</f>
        <v>4</v>
      </c>
      <c r="AA8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0.97546012269938653</v>
      </c>
    </row>
    <row r="81" spans="1:27" ht="30.75" x14ac:dyDescent="0.25">
      <c r="A81" s="120">
        <v>45904</v>
      </c>
      <c r="B81" s="121" t="s">
        <v>1035</v>
      </c>
      <c r="C81" s="122" t="s">
        <v>500</v>
      </c>
      <c r="D81" s="118">
        <v>164</v>
      </c>
      <c r="E81" s="123">
        <f>_018_550[[#This Row],[入料數]]-_018_550[[#This Row],['#08已委外數量]]</f>
        <v>0</v>
      </c>
      <c r="F81" s="123">
        <f>SUMIFS(record[OK],record[製程料號],_018_550[[#This Row],[製令單號]],record[ProcessSN],F$1)</f>
        <v>164</v>
      </c>
      <c r="G81" s="118" t="str">
        <f>IF(_018_550[[#This Row],['#08已委外數量]]&gt;0,VLOOKUP(G$1,record[[ProcessSN]:[廠商]],12,FALSE),"尚未委外")</f>
        <v>泉盛</v>
      </c>
      <c r="H81" s="123">
        <f>_018_550[[#This Row],['#08已委外數量]]-_018_550[[#This Row],['#08回
良品]]-_018_550[[#This Row],['#08委外NG]]</f>
        <v>0</v>
      </c>
      <c r="I81" s="123">
        <f>SUMIFS(record[OK],record[製程料號],_018_550[[#This Row],[製令單號]],record[ProcessSN],I$1)</f>
        <v>161</v>
      </c>
      <c r="J81" s="117">
        <f>SUMIFS(record[NG],record[製程料號],_018_550[[#This Row],[製令單號]],record[ProcessSN],J$1)</f>
        <v>3</v>
      </c>
      <c r="K81" s="124">
        <f>IFERROR(_018_550[[#This Row],['#08委外NG]]/_018_550[[#This Row],['#08已委外數量]],"")</f>
        <v>1.8292682926829267E-2</v>
      </c>
      <c r="L81" s="123">
        <f>_018_550[[#This Row],['#08回
良品]]-_018_550[[#This Row],['#06檢驗OK]]-_018_550[[#This Row],['#06
QC NG]]</f>
        <v>0</v>
      </c>
      <c r="M81" s="123">
        <f>SUMIFS(record[OK],record[製程料號],_018_550[[#This Row],[製令單號]],record[ProcessSN],M$1)</f>
        <v>161</v>
      </c>
      <c r="N81" s="117">
        <f>SUMIFS(record[NG],record[製程料號],_018_550[[#This Row],[製令單號]],record[ProcessSN],N$1)</f>
        <v>0</v>
      </c>
      <c r="O81" s="123">
        <f>_018_550[[#This Row],['#06檢驗OK]]-_018_550[[#This Row],[不良品]]-_018_550[[#This Row],[良品]]</f>
        <v>0</v>
      </c>
      <c r="P81" s="123">
        <f>SUMIFS(record[OK],record[製程料號],_018_550[[#This Row],[製令單號]],record[ProcessSN],P$1)</f>
        <v>161</v>
      </c>
      <c r="Q81" s="117">
        <f>SUMIFS(record[NG],record[製程料號],_018_550[[#This Row],[製令單號]],record[ProcessSN],Q$1)</f>
        <v>0</v>
      </c>
      <c r="R81" s="123">
        <f>_018_550[[#This Row],[良品]]-_018_550[[#This Row],[良品放行]]-_018_550[[#This Row],[不良待處理]]</f>
        <v>0</v>
      </c>
      <c r="S81" s="123">
        <f>SUMIFS(record[OK],record[製程料號],_018_550[[#This Row],[製令單號]],record[ProcessSN],S$1)</f>
        <v>161</v>
      </c>
      <c r="T81" s="117">
        <f>SUMIFS(record[NG],record[製程料號],_018_550[[#This Row],[製令單號]],record[ProcessSN],T$1)</f>
        <v>0</v>
      </c>
      <c r="U81" s="123">
        <f>_018_550[[#This Row],[良品放行]]-_018_550[[#This Row],[入庫]]</f>
        <v>0</v>
      </c>
      <c r="V81" s="123">
        <f>SUMIFS(record[OK],record[製程料號],_018_550[[#This Row],[製令單號]],record[ProcessSN],V$1)</f>
        <v>161</v>
      </c>
      <c r="W81" s="123">
        <f>_018_550[[#This Row],[入庫]]-_018_550[[#This Row],[已出貨]]</f>
        <v>0</v>
      </c>
      <c r="X81" s="137"/>
      <c r="Y81" s="123">
        <f>SUMIFS(record[OK],record[製程料號],_018_550[[#This Row],[製令單號]],record[ProcessSN],Y$1)</f>
        <v>161</v>
      </c>
      <c r="Z81" s="125">
        <f>_018_550[[#This Row],[不良待處理]]+_018_550[[#This Row],[不良品]]+_018_550[[#This Row],['#06
QC NG]]+_018_550[[#This Row],['#08委外NG]]</f>
        <v>3</v>
      </c>
      <c r="AA8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0.98170731707317072</v>
      </c>
    </row>
    <row r="82" spans="1:27" ht="30.75" x14ac:dyDescent="0.25">
      <c r="A82" s="120">
        <v>45905</v>
      </c>
      <c r="B82" s="121" t="s">
        <v>1038</v>
      </c>
      <c r="C82" s="122" t="s">
        <v>500</v>
      </c>
      <c r="D82" s="118">
        <v>300</v>
      </c>
      <c r="E82" s="123">
        <f>_018_550[[#This Row],[入料數]]-_018_550[[#This Row],['#08已委外數量]]</f>
        <v>0</v>
      </c>
      <c r="F82" s="123">
        <f>SUMIFS(record[OK],record[製程料號],_018_550[[#This Row],[製令單號]],record[ProcessSN],F$1)</f>
        <v>300</v>
      </c>
      <c r="G82" s="118" t="str">
        <f>IF(_018_550[[#This Row],['#08已委外數量]]&gt;0,VLOOKUP(G$1,record[[ProcessSN]:[廠商]],12,FALSE),"尚未委外")</f>
        <v>泉盛</v>
      </c>
      <c r="H82" s="123">
        <f>_018_550[[#This Row],['#08已委外數量]]-_018_550[[#This Row],['#08回
良品]]-_018_550[[#This Row],['#08委外NG]]</f>
        <v>0</v>
      </c>
      <c r="I82" s="123">
        <f>SUMIFS(record[OK],record[製程料號],_018_550[[#This Row],[製令單號]],record[ProcessSN],I$1)</f>
        <v>291</v>
      </c>
      <c r="J82" s="117">
        <f>SUMIFS(record[NG],record[製程料號],_018_550[[#This Row],[製令單號]],record[ProcessSN],J$1)</f>
        <v>9</v>
      </c>
      <c r="K82" s="124">
        <f>IFERROR(_018_550[[#This Row],['#08委外NG]]/_018_550[[#This Row],['#08已委外數量]],"")</f>
        <v>0.03</v>
      </c>
      <c r="L82" s="123">
        <f>_018_550[[#This Row],['#08回
良品]]-_018_550[[#This Row],['#06檢驗OK]]-_018_550[[#This Row],['#06
QC NG]]</f>
        <v>0</v>
      </c>
      <c r="M82" s="123">
        <f>SUMIFS(record[OK],record[製程料號],_018_550[[#This Row],[製令單號]],record[ProcessSN],M$1)</f>
        <v>291</v>
      </c>
      <c r="N82" s="117">
        <f>SUMIFS(record[NG],record[製程料號],_018_550[[#This Row],[製令單號]],record[ProcessSN],N$1)</f>
        <v>0</v>
      </c>
      <c r="O82" s="123">
        <f>_018_550[[#This Row],['#06檢驗OK]]-_018_550[[#This Row],[不良品]]-_018_550[[#This Row],[良品]]</f>
        <v>0</v>
      </c>
      <c r="P82" s="123">
        <f>SUMIFS(record[OK],record[製程料號],_018_550[[#This Row],[製令單號]],record[ProcessSN],P$1)</f>
        <v>291</v>
      </c>
      <c r="Q82" s="117">
        <f>SUMIFS(record[NG],record[製程料號],_018_550[[#This Row],[製令單號]],record[ProcessSN],Q$1)</f>
        <v>0</v>
      </c>
      <c r="R82" s="123">
        <f>_018_550[[#This Row],[良品]]-_018_550[[#This Row],[良品放行]]-_018_550[[#This Row],[不良待處理]]</f>
        <v>0</v>
      </c>
      <c r="S82" s="123">
        <f>SUMIFS(record[OK],record[製程料號],_018_550[[#This Row],[製令單號]],record[ProcessSN],S$1)</f>
        <v>291</v>
      </c>
      <c r="T82" s="117">
        <f>SUMIFS(record[NG],record[製程料號],_018_550[[#This Row],[製令單號]],record[ProcessSN],T$1)</f>
        <v>0</v>
      </c>
      <c r="U82" s="123">
        <f>_018_550[[#This Row],[良品放行]]-_018_550[[#This Row],[入庫]]</f>
        <v>0</v>
      </c>
      <c r="V82" s="123">
        <f>SUMIFS(record[OK],record[製程料號],_018_550[[#This Row],[製令單號]],record[ProcessSN],V$1)</f>
        <v>291</v>
      </c>
      <c r="W82" s="123">
        <f>_018_550[[#This Row],[入庫]]-_018_550[[#This Row],[已出貨]]</f>
        <v>0</v>
      </c>
      <c r="X82" s="137"/>
      <c r="Y82" s="123">
        <f>SUMIFS(record[OK],record[製程料號],_018_550[[#This Row],[製令單號]],record[ProcessSN],Y$1)</f>
        <v>291</v>
      </c>
      <c r="Z82" s="125">
        <f>_018_550[[#This Row],[不良待處理]]+_018_550[[#This Row],[不良品]]+_018_550[[#This Row],['#06
QC NG]]+_018_550[[#This Row],['#08委外NG]]</f>
        <v>9</v>
      </c>
      <c r="AA8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</v>
      </c>
    </row>
    <row r="83" spans="1:27" ht="30.75" x14ac:dyDescent="0.25">
      <c r="A83" s="120">
        <v>45911</v>
      </c>
      <c r="B83" s="121" t="s">
        <v>1047</v>
      </c>
      <c r="C83" s="122" t="s">
        <v>500</v>
      </c>
      <c r="D83" s="118">
        <v>160</v>
      </c>
      <c r="E83" s="123">
        <f>_018_550[[#This Row],[入料數]]-_018_550[[#This Row],['#08已委外數量]]</f>
        <v>0</v>
      </c>
      <c r="F83" s="123">
        <f>SUMIFS(record[OK],record[製程料號],_018_550[[#This Row],[製令單號]],record[ProcessSN],F$1)</f>
        <v>160</v>
      </c>
      <c r="G83" s="118" t="str">
        <f>IF(_018_550[[#This Row],['#08已委外數量]]&gt;0,VLOOKUP(G$1,record[[ProcessSN]:[廠商]],12,FALSE),"尚未委外")</f>
        <v>泉盛</v>
      </c>
      <c r="H83" s="123">
        <f>_018_550[[#This Row],['#08已委外數量]]-_018_550[[#This Row],['#08回
良品]]-_018_550[[#This Row],['#08委外NG]]</f>
        <v>0</v>
      </c>
      <c r="I83" s="123">
        <f>SUMIFS(record[OK],record[製程料號],_018_550[[#This Row],[製令單號]],record[ProcessSN],I$1)</f>
        <v>160</v>
      </c>
      <c r="J83" s="117">
        <f>SUMIFS(record[NG],record[製程料號],_018_550[[#This Row],[製令單號]],record[ProcessSN],J$1)</f>
        <v>0</v>
      </c>
      <c r="K83" s="124">
        <f>IFERROR(_018_550[[#This Row],['#08委外NG]]/_018_550[[#This Row],['#08已委外數量]],"")</f>
        <v>0</v>
      </c>
      <c r="L83" s="123">
        <f>_018_550[[#This Row],['#08回
良品]]-_018_550[[#This Row],['#06檢驗OK]]-_018_550[[#This Row],['#06
QC NG]]</f>
        <v>0</v>
      </c>
      <c r="M83" s="123">
        <f>SUMIFS(record[OK],record[製程料號],_018_550[[#This Row],[製令單號]],record[ProcessSN],M$1)</f>
        <v>160</v>
      </c>
      <c r="N83" s="117">
        <f>SUMIFS(record[NG],record[製程料號],_018_550[[#This Row],[製令單號]],record[ProcessSN],N$1)</f>
        <v>0</v>
      </c>
      <c r="O83" s="123">
        <f>_018_550[[#This Row],['#06檢驗OK]]-_018_550[[#This Row],[不良品]]-_018_550[[#This Row],[良品]]</f>
        <v>0</v>
      </c>
      <c r="P83" s="123">
        <f>SUMIFS(record[OK],record[製程料號],_018_550[[#This Row],[製令單號]],record[ProcessSN],P$1)</f>
        <v>160</v>
      </c>
      <c r="Q83" s="117">
        <f>SUMIFS(record[NG],record[製程料號],_018_550[[#This Row],[製令單號]],record[ProcessSN],Q$1)</f>
        <v>0</v>
      </c>
      <c r="R83" s="123">
        <f>_018_550[[#This Row],[良品]]-_018_550[[#This Row],[良品放行]]-_018_550[[#This Row],[不良待處理]]</f>
        <v>0</v>
      </c>
      <c r="S83" s="123">
        <f>SUMIFS(record[OK],record[製程料號],_018_550[[#This Row],[製令單號]],record[ProcessSN],S$1)</f>
        <v>160</v>
      </c>
      <c r="T83" s="117">
        <f>SUMIFS(record[NG],record[製程料號],_018_550[[#This Row],[製令單號]],record[ProcessSN],T$1)</f>
        <v>0</v>
      </c>
      <c r="U83" s="123">
        <f>_018_550[[#This Row],[良品放行]]-_018_550[[#This Row],[入庫]]</f>
        <v>0</v>
      </c>
      <c r="V83" s="123">
        <f>SUMIFS(record[OK],record[製程料號],_018_550[[#This Row],[製令單號]],record[ProcessSN],V$1)</f>
        <v>160</v>
      </c>
      <c r="W83" s="123">
        <f>_018_550[[#This Row],[入庫]]-_018_550[[#This Row],[已出貨]]</f>
        <v>0</v>
      </c>
      <c r="X83" s="137"/>
      <c r="Y83" s="123">
        <f>SUMIFS(record[OK],record[製程料號],_018_550[[#This Row],[製令單號]],record[ProcessSN],Y$1)</f>
        <v>160</v>
      </c>
      <c r="Z83" s="125">
        <f>_018_550[[#This Row],[不良待處理]]+_018_550[[#This Row],[不良品]]+_018_550[[#This Row],['#06
QC NG]]+_018_550[[#This Row],['#08委外NG]]</f>
        <v>0</v>
      </c>
      <c r="AA8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84" spans="1:27" ht="30.75" x14ac:dyDescent="0.25">
      <c r="A84" s="120">
        <v>45912</v>
      </c>
      <c r="B84" s="121" t="s">
        <v>1048</v>
      </c>
      <c r="C84" s="122" t="s">
        <v>500</v>
      </c>
      <c r="D84" s="118">
        <v>326</v>
      </c>
      <c r="E84" s="123">
        <f>_018_550[[#This Row],[入料數]]-_018_550[[#This Row],['#08已委外數量]]</f>
        <v>0</v>
      </c>
      <c r="F84" s="123">
        <f>SUMIFS(record[OK],record[製程料號],_018_550[[#This Row],[製令單號]],record[ProcessSN],F$1)</f>
        <v>326</v>
      </c>
      <c r="G84" s="118" t="str">
        <f>IF(_018_550[[#This Row],['#08已委外數量]]&gt;0,VLOOKUP(G$1,record[[ProcessSN]:[廠商]],12,FALSE),"尚未委外")</f>
        <v>泉盛</v>
      </c>
      <c r="H84" s="123">
        <f>_018_550[[#This Row],['#08已委外數量]]-_018_550[[#This Row],['#08回
良品]]-_018_550[[#This Row],['#08委外NG]]</f>
        <v>0</v>
      </c>
      <c r="I84" s="123">
        <f>SUMIFS(record[OK],record[製程料號],_018_550[[#This Row],[製令單號]],record[ProcessSN],I$1)</f>
        <v>313</v>
      </c>
      <c r="J84" s="117">
        <f>SUMIFS(record[NG],record[製程料號],_018_550[[#This Row],[製令單號]],record[ProcessSN],J$1)</f>
        <v>13</v>
      </c>
      <c r="K84" s="124">
        <f>IFERROR(_018_550[[#This Row],['#08委外NG]]/_018_550[[#This Row],['#08已委外數量]],"")</f>
        <v>3.9877300613496931E-2</v>
      </c>
      <c r="L84" s="123">
        <f>_018_550[[#This Row],['#08回
良品]]-_018_550[[#This Row],['#06檢驗OK]]-_018_550[[#This Row],['#06
QC NG]]</f>
        <v>0</v>
      </c>
      <c r="M84" s="123">
        <f>SUMIFS(record[OK],record[製程料號],_018_550[[#This Row],[製令單號]],record[ProcessSN],M$1)</f>
        <v>313</v>
      </c>
      <c r="N84" s="117">
        <f>SUMIFS(record[NG],record[製程料號],_018_550[[#This Row],[製令單號]],record[ProcessSN],N$1)</f>
        <v>0</v>
      </c>
      <c r="O84" s="123">
        <f>_018_550[[#This Row],['#06檢驗OK]]-_018_550[[#This Row],[不良品]]-_018_550[[#This Row],[良品]]</f>
        <v>0</v>
      </c>
      <c r="P84" s="123">
        <f>SUMIFS(record[OK],record[製程料號],_018_550[[#This Row],[製令單號]],record[ProcessSN],P$1)</f>
        <v>313</v>
      </c>
      <c r="Q84" s="117">
        <f>SUMIFS(record[NG],record[製程料號],_018_550[[#This Row],[製令單號]],record[ProcessSN],Q$1)</f>
        <v>0</v>
      </c>
      <c r="R84" s="123">
        <f>_018_550[[#This Row],[良品]]-_018_550[[#This Row],[良品放行]]-_018_550[[#This Row],[不良待處理]]</f>
        <v>0</v>
      </c>
      <c r="S84" s="123">
        <f>SUMIFS(record[OK],record[製程料號],_018_550[[#This Row],[製令單號]],record[ProcessSN],S$1)</f>
        <v>313</v>
      </c>
      <c r="T84" s="117">
        <f>SUMIFS(record[NG],record[製程料號],_018_550[[#This Row],[製令單號]],record[ProcessSN],T$1)</f>
        <v>0</v>
      </c>
      <c r="U84" s="123">
        <f>_018_550[[#This Row],[良品放行]]-_018_550[[#This Row],[入庫]]</f>
        <v>0</v>
      </c>
      <c r="V84" s="123">
        <f>SUMIFS(record[OK],record[製程料號],_018_550[[#This Row],[製令單號]],record[ProcessSN],V$1)</f>
        <v>313</v>
      </c>
      <c r="W84" s="123">
        <f>_018_550[[#This Row],[入庫]]-_018_550[[#This Row],[已出貨]]</f>
        <v>0</v>
      </c>
      <c r="X84" s="137"/>
      <c r="Y84" s="123">
        <f>SUMIFS(record[OK],record[製程料號],_018_550[[#This Row],[製令單號]],record[ProcessSN],Y$1)</f>
        <v>313</v>
      </c>
      <c r="Z84" s="125">
        <f>_018_550[[#This Row],[不良待處理]]+_018_550[[#This Row],[不良品]]+_018_550[[#This Row],['#06
QC NG]]+_018_550[[#This Row],['#08委外NG]]</f>
        <v>13</v>
      </c>
      <c r="AA8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0.96012269938650308</v>
      </c>
    </row>
    <row r="85" spans="1:27" ht="30.75" x14ac:dyDescent="0.25">
      <c r="A85" s="120">
        <v>45915</v>
      </c>
      <c r="B85" s="121" t="s">
        <v>1051</v>
      </c>
      <c r="C85" s="122" t="s">
        <v>500</v>
      </c>
      <c r="D85" s="118">
        <v>471</v>
      </c>
      <c r="E85" s="123">
        <f>_018_550[[#This Row],[入料數]]-_018_550[[#This Row],['#08已委外數量]]</f>
        <v>0</v>
      </c>
      <c r="F85" s="123">
        <f>SUMIFS(record[OK],record[製程料號],_018_550[[#This Row],[製令單號]],record[ProcessSN],F$1)</f>
        <v>471</v>
      </c>
      <c r="G85" s="118" t="str">
        <f>IF(_018_550[[#This Row],['#08已委外數量]]&gt;0,VLOOKUP(G$1,record[[ProcessSN]:[廠商]],12,FALSE),"尚未委外")</f>
        <v>泉盛</v>
      </c>
      <c r="H85" s="123">
        <f>_018_550[[#This Row],['#08已委外數量]]-_018_550[[#This Row],['#08回
良品]]-_018_550[[#This Row],['#08委外NG]]</f>
        <v>0</v>
      </c>
      <c r="I85" s="123">
        <f>SUMIFS(record[OK],record[製程料號],_018_550[[#This Row],[製令單號]],record[ProcessSN],I$1)</f>
        <v>463</v>
      </c>
      <c r="J85" s="117">
        <f>SUMIFS(record[NG],record[製程料號],_018_550[[#This Row],[製令單號]],record[ProcessSN],J$1)</f>
        <v>8</v>
      </c>
      <c r="K85" s="124">
        <f>IFERROR(_018_550[[#This Row],['#08委外NG]]/_018_550[[#This Row],['#08已委外數量]],"")</f>
        <v>1.6985138004246284E-2</v>
      </c>
      <c r="L85" s="123">
        <f>_018_550[[#This Row],['#08回
良品]]-_018_550[[#This Row],['#06檢驗OK]]-_018_550[[#This Row],['#06
QC NG]]</f>
        <v>0</v>
      </c>
      <c r="M85" s="123">
        <f>SUMIFS(record[OK],record[製程料號],_018_550[[#This Row],[製令單號]],record[ProcessSN],M$1)</f>
        <v>463</v>
      </c>
      <c r="N85" s="117">
        <f>SUMIFS(record[NG],record[製程料號],_018_550[[#This Row],[製令單號]],record[ProcessSN],N$1)</f>
        <v>0</v>
      </c>
      <c r="O85" s="123">
        <f>_018_550[[#This Row],['#06檢驗OK]]-_018_550[[#This Row],[不良品]]-_018_550[[#This Row],[良品]]</f>
        <v>0</v>
      </c>
      <c r="P85" s="123">
        <f>SUMIFS(record[OK],record[製程料號],_018_550[[#This Row],[製令單號]],record[ProcessSN],P$1)</f>
        <v>463</v>
      </c>
      <c r="Q85" s="117">
        <f>SUMIFS(record[NG],record[製程料號],_018_550[[#This Row],[製令單號]],record[ProcessSN],Q$1)</f>
        <v>0</v>
      </c>
      <c r="R85" s="123">
        <f>_018_550[[#This Row],[良品]]-_018_550[[#This Row],[良品放行]]-_018_550[[#This Row],[不良待處理]]</f>
        <v>0</v>
      </c>
      <c r="S85" s="123">
        <f>SUMIFS(record[OK],record[製程料號],_018_550[[#This Row],[製令單號]],record[ProcessSN],S$1)</f>
        <v>463</v>
      </c>
      <c r="T85" s="117">
        <f>SUMIFS(record[NG],record[製程料號],_018_550[[#This Row],[製令單號]],record[ProcessSN],T$1)</f>
        <v>0</v>
      </c>
      <c r="U85" s="123">
        <f>_018_550[[#This Row],[良品放行]]-_018_550[[#This Row],[入庫]]</f>
        <v>0</v>
      </c>
      <c r="V85" s="123">
        <f>SUMIFS(record[OK],record[製程料號],_018_550[[#This Row],[製令單號]],record[ProcessSN],V$1)</f>
        <v>463</v>
      </c>
      <c r="W85" s="123">
        <f>_018_550[[#This Row],[入庫]]-_018_550[[#This Row],[已出貨]]</f>
        <v>0</v>
      </c>
      <c r="X85" s="137"/>
      <c r="Y85" s="123">
        <f>SUMIFS(record[OK],record[製程料號],_018_550[[#This Row],[製令單號]],record[ProcessSN],Y$1)</f>
        <v>463</v>
      </c>
      <c r="Z85" s="125">
        <f>_018_550[[#This Row],[不良待處理]]+_018_550[[#This Row],[不良品]]+_018_550[[#This Row],['#06
QC NG]]+_018_550[[#This Row],['#08委外NG]]</f>
        <v>8</v>
      </c>
      <c r="AA8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0.98301486199575372</v>
      </c>
    </row>
    <row r="86" spans="1:27" ht="30.75" x14ac:dyDescent="0.25">
      <c r="A86" s="120">
        <v>45916</v>
      </c>
      <c r="B86" s="121" t="s">
        <v>1052</v>
      </c>
      <c r="C86" s="122" t="s">
        <v>500</v>
      </c>
      <c r="D86" s="118">
        <v>313</v>
      </c>
      <c r="E86" s="123">
        <f>_018_550[[#This Row],[入料數]]-_018_550[[#This Row],['#08已委外數量]]</f>
        <v>0</v>
      </c>
      <c r="F86" s="123">
        <f>SUMIFS(record[OK],record[製程料號],_018_550[[#This Row],[製令單號]],record[ProcessSN],F$1)</f>
        <v>313</v>
      </c>
      <c r="G86" s="118" t="str">
        <f>IF(_018_550[[#This Row],['#08已委外數量]]&gt;0,VLOOKUP(G$1,record[[ProcessSN]:[廠商]],12,FALSE),"尚未委外")</f>
        <v>泉盛</v>
      </c>
      <c r="H86" s="123">
        <f>_018_550[[#This Row],['#08已委外數量]]-_018_550[[#This Row],['#08回
良品]]-_018_550[[#This Row],['#08委外NG]]</f>
        <v>0</v>
      </c>
      <c r="I86" s="123">
        <f>SUMIFS(record[OK],record[製程料號],_018_550[[#This Row],[製令單號]],record[ProcessSN],I$1)</f>
        <v>312</v>
      </c>
      <c r="J86" s="117">
        <f>SUMIFS(record[NG],record[製程料號],_018_550[[#This Row],[製令單號]],record[ProcessSN],J$1)</f>
        <v>1</v>
      </c>
      <c r="K86" s="124">
        <f>IFERROR(_018_550[[#This Row],['#08委外NG]]/_018_550[[#This Row],['#08已委外數量]],"")</f>
        <v>3.1948881789137379E-3</v>
      </c>
      <c r="L86" s="123">
        <f>_018_550[[#This Row],['#08回
良品]]-_018_550[[#This Row],['#06檢驗OK]]-_018_550[[#This Row],['#06
QC NG]]</f>
        <v>0</v>
      </c>
      <c r="M86" s="123">
        <f>SUMIFS(record[OK],record[製程料號],_018_550[[#This Row],[製令單號]],record[ProcessSN],M$1)</f>
        <v>312</v>
      </c>
      <c r="N86" s="117">
        <f>SUMIFS(record[NG],record[製程料號],_018_550[[#This Row],[製令單號]],record[ProcessSN],N$1)</f>
        <v>0</v>
      </c>
      <c r="O86" s="123">
        <f>_018_550[[#This Row],['#06檢驗OK]]-_018_550[[#This Row],[不良品]]-_018_550[[#This Row],[良品]]</f>
        <v>0</v>
      </c>
      <c r="P86" s="123">
        <f>SUMIFS(record[OK],record[製程料號],_018_550[[#This Row],[製令單號]],record[ProcessSN],P$1)</f>
        <v>312</v>
      </c>
      <c r="Q86" s="117">
        <f>SUMIFS(record[NG],record[製程料號],_018_550[[#This Row],[製令單號]],record[ProcessSN],Q$1)</f>
        <v>0</v>
      </c>
      <c r="R86" s="123">
        <f>_018_550[[#This Row],[良品]]-_018_550[[#This Row],[良品放行]]-_018_550[[#This Row],[不良待處理]]</f>
        <v>0</v>
      </c>
      <c r="S86" s="123">
        <f>SUMIFS(record[OK],record[製程料號],_018_550[[#This Row],[製令單號]],record[ProcessSN],S$1)</f>
        <v>312</v>
      </c>
      <c r="T86" s="117">
        <f>SUMIFS(record[NG],record[製程料號],_018_550[[#This Row],[製令單號]],record[ProcessSN],T$1)</f>
        <v>0</v>
      </c>
      <c r="U86" s="123">
        <f>_018_550[[#This Row],[良品放行]]-_018_550[[#This Row],[入庫]]</f>
        <v>0</v>
      </c>
      <c r="V86" s="123">
        <f>SUMIFS(record[OK],record[製程料號],_018_550[[#This Row],[製令單號]],record[ProcessSN],V$1)</f>
        <v>312</v>
      </c>
      <c r="W86" s="123">
        <f>_018_550[[#This Row],[入庫]]-_018_550[[#This Row],[已出貨]]</f>
        <v>0</v>
      </c>
      <c r="X86" s="137"/>
      <c r="Y86" s="123">
        <f>SUMIFS(record[OK],record[製程料號],_018_550[[#This Row],[製令單號]],record[ProcessSN],Y$1)</f>
        <v>312</v>
      </c>
      <c r="Z86" s="125">
        <f>_018_550[[#This Row],[不良待處理]]+_018_550[[#This Row],[不良品]]+_018_550[[#This Row],['#06
QC NG]]+_018_550[[#This Row],['#08委外NG]]</f>
        <v>1</v>
      </c>
      <c r="AA8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0.99680511182108622</v>
      </c>
    </row>
    <row r="87" spans="1:27" ht="30.75" x14ac:dyDescent="0.25">
      <c r="A87" s="120">
        <v>45917</v>
      </c>
      <c r="B87" s="121" t="s">
        <v>1059</v>
      </c>
      <c r="C87" s="122" t="s">
        <v>500</v>
      </c>
      <c r="D87" s="118">
        <v>499</v>
      </c>
      <c r="E87" s="123">
        <f>_018_550[[#This Row],[入料數]]-_018_550[[#This Row],['#08已委外數量]]</f>
        <v>0</v>
      </c>
      <c r="F87" s="123">
        <f>SUMIFS(record[OK],record[製程料號],_018_550[[#This Row],[製令單號]],record[ProcessSN],F$1)</f>
        <v>499</v>
      </c>
      <c r="G87" s="118" t="str">
        <f>IF(_018_550[[#This Row],['#08已委外數量]]&gt;0,VLOOKUP(G$1,record[[ProcessSN]:[廠商]],12,FALSE),"尚未委外")</f>
        <v>泉盛</v>
      </c>
      <c r="H87" s="123">
        <f>_018_550[[#This Row],['#08已委外數量]]-_018_550[[#This Row],['#08回
良品]]-_018_550[[#This Row],['#08委外NG]]</f>
        <v>0</v>
      </c>
      <c r="I87" s="123">
        <f>SUMIFS(record[OK],record[製程料號],_018_550[[#This Row],[製令單號]],record[ProcessSN],I$1)</f>
        <v>468</v>
      </c>
      <c r="J87" s="117">
        <f>SUMIFS(record[NG],record[製程料號],_018_550[[#This Row],[製令單號]],record[ProcessSN],J$1)</f>
        <v>31</v>
      </c>
      <c r="K87" s="124">
        <f>IFERROR(_018_550[[#This Row],['#08委外NG]]/_018_550[[#This Row],['#08已委外數量]],"")</f>
        <v>6.2124248496993988E-2</v>
      </c>
      <c r="L87" s="123">
        <f>_018_550[[#This Row],['#08回
良品]]-_018_550[[#This Row],['#06檢驗OK]]-_018_550[[#This Row],['#06
QC NG]]</f>
        <v>0</v>
      </c>
      <c r="M87" s="123">
        <f>SUMIFS(record[OK],record[製程料號],_018_550[[#This Row],[製令單號]],record[ProcessSN],M$1)</f>
        <v>468</v>
      </c>
      <c r="N87" s="117">
        <f>SUMIFS(record[NG],record[製程料號],_018_550[[#This Row],[製令單號]],record[ProcessSN],N$1)</f>
        <v>0</v>
      </c>
      <c r="O87" s="123">
        <f>_018_550[[#This Row],['#06檢驗OK]]-_018_550[[#This Row],[不良品]]-_018_550[[#This Row],[良品]]</f>
        <v>0</v>
      </c>
      <c r="P87" s="123">
        <f>SUMIFS(record[OK],record[製程料號],_018_550[[#This Row],[製令單號]],record[ProcessSN],P$1)</f>
        <v>468</v>
      </c>
      <c r="Q87" s="117">
        <f>SUMIFS(record[NG],record[製程料號],_018_550[[#This Row],[製令單號]],record[ProcessSN],Q$1)</f>
        <v>0</v>
      </c>
      <c r="R87" s="123">
        <f>_018_550[[#This Row],[良品]]-_018_550[[#This Row],[良品放行]]-_018_550[[#This Row],[不良待處理]]</f>
        <v>0</v>
      </c>
      <c r="S87" s="123">
        <f>SUMIFS(record[OK],record[製程料號],_018_550[[#This Row],[製令單號]],record[ProcessSN],S$1)</f>
        <v>468</v>
      </c>
      <c r="T87" s="117">
        <f>SUMIFS(record[NG],record[製程料號],_018_550[[#This Row],[製令單號]],record[ProcessSN],T$1)</f>
        <v>0</v>
      </c>
      <c r="U87" s="123">
        <f>_018_550[[#This Row],[良品放行]]-_018_550[[#This Row],[入庫]]</f>
        <v>0</v>
      </c>
      <c r="V87" s="123">
        <f>SUMIFS(record[OK],record[製程料號],_018_550[[#This Row],[製令單號]],record[ProcessSN],V$1)</f>
        <v>468</v>
      </c>
      <c r="W87" s="123">
        <f>_018_550[[#This Row],[入庫]]-_018_550[[#This Row],[已出貨]]</f>
        <v>0</v>
      </c>
      <c r="X87" s="137"/>
      <c r="Y87" s="123">
        <f>SUMIFS(record[OK],record[製程料號],_018_550[[#This Row],[製令單號]],record[ProcessSN],Y$1)</f>
        <v>468</v>
      </c>
      <c r="Z87" s="125">
        <f>_018_550[[#This Row],[不良待處理]]+_018_550[[#This Row],[不良品]]+_018_550[[#This Row],['#06
QC NG]]+_018_550[[#This Row],['#08委外NG]]</f>
        <v>31</v>
      </c>
      <c r="AA8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0.93787575150300606</v>
      </c>
    </row>
    <row r="88" spans="1:27" ht="30.75" x14ac:dyDescent="0.25">
      <c r="A88" s="120">
        <v>45918</v>
      </c>
      <c r="B88" s="121" t="s">
        <v>1063</v>
      </c>
      <c r="C88" s="122" t="s">
        <v>500</v>
      </c>
      <c r="D88" s="118">
        <v>336</v>
      </c>
      <c r="E88" s="123">
        <f>_018_550[[#This Row],[入料數]]-_018_550[[#This Row],['#08已委外數量]]</f>
        <v>0</v>
      </c>
      <c r="F88" s="123">
        <f>SUMIFS(record[OK],record[製程料號],_018_550[[#This Row],[製令單號]],record[ProcessSN],F$1)</f>
        <v>336</v>
      </c>
      <c r="G88" s="118" t="str">
        <f>IF(_018_550[[#This Row],['#08已委外數量]]&gt;0,VLOOKUP(G$1,record[[ProcessSN]:[廠商]],12,FALSE),"尚未委外")</f>
        <v>泉盛</v>
      </c>
      <c r="H88" s="123">
        <f>_018_550[[#This Row],['#08已委外數量]]-_018_550[[#This Row],['#08回
良品]]-_018_550[[#This Row],['#08委外NG]]</f>
        <v>0</v>
      </c>
      <c r="I88" s="123">
        <f>SUMIFS(record[OK],record[製程料號],_018_550[[#This Row],[製令單號]],record[ProcessSN],I$1)</f>
        <v>336</v>
      </c>
      <c r="J88" s="117">
        <f>SUMIFS(record[NG],record[製程料號],_018_550[[#This Row],[製令單號]],record[ProcessSN],J$1)</f>
        <v>0</v>
      </c>
      <c r="K88" s="124">
        <f>IFERROR(_018_550[[#This Row],['#08委外NG]]/_018_550[[#This Row],['#08已委外數量]],"")</f>
        <v>0</v>
      </c>
      <c r="L88" s="123">
        <f>_018_550[[#This Row],['#08回
良品]]-_018_550[[#This Row],['#06檢驗OK]]-_018_550[[#This Row],['#06
QC NG]]</f>
        <v>0</v>
      </c>
      <c r="M88" s="123">
        <f>SUMIFS(record[OK],record[製程料號],_018_550[[#This Row],[製令單號]],record[ProcessSN],M$1)</f>
        <v>336</v>
      </c>
      <c r="N88" s="117">
        <f>SUMIFS(record[NG],record[製程料號],_018_550[[#This Row],[製令單號]],record[ProcessSN],N$1)</f>
        <v>0</v>
      </c>
      <c r="O88" s="123">
        <f>_018_550[[#This Row],['#06檢驗OK]]-_018_550[[#This Row],[不良品]]-_018_550[[#This Row],[良品]]</f>
        <v>0</v>
      </c>
      <c r="P88" s="123">
        <f>SUMIFS(record[OK],record[製程料號],_018_550[[#This Row],[製令單號]],record[ProcessSN],P$1)</f>
        <v>336</v>
      </c>
      <c r="Q88" s="117">
        <f>SUMIFS(record[NG],record[製程料號],_018_550[[#This Row],[製令單號]],record[ProcessSN],Q$1)</f>
        <v>0</v>
      </c>
      <c r="R88" s="123">
        <f>_018_550[[#This Row],[良品]]-_018_550[[#This Row],[良品放行]]-_018_550[[#This Row],[不良待處理]]</f>
        <v>0</v>
      </c>
      <c r="S88" s="123">
        <f>SUMIFS(record[OK],record[製程料號],_018_550[[#This Row],[製令單號]],record[ProcessSN],S$1)</f>
        <v>336</v>
      </c>
      <c r="T88" s="117">
        <f>SUMIFS(record[NG],record[製程料號],_018_550[[#This Row],[製令單號]],record[ProcessSN],T$1)</f>
        <v>0</v>
      </c>
      <c r="U88" s="123">
        <f>_018_550[[#This Row],[良品放行]]-_018_550[[#This Row],[入庫]]</f>
        <v>0</v>
      </c>
      <c r="V88" s="123">
        <f>SUMIFS(record[OK],record[製程料號],_018_550[[#This Row],[製令單號]],record[ProcessSN],V$1)</f>
        <v>336</v>
      </c>
      <c r="W88" s="123">
        <f>_018_550[[#This Row],[入庫]]-_018_550[[#This Row],[已出貨]]</f>
        <v>0</v>
      </c>
      <c r="X88" s="137"/>
      <c r="Y88" s="123">
        <f>SUMIFS(record[OK],record[製程料號],_018_550[[#This Row],[製令單號]],record[ProcessSN],Y$1)</f>
        <v>336</v>
      </c>
      <c r="Z88" s="125">
        <f>_018_550[[#This Row],[不良待處理]]+_018_550[[#This Row],[不良品]]+_018_550[[#This Row],['#06
QC NG]]+_018_550[[#This Row],['#08委外NG]]</f>
        <v>0</v>
      </c>
      <c r="AA8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89" spans="1:27" ht="30.75" x14ac:dyDescent="0.25">
      <c r="A89" s="120">
        <v>45919</v>
      </c>
      <c r="B89" s="121" t="s">
        <v>1064</v>
      </c>
      <c r="C89" s="122" t="s">
        <v>500</v>
      </c>
      <c r="D89" s="118">
        <v>318</v>
      </c>
      <c r="E89" s="123">
        <f>_018_550[[#This Row],[入料數]]-_018_550[[#This Row],['#08已委外數量]]</f>
        <v>0</v>
      </c>
      <c r="F89" s="123">
        <f>SUMIFS(record[OK],record[製程料號],_018_550[[#This Row],[製令單號]],record[ProcessSN],F$1)</f>
        <v>318</v>
      </c>
      <c r="G89" s="118" t="str">
        <f>IF(_018_550[[#This Row],['#08已委外數量]]&gt;0,VLOOKUP(G$1,record[[ProcessSN]:[廠商]],12,FALSE),"尚未委外")</f>
        <v>泉盛</v>
      </c>
      <c r="H89" s="123">
        <f>_018_550[[#This Row],['#08已委外數量]]-_018_550[[#This Row],['#08回
良品]]-_018_550[[#This Row],['#08委外NG]]</f>
        <v>0</v>
      </c>
      <c r="I89" s="123">
        <f>SUMIFS(record[OK],record[製程料號],_018_550[[#This Row],[製令單號]],record[ProcessSN],I$1)</f>
        <v>318</v>
      </c>
      <c r="J89" s="117">
        <f>SUMIFS(record[NG],record[製程料號],_018_550[[#This Row],[製令單號]],record[ProcessSN],J$1)</f>
        <v>0</v>
      </c>
      <c r="K89" s="124">
        <f>IFERROR(_018_550[[#This Row],['#08委外NG]]/_018_550[[#This Row],['#08已委外數量]],"")</f>
        <v>0</v>
      </c>
      <c r="L89" s="123">
        <f>_018_550[[#This Row],['#08回
良品]]-_018_550[[#This Row],['#06檢驗OK]]-_018_550[[#This Row],['#06
QC NG]]</f>
        <v>0</v>
      </c>
      <c r="M89" s="123">
        <f>SUMIFS(record[OK],record[製程料號],_018_550[[#This Row],[製令單號]],record[ProcessSN],M$1)</f>
        <v>318</v>
      </c>
      <c r="N89" s="117">
        <f>SUMIFS(record[NG],record[製程料號],_018_550[[#This Row],[製令單號]],record[ProcessSN],N$1)</f>
        <v>0</v>
      </c>
      <c r="O89" s="123">
        <f>_018_550[[#This Row],['#06檢驗OK]]-_018_550[[#This Row],[不良品]]-_018_550[[#This Row],[良品]]</f>
        <v>0</v>
      </c>
      <c r="P89" s="123">
        <f>SUMIFS(record[OK],record[製程料號],_018_550[[#This Row],[製令單號]],record[ProcessSN],P$1)</f>
        <v>318</v>
      </c>
      <c r="Q89" s="117">
        <f>SUMIFS(record[NG],record[製程料號],_018_550[[#This Row],[製令單號]],record[ProcessSN],Q$1)</f>
        <v>0</v>
      </c>
      <c r="R89" s="123">
        <f>_018_550[[#This Row],[良品]]-_018_550[[#This Row],[良品放行]]-_018_550[[#This Row],[不良待處理]]</f>
        <v>0</v>
      </c>
      <c r="S89" s="123">
        <f>SUMIFS(record[OK],record[製程料號],_018_550[[#This Row],[製令單號]],record[ProcessSN],S$1)</f>
        <v>318</v>
      </c>
      <c r="T89" s="117">
        <f>SUMIFS(record[NG],record[製程料號],_018_550[[#This Row],[製令單號]],record[ProcessSN],T$1)</f>
        <v>0</v>
      </c>
      <c r="U89" s="123">
        <f>_018_550[[#This Row],[良品放行]]-_018_550[[#This Row],[入庫]]</f>
        <v>0</v>
      </c>
      <c r="V89" s="123">
        <f>SUMIFS(record[OK],record[製程料號],_018_550[[#This Row],[製令單號]],record[ProcessSN],V$1)</f>
        <v>318</v>
      </c>
      <c r="W89" s="123">
        <f>_018_550[[#This Row],[入庫]]-_018_550[[#This Row],[已出貨]]</f>
        <v>0</v>
      </c>
      <c r="X89" s="137"/>
      <c r="Y89" s="123">
        <f>SUMIFS(record[OK],record[製程料號],_018_550[[#This Row],[製令單號]],record[ProcessSN],Y$1)</f>
        <v>318</v>
      </c>
      <c r="Z89" s="125">
        <f>_018_550[[#This Row],[不良待處理]]+_018_550[[#This Row],[不良品]]+_018_550[[#This Row],['#06
QC NG]]+_018_550[[#This Row],['#08委外NG]]</f>
        <v>0</v>
      </c>
      <c r="AA8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90" spans="1:27" ht="30.75" x14ac:dyDescent="0.25">
      <c r="A90" s="120">
        <v>45958</v>
      </c>
      <c r="B90" s="121" t="s">
        <v>1158</v>
      </c>
      <c r="C90" s="122" t="s">
        <v>500</v>
      </c>
      <c r="D90" s="118">
        <v>157</v>
      </c>
      <c r="E90" s="123">
        <f>_018_550[[#This Row],[入料數]]-_018_550[[#This Row],['#08已委外數量]]</f>
        <v>0</v>
      </c>
      <c r="F90" s="123">
        <f>SUMIFS(record[OK],record[製程料號],_018_550[[#This Row],[製令單號]],record[ProcessSN],F$1)</f>
        <v>157</v>
      </c>
      <c r="G90" s="118" t="str">
        <f>IF(_018_550[[#This Row],['#08已委外數量]]&gt;0,VLOOKUP(G$1,record[[ProcessSN]:[廠商]],12,FALSE),"尚未委外")</f>
        <v>泉盛</v>
      </c>
      <c r="H90" s="123">
        <f>_018_550[[#This Row],['#08已委外數量]]-_018_550[[#This Row],['#08回
良品]]-_018_550[[#This Row],['#08委外NG]]</f>
        <v>0</v>
      </c>
      <c r="I90" s="123">
        <f>SUMIFS(record[OK],record[製程料號],_018_550[[#This Row],[製令單號]],record[ProcessSN],I$1)</f>
        <v>151</v>
      </c>
      <c r="J90" s="117">
        <f>SUMIFS(record[NG],record[製程料號],_018_550[[#This Row],[製令單號]],record[ProcessSN],J$1)</f>
        <v>6</v>
      </c>
      <c r="K90" s="124">
        <f>IFERROR(_018_550[[#This Row],['#08委外NG]]/_018_550[[#This Row],['#08已委外數量]],"")</f>
        <v>3.8216560509554139E-2</v>
      </c>
      <c r="L90" s="123">
        <f>_018_550[[#This Row],['#08回
良品]]-_018_550[[#This Row],['#06檢驗OK]]-_018_550[[#This Row],['#06
QC NG]]</f>
        <v>0</v>
      </c>
      <c r="M90" s="123">
        <f>SUMIFS(record[OK],record[製程料號],_018_550[[#This Row],[製令單號]],record[ProcessSN],M$1)</f>
        <v>151</v>
      </c>
      <c r="N90" s="117">
        <f>SUMIFS(record[NG],record[製程料號],_018_550[[#This Row],[製令單號]],record[ProcessSN],N$1)</f>
        <v>0</v>
      </c>
      <c r="O90" s="123">
        <f>_018_550[[#This Row],['#06檢驗OK]]-_018_550[[#This Row],[不良品]]-_018_550[[#This Row],[良品]]</f>
        <v>0</v>
      </c>
      <c r="P90" s="123">
        <f>SUMIFS(record[OK],record[製程料號],_018_550[[#This Row],[製令單號]],record[ProcessSN],P$1)</f>
        <v>150</v>
      </c>
      <c r="Q90" s="117">
        <f>SUMIFS(record[NG],record[製程料號],_018_550[[#This Row],[製令單號]],record[ProcessSN],Q$1)</f>
        <v>1</v>
      </c>
      <c r="R90" s="123">
        <f>_018_550[[#This Row],[良品]]-_018_550[[#This Row],[良品放行]]-_018_550[[#This Row],[不良待處理]]</f>
        <v>0</v>
      </c>
      <c r="S90" s="123">
        <f>SUMIFS(record[OK],record[製程料號],_018_550[[#This Row],[製令單號]],record[ProcessSN],S$1)</f>
        <v>150</v>
      </c>
      <c r="T90" s="117">
        <f>SUMIFS(record[NG],record[製程料號],_018_550[[#This Row],[製令單號]],record[ProcessSN],T$1)</f>
        <v>0</v>
      </c>
      <c r="U90" s="123">
        <f>_018_550[[#This Row],[良品放行]]-_018_550[[#This Row],[入庫]]</f>
        <v>0</v>
      </c>
      <c r="V90" s="123">
        <f>SUMIFS(record[OK],record[製程料號],_018_550[[#This Row],[製令單號]],record[ProcessSN],V$1)</f>
        <v>150</v>
      </c>
      <c r="W90" s="123">
        <f>_018_550[[#This Row],[入庫]]-_018_550[[#This Row],[已出貨]]</f>
        <v>0</v>
      </c>
      <c r="X90" s="137"/>
      <c r="Y90" s="123">
        <f>SUMIFS(record[OK],record[製程料號],_018_550[[#This Row],[製令單號]],record[ProcessSN],Y$1)</f>
        <v>150</v>
      </c>
      <c r="Z90" s="125">
        <f>_018_550[[#This Row],[不良待處理]]+_018_550[[#This Row],[不良品]]+_018_550[[#This Row],['#06
QC NG]]+_018_550[[#This Row],['#08委外NG]]</f>
        <v>7</v>
      </c>
      <c r="AA9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0.95541401273885351</v>
      </c>
    </row>
    <row r="91" spans="1:27" ht="30.75" x14ac:dyDescent="0.25">
      <c r="A91" s="120">
        <v>45965</v>
      </c>
      <c r="B91" s="121" t="s">
        <v>1191</v>
      </c>
      <c r="C91" s="122" t="s">
        <v>500</v>
      </c>
      <c r="D91" s="118">
        <v>170</v>
      </c>
      <c r="E91" s="123">
        <f>_018_550[[#This Row],[入料數]]-_018_550[[#This Row],['#08已委外數量]]</f>
        <v>0</v>
      </c>
      <c r="F91" s="123">
        <f>SUMIFS(record[OK],record[製程料號],_018_550[[#This Row],[製令單號]],record[ProcessSN],F$1)</f>
        <v>170</v>
      </c>
      <c r="G91" s="118" t="str">
        <f>IF(_018_550[[#This Row],['#08已委外數量]]&gt;0,VLOOKUP(G$1,record[[ProcessSN]:[廠商]],12,FALSE),"尚未委外")</f>
        <v>泉盛</v>
      </c>
      <c r="H91" s="123">
        <f>_018_550[[#This Row],['#08已委外數量]]-_018_550[[#This Row],['#08回
良品]]-_018_550[[#This Row],['#08委外NG]]</f>
        <v>0</v>
      </c>
      <c r="I91" s="123">
        <f>SUMIFS(record[OK],record[製程料號],_018_550[[#This Row],[製令單號]],record[ProcessSN],I$1)</f>
        <v>162</v>
      </c>
      <c r="J91" s="117">
        <f>SUMIFS(record[NG],record[製程料號],_018_550[[#This Row],[製令單號]],record[ProcessSN],J$1)</f>
        <v>8</v>
      </c>
      <c r="K91" s="124">
        <f>IFERROR(_018_550[[#This Row],['#08委外NG]]/_018_550[[#This Row],['#08已委外數量]],"")</f>
        <v>4.7058823529411764E-2</v>
      </c>
      <c r="L91" s="123">
        <f>_018_550[[#This Row],['#08回
良品]]-_018_550[[#This Row],['#06檢驗OK]]-_018_550[[#This Row],['#06
QC NG]]</f>
        <v>0</v>
      </c>
      <c r="M91" s="123">
        <f>SUMIFS(record[OK],record[製程料號],_018_550[[#This Row],[製令單號]],record[ProcessSN],M$1)</f>
        <v>162</v>
      </c>
      <c r="N91" s="117">
        <f>SUMIFS(record[NG],record[製程料號],_018_550[[#This Row],[製令單號]],record[ProcessSN],N$1)</f>
        <v>0</v>
      </c>
      <c r="O91" s="123">
        <f>_018_550[[#This Row],['#06檢驗OK]]-_018_550[[#This Row],[不良品]]-_018_550[[#This Row],[良品]]</f>
        <v>0</v>
      </c>
      <c r="P91" s="123">
        <f>SUMIFS(record[OK],record[製程料號],_018_550[[#This Row],[製令單號]],record[ProcessSN],P$1)</f>
        <v>161</v>
      </c>
      <c r="Q91" s="117">
        <f>SUMIFS(record[NG],record[製程料號],_018_550[[#This Row],[製令單號]],record[ProcessSN],Q$1)</f>
        <v>1</v>
      </c>
      <c r="R91" s="123">
        <f>_018_550[[#This Row],[良品]]-_018_550[[#This Row],[良品放行]]-_018_550[[#This Row],[不良待處理]]</f>
        <v>0</v>
      </c>
      <c r="S91" s="123">
        <f>SUMIFS(record[OK],record[製程料號],_018_550[[#This Row],[製令單號]],record[ProcessSN],S$1)</f>
        <v>161</v>
      </c>
      <c r="T91" s="117">
        <f>SUMIFS(record[NG],record[製程料號],_018_550[[#This Row],[製令單號]],record[ProcessSN],T$1)</f>
        <v>0</v>
      </c>
      <c r="U91" s="123">
        <f>_018_550[[#This Row],[良品放行]]-_018_550[[#This Row],[入庫]]</f>
        <v>0</v>
      </c>
      <c r="V91" s="123">
        <f>SUMIFS(record[OK],record[製程料號],_018_550[[#This Row],[製令單號]],record[ProcessSN],V$1)</f>
        <v>161</v>
      </c>
      <c r="W91" s="123">
        <f>_018_550[[#This Row],[入庫]]-_018_550[[#This Row],[已出貨]]</f>
        <v>0</v>
      </c>
      <c r="X91" s="137"/>
      <c r="Y91" s="123">
        <f>SUMIFS(record[OK],record[製程料號],_018_550[[#This Row],[製令單號]],record[ProcessSN],Y$1)</f>
        <v>161</v>
      </c>
      <c r="Z91" s="125">
        <f>_018_550[[#This Row],[不良待處理]]+_018_550[[#This Row],[不良品]]+_018_550[[#This Row],['#06
QC NG]]+_018_550[[#This Row],['#08委外NG]]</f>
        <v>9</v>
      </c>
      <c r="AA9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0.94705882352941173</v>
      </c>
    </row>
    <row r="92" spans="1:27" ht="30.75" x14ac:dyDescent="0.25">
      <c r="A92" s="120">
        <v>45966</v>
      </c>
      <c r="B92" s="121" t="s">
        <v>1192</v>
      </c>
      <c r="C92" s="122" t="s">
        <v>500</v>
      </c>
      <c r="D92" s="118">
        <v>208</v>
      </c>
      <c r="E92" s="123">
        <f>_018_550[[#This Row],[入料數]]-_018_550[[#This Row],['#08已委外數量]]</f>
        <v>0</v>
      </c>
      <c r="F92" s="123">
        <f>SUMIFS(record[OK],record[製程料號],_018_550[[#This Row],[製令單號]],record[ProcessSN],F$1)</f>
        <v>208</v>
      </c>
      <c r="G92" s="118" t="str">
        <f>IF(_018_550[[#This Row],['#08已委外數量]]&gt;0,VLOOKUP(G$1,record[[ProcessSN]:[廠商]],12,FALSE),"尚未委外")</f>
        <v>泉盛</v>
      </c>
      <c r="H92" s="123">
        <f>_018_550[[#This Row],['#08已委外數量]]-_018_550[[#This Row],['#08回
良品]]-_018_550[[#This Row],['#08委外NG]]</f>
        <v>0</v>
      </c>
      <c r="I92" s="123">
        <f>SUMIFS(record[OK],record[製程料號],_018_550[[#This Row],[製令單號]],record[ProcessSN],I$1)</f>
        <v>208</v>
      </c>
      <c r="J92" s="117">
        <f>SUMIFS(record[NG],record[製程料號],_018_550[[#This Row],[製令單號]],record[ProcessSN],J$1)</f>
        <v>0</v>
      </c>
      <c r="K92" s="124">
        <f>IFERROR(_018_550[[#This Row],['#08委外NG]]/_018_550[[#This Row],['#08已委外數量]],"")</f>
        <v>0</v>
      </c>
      <c r="L92" s="123">
        <f>_018_550[[#This Row],['#08回
良品]]-_018_550[[#This Row],['#06檢驗OK]]-_018_550[[#This Row],['#06
QC NG]]</f>
        <v>0</v>
      </c>
      <c r="M92" s="123">
        <f>SUMIFS(record[OK],record[製程料號],_018_550[[#This Row],[製令單號]],record[ProcessSN],M$1)</f>
        <v>208</v>
      </c>
      <c r="N92" s="117">
        <f>SUMIFS(record[NG],record[製程料號],_018_550[[#This Row],[製令單號]],record[ProcessSN],N$1)</f>
        <v>0</v>
      </c>
      <c r="O92" s="123">
        <f>_018_550[[#This Row],['#06檢驗OK]]-_018_550[[#This Row],[不良品]]-_018_550[[#This Row],[良品]]</f>
        <v>0</v>
      </c>
      <c r="P92" s="123">
        <f>SUMIFS(record[OK],record[製程料號],_018_550[[#This Row],[製令單號]],record[ProcessSN],P$1)</f>
        <v>208</v>
      </c>
      <c r="Q92" s="117">
        <f>SUMIFS(record[NG],record[製程料號],_018_550[[#This Row],[製令單號]],record[ProcessSN],Q$1)</f>
        <v>0</v>
      </c>
      <c r="R92" s="123">
        <f>_018_550[[#This Row],[良品]]-_018_550[[#This Row],[良品放行]]-_018_550[[#This Row],[不良待處理]]</f>
        <v>0</v>
      </c>
      <c r="S92" s="123">
        <f>SUMIFS(record[OK],record[製程料號],_018_550[[#This Row],[製令單號]],record[ProcessSN],S$1)</f>
        <v>208</v>
      </c>
      <c r="T92" s="117">
        <f>SUMIFS(record[NG],record[製程料號],_018_550[[#This Row],[製令單號]],record[ProcessSN],T$1)</f>
        <v>0</v>
      </c>
      <c r="U92" s="123">
        <f>_018_550[[#This Row],[良品放行]]-_018_550[[#This Row],[入庫]]</f>
        <v>0</v>
      </c>
      <c r="V92" s="123">
        <f>SUMIFS(record[OK],record[製程料號],_018_550[[#This Row],[製令單號]],record[ProcessSN],V$1)</f>
        <v>208</v>
      </c>
      <c r="W92" s="123">
        <f>_018_550[[#This Row],[入庫]]-_018_550[[#This Row],[已出貨]]</f>
        <v>0</v>
      </c>
      <c r="X92" s="137"/>
      <c r="Y92" s="123">
        <f>SUMIFS(record[OK],record[製程料號],_018_550[[#This Row],[製令單號]],record[ProcessSN],Y$1)</f>
        <v>208</v>
      </c>
      <c r="Z92" s="125">
        <f>_018_550[[#This Row],[不良待處理]]+_018_550[[#This Row],[不良品]]+_018_550[[#This Row],['#06
QC NG]]+_018_550[[#This Row],['#08委外NG]]</f>
        <v>0</v>
      </c>
      <c r="AA9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93" spans="1:27" ht="30.75" x14ac:dyDescent="0.25">
      <c r="A93" s="120">
        <v>45967</v>
      </c>
      <c r="B93" s="121" t="s">
        <v>1198</v>
      </c>
      <c r="C93" s="122" t="s">
        <v>500</v>
      </c>
      <c r="D93" s="118">
        <v>264</v>
      </c>
      <c r="E93" s="123">
        <f>_018_550[[#This Row],[入料數]]-_018_550[[#This Row],['#08已委外數量]]</f>
        <v>0</v>
      </c>
      <c r="F93" s="123">
        <f>SUMIFS(record[OK],record[製程料號],_018_550[[#This Row],[製令單號]],record[ProcessSN],F$1)</f>
        <v>264</v>
      </c>
      <c r="G93" s="118" t="str">
        <f>IF(_018_550[[#This Row],['#08已委外數量]]&gt;0,VLOOKUP(G$1,record[[ProcessSN]:[廠商]],12,FALSE),"尚未委外")</f>
        <v>泉盛</v>
      </c>
      <c r="H93" s="123">
        <f>_018_550[[#This Row],['#08已委外數量]]-_018_550[[#This Row],['#08回
良品]]-_018_550[[#This Row],['#08委外NG]]</f>
        <v>0</v>
      </c>
      <c r="I93" s="123">
        <f>SUMIFS(record[OK],record[製程料號],_018_550[[#This Row],[製令單號]],record[ProcessSN],I$1)</f>
        <v>253</v>
      </c>
      <c r="J93" s="117">
        <f>SUMIFS(record[NG],record[製程料號],_018_550[[#This Row],[製令單號]],record[ProcessSN],J$1)</f>
        <v>11</v>
      </c>
      <c r="K93" s="124">
        <f>IFERROR(_018_550[[#This Row],['#08委外NG]]/_018_550[[#This Row],['#08已委外數量]],"")</f>
        <v>4.1666666666666664E-2</v>
      </c>
      <c r="L93" s="123">
        <f>_018_550[[#This Row],['#08回
良品]]-_018_550[[#This Row],['#06檢驗OK]]-_018_550[[#This Row],['#06
QC NG]]</f>
        <v>0</v>
      </c>
      <c r="M93" s="123">
        <f>SUMIFS(record[OK],record[製程料號],_018_550[[#This Row],[製令單號]],record[ProcessSN],M$1)</f>
        <v>253</v>
      </c>
      <c r="N93" s="117">
        <f>SUMIFS(record[NG],record[製程料號],_018_550[[#This Row],[製令單號]],record[ProcessSN],N$1)</f>
        <v>0</v>
      </c>
      <c r="O93" s="123">
        <f>_018_550[[#This Row],['#06檢驗OK]]-_018_550[[#This Row],[不良品]]-_018_550[[#This Row],[良品]]</f>
        <v>0</v>
      </c>
      <c r="P93" s="123">
        <f>SUMIFS(record[OK],record[製程料號],_018_550[[#This Row],[製令單號]],record[ProcessSN],P$1)</f>
        <v>253</v>
      </c>
      <c r="Q93" s="117">
        <f>SUMIFS(record[NG],record[製程料號],_018_550[[#This Row],[製令單號]],record[ProcessSN],Q$1)</f>
        <v>0</v>
      </c>
      <c r="R93" s="123">
        <f>_018_550[[#This Row],[良品]]-_018_550[[#This Row],[良品放行]]-_018_550[[#This Row],[不良待處理]]</f>
        <v>0</v>
      </c>
      <c r="S93" s="123">
        <f>SUMIFS(record[OK],record[製程料號],_018_550[[#This Row],[製令單號]],record[ProcessSN],S$1)</f>
        <v>253</v>
      </c>
      <c r="T93" s="117">
        <f>SUMIFS(record[NG],record[製程料號],_018_550[[#This Row],[製令單號]],record[ProcessSN],T$1)</f>
        <v>0</v>
      </c>
      <c r="U93" s="123">
        <f>_018_550[[#This Row],[良品放行]]-_018_550[[#This Row],[入庫]]</f>
        <v>0</v>
      </c>
      <c r="V93" s="123">
        <f>SUMIFS(record[OK],record[製程料號],_018_550[[#This Row],[製令單號]],record[ProcessSN],V$1)</f>
        <v>253</v>
      </c>
      <c r="W93" s="123">
        <f>_018_550[[#This Row],[入庫]]-_018_550[[#This Row],[已出貨]]</f>
        <v>0</v>
      </c>
      <c r="X93" s="137"/>
      <c r="Y93" s="123">
        <f>SUMIFS(record[OK],record[製程料號],_018_550[[#This Row],[製令單號]],record[ProcessSN],Y$1)</f>
        <v>253</v>
      </c>
      <c r="Z93" s="125">
        <f>_018_550[[#This Row],[不良待處理]]+_018_550[[#This Row],[不良品]]+_018_550[[#This Row],['#06
QC NG]]+_018_550[[#This Row],['#08委外NG]]</f>
        <v>11</v>
      </c>
      <c r="AA9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0.95833333333333337</v>
      </c>
    </row>
    <row r="94" spans="1:27" ht="30.75" x14ac:dyDescent="0.25">
      <c r="A94" s="120">
        <v>45968</v>
      </c>
      <c r="B94" s="121" t="s">
        <v>1200</v>
      </c>
      <c r="C94" s="122" t="s">
        <v>500</v>
      </c>
      <c r="D94" s="118">
        <v>298</v>
      </c>
      <c r="E94" s="123">
        <f>_018_550[[#This Row],[入料數]]-_018_550[[#This Row],['#08已委外數量]]</f>
        <v>0</v>
      </c>
      <c r="F94" s="123">
        <f>SUMIFS(record[OK],record[製程料號],_018_550[[#This Row],[製令單號]],record[ProcessSN],F$1)</f>
        <v>298</v>
      </c>
      <c r="G94" s="118" t="str">
        <f>IF(_018_550[[#This Row],['#08已委外數量]]&gt;0,VLOOKUP(G$1,record[[ProcessSN]:[廠商]],12,FALSE),"尚未委外")</f>
        <v>泉盛</v>
      </c>
      <c r="H94" s="123">
        <f>_018_550[[#This Row],['#08已委外數量]]-_018_550[[#This Row],['#08回
良品]]-_018_550[[#This Row],['#08委外NG]]</f>
        <v>0</v>
      </c>
      <c r="I94" s="123">
        <f>SUMIFS(record[OK],record[製程料號],_018_550[[#This Row],[製令單號]],record[ProcessSN],I$1)</f>
        <v>298</v>
      </c>
      <c r="J94" s="117">
        <f>SUMIFS(record[NG],record[製程料號],_018_550[[#This Row],[製令單號]],record[ProcessSN],J$1)</f>
        <v>0</v>
      </c>
      <c r="K94" s="124">
        <f>IFERROR(_018_550[[#This Row],['#08委外NG]]/_018_550[[#This Row],['#08已委外數量]],"")</f>
        <v>0</v>
      </c>
      <c r="L94" s="123">
        <f>_018_550[[#This Row],['#08回
良品]]-_018_550[[#This Row],['#06檢驗OK]]-_018_550[[#This Row],['#06
QC NG]]</f>
        <v>0</v>
      </c>
      <c r="M94" s="123">
        <f>SUMIFS(record[OK],record[製程料號],_018_550[[#This Row],[製令單號]],record[ProcessSN],M$1)</f>
        <v>298</v>
      </c>
      <c r="N94" s="117">
        <f>SUMIFS(record[NG],record[製程料號],_018_550[[#This Row],[製令單號]],record[ProcessSN],N$1)</f>
        <v>0</v>
      </c>
      <c r="O94" s="123">
        <f>_018_550[[#This Row],['#06檢驗OK]]-_018_550[[#This Row],[不良品]]-_018_550[[#This Row],[良品]]</f>
        <v>0</v>
      </c>
      <c r="P94" s="123">
        <f>SUMIFS(record[OK],record[製程料號],_018_550[[#This Row],[製令單號]],record[ProcessSN],P$1)</f>
        <v>298</v>
      </c>
      <c r="Q94" s="117">
        <f>SUMIFS(record[NG],record[製程料號],_018_550[[#This Row],[製令單號]],record[ProcessSN],Q$1)</f>
        <v>0</v>
      </c>
      <c r="R94" s="123">
        <f>_018_550[[#This Row],[良品]]-_018_550[[#This Row],[良品放行]]-_018_550[[#This Row],[不良待處理]]</f>
        <v>0</v>
      </c>
      <c r="S94" s="123">
        <f>SUMIFS(record[OK],record[製程料號],_018_550[[#This Row],[製令單號]],record[ProcessSN],S$1)</f>
        <v>298</v>
      </c>
      <c r="T94" s="117">
        <f>SUMIFS(record[NG],record[製程料號],_018_550[[#This Row],[製令單號]],record[ProcessSN],T$1)</f>
        <v>0</v>
      </c>
      <c r="U94" s="123">
        <f>_018_550[[#This Row],[良品放行]]-_018_550[[#This Row],[入庫]]</f>
        <v>0</v>
      </c>
      <c r="V94" s="123">
        <f>SUMIFS(record[OK],record[製程料號],_018_550[[#This Row],[製令單號]],record[ProcessSN],V$1)</f>
        <v>298</v>
      </c>
      <c r="W94" s="123">
        <f>_018_550[[#This Row],[入庫]]-_018_550[[#This Row],[已出貨]]</f>
        <v>0</v>
      </c>
      <c r="X94" s="137"/>
      <c r="Y94" s="123">
        <f>SUMIFS(record[OK],record[製程料號],_018_550[[#This Row],[製令單號]],record[ProcessSN],Y$1)</f>
        <v>298</v>
      </c>
      <c r="Z94" s="125">
        <f>_018_550[[#This Row],[不良待處理]]+_018_550[[#This Row],[不良品]]+_018_550[[#This Row],['#06
QC NG]]+_018_550[[#This Row],['#08委外NG]]</f>
        <v>0</v>
      </c>
      <c r="AA9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95" spans="1:27" ht="30.75" x14ac:dyDescent="0.25">
      <c r="A95" s="120">
        <v>45971</v>
      </c>
      <c r="B95" s="121" t="s">
        <v>1204</v>
      </c>
      <c r="C95" s="122" t="s">
        <v>500</v>
      </c>
      <c r="D95" s="118">
        <v>204</v>
      </c>
      <c r="E95" s="123">
        <f>_018_550[[#This Row],[入料數]]-_018_550[[#This Row],['#08已委外數量]]</f>
        <v>0</v>
      </c>
      <c r="F95" s="123">
        <f>SUMIFS(record[OK],record[製程料號],_018_550[[#This Row],[製令單號]],record[ProcessSN],F$1)</f>
        <v>204</v>
      </c>
      <c r="G95" s="118" t="str">
        <f>IF(_018_550[[#This Row],['#08已委外數量]]&gt;0,VLOOKUP(G$1,record[[ProcessSN]:[廠商]],12,FALSE),"尚未委外")</f>
        <v>泉盛</v>
      </c>
      <c r="H95" s="123">
        <f>_018_550[[#This Row],['#08已委外數量]]-_018_550[[#This Row],['#08回
良品]]-_018_550[[#This Row],['#08委外NG]]</f>
        <v>0</v>
      </c>
      <c r="I95" s="123">
        <f>SUMIFS(record[OK],record[製程料號],_018_550[[#This Row],[製令單號]],record[ProcessSN],I$1)</f>
        <v>176</v>
      </c>
      <c r="J95" s="117">
        <f>SUMIFS(record[NG],record[製程料號],_018_550[[#This Row],[製令單號]],record[ProcessSN],J$1)</f>
        <v>28</v>
      </c>
      <c r="K95" s="124">
        <f>IFERROR(_018_550[[#This Row],['#08委外NG]]/_018_550[[#This Row],['#08已委外數量]],"")</f>
        <v>0.13725490196078433</v>
      </c>
      <c r="L95" s="123">
        <f>_018_550[[#This Row],['#08回
良品]]-_018_550[[#This Row],['#06檢驗OK]]-_018_550[[#This Row],['#06
QC NG]]</f>
        <v>0</v>
      </c>
      <c r="M95" s="123">
        <f>SUMIFS(record[OK],record[製程料號],_018_550[[#This Row],[製令單號]],record[ProcessSN],M$1)</f>
        <v>176</v>
      </c>
      <c r="N95" s="117">
        <f>SUMIFS(record[NG],record[製程料號],_018_550[[#This Row],[製令單號]],record[ProcessSN],N$1)</f>
        <v>0</v>
      </c>
      <c r="O95" s="123">
        <f>_018_550[[#This Row],['#06檢驗OK]]-_018_550[[#This Row],[不良品]]-_018_550[[#This Row],[良品]]</f>
        <v>0</v>
      </c>
      <c r="P95" s="123">
        <f>SUMIFS(record[OK],record[製程料號],_018_550[[#This Row],[製令單號]],record[ProcessSN],P$1)</f>
        <v>176</v>
      </c>
      <c r="Q95" s="117">
        <f>SUMIFS(record[NG],record[製程料號],_018_550[[#This Row],[製令單號]],record[ProcessSN],Q$1)</f>
        <v>0</v>
      </c>
      <c r="R95" s="123">
        <f>_018_550[[#This Row],[良品]]-_018_550[[#This Row],[良品放行]]-_018_550[[#This Row],[不良待處理]]</f>
        <v>0</v>
      </c>
      <c r="S95" s="123">
        <f>SUMIFS(record[OK],record[製程料號],_018_550[[#This Row],[製令單號]],record[ProcessSN],S$1)</f>
        <v>176</v>
      </c>
      <c r="T95" s="117">
        <f>SUMIFS(record[NG],record[製程料號],_018_550[[#This Row],[製令單號]],record[ProcessSN],T$1)</f>
        <v>0</v>
      </c>
      <c r="U95" s="123">
        <f>_018_550[[#This Row],[良品放行]]-_018_550[[#This Row],[入庫]]</f>
        <v>0</v>
      </c>
      <c r="V95" s="123">
        <f>SUMIFS(record[OK],record[製程料號],_018_550[[#This Row],[製令單號]],record[ProcessSN],V$1)</f>
        <v>176</v>
      </c>
      <c r="W95" s="123">
        <f>_018_550[[#This Row],[入庫]]-_018_550[[#This Row],[已出貨]]</f>
        <v>0</v>
      </c>
      <c r="X95" s="137"/>
      <c r="Y95" s="123">
        <f>SUMIFS(record[OK],record[製程料號],_018_550[[#This Row],[製令單號]],record[ProcessSN],Y$1)</f>
        <v>176</v>
      </c>
      <c r="Z95" s="125">
        <f>_018_550[[#This Row],[不良待處理]]+_018_550[[#This Row],[不良品]]+_018_550[[#This Row],['#06
QC NG]]+_018_550[[#This Row],['#08委外NG]]</f>
        <v>28</v>
      </c>
      <c r="AA9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0.86274509803921573</v>
      </c>
    </row>
    <row r="96" spans="1:27" ht="30.75" x14ac:dyDescent="0.25">
      <c r="A96" s="120">
        <v>45971</v>
      </c>
      <c r="B96" s="121" t="s">
        <v>1205</v>
      </c>
      <c r="C96" s="122" t="s">
        <v>500</v>
      </c>
      <c r="D96" s="118">
        <v>327</v>
      </c>
      <c r="E96" s="123">
        <f>_018_550[[#This Row],[入料數]]-_018_550[[#This Row],['#08已委外數量]]</f>
        <v>0</v>
      </c>
      <c r="F96" s="123">
        <f>SUMIFS(record[OK],record[製程料號],_018_550[[#This Row],[製令單號]],record[ProcessSN],F$1)</f>
        <v>327</v>
      </c>
      <c r="G96" s="118" t="str">
        <f>IF(_018_550[[#This Row],['#08已委外數量]]&gt;0,VLOOKUP(G$1,record[[ProcessSN]:[廠商]],12,FALSE),"尚未委外")</f>
        <v>泉盛</v>
      </c>
      <c r="H96" s="123">
        <f>_018_550[[#This Row],['#08已委外數量]]-_018_550[[#This Row],['#08回
良品]]-_018_550[[#This Row],['#08委外NG]]</f>
        <v>0</v>
      </c>
      <c r="I96" s="123">
        <f>SUMIFS(record[OK],record[製程料號],_018_550[[#This Row],[製令單號]],record[ProcessSN],I$1)</f>
        <v>327</v>
      </c>
      <c r="J96" s="117">
        <f>SUMIFS(record[NG],record[製程料號],_018_550[[#This Row],[製令單號]],record[ProcessSN],J$1)</f>
        <v>0</v>
      </c>
      <c r="K96" s="124">
        <f>IFERROR(_018_550[[#This Row],['#08委外NG]]/_018_550[[#This Row],['#08已委外數量]],"")</f>
        <v>0</v>
      </c>
      <c r="L96" s="123">
        <f>_018_550[[#This Row],['#08回
良品]]-_018_550[[#This Row],['#06檢驗OK]]-_018_550[[#This Row],['#06
QC NG]]</f>
        <v>0</v>
      </c>
      <c r="M96" s="123">
        <f>SUMIFS(record[OK],record[製程料號],_018_550[[#This Row],[製令單號]],record[ProcessSN],M$1)</f>
        <v>327</v>
      </c>
      <c r="N96" s="117">
        <f>SUMIFS(record[NG],record[製程料號],_018_550[[#This Row],[製令單號]],record[ProcessSN],N$1)</f>
        <v>0</v>
      </c>
      <c r="O96" s="123">
        <f>_018_550[[#This Row],['#06檢驗OK]]-_018_550[[#This Row],[不良品]]-_018_550[[#This Row],[良品]]</f>
        <v>0</v>
      </c>
      <c r="P96" s="123">
        <f>SUMIFS(record[OK],record[製程料號],_018_550[[#This Row],[製令單號]],record[ProcessSN],P$1)</f>
        <v>327</v>
      </c>
      <c r="Q96" s="117">
        <f>SUMIFS(record[NG],record[製程料號],_018_550[[#This Row],[製令單號]],record[ProcessSN],Q$1)</f>
        <v>0</v>
      </c>
      <c r="R96" s="123">
        <f>_018_550[[#This Row],[良品]]-_018_550[[#This Row],[良品放行]]-_018_550[[#This Row],[不良待處理]]</f>
        <v>0</v>
      </c>
      <c r="S96" s="123">
        <f>SUMIFS(record[OK],record[製程料號],_018_550[[#This Row],[製令單號]],record[ProcessSN],S$1)</f>
        <v>327</v>
      </c>
      <c r="T96" s="117">
        <f>SUMIFS(record[NG],record[製程料號],_018_550[[#This Row],[製令單號]],record[ProcessSN],T$1)</f>
        <v>0</v>
      </c>
      <c r="U96" s="123">
        <f>_018_550[[#This Row],[良品放行]]-_018_550[[#This Row],[入庫]]</f>
        <v>0</v>
      </c>
      <c r="V96" s="123">
        <f>SUMIFS(record[OK],record[製程料號],_018_550[[#This Row],[製令單號]],record[ProcessSN],V$1)</f>
        <v>327</v>
      </c>
      <c r="W96" s="123">
        <f>_018_550[[#This Row],[入庫]]-_018_550[[#This Row],[已出貨]]</f>
        <v>0</v>
      </c>
      <c r="X96" s="137"/>
      <c r="Y96" s="123">
        <f>SUMIFS(record[OK],record[製程料號],_018_550[[#This Row],[製令單號]],record[ProcessSN],Y$1)</f>
        <v>327</v>
      </c>
      <c r="Z96" s="125">
        <f>_018_550[[#This Row],[不良待處理]]+_018_550[[#This Row],[不良品]]+_018_550[[#This Row],['#06
QC NG]]+_018_550[[#This Row],['#08委外NG]]</f>
        <v>0</v>
      </c>
      <c r="AA9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97" spans="1:27" ht="30.75" x14ac:dyDescent="0.25">
      <c r="A97" s="120">
        <v>45975</v>
      </c>
      <c r="B97" s="121" t="s">
        <v>1214</v>
      </c>
      <c r="C97" s="122" t="s">
        <v>500</v>
      </c>
      <c r="D97" s="118">
        <v>158</v>
      </c>
      <c r="E97" s="123">
        <f>_018_550[[#This Row],[入料數]]-_018_550[[#This Row],['#08已委外數量]]</f>
        <v>0</v>
      </c>
      <c r="F97" s="123">
        <f>SUMIFS(record[OK],record[製程料號],_018_550[[#This Row],[製令單號]],record[ProcessSN],F$1)</f>
        <v>158</v>
      </c>
      <c r="G97" s="118" t="str">
        <f>IF(_018_550[[#This Row],['#08已委外數量]]&gt;0,VLOOKUP(G$1,record[[ProcessSN]:[廠商]],12,FALSE),"尚未委外")</f>
        <v>泉盛</v>
      </c>
      <c r="H97" s="123">
        <f>_018_550[[#This Row],['#08已委外數量]]-_018_550[[#This Row],['#08回
良品]]-_018_550[[#This Row],['#08委外NG]]</f>
        <v>0</v>
      </c>
      <c r="I97" s="123">
        <f>SUMIFS(record[OK],record[製程料號],_018_550[[#This Row],[製令單號]],record[ProcessSN],I$1)</f>
        <v>158</v>
      </c>
      <c r="J97" s="117">
        <f>SUMIFS(record[NG],record[製程料號],_018_550[[#This Row],[製令單號]],record[ProcessSN],J$1)</f>
        <v>0</v>
      </c>
      <c r="K97" s="124">
        <f>IFERROR(_018_550[[#This Row],['#08委外NG]]/_018_550[[#This Row],['#08已委外數量]],"")</f>
        <v>0</v>
      </c>
      <c r="L97" s="123">
        <f>_018_550[[#This Row],['#08回
良品]]-_018_550[[#This Row],['#06檢驗OK]]-_018_550[[#This Row],['#06
QC NG]]</f>
        <v>0</v>
      </c>
      <c r="M97" s="123">
        <f>SUMIFS(record[OK],record[製程料號],_018_550[[#This Row],[製令單號]],record[ProcessSN],M$1)</f>
        <v>158</v>
      </c>
      <c r="N97" s="117">
        <f>SUMIFS(record[NG],record[製程料號],_018_550[[#This Row],[製令單號]],record[ProcessSN],N$1)</f>
        <v>0</v>
      </c>
      <c r="O97" s="123">
        <f>_018_550[[#This Row],['#06檢驗OK]]-_018_550[[#This Row],[不良品]]-_018_550[[#This Row],[良品]]</f>
        <v>0</v>
      </c>
      <c r="P97" s="123">
        <f>SUMIFS(record[OK],record[製程料號],_018_550[[#This Row],[製令單號]],record[ProcessSN],P$1)</f>
        <v>158</v>
      </c>
      <c r="Q97" s="117">
        <f>SUMIFS(record[NG],record[製程料號],_018_550[[#This Row],[製令單號]],record[ProcessSN],Q$1)</f>
        <v>0</v>
      </c>
      <c r="R97" s="123">
        <f>_018_550[[#This Row],[良品]]-_018_550[[#This Row],[良品放行]]-_018_550[[#This Row],[不良待處理]]</f>
        <v>0</v>
      </c>
      <c r="S97" s="123">
        <f>SUMIFS(record[OK],record[製程料號],_018_550[[#This Row],[製令單號]],record[ProcessSN],S$1)</f>
        <v>158</v>
      </c>
      <c r="T97" s="117">
        <f>SUMIFS(record[NG],record[製程料號],_018_550[[#This Row],[製令單號]],record[ProcessSN],T$1)</f>
        <v>0</v>
      </c>
      <c r="U97" s="123">
        <f>_018_550[[#This Row],[良品放行]]-_018_550[[#This Row],[入庫]]</f>
        <v>0</v>
      </c>
      <c r="V97" s="123">
        <f>SUMIFS(record[OK],record[製程料號],_018_550[[#This Row],[製令單號]],record[ProcessSN],V$1)</f>
        <v>158</v>
      </c>
      <c r="W97" s="123">
        <f>_018_550[[#This Row],[入庫]]-_018_550[[#This Row],[已出貨]]</f>
        <v>0</v>
      </c>
      <c r="X97" s="137"/>
      <c r="Y97" s="123">
        <f>SUMIFS(record[OK],record[製程料號],_018_550[[#This Row],[製令單號]],record[ProcessSN],Y$1)</f>
        <v>158</v>
      </c>
      <c r="Z97" s="125">
        <f>_018_550[[#This Row],[不良待處理]]+_018_550[[#This Row],[不良品]]+_018_550[[#This Row],['#06
QC NG]]+_018_550[[#This Row],['#08委外NG]]</f>
        <v>0</v>
      </c>
      <c r="AA9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98" spans="1:27" ht="30.75" x14ac:dyDescent="0.25">
      <c r="A98" s="120">
        <v>45978</v>
      </c>
      <c r="B98" s="121" t="s">
        <v>1218</v>
      </c>
      <c r="C98" s="122" t="s">
        <v>500</v>
      </c>
      <c r="D98" s="118">
        <v>100</v>
      </c>
      <c r="E98" s="123">
        <f>_018_550[[#This Row],[入料數]]-_018_550[[#This Row],['#08已委外數量]]</f>
        <v>0</v>
      </c>
      <c r="F98" s="123">
        <f>SUMIFS(record[OK],record[製程料號],_018_550[[#This Row],[製令單號]],record[ProcessSN],F$1)</f>
        <v>100</v>
      </c>
      <c r="G98" s="118" t="str">
        <f>IF(_018_550[[#This Row],['#08已委外數量]]&gt;0,VLOOKUP(G$1,record[[ProcessSN]:[廠商]],12,FALSE),"尚未委外")</f>
        <v>泉盛</v>
      </c>
      <c r="H98" s="123">
        <f>_018_550[[#This Row],['#08已委外數量]]-_018_550[[#This Row],['#08回
良品]]-_018_550[[#This Row],['#08委外NG]]</f>
        <v>0</v>
      </c>
      <c r="I98" s="123">
        <f>SUMIFS(record[OK],record[製程料號],_018_550[[#This Row],[製令單號]],record[ProcessSN],I$1)</f>
        <v>88</v>
      </c>
      <c r="J98" s="117">
        <f>SUMIFS(record[NG],record[製程料號],_018_550[[#This Row],[製令單號]],record[ProcessSN],J$1)</f>
        <v>12</v>
      </c>
      <c r="K98" s="124">
        <f>IFERROR(_018_550[[#This Row],['#08委外NG]]/_018_550[[#This Row],['#08已委外數量]],"")</f>
        <v>0.12</v>
      </c>
      <c r="L98" s="123">
        <f>_018_550[[#This Row],['#08回
良品]]-_018_550[[#This Row],['#06檢驗OK]]-_018_550[[#This Row],['#06
QC NG]]</f>
        <v>0</v>
      </c>
      <c r="M98" s="123">
        <f>SUMIFS(record[OK],record[製程料號],_018_550[[#This Row],[製令單號]],record[ProcessSN],M$1)</f>
        <v>88</v>
      </c>
      <c r="N98" s="117">
        <f>SUMIFS(record[NG],record[製程料號],_018_550[[#This Row],[製令單號]],record[ProcessSN],N$1)</f>
        <v>0</v>
      </c>
      <c r="O98" s="123">
        <f>_018_550[[#This Row],['#06檢驗OK]]-_018_550[[#This Row],[不良品]]-_018_550[[#This Row],[良品]]</f>
        <v>0</v>
      </c>
      <c r="P98" s="123">
        <f>SUMIFS(record[OK],record[製程料號],_018_550[[#This Row],[製令單號]],record[ProcessSN],P$1)</f>
        <v>88</v>
      </c>
      <c r="Q98" s="117">
        <f>SUMIFS(record[NG],record[製程料號],_018_550[[#This Row],[製令單號]],record[ProcessSN],Q$1)</f>
        <v>0</v>
      </c>
      <c r="R98" s="123">
        <f>_018_550[[#This Row],[良品]]-_018_550[[#This Row],[良品放行]]-_018_550[[#This Row],[不良待處理]]</f>
        <v>0</v>
      </c>
      <c r="S98" s="123">
        <f>SUMIFS(record[OK],record[製程料號],_018_550[[#This Row],[製令單號]],record[ProcessSN],S$1)</f>
        <v>88</v>
      </c>
      <c r="T98" s="117">
        <f>SUMIFS(record[NG],record[製程料號],_018_550[[#This Row],[製令單號]],record[ProcessSN],T$1)</f>
        <v>0</v>
      </c>
      <c r="U98" s="123">
        <f>_018_550[[#This Row],[良品放行]]-_018_550[[#This Row],[入庫]]</f>
        <v>0</v>
      </c>
      <c r="V98" s="123">
        <f>SUMIFS(record[OK],record[製程料號],_018_550[[#This Row],[製令單號]],record[ProcessSN],V$1)</f>
        <v>88</v>
      </c>
      <c r="W98" s="123">
        <f>_018_550[[#This Row],[入庫]]-_018_550[[#This Row],[已出貨]]</f>
        <v>0</v>
      </c>
      <c r="X98" s="137"/>
      <c r="Y98" s="123">
        <f>SUMIFS(record[OK],record[製程料號],_018_550[[#This Row],[製令單號]],record[ProcessSN],Y$1)</f>
        <v>88</v>
      </c>
      <c r="Z98" s="125">
        <f>_018_550[[#This Row],[不良待處理]]+_018_550[[#This Row],[不良品]]+_018_550[[#This Row],['#06
QC NG]]+_018_550[[#This Row],['#08委外NG]]</f>
        <v>12</v>
      </c>
      <c r="AA9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0.88</v>
      </c>
    </row>
    <row r="99" spans="1:27" ht="30.75" x14ac:dyDescent="0.25">
      <c r="A99" s="120">
        <v>45979</v>
      </c>
      <c r="B99" s="121" t="s">
        <v>1221</v>
      </c>
      <c r="C99" s="122" t="s">
        <v>500</v>
      </c>
      <c r="D99" s="118">
        <v>139</v>
      </c>
      <c r="E99" s="123">
        <f>_018_550[[#This Row],[入料數]]-_018_550[[#This Row],['#08已委外數量]]</f>
        <v>0</v>
      </c>
      <c r="F99" s="123">
        <f>SUMIFS(record[OK],record[製程料號],_018_550[[#This Row],[製令單號]],record[ProcessSN],F$1)</f>
        <v>139</v>
      </c>
      <c r="G99" s="118" t="str">
        <f>IF(_018_550[[#This Row],['#08已委外數量]]&gt;0,VLOOKUP(G$1,record[[ProcessSN]:[廠商]],12,FALSE),"尚未委外")</f>
        <v>泉盛</v>
      </c>
      <c r="H99" s="123">
        <f>_018_550[[#This Row],['#08已委外數量]]-_018_550[[#This Row],['#08回
良品]]-_018_550[[#This Row],['#08委外NG]]</f>
        <v>0</v>
      </c>
      <c r="I99" s="123">
        <f>SUMIFS(record[OK],record[製程料號],_018_550[[#This Row],[製令單號]],record[ProcessSN],I$1)</f>
        <v>128</v>
      </c>
      <c r="J99" s="117">
        <f>SUMIFS(record[NG],record[製程料號],_018_550[[#This Row],[製令單號]],record[ProcessSN],J$1)</f>
        <v>11</v>
      </c>
      <c r="K99" s="124">
        <f>IFERROR(_018_550[[#This Row],['#08委外NG]]/_018_550[[#This Row],['#08已委外數量]],"")</f>
        <v>7.9136690647482008E-2</v>
      </c>
      <c r="L99" s="123">
        <f>_018_550[[#This Row],['#08回
良品]]-_018_550[[#This Row],['#06檢驗OK]]-_018_550[[#This Row],['#06
QC NG]]</f>
        <v>0</v>
      </c>
      <c r="M99" s="123">
        <f>SUMIFS(record[OK],record[製程料號],_018_550[[#This Row],[製令單號]],record[ProcessSN],M$1)</f>
        <v>128</v>
      </c>
      <c r="N99" s="117">
        <f>SUMIFS(record[NG],record[製程料號],_018_550[[#This Row],[製令單號]],record[ProcessSN],N$1)</f>
        <v>0</v>
      </c>
      <c r="O99" s="123">
        <f>_018_550[[#This Row],['#06檢驗OK]]-_018_550[[#This Row],[不良品]]-_018_550[[#This Row],[良品]]</f>
        <v>0</v>
      </c>
      <c r="P99" s="123">
        <f>SUMIFS(record[OK],record[製程料號],_018_550[[#This Row],[製令單號]],record[ProcessSN],P$1)</f>
        <v>128</v>
      </c>
      <c r="Q99" s="117">
        <f>SUMIFS(record[NG],record[製程料號],_018_550[[#This Row],[製令單號]],record[ProcessSN],Q$1)</f>
        <v>0</v>
      </c>
      <c r="R99" s="123">
        <f>_018_550[[#This Row],[良品]]-_018_550[[#This Row],[良品放行]]-_018_550[[#This Row],[不良待處理]]</f>
        <v>0</v>
      </c>
      <c r="S99" s="123">
        <f>SUMIFS(record[OK],record[製程料號],_018_550[[#This Row],[製令單號]],record[ProcessSN],S$1)</f>
        <v>128</v>
      </c>
      <c r="T99" s="117">
        <f>SUMIFS(record[NG],record[製程料號],_018_550[[#This Row],[製令單號]],record[ProcessSN],T$1)</f>
        <v>0</v>
      </c>
      <c r="U99" s="123">
        <f>_018_550[[#This Row],[良品放行]]-_018_550[[#This Row],[入庫]]</f>
        <v>0</v>
      </c>
      <c r="V99" s="123">
        <f>SUMIFS(record[OK],record[製程料號],_018_550[[#This Row],[製令單號]],record[ProcessSN],V$1)</f>
        <v>128</v>
      </c>
      <c r="W99" s="123">
        <f>_018_550[[#This Row],[入庫]]-_018_550[[#This Row],[已出貨]]</f>
        <v>0</v>
      </c>
      <c r="X99" s="137"/>
      <c r="Y99" s="123">
        <f>SUMIFS(record[OK],record[製程料號],_018_550[[#This Row],[製令單號]],record[ProcessSN],Y$1)</f>
        <v>128</v>
      </c>
      <c r="Z99" s="125">
        <f>_018_550[[#This Row],[不良待處理]]+_018_550[[#This Row],[不良品]]+_018_550[[#This Row],['#06
QC NG]]+_018_550[[#This Row],['#08委外NG]]</f>
        <v>11</v>
      </c>
      <c r="AA9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0.92086330935251803</v>
      </c>
    </row>
    <row r="100" spans="1:27" ht="30.75" x14ac:dyDescent="0.25">
      <c r="A100" s="120">
        <v>45981</v>
      </c>
      <c r="B100" s="121" t="s">
        <v>1227</v>
      </c>
      <c r="C100" s="122" t="s">
        <v>500</v>
      </c>
      <c r="D100" s="118">
        <v>431</v>
      </c>
      <c r="E100" s="123">
        <f>_018_550[[#This Row],[入料數]]-_018_550[[#This Row],['#08已委外數量]]</f>
        <v>0</v>
      </c>
      <c r="F100" s="123">
        <f>SUMIFS(record[OK],record[製程料號],_018_550[[#This Row],[製令單號]],record[ProcessSN],F$1)</f>
        <v>431</v>
      </c>
      <c r="G100" s="118" t="str">
        <f>IF(_018_550[[#This Row],['#08已委外數量]]&gt;0,VLOOKUP(G$1,record[[ProcessSN]:[廠商]],12,FALSE),"尚未委外")</f>
        <v>泉盛</v>
      </c>
      <c r="H100" s="123">
        <f>_018_550[[#This Row],['#08已委外數量]]-_018_550[[#This Row],['#08回
良品]]-_018_550[[#This Row],['#08委外NG]]</f>
        <v>0</v>
      </c>
      <c r="I100" s="123">
        <f>SUMIFS(record[OK],record[製程料號],_018_550[[#This Row],[製令單號]],record[ProcessSN],I$1)</f>
        <v>417</v>
      </c>
      <c r="J100" s="117">
        <f>SUMIFS(record[NG],record[製程料號],_018_550[[#This Row],[製令單號]],record[ProcessSN],J$1)</f>
        <v>14</v>
      </c>
      <c r="K100" s="124">
        <f>IFERROR(_018_550[[#This Row],['#08委外NG]]/_018_550[[#This Row],['#08已委外數量]],"")</f>
        <v>3.248259860788863E-2</v>
      </c>
      <c r="L100" s="123">
        <f>_018_550[[#This Row],['#08回
良品]]-_018_550[[#This Row],['#06檢驗OK]]-_018_550[[#This Row],['#06
QC NG]]</f>
        <v>0</v>
      </c>
      <c r="M100" s="123">
        <f>SUMIFS(record[OK],record[製程料號],_018_550[[#This Row],[製令單號]],record[ProcessSN],M$1)</f>
        <v>417</v>
      </c>
      <c r="N100" s="117">
        <f>SUMIFS(record[NG],record[製程料號],_018_550[[#This Row],[製令單號]],record[ProcessSN],N$1)</f>
        <v>0</v>
      </c>
      <c r="O100" s="123">
        <f>_018_550[[#This Row],['#06檢驗OK]]-_018_550[[#This Row],[不良品]]-_018_550[[#This Row],[良品]]</f>
        <v>0</v>
      </c>
      <c r="P100" s="123">
        <f>SUMIFS(record[OK],record[製程料號],_018_550[[#This Row],[製令單號]],record[ProcessSN],P$1)</f>
        <v>417</v>
      </c>
      <c r="Q100" s="117">
        <f>SUMIFS(record[NG],record[製程料號],_018_550[[#This Row],[製令單號]],record[ProcessSN],Q$1)</f>
        <v>0</v>
      </c>
      <c r="R100" s="123">
        <f>_018_550[[#This Row],[良品]]-_018_550[[#This Row],[良品放行]]-_018_550[[#This Row],[不良待處理]]</f>
        <v>0</v>
      </c>
      <c r="S100" s="123">
        <f>SUMIFS(record[OK],record[製程料號],_018_550[[#This Row],[製令單號]],record[ProcessSN],S$1)</f>
        <v>417</v>
      </c>
      <c r="T100" s="117">
        <f>SUMIFS(record[NG],record[製程料號],_018_550[[#This Row],[製令單號]],record[ProcessSN],T$1)</f>
        <v>0</v>
      </c>
      <c r="U100" s="123">
        <f>_018_550[[#This Row],[良品放行]]-_018_550[[#This Row],[入庫]]</f>
        <v>0</v>
      </c>
      <c r="V100" s="123">
        <f>SUMIFS(record[OK],record[製程料號],_018_550[[#This Row],[製令單號]],record[ProcessSN],V$1)</f>
        <v>417</v>
      </c>
      <c r="W100" s="123">
        <f>_018_550[[#This Row],[入庫]]-_018_550[[#This Row],[已出貨]]</f>
        <v>0</v>
      </c>
      <c r="X100" s="137"/>
      <c r="Y100" s="123">
        <f>SUMIFS(record[OK],record[製程料號],_018_550[[#This Row],[製令單號]],record[ProcessSN],Y$1)</f>
        <v>417</v>
      </c>
      <c r="Z100" s="125">
        <f>_018_550[[#This Row],[不良待處理]]+_018_550[[#This Row],[不良品]]+_018_550[[#This Row],['#06
QC NG]]+_018_550[[#This Row],['#08委外NG]]</f>
        <v>14</v>
      </c>
      <c r="AA10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0.9675174013921114</v>
      </c>
    </row>
    <row r="101" spans="1:27" ht="30.75" x14ac:dyDescent="0.25">
      <c r="A101" s="120">
        <v>45982</v>
      </c>
      <c r="B101" s="121" t="s">
        <v>1233</v>
      </c>
      <c r="C101" s="122" t="s">
        <v>500</v>
      </c>
      <c r="D101" s="118">
        <v>656</v>
      </c>
      <c r="E101" s="123">
        <f>_018_550[[#This Row],[入料數]]-_018_550[[#This Row],['#08已委外數量]]</f>
        <v>0</v>
      </c>
      <c r="F101" s="123">
        <f>SUMIFS(record[OK],record[製程料號],_018_550[[#This Row],[製令單號]],record[ProcessSN],F$1)</f>
        <v>656</v>
      </c>
      <c r="G101" s="118" t="str">
        <f>IF(_018_550[[#This Row],['#08已委外數量]]&gt;0,VLOOKUP(G$1,record[[ProcessSN]:[廠商]],12,FALSE),"尚未委外")</f>
        <v>泉盛</v>
      </c>
      <c r="H101" s="123">
        <f>_018_550[[#This Row],['#08已委外數量]]-_018_550[[#This Row],['#08回
良品]]-_018_550[[#This Row],['#08委外NG]]</f>
        <v>0</v>
      </c>
      <c r="I101" s="123">
        <f>SUMIFS(record[OK],record[製程料號],_018_550[[#This Row],[製令單號]],record[ProcessSN],I$1)</f>
        <v>621</v>
      </c>
      <c r="J101" s="117">
        <f>SUMIFS(record[NG],record[製程料號],_018_550[[#This Row],[製令單號]],record[ProcessSN],J$1)</f>
        <v>35</v>
      </c>
      <c r="K101" s="124">
        <f>IFERROR(_018_550[[#This Row],['#08委外NG]]/_018_550[[#This Row],['#08已委外數量]],"")</f>
        <v>5.3353658536585365E-2</v>
      </c>
      <c r="L101" s="123">
        <f>_018_550[[#This Row],['#08回
良品]]-_018_550[[#This Row],['#06檢驗OK]]-_018_550[[#This Row],['#06
QC NG]]</f>
        <v>0</v>
      </c>
      <c r="M101" s="123">
        <f>SUMIFS(record[OK],record[製程料號],_018_550[[#This Row],[製令單號]],record[ProcessSN],M$1)</f>
        <v>621</v>
      </c>
      <c r="N101" s="117">
        <f>SUMIFS(record[NG],record[製程料號],_018_550[[#This Row],[製令單號]],record[ProcessSN],N$1)</f>
        <v>0</v>
      </c>
      <c r="O101" s="123">
        <f>_018_550[[#This Row],['#06檢驗OK]]-_018_550[[#This Row],[不良品]]-_018_550[[#This Row],[良品]]</f>
        <v>0</v>
      </c>
      <c r="P101" s="123">
        <f>SUMIFS(record[OK],record[製程料號],_018_550[[#This Row],[製令單號]],record[ProcessSN],P$1)</f>
        <v>621</v>
      </c>
      <c r="Q101" s="117">
        <f>SUMIFS(record[NG],record[製程料號],_018_550[[#This Row],[製令單號]],record[ProcessSN],Q$1)</f>
        <v>0</v>
      </c>
      <c r="R101" s="123">
        <f>_018_550[[#This Row],[良品]]-_018_550[[#This Row],[良品放行]]-_018_550[[#This Row],[不良待處理]]</f>
        <v>0</v>
      </c>
      <c r="S101" s="123">
        <f>SUMIFS(record[OK],record[製程料號],_018_550[[#This Row],[製令單號]],record[ProcessSN],S$1)</f>
        <v>621</v>
      </c>
      <c r="T101" s="117">
        <f>SUMIFS(record[NG],record[製程料號],_018_550[[#This Row],[製令單號]],record[ProcessSN],T$1)</f>
        <v>0</v>
      </c>
      <c r="U101" s="123">
        <f>_018_550[[#This Row],[良品放行]]-_018_550[[#This Row],[入庫]]</f>
        <v>0</v>
      </c>
      <c r="V101" s="123">
        <f>SUMIFS(record[OK],record[製程料號],_018_550[[#This Row],[製令單號]],record[ProcessSN],V$1)</f>
        <v>621</v>
      </c>
      <c r="W101" s="123">
        <f>_018_550[[#This Row],[入庫]]-_018_550[[#This Row],[已出貨]]</f>
        <v>0</v>
      </c>
      <c r="X101" s="137"/>
      <c r="Y101" s="123">
        <f>SUMIFS(record[OK],record[製程料號],_018_550[[#This Row],[製令單號]],record[ProcessSN],Y$1)</f>
        <v>621</v>
      </c>
      <c r="Z101" s="125">
        <f>_018_550[[#This Row],[不良待處理]]+_018_550[[#This Row],[不良品]]+_018_550[[#This Row],['#06
QC NG]]+_018_550[[#This Row],['#08委外NG]]</f>
        <v>35</v>
      </c>
      <c r="AA10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0.94664634146341464</v>
      </c>
    </row>
    <row r="102" spans="1:27" ht="30.75" x14ac:dyDescent="0.25">
      <c r="A102" s="120">
        <v>45985</v>
      </c>
      <c r="B102" s="121" t="s">
        <v>1237</v>
      </c>
      <c r="C102" s="122" t="s">
        <v>500</v>
      </c>
      <c r="D102" s="118">
        <v>146</v>
      </c>
      <c r="E102" s="123">
        <f>_018_550[[#This Row],[入料數]]-_018_550[[#This Row],['#08已委外數量]]</f>
        <v>0</v>
      </c>
      <c r="F102" s="123">
        <f>SUMIFS(record[OK],record[製程料號],_018_550[[#This Row],[製令單號]],record[ProcessSN],F$1)</f>
        <v>146</v>
      </c>
      <c r="G102" s="118" t="str">
        <f>IF(_018_550[[#This Row],['#08已委外數量]]&gt;0,VLOOKUP(G$1,record[[ProcessSN]:[廠商]],12,FALSE),"尚未委外")</f>
        <v>泉盛</v>
      </c>
      <c r="H102" s="123">
        <f>_018_550[[#This Row],['#08已委外數量]]-_018_550[[#This Row],['#08回
良品]]-_018_550[[#This Row],['#08委外NG]]</f>
        <v>0</v>
      </c>
      <c r="I102" s="123">
        <f>SUMIFS(record[OK],record[製程料號],_018_550[[#This Row],[製令單號]],record[ProcessSN],I$1)</f>
        <v>146</v>
      </c>
      <c r="J102" s="117">
        <f>SUMIFS(record[NG],record[製程料號],_018_550[[#This Row],[製令單號]],record[ProcessSN],J$1)</f>
        <v>0</v>
      </c>
      <c r="K102" s="124">
        <f>IFERROR(_018_550[[#This Row],['#08委外NG]]/_018_550[[#This Row],['#08已委外數量]],"")</f>
        <v>0</v>
      </c>
      <c r="L102" s="123">
        <f>_018_550[[#This Row],['#08回
良品]]-_018_550[[#This Row],['#06檢驗OK]]-_018_550[[#This Row],['#06
QC NG]]</f>
        <v>0</v>
      </c>
      <c r="M102" s="123">
        <f>SUMIFS(record[OK],record[製程料號],_018_550[[#This Row],[製令單號]],record[ProcessSN],M$1)</f>
        <v>146</v>
      </c>
      <c r="N102" s="117">
        <f>SUMIFS(record[NG],record[製程料號],_018_550[[#This Row],[製令單號]],record[ProcessSN],N$1)</f>
        <v>0</v>
      </c>
      <c r="O102" s="123">
        <f>_018_550[[#This Row],['#06檢驗OK]]-_018_550[[#This Row],[不良品]]-_018_550[[#This Row],[良品]]</f>
        <v>0</v>
      </c>
      <c r="P102" s="123">
        <f>SUMIFS(record[OK],record[製程料號],_018_550[[#This Row],[製令單號]],record[ProcessSN],P$1)</f>
        <v>146</v>
      </c>
      <c r="Q102" s="117">
        <f>SUMIFS(record[NG],record[製程料號],_018_550[[#This Row],[製令單號]],record[ProcessSN],Q$1)</f>
        <v>0</v>
      </c>
      <c r="R102" s="123">
        <f>_018_550[[#This Row],[良品]]-_018_550[[#This Row],[良品放行]]-_018_550[[#This Row],[不良待處理]]</f>
        <v>0</v>
      </c>
      <c r="S102" s="123">
        <f>SUMIFS(record[OK],record[製程料號],_018_550[[#This Row],[製令單號]],record[ProcessSN],S$1)</f>
        <v>146</v>
      </c>
      <c r="T102" s="117">
        <f>SUMIFS(record[NG],record[製程料號],_018_550[[#This Row],[製令單號]],record[ProcessSN],T$1)</f>
        <v>0</v>
      </c>
      <c r="U102" s="123">
        <f>_018_550[[#This Row],[良品放行]]-_018_550[[#This Row],[入庫]]</f>
        <v>0</v>
      </c>
      <c r="V102" s="123">
        <f>SUMIFS(record[OK],record[製程料號],_018_550[[#This Row],[製令單號]],record[ProcessSN],V$1)</f>
        <v>146</v>
      </c>
      <c r="W102" s="123">
        <f>_018_550[[#This Row],[入庫]]-_018_550[[#This Row],[已出貨]]</f>
        <v>0</v>
      </c>
      <c r="X102" s="137"/>
      <c r="Y102" s="123">
        <f>SUMIFS(record[OK],record[製程料號],_018_550[[#This Row],[製令單號]],record[ProcessSN],Y$1)</f>
        <v>146</v>
      </c>
      <c r="Z102" s="125">
        <f>_018_550[[#This Row],[不良待處理]]+_018_550[[#This Row],[不良品]]+_018_550[[#This Row],['#06
QC NG]]+_018_550[[#This Row],['#08委外NG]]</f>
        <v>0</v>
      </c>
      <c r="AA10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103" spans="1:27" ht="30.75" x14ac:dyDescent="0.25">
      <c r="A103" s="120">
        <v>45986</v>
      </c>
      <c r="B103" s="121" t="s">
        <v>1242</v>
      </c>
      <c r="C103" s="122" t="s">
        <v>500</v>
      </c>
      <c r="D103" s="118">
        <v>472</v>
      </c>
      <c r="E103" s="123">
        <f>_018_550[[#This Row],[入料數]]-_018_550[[#This Row],['#08已委外數量]]</f>
        <v>0</v>
      </c>
      <c r="F103" s="123">
        <f>SUMIFS(record[OK],record[製程料號],_018_550[[#This Row],[製令單號]],record[ProcessSN],F$1)</f>
        <v>472</v>
      </c>
      <c r="G103" s="118" t="str">
        <f>IF(_018_550[[#This Row],['#08已委外數量]]&gt;0,VLOOKUP(G$1,record[[ProcessSN]:[廠商]],12,FALSE),"尚未委外")</f>
        <v>泉盛</v>
      </c>
      <c r="H103" s="123">
        <f>_018_550[[#This Row],['#08已委外數量]]-_018_550[[#This Row],['#08回
良品]]-_018_550[[#This Row],['#08委外NG]]</f>
        <v>0</v>
      </c>
      <c r="I103" s="123">
        <f>SUMIFS(record[OK],record[製程料號],_018_550[[#This Row],[製令單號]],record[ProcessSN],I$1)</f>
        <v>472</v>
      </c>
      <c r="J103" s="117">
        <f>SUMIFS(record[NG],record[製程料號],_018_550[[#This Row],[製令單號]],record[ProcessSN],J$1)</f>
        <v>0</v>
      </c>
      <c r="K103" s="124">
        <f>IFERROR(_018_550[[#This Row],['#08委外NG]]/_018_550[[#This Row],['#08已委外數量]],"")</f>
        <v>0</v>
      </c>
      <c r="L103" s="123">
        <f>_018_550[[#This Row],['#08回
良品]]-_018_550[[#This Row],['#06檢驗OK]]-_018_550[[#This Row],['#06
QC NG]]</f>
        <v>0</v>
      </c>
      <c r="M103" s="123">
        <f>SUMIFS(record[OK],record[製程料號],_018_550[[#This Row],[製令單號]],record[ProcessSN],M$1)</f>
        <v>472</v>
      </c>
      <c r="N103" s="117">
        <f>SUMIFS(record[NG],record[製程料號],_018_550[[#This Row],[製令單號]],record[ProcessSN],N$1)</f>
        <v>0</v>
      </c>
      <c r="O103" s="123">
        <f>_018_550[[#This Row],['#06檢驗OK]]-_018_550[[#This Row],[不良品]]-_018_550[[#This Row],[良品]]</f>
        <v>0</v>
      </c>
      <c r="P103" s="123">
        <f>SUMIFS(record[OK],record[製程料號],_018_550[[#This Row],[製令單號]],record[ProcessSN],P$1)</f>
        <v>472</v>
      </c>
      <c r="Q103" s="117">
        <f>SUMIFS(record[NG],record[製程料號],_018_550[[#This Row],[製令單號]],record[ProcessSN],Q$1)</f>
        <v>0</v>
      </c>
      <c r="R103" s="123">
        <f>_018_550[[#This Row],[良品]]-_018_550[[#This Row],[良品放行]]-_018_550[[#This Row],[不良待處理]]</f>
        <v>0</v>
      </c>
      <c r="S103" s="123">
        <f>SUMIFS(record[OK],record[製程料號],_018_550[[#This Row],[製令單號]],record[ProcessSN],S$1)</f>
        <v>472</v>
      </c>
      <c r="T103" s="117">
        <f>SUMIFS(record[NG],record[製程料號],_018_550[[#This Row],[製令單號]],record[ProcessSN],T$1)</f>
        <v>0</v>
      </c>
      <c r="U103" s="123">
        <f>_018_550[[#This Row],[良品放行]]-_018_550[[#This Row],[入庫]]</f>
        <v>0</v>
      </c>
      <c r="V103" s="123">
        <f>SUMIFS(record[OK],record[製程料號],_018_550[[#This Row],[製令單號]],record[ProcessSN],V$1)</f>
        <v>472</v>
      </c>
      <c r="W103" s="123">
        <f>_018_550[[#This Row],[入庫]]-_018_550[[#This Row],[已出貨]]</f>
        <v>0</v>
      </c>
      <c r="X103" s="137"/>
      <c r="Y103" s="123">
        <f>SUMIFS(record[OK],record[製程料號],_018_550[[#This Row],[製令單號]],record[ProcessSN],Y$1)</f>
        <v>472</v>
      </c>
      <c r="Z103" s="125">
        <f>_018_550[[#This Row],[不良待處理]]+_018_550[[#This Row],[不良品]]+_018_550[[#This Row],['#06
QC NG]]+_018_550[[#This Row],['#08委外NG]]</f>
        <v>0</v>
      </c>
      <c r="AA10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104" spans="1:27" ht="30.75" x14ac:dyDescent="0.25">
      <c r="A104" s="120">
        <v>45987</v>
      </c>
      <c r="B104" s="121" t="s">
        <v>1246</v>
      </c>
      <c r="C104" s="122" t="s">
        <v>500</v>
      </c>
      <c r="D104" s="118">
        <v>300</v>
      </c>
      <c r="E104" s="123">
        <f>_018_550[[#This Row],[入料數]]-_018_550[[#This Row],['#08已委外數量]]</f>
        <v>0</v>
      </c>
      <c r="F104" s="123">
        <f>SUMIFS(record[OK],record[製程料號],_018_550[[#This Row],[製令單號]],record[ProcessSN],F$1)</f>
        <v>300</v>
      </c>
      <c r="G104" s="118" t="str">
        <f>IF(_018_550[[#This Row],['#08已委外數量]]&gt;0,VLOOKUP(G$1,record[[ProcessSN]:[廠商]],12,FALSE),"尚未委外")</f>
        <v>泉盛</v>
      </c>
      <c r="H104" s="123">
        <f>_018_550[[#This Row],['#08已委外數量]]-_018_550[[#This Row],['#08回
良品]]-_018_550[[#This Row],['#08委外NG]]</f>
        <v>0</v>
      </c>
      <c r="I104" s="123">
        <f>SUMIFS(record[OK],record[製程料號],_018_550[[#This Row],[製令單號]],record[ProcessSN],I$1)</f>
        <v>294</v>
      </c>
      <c r="J104" s="117">
        <f>SUMIFS(record[NG],record[製程料號],_018_550[[#This Row],[製令單號]],record[ProcessSN],J$1)</f>
        <v>6</v>
      </c>
      <c r="K104" s="124">
        <f>IFERROR(_018_550[[#This Row],['#08委外NG]]/_018_550[[#This Row],['#08已委外數量]],"")</f>
        <v>0.02</v>
      </c>
      <c r="L104" s="123">
        <f>_018_550[[#This Row],['#08回
良品]]-_018_550[[#This Row],['#06檢驗OK]]-_018_550[[#This Row],['#06
QC NG]]</f>
        <v>0</v>
      </c>
      <c r="M104" s="123">
        <f>SUMIFS(record[OK],record[製程料號],_018_550[[#This Row],[製令單號]],record[ProcessSN],M$1)</f>
        <v>294</v>
      </c>
      <c r="N104" s="117">
        <f>SUMIFS(record[NG],record[製程料號],_018_550[[#This Row],[製令單號]],record[ProcessSN],N$1)</f>
        <v>0</v>
      </c>
      <c r="O104" s="123">
        <f>_018_550[[#This Row],['#06檢驗OK]]-_018_550[[#This Row],[不良品]]-_018_550[[#This Row],[良品]]</f>
        <v>0</v>
      </c>
      <c r="P104" s="123">
        <f>SUMIFS(record[OK],record[製程料號],_018_550[[#This Row],[製令單號]],record[ProcessSN],P$1)</f>
        <v>294</v>
      </c>
      <c r="Q104" s="117">
        <f>SUMIFS(record[NG],record[製程料號],_018_550[[#This Row],[製令單號]],record[ProcessSN],Q$1)</f>
        <v>0</v>
      </c>
      <c r="R104" s="123">
        <f>_018_550[[#This Row],[良品]]-_018_550[[#This Row],[良品放行]]-_018_550[[#This Row],[不良待處理]]</f>
        <v>0</v>
      </c>
      <c r="S104" s="123">
        <f>SUMIFS(record[OK],record[製程料號],_018_550[[#This Row],[製令單號]],record[ProcessSN],S$1)</f>
        <v>294</v>
      </c>
      <c r="T104" s="117">
        <f>SUMIFS(record[NG],record[製程料號],_018_550[[#This Row],[製令單號]],record[ProcessSN],T$1)</f>
        <v>0</v>
      </c>
      <c r="U104" s="123">
        <f>_018_550[[#This Row],[良品放行]]-_018_550[[#This Row],[入庫]]</f>
        <v>0</v>
      </c>
      <c r="V104" s="123">
        <f>SUMIFS(record[OK],record[製程料號],_018_550[[#This Row],[製令單號]],record[ProcessSN],V$1)</f>
        <v>294</v>
      </c>
      <c r="W104" s="123">
        <f>_018_550[[#This Row],[入庫]]-_018_550[[#This Row],[已出貨]]</f>
        <v>0</v>
      </c>
      <c r="X104" s="137"/>
      <c r="Y104" s="123">
        <f>SUMIFS(record[OK],record[製程料號],_018_550[[#This Row],[製令單號]],record[ProcessSN],Y$1)</f>
        <v>294</v>
      </c>
      <c r="Z104" s="125">
        <f>_018_550[[#This Row],[不良待處理]]+_018_550[[#This Row],[不良品]]+_018_550[[#This Row],['#06
QC NG]]+_018_550[[#This Row],['#08委外NG]]</f>
        <v>6</v>
      </c>
      <c r="AA10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</v>
      </c>
    </row>
    <row r="105" spans="1:27" ht="30.75" x14ac:dyDescent="0.25">
      <c r="A105" s="120">
        <v>45988</v>
      </c>
      <c r="B105" s="121" t="s">
        <v>1250</v>
      </c>
      <c r="C105" s="122" t="s">
        <v>500</v>
      </c>
      <c r="D105" s="118">
        <v>109</v>
      </c>
      <c r="E105" s="123">
        <f>_018_550[[#This Row],[入料數]]-_018_550[[#This Row],['#08已委外數量]]</f>
        <v>0</v>
      </c>
      <c r="F105" s="123">
        <f>SUMIFS(record[OK],record[製程料號],_018_550[[#This Row],[製令單號]],record[ProcessSN],F$1)</f>
        <v>109</v>
      </c>
      <c r="G105" s="118" t="str">
        <f>IF(_018_550[[#This Row],['#08已委外數量]]&gt;0,VLOOKUP(G$1,record[[ProcessSN]:[廠商]],12,FALSE),"尚未委外")</f>
        <v>泉盛</v>
      </c>
      <c r="H105" s="123">
        <f>_018_550[[#This Row],['#08已委外數量]]-_018_550[[#This Row],['#08回
良品]]-_018_550[[#This Row],['#08委外NG]]</f>
        <v>0</v>
      </c>
      <c r="I105" s="123">
        <f>SUMIFS(record[OK],record[製程料號],_018_550[[#This Row],[製令單號]],record[ProcessSN],I$1)</f>
        <v>102</v>
      </c>
      <c r="J105" s="117">
        <f>SUMIFS(record[NG],record[製程料號],_018_550[[#This Row],[製令單號]],record[ProcessSN],J$1)</f>
        <v>7</v>
      </c>
      <c r="K105" s="124">
        <f>IFERROR(_018_550[[#This Row],['#08委外NG]]/_018_550[[#This Row],['#08已委外數量]],"")</f>
        <v>6.4220183486238536E-2</v>
      </c>
      <c r="L105" s="123">
        <f>_018_550[[#This Row],['#08回
良品]]-_018_550[[#This Row],['#06檢驗OK]]-_018_550[[#This Row],['#06
QC NG]]</f>
        <v>0</v>
      </c>
      <c r="M105" s="123">
        <f>SUMIFS(record[OK],record[製程料號],_018_550[[#This Row],[製令單號]],record[ProcessSN],M$1)</f>
        <v>102</v>
      </c>
      <c r="N105" s="117">
        <f>SUMIFS(record[NG],record[製程料號],_018_550[[#This Row],[製令單號]],record[ProcessSN],N$1)</f>
        <v>0</v>
      </c>
      <c r="O105" s="123">
        <f>_018_550[[#This Row],['#06檢驗OK]]-_018_550[[#This Row],[不良品]]-_018_550[[#This Row],[良品]]</f>
        <v>0</v>
      </c>
      <c r="P105" s="123">
        <f>SUMIFS(record[OK],record[製程料號],_018_550[[#This Row],[製令單號]],record[ProcessSN],P$1)</f>
        <v>102</v>
      </c>
      <c r="Q105" s="117">
        <f>SUMIFS(record[NG],record[製程料號],_018_550[[#This Row],[製令單號]],record[ProcessSN],Q$1)</f>
        <v>0</v>
      </c>
      <c r="R105" s="123">
        <f>_018_550[[#This Row],[良品]]-_018_550[[#This Row],[良品放行]]-_018_550[[#This Row],[不良待處理]]</f>
        <v>0</v>
      </c>
      <c r="S105" s="123">
        <f>SUMIFS(record[OK],record[製程料號],_018_550[[#This Row],[製令單號]],record[ProcessSN],S$1)</f>
        <v>102</v>
      </c>
      <c r="T105" s="117">
        <f>SUMIFS(record[NG],record[製程料號],_018_550[[#This Row],[製令單號]],record[ProcessSN],T$1)</f>
        <v>0</v>
      </c>
      <c r="U105" s="123">
        <f>_018_550[[#This Row],[良品放行]]-_018_550[[#This Row],[入庫]]</f>
        <v>0</v>
      </c>
      <c r="V105" s="123">
        <f>SUMIFS(record[OK],record[製程料號],_018_550[[#This Row],[製令單號]],record[ProcessSN],V$1)</f>
        <v>102</v>
      </c>
      <c r="W105" s="123">
        <f>_018_550[[#This Row],[入庫]]-_018_550[[#This Row],[已出貨]]</f>
        <v>0</v>
      </c>
      <c r="X105" s="137"/>
      <c r="Y105" s="123">
        <f>SUMIFS(record[OK],record[製程料號],_018_550[[#This Row],[製令單號]],record[ProcessSN],Y$1)</f>
        <v>102</v>
      </c>
      <c r="Z105" s="125">
        <f>_018_550[[#This Row],[不良待處理]]+_018_550[[#This Row],[不良品]]+_018_550[[#This Row],['#06
QC NG]]+_018_550[[#This Row],['#08委外NG]]</f>
        <v>7</v>
      </c>
      <c r="AA10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0.93577981651376152</v>
      </c>
    </row>
    <row r="106" spans="1:27" ht="30.75" x14ac:dyDescent="0.25">
      <c r="A106" s="120">
        <v>45989</v>
      </c>
      <c r="B106" s="121" t="s">
        <v>1255</v>
      </c>
      <c r="C106" s="122" t="s">
        <v>500</v>
      </c>
      <c r="D106" s="118">
        <v>325</v>
      </c>
      <c r="E106" s="123">
        <f>_018_550[[#This Row],[入料數]]-_018_550[[#This Row],['#08已委外數量]]</f>
        <v>0</v>
      </c>
      <c r="F106" s="123">
        <f>SUMIFS(record[OK],record[製程料號],_018_550[[#This Row],[製令單號]],record[ProcessSN],F$1)</f>
        <v>325</v>
      </c>
      <c r="G106" s="118" t="str">
        <f>IF(_018_550[[#This Row],['#08已委外數量]]&gt;0,VLOOKUP(G$1,record[[ProcessSN]:[廠商]],12,FALSE),"尚未委外")</f>
        <v>泉盛</v>
      </c>
      <c r="H106" s="123">
        <f>_018_550[[#This Row],['#08已委外數量]]-_018_550[[#This Row],['#08回
良品]]-_018_550[[#This Row],['#08委外NG]]</f>
        <v>0</v>
      </c>
      <c r="I106" s="123">
        <f>SUMIFS(record[OK],record[製程料號],_018_550[[#This Row],[製令單號]],record[ProcessSN],I$1)</f>
        <v>307</v>
      </c>
      <c r="J106" s="117">
        <f>SUMIFS(record[NG],record[製程料號],_018_550[[#This Row],[製令單號]],record[ProcessSN],J$1)</f>
        <v>18</v>
      </c>
      <c r="K106" s="124">
        <f>IFERROR(_018_550[[#This Row],['#08委外NG]]/_018_550[[#This Row],['#08已委外數量]],"")</f>
        <v>5.5384615384615386E-2</v>
      </c>
      <c r="L106" s="123">
        <f>_018_550[[#This Row],['#08回
良品]]-_018_550[[#This Row],['#06檢驗OK]]-_018_550[[#This Row],['#06
QC NG]]</f>
        <v>0</v>
      </c>
      <c r="M106" s="123">
        <f>SUMIFS(record[OK],record[製程料號],_018_550[[#This Row],[製令單號]],record[ProcessSN],M$1)</f>
        <v>307</v>
      </c>
      <c r="N106" s="117">
        <f>SUMIFS(record[NG],record[製程料號],_018_550[[#This Row],[製令單號]],record[ProcessSN],N$1)</f>
        <v>0</v>
      </c>
      <c r="O106" s="123">
        <f>_018_550[[#This Row],['#06檢驗OK]]-_018_550[[#This Row],[不良品]]-_018_550[[#This Row],[良品]]</f>
        <v>0</v>
      </c>
      <c r="P106" s="123">
        <f>SUMIFS(record[OK],record[製程料號],_018_550[[#This Row],[製令單號]],record[ProcessSN],P$1)</f>
        <v>307</v>
      </c>
      <c r="Q106" s="117">
        <f>SUMIFS(record[NG],record[製程料號],_018_550[[#This Row],[製令單號]],record[ProcessSN],Q$1)</f>
        <v>0</v>
      </c>
      <c r="R106" s="123">
        <f>_018_550[[#This Row],[良品]]-_018_550[[#This Row],[良品放行]]-_018_550[[#This Row],[不良待處理]]</f>
        <v>0</v>
      </c>
      <c r="S106" s="123">
        <f>SUMIFS(record[OK],record[製程料號],_018_550[[#This Row],[製令單號]],record[ProcessSN],S$1)</f>
        <v>307</v>
      </c>
      <c r="T106" s="117">
        <f>SUMIFS(record[NG],record[製程料號],_018_550[[#This Row],[製令單號]],record[ProcessSN],T$1)</f>
        <v>0</v>
      </c>
      <c r="U106" s="123">
        <f>_018_550[[#This Row],[良品放行]]-_018_550[[#This Row],[入庫]]</f>
        <v>0</v>
      </c>
      <c r="V106" s="123">
        <f>SUMIFS(record[OK],record[製程料號],_018_550[[#This Row],[製令單號]],record[ProcessSN],V$1)</f>
        <v>307</v>
      </c>
      <c r="W106" s="123">
        <f>_018_550[[#This Row],[入庫]]-_018_550[[#This Row],[已出貨]]</f>
        <v>0</v>
      </c>
      <c r="X106" s="137"/>
      <c r="Y106" s="123">
        <f>SUMIFS(record[OK],record[製程料號],_018_550[[#This Row],[製令單號]],record[ProcessSN],Y$1)</f>
        <v>307</v>
      </c>
      <c r="Z106" s="125">
        <f>_018_550[[#This Row],[不良待處理]]+_018_550[[#This Row],[不良品]]+_018_550[[#This Row],['#06
QC NG]]+_018_550[[#This Row],['#08委外NG]]</f>
        <v>18</v>
      </c>
      <c r="AA10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0.94461538461538463</v>
      </c>
    </row>
    <row r="107" spans="1:27" ht="30.75" x14ac:dyDescent="0.25">
      <c r="A107" s="120">
        <v>45992</v>
      </c>
      <c r="B107" s="121" t="s">
        <v>1262</v>
      </c>
      <c r="C107" s="122" t="s">
        <v>500</v>
      </c>
      <c r="D107" s="118">
        <v>495</v>
      </c>
      <c r="E107" s="123">
        <f>_018_550[[#This Row],[入料數]]-_018_550[[#This Row],['#08已委外數量]]</f>
        <v>0</v>
      </c>
      <c r="F107" s="123">
        <f>SUMIFS(record[OK],record[製程料號],_018_550[[#This Row],[製令單號]],record[ProcessSN],F$1)</f>
        <v>495</v>
      </c>
      <c r="G107" s="118" t="str">
        <f>IF(_018_550[[#This Row],['#08已委外數量]]&gt;0,VLOOKUP(G$1,record[[ProcessSN]:[廠商]],12,FALSE),"尚未委外")</f>
        <v>泉盛</v>
      </c>
      <c r="H107" s="123">
        <f>_018_550[[#This Row],['#08已委外數量]]-_018_550[[#This Row],['#08回
良品]]-_018_550[[#This Row],['#08委外NG]]</f>
        <v>0</v>
      </c>
      <c r="I107" s="123">
        <f>SUMIFS(record[OK],record[製程料號],_018_550[[#This Row],[製令單號]],record[ProcessSN],I$1)</f>
        <v>486</v>
      </c>
      <c r="J107" s="117">
        <f>SUMIFS(record[NG],record[製程料號],_018_550[[#This Row],[製令單號]],record[ProcessSN],J$1)</f>
        <v>9</v>
      </c>
      <c r="K107" s="124">
        <f>IFERROR(_018_550[[#This Row],['#08委外NG]]/_018_550[[#This Row],['#08已委外數量]],"")</f>
        <v>1.8181818181818181E-2</v>
      </c>
      <c r="L107" s="123">
        <f>_018_550[[#This Row],['#08回
良品]]-_018_550[[#This Row],['#06檢驗OK]]-_018_550[[#This Row],['#06
QC NG]]</f>
        <v>0</v>
      </c>
      <c r="M107" s="123">
        <f>SUMIFS(record[OK],record[製程料號],_018_550[[#This Row],[製令單號]],record[ProcessSN],M$1)</f>
        <v>486</v>
      </c>
      <c r="N107" s="117">
        <f>SUMIFS(record[NG],record[製程料號],_018_550[[#This Row],[製令單號]],record[ProcessSN],N$1)</f>
        <v>0</v>
      </c>
      <c r="O107" s="123">
        <f>_018_550[[#This Row],['#06檢驗OK]]-_018_550[[#This Row],[不良品]]-_018_550[[#This Row],[良品]]</f>
        <v>0</v>
      </c>
      <c r="P107" s="123">
        <f>SUMIFS(record[OK],record[製程料號],_018_550[[#This Row],[製令單號]],record[ProcessSN],P$1)</f>
        <v>484</v>
      </c>
      <c r="Q107" s="117">
        <f>SUMIFS(record[NG],record[製程料號],_018_550[[#This Row],[製令單號]],record[ProcessSN],Q$1)</f>
        <v>2</v>
      </c>
      <c r="R107" s="123">
        <f>_018_550[[#This Row],[良品]]-_018_550[[#This Row],[良品放行]]-_018_550[[#This Row],[不良待處理]]</f>
        <v>0</v>
      </c>
      <c r="S107" s="123">
        <f>SUMIFS(record[OK],record[製程料號],_018_550[[#This Row],[製令單號]],record[ProcessSN],S$1)</f>
        <v>484</v>
      </c>
      <c r="T107" s="117">
        <f>SUMIFS(record[NG],record[製程料號],_018_550[[#This Row],[製令單號]],record[ProcessSN],T$1)</f>
        <v>0</v>
      </c>
      <c r="U107" s="123">
        <f>_018_550[[#This Row],[良品放行]]-_018_550[[#This Row],[入庫]]</f>
        <v>0</v>
      </c>
      <c r="V107" s="123">
        <f>SUMIFS(record[OK],record[製程料號],_018_550[[#This Row],[製令單號]],record[ProcessSN],V$1)</f>
        <v>484</v>
      </c>
      <c r="W107" s="123">
        <f>_018_550[[#This Row],[入庫]]-_018_550[[#This Row],[已出貨]]</f>
        <v>0</v>
      </c>
      <c r="X107" s="137"/>
      <c r="Y107" s="123">
        <f>SUMIFS(record[OK],record[製程料號],_018_550[[#This Row],[製令單號]],record[ProcessSN],Y$1)</f>
        <v>484</v>
      </c>
      <c r="Z107" s="125">
        <f>_018_550[[#This Row],[不良待處理]]+_018_550[[#This Row],[不良品]]+_018_550[[#This Row],['#06
QC NG]]+_018_550[[#This Row],['#08委外NG]]</f>
        <v>11</v>
      </c>
      <c r="AA10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0.97777777777777775</v>
      </c>
    </row>
    <row r="108" spans="1:27" ht="30.75" x14ac:dyDescent="0.25">
      <c r="A108" s="120">
        <v>45992</v>
      </c>
      <c r="B108" s="121" t="s">
        <v>1261</v>
      </c>
      <c r="C108" s="122" t="s">
        <v>500</v>
      </c>
      <c r="D108" s="118">
        <v>280</v>
      </c>
      <c r="E108" s="123">
        <f>_018_550[[#This Row],[入料數]]-_018_550[[#This Row],['#08已委外數量]]</f>
        <v>0</v>
      </c>
      <c r="F108" s="123">
        <f>SUMIFS(record[OK],record[製程料號],_018_550[[#This Row],[製令單號]],record[ProcessSN],F$1)</f>
        <v>280</v>
      </c>
      <c r="G108" s="118" t="str">
        <f>IF(_018_550[[#This Row],['#08已委外數量]]&gt;0,VLOOKUP(G$1,record[[ProcessSN]:[廠商]],12,FALSE),"尚未委外")</f>
        <v>泉盛</v>
      </c>
      <c r="H108" s="123">
        <f>_018_550[[#This Row],['#08已委外數量]]-_018_550[[#This Row],['#08回
良品]]-_018_550[[#This Row],['#08委外NG]]</f>
        <v>0</v>
      </c>
      <c r="I108" s="123">
        <f>SUMIFS(record[OK],record[製程料號],_018_550[[#This Row],[製令單號]],record[ProcessSN],I$1)</f>
        <v>272</v>
      </c>
      <c r="J108" s="117">
        <f>SUMIFS(record[NG],record[製程料號],_018_550[[#This Row],[製令單號]],record[ProcessSN],J$1)</f>
        <v>8</v>
      </c>
      <c r="K108" s="124">
        <f>IFERROR(_018_550[[#This Row],['#08委外NG]]/_018_550[[#This Row],['#08已委外數量]],"")</f>
        <v>2.8571428571428571E-2</v>
      </c>
      <c r="L108" s="123">
        <f>_018_550[[#This Row],['#08回
良品]]-_018_550[[#This Row],['#06檢驗OK]]-_018_550[[#This Row],['#06
QC NG]]</f>
        <v>0</v>
      </c>
      <c r="M108" s="123">
        <f>SUMIFS(record[OK],record[製程料號],_018_550[[#This Row],[製令單號]],record[ProcessSN],M$1)</f>
        <v>272</v>
      </c>
      <c r="N108" s="117">
        <f>SUMIFS(record[NG],record[製程料號],_018_550[[#This Row],[製令單號]],record[ProcessSN],N$1)</f>
        <v>0</v>
      </c>
      <c r="O108" s="123">
        <f>_018_550[[#This Row],['#06檢驗OK]]-_018_550[[#This Row],[不良品]]-_018_550[[#This Row],[良品]]</f>
        <v>0</v>
      </c>
      <c r="P108" s="123">
        <f>SUMIFS(record[OK],record[製程料號],_018_550[[#This Row],[製令單號]],record[ProcessSN],P$1)</f>
        <v>196</v>
      </c>
      <c r="Q108" s="117">
        <f>SUMIFS(record[NG],record[製程料號],_018_550[[#This Row],[製令單號]],record[ProcessSN],Q$1)</f>
        <v>76</v>
      </c>
      <c r="R108" s="123">
        <f>_018_550[[#This Row],[良品]]-_018_550[[#This Row],[良品放行]]-_018_550[[#This Row],[不良待處理]]</f>
        <v>0</v>
      </c>
      <c r="S108" s="123">
        <f>SUMIFS(record[OK],record[製程料號],_018_550[[#This Row],[製令單號]],record[ProcessSN],S$1)</f>
        <v>196</v>
      </c>
      <c r="T108" s="117">
        <f>SUMIFS(record[NG],record[製程料號],_018_550[[#This Row],[製令單號]],record[ProcessSN],T$1)</f>
        <v>0</v>
      </c>
      <c r="U108" s="123">
        <f>_018_550[[#This Row],[良品放行]]-_018_550[[#This Row],[入庫]]</f>
        <v>0</v>
      </c>
      <c r="V108" s="123">
        <f>SUMIFS(record[OK],record[製程料號],_018_550[[#This Row],[製令單號]],record[ProcessSN],V$1)</f>
        <v>196</v>
      </c>
      <c r="W108" s="123">
        <f>_018_550[[#This Row],[入庫]]-_018_550[[#This Row],[已出貨]]</f>
        <v>0</v>
      </c>
      <c r="X108" s="137"/>
      <c r="Y108" s="123">
        <f>SUMIFS(record[OK],record[製程料號],_018_550[[#This Row],[製令單號]],record[ProcessSN],Y$1)</f>
        <v>196</v>
      </c>
      <c r="Z108" s="125">
        <f>_018_550[[#This Row],[不良待處理]]+_018_550[[#This Row],[不良品]]+_018_550[[#This Row],['#06
QC NG]]+_018_550[[#This Row],['#08委外NG]]</f>
        <v>84</v>
      </c>
      <c r="AA10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0.7</v>
      </c>
    </row>
    <row r="109" spans="1:27" ht="30.75" x14ac:dyDescent="0.25">
      <c r="A109" s="120">
        <v>45994</v>
      </c>
      <c r="B109" s="121" t="s">
        <v>1278</v>
      </c>
      <c r="C109" s="122" t="s">
        <v>500</v>
      </c>
      <c r="D109" s="118">
        <v>166</v>
      </c>
      <c r="E109" s="123">
        <f>_018_550[[#This Row],[入料數]]-_018_550[[#This Row],['#08已委外數量]]</f>
        <v>0</v>
      </c>
      <c r="F109" s="123">
        <f>SUMIFS(record[OK],record[製程料號],_018_550[[#This Row],[製令單號]],record[ProcessSN],F$1)</f>
        <v>166</v>
      </c>
      <c r="G109" s="118" t="str">
        <f>IF(_018_550[[#This Row],['#08已委外數量]]&gt;0,VLOOKUP(G$1,record[[ProcessSN]:[廠商]],12,FALSE),"尚未委外")</f>
        <v>泉盛</v>
      </c>
      <c r="H109" s="123">
        <f>_018_550[[#This Row],['#08已委外數量]]-_018_550[[#This Row],['#08回
良品]]-_018_550[[#This Row],['#08委外NG]]</f>
        <v>0</v>
      </c>
      <c r="I109" s="123">
        <f>SUMIFS(record[OK],record[製程料號],_018_550[[#This Row],[製令單號]],record[ProcessSN],I$1)</f>
        <v>164</v>
      </c>
      <c r="J109" s="117">
        <f>SUMIFS(record[NG],record[製程料號],_018_550[[#This Row],[製令單號]],record[ProcessSN],J$1)</f>
        <v>2</v>
      </c>
      <c r="K109" s="124">
        <f>IFERROR(_018_550[[#This Row],['#08委外NG]]/_018_550[[#This Row],['#08已委外數量]],"")</f>
        <v>1.2048192771084338E-2</v>
      </c>
      <c r="L109" s="123">
        <f>_018_550[[#This Row],['#08回
良品]]-_018_550[[#This Row],['#06檢驗OK]]-_018_550[[#This Row],['#06
QC NG]]</f>
        <v>0</v>
      </c>
      <c r="M109" s="123">
        <f>SUMIFS(record[OK],record[製程料號],_018_550[[#This Row],[製令單號]],record[ProcessSN],M$1)</f>
        <v>164</v>
      </c>
      <c r="N109" s="117">
        <f>SUMIFS(record[NG],record[製程料號],_018_550[[#This Row],[製令單號]],record[ProcessSN],N$1)</f>
        <v>0</v>
      </c>
      <c r="O109" s="123">
        <f>_018_550[[#This Row],['#06檢驗OK]]-_018_550[[#This Row],[不良品]]-_018_550[[#This Row],[良品]]</f>
        <v>0</v>
      </c>
      <c r="P109" s="123">
        <f>SUMIFS(record[OK],record[製程料號],_018_550[[#This Row],[製令單號]],record[ProcessSN],P$1)</f>
        <v>164</v>
      </c>
      <c r="Q109" s="117">
        <f>SUMIFS(record[NG],record[製程料號],_018_550[[#This Row],[製令單號]],record[ProcessSN],Q$1)</f>
        <v>0</v>
      </c>
      <c r="R109" s="123">
        <f>_018_550[[#This Row],[良品]]-_018_550[[#This Row],[良品放行]]-_018_550[[#This Row],[不良待處理]]</f>
        <v>0</v>
      </c>
      <c r="S109" s="123">
        <f>SUMIFS(record[OK],record[製程料號],_018_550[[#This Row],[製令單號]],record[ProcessSN],S$1)</f>
        <v>164</v>
      </c>
      <c r="T109" s="117">
        <f>SUMIFS(record[NG],record[製程料號],_018_550[[#This Row],[製令單號]],record[ProcessSN],T$1)</f>
        <v>0</v>
      </c>
      <c r="U109" s="123">
        <f>_018_550[[#This Row],[良品放行]]-_018_550[[#This Row],[入庫]]</f>
        <v>0</v>
      </c>
      <c r="V109" s="123">
        <f>SUMIFS(record[OK],record[製程料號],_018_550[[#This Row],[製令單號]],record[ProcessSN],V$1)</f>
        <v>164</v>
      </c>
      <c r="W109" s="123">
        <f>_018_550[[#This Row],[入庫]]-_018_550[[#This Row],[已出貨]]</f>
        <v>0</v>
      </c>
      <c r="X109" s="137"/>
      <c r="Y109" s="123">
        <f>SUMIFS(record[OK],record[製程料號],_018_550[[#This Row],[製令單號]],record[ProcessSN],Y$1)</f>
        <v>164</v>
      </c>
      <c r="Z109" s="125">
        <f>_018_550[[#This Row],[不良待處理]]+_018_550[[#This Row],[不良品]]+_018_550[[#This Row],['#06
QC NG]]+_018_550[[#This Row],['#08委外NG]]</f>
        <v>2</v>
      </c>
      <c r="AA10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0.98795180722891562</v>
      </c>
    </row>
    <row r="110" spans="1:27" ht="30.75" x14ac:dyDescent="0.25">
      <c r="A110" s="120">
        <v>45996</v>
      </c>
      <c r="B110" s="121" t="s">
        <v>1289</v>
      </c>
      <c r="C110" s="122" t="s">
        <v>500</v>
      </c>
      <c r="D110" s="118">
        <v>356</v>
      </c>
      <c r="E110" s="123">
        <f>_018_550[[#This Row],[入料數]]-_018_550[[#This Row],['#08已委外數量]]</f>
        <v>0</v>
      </c>
      <c r="F110" s="123">
        <f>SUMIFS(record[OK],record[製程料號],_018_550[[#This Row],[製令單號]],record[ProcessSN],F$1)</f>
        <v>356</v>
      </c>
      <c r="G110" s="118" t="str">
        <f>IF(_018_550[[#This Row],['#08已委外數量]]&gt;0,VLOOKUP(G$1,record[[ProcessSN]:[廠商]],12,FALSE),"尚未委外")</f>
        <v>泉盛</v>
      </c>
      <c r="H110" s="123">
        <f>_018_550[[#This Row],['#08已委外數量]]-_018_550[[#This Row],['#08回
良品]]-_018_550[[#This Row],['#08委外NG]]</f>
        <v>0</v>
      </c>
      <c r="I110" s="123">
        <f>SUMIFS(record[OK],record[製程料號],_018_550[[#This Row],[製令單號]],record[ProcessSN],I$1)</f>
        <v>341</v>
      </c>
      <c r="J110" s="117">
        <f>SUMIFS(record[NG],record[製程料號],_018_550[[#This Row],[製令單號]],record[ProcessSN],J$1)</f>
        <v>15</v>
      </c>
      <c r="K110" s="124">
        <f>IFERROR(_018_550[[#This Row],['#08委外NG]]/_018_550[[#This Row],['#08已委外數量]],"")</f>
        <v>4.2134831460674156E-2</v>
      </c>
      <c r="L110" s="123">
        <f>_018_550[[#This Row],['#08回
良品]]-_018_550[[#This Row],['#06檢驗OK]]-_018_550[[#This Row],['#06
QC NG]]</f>
        <v>0</v>
      </c>
      <c r="M110" s="123">
        <f>SUMIFS(record[OK],record[製程料號],_018_550[[#This Row],[製令單號]],record[ProcessSN],M$1)</f>
        <v>341</v>
      </c>
      <c r="N110" s="117">
        <f>SUMIFS(record[NG],record[製程料號],_018_550[[#This Row],[製令單號]],record[ProcessSN],N$1)</f>
        <v>0</v>
      </c>
      <c r="O110" s="123">
        <f>_018_550[[#This Row],['#06檢驗OK]]-_018_550[[#This Row],[不良品]]-_018_550[[#This Row],[良品]]</f>
        <v>0</v>
      </c>
      <c r="P110" s="123">
        <f>SUMIFS(record[OK],record[製程料號],_018_550[[#This Row],[製令單號]],record[ProcessSN],P$1)</f>
        <v>341</v>
      </c>
      <c r="Q110" s="117">
        <f>SUMIFS(record[NG],record[製程料號],_018_550[[#This Row],[製令單號]],record[ProcessSN],Q$1)</f>
        <v>0</v>
      </c>
      <c r="R110" s="123">
        <f>_018_550[[#This Row],[良品]]-_018_550[[#This Row],[良品放行]]-_018_550[[#This Row],[不良待處理]]</f>
        <v>0</v>
      </c>
      <c r="S110" s="123">
        <f>SUMIFS(record[OK],record[製程料號],_018_550[[#This Row],[製令單號]],record[ProcessSN],S$1)</f>
        <v>341</v>
      </c>
      <c r="T110" s="117">
        <f>SUMIFS(record[NG],record[製程料號],_018_550[[#This Row],[製令單號]],record[ProcessSN],T$1)</f>
        <v>0</v>
      </c>
      <c r="U110" s="123">
        <f>_018_550[[#This Row],[良品放行]]-_018_550[[#This Row],[入庫]]</f>
        <v>0</v>
      </c>
      <c r="V110" s="123">
        <f>SUMIFS(record[OK],record[製程料號],_018_550[[#This Row],[製令單號]],record[ProcessSN],V$1)</f>
        <v>341</v>
      </c>
      <c r="W110" s="123">
        <f>_018_550[[#This Row],[入庫]]-_018_550[[#This Row],[已出貨]]</f>
        <v>0</v>
      </c>
      <c r="X110" s="137"/>
      <c r="Y110" s="123">
        <f>SUMIFS(record[OK],record[製程料號],_018_550[[#This Row],[製令單號]],record[ProcessSN],Y$1)</f>
        <v>341</v>
      </c>
      <c r="Z110" s="125">
        <f>_018_550[[#This Row],[不良待處理]]+_018_550[[#This Row],[不良品]]+_018_550[[#This Row],['#06
QC NG]]+_018_550[[#This Row],['#08委外NG]]</f>
        <v>15</v>
      </c>
      <c r="AA11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0.9578651685393258</v>
      </c>
    </row>
    <row r="111" spans="1:27" ht="30.75" x14ac:dyDescent="0.25">
      <c r="A111" s="120">
        <v>45999</v>
      </c>
      <c r="B111" s="121" t="s">
        <v>1302</v>
      </c>
      <c r="C111" s="122" t="s">
        <v>500</v>
      </c>
      <c r="D111" s="118">
        <v>336</v>
      </c>
      <c r="E111" s="123">
        <f>_018_550[[#This Row],[入料數]]-_018_550[[#This Row],['#08已委外數量]]</f>
        <v>0</v>
      </c>
      <c r="F111" s="123">
        <f>SUMIFS(record[OK],record[製程料號],_018_550[[#This Row],[製令單號]],record[ProcessSN],F$1)</f>
        <v>336</v>
      </c>
      <c r="G111" s="118" t="str">
        <f>IF(_018_550[[#This Row],['#08已委外數量]]&gt;0,VLOOKUP(G$1,record[[ProcessSN]:[廠商]],12,FALSE),"尚未委外")</f>
        <v>泉盛</v>
      </c>
      <c r="H111" s="123">
        <f>_018_550[[#This Row],['#08已委外數量]]-_018_550[[#This Row],['#08回
良品]]-_018_550[[#This Row],['#08委外NG]]</f>
        <v>0</v>
      </c>
      <c r="I111" s="123">
        <f>SUMIFS(record[OK],record[製程料號],_018_550[[#This Row],[製令單號]],record[ProcessSN],I$1)</f>
        <v>331</v>
      </c>
      <c r="J111" s="117">
        <f>SUMIFS(record[NG],record[製程料號],_018_550[[#This Row],[製令單號]],record[ProcessSN],J$1)</f>
        <v>5</v>
      </c>
      <c r="K111" s="124">
        <f>IFERROR(_018_550[[#This Row],['#08委外NG]]/_018_550[[#This Row],['#08已委外數量]],"")</f>
        <v>1.488095238095238E-2</v>
      </c>
      <c r="L111" s="123">
        <f>_018_550[[#This Row],['#08回
良品]]-_018_550[[#This Row],['#06檢驗OK]]-_018_550[[#This Row],['#06
QC NG]]</f>
        <v>0</v>
      </c>
      <c r="M111" s="123">
        <f>SUMIFS(record[OK],record[製程料號],_018_550[[#This Row],[製令單號]],record[ProcessSN],M$1)</f>
        <v>331</v>
      </c>
      <c r="N111" s="117">
        <f>SUMIFS(record[NG],record[製程料號],_018_550[[#This Row],[製令單號]],record[ProcessSN],N$1)</f>
        <v>0</v>
      </c>
      <c r="O111" s="123">
        <f>_018_550[[#This Row],['#06檢驗OK]]-_018_550[[#This Row],[不良品]]-_018_550[[#This Row],[良品]]</f>
        <v>0</v>
      </c>
      <c r="P111" s="123">
        <f>SUMIFS(record[OK],record[製程料號],_018_550[[#This Row],[製令單號]],record[ProcessSN],P$1)</f>
        <v>331</v>
      </c>
      <c r="Q111" s="117">
        <f>SUMIFS(record[NG],record[製程料號],_018_550[[#This Row],[製令單號]],record[ProcessSN],Q$1)</f>
        <v>0</v>
      </c>
      <c r="R111" s="123">
        <f>_018_550[[#This Row],[良品]]-_018_550[[#This Row],[良品放行]]-_018_550[[#This Row],[不良待處理]]</f>
        <v>0</v>
      </c>
      <c r="S111" s="123">
        <f>SUMIFS(record[OK],record[製程料號],_018_550[[#This Row],[製令單號]],record[ProcessSN],S$1)</f>
        <v>331</v>
      </c>
      <c r="T111" s="117">
        <f>SUMIFS(record[NG],record[製程料號],_018_550[[#This Row],[製令單號]],record[ProcessSN],T$1)</f>
        <v>0</v>
      </c>
      <c r="U111" s="123">
        <f>_018_550[[#This Row],[良品放行]]-_018_550[[#This Row],[入庫]]</f>
        <v>0</v>
      </c>
      <c r="V111" s="123">
        <f>SUMIFS(record[OK],record[製程料號],_018_550[[#This Row],[製令單號]],record[ProcessSN],V$1)</f>
        <v>331</v>
      </c>
      <c r="W111" s="123">
        <f>_018_550[[#This Row],[入庫]]-_018_550[[#This Row],[已出貨]]</f>
        <v>0</v>
      </c>
      <c r="X111" s="137"/>
      <c r="Y111" s="123">
        <f>SUMIFS(record[OK],record[製程料號],_018_550[[#This Row],[製令單號]],record[ProcessSN],Y$1)</f>
        <v>331</v>
      </c>
      <c r="Z111" s="125">
        <f>_018_550[[#This Row],[不良待處理]]+_018_550[[#This Row],[不良品]]+_018_550[[#This Row],['#06
QC NG]]+_018_550[[#This Row],['#08委外NG]]</f>
        <v>5</v>
      </c>
      <c r="AA11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0.98511904761904767</v>
      </c>
    </row>
    <row r="112" spans="1:27" ht="30.75" x14ac:dyDescent="0.25">
      <c r="A112" s="120">
        <v>46000</v>
      </c>
      <c r="B112" s="121" t="s">
        <v>1306</v>
      </c>
      <c r="C112" s="122" t="s">
        <v>500</v>
      </c>
      <c r="D112" s="118">
        <v>425</v>
      </c>
      <c r="E112" s="123">
        <f>_018_550[[#This Row],[入料數]]-_018_550[[#This Row],['#08已委外數量]]</f>
        <v>0</v>
      </c>
      <c r="F112" s="123">
        <f>SUMIFS(record[OK],record[製程料號],_018_550[[#This Row],[製令單號]],record[ProcessSN],F$1)</f>
        <v>425</v>
      </c>
      <c r="G112" s="118" t="str">
        <f>IF(_018_550[[#This Row],['#08已委外數量]]&gt;0,VLOOKUP(G$1,record[[ProcessSN]:[廠商]],12,FALSE),"尚未委外")</f>
        <v>泉盛</v>
      </c>
      <c r="H112" s="123">
        <f>_018_550[[#This Row],['#08已委外數量]]-_018_550[[#This Row],['#08回
良品]]-_018_550[[#This Row],['#08委外NG]]</f>
        <v>0</v>
      </c>
      <c r="I112" s="123">
        <f>SUMIFS(record[OK],record[製程料號],_018_550[[#This Row],[製令單號]],record[ProcessSN],I$1)</f>
        <v>410</v>
      </c>
      <c r="J112" s="117">
        <f>SUMIFS(record[NG],record[製程料號],_018_550[[#This Row],[製令單號]],record[ProcessSN],J$1)</f>
        <v>15</v>
      </c>
      <c r="K112" s="124">
        <f>IFERROR(_018_550[[#This Row],['#08委外NG]]/_018_550[[#This Row],['#08已委外數量]],"")</f>
        <v>3.5294117647058823E-2</v>
      </c>
      <c r="L112" s="123">
        <f>_018_550[[#This Row],['#08回
良品]]-_018_550[[#This Row],['#06檢驗OK]]-_018_550[[#This Row],['#06
QC NG]]</f>
        <v>0</v>
      </c>
      <c r="M112" s="123">
        <f>SUMIFS(record[OK],record[製程料號],_018_550[[#This Row],[製令單號]],record[ProcessSN],M$1)</f>
        <v>410</v>
      </c>
      <c r="N112" s="117">
        <f>SUMIFS(record[NG],record[製程料號],_018_550[[#This Row],[製令單號]],record[ProcessSN],N$1)</f>
        <v>0</v>
      </c>
      <c r="O112" s="123">
        <f>_018_550[[#This Row],['#06檢驗OK]]-_018_550[[#This Row],[不良品]]-_018_550[[#This Row],[良品]]</f>
        <v>0</v>
      </c>
      <c r="P112" s="123">
        <f>SUMIFS(record[OK],record[製程料號],_018_550[[#This Row],[製令單號]],record[ProcessSN],P$1)</f>
        <v>410</v>
      </c>
      <c r="Q112" s="117">
        <f>SUMIFS(record[NG],record[製程料號],_018_550[[#This Row],[製令單號]],record[ProcessSN],Q$1)</f>
        <v>0</v>
      </c>
      <c r="R112" s="123">
        <f>_018_550[[#This Row],[良品]]-_018_550[[#This Row],[良品放行]]-_018_550[[#This Row],[不良待處理]]</f>
        <v>0</v>
      </c>
      <c r="S112" s="123">
        <f>SUMIFS(record[OK],record[製程料號],_018_550[[#This Row],[製令單號]],record[ProcessSN],S$1)</f>
        <v>410</v>
      </c>
      <c r="T112" s="117">
        <f>SUMIFS(record[NG],record[製程料號],_018_550[[#This Row],[製令單號]],record[ProcessSN],T$1)</f>
        <v>0</v>
      </c>
      <c r="U112" s="123">
        <f>_018_550[[#This Row],[良品放行]]-_018_550[[#This Row],[入庫]]</f>
        <v>0</v>
      </c>
      <c r="V112" s="123">
        <f>SUMIFS(record[OK],record[製程料號],_018_550[[#This Row],[製令單號]],record[ProcessSN],V$1)</f>
        <v>410</v>
      </c>
      <c r="W112" s="123">
        <f>_018_550[[#This Row],[入庫]]-_018_550[[#This Row],[已出貨]]</f>
        <v>0</v>
      </c>
      <c r="X112" s="137"/>
      <c r="Y112" s="123">
        <f>SUMIFS(record[OK],record[製程料號],_018_550[[#This Row],[製令單號]],record[ProcessSN],Y$1)</f>
        <v>410</v>
      </c>
      <c r="Z112" s="125">
        <f>_018_550[[#This Row],[不良待處理]]+_018_550[[#This Row],[不良品]]+_018_550[[#This Row],['#06
QC NG]]+_018_550[[#This Row],['#08委外NG]]</f>
        <v>15</v>
      </c>
      <c r="AA11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0.96470588235294119</v>
      </c>
    </row>
    <row r="113" spans="1:27" ht="30.75" x14ac:dyDescent="0.25">
      <c r="A113" s="120">
        <v>46001</v>
      </c>
      <c r="B113" s="121" t="s">
        <v>1317</v>
      </c>
      <c r="C113" s="122" t="s">
        <v>500</v>
      </c>
      <c r="D113" s="118">
        <v>145</v>
      </c>
      <c r="E113" s="123">
        <f>_018_550[[#This Row],[入料數]]-_018_550[[#This Row],['#08已委外數量]]</f>
        <v>0</v>
      </c>
      <c r="F113" s="123">
        <f>SUMIFS(record[OK],record[製程料號],_018_550[[#This Row],[製令單號]],record[ProcessSN],F$1)</f>
        <v>145</v>
      </c>
      <c r="G113" s="118" t="str">
        <f>IF(_018_550[[#This Row],['#08已委外數量]]&gt;0,VLOOKUP(G$1,record[[ProcessSN]:[廠商]],12,FALSE),"尚未委外")</f>
        <v>泉盛</v>
      </c>
      <c r="H113" s="123">
        <f>_018_550[[#This Row],['#08已委外數量]]-_018_550[[#This Row],['#08回
良品]]-_018_550[[#This Row],['#08委外NG]]</f>
        <v>0</v>
      </c>
      <c r="I113" s="123">
        <f>SUMIFS(record[OK],record[製程料號],_018_550[[#This Row],[製令單號]],record[ProcessSN],I$1)</f>
        <v>141</v>
      </c>
      <c r="J113" s="117">
        <f>SUMIFS(record[NG],record[製程料號],_018_550[[#This Row],[製令單號]],record[ProcessSN],J$1)</f>
        <v>4</v>
      </c>
      <c r="K113" s="124">
        <f>IFERROR(_018_550[[#This Row],['#08委外NG]]/_018_550[[#This Row],['#08已委外數量]],"")</f>
        <v>2.7586206896551724E-2</v>
      </c>
      <c r="L113" s="123">
        <f>_018_550[[#This Row],['#08回
良品]]-_018_550[[#This Row],['#06檢驗OK]]-_018_550[[#This Row],['#06
QC NG]]</f>
        <v>0</v>
      </c>
      <c r="M113" s="123">
        <f>SUMIFS(record[OK],record[製程料號],_018_550[[#This Row],[製令單號]],record[ProcessSN],M$1)</f>
        <v>141</v>
      </c>
      <c r="N113" s="117">
        <f>SUMIFS(record[NG],record[製程料號],_018_550[[#This Row],[製令單號]],record[ProcessSN],N$1)</f>
        <v>0</v>
      </c>
      <c r="O113" s="123">
        <f>_018_550[[#This Row],['#06檢驗OK]]-_018_550[[#This Row],[不良品]]-_018_550[[#This Row],[良品]]</f>
        <v>0</v>
      </c>
      <c r="P113" s="123">
        <f>SUMIFS(record[OK],record[製程料號],_018_550[[#This Row],[製令單號]],record[ProcessSN],P$1)</f>
        <v>141</v>
      </c>
      <c r="Q113" s="117">
        <f>SUMIFS(record[NG],record[製程料號],_018_550[[#This Row],[製令單號]],record[ProcessSN],Q$1)</f>
        <v>0</v>
      </c>
      <c r="R113" s="123">
        <f>_018_550[[#This Row],[良品]]-_018_550[[#This Row],[良品放行]]-_018_550[[#This Row],[不良待處理]]</f>
        <v>0</v>
      </c>
      <c r="S113" s="123">
        <f>SUMIFS(record[OK],record[製程料號],_018_550[[#This Row],[製令單號]],record[ProcessSN],S$1)</f>
        <v>141</v>
      </c>
      <c r="T113" s="117">
        <f>SUMIFS(record[NG],record[製程料號],_018_550[[#This Row],[製令單號]],record[ProcessSN],T$1)</f>
        <v>0</v>
      </c>
      <c r="U113" s="123">
        <f>_018_550[[#This Row],[良品放行]]-_018_550[[#This Row],[入庫]]</f>
        <v>0</v>
      </c>
      <c r="V113" s="123">
        <f>SUMIFS(record[OK],record[製程料號],_018_550[[#This Row],[製令單號]],record[ProcessSN],V$1)</f>
        <v>141</v>
      </c>
      <c r="W113" s="123">
        <f>_018_550[[#This Row],[入庫]]-_018_550[[#This Row],[已出貨]]</f>
        <v>0</v>
      </c>
      <c r="X113" s="137"/>
      <c r="Y113" s="123">
        <f>SUMIFS(record[OK],record[製程料號],_018_550[[#This Row],[製令單號]],record[ProcessSN],Y$1)</f>
        <v>141</v>
      </c>
      <c r="Z113" s="125">
        <f>_018_550[[#This Row],[不良待處理]]+_018_550[[#This Row],[不良品]]+_018_550[[#This Row],['#06
QC NG]]+_018_550[[#This Row],['#08委外NG]]</f>
        <v>4</v>
      </c>
      <c r="AA11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0.97241379310344822</v>
      </c>
    </row>
    <row r="114" spans="1:27" ht="30.75" x14ac:dyDescent="0.25">
      <c r="A114" s="120">
        <v>46006</v>
      </c>
      <c r="B114" s="121" t="s">
        <v>1329</v>
      </c>
      <c r="C114" s="122" t="s">
        <v>500</v>
      </c>
      <c r="D114" s="118">
        <v>501</v>
      </c>
      <c r="E114" s="123">
        <f>_018_550[[#This Row],[入料數]]-_018_550[[#This Row],['#08已委外數量]]</f>
        <v>0</v>
      </c>
      <c r="F114" s="123">
        <f>SUMIFS(record[OK],record[製程料號],_018_550[[#This Row],[製令單號]],record[ProcessSN],F$1)</f>
        <v>501</v>
      </c>
      <c r="G114" s="118" t="str">
        <f>IF(_018_550[[#This Row],['#08已委外數量]]&gt;0,VLOOKUP(G$1,record[[ProcessSN]:[廠商]],12,FALSE),"尚未委外")</f>
        <v>泉盛</v>
      </c>
      <c r="H114" s="123">
        <f>_018_550[[#This Row],['#08已委外數量]]-_018_550[[#This Row],['#08回
良品]]-_018_550[[#This Row],['#08委外NG]]</f>
        <v>0</v>
      </c>
      <c r="I114" s="123">
        <f>SUMIFS(record[OK],record[製程料號],_018_550[[#This Row],[製令單號]],record[ProcessSN],I$1)</f>
        <v>490</v>
      </c>
      <c r="J114" s="117">
        <f>SUMIFS(record[NG],record[製程料號],_018_550[[#This Row],[製令單號]],record[ProcessSN],J$1)</f>
        <v>11</v>
      </c>
      <c r="K114" s="124">
        <f>IFERROR(_018_550[[#This Row],['#08委外NG]]/_018_550[[#This Row],['#08已委外數量]],"")</f>
        <v>2.1956087824351298E-2</v>
      </c>
      <c r="L114" s="123">
        <f>_018_550[[#This Row],['#08回
良品]]-_018_550[[#This Row],['#06檢驗OK]]-_018_550[[#This Row],['#06
QC NG]]</f>
        <v>0</v>
      </c>
      <c r="M114" s="123">
        <f>SUMIFS(record[OK],record[製程料號],_018_550[[#This Row],[製令單號]],record[ProcessSN],M$1)</f>
        <v>490</v>
      </c>
      <c r="N114" s="117">
        <f>SUMIFS(record[NG],record[製程料號],_018_550[[#This Row],[製令單號]],record[ProcessSN],N$1)</f>
        <v>0</v>
      </c>
      <c r="O114" s="123">
        <f>_018_550[[#This Row],['#06檢驗OK]]-_018_550[[#This Row],[不良品]]-_018_550[[#This Row],[良品]]</f>
        <v>0</v>
      </c>
      <c r="P114" s="123">
        <f>SUMIFS(record[OK],record[製程料號],_018_550[[#This Row],[製令單號]],record[ProcessSN],P$1)</f>
        <v>490</v>
      </c>
      <c r="Q114" s="117">
        <f>SUMIFS(record[NG],record[製程料號],_018_550[[#This Row],[製令單號]],record[ProcessSN],Q$1)</f>
        <v>0</v>
      </c>
      <c r="R114" s="123">
        <f>_018_550[[#This Row],[良品]]-_018_550[[#This Row],[良品放行]]-_018_550[[#This Row],[不良待處理]]</f>
        <v>0</v>
      </c>
      <c r="S114" s="123">
        <f>SUMIFS(record[OK],record[製程料號],_018_550[[#This Row],[製令單號]],record[ProcessSN],S$1)</f>
        <v>490</v>
      </c>
      <c r="T114" s="117">
        <f>SUMIFS(record[NG],record[製程料號],_018_550[[#This Row],[製令單號]],record[ProcessSN],T$1)</f>
        <v>0</v>
      </c>
      <c r="U114" s="123">
        <f>_018_550[[#This Row],[良品放行]]-_018_550[[#This Row],[入庫]]</f>
        <v>0</v>
      </c>
      <c r="V114" s="123">
        <f>SUMIFS(record[OK],record[製程料號],_018_550[[#This Row],[製令單號]],record[ProcessSN],V$1)</f>
        <v>490</v>
      </c>
      <c r="W114" s="123">
        <f>_018_550[[#This Row],[入庫]]-_018_550[[#This Row],[已出貨]]</f>
        <v>0</v>
      </c>
      <c r="X114" s="137"/>
      <c r="Y114" s="123">
        <f>SUMIFS(record[OK],record[製程料號],_018_550[[#This Row],[製令單號]],record[ProcessSN],Y$1)</f>
        <v>490</v>
      </c>
      <c r="Z114" s="125">
        <f>_018_550[[#This Row],[不良待處理]]+_018_550[[#This Row],[不良品]]+_018_550[[#This Row],['#06
QC NG]]+_018_550[[#This Row],['#08委外NG]]</f>
        <v>11</v>
      </c>
      <c r="AA11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0.97804391217564868</v>
      </c>
    </row>
    <row r="115" spans="1:27" ht="30.75" x14ac:dyDescent="0.25">
      <c r="A115" s="120">
        <v>46008</v>
      </c>
      <c r="B115" s="121" t="s">
        <v>1342</v>
      </c>
      <c r="C115" s="122" t="s">
        <v>500</v>
      </c>
      <c r="D115" s="118">
        <v>166</v>
      </c>
      <c r="E115" s="123">
        <f>_018_550[[#This Row],[入料數]]-_018_550[[#This Row],['#08已委外數量]]</f>
        <v>0</v>
      </c>
      <c r="F115" s="123">
        <f>SUMIFS(record[OK],record[製程料號],_018_550[[#This Row],[製令單號]],record[ProcessSN],F$1)</f>
        <v>166</v>
      </c>
      <c r="G115" s="118" t="str">
        <f>IF(_018_550[[#This Row],['#08已委外數量]]&gt;0,VLOOKUP(G$1,record[[ProcessSN]:[廠商]],12,FALSE),"尚未委外")</f>
        <v>泉盛</v>
      </c>
      <c r="H115" s="123">
        <f>_018_550[[#This Row],['#08已委外數量]]-_018_550[[#This Row],['#08回
良品]]-_018_550[[#This Row],['#08委外NG]]</f>
        <v>0</v>
      </c>
      <c r="I115" s="123">
        <f>SUMIFS(record[OK],record[製程料號],_018_550[[#This Row],[製令單號]],record[ProcessSN],I$1)</f>
        <v>153</v>
      </c>
      <c r="J115" s="117">
        <f>SUMIFS(record[NG],record[製程料號],_018_550[[#This Row],[製令單號]],record[ProcessSN],J$1)</f>
        <v>13</v>
      </c>
      <c r="K115" s="124">
        <f>IFERROR(_018_550[[#This Row],['#08委外NG]]/_018_550[[#This Row],['#08已委外數量]],"")</f>
        <v>7.8313253012048195E-2</v>
      </c>
      <c r="L115" s="123">
        <f>_018_550[[#This Row],['#08回
良品]]-_018_550[[#This Row],['#06檢驗OK]]-_018_550[[#This Row],['#06
QC NG]]</f>
        <v>0</v>
      </c>
      <c r="M115" s="123">
        <f>SUMIFS(record[OK],record[製程料號],_018_550[[#This Row],[製令單號]],record[ProcessSN],M$1)</f>
        <v>153</v>
      </c>
      <c r="N115" s="117">
        <f>SUMIFS(record[NG],record[製程料號],_018_550[[#This Row],[製令單號]],record[ProcessSN],N$1)</f>
        <v>0</v>
      </c>
      <c r="O115" s="123">
        <f>_018_550[[#This Row],['#06檢驗OK]]-_018_550[[#This Row],[不良品]]-_018_550[[#This Row],[良品]]</f>
        <v>0</v>
      </c>
      <c r="P115" s="123">
        <f>SUMIFS(record[OK],record[製程料號],_018_550[[#This Row],[製令單號]],record[ProcessSN],P$1)</f>
        <v>153</v>
      </c>
      <c r="Q115" s="117">
        <f>SUMIFS(record[NG],record[製程料號],_018_550[[#This Row],[製令單號]],record[ProcessSN],Q$1)</f>
        <v>0</v>
      </c>
      <c r="R115" s="123">
        <f>_018_550[[#This Row],[良品]]-_018_550[[#This Row],[良品放行]]-_018_550[[#This Row],[不良待處理]]</f>
        <v>0</v>
      </c>
      <c r="S115" s="123">
        <f>SUMIFS(record[OK],record[製程料號],_018_550[[#This Row],[製令單號]],record[ProcessSN],S$1)</f>
        <v>153</v>
      </c>
      <c r="T115" s="117">
        <f>SUMIFS(record[NG],record[製程料號],_018_550[[#This Row],[製令單號]],record[ProcessSN],T$1)</f>
        <v>0</v>
      </c>
      <c r="U115" s="123">
        <f>_018_550[[#This Row],[良品放行]]-_018_550[[#This Row],[入庫]]</f>
        <v>0</v>
      </c>
      <c r="V115" s="123">
        <f>SUMIFS(record[OK],record[製程料號],_018_550[[#This Row],[製令單號]],record[ProcessSN],V$1)</f>
        <v>153</v>
      </c>
      <c r="W115" s="123">
        <f>_018_550[[#This Row],[入庫]]-_018_550[[#This Row],[已出貨]]</f>
        <v>0</v>
      </c>
      <c r="X115" s="137"/>
      <c r="Y115" s="123">
        <f>SUMIFS(record[OK],record[製程料號],_018_550[[#This Row],[製令單號]],record[ProcessSN],Y$1)</f>
        <v>153</v>
      </c>
      <c r="Z115" s="125">
        <f>_018_550[[#This Row],[不良待處理]]+_018_550[[#This Row],[不良品]]+_018_550[[#This Row],['#06
QC NG]]+_018_550[[#This Row],['#08委外NG]]</f>
        <v>13</v>
      </c>
      <c r="AA11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0.92168674698795183</v>
      </c>
    </row>
    <row r="116" spans="1:27" ht="30.75" x14ac:dyDescent="0.25">
      <c r="A116" s="120">
        <v>46010</v>
      </c>
      <c r="B116" s="121" t="s">
        <v>1350</v>
      </c>
      <c r="C116" s="122" t="s">
        <v>500</v>
      </c>
      <c r="D116" s="118">
        <v>336</v>
      </c>
      <c r="E116" s="123">
        <f>_018_550[[#This Row],[入料數]]-_018_550[[#This Row],['#08已委外數量]]</f>
        <v>0</v>
      </c>
      <c r="F116" s="123">
        <f>SUMIFS(record[OK],record[製程料號],_018_550[[#This Row],[製令單號]],record[ProcessSN],F$1)</f>
        <v>336</v>
      </c>
      <c r="G116" s="118" t="str">
        <f>IF(_018_550[[#This Row],['#08已委外數量]]&gt;0,VLOOKUP(G$1,record[[ProcessSN]:[廠商]],12,FALSE),"尚未委外")</f>
        <v>泉盛</v>
      </c>
      <c r="H116" s="123">
        <f>_018_550[[#This Row],['#08已委外數量]]-_018_550[[#This Row],['#08回
良品]]-_018_550[[#This Row],['#08委外NG]]</f>
        <v>0</v>
      </c>
      <c r="I116" s="123">
        <f>SUMIFS(record[OK],record[製程料號],_018_550[[#This Row],[製令單號]],record[ProcessSN],I$1)</f>
        <v>330</v>
      </c>
      <c r="J116" s="117">
        <f>SUMIFS(record[NG],record[製程料號],_018_550[[#This Row],[製令單號]],record[ProcessSN],J$1)</f>
        <v>6</v>
      </c>
      <c r="K116" s="124">
        <f>IFERROR(_018_550[[#This Row],['#08委外NG]]/_018_550[[#This Row],['#08已委外數量]],"")</f>
        <v>1.7857142857142856E-2</v>
      </c>
      <c r="L116" s="123">
        <f>_018_550[[#This Row],['#08回
良品]]-_018_550[[#This Row],['#06檢驗OK]]-_018_550[[#This Row],['#06
QC NG]]</f>
        <v>0</v>
      </c>
      <c r="M116" s="123">
        <f>SUMIFS(record[OK],record[製程料號],_018_550[[#This Row],[製令單號]],record[ProcessSN],M$1)</f>
        <v>330</v>
      </c>
      <c r="N116" s="117">
        <f>SUMIFS(record[NG],record[製程料號],_018_550[[#This Row],[製令單號]],record[ProcessSN],N$1)</f>
        <v>0</v>
      </c>
      <c r="O116" s="123">
        <f>_018_550[[#This Row],['#06檢驗OK]]-_018_550[[#This Row],[不良品]]-_018_550[[#This Row],[良品]]</f>
        <v>0</v>
      </c>
      <c r="P116" s="123">
        <f>SUMIFS(record[OK],record[製程料號],_018_550[[#This Row],[製令單號]],record[ProcessSN],P$1)</f>
        <v>330</v>
      </c>
      <c r="Q116" s="117">
        <f>SUMIFS(record[NG],record[製程料號],_018_550[[#This Row],[製令單號]],record[ProcessSN],Q$1)</f>
        <v>0</v>
      </c>
      <c r="R116" s="123">
        <f>_018_550[[#This Row],[良品]]-_018_550[[#This Row],[良品放行]]-_018_550[[#This Row],[不良待處理]]</f>
        <v>0</v>
      </c>
      <c r="S116" s="123">
        <f>SUMIFS(record[OK],record[製程料號],_018_550[[#This Row],[製令單號]],record[ProcessSN],S$1)</f>
        <v>330</v>
      </c>
      <c r="T116" s="117">
        <f>SUMIFS(record[NG],record[製程料號],_018_550[[#This Row],[製令單號]],record[ProcessSN],T$1)</f>
        <v>0</v>
      </c>
      <c r="U116" s="123">
        <f>_018_550[[#This Row],[良品放行]]-_018_550[[#This Row],[入庫]]</f>
        <v>0</v>
      </c>
      <c r="V116" s="123">
        <f>SUMIFS(record[OK],record[製程料號],_018_550[[#This Row],[製令單號]],record[ProcessSN],V$1)</f>
        <v>330</v>
      </c>
      <c r="W116" s="123">
        <f>_018_550[[#This Row],[入庫]]-_018_550[[#This Row],[已出貨]]</f>
        <v>0</v>
      </c>
      <c r="X116" s="137"/>
      <c r="Y116" s="123">
        <f>SUMIFS(record[OK],record[製程料號],_018_550[[#This Row],[製令單號]],record[ProcessSN],Y$1)</f>
        <v>330</v>
      </c>
      <c r="Z116" s="125">
        <f>_018_550[[#This Row],[不良待處理]]+_018_550[[#This Row],[不良品]]+_018_550[[#This Row],['#06
QC NG]]+_018_550[[#This Row],['#08委外NG]]</f>
        <v>6</v>
      </c>
      <c r="AA11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0.9821428571428571</v>
      </c>
    </row>
    <row r="117" spans="1:27" ht="30.75" x14ac:dyDescent="0.25">
      <c r="A117" s="120">
        <v>46013</v>
      </c>
      <c r="B117" s="121" t="s">
        <v>1366</v>
      </c>
      <c r="C117" s="122" t="s">
        <v>500</v>
      </c>
      <c r="D117" s="118">
        <v>493</v>
      </c>
      <c r="E117" s="123">
        <f>_018_550[[#This Row],[入料數]]-_018_550[[#This Row],['#08已委外數量]]</f>
        <v>0</v>
      </c>
      <c r="F117" s="123">
        <f>SUMIFS(record[OK],record[製程料號],_018_550[[#This Row],[製令單號]],record[ProcessSN],F$1)</f>
        <v>493</v>
      </c>
      <c r="G117" s="118" t="str">
        <f>IF(_018_550[[#This Row],['#08已委外數量]]&gt;0,VLOOKUP(G$1,record[[ProcessSN]:[廠商]],12,FALSE),"尚未委外")</f>
        <v>泉盛</v>
      </c>
      <c r="H117" s="123">
        <f>_018_550[[#This Row],['#08已委外數量]]-_018_550[[#This Row],['#08回
良品]]-_018_550[[#This Row],['#08委外NG]]</f>
        <v>0</v>
      </c>
      <c r="I117" s="123">
        <f>SUMIFS(record[OK],record[製程料號],_018_550[[#This Row],[製令單號]],record[ProcessSN],I$1)</f>
        <v>474</v>
      </c>
      <c r="J117" s="117">
        <f>SUMIFS(record[NG],record[製程料號],_018_550[[#This Row],[製令單號]],record[ProcessSN],J$1)</f>
        <v>19</v>
      </c>
      <c r="K117" s="124">
        <f>IFERROR(_018_550[[#This Row],['#08委外NG]]/_018_550[[#This Row],['#08已委外數量]],"")</f>
        <v>3.8539553752535496E-2</v>
      </c>
      <c r="L117" s="123">
        <f>_018_550[[#This Row],['#08回
良品]]-_018_550[[#This Row],['#06檢驗OK]]-_018_550[[#This Row],['#06
QC NG]]</f>
        <v>0</v>
      </c>
      <c r="M117" s="123">
        <f>SUMIFS(record[OK],record[製程料號],_018_550[[#This Row],[製令單號]],record[ProcessSN],M$1)</f>
        <v>474</v>
      </c>
      <c r="N117" s="117">
        <f>SUMIFS(record[NG],record[製程料號],_018_550[[#This Row],[製令單號]],record[ProcessSN],N$1)</f>
        <v>0</v>
      </c>
      <c r="O117" s="123">
        <f>_018_550[[#This Row],['#06檢驗OK]]-_018_550[[#This Row],[不良品]]-_018_550[[#This Row],[良品]]</f>
        <v>0</v>
      </c>
      <c r="P117" s="123">
        <f>SUMIFS(record[OK],record[製程料號],_018_550[[#This Row],[製令單號]],record[ProcessSN],P$1)</f>
        <v>474</v>
      </c>
      <c r="Q117" s="117">
        <f>SUMIFS(record[NG],record[製程料號],_018_550[[#This Row],[製令單號]],record[ProcessSN],Q$1)</f>
        <v>0</v>
      </c>
      <c r="R117" s="123">
        <f>_018_550[[#This Row],[良品]]-_018_550[[#This Row],[良品放行]]-_018_550[[#This Row],[不良待處理]]</f>
        <v>0</v>
      </c>
      <c r="S117" s="123">
        <f>SUMIFS(record[OK],record[製程料號],_018_550[[#This Row],[製令單號]],record[ProcessSN],S$1)</f>
        <v>474</v>
      </c>
      <c r="T117" s="117">
        <f>SUMIFS(record[NG],record[製程料號],_018_550[[#This Row],[製令單號]],record[ProcessSN],T$1)</f>
        <v>0</v>
      </c>
      <c r="U117" s="123">
        <f>_018_550[[#This Row],[良品放行]]-_018_550[[#This Row],[入庫]]</f>
        <v>0</v>
      </c>
      <c r="V117" s="123">
        <f>SUMIFS(record[OK],record[製程料號],_018_550[[#This Row],[製令單號]],record[ProcessSN],V$1)</f>
        <v>474</v>
      </c>
      <c r="W117" s="123">
        <f>_018_550[[#This Row],[入庫]]-_018_550[[#This Row],[已出貨]]</f>
        <v>0</v>
      </c>
      <c r="X117" s="137"/>
      <c r="Y117" s="123">
        <f>SUMIFS(record[OK],record[製程料號],_018_550[[#This Row],[製令單號]],record[ProcessSN],Y$1)</f>
        <v>474</v>
      </c>
      <c r="Z117" s="125">
        <f>_018_550[[#This Row],[不良待處理]]+_018_550[[#This Row],[不良品]]+_018_550[[#This Row],['#06
QC NG]]+_018_550[[#This Row],['#08委外NG]]</f>
        <v>19</v>
      </c>
      <c r="AA11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0.96146044624746452</v>
      </c>
    </row>
    <row r="118" spans="1:27" ht="30.75" x14ac:dyDescent="0.25">
      <c r="A118" s="120">
        <v>46027</v>
      </c>
      <c r="B118" s="121" t="s">
        <v>1415</v>
      </c>
      <c r="C118" s="122" t="s">
        <v>500</v>
      </c>
      <c r="D118" s="118">
        <v>771</v>
      </c>
      <c r="E118" s="123">
        <f>_018_550[[#This Row],[入料數]]-_018_550[[#This Row],['#08已委外數量]]</f>
        <v>0</v>
      </c>
      <c r="F118" s="123">
        <f>SUMIFS(record[OK],record[製程料號],_018_550[[#This Row],[製令單號]],record[ProcessSN],F$1)</f>
        <v>771</v>
      </c>
      <c r="G118" s="118" t="str">
        <f>IF(_018_550[[#This Row],['#08已委外數量]]&gt;0,VLOOKUP(G$1,record[[ProcessSN]:[廠商]],12,FALSE),"尚未委外")</f>
        <v>泉盛</v>
      </c>
      <c r="H118" s="123">
        <f>_018_550[[#This Row],['#08已委外數量]]-_018_550[[#This Row],['#08回
良品]]-_018_550[[#This Row],['#08委外NG]]</f>
        <v>0</v>
      </c>
      <c r="I118" s="123">
        <f>SUMIFS(record[OK],record[製程料號],_018_550[[#This Row],[製令單號]],record[ProcessSN],I$1)</f>
        <v>758</v>
      </c>
      <c r="J118" s="117">
        <f>SUMIFS(record[NG],record[製程料號],_018_550[[#This Row],[製令單號]],record[ProcessSN],J$1)</f>
        <v>13</v>
      </c>
      <c r="K118" s="124">
        <f>IFERROR(_018_550[[#This Row],['#08委外NG]]/_018_550[[#This Row],['#08已委外數量]],"")</f>
        <v>1.6861219195849545E-2</v>
      </c>
      <c r="L118" s="123">
        <f>_018_550[[#This Row],['#08回
良品]]-_018_550[[#This Row],['#06檢驗OK]]-_018_550[[#This Row],['#06
QC NG]]</f>
        <v>0</v>
      </c>
      <c r="M118" s="123">
        <f>SUMIFS(record[OK],record[製程料號],_018_550[[#This Row],[製令單號]],record[ProcessSN],M$1)</f>
        <v>758</v>
      </c>
      <c r="N118" s="117">
        <f>SUMIFS(record[NG],record[製程料號],_018_550[[#This Row],[製令單號]],record[ProcessSN],N$1)</f>
        <v>0</v>
      </c>
      <c r="O118" s="123">
        <f>_018_550[[#This Row],['#06檢驗OK]]-_018_550[[#This Row],[不良品]]-_018_550[[#This Row],[良品]]</f>
        <v>0</v>
      </c>
      <c r="P118" s="123">
        <f>SUMIFS(record[OK],record[製程料號],_018_550[[#This Row],[製令單號]],record[ProcessSN],P$1)</f>
        <v>758</v>
      </c>
      <c r="Q118" s="117">
        <f>SUMIFS(record[NG],record[製程料號],_018_550[[#This Row],[製令單號]],record[ProcessSN],Q$1)</f>
        <v>0</v>
      </c>
      <c r="R118" s="123">
        <f>_018_550[[#This Row],[良品]]-_018_550[[#This Row],[良品放行]]-_018_550[[#This Row],[不良待處理]]</f>
        <v>0</v>
      </c>
      <c r="S118" s="123">
        <f>SUMIFS(record[OK],record[製程料號],_018_550[[#This Row],[製令單號]],record[ProcessSN],S$1)</f>
        <v>758</v>
      </c>
      <c r="T118" s="117">
        <f>SUMIFS(record[NG],record[製程料號],_018_550[[#This Row],[製令單號]],record[ProcessSN],T$1)</f>
        <v>0</v>
      </c>
      <c r="U118" s="123">
        <f>_018_550[[#This Row],[良品放行]]-_018_550[[#This Row],[入庫]]</f>
        <v>0</v>
      </c>
      <c r="V118" s="123">
        <f>SUMIFS(record[OK],record[製程料號],_018_550[[#This Row],[製令單號]],record[ProcessSN],V$1)</f>
        <v>758</v>
      </c>
      <c r="W118" s="123">
        <f>_018_550[[#This Row],[入庫]]-_018_550[[#This Row],[已出貨]]</f>
        <v>0</v>
      </c>
      <c r="X118" s="137"/>
      <c r="Y118" s="123">
        <f>SUMIFS(record[OK],record[製程料號],_018_550[[#This Row],[製令單號]],record[ProcessSN],Y$1)</f>
        <v>758</v>
      </c>
      <c r="Z118" s="125">
        <f>_018_550[[#This Row],[不良待處理]]+_018_550[[#This Row],[不良品]]+_018_550[[#This Row],['#06
QC NG]]+_018_550[[#This Row],['#08委外NG]]</f>
        <v>13</v>
      </c>
      <c r="AA11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0.9831387808041504</v>
      </c>
    </row>
    <row r="119" spans="1:27" ht="30.75" x14ac:dyDescent="0.25">
      <c r="A119" s="120">
        <v>46028</v>
      </c>
      <c r="B119" s="121" t="s">
        <v>1430</v>
      </c>
      <c r="C119" s="122" t="s">
        <v>500</v>
      </c>
      <c r="D119" s="118">
        <v>163</v>
      </c>
      <c r="E119" s="123">
        <f>_018_550[[#This Row],[入料數]]-_018_550[[#This Row],['#08已委外數量]]</f>
        <v>0</v>
      </c>
      <c r="F119" s="123">
        <f>SUMIFS(record[OK],record[製程料號],_018_550[[#This Row],[製令單號]],record[ProcessSN],F$1)</f>
        <v>163</v>
      </c>
      <c r="G119" s="118" t="str">
        <f>IF(_018_550[[#This Row],['#08已委外數量]]&gt;0,VLOOKUP(G$1,record[[ProcessSN]:[廠商]],12,FALSE),"尚未委外")</f>
        <v>泉盛</v>
      </c>
      <c r="H119" s="123">
        <f>_018_550[[#This Row],['#08已委外數量]]-_018_550[[#This Row],['#08回
良品]]-_018_550[[#This Row],['#08委外NG]]</f>
        <v>0</v>
      </c>
      <c r="I119" s="123">
        <f>SUMIFS(record[OK],record[製程料號],_018_550[[#This Row],[製令單號]],record[ProcessSN],I$1)</f>
        <v>160</v>
      </c>
      <c r="J119" s="117">
        <f>SUMIFS(record[NG],record[製程料號],_018_550[[#This Row],[製令單號]],record[ProcessSN],J$1)</f>
        <v>3</v>
      </c>
      <c r="K119" s="124">
        <f>IFERROR(_018_550[[#This Row],['#08委外NG]]/_018_550[[#This Row],['#08已委外數量]],"")</f>
        <v>1.8404907975460124E-2</v>
      </c>
      <c r="L119" s="123">
        <f>_018_550[[#This Row],['#08回
良品]]-_018_550[[#This Row],['#06檢驗OK]]-_018_550[[#This Row],['#06
QC NG]]</f>
        <v>0</v>
      </c>
      <c r="M119" s="123">
        <f>SUMIFS(record[OK],record[製程料號],_018_550[[#This Row],[製令單號]],record[ProcessSN],M$1)</f>
        <v>160</v>
      </c>
      <c r="N119" s="117">
        <f>SUMIFS(record[NG],record[製程料號],_018_550[[#This Row],[製令單號]],record[ProcessSN],N$1)</f>
        <v>0</v>
      </c>
      <c r="O119" s="123">
        <f>_018_550[[#This Row],['#06檢驗OK]]-_018_550[[#This Row],[不良品]]-_018_550[[#This Row],[良品]]</f>
        <v>0</v>
      </c>
      <c r="P119" s="123">
        <f>SUMIFS(record[OK],record[製程料號],_018_550[[#This Row],[製令單號]],record[ProcessSN],P$1)</f>
        <v>160</v>
      </c>
      <c r="Q119" s="117">
        <f>SUMIFS(record[NG],record[製程料號],_018_550[[#This Row],[製令單號]],record[ProcessSN],Q$1)</f>
        <v>0</v>
      </c>
      <c r="R119" s="123">
        <f>_018_550[[#This Row],[良品]]-_018_550[[#This Row],[良品放行]]-_018_550[[#This Row],[不良待處理]]</f>
        <v>0</v>
      </c>
      <c r="S119" s="123">
        <f>SUMIFS(record[OK],record[製程料號],_018_550[[#This Row],[製令單號]],record[ProcessSN],S$1)</f>
        <v>160</v>
      </c>
      <c r="T119" s="117">
        <f>SUMIFS(record[NG],record[製程料號],_018_550[[#This Row],[製令單號]],record[ProcessSN],T$1)</f>
        <v>0</v>
      </c>
      <c r="U119" s="123">
        <f>_018_550[[#This Row],[良品放行]]-_018_550[[#This Row],[入庫]]</f>
        <v>0</v>
      </c>
      <c r="V119" s="123">
        <f>SUMIFS(record[OK],record[製程料號],_018_550[[#This Row],[製令單號]],record[ProcessSN],V$1)</f>
        <v>160</v>
      </c>
      <c r="W119" s="123">
        <f>_018_550[[#This Row],[入庫]]-_018_550[[#This Row],[已出貨]]</f>
        <v>0</v>
      </c>
      <c r="X119" s="137"/>
      <c r="Y119" s="123">
        <f>SUMIFS(record[OK],record[製程料號],_018_550[[#This Row],[製令單號]],record[ProcessSN],Y$1)</f>
        <v>160</v>
      </c>
      <c r="Z119" s="125">
        <f>_018_550[[#This Row],[不良待處理]]+_018_550[[#This Row],[不良品]]+_018_550[[#This Row],['#06
QC NG]]+_018_550[[#This Row],['#08委外NG]]</f>
        <v>3</v>
      </c>
      <c r="AA11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0.98159509202453987</v>
      </c>
    </row>
    <row r="120" spans="1:27" ht="30.75" x14ac:dyDescent="0.25">
      <c r="A120" s="120">
        <v>46029</v>
      </c>
      <c r="B120" s="121" t="s">
        <v>1439</v>
      </c>
      <c r="C120" s="122" t="s">
        <v>500</v>
      </c>
      <c r="D120" s="118">
        <v>351</v>
      </c>
      <c r="E120" s="123">
        <f>_018_550[[#This Row],[入料數]]-_018_550[[#This Row],['#08已委外數量]]</f>
        <v>0</v>
      </c>
      <c r="F120" s="123">
        <f>SUMIFS(record[OK],record[製程料號],_018_550[[#This Row],[製令單號]],record[ProcessSN],F$1)</f>
        <v>351</v>
      </c>
      <c r="G120" s="118" t="str">
        <f>IF(_018_550[[#This Row],['#08已委外數量]]&gt;0,VLOOKUP(G$1,record[[ProcessSN]:[廠商]],12,FALSE),"尚未委外")</f>
        <v>泉盛</v>
      </c>
      <c r="H120" s="123">
        <f>_018_550[[#This Row],['#08已委外數量]]-_018_550[[#This Row],['#08回
良品]]-_018_550[[#This Row],['#08委外NG]]</f>
        <v>0</v>
      </c>
      <c r="I120" s="123">
        <f>SUMIFS(record[OK],record[製程料號],_018_550[[#This Row],[製令單號]],record[ProcessSN],I$1)</f>
        <v>348</v>
      </c>
      <c r="J120" s="117">
        <f>SUMIFS(record[NG],record[製程料號],_018_550[[#This Row],[製令單號]],record[ProcessSN],J$1)</f>
        <v>3</v>
      </c>
      <c r="K120" s="124">
        <f>IFERROR(_018_550[[#This Row],['#08委外NG]]/_018_550[[#This Row],['#08已委外數量]],"")</f>
        <v>8.5470085470085479E-3</v>
      </c>
      <c r="L120" s="123">
        <f>_018_550[[#This Row],['#08回
良品]]-_018_550[[#This Row],['#06檢驗OK]]-_018_550[[#This Row],['#06
QC NG]]</f>
        <v>0</v>
      </c>
      <c r="M120" s="123">
        <f>SUMIFS(record[OK],record[製程料號],_018_550[[#This Row],[製令單號]],record[ProcessSN],M$1)</f>
        <v>348</v>
      </c>
      <c r="N120" s="117">
        <f>SUMIFS(record[NG],record[製程料號],_018_550[[#This Row],[製令單號]],record[ProcessSN],N$1)</f>
        <v>0</v>
      </c>
      <c r="O120" s="123">
        <f>_018_550[[#This Row],['#06檢驗OK]]-_018_550[[#This Row],[不良品]]-_018_550[[#This Row],[良品]]</f>
        <v>0</v>
      </c>
      <c r="P120" s="123">
        <f>SUMIFS(record[OK],record[製程料號],_018_550[[#This Row],[製令單號]],record[ProcessSN],P$1)</f>
        <v>348</v>
      </c>
      <c r="Q120" s="117">
        <f>SUMIFS(record[NG],record[製程料號],_018_550[[#This Row],[製令單號]],record[ProcessSN],Q$1)</f>
        <v>0</v>
      </c>
      <c r="R120" s="123">
        <f>_018_550[[#This Row],[良品]]-_018_550[[#This Row],[良品放行]]-_018_550[[#This Row],[不良待處理]]</f>
        <v>0</v>
      </c>
      <c r="S120" s="123">
        <f>SUMIFS(record[OK],record[製程料號],_018_550[[#This Row],[製令單號]],record[ProcessSN],S$1)</f>
        <v>348</v>
      </c>
      <c r="T120" s="117">
        <f>SUMIFS(record[NG],record[製程料號],_018_550[[#This Row],[製令單號]],record[ProcessSN],T$1)</f>
        <v>0</v>
      </c>
      <c r="U120" s="123">
        <f>_018_550[[#This Row],[良品放行]]-_018_550[[#This Row],[入庫]]</f>
        <v>0</v>
      </c>
      <c r="V120" s="123">
        <f>SUMIFS(record[OK],record[製程料號],_018_550[[#This Row],[製令單號]],record[ProcessSN],V$1)</f>
        <v>348</v>
      </c>
      <c r="W120" s="123">
        <f>_018_550[[#This Row],[入庫]]-_018_550[[#This Row],[已出貨]]</f>
        <v>0</v>
      </c>
      <c r="X120" s="137"/>
      <c r="Y120" s="123">
        <f>SUMIFS(record[OK],record[製程料號],_018_550[[#This Row],[製令單號]],record[ProcessSN],Y$1)</f>
        <v>348</v>
      </c>
      <c r="Z120" s="125">
        <f>_018_550[[#This Row],[不良待處理]]+_018_550[[#This Row],[不良品]]+_018_550[[#This Row],['#06
QC NG]]+_018_550[[#This Row],['#08委外NG]]</f>
        <v>3</v>
      </c>
      <c r="AA12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0.99145299145299148</v>
      </c>
    </row>
    <row r="121" spans="1:27" ht="30.75" x14ac:dyDescent="0.25">
      <c r="A121" s="120">
        <v>46029</v>
      </c>
      <c r="B121" s="121" t="s">
        <v>1444</v>
      </c>
      <c r="C121" s="122" t="s">
        <v>500</v>
      </c>
      <c r="D121" s="118">
        <v>111</v>
      </c>
      <c r="E121" s="123">
        <f>_018_550[[#This Row],[入料數]]-_018_550[[#This Row],['#08已委外數量]]</f>
        <v>0</v>
      </c>
      <c r="F121" s="123">
        <f>SUMIFS(record[OK],record[製程料號],_018_550[[#This Row],[製令單號]],record[ProcessSN],F$1)</f>
        <v>111</v>
      </c>
      <c r="G121" s="118" t="str">
        <f>IF(_018_550[[#This Row],['#08已委外數量]]&gt;0,VLOOKUP(G$1,record[[ProcessSN]:[廠商]],12,FALSE),"尚未委外")</f>
        <v>泉盛</v>
      </c>
      <c r="H121" s="123">
        <f>_018_550[[#This Row],['#08已委外數量]]-_018_550[[#This Row],['#08回
良品]]-_018_550[[#This Row],['#08委外NG]]</f>
        <v>0</v>
      </c>
      <c r="I121" s="123">
        <f>SUMIFS(record[OK],record[製程料號],_018_550[[#This Row],[製令單號]],record[ProcessSN],I$1)</f>
        <v>111</v>
      </c>
      <c r="J121" s="117">
        <f>SUMIFS(record[NG],record[製程料號],_018_550[[#This Row],[製令單號]],record[ProcessSN],J$1)</f>
        <v>0</v>
      </c>
      <c r="K121" s="124">
        <f>IFERROR(_018_550[[#This Row],['#08委外NG]]/_018_550[[#This Row],['#08已委外數量]],"")</f>
        <v>0</v>
      </c>
      <c r="L121" s="123">
        <f>_018_550[[#This Row],['#08回
良品]]-_018_550[[#This Row],['#06檢驗OK]]-_018_550[[#This Row],['#06
QC NG]]</f>
        <v>0</v>
      </c>
      <c r="M121" s="123">
        <f>SUMIFS(record[OK],record[製程料號],_018_550[[#This Row],[製令單號]],record[ProcessSN],M$1)</f>
        <v>111</v>
      </c>
      <c r="N121" s="117">
        <f>SUMIFS(record[NG],record[製程料號],_018_550[[#This Row],[製令單號]],record[ProcessSN],N$1)</f>
        <v>0</v>
      </c>
      <c r="O121" s="123">
        <f>_018_550[[#This Row],['#06檢驗OK]]-_018_550[[#This Row],[不良品]]-_018_550[[#This Row],[良品]]</f>
        <v>0</v>
      </c>
      <c r="P121" s="123">
        <f>SUMIFS(record[OK],record[製程料號],_018_550[[#This Row],[製令單號]],record[ProcessSN],P$1)</f>
        <v>107</v>
      </c>
      <c r="Q121" s="117">
        <f>SUMIFS(record[NG],record[製程料號],_018_550[[#This Row],[製令單號]],record[ProcessSN],Q$1)</f>
        <v>4</v>
      </c>
      <c r="R121" s="123">
        <f>_018_550[[#This Row],[良品]]-_018_550[[#This Row],[良品放行]]-_018_550[[#This Row],[不良待處理]]</f>
        <v>0</v>
      </c>
      <c r="S121" s="123">
        <f>SUMIFS(record[OK],record[製程料號],_018_550[[#This Row],[製令單號]],record[ProcessSN],S$1)</f>
        <v>107</v>
      </c>
      <c r="T121" s="117">
        <f>SUMIFS(record[NG],record[製程料號],_018_550[[#This Row],[製令單號]],record[ProcessSN],T$1)</f>
        <v>0</v>
      </c>
      <c r="U121" s="123">
        <f>_018_550[[#This Row],[良品放行]]-_018_550[[#This Row],[入庫]]</f>
        <v>0</v>
      </c>
      <c r="V121" s="123">
        <f>SUMIFS(record[OK],record[製程料號],_018_550[[#This Row],[製令單號]],record[ProcessSN],V$1)</f>
        <v>107</v>
      </c>
      <c r="W121" s="123">
        <f>_018_550[[#This Row],[入庫]]-_018_550[[#This Row],[已出貨]]</f>
        <v>0</v>
      </c>
      <c r="X121" s="137"/>
      <c r="Y121" s="123">
        <f>SUMIFS(record[OK],record[製程料號],_018_550[[#This Row],[製令單號]],record[ProcessSN],Y$1)</f>
        <v>107</v>
      </c>
      <c r="Z121" s="125">
        <f>_018_550[[#This Row],[不良待處理]]+_018_550[[#This Row],[不良品]]+_018_550[[#This Row],['#06
QC NG]]+_018_550[[#This Row],['#08委外NG]]</f>
        <v>4</v>
      </c>
      <c r="AA12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0.963963963963964</v>
      </c>
    </row>
    <row r="122" spans="1:27" ht="30.75" x14ac:dyDescent="0.25">
      <c r="A122" s="120">
        <v>46035</v>
      </c>
      <c r="B122" s="121" t="s">
        <v>1451</v>
      </c>
      <c r="C122" s="122" t="s">
        <v>500</v>
      </c>
      <c r="D122" s="118">
        <v>763</v>
      </c>
      <c r="E122" s="123">
        <f>_018_550[[#This Row],[入料數]]-_018_550[[#This Row],['#08已委外數量]]</f>
        <v>0</v>
      </c>
      <c r="F122" s="123">
        <f>SUMIFS(record[OK],record[製程料號],_018_550[[#This Row],[製令單號]],record[ProcessSN],F$1)</f>
        <v>763</v>
      </c>
      <c r="G122" s="118" t="str">
        <f>IF(_018_550[[#This Row],['#08已委外數量]]&gt;0,VLOOKUP(G$1,record[[ProcessSN]:[廠商]],12,FALSE),"尚未委外")</f>
        <v>泉盛</v>
      </c>
      <c r="H122" s="123">
        <f>_018_550[[#This Row],['#08已委外數量]]-_018_550[[#This Row],['#08回
良品]]-_018_550[[#This Row],['#08委外NG]]</f>
        <v>0</v>
      </c>
      <c r="I122" s="123">
        <f>SUMIFS(record[OK],record[製程料號],_018_550[[#This Row],[製令單號]],record[ProcessSN],I$1)</f>
        <v>754</v>
      </c>
      <c r="J122" s="117">
        <f>SUMIFS(record[NG],record[製程料號],_018_550[[#This Row],[製令單號]],record[ProcessSN],J$1)</f>
        <v>9</v>
      </c>
      <c r="K122" s="124">
        <f>IFERROR(_018_550[[#This Row],['#08委外NG]]/_018_550[[#This Row],['#08已委外數量]],"")</f>
        <v>1.1795543905635648E-2</v>
      </c>
      <c r="L122" s="123">
        <f>_018_550[[#This Row],['#08回
良品]]-_018_550[[#This Row],['#06檢驗OK]]-_018_550[[#This Row],['#06
QC NG]]</f>
        <v>0</v>
      </c>
      <c r="M122" s="123">
        <f>SUMIFS(record[OK],record[製程料號],_018_550[[#This Row],[製令單號]],record[ProcessSN],M$1)</f>
        <v>754</v>
      </c>
      <c r="N122" s="117">
        <f>SUMIFS(record[NG],record[製程料號],_018_550[[#This Row],[製令單號]],record[ProcessSN],N$1)</f>
        <v>0</v>
      </c>
      <c r="O122" s="123">
        <f>_018_550[[#This Row],['#06檢驗OK]]-_018_550[[#This Row],[不良品]]-_018_550[[#This Row],[良品]]</f>
        <v>0</v>
      </c>
      <c r="P122" s="123">
        <f>SUMIFS(record[OK],record[製程料號],_018_550[[#This Row],[製令單號]],record[ProcessSN],P$1)</f>
        <v>752</v>
      </c>
      <c r="Q122" s="117">
        <f>SUMIFS(record[NG],record[製程料號],_018_550[[#This Row],[製令單號]],record[ProcessSN],Q$1)</f>
        <v>2</v>
      </c>
      <c r="R122" s="123">
        <f>_018_550[[#This Row],[良品]]-_018_550[[#This Row],[良品放行]]-_018_550[[#This Row],[不良待處理]]</f>
        <v>0</v>
      </c>
      <c r="S122" s="123">
        <f>SUMIFS(record[OK],record[製程料號],_018_550[[#This Row],[製令單號]],record[ProcessSN],S$1)</f>
        <v>752</v>
      </c>
      <c r="T122" s="117">
        <f>SUMIFS(record[NG],record[製程料號],_018_550[[#This Row],[製令單號]],record[ProcessSN],T$1)</f>
        <v>0</v>
      </c>
      <c r="U122" s="123">
        <f>_018_550[[#This Row],[良品放行]]-_018_550[[#This Row],[入庫]]</f>
        <v>0</v>
      </c>
      <c r="V122" s="123">
        <f>SUMIFS(record[OK],record[製程料號],_018_550[[#This Row],[製令單號]],record[ProcessSN],V$1)</f>
        <v>752</v>
      </c>
      <c r="W122" s="123">
        <f>_018_550[[#This Row],[入庫]]-_018_550[[#This Row],[已出貨]]</f>
        <v>0</v>
      </c>
      <c r="X122" s="137"/>
      <c r="Y122" s="123">
        <f>SUMIFS(record[OK],record[製程料號],_018_550[[#This Row],[製令單號]],record[ProcessSN],Y$1)</f>
        <v>752</v>
      </c>
      <c r="Z122" s="125">
        <f>_018_550[[#This Row],[不良待處理]]+_018_550[[#This Row],[不良品]]+_018_550[[#This Row],['#06
QC NG]]+_018_550[[#This Row],['#08委外NG]]</f>
        <v>11</v>
      </c>
      <c r="AA12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0.98558322411533417</v>
      </c>
    </row>
    <row r="123" spans="1:27" ht="30.75" x14ac:dyDescent="0.25">
      <c r="A123" s="120">
        <v>46036</v>
      </c>
      <c r="B123" s="121" t="s">
        <v>1456</v>
      </c>
      <c r="C123" s="122" t="s">
        <v>500</v>
      </c>
      <c r="D123" s="118">
        <v>298</v>
      </c>
      <c r="E123" s="123">
        <f>_018_550[[#This Row],[入料數]]-_018_550[[#This Row],['#08已委外數量]]</f>
        <v>0</v>
      </c>
      <c r="F123" s="123">
        <f>SUMIFS(record[OK],record[製程料號],_018_550[[#This Row],[製令單號]],record[ProcessSN],F$1)</f>
        <v>298</v>
      </c>
      <c r="G123" s="118" t="str">
        <f>IF(_018_550[[#This Row],['#08已委外數量]]&gt;0,VLOOKUP(G$1,record[[ProcessSN]:[廠商]],12,FALSE),"尚未委外")</f>
        <v>泉盛</v>
      </c>
      <c r="H123" s="123">
        <f>_018_550[[#This Row],['#08已委外數量]]-_018_550[[#This Row],['#08回
良品]]-_018_550[[#This Row],['#08委外NG]]</f>
        <v>0</v>
      </c>
      <c r="I123" s="123">
        <f>SUMIFS(record[OK],record[製程料號],_018_550[[#This Row],[製令單號]],record[ProcessSN],I$1)</f>
        <v>296</v>
      </c>
      <c r="J123" s="117">
        <f>SUMIFS(record[NG],record[製程料號],_018_550[[#This Row],[製令單號]],record[ProcessSN],J$1)</f>
        <v>2</v>
      </c>
      <c r="K123" s="124">
        <f>IFERROR(_018_550[[#This Row],['#08委外NG]]/_018_550[[#This Row],['#08已委外數量]],"")</f>
        <v>6.7114093959731542E-3</v>
      </c>
      <c r="L123" s="123">
        <f>_018_550[[#This Row],['#08回
良品]]-_018_550[[#This Row],['#06檢驗OK]]-_018_550[[#This Row],['#06
QC NG]]</f>
        <v>0</v>
      </c>
      <c r="M123" s="123">
        <f>SUMIFS(record[OK],record[製程料號],_018_550[[#This Row],[製令單號]],record[ProcessSN],M$1)</f>
        <v>296</v>
      </c>
      <c r="N123" s="117">
        <f>SUMIFS(record[NG],record[製程料號],_018_550[[#This Row],[製令單號]],record[ProcessSN],N$1)</f>
        <v>0</v>
      </c>
      <c r="O123" s="123">
        <f>_018_550[[#This Row],['#06檢驗OK]]-_018_550[[#This Row],[不良品]]-_018_550[[#This Row],[良品]]</f>
        <v>0</v>
      </c>
      <c r="P123" s="123">
        <f>SUMIFS(record[OK],record[製程料號],_018_550[[#This Row],[製令單號]],record[ProcessSN],P$1)</f>
        <v>292</v>
      </c>
      <c r="Q123" s="117">
        <f>SUMIFS(record[NG],record[製程料號],_018_550[[#This Row],[製令單號]],record[ProcessSN],Q$1)</f>
        <v>4</v>
      </c>
      <c r="R123" s="123">
        <f>_018_550[[#This Row],[良品]]-_018_550[[#This Row],[良品放行]]-_018_550[[#This Row],[不良待處理]]</f>
        <v>0</v>
      </c>
      <c r="S123" s="123">
        <f>SUMIFS(record[OK],record[製程料號],_018_550[[#This Row],[製令單號]],record[ProcessSN],S$1)</f>
        <v>292</v>
      </c>
      <c r="T123" s="117">
        <f>SUMIFS(record[NG],record[製程料號],_018_550[[#This Row],[製令單號]],record[ProcessSN],T$1)</f>
        <v>0</v>
      </c>
      <c r="U123" s="123">
        <f>_018_550[[#This Row],[良品放行]]-_018_550[[#This Row],[入庫]]</f>
        <v>0</v>
      </c>
      <c r="V123" s="123">
        <f>SUMIFS(record[OK],record[製程料號],_018_550[[#This Row],[製令單號]],record[ProcessSN],V$1)</f>
        <v>292</v>
      </c>
      <c r="W123" s="123">
        <f>_018_550[[#This Row],[入庫]]-_018_550[[#This Row],[已出貨]]</f>
        <v>0</v>
      </c>
      <c r="X123" s="137"/>
      <c r="Y123" s="123">
        <f>SUMIFS(record[OK],record[製程料號],_018_550[[#This Row],[製令單號]],record[ProcessSN],Y$1)</f>
        <v>292</v>
      </c>
      <c r="Z123" s="125">
        <f>_018_550[[#This Row],[不良待處理]]+_018_550[[#This Row],[不良品]]+_018_550[[#This Row],['#06
QC NG]]+_018_550[[#This Row],['#08委外NG]]</f>
        <v>6</v>
      </c>
      <c r="AA12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0.97986577181208057</v>
      </c>
    </row>
    <row r="124" spans="1:27" ht="30.75" x14ac:dyDescent="0.25">
      <c r="A124" s="120">
        <v>46041</v>
      </c>
      <c r="B124" s="121" t="s">
        <v>1476</v>
      </c>
      <c r="C124" s="122" t="s">
        <v>500</v>
      </c>
      <c r="D124" s="118">
        <v>415</v>
      </c>
      <c r="E124" s="123">
        <f>_018_550[[#This Row],[入料數]]-_018_550[[#This Row],['#08已委外數量]]</f>
        <v>0</v>
      </c>
      <c r="F124" s="123">
        <f>SUMIFS(record[OK],record[製程料號],_018_550[[#This Row],[製令單號]],record[ProcessSN],F$1)</f>
        <v>415</v>
      </c>
      <c r="G124" s="118" t="str">
        <f>IF(_018_550[[#This Row],['#08已委外數量]]&gt;0,VLOOKUP(G$1,record[[ProcessSN]:[廠商]],12,FALSE),"尚未委外")</f>
        <v>泉盛</v>
      </c>
      <c r="H124" s="123">
        <f>_018_550[[#This Row],['#08已委外數量]]-_018_550[[#This Row],['#08回
良品]]-_018_550[[#This Row],['#08委外NG]]</f>
        <v>0</v>
      </c>
      <c r="I124" s="123">
        <f>SUMIFS(record[OK],record[製程料號],_018_550[[#This Row],[製令單號]],record[ProcessSN],I$1)</f>
        <v>413</v>
      </c>
      <c r="J124" s="117">
        <f>SUMIFS(record[NG],record[製程料號],_018_550[[#This Row],[製令單號]],record[ProcessSN],J$1)</f>
        <v>2</v>
      </c>
      <c r="K124" s="124">
        <f>IFERROR(_018_550[[#This Row],['#08委外NG]]/_018_550[[#This Row],['#08已委外數量]],"")</f>
        <v>4.8192771084337354E-3</v>
      </c>
      <c r="L124" s="123">
        <f>_018_550[[#This Row],['#08回
良品]]-_018_550[[#This Row],['#06檢驗OK]]-_018_550[[#This Row],['#06
QC NG]]</f>
        <v>0</v>
      </c>
      <c r="M124" s="123">
        <f>SUMIFS(record[OK],record[製程料號],_018_550[[#This Row],[製令單號]],record[ProcessSN],M$1)</f>
        <v>413</v>
      </c>
      <c r="N124" s="117">
        <f>SUMIFS(record[NG],record[製程料號],_018_550[[#This Row],[製令單號]],record[ProcessSN],N$1)</f>
        <v>0</v>
      </c>
      <c r="O124" s="123">
        <f>_018_550[[#This Row],['#06檢驗OK]]-_018_550[[#This Row],[不良品]]-_018_550[[#This Row],[良品]]</f>
        <v>0</v>
      </c>
      <c r="P124" s="123">
        <f>SUMIFS(record[OK],record[製程料號],_018_550[[#This Row],[製令單號]],record[ProcessSN],P$1)</f>
        <v>413</v>
      </c>
      <c r="Q124" s="117">
        <f>SUMIFS(record[NG],record[製程料號],_018_550[[#This Row],[製令單號]],record[ProcessSN],Q$1)</f>
        <v>0</v>
      </c>
      <c r="R124" s="123">
        <f>_018_550[[#This Row],[良品]]-_018_550[[#This Row],[良品放行]]-_018_550[[#This Row],[不良待處理]]</f>
        <v>0</v>
      </c>
      <c r="S124" s="123">
        <f>SUMIFS(record[OK],record[製程料號],_018_550[[#This Row],[製令單號]],record[ProcessSN],S$1)</f>
        <v>413</v>
      </c>
      <c r="T124" s="117">
        <f>SUMIFS(record[NG],record[製程料號],_018_550[[#This Row],[製令單號]],record[ProcessSN],T$1)</f>
        <v>0</v>
      </c>
      <c r="U124" s="123">
        <f>_018_550[[#This Row],[良品放行]]-_018_550[[#This Row],[入庫]]</f>
        <v>0</v>
      </c>
      <c r="V124" s="123">
        <f>SUMIFS(record[OK],record[製程料號],_018_550[[#This Row],[製令單號]],record[ProcessSN],V$1)</f>
        <v>413</v>
      </c>
      <c r="W124" s="123">
        <f>_018_550[[#This Row],[入庫]]-_018_550[[#This Row],[已出貨]]</f>
        <v>0</v>
      </c>
      <c r="X124" s="137"/>
      <c r="Y124" s="123">
        <f>SUMIFS(record[OK],record[製程料號],_018_550[[#This Row],[製令單號]],record[ProcessSN],Y$1)</f>
        <v>413</v>
      </c>
      <c r="Z124" s="125">
        <f>_018_550[[#This Row],[不良待處理]]+_018_550[[#This Row],[不良品]]+_018_550[[#This Row],['#06
QC NG]]+_018_550[[#This Row],['#08委外NG]]</f>
        <v>2</v>
      </c>
      <c r="AA12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0.99518072289156623</v>
      </c>
    </row>
    <row r="125" spans="1:27" ht="30.75" x14ac:dyDescent="0.25">
      <c r="A125" s="120">
        <v>46042</v>
      </c>
      <c r="B125" s="121" t="s">
        <v>1480</v>
      </c>
      <c r="C125" s="122" t="s">
        <v>500</v>
      </c>
      <c r="D125" s="118">
        <v>287</v>
      </c>
      <c r="E125" s="123">
        <f>_018_550[[#This Row],[入料數]]-_018_550[[#This Row],['#08已委外數量]]</f>
        <v>0</v>
      </c>
      <c r="F125" s="123">
        <f>SUMIFS(record[OK],record[製程料號],_018_550[[#This Row],[製令單號]],record[ProcessSN],F$1)</f>
        <v>287</v>
      </c>
      <c r="G125" s="118" t="str">
        <f>IF(_018_550[[#This Row],['#08已委外數量]]&gt;0,VLOOKUP(G$1,record[[ProcessSN]:[廠商]],12,FALSE),"尚未委外")</f>
        <v>泉盛</v>
      </c>
      <c r="H125" s="123">
        <f>_018_550[[#This Row],['#08已委外數量]]-_018_550[[#This Row],['#08回
良品]]-_018_550[[#This Row],['#08委外NG]]</f>
        <v>0</v>
      </c>
      <c r="I125" s="123">
        <f>SUMIFS(record[OK],record[製程料號],_018_550[[#This Row],[製令單號]],record[ProcessSN],I$1)</f>
        <v>281</v>
      </c>
      <c r="J125" s="117">
        <f>SUMIFS(record[NG],record[製程料號],_018_550[[#This Row],[製令單號]],record[ProcessSN],J$1)</f>
        <v>6</v>
      </c>
      <c r="K125" s="124">
        <f>IFERROR(_018_550[[#This Row],['#08委外NG]]/_018_550[[#This Row],['#08已委外數量]],"")</f>
        <v>2.0905923344947737E-2</v>
      </c>
      <c r="L125" s="123">
        <f>_018_550[[#This Row],['#08回
良品]]-_018_550[[#This Row],['#06檢驗OK]]-_018_550[[#This Row],['#06
QC NG]]</f>
        <v>0</v>
      </c>
      <c r="M125" s="123">
        <f>SUMIFS(record[OK],record[製程料號],_018_550[[#This Row],[製令單號]],record[ProcessSN],M$1)</f>
        <v>281</v>
      </c>
      <c r="N125" s="117">
        <f>SUMIFS(record[NG],record[製程料號],_018_550[[#This Row],[製令單號]],record[ProcessSN],N$1)</f>
        <v>0</v>
      </c>
      <c r="O125" s="123">
        <f>_018_550[[#This Row],['#06檢驗OK]]-_018_550[[#This Row],[不良品]]-_018_550[[#This Row],[良品]]</f>
        <v>0</v>
      </c>
      <c r="P125" s="123">
        <f>SUMIFS(record[OK],record[製程料號],_018_550[[#This Row],[製令單號]],record[ProcessSN],P$1)</f>
        <v>281</v>
      </c>
      <c r="Q125" s="117">
        <f>SUMIFS(record[NG],record[製程料號],_018_550[[#This Row],[製令單號]],record[ProcessSN],Q$1)</f>
        <v>0</v>
      </c>
      <c r="R125" s="123">
        <f>_018_550[[#This Row],[良品]]-_018_550[[#This Row],[良品放行]]-_018_550[[#This Row],[不良待處理]]</f>
        <v>0</v>
      </c>
      <c r="S125" s="123">
        <f>SUMIFS(record[OK],record[製程料號],_018_550[[#This Row],[製令單號]],record[ProcessSN],S$1)</f>
        <v>281</v>
      </c>
      <c r="T125" s="117">
        <f>SUMIFS(record[NG],record[製程料號],_018_550[[#This Row],[製令單號]],record[ProcessSN],T$1)</f>
        <v>0</v>
      </c>
      <c r="U125" s="123">
        <f>_018_550[[#This Row],[良品放行]]-_018_550[[#This Row],[入庫]]</f>
        <v>0</v>
      </c>
      <c r="V125" s="123">
        <f>SUMIFS(record[OK],record[製程料號],_018_550[[#This Row],[製令單號]],record[ProcessSN],V$1)</f>
        <v>281</v>
      </c>
      <c r="W125" s="123">
        <f>_018_550[[#This Row],[入庫]]-_018_550[[#This Row],[已出貨]]</f>
        <v>0</v>
      </c>
      <c r="X125" s="137"/>
      <c r="Y125" s="123">
        <f>SUMIFS(record[OK],record[製程料號],_018_550[[#This Row],[製令單號]],record[ProcessSN],Y$1)</f>
        <v>281</v>
      </c>
      <c r="Z125" s="125">
        <f>_018_550[[#This Row],[不良待處理]]+_018_550[[#This Row],[不良品]]+_018_550[[#This Row],['#06
QC NG]]+_018_550[[#This Row],['#08委外NG]]</f>
        <v>6</v>
      </c>
      <c r="AA12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0.97909407665505221</v>
      </c>
    </row>
    <row r="126" spans="1:27" ht="30.75" x14ac:dyDescent="0.25">
      <c r="A126" s="120">
        <v>46044</v>
      </c>
      <c r="B126" s="121" t="s">
        <v>1497</v>
      </c>
      <c r="C126" s="122" t="s">
        <v>500</v>
      </c>
      <c r="D126" s="118">
        <v>562</v>
      </c>
      <c r="E126" s="123">
        <f>_018_550[[#This Row],[入料數]]-_018_550[[#This Row],['#08已委外數量]]</f>
        <v>0</v>
      </c>
      <c r="F126" s="123">
        <f>SUMIFS(record[OK],record[製程料號],_018_550[[#This Row],[製令單號]],record[ProcessSN],F$1)</f>
        <v>562</v>
      </c>
      <c r="G126" s="118" t="str">
        <f>IF(_018_550[[#This Row],['#08已委外數量]]&gt;0,VLOOKUP(G$1,record[[ProcessSN]:[廠商]],12,FALSE),"尚未委外")</f>
        <v>泉盛</v>
      </c>
      <c r="H126" s="123">
        <f>_018_550[[#This Row],['#08已委外數量]]-_018_550[[#This Row],['#08回
良品]]-_018_550[[#This Row],['#08委外NG]]</f>
        <v>0</v>
      </c>
      <c r="I126" s="123">
        <f>SUMIFS(record[OK],record[製程料號],_018_550[[#This Row],[製令單號]],record[ProcessSN],I$1)</f>
        <v>554</v>
      </c>
      <c r="J126" s="117">
        <f>SUMIFS(record[NG],record[製程料號],_018_550[[#This Row],[製令單號]],record[ProcessSN],J$1)</f>
        <v>8</v>
      </c>
      <c r="K126" s="124">
        <f>IFERROR(_018_550[[#This Row],['#08委外NG]]/_018_550[[#This Row],['#08已委外數量]],"")</f>
        <v>1.4234875444839857E-2</v>
      </c>
      <c r="L126" s="123">
        <f>_018_550[[#This Row],['#08回
良品]]-_018_550[[#This Row],['#06檢驗OK]]-_018_550[[#This Row],['#06
QC NG]]</f>
        <v>0</v>
      </c>
      <c r="M126" s="123">
        <f>SUMIFS(record[OK],record[製程料號],_018_550[[#This Row],[製令單號]],record[ProcessSN],M$1)</f>
        <v>554</v>
      </c>
      <c r="N126" s="117">
        <f>SUMIFS(record[NG],record[製程料號],_018_550[[#This Row],[製令單號]],record[ProcessSN],N$1)</f>
        <v>0</v>
      </c>
      <c r="O126" s="123">
        <f>_018_550[[#This Row],['#06檢驗OK]]-_018_550[[#This Row],[不良品]]-_018_550[[#This Row],[良品]]</f>
        <v>0</v>
      </c>
      <c r="P126" s="123">
        <f>SUMIFS(record[OK],record[製程料號],_018_550[[#This Row],[製令單號]],record[ProcessSN],P$1)</f>
        <v>554</v>
      </c>
      <c r="Q126" s="117">
        <f>SUMIFS(record[NG],record[製程料號],_018_550[[#This Row],[製令單號]],record[ProcessSN],Q$1)</f>
        <v>0</v>
      </c>
      <c r="R126" s="123">
        <f>_018_550[[#This Row],[良品]]-_018_550[[#This Row],[良品放行]]-_018_550[[#This Row],[不良待處理]]</f>
        <v>0</v>
      </c>
      <c r="S126" s="123">
        <f>SUMIFS(record[OK],record[製程料號],_018_550[[#This Row],[製令單號]],record[ProcessSN],S$1)</f>
        <v>554</v>
      </c>
      <c r="T126" s="117">
        <f>SUMIFS(record[NG],record[製程料號],_018_550[[#This Row],[製令單號]],record[ProcessSN],T$1)</f>
        <v>0</v>
      </c>
      <c r="U126" s="123">
        <f>_018_550[[#This Row],[良品放行]]-_018_550[[#This Row],[入庫]]</f>
        <v>0</v>
      </c>
      <c r="V126" s="123">
        <f>SUMIFS(record[OK],record[製程料號],_018_550[[#This Row],[製令單號]],record[ProcessSN],V$1)</f>
        <v>554</v>
      </c>
      <c r="W126" s="123">
        <f>_018_550[[#This Row],[入庫]]-_018_550[[#This Row],[已出貨]]</f>
        <v>0</v>
      </c>
      <c r="X126" s="137"/>
      <c r="Y126" s="123">
        <f>SUMIFS(record[OK],record[製程料號],_018_550[[#This Row],[製令單號]],record[ProcessSN],Y$1)</f>
        <v>554</v>
      </c>
      <c r="Z126" s="125">
        <f>_018_550[[#This Row],[不良待處理]]+_018_550[[#This Row],[不良品]]+_018_550[[#This Row],['#06
QC NG]]+_018_550[[#This Row],['#08委外NG]]</f>
        <v>8</v>
      </c>
      <c r="AA12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0.98576512455516019</v>
      </c>
    </row>
    <row r="127" spans="1:27" ht="30.75" x14ac:dyDescent="0.25">
      <c r="A127" s="120">
        <v>46050</v>
      </c>
      <c r="B127" s="121" t="s">
        <v>1536</v>
      </c>
      <c r="C127" s="122" t="s">
        <v>500</v>
      </c>
      <c r="D127" s="118">
        <v>96</v>
      </c>
      <c r="E127" s="123">
        <f>_018_550[[#This Row],[入料數]]-_018_550[[#This Row],['#08已委外數量]]</f>
        <v>0</v>
      </c>
      <c r="F127" s="123">
        <f>SUMIFS(record[OK],record[製程料號],_018_550[[#This Row],[製令單號]],record[ProcessSN],F$1)</f>
        <v>96</v>
      </c>
      <c r="G127" s="118" t="str">
        <f>IF(_018_550[[#This Row],['#08已委外數量]]&gt;0,VLOOKUP(G$1,record[[ProcessSN]:[廠商]],12,FALSE),"尚未委外")</f>
        <v>泉盛</v>
      </c>
      <c r="H127" s="123">
        <f>_018_550[[#This Row],['#08已委外數量]]-_018_550[[#This Row],['#08回
良品]]-_018_550[[#This Row],['#08委外NG]]</f>
        <v>0</v>
      </c>
      <c r="I127" s="123">
        <f>SUMIFS(record[OK],record[製程料號],_018_550[[#This Row],[製令單號]],record[ProcessSN],I$1)</f>
        <v>82</v>
      </c>
      <c r="J127" s="117">
        <f>SUMIFS(record[NG],record[製程料號],_018_550[[#This Row],[製令單號]],record[ProcessSN],J$1)</f>
        <v>14</v>
      </c>
      <c r="K127" s="124">
        <f>IFERROR(_018_550[[#This Row],['#08委外NG]]/_018_550[[#This Row],['#08已委外數量]],"")</f>
        <v>0.14583333333333334</v>
      </c>
      <c r="L127" s="123">
        <f>_018_550[[#This Row],['#08回
良品]]-_018_550[[#This Row],['#06檢驗OK]]-_018_550[[#This Row],['#06
QC NG]]</f>
        <v>0</v>
      </c>
      <c r="M127" s="123">
        <f>SUMIFS(record[OK],record[製程料號],_018_550[[#This Row],[製令單號]],record[ProcessSN],M$1)</f>
        <v>82</v>
      </c>
      <c r="N127" s="117">
        <f>SUMIFS(record[NG],record[製程料號],_018_550[[#This Row],[製令單號]],record[ProcessSN],N$1)</f>
        <v>0</v>
      </c>
      <c r="O127" s="123">
        <f>_018_550[[#This Row],['#06檢驗OK]]-_018_550[[#This Row],[不良品]]-_018_550[[#This Row],[良品]]</f>
        <v>0</v>
      </c>
      <c r="P127" s="123">
        <f>SUMIFS(record[OK],record[製程料號],_018_550[[#This Row],[製令單號]],record[ProcessSN],P$1)</f>
        <v>82</v>
      </c>
      <c r="Q127" s="117">
        <f>SUMIFS(record[NG],record[製程料號],_018_550[[#This Row],[製令單號]],record[ProcessSN],Q$1)</f>
        <v>0</v>
      </c>
      <c r="R127" s="123">
        <f>_018_550[[#This Row],[良品]]-_018_550[[#This Row],[良品放行]]-_018_550[[#This Row],[不良待處理]]</f>
        <v>0</v>
      </c>
      <c r="S127" s="123">
        <f>SUMIFS(record[OK],record[製程料號],_018_550[[#This Row],[製令單號]],record[ProcessSN],S$1)</f>
        <v>82</v>
      </c>
      <c r="T127" s="117">
        <f>SUMIFS(record[NG],record[製程料號],_018_550[[#This Row],[製令單號]],record[ProcessSN],T$1)</f>
        <v>0</v>
      </c>
      <c r="U127" s="123">
        <f>_018_550[[#This Row],[良品放行]]-_018_550[[#This Row],[入庫]]</f>
        <v>0</v>
      </c>
      <c r="V127" s="123">
        <f>SUMIFS(record[OK],record[製程料號],_018_550[[#This Row],[製令單號]],record[ProcessSN],V$1)</f>
        <v>82</v>
      </c>
      <c r="W127" s="123">
        <f>_018_550[[#This Row],[入庫]]-_018_550[[#This Row],[已出貨]]</f>
        <v>0</v>
      </c>
      <c r="X127" s="137"/>
      <c r="Y127" s="123">
        <f>SUMIFS(record[OK],record[製程料號],_018_550[[#This Row],[製令單號]],record[ProcessSN],Y$1)</f>
        <v>82</v>
      </c>
      <c r="Z127" s="125">
        <f>_018_550[[#This Row],[不良待處理]]+_018_550[[#This Row],[不良品]]+_018_550[[#This Row],['#06
QC NG]]+_018_550[[#This Row],['#08委外NG]]</f>
        <v>14</v>
      </c>
      <c r="AA12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0.85416666666666663</v>
      </c>
    </row>
    <row r="128" spans="1:27" ht="30.75" x14ac:dyDescent="0.25">
      <c r="A128" s="120">
        <v>46052</v>
      </c>
      <c r="B128" s="121" t="s">
        <v>1544</v>
      </c>
      <c r="C128" s="122" t="s">
        <v>500</v>
      </c>
      <c r="D128" s="118">
        <v>639</v>
      </c>
      <c r="E128" s="123">
        <f>_018_550[[#This Row],[入料數]]-_018_550[[#This Row],['#08已委外數量]]</f>
        <v>0</v>
      </c>
      <c r="F128" s="123">
        <f>SUMIFS(record[OK],record[製程料號],_018_550[[#This Row],[製令單號]],record[ProcessSN],F$1)</f>
        <v>639</v>
      </c>
      <c r="G128" s="118" t="str">
        <f>IF(_018_550[[#This Row],['#08已委外數量]]&gt;0,VLOOKUP(G$1,record[[ProcessSN]:[廠商]],12,FALSE),"尚未委外")</f>
        <v>泉盛</v>
      </c>
      <c r="H128" s="123">
        <f>_018_550[[#This Row],['#08已委外數量]]-_018_550[[#This Row],['#08回
良品]]-_018_550[[#This Row],['#08委外NG]]</f>
        <v>0</v>
      </c>
      <c r="I128" s="123">
        <f>SUMIFS(record[OK],record[製程料號],_018_550[[#This Row],[製令單號]],record[ProcessSN],I$1)</f>
        <v>615</v>
      </c>
      <c r="J128" s="117">
        <f>SUMIFS(record[NG],record[製程料號],_018_550[[#This Row],[製令單號]],record[ProcessSN],J$1)</f>
        <v>24</v>
      </c>
      <c r="K128" s="124">
        <f>IFERROR(_018_550[[#This Row],['#08委外NG]]/_018_550[[#This Row],['#08已委外數量]],"")</f>
        <v>3.7558685446009391E-2</v>
      </c>
      <c r="L128" s="123">
        <f>_018_550[[#This Row],['#08回
良品]]-_018_550[[#This Row],['#06檢驗OK]]-_018_550[[#This Row],['#06
QC NG]]</f>
        <v>0</v>
      </c>
      <c r="M128" s="123">
        <f>SUMIFS(record[OK],record[製程料號],_018_550[[#This Row],[製令單號]],record[ProcessSN],M$1)</f>
        <v>615</v>
      </c>
      <c r="N128" s="117">
        <f>SUMIFS(record[NG],record[製程料號],_018_550[[#This Row],[製令單號]],record[ProcessSN],N$1)</f>
        <v>0</v>
      </c>
      <c r="O128" s="123">
        <f>_018_550[[#This Row],['#06檢驗OK]]-_018_550[[#This Row],[不良品]]-_018_550[[#This Row],[良品]]</f>
        <v>0</v>
      </c>
      <c r="P128" s="123">
        <f>SUMIFS(record[OK],record[製程料號],_018_550[[#This Row],[製令單號]],record[ProcessSN],P$1)</f>
        <v>615</v>
      </c>
      <c r="Q128" s="117">
        <f>SUMIFS(record[NG],record[製程料號],_018_550[[#This Row],[製令單號]],record[ProcessSN],Q$1)</f>
        <v>0</v>
      </c>
      <c r="R128" s="123">
        <f>_018_550[[#This Row],[良品]]-_018_550[[#This Row],[良品放行]]-_018_550[[#This Row],[不良待處理]]</f>
        <v>0</v>
      </c>
      <c r="S128" s="123">
        <f>SUMIFS(record[OK],record[製程料號],_018_550[[#This Row],[製令單號]],record[ProcessSN],S$1)</f>
        <v>615</v>
      </c>
      <c r="T128" s="117">
        <f>SUMIFS(record[NG],record[製程料號],_018_550[[#This Row],[製令單號]],record[ProcessSN],T$1)</f>
        <v>0</v>
      </c>
      <c r="U128" s="123">
        <f>_018_550[[#This Row],[良品放行]]-_018_550[[#This Row],[入庫]]</f>
        <v>0</v>
      </c>
      <c r="V128" s="123">
        <f>SUMIFS(record[OK],record[製程料號],_018_550[[#This Row],[製令單號]],record[ProcessSN],V$1)</f>
        <v>615</v>
      </c>
      <c r="W128" s="123">
        <f>_018_550[[#This Row],[入庫]]-_018_550[[#This Row],[已出貨]]</f>
        <v>0</v>
      </c>
      <c r="X128" s="137"/>
      <c r="Y128" s="123">
        <f>SUMIFS(record[OK],record[製程料號],_018_550[[#This Row],[製令單號]],record[ProcessSN],Y$1)</f>
        <v>615</v>
      </c>
      <c r="Z128" s="125">
        <f>_018_550[[#This Row],[不良待處理]]+_018_550[[#This Row],[不良品]]+_018_550[[#This Row],['#06
QC NG]]+_018_550[[#This Row],['#08委外NG]]</f>
        <v>24</v>
      </c>
      <c r="AA12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0.96244131455399062</v>
      </c>
    </row>
    <row r="129" spans="1:27" ht="30.75" x14ac:dyDescent="0.25">
      <c r="A129" s="120">
        <v>46055</v>
      </c>
      <c r="B129" s="121" t="s">
        <v>1549</v>
      </c>
      <c r="C129" s="122" t="s">
        <v>500</v>
      </c>
      <c r="D129" s="118">
        <v>619</v>
      </c>
      <c r="E129" s="123">
        <f>_018_550[[#This Row],[入料數]]-_018_550[[#This Row],['#08已委外數量]]</f>
        <v>0</v>
      </c>
      <c r="F129" s="123">
        <f>SUMIFS(record[OK],record[製程料號],_018_550[[#This Row],[製令單號]],record[ProcessSN],F$1)</f>
        <v>619</v>
      </c>
      <c r="G129" s="118" t="str">
        <f>IF(_018_550[[#This Row],['#08已委外數量]]&gt;0,VLOOKUP(G$1,record[[ProcessSN]:[廠商]],12,FALSE),"尚未委外")</f>
        <v>泉盛</v>
      </c>
      <c r="H129" s="123">
        <f>_018_550[[#This Row],['#08已委外數量]]-_018_550[[#This Row],['#08回
良品]]-_018_550[[#This Row],['#08委外NG]]</f>
        <v>0</v>
      </c>
      <c r="I129" s="123">
        <f>SUMIFS(record[OK],record[製程料號],_018_550[[#This Row],[製令單號]],record[ProcessSN],I$1)</f>
        <v>599</v>
      </c>
      <c r="J129" s="117">
        <f>SUMIFS(record[NG],record[製程料號],_018_550[[#This Row],[製令單號]],record[ProcessSN],J$1)</f>
        <v>20</v>
      </c>
      <c r="K129" s="124">
        <f>IFERROR(_018_550[[#This Row],['#08委外NG]]/_018_550[[#This Row],['#08已委外數量]],"")</f>
        <v>3.2310177705977383E-2</v>
      </c>
      <c r="L129" s="123">
        <f>_018_550[[#This Row],['#08回
良品]]-_018_550[[#This Row],['#06檢驗OK]]-_018_550[[#This Row],['#06
QC NG]]</f>
        <v>0</v>
      </c>
      <c r="M129" s="123">
        <f>SUMIFS(record[OK],record[製程料號],_018_550[[#This Row],[製令單號]],record[ProcessSN],M$1)</f>
        <v>599</v>
      </c>
      <c r="N129" s="117">
        <f>SUMIFS(record[NG],record[製程料號],_018_550[[#This Row],[製令單號]],record[ProcessSN],N$1)</f>
        <v>0</v>
      </c>
      <c r="O129" s="123">
        <f>_018_550[[#This Row],['#06檢驗OK]]-_018_550[[#This Row],[不良品]]-_018_550[[#This Row],[良品]]</f>
        <v>0</v>
      </c>
      <c r="P129" s="123">
        <f>SUMIFS(record[OK],record[製程料號],_018_550[[#This Row],[製令單號]],record[ProcessSN],P$1)</f>
        <v>599</v>
      </c>
      <c r="Q129" s="117">
        <f>SUMIFS(record[NG],record[製程料號],_018_550[[#This Row],[製令單號]],record[ProcessSN],Q$1)</f>
        <v>0</v>
      </c>
      <c r="R129" s="123">
        <f>_018_550[[#This Row],[良品]]-_018_550[[#This Row],[良品放行]]-_018_550[[#This Row],[不良待處理]]</f>
        <v>0</v>
      </c>
      <c r="S129" s="123">
        <f>SUMIFS(record[OK],record[製程料號],_018_550[[#This Row],[製令單號]],record[ProcessSN],S$1)</f>
        <v>599</v>
      </c>
      <c r="T129" s="117">
        <f>SUMIFS(record[NG],record[製程料號],_018_550[[#This Row],[製令單號]],record[ProcessSN],T$1)</f>
        <v>0</v>
      </c>
      <c r="U129" s="123">
        <f>_018_550[[#This Row],[良品放行]]-_018_550[[#This Row],[入庫]]</f>
        <v>0</v>
      </c>
      <c r="V129" s="123">
        <f>SUMIFS(record[OK],record[製程料號],_018_550[[#This Row],[製令單號]],record[ProcessSN],V$1)</f>
        <v>599</v>
      </c>
      <c r="W129" s="123">
        <f>_018_550[[#This Row],[入庫]]-_018_550[[#This Row],[已出貨]]</f>
        <v>0</v>
      </c>
      <c r="X129" s="137"/>
      <c r="Y129" s="123">
        <f>SUMIFS(record[OK],record[製程料號],_018_550[[#This Row],[製令單號]],record[ProcessSN],Y$1)</f>
        <v>599</v>
      </c>
      <c r="Z129" s="125">
        <f>_018_550[[#This Row],[不良待處理]]+_018_550[[#This Row],[不良品]]+_018_550[[#This Row],['#06
QC NG]]+_018_550[[#This Row],['#08委外NG]]</f>
        <v>20</v>
      </c>
      <c r="AA12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0.96768982229402267</v>
      </c>
    </row>
    <row r="130" spans="1:27" ht="30.75" x14ac:dyDescent="0.25">
      <c r="A130" s="120">
        <v>46056</v>
      </c>
      <c r="B130" s="121" t="s">
        <v>1552</v>
      </c>
      <c r="C130" s="122" t="s">
        <v>500</v>
      </c>
      <c r="D130" s="118">
        <v>77</v>
      </c>
      <c r="E130" s="123">
        <f>_018_550[[#This Row],[入料數]]-_018_550[[#This Row],['#08已委外數量]]</f>
        <v>0</v>
      </c>
      <c r="F130" s="123">
        <f>SUMIFS(record[OK],record[製程料號],_018_550[[#This Row],[製令單號]],record[ProcessSN],F$1)</f>
        <v>77</v>
      </c>
      <c r="G130" s="118" t="str">
        <f>IF(_018_550[[#This Row],['#08已委外數量]]&gt;0,VLOOKUP(G$1,record[[ProcessSN]:[廠商]],12,FALSE),"尚未委外")</f>
        <v>泉盛</v>
      </c>
      <c r="H130" s="123">
        <f>_018_550[[#This Row],['#08已委外數量]]-_018_550[[#This Row],['#08回
良品]]-_018_550[[#This Row],['#08委外NG]]</f>
        <v>0</v>
      </c>
      <c r="I130" s="123">
        <f>SUMIFS(record[OK],record[製程料號],_018_550[[#This Row],[製令單號]],record[ProcessSN],I$1)</f>
        <v>77</v>
      </c>
      <c r="J130" s="117">
        <f>SUMIFS(record[NG],record[製程料號],_018_550[[#This Row],[製令單號]],record[ProcessSN],J$1)</f>
        <v>0</v>
      </c>
      <c r="K130" s="124">
        <f>IFERROR(_018_550[[#This Row],['#08委外NG]]/_018_550[[#This Row],['#08已委外數量]],"")</f>
        <v>0</v>
      </c>
      <c r="L130" s="123">
        <f>_018_550[[#This Row],['#08回
良品]]-_018_550[[#This Row],['#06檢驗OK]]-_018_550[[#This Row],['#06
QC NG]]</f>
        <v>0</v>
      </c>
      <c r="M130" s="123">
        <f>SUMIFS(record[OK],record[製程料號],_018_550[[#This Row],[製令單號]],record[ProcessSN],M$1)</f>
        <v>77</v>
      </c>
      <c r="N130" s="117">
        <f>SUMIFS(record[NG],record[製程料號],_018_550[[#This Row],[製令單號]],record[ProcessSN],N$1)</f>
        <v>0</v>
      </c>
      <c r="O130" s="123">
        <f>_018_550[[#This Row],['#06檢驗OK]]-_018_550[[#This Row],[不良品]]-_018_550[[#This Row],[良品]]</f>
        <v>0</v>
      </c>
      <c r="P130" s="123">
        <f>SUMIFS(record[OK],record[製程料號],_018_550[[#This Row],[製令單號]],record[ProcessSN],P$1)</f>
        <v>77</v>
      </c>
      <c r="Q130" s="117">
        <f>SUMIFS(record[NG],record[製程料號],_018_550[[#This Row],[製令單號]],record[ProcessSN],Q$1)</f>
        <v>0</v>
      </c>
      <c r="R130" s="123">
        <f>_018_550[[#This Row],[良品]]-_018_550[[#This Row],[良品放行]]-_018_550[[#This Row],[不良待處理]]</f>
        <v>0</v>
      </c>
      <c r="S130" s="123">
        <f>SUMIFS(record[OK],record[製程料號],_018_550[[#This Row],[製令單號]],record[ProcessSN],S$1)</f>
        <v>77</v>
      </c>
      <c r="T130" s="117">
        <f>SUMIFS(record[NG],record[製程料號],_018_550[[#This Row],[製令單號]],record[ProcessSN],T$1)</f>
        <v>0</v>
      </c>
      <c r="U130" s="123">
        <f>_018_550[[#This Row],[良品放行]]-_018_550[[#This Row],[入庫]]</f>
        <v>0</v>
      </c>
      <c r="V130" s="123">
        <f>SUMIFS(record[OK],record[製程料號],_018_550[[#This Row],[製令單號]],record[ProcessSN],V$1)</f>
        <v>77</v>
      </c>
      <c r="W130" s="123">
        <f>_018_550[[#This Row],[入庫]]-_018_550[[#This Row],[已出貨]]</f>
        <v>0</v>
      </c>
      <c r="X130" s="137"/>
      <c r="Y130" s="123">
        <f>SUMIFS(record[OK],record[製程料號],_018_550[[#This Row],[製令單號]],record[ProcessSN],Y$1)</f>
        <v>77</v>
      </c>
      <c r="Z130" s="125">
        <f>_018_550[[#This Row],[不良待處理]]+_018_550[[#This Row],[不良品]]+_018_550[[#This Row],['#06
QC NG]]+_018_550[[#This Row],['#08委外NG]]</f>
        <v>0</v>
      </c>
      <c r="AA13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131" spans="1:27" ht="30.75" x14ac:dyDescent="0.25">
      <c r="A131" s="120">
        <v>46057</v>
      </c>
      <c r="B131" s="121" t="s">
        <v>1556</v>
      </c>
      <c r="C131" s="122" t="s">
        <v>500</v>
      </c>
      <c r="D131" s="118">
        <v>30</v>
      </c>
      <c r="E131" s="123">
        <f>_018_550[[#This Row],[入料數]]-_018_550[[#This Row],['#08已委外數量]]</f>
        <v>0</v>
      </c>
      <c r="F131" s="123">
        <f>SUMIFS(record[OK],record[製程料號],_018_550[[#This Row],[製令單號]],record[ProcessSN],F$1)</f>
        <v>30</v>
      </c>
      <c r="G131" s="118" t="str">
        <f>IF(_018_550[[#This Row],['#08已委外數量]]&gt;0,VLOOKUP(G$1,record[[ProcessSN]:[廠商]],12,FALSE),"尚未委外")</f>
        <v>泉盛</v>
      </c>
      <c r="H131" s="123">
        <f>_018_550[[#This Row],['#08已委外數量]]-_018_550[[#This Row],['#08回
良品]]-_018_550[[#This Row],['#08委外NG]]</f>
        <v>0</v>
      </c>
      <c r="I131" s="123">
        <f>SUMIFS(record[OK],record[製程料號],_018_550[[#This Row],[製令單號]],record[ProcessSN],I$1)</f>
        <v>30</v>
      </c>
      <c r="J131" s="117">
        <f>SUMIFS(record[NG],record[製程料號],_018_550[[#This Row],[製令單號]],record[ProcessSN],J$1)</f>
        <v>0</v>
      </c>
      <c r="K131" s="124">
        <f>IFERROR(_018_550[[#This Row],['#08委外NG]]/_018_550[[#This Row],['#08已委外數量]],"")</f>
        <v>0</v>
      </c>
      <c r="L131" s="123">
        <f>_018_550[[#This Row],['#08回
良品]]-_018_550[[#This Row],['#06檢驗OK]]-_018_550[[#This Row],['#06
QC NG]]</f>
        <v>0</v>
      </c>
      <c r="M131" s="123">
        <f>SUMIFS(record[OK],record[製程料號],_018_550[[#This Row],[製令單號]],record[ProcessSN],M$1)</f>
        <v>30</v>
      </c>
      <c r="N131" s="117">
        <f>SUMIFS(record[NG],record[製程料號],_018_550[[#This Row],[製令單號]],record[ProcessSN],N$1)</f>
        <v>0</v>
      </c>
      <c r="O131" s="123">
        <f>_018_550[[#This Row],['#06檢驗OK]]-_018_550[[#This Row],[不良品]]-_018_550[[#This Row],[良品]]</f>
        <v>0</v>
      </c>
      <c r="P131" s="123">
        <f>SUMIFS(record[OK],record[製程料號],_018_550[[#This Row],[製令單號]],record[ProcessSN],P$1)</f>
        <v>30</v>
      </c>
      <c r="Q131" s="117">
        <f>SUMIFS(record[NG],record[製程料號],_018_550[[#This Row],[製令單號]],record[ProcessSN],Q$1)</f>
        <v>0</v>
      </c>
      <c r="R131" s="123">
        <f>_018_550[[#This Row],[良品]]-_018_550[[#This Row],[良品放行]]-_018_550[[#This Row],[不良待處理]]</f>
        <v>0</v>
      </c>
      <c r="S131" s="123">
        <f>SUMIFS(record[OK],record[製程料號],_018_550[[#This Row],[製令單號]],record[ProcessSN],S$1)</f>
        <v>30</v>
      </c>
      <c r="T131" s="117">
        <f>SUMIFS(record[NG],record[製程料號],_018_550[[#This Row],[製令單號]],record[ProcessSN],T$1)</f>
        <v>0</v>
      </c>
      <c r="U131" s="123">
        <f>_018_550[[#This Row],[良品放行]]-_018_550[[#This Row],[入庫]]</f>
        <v>0</v>
      </c>
      <c r="V131" s="123">
        <f>SUMIFS(record[OK],record[製程料號],_018_550[[#This Row],[製令單號]],record[ProcessSN],V$1)</f>
        <v>30</v>
      </c>
      <c r="W131" s="123">
        <f>_018_550[[#This Row],[入庫]]-_018_550[[#This Row],[已出貨]]</f>
        <v>0</v>
      </c>
      <c r="X131" s="137"/>
      <c r="Y131" s="123">
        <f>SUMIFS(record[OK],record[製程料號],_018_550[[#This Row],[製令單號]],record[ProcessSN],Y$1)</f>
        <v>30</v>
      </c>
      <c r="Z131" s="125">
        <f>_018_550[[#This Row],[不良待處理]]+_018_550[[#This Row],[不良品]]+_018_550[[#This Row],['#06
QC NG]]+_018_550[[#This Row],['#08委外NG]]</f>
        <v>0</v>
      </c>
      <c r="AA13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132" spans="1:27" ht="30.75" x14ac:dyDescent="0.25">
      <c r="A132" s="120">
        <v>46064</v>
      </c>
      <c r="B132" s="121" t="s">
        <v>1582</v>
      </c>
      <c r="C132" s="122" t="s">
        <v>500</v>
      </c>
      <c r="D132" s="118">
        <v>22</v>
      </c>
      <c r="E132" s="123">
        <f>_018_550[[#This Row],[入料數]]-_018_550[[#This Row],['#08已委外數量]]</f>
        <v>0</v>
      </c>
      <c r="F132" s="123">
        <f>SUMIFS(record[OK],record[製程料號],_018_550[[#This Row],[製令單號]],record[ProcessSN],F$1)</f>
        <v>22</v>
      </c>
      <c r="G132" s="118" t="str">
        <f>IF(_018_550[[#This Row],['#08已委外數量]]&gt;0,VLOOKUP(G$1,record[[ProcessSN]:[廠商]],12,FALSE),"尚未委外")</f>
        <v>泉盛</v>
      </c>
      <c r="H132" s="123">
        <f>_018_550[[#This Row],['#08已委外數量]]-_018_550[[#This Row],['#08回
良品]]-_018_550[[#This Row],['#08委外NG]]</f>
        <v>0</v>
      </c>
      <c r="I132" s="123">
        <f>SUMIFS(record[OK],record[製程料號],_018_550[[#This Row],[製令單號]],record[ProcessSN],I$1)</f>
        <v>22</v>
      </c>
      <c r="J132" s="117">
        <f>SUMIFS(record[NG],record[製程料號],_018_550[[#This Row],[製令單號]],record[ProcessSN],J$1)</f>
        <v>0</v>
      </c>
      <c r="K132" s="124">
        <f>IFERROR(_018_550[[#This Row],['#08委外NG]]/_018_550[[#This Row],['#08已委外數量]],"")</f>
        <v>0</v>
      </c>
      <c r="L132" s="123">
        <f>_018_550[[#This Row],['#08回
良品]]-_018_550[[#This Row],['#06檢驗OK]]-_018_550[[#This Row],['#06
QC NG]]</f>
        <v>0</v>
      </c>
      <c r="M132" s="123">
        <f>SUMIFS(record[OK],record[製程料號],_018_550[[#This Row],[製令單號]],record[ProcessSN],M$1)</f>
        <v>22</v>
      </c>
      <c r="N132" s="117">
        <f>SUMIFS(record[NG],record[製程料號],_018_550[[#This Row],[製令單號]],record[ProcessSN],N$1)</f>
        <v>0</v>
      </c>
      <c r="O132" s="123">
        <f>_018_550[[#This Row],['#06檢驗OK]]-_018_550[[#This Row],[不良品]]-_018_550[[#This Row],[良品]]</f>
        <v>0</v>
      </c>
      <c r="P132" s="123">
        <f>SUMIFS(record[OK],record[製程料號],_018_550[[#This Row],[製令單號]],record[ProcessSN],P$1)</f>
        <v>22</v>
      </c>
      <c r="Q132" s="117">
        <f>SUMIFS(record[NG],record[製程料號],_018_550[[#This Row],[製令單號]],record[ProcessSN],Q$1)</f>
        <v>0</v>
      </c>
      <c r="R132" s="123">
        <f>_018_550[[#This Row],[良品]]-_018_550[[#This Row],[良品放行]]-_018_550[[#This Row],[不良待處理]]</f>
        <v>0</v>
      </c>
      <c r="S132" s="123">
        <f>SUMIFS(record[OK],record[製程料號],_018_550[[#This Row],[製令單號]],record[ProcessSN],S$1)</f>
        <v>22</v>
      </c>
      <c r="T132" s="117">
        <f>SUMIFS(record[NG],record[製程料號],_018_550[[#This Row],[製令單號]],record[ProcessSN],T$1)</f>
        <v>0</v>
      </c>
      <c r="U132" s="123">
        <f>_018_550[[#This Row],[良品放行]]-_018_550[[#This Row],[入庫]]</f>
        <v>0</v>
      </c>
      <c r="V132" s="123">
        <f>SUMIFS(record[OK],record[製程料號],_018_550[[#This Row],[製令單號]],record[ProcessSN],V$1)</f>
        <v>22</v>
      </c>
      <c r="W132" s="123">
        <f>_018_550[[#This Row],[入庫]]-_018_550[[#This Row],[已出貨]]</f>
        <v>0</v>
      </c>
      <c r="X132" s="137"/>
      <c r="Y132" s="123">
        <f>SUMIFS(record[OK],record[製程料號],_018_550[[#This Row],[製令單號]],record[ProcessSN],Y$1)</f>
        <v>22</v>
      </c>
      <c r="Z132" s="125">
        <f>_018_550[[#This Row],[不良待處理]]+_018_550[[#This Row],[不良品]]+_018_550[[#This Row],['#06
QC NG]]+_018_550[[#This Row],['#08委外NG]]</f>
        <v>0</v>
      </c>
      <c r="AA13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133" spans="1:27" ht="30.75" x14ac:dyDescent="0.25">
      <c r="A133" s="120">
        <v>46086</v>
      </c>
      <c r="B133" s="121" t="s">
        <v>1603</v>
      </c>
      <c r="C133" s="122" t="s">
        <v>500</v>
      </c>
      <c r="D133" s="118">
        <v>396</v>
      </c>
      <c r="E133" s="123">
        <f>_018_550[[#This Row],[入料數]]-_018_550[[#This Row],['#08已委外數量]]</f>
        <v>0</v>
      </c>
      <c r="F133" s="123">
        <f>SUMIFS(record[OK],record[製程料號],_018_550[[#This Row],[製令單號]],record[ProcessSN],F$1)</f>
        <v>396</v>
      </c>
      <c r="G133" s="118" t="str">
        <f>IF(_018_550[[#This Row],['#08已委外數量]]&gt;0,VLOOKUP(G$1,record[[ProcessSN]:[廠商]],12,FALSE),"尚未委外")</f>
        <v>泉盛</v>
      </c>
      <c r="H133" s="123">
        <f>_018_550[[#This Row],['#08已委外數量]]-_018_550[[#This Row],['#08回
良品]]-_018_550[[#This Row],['#08委外NG]]</f>
        <v>0</v>
      </c>
      <c r="I133" s="123">
        <f>SUMIFS(record[OK],record[製程料號],_018_550[[#This Row],[製令單號]],record[ProcessSN],I$1)</f>
        <v>380</v>
      </c>
      <c r="J133" s="117">
        <f>SUMIFS(record[NG],record[製程料號],_018_550[[#This Row],[製令單號]],record[ProcessSN],J$1)</f>
        <v>16</v>
      </c>
      <c r="K133" s="124">
        <f>IFERROR(_018_550[[#This Row],['#08委外NG]]/_018_550[[#This Row],['#08已委外數量]],"")</f>
        <v>4.0404040404040407E-2</v>
      </c>
      <c r="L133" s="123">
        <f>_018_550[[#This Row],['#08回
良品]]-_018_550[[#This Row],['#06檢驗OK]]-_018_550[[#This Row],['#06
QC NG]]</f>
        <v>0</v>
      </c>
      <c r="M133" s="123">
        <f>SUMIFS(record[OK],record[製程料號],_018_550[[#This Row],[製令單號]],record[ProcessSN],M$1)</f>
        <v>380</v>
      </c>
      <c r="N133" s="117">
        <f>SUMIFS(record[NG],record[製程料號],_018_550[[#This Row],[製令單號]],record[ProcessSN],N$1)</f>
        <v>0</v>
      </c>
      <c r="O133" s="123">
        <f>_018_550[[#This Row],['#06檢驗OK]]-_018_550[[#This Row],[不良品]]-_018_550[[#This Row],[良品]]</f>
        <v>0</v>
      </c>
      <c r="P133" s="123">
        <f>SUMIFS(record[OK],record[製程料號],_018_550[[#This Row],[製令單號]],record[ProcessSN],P$1)</f>
        <v>380</v>
      </c>
      <c r="Q133" s="117">
        <f>SUMIFS(record[NG],record[製程料號],_018_550[[#This Row],[製令單號]],record[ProcessSN],Q$1)</f>
        <v>0</v>
      </c>
      <c r="R133" s="123">
        <f>_018_550[[#This Row],[良品]]-_018_550[[#This Row],[良品放行]]-_018_550[[#This Row],[不良待處理]]</f>
        <v>0</v>
      </c>
      <c r="S133" s="123">
        <f>SUMIFS(record[OK],record[製程料號],_018_550[[#This Row],[製令單號]],record[ProcessSN],S$1)</f>
        <v>380</v>
      </c>
      <c r="T133" s="117">
        <f>SUMIFS(record[NG],record[製程料號],_018_550[[#This Row],[製令單號]],record[ProcessSN],T$1)</f>
        <v>0</v>
      </c>
      <c r="U133" s="123">
        <f>_018_550[[#This Row],[良品放行]]-_018_550[[#This Row],[入庫]]</f>
        <v>0</v>
      </c>
      <c r="V133" s="123">
        <f>SUMIFS(record[OK],record[製程料號],_018_550[[#This Row],[製令單號]],record[ProcessSN],V$1)</f>
        <v>380</v>
      </c>
      <c r="W133" s="123">
        <f>_018_550[[#This Row],[入庫]]-_018_550[[#This Row],[已出貨]]</f>
        <v>0</v>
      </c>
      <c r="X133" s="137"/>
      <c r="Y133" s="123">
        <f>SUMIFS(record[OK],record[製程料號],_018_550[[#This Row],[製令單號]],record[ProcessSN],Y$1)</f>
        <v>380</v>
      </c>
      <c r="Z133" s="125">
        <f>_018_550[[#This Row],[不良待處理]]+_018_550[[#This Row],[不良品]]+_018_550[[#This Row],['#06
QC NG]]+_018_550[[#This Row],['#08委外NG]]</f>
        <v>16</v>
      </c>
      <c r="AA13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0.95959595959595956</v>
      </c>
    </row>
    <row r="134" spans="1:27" ht="30.75" x14ac:dyDescent="0.25">
      <c r="A134" s="120">
        <v>46087</v>
      </c>
      <c r="B134" s="121" t="s">
        <v>1605</v>
      </c>
      <c r="C134" s="122" t="s">
        <v>500</v>
      </c>
      <c r="D134" s="118">
        <v>352</v>
      </c>
      <c r="E134" s="123">
        <f>_018_550[[#This Row],[入料數]]-_018_550[[#This Row],['#08已委外數量]]</f>
        <v>0</v>
      </c>
      <c r="F134" s="123">
        <f>SUMIFS(record[OK],record[製程料號],_018_550[[#This Row],[製令單號]],record[ProcessSN],F$1)</f>
        <v>352</v>
      </c>
      <c r="G134" s="118" t="str">
        <f>IF(_018_550[[#This Row],['#08已委外數量]]&gt;0,VLOOKUP(G$1,record[[ProcessSN]:[廠商]],12,FALSE),"尚未委外")</f>
        <v>泉盛</v>
      </c>
      <c r="H134" s="123">
        <f>_018_550[[#This Row],['#08已委外數量]]-_018_550[[#This Row],['#08回
良品]]-_018_550[[#This Row],['#08委外NG]]</f>
        <v>0</v>
      </c>
      <c r="I134" s="123">
        <f>SUMIFS(record[OK],record[製程料號],_018_550[[#This Row],[製令單號]],record[ProcessSN],I$1)</f>
        <v>351</v>
      </c>
      <c r="J134" s="117">
        <f>SUMIFS(record[NG],record[製程料號],_018_550[[#This Row],[製令單號]],record[ProcessSN],J$1)</f>
        <v>1</v>
      </c>
      <c r="K134" s="124">
        <f>IFERROR(_018_550[[#This Row],['#08委外NG]]/_018_550[[#This Row],['#08已委外數量]],"")</f>
        <v>2.840909090909091E-3</v>
      </c>
      <c r="L134" s="123">
        <f>_018_550[[#This Row],['#08回
良品]]-_018_550[[#This Row],['#06檢驗OK]]-_018_550[[#This Row],['#06
QC NG]]</f>
        <v>0</v>
      </c>
      <c r="M134" s="123">
        <f>SUMIFS(record[OK],record[製程料號],_018_550[[#This Row],[製令單號]],record[ProcessSN],M$1)</f>
        <v>351</v>
      </c>
      <c r="N134" s="117">
        <f>SUMIFS(record[NG],record[製程料號],_018_550[[#This Row],[製令單號]],record[ProcessSN],N$1)</f>
        <v>0</v>
      </c>
      <c r="O134" s="123">
        <f>_018_550[[#This Row],['#06檢驗OK]]-_018_550[[#This Row],[不良品]]-_018_550[[#This Row],[良品]]</f>
        <v>0</v>
      </c>
      <c r="P134" s="123">
        <f>SUMIFS(record[OK],record[製程料號],_018_550[[#This Row],[製令單號]],record[ProcessSN],P$1)</f>
        <v>351</v>
      </c>
      <c r="Q134" s="117">
        <f>SUMIFS(record[NG],record[製程料號],_018_550[[#This Row],[製令單號]],record[ProcessSN],Q$1)</f>
        <v>0</v>
      </c>
      <c r="R134" s="123">
        <f>_018_550[[#This Row],[良品]]-_018_550[[#This Row],[良品放行]]-_018_550[[#This Row],[不良待處理]]</f>
        <v>0</v>
      </c>
      <c r="S134" s="123">
        <f>SUMIFS(record[OK],record[製程料號],_018_550[[#This Row],[製令單號]],record[ProcessSN],S$1)</f>
        <v>351</v>
      </c>
      <c r="T134" s="117">
        <f>SUMIFS(record[NG],record[製程料號],_018_550[[#This Row],[製令單號]],record[ProcessSN],T$1)</f>
        <v>0</v>
      </c>
      <c r="U134" s="123">
        <f>_018_550[[#This Row],[良品放行]]-_018_550[[#This Row],[入庫]]</f>
        <v>0</v>
      </c>
      <c r="V134" s="123">
        <f>SUMIFS(record[OK],record[製程料號],_018_550[[#This Row],[製令單號]],record[ProcessSN],V$1)</f>
        <v>351</v>
      </c>
      <c r="W134" s="123">
        <f>_018_550[[#This Row],[入庫]]-_018_550[[#This Row],[已出貨]]</f>
        <v>0</v>
      </c>
      <c r="X134" s="137"/>
      <c r="Y134" s="123">
        <f>SUMIFS(record[OK],record[製程料號],_018_550[[#This Row],[製令單號]],record[ProcessSN],Y$1)</f>
        <v>351</v>
      </c>
      <c r="Z134" s="125">
        <f>_018_550[[#This Row],[不良待處理]]+_018_550[[#This Row],[不良品]]+_018_550[[#This Row],['#06
QC NG]]+_018_550[[#This Row],['#08委外NG]]</f>
        <v>1</v>
      </c>
      <c r="AA13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0.99715909090909094</v>
      </c>
    </row>
    <row r="135" spans="1:27" ht="30.75" x14ac:dyDescent="0.25">
      <c r="A135" s="120">
        <v>46091</v>
      </c>
      <c r="B135" s="121" t="s">
        <v>1618</v>
      </c>
      <c r="C135" s="122" t="s">
        <v>500</v>
      </c>
      <c r="D135" s="118">
        <v>457</v>
      </c>
      <c r="E135" s="123">
        <f>_018_550[[#This Row],[入料數]]-_018_550[[#This Row],['#08已委外數量]]</f>
        <v>0</v>
      </c>
      <c r="F135" s="123">
        <f>SUMIFS(record[OK],record[製程料號],_018_550[[#This Row],[製令單號]],record[ProcessSN],F$1)</f>
        <v>457</v>
      </c>
      <c r="G135" s="118" t="str">
        <f>IF(_018_550[[#This Row],['#08已委外數量]]&gt;0,VLOOKUP(G$1,record[[ProcessSN]:[廠商]],12,FALSE),"尚未委外")</f>
        <v>泉盛</v>
      </c>
      <c r="H135" s="123">
        <f>_018_550[[#This Row],['#08已委外數量]]-_018_550[[#This Row],['#08回
良品]]-_018_550[[#This Row],['#08委外NG]]</f>
        <v>0</v>
      </c>
      <c r="I135" s="123">
        <f>SUMIFS(record[OK],record[製程料號],_018_550[[#This Row],[製令單號]],record[ProcessSN],I$1)</f>
        <v>455</v>
      </c>
      <c r="J135" s="117">
        <f>SUMIFS(record[NG],record[製程料號],_018_550[[#This Row],[製令單號]],record[ProcessSN],J$1)</f>
        <v>2</v>
      </c>
      <c r="K135" s="124">
        <f>IFERROR(_018_550[[#This Row],['#08委外NG]]/_018_550[[#This Row],['#08已委外數量]],"")</f>
        <v>4.3763676148796497E-3</v>
      </c>
      <c r="L135" s="123">
        <f>_018_550[[#This Row],['#08回
良品]]-_018_550[[#This Row],['#06檢驗OK]]-_018_550[[#This Row],['#06
QC NG]]</f>
        <v>0</v>
      </c>
      <c r="M135" s="123">
        <f>SUMIFS(record[OK],record[製程料號],_018_550[[#This Row],[製令單號]],record[ProcessSN],M$1)</f>
        <v>455</v>
      </c>
      <c r="N135" s="117">
        <f>SUMIFS(record[NG],record[製程料號],_018_550[[#This Row],[製令單號]],record[ProcessSN],N$1)</f>
        <v>0</v>
      </c>
      <c r="O135" s="123">
        <f>_018_550[[#This Row],['#06檢驗OK]]-_018_550[[#This Row],[不良品]]-_018_550[[#This Row],[良品]]</f>
        <v>0</v>
      </c>
      <c r="P135" s="123">
        <f>SUMIFS(record[OK],record[製程料號],_018_550[[#This Row],[製令單號]],record[ProcessSN],P$1)</f>
        <v>452</v>
      </c>
      <c r="Q135" s="117">
        <f>SUMIFS(record[NG],record[製程料號],_018_550[[#This Row],[製令單號]],record[ProcessSN],Q$1)</f>
        <v>3</v>
      </c>
      <c r="R135" s="123">
        <f>_018_550[[#This Row],[良品]]-_018_550[[#This Row],[良品放行]]-_018_550[[#This Row],[不良待處理]]</f>
        <v>0</v>
      </c>
      <c r="S135" s="123">
        <f>SUMIFS(record[OK],record[製程料號],_018_550[[#This Row],[製令單號]],record[ProcessSN],S$1)</f>
        <v>452</v>
      </c>
      <c r="T135" s="117">
        <f>SUMIFS(record[NG],record[製程料號],_018_550[[#This Row],[製令單號]],record[ProcessSN],T$1)</f>
        <v>0</v>
      </c>
      <c r="U135" s="123">
        <f>_018_550[[#This Row],[良品放行]]-_018_550[[#This Row],[入庫]]</f>
        <v>0</v>
      </c>
      <c r="V135" s="123">
        <f>SUMIFS(record[OK],record[製程料號],_018_550[[#This Row],[製令單號]],record[ProcessSN],V$1)</f>
        <v>452</v>
      </c>
      <c r="W135" s="123">
        <f>_018_550[[#This Row],[入庫]]-_018_550[[#This Row],[已出貨]]</f>
        <v>0</v>
      </c>
      <c r="X135" s="137"/>
      <c r="Y135" s="123">
        <f>SUMIFS(record[OK],record[製程料號],_018_550[[#This Row],[製令單號]],record[ProcessSN],Y$1)</f>
        <v>452</v>
      </c>
      <c r="Z135" s="125">
        <f>_018_550[[#This Row],[不良待處理]]+_018_550[[#This Row],[不良品]]+_018_550[[#This Row],['#06
QC NG]]+_018_550[[#This Row],['#08委外NG]]</f>
        <v>5</v>
      </c>
      <c r="AA13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0.98905908096280093</v>
      </c>
    </row>
    <row r="136" spans="1:27" ht="30.75" x14ac:dyDescent="0.25">
      <c r="A136" s="120">
        <v>46092</v>
      </c>
      <c r="B136" s="121" t="s">
        <v>1622</v>
      </c>
      <c r="C136" s="122" t="s">
        <v>500</v>
      </c>
      <c r="D136" s="118">
        <v>409</v>
      </c>
      <c r="E136" s="123">
        <f>_018_550[[#This Row],[入料數]]-_018_550[[#This Row],['#08已委外數量]]</f>
        <v>0</v>
      </c>
      <c r="F136" s="123">
        <f>SUMIFS(record[OK],record[製程料號],_018_550[[#This Row],[製令單號]],record[ProcessSN],F$1)</f>
        <v>409</v>
      </c>
      <c r="G136" s="118" t="str">
        <f>IF(_018_550[[#This Row],['#08已委外數量]]&gt;0,VLOOKUP(G$1,record[[ProcessSN]:[廠商]],12,FALSE),"尚未委外")</f>
        <v>泉盛</v>
      </c>
      <c r="H136" s="123">
        <f>_018_550[[#This Row],['#08已委外數量]]-_018_550[[#This Row],['#08回
良品]]-_018_550[[#This Row],['#08委外NG]]</f>
        <v>0</v>
      </c>
      <c r="I136" s="123">
        <f>SUMIFS(record[OK],record[製程料號],_018_550[[#This Row],[製令單號]],record[ProcessSN],I$1)</f>
        <v>402</v>
      </c>
      <c r="J136" s="117">
        <f>SUMIFS(record[NG],record[製程料號],_018_550[[#This Row],[製令單號]],record[ProcessSN],J$1)</f>
        <v>7</v>
      </c>
      <c r="K136" s="124">
        <f>IFERROR(_018_550[[#This Row],['#08委外NG]]/_018_550[[#This Row],['#08已委外數量]],"")</f>
        <v>1.7114914425427872E-2</v>
      </c>
      <c r="L136" s="123">
        <f>_018_550[[#This Row],['#08回
良品]]-_018_550[[#This Row],['#06檢驗OK]]-_018_550[[#This Row],['#06
QC NG]]</f>
        <v>0</v>
      </c>
      <c r="M136" s="123">
        <f>SUMIFS(record[OK],record[製程料號],_018_550[[#This Row],[製令單號]],record[ProcessSN],M$1)</f>
        <v>402</v>
      </c>
      <c r="N136" s="117">
        <f>SUMIFS(record[NG],record[製程料號],_018_550[[#This Row],[製令單號]],record[ProcessSN],N$1)</f>
        <v>0</v>
      </c>
      <c r="O136" s="123">
        <f>_018_550[[#This Row],['#06檢驗OK]]-_018_550[[#This Row],[不良品]]-_018_550[[#This Row],[良品]]</f>
        <v>0</v>
      </c>
      <c r="P136" s="123">
        <f>SUMIFS(record[OK],record[製程料號],_018_550[[#This Row],[製令單號]],record[ProcessSN],P$1)</f>
        <v>402</v>
      </c>
      <c r="Q136" s="117">
        <f>SUMIFS(record[NG],record[製程料號],_018_550[[#This Row],[製令單號]],record[ProcessSN],Q$1)</f>
        <v>0</v>
      </c>
      <c r="R136" s="123">
        <f>_018_550[[#This Row],[良品]]-_018_550[[#This Row],[良品放行]]-_018_550[[#This Row],[不良待處理]]</f>
        <v>0</v>
      </c>
      <c r="S136" s="123">
        <f>SUMIFS(record[OK],record[製程料號],_018_550[[#This Row],[製令單號]],record[ProcessSN],S$1)</f>
        <v>402</v>
      </c>
      <c r="T136" s="117">
        <f>SUMIFS(record[NG],record[製程料號],_018_550[[#This Row],[製令單號]],record[ProcessSN],T$1)</f>
        <v>0</v>
      </c>
      <c r="U136" s="123">
        <f>_018_550[[#This Row],[良品放行]]-_018_550[[#This Row],[入庫]]</f>
        <v>0</v>
      </c>
      <c r="V136" s="123">
        <f>SUMIFS(record[OK],record[製程料號],_018_550[[#This Row],[製令單號]],record[ProcessSN],V$1)</f>
        <v>402</v>
      </c>
      <c r="W136" s="123">
        <f>_018_550[[#This Row],[入庫]]-_018_550[[#This Row],[已出貨]]</f>
        <v>0</v>
      </c>
      <c r="X136" s="137"/>
      <c r="Y136" s="123">
        <f>SUMIFS(record[OK],record[製程料號],_018_550[[#This Row],[製令單號]],record[ProcessSN],Y$1)</f>
        <v>402</v>
      </c>
      <c r="Z136" s="125">
        <f>_018_550[[#This Row],[不良待處理]]+_018_550[[#This Row],[不良品]]+_018_550[[#This Row],['#06
QC NG]]+_018_550[[#This Row],['#08委外NG]]</f>
        <v>7</v>
      </c>
      <c r="AA13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0.9828850855745721</v>
      </c>
    </row>
    <row r="137" spans="1:27" ht="30.75" x14ac:dyDescent="0.25">
      <c r="A137" s="120">
        <v>46093</v>
      </c>
      <c r="B137" s="121" t="s">
        <v>1631</v>
      </c>
      <c r="C137" s="122" t="s">
        <v>500</v>
      </c>
      <c r="D137" s="118">
        <v>48</v>
      </c>
      <c r="E137" s="123">
        <f>_018_550[[#This Row],[入料數]]-_018_550[[#This Row],['#08已委外數量]]</f>
        <v>0</v>
      </c>
      <c r="F137" s="123">
        <f>SUMIFS(record[OK],record[製程料號],_018_550[[#This Row],[製令單號]],record[ProcessSN],F$1)</f>
        <v>48</v>
      </c>
      <c r="G137" s="118" t="str">
        <f>IF(_018_550[[#This Row],['#08已委外數量]]&gt;0,VLOOKUP(G$1,record[[ProcessSN]:[廠商]],12,FALSE),"尚未委外")</f>
        <v>泉盛</v>
      </c>
      <c r="H137" s="123">
        <f>_018_550[[#This Row],['#08已委外數量]]-_018_550[[#This Row],['#08回
良品]]-_018_550[[#This Row],['#08委外NG]]</f>
        <v>0</v>
      </c>
      <c r="I137" s="123">
        <f>SUMIFS(record[OK],record[製程料號],_018_550[[#This Row],[製令單號]],record[ProcessSN],I$1)</f>
        <v>47</v>
      </c>
      <c r="J137" s="117">
        <f>SUMIFS(record[NG],record[製程料號],_018_550[[#This Row],[製令單號]],record[ProcessSN],J$1)</f>
        <v>1</v>
      </c>
      <c r="K137" s="124">
        <f>IFERROR(_018_550[[#This Row],['#08委外NG]]/_018_550[[#This Row],['#08已委外數量]],"")</f>
        <v>2.0833333333333332E-2</v>
      </c>
      <c r="L137" s="123">
        <f>_018_550[[#This Row],['#08回
良品]]-_018_550[[#This Row],['#06檢驗OK]]-_018_550[[#This Row],['#06
QC NG]]</f>
        <v>0</v>
      </c>
      <c r="M137" s="123">
        <f>SUMIFS(record[OK],record[製程料號],_018_550[[#This Row],[製令單號]],record[ProcessSN],M$1)</f>
        <v>47</v>
      </c>
      <c r="N137" s="117">
        <f>SUMIFS(record[NG],record[製程料號],_018_550[[#This Row],[製令單號]],record[ProcessSN],N$1)</f>
        <v>0</v>
      </c>
      <c r="O137" s="123">
        <f>_018_550[[#This Row],['#06檢驗OK]]-_018_550[[#This Row],[不良品]]-_018_550[[#This Row],[良品]]</f>
        <v>0</v>
      </c>
      <c r="P137" s="123">
        <f>SUMIFS(record[OK],record[製程料號],_018_550[[#This Row],[製令單號]],record[ProcessSN],P$1)</f>
        <v>47</v>
      </c>
      <c r="Q137" s="117">
        <f>SUMIFS(record[NG],record[製程料號],_018_550[[#This Row],[製令單號]],record[ProcessSN],Q$1)</f>
        <v>0</v>
      </c>
      <c r="R137" s="123">
        <f>_018_550[[#This Row],[良品]]-_018_550[[#This Row],[良品放行]]-_018_550[[#This Row],[不良待處理]]</f>
        <v>0</v>
      </c>
      <c r="S137" s="123">
        <f>SUMIFS(record[OK],record[製程料號],_018_550[[#This Row],[製令單號]],record[ProcessSN],S$1)</f>
        <v>47</v>
      </c>
      <c r="T137" s="117">
        <f>SUMIFS(record[NG],record[製程料號],_018_550[[#This Row],[製令單號]],record[ProcessSN],T$1)</f>
        <v>0</v>
      </c>
      <c r="U137" s="123">
        <f>_018_550[[#This Row],[良品放行]]-_018_550[[#This Row],[入庫]]</f>
        <v>0</v>
      </c>
      <c r="V137" s="123">
        <f>SUMIFS(record[OK],record[製程料號],_018_550[[#This Row],[製令單號]],record[ProcessSN],V$1)</f>
        <v>47</v>
      </c>
      <c r="W137" s="123">
        <f>_018_550[[#This Row],[入庫]]-_018_550[[#This Row],[已出貨]]</f>
        <v>0</v>
      </c>
      <c r="X137" s="137"/>
      <c r="Y137" s="123">
        <f>SUMIFS(record[OK],record[製程料號],_018_550[[#This Row],[製令單號]],record[ProcessSN],Y$1)</f>
        <v>47</v>
      </c>
      <c r="Z137" s="125">
        <f>_018_550[[#This Row],[不良待處理]]+_018_550[[#This Row],[不良品]]+_018_550[[#This Row],['#06
QC NG]]+_018_550[[#This Row],['#08委外NG]]</f>
        <v>1</v>
      </c>
      <c r="AA13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0.97916666666666663</v>
      </c>
    </row>
    <row r="138" spans="1:27" ht="30.75" x14ac:dyDescent="0.25">
      <c r="A138" s="120">
        <v>46098</v>
      </c>
      <c r="B138" s="121" t="s">
        <v>1640</v>
      </c>
      <c r="C138" s="122" t="s">
        <v>500</v>
      </c>
      <c r="D138" s="118">
        <v>317</v>
      </c>
      <c r="E138" s="123">
        <f>_018_550[[#This Row],[入料數]]-_018_550[[#This Row],['#08已委外數量]]</f>
        <v>0</v>
      </c>
      <c r="F138" s="123">
        <f>SUMIFS(record[OK],record[製程料號],_018_550[[#This Row],[製令單號]],record[ProcessSN],F$1)</f>
        <v>317</v>
      </c>
      <c r="G138" s="118" t="str">
        <f>IF(_018_550[[#This Row],['#08已委外數量]]&gt;0,VLOOKUP(G$1,record[[ProcessSN]:[廠商]],12,FALSE),"尚未委外")</f>
        <v>泉盛</v>
      </c>
      <c r="H138" s="123">
        <f>_018_550[[#This Row],['#08已委外數量]]-_018_550[[#This Row],['#08回
良品]]-_018_550[[#This Row],['#08委外NG]]</f>
        <v>0</v>
      </c>
      <c r="I138" s="123">
        <f>SUMIFS(record[OK],record[製程料號],_018_550[[#This Row],[製令單號]],record[ProcessSN],I$1)</f>
        <v>311</v>
      </c>
      <c r="J138" s="117">
        <f>SUMIFS(record[NG],record[製程料號],_018_550[[#This Row],[製令單號]],record[ProcessSN],J$1)</f>
        <v>6</v>
      </c>
      <c r="K138" s="124">
        <f>IFERROR(_018_550[[#This Row],['#08委外NG]]/_018_550[[#This Row],['#08已委外數量]],"")</f>
        <v>1.8927444794952682E-2</v>
      </c>
      <c r="L138" s="123">
        <f>_018_550[[#This Row],['#08回
良品]]-_018_550[[#This Row],['#06檢驗OK]]-_018_550[[#This Row],['#06
QC NG]]</f>
        <v>0</v>
      </c>
      <c r="M138" s="123">
        <f>SUMIFS(record[OK],record[製程料號],_018_550[[#This Row],[製令單號]],record[ProcessSN],M$1)</f>
        <v>311</v>
      </c>
      <c r="N138" s="117">
        <f>SUMIFS(record[NG],record[製程料號],_018_550[[#This Row],[製令單號]],record[ProcessSN],N$1)</f>
        <v>0</v>
      </c>
      <c r="O138" s="123">
        <f>_018_550[[#This Row],['#06檢驗OK]]-_018_550[[#This Row],[不良品]]-_018_550[[#This Row],[良品]]</f>
        <v>0</v>
      </c>
      <c r="P138" s="123">
        <f>SUMIFS(record[OK],record[製程料號],_018_550[[#This Row],[製令單號]],record[ProcessSN],P$1)</f>
        <v>310</v>
      </c>
      <c r="Q138" s="117">
        <f>SUMIFS(record[NG],record[製程料號],_018_550[[#This Row],[製令單號]],record[ProcessSN],Q$1)</f>
        <v>1</v>
      </c>
      <c r="R138" s="123">
        <f>_018_550[[#This Row],[良品]]-_018_550[[#This Row],[良品放行]]-_018_550[[#This Row],[不良待處理]]</f>
        <v>0</v>
      </c>
      <c r="S138" s="123">
        <f>SUMIFS(record[OK],record[製程料號],_018_550[[#This Row],[製令單號]],record[ProcessSN],S$1)</f>
        <v>310</v>
      </c>
      <c r="T138" s="117">
        <f>SUMIFS(record[NG],record[製程料號],_018_550[[#This Row],[製令單號]],record[ProcessSN],T$1)</f>
        <v>0</v>
      </c>
      <c r="U138" s="123">
        <f>_018_550[[#This Row],[良品放行]]-_018_550[[#This Row],[入庫]]</f>
        <v>3</v>
      </c>
      <c r="V138" s="123">
        <f>SUMIFS(record[OK],record[製程料號],_018_550[[#This Row],[製令單號]],record[ProcessSN],V$1)</f>
        <v>307</v>
      </c>
      <c r="W138" s="123">
        <f>_018_550[[#This Row],[入庫]]-_018_550[[#This Row],[已出貨]]</f>
        <v>0</v>
      </c>
      <c r="X138" s="137"/>
      <c r="Y138" s="123">
        <f>SUMIFS(record[OK],record[製程料號],_018_550[[#This Row],[製令單號]],record[ProcessSN],Y$1)</f>
        <v>307</v>
      </c>
      <c r="Z138" s="125">
        <f>_018_550[[#This Row],[不良待處理]]+_018_550[[#This Row],[不良品]]+_018_550[[#This Row],['#06
QC NG]]+_018_550[[#This Row],['#08委外NG]]</f>
        <v>7</v>
      </c>
      <c r="AA138" s="124" t="str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/>
      </c>
    </row>
    <row r="139" spans="1:27" ht="30.75" x14ac:dyDescent="0.25">
      <c r="A139" s="120">
        <v>46099</v>
      </c>
      <c r="B139" s="121" t="s">
        <v>1647</v>
      </c>
      <c r="C139" s="122" t="s">
        <v>500</v>
      </c>
      <c r="D139" s="118">
        <v>356</v>
      </c>
      <c r="E139" s="123">
        <f>_018_550[[#This Row],[入料數]]-_018_550[[#This Row],['#08已委外數量]]</f>
        <v>0</v>
      </c>
      <c r="F139" s="123">
        <f>SUMIFS(record[OK],record[製程料號],_018_550[[#This Row],[製令單號]],record[ProcessSN],F$1)</f>
        <v>356</v>
      </c>
      <c r="G139" s="118" t="str">
        <f>IF(_018_550[[#This Row],['#08已委外數量]]&gt;0,VLOOKUP(G$1,record[[ProcessSN]:[廠商]],12,FALSE),"尚未委外")</f>
        <v>泉盛</v>
      </c>
      <c r="H139" s="123">
        <f>_018_550[[#This Row],['#08已委外數量]]-_018_550[[#This Row],['#08回
良品]]-_018_550[[#This Row],['#08委外NG]]</f>
        <v>0</v>
      </c>
      <c r="I139" s="123">
        <f>SUMIFS(record[OK],record[製程料號],_018_550[[#This Row],[製令單號]],record[ProcessSN],I$1)</f>
        <v>356</v>
      </c>
      <c r="J139" s="117">
        <f>SUMIFS(record[NG],record[製程料號],_018_550[[#This Row],[製令單號]],record[ProcessSN],J$1)</f>
        <v>0</v>
      </c>
      <c r="K139" s="124">
        <f>IFERROR(_018_550[[#This Row],['#08委外NG]]/_018_550[[#This Row],['#08已委外數量]],"")</f>
        <v>0</v>
      </c>
      <c r="L139" s="123">
        <f>_018_550[[#This Row],['#08回
良品]]-_018_550[[#This Row],['#06檢驗OK]]-_018_550[[#This Row],['#06
QC NG]]</f>
        <v>0</v>
      </c>
      <c r="M139" s="123">
        <f>SUMIFS(record[OK],record[製程料號],_018_550[[#This Row],[製令單號]],record[ProcessSN],M$1)</f>
        <v>356</v>
      </c>
      <c r="N139" s="117">
        <f>SUMIFS(record[NG],record[製程料號],_018_550[[#This Row],[製令單號]],record[ProcessSN],N$1)</f>
        <v>0</v>
      </c>
      <c r="O139" s="123">
        <f>_018_550[[#This Row],['#06檢驗OK]]-_018_550[[#This Row],[不良品]]-_018_550[[#This Row],[良品]]</f>
        <v>0</v>
      </c>
      <c r="P139" s="123">
        <f>SUMIFS(record[OK],record[製程料號],_018_550[[#This Row],[製令單號]],record[ProcessSN],P$1)</f>
        <v>338</v>
      </c>
      <c r="Q139" s="117">
        <f>SUMIFS(record[NG],record[製程料號],_018_550[[#This Row],[製令單號]],record[ProcessSN],Q$1)</f>
        <v>18</v>
      </c>
      <c r="R139" s="123">
        <f>_018_550[[#This Row],[良品]]-_018_550[[#This Row],[良品放行]]-_018_550[[#This Row],[不良待處理]]</f>
        <v>0</v>
      </c>
      <c r="S139" s="123">
        <f>SUMIFS(record[OK],record[製程料號],_018_550[[#This Row],[製令單號]],record[ProcessSN],S$1)</f>
        <v>338</v>
      </c>
      <c r="T139" s="117">
        <f>SUMIFS(record[NG],record[製程料號],_018_550[[#This Row],[製令單號]],record[ProcessSN],T$1)</f>
        <v>0</v>
      </c>
      <c r="U139" s="123">
        <f>_018_550[[#This Row],[良品放行]]-_018_550[[#This Row],[入庫]]</f>
        <v>0</v>
      </c>
      <c r="V139" s="123">
        <f>SUMIFS(record[OK],record[製程料號],_018_550[[#This Row],[製令單號]],record[ProcessSN],V$1)</f>
        <v>338</v>
      </c>
      <c r="W139" s="123">
        <f>_018_550[[#This Row],[入庫]]-_018_550[[#This Row],[已出貨]]</f>
        <v>0</v>
      </c>
      <c r="X139" s="137"/>
      <c r="Y139" s="123">
        <f>SUMIFS(record[OK],record[製程料號],_018_550[[#This Row],[製令單號]],record[ProcessSN],Y$1)</f>
        <v>338</v>
      </c>
      <c r="Z139" s="125">
        <f>_018_550[[#This Row],[不良待處理]]+_018_550[[#This Row],[不良品]]+_018_550[[#This Row],['#06
QC NG]]+_018_550[[#This Row],['#08委外NG]]</f>
        <v>18</v>
      </c>
      <c r="AA13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0.949438202247191</v>
      </c>
    </row>
    <row r="140" spans="1:27" ht="30.75" x14ac:dyDescent="0.25">
      <c r="A140" s="120">
        <v>46101</v>
      </c>
      <c r="B140" s="121" t="s">
        <v>1656</v>
      </c>
      <c r="C140" s="122" t="s">
        <v>500</v>
      </c>
      <c r="D140" s="118">
        <v>883</v>
      </c>
      <c r="E140" s="123">
        <f>_018_550[[#This Row],[入料數]]-_018_550[[#This Row],['#08已委外數量]]</f>
        <v>0</v>
      </c>
      <c r="F140" s="123">
        <f>SUMIFS(record[OK],record[製程料號],_018_550[[#This Row],[製令單號]],record[ProcessSN],F$1)</f>
        <v>883</v>
      </c>
      <c r="G140" s="118" t="str">
        <f>IF(_018_550[[#This Row],['#08已委外數量]]&gt;0,VLOOKUP(G$1,record[[ProcessSN]:[廠商]],12,FALSE),"尚未委外")</f>
        <v>泉盛</v>
      </c>
      <c r="H140" s="123">
        <f>_018_550[[#This Row],['#08已委外數量]]-_018_550[[#This Row],['#08回
良品]]-_018_550[[#This Row],['#08委外NG]]</f>
        <v>0</v>
      </c>
      <c r="I140" s="123">
        <f>SUMIFS(record[OK],record[製程料號],_018_550[[#This Row],[製令單號]],record[ProcessSN],I$1)</f>
        <v>883</v>
      </c>
      <c r="J140" s="117">
        <f>SUMIFS(record[NG],record[製程料號],_018_550[[#This Row],[製令單號]],record[ProcessSN],J$1)</f>
        <v>0</v>
      </c>
      <c r="K140" s="124">
        <f>IFERROR(_018_550[[#This Row],['#08委外NG]]/_018_550[[#This Row],['#08已委外數量]],"")</f>
        <v>0</v>
      </c>
      <c r="L140" s="123">
        <f>_018_550[[#This Row],['#08回
良品]]-_018_550[[#This Row],['#06檢驗OK]]-_018_550[[#This Row],['#06
QC NG]]</f>
        <v>0</v>
      </c>
      <c r="M140" s="123">
        <f>SUMIFS(record[OK],record[製程料號],_018_550[[#This Row],[製令單號]],record[ProcessSN],M$1)</f>
        <v>883</v>
      </c>
      <c r="N140" s="117">
        <f>SUMIFS(record[NG],record[製程料號],_018_550[[#This Row],[製令單號]],record[ProcessSN],N$1)</f>
        <v>0</v>
      </c>
      <c r="O140" s="123">
        <f>_018_550[[#This Row],['#06檢驗OK]]-_018_550[[#This Row],[不良品]]-_018_550[[#This Row],[良品]]</f>
        <v>0</v>
      </c>
      <c r="P140" s="123">
        <f>SUMIFS(record[OK],record[製程料號],_018_550[[#This Row],[製令單號]],record[ProcessSN],P$1)</f>
        <v>884</v>
      </c>
      <c r="Q140" s="117">
        <f>SUMIFS(record[NG],record[製程料號],_018_550[[#This Row],[製令單號]],record[ProcessSN],Q$1)</f>
        <v>-1</v>
      </c>
      <c r="R140" s="123">
        <f>_018_550[[#This Row],[良品]]-_018_550[[#This Row],[良品放行]]-_018_550[[#This Row],[不良待處理]]</f>
        <v>0</v>
      </c>
      <c r="S140" s="123">
        <f>SUMIFS(record[OK],record[製程料號],_018_550[[#This Row],[製令單號]],record[ProcessSN],S$1)</f>
        <v>884</v>
      </c>
      <c r="T140" s="117">
        <f>SUMIFS(record[NG],record[製程料號],_018_550[[#This Row],[製令單號]],record[ProcessSN],T$1)</f>
        <v>0</v>
      </c>
      <c r="U140" s="123">
        <f>_018_550[[#This Row],[良品放行]]-_018_550[[#This Row],[入庫]]</f>
        <v>0</v>
      </c>
      <c r="V140" s="123">
        <f>SUMIFS(record[OK],record[製程料號],_018_550[[#This Row],[製令單號]],record[ProcessSN],V$1)</f>
        <v>884</v>
      </c>
      <c r="W140" s="123">
        <f>_018_550[[#This Row],[入庫]]-_018_550[[#This Row],[已出貨]]</f>
        <v>0</v>
      </c>
      <c r="X140" s="137"/>
      <c r="Y140" s="123">
        <f>SUMIFS(record[OK],record[製程料號],_018_550[[#This Row],[製令單號]],record[ProcessSN],Y$1)</f>
        <v>884</v>
      </c>
      <c r="Z140" s="125">
        <f>_018_550[[#This Row],[不良待處理]]+_018_550[[#This Row],[不良品]]+_018_550[[#This Row],['#06
QC NG]]+_018_550[[#This Row],['#08委外NG]]</f>
        <v>-1</v>
      </c>
      <c r="AA14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1.001132502831257</v>
      </c>
    </row>
    <row r="141" spans="1:27" ht="30.75" x14ac:dyDescent="0.25">
      <c r="A141" s="120">
        <v>46104</v>
      </c>
      <c r="B141" s="121" t="s">
        <v>1660</v>
      </c>
      <c r="C141" s="122" t="s">
        <v>500</v>
      </c>
      <c r="D141" s="118">
        <v>419</v>
      </c>
      <c r="E141" s="123">
        <f>_018_550[[#This Row],[入料數]]-_018_550[[#This Row],['#08已委外數量]]</f>
        <v>0</v>
      </c>
      <c r="F141" s="123">
        <f>SUMIFS(record[OK],record[製程料號],_018_550[[#This Row],[製令單號]],record[ProcessSN],F$1)</f>
        <v>419</v>
      </c>
      <c r="G141" s="118" t="str">
        <f>IF(_018_550[[#This Row],['#08已委外數量]]&gt;0,VLOOKUP(G$1,record[[ProcessSN]:[廠商]],12,FALSE),"尚未委外")</f>
        <v>泉盛</v>
      </c>
      <c r="H141" s="123">
        <f>_018_550[[#This Row],['#08已委外數量]]-_018_550[[#This Row],['#08回
良品]]-_018_550[[#This Row],['#08委外NG]]</f>
        <v>0</v>
      </c>
      <c r="I141" s="123">
        <f>SUMIFS(record[OK],record[製程料號],_018_550[[#This Row],[製令單號]],record[ProcessSN],I$1)</f>
        <v>411</v>
      </c>
      <c r="J141" s="117">
        <f>SUMIFS(record[NG],record[製程料號],_018_550[[#This Row],[製令單號]],record[ProcessSN],J$1)</f>
        <v>8</v>
      </c>
      <c r="K141" s="124">
        <f>IFERROR(_018_550[[#This Row],['#08委外NG]]/_018_550[[#This Row],['#08已委外數量]],"")</f>
        <v>1.9093078758949882E-2</v>
      </c>
      <c r="L141" s="123">
        <f>_018_550[[#This Row],['#08回
良品]]-_018_550[[#This Row],['#06檢驗OK]]-_018_550[[#This Row],['#06
QC NG]]</f>
        <v>0</v>
      </c>
      <c r="M141" s="123">
        <f>SUMIFS(record[OK],record[製程料號],_018_550[[#This Row],[製令單號]],record[ProcessSN],M$1)</f>
        <v>411</v>
      </c>
      <c r="N141" s="117">
        <f>SUMIFS(record[NG],record[製程料號],_018_550[[#This Row],[製令單號]],record[ProcessSN],N$1)</f>
        <v>0</v>
      </c>
      <c r="O141" s="123">
        <f>_018_550[[#This Row],['#06檢驗OK]]-_018_550[[#This Row],[不良品]]-_018_550[[#This Row],[良品]]</f>
        <v>0</v>
      </c>
      <c r="P141" s="123">
        <f>SUMIFS(record[OK],record[製程料號],_018_550[[#This Row],[製令單號]],record[ProcessSN],P$1)</f>
        <v>387</v>
      </c>
      <c r="Q141" s="117">
        <f>SUMIFS(record[NG],record[製程料號],_018_550[[#This Row],[製令單號]],record[ProcessSN],Q$1)</f>
        <v>24</v>
      </c>
      <c r="R141" s="123">
        <f>_018_550[[#This Row],[良品]]-_018_550[[#This Row],[良品放行]]-_018_550[[#This Row],[不良待處理]]</f>
        <v>0</v>
      </c>
      <c r="S141" s="123">
        <f>SUMIFS(record[OK],record[製程料號],_018_550[[#This Row],[製令單號]],record[ProcessSN],S$1)</f>
        <v>387</v>
      </c>
      <c r="T141" s="117">
        <f>SUMIFS(record[NG],record[製程料號],_018_550[[#This Row],[製令單號]],record[ProcessSN],T$1)</f>
        <v>0</v>
      </c>
      <c r="U141" s="123">
        <f>_018_550[[#This Row],[良品放行]]-_018_550[[#This Row],[入庫]]</f>
        <v>0</v>
      </c>
      <c r="V141" s="123">
        <f>SUMIFS(record[OK],record[製程料號],_018_550[[#This Row],[製令單號]],record[ProcessSN],V$1)</f>
        <v>387</v>
      </c>
      <c r="W141" s="123">
        <f>_018_550[[#This Row],[入庫]]-_018_550[[#This Row],[已出貨]]</f>
        <v>0</v>
      </c>
      <c r="X141" s="137"/>
      <c r="Y141" s="123">
        <f>SUMIFS(record[OK],record[製程料號],_018_550[[#This Row],[製令單號]],record[ProcessSN],Y$1)</f>
        <v>387</v>
      </c>
      <c r="Z141" s="125">
        <f>_018_550[[#This Row],[不良待處理]]+_018_550[[#This Row],[不良品]]+_018_550[[#This Row],['#06
QC NG]]+_018_550[[#This Row],['#08委外NG]]</f>
        <v>32</v>
      </c>
      <c r="AA14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0.92362768496420045</v>
      </c>
    </row>
    <row r="142" spans="1:27" ht="30.75" x14ac:dyDescent="0.25">
      <c r="A142" s="120">
        <v>46108</v>
      </c>
      <c r="B142" s="121" t="s">
        <v>1685</v>
      </c>
      <c r="C142" s="122" t="s">
        <v>500</v>
      </c>
      <c r="D142" s="118">
        <v>338</v>
      </c>
      <c r="E142" s="123">
        <f>_018_550[[#This Row],[入料數]]-_018_550[[#This Row],['#08已委外數量]]</f>
        <v>0</v>
      </c>
      <c r="F142" s="123">
        <f>SUMIFS(record[OK],record[製程料號],_018_550[[#This Row],[製令單號]],record[ProcessSN],F$1)</f>
        <v>338</v>
      </c>
      <c r="G142" s="118" t="str">
        <f>IF(_018_550[[#This Row],['#08已委外數量]]&gt;0,VLOOKUP(G$1,record[[ProcessSN]:[廠商]],12,FALSE),"尚未委外")</f>
        <v>泉盛</v>
      </c>
      <c r="H142" s="123">
        <f>_018_550[[#This Row],['#08已委外數量]]-_018_550[[#This Row],['#08回
良品]]-_018_550[[#This Row],['#08委外NG]]</f>
        <v>0</v>
      </c>
      <c r="I142" s="123">
        <f>SUMIFS(record[OK],record[製程料號],_018_550[[#This Row],[製令單號]],record[ProcessSN],I$1)</f>
        <v>338</v>
      </c>
      <c r="J142" s="117">
        <f>SUMIFS(record[NG],record[製程料號],_018_550[[#This Row],[製令單號]],record[ProcessSN],J$1)</f>
        <v>0</v>
      </c>
      <c r="K142" s="124">
        <f>IFERROR(_018_550[[#This Row],['#08委外NG]]/_018_550[[#This Row],['#08已委外數量]],"")</f>
        <v>0</v>
      </c>
      <c r="L142" s="123">
        <f>_018_550[[#This Row],['#08回
良品]]-_018_550[[#This Row],['#06檢驗OK]]-_018_550[[#This Row],['#06
QC NG]]</f>
        <v>0</v>
      </c>
      <c r="M142" s="123">
        <f>SUMIFS(record[OK],record[製程料號],_018_550[[#This Row],[製令單號]],record[ProcessSN],M$1)</f>
        <v>338</v>
      </c>
      <c r="N142" s="117">
        <f>SUMIFS(record[NG],record[製程料號],_018_550[[#This Row],[製令單號]],record[ProcessSN],N$1)</f>
        <v>0</v>
      </c>
      <c r="O142" s="123">
        <f>_018_550[[#This Row],['#06檢驗OK]]-_018_550[[#This Row],[不良品]]-_018_550[[#This Row],[良品]]</f>
        <v>0</v>
      </c>
      <c r="P142" s="123">
        <f>SUMIFS(record[OK],record[製程料號],_018_550[[#This Row],[製令單號]],record[ProcessSN],P$1)</f>
        <v>338</v>
      </c>
      <c r="Q142" s="117">
        <f>SUMIFS(record[NG],record[製程料號],_018_550[[#This Row],[製令單號]],record[ProcessSN],Q$1)</f>
        <v>0</v>
      </c>
      <c r="R142" s="123">
        <f>_018_550[[#This Row],[良品]]-_018_550[[#This Row],[良品放行]]-_018_550[[#This Row],[不良待處理]]</f>
        <v>0</v>
      </c>
      <c r="S142" s="123">
        <f>SUMIFS(record[OK],record[製程料號],_018_550[[#This Row],[製令單號]],record[ProcessSN],S$1)</f>
        <v>338</v>
      </c>
      <c r="T142" s="117">
        <f>SUMIFS(record[NG],record[製程料號],_018_550[[#This Row],[製令單號]],record[ProcessSN],T$1)</f>
        <v>0</v>
      </c>
      <c r="U142" s="123">
        <f>_018_550[[#This Row],[良品放行]]-_018_550[[#This Row],[入庫]]</f>
        <v>0</v>
      </c>
      <c r="V142" s="123">
        <f>SUMIFS(record[OK],record[製程料號],_018_550[[#This Row],[製令單號]],record[ProcessSN],V$1)</f>
        <v>338</v>
      </c>
      <c r="W142" s="123">
        <f>_018_550[[#This Row],[入庫]]-_018_550[[#This Row],[已出貨]]</f>
        <v>0</v>
      </c>
      <c r="X142" s="137"/>
      <c r="Y142" s="123">
        <f>SUMIFS(record[OK],record[製程料號],_018_550[[#This Row],[製令單號]],record[ProcessSN],Y$1)</f>
        <v>338</v>
      </c>
      <c r="Z142" s="125">
        <f>_018_550[[#This Row],[不良待處理]]+_018_550[[#This Row],[不良品]]+_018_550[[#This Row],['#06
QC NG]]+_018_550[[#This Row],['#08委外NG]]</f>
        <v>0</v>
      </c>
      <c r="AA14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143" spans="1:27" ht="30.75" x14ac:dyDescent="0.25">
      <c r="A143" s="120">
        <v>46111</v>
      </c>
      <c r="B143" s="121" t="s">
        <v>1694</v>
      </c>
      <c r="C143" s="122" t="s">
        <v>500</v>
      </c>
      <c r="D143" s="118">
        <v>267</v>
      </c>
      <c r="E143" s="123">
        <f>_018_550[[#This Row],[入料數]]-_018_550[[#This Row],['#08已委外數量]]</f>
        <v>0</v>
      </c>
      <c r="F143" s="123">
        <f>SUMIFS(record[OK],record[製程料號],_018_550[[#This Row],[製令單號]],record[ProcessSN],F$1)</f>
        <v>267</v>
      </c>
      <c r="G143" s="118" t="str">
        <f>IF(_018_550[[#This Row],['#08已委外數量]]&gt;0,VLOOKUP(G$1,record[[ProcessSN]:[廠商]],12,FALSE),"尚未委外")</f>
        <v>泉盛</v>
      </c>
      <c r="H143" s="123">
        <f>_018_550[[#This Row],['#08已委外數量]]-_018_550[[#This Row],['#08回
良品]]-_018_550[[#This Row],['#08委外NG]]</f>
        <v>0</v>
      </c>
      <c r="I143" s="123">
        <f>SUMIFS(record[OK],record[製程料號],_018_550[[#This Row],[製令單號]],record[ProcessSN],I$1)</f>
        <v>266</v>
      </c>
      <c r="J143" s="117">
        <f>SUMIFS(record[NG],record[製程料號],_018_550[[#This Row],[製令單號]],record[ProcessSN],J$1)</f>
        <v>1</v>
      </c>
      <c r="K143" s="124">
        <f>IFERROR(_018_550[[#This Row],['#08委外NG]]/_018_550[[#This Row],['#08已委外數量]],"")</f>
        <v>3.7453183520599251E-3</v>
      </c>
      <c r="L143" s="123">
        <f>_018_550[[#This Row],['#08回
良品]]-_018_550[[#This Row],['#06檢驗OK]]-_018_550[[#This Row],['#06
QC NG]]</f>
        <v>0</v>
      </c>
      <c r="M143" s="123">
        <f>SUMIFS(record[OK],record[製程料號],_018_550[[#This Row],[製令單號]],record[ProcessSN],M$1)</f>
        <v>266</v>
      </c>
      <c r="N143" s="117">
        <f>SUMIFS(record[NG],record[製程料號],_018_550[[#This Row],[製令單號]],record[ProcessSN],N$1)</f>
        <v>0</v>
      </c>
      <c r="O143" s="123">
        <f>_018_550[[#This Row],['#06檢驗OK]]-_018_550[[#This Row],[不良品]]-_018_550[[#This Row],[良品]]</f>
        <v>0</v>
      </c>
      <c r="P143" s="123">
        <f>SUMIFS(record[OK],record[製程料號],_018_550[[#This Row],[製令單號]],record[ProcessSN],P$1)</f>
        <v>260</v>
      </c>
      <c r="Q143" s="117">
        <f>SUMIFS(record[NG],record[製程料號],_018_550[[#This Row],[製令單號]],record[ProcessSN],Q$1)</f>
        <v>6</v>
      </c>
      <c r="R143" s="123">
        <f>_018_550[[#This Row],[良品]]-_018_550[[#This Row],[良品放行]]-_018_550[[#This Row],[不良待處理]]</f>
        <v>0</v>
      </c>
      <c r="S143" s="123">
        <f>SUMIFS(record[OK],record[製程料號],_018_550[[#This Row],[製令單號]],record[ProcessSN],S$1)</f>
        <v>260</v>
      </c>
      <c r="T143" s="117">
        <f>SUMIFS(record[NG],record[製程料號],_018_550[[#This Row],[製令單號]],record[ProcessSN],T$1)</f>
        <v>0</v>
      </c>
      <c r="U143" s="123">
        <f>_018_550[[#This Row],[良品放行]]-_018_550[[#This Row],[入庫]]</f>
        <v>0</v>
      </c>
      <c r="V143" s="123">
        <f>SUMIFS(record[OK],record[製程料號],_018_550[[#This Row],[製令單號]],record[ProcessSN],V$1)</f>
        <v>260</v>
      </c>
      <c r="W143" s="123">
        <f>_018_550[[#This Row],[入庫]]-_018_550[[#This Row],[已出貨]]</f>
        <v>0</v>
      </c>
      <c r="X143" s="137"/>
      <c r="Y143" s="123">
        <f>SUMIFS(record[OK],record[製程料號],_018_550[[#This Row],[製令單號]],record[ProcessSN],Y$1)</f>
        <v>260</v>
      </c>
      <c r="Z143" s="125">
        <f>_018_550[[#This Row],[不良待處理]]+_018_550[[#This Row],[不良品]]+_018_550[[#This Row],['#06
QC NG]]+_018_550[[#This Row],['#08委外NG]]</f>
        <v>7</v>
      </c>
      <c r="AA14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0.97378277153558057</v>
      </c>
    </row>
    <row r="144" spans="1:27" ht="30.75" x14ac:dyDescent="0.25">
      <c r="A144" s="120">
        <v>46112</v>
      </c>
      <c r="B144" s="121" t="s">
        <v>1704</v>
      </c>
      <c r="C144" s="122" t="s">
        <v>500</v>
      </c>
      <c r="D144" s="118">
        <v>331</v>
      </c>
      <c r="E144" s="123">
        <f>_018_550[[#This Row],[入料數]]-_018_550[[#This Row],['#08已委外數量]]</f>
        <v>0</v>
      </c>
      <c r="F144" s="123">
        <f>SUMIFS(record[OK],record[製程料號],_018_550[[#This Row],[製令單號]],record[ProcessSN],F$1)</f>
        <v>331</v>
      </c>
      <c r="G144" s="118" t="str">
        <f>IF(_018_550[[#This Row],['#08已委外數量]]&gt;0,VLOOKUP(G$1,record[[ProcessSN]:[廠商]],12,FALSE),"尚未委外")</f>
        <v>泉盛</v>
      </c>
      <c r="H144" s="123">
        <f>_018_550[[#This Row],['#08已委外數量]]-_018_550[[#This Row],['#08回
良品]]-_018_550[[#This Row],['#08委外NG]]</f>
        <v>0</v>
      </c>
      <c r="I144" s="123">
        <f>SUMIFS(record[OK],record[製程料號],_018_550[[#This Row],[製令單號]],record[ProcessSN],I$1)</f>
        <v>331</v>
      </c>
      <c r="J144" s="117">
        <f>SUMIFS(record[NG],record[製程料號],_018_550[[#This Row],[製令單號]],record[ProcessSN],J$1)</f>
        <v>0</v>
      </c>
      <c r="K144" s="124">
        <f>IFERROR(_018_550[[#This Row],['#08委外NG]]/_018_550[[#This Row],['#08已委外數量]],"")</f>
        <v>0</v>
      </c>
      <c r="L144" s="123">
        <f>_018_550[[#This Row],['#08回
良品]]-_018_550[[#This Row],['#06檢驗OK]]-_018_550[[#This Row],['#06
QC NG]]</f>
        <v>0</v>
      </c>
      <c r="M144" s="123">
        <f>SUMIFS(record[OK],record[製程料號],_018_550[[#This Row],[製令單號]],record[ProcessSN],M$1)</f>
        <v>331</v>
      </c>
      <c r="N144" s="117">
        <f>SUMIFS(record[NG],record[製程料號],_018_550[[#This Row],[製令單號]],record[ProcessSN],N$1)</f>
        <v>0</v>
      </c>
      <c r="O144" s="123">
        <f>_018_550[[#This Row],['#06檢驗OK]]-_018_550[[#This Row],[不良品]]-_018_550[[#This Row],[良品]]</f>
        <v>0</v>
      </c>
      <c r="P144" s="123">
        <f>SUMIFS(record[OK],record[製程料號],_018_550[[#This Row],[製令單號]],record[ProcessSN],P$1)</f>
        <v>331</v>
      </c>
      <c r="Q144" s="117">
        <f>SUMIFS(record[NG],record[製程料號],_018_550[[#This Row],[製令單號]],record[ProcessSN],Q$1)</f>
        <v>0</v>
      </c>
      <c r="R144" s="123">
        <f>_018_550[[#This Row],[良品]]-_018_550[[#This Row],[良品放行]]-_018_550[[#This Row],[不良待處理]]</f>
        <v>0</v>
      </c>
      <c r="S144" s="123">
        <f>SUMIFS(record[OK],record[製程料號],_018_550[[#This Row],[製令單號]],record[ProcessSN],S$1)</f>
        <v>331</v>
      </c>
      <c r="T144" s="117">
        <f>SUMIFS(record[NG],record[製程料號],_018_550[[#This Row],[製令單號]],record[ProcessSN],T$1)</f>
        <v>0</v>
      </c>
      <c r="U144" s="123">
        <f>_018_550[[#This Row],[良品放行]]-_018_550[[#This Row],[入庫]]</f>
        <v>0</v>
      </c>
      <c r="V144" s="123">
        <f>SUMIFS(record[OK],record[製程料號],_018_550[[#This Row],[製令單號]],record[ProcessSN],V$1)</f>
        <v>331</v>
      </c>
      <c r="W144" s="123">
        <f>_018_550[[#This Row],[入庫]]-_018_550[[#This Row],[已出貨]]</f>
        <v>0</v>
      </c>
      <c r="X144" s="137"/>
      <c r="Y144" s="123">
        <f>SUMIFS(record[OK],record[製程料號],_018_550[[#This Row],[製令單號]],record[ProcessSN],Y$1)</f>
        <v>331</v>
      </c>
      <c r="Z144" s="125">
        <f>_018_550[[#This Row],[不良待處理]]+_018_550[[#This Row],[不良品]]+_018_550[[#This Row],['#06
QC NG]]+_018_550[[#This Row],['#08委外NG]]</f>
        <v>0</v>
      </c>
      <c r="AA14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145" spans="1:27" ht="30.75" x14ac:dyDescent="0.25">
      <c r="A145" s="120">
        <v>46113</v>
      </c>
      <c r="B145" s="121" t="s">
        <v>1715</v>
      </c>
      <c r="C145" s="122" t="s">
        <v>500</v>
      </c>
      <c r="D145" s="118">
        <v>502</v>
      </c>
      <c r="E145" s="123">
        <f>_018_550[[#This Row],[入料數]]-_018_550[[#This Row],['#08已委外數量]]</f>
        <v>0</v>
      </c>
      <c r="F145" s="123">
        <f>SUMIFS(record[OK],record[製程料號],_018_550[[#This Row],[製令單號]],record[ProcessSN],F$1)</f>
        <v>502</v>
      </c>
      <c r="G145" s="118" t="str">
        <f>IF(_018_550[[#This Row],['#08已委外數量]]&gt;0,VLOOKUP(G$1,record[[ProcessSN]:[廠商]],12,FALSE),"尚未委外")</f>
        <v>泉盛</v>
      </c>
      <c r="H145" s="123">
        <f>_018_550[[#This Row],['#08已委外數量]]-_018_550[[#This Row],['#08回
良品]]-_018_550[[#This Row],['#08委外NG]]</f>
        <v>0</v>
      </c>
      <c r="I145" s="123">
        <f>SUMIFS(record[OK],record[製程料號],_018_550[[#This Row],[製令單號]],record[ProcessSN],I$1)</f>
        <v>491</v>
      </c>
      <c r="J145" s="117">
        <f>SUMIFS(record[NG],record[製程料號],_018_550[[#This Row],[製令單號]],record[ProcessSN],J$1)</f>
        <v>11</v>
      </c>
      <c r="K145" s="124">
        <f>IFERROR(_018_550[[#This Row],['#08委外NG]]/_018_550[[#This Row],['#08已委外數量]],"")</f>
        <v>2.1912350597609563E-2</v>
      </c>
      <c r="L145" s="123">
        <f>_018_550[[#This Row],['#08回
良品]]-_018_550[[#This Row],['#06檢驗OK]]-_018_550[[#This Row],['#06
QC NG]]</f>
        <v>0</v>
      </c>
      <c r="M145" s="123">
        <f>SUMIFS(record[OK],record[製程料號],_018_550[[#This Row],[製令單號]],record[ProcessSN],M$1)</f>
        <v>491</v>
      </c>
      <c r="N145" s="117">
        <f>SUMIFS(record[NG],record[製程料號],_018_550[[#This Row],[製令單號]],record[ProcessSN],N$1)</f>
        <v>0</v>
      </c>
      <c r="O145" s="123">
        <f>_018_550[[#This Row],['#06檢驗OK]]-_018_550[[#This Row],[不良品]]-_018_550[[#This Row],[良品]]</f>
        <v>0</v>
      </c>
      <c r="P145" s="123">
        <f>SUMIFS(record[OK],record[製程料號],_018_550[[#This Row],[製令單號]],record[ProcessSN],P$1)</f>
        <v>487</v>
      </c>
      <c r="Q145" s="117">
        <f>SUMIFS(record[NG],record[製程料號],_018_550[[#This Row],[製令單號]],record[ProcessSN],Q$1)</f>
        <v>4</v>
      </c>
      <c r="R145" s="123">
        <f>_018_550[[#This Row],[良品]]-_018_550[[#This Row],[良品放行]]-_018_550[[#This Row],[不良待處理]]</f>
        <v>0</v>
      </c>
      <c r="S145" s="123">
        <f>SUMIFS(record[OK],record[製程料號],_018_550[[#This Row],[製令單號]],record[ProcessSN],S$1)</f>
        <v>487</v>
      </c>
      <c r="T145" s="117">
        <f>SUMIFS(record[NG],record[製程料號],_018_550[[#This Row],[製令單號]],record[ProcessSN],T$1)</f>
        <v>0</v>
      </c>
      <c r="U145" s="123">
        <f>_018_550[[#This Row],[良品放行]]-_018_550[[#This Row],[入庫]]</f>
        <v>0</v>
      </c>
      <c r="V145" s="123">
        <f>SUMIFS(record[OK],record[製程料號],_018_550[[#This Row],[製令單號]],record[ProcessSN],V$1)</f>
        <v>487</v>
      </c>
      <c r="W145" s="123">
        <f>_018_550[[#This Row],[入庫]]-_018_550[[#This Row],[已出貨]]</f>
        <v>0</v>
      </c>
      <c r="X145" s="137"/>
      <c r="Y145" s="123">
        <f>SUMIFS(record[OK],record[製程料號],_018_550[[#This Row],[製令單號]],record[ProcessSN],Y$1)</f>
        <v>487</v>
      </c>
      <c r="Z145" s="125">
        <f>_018_550[[#This Row],[不良待處理]]+_018_550[[#This Row],[不良品]]+_018_550[[#This Row],['#06
QC NG]]+_018_550[[#This Row],['#08委外NG]]</f>
        <v>15</v>
      </c>
      <c r="AA14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0.97011952191235062</v>
      </c>
    </row>
    <row r="146" spans="1:27" ht="30.75" x14ac:dyDescent="0.25">
      <c r="A146" s="120">
        <v>46114</v>
      </c>
      <c r="B146" s="121" t="s">
        <v>1722</v>
      </c>
      <c r="C146" s="122" t="s">
        <v>500</v>
      </c>
      <c r="D146" s="118">
        <v>145</v>
      </c>
      <c r="E146" s="123">
        <f>_018_550[[#This Row],[入料數]]-_018_550[[#This Row],['#08已委外數量]]</f>
        <v>0</v>
      </c>
      <c r="F146" s="123">
        <f>SUMIFS(record[OK],record[製程料號],_018_550[[#This Row],[製令單號]],record[ProcessSN],F$1)</f>
        <v>145</v>
      </c>
      <c r="G146" s="118" t="str">
        <f>IF(_018_550[[#This Row],['#08已委外數量]]&gt;0,VLOOKUP(G$1,record[[ProcessSN]:[廠商]],12,FALSE),"尚未委外")</f>
        <v>泉盛</v>
      </c>
      <c r="H146" s="123">
        <f>_018_550[[#This Row],['#08已委外數量]]-_018_550[[#This Row],['#08回
良品]]-_018_550[[#This Row],['#08委外NG]]</f>
        <v>0</v>
      </c>
      <c r="I146" s="123">
        <f>SUMIFS(record[OK],record[製程料號],_018_550[[#This Row],[製令單號]],record[ProcessSN],I$1)</f>
        <v>143</v>
      </c>
      <c r="J146" s="117">
        <f>SUMIFS(record[NG],record[製程料號],_018_550[[#This Row],[製令單號]],record[ProcessSN],J$1)</f>
        <v>2</v>
      </c>
      <c r="K146" s="124">
        <f>IFERROR(_018_550[[#This Row],['#08委外NG]]/_018_550[[#This Row],['#08已委外數量]],"")</f>
        <v>1.3793103448275862E-2</v>
      </c>
      <c r="L146" s="123">
        <f>_018_550[[#This Row],['#08回
良品]]-_018_550[[#This Row],['#06檢驗OK]]-_018_550[[#This Row],['#06
QC NG]]</f>
        <v>0</v>
      </c>
      <c r="M146" s="123">
        <f>SUMIFS(record[OK],record[製程料號],_018_550[[#This Row],[製令單號]],record[ProcessSN],M$1)</f>
        <v>143</v>
      </c>
      <c r="N146" s="117">
        <f>SUMIFS(record[NG],record[製程料號],_018_550[[#This Row],[製令單號]],record[ProcessSN],N$1)</f>
        <v>0</v>
      </c>
      <c r="O146" s="123">
        <f>_018_550[[#This Row],['#06檢驗OK]]-_018_550[[#This Row],[不良品]]-_018_550[[#This Row],[良品]]</f>
        <v>0</v>
      </c>
      <c r="P146" s="123">
        <f>SUMIFS(record[OK],record[製程料號],_018_550[[#This Row],[製令單號]],record[ProcessSN],P$1)</f>
        <v>143</v>
      </c>
      <c r="Q146" s="117">
        <f>SUMIFS(record[NG],record[製程料號],_018_550[[#This Row],[製令單號]],record[ProcessSN],Q$1)</f>
        <v>0</v>
      </c>
      <c r="R146" s="123">
        <f>_018_550[[#This Row],[良品]]-_018_550[[#This Row],[良品放行]]-_018_550[[#This Row],[不良待處理]]</f>
        <v>0</v>
      </c>
      <c r="S146" s="123">
        <f>SUMIFS(record[OK],record[製程料號],_018_550[[#This Row],[製令單號]],record[ProcessSN],S$1)</f>
        <v>143</v>
      </c>
      <c r="T146" s="117">
        <f>SUMIFS(record[NG],record[製程料號],_018_550[[#This Row],[製令單號]],record[ProcessSN],T$1)</f>
        <v>0</v>
      </c>
      <c r="U146" s="123">
        <f>_018_550[[#This Row],[良品放行]]-_018_550[[#This Row],[入庫]]</f>
        <v>0</v>
      </c>
      <c r="V146" s="123">
        <f>SUMIFS(record[OK],record[製程料號],_018_550[[#This Row],[製令單號]],record[ProcessSN],V$1)</f>
        <v>143</v>
      </c>
      <c r="W146" s="123">
        <f>_018_550[[#This Row],[入庫]]-_018_550[[#This Row],[已出貨]]</f>
        <v>0</v>
      </c>
      <c r="X146" s="137"/>
      <c r="Y146" s="123">
        <f>SUMIFS(record[OK],record[製程料號],_018_550[[#This Row],[製令單號]],record[ProcessSN],Y$1)</f>
        <v>143</v>
      </c>
      <c r="Z146" s="125">
        <f>_018_550[[#This Row],[不良待處理]]+_018_550[[#This Row],[不良品]]+_018_550[[#This Row],['#06
QC NG]]+_018_550[[#This Row],['#08委外NG]]</f>
        <v>2</v>
      </c>
      <c r="AA14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0.98620689655172411</v>
      </c>
    </row>
    <row r="147" spans="1:27" ht="30.75" x14ac:dyDescent="0.25">
      <c r="A147" s="120">
        <v>46119</v>
      </c>
      <c r="B147" s="121" t="s">
        <v>1729</v>
      </c>
      <c r="C147" s="122" t="s">
        <v>500</v>
      </c>
      <c r="D147" s="118">
        <v>145</v>
      </c>
      <c r="E147" s="123">
        <f>_018_550[[#This Row],[入料數]]-_018_550[[#This Row],['#08已委外數量]]</f>
        <v>0</v>
      </c>
      <c r="F147" s="123">
        <f>SUMIFS(record[OK],record[製程料號],_018_550[[#This Row],[製令單號]],record[ProcessSN],F$1)</f>
        <v>145</v>
      </c>
      <c r="G147" s="118" t="str">
        <f>IF(_018_550[[#This Row],['#08已委外數量]]&gt;0,VLOOKUP(G$1,record[[ProcessSN]:[廠商]],12,FALSE),"尚未委外")</f>
        <v>泉盛</v>
      </c>
      <c r="H147" s="123">
        <f>_018_550[[#This Row],['#08已委外數量]]-_018_550[[#This Row],['#08回
良品]]-_018_550[[#This Row],['#08委外NG]]</f>
        <v>0</v>
      </c>
      <c r="I147" s="123">
        <f>SUMIFS(record[OK],record[製程料號],_018_550[[#This Row],[製令單號]],record[ProcessSN],I$1)</f>
        <v>145</v>
      </c>
      <c r="J147" s="117">
        <f>SUMIFS(record[NG],record[製程料號],_018_550[[#This Row],[製令單號]],record[ProcessSN],J$1)</f>
        <v>0</v>
      </c>
      <c r="K147" s="124">
        <f>IFERROR(_018_550[[#This Row],['#08委外NG]]/_018_550[[#This Row],['#08已委外數量]],"")</f>
        <v>0</v>
      </c>
      <c r="L147" s="123">
        <f>_018_550[[#This Row],['#08回
良品]]-_018_550[[#This Row],['#06檢驗OK]]-_018_550[[#This Row],['#06
QC NG]]</f>
        <v>0</v>
      </c>
      <c r="M147" s="123">
        <f>SUMIFS(record[OK],record[製程料號],_018_550[[#This Row],[製令單號]],record[ProcessSN],M$1)</f>
        <v>145</v>
      </c>
      <c r="N147" s="117">
        <f>SUMIFS(record[NG],record[製程料號],_018_550[[#This Row],[製令單號]],record[ProcessSN],N$1)</f>
        <v>0</v>
      </c>
      <c r="O147" s="123">
        <f>_018_550[[#This Row],['#06檢驗OK]]-_018_550[[#This Row],[不良品]]-_018_550[[#This Row],[良品]]</f>
        <v>0</v>
      </c>
      <c r="P147" s="123">
        <f>SUMIFS(record[OK],record[製程料號],_018_550[[#This Row],[製令單號]],record[ProcessSN],P$1)</f>
        <v>145</v>
      </c>
      <c r="Q147" s="117">
        <f>SUMIFS(record[NG],record[製程料號],_018_550[[#This Row],[製令單號]],record[ProcessSN],Q$1)</f>
        <v>0</v>
      </c>
      <c r="R147" s="123">
        <f>_018_550[[#This Row],[良品]]-_018_550[[#This Row],[良品放行]]-_018_550[[#This Row],[不良待處理]]</f>
        <v>0</v>
      </c>
      <c r="S147" s="123">
        <f>SUMIFS(record[OK],record[製程料號],_018_550[[#This Row],[製令單號]],record[ProcessSN],S$1)</f>
        <v>145</v>
      </c>
      <c r="T147" s="117">
        <f>SUMIFS(record[NG],record[製程料號],_018_550[[#This Row],[製令單號]],record[ProcessSN],T$1)</f>
        <v>0</v>
      </c>
      <c r="U147" s="123">
        <f>_018_550[[#This Row],[良品放行]]-_018_550[[#This Row],[入庫]]</f>
        <v>0</v>
      </c>
      <c r="V147" s="123">
        <f>SUMIFS(record[OK],record[製程料號],_018_550[[#This Row],[製令單號]],record[ProcessSN],V$1)</f>
        <v>145</v>
      </c>
      <c r="W147" s="123">
        <f>_018_550[[#This Row],[入庫]]-_018_550[[#This Row],[已出貨]]</f>
        <v>0</v>
      </c>
      <c r="X147" s="137"/>
      <c r="Y147" s="123">
        <f>SUMIFS(record[OK],record[製程料號],_018_550[[#This Row],[製令單號]],record[ProcessSN],Y$1)</f>
        <v>145</v>
      </c>
      <c r="Z147" s="125">
        <f>_018_550[[#This Row],[不良待處理]]+_018_550[[#This Row],[不良品]]+_018_550[[#This Row],['#06
QC NG]]+_018_550[[#This Row],['#08委外NG]]</f>
        <v>0</v>
      </c>
      <c r="AA14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148" spans="1:27" ht="30.75" x14ac:dyDescent="0.25">
      <c r="A148" s="120">
        <v>46119</v>
      </c>
      <c r="B148" s="121" t="s">
        <v>1762</v>
      </c>
      <c r="C148" s="122" t="s">
        <v>500</v>
      </c>
      <c r="D148" s="118">
        <v>159</v>
      </c>
      <c r="E148" s="123">
        <f>_018_550[[#This Row],[入料數]]-_018_550[[#This Row],['#08已委外數量]]</f>
        <v>0</v>
      </c>
      <c r="F148" s="123">
        <f>SUMIFS(record[OK],record[製程料號],_018_550[[#This Row],[製令單號]],record[ProcessSN],F$1)</f>
        <v>159</v>
      </c>
      <c r="G148" s="118" t="str">
        <f>IF(_018_550[[#This Row],['#08已委外數量]]&gt;0,VLOOKUP(G$1,record[[ProcessSN]:[廠商]],12,FALSE),"尚未委外")</f>
        <v>泉盛</v>
      </c>
      <c r="H148" s="123">
        <f>_018_550[[#This Row],['#08已委外數量]]-_018_550[[#This Row],['#08回
良品]]-_018_550[[#This Row],['#08委外NG]]</f>
        <v>0</v>
      </c>
      <c r="I148" s="123">
        <f>SUMIFS(record[OK],record[製程料號],_018_550[[#This Row],[製令單號]],record[ProcessSN],I$1)</f>
        <v>159</v>
      </c>
      <c r="J148" s="117">
        <f>SUMIFS(record[NG],record[製程料號],_018_550[[#This Row],[製令單號]],record[ProcessSN],J$1)</f>
        <v>0</v>
      </c>
      <c r="K148" s="124">
        <f>IFERROR(_018_550[[#This Row],['#08委外NG]]/_018_550[[#This Row],['#08已委外數量]],"")</f>
        <v>0</v>
      </c>
      <c r="L148" s="123">
        <f>_018_550[[#This Row],['#08回
良品]]-_018_550[[#This Row],['#06檢驗OK]]-_018_550[[#This Row],['#06
QC NG]]</f>
        <v>0</v>
      </c>
      <c r="M148" s="123">
        <f>SUMIFS(record[OK],record[製程料號],_018_550[[#This Row],[製令單號]],record[ProcessSN],M$1)</f>
        <v>159</v>
      </c>
      <c r="N148" s="117">
        <f>SUMIFS(record[NG],record[製程料號],_018_550[[#This Row],[製令單號]],record[ProcessSN],N$1)</f>
        <v>0</v>
      </c>
      <c r="O148" s="123">
        <f>_018_550[[#This Row],['#06檢驗OK]]-_018_550[[#This Row],[不良品]]-_018_550[[#This Row],[良品]]</f>
        <v>0</v>
      </c>
      <c r="P148" s="123">
        <f>SUMIFS(record[OK],record[製程料號],_018_550[[#This Row],[製令單號]],record[ProcessSN],P$1)</f>
        <v>159</v>
      </c>
      <c r="Q148" s="117">
        <f>SUMIFS(record[NG],record[製程料號],_018_550[[#This Row],[製令單號]],record[ProcessSN],Q$1)</f>
        <v>0</v>
      </c>
      <c r="R148" s="123">
        <f>_018_550[[#This Row],[良品]]-_018_550[[#This Row],[良品放行]]-_018_550[[#This Row],[不良待處理]]</f>
        <v>0</v>
      </c>
      <c r="S148" s="123">
        <f>SUMIFS(record[OK],record[製程料號],_018_550[[#This Row],[製令單號]],record[ProcessSN],S$1)</f>
        <v>159</v>
      </c>
      <c r="T148" s="117">
        <f>SUMIFS(record[NG],record[製程料號],_018_550[[#This Row],[製令單號]],record[ProcessSN],T$1)</f>
        <v>0</v>
      </c>
      <c r="U148" s="123">
        <f>_018_550[[#This Row],[良品放行]]-_018_550[[#This Row],[入庫]]</f>
        <v>0</v>
      </c>
      <c r="V148" s="123">
        <f>SUMIFS(record[OK],record[製程料號],_018_550[[#This Row],[製令單號]],record[ProcessSN],V$1)</f>
        <v>159</v>
      </c>
      <c r="W148" s="123">
        <f>_018_550[[#This Row],[入庫]]-_018_550[[#This Row],[已出貨]]</f>
        <v>0</v>
      </c>
      <c r="X148" s="137"/>
      <c r="Y148" s="123">
        <f>SUMIFS(record[OK],record[製程料號],_018_550[[#This Row],[製令單號]],record[ProcessSN],Y$1)</f>
        <v>159</v>
      </c>
      <c r="Z148" s="125">
        <f>_018_550[[#This Row],[不良待處理]]+_018_550[[#This Row],[不良品]]+_018_550[[#This Row],['#06
QC NG]]+_018_550[[#This Row],['#08委外NG]]</f>
        <v>0</v>
      </c>
      <c r="AA14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1</v>
      </c>
    </row>
    <row r="149" spans="1:27" ht="30.75" x14ac:dyDescent="0.25">
      <c r="A149" s="120">
        <v>46120</v>
      </c>
      <c r="B149" s="121" t="s">
        <v>1773</v>
      </c>
      <c r="C149" s="122" t="s">
        <v>500</v>
      </c>
      <c r="D149" s="118">
        <v>128</v>
      </c>
      <c r="E149" s="123">
        <f>_018_550[[#This Row],[入料數]]-_018_550[[#This Row],['#08已委外數量]]</f>
        <v>0</v>
      </c>
      <c r="F149" s="123">
        <f>SUMIFS(record[OK],record[製程料號],_018_550[[#This Row],[製令單號]],record[ProcessSN],F$1)</f>
        <v>128</v>
      </c>
      <c r="G149" s="118" t="str">
        <f>IF(_018_550[[#This Row],['#08已委外數量]]&gt;0,VLOOKUP(G$1,record[[ProcessSN]:[廠商]],12,FALSE),"尚未委外")</f>
        <v>泉盛</v>
      </c>
      <c r="H149" s="123">
        <f>_018_550[[#This Row],['#08已委外數量]]-_018_550[[#This Row],['#08回
良品]]-_018_550[[#This Row],['#08委外NG]]</f>
        <v>0</v>
      </c>
      <c r="I149" s="123">
        <f>SUMIFS(record[OK],record[製程料號],_018_550[[#This Row],[製令單號]],record[ProcessSN],I$1)</f>
        <v>127</v>
      </c>
      <c r="J149" s="117">
        <f>SUMIFS(record[NG],record[製程料號],_018_550[[#This Row],[製令單號]],record[ProcessSN],J$1)</f>
        <v>1</v>
      </c>
      <c r="K149" s="124">
        <f>IFERROR(_018_550[[#This Row],['#08委外NG]]/_018_550[[#This Row],['#08已委外數量]],"")</f>
        <v>7.8125E-3</v>
      </c>
      <c r="L149" s="123">
        <f>_018_550[[#This Row],['#08回
良品]]-_018_550[[#This Row],['#06檢驗OK]]-_018_550[[#This Row],['#06
QC NG]]</f>
        <v>0</v>
      </c>
      <c r="M149" s="123">
        <f>SUMIFS(record[OK],record[製程料號],_018_550[[#This Row],[製令單號]],record[ProcessSN],M$1)</f>
        <v>127</v>
      </c>
      <c r="N149" s="117">
        <f>SUMIFS(record[NG],record[製程料號],_018_550[[#This Row],[製令單號]],record[ProcessSN],N$1)</f>
        <v>0</v>
      </c>
      <c r="O149" s="123">
        <f>_018_550[[#This Row],['#06檢驗OK]]-_018_550[[#This Row],[不良品]]-_018_550[[#This Row],[良品]]</f>
        <v>0</v>
      </c>
      <c r="P149" s="123">
        <f>SUMIFS(record[OK],record[製程料號],_018_550[[#This Row],[製令單號]],record[ProcessSN],P$1)</f>
        <v>127</v>
      </c>
      <c r="Q149" s="117">
        <f>SUMIFS(record[NG],record[製程料號],_018_550[[#This Row],[製令單號]],record[ProcessSN],Q$1)</f>
        <v>0</v>
      </c>
      <c r="R149" s="123">
        <f>_018_550[[#This Row],[良品]]-_018_550[[#This Row],[良品放行]]-_018_550[[#This Row],[不良待處理]]</f>
        <v>0</v>
      </c>
      <c r="S149" s="123">
        <f>SUMIFS(record[OK],record[製程料號],_018_550[[#This Row],[製令單號]],record[ProcessSN],S$1)</f>
        <v>127</v>
      </c>
      <c r="T149" s="117">
        <f>SUMIFS(record[NG],record[製程料號],_018_550[[#This Row],[製令單號]],record[ProcessSN],T$1)</f>
        <v>0</v>
      </c>
      <c r="U149" s="123">
        <f>_018_550[[#This Row],[良品放行]]-_018_550[[#This Row],[入庫]]</f>
        <v>0</v>
      </c>
      <c r="V149" s="123">
        <f>SUMIFS(record[OK],record[製程料號],_018_550[[#This Row],[製令單號]],record[ProcessSN],V$1)</f>
        <v>127</v>
      </c>
      <c r="W149" s="123">
        <f>_018_550[[#This Row],[入庫]]-_018_550[[#This Row],[已出貨]]</f>
        <v>0</v>
      </c>
      <c r="X149" s="137"/>
      <c r="Y149" s="123">
        <f>SUMIFS(record[OK],record[製程料號],_018_550[[#This Row],[製令單號]],record[ProcessSN],Y$1)</f>
        <v>127</v>
      </c>
      <c r="Z149" s="125">
        <f>_018_550[[#This Row],[不良待處理]]+_018_550[[#This Row],[不良品]]+_018_550[[#This Row],['#06
QC NG]]+_018_550[[#This Row],['#08委外NG]]</f>
        <v>1</v>
      </c>
      <c r="AA149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0.9921875</v>
      </c>
    </row>
    <row r="150" spans="1:27" ht="30.75" x14ac:dyDescent="0.25">
      <c r="A150" s="120">
        <v>46121</v>
      </c>
      <c r="B150" s="121" t="s">
        <v>1784</v>
      </c>
      <c r="C150" s="122" t="s">
        <v>500</v>
      </c>
      <c r="D150" s="118">
        <v>630</v>
      </c>
      <c r="E150" s="123">
        <f>_018_550[[#This Row],[入料數]]-_018_550[[#This Row],['#08已委外數量]]</f>
        <v>0</v>
      </c>
      <c r="F150" s="123">
        <f>SUMIFS(record[OK],record[製程料號],_018_550[[#This Row],[製令單號]],record[ProcessSN],F$1)</f>
        <v>630</v>
      </c>
      <c r="G150" s="118" t="str">
        <f>IF(_018_550[[#This Row],['#08已委外數量]]&gt;0,VLOOKUP(G$1,record[[ProcessSN]:[廠商]],12,FALSE),"尚未委外")</f>
        <v>泉盛</v>
      </c>
      <c r="H150" s="123">
        <f>_018_550[[#This Row],['#08已委外數量]]-_018_550[[#This Row],['#08回
良品]]-_018_550[[#This Row],['#08委外NG]]</f>
        <v>0</v>
      </c>
      <c r="I150" s="123">
        <f>SUMIFS(record[OK],record[製程料號],_018_550[[#This Row],[製令單號]],record[ProcessSN],I$1)</f>
        <v>630</v>
      </c>
      <c r="J150" s="117">
        <f>SUMIFS(record[NG],record[製程料號],_018_550[[#This Row],[製令單號]],record[ProcessSN],J$1)</f>
        <v>0</v>
      </c>
      <c r="K150" s="124">
        <f>IFERROR(_018_550[[#This Row],['#08委外NG]]/_018_550[[#This Row],['#08已委外數量]],"")</f>
        <v>0</v>
      </c>
      <c r="L150" s="123">
        <f>_018_550[[#This Row],['#08回
良品]]-_018_550[[#This Row],['#06檢驗OK]]-_018_550[[#This Row],['#06
QC NG]]</f>
        <v>0</v>
      </c>
      <c r="M150" s="123">
        <f>SUMIFS(record[OK],record[製程料號],_018_550[[#This Row],[製令單號]],record[ProcessSN],M$1)</f>
        <v>630</v>
      </c>
      <c r="N150" s="117">
        <f>SUMIFS(record[NG],record[製程料號],_018_550[[#This Row],[製令單號]],record[ProcessSN],N$1)</f>
        <v>0</v>
      </c>
      <c r="O150" s="123">
        <f>_018_550[[#This Row],['#06檢驗OK]]-_018_550[[#This Row],[不良品]]-_018_550[[#This Row],[良品]]</f>
        <v>0</v>
      </c>
      <c r="P150" s="123">
        <f>SUMIFS(record[OK],record[製程料號],_018_550[[#This Row],[製令單號]],record[ProcessSN],P$1)</f>
        <v>550</v>
      </c>
      <c r="Q150" s="117">
        <f>SUMIFS(record[NG],record[製程料號],_018_550[[#This Row],[製令單號]],record[ProcessSN],Q$1)</f>
        <v>80</v>
      </c>
      <c r="R150" s="123">
        <f>_018_550[[#This Row],[良品]]-_018_550[[#This Row],[良品放行]]-_018_550[[#This Row],[不良待處理]]</f>
        <v>0</v>
      </c>
      <c r="S150" s="123">
        <f>SUMIFS(record[OK],record[製程料號],_018_550[[#This Row],[製令單號]],record[ProcessSN],S$1)</f>
        <v>550</v>
      </c>
      <c r="T150" s="117">
        <f>SUMIFS(record[NG],record[製程料號],_018_550[[#This Row],[製令單號]],record[ProcessSN],T$1)</f>
        <v>0</v>
      </c>
      <c r="U150" s="123">
        <f>_018_550[[#This Row],[良品放行]]-_018_550[[#This Row],[入庫]]</f>
        <v>0</v>
      </c>
      <c r="V150" s="123">
        <f>SUMIFS(record[OK],record[製程料號],_018_550[[#This Row],[製令單號]],record[ProcessSN],V$1)</f>
        <v>550</v>
      </c>
      <c r="W150" s="123">
        <f>_018_550[[#This Row],[入庫]]-_018_550[[#This Row],[已出貨]]</f>
        <v>0</v>
      </c>
      <c r="X150" s="137"/>
      <c r="Y150" s="123">
        <f>SUMIFS(record[OK],record[製程料號],_018_550[[#This Row],[製令單號]],record[ProcessSN],Y$1)</f>
        <v>550</v>
      </c>
      <c r="Z150" s="125">
        <f>_018_550[[#This Row],[不良待處理]]+_018_550[[#This Row],[不良品]]+_018_550[[#This Row],['#06
QC NG]]+_018_550[[#This Row],['#08委外NG]]</f>
        <v>80</v>
      </c>
      <c r="AA150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0.87301587301587302</v>
      </c>
    </row>
    <row r="151" spans="1:27" ht="30.75" x14ac:dyDescent="0.25">
      <c r="A151" s="120">
        <v>46122</v>
      </c>
      <c r="B151" s="121" t="s">
        <v>1788</v>
      </c>
      <c r="C151" s="122" t="s">
        <v>500</v>
      </c>
      <c r="D151" s="118">
        <v>504</v>
      </c>
      <c r="E151" s="123">
        <f>_018_550[[#This Row],[入料數]]-_018_550[[#This Row],['#08已委外數量]]</f>
        <v>0</v>
      </c>
      <c r="F151" s="123">
        <f>SUMIFS(record[OK],record[製程料號],_018_550[[#This Row],[製令單號]],record[ProcessSN],F$1)</f>
        <v>504</v>
      </c>
      <c r="G151" s="118" t="str">
        <f>IF(_018_550[[#This Row],['#08已委外數量]]&gt;0,VLOOKUP(G$1,record[[ProcessSN]:[廠商]],12,FALSE),"尚未委外")</f>
        <v>泉盛</v>
      </c>
      <c r="H151" s="123">
        <f>_018_550[[#This Row],['#08已委外數量]]-_018_550[[#This Row],['#08回
良品]]-_018_550[[#This Row],['#08委外NG]]</f>
        <v>0</v>
      </c>
      <c r="I151" s="123">
        <f>SUMIFS(record[OK],record[製程料號],_018_550[[#This Row],[製令單號]],record[ProcessSN],I$1)</f>
        <v>477</v>
      </c>
      <c r="J151" s="117">
        <f>SUMIFS(record[NG],record[製程料號],_018_550[[#This Row],[製令單號]],record[ProcessSN],J$1)</f>
        <v>27</v>
      </c>
      <c r="K151" s="124">
        <f>IFERROR(_018_550[[#This Row],['#08委外NG]]/_018_550[[#This Row],['#08已委外數量]],"")</f>
        <v>5.3571428571428568E-2</v>
      </c>
      <c r="L151" s="123">
        <f>_018_550[[#This Row],['#08回
良品]]-_018_550[[#This Row],['#06檢驗OK]]-_018_550[[#This Row],['#06
QC NG]]</f>
        <v>0</v>
      </c>
      <c r="M151" s="123">
        <f>SUMIFS(record[OK],record[製程料號],_018_550[[#This Row],[製令單號]],record[ProcessSN],M$1)</f>
        <v>477</v>
      </c>
      <c r="N151" s="117">
        <f>SUMIFS(record[NG],record[製程料號],_018_550[[#This Row],[製令單號]],record[ProcessSN],N$1)</f>
        <v>0</v>
      </c>
      <c r="O151" s="123">
        <f>_018_550[[#This Row],['#06檢驗OK]]-_018_550[[#This Row],[不良品]]-_018_550[[#This Row],[良品]]</f>
        <v>0</v>
      </c>
      <c r="P151" s="123">
        <f>SUMIFS(record[OK],record[製程料號],_018_550[[#This Row],[製令單號]],record[ProcessSN],P$1)</f>
        <v>477</v>
      </c>
      <c r="Q151" s="117">
        <f>SUMIFS(record[NG],record[製程料號],_018_550[[#This Row],[製令單號]],record[ProcessSN],Q$1)</f>
        <v>0</v>
      </c>
      <c r="R151" s="123">
        <f>_018_550[[#This Row],[良品]]-_018_550[[#This Row],[良品放行]]-_018_550[[#This Row],[不良待處理]]</f>
        <v>0</v>
      </c>
      <c r="S151" s="123">
        <f>SUMIFS(record[OK],record[製程料號],_018_550[[#This Row],[製令單號]],record[ProcessSN],S$1)</f>
        <v>477</v>
      </c>
      <c r="T151" s="117">
        <f>SUMIFS(record[NG],record[製程料號],_018_550[[#This Row],[製令單號]],record[ProcessSN],T$1)</f>
        <v>0</v>
      </c>
      <c r="U151" s="123">
        <f>_018_550[[#This Row],[良品放行]]-_018_550[[#This Row],[入庫]]</f>
        <v>0</v>
      </c>
      <c r="V151" s="123">
        <f>SUMIFS(record[OK],record[製程料號],_018_550[[#This Row],[製令單號]],record[ProcessSN],V$1)</f>
        <v>477</v>
      </c>
      <c r="W151" s="123">
        <f>_018_550[[#This Row],[入庫]]-_018_550[[#This Row],[已出貨]]</f>
        <v>0</v>
      </c>
      <c r="X151" s="137"/>
      <c r="Y151" s="123">
        <f>SUMIFS(record[OK],record[製程料號],_018_550[[#This Row],[製令單號]],record[ProcessSN],Y$1)</f>
        <v>477</v>
      </c>
      <c r="Z151" s="125">
        <f>_018_550[[#This Row],[不良待處理]]+_018_550[[#This Row],[不良品]]+_018_550[[#This Row],['#06
QC NG]]+_018_550[[#This Row],['#08委外NG]]</f>
        <v>27</v>
      </c>
      <c r="AA15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0.9464285714285714</v>
      </c>
    </row>
    <row r="152" spans="1:27" ht="30.75" x14ac:dyDescent="0.25">
      <c r="A152" s="120">
        <v>46126</v>
      </c>
      <c r="B152" s="121" t="s">
        <v>1799</v>
      </c>
      <c r="C152" s="122" t="s">
        <v>500</v>
      </c>
      <c r="D152" s="118">
        <v>624</v>
      </c>
      <c r="E152" s="123">
        <f>_018_550[[#This Row],[入料數]]-_018_550[[#This Row],['#08已委外數量]]</f>
        <v>0</v>
      </c>
      <c r="F152" s="123">
        <f>SUMIFS(record[OK],record[製程料號],_018_550[[#This Row],[製令單號]],record[ProcessSN],F$1)</f>
        <v>624</v>
      </c>
      <c r="G152" s="118" t="str">
        <f>IF(_018_550[[#This Row],['#08已委外數量]]&gt;0,VLOOKUP(G$1,record[[ProcessSN]:[廠商]],12,FALSE),"尚未委外")</f>
        <v>泉盛</v>
      </c>
      <c r="H152" s="123">
        <f>_018_550[[#This Row],['#08已委外數量]]-_018_550[[#This Row],['#08回
良品]]-_018_550[[#This Row],['#08委外NG]]</f>
        <v>0</v>
      </c>
      <c r="I152" s="123">
        <f>SUMIFS(record[OK],record[製程料號],_018_550[[#This Row],[製令單號]],record[ProcessSN],I$1)</f>
        <v>624</v>
      </c>
      <c r="J152" s="117">
        <f>SUMIFS(record[NG],record[製程料號],_018_550[[#This Row],[製令單號]],record[ProcessSN],J$1)</f>
        <v>0</v>
      </c>
      <c r="K152" s="124">
        <f>IFERROR(_018_550[[#This Row],['#08委外NG]]/_018_550[[#This Row],['#08已委外數量]],"")</f>
        <v>0</v>
      </c>
      <c r="L152" s="123">
        <f>_018_550[[#This Row],['#08回
良品]]-_018_550[[#This Row],['#06檢驗OK]]-_018_550[[#This Row],['#06
QC NG]]</f>
        <v>0</v>
      </c>
      <c r="M152" s="123">
        <f>SUMIFS(record[OK],record[製程料號],_018_550[[#This Row],[製令單號]],record[ProcessSN],M$1)</f>
        <v>624</v>
      </c>
      <c r="N152" s="117">
        <f>SUMIFS(record[NG],record[製程料號],_018_550[[#This Row],[製令單號]],record[ProcessSN],N$1)</f>
        <v>0</v>
      </c>
      <c r="O152" s="123">
        <f>_018_550[[#This Row],['#06檢驗OK]]-_018_550[[#This Row],[不良品]]-_018_550[[#This Row],[良品]]</f>
        <v>0</v>
      </c>
      <c r="P152" s="123">
        <f>SUMIFS(record[OK],record[製程料號],_018_550[[#This Row],[製令單號]],record[ProcessSN],P$1)</f>
        <v>590</v>
      </c>
      <c r="Q152" s="117">
        <f>SUMIFS(record[NG],record[製程料號],_018_550[[#This Row],[製令單號]],record[ProcessSN],Q$1)</f>
        <v>34</v>
      </c>
      <c r="R152" s="123">
        <f>_018_550[[#This Row],[良品]]-_018_550[[#This Row],[良品放行]]-_018_550[[#This Row],[不良待處理]]</f>
        <v>0</v>
      </c>
      <c r="S152" s="123">
        <f>SUMIFS(record[OK],record[製程料號],_018_550[[#This Row],[製令單號]],record[ProcessSN],S$1)</f>
        <v>590</v>
      </c>
      <c r="T152" s="117">
        <f>SUMIFS(record[NG],record[製程料號],_018_550[[#This Row],[製令單號]],record[ProcessSN],T$1)</f>
        <v>0</v>
      </c>
      <c r="U152" s="123">
        <f>_018_550[[#This Row],[良品放行]]-_018_550[[#This Row],[入庫]]</f>
        <v>0</v>
      </c>
      <c r="V152" s="123">
        <f>SUMIFS(record[OK],record[製程料號],_018_550[[#This Row],[製令單號]],record[ProcessSN],V$1)</f>
        <v>590</v>
      </c>
      <c r="W152" s="123">
        <f>_018_550[[#This Row],[入庫]]-_018_550[[#This Row],[已出貨]]</f>
        <v>0</v>
      </c>
      <c r="X152" s="137"/>
      <c r="Y152" s="123">
        <f>SUMIFS(record[OK],record[製程料號],_018_550[[#This Row],[製令單號]],record[ProcessSN],Y$1)</f>
        <v>590</v>
      </c>
      <c r="Z152" s="125">
        <f>_018_550[[#This Row],[不良待處理]]+_018_550[[#This Row],[不良品]]+_018_550[[#This Row],['#06
QC NG]]+_018_550[[#This Row],['#08委外NG]]</f>
        <v>34</v>
      </c>
      <c r="AA15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0.94551282051282048</v>
      </c>
    </row>
    <row r="153" spans="1:27" ht="30.75" x14ac:dyDescent="0.25">
      <c r="A153" s="120">
        <v>46127</v>
      </c>
      <c r="B153" s="121" t="s">
        <v>1812</v>
      </c>
      <c r="C153" s="122" t="s">
        <v>500</v>
      </c>
      <c r="D153" s="118">
        <v>521</v>
      </c>
      <c r="E153" s="123">
        <f>_018_550[[#This Row],[入料數]]-_018_550[[#This Row],['#08已委外數量]]</f>
        <v>0</v>
      </c>
      <c r="F153" s="123">
        <f>SUMIFS(record[OK],record[製程料號],_018_550[[#This Row],[製令單號]],record[ProcessSN],F$1)</f>
        <v>521</v>
      </c>
      <c r="G153" s="118" t="str">
        <f>IF(_018_550[[#This Row],['#08已委外數量]]&gt;0,VLOOKUP(G$1,record[[ProcessSN]:[廠商]],12,FALSE),"尚未委外")</f>
        <v>泉盛</v>
      </c>
      <c r="H153" s="123">
        <f>_018_550[[#This Row],['#08已委外數量]]-_018_550[[#This Row],['#08回
良品]]-_018_550[[#This Row],['#08委外NG]]</f>
        <v>0</v>
      </c>
      <c r="I153" s="123">
        <f>SUMIFS(record[OK],record[製程料號],_018_550[[#This Row],[製令單號]],record[ProcessSN],I$1)</f>
        <v>520</v>
      </c>
      <c r="J153" s="117">
        <f>SUMIFS(record[NG],record[製程料號],_018_550[[#This Row],[製令單號]],record[ProcessSN],J$1)</f>
        <v>1</v>
      </c>
      <c r="K153" s="124">
        <f>IFERROR(_018_550[[#This Row],['#08委外NG]]/_018_550[[#This Row],['#08已委外數量]],"")</f>
        <v>1.9193857965451055E-3</v>
      </c>
      <c r="L153" s="123">
        <f>_018_550[[#This Row],['#08回
良品]]-_018_550[[#This Row],['#06檢驗OK]]-_018_550[[#This Row],['#06
QC NG]]</f>
        <v>0</v>
      </c>
      <c r="M153" s="123">
        <f>SUMIFS(record[OK],record[製程料號],_018_550[[#This Row],[製令單號]],record[ProcessSN],M$1)</f>
        <v>520</v>
      </c>
      <c r="N153" s="117">
        <f>SUMIFS(record[NG],record[製程料號],_018_550[[#This Row],[製令單號]],record[ProcessSN],N$1)</f>
        <v>0</v>
      </c>
      <c r="O153" s="123">
        <f>_018_550[[#This Row],['#06檢驗OK]]-_018_550[[#This Row],[不良品]]-_018_550[[#This Row],[良品]]</f>
        <v>0</v>
      </c>
      <c r="P153" s="123">
        <f>SUMIFS(record[OK],record[製程料號],_018_550[[#This Row],[製令單號]],record[ProcessSN],P$1)</f>
        <v>504</v>
      </c>
      <c r="Q153" s="117">
        <f>SUMIFS(record[NG],record[製程料號],_018_550[[#This Row],[製令單號]],record[ProcessSN],Q$1)</f>
        <v>16</v>
      </c>
      <c r="R153" s="123">
        <f>_018_550[[#This Row],[良品]]-_018_550[[#This Row],[良品放行]]-_018_550[[#This Row],[不良待處理]]</f>
        <v>0</v>
      </c>
      <c r="S153" s="123">
        <f>SUMIFS(record[OK],record[製程料號],_018_550[[#This Row],[製令單號]],record[ProcessSN],S$1)</f>
        <v>504</v>
      </c>
      <c r="T153" s="117">
        <f>SUMIFS(record[NG],record[製程料號],_018_550[[#This Row],[製令單號]],record[ProcessSN],T$1)</f>
        <v>0</v>
      </c>
      <c r="U153" s="123">
        <f>_018_550[[#This Row],[良品放行]]-_018_550[[#This Row],[入庫]]</f>
        <v>0</v>
      </c>
      <c r="V153" s="123">
        <f>SUMIFS(record[OK],record[製程料號],_018_550[[#This Row],[製令單號]],record[ProcessSN],V$1)</f>
        <v>504</v>
      </c>
      <c r="W153" s="123">
        <f>_018_550[[#This Row],[入庫]]-_018_550[[#This Row],[已出貨]]</f>
        <v>0</v>
      </c>
      <c r="X153" s="137"/>
      <c r="Y153" s="123">
        <f>SUMIFS(record[OK],record[製程料號],_018_550[[#This Row],[製令單號]],record[ProcessSN],Y$1)</f>
        <v>504</v>
      </c>
      <c r="Z153" s="125">
        <f>_018_550[[#This Row],[不良待處理]]+_018_550[[#This Row],[不良品]]+_018_550[[#This Row],['#06
QC NG]]+_018_550[[#This Row],['#08委外NG]]</f>
        <v>17</v>
      </c>
      <c r="AA153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0.96737044145873319</v>
      </c>
    </row>
    <row r="154" spans="1:27" ht="30.75" x14ac:dyDescent="0.25">
      <c r="A154" s="120">
        <v>46128</v>
      </c>
      <c r="B154" s="121" t="s">
        <v>1816</v>
      </c>
      <c r="C154" s="122" t="s">
        <v>500</v>
      </c>
      <c r="D154" s="118">
        <v>504</v>
      </c>
      <c r="E154" s="123">
        <f>_018_550[[#This Row],[入料數]]-_018_550[[#This Row],['#08已委外數量]]</f>
        <v>0</v>
      </c>
      <c r="F154" s="123">
        <f>SUMIFS(record[OK],record[製程料號],_018_550[[#This Row],[製令單號]],record[ProcessSN],F$1)</f>
        <v>504</v>
      </c>
      <c r="G154" s="118" t="str">
        <f>IF(_018_550[[#This Row],['#08已委外數量]]&gt;0,VLOOKUP(G$1,record[[ProcessSN]:[廠商]],12,FALSE),"尚未委外")</f>
        <v>泉盛</v>
      </c>
      <c r="H154" s="123">
        <f>_018_550[[#This Row],['#08已委外數量]]-_018_550[[#This Row],['#08回
良品]]-_018_550[[#This Row],['#08委外NG]]</f>
        <v>0</v>
      </c>
      <c r="I154" s="123">
        <f>SUMIFS(record[OK],record[製程料號],_018_550[[#This Row],[製令單號]],record[ProcessSN],I$1)</f>
        <v>503</v>
      </c>
      <c r="J154" s="117">
        <f>SUMIFS(record[NG],record[製程料號],_018_550[[#This Row],[製令單號]],record[ProcessSN],J$1)</f>
        <v>1</v>
      </c>
      <c r="K154" s="124">
        <f>IFERROR(_018_550[[#This Row],['#08委外NG]]/_018_550[[#This Row],['#08已委外數量]],"")</f>
        <v>1.984126984126984E-3</v>
      </c>
      <c r="L154" s="123">
        <f>_018_550[[#This Row],['#08回
良品]]-_018_550[[#This Row],['#06檢驗OK]]-_018_550[[#This Row],['#06
QC NG]]</f>
        <v>0</v>
      </c>
      <c r="M154" s="123">
        <f>SUMIFS(record[OK],record[製程料號],_018_550[[#This Row],[製令單號]],record[ProcessSN],M$1)</f>
        <v>503</v>
      </c>
      <c r="N154" s="117">
        <f>SUMIFS(record[NG],record[製程料號],_018_550[[#This Row],[製令單號]],record[ProcessSN],N$1)</f>
        <v>0</v>
      </c>
      <c r="O154" s="123">
        <f>_018_550[[#This Row],['#06檢驗OK]]-_018_550[[#This Row],[不良品]]-_018_550[[#This Row],[良品]]</f>
        <v>0</v>
      </c>
      <c r="P154" s="123">
        <f>SUMIFS(record[OK],record[製程料號],_018_550[[#This Row],[製令單號]],record[ProcessSN],P$1)</f>
        <v>493</v>
      </c>
      <c r="Q154" s="117">
        <f>SUMIFS(record[NG],record[製程料號],_018_550[[#This Row],[製令單號]],record[ProcessSN],Q$1)</f>
        <v>10</v>
      </c>
      <c r="R154" s="123">
        <f>_018_550[[#This Row],[良品]]-_018_550[[#This Row],[良品放行]]-_018_550[[#This Row],[不良待處理]]</f>
        <v>0</v>
      </c>
      <c r="S154" s="123">
        <f>SUMIFS(record[OK],record[製程料號],_018_550[[#This Row],[製令單號]],record[ProcessSN],S$1)</f>
        <v>493</v>
      </c>
      <c r="T154" s="117">
        <f>SUMIFS(record[NG],record[製程料號],_018_550[[#This Row],[製令單號]],record[ProcessSN],T$1)</f>
        <v>0</v>
      </c>
      <c r="U154" s="123">
        <f>_018_550[[#This Row],[良品放行]]-_018_550[[#This Row],[入庫]]</f>
        <v>0</v>
      </c>
      <c r="V154" s="123">
        <f>SUMIFS(record[OK],record[製程料號],_018_550[[#This Row],[製令單號]],record[ProcessSN],V$1)</f>
        <v>493</v>
      </c>
      <c r="W154" s="123">
        <f>_018_550[[#This Row],[入庫]]-_018_550[[#This Row],[已出貨]]</f>
        <v>0</v>
      </c>
      <c r="X154" s="137"/>
      <c r="Y154" s="123">
        <f>SUMIFS(record[OK],record[製程料號],_018_550[[#This Row],[製令單號]],record[ProcessSN],Y$1)</f>
        <v>493</v>
      </c>
      <c r="Z154" s="125">
        <f>_018_550[[#This Row],[不良待處理]]+_018_550[[#This Row],[不良品]]+_018_550[[#This Row],['#06
QC NG]]+_018_550[[#This Row],['#08委外NG]]</f>
        <v>11</v>
      </c>
      <c r="AA154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0.97817460317460314</v>
      </c>
    </row>
    <row r="155" spans="1:27" ht="30.75" x14ac:dyDescent="0.25">
      <c r="A155" s="120">
        <v>46129</v>
      </c>
      <c r="B155" s="121" t="s">
        <v>1830</v>
      </c>
      <c r="C155" s="122" t="s">
        <v>500</v>
      </c>
      <c r="D155" s="118">
        <v>707</v>
      </c>
      <c r="E155" s="123">
        <f>_018_550[[#This Row],[入料數]]-_018_550[[#This Row],['#08已委外數量]]</f>
        <v>0</v>
      </c>
      <c r="F155" s="123">
        <f>SUMIFS(record[OK],record[製程料號],_018_550[[#This Row],[製令單號]],record[ProcessSN],F$1)</f>
        <v>707</v>
      </c>
      <c r="G155" s="118" t="str">
        <f>IF(_018_550[[#This Row],['#08已委外數量]]&gt;0,VLOOKUP(G$1,record[[ProcessSN]:[廠商]],12,FALSE),"尚未委外")</f>
        <v>泉盛</v>
      </c>
      <c r="H155" s="123">
        <f>_018_550[[#This Row],['#08已委外數量]]-_018_550[[#This Row],['#08回
良品]]-_018_550[[#This Row],['#08委外NG]]</f>
        <v>0</v>
      </c>
      <c r="I155" s="123">
        <f>SUMIFS(record[OK],record[製程料號],_018_550[[#This Row],[製令單號]],record[ProcessSN],I$1)</f>
        <v>707</v>
      </c>
      <c r="J155" s="117">
        <f>SUMIFS(record[NG],record[製程料號],_018_550[[#This Row],[製令單號]],record[ProcessSN],J$1)</f>
        <v>0</v>
      </c>
      <c r="K155" s="124">
        <f>IFERROR(_018_550[[#This Row],['#08委外NG]]/_018_550[[#This Row],['#08已委外數量]],"")</f>
        <v>0</v>
      </c>
      <c r="L155" s="123">
        <f>_018_550[[#This Row],['#08回
良品]]-_018_550[[#This Row],['#06檢驗OK]]-_018_550[[#This Row],['#06
QC NG]]</f>
        <v>0</v>
      </c>
      <c r="M155" s="123">
        <f>SUMIFS(record[OK],record[製程料號],_018_550[[#This Row],[製令單號]],record[ProcessSN],M$1)</f>
        <v>707</v>
      </c>
      <c r="N155" s="117">
        <f>SUMIFS(record[NG],record[製程料號],_018_550[[#This Row],[製令單號]],record[ProcessSN],N$1)</f>
        <v>0</v>
      </c>
      <c r="O155" s="123">
        <f>_018_550[[#This Row],['#06檢驗OK]]-_018_550[[#This Row],[不良品]]-_018_550[[#This Row],[良品]]</f>
        <v>0</v>
      </c>
      <c r="P155" s="123">
        <f>SUMIFS(record[OK],record[製程料號],_018_550[[#This Row],[製令單號]],record[ProcessSN],P$1)</f>
        <v>687</v>
      </c>
      <c r="Q155" s="117">
        <f>SUMIFS(record[NG],record[製程料號],_018_550[[#This Row],[製令單號]],record[ProcessSN],Q$1)</f>
        <v>20</v>
      </c>
      <c r="R155" s="123">
        <f>_018_550[[#This Row],[良品]]-_018_550[[#This Row],[良品放行]]-_018_550[[#This Row],[不良待處理]]</f>
        <v>0</v>
      </c>
      <c r="S155" s="123">
        <f>SUMIFS(record[OK],record[製程料號],_018_550[[#This Row],[製令單號]],record[ProcessSN],S$1)</f>
        <v>687</v>
      </c>
      <c r="T155" s="117">
        <f>SUMIFS(record[NG],record[製程料號],_018_550[[#This Row],[製令單號]],record[ProcessSN],T$1)</f>
        <v>0</v>
      </c>
      <c r="U155" s="123">
        <f>_018_550[[#This Row],[良品放行]]-_018_550[[#This Row],[入庫]]</f>
        <v>0</v>
      </c>
      <c r="V155" s="123">
        <f>SUMIFS(record[OK],record[製程料號],_018_550[[#This Row],[製令單號]],record[ProcessSN],V$1)</f>
        <v>687</v>
      </c>
      <c r="W155" s="123">
        <f>_018_550[[#This Row],[入庫]]-_018_550[[#This Row],[已出貨]]</f>
        <v>0</v>
      </c>
      <c r="X155" s="137"/>
      <c r="Y155" s="123">
        <f>SUMIFS(record[OK],record[製程料號],_018_550[[#This Row],[製令單號]],record[ProcessSN],Y$1)</f>
        <v>687</v>
      </c>
      <c r="Z155" s="125">
        <f>_018_550[[#This Row],[不良待處理]]+_018_550[[#This Row],[不良品]]+_018_550[[#This Row],['#06
QC NG]]+_018_550[[#This Row],['#08委外NG]]</f>
        <v>20</v>
      </c>
      <c r="AA155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0.97171145685997173</v>
      </c>
    </row>
    <row r="156" spans="1:27" ht="30.75" x14ac:dyDescent="0.25">
      <c r="A156" s="120">
        <v>46132</v>
      </c>
      <c r="B156" s="121" t="s">
        <v>1838</v>
      </c>
      <c r="C156" s="122" t="s">
        <v>500</v>
      </c>
      <c r="D156" s="118">
        <v>406</v>
      </c>
      <c r="E156" s="123">
        <f>_018_550[[#This Row],[入料數]]-_018_550[[#This Row],['#08已委外數量]]</f>
        <v>0</v>
      </c>
      <c r="F156" s="123">
        <f>SUMIFS(record[OK],record[製程料號],_018_550[[#This Row],[製令單號]],record[ProcessSN],F$1)</f>
        <v>406</v>
      </c>
      <c r="G156" s="118" t="str">
        <f>IF(_018_550[[#This Row],['#08已委外數量]]&gt;0,VLOOKUP(G$1,record[[ProcessSN]:[廠商]],12,FALSE),"尚未委外")</f>
        <v>泉盛</v>
      </c>
      <c r="H156" s="123">
        <f>_018_550[[#This Row],['#08已委外數量]]-_018_550[[#This Row],['#08回
良品]]-_018_550[[#This Row],['#08委外NG]]</f>
        <v>0</v>
      </c>
      <c r="I156" s="123">
        <f>SUMIFS(record[OK],record[製程料號],_018_550[[#This Row],[製令單號]],record[ProcessSN],I$1)</f>
        <v>403</v>
      </c>
      <c r="J156" s="117">
        <f>SUMIFS(record[NG],record[製程料號],_018_550[[#This Row],[製令單號]],record[ProcessSN],J$1)</f>
        <v>3</v>
      </c>
      <c r="K156" s="124">
        <f>IFERROR(_018_550[[#This Row],['#08委外NG]]/_018_550[[#This Row],['#08已委外數量]],"")</f>
        <v>7.3891625615763543E-3</v>
      </c>
      <c r="L156" s="123">
        <f>_018_550[[#This Row],['#08回
良品]]-_018_550[[#This Row],['#06檢驗OK]]-_018_550[[#This Row],['#06
QC NG]]</f>
        <v>0</v>
      </c>
      <c r="M156" s="123">
        <f>SUMIFS(record[OK],record[製程料號],_018_550[[#This Row],[製令單號]],record[ProcessSN],M$1)</f>
        <v>403</v>
      </c>
      <c r="N156" s="117">
        <f>SUMIFS(record[NG],record[製程料號],_018_550[[#This Row],[製令單號]],record[ProcessSN],N$1)</f>
        <v>0</v>
      </c>
      <c r="O156" s="123">
        <f>_018_550[[#This Row],['#06檢驗OK]]-_018_550[[#This Row],[不良品]]-_018_550[[#This Row],[良品]]</f>
        <v>0</v>
      </c>
      <c r="P156" s="123">
        <f>SUMIFS(record[OK],record[製程料號],_018_550[[#This Row],[製令單號]],record[ProcessSN],P$1)</f>
        <v>390</v>
      </c>
      <c r="Q156" s="117">
        <f>SUMIFS(record[NG],record[製程料號],_018_550[[#This Row],[製令單號]],record[ProcessSN],Q$1)</f>
        <v>13</v>
      </c>
      <c r="R156" s="123">
        <f>_018_550[[#This Row],[良品]]-_018_550[[#This Row],[良品放行]]-_018_550[[#This Row],[不良待處理]]</f>
        <v>0</v>
      </c>
      <c r="S156" s="123">
        <f>SUMIFS(record[OK],record[製程料號],_018_550[[#This Row],[製令單號]],record[ProcessSN],S$1)</f>
        <v>390</v>
      </c>
      <c r="T156" s="117">
        <f>SUMIFS(record[NG],record[製程料號],_018_550[[#This Row],[製令單號]],record[ProcessSN],T$1)</f>
        <v>0</v>
      </c>
      <c r="U156" s="123">
        <f>_018_550[[#This Row],[良品放行]]-_018_550[[#This Row],[入庫]]</f>
        <v>0</v>
      </c>
      <c r="V156" s="123">
        <f>SUMIFS(record[OK],record[製程料號],_018_550[[#This Row],[製令單號]],record[ProcessSN],V$1)</f>
        <v>390</v>
      </c>
      <c r="W156" s="123">
        <f>_018_550[[#This Row],[入庫]]-_018_550[[#This Row],[已出貨]]</f>
        <v>0</v>
      </c>
      <c r="X156" s="137"/>
      <c r="Y156" s="123">
        <f>SUMIFS(record[OK],record[製程料號],_018_550[[#This Row],[製令單號]],record[ProcessSN],Y$1)</f>
        <v>390</v>
      </c>
      <c r="Z156" s="125">
        <f>_018_550[[#This Row],[不良待處理]]+_018_550[[#This Row],[不良品]]+_018_550[[#This Row],['#06
QC NG]]+_018_550[[#This Row],['#08委外NG]]</f>
        <v>16</v>
      </c>
      <c r="AA156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0.96059113300492616</v>
      </c>
    </row>
    <row r="157" spans="1:27" ht="30.75" x14ac:dyDescent="0.25">
      <c r="A157" s="120">
        <v>46133</v>
      </c>
      <c r="B157" s="121" t="s">
        <v>1866</v>
      </c>
      <c r="C157" s="122" t="s">
        <v>500</v>
      </c>
      <c r="D157" s="118">
        <v>314</v>
      </c>
      <c r="E157" s="123">
        <f>_018_550[[#This Row],[入料數]]-_018_550[[#This Row],['#08已委外數量]]</f>
        <v>0</v>
      </c>
      <c r="F157" s="123">
        <f>SUMIFS(record[OK],record[製程料號],_018_550[[#This Row],[製令單號]],record[ProcessSN],F$1)</f>
        <v>314</v>
      </c>
      <c r="G157" s="118" t="str">
        <f>IF(_018_550[[#This Row],['#08已委外數量]]&gt;0,VLOOKUP(G$1,record[[ProcessSN]:[廠商]],12,FALSE),"尚未委外")</f>
        <v>泉盛</v>
      </c>
      <c r="H157" s="123">
        <f>_018_550[[#This Row],['#08已委外數量]]-_018_550[[#This Row],['#08回
良品]]-_018_550[[#This Row],['#08委外NG]]</f>
        <v>0</v>
      </c>
      <c r="I157" s="123">
        <f>SUMIFS(record[OK],record[製程料號],_018_550[[#This Row],[製令單號]],record[ProcessSN],I$1)</f>
        <v>314</v>
      </c>
      <c r="J157" s="117">
        <f>SUMIFS(record[NG],record[製程料號],_018_550[[#This Row],[製令單號]],record[ProcessSN],J$1)</f>
        <v>0</v>
      </c>
      <c r="K157" s="124">
        <f>IFERROR(_018_550[[#This Row],['#08委外NG]]/_018_550[[#This Row],['#08已委外數量]],"")</f>
        <v>0</v>
      </c>
      <c r="L157" s="123">
        <f>_018_550[[#This Row],['#08回
良品]]-_018_550[[#This Row],['#06檢驗OK]]-_018_550[[#This Row],['#06
QC NG]]</f>
        <v>0</v>
      </c>
      <c r="M157" s="123">
        <f>SUMIFS(record[OK],record[製程料號],_018_550[[#This Row],[製令單號]],record[ProcessSN],M$1)</f>
        <v>314</v>
      </c>
      <c r="N157" s="117">
        <f>SUMIFS(record[NG],record[製程料號],_018_550[[#This Row],[製令單號]],record[ProcessSN],N$1)</f>
        <v>0</v>
      </c>
      <c r="O157" s="123">
        <f>_018_550[[#This Row],['#06檢驗OK]]-_018_550[[#This Row],[不良品]]-_018_550[[#This Row],[良品]]</f>
        <v>0</v>
      </c>
      <c r="P157" s="123">
        <f>SUMIFS(record[OK],record[製程料號],_018_550[[#This Row],[製令單號]],record[ProcessSN],P$1)</f>
        <v>303</v>
      </c>
      <c r="Q157" s="117">
        <f>SUMIFS(record[NG],record[製程料號],_018_550[[#This Row],[製令單號]],record[ProcessSN],Q$1)</f>
        <v>11</v>
      </c>
      <c r="R157" s="123">
        <f>_018_550[[#This Row],[良品]]-_018_550[[#This Row],[良品放行]]-_018_550[[#This Row],[不良待處理]]</f>
        <v>0</v>
      </c>
      <c r="S157" s="123">
        <f>SUMIFS(record[OK],record[製程料號],_018_550[[#This Row],[製令單號]],record[ProcessSN],S$1)</f>
        <v>303</v>
      </c>
      <c r="T157" s="117">
        <f>SUMIFS(record[NG],record[製程料號],_018_550[[#This Row],[製令單號]],record[ProcessSN],T$1)</f>
        <v>0</v>
      </c>
      <c r="U157" s="123">
        <f>_018_550[[#This Row],[良品放行]]-_018_550[[#This Row],[入庫]]</f>
        <v>0</v>
      </c>
      <c r="V157" s="123">
        <f>SUMIFS(record[OK],record[製程料號],_018_550[[#This Row],[製令單號]],record[ProcessSN],V$1)</f>
        <v>303</v>
      </c>
      <c r="W157" s="123">
        <f>_018_550[[#This Row],[入庫]]-_018_550[[#This Row],[已出貨]]</f>
        <v>0</v>
      </c>
      <c r="X157" s="137"/>
      <c r="Y157" s="123">
        <f>SUMIFS(record[OK],record[製程料號],_018_550[[#This Row],[製令單號]],record[ProcessSN],Y$1)</f>
        <v>303</v>
      </c>
      <c r="Z157" s="125">
        <f>_018_550[[#This Row],[不良待處理]]+_018_550[[#This Row],[不良品]]+_018_550[[#This Row],['#06
QC NG]]+_018_550[[#This Row],['#08委外NG]]</f>
        <v>11</v>
      </c>
      <c r="AA157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0.96496815286624205</v>
      </c>
    </row>
    <row r="158" spans="1:27" ht="30.75" x14ac:dyDescent="0.25">
      <c r="A158" s="120">
        <v>46134</v>
      </c>
      <c r="B158" s="121" t="s">
        <v>1872</v>
      </c>
      <c r="C158" s="122" t="s">
        <v>500</v>
      </c>
      <c r="D158" s="118">
        <v>589</v>
      </c>
      <c r="E158" s="123">
        <f>_018_550[[#This Row],[入料數]]-_018_550[[#This Row],['#08已委外數量]]</f>
        <v>0</v>
      </c>
      <c r="F158" s="123">
        <f>SUMIFS(record[OK],record[製程料號],_018_550[[#This Row],[製令單號]],record[ProcessSN],F$1)</f>
        <v>589</v>
      </c>
      <c r="G158" s="118" t="str">
        <f>IF(_018_550[[#This Row],['#08已委外數量]]&gt;0,VLOOKUP(G$1,record[[ProcessSN]:[廠商]],12,FALSE),"尚未委外")</f>
        <v>泉盛</v>
      </c>
      <c r="H158" s="123">
        <f>_018_550[[#This Row],['#08已委外數量]]-_018_550[[#This Row],['#08回
良品]]-_018_550[[#This Row],['#08委外NG]]</f>
        <v>0</v>
      </c>
      <c r="I158" s="123">
        <f>SUMIFS(record[OK],record[製程料號],_018_550[[#This Row],[製令單號]],record[ProcessSN],I$1)</f>
        <v>589</v>
      </c>
      <c r="J158" s="117">
        <f>SUMIFS(record[NG],record[製程料號],_018_550[[#This Row],[製令單號]],record[ProcessSN],J$1)</f>
        <v>0</v>
      </c>
      <c r="K158" s="124">
        <f>IFERROR(_018_550[[#This Row],['#08委外NG]]/_018_550[[#This Row],['#08已委外數量]],"")</f>
        <v>0</v>
      </c>
      <c r="L158" s="123">
        <f>_018_550[[#This Row],['#08回
良品]]-_018_550[[#This Row],['#06檢驗OK]]-_018_550[[#This Row],['#06
QC NG]]</f>
        <v>0</v>
      </c>
      <c r="M158" s="123">
        <f>SUMIFS(record[OK],record[製程料號],_018_550[[#This Row],[製令單號]],record[ProcessSN],M$1)</f>
        <v>589</v>
      </c>
      <c r="N158" s="117">
        <f>SUMIFS(record[NG],record[製程料號],_018_550[[#This Row],[製令單號]],record[ProcessSN],N$1)</f>
        <v>0</v>
      </c>
      <c r="O158" s="123">
        <f>_018_550[[#This Row],['#06檢驗OK]]-_018_550[[#This Row],[不良品]]-_018_550[[#This Row],[良品]]</f>
        <v>0</v>
      </c>
      <c r="P158" s="123">
        <f>SUMIFS(record[OK],record[製程料號],_018_550[[#This Row],[製令單號]],record[ProcessSN],P$1)</f>
        <v>566</v>
      </c>
      <c r="Q158" s="117">
        <f>SUMIFS(record[NG],record[製程料號],_018_550[[#This Row],[製令單號]],record[ProcessSN],Q$1)</f>
        <v>23</v>
      </c>
      <c r="R158" s="123">
        <f>_018_550[[#This Row],[良品]]-_018_550[[#This Row],[良品放行]]-_018_550[[#This Row],[不良待處理]]</f>
        <v>0</v>
      </c>
      <c r="S158" s="123">
        <f>SUMIFS(record[OK],record[製程料號],_018_550[[#This Row],[製令單號]],record[ProcessSN],S$1)</f>
        <v>566</v>
      </c>
      <c r="T158" s="117">
        <f>SUMIFS(record[NG],record[製程料號],_018_550[[#This Row],[製令單號]],record[ProcessSN],T$1)</f>
        <v>0</v>
      </c>
      <c r="U158" s="123">
        <f>_018_550[[#This Row],[良品放行]]-_018_550[[#This Row],[入庫]]</f>
        <v>0</v>
      </c>
      <c r="V158" s="123">
        <f>SUMIFS(record[OK],record[製程料號],_018_550[[#This Row],[製令單號]],record[ProcessSN],V$1)</f>
        <v>566</v>
      </c>
      <c r="W158" s="123">
        <f>_018_550[[#This Row],[入庫]]-_018_550[[#This Row],[已出貨]]</f>
        <v>0</v>
      </c>
      <c r="X158" s="137"/>
      <c r="Y158" s="123">
        <f>SUMIFS(record[OK],record[製程料號],_018_550[[#This Row],[製令單號]],record[ProcessSN],Y$1)</f>
        <v>566</v>
      </c>
      <c r="Z158" s="125">
        <f>_018_550[[#This Row],[不良待處理]]+_018_550[[#This Row],[不良品]]+_018_550[[#This Row],['#06
QC NG]]+_018_550[[#This Row],['#08委外NG]]</f>
        <v>23</v>
      </c>
      <c r="AA158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0.96095076400679114</v>
      </c>
    </row>
    <row r="159" spans="1:27" ht="30.75" x14ac:dyDescent="0.25">
      <c r="A159" s="120">
        <v>46139</v>
      </c>
      <c r="B159" s="121" t="s">
        <v>1915</v>
      </c>
      <c r="C159" s="122" t="s">
        <v>500</v>
      </c>
      <c r="D159" s="118">
        <v>509</v>
      </c>
      <c r="E159" s="123">
        <f>_018_550[[#This Row],[入料數]]-_018_550[[#This Row],['#08已委外數量]]</f>
        <v>0</v>
      </c>
      <c r="F159" s="123">
        <f>SUMIFS(record[OK],record[製程料號],_018_550[[#This Row],[製令單號]],record[ProcessSN],F$1)</f>
        <v>509</v>
      </c>
      <c r="G159" s="118" t="str">
        <f>IF(_018_550[[#This Row],['#08已委外數量]]&gt;0,VLOOKUP(G$1,record[[ProcessSN]:[廠商]],12,FALSE),"尚未委外")</f>
        <v>泉盛</v>
      </c>
      <c r="H159" s="123">
        <f>_018_550[[#This Row],['#08已委外數量]]-_018_550[[#This Row],['#08回
良品]]-_018_550[[#This Row],['#08委外NG]]</f>
        <v>0</v>
      </c>
      <c r="I159" s="123">
        <f>SUMIFS(record[OK],record[製程料號],_018_550[[#This Row],[製令單號]],record[ProcessSN],I$1)</f>
        <v>507</v>
      </c>
      <c r="J159" s="117">
        <f>SUMIFS(record[NG],record[製程料號],_018_550[[#This Row],[製令單號]],record[ProcessSN],J$1)</f>
        <v>2</v>
      </c>
      <c r="K159" s="124">
        <f>IFERROR(_018_550[[#This Row],['#08委外NG]]/_018_550[[#This Row],['#08已委外數量]],"")</f>
        <v>3.929273084479371E-3</v>
      </c>
      <c r="L159" s="123">
        <f>_018_550[[#This Row],['#08回
良品]]-_018_550[[#This Row],['#06檢驗OK]]-_018_550[[#This Row],['#06
QC NG]]</f>
        <v>0</v>
      </c>
      <c r="M159" s="123">
        <f>SUMIFS(record[OK],record[製程料號],_018_550[[#This Row],[製令單號]],record[ProcessSN],M$1)</f>
        <v>507</v>
      </c>
      <c r="N159" s="117">
        <f>SUMIFS(record[NG],record[製程料號],_018_550[[#This Row],[製令單號]],record[ProcessSN],N$1)</f>
        <v>0</v>
      </c>
      <c r="O159" s="123">
        <f>_018_550[[#This Row],['#06檢驗OK]]-_018_550[[#This Row],[不良品]]-_018_550[[#This Row],[良品]]</f>
        <v>0</v>
      </c>
      <c r="P159" s="123">
        <f>SUMIFS(record[OK],record[製程料號],_018_550[[#This Row],[製令單號]],record[ProcessSN],P$1)</f>
        <v>491</v>
      </c>
      <c r="Q159" s="117">
        <f>SUMIFS(record[NG],record[製程料號],_018_550[[#This Row],[製令單號]],record[ProcessSN],Q$1)</f>
        <v>16</v>
      </c>
      <c r="R159" s="123">
        <f>_018_550[[#This Row],[良品]]-_018_550[[#This Row],[良品放行]]-_018_550[[#This Row],[不良待處理]]</f>
        <v>0</v>
      </c>
      <c r="S159" s="123">
        <f>SUMIFS(record[OK],record[製程料號],_018_550[[#This Row],[製令單號]],record[ProcessSN],S$1)</f>
        <v>491</v>
      </c>
      <c r="T159" s="117">
        <f>SUMIFS(record[NG],record[製程料號],_018_550[[#This Row],[製令單號]],record[ProcessSN],T$1)</f>
        <v>0</v>
      </c>
      <c r="U159" s="123">
        <f>_018_550[[#This Row],[良品放行]]-_018_550[[#This Row],[入庫]]</f>
        <v>1</v>
      </c>
      <c r="V159" s="123">
        <f>SUMIFS(record[OK],record[製程料號],_018_550[[#This Row],[製令單號]],record[ProcessSN],V$1)</f>
        <v>490</v>
      </c>
      <c r="W159" s="123">
        <f>_018_550[[#This Row],[入庫]]-_018_550[[#This Row],[已出貨]]</f>
        <v>0</v>
      </c>
      <c r="X159" s="137"/>
      <c r="Y159" s="123">
        <f>SUMIFS(record[OK],record[製程料號],_018_550[[#This Row],[製令單號]],record[ProcessSN],Y$1)</f>
        <v>490</v>
      </c>
      <c r="Z159" s="125">
        <f>_018_550[[#This Row],[不良待處理]]+_018_550[[#This Row],[不良品]]+_018_550[[#This Row],['#06
QC NG]]+_018_550[[#This Row],['#08委外NG]]</f>
        <v>18</v>
      </c>
      <c r="AA159" s="124" t="str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/>
      </c>
    </row>
    <row r="160" spans="1:27" ht="30.75" x14ac:dyDescent="0.25">
      <c r="A160" s="120">
        <v>46141</v>
      </c>
      <c r="B160" s="121" t="s">
        <v>1940</v>
      </c>
      <c r="C160" s="122" t="s">
        <v>500</v>
      </c>
      <c r="D160" s="118">
        <v>336</v>
      </c>
      <c r="E160" s="123">
        <f>_018_550[[#This Row],[入料數]]-_018_550[[#This Row],['#08已委外數量]]</f>
        <v>0</v>
      </c>
      <c r="F160" s="123">
        <f>SUMIFS(record[OK],record[製程料號],_018_550[[#This Row],[製令單號]],record[ProcessSN],F$1)</f>
        <v>336</v>
      </c>
      <c r="G160" s="118" t="str">
        <f>IF(_018_550[[#This Row],['#08已委外數量]]&gt;0,VLOOKUP(G$1,record[[ProcessSN]:[廠商]],12,FALSE),"尚未委外")</f>
        <v>泉盛</v>
      </c>
      <c r="H160" s="123">
        <f>_018_550[[#This Row],['#08已委外數量]]-_018_550[[#This Row],['#08回
良品]]-_018_550[[#This Row],['#08委外NG]]</f>
        <v>0</v>
      </c>
      <c r="I160" s="123">
        <f>SUMIFS(record[OK],record[製程料號],_018_550[[#This Row],[製令單號]],record[ProcessSN],I$1)</f>
        <v>322</v>
      </c>
      <c r="J160" s="117">
        <f>SUMIFS(record[NG],record[製程料號],_018_550[[#This Row],[製令單號]],record[ProcessSN],J$1)</f>
        <v>14</v>
      </c>
      <c r="K160" s="124">
        <f>IFERROR(_018_550[[#This Row],['#08委外NG]]/_018_550[[#This Row],['#08已委外數量]],"")</f>
        <v>4.1666666666666664E-2</v>
      </c>
      <c r="L160" s="123">
        <f>_018_550[[#This Row],['#08回
良品]]-_018_550[[#This Row],['#06檢驗OK]]-_018_550[[#This Row],['#06
QC NG]]</f>
        <v>0</v>
      </c>
      <c r="M160" s="123">
        <f>SUMIFS(record[OK],record[製程料號],_018_550[[#This Row],[製令單號]],record[ProcessSN],M$1)</f>
        <v>322</v>
      </c>
      <c r="N160" s="117">
        <f>SUMIFS(record[NG],record[製程料號],_018_550[[#This Row],[製令單號]],record[ProcessSN],N$1)</f>
        <v>0</v>
      </c>
      <c r="O160" s="123">
        <f>_018_550[[#This Row],['#06檢驗OK]]-_018_550[[#This Row],[不良品]]-_018_550[[#This Row],[良品]]</f>
        <v>0</v>
      </c>
      <c r="P160" s="123">
        <f>SUMIFS(record[OK],record[製程料號],_018_550[[#This Row],[製令單號]],record[ProcessSN],P$1)</f>
        <v>322</v>
      </c>
      <c r="Q160" s="117">
        <f>SUMIFS(record[NG],record[製程料號],_018_550[[#This Row],[製令單號]],record[ProcessSN],Q$1)</f>
        <v>0</v>
      </c>
      <c r="R160" s="123">
        <f>_018_550[[#This Row],[良品]]-_018_550[[#This Row],[良品放行]]-_018_550[[#This Row],[不良待處理]]</f>
        <v>0</v>
      </c>
      <c r="S160" s="123">
        <f>SUMIFS(record[OK],record[製程料號],_018_550[[#This Row],[製令單號]],record[ProcessSN],S$1)</f>
        <v>322</v>
      </c>
      <c r="T160" s="117">
        <f>SUMIFS(record[NG],record[製程料號],_018_550[[#This Row],[製令單號]],record[ProcessSN],T$1)</f>
        <v>0</v>
      </c>
      <c r="U160" s="123">
        <f>_018_550[[#This Row],[良品放行]]-_018_550[[#This Row],[入庫]]</f>
        <v>1</v>
      </c>
      <c r="V160" s="123">
        <f>SUMIFS(record[OK],record[製程料號],_018_550[[#This Row],[製令單號]],record[ProcessSN],V$1)</f>
        <v>321</v>
      </c>
      <c r="W160" s="123">
        <f>_018_550[[#This Row],[入庫]]-_018_550[[#This Row],[已出貨]]</f>
        <v>0</v>
      </c>
      <c r="X160" s="137"/>
      <c r="Y160" s="123">
        <f>SUMIFS(record[OK],record[製程料號],_018_550[[#This Row],[製令單號]],record[ProcessSN],Y$1)</f>
        <v>321</v>
      </c>
      <c r="Z160" s="125">
        <f>_018_550[[#This Row],[不良待處理]]+_018_550[[#This Row],[不良品]]+_018_550[[#This Row],['#06
QC NG]]+_018_550[[#This Row],['#08委外NG]]</f>
        <v>14</v>
      </c>
      <c r="AA160" s="124" t="str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/>
      </c>
    </row>
    <row r="161" spans="1:27" ht="30.75" x14ac:dyDescent="0.25">
      <c r="A161" s="120">
        <v>46142</v>
      </c>
      <c r="B161" s="121" t="s">
        <v>1952</v>
      </c>
      <c r="C161" s="122" t="s">
        <v>500</v>
      </c>
      <c r="D161" s="118">
        <v>596</v>
      </c>
      <c r="E161" s="123">
        <f>_018_550[[#This Row],[入料數]]-_018_550[[#This Row],['#08已委外數量]]</f>
        <v>0</v>
      </c>
      <c r="F161" s="123">
        <f>SUMIFS(record[OK],record[製程料號],_018_550[[#This Row],[製令單號]],record[ProcessSN],F$1)</f>
        <v>596</v>
      </c>
      <c r="G161" s="118" t="str">
        <f>IF(_018_550[[#This Row],['#08已委外數量]]&gt;0,VLOOKUP(G$1,record[[ProcessSN]:[廠商]],12,FALSE),"尚未委外")</f>
        <v>泉盛</v>
      </c>
      <c r="H161" s="123">
        <f>_018_550[[#This Row],['#08已委外數量]]-_018_550[[#This Row],['#08回
良品]]-_018_550[[#This Row],['#08委外NG]]</f>
        <v>0</v>
      </c>
      <c r="I161" s="123">
        <f>SUMIFS(record[OK],record[製程料號],_018_550[[#This Row],[製令單號]],record[ProcessSN],I$1)</f>
        <v>573</v>
      </c>
      <c r="J161" s="117">
        <f>SUMIFS(record[NG],record[製程料號],_018_550[[#This Row],[製令單號]],record[ProcessSN],J$1)</f>
        <v>23</v>
      </c>
      <c r="K161" s="124">
        <f>IFERROR(_018_550[[#This Row],['#08委外NG]]/_018_550[[#This Row],['#08已委外數量]],"")</f>
        <v>3.8590604026845637E-2</v>
      </c>
      <c r="L161" s="123">
        <f>_018_550[[#This Row],['#08回
良品]]-_018_550[[#This Row],['#06檢驗OK]]-_018_550[[#This Row],['#06
QC NG]]</f>
        <v>0</v>
      </c>
      <c r="M161" s="123">
        <f>SUMIFS(record[OK],record[製程料號],_018_550[[#This Row],[製令單號]],record[ProcessSN],M$1)</f>
        <v>573</v>
      </c>
      <c r="N161" s="117">
        <f>SUMIFS(record[NG],record[製程料號],_018_550[[#This Row],[製令單號]],record[ProcessSN],N$1)</f>
        <v>0</v>
      </c>
      <c r="O161" s="123">
        <f>_018_550[[#This Row],['#06檢驗OK]]-_018_550[[#This Row],[不良品]]-_018_550[[#This Row],[良品]]</f>
        <v>0</v>
      </c>
      <c r="P161" s="123">
        <f>SUMIFS(record[OK],record[製程料號],_018_550[[#This Row],[製令單號]],record[ProcessSN],P$1)</f>
        <v>566</v>
      </c>
      <c r="Q161" s="117">
        <f>SUMIFS(record[NG],record[製程料號],_018_550[[#This Row],[製令單號]],record[ProcessSN],Q$1)</f>
        <v>7</v>
      </c>
      <c r="R161" s="123">
        <f>_018_550[[#This Row],[良品]]-_018_550[[#This Row],[良品放行]]-_018_550[[#This Row],[不良待處理]]</f>
        <v>0</v>
      </c>
      <c r="S161" s="123">
        <f>SUMIFS(record[OK],record[製程料號],_018_550[[#This Row],[製令單號]],record[ProcessSN],S$1)</f>
        <v>566</v>
      </c>
      <c r="T161" s="117">
        <f>SUMIFS(record[NG],record[製程料號],_018_550[[#This Row],[製令單號]],record[ProcessSN],T$1)</f>
        <v>0</v>
      </c>
      <c r="U161" s="123">
        <f>_018_550[[#This Row],[良品放行]]-_018_550[[#This Row],[入庫]]</f>
        <v>0</v>
      </c>
      <c r="V161" s="123">
        <f>SUMIFS(record[OK],record[製程料號],_018_550[[#This Row],[製令單號]],record[ProcessSN],V$1)</f>
        <v>566</v>
      </c>
      <c r="W161" s="123">
        <f>_018_550[[#This Row],[入庫]]-_018_550[[#This Row],[已出貨]]</f>
        <v>0</v>
      </c>
      <c r="X161" s="137"/>
      <c r="Y161" s="123">
        <f>SUMIFS(record[OK],record[製程料號],_018_550[[#This Row],[製令單號]],record[ProcessSN],Y$1)</f>
        <v>566</v>
      </c>
      <c r="Z161" s="125">
        <f>_018_550[[#This Row],[不良待處理]]+_018_550[[#This Row],[不良品]]+_018_550[[#This Row],['#06
QC NG]]+_018_550[[#This Row],['#08委外NG]]</f>
        <v>30</v>
      </c>
      <c r="AA161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0.94966442953020136</v>
      </c>
    </row>
    <row r="162" spans="1:27" ht="30.75" x14ac:dyDescent="0.25">
      <c r="A162" s="120">
        <v>46146</v>
      </c>
      <c r="B162" s="121" t="s">
        <v>1960</v>
      </c>
      <c r="C162" s="122" t="s">
        <v>500</v>
      </c>
      <c r="D162" s="118">
        <v>545</v>
      </c>
      <c r="E162" s="123">
        <f>_018_550[[#This Row],[入料數]]-_018_550[[#This Row],['#08已委外數量]]</f>
        <v>0</v>
      </c>
      <c r="F162" s="123">
        <f>SUMIFS(record[OK],record[製程料號],_018_550[[#This Row],[製令單號]],record[ProcessSN],F$1)</f>
        <v>545</v>
      </c>
      <c r="G162" s="118" t="str">
        <f>IF(_018_550[[#This Row],['#08已委外數量]]&gt;0,VLOOKUP(G$1,record[[ProcessSN]:[廠商]],12,FALSE),"尚未委外")</f>
        <v>泉盛</v>
      </c>
      <c r="H162" s="123">
        <f>_018_550[[#This Row],['#08已委外數量]]-_018_550[[#This Row],['#08回
良品]]-_018_550[[#This Row],['#08委外NG]]</f>
        <v>0</v>
      </c>
      <c r="I162" s="123">
        <f>SUMIFS(record[OK],record[製程料號],_018_550[[#This Row],[製令單號]],record[ProcessSN],I$1)</f>
        <v>532</v>
      </c>
      <c r="J162" s="117">
        <f>SUMIFS(record[NG],record[製程料號],_018_550[[#This Row],[製令單號]],record[ProcessSN],J$1)</f>
        <v>13</v>
      </c>
      <c r="K162" s="124">
        <f>IFERROR(_018_550[[#This Row],['#08委外NG]]/_018_550[[#This Row],['#08已委外數量]],"")</f>
        <v>2.3853211009174313E-2</v>
      </c>
      <c r="L162" s="123">
        <f>_018_550[[#This Row],['#08回
良品]]-_018_550[[#This Row],['#06檢驗OK]]-_018_550[[#This Row],['#06
QC NG]]</f>
        <v>0</v>
      </c>
      <c r="M162" s="123">
        <f>SUMIFS(record[OK],record[製程料號],_018_550[[#This Row],[製令單號]],record[ProcessSN],M$1)</f>
        <v>532</v>
      </c>
      <c r="N162" s="117">
        <f>SUMIFS(record[NG],record[製程料號],_018_550[[#This Row],[製令單號]],record[ProcessSN],N$1)</f>
        <v>0</v>
      </c>
      <c r="O162" s="123">
        <f>_018_550[[#This Row],['#06檢驗OK]]-_018_550[[#This Row],[不良品]]-_018_550[[#This Row],[良品]]</f>
        <v>0</v>
      </c>
      <c r="P162" s="123">
        <f>SUMIFS(record[OK],record[製程料號],_018_550[[#This Row],[製令單號]],record[ProcessSN],P$1)</f>
        <v>472</v>
      </c>
      <c r="Q162" s="117">
        <f>SUMIFS(record[NG],record[製程料號],_018_550[[#This Row],[製令單號]],record[ProcessSN],Q$1)</f>
        <v>60</v>
      </c>
      <c r="R162" s="123">
        <f>_018_550[[#This Row],[良品]]-_018_550[[#This Row],[良品放行]]-_018_550[[#This Row],[不良待處理]]</f>
        <v>0</v>
      </c>
      <c r="S162" s="123">
        <f>SUMIFS(record[OK],record[製程料號],_018_550[[#This Row],[製令單號]],record[ProcessSN],S$1)</f>
        <v>472</v>
      </c>
      <c r="T162" s="117">
        <f>SUMIFS(record[NG],record[製程料號],_018_550[[#This Row],[製令單號]],record[ProcessSN],T$1)</f>
        <v>0</v>
      </c>
      <c r="U162" s="123">
        <f>_018_550[[#This Row],[良品放行]]-_018_550[[#This Row],[入庫]]</f>
        <v>0</v>
      </c>
      <c r="V162" s="123">
        <f>SUMIFS(record[OK],record[製程料號],_018_550[[#This Row],[製令單號]],record[ProcessSN],V$1)</f>
        <v>472</v>
      </c>
      <c r="W162" s="123">
        <f>_018_550[[#This Row],[入庫]]-_018_550[[#This Row],[已出貨]]</f>
        <v>305</v>
      </c>
      <c r="X162" s="137"/>
      <c r="Y162" s="123">
        <f>SUMIFS(record[OK],record[製程料號],_018_550[[#This Row],[製令單號]],record[ProcessSN],Y$1)</f>
        <v>167</v>
      </c>
      <c r="Z162" s="125">
        <f>_018_550[[#This Row],[不良待處理]]+_018_550[[#This Row],[不良品]]+_018_550[[#This Row],['#06
QC NG]]+_018_550[[#This Row],['#08委外NG]]</f>
        <v>73</v>
      </c>
      <c r="AA162" s="124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>0.86605504587155968</v>
      </c>
    </row>
    <row r="163" spans="1:27" ht="30.75" x14ac:dyDescent="0.25">
      <c r="A163" s="120">
        <v>46158</v>
      </c>
      <c r="B163" s="121" t="s">
        <v>2025</v>
      </c>
      <c r="C163" s="122" t="s">
        <v>500</v>
      </c>
      <c r="D163" s="118">
        <v>168</v>
      </c>
      <c r="E163" s="123">
        <f>_018_550[[#This Row],[入料數]]-_018_550[[#This Row],['#08已委外數量]]</f>
        <v>0</v>
      </c>
      <c r="F163" s="123">
        <f>SUMIFS(record[OK],record[製程料號],_018_550[[#This Row],[製令單號]],record[ProcessSN],F$1)</f>
        <v>168</v>
      </c>
      <c r="G163" s="118" t="str">
        <f>IF(_018_550[[#This Row],['#08已委外數量]]&gt;0,VLOOKUP(G$1,record[[ProcessSN]:[廠商]],12,FALSE),"尚未委外")</f>
        <v>泉盛</v>
      </c>
      <c r="H163" s="123">
        <f>_018_550[[#This Row],['#08已委外數量]]-_018_550[[#This Row],['#08回
良品]]-_018_550[[#This Row],['#08委外NG]]</f>
        <v>0</v>
      </c>
      <c r="I163" s="123">
        <f>SUMIFS(record[OK],record[製程料號],_018_550[[#This Row],[製令單號]],record[ProcessSN],I$1)</f>
        <v>168</v>
      </c>
      <c r="J163" s="117">
        <f>SUMIFS(record[NG],record[製程料號],_018_550[[#This Row],[製令單號]],record[ProcessSN],J$1)</f>
        <v>0</v>
      </c>
      <c r="K163" s="124">
        <f>IFERROR(_018_550[[#This Row],['#08委外NG]]/_018_550[[#This Row],['#08已委外數量]],"")</f>
        <v>0</v>
      </c>
      <c r="L163" s="123">
        <f>_018_550[[#This Row],['#08回
良品]]-_018_550[[#This Row],['#06檢驗OK]]-_018_550[[#This Row],['#06
QC NG]]</f>
        <v>0</v>
      </c>
      <c r="M163" s="123">
        <f>SUMIFS(record[OK],record[製程料號],_018_550[[#This Row],[製令單號]],record[ProcessSN],M$1)</f>
        <v>168</v>
      </c>
      <c r="N163" s="117">
        <f>SUMIFS(record[NG],record[製程料號],_018_550[[#This Row],[製令單號]],record[ProcessSN],N$1)</f>
        <v>0</v>
      </c>
      <c r="O163" s="123">
        <f>_018_550[[#This Row],['#06檢驗OK]]-_018_550[[#This Row],[不良品]]-_018_550[[#This Row],[良品]]</f>
        <v>0</v>
      </c>
      <c r="P163" s="123">
        <f>SUMIFS(record[OK],record[製程料號],_018_550[[#This Row],[製令單號]],record[ProcessSN],P$1)</f>
        <v>164</v>
      </c>
      <c r="Q163" s="117">
        <f>SUMIFS(record[NG],record[製程料號],_018_550[[#This Row],[製令單號]],record[ProcessSN],Q$1)</f>
        <v>4</v>
      </c>
      <c r="R163" s="123">
        <f>_018_550[[#This Row],[良品]]-_018_550[[#This Row],[良品放行]]-_018_550[[#This Row],[不良待處理]]</f>
        <v>0</v>
      </c>
      <c r="S163" s="123">
        <f>SUMIFS(record[OK],record[製程料號],_018_550[[#This Row],[製令單號]],record[ProcessSN],S$1)</f>
        <v>164</v>
      </c>
      <c r="T163" s="117">
        <f>SUMIFS(record[NG],record[製程料號],_018_550[[#This Row],[製令單號]],record[ProcessSN],T$1)</f>
        <v>0</v>
      </c>
      <c r="U163" s="123">
        <f>_018_550[[#This Row],[良品放行]]-_018_550[[#This Row],[入庫]]</f>
        <v>164</v>
      </c>
      <c r="V163" s="123">
        <f>SUMIFS(record[OK],record[製程料號],_018_550[[#This Row],[製令單號]],record[ProcessSN],V$1)</f>
        <v>0</v>
      </c>
      <c r="W163" s="123">
        <f>_018_550[[#This Row],[入庫]]-_018_550[[#This Row],[已出貨]]</f>
        <v>0</v>
      </c>
      <c r="X163" s="137"/>
      <c r="Y163" s="123">
        <f>SUMIFS(record[OK],record[製程料號],_018_550[[#This Row],[製令單號]],record[ProcessSN],Y$1)</f>
        <v>0</v>
      </c>
      <c r="Z163" s="125">
        <f>_018_550[[#This Row],[不良待處理]]+_018_550[[#This Row],[不良品]]+_018_550[[#This Row],['#06
QC NG]]+_018_550[[#This Row],['#08委外NG]]</f>
        <v>4</v>
      </c>
      <c r="AA163" s="124" t="str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/>
      </c>
    </row>
    <row r="164" spans="1:27" ht="30.75" x14ac:dyDescent="0.25">
      <c r="A164" s="141">
        <v>46160</v>
      </c>
      <c r="B164" s="143" t="s">
        <v>2041</v>
      </c>
      <c r="C164" s="129" t="s">
        <v>500</v>
      </c>
      <c r="D164" s="145">
        <v>336</v>
      </c>
      <c r="E164" s="147">
        <f>_018_550[[#This Row],[入料數]]-_018_550[[#This Row],['#08已委外數量]]</f>
        <v>0</v>
      </c>
      <c r="F164" s="147">
        <f>SUMIFS(record[OK],record[製程料號],_018_550[[#This Row],[製令單號]],record[ProcessSN],F$1)</f>
        <v>336</v>
      </c>
      <c r="G164" s="145" t="str">
        <f>IF(_018_550[[#This Row],['#08已委外數量]]&gt;0,VLOOKUP(G$1,record[[ProcessSN]:[廠商]],12,FALSE),"尚未委外")</f>
        <v>泉盛</v>
      </c>
      <c r="H164" s="147">
        <f>_018_550[[#This Row],['#08已委外數量]]-_018_550[[#This Row],['#08回
良品]]-_018_550[[#This Row],['#08委外NG]]</f>
        <v>336</v>
      </c>
      <c r="I164" s="147">
        <f>SUMIFS(record[OK],record[製程料號],_018_550[[#This Row],[製令單號]],record[ProcessSN],I$1)</f>
        <v>0</v>
      </c>
      <c r="J164" s="149">
        <f>SUMIFS(record[NG],record[製程料號],_018_550[[#This Row],[製令單號]],record[ProcessSN],J$1)</f>
        <v>0</v>
      </c>
      <c r="K164" s="151">
        <f>IFERROR(_018_550[[#This Row],['#08委外NG]]/_018_550[[#This Row],['#08已委外數量]],"")</f>
        <v>0</v>
      </c>
      <c r="L164" s="147">
        <f>_018_550[[#This Row],['#08回
良品]]-_018_550[[#This Row],['#06檢驗OK]]-_018_550[[#This Row],['#06
QC NG]]</f>
        <v>0</v>
      </c>
      <c r="M164" s="147">
        <f>SUMIFS(record[OK],record[製程料號],_018_550[[#This Row],[製令單號]],record[ProcessSN],M$1)</f>
        <v>0</v>
      </c>
      <c r="N164" s="149">
        <f>SUMIFS(record[NG],record[製程料號],_018_550[[#This Row],[製令單號]],record[ProcessSN],N$1)</f>
        <v>0</v>
      </c>
      <c r="O164" s="147">
        <f>_018_550[[#This Row],['#06檢驗OK]]-_018_550[[#This Row],[不良品]]-_018_550[[#This Row],[良品]]</f>
        <v>0</v>
      </c>
      <c r="P164" s="147">
        <f>SUMIFS(record[OK],record[製程料號],_018_550[[#This Row],[製令單號]],record[ProcessSN],P$1)</f>
        <v>0</v>
      </c>
      <c r="Q164" s="149">
        <f>SUMIFS(record[NG],record[製程料號],_018_550[[#This Row],[製令單號]],record[ProcessSN],Q$1)</f>
        <v>0</v>
      </c>
      <c r="R164" s="147">
        <f>_018_550[[#This Row],[良品]]-_018_550[[#This Row],[良品放行]]-_018_550[[#This Row],[不良待處理]]</f>
        <v>0</v>
      </c>
      <c r="S164" s="147">
        <f>SUMIFS(record[OK],record[製程料號],_018_550[[#This Row],[製令單號]],record[ProcessSN],S$1)</f>
        <v>0</v>
      </c>
      <c r="T164" s="149">
        <f>SUMIFS(record[NG],record[製程料號],_018_550[[#This Row],[製令單號]],record[ProcessSN],T$1)</f>
        <v>0</v>
      </c>
      <c r="U164" s="147">
        <f>_018_550[[#This Row],[良品放行]]-_018_550[[#This Row],[入庫]]</f>
        <v>0</v>
      </c>
      <c r="V164" s="147">
        <f>SUMIFS(record[OK],record[製程料號],_018_550[[#This Row],[製令單號]],record[ProcessSN],V$1)</f>
        <v>0</v>
      </c>
      <c r="W164" s="147">
        <f>_018_550[[#This Row],[入庫]]-_018_550[[#This Row],[已出貨]]</f>
        <v>0</v>
      </c>
      <c r="X164" s="158"/>
      <c r="Y164" s="147">
        <f>SUMIFS(record[OK],record[製程料號],_018_550[[#This Row],[製令單號]],record[ProcessSN],Y$1)</f>
        <v>0</v>
      </c>
      <c r="Z164" s="153">
        <f>_018_550[[#This Row],[不良待處理]]+_018_550[[#This Row],[不良品]]+_018_550[[#This Row],['#06
QC NG]]+_018_550[[#This Row],['#08委外NG]]</f>
        <v>0</v>
      </c>
      <c r="AA164" s="151" t="str">
        <f>IF(_018_550[[#This Row],[已出貨]]+_018_550[[#This Row],[總不良數]]+_018_550[[#This Row],[可出貨數量]]=_018_550[[#This Row],[入料數]],(_018_550[[#This Row],[可出貨數量]]+_018_550[[#This Row],[已出貨]])/_018_550[[#This Row],[入料數]],"")</f>
        <v/>
      </c>
    </row>
  </sheetData>
  <mergeCells count="17">
    <mergeCell ref="Y2:Y3"/>
    <mergeCell ref="Z2:Z3"/>
    <mergeCell ref="AA2:AA4"/>
    <mergeCell ref="R3:T3"/>
    <mergeCell ref="R2:T2"/>
    <mergeCell ref="U2:W3"/>
    <mergeCell ref="A2:A4"/>
    <mergeCell ref="B2:B4"/>
    <mergeCell ref="D2:D3"/>
    <mergeCell ref="E2:J2"/>
    <mergeCell ref="L2:N2"/>
    <mergeCell ref="K2:K3"/>
    <mergeCell ref="O2:Q2"/>
    <mergeCell ref="E3:J3"/>
    <mergeCell ref="L3:N3"/>
    <mergeCell ref="O3:Q3"/>
    <mergeCell ref="G4:H4"/>
  </mergeCells>
  <phoneticPr fontId="3" type="noConversion"/>
  <conditionalFormatting sqref="E6:F164 H6:I164 L6:M164 O6:P164 R6:S164 U6:Y164">
    <cfRule type="cellIs" dxfId="505" priority="48" operator="lessThan">
      <formula>0</formula>
    </cfRule>
    <cfRule type="cellIs" dxfId="504" priority="49" operator="greaterThan">
      <formula>0</formula>
    </cfRule>
  </conditionalFormatting>
  <conditionalFormatting sqref="AA5:AA164">
    <cfRule type="cellIs" dxfId="503" priority="4" operator="lessThan">
      <formula>0.97</formula>
    </cfRule>
  </conditionalFormatting>
  <conditionalFormatting sqref="J6:K164 N6:N164 Q6:Q164 T6:T164">
    <cfRule type="cellIs" dxfId="502" priority="39" operator="greaterThan">
      <formula>0</formula>
    </cfRule>
  </conditionalFormatting>
  <conditionalFormatting sqref="G6:G164">
    <cfRule type="containsText" dxfId="501" priority="15" operator="containsText" text="尚未委外">
      <formula>NOT(ISERROR(SEARCH("尚未委外",G6)))</formula>
    </cfRule>
    <cfRule type="notContainsBlanks" dxfId="500" priority="16">
      <formula>LEN(TRIM(G6))&gt;0</formula>
    </cfRule>
  </conditionalFormatting>
  <conditionalFormatting sqref="K6:K164">
    <cfRule type="containsBlanks" dxfId="499" priority="9">
      <formula>LEN(TRIM(K6))=0</formula>
    </cfRule>
    <cfRule type="cellIs" dxfId="498" priority="10" operator="greaterThan">
      <formula>0.03</formula>
    </cfRule>
  </conditionalFormatting>
  <conditionalFormatting sqref="AA6:AA164">
    <cfRule type="containsBlanks" dxfId="497" priority="2">
      <formula>LEN(TRIM(AA6))=0</formula>
    </cfRule>
    <cfRule type="cellIs" dxfId="496" priority="3" operator="greaterThanOrEqual">
      <formula>0.97</formula>
    </cfRule>
    <cfRule type="notContainsBlanks" dxfId="495" priority="34">
      <formula>LEN(TRIM(AA6))&gt;0</formula>
    </cfRule>
  </conditionalFormatting>
  <pageMargins left="0.7" right="0.7" top="0.75" bottom="0.75" header="0.51180555555555496" footer="0.51180555555555496"/>
  <pageSetup paperSize="9" firstPageNumber="0" orientation="portrait"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ABA93-522C-4827-81EC-682E8840E5FC}">
  <sheetPr codeName="工作表12">
    <tabColor rgb="FF7030A0"/>
  </sheetPr>
  <dimension ref="A1:AA42"/>
  <sheetViews>
    <sheetView zoomScale="50" zoomScaleNormal="50" workbookViewId="0">
      <pane xSplit="4" ySplit="5" topLeftCell="E23" activePane="bottomRight" state="frozen"/>
      <selection activeCell="K50" sqref="K50"/>
      <selection pane="topRight" activeCell="K50" sqref="K50"/>
      <selection pane="bottomLeft" activeCell="K50" sqref="K50"/>
      <selection pane="bottomRight" activeCell="E3" sqref="E3:J3"/>
    </sheetView>
  </sheetViews>
  <sheetFormatPr defaultColWidth="17.7109375" defaultRowHeight="42" customHeight="1" x14ac:dyDescent="0.25"/>
  <cols>
    <col min="1" max="1" width="25.85546875" style="3" bestFit="1" customWidth="1"/>
    <col min="2" max="2" width="25.85546875" style="2" bestFit="1" customWidth="1"/>
    <col min="3" max="3" width="25.5703125" style="2" hidden="1" customWidth="1"/>
    <col min="4" max="4" width="22.5703125" style="2" bestFit="1" customWidth="1"/>
    <col min="5" max="5" width="25.85546875" style="2" bestFit="1" customWidth="1"/>
    <col min="6" max="6" width="26.85546875" style="2" hidden="1" customWidth="1"/>
    <col min="7" max="8" width="25.85546875" style="2" bestFit="1" customWidth="1"/>
    <col min="9" max="9" width="19.42578125" style="2" hidden="1" customWidth="1"/>
    <col min="10" max="11" width="25.85546875" style="2" bestFit="1" customWidth="1"/>
    <col min="12" max="12" width="25.85546875" style="3" bestFit="1" customWidth="1"/>
    <col min="13" max="13" width="25.140625" style="2" hidden="1" customWidth="1"/>
    <col min="14" max="14" width="23.7109375" style="2" bestFit="1" customWidth="1"/>
    <col min="15" max="15" width="25.85546875" style="3" bestFit="1" customWidth="1"/>
    <col min="16" max="16" width="16.5703125" style="2" hidden="1" customWidth="1"/>
    <col min="17" max="17" width="22.5703125" style="2" bestFit="1" customWidth="1"/>
    <col min="18" max="18" width="25.85546875" style="3" bestFit="1" customWidth="1"/>
    <col min="19" max="19" width="23.7109375" style="2" hidden="1" customWidth="1"/>
    <col min="20" max="20" width="25.85546875" style="2" bestFit="1" customWidth="1"/>
    <col min="21" max="21" width="22.5703125" style="2" bestFit="1" customWidth="1"/>
    <col min="22" max="22" width="16.5703125" style="2" hidden="1" customWidth="1"/>
    <col min="23" max="23" width="25.85546875" style="2" bestFit="1" customWidth="1"/>
    <col min="24" max="24" width="17.7109375" style="2" bestFit="1" customWidth="1"/>
    <col min="25" max="25" width="19.85546875" style="2" hidden="1" customWidth="1"/>
    <col min="26" max="26" width="25.85546875" style="2" bestFit="1" customWidth="1"/>
    <col min="27" max="27" width="22.5703125" style="2" bestFit="1" customWidth="1"/>
    <col min="28" max="16384" width="17.7109375" style="2"/>
  </cols>
  <sheetData>
    <row r="1" spans="1:27" ht="101.25" hidden="1" customHeight="1" thickBot="1" x14ac:dyDescent="0.3">
      <c r="F1" s="2" t="s">
        <v>405</v>
      </c>
      <c r="G1" s="2" t="s">
        <v>405</v>
      </c>
      <c r="I1" s="2" t="s">
        <v>406</v>
      </c>
      <c r="J1" s="2" t="s">
        <v>406</v>
      </c>
      <c r="M1" s="2" t="s">
        <v>407</v>
      </c>
      <c r="N1" s="2" t="s">
        <v>407</v>
      </c>
      <c r="P1" s="2" t="s">
        <v>408</v>
      </c>
      <c r="Q1" s="2" t="s">
        <v>408</v>
      </c>
      <c r="S1" s="2" t="s">
        <v>409</v>
      </c>
      <c r="T1" s="2" t="s">
        <v>409</v>
      </c>
      <c r="V1" s="2" t="s">
        <v>410</v>
      </c>
      <c r="Y1" s="2" t="s">
        <v>411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1744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34" t="s">
        <v>67</v>
      </c>
      <c r="AA2" s="336" t="s">
        <v>69</v>
      </c>
    </row>
    <row r="3" spans="1:27" ht="42" customHeight="1" thickBot="1" x14ac:dyDescent="0.3">
      <c r="A3" s="281"/>
      <c r="B3" s="325"/>
      <c r="C3" s="14"/>
      <c r="D3" s="328"/>
      <c r="E3" s="313" t="s">
        <v>1745</v>
      </c>
      <c r="F3" s="314"/>
      <c r="G3" s="314"/>
      <c r="H3" s="314"/>
      <c r="I3" s="314"/>
      <c r="J3" s="315"/>
      <c r="K3" s="330"/>
      <c r="L3" s="316" t="s">
        <v>501</v>
      </c>
      <c r="M3" s="317"/>
      <c r="N3" s="318"/>
      <c r="O3" s="339" t="s">
        <v>1746</v>
      </c>
      <c r="P3" s="340"/>
      <c r="Q3" s="341"/>
      <c r="R3" s="342" t="s">
        <v>501</v>
      </c>
      <c r="S3" s="343"/>
      <c r="T3" s="344"/>
      <c r="U3" s="351"/>
      <c r="V3" s="352"/>
      <c r="W3" s="353"/>
      <c r="X3" s="134"/>
      <c r="Y3" s="333"/>
      <c r="Z3" s="335"/>
      <c r="AA3" s="337"/>
    </row>
    <row r="4" spans="1:27" ht="42" customHeight="1" thickBot="1" x14ac:dyDescent="0.3">
      <c r="A4" s="282"/>
      <c r="B4" s="326"/>
      <c r="C4" s="10"/>
      <c r="D4" s="27">
        <f>SUM(_018_570[入料數])</f>
        <v>617</v>
      </c>
      <c r="E4" s="25">
        <f>SUM(_018_570['#08待委外數量])</f>
        <v>0</v>
      </c>
      <c r="F4" s="25">
        <f>SUM(_018_570['#08已委外數量])</f>
        <v>617</v>
      </c>
      <c r="G4" s="319">
        <f>SUM(_018_570['#08待回數量])</f>
        <v>0</v>
      </c>
      <c r="H4" s="320"/>
      <c r="I4" s="25">
        <f>SUM(_018_570['#08已委外數量])</f>
        <v>617</v>
      </c>
      <c r="J4" s="25">
        <f>SUM(_018_570['#08委外NG])</f>
        <v>11</v>
      </c>
      <c r="K4" s="331"/>
      <c r="L4" s="26">
        <f>SUM(_018_570['#06待檢驗
數量])</f>
        <v>0</v>
      </c>
      <c r="M4" s="26">
        <f>SUM(_018_570['#06檢驗OK])</f>
        <v>606</v>
      </c>
      <c r="N4" s="26">
        <f>SUM(_018_570['#06
QC NG])</f>
        <v>0</v>
      </c>
      <c r="O4" s="26">
        <f>SUM(_018_570[成品待檢驗])</f>
        <v>0</v>
      </c>
      <c r="P4" s="26">
        <f>SUM(_018_570[良品])</f>
        <v>576</v>
      </c>
      <c r="Q4" s="26">
        <f>SUM(_018_570[不良品])</f>
        <v>30</v>
      </c>
      <c r="R4" s="26">
        <f>SUM(_018_570[已包裝待放行])</f>
        <v>0</v>
      </c>
      <c r="S4" s="26">
        <f>SUM(_018_570[良品])</f>
        <v>576</v>
      </c>
      <c r="T4" s="26">
        <f>SUM(_018_570[不良品])</f>
        <v>30</v>
      </c>
      <c r="U4" s="131">
        <f>SUM(_018_570[未入庫])</f>
        <v>26</v>
      </c>
      <c r="V4" s="131">
        <f>SUM(_018_570[入庫])</f>
        <v>550</v>
      </c>
      <c r="W4" s="131">
        <f>SUM(_018_570[可出貨數量])</f>
        <v>0</v>
      </c>
      <c r="X4" s="135"/>
      <c r="Y4" s="132">
        <f>SUM(_018_570[已出貨])</f>
        <v>550</v>
      </c>
      <c r="Z4" s="138">
        <f>SUM(_018_570[總不良數])</f>
        <v>41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293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239">
        <v>46133</v>
      </c>
      <c r="B6" s="240" t="s">
        <v>1862</v>
      </c>
      <c r="C6" s="241" t="s">
        <v>501</v>
      </c>
      <c r="D6" s="242">
        <v>193</v>
      </c>
      <c r="E6" s="243">
        <f>_018_570[[#This Row],[入料數]]-_018_570[[#This Row],['#08已委外數量]]</f>
        <v>0</v>
      </c>
      <c r="F6" s="243">
        <f>SUMIFS(record[OK],record[製程料號],_018_570[[#This Row],[製令單號]],record[ProcessSN],F$1)</f>
        <v>193</v>
      </c>
      <c r="G6" s="242" t="str">
        <f>IF(_018_570[[#This Row],['#08已委外數量]]&gt;0,VLOOKUP(G$1,record[[ProcessSN]:[廠商]],12,FALSE),"尚未委外")</f>
        <v>泉盛</v>
      </c>
      <c r="H6" s="243">
        <f>_018_570[[#This Row],['#08已委外數量]]-_018_570[[#This Row],['#08回
良品]]-_018_570[[#This Row],['#08委外NG]]</f>
        <v>0</v>
      </c>
      <c r="I6" s="243">
        <f>SUMIFS(record[OK],record[製程料號],_018_570[[#This Row],[製令單號]],record[ProcessSN],I$1)</f>
        <v>193</v>
      </c>
      <c r="J6" s="244">
        <f>SUMIFS(record[NG],record[製程料號],_018_570[[#This Row],[製令單號]],record[ProcessSN],J$1)</f>
        <v>0</v>
      </c>
      <c r="K6" s="245">
        <f>IFERROR(_018_570[[#This Row],['#08委外NG]]/_018_570[[#This Row],['#08已委外數量]],"")</f>
        <v>0</v>
      </c>
      <c r="L6" s="243">
        <f>_018_570[[#This Row],['#08回
良品]]-_018_570[[#This Row],['#06檢驗OK]]-_018_570[[#This Row],['#06
QC NG]]</f>
        <v>0</v>
      </c>
      <c r="M6" s="243">
        <f>SUMIFS(record[OK],record[製程料號],_018_570[[#This Row],[製令單號]],record[ProcessSN],M$1)</f>
        <v>193</v>
      </c>
      <c r="N6" s="244">
        <f>SUMIFS(record[NG],record[製程料號],_018_570[[#This Row],[製令單號]],record[ProcessSN],N$1)</f>
        <v>0</v>
      </c>
      <c r="O6" s="243">
        <f>_018_570[[#This Row],['#06檢驗OK]]-_018_570[[#This Row],[不良品]]-_018_570[[#This Row],[良品]]</f>
        <v>0</v>
      </c>
      <c r="P6" s="243">
        <f>SUMIFS(record[OK],record[製程料號],_018_570[[#This Row],[製令單號]],record[ProcessSN],P$1)</f>
        <v>175</v>
      </c>
      <c r="Q6" s="244">
        <f>SUMIFS(record[NG],record[製程料號],_018_570[[#This Row],[製令單號]],record[ProcessSN],Q$1)</f>
        <v>18</v>
      </c>
      <c r="R6" s="243">
        <f>_018_570[[#This Row],[良品]]-_018_570[[#This Row],[良品放行]]-_018_570[[#This Row],[不良待處理]]</f>
        <v>0</v>
      </c>
      <c r="S6" s="243">
        <f>SUMIFS(record[OK],record[製程料號],_018_570[[#This Row],[製令單號]],record[ProcessSN],S$1)</f>
        <v>175</v>
      </c>
      <c r="T6" s="244">
        <f>SUMIFS(record[NG],record[製程料號],_018_570[[#This Row],[製令單號]],record[ProcessSN],T$1)</f>
        <v>0</v>
      </c>
      <c r="U6" s="243">
        <f>_018_570[[#This Row],[良品放行]]-_018_570[[#This Row],[入庫]]</f>
        <v>0</v>
      </c>
      <c r="V6" s="243">
        <f>SUMIFS(record[OK],record[製程料號],_018_570[[#This Row],[製令單號]],record[ProcessSN],V$1)</f>
        <v>175</v>
      </c>
      <c r="W6" s="243">
        <f>_018_570[[#This Row],[入庫]]-_018_570[[#This Row],[已出貨]]</f>
        <v>0</v>
      </c>
      <c r="X6" s="246"/>
      <c r="Y6" s="243">
        <f>SUMIFS(record[OK],record[製程料號],_018_570[[#This Row],[製令單號]],record[ProcessSN],Y$1)</f>
        <v>175</v>
      </c>
      <c r="Z6" s="247">
        <f>_018_570[[#This Row],[不良待處理]]+_018_570[[#This Row],[不良品]]+_018_570[[#This Row],['#06
QC NG]]+_018_570[[#This Row],['#08委外NG]]</f>
        <v>18</v>
      </c>
      <c r="AA6" s="245">
        <f>IF(_018_570[[#This Row],[已出貨]]+_018_570[[#This Row],[總不良數]]+_018_570[[#This Row],[可出貨數量]]=_018_570[[#This Row],[入料數]],(_018_570[[#This Row],[可出貨數量]]+_018_570[[#This Row],[已出貨]])/_018_570[[#This Row],[入料數]],"")</f>
        <v>0.90673575129533679</v>
      </c>
    </row>
    <row r="7" spans="1:27" ht="30.75" x14ac:dyDescent="0.25">
      <c r="A7" s="239">
        <v>46140</v>
      </c>
      <c r="B7" s="240" t="s">
        <v>1933</v>
      </c>
      <c r="C7" s="241" t="s">
        <v>501</v>
      </c>
      <c r="D7" s="242">
        <v>199</v>
      </c>
      <c r="E7" s="243">
        <f>_018_570[[#This Row],[入料數]]-_018_570[[#This Row],['#08已委外數量]]</f>
        <v>0</v>
      </c>
      <c r="F7" s="243">
        <f>SUMIFS(record[OK],record[製程料號],_018_570[[#This Row],[製令單號]],record[ProcessSN],F$1)</f>
        <v>199</v>
      </c>
      <c r="G7" s="242" t="str">
        <f>IF(_018_570[[#This Row],['#08已委外數量]]&gt;0,VLOOKUP(G$1,record[[ProcessSN]:[廠商]],12,FALSE),"尚未委外")</f>
        <v>泉盛</v>
      </c>
      <c r="H7" s="243">
        <f>_018_570[[#This Row],['#08已委外數量]]-_018_570[[#This Row],['#08回
良品]]-_018_570[[#This Row],['#08委外NG]]</f>
        <v>0</v>
      </c>
      <c r="I7" s="243">
        <f>SUMIFS(record[OK],record[製程料號],_018_570[[#This Row],[製令單號]],record[ProcessSN],I$1)</f>
        <v>192</v>
      </c>
      <c r="J7" s="244">
        <f>SUMIFS(record[NG],record[製程料號],_018_570[[#This Row],[製令單號]],record[ProcessSN],J$1)</f>
        <v>7</v>
      </c>
      <c r="K7" s="245">
        <f>IFERROR(_018_570[[#This Row],['#08委外NG]]/_018_570[[#This Row],['#08已委外數量]],"")</f>
        <v>3.5175879396984924E-2</v>
      </c>
      <c r="L7" s="243">
        <f>_018_570[[#This Row],['#08回
良品]]-_018_570[[#This Row],['#06檢驗OK]]-_018_570[[#This Row],['#06
QC NG]]</f>
        <v>0</v>
      </c>
      <c r="M7" s="243">
        <f>SUMIFS(record[OK],record[製程料號],_018_570[[#This Row],[製令單號]],record[ProcessSN],M$1)</f>
        <v>192</v>
      </c>
      <c r="N7" s="244">
        <f>SUMIFS(record[NG],record[製程料號],_018_570[[#This Row],[製令單號]],record[ProcessSN],N$1)</f>
        <v>0</v>
      </c>
      <c r="O7" s="243">
        <f>_018_570[[#This Row],['#06檢驗OK]]-_018_570[[#This Row],[不良品]]-_018_570[[#This Row],[良品]]</f>
        <v>0</v>
      </c>
      <c r="P7" s="243">
        <f>SUMIFS(record[OK],record[製程料號],_018_570[[#This Row],[製令單號]],record[ProcessSN],P$1)</f>
        <v>184</v>
      </c>
      <c r="Q7" s="244">
        <f>SUMIFS(record[NG],record[製程料號],_018_570[[#This Row],[製令單號]],record[ProcessSN],Q$1)</f>
        <v>8</v>
      </c>
      <c r="R7" s="243">
        <f>_018_570[[#This Row],[良品]]-_018_570[[#This Row],[良品放行]]-_018_570[[#This Row],[不良待處理]]</f>
        <v>0</v>
      </c>
      <c r="S7" s="243">
        <f>SUMIFS(record[OK],record[製程料號],_018_570[[#This Row],[製令單號]],record[ProcessSN],S$1)</f>
        <v>184</v>
      </c>
      <c r="T7" s="244">
        <f>SUMIFS(record[NG],record[製程料號],_018_570[[#This Row],[製令單號]],record[ProcessSN],T$1)</f>
        <v>0</v>
      </c>
      <c r="U7" s="243">
        <f>_018_570[[#This Row],[良品放行]]-_018_570[[#This Row],[入庫]]</f>
        <v>0</v>
      </c>
      <c r="V7" s="243">
        <f>SUMIFS(record[OK],record[製程料號],_018_570[[#This Row],[製令單號]],record[ProcessSN],V$1)</f>
        <v>184</v>
      </c>
      <c r="W7" s="243">
        <f>_018_570[[#This Row],[入庫]]-_018_570[[#This Row],[已出貨]]</f>
        <v>0</v>
      </c>
      <c r="X7" s="246"/>
      <c r="Y7" s="243">
        <f>SUMIFS(record[OK],record[製程料號],_018_570[[#This Row],[製令單號]],record[ProcessSN],Y$1)</f>
        <v>184</v>
      </c>
      <c r="Z7" s="247">
        <f>_018_570[[#This Row],[不良待處理]]+_018_570[[#This Row],[不良品]]+_018_570[[#This Row],['#06
QC NG]]+_018_570[[#This Row],['#08委外NG]]</f>
        <v>15</v>
      </c>
      <c r="AA7" s="245">
        <f>IF(_018_570[[#This Row],[已出貨]]+_018_570[[#This Row],[總不良數]]+_018_570[[#This Row],[可出貨數量]]=_018_570[[#This Row],[入料數]],(_018_570[[#This Row],[可出貨數量]]+_018_570[[#This Row],[已出貨]])/_018_570[[#This Row],[入料數]],"")</f>
        <v>0.92462311557788945</v>
      </c>
    </row>
    <row r="8" spans="1:27" ht="30.75" x14ac:dyDescent="0.25">
      <c r="A8" s="239">
        <v>46147</v>
      </c>
      <c r="B8" s="240" t="s">
        <v>1970</v>
      </c>
      <c r="C8" s="241" t="s">
        <v>501</v>
      </c>
      <c r="D8" s="242">
        <v>105</v>
      </c>
      <c r="E8" s="243">
        <f>_018_570[[#This Row],[入料數]]-_018_570[[#This Row],['#08已委外數量]]</f>
        <v>0</v>
      </c>
      <c r="F8" s="243">
        <f>SUMIFS(record[OK],record[製程料號],_018_570[[#This Row],[製令單號]],record[ProcessSN],F$1)</f>
        <v>105</v>
      </c>
      <c r="G8" s="242" t="str">
        <f>IF(_018_570[[#This Row],['#08已委外數量]]&gt;0,VLOOKUP(G$1,record[[ProcessSN]:[廠商]],12,FALSE),"尚未委外")</f>
        <v>泉盛</v>
      </c>
      <c r="H8" s="243">
        <f>_018_570[[#This Row],['#08已委外數量]]-_018_570[[#This Row],['#08回
良品]]-_018_570[[#This Row],['#08委外NG]]</f>
        <v>0</v>
      </c>
      <c r="I8" s="243">
        <f>SUMIFS(record[OK],record[製程料號],_018_570[[#This Row],[製令單號]],record[ProcessSN],I$1)</f>
        <v>105</v>
      </c>
      <c r="J8" s="244">
        <f>SUMIFS(record[NG],record[製程料號],_018_570[[#This Row],[製令單號]],record[ProcessSN],J$1)</f>
        <v>0</v>
      </c>
      <c r="K8" s="245">
        <f>IFERROR(_018_570[[#This Row],['#08委外NG]]/_018_570[[#This Row],['#08已委外數量]],"")</f>
        <v>0</v>
      </c>
      <c r="L8" s="243">
        <f>_018_570[[#This Row],['#08回
良品]]-_018_570[[#This Row],['#06檢驗OK]]-_018_570[[#This Row],['#06
QC NG]]</f>
        <v>0</v>
      </c>
      <c r="M8" s="243">
        <f>SUMIFS(record[OK],record[製程料號],_018_570[[#This Row],[製令單號]],record[ProcessSN],M$1)</f>
        <v>105</v>
      </c>
      <c r="N8" s="244">
        <f>SUMIFS(record[NG],record[製程料號],_018_570[[#This Row],[製令單號]],record[ProcessSN],N$1)</f>
        <v>0</v>
      </c>
      <c r="O8" s="243">
        <f>_018_570[[#This Row],['#06檢驗OK]]-_018_570[[#This Row],[不良品]]-_018_570[[#This Row],[良品]]</f>
        <v>0</v>
      </c>
      <c r="P8" s="243">
        <f>SUMIFS(record[OK],record[製程料號],_018_570[[#This Row],[製令單號]],record[ProcessSN],P$1)</f>
        <v>101</v>
      </c>
      <c r="Q8" s="244">
        <f>SUMIFS(record[NG],record[製程料號],_018_570[[#This Row],[製令單號]],record[ProcessSN],Q$1)</f>
        <v>4</v>
      </c>
      <c r="R8" s="243">
        <f>_018_570[[#This Row],[良品]]-_018_570[[#This Row],[良品放行]]-_018_570[[#This Row],[不良待處理]]</f>
        <v>0</v>
      </c>
      <c r="S8" s="243">
        <f>SUMIFS(record[OK],record[製程料號],_018_570[[#This Row],[製令單號]],record[ProcessSN],S$1)</f>
        <v>101</v>
      </c>
      <c r="T8" s="244">
        <f>SUMIFS(record[NG],record[製程料號],_018_570[[#This Row],[製令單號]],record[ProcessSN],T$1)</f>
        <v>0</v>
      </c>
      <c r="U8" s="243">
        <f>_018_570[[#This Row],[良品放行]]-_018_570[[#This Row],[入庫]]</f>
        <v>0</v>
      </c>
      <c r="V8" s="243">
        <f>SUMIFS(record[OK],record[製程料號],_018_570[[#This Row],[製令單號]],record[ProcessSN],V$1)</f>
        <v>101</v>
      </c>
      <c r="W8" s="243">
        <f>_018_570[[#This Row],[入庫]]-_018_570[[#This Row],[已出貨]]</f>
        <v>0</v>
      </c>
      <c r="X8" s="246"/>
      <c r="Y8" s="243">
        <f>SUMIFS(record[OK],record[製程料號],_018_570[[#This Row],[製令單號]],record[ProcessSN],Y$1)</f>
        <v>101</v>
      </c>
      <c r="Z8" s="247">
        <f>_018_570[[#This Row],[不良待處理]]+_018_570[[#This Row],[不良品]]+_018_570[[#This Row],['#06
QC NG]]+_018_570[[#This Row],['#08委外NG]]</f>
        <v>4</v>
      </c>
      <c r="AA8" s="245">
        <f>IF(_018_570[[#This Row],[已出貨]]+_018_570[[#This Row],[總不良數]]+_018_570[[#This Row],[可出貨數量]]=_018_570[[#This Row],[入料數]],(_018_570[[#This Row],[可出貨數量]]+_018_570[[#This Row],[已出貨]])/_018_570[[#This Row],[入料數]],"")</f>
        <v>0.96190476190476193</v>
      </c>
    </row>
    <row r="9" spans="1:27" ht="30.75" x14ac:dyDescent="0.25">
      <c r="A9" s="239">
        <v>46149</v>
      </c>
      <c r="B9" s="240" t="s">
        <v>1981</v>
      </c>
      <c r="C9" s="241" t="s">
        <v>501</v>
      </c>
      <c r="D9" s="242">
        <v>120</v>
      </c>
      <c r="E9" s="243">
        <f>_018_570[[#This Row],[入料數]]-_018_570[[#This Row],['#08已委外數量]]</f>
        <v>0</v>
      </c>
      <c r="F9" s="243">
        <f>SUMIFS(record[OK],record[製程料號],_018_570[[#This Row],[製令單號]],record[ProcessSN],F$1)</f>
        <v>120</v>
      </c>
      <c r="G9" s="242" t="str">
        <f>IF(_018_570[[#This Row],['#08已委外數量]]&gt;0,VLOOKUP(G$1,record[[ProcessSN]:[廠商]],12,FALSE),"尚未委外")</f>
        <v>泉盛</v>
      </c>
      <c r="H9" s="243">
        <f>_018_570[[#This Row],['#08已委外數量]]-_018_570[[#This Row],['#08回
良品]]-_018_570[[#This Row],['#08委外NG]]</f>
        <v>0</v>
      </c>
      <c r="I9" s="243">
        <f>SUMIFS(record[OK],record[製程料號],_018_570[[#This Row],[製令單號]],record[ProcessSN],I$1)</f>
        <v>116</v>
      </c>
      <c r="J9" s="244">
        <f>SUMIFS(record[NG],record[製程料號],_018_570[[#This Row],[製令單號]],record[ProcessSN],J$1)</f>
        <v>4</v>
      </c>
      <c r="K9" s="245">
        <f>IFERROR(_018_570[[#This Row],['#08委外NG]]/_018_570[[#This Row],['#08已委外數量]],"")</f>
        <v>3.3333333333333333E-2</v>
      </c>
      <c r="L9" s="243">
        <f>_018_570[[#This Row],['#08回
良品]]-_018_570[[#This Row],['#06檢驗OK]]-_018_570[[#This Row],['#06
QC NG]]</f>
        <v>0</v>
      </c>
      <c r="M9" s="243">
        <f>SUMIFS(record[OK],record[製程料號],_018_570[[#This Row],[製令單號]],record[ProcessSN],M$1)</f>
        <v>116</v>
      </c>
      <c r="N9" s="244">
        <f>SUMIFS(record[NG],record[製程料號],_018_570[[#This Row],[製令單號]],record[ProcessSN],N$1)</f>
        <v>0</v>
      </c>
      <c r="O9" s="243">
        <f>_018_570[[#This Row],['#06檢驗OK]]-_018_570[[#This Row],[不良品]]-_018_570[[#This Row],[良品]]</f>
        <v>0</v>
      </c>
      <c r="P9" s="243">
        <f>SUMIFS(record[OK],record[製程料號],_018_570[[#This Row],[製令單號]],record[ProcessSN],P$1)</f>
        <v>116</v>
      </c>
      <c r="Q9" s="244">
        <f>SUMIFS(record[NG],record[製程料號],_018_570[[#This Row],[製令單號]],record[ProcessSN],Q$1)</f>
        <v>0</v>
      </c>
      <c r="R9" s="243">
        <f>_018_570[[#This Row],[良品]]-_018_570[[#This Row],[良品放行]]-_018_570[[#This Row],[不良待處理]]</f>
        <v>0</v>
      </c>
      <c r="S9" s="243">
        <f>SUMIFS(record[OK],record[製程料號],_018_570[[#This Row],[製令單號]],record[ProcessSN],S$1)</f>
        <v>116</v>
      </c>
      <c r="T9" s="244">
        <f>SUMIFS(record[NG],record[製程料號],_018_570[[#This Row],[製令單號]],record[ProcessSN],T$1)</f>
        <v>0</v>
      </c>
      <c r="U9" s="243">
        <f>_018_570[[#This Row],[良品放行]]-_018_570[[#This Row],[入庫]]</f>
        <v>26</v>
      </c>
      <c r="V9" s="243">
        <f>SUMIFS(record[OK],record[製程料號],_018_570[[#This Row],[製令單號]],record[ProcessSN],V$1)</f>
        <v>90</v>
      </c>
      <c r="W9" s="243">
        <f>_018_570[[#This Row],[入庫]]-_018_570[[#This Row],[已出貨]]</f>
        <v>0</v>
      </c>
      <c r="X9" s="246"/>
      <c r="Y9" s="243">
        <f>SUMIFS(record[OK],record[製程料號],_018_570[[#This Row],[製令單號]],record[ProcessSN],Y$1)</f>
        <v>90</v>
      </c>
      <c r="Z9" s="247">
        <f>_018_570[[#This Row],[不良待處理]]+_018_570[[#This Row],[不良品]]+_018_570[[#This Row],['#06
QC NG]]+_018_570[[#This Row],['#08委外NG]]</f>
        <v>4</v>
      </c>
      <c r="AA9" s="245" t="str">
        <f>IF(_018_570[[#This Row],[已出貨]]+_018_570[[#This Row],[總不良數]]+_018_570[[#This Row],[可出貨數量]]=_018_570[[#This Row],[入料數]],(_018_570[[#This Row],[可出貨數量]]+_018_570[[#This Row],[已出貨]])/_018_570[[#This Row],[入料數]],"")</f>
        <v/>
      </c>
    </row>
    <row r="10" spans="1:27" ht="15.75" x14ac:dyDescent="0.25"/>
    <row r="11" spans="1:27" ht="15.75" x14ac:dyDescent="0.25"/>
    <row r="12" spans="1:27" ht="15.75" x14ac:dyDescent="0.25"/>
    <row r="13" spans="1:27" ht="15.75" x14ac:dyDescent="0.25"/>
    <row r="14" spans="1:27" ht="15.75" x14ac:dyDescent="0.25"/>
    <row r="15" spans="1:27" ht="15.75" x14ac:dyDescent="0.25"/>
    <row r="16" spans="1:27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  <row r="22" ht="15.75" x14ac:dyDescent="0.25"/>
    <row r="23" ht="15.75" x14ac:dyDescent="0.25"/>
    <row r="24" ht="15.75" x14ac:dyDescent="0.25"/>
    <row r="25" ht="15.75" x14ac:dyDescent="0.25"/>
    <row r="26" ht="15.75" x14ac:dyDescent="0.25"/>
    <row r="27" ht="15.75" x14ac:dyDescent="0.25"/>
    <row r="28" ht="15.75" x14ac:dyDescent="0.25"/>
    <row r="29" ht="15.75" x14ac:dyDescent="0.25"/>
    <row r="30" ht="15.75" x14ac:dyDescent="0.25"/>
    <row r="31" ht="15.75" x14ac:dyDescent="0.25"/>
    <row r="32" ht="15.75" x14ac:dyDescent="0.25"/>
    <row r="33" ht="15.75" x14ac:dyDescent="0.25"/>
    <row r="34" ht="15.75" x14ac:dyDescent="0.25"/>
    <row r="35" ht="15.75" x14ac:dyDescent="0.25"/>
    <row r="36" ht="15.75" x14ac:dyDescent="0.25"/>
    <row r="37" ht="15.75" x14ac:dyDescent="0.25"/>
    <row r="38" ht="15.75" x14ac:dyDescent="0.25"/>
    <row r="39" ht="15.75" x14ac:dyDescent="0.25"/>
    <row r="40" ht="15.75" x14ac:dyDescent="0.25"/>
    <row r="41" ht="15.75" x14ac:dyDescent="0.25"/>
    <row r="42" ht="15.75" x14ac:dyDescent="0.25"/>
  </sheetData>
  <mergeCells count="17">
    <mergeCell ref="Y2:Y3"/>
    <mergeCell ref="Z2:Z3"/>
    <mergeCell ref="AA2:AA4"/>
    <mergeCell ref="O3:Q3"/>
    <mergeCell ref="R3:T3"/>
    <mergeCell ref="R2:T2"/>
    <mergeCell ref="U2:W3"/>
    <mergeCell ref="A2:A4"/>
    <mergeCell ref="B2:B4"/>
    <mergeCell ref="D2:D3"/>
    <mergeCell ref="E2:J2"/>
    <mergeCell ref="K2:K4"/>
    <mergeCell ref="L2:N2"/>
    <mergeCell ref="E3:J3"/>
    <mergeCell ref="L3:N3"/>
    <mergeCell ref="G4:H4"/>
    <mergeCell ref="O2:Q2"/>
  </mergeCells>
  <phoneticPr fontId="3" type="noConversion"/>
  <conditionalFormatting sqref="E5:F9 H5:I9 L5:M9 O5:P9 R5:S9 U5:Y9">
    <cfRule type="cellIs" dxfId="494" priority="10" operator="lessThan">
      <formula>0</formula>
    </cfRule>
    <cfRule type="cellIs" dxfId="493" priority="11" operator="greaterThan">
      <formula>0</formula>
    </cfRule>
  </conditionalFormatting>
  <conditionalFormatting sqref="AA5:AA9">
    <cfRule type="cellIs" dxfId="492" priority="3" operator="lessThan">
      <formula>0.97</formula>
    </cfRule>
  </conditionalFormatting>
  <conditionalFormatting sqref="J5:K9 N5:N9 Q5:Q9 T5:T9">
    <cfRule type="cellIs" dxfId="491" priority="8" operator="greaterThan">
      <formula>0</formula>
    </cfRule>
  </conditionalFormatting>
  <conditionalFormatting sqref="G5:G9">
    <cfRule type="containsText" dxfId="490" priority="6" operator="containsText" text="尚未委外">
      <formula>NOT(ISERROR(SEARCH("尚未委外",G5)))</formula>
    </cfRule>
    <cfRule type="notContainsBlanks" dxfId="489" priority="7">
      <formula>LEN(TRIM(G5))&gt;0</formula>
    </cfRule>
  </conditionalFormatting>
  <conditionalFormatting sqref="K5:K9">
    <cfRule type="containsBlanks" dxfId="488" priority="4">
      <formula>LEN(TRIM(K5))=0</formula>
    </cfRule>
    <cfRule type="cellIs" dxfId="487" priority="5" operator="greaterThan">
      <formula>0.03</formula>
    </cfRule>
  </conditionalFormatting>
  <conditionalFormatting sqref="AA5:AA9">
    <cfRule type="containsBlanks" dxfId="486" priority="1">
      <formula>LEN(TRIM(AA5))=0</formula>
    </cfRule>
    <cfRule type="cellIs" dxfId="485" priority="2" operator="greaterThanOrEqual">
      <formula>0.97</formula>
    </cfRule>
    <cfRule type="notContainsBlanks" dxfId="484" priority="9">
      <formula>LEN(TRIM(AA5))&gt;0</formula>
    </cfRule>
  </conditionalFormatting>
  <pageMargins left="0.7" right="0.7" top="0.75" bottom="0.75" header="0.51180555555555496" footer="0.51180555555555496"/>
  <pageSetup paperSize="9" firstPageNumber="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C7469-BB74-44A4-99D6-7A6DB67C15AB}">
  <sheetPr codeName="工作表25">
    <tabColor rgb="FF7030A0"/>
  </sheetPr>
  <dimension ref="A1:AA96"/>
  <sheetViews>
    <sheetView zoomScale="50" zoomScaleNormal="50" workbookViewId="0">
      <pane xSplit="4" ySplit="5" topLeftCell="E69" activePane="bottomRight" state="frozen"/>
      <selection activeCell="K50" sqref="K50"/>
      <selection pane="topRight" activeCell="K50" sqref="K50"/>
      <selection pane="bottomLeft" activeCell="K50" sqref="K50"/>
      <selection pane="bottomRight" activeCell="E3" sqref="E3:J3"/>
    </sheetView>
  </sheetViews>
  <sheetFormatPr defaultColWidth="17.7109375" defaultRowHeight="42" customHeight="1" x14ac:dyDescent="0.25"/>
  <cols>
    <col min="1" max="1" width="25.85546875" style="3" bestFit="1" customWidth="1"/>
    <col min="2" max="2" width="25.85546875" style="2" bestFit="1" customWidth="1"/>
    <col min="3" max="3" width="25.5703125" style="2" hidden="1" customWidth="1"/>
    <col min="4" max="4" width="22.5703125" style="2" bestFit="1" customWidth="1"/>
    <col min="5" max="5" width="25.85546875" style="2" bestFit="1" customWidth="1"/>
    <col min="6" max="6" width="26.85546875" style="2" hidden="1" customWidth="1"/>
    <col min="7" max="8" width="25.85546875" style="2" bestFit="1" customWidth="1"/>
    <col min="9" max="9" width="11.7109375" style="2" hidden="1" customWidth="1"/>
    <col min="10" max="11" width="25.85546875" style="2" bestFit="1" customWidth="1"/>
    <col min="12" max="12" width="25.85546875" style="3" bestFit="1" customWidth="1"/>
    <col min="13" max="13" width="11.140625" style="2" hidden="1" customWidth="1"/>
    <col min="14" max="14" width="23.7109375" style="2" bestFit="1" customWidth="1"/>
    <col min="15" max="15" width="25.85546875" style="3" bestFit="1" customWidth="1"/>
    <col min="16" max="16" width="17.85546875" style="2" hidden="1" customWidth="1"/>
    <col min="17" max="17" width="22.5703125" style="2" bestFit="1" customWidth="1"/>
    <col min="18" max="18" width="25.85546875" style="3" bestFit="1" customWidth="1"/>
    <col min="19" max="19" width="23.7109375" style="2" hidden="1" customWidth="1"/>
    <col min="20" max="20" width="25.85546875" style="2" bestFit="1" customWidth="1"/>
    <col min="21" max="21" width="22.5703125" style="2" bestFit="1" customWidth="1"/>
    <col min="22" max="22" width="23.5703125" style="2" hidden="1" customWidth="1"/>
    <col min="23" max="23" width="25.85546875" style="2" bestFit="1" customWidth="1"/>
    <col min="24" max="24" width="17.7109375" style="2" bestFit="1" customWidth="1"/>
    <col min="25" max="25" width="19.85546875" style="2" hidden="1" customWidth="1"/>
    <col min="26" max="26" width="25.85546875" style="2" bestFit="1" customWidth="1"/>
    <col min="27" max="27" width="22.5703125" style="2" bestFit="1" customWidth="1"/>
    <col min="28" max="16384" width="17.7109375" style="2"/>
  </cols>
  <sheetData>
    <row r="1" spans="1:27" ht="101.25" hidden="1" customHeight="1" thickBot="1" x14ac:dyDescent="0.3">
      <c r="F1" s="2" t="s">
        <v>422</v>
      </c>
      <c r="G1" s="2" t="s">
        <v>422</v>
      </c>
      <c r="I1" s="2" t="s">
        <v>423</v>
      </c>
      <c r="J1" s="2" t="s">
        <v>423</v>
      </c>
      <c r="M1" s="2" t="s">
        <v>424</v>
      </c>
      <c r="N1" s="2" t="s">
        <v>424</v>
      </c>
      <c r="P1" s="2" t="s">
        <v>425</v>
      </c>
      <c r="Q1" s="2" t="s">
        <v>425</v>
      </c>
      <c r="S1" s="2" t="s">
        <v>426</v>
      </c>
      <c r="T1" s="2" t="s">
        <v>426</v>
      </c>
      <c r="V1" s="2" t="s">
        <v>427</v>
      </c>
      <c r="Y1" s="2" t="s">
        <v>428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576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54" t="s">
        <v>67</v>
      </c>
      <c r="AA2" s="336" t="s">
        <v>69</v>
      </c>
    </row>
    <row r="3" spans="1:27" ht="42" customHeight="1" thickBot="1" x14ac:dyDescent="0.3">
      <c r="A3" s="281"/>
      <c r="B3" s="325"/>
      <c r="C3" s="14"/>
      <c r="D3" s="328"/>
      <c r="E3" s="313" t="s">
        <v>1142</v>
      </c>
      <c r="F3" s="314"/>
      <c r="G3" s="314"/>
      <c r="H3" s="314"/>
      <c r="I3" s="314"/>
      <c r="J3" s="315"/>
      <c r="K3" s="330"/>
      <c r="L3" s="316" t="s">
        <v>1127</v>
      </c>
      <c r="M3" s="317"/>
      <c r="N3" s="318"/>
      <c r="O3" s="339" t="s">
        <v>1106</v>
      </c>
      <c r="P3" s="340"/>
      <c r="Q3" s="341"/>
      <c r="R3" s="342" t="s">
        <v>503</v>
      </c>
      <c r="S3" s="343"/>
      <c r="T3" s="344"/>
      <c r="U3" s="351"/>
      <c r="V3" s="352"/>
      <c r="W3" s="353"/>
      <c r="X3" s="134"/>
      <c r="Y3" s="333"/>
      <c r="Z3" s="355"/>
      <c r="AA3" s="337"/>
    </row>
    <row r="4" spans="1:27" ht="42" customHeight="1" thickBot="1" x14ac:dyDescent="0.3">
      <c r="A4" s="282"/>
      <c r="B4" s="326"/>
      <c r="C4" s="10"/>
      <c r="D4" s="27">
        <f>SUM(_018_600[入料數])</f>
        <v>26501</v>
      </c>
      <c r="E4" s="25">
        <f>SUM(_018_600['#08待委外數量])</f>
        <v>0</v>
      </c>
      <c r="F4" s="25">
        <f>SUM(_018_600['#08已委外數量])</f>
        <v>26501</v>
      </c>
      <c r="G4" s="319">
        <f>SUM(_018_600['#08待回數量])</f>
        <v>1120</v>
      </c>
      <c r="H4" s="320"/>
      <c r="I4" s="25">
        <f>SUM(_018_600['#08已委外數量])</f>
        <v>26501</v>
      </c>
      <c r="J4" s="25">
        <f>SUM(_018_600['#08委外NG])</f>
        <v>1104</v>
      </c>
      <c r="K4" s="331"/>
      <c r="L4" s="26">
        <f>SUM(_018_600['#06待檢驗
數量])</f>
        <v>0</v>
      </c>
      <c r="M4" s="26">
        <f>SUM(_018_600['#06檢驗OK])</f>
        <v>24277</v>
      </c>
      <c r="N4" s="26">
        <f>SUM(_018_600['#06
QC NG])</f>
        <v>0</v>
      </c>
      <c r="O4" s="26">
        <f>SUM(_018_600[成品待檢驗])</f>
        <v>0</v>
      </c>
      <c r="P4" s="26">
        <f>SUM(_018_600[良品])</f>
        <v>23904</v>
      </c>
      <c r="Q4" s="26">
        <f>SUM(_018_600[不良品])</f>
        <v>373</v>
      </c>
      <c r="R4" s="26">
        <f>SUM(_018_600[已包裝待放行])</f>
        <v>0</v>
      </c>
      <c r="S4" s="26">
        <f>SUM(_018_600[良品])</f>
        <v>23904</v>
      </c>
      <c r="T4" s="26">
        <f>SUM(_018_600[不良品])</f>
        <v>373</v>
      </c>
      <c r="U4" s="131">
        <f>SUM(_018_600[未入庫])</f>
        <v>34</v>
      </c>
      <c r="V4" s="26">
        <f>SUM(_018_600[入庫])</f>
        <v>23870</v>
      </c>
      <c r="W4" s="131">
        <f>SUM(_018_600[可出貨數量])</f>
        <v>0</v>
      </c>
      <c r="X4" s="135"/>
      <c r="Y4" s="132">
        <f>SUM(_018_600[已出貨])</f>
        <v>23870</v>
      </c>
      <c r="Z4" s="65">
        <f>SUM(_018_600[總不良數])</f>
        <v>1477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293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140">
        <v>45582</v>
      </c>
      <c r="B6" s="142" t="s">
        <v>761</v>
      </c>
      <c r="C6" s="6" t="s">
        <v>503</v>
      </c>
      <c r="D6" s="144">
        <v>3</v>
      </c>
      <c r="E6" s="146">
        <f>_018_600[[#This Row],[入料數]]-_018_600[[#This Row],['#08已委外數量]]</f>
        <v>0</v>
      </c>
      <c r="F6" s="146">
        <f>SUMIFS(record[OK],record[製程料號],_018_600[[#This Row],[製令單號]],record[ProcessSN],F$1)</f>
        <v>3</v>
      </c>
      <c r="G6" s="144" t="str">
        <f>IF(_018_600[[#This Row],['#08已委外數量]]&gt;0,VLOOKUP(G$1,record[[ProcessSN]:[廠商]],12,FALSE),"尚未委外")</f>
        <v>泉盛</v>
      </c>
      <c r="H6" s="146">
        <f>_018_600[[#This Row],['#08已委外數量]]-_018_600[[#This Row],['#08回
良品]]-_018_600[[#This Row],['#08委外NG]]</f>
        <v>0</v>
      </c>
      <c r="I6" s="146">
        <f>SUMIFS(record[OK],record[製程料號],_018_600[[#This Row],[製令單號]],record[ProcessSN],I$1)</f>
        <v>3</v>
      </c>
      <c r="J6" s="148">
        <f>SUMIFS(record[NG],record[製程料號],_018_600[[#This Row],[製令單號]],record[ProcessSN],J$1)</f>
        <v>0</v>
      </c>
      <c r="K6" s="150">
        <f>IFERROR(_018_600[[#This Row],['#08委外NG]]/_018_600[[#This Row],['#08已委外數量]],"")</f>
        <v>0</v>
      </c>
      <c r="L6" s="146">
        <f>_018_600[[#This Row],['#08回
良品]]-_018_600[[#This Row],['#06檢驗OK]]-_018_600[[#This Row],['#06
QC NG]]</f>
        <v>0</v>
      </c>
      <c r="M6" s="146">
        <f>SUMIFS(record[OK],record[製程料號],_018_600[[#This Row],[製令單號]],record[ProcessSN],M$1)</f>
        <v>3</v>
      </c>
      <c r="N6" s="148">
        <f>SUMIFS(record[NG],record[製程料號],_018_600[[#This Row],[製令單號]],record[ProcessSN],N$1)</f>
        <v>0</v>
      </c>
      <c r="O6" s="146">
        <f>_018_600[[#This Row],['#06檢驗OK]]-_018_600[[#This Row],[不良品]]-_018_600[[#This Row],[良品]]</f>
        <v>0</v>
      </c>
      <c r="P6" s="146">
        <f>SUMIFS(record[OK],record[製程料號],_018_600[[#This Row],[製令單號]],record[ProcessSN],P$1)</f>
        <v>3</v>
      </c>
      <c r="Q6" s="148">
        <f>SUMIFS(record[NG],record[製程料號],_018_600[[#This Row],[製令單號]],record[ProcessSN],Q$1)</f>
        <v>0</v>
      </c>
      <c r="R6" s="146">
        <f>_018_600[[#This Row],[良品]]-_018_600[[#This Row],[良品放行]]-_018_600[[#This Row],[不良待處理]]</f>
        <v>0</v>
      </c>
      <c r="S6" s="146">
        <f>SUMIFS(record[OK],record[製程料號],_018_600[[#This Row],[製令單號]],record[ProcessSN],S$1)</f>
        <v>3</v>
      </c>
      <c r="T6" s="148">
        <f>SUMIFS(record[NG],record[製程料號],_018_600[[#This Row],[製令單號]],record[ProcessSN],T$1)</f>
        <v>0</v>
      </c>
      <c r="U6" s="146">
        <f>_018_600[[#This Row],[良品放行]]-_018_600[[#This Row],[入庫]]</f>
        <v>0</v>
      </c>
      <c r="V6" s="146">
        <f>SUMIFS(record[OK],record[製程料號],_018_600[[#This Row],[製令單號]],record[ProcessSN],V$1)</f>
        <v>3</v>
      </c>
      <c r="W6" s="146">
        <f>_018_600[[#This Row],[入庫]]-_018_600[[#This Row],[已出貨]]</f>
        <v>0</v>
      </c>
      <c r="X6" s="157"/>
      <c r="Y6" s="146">
        <f>SUMIFS(record[OK],record[製程料號],_018_600[[#This Row],[製令單號]],record[ProcessSN],Y$1)</f>
        <v>3</v>
      </c>
      <c r="Z6" s="152">
        <f>_018_600[[#This Row],[不良待處理]]+_018_600[[#This Row],[不良品]]+_018_600[[#This Row],['#06
QC NG]]+_018_600[[#This Row],['#08委外NG]]</f>
        <v>0</v>
      </c>
      <c r="AA6" s="150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7" spans="1:27" ht="30.75" x14ac:dyDescent="0.25">
      <c r="A7" s="120">
        <v>45647</v>
      </c>
      <c r="B7" s="121" t="s">
        <v>619</v>
      </c>
      <c r="C7" s="122" t="s">
        <v>503</v>
      </c>
      <c r="D7" s="118">
        <v>344</v>
      </c>
      <c r="E7" s="123">
        <f>_018_600[[#This Row],[入料數]]-_018_600[[#This Row],['#08已委外數量]]</f>
        <v>0</v>
      </c>
      <c r="F7" s="123">
        <f>SUMIFS(record[OK],record[製程料號],_018_600[[#This Row],[製令單號]],record[ProcessSN],F$1)</f>
        <v>344</v>
      </c>
      <c r="G7" s="118" t="str">
        <f>IF(_018_600[[#This Row],['#08已委外數量]]&gt;0,VLOOKUP(G$1,record[[ProcessSN]:[廠商]],12,FALSE),"尚未委外")</f>
        <v>泉盛</v>
      </c>
      <c r="H7" s="123">
        <f>_018_600[[#This Row],['#08已委外數量]]-_018_600[[#This Row],['#08回
良品]]-_018_600[[#This Row],['#08委外NG]]</f>
        <v>0</v>
      </c>
      <c r="I7" s="123">
        <f>SUMIFS(record[OK],record[製程料號],_018_600[[#This Row],[製令單號]],record[ProcessSN],I$1)</f>
        <v>325</v>
      </c>
      <c r="J7" s="117">
        <f>SUMIFS(record[NG],record[製程料號],_018_600[[#This Row],[製令單號]],record[ProcessSN],J$1)</f>
        <v>19</v>
      </c>
      <c r="K7" s="124">
        <f>IFERROR(_018_600[[#This Row],['#08委外NG]]/_018_600[[#This Row],['#08已委外數量]],"")</f>
        <v>5.5232558139534885E-2</v>
      </c>
      <c r="L7" s="123">
        <f>_018_600[[#This Row],['#08回
良品]]-_018_600[[#This Row],['#06檢驗OK]]-_018_600[[#This Row],['#06
QC NG]]</f>
        <v>0</v>
      </c>
      <c r="M7" s="123">
        <f>SUMIFS(record[OK],record[製程料號],_018_600[[#This Row],[製令單號]],record[ProcessSN],M$1)</f>
        <v>325</v>
      </c>
      <c r="N7" s="117">
        <f>SUMIFS(record[NG],record[製程料號],_018_600[[#This Row],[製令單號]],record[ProcessSN],N$1)</f>
        <v>0</v>
      </c>
      <c r="O7" s="123">
        <f>_018_600[[#This Row],['#06檢驗OK]]-_018_600[[#This Row],[不良品]]-_018_600[[#This Row],[良品]]</f>
        <v>0</v>
      </c>
      <c r="P7" s="123">
        <f>SUMIFS(record[OK],record[製程料號],_018_600[[#This Row],[製令單號]],record[ProcessSN],P$1)</f>
        <v>325</v>
      </c>
      <c r="Q7" s="117">
        <f>SUMIFS(record[NG],record[製程料號],_018_600[[#This Row],[製令單號]],record[ProcessSN],Q$1)</f>
        <v>0</v>
      </c>
      <c r="R7" s="123">
        <f>_018_600[[#This Row],[良品]]-_018_600[[#This Row],[良品放行]]-_018_600[[#This Row],[不良待處理]]</f>
        <v>0</v>
      </c>
      <c r="S7" s="123">
        <f>SUMIFS(record[OK],record[製程料號],_018_600[[#This Row],[製令單號]],record[ProcessSN],S$1)</f>
        <v>325</v>
      </c>
      <c r="T7" s="117">
        <f>SUMIFS(record[NG],record[製程料號],_018_600[[#This Row],[製令單號]],record[ProcessSN],T$1)</f>
        <v>0</v>
      </c>
      <c r="U7" s="123">
        <f>_018_600[[#This Row],[良品放行]]-_018_600[[#This Row],[入庫]]</f>
        <v>0</v>
      </c>
      <c r="V7" s="123">
        <f>SUMIFS(record[OK],record[製程料號],_018_600[[#This Row],[製令單號]],record[ProcessSN],V$1)</f>
        <v>325</v>
      </c>
      <c r="W7" s="123">
        <f>_018_600[[#This Row],[入庫]]-_018_600[[#This Row],[已出貨]]</f>
        <v>0</v>
      </c>
      <c r="X7" s="137"/>
      <c r="Y7" s="123">
        <f>SUMIFS(record[OK],record[製程料號],_018_600[[#This Row],[製令單號]],record[ProcessSN],Y$1)</f>
        <v>325</v>
      </c>
      <c r="Z7" s="125">
        <f>_018_600[[#This Row],[不良待處理]]+_018_600[[#This Row],[不良品]]+_018_600[[#This Row],['#06
QC NG]]+_018_600[[#This Row],['#08委外NG]]</f>
        <v>19</v>
      </c>
      <c r="AA7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0.94476744186046513</v>
      </c>
    </row>
    <row r="8" spans="1:27" ht="30.75" x14ac:dyDescent="0.25">
      <c r="A8" s="120">
        <v>45647</v>
      </c>
      <c r="B8" s="121" t="s">
        <v>620</v>
      </c>
      <c r="C8" s="122" t="s">
        <v>503</v>
      </c>
      <c r="D8" s="118">
        <v>321</v>
      </c>
      <c r="E8" s="123">
        <f>_018_600[[#This Row],[入料數]]-_018_600[[#This Row],['#08已委外數量]]</f>
        <v>0</v>
      </c>
      <c r="F8" s="123">
        <f>SUMIFS(record[OK],record[製程料號],_018_600[[#This Row],[製令單號]],record[ProcessSN],F$1)</f>
        <v>321</v>
      </c>
      <c r="G8" s="118" t="str">
        <f>IF(_018_600[[#This Row],['#08已委外數量]]&gt;0,VLOOKUP(G$1,record[[ProcessSN]:[廠商]],12,FALSE),"尚未委外")</f>
        <v>泉盛</v>
      </c>
      <c r="H8" s="123">
        <f>_018_600[[#This Row],['#08已委外數量]]-_018_600[[#This Row],['#08回
良品]]-_018_600[[#This Row],['#08委外NG]]</f>
        <v>0</v>
      </c>
      <c r="I8" s="123">
        <f>SUMIFS(record[OK],record[製程料號],_018_600[[#This Row],[製令單號]],record[ProcessSN],I$1)</f>
        <v>310</v>
      </c>
      <c r="J8" s="117">
        <f>SUMIFS(record[NG],record[製程料號],_018_600[[#This Row],[製令單號]],record[ProcessSN],J$1)</f>
        <v>11</v>
      </c>
      <c r="K8" s="124">
        <f>IFERROR(_018_600[[#This Row],['#08委外NG]]/_018_600[[#This Row],['#08已委外數量]],"")</f>
        <v>3.4267912772585667E-2</v>
      </c>
      <c r="L8" s="123">
        <f>_018_600[[#This Row],['#08回
良品]]-_018_600[[#This Row],['#06檢驗OK]]-_018_600[[#This Row],['#06
QC NG]]</f>
        <v>0</v>
      </c>
      <c r="M8" s="123">
        <f>SUMIFS(record[OK],record[製程料號],_018_600[[#This Row],[製令單號]],record[ProcessSN],M$1)</f>
        <v>310</v>
      </c>
      <c r="N8" s="117">
        <f>SUMIFS(record[NG],record[製程料號],_018_600[[#This Row],[製令單號]],record[ProcessSN],N$1)</f>
        <v>0</v>
      </c>
      <c r="O8" s="123">
        <f>_018_600[[#This Row],['#06檢驗OK]]-_018_600[[#This Row],[不良品]]-_018_600[[#This Row],[良品]]</f>
        <v>0</v>
      </c>
      <c r="P8" s="123">
        <f>SUMIFS(record[OK],record[製程料號],_018_600[[#This Row],[製令單號]],record[ProcessSN],P$1)</f>
        <v>304</v>
      </c>
      <c r="Q8" s="117">
        <f>SUMIFS(record[NG],record[製程料號],_018_600[[#This Row],[製令單號]],record[ProcessSN],Q$1)</f>
        <v>6</v>
      </c>
      <c r="R8" s="123">
        <f>_018_600[[#This Row],[良品]]-_018_600[[#This Row],[良品放行]]-_018_600[[#This Row],[不良待處理]]</f>
        <v>0</v>
      </c>
      <c r="S8" s="123">
        <f>SUMIFS(record[OK],record[製程料號],_018_600[[#This Row],[製令單號]],record[ProcessSN],S$1)</f>
        <v>304</v>
      </c>
      <c r="T8" s="117">
        <f>SUMIFS(record[NG],record[製程料號],_018_600[[#This Row],[製令單號]],record[ProcessSN],T$1)</f>
        <v>0</v>
      </c>
      <c r="U8" s="123">
        <f>_018_600[[#This Row],[良品放行]]-_018_600[[#This Row],[入庫]]</f>
        <v>0</v>
      </c>
      <c r="V8" s="123">
        <f>SUMIFS(record[OK],record[製程料號],_018_600[[#This Row],[製令單號]],record[ProcessSN],V$1)</f>
        <v>304</v>
      </c>
      <c r="W8" s="123">
        <f>_018_600[[#This Row],[入庫]]-_018_600[[#This Row],[已出貨]]</f>
        <v>0</v>
      </c>
      <c r="X8" s="137"/>
      <c r="Y8" s="123">
        <f>SUMIFS(record[OK],record[製程料號],_018_600[[#This Row],[製令單號]],record[ProcessSN],Y$1)</f>
        <v>304</v>
      </c>
      <c r="Z8" s="125">
        <f>_018_600[[#This Row],[不良待處理]]+_018_600[[#This Row],[不良品]]+_018_600[[#This Row],['#06
QC NG]]+_018_600[[#This Row],['#08委外NG]]</f>
        <v>17</v>
      </c>
      <c r="AA8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0.9470404984423676</v>
      </c>
    </row>
    <row r="9" spans="1:27" ht="30.75" x14ac:dyDescent="0.25">
      <c r="A9" s="120">
        <v>45647</v>
      </c>
      <c r="B9" s="121" t="s">
        <v>621</v>
      </c>
      <c r="C9" s="122" t="s">
        <v>503</v>
      </c>
      <c r="D9" s="118">
        <v>250</v>
      </c>
      <c r="E9" s="123">
        <f>_018_600[[#This Row],[入料數]]-_018_600[[#This Row],['#08已委外數量]]</f>
        <v>0</v>
      </c>
      <c r="F9" s="123">
        <f>SUMIFS(record[OK],record[製程料號],_018_600[[#This Row],[製令單號]],record[ProcessSN],F$1)</f>
        <v>250</v>
      </c>
      <c r="G9" s="118" t="str">
        <f>IF(_018_600[[#This Row],['#08已委外數量]]&gt;0,VLOOKUP(G$1,record[[ProcessSN]:[廠商]],12,FALSE),"尚未委外")</f>
        <v>泉盛</v>
      </c>
      <c r="H9" s="123">
        <f>_018_600[[#This Row],['#08已委外數量]]-_018_600[[#This Row],['#08回
良品]]-_018_600[[#This Row],['#08委外NG]]</f>
        <v>0</v>
      </c>
      <c r="I9" s="123">
        <f>SUMIFS(record[OK],record[製程料號],_018_600[[#This Row],[製令單號]],record[ProcessSN],I$1)</f>
        <v>229</v>
      </c>
      <c r="J9" s="117">
        <f>SUMIFS(record[NG],record[製程料號],_018_600[[#This Row],[製令單號]],record[ProcessSN],J$1)</f>
        <v>21</v>
      </c>
      <c r="K9" s="124">
        <f>IFERROR(_018_600[[#This Row],['#08委外NG]]/_018_600[[#This Row],['#08已委外數量]],"")</f>
        <v>8.4000000000000005E-2</v>
      </c>
      <c r="L9" s="123">
        <f>_018_600[[#This Row],['#08回
良品]]-_018_600[[#This Row],['#06檢驗OK]]-_018_600[[#This Row],['#06
QC NG]]</f>
        <v>0</v>
      </c>
      <c r="M9" s="123">
        <f>SUMIFS(record[OK],record[製程料號],_018_600[[#This Row],[製令單號]],record[ProcessSN],M$1)</f>
        <v>229</v>
      </c>
      <c r="N9" s="117">
        <f>SUMIFS(record[NG],record[製程料號],_018_600[[#This Row],[製令單號]],record[ProcessSN],N$1)</f>
        <v>0</v>
      </c>
      <c r="O9" s="123">
        <f>_018_600[[#This Row],['#06檢驗OK]]-_018_600[[#This Row],[不良品]]-_018_600[[#This Row],[良品]]</f>
        <v>0</v>
      </c>
      <c r="P9" s="123">
        <f>SUMIFS(record[OK],record[製程料號],_018_600[[#This Row],[製令單號]],record[ProcessSN],P$1)</f>
        <v>229</v>
      </c>
      <c r="Q9" s="117">
        <f>SUMIFS(record[NG],record[製程料號],_018_600[[#This Row],[製令單號]],record[ProcessSN],Q$1)</f>
        <v>0</v>
      </c>
      <c r="R9" s="123">
        <f>_018_600[[#This Row],[良品]]-_018_600[[#This Row],[良品放行]]-_018_600[[#This Row],[不良待處理]]</f>
        <v>0</v>
      </c>
      <c r="S9" s="123">
        <f>SUMIFS(record[OK],record[製程料號],_018_600[[#This Row],[製令單號]],record[ProcessSN],S$1)</f>
        <v>229</v>
      </c>
      <c r="T9" s="117">
        <f>SUMIFS(record[NG],record[製程料號],_018_600[[#This Row],[製令單號]],record[ProcessSN],T$1)</f>
        <v>0</v>
      </c>
      <c r="U9" s="123">
        <f>_018_600[[#This Row],[良品放行]]-_018_600[[#This Row],[入庫]]</f>
        <v>0</v>
      </c>
      <c r="V9" s="123">
        <f>SUMIFS(record[OK],record[製程料號],_018_600[[#This Row],[製令單號]],record[ProcessSN],V$1)</f>
        <v>229</v>
      </c>
      <c r="W9" s="123">
        <f>_018_600[[#This Row],[入庫]]-_018_600[[#This Row],[已出貨]]</f>
        <v>0</v>
      </c>
      <c r="X9" s="137"/>
      <c r="Y9" s="123">
        <f>SUMIFS(record[OK],record[製程料號],_018_600[[#This Row],[製令單號]],record[ProcessSN],Y$1)</f>
        <v>229</v>
      </c>
      <c r="Z9" s="125">
        <f>_018_600[[#This Row],[不良待處理]]+_018_600[[#This Row],[不良品]]+_018_600[[#This Row],['#06
QC NG]]+_018_600[[#This Row],['#08委外NG]]</f>
        <v>21</v>
      </c>
      <c r="AA9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0.91600000000000004</v>
      </c>
    </row>
    <row r="10" spans="1:27" ht="30.75" x14ac:dyDescent="0.25">
      <c r="A10" s="120">
        <v>45647</v>
      </c>
      <c r="B10" s="121" t="s">
        <v>622</v>
      </c>
      <c r="C10" s="122" t="s">
        <v>503</v>
      </c>
      <c r="D10" s="118">
        <v>460</v>
      </c>
      <c r="E10" s="123">
        <f>_018_600[[#This Row],[入料數]]-_018_600[[#This Row],['#08已委外數量]]</f>
        <v>0</v>
      </c>
      <c r="F10" s="123">
        <f>SUMIFS(record[OK],record[製程料號],_018_600[[#This Row],[製令單號]],record[ProcessSN],F$1)</f>
        <v>460</v>
      </c>
      <c r="G10" s="118" t="str">
        <f>IF(_018_600[[#This Row],['#08已委外數量]]&gt;0,VLOOKUP(G$1,record[[ProcessSN]:[廠商]],12,FALSE),"尚未委外")</f>
        <v>泉盛</v>
      </c>
      <c r="H10" s="123">
        <f>_018_600[[#This Row],['#08已委外數量]]-_018_600[[#This Row],['#08回
良品]]-_018_600[[#This Row],['#08委外NG]]</f>
        <v>0</v>
      </c>
      <c r="I10" s="123">
        <f>SUMIFS(record[OK],record[製程料號],_018_600[[#This Row],[製令單號]],record[ProcessSN],I$1)</f>
        <v>455</v>
      </c>
      <c r="J10" s="117">
        <f>SUMIFS(record[NG],record[製程料號],_018_600[[#This Row],[製令單號]],record[ProcessSN],J$1)</f>
        <v>5</v>
      </c>
      <c r="K10" s="124">
        <f>IFERROR(_018_600[[#This Row],['#08委外NG]]/_018_600[[#This Row],['#08已委外數量]],"")</f>
        <v>1.0869565217391304E-2</v>
      </c>
      <c r="L10" s="123">
        <f>_018_600[[#This Row],['#08回
良品]]-_018_600[[#This Row],['#06檢驗OK]]-_018_600[[#This Row],['#06
QC NG]]</f>
        <v>0</v>
      </c>
      <c r="M10" s="123">
        <f>SUMIFS(record[OK],record[製程料號],_018_600[[#This Row],[製令單號]],record[ProcessSN],M$1)</f>
        <v>455</v>
      </c>
      <c r="N10" s="117">
        <f>SUMIFS(record[NG],record[製程料號],_018_600[[#This Row],[製令單號]],record[ProcessSN],N$1)</f>
        <v>0</v>
      </c>
      <c r="O10" s="123">
        <f>_018_600[[#This Row],['#06檢驗OK]]-_018_600[[#This Row],[不良品]]-_018_600[[#This Row],[良品]]</f>
        <v>0</v>
      </c>
      <c r="P10" s="123">
        <f>SUMIFS(record[OK],record[製程料號],_018_600[[#This Row],[製令單號]],record[ProcessSN],P$1)</f>
        <v>451</v>
      </c>
      <c r="Q10" s="117">
        <f>SUMIFS(record[NG],record[製程料號],_018_600[[#This Row],[製令單號]],record[ProcessSN],Q$1)</f>
        <v>4</v>
      </c>
      <c r="R10" s="123">
        <f>_018_600[[#This Row],[良品]]-_018_600[[#This Row],[良品放行]]-_018_600[[#This Row],[不良待處理]]</f>
        <v>0</v>
      </c>
      <c r="S10" s="123">
        <f>SUMIFS(record[OK],record[製程料號],_018_600[[#This Row],[製令單號]],record[ProcessSN],S$1)</f>
        <v>451</v>
      </c>
      <c r="T10" s="117">
        <f>SUMIFS(record[NG],record[製程料號],_018_600[[#This Row],[製令單號]],record[ProcessSN],T$1)</f>
        <v>0</v>
      </c>
      <c r="U10" s="123">
        <f>_018_600[[#This Row],[良品放行]]-_018_600[[#This Row],[入庫]]</f>
        <v>0</v>
      </c>
      <c r="V10" s="123">
        <f>SUMIFS(record[OK],record[製程料號],_018_600[[#This Row],[製令單號]],record[ProcessSN],V$1)</f>
        <v>451</v>
      </c>
      <c r="W10" s="123">
        <f>_018_600[[#This Row],[入庫]]-_018_600[[#This Row],[已出貨]]</f>
        <v>0</v>
      </c>
      <c r="X10" s="137"/>
      <c r="Y10" s="123">
        <f>SUMIFS(record[OK],record[製程料號],_018_600[[#This Row],[製令單號]],record[ProcessSN],Y$1)</f>
        <v>451</v>
      </c>
      <c r="Z10" s="125">
        <f>_018_600[[#This Row],[不良待處理]]+_018_600[[#This Row],[不良品]]+_018_600[[#This Row],['#06
QC NG]]+_018_600[[#This Row],['#08委外NG]]</f>
        <v>9</v>
      </c>
      <c r="AA10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0.98043478260869565</v>
      </c>
    </row>
    <row r="11" spans="1:27" ht="30.75" x14ac:dyDescent="0.25">
      <c r="A11" s="120">
        <v>45647</v>
      </c>
      <c r="B11" s="121" t="s">
        <v>623</v>
      </c>
      <c r="C11" s="122" t="s">
        <v>503</v>
      </c>
      <c r="D11" s="118">
        <v>165</v>
      </c>
      <c r="E11" s="123">
        <f>_018_600[[#This Row],[入料數]]-_018_600[[#This Row],['#08已委外數量]]</f>
        <v>0</v>
      </c>
      <c r="F11" s="123">
        <f>SUMIFS(record[OK],record[製程料號],_018_600[[#This Row],[製令單號]],record[ProcessSN],F$1)</f>
        <v>165</v>
      </c>
      <c r="G11" s="118" t="str">
        <f>IF(_018_600[[#This Row],['#08已委外數量]]&gt;0,VLOOKUP(G$1,record[[ProcessSN]:[廠商]],12,FALSE),"尚未委外")</f>
        <v>泉盛</v>
      </c>
      <c r="H11" s="123">
        <f>_018_600[[#This Row],['#08已委外數量]]-_018_600[[#This Row],['#08回
良品]]-_018_600[[#This Row],['#08委外NG]]</f>
        <v>0</v>
      </c>
      <c r="I11" s="123">
        <f>SUMIFS(record[OK],record[製程料號],_018_600[[#This Row],[製令單號]],record[ProcessSN],I$1)</f>
        <v>164</v>
      </c>
      <c r="J11" s="117">
        <f>SUMIFS(record[NG],record[製程料號],_018_600[[#This Row],[製令單號]],record[ProcessSN],J$1)</f>
        <v>1</v>
      </c>
      <c r="K11" s="124">
        <f>IFERROR(_018_600[[#This Row],['#08委外NG]]/_018_600[[#This Row],['#08已委外數量]],"")</f>
        <v>6.0606060606060606E-3</v>
      </c>
      <c r="L11" s="123">
        <f>_018_600[[#This Row],['#08回
良品]]-_018_600[[#This Row],['#06檢驗OK]]-_018_600[[#This Row],['#06
QC NG]]</f>
        <v>0</v>
      </c>
      <c r="M11" s="123">
        <f>SUMIFS(record[OK],record[製程料號],_018_600[[#This Row],[製令單號]],record[ProcessSN],M$1)</f>
        <v>164</v>
      </c>
      <c r="N11" s="117">
        <f>SUMIFS(record[NG],record[製程料號],_018_600[[#This Row],[製令單號]],record[ProcessSN],N$1)</f>
        <v>0</v>
      </c>
      <c r="O11" s="123">
        <f>_018_600[[#This Row],['#06檢驗OK]]-_018_600[[#This Row],[不良品]]-_018_600[[#This Row],[良品]]</f>
        <v>0</v>
      </c>
      <c r="P11" s="123">
        <f>SUMIFS(record[OK],record[製程料號],_018_600[[#This Row],[製令單號]],record[ProcessSN],P$1)</f>
        <v>164</v>
      </c>
      <c r="Q11" s="117">
        <f>SUMIFS(record[NG],record[製程料號],_018_600[[#This Row],[製令單號]],record[ProcessSN],Q$1)</f>
        <v>0</v>
      </c>
      <c r="R11" s="123">
        <f>_018_600[[#This Row],[良品]]-_018_600[[#This Row],[良品放行]]-_018_600[[#This Row],[不良待處理]]</f>
        <v>0</v>
      </c>
      <c r="S11" s="123">
        <f>SUMIFS(record[OK],record[製程料號],_018_600[[#This Row],[製令單號]],record[ProcessSN],S$1)</f>
        <v>164</v>
      </c>
      <c r="T11" s="117">
        <f>SUMIFS(record[NG],record[製程料號],_018_600[[#This Row],[製令單號]],record[ProcessSN],T$1)</f>
        <v>0</v>
      </c>
      <c r="U11" s="123">
        <f>_018_600[[#This Row],[良品放行]]-_018_600[[#This Row],[入庫]]</f>
        <v>0</v>
      </c>
      <c r="V11" s="123">
        <f>SUMIFS(record[OK],record[製程料號],_018_600[[#This Row],[製令單號]],record[ProcessSN],V$1)</f>
        <v>164</v>
      </c>
      <c r="W11" s="123">
        <f>_018_600[[#This Row],[入庫]]-_018_600[[#This Row],[已出貨]]</f>
        <v>0</v>
      </c>
      <c r="X11" s="137"/>
      <c r="Y11" s="123">
        <f>SUMIFS(record[OK],record[製程料號],_018_600[[#This Row],[製令單號]],record[ProcessSN],Y$1)</f>
        <v>164</v>
      </c>
      <c r="Z11" s="125">
        <f>_018_600[[#This Row],[不良待處理]]+_018_600[[#This Row],[不良品]]+_018_600[[#This Row],['#06
QC NG]]+_018_600[[#This Row],['#08委外NG]]</f>
        <v>1</v>
      </c>
      <c r="AA11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0.9939393939393939</v>
      </c>
    </row>
    <row r="12" spans="1:27" ht="30.75" x14ac:dyDescent="0.25">
      <c r="A12" s="120">
        <v>45647</v>
      </c>
      <c r="B12" s="121" t="s">
        <v>624</v>
      </c>
      <c r="C12" s="122" t="s">
        <v>503</v>
      </c>
      <c r="D12" s="118">
        <v>324</v>
      </c>
      <c r="E12" s="123">
        <f>_018_600[[#This Row],[入料數]]-_018_600[[#This Row],['#08已委外數量]]</f>
        <v>0</v>
      </c>
      <c r="F12" s="123">
        <f>SUMIFS(record[OK],record[製程料號],_018_600[[#This Row],[製令單號]],record[ProcessSN],F$1)</f>
        <v>324</v>
      </c>
      <c r="G12" s="118" t="str">
        <f>IF(_018_600[[#This Row],['#08已委外數量]]&gt;0,VLOOKUP(G$1,record[[ProcessSN]:[廠商]],12,FALSE),"尚未委外")</f>
        <v>泉盛</v>
      </c>
      <c r="H12" s="123">
        <f>_018_600[[#This Row],['#08已委外數量]]-_018_600[[#This Row],['#08回
良品]]-_018_600[[#This Row],['#08委外NG]]</f>
        <v>0</v>
      </c>
      <c r="I12" s="123">
        <f>SUMIFS(record[OK],record[製程料號],_018_600[[#This Row],[製令單號]],record[ProcessSN],I$1)</f>
        <v>321</v>
      </c>
      <c r="J12" s="117">
        <f>SUMIFS(record[NG],record[製程料號],_018_600[[#This Row],[製令單號]],record[ProcessSN],J$1)</f>
        <v>3</v>
      </c>
      <c r="K12" s="124">
        <f>IFERROR(_018_600[[#This Row],['#08委外NG]]/_018_600[[#This Row],['#08已委外數量]],"")</f>
        <v>9.2592592592592587E-3</v>
      </c>
      <c r="L12" s="123">
        <f>_018_600[[#This Row],['#08回
良品]]-_018_600[[#This Row],['#06檢驗OK]]-_018_600[[#This Row],['#06
QC NG]]</f>
        <v>0</v>
      </c>
      <c r="M12" s="123">
        <f>SUMIFS(record[OK],record[製程料號],_018_600[[#This Row],[製令單號]],record[ProcessSN],M$1)</f>
        <v>321</v>
      </c>
      <c r="N12" s="117">
        <f>SUMIFS(record[NG],record[製程料號],_018_600[[#This Row],[製令單號]],record[ProcessSN],N$1)</f>
        <v>0</v>
      </c>
      <c r="O12" s="123">
        <f>_018_600[[#This Row],['#06檢驗OK]]-_018_600[[#This Row],[不良品]]-_018_600[[#This Row],[良品]]</f>
        <v>0</v>
      </c>
      <c r="P12" s="123">
        <f>SUMIFS(record[OK],record[製程料號],_018_600[[#This Row],[製令單號]],record[ProcessSN],P$1)</f>
        <v>321</v>
      </c>
      <c r="Q12" s="117">
        <f>SUMIFS(record[NG],record[製程料號],_018_600[[#This Row],[製令單號]],record[ProcessSN],Q$1)</f>
        <v>0</v>
      </c>
      <c r="R12" s="123">
        <f>_018_600[[#This Row],[良品]]-_018_600[[#This Row],[良品放行]]-_018_600[[#This Row],[不良待處理]]</f>
        <v>0</v>
      </c>
      <c r="S12" s="123">
        <f>SUMIFS(record[OK],record[製程料號],_018_600[[#This Row],[製令單號]],record[ProcessSN],S$1)</f>
        <v>321</v>
      </c>
      <c r="T12" s="117">
        <f>SUMIFS(record[NG],record[製程料號],_018_600[[#This Row],[製令單號]],record[ProcessSN],T$1)</f>
        <v>0</v>
      </c>
      <c r="U12" s="123">
        <f>_018_600[[#This Row],[良品放行]]-_018_600[[#This Row],[入庫]]</f>
        <v>0</v>
      </c>
      <c r="V12" s="123">
        <f>SUMIFS(record[OK],record[製程料號],_018_600[[#This Row],[製令單號]],record[ProcessSN],V$1)</f>
        <v>321</v>
      </c>
      <c r="W12" s="123">
        <f>_018_600[[#This Row],[入庫]]-_018_600[[#This Row],[已出貨]]</f>
        <v>0</v>
      </c>
      <c r="X12" s="137"/>
      <c r="Y12" s="123">
        <f>SUMIFS(record[OK],record[製程料號],_018_600[[#This Row],[製令單號]],record[ProcessSN],Y$1)</f>
        <v>321</v>
      </c>
      <c r="Z12" s="125">
        <f>_018_600[[#This Row],[不良待處理]]+_018_600[[#This Row],[不良品]]+_018_600[[#This Row],['#06
QC NG]]+_018_600[[#This Row],['#08委外NG]]</f>
        <v>3</v>
      </c>
      <c r="AA12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0.9907407407407407</v>
      </c>
    </row>
    <row r="13" spans="1:27" ht="30.75" x14ac:dyDescent="0.25">
      <c r="A13" s="120">
        <v>45647</v>
      </c>
      <c r="B13" s="121" t="s">
        <v>629</v>
      </c>
      <c r="C13" s="122" t="s">
        <v>503</v>
      </c>
      <c r="D13" s="118">
        <v>474</v>
      </c>
      <c r="E13" s="123">
        <f>_018_600[[#This Row],[入料數]]-_018_600[[#This Row],['#08已委外數量]]</f>
        <v>0</v>
      </c>
      <c r="F13" s="123">
        <f>SUMIFS(record[OK],record[製程料號],_018_600[[#This Row],[製令單號]],record[ProcessSN],F$1)</f>
        <v>474</v>
      </c>
      <c r="G13" s="118" t="str">
        <f>IF(_018_600[[#This Row],['#08已委外數量]]&gt;0,VLOOKUP(G$1,record[[ProcessSN]:[廠商]],12,FALSE),"尚未委外")</f>
        <v>泉盛</v>
      </c>
      <c r="H13" s="123">
        <f>_018_600[[#This Row],['#08已委外數量]]-_018_600[[#This Row],['#08回
良品]]-_018_600[[#This Row],['#08委外NG]]</f>
        <v>0</v>
      </c>
      <c r="I13" s="123">
        <f>SUMIFS(record[OK],record[製程料號],_018_600[[#This Row],[製令單號]],record[ProcessSN],I$1)</f>
        <v>474</v>
      </c>
      <c r="J13" s="117">
        <f>SUMIFS(record[NG],record[製程料號],_018_600[[#This Row],[製令單號]],record[ProcessSN],J$1)</f>
        <v>0</v>
      </c>
      <c r="K13" s="124">
        <f>IFERROR(_018_600[[#This Row],['#08委外NG]]/_018_600[[#This Row],['#08已委外數量]],"")</f>
        <v>0</v>
      </c>
      <c r="L13" s="123">
        <f>_018_600[[#This Row],['#08回
良品]]-_018_600[[#This Row],['#06檢驗OK]]-_018_600[[#This Row],['#06
QC NG]]</f>
        <v>0</v>
      </c>
      <c r="M13" s="123">
        <f>SUMIFS(record[OK],record[製程料號],_018_600[[#This Row],[製令單號]],record[ProcessSN],M$1)</f>
        <v>474</v>
      </c>
      <c r="N13" s="117">
        <f>SUMIFS(record[NG],record[製程料號],_018_600[[#This Row],[製令單號]],record[ProcessSN],N$1)</f>
        <v>0</v>
      </c>
      <c r="O13" s="123">
        <f>_018_600[[#This Row],['#06檢驗OK]]-_018_600[[#This Row],[不良品]]-_018_600[[#This Row],[良品]]</f>
        <v>0</v>
      </c>
      <c r="P13" s="123">
        <f>SUMIFS(record[OK],record[製程料號],_018_600[[#This Row],[製令單號]],record[ProcessSN],P$1)</f>
        <v>457</v>
      </c>
      <c r="Q13" s="117">
        <f>SUMIFS(record[NG],record[製程料號],_018_600[[#This Row],[製令單號]],record[ProcessSN],Q$1)</f>
        <v>17</v>
      </c>
      <c r="R13" s="123">
        <f>_018_600[[#This Row],[良品]]-_018_600[[#This Row],[良品放行]]-_018_600[[#This Row],[不良待處理]]</f>
        <v>0</v>
      </c>
      <c r="S13" s="123">
        <f>SUMIFS(record[OK],record[製程料號],_018_600[[#This Row],[製令單號]],record[ProcessSN],S$1)</f>
        <v>457</v>
      </c>
      <c r="T13" s="117">
        <f>SUMIFS(record[NG],record[製程料號],_018_600[[#This Row],[製令單號]],record[ProcessSN],T$1)</f>
        <v>0</v>
      </c>
      <c r="U13" s="123">
        <f>_018_600[[#This Row],[良品放行]]-_018_600[[#This Row],[入庫]]</f>
        <v>0</v>
      </c>
      <c r="V13" s="123">
        <f>SUMIFS(record[OK],record[製程料號],_018_600[[#This Row],[製令單號]],record[ProcessSN],V$1)</f>
        <v>457</v>
      </c>
      <c r="W13" s="123">
        <f>_018_600[[#This Row],[入庫]]-_018_600[[#This Row],[已出貨]]</f>
        <v>0</v>
      </c>
      <c r="X13" s="137"/>
      <c r="Y13" s="123">
        <f>SUMIFS(record[OK],record[製程料號],_018_600[[#This Row],[製令單號]],record[ProcessSN],Y$1)</f>
        <v>457</v>
      </c>
      <c r="Z13" s="125">
        <f>_018_600[[#This Row],[不良待處理]]+_018_600[[#This Row],[不良品]]+_018_600[[#This Row],['#06
QC NG]]+_018_600[[#This Row],['#08委外NG]]</f>
        <v>17</v>
      </c>
      <c r="AA13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0.96413502109704641</v>
      </c>
    </row>
    <row r="14" spans="1:27" ht="30.75" x14ac:dyDescent="0.25">
      <c r="A14" s="120">
        <v>45647</v>
      </c>
      <c r="B14" s="121" t="s">
        <v>625</v>
      </c>
      <c r="C14" s="122" t="s">
        <v>503</v>
      </c>
      <c r="D14" s="118">
        <v>329</v>
      </c>
      <c r="E14" s="123">
        <f>_018_600[[#This Row],[入料數]]-_018_600[[#This Row],['#08已委外數量]]</f>
        <v>0</v>
      </c>
      <c r="F14" s="123">
        <f>SUMIFS(record[OK],record[製程料號],_018_600[[#This Row],[製令單號]],record[ProcessSN],F$1)</f>
        <v>329</v>
      </c>
      <c r="G14" s="118" t="str">
        <f>IF(_018_600[[#This Row],['#08已委外數量]]&gt;0,VLOOKUP(G$1,record[[ProcessSN]:[廠商]],12,FALSE),"尚未委外")</f>
        <v>泉盛</v>
      </c>
      <c r="H14" s="123">
        <f>_018_600[[#This Row],['#08已委外數量]]-_018_600[[#This Row],['#08回
良品]]-_018_600[[#This Row],['#08委外NG]]</f>
        <v>0</v>
      </c>
      <c r="I14" s="123">
        <f>SUMIFS(record[OK],record[製程料號],_018_600[[#This Row],[製令單號]],record[ProcessSN],I$1)</f>
        <v>326</v>
      </c>
      <c r="J14" s="117">
        <f>SUMIFS(record[NG],record[製程料號],_018_600[[#This Row],[製令單號]],record[ProcessSN],J$1)</f>
        <v>3</v>
      </c>
      <c r="K14" s="124">
        <f>IFERROR(_018_600[[#This Row],['#08委外NG]]/_018_600[[#This Row],['#08已委外數量]],"")</f>
        <v>9.11854103343465E-3</v>
      </c>
      <c r="L14" s="123">
        <f>_018_600[[#This Row],['#08回
良品]]-_018_600[[#This Row],['#06檢驗OK]]-_018_600[[#This Row],['#06
QC NG]]</f>
        <v>0</v>
      </c>
      <c r="M14" s="123">
        <f>SUMIFS(record[OK],record[製程料號],_018_600[[#This Row],[製令單號]],record[ProcessSN],M$1)</f>
        <v>326</v>
      </c>
      <c r="N14" s="117">
        <f>SUMIFS(record[NG],record[製程料號],_018_600[[#This Row],[製令單號]],record[ProcessSN],N$1)</f>
        <v>0</v>
      </c>
      <c r="O14" s="123">
        <f>_018_600[[#This Row],['#06檢驗OK]]-_018_600[[#This Row],[不良品]]-_018_600[[#This Row],[良品]]</f>
        <v>0</v>
      </c>
      <c r="P14" s="123">
        <f>SUMIFS(record[OK],record[製程料號],_018_600[[#This Row],[製令單號]],record[ProcessSN],P$1)</f>
        <v>326</v>
      </c>
      <c r="Q14" s="117">
        <f>SUMIFS(record[NG],record[製程料號],_018_600[[#This Row],[製令單號]],record[ProcessSN],Q$1)</f>
        <v>0</v>
      </c>
      <c r="R14" s="123">
        <f>_018_600[[#This Row],[良品]]-_018_600[[#This Row],[良品放行]]-_018_600[[#This Row],[不良待處理]]</f>
        <v>0</v>
      </c>
      <c r="S14" s="123">
        <f>SUMIFS(record[OK],record[製程料號],_018_600[[#This Row],[製令單號]],record[ProcessSN],S$1)</f>
        <v>326</v>
      </c>
      <c r="T14" s="117">
        <f>SUMIFS(record[NG],record[製程料號],_018_600[[#This Row],[製令單號]],record[ProcessSN],T$1)</f>
        <v>0</v>
      </c>
      <c r="U14" s="123">
        <f>_018_600[[#This Row],[良品放行]]-_018_600[[#This Row],[入庫]]</f>
        <v>0</v>
      </c>
      <c r="V14" s="123">
        <f>SUMIFS(record[OK],record[製程料號],_018_600[[#This Row],[製令單號]],record[ProcessSN],V$1)</f>
        <v>326</v>
      </c>
      <c r="W14" s="123">
        <f>_018_600[[#This Row],[入庫]]-_018_600[[#This Row],[已出貨]]</f>
        <v>0</v>
      </c>
      <c r="X14" s="137"/>
      <c r="Y14" s="123">
        <f>SUMIFS(record[OK],record[製程料號],_018_600[[#This Row],[製令單號]],record[ProcessSN],Y$1)</f>
        <v>326</v>
      </c>
      <c r="Z14" s="125">
        <f>_018_600[[#This Row],[不良待處理]]+_018_600[[#This Row],[不良品]]+_018_600[[#This Row],['#06
QC NG]]+_018_600[[#This Row],['#08委外NG]]</f>
        <v>3</v>
      </c>
      <c r="AA14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0.99088145896656532</v>
      </c>
    </row>
    <row r="15" spans="1:27" ht="30.75" x14ac:dyDescent="0.25">
      <c r="A15" s="120">
        <v>45647</v>
      </c>
      <c r="B15" s="121" t="s">
        <v>626</v>
      </c>
      <c r="C15" s="122" t="s">
        <v>503</v>
      </c>
      <c r="D15" s="118">
        <v>210</v>
      </c>
      <c r="E15" s="123">
        <f>_018_600[[#This Row],[入料數]]-_018_600[[#This Row],['#08已委外數量]]</f>
        <v>0</v>
      </c>
      <c r="F15" s="123">
        <f>SUMIFS(record[OK],record[製程料號],_018_600[[#This Row],[製令單號]],record[ProcessSN],F$1)</f>
        <v>210</v>
      </c>
      <c r="G15" s="118" t="str">
        <f>IF(_018_600[[#This Row],['#08已委外數量]]&gt;0,VLOOKUP(G$1,record[[ProcessSN]:[廠商]],12,FALSE),"尚未委外")</f>
        <v>泉盛</v>
      </c>
      <c r="H15" s="123">
        <f>_018_600[[#This Row],['#08已委外數量]]-_018_600[[#This Row],['#08回
良品]]-_018_600[[#This Row],['#08委外NG]]</f>
        <v>0</v>
      </c>
      <c r="I15" s="123">
        <f>SUMIFS(record[OK],record[製程料號],_018_600[[#This Row],[製令單號]],record[ProcessSN],I$1)</f>
        <v>207</v>
      </c>
      <c r="J15" s="117">
        <f>SUMIFS(record[NG],record[製程料號],_018_600[[#This Row],[製令單號]],record[ProcessSN],J$1)</f>
        <v>3</v>
      </c>
      <c r="K15" s="124">
        <f>IFERROR(_018_600[[#This Row],['#08委外NG]]/_018_600[[#This Row],['#08已委外數量]],"")</f>
        <v>1.4285714285714285E-2</v>
      </c>
      <c r="L15" s="123">
        <f>_018_600[[#This Row],['#08回
良品]]-_018_600[[#This Row],['#06檢驗OK]]-_018_600[[#This Row],['#06
QC NG]]</f>
        <v>0</v>
      </c>
      <c r="M15" s="123">
        <f>SUMIFS(record[OK],record[製程料號],_018_600[[#This Row],[製令單號]],record[ProcessSN],M$1)</f>
        <v>207</v>
      </c>
      <c r="N15" s="117">
        <f>SUMIFS(record[NG],record[製程料號],_018_600[[#This Row],[製令單號]],record[ProcessSN],N$1)</f>
        <v>0</v>
      </c>
      <c r="O15" s="123">
        <f>_018_600[[#This Row],['#06檢驗OK]]-_018_600[[#This Row],[不良品]]-_018_600[[#This Row],[良品]]</f>
        <v>0</v>
      </c>
      <c r="P15" s="123">
        <f>SUMIFS(record[OK],record[製程料號],_018_600[[#This Row],[製令單號]],record[ProcessSN],P$1)</f>
        <v>207</v>
      </c>
      <c r="Q15" s="117">
        <f>SUMIFS(record[NG],record[製程料號],_018_600[[#This Row],[製令單號]],record[ProcessSN],Q$1)</f>
        <v>0</v>
      </c>
      <c r="R15" s="123">
        <f>_018_600[[#This Row],[良品]]-_018_600[[#This Row],[良品放行]]-_018_600[[#This Row],[不良待處理]]</f>
        <v>0</v>
      </c>
      <c r="S15" s="123">
        <f>SUMIFS(record[OK],record[製程料號],_018_600[[#This Row],[製令單號]],record[ProcessSN],S$1)</f>
        <v>207</v>
      </c>
      <c r="T15" s="117">
        <f>SUMIFS(record[NG],record[製程料號],_018_600[[#This Row],[製令單號]],record[ProcessSN],T$1)</f>
        <v>0</v>
      </c>
      <c r="U15" s="123">
        <f>_018_600[[#This Row],[良品放行]]-_018_600[[#This Row],[入庫]]</f>
        <v>0</v>
      </c>
      <c r="V15" s="123">
        <f>SUMIFS(record[OK],record[製程料號],_018_600[[#This Row],[製令單號]],record[ProcessSN],V$1)</f>
        <v>207</v>
      </c>
      <c r="W15" s="123">
        <f>_018_600[[#This Row],[入庫]]-_018_600[[#This Row],[已出貨]]</f>
        <v>0</v>
      </c>
      <c r="X15" s="137"/>
      <c r="Y15" s="123">
        <f>SUMIFS(record[OK],record[製程料號],_018_600[[#This Row],[製令單號]],record[ProcessSN],Y$1)</f>
        <v>207</v>
      </c>
      <c r="Z15" s="125">
        <f>_018_600[[#This Row],[不良待處理]]+_018_600[[#This Row],[不良品]]+_018_600[[#This Row],['#06
QC NG]]+_018_600[[#This Row],['#08委外NG]]</f>
        <v>3</v>
      </c>
      <c r="AA15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0.98571428571428577</v>
      </c>
    </row>
    <row r="16" spans="1:27" ht="30.75" x14ac:dyDescent="0.25">
      <c r="A16" s="120">
        <v>45647</v>
      </c>
      <c r="B16" s="121" t="s">
        <v>627</v>
      </c>
      <c r="C16" s="122" t="s">
        <v>503</v>
      </c>
      <c r="D16" s="118">
        <v>178</v>
      </c>
      <c r="E16" s="123">
        <f>_018_600[[#This Row],[入料數]]-_018_600[[#This Row],['#08已委外數量]]</f>
        <v>0</v>
      </c>
      <c r="F16" s="123">
        <f>SUMIFS(record[OK],record[製程料號],_018_600[[#This Row],[製令單號]],record[ProcessSN],F$1)</f>
        <v>178</v>
      </c>
      <c r="G16" s="118" t="str">
        <f>IF(_018_600[[#This Row],['#08已委外數量]]&gt;0,VLOOKUP(G$1,record[[ProcessSN]:[廠商]],12,FALSE),"尚未委外")</f>
        <v>泉盛</v>
      </c>
      <c r="H16" s="123">
        <f>_018_600[[#This Row],['#08已委外數量]]-_018_600[[#This Row],['#08回
良品]]-_018_600[[#This Row],['#08委外NG]]</f>
        <v>0</v>
      </c>
      <c r="I16" s="123">
        <f>SUMIFS(record[OK],record[製程料號],_018_600[[#This Row],[製令單號]],record[ProcessSN],I$1)</f>
        <v>176</v>
      </c>
      <c r="J16" s="117">
        <f>SUMIFS(record[NG],record[製程料號],_018_600[[#This Row],[製令單號]],record[ProcessSN],J$1)</f>
        <v>2</v>
      </c>
      <c r="K16" s="124">
        <f>IFERROR(_018_600[[#This Row],['#08委外NG]]/_018_600[[#This Row],['#08已委外數量]],"")</f>
        <v>1.1235955056179775E-2</v>
      </c>
      <c r="L16" s="123">
        <f>_018_600[[#This Row],['#08回
良品]]-_018_600[[#This Row],['#06檢驗OK]]-_018_600[[#This Row],['#06
QC NG]]</f>
        <v>0</v>
      </c>
      <c r="M16" s="123">
        <f>SUMIFS(record[OK],record[製程料號],_018_600[[#This Row],[製令單號]],record[ProcessSN],M$1)</f>
        <v>176</v>
      </c>
      <c r="N16" s="117">
        <f>SUMIFS(record[NG],record[製程料號],_018_600[[#This Row],[製令單號]],record[ProcessSN],N$1)</f>
        <v>0</v>
      </c>
      <c r="O16" s="123">
        <f>_018_600[[#This Row],['#06檢驗OK]]-_018_600[[#This Row],[不良品]]-_018_600[[#This Row],[良品]]</f>
        <v>0</v>
      </c>
      <c r="P16" s="123">
        <f>SUMIFS(record[OK],record[製程料號],_018_600[[#This Row],[製令單號]],record[ProcessSN],P$1)</f>
        <v>168</v>
      </c>
      <c r="Q16" s="117">
        <f>SUMIFS(record[NG],record[製程料號],_018_600[[#This Row],[製令單號]],record[ProcessSN],Q$1)</f>
        <v>8</v>
      </c>
      <c r="R16" s="123">
        <f>_018_600[[#This Row],[良品]]-_018_600[[#This Row],[良品放行]]-_018_600[[#This Row],[不良待處理]]</f>
        <v>0</v>
      </c>
      <c r="S16" s="123">
        <f>SUMIFS(record[OK],record[製程料號],_018_600[[#This Row],[製令單號]],record[ProcessSN],S$1)</f>
        <v>168</v>
      </c>
      <c r="T16" s="117">
        <f>SUMIFS(record[NG],record[製程料號],_018_600[[#This Row],[製令單號]],record[ProcessSN],T$1)</f>
        <v>0</v>
      </c>
      <c r="U16" s="123">
        <f>_018_600[[#This Row],[良品放行]]-_018_600[[#This Row],[入庫]]</f>
        <v>0</v>
      </c>
      <c r="V16" s="123">
        <f>SUMIFS(record[OK],record[製程料號],_018_600[[#This Row],[製令單號]],record[ProcessSN],V$1)</f>
        <v>168</v>
      </c>
      <c r="W16" s="123">
        <f>_018_600[[#This Row],[入庫]]-_018_600[[#This Row],[已出貨]]</f>
        <v>0</v>
      </c>
      <c r="X16" s="137"/>
      <c r="Y16" s="123">
        <f>SUMIFS(record[OK],record[製程料號],_018_600[[#This Row],[製令單號]],record[ProcessSN],Y$1)</f>
        <v>168</v>
      </c>
      <c r="Z16" s="125">
        <f>_018_600[[#This Row],[不良待處理]]+_018_600[[#This Row],[不良品]]+_018_600[[#This Row],['#06
QC NG]]+_018_600[[#This Row],['#08委外NG]]</f>
        <v>10</v>
      </c>
      <c r="AA16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0.9438202247191011</v>
      </c>
    </row>
    <row r="17" spans="1:27" ht="30.75" x14ac:dyDescent="0.25">
      <c r="A17" s="120">
        <v>45647</v>
      </c>
      <c r="B17" s="121" t="s">
        <v>628</v>
      </c>
      <c r="C17" s="122" t="s">
        <v>503</v>
      </c>
      <c r="D17" s="118">
        <v>219</v>
      </c>
      <c r="E17" s="123">
        <f>_018_600[[#This Row],[入料數]]-_018_600[[#This Row],['#08已委外數量]]</f>
        <v>0</v>
      </c>
      <c r="F17" s="123">
        <f>SUMIFS(record[OK],record[製程料號],_018_600[[#This Row],[製令單號]],record[ProcessSN],F$1)</f>
        <v>219</v>
      </c>
      <c r="G17" s="118" t="str">
        <f>IF(_018_600[[#This Row],['#08已委外數量]]&gt;0,VLOOKUP(G$1,record[[ProcessSN]:[廠商]],12,FALSE),"尚未委外")</f>
        <v>泉盛</v>
      </c>
      <c r="H17" s="123">
        <f>_018_600[[#This Row],['#08已委外數量]]-_018_600[[#This Row],['#08回
良品]]-_018_600[[#This Row],['#08委外NG]]</f>
        <v>0</v>
      </c>
      <c r="I17" s="123">
        <f>SUMIFS(record[OK],record[製程料號],_018_600[[#This Row],[製令單號]],record[ProcessSN],I$1)</f>
        <v>204</v>
      </c>
      <c r="J17" s="117">
        <f>SUMIFS(record[NG],record[製程料號],_018_600[[#This Row],[製令單號]],record[ProcessSN],J$1)</f>
        <v>15</v>
      </c>
      <c r="K17" s="124">
        <f>IFERROR(_018_600[[#This Row],['#08委外NG]]/_018_600[[#This Row],['#08已委外數量]],"")</f>
        <v>6.8493150684931503E-2</v>
      </c>
      <c r="L17" s="123">
        <f>_018_600[[#This Row],['#08回
良品]]-_018_600[[#This Row],['#06檢驗OK]]-_018_600[[#This Row],['#06
QC NG]]</f>
        <v>0</v>
      </c>
      <c r="M17" s="123">
        <f>SUMIFS(record[OK],record[製程料號],_018_600[[#This Row],[製令單號]],record[ProcessSN],M$1)</f>
        <v>204</v>
      </c>
      <c r="N17" s="117">
        <f>SUMIFS(record[NG],record[製程料號],_018_600[[#This Row],[製令單號]],record[ProcessSN],N$1)</f>
        <v>0</v>
      </c>
      <c r="O17" s="123">
        <f>_018_600[[#This Row],['#06檢驗OK]]-_018_600[[#This Row],[不良品]]-_018_600[[#This Row],[良品]]</f>
        <v>0</v>
      </c>
      <c r="P17" s="123">
        <f>SUMIFS(record[OK],record[製程料號],_018_600[[#This Row],[製令單號]],record[ProcessSN],P$1)</f>
        <v>204</v>
      </c>
      <c r="Q17" s="117">
        <f>SUMIFS(record[NG],record[製程料號],_018_600[[#This Row],[製令單號]],record[ProcessSN],Q$1)</f>
        <v>0</v>
      </c>
      <c r="R17" s="123">
        <f>_018_600[[#This Row],[良品]]-_018_600[[#This Row],[良品放行]]-_018_600[[#This Row],[不良待處理]]</f>
        <v>0</v>
      </c>
      <c r="S17" s="123">
        <f>SUMIFS(record[OK],record[製程料號],_018_600[[#This Row],[製令單號]],record[ProcessSN],S$1)</f>
        <v>204</v>
      </c>
      <c r="T17" s="117">
        <f>SUMIFS(record[NG],record[製程料號],_018_600[[#This Row],[製令單號]],record[ProcessSN],T$1)</f>
        <v>0</v>
      </c>
      <c r="U17" s="123">
        <f>_018_600[[#This Row],[良品放行]]-_018_600[[#This Row],[入庫]]</f>
        <v>0</v>
      </c>
      <c r="V17" s="123">
        <f>SUMIFS(record[OK],record[製程料號],_018_600[[#This Row],[製令單號]],record[ProcessSN],V$1)</f>
        <v>204</v>
      </c>
      <c r="W17" s="123">
        <f>_018_600[[#This Row],[入庫]]-_018_600[[#This Row],[已出貨]]</f>
        <v>0</v>
      </c>
      <c r="X17" s="137"/>
      <c r="Y17" s="123">
        <f>SUMIFS(record[OK],record[製程料號],_018_600[[#This Row],[製令單號]],record[ProcessSN],Y$1)</f>
        <v>204</v>
      </c>
      <c r="Z17" s="125">
        <f>_018_600[[#This Row],[不良待處理]]+_018_600[[#This Row],[不良品]]+_018_600[[#This Row],['#06
QC NG]]+_018_600[[#This Row],['#08委外NG]]</f>
        <v>15</v>
      </c>
      <c r="AA17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0.93150684931506844</v>
      </c>
    </row>
    <row r="18" spans="1:27" ht="30.75" x14ac:dyDescent="0.25">
      <c r="A18" s="120">
        <v>45695</v>
      </c>
      <c r="B18" s="121" t="s">
        <v>717</v>
      </c>
      <c r="C18" s="122" t="s">
        <v>503</v>
      </c>
      <c r="D18" s="118">
        <v>332</v>
      </c>
      <c r="E18" s="123">
        <f>_018_600[[#This Row],[入料數]]-_018_600[[#This Row],['#08已委外數量]]</f>
        <v>0</v>
      </c>
      <c r="F18" s="123">
        <f>SUMIFS(record[OK],record[製程料號],_018_600[[#This Row],[製令單號]],record[ProcessSN],F$1)</f>
        <v>332</v>
      </c>
      <c r="G18" s="118" t="str">
        <f>IF(_018_600[[#This Row],['#08已委外數量]]&gt;0,VLOOKUP(G$1,record[[ProcessSN]:[廠商]],12,FALSE),"尚未委外")</f>
        <v>泉盛</v>
      </c>
      <c r="H18" s="123">
        <f>_018_600[[#This Row],['#08已委外數量]]-_018_600[[#This Row],['#08回
良品]]-_018_600[[#This Row],['#08委外NG]]</f>
        <v>0</v>
      </c>
      <c r="I18" s="123">
        <f>SUMIFS(record[OK],record[製程料號],_018_600[[#This Row],[製令單號]],record[ProcessSN],I$1)</f>
        <v>330</v>
      </c>
      <c r="J18" s="117">
        <f>SUMIFS(record[NG],record[製程料號],_018_600[[#This Row],[製令單號]],record[ProcessSN],J$1)</f>
        <v>2</v>
      </c>
      <c r="K18" s="124">
        <f>IFERROR(_018_600[[#This Row],['#08委外NG]]/_018_600[[#This Row],['#08已委外數量]],"")</f>
        <v>6.024096385542169E-3</v>
      </c>
      <c r="L18" s="123">
        <f>_018_600[[#This Row],['#08回
良品]]-_018_600[[#This Row],['#06檢驗OK]]-_018_600[[#This Row],['#06
QC NG]]</f>
        <v>0</v>
      </c>
      <c r="M18" s="123">
        <f>SUMIFS(record[OK],record[製程料號],_018_600[[#This Row],[製令單號]],record[ProcessSN],M$1)</f>
        <v>330</v>
      </c>
      <c r="N18" s="117">
        <f>SUMIFS(record[NG],record[製程料號],_018_600[[#This Row],[製令單號]],record[ProcessSN],N$1)</f>
        <v>0</v>
      </c>
      <c r="O18" s="123">
        <f>_018_600[[#This Row],['#06檢驗OK]]-_018_600[[#This Row],[不良品]]-_018_600[[#This Row],[良品]]</f>
        <v>0</v>
      </c>
      <c r="P18" s="123">
        <f>SUMIFS(record[OK],record[製程料號],_018_600[[#This Row],[製令單號]],record[ProcessSN],P$1)</f>
        <v>330</v>
      </c>
      <c r="Q18" s="117">
        <f>SUMIFS(record[NG],record[製程料號],_018_600[[#This Row],[製令單號]],record[ProcessSN],Q$1)</f>
        <v>0</v>
      </c>
      <c r="R18" s="123">
        <f>_018_600[[#This Row],[良品]]-_018_600[[#This Row],[良品放行]]-_018_600[[#This Row],[不良待處理]]</f>
        <v>0</v>
      </c>
      <c r="S18" s="123">
        <f>SUMIFS(record[OK],record[製程料號],_018_600[[#This Row],[製令單號]],record[ProcessSN],S$1)</f>
        <v>330</v>
      </c>
      <c r="T18" s="117">
        <f>SUMIFS(record[NG],record[製程料號],_018_600[[#This Row],[製令單號]],record[ProcessSN],T$1)</f>
        <v>0</v>
      </c>
      <c r="U18" s="123">
        <f>_018_600[[#This Row],[良品放行]]-_018_600[[#This Row],[入庫]]</f>
        <v>0</v>
      </c>
      <c r="V18" s="123">
        <f>SUMIFS(record[OK],record[製程料號],_018_600[[#This Row],[製令單號]],record[ProcessSN],V$1)</f>
        <v>330</v>
      </c>
      <c r="W18" s="123">
        <f>_018_600[[#This Row],[入庫]]-_018_600[[#This Row],[已出貨]]</f>
        <v>0</v>
      </c>
      <c r="X18" s="137"/>
      <c r="Y18" s="123">
        <f>SUMIFS(record[OK],record[製程料號],_018_600[[#This Row],[製令單號]],record[ProcessSN],Y$1)</f>
        <v>330</v>
      </c>
      <c r="Z18" s="125">
        <f>_018_600[[#This Row],[不良待處理]]+_018_600[[#This Row],[不良品]]+_018_600[[#This Row],['#06
QC NG]]+_018_600[[#This Row],['#08委外NG]]</f>
        <v>2</v>
      </c>
      <c r="AA18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0.99397590361445787</v>
      </c>
    </row>
    <row r="19" spans="1:27" ht="30.75" x14ac:dyDescent="0.25">
      <c r="A19" s="120">
        <v>45696</v>
      </c>
      <c r="B19" s="121" t="s">
        <v>718</v>
      </c>
      <c r="C19" s="122" t="s">
        <v>503</v>
      </c>
      <c r="D19" s="118">
        <v>177</v>
      </c>
      <c r="E19" s="123">
        <f>_018_600[[#This Row],[入料數]]-_018_600[[#This Row],['#08已委外數量]]</f>
        <v>0</v>
      </c>
      <c r="F19" s="123">
        <f>SUMIFS(record[OK],record[製程料號],_018_600[[#This Row],[製令單號]],record[ProcessSN],F$1)</f>
        <v>177</v>
      </c>
      <c r="G19" s="118" t="str">
        <f>IF(_018_600[[#This Row],['#08已委外數量]]&gt;0,VLOOKUP(G$1,record[[ProcessSN]:[廠商]],12,FALSE),"尚未委外")</f>
        <v>泉盛</v>
      </c>
      <c r="H19" s="123">
        <f>_018_600[[#This Row],['#08已委外數量]]-_018_600[[#This Row],['#08回
良品]]-_018_600[[#This Row],['#08委外NG]]</f>
        <v>0</v>
      </c>
      <c r="I19" s="123">
        <f>SUMIFS(record[OK],record[製程料號],_018_600[[#This Row],[製令單號]],record[ProcessSN],I$1)</f>
        <v>177</v>
      </c>
      <c r="J19" s="117">
        <f>SUMIFS(record[NG],record[製程料號],_018_600[[#This Row],[製令單號]],record[ProcessSN],J$1)</f>
        <v>0</v>
      </c>
      <c r="K19" s="124">
        <f>IFERROR(_018_600[[#This Row],['#08委外NG]]/_018_600[[#This Row],['#08已委外數量]],"")</f>
        <v>0</v>
      </c>
      <c r="L19" s="123">
        <f>_018_600[[#This Row],['#08回
良品]]-_018_600[[#This Row],['#06檢驗OK]]-_018_600[[#This Row],['#06
QC NG]]</f>
        <v>0</v>
      </c>
      <c r="M19" s="123">
        <f>SUMIFS(record[OK],record[製程料號],_018_600[[#This Row],[製令單號]],record[ProcessSN],M$1)</f>
        <v>177</v>
      </c>
      <c r="N19" s="117">
        <f>SUMIFS(record[NG],record[製程料號],_018_600[[#This Row],[製令單號]],record[ProcessSN],N$1)</f>
        <v>0</v>
      </c>
      <c r="O19" s="123">
        <f>_018_600[[#This Row],['#06檢驗OK]]-_018_600[[#This Row],[不良品]]-_018_600[[#This Row],[良品]]</f>
        <v>0</v>
      </c>
      <c r="P19" s="123">
        <f>SUMIFS(record[OK],record[製程料號],_018_600[[#This Row],[製令單號]],record[ProcessSN],P$1)</f>
        <v>177</v>
      </c>
      <c r="Q19" s="117">
        <f>SUMIFS(record[NG],record[製程料號],_018_600[[#This Row],[製令單號]],record[ProcessSN],Q$1)</f>
        <v>0</v>
      </c>
      <c r="R19" s="123">
        <f>_018_600[[#This Row],[良品]]-_018_600[[#This Row],[良品放行]]-_018_600[[#This Row],[不良待處理]]</f>
        <v>0</v>
      </c>
      <c r="S19" s="123">
        <f>SUMIFS(record[OK],record[製程料號],_018_600[[#This Row],[製令單號]],record[ProcessSN],S$1)</f>
        <v>177</v>
      </c>
      <c r="T19" s="117">
        <f>SUMIFS(record[NG],record[製程料號],_018_600[[#This Row],[製令單號]],record[ProcessSN],T$1)</f>
        <v>0</v>
      </c>
      <c r="U19" s="123">
        <f>_018_600[[#This Row],[良品放行]]-_018_600[[#This Row],[入庫]]</f>
        <v>0</v>
      </c>
      <c r="V19" s="123">
        <f>SUMIFS(record[OK],record[製程料號],_018_600[[#This Row],[製令單號]],record[ProcessSN],V$1)</f>
        <v>177</v>
      </c>
      <c r="W19" s="123">
        <f>_018_600[[#This Row],[入庫]]-_018_600[[#This Row],[已出貨]]</f>
        <v>0</v>
      </c>
      <c r="X19" s="137"/>
      <c r="Y19" s="123">
        <f>SUMIFS(record[OK],record[製程料號],_018_600[[#This Row],[製令單號]],record[ProcessSN],Y$1)</f>
        <v>177</v>
      </c>
      <c r="Z19" s="125">
        <f>_018_600[[#This Row],[不良待處理]]+_018_600[[#This Row],[不良品]]+_018_600[[#This Row],['#06
QC NG]]+_018_600[[#This Row],['#08委外NG]]</f>
        <v>0</v>
      </c>
      <c r="AA19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20" spans="1:27" ht="30.75" x14ac:dyDescent="0.25">
      <c r="A20" s="120">
        <v>45698</v>
      </c>
      <c r="B20" s="121" t="s">
        <v>721</v>
      </c>
      <c r="C20" s="122" t="s">
        <v>503</v>
      </c>
      <c r="D20" s="118">
        <v>325</v>
      </c>
      <c r="E20" s="123">
        <f>_018_600[[#This Row],[入料數]]-_018_600[[#This Row],['#08已委外數量]]</f>
        <v>0</v>
      </c>
      <c r="F20" s="123">
        <f>SUMIFS(record[OK],record[製程料號],_018_600[[#This Row],[製令單號]],record[ProcessSN],F$1)</f>
        <v>325</v>
      </c>
      <c r="G20" s="118" t="str">
        <f>IF(_018_600[[#This Row],['#08已委外數量]]&gt;0,VLOOKUP(G$1,record[[ProcessSN]:[廠商]],12,FALSE),"尚未委外")</f>
        <v>泉盛</v>
      </c>
      <c r="H20" s="123">
        <f>_018_600[[#This Row],['#08已委外數量]]-_018_600[[#This Row],['#08回
良品]]-_018_600[[#This Row],['#08委外NG]]</f>
        <v>0</v>
      </c>
      <c r="I20" s="123">
        <f>SUMIFS(record[OK],record[製程料號],_018_600[[#This Row],[製令單號]],record[ProcessSN],I$1)</f>
        <v>318</v>
      </c>
      <c r="J20" s="117">
        <f>SUMIFS(record[NG],record[製程料號],_018_600[[#This Row],[製令單號]],record[ProcessSN],J$1)</f>
        <v>7</v>
      </c>
      <c r="K20" s="124">
        <f>IFERROR(_018_600[[#This Row],['#08委外NG]]/_018_600[[#This Row],['#08已委外數量]],"")</f>
        <v>2.1538461538461538E-2</v>
      </c>
      <c r="L20" s="123">
        <f>_018_600[[#This Row],['#08回
良品]]-_018_600[[#This Row],['#06檢驗OK]]-_018_600[[#This Row],['#06
QC NG]]</f>
        <v>0</v>
      </c>
      <c r="M20" s="123">
        <f>SUMIFS(record[OK],record[製程料號],_018_600[[#This Row],[製令單號]],record[ProcessSN],M$1)</f>
        <v>318</v>
      </c>
      <c r="N20" s="117">
        <f>SUMIFS(record[NG],record[製程料號],_018_600[[#This Row],[製令單號]],record[ProcessSN],N$1)</f>
        <v>0</v>
      </c>
      <c r="O20" s="123">
        <f>_018_600[[#This Row],['#06檢驗OK]]-_018_600[[#This Row],[不良品]]-_018_600[[#This Row],[良品]]</f>
        <v>0</v>
      </c>
      <c r="P20" s="123">
        <f>SUMIFS(record[OK],record[製程料號],_018_600[[#This Row],[製令單號]],record[ProcessSN],P$1)</f>
        <v>309</v>
      </c>
      <c r="Q20" s="117">
        <f>SUMIFS(record[NG],record[製程料號],_018_600[[#This Row],[製令單號]],record[ProcessSN],Q$1)</f>
        <v>9</v>
      </c>
      <c r="R20" s="123">
        <f>_018_600[[#This Row],[良品]]-_018_600[[#This Row],[良品放行]]-_018_600[[#This Row],[不良待處理]]</f>
        <v>0</v>
      </c>
      <c r="S20" s="123">
        <f>SUMIFS(record[OK],record[製程料號],_018_600[[#This Row],[製令單號]],record[ProcessSN],S$1)</f>
        <v>309</v>
      </c>
      <c r="T20" s="117">
        <f>SUMIFS(record[NG],record[製程料號],_018_600[[#This Row],[製令單號]],record[ProcessSN],T$1)</f>
        <v>0</v>
      </c>
      <c r="U20" s="123">
        <f>_018_600[[#This Row],[良品放行]]-_018_600[[#This Row],[入庫]]</f>
        <v>0</v>
      </c>
      <c r="V20" s="123">
        <f>SUMIFS(record[OK],record[製程料號],_018_600[[#This Row],[製令單號]],record[ProcessSN],V$1)</f>
        <v>309</v>
      </c>
      <c r="W20" s="123">
        <f>_018_600[[#This Row],[入庫]]-_018_600[[#This Row],[已出貨]]</f>
        <v>0</v>
      </c>
      <c r="X20" s="137"/>
      <c r="Y20" s="123">
        <f>SUMIFS(record[OK],record[製程料號],_018_600[[#This Row],[製令單號]],record[ProcessSN],Y$1)</f>
        <v>309</v>
      </c>
      <c r="Z20" s="125">
        <f>_018_600[[#This Row],[不良待處理]]+_018_600[[#This Row],[不良品]]+_018_600[[#This Row],['#06
QC NG]]+_018_600[[#This Row],['#08委外NG]]</f>
        <v>16</v>
      </c>
      <c r="AA20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0.95076923076923081</v>
      </c>
    </row>
    <row r="21" spans="1:27" ht="30.75" x14ac:dyDescent="0.25">
      <c r="A21" s="120">
        <v>45702</v>
      </c>
      <c r="B21" s="121" t="s">
        <v>720</v>
      </c>
      <c r="C21" s="122" t="s">
        <v>503</v>
      </c>
      <c r="D21" s="118">
        <v>163</v>
      </c>
      <c r="E21" s="123">
        <f>_018_600[[#This Row],[入料數]]-_018_600[[#This Row],['#08已委外數量]]</f>
        <v>0</v>
      </c>
      <c r="F21" s="123">
        <f>SUMIFS(record[OK],record[製程料號],_018_600[[#This Row],[製令單號]],record[ProcessSN],F$1)</f>
        <v>163</v>
      </c>
      <c r="G21" s="118" t="str">
        <f>IF(_018_600[[#This Row],['#08已委外數量]]&gt;0,VLOOKUP(G$1,record[[ProcessSN]:[廠商]],12,FALSE),"尚未委外")</f>
        <v>泉盛</v>
      </c>
      <c r="H21" s="123">
        <f>_018_600[[#This Row],['#08已委外數量]]-_018_600[[#This Row],['#08回
良品]]-_018_600[[#This Row],['#08委外NG]]</f>
        <v>0</v>
      </c>
      <c r="I21" s="123">
        <f>SUMIFS(record[OK],record[製程料號],_018_600[[#This Row],[製令單號]],record[ProcessSN],I$1)</f>
        <v>163</v>
      </c>
      <c r="J21" s="117">
        <f>SUMIFS(record[NG],record[製程料號],_018_600[[#This Row],[製令單號]],record[ProcessSN],J$1)</f>
        <v>0</v>
      </c>
      <c r="K21" s="124">
        <f>IFERROR(_018_600[[#This Row],['#08委外NG]]/_018_600[[#This Row],['#08已委外數量]],"")</f>
        <v>0</v>
      </c>
      <c r="L21" s="123">
        <f>_018_600[[#This Row],['#08回
良品]]-_018_600[[#This Row],['#06檢驗OK]]-_018_600[[#This Row],['#06
QC NG]]</f>
        <v>0</v>
      </c>
      <c r="M21" s="123">
        <f>SUMIFS(record[OK],record[製程料號],_018_600[[#This Row],[製令單號]],record[ProcessSN],M$1)</f>
        <v>163</v>
      </c>
      <c r="N21" s="117">
        <f>SUMIFS(record[NG],record[製程料號],_018_600[[#This Row],[製令單號]],record[ProcessSN],N$1)</f>
        <v>0</v>
      </c>
      <c r="O21" s="123">
        <f>_018_600[[#This Row],['#06檢驗OK]]-_018_600[[#This Row],[不良品]]-_018_600[[#This Row],[良品]]</f>
        <v>0</v>
      </c>
      <c r="P21" s="123">
        <f>SUMIFS(record[OK],record[製程料號],_018_600[[#This Row],[製令單號]],record[ProcessSN],P$1)</f>
        <v>163</v>
      </c>
      <c r="Q21" s="117">
        <f>SUMIFS(record[NG],record[製程料號],_018_600[[#This Row],[製令單號]],record[ProcessSN],Q$1)</f>
        <v>0</v>
      </c>
      <c r="R21" s="123">
        <f>_018_600[[#This Row],[良品]]-_018_600[[#This Row],[良品放行]]-_018_600[[#This Row],[不良待處理]]</f>
        <v>0</v>
      </c>
      <c r="S21" s="123">
        <f>SUMIFS(record[OK],record[製程料號],_018_600[[#This Row],[製令單號]],record[ProcessSN],S$1)</f>
        <v>163</v>
      </c>
      <c r="T21" s="117">
        <f>SUMIFS(record[NG],record[製程料號],_018_600[[#This Row],[製令單號]],record[ProcessSN],T$1)</f>
        <v>0</v>
      </c>
      <c r="U21" s="123">
        <f>_018_600[[#This Row],[良品放行]]-_018_600[[#This Row],[入庫]]</f>
        <v>0</v>
      </c>
      <c r="V21" s="123">
        <f>SUMIFS(record[OK],record[製程料號],_018_600[[#This Row],[製令單號]],record[ProcessSN],V$1)</f>
        <v>163</v>
      </c>
      <c r="W21" s="123">
        <f>_018_600[[#This Row],[入庫]]-_018_600[[#This Row],[已出貨]]</f>
        <v>0</v>
      </c>
      <c r="X21" s="137"/>
      <c r="Y21" s="123">
        <f>SUMIFS(record[OK],record[製程料號],_018_600[[#This Row],[製令單號]],record[ProcessSN],Y$1)</f>
        <v>163</v>
      </c>
      <c r="Z21" s="125">
        <f>_018_600[[#This Row],[不良待處理]]+_018_600[[#This Row],[不良品]]+_018_600[[#This Row],['#06
QC NG]]+_018_600[[#This Row],['#08委外NG]]</f>
        <v>0</v>
      </c>
      <c r="AA21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22" spans="1:27" ht="30.75" x14ac:dyDescent="0.25">
      <c r="A22" s="120">
        <v>45706</v>
      </c>
      <c r="B22" s="121" t="s">
        <v>733</v>
      </c>
      <c r="C22" s="122" t="s">
        <v>503</v>
      </c>
      <c r="D22" s="118">
        <v>165</v>
      </c>
      <c r="E22" s="123">
        <f>_018_600[[#This Row],[入料數]]-_018_600[[#This Row],['#08已委外數量]]</f>
        <v>0</v>
      </c>
      <c r="F22" s="123">
        <f>SUMIFS(record[OK],record[製程料號],_018_600[[#This Row],[製令單號]],record[ProcessSN],F$1)</f>
        <v>165</v>
      </c>
      <c r="G22" s="118" t="str">
        <f>IF(_018_600[[#This Row],['#08已委外數量]]&gt;0,VLOOKUP(G$1,record[[ProcessSN]:[廠商]],12,FALSE),"尚未委外")</f>
        <v>泉盛</v>
      </c>
      <c r="H22" s="123">
        <f>_018_600[[#This Row],['#08已委外數量]]-_018_600[[#This Row],['#08回
良品]]-_018_600[[#This Row],['#08委外NG]]</f>
        <v>0</v>
      </c>
      <c r="I22" s="123">
        <f>SUMIFS(record[OK],record[製程料號],_018_600[[#This Row],[製令單號]],record[ProcessSN],I$1)</f>
        <v>165</v>
      </c>
      <c r="J22" s="117">
        <f>SUMIFS(record[NG],record[製程料號],_018_600[[#This Row],[製令單號]],record[ProcessSN],J$1)</f>
        <v>0</v>
      </c>
      <c r="K22" s="124">
        <f>IFERROR(_018_600[[#This Row],['#08委外NG]]/_018_600[[#This Row],['#08已委外數量]],"")</f>
        <v>0</v>
      </c>
      <c r="L22" s="123">
        <f>_018_600[[#This Row],['#08回
良品]]-_018_600[[#This Row],['#06檢驗OK]]-_018_600[[#This Row],['#06
QC NG]]</f>
        <v>0</v>
      </c>
      <c r="M22" s="123">
        <f>SUMIFS(record[OK],record[製程料號],_018_600[[#This Row],[製令單號]],record[ProcessSN],M$1)</f>
        <v>165</v>
      </c>
      <c r="N22" s="117">
        <f>SUMIFS(record[NG],record[製程料號],_018_600[[#This Row],[製令單號]],record[ProcessSN],N$1)</f>
        <v>0</v>
      </c>
      <c r="O22" s="123">
        <f>_018_600[[#This Row],['#06檢驗OK]]-_018_600[[#This Row],[不良品]]-_018_600[[#This Row],[良品]]</f>
        <v>0</v>
      </c>
      <c r="P22" s="123">
        <f>SUMIFS(record[OK],record[製程料號],_018_600[[#This Row],[製令單號]],record[ProcessSN],P$1)</f>
        <v>165</v>
      </c>
      <c r="Q22" s="117">
        <f>SUMIFS(record[NG],record[製程料號],_018_600[[#This Row],[製令單號]],record[ProcessSN],Q$1)</f>
        <v>0</v>
      </c>
      <c r="R22" s="123">
        <f>_018_600[[#This Row],[良品]]-_018_600[[#This Row],[良品放行]]-_018_600[[#This Row],[不良待處理]]</f>
        <v>0</v>
      </c>
      <c r="S22" s="123">
        <f>SUMIFS(record[OK],record[製程料號],_018_600[[#This Row],[製令單號]],record[ProcessSN],S$1)</f>
        <v>165</v>
      </c>
      <c r="T22" s="117">
        <f>SUMIFS(record[NG],record[製程料號],_018_600[[#This Row],[製令單號]],record[ProcessSN],T$1)</f>
        <v>0</v>
      </c>
      <c r="U22" s="123">
        <f>_018_600[[#This Row],[良品放行]]-_018_600[[#This Row],[入庫]]</f>
        <v>0</v>
      </c>
      <c r="V22" s="123">
        <f>SUMIFS(record[OK],record[製程料號],_018_600[[#This Row],[製令單號]],record[ProcessSN],V$1)</f>
        <v>165</v>
      </c>
      <c r="W22" s="123">
        <f>_018_600[[#This Row],[入庫]]-_018_600[[#This Row],[已出貨]]</f>
        <v>0</v>
      </c>
      <c r="X22" s="137"/>
      <c r="Y22" s="123">
        <f>SUMIFS(record[OK],record[製程料號],_018_600[[#This Row],[製令單號]],record[ProcessSN],Y$1)</f>
        <v>165</v>
      </c>
      <c r="Z22" s="125">
        <f>_018_600[[#This Row],[不良待處理]]+_018_600[[#This Row],[不良品]]+_018_600[[#This Row],['#06
QC NG]]+_018_600[[#This Row],['#08委外NG]]</f>
        <v>0</v>
      </c>
      <c r="AA22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23" spans="1:27" ht="30.75" x14ac:dyDescent="0.25">
      <c r="A23" s="120">
        <v>45707</v>
      </c>
      <c r="B23" s="121" t="s">
        <v>737</v>
      </c>
      <c r="C23" s="122" t="s">
        <v>503</v>
      </c>
      <c r="D23" s="118">
        <v>336</v>
      </c>
      <c r="E23" s="123">
        <f>_018_600[[#This Row],[入料數]]-_018_600[[#This Row],['#08已委外數量]]</f>
        <v>0</v>
      </c>
      <c r="F23" s="123">
        <f>SUMIFS(record[OK],record[製程料號],_018_600[[#This Row],[製令單號]],record[ProcessSN],F$1)</f>
        <v>336</v>
      </c>
      <c r="G23" s="118" t="str">
        <f>IF(_018_600[[#This Row],['#08已委外數量]]&gt;0,VLOOKUP(G$1,record[[ProcessSN]:[廠商]],12,FALSE),"尚未委外")</f>
        <v>泉盛</v>
      </c>
      <c r="H23" s="123">
        <f>_018_600[[#This Row],['#08已委外數量]]-_018_600[[#This Row],['#08回
良品]]-_018_600[[#This Row],['#08委外NG]]</f>
        <v>0</v>
      </c>
      <c r="I23" s="123">
        <f>SUMIFS(record[OK],record[製程料號],_018_600[[#This Row],[製令單號]],record[ProcessSN],I$1)</f>
        <v>138</v>
      </c>
      <c r="J23" s="117">
        <f>SUMIFS(record[NG],record[製程料號],_018_600[[#This Row],[製令單號]],record[ProcessSN],J$1)</f>
        <v>198</v>
      </c>
      <c r="K23" s="124">
        <f>IFERROR(_018_600[[#This Row],['#08委外NG]]/_018_600[[#This Row],['#08已委外數量]],"")</f>
        <v>0.5892857142857143</v>
      </c>
      <c r="L23" s="123">
        <f>_018_600[[#This Row],['#08回
良品]]-_018_600[[#This Row],['#06檢驗OK]]-_018_600[[#This Row],['#06
QC NG]]</f>
        <v>0</v>
      </c>
      <c r="M23" s="123">
        <f>SUMIFS(record[OK],record[製程料號],_018_600[[#This Row],[製令單號]],record[ProcessSN],M$1)</f>
        <v>138</v>
      </c>
      <c r="N23" s="117">
        <f>SUMIFS(record[NG],record[製程料號],_018_600[[#This Row],[製令單號]],record[ProcessSN],N$1)</f>
        <v>0</v>
      </c>
      <c r="O23" s="123">
        <f>_018_600[[#This Row],['#06檢驗OK]]-_018_600[[#This Row],[不良品]]-_018_600[[#This Row],[良品]]</f>
        <v>0</v>
      </c>
      <c r="P23" s="123">
        <f>SUMIFS(record[OK],record[製程料號],_018_600[[#This Row],[製令單號]],record[ProcessSN],P$1)</f>
        <v>138</v>
      </c>
      <c r="Q23" s="117">
        <f>SUMIFS(record[NG],record[製程料號],_018_600[[#This Row],[製令單號]],record[ProcessSN],Q$1)</f>
        <v>0</v>
      </c>
      <c r="R23" s="123">
        <f>_018_600[[#This Row],[良品]]-_018_600[[#This Row],[良品放行]]-_018_600[[#This Row],[不良待處理]]</f>
        <v>0</v>
      </c>
      <c r="S23" s="123">
        <f>SUMIFS(record[OK],record[製程料號],_018_600[[#This Row],[製令單號]],record[ProcessSN],S$1)</f>
        <v>138</v>
      </c>
      <c r="T23" s="117">
        <f>SUMIFS(record[NG],record[製程料號],_018_600[[#This Row],[製令單號]],record[ProcessSN],T$1)</f>
        <v>0</v>
      </c>
      <c r="U23" s="123">
        <f>_018_600[[#This Row],[良品放行]]-_018_600[[#This Row],[入庫]]</f>
        <v>0</v>
      </c>
      <c r="V23" s="123">
        <f>SUMIFS(record[OK],record[製程料號],_018_600[[#This Row],[製令單號]],record[ProcessSN],V$1)</f>
        <v>138</v>
      </c>
      <c r="W23" s="123">
        <f>_018_600[[#This Row],[入庫]]-_018_600[[#This Row],[已出貨]]</f>
        <v>0</v>
      </c>
      <c r="X23" s="137"/>
      <c r="Y23" s="123">
        <f>SUMIFS(record[OK],record[製程料號],_018_600[[#This Row],[製令單號]],record[ProcessSN],Y$1)</f>
        <v>138</v>
      </c>
      <c r="Z23" s="125">
        <f>_018_600[[#This Row],[不良待處理]]+_018_600[[#This Row],[不良品]]+_018_600[[#This Row],['#06
QC NG]]+_018_600[[#This Row],['#08委外NG]]</f>
        <v>198</v>
      </c>
      <c r="AA23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0.4107142857142857</v>
      </c>
    </row>
    <row r="24" spans="1:27" ht="30.75" x14ac:dyDescent="0.25">
      <c r="A24" s="120">
        <v>45708</v>
      </c>
      <c r="B24" s="121" t="s">
        <v>739</v>
      </c>
      <c r="C24" s="122" t="s">
        <v>503</v>
      </c>
      <c r="D24" s="118">
        <v>327</v>
      </c>
      <c r="E24" s="123">
        <f>_018_600[[#This Row],[入料數]]-_018_600[[#This Row],['#08已委外數量]]</f>
        <v>0</v>
      </c>
      <c r="F24" s="123">
        <f>SUMIFS(record[OK],record[製程料號],_018_600[[#This Row],[製令單號]],record[ProcessSN],F$1)</f>
        <v>327</v>
      </c>
      <c r="G24" s="118" t="str">
        <f>IF(_018_600[[#This Row],['#08已委外數量]]&gt;0,VLOOKUP(G$1,record[[ProcessSN]:[廠商]],12,FALSE),"尚未委外")</f>
        <v>泉盛</v>
      </c>
      <c r="H24" s="123">
        <f>_018_600[[#This Row],['#08已委外數量]]-_018_600[[#This Row],['#08回
良品]]-_018_600[[#This Row],['#08委外NG]]</f>
        <v>0</v>
      </c>
      <c r="I24" s="123">
        <f>SUMIFS(record[OK],record[製程料號],_018_600[[#This Row],[製令單號]],record[ProcessSN],I$1)</f>
        <v>327</v>
      </c>
      <c r="J24" s="117">
        <f>SUMIFS(record[NG],record[製程料號],_018_600[[#This Row],[製令單號]],record[ProcessSN],J$1)</f>
        <v>0</v>
      </c>
      <c r="K24" s="124">
        <f>IFERROR(_018_600[[#This Row],['#08委外NG]]/_018_600[[#This Row],['#08已委外數量]],"")</f>
        <v>0</v>
      </c>
      <c r="L24" s="123">
        <f>_018_600[[#This Row],['#08回
良品]]-_018_600[[#This Row],['#06檢驗OK]]-_018_600[[#This Row],['#06
QC NG]]</f>
        <v>0</v>
      </c>
      <c r="M24" s="123">
        <f>SUMIFS(record[OK],record[製程料號],_018_600[[#This Row],[製令單號]],record[ProcessSN],M$1)</f>
        <v>327</v>
      </c>
      <c r="N24" s="117">
        <f>SUMIFS(record[NG],record[製程料號],_018_600[[#This Row],[製令單號]],record[ProcessSN],N$1)</f>
        <v>0</v>
      </c>
      <c r="O24" s="123">
        <f>_018_600[[#This Row],['#06檢驗OK]]-_018_600[[#This Row],[不良品]]-_018_600[[#This Row],[良品]]</f>
        <v>0</v>
      </c>
      <c r="P24" s="123">
        <f>SUMIFS(record[OK],record[製程料號],_018_600[[#This Row],[製令單號]],record[ProcessSN],P$1)</f>
        <v>327</v>
      </c>
      <c r="Q24" s="117">
        <f>SUMIFS(record[NG],record[製程料號],_018_600[[#This Row],[製令單號]],record[ProcessSN],Q$1)</f>
        <v>0</v>
      </c>
      <c r="R24" s="123">
        <f>_018_600[[#This Row],[良品]]-_018_600[[#This Row],[良品放行]]-_018_600[[#This Row],[不良待處理]]</f>
        <v>0</v>
      </c>
      <c r="S24" s="123">
        <f>SUMIFS(record[OK],record[製程料號],_018_600[[#This Row],[製令單號]],record[ProcessSN],S$1)</f>
        <v>327</v>
      </c>
      <c r="T24" s="117">
        <f>SUMIFS(record[NG],record[製程料號],_018_600[[#This Row],[製令單號]],record[ProcessSN],T$1)</f>
        <v>0</v>
      </c>
      <c r="U24" s="123">
        <f>_018_600[[#This Row],[良品放行]]-_018_600[[#This Row],[入庫]]</f>
        <v>0</v>
      </c>
      <c r="V24" s="123">
        <f>SUMIFS(record[OK],record[製程料號],_018_600[[#This Row],[製令單號]],record[ProcessSN],V$1)</f>
        <v>327</v>
      </c>
      <c r="W24" s="123">
        <f>_018_600[[#This Row],[入庫]]-_018_600[[#This Row],[已出貨]]</f>
        <v>0</v>
      </c>
      <c r="X24" s="137"/>
      <c r="Y24" s="123">
        <f>SUMIFS(record[OK],record[製程料號],_018_600[[#This Row],[製令單號]],record[ProcessSN],Y$1)</f>
        <v>327</v>
      </c>
      <c r="Z24" s="125">
        <f>_018_600[[#This Row],[不良待處理]]+_018_600[[#This Row],[不良品]]+_018_600[[#This Row],['#06
QC NG]]+_018_600[[#This Row],['#08委外NG]]</f>
        <v>0</v>
      </c>
      <c r="AA24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25" spans="1:27" ht="30.75" x14ac:dyDescent="0.25">
      <c r="A25" s="120">
        <v>45709</v>
      </c>
      <c r="B25" s="121" t="s">
        <v>744</v>
      </c>
      <c r="C25" s="122" t="s">
        <v>503</v>
      </c>
      <c r="D25" s="118">
        <v>283</v>
      </c>
      <c r="E25" s="123">
        <f>_018_600[[#This Row],[入料數]]-_018_600[[#This Row],['#08已委外數量]]</f>
        <v>0</v>
      </c>
      <c r="F25" s="123">
        <f>SUMIFS(record[OK],record[製程料號],_018_600[[#This Row],[製令單號]],record[ProcessSN],F$1)</f>
        <v>283</v>
      </c>
      <c r="G25" s="118" t="str">
        <f>IF(_018_600[[#This Row],['#08已委外數量]]&gt;0,VLOOKUP(G$1,record[[ProcessSN]:[廠商]],12,FALSE),"尚未委外")</f>
        <v>泉盛</v>
      </c>
      <c r="H25" s="123">
        <f>_018_600[[#This Row],['#08已委外數量]]-_018_600[[#This Row],['#08回
良品]]-_018_600[[#This Row],['#08委外NG]]</f>
        <v>0</v>
      </c>
      <c r="I25" s="123">
        <f>SUMIFS(record[OK],record[製程料號],_018_600[[#This Row],[製令單號]],record[ProcessSN],I$1)</f>
        <v>280</v>
      </c>
      <c r="J25" s="117">
        <f>SUMIFS(record[NG],record[製程料號],_018_600[[#This Row],[製令單號]],record[ProcessSN],J$1)</f>
        <v>3</v>
      </c>
      <c r="K25" s="124">
        <f>IFERROR(_018_600[[#This Row],['#08委外NG]]/_018_600[[#This Row],['#08已委外數量]],"")</f>
        <v>1.0600706713780919E-2</v>
      </c>
      <c r="L25" s="123">
        <f>_018_600[[#This Row],['#08回
良品]]-_018_600[[#This Row],['#06檢驗OK]]-_018_600[[#This Row],['#06
QC NG]]</f>
        <v>0</v>
      </c>
      <c r="M25" s="123">
        <f>SUMIFS(record[OK],record[製程料號],_018_600[[#This Row],[製令單號]],record[ProcessSN],M$1)</f>
        <v>280</v>
      </c>
      <c r="N25" s="117">
        <f>SUMIFS(record[NG],record[製程料號],_018_600[[#This Row],[製令單號]],record[ProcessSN],N$1)</f>
        <v>0</v>
      </c>
      <c r="O25" s="123">
        <f>_018_600[[#This Row],['#06檢驗OK]]-_018_600[[#This Row],[不良品]]-_018_600[[#This Row],[良品]]</f>
        <v>0</v>
      </c>
      <c r="P25" s="123">
        <f>SUMIFS(record[OK],record[製程料號],_018_600[[#This Row],[製令單號]],record[ProcessSN],P$1)</f>
        <v>279</v>
      </c>
      <c r="Q25" s="117">
        <f>SUMIFS(record[NG],record[製程料號],_018_600[[#This Row],[製令單號]],record[ProcessSN],Q$1)</f>
        <v>1</v>
      </c>
      <c r="R25" s="123">
        <f>_018_600[[#This Row],[良品]]-_018_600[[#This Row],[良品放行]]-_018_600[[#This Row],[不良待處理]]</f>
        <v>0</v>
      </c>
      <c r="S25" s="123">
        <f>SUMIFS(record[OK],record[製程料號],_018_600[[#This Row],[製令單號]],record[ProcessSN],S$1)</f>
        <v>279</v>
      </c>
      <c r="T25" s="117">
        <f>SUMIFS(record[NG],record[製程料號],_018_600[[#This Row],[製令單號]],record[ProcessSN],T$1)</f>
        <v>0</v>
      </c>
      <c r="U25" s="123">
        <f>_018_600[[#This Row],[良品放行]]-_018_600[[#This Row],[入庫]]</f>
        <v>0</v>
      </c>
      <c r="V25" s="123">
        <f>SUMIFS(record[OK],record[製程料號],_018_600[[#This Row],[製令單號]],record[ProcessSN],V$1)</f>
        <v>279</v>
      </c>
      <c r="W25" s="123">
        <f>_018_600[[#This Row],[入庫]]-_018_600[[#This Row],[已出貨]]</f>
        <v>0</v>
      </c>
      <c r="X25" s="137"/>
      <c r="Y25" s="123">
        <f>SUMIFS(record[OK],record[製程料號],_018_600[[#This Row],[製令單號]],record[ProcessSN],Y$1)</f>
        <v>279</v>
      </c>
      <c r="Z25" s="125">
        <f>_018_600[[#This Row],[不良待處理]]+_018_600[[#This Row],[不良品]]+_018_600[[#This Row],['#06
QC NG]]+_018_600[[#This Row],['#08委外NG]]</f>
        <v>4</v>
      </c>
      <c r="AA25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0.98586572438162545</v>
      </c>
    </row>
    <row r="26" spans="1:27" ht="30.75" x14ac:dyDescent="0.25">
      <c r="A26" s="120">
        <v>45800</v>
      </c>
      <c r="B26" s="121" t="s">
        <v>810</v>
      </c>
      <c r="C26" s="122" t="s">
        <v>503</v>
      </c>
      <c r="D26" s="118">
        <v>161</v>
      </c>
      <c r="E26" s="123">
        <f>_018_600[[#This Row],[入料數]]-_018_600[[#This Row],['#08已委外數量]]</f>
        <v>0</v>
      </c>
      <c r="F26" s="123">
        <f>SUMIFS(record[OK],record[製程料號],_018_600[[#This Row],[製令單號]],record[ProcessSN],F$1)</f>
        <v>161</v>
      </c>
      <c r="G26" s="118" t="str">
        <f>IF(_018_600[[#This Row],['#08已委外數量]]&gt;0,VLOOKUP(G$1,record[[ProcessSN]:[廠商]],12,FALSE),"尚未委外")</f>
        <v>泉盛</v>
      </c>
      <c r="H26" s="123">
        <f>_018_600[[#This Row],['#08已委外數量]]-_018_600[[#This Row],['#08回
良品]]-_018_600[[#This Row],['#08委外NG]]</f>
        <v>0</v>
      </c>
      <c r="I26" s="123">
        <f>SUMIFS(record[OK],record[製程料號],_018_600[[#This Row],[製令單號]],record[ProcessSN],I$1)</f>
        <v>160</v>
      </c>
      <c r="J26" s="117">
        <f>SUMIFS(record[NG],record[製程料號],_018_600[[#This Row],[製令單號]],record[ProcessSN],J$1)</f>
        <v>1</v>
      </c>
      <c r="K26" s="124">
        <f>IFERROR(_018_600[[#This Row],['#08委外NG]]/_018_600[[#This Row],['#08已委外數量]],"")</f>
        <v>6.2111801242236021E-3</v>
      </c>
      <c r="L26" s="123">
        <f>_018_600[[#This Row],['#08回
良品]]-_018_600[[#This Row],['#06檢驗OK]]-_018_600[[#This Row],['#06
QC NG]]</f>
        <v>0</v>
      </c>
      <c r="M26" s="123">
        <f>SUMIFS(record[OK],record[製程料號],_018_600[[#This Row],[製令單號]],record[ProcessSN],M$1)</f>
        <v>160</v>
      </c>
      <c r="N26" s="117">
        <f>SUMIFS(record[NG],record[製程料號],_018_600[[#This Row],[製令單號]],record[ProcessSN],N$1)</f>
        <v>0</v>
      </c>
      <c r="O26" s="123">
        <f>_018_600[[#This Row],['#06檢驗OK]]-_018_600[[#This Row],[不良品]]-_018_600[[#This Row],[良品]]</f>
        <v>0</v>
      </c>
      <c r="P26" s="123">
        <f>SUMIFS(record[OK],record[製程料號],_018_600[[#This Row],[製令單號]],record[ProcessSN],P$1)</f>
        <v>157</v>
      </c>
      <c r="Q26" s="117">
        <f>SUMIFS(record[NG],record[製程料號],_018_600[[#This Row],[製令單號]],record[ProcessSN],Q$1)</f>
        <v>3</v>
      </c>
      <c r="R26" s="123">
        <f>_018_600[[#This Row],[良品]]-_018_600[[#This Row],[良品放行]]-_018_600[[#This Row],[不良待處理]]</f>
        <v>0</v>
      </c>
      <c r="S26" s="123">
        <f>SUMIFS(record[OK],record[製程料號],_018_600[[#This Row],[製令單號]],record[ProcessSN],S$1)</f>
        <v>157</v>
      </c>
      <c r="T26" s="117">
        <f>SUMIFS(record[NG],record[製程料號],_018_600[[#This Row],[製令單號]],record[ProcessSN],T$1)</f>
        <v>0</v>
      </c>
      <c r="U26" s="123">
        <f>_018_600[[#This Row],[良品放行]]-_018_600[[#This Row],[入庫]]</f>
        <v>0</v>
      </c>
      <c r="V26" s="123">
        <f>SUMIFS(record[OK],record[製程料號],_018_600[[#This Row],[製令單號]],record[ProcessSN],V$1)</f>
        <v>157</v>
      </c>
      <c r="W26" s="123">
        <f>_018_600[[#This Row],[入庫]]-_018_600[[#This Row],[已出貨]]</f>
        <v>0</v>
      </c>
      <c r="X26" s="137"/>
      <c r="Y26" s="123">
        <f>SUMIFS(record[OK],record[製程料號],_018_600[[#This Row],[製令單號]],record[ProcessSN],Y$1)</f>
        <v>157</v>
      </c>
      <c r="Z26" s="125">
        <f>_018_600[[#This Row],[不良待處理]]+_018_600[[#This Row],[不良品]]+_018_600[[#This Row],['#06
QC NG]]+_018_600[[#This Row],['#08委外NG]]</f>
        <v>4</v>
      </c>
      <c r="AA26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0.97515527950310554</v>
      </c>
    </row>
    <row r="27" spans="1:27" ht="30.75" x14ac:dyDescent="0.25">
      <c r="A27" s="120">
        <v>45805</v>
      </c>
      <c r="B27" s="121" t="s">
        <v>818</v>
      </c>
      <c r="C27" s="122" t="s">
        <v>503</v>
      </c>
      <c r="D27" s="118">
        <v>164</v>
      </c>
      <c r="E27" s="123">
        <f>_018_600[[#This Row],[入料數]]-_018_600[[#This Row],['#08已委外數量]]</f>
        <v>0</v>
      </c>
      <c r="F27" s="123">
        <f>SUMIFS(record[OK],record[製程料號],_018_600[[#This Row],[製令單號]],record[ProcessSN],F$1)</f>
        <v>164</v>
      </c>
      <c r="G27" s="118" t="str">
        <f>IF(_018_600[[#This Row],['#08已委外數量]]&gt;0,VLOOKUP(G$1,record[[ProcessSN]:[廠商]],12,FALSE),"尚未委外")</f>
        <v>泉盛</v>
      </c>
      <c r="H27" s="123">
        <f>_018_600[[#This Row],['#08已委外數量]]-_018_600[[#This Row],['#08回
良品]]-_018_600[[#This Row],['#08委外NG]]</f>
        <v>0</v>
      </c>
      <c r="I27" s="123">
        <f>SUMIFS(record[OK],record[製程料號],_018_600[[#This Row],[製令單號]],record[ProcessSN],I$1)</f>
        <v>164</v>
      </c>
      <c r="J27" s="117">
        <f>SUMIFS(record[NG],record[製程料號],_018_600[[#This Row],[製令單號]],record[ProcessSN],J$1)</f>
        <v>0</v>
      </c>
      <c r="K27" s="124">
        <f>IFERROR(_018_600[[#This Row],['#08委外NG]]/_018_600[[#This Row],['#08已委外數量]],"")</f>
        <v>0</v>
      </c>
      <c r="L27" s="123">
        <f>_018_600[[#This Row],['#08回
良品]]-_018_600[[#This Row],['#06檢驗OK]]-_018_600[[#This Row],['#06
QC NG]]</f>
        <v>0</v>
      </c>
      <c r="M27" s="123">
        <f>SUMIFS(record[OK],record[製程料號],_018_600[[#This Row],[製令單號]],record[ProcessSN],M$1)</f>
        <v>164</v>
      </c>
      <c r="N27" s="117">
        <f>SUMIFS(record[NG],record[製程料號],_018_600[[#This Row],[製令單號]],record[ProcessSN],N$1)</f>
        <v>0</v>
      </c>
      <c r="O27" s="123">
        <f>_018_600[[#This Row],['#06檢驗OK]]-_018_600[[#This Row],[不良品]]-_018_600[[#This Row],[良品]]</f>
        <v>0</v>
      </c>
      <c r="P27" s="123">
        <f>SUMIFS(record[OK],record[製程料號],_018_600[[#This Row],[製令單號]],record[ProcessSN],P$1)</f>
        <v>163</v>
      </c>
      <c r="Q27" s="117">
        <f>SUMIFS(record[NG],record[製程料號],_018_600[[#This Row],[製令單號]],record[ProcessSN],Q$1)</f>
        <v>1</v>
      </c>
      <c r="R27" s="123">
        <f>_018_600[[#This Row],[良品]]-_018_600[[#This Row],[良品放行]]-_018_600[[#This Row],[不良待處理]]</f>
        <v>0</v>
      </c>
      <c r="S27" s="123">
        <f>SUMIFS(record[OK],record[製程料號],_018_600[[#This Row],[製令單號]],record[ProcessSN],S$1)</f>
        <v>163</v>
      </c>
      <c r="T27" s="117">
        <f>SUMIFS(record[NG],record[製程料號],_018_600[[#This Row],[製令單號]],record[ProcessSN],T$1)</f>
        <v>0</v>
      </c>
      <c r="U27" s="123">
        <f>_018_600[[#This Row],[良品放行]]-_018_600[[#This Row],[入庫]]</f>
        <v>0</v>
      </c>
      <c r="V27" s="123">
        <f>SUMIFS(record[OK],record[製程料號],_018_600[[#This Row],[製令單號]],record[ProcessSN],V$1)</f>
        <v>163</v>
      </c>
      <c r="W27" s="123">
        <f>_018_600[[#This Row],[入庫]]-_018_600[[#This Row],[已出貨]]</f>
        <v>0</v>
      </c>
      <c r="X27" s="137"/>
      <c r="Y27" s="123">
        <f>SUMIFS(record[OK],record[製程料號],_018_600[[#This Row],[製令單號]],record[ProcessSN],Y$1)</f>
        <v>163</v>
      </c>
      <c r="Z27" s="125">
        <f>_018_600[[#This Row],[不良待處理]]+_018_600[[#This Row],[不良品]]+_018_600[[#This Row],['#06
QC NG]]+_018_600[[#This Row],['#08委外NG]]</f>
        <v>1</v>
      </c>
      <c r="AA27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0.99390243902439024</v>
      </c>
    </row>
    <row r="28" spans="1:27" ht="30.75" x14ac:dyDescent="0.25">
      <c r="A28" s="120">
        <v>45806</v>
      </c>
      <c r="B28" s="121" t="s">
        <v>820</v>
      </c>
      <c r="C28" s="122" t="s">
        <v>503</v>
      </c>
      <c r="D28" s="118">
        <v>147</v>
      </c>
      <c r="E28" s="123">
        <f>_018_600[[#This Row],[入料數]]-_018_600[[#This Row],['#08已委外數量]]</f>
        <v>0</v>
      </c>
      <c r="F28" s="123">
        <f>SUMIFS(record[OK],record[製程料號],_018_600[[#This Row],[製令單號]],record[ProcessSN],F$1)</f>
        <v>147</v>
      </c>
      <c r="G28" s="118" t="str">
        <f>IF(_018_600[[#This Row],['#08已委外數量]]&gt;0,VLOOKUP(G$1,record[[ProcessSN]:[廠商]],12,FALSE),"尚未委外")</f>
        <v>泉盛</v>
      </c>
      <c r="H28" s="123">
        <f>_018_600[[#This Row],['#08已委外數量]]-_018_600[[#This Row],['#08回
良品]]-_018_600[[#This Row],['#08委外NG]]</f>
        <v>0</v>
      </c>
      <c r="I28" s="123">
        <f>SUMIFS(record[OK],record[製程料號],_018_600[[#This Row],[製令單號]],record[ProcessSN],I$1)</f>
        <v>136</v>
      </c>
      <c r="J28" s="117">
        <f>SUMIFS(record[NG],record[製程料號],_018_600[[#This Row],[製令單號]],record[ProcessSN],J$1)</f>
        <v>11</v>
      </c>
      <c r="K28" s="124">
        <f>IFERROR(_018_600[[#This Row],['#08委外NG]]/_018_600[[#This Row],['#08已委外數量]],"")</f>
        <v>7.4829931972789115E-2</v>
      </c>
      <c r="L28" s="123">
        <f>_018_600[[#This Row],['#08回
良品]]-_018_600[[#This Row],['#06檢驗OK]]-_018_600[[#This Row],['#06
QC NG]]</f>
        <v>0</v>
      </c>
      <c r="M28" s="123">
        <f>SUMIFS(record[OK],record[製程料號],_018_600[[#This Row],[製令單號]],record[ProcessSN],M$1)</f>
        <v>136</v>
      </c>
      <c r="N28" s="117">
        <f>SUMIFS(record[NG],record[製程料號],_018_600[[#This Row],[製令單號]],record[ProcessSN],N$1)</f>
        <v>0</v>
      </c>
      <c r="O28" s="123">
        <f>_018_600[[#This Row],['#06檢驗OK]]-_018_600[[#This Row],[不良品]]-_018_600[[#This Row],[良品]]</f>
        <v>0</v>
      </c>
      <c r="P28" s="123">
        <f>SUMIFS(record[OK],record[製程料號],_018_600[[#This Row],[製令單號]],record[ProcessSN],P$1)</f>
        <v>136</v>
      </c>
      <c r="Q28" s="117">
        <f>SUMIFS(record[NG],record[製程料號],_018_600[[#This Row],[製令單號]],record[ProcessSN],Q$1)</f>
        <v>0</v>
      </c>
      <c r="R28" s="123">
        <f>_018_600[[#This Row],[良品]]-_018_600[[#This Row],[良品放行]]-_018_600[[#This Row],[不良待處理]]</f>
        <v>0</v>
      </c>
      <c r="S28" s="123">
        <f>SUMIFS(record[OK],record[製程料號],_018_600[[#This Row],[製令單號]],record[ProcessSN],S$1)</f>
        <v>136</v>
      </c>
      <c r="T28" s="117">
        <f>SUMIFS(record[NG],record[製程料號],_018_600[[#This Row],[製令單號]],record[ProcessSN],T$1)</f>
        <v>0</v>
      </c>
      <c r="U28" s="123">
        <f>_018_600[[#This Row],[良品放行]]-_018_600[[#This Row],[入庫]]</f>
        <v>0</v>
      </c>
      <c r="V28" s="123">
        <f>SUMIFS(record[OK],record[製程料號],_018_600[[#This Row],[製令單號]],record[ProcessSN],V$1)</f>
        <v>136</v>
      </c>
      <c r="W28" s="123">
        <f>_018_600[[#This Row],[入庫]]-_018_600[[#This Row],[已出貨]]</f>
        <v>0</v>
      </c>
      <c r="X28" s="137"/>
      <c r="Y28" s="123">
        <f>SUMIFS(record[OK],record[製程料號],_018_600[[#This Row],[製令單號]],record[ProcessSN],Y$1)</f>
        <v>136</v>
      </c>
      <c r="Z28" s="125">
        <f>_018_600[[#This Row],[不良待處理]]+_018_600[[#This Row],[不良品]]+_018_600[[#This Row],['#06
QC NG]]+_018_600[[#This Row],['#08委外NG]]</f>
        <v>11</v>
      </c>
      <c r="AA28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0.92517006802721091</v>
      </c>
    </row>
    <row r="29" spans="1:27" ht="30.75" x14ac:dyDescent="0.25">
      <c r="A29" s="120">
        <v>45810</v>
      </c>
      <c r="B29" s="121" t="s">
        <v>822</v>
      </c>
      <c r="C29" s="122" t="s">
        <v>503</v>
      </c>
      <c r="D29" s="118">
        <v>164</v>
      </c>
      <c r="E29" s="123">
        <f>_018_600[[#This Row],[入料數]]-_018_600[[#This Row],['#08已委外數量]]</f>
        <v>0</v>
      </c>
      <c r="F29" s="123">
        <f>SUMIFS(record[OK],record[製程料號],_018_600[[#This Row],[製令單號]],record[ProcessSN],F$1)</f>
        <v>164</v>
      </c>
      <c r="G29" s="118" t="str">
        <f>IF(_018_600[[#This Row],['#08已委外數量]]&gt;0,VLOOKUP(G$1,record[[ProcessSN]:[廠商]],12,FALSE),"尚未委外")</f>
        <v>泉盛</v>
      </c>
      <c r="H29" s="123">
        <f>_018_600[[#This Row],['#08已委外數量]]-_018_600[[#This Row],['#08回
良品]]-_018_600[[#This Row],['#08委外NG]]</f>
        <v>0</v>
      </c>
      <c r="I29" s="123">
        <f>SUMIFS(record[OK],record[製程料號],_018_600[[#This Row],[製令單號]],record[ProcessSN],I$1)</f>
        <v>164</v>
      </c>
      <c r="J29" s="117">
        <f>SUMIFS(record[NG],record[製程料號],_018_600[[#This Row],[製令單號]],record[ProcessSN],J$1)</f>
        <v>0</v>
      </c>
      <c r="K29" s="124">
        <f>IFERROR(_018_600[[#This Row],['#08委外NG]]/_018_600[[#This Row],['#08已委外數量]],"")</f>
        <v>0</v>
      </c>
      <c r="L29" s="123">
        <f>_018_600[[#This Row],['#08回
良品]]-_018_600[[#This Row],['#06檢驗OK]]-_018_600[[#This Row],['#06
QC NG]]</f>
        <v>0</v>
      </c>
      <c r="M29" s="123">
        <f>SUMIFS(record[OK],record[製程料號],_018_600[[#This Row],[製令單號]],record[ProcessSN],M$1)</f>
        <v>164</v>
      </c>
      <c r="N29" s="117">
        <f>SUMIFS(record[NG],record[製程料號],_018_600[[#This Row],[製令單號]],record[ProcessSN],N$1)</f>
        <v>0</v>
      </c>
      <c r="O29" s="123">
        <f>_018_600[[#This Row],['#06檢驗OK]]-_018_600[[#This Row],[不良品]]-_018_600[[#This Row],[良品]]</f>
        <v>0</v>
      </c>
      <c r="P29" s="123">
        <f>SUMIFS(record[OK],record[製程料號],_018_600[[#This Row],[製令單號]],record[ProcessSN],P$1)</f>
        <v>164</v>
      </c>
      <c r="Q29" s="117">
        <f>SUMIFS(record[NG],record[製程料號],_018_600[[#This Row],[製令單號]],record[ProcessSN],Q$1)</f>
        <v>0</v>
      </c>
      <c r="R29" s="123">
        <f>_018_600[[#This Row],[良品]]-_018_600[[#This Row],[良品放行]]-_018_600[[#This Row],[不良待處理]]</f>
        <v>0</v>
      </c>
      <c r="S29" s="123">
        <f>SUMIFS(record[OK],record[製程料號],_018_600[[#This Row],[製令單號]],record[ProcessSN],S$1)</f>
        <v>164</v>
      </c>
      <c r="T29" s="117">
        <f>SUMIFS(record[NG],record[製程料號],_018_600[[#This Row],[製令單號]],record[ProcessSN],T$1)</f>
        <v>0</v>
      </c>
      <c r="U29" s="123">
        <f>_018_600[[#This Row],[良品放行]]-_018_600[[#This Row],[入庫]]</f>
        <v>0</v>
      </c>
      <c r="V29" s="123">
        <f>SUMIFS(record[OK],record[製程料號],_018_600[[#This Row],[製令單號]],record[ProcessSN],V$1)</f>
        <v>164</v>
      </c>
      <c r="W29" s="123">
        <f>_018_600[[#This Row],[入庫]]-_018_600[[#This Row],[已出貨]]</f>
        <v>0</v>
      </c>
      <c r="X29" s="137"/>
      <c r="Y29" s="123">
        <f>SUMIFS(record[OK],record[製程料號],_018_600[[#This Row],[製令單號]],record[ProcessSN],Y$1)</f>
        <v>164</v>
      </c>
      <c r="Z29" s="125">
        <f>_018_600[[#This Row],[不良待處理]]+_018_600[[#This Row],[不良品]]+_018_600[[#This Row],['#06
QC NG]]+_018_600[[#This Row],['#08委外NG]]</f>
        <v>0</v>
      </c>
      <c r="AA29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30" spans="1:27" ht="30.75" x14ac:dyDescent="0.25">
      <c r="A30" s="120">
        <v>45812</v>
      </c>
      <c r="B30" s="121" t="s">
        <v>830</v>
      </c>
      <c r="C30" s="122" t="s">
        <v>503</v>
      </c>
      <c r="D30" s="118">
        <v>261</v>
      </c>
      <c r="E30" s="123">
        <f>_018_600[[#This Row],[入料數]]-_018_600[[#This Row],['#08已委外數量]]</f>
        <v>0</v>
      </c>
      <c r="F30" s="123">
        <f>SUMIFS(record[OK],record[製程料號],_018_600[[#This Row],[製令單號]],record[ProcessSN],F$1)</f>
        <v>261</v>
      </c>
      <c r="G30" s="118" t="str">
        <f>IF(_018_600[[#This Row],['#08已委外數量]]&gt;0,VLOOKUP(G$1,record[[ProcessSN]:[廠商]],12,FALSE),"尚未委外")</f>
        <v>泉盛</v>
      </c>
      <c r="H30" s="123">
        <f>_018_600[[#This Row],['#08已委外數量]]-_018_600[[#This Row],['#08回
良品]]-_018_600[[#This Row],['#08委外NG]]</f>
        <v>0</v>
      </c>
      <c r="I30" s="123">
        <f>SUMIFS(record[OK],record[製程料號],_018_600[[#This Row],[製令單號]],record[ProcessSN],I$1)</f>
        <v>261</v>
      </c>
      <c r="J30" s="117">
        <f>SUMIFS(record[NG],record[製程料號],_018_600[[#This Row],[製令單號]],record[ProcessSN],J$1)</f>
        <v>0</v>
      </c>
      <c r="K30" s="124">
        <f>IFERROR(_018_600[[#This Row],['#08委外NG]]/_018_600[[#This Row],['#08已委外數量]],"")</f>
        <v>0</v>
      </c>
      <c r="L30" s="123">
        <f>_018_600[[#This Row],['#08回
良品]]-_018_600[[#This Row],['#06檢驗OK]]-_018_600[[#This Row],['#06
QC NG]]</f>
        <v>0</v>
      </c>
      <c r="M30" s="123">
        <f>SUMIFS(record[OK],record[製程料號],_018_600[[#This Row],[製令單號]],record[ProcessSN],M$1)</f>
        <v>261</v>
      </c>
      <c r="N30" s="117">
        <f>SUMIFS(record[NG],record[製程料號],_018_600[[#This Row],[製令單號]],record[ProcessSN],N$1)</f>
        <v>0</v>
      </c>
      <c r="O30" s="123">
        <f>_018_600[[#This Row],['#06檢驗OK]]-_018_600[[#This Row],[不良品]]-_018_600[[#This Row],[良品]]</f>
        <v>0</v>
      </c>
      <c r="P30" s="123">
        <f>SUMIFS(record[OK],record[製程料號],_018_600[[#This Row],[製令單號]],record[ProcessSN],P$1)</f>
        <v>261</v>
      </c>
      <c r="Q30" s="117">
        <f>SUMIFS(record[NG],record[製程料號],_018_600[[#This Row],[製令單號]],record[ProcessSN],Q$1)</f>
        <v>0</v>
      </c>
      <c r="R30" s="123">
        <f>_018_600[[#This Row],[良品]]-_018_600[[#This Row],[良品放行]]-_018_600[[#This Row],[不良待處理]]</f>
        <v>0</v>
      </c>
      <c r="S30" s="123">
        <f>SUMIFS(record[OK],record[製程料號],_018_600[[#This Row],[製令單號]],record[ProcessSN],S$1)</f>
        <v>261</v>
      </c>
      <c r="T30" s="117">
        <f>SUMIFS(record[NG],record[製程料號],_018_600[[#This Row],[製令單號]],record[ProcessSN],T$1)</f>
        <v>0</v>
      </c>
      <c r="U30" s="123">
        <f>_018_600[[#This Row],[良品放行]]-_018_600[[#This Row],[入庫]]</f>
        <v>0</v>
      </c>
      <c r="V30" s="123">
        <f>SUMIFS(record[OK],record[製程料號],_018_600[[#This Row],[製令單號]],record[ProcessSN],V$1)</f>
        <v>261</v>
      </c>
      <c r="W30" s="123">
        <f>_018_600[[#This Row],[入庫]]-_018_600[[#This Row],[已出貨]]</f>
        <v>0</v>
      </c>
      <c r="X30" s="137"/>
      <c r="Y30" s="123">
        <f>SUMIFS(record[OK],record[製程料號],_018_600[[#This Row],[製令單號]],record[ProcessSN],Y$1)</f>
        <v>261</v>
      </c>
      <c r="Z30" s="125">
        <f>_018_600[[#This Row],[不良待處理]]+_018_600[[#This Row],[不良品]]+_018_600[[#This Row],['#06
QC NG]]+_018_600[[#This Row],['#08委外NG]]</f>
        <v>0</v>
      </c>
      <c r="AA30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31" spans="1:27" ht="30.75" x14ac:dyDescent="0.25">
      <c r="A31" s="120">
        <v>45841</v>
      </c>
      <c r="B31" s="121" t="s">
        <v>882</v>
      </c>
      <c r="C31" s="122" t="s">
        <v>503</v>
      </c>
      <c r="D31" s="118">
        <v>161</v>
      </c>
      <c r="E31" s="123">
        <f>_018_600[[#This Row],[入料數]]-_018_600[[#This Row],['#08已委外數量]]</f>
        <v>0</v>
      </c>
      <c r="F31" s="123">
        <f>SUMIFS(record[OK],record[製程料號],_018_600[[#This Row],[製令單號]],record[ProcessSN],F$1)</f>
        <v>161</v>
      </c>
      <c r="G31" s="118" t="str">
        <f>IF(_018_600[[#This Row],['#08已委外數量]]&gt;0,VLOOKUP(G$1,record[[ProcessSN]:[廠商]],12,FALSE),"尚未委外")</f>
        <v>泉盛</v>
      </c>
      <c r="H31" s="123">
        <f>_018_600[[#This Row],['#08已委外數量]]-_018_600[[#This Row],['#08回
良品]]-_018_600[[#This Row],['#08委外NG]]</f>
        <v>0</v>
      </c>
      <c r="I31" s="123">
        <f>SUMIFS(record[OK],record[製程料號],_018_600[[#This Row],[製令單號]],record[ProcessSN],I$1)</f>
        <v>161</v>
      </c>
      <c r="J31" s="117">
        <f>SUMIFS(record[NG],record[製程料號],_018_600[[#This Row],[製令單號]],record[ProcessSN],J$1)</f>
        <v>0</v>
      </c>
      <c r="K31" s="124">
        <f>IFERROR(_018_600[[#This Row],['#08委外NG]]/_018_600[[#This Row],['#08已委外數量]],"")</f>
        <v>0</v>
      </c>
      <c r="L31" s="123">
        <f>_018_600[[#This Row],['#08回
良品]]-_018_600[[#This Row],['#06檢驗OK]]-_018_600[[#This Row],['#06
QC NG]]</f>
        <v>0</v>
      </c>
      <c r="M31" s="123">
        <f>SUMIFS(record[OK],record[製程料號],_018_600[[#This Row],[製令單號]],record[ProcessSN],M$1)</f>
        <v>161</v>
      </c>
      <c r="N31" s="117">
        <f>SUMIFS(record[NG],record[製程料號],_018_600[[#This Row],[製令單號]],record[ProcessSN],N$1)</f>
        <v>0</v>
      </c>
      <c r="O31" s="123">
        <f>_018_600[[#This Row],['#06檢驗OK]]-_018_600[[#This Row],[不良品]]-_018_600[[#This Row],[良品]]</f>
        <v>0</v>
      </c>
      <c r="P31" s="123">
        <f>SUMIFS(record[OK],record[製程料號],_018_600[[#This Row],[製令單號]],record[ProcessSN],P$1)</f>
        <v>150</v>
      </c>
      <c r="Q31" s="117">
        <f>SUMIFS(record[NG],record[製程料號],_018_600[[#This Row],[製令單號]],record[ProcessSN],Q$1)</f>
        <v>11</v>
      </c>
      <c r="R31" s="123">
        <f>_018_600[[#This Row],[良品]]-_018_600[[#This Row],[良品放行]]-_018_600[[#This Row],[不良待處理]]</f>
        <v>0</v>
      </c>
      <c r="S31" s="123">
        <f>SUMIFS(record[OK],record[製程料號],_018_600[[#This Row],[製令單號]],record[ProcessSN],S$1)</f>
        <v>150</v>
      </c>
      <c r="T31" s="117">
        <f>SUMIFS(record[NG],record[製程料號],_018_600[[#This Row],[製令單號]],record[ProcessSN],T$1)</f>
        <v>0</v>
      </c>
      <c r="U31" s="123">
        <f>_018_600[[#This Row],[良品放行]]-_018_600[[#This Row],[入庫]]</f>
        <v>0</v>
      </c>
      <c r="V31" s="123">
        <f>SUMIFS(record[OK],record[製程料號],_018_600[[#This Row],[製令單號]],record[ProcessSN],V$1)</f>
        <v>150</v>
      </c>
      <c r="W31" s="123">
        <f>_018_600[[#This Row],[入庫]]-_018_600[[#This Row],[已出貨]]</f>
        <v>0</v>
      </c>
      <c r="X31" s="137"/>
      <c r="Y31" s="123">
        <f>SUMIFS(record[OK],record[製程料號],_018_600[[#This Row],[製令單號]],record[ProcessSN],Y$1)</f>
        <v>150</v>
      </c>
      <c r="Z31" s="125">
        <f>_018_600[[#This Row],[不良待處理]]+_018_600[[#This Row],[不良品]]+_018_600[[#This Row],['#06
QC NG]]+_018_600[[#This Row],['#08委外NG]]</f>
        <v>11</v>
      </c>
      <c r="AA31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0.93167701863354035</v>
      </c>
    </row>
    <row r="32" spans="1:27" ht="30.75" x14ac:dyDescent="0.25">
      <c r="A32" s="120">
        <v>45842</v>
      </c>
      <c r="B32" s="121" t="s">
        <v>884</v>
      </c>
      <c r="C32" s="122" t="s">
        <v>503</v>
      </c>
      <c r="D32" s="118">
        <v>328</v>
      </c>
      <c r="E32" s="123">
        <f>_018_600[[#This Row],[入料數]]-_018_600[[#This Row],['#08已委外數量]]</f>
        <v>0</v>
      </c>
      <c r="F32" s="123">
        <f>SUMIFS(record[OK],record[製程料號],_018_600[[#This Row],[製令單號]],record[ProcessSN],F$1)</f>
        <v>328</v>
      </c>
      <c r="G32" s="118" t="str">
        <f>IF(_018_600[[#This Row],['#08已委外數量]]&gt;0,VLOOKUP(G$1,record[[ProcessSN]:[廠商]],12,FALSE),"尚未委外")</f>
        <v>泉盛</v>
      </c>
      <c r="H32" s="123">
        <f>_018_600[[#This Row],['#08已委外數量]]-_018_600[[#This Row],['#08回
良品]]-_018_600[[#This Row],['#08委外NG]]</f>
        <v>0</v>
      </c>
      <c r="I32" s="123">
        <f>SUMIFS(record[OK],record[製程料號],_018_600[[#This Row],[製令單號]],record[ProcessSN],I$1)</f>
        <v>328</v>
      </c>
      <c r="J32" s="117">
        <f>SUMIFS(record[NG],record[製程料號],_018_600[[#This Row],[製令單號]],record[ProcessSN],J$1)</f>
        <v>0</v>
      </c>
      <c r="K32" s="124">
        <f>IFERROR(_018_600[[#This Row],['#08委外NG]]/_018_600[[#This Row],['#08已委外數量]],"")</f>
        <v>0</v>
      </c>
      <c r="L32" s="123">
        <f>_018_600[[#This Row],['#08回
良品]]-_018_600[[#This Row],['#06檢驗OK]]-_018_600[[#This Row],['#06
QC NG]]</f>
        <v>0</v>
      </c>
      <c r="M32" s="123">
        <f>SUMIFS(record[OK],record[製程料號],_018_600[[#This Row],[製令單號]],record[ProcessSN],M$1)</f>
        <v>328</v>
      </c>
      <c r="N32" s="117">
        <f>SUMIFS(record[NG],record[製程料號],_018_600[[#This Row],[製令單號]],record[ProcessSN],N$1)</f>
        <v>0</v>
      </c>
      <c r="O32" s="123">
        <f>_018_600[[#This Row],['#06檢驗OK]]-_018_600[[#This Row],[不良品]]-_018_600[[#This Row],[良品]]</f>
        <v>0</v>
      </c>
      <c r="P32" s="123">
        <f>SUMIFS(record[OK],record[製程料號],_018_600[[#This Row],[製令單號]],record[ProcessSN],P$1)</f>
        <v>323</v>
      </c>
      <c r="Q32" s="117">
        <f>SUMIFS(record[NG],record[製程料號],_018_600[[#This Row],[製令單號]],record[ProcessSN],Q$1)</f>
        <v>5</v>
      </c>
      <c r="R32" s="123">
        <f>_018_600[[#This Row],[良品]]-_018_600[[#This Row],[良品放行]]-_018_600[[#This Row],[不良待處理]]</f>
        <v>0</v>
      </c>
      <c r="S32" s="123">
        <f>SUMIFS(record[OK],record[製程料號],_018_600[[#This Row],[製令單號]],record[ProcessSN],S$1)</f>
        <v>323</v>
      </c>
      <c r="T32" s="117">
        <f>SUMIFS(record[NG],record[製程料號],_018_600[[#This Row],[製令單號]],record[ProcessSN],T$1)</f>
        <v>0</v>
      </c>
      <c r="U32" s="123">
        <f>_018_600[[#This Row],[良品放行]]-_018_600[[#This Row],[入庫]]</f>
        <v>0</v>
      </c>
      <c r="V32" s="123">
        <f>SUMIFS(record[OK],record[製程料號],_018_600[[#This Row],[製令單號]],record[ProcessSN],V$1)</f>
        <v>323</v>
      </c>
      <c r="W32" s="123">
        <f>_018_600[[#This Row],[入庫]]-_018_600[[#This Row],[已出貨]]</f>
        <v>0</v>
      </c>
      <c r="X32" s="137"/>
      <c r="Y32" s="123">
        <f>SUMIFS(record[OK],record[製程料號],_018_600[[#This Row],[製令單號]],record[ProcessSN],Y$1)</f>
        <v>323</v>
      </c>
      <c r="Z32" s="125">
        <f>_018_600[[#This Row],[不良待處理]]+_018_600[[#This Row],[不良品]]+_018_600[[#This Row],['#06
QC NG]]+_018_600[[#This Row],['#08委外NG]]</f>
        <v>5</v>
      </c>
      <c r="AA32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0.9847560975609756</v>
      </c>
    </row>
    <row r="33" spans="1:27" ht="30.75" x14ac:dyDescent="0.25">
      <c r="A33" s="120">
        <v>45848</v>
      </c>
      <c r="B33" s="121" t="s">
        <v>890</v>
      </c>
      <c r="C33" s="122" t="s">
        <v>503</v>
      </c>
      <c r="D33" s="118">
        <v>469</v>
      </c>
      <c r="E33" s="123">
        <f>_018_600[[#This Row],[入料數]]-_018_600[[#This Row],['#08已委外數量]]</f>
        <v>0</v>
      </c>
      <c r="F33" s="123">
        <f>SUMIFS(record[OK],record[製程料號],_018_600[[#This Row],[製令單號]],record[ProcessSN],F$1)</f>
        <v>469</v>
      </c>
      <c r="G33" s="118" t="str">
        <f>IF(_018_600[[#This Row],['#08已委外數量]]&gt;0,VLOOKUP(G$1,record[[ProcessSN]:[廠商]],12,FALSE),"尚未委外")</f>
        <v>泉盛</v>
      </c>
      <c r="H33" s="123">
        <f>_018_600[[#This Row],['#08已委外數量]]-_018_600[[#This Row],['#08回
良品]]-_018_600[[#This Row],['#08委外NG]]</f>
        <v>0</v>
      </c>
      <c r="I33" s="123">
        <f>SUMIFS(record[OK],record[製程料號],_018_600[[#This Row],[製令單號]],record[ProcessSN],I$1)</f>
        <v>469</v>
      </c>
      <c r="J33" s="117">
        <f>SUMIFS(record[NG],record[製程料號],_018_600[[#This Row],[製令單號]],record[ProcessSN],J$1)</f>
        <v>0</v>
      </c>
      <c r="K33" s="124">
        <f>IFERROR(_018_600[[#This Row],['#08委外NG]]/_018_600[[#This Row],['#08已委外數量]],"")</f>
        <v>0</v>
      </c>
      <c r="L33" s="123">
        <f>_018_600[[#This Row],['#08回
良品]]-_018_600[[#This Row],['#06檢驗OK]]-_018_600[[#This Row],['#06
QC NG]]</f>
        <v>0</v>
      </c>
      <c r="M33" s="123">
        <f>SUMIFS(record[OK],record[製程料號],_018_600[[#This Row],[製令單號]],record[ProcessSN],M$1)</f>
        <v>469</v>
      </c>
      <c r="N33" s="117">
        <f>SUMIFS(record[NG],record[製程料號],_018_600[[#This Row],[製令單號]],record[ProcessSN],N$1)</f>
        <v>0</v>
      </c>
      <c r="O33" s="123">
        <f>_018_600[[#This Row],['#06檢驗OK]]-_018_600[[#This Row],[不良品]]-_018_600[[#This Row],[良品]]</f>
        <v>0</v>
      </c>
      <c r="P33" s="123">
        <f>SUMIFS(record[OK],record[製程料號],_018_600[[#This Row],[製令單號]],record[ProcessSN],P$1)</f>
        <v>431</v>
      </c>
      <c r="Q33" s="117">
        <f>SUMIFS(record[NG],record[製程料號],_018_600[[#This Row],[製令單號]],record[ProcessSN],Q$1)</f>
        <v>38</v>
      </c>
      <c r="R33" s="123">
        <f>_018_600[[#This Row],[良品]]-_018_600[[#This Row],[良品放行]]-_018_600[[#This Row],[不良待處理]]</f>
        <v>0</v>
      </c>
      <c r="S33" s="123">
        <f>SUMIFS(record[OK],record[製程料號],_018_600[[#This Row],[製令單號]],record[ProcessSN],S$1)</f>
        <v>431</v>
      </c>
      <c r="T33" s="117">
        <f>SUMIFS(record[NG],record[製程料號],_018_600[[#This Row],[製令單號]],record[ProcessSN],T$1)</f>
        <v>0</v>
      </c>
      <c r="U33" s="123">
        <f>_018_600[[#This Row],[良品放行]]-_018_600[[#This Row],[入庫]]</f>
        <v>0</v>
      </c>
      <c r="V33" s="123">
        <f>SUMIFS(record[OK],record[製程料號],_018_600[[#This Row],[製令單號]],record[ProcessSN],V$1)</f>
        <v>431</v>
      </c>
      <c r="W33" s="123">
        <f>_018_600[[#This Row],[入庫]]-_018_600[[#This Row],[已出貨]]</f>
        <v>0</v>
      </c>
      <c r="X33" s="137"/>
      <c r="Y33" s="123">
        <f>SUMIFS(record[OK],record[製程料號],_018_600[[#This Row],[製令單號]],record[ProcessSN],Y$1)</f>
        <v>431</v>
      </c>
      <c r="Z33" s="125">
        <f>_018_600[[#This Row],[不良待處理]]+_018_600[[#This Row],[不良品]]+_018_600[[#This Row],['#06
QC NG]]+_018_600[[#This Row],['#08委外NG]]</f>
        <v>38</v>
      </c>
      <c r="AA33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0.91897654584221744</v>
      </c>
    </row>
    <row r="34" spans="1:27" ht="30.75" x14ac:dyDescent="0.25">
      <c r="A34" s="120">
        <v>45849</v>
      </c>
      <c r="B34" s="121" t="s">
        <v>893</v>
      </c>
      <c r="C34" s="122" t="s">
        <v>503</v>
      </c>
      <c r="D34" s="118">
        <v>133</v>
      </c>
      <c r="E34" s="123">
        <f>_018_600[[#This Row],[入料數]]-_018_600[[#This Row],['#08已委外數量]]</f>
        <v>0</v>
      </c>
      <c r="F34" s="123">
        <f>SUMIFS(record[OK],record[製程料號],_018_600[[#This Row],[製令單號]],record[ProcessSN],F$1)</f>
        <v>133</v>
      </c>
      <c r="G34" s="118" t="str">
        <f>IF(_018_600[[#This Row],['#08已委外數量]]&gt;0,VLOOKUP(G$1,record[[ProcessSN]:[廠商]],12,FALSE),"尚未委外")</f>
        <v>泉盛</v>
      </c>
      <c r="H34" s="123">
        <f>_018_600[[#This Row],['#08已委外數量]]-_018_600[[#This Row],['#08回
良品]]-_018_600[[#This Row],['#08委外NG]]</f>
        <v>0</v>
      </c>
      <c r="I34" s="123">
        <f>SUMIFS(record[OK],record[製程料號],_018_600[[#This Row],[製令單號]],record[ProcessSN],I$1)</f>
        <v>133</v>
      </c>
      <c r="J34" s="117">
        <f>SUMIFS(record[NG],record[製程料號],_018_600[[#This Row],[製令單號]],record[ProcessSN],J$1)</f>
        <v>0</v>
      </c>
      <c r="K34" s="124">
        <f>IFERROR(_018_600[[#This Row],['#08委外NG]]/_018_600[[#This Row],['#08已委外數量]],"")</f>
        <v>0</v>
      </c>
      <c r="L34" s="123">
        <f>_018_600[[#This Row],['#08回
良品]]-_018_600[[#This Row],['#06檢驗OK]]-_018_600[[#This Row],['#06
QC NG]]</f>
        <v>0</v>
      </c>
      <c r="M34" s="123">
        <f>SUMIFS(record[OK],record[製程料號],_018_600[[#This Row],[製令單號]],record[ProcessSN],M$1)</f>
        <v>133</v>
      </c>
      <c r="N34" s="117">
        <f>SUMIFS(record[NG],record[製程料號],_018_600[[#This Row],[製令單號]],record[ProcessSN],N$1)</f>
        <v>0</v>
      </c>
      <c r="O34" s="123">
        <f>_018_600[[#This Row],['#06檢驗OK]]-_018_600[[#This Row],[不良品]]-_018_600[[#This Row],[良品]]</f>
        <v>0</v>
      </c>
      <c r="P34" s="123">
        <f>SUMIFS(record[OK],record[製程料號],_018_600[[#This Row],[製令單號]],record[ProcessSN],P$1)</f>
        <v>124</v>
      </c>
      <c r="Q34" s="117">
        <f>SUMIFS(record[NG],record[製程料號],_018_600[[#This Row],[製令單號]],record[ProcessSN],Q$1)</f>
        <v>9</v>
      </c>
      <c r="R34" s="123">
        <f>_018_600[[#This Row],[良品]]-_018_600[[#This Row],[良品放行]]-_018_600[[#This Row],[不良待處理]]</f>
        <v>0</v>
      </c>
      <c r="S34" s="123">
        <f>SUMIFS(record[OK],record[製程料號],_018_600[[#This Row],[製令單號]],record[ProcessSN],S$1)</f>
        <v>124</v>
      </c>
      <c r="T34" s="117">
        <f>SUMIFS(record[NG],record[製程料號],_018_600[[#This Row],[製令單號]],record[ProcessSN],T$1)</f>
        <v>0</v>
      </c>
      <c r="U34" s="123">
        <f>_018_600[[#This Row],[良品放行]]-_018_600[[#This Row],[入庫]]</f>
        <v>0</v>
      </c>
      <c r="V34" s="123">
        <f>SUMIFS(record[OK],record[製程料號],_018_600[[#This Row],[製令單號]],record[ProcessSN],V$1)</f>
        <v>124</v>
      </c>
      <c r="W34" s="123">
        <f>_018_600[[#This Row],[入庫]]-_018_600[[#This Row],[已出貨]]</f>
        <v>0</v>
      </c>
      <c r="X34" s="137"/>
      <c r="Y34" s="123">
        <f>SUMIFS(record[OK],record[製程料號],_018_600[[#This Row],[製令單號]],record[ProcessSN],Y$1)</f>
        <v>124</v>
      </c>
      <c r="Z34" s="125">
        <f>_018_600[[#This Row],[不良待處理]]+_018_600[[#This Row],[不良品]]+_018_600[[#This Row],['#06
QC NG]]+_018_600[[#This Row],['#08委外NG]]</f>
        <v>9</v>
      </c>
      <c r="AA34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0.93233082706766912</v>
      </c>
    </row>
    <row r="35" spans="1:27" ht="30.75" x14ac:dyDescent="0.25">
      <c r="A35" s="120">
        <v>45868</v>
      </c>
      <c r="B35" s="121" t="s">
        <v>932</v>
      </c>
      <c r="C35" s="122" t="s">
        <v>503</v>
      </c>
      <c r="D35" s="118">
        <v>310</v>
      </c>
      <c r="E35" s="123">
        <f>_018_600[[#This Row],[入料數]]-_018_600[[#This Row],['#08已委外數量]]</f>
        <v>0</v>
      </c>
      <c r="F35" s="123">
        <f>SUMIFS(record[OK],record[製程料號],_018_600[[#This Row],[製令單號]],record[ProcessSN],F$1)</f>
        <v>310</v>
      </c>
      <c r="G35" s="118" t="str">
        <f>IF(_018_600[[#This Row],['#08已委外數量]]&gt;0,VLOOKUP(G$1,record[[ProcessSN]:[廠商]],12,FALSE),"尚未委外")</f>
        <v>泉盛</v>
      </c>
      <c r="H35" s="123">
        <f>_018_600[[#This Row],['#08已委外數量]]-_018_600[[#This Row],['#08回
良品]]-_018_600[[#This Row],['#08委外NG]]</f>
        <v>0</v>
      </c>
      <c r="I35" s="123">
        <f>SUMIFS(record[OK],record[製程料號],_018_600[[#This Row],[製令單號]],record[ProcessSN],I$1)</f>
        <v>310</v>
      </c>
      <c r="J35" s="117">
        <f>SUMIFS(record[NG],record[製程料號],_018_600[[#This Row],[製令單號]],record[ProcessSN],J$1)</f>
        <v>0</v>
      </c>
      <c r="K35" s="124">
        <f>IFERROR(_018_600[[#This Row],['#08委外NG]]/_018_600[[#This Row],['#08已委外數量]],"")</f>
        <v>0</v>
      </c>
      <c r="L35" s="123">
        <f>_018_600[[#This Row],['#08回
良品]]-_018_600[[#This Row],['#06檢驗OK]]-_018_600[[#This Row],['#06
QC NG]]</f>
        <v>0</v>
      </c>
      <c r="M35" s="123">
        <f>SUMIFS(record[OK],record[製程料號],_018_600[[#This Row],[製令單號]],record[ProcessSN],M$1)</f>
        <v>310</v>
      </c>
      <c r="N35" s="117">
        <f>SUMIFS(record[NG],record[製程料號],_018_600[[#This Row],[製令單號]],record[ProcessSN],N$1)</f>
        <v>0</v>
      </c>
      <c r="O35" s="123">
        <f>_018_600[[#This Row],['#06檢驗OK]]-_018_600[[#This Row],[不良品]]-_018_600[[#This Row],[良品]]</f>
        <v>0</v>
      </c>
      <c r="P35" s="123">
        <f>SUMIFS(record[OK],record[製程料號],_018_600[[#This Row],[製令單號]],record[ProcessSN],P$1)</f>
        <v>303</v>
      </c>
      <c r="Q35" s="117">
        <f>SUMIFS(record[NG],record[製程料號],_018_600[[#This Row],[製令單號]],record[ProcessSN],Q$1)</f>
        <v>7</v>
      </c>
      <c r="R35" s="123">
        <f>_018_600[[#This Row],[良品]]-_018_600[[#This Row],[良品放行]]-_018_600[[#This Row],[不良待處理]]</f>
        <v>0</v>
      </c>
      <c r="S35" s="123">
        <f>SUMIFS(record[OK],record[製程料號],_018_600[[#This Row],[製令單號]],record[ProcessSN],S$1)</f>
        <v>303</v>
      </c>
      <c r="T35" s="117">
        <f>SUMIFS(record[NG],record[製程料號],_018_600[[#This Row],[製令單號]],record[ProcessSN],T$1)</f>
        <v>0</v>
      </c>
      <c r="U35" s="123">
        <f>_018_600[[#This Row],[良品放行]]-_018_600[[#This Row],[入庫]]</f>
        <v>0</v>
      </c>
      <c r="V35" s="123">
        <f>SUMIFS(record[OK],record[製程料號],_018_600[[#This Row],[製令單號]],record[ProcessSN],V$1)</f>
        <v>303</v>
      </c>
      <c r="W35" s="123">
        <f>_018_600[[#This Row],[入庫]]-_018_600[[#This Row],[已出貨]]</f>
        <v>0</v>
      </c>
      <c r="X35" s="137"/>
      <c r="Y35" s="123">
        <f>SUMIFS(record[OK],record[製程料號],_018_600[[#This Row],[製令單號]],record[ProcessSN],Y$1)</f>
        <v>303</v>
      </c>
      <c r="Z35" s="125">
        <f>_018_600[[#This Row],[不良待處理]]+_018_600[[#This Row],[不良品]]+_018_600[[#This Row],['#06
QC NG]]+_018_600[[#This Row],['#08委外NG]]</f>
        <v>7</v>
      </c>
      <c r="AA35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0.97741935483870968</v>
      </c>
    </row>
    <row r="36" spans="1:27" ht="30.75" x14ac:dyDescent="0.25">
      <c r="A36" s="120">
        <v>45869</v>
      </c>
      <c r="B36" s="121" t="s">
        <v>937</v>
      </c>
      <c r="C36" s="122" t="s">
        <v>503</v>
      </c>
      <c r="D36" s="118">
        <v>261</v>
      </c>
      <c r="E36" s="123">
        <f>_018_600[[#This Row],[入料數]]-_018_600[[#This Row],['#08已委外數量]]</f>
        <v>0</v>
      </c>
      <c r="F36" s="123">
        <f>SUMIFS(record[OK],record[製程料號],_018_600[[#This Row],[製令單號]],record[ProcessSN],F$1)</f>
        <v>261</v>
      </c>
      <c r="G36" s="118" t="str">
        <f>IF(_018_600[[#This Row],['#08已委外數量]]&gt;0,VLOOKUP(G$1,record[[ProcessSN]:[廠商]],12,FALSE),"尚未委外")</f>
        <v>泉盛</v>
      </c>
      <c r="H36" s="123">
        <f>_018_600[[#This Row],['#08已委外數量]]-_018_600[[#This Row],['#08回
良品]]-_018_600[[#This Row],['#08委外NG]]</f>
        <v>0</v>
      </c>
      <c r="I36" s="123">
        <f>SUMIFS(record[OK],record[製程料號],_018_600[[#This Row],[製令單號]],record[ProcessSN],I$1)</f>
        <v>256</v>
      </c>
      <c r="J36" s="117">
        <f>SUMIFS(record[NG],record[製程料號],_018_600[[#This Row],[製令單號]],record[ProcessSN],J$1)</f>
        <v>5</v>
      </c>
      <c r="K36" s="124">
        <f>IFERROR(_018_600[[#This Row],['#08委外NG]]/_018_600[[#This Row],['#08已委外數量]],"")</f>
        <v>1.9157088122605363E-2</v>
      </c>
      <c r="L36" s="123">
        <f>_018_600[[#This Row],['#08回
良品]]-_018_600[[#This Row],['#06檢驗OK]]-_018_600[[#This Row],['#06
QC NG]]</f>
        <v>0</v>
      </c>
      <c r="M36" s="123">
        <f>SUMIFS(record[OK],record[製程料號],_018_600[[#This Row],[製令單號]],record[ProcessSN],M$1)</f>
        <v>256</v>
      </c>
      <c r="N36" s="117">
        <f>SUMIFS(record[NG],record[製程料號],_018_600[[#This Row],[製令單號]],record[ProcessSN],N$1)</f>
        <v>0</v>
      </c>
      <c r="O36" s="123">
        <f>_018_600[[#This Row],['#06檢驗OK]]-_018_600[[#This Row],[不良品]]-_018_600[[#This Row],[良品]]</f>
        <v>0</v>
      </c>
      <c r="P36" s="123">
        <f>SUMIFS(record[OK],record[製程料號],_018_600[[#This Row],[製令單號]],record[ProcessSN],P$1)</f>
        <v>256</v>
      </c>
      <c r="Q36" s="117">
        <f>SUMIFS(record[NG],record[製程料號],_018_600[[#This Row],[製令單號]],record[ProcessSN],Q$1)</f>
        <v>0</v>
      </c>
      <c r="R36" s="123">
        <f>_018_600[[#This Row],[良品]]-_018_600[[#This Row],[良品放行]]-_018_600[[#This Row],[不良待處理]]</f>
        <v>0</v>
      </c>
      <c r="S36" s="123">
        <f>SUMIFS(record[OK],record[製程料號],_018_600[[#This Row],[製令單號]],record[ProcessSN],S$1)</f>
        <v>256</v>
      </c>
      <c r="T36" s="117">
        <f>SUMIFS(record[NG],record[製程料號],_018_600[[#This Row],[製令單號]],record[ProcessSN],T$1)</f>
        <v>0</v>
      </c>
      <c r="U36" s="123">
        <f>_018_600[[#This Row],[良品放行]]-_018_600[[#This Row],[入庫]]</f>
        <v>0</v>
      </c>
      <c r="V36" s="123">
        <f>SUMIFS(record[OK],record[製程料號],_018_600[[#This Row],[製令單號]],record[ProcessSN],V$1)</f>
        <v>256</v>
      </c>
      <c r="W36" s="123">
        <f>_018_600[[#This Row],[入庫]]-_018_600[[#This Row],[已出貨]]</f>
        <v>0</v>
      </c>
      <c r="X36" s="137"/>
      <c r="Y36" s="123">
        <f>SUMIFS(record[OK],record[製程料號],_018_600[[#This Row],[製令單號]],record[ProcessSN],Y$1)</f>
        <v>256</v>
      </c>
      <c r="Z36" s="125">
        <f>_018_600[[#This Row],[不良待處理]]+_018_600[[#This Row],[不良品]]+_018_600[[#This Row],['#06
QC NG]]+_018_600[[#This Row],['#08委外NG]]</f>
        <v>5</v>
      </c>
      <c r="AA36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0.98084291187739459</v>
      </c>
    </row>
    <row r="37" spans="1:27" ht="30.75" x14ac:dyDescent="0.25">
      <c r="A37" s="120">
        <v>45875</v>
      </c>
      <c r="B37" s="121" t="s">
        <v>952</v>
      </c>
      <c r="C37" s="122" t="s">
        <v>503</v>
      </c>
      <c r="D37" s="118">
        <v>477</v>
      </c>
      <c r="E37" s="123">
        <f>_018_600[[#This Row],[入料數]]-_018_600[[#This Row],['#08已委外數量]]</f>
        <v>0</v>
      </c>
      <c r="F37" s="123">
        <f>SUMIFS(record[OK],record[製程料號],_018_600[[#This Row],[製令單號]],record[ProcessSN],F$1)</f>
        <v>477</v>
      </c>
      <c r="G37" s="118" t="str">
        <f>IF(_018_600[[#This Row],['#08已委外數量]]&gt;0,VLOOKUP(G$1,record[[ProcessSN]:[廠商]],12,FALSE),"尚未委外")</f>
        <v>泉盛</v>
      </c>
      <c r="H37" s="123">
        <f>_018_600[[#This Row],['#08已委外數量]]-_018_600[[#This Row],['#08回
良品]]-_018_600[[#This Row],['#08委外NG]]</f>
        <v>0</v>
      </c>
      <c r="I37" s="123">
        <f>SUMIFS(record[OK],record[製程料號],_018_600[[#This Row],[製令單號]],record[ProcessSN],I$1)</f>
        <v>447</v>
      </c>
      <c r="J37" s="117">
        <f>SUMIFS(record[NG],record[製程料號],_018_600[[#This Row],[製令單號]],record[ProcessSN],J$1)</f>
        <v>30</v>
      </c>
      <c r="K37" s="124">
        <f>IFERROR(_018_600[[#This Row],['#08委外NG]]/_018_600[[#This Row],['#08已委外數量]],"")</f>
        <v>6.2893081761006289E-2</v>
      </c>
      <c r="L37" s="123">
        <f>_018_600[[#This Row],['#08回
良品]]-_018_600[[#This Row],['#06檢驗OK]]-_018_600[[#This Row],['#06
QC NG]]</f>
        <v>0</v>
      </c>
      <c r="M37" s="123">
        <f>SUMIFS(record[OK],record[製程料號],_018_600[[#This Row],[製令單號]],record[ProcessSN],M$1)</f>
        <v>447</v>
      </c>
      <c r="N37" s="117">
        <f>SUMIFS(record[NG],record[製程料號],_018_600[[#This Row],[製令單號]],record[ProcessSN],N$1)</f>
        <v>0</v>
      </c>
      <c r="O37" s="123">
        <f>_018_600[[#This Row],['#06檢驗OK]]-_018_600[[#This Row],[不良品]]-_018_600[[#This Row],[良品]]</f>
        <v>0</v>
      </c>
      <c r="P37" s="123">
        <f>SUMIFS(record[OK],record[製程料號],_018_600[[#This Row],[製令單號]],record[ProcessSN],P$1)</f>
        <v>447</v>
      </c>
      <c r="Q37" s="117">
        <f>SUMIFS(record[NG],record[製程料號],_018_600[[#This Row],[製令單號]],record[ProcessSN],Q$1)</f>
        <v>0</v>
      </c>
      <c r="R37" s="123">
        <f>_018_600[[#This Row],[良品]]-_018_600[[#This Row],[良品放行]]-_018_600[[#This Row],[不良待處理]]</f>
        <v>0</v>
      </c>
      <c r="S37" s="123">
        <f>SUMIFS(record[OK],record[製程料號],_018_600[[#This Row],[製令單號]],record[ProcessSN],S$1)</f>
        <v>447</v>
      </c>
      <c r="T37" s="117">
        <f>SUMIFS(record[NG],record[製程料號],_018_600[[#This Row],[製令單號]],record[ProcessSN],T$1)</f>
        <v>0</v>
      </c>
      <c r="U37" s="123">
        <f>_018_600[[#This Row],[良品放行]]-_018_600[[#This Row],[入庫]]</f>
        <v>0</v>
      </c>
      <c r="V37" s="123">
        <f>SUMIFS(record[OK],record[製程料號],_018_600[[#This Row],[製令單號]],record[ProcessSN],V$1)</f>
        <v>447</v>
      </c>
      <c r="W37" s="123">
        <f>_018_600[[#This Row],[入庫]]-_018_600[[#This Row],[已出貨]]</f>
        <v>0</v>
      </c>
      <c r="X37" s="137"/>
      <c r="Y37" s="123">
        <f>SUMIFS(record[OK],record[製程料號],_018_600[[#This Row],[製令單號]],record[ProcessSN],Y$1)</f>
        <v>447</v>
      </c>
      <c r="Z37" s="125">
        <f>_018_600[[#This Row],[不良待處理]]+_018_600[[#This Row],[不良品]]+_018_600[[#This Row],['#06
QC NG]]+_018_600[[#This Row],['#08委外NG]]</f>
        <v>30</v>
      </c>
      <c r="AA37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0.93710691823899372</v>
      </c>
    </row>
    <row r="38" spans="1:27" ht="30.75" x14ac:dyDescent="0.25">
      <c r="A38" s="120">
        <v>45876</v>
      </c>
      <c r="B38" s="121" t="s">
        <v>960</v>
      </c>
      <c r="C38" s="122" t="s">
        <v>503</v>
      </c>
      <c r="D38" s="118">
        <v>214</v>
      </c>
      <c r="E38" s="123">
        <f>_018_600[[#This Row],[入料數]]-_018_600[[#This Row],['#08已委外數量]]</f>
        <v>0</v>
      </c>
      <c r="F38" s="123">
        <f>SUMIFS(record[OK],record[製程料號],_018_600[[#This Row],[製令單號]],record[ProcessSN],F$1)</f>
        <v>214</v>
      </c>
      <c r="G38" s="118" t="str">
        <f>IF(_018_600[[#This Row],['#08已委外數量]]&gt;0,VLOOKUP(G$1,record[[ProcessSN]:[廠商]],12,FALSE),"尚未委外")</f>
        <v>泉盛</v>
      </c>
      <c r="H38" s="123">
        <f>_018_600[[#This Row],['#08已委外數量]]-_018_600[[#This Row],['#08回
良品]]-_018_600[[#This Row],['#08委外NG]]</f>
        <v>0</v>
      </c>
      <c r="I38" s="123">
        <f>SUMIFS(record[OK],record[製程料號],_018_600[[#This Row],[製令單號]],record[ProcessSN],I$1)</f>
        <v>214</v>
      </c>
      <c r="J38" s="117">
        <f>SUMIFS(record[NG],record[製程料號],_018_600[[#This Row],[製令單號]],record[ProcessSN],J$1)</f>
        <v>0</v>
      </c>
      <c r="K38" s="124">
        <f>IFERROR(_018_600[[#This Row],['#08委外NG]]/_018_600[[#This Row],['#08已委外數量]],"")</f>
        <v>0</v>
      </c>
      <c r="L38" s="123">
        <f>_018_600[[#This Row],['#08回
良品]]-_018_600[[#This Row],['#06檢驗OK]]-_018_600[[#This Row],['#06
QC NG]]</f>
        <v>0</v>
      </c>
      <c r="M38" s="123">
        <f>SUMIFS(record[OK],record[製程料號],_018_600[[#This Row],[製令單號]],record[ProcessSN],M$1)</f>
        <v>214</v>
      </c>
      <c r="N38" s="117">
        <f>SUMIFS(record[NG],record[製程料號],_018_600[[#This Row],[製令單號]],record[ProcessSN],N$1)</f>
        <v>0</v>
      </c>
      <c r="O38" s="123">
        <f>_018_600[[#This Row],['#06檢驗OK]]-_018_600[[#This Row],[不良品]]-_018_600[[#This Row],[良品]]</f>
        <v>0</v>
      </c>
      <c r="P38" s="123">
        <f>SUMIFS(record[OK],record[製程料號],_018_600[[#This Row],[製令單號]],record[ProcessSN],P$1)</f>
        <v>191</v>
      </c>
      <c r="Q38" s="117">
        <f>SUMIFS(record[NG],record[製程料號],_018_600[[#This Row],[製令單號]],record[ProcessSN],Q$1)</f>
        <v>23</v>
      </c>
      <c r="R38" s="123">
        <f>_018_600[[#This Row],[良品]]-_018_600[[#This Row],[良品放行]]-_018_600[[#This Row],[不良待處理]]</f>
        <v>0</v>
      </c>
      <c r="S38" s="123">
        <f>SUMIFS(record[OK],record[製程料號],_018_600[[#This Row],[製令單號]],record[ProcessSN],S$1)</f>
        <v>191</v>
      </c>
      <c r="T38" s="117">
        <f>SUMIFS(record[NG],record[製程料號],_018_600[[#This Row],[製令單號]],record[ProcessSN],T$1)</f>
        <v>0</v>
      </c>
      <c r="U38" s="123">
        <f>_018_600[[#This Row],[良品放行]]-_018_600[[#This Row],[入庫]]</f>
        <v>0</v>
      </c>
      <c r="V38" s="123">
        <f>SUMIFS(record[OK],record[製程料號],_018_600[[#This Row],[製令單號]],record[ProcessSN],V$1)</f>
        <v>191</v>
      </c>
      <c r="W38" s="123">
        <f>_018_600[[#This Row],[入庫]]-_018_600[[#This Row],[已出貨]]</f>
        <v>0</v>
      </c>
      <c r="X38" s="137"/>
      <c r="Y38" s="123">
        <f>SUMIFS(record[OK],record[製程料號],_018_600[[#This Row],[製令單號]],record[ProcessSN],Y$1)</f>
        <v>191</v>
      </c>
      <c r="Z38" s="125">
        <f>_018_600[[#This Row],[不良待處理]]+_018_600[[#This Row],[不良品]]+_018_600[[#This Row],['#06
QC NG]]+_018_600[[#This Row],['#08委外NG]]</f>
        <v>23</v>
      </c>
      <c r="AA38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0.89252336448598135</v>
      </c>
    </row>
    <row r="39" spans="1:27" ht="30.75" x14ac:dyDescent="0.25">
      <c r="A39" s="120">
        <v>45883</v>
      </c>
      <c r="B39" s="121" t="s">
        <v>984</v>
      </c>
      <c r="C39" s="122" t="s">
        <v>503</v>
      </c>
      <c r="D39" s="118">
        <v>413</v>
      </c>
      <c r="E39" s="123">
        <f>_018_600[[#This Row],[入料數]]-_018_600[[#This Row],['#08已委外數量]]</f>
        <v>0</v>
      </c>
      <c r="F39" s="123">
        <f>SUMIFS(record[OK],record[製程料號],_018_600[[#This Row],[製令單號]],record[ProcessSN],F$1)</f>
        <v>413</v>
      </c>
      <c r="G39" s="118" t="str">
        <f>IF(_018_600[[#This Row],['#08已委外數量]]&gt;0,VLOOKUP(G$1,record[[ProcessSN]:[廠商]],12,FALSE),"尚未委外")</f>
        <v>泉盛</v>
      </c>
      <c r="H39" s="123">
        <f>_018_600[[#This Row],['#08已委外數量]]-_018_600[[#This Row],['#08回
良品]]-_018_600[[#This Row],['#08委外NG]]</f>
        <v>0</v>
      </c>
      <c r="I39" s="123">
        <f>SUMIFS(record[OK],record[製程料號],_018_600[[#This Row],[製令單號]],record[ProcessSN],I$1)</f>
        <v>383</v>
      </c>
      <c r="J39" s="117">
        <f>SUMIFS(record[NG],record[製程料號],_018_600[[#This Row],[製令單號]],record[ProcessSN],J$1)</f>
        <v>30</v>
      </c>
      <c r="K39" s="124">
        <f>IFERROR(_018_600[[#This Row],['#08委外NG]]/_018_600[[#This Row],['#08已委外數量]],"")</f>
        <v>7.2639225181598058E-2</v>
      </c>
      <c r="L39" s="123">
        <f>_018_600[[#This Row],['#08回
良品]]-_018_600[[#This Row],['#06檢驗OK]]-_018_600[[#This Row],['#06
QC NG]]</f>
        <v>0</v>
      </c>
      <c r="M39" s="123">
        <f>SUMIFS(record[OK],record[製程料號],_018_600[[#This Row],[製令單號]],record[ProcessSN],M$1)</f>
        <v>383</v>
      </c>
      <c r="N39" s="117">
        <f>SUMIFS(record[NG],record[製程料號],_018_600[[#This Row],[製令單號]],record[ProcessSN],N$1)</f>
        <v>0</v>
      </c>
      <c r="O39" s="123">
        <f>_018_600[[#This Row],['#06檢驗OK]]-_018_600[[#This Row],[不良品]]-_018_600[[#This Row],[良品]]</f>
        <v>0</v>
      </c>
      <c r="P39" s="123">
        <f>SUMIFS(record[OK],record[製程料號],_018_600[[#This Row],[製令單號]],record[ProcessSN],P$1)</f>
        <v>383</v>
      </c>
      <c r="Q39" s="117">
        <f>SUMIFS(record[NG],record[製程料號],_018_600[[#This Row],[製令單號]],record[ProcessSN],Q$1)</f>
        <v>0</v>
      </c>
      <c r="R39" s="123">
        <f>_018_600[[#This Row],[良品]]-_018_600[[#This Row],[良品放行]]-_018_600[[#This Row],[不良待處理]]</f>
        <v>0</v>
      </c>
      <c r="S39" s="123">
        <f>SUMIFS(record[OK],record[製程料號],_018_600[[#This Row],[製令單號]],record[ProcessSN],S$1)</f>
        <v>383</v>
      </c>
      <c r="T39" s="117">
        <f>SUMIFS(record[NG],record[製程料號],_018_600[[#This Row],[製令單號]],record[ProcessSN],T$1)</f>
        <v>0</v>
      </c>
      <c r="U39" s="123">
        <f>_018_600[[#This Row],[良品放行]]-_018_600[[#This Row],[入庫]]</f>
        <v>0</v>
      </c>
      <c r="V39" s="123">
        <f>SUMIFS(record[OK],record[製程料號],_018_600[[#This Row],[製令單號]],record[ProcessSN],V$1)</f>
        <v>383</v>
      </c>
      <c r="W39" s="123">
        <f>_018_600[[#This Row],[入庫]]-_018_600[[#This Row],[已出貨]]</f>
        <v>0</v>
      </c>
      <c r="X39" s="137"/>
      <c r="Y39" s="123">
        <f>SUMIFS(record[OK],record[製程料號],_018_600[[#This Row],[製令單號]],record[ProcessSN],Y$1)</f>
        <v>383</v>
      </c>
      <c r="Z39" s="125">
        <f>_018_600[[#This Row],[不良待處理]]+_018_600[[#This Row],[不良品]]+_018_600[[#This Row],['#06
QC NG]]+_018_600[[#This Row],['#08委外NG]]</f>
        <v>30</v>
      </c>
      <c r="AA39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0.92736077481840196</v>
      </c>
    </row>
    <row r="40" spans="1:27" ht="30.75" x14ac:dyDescent="0.25">
      <c r="A40" s="120">
        <v>45919</v>
      </c>
      <c r="B40" s="121" t="s">
        <v>1065</v>
      </c>
      <c r="C40" s="122" t="s">
        <v>503</v>
      </c>
      <c r="D40" s="118">
        <v>167</v>
      </c>
      <c r="E40" s="123">
        <f>_018_600[[#This Row],[入料數]]-_018_600[[#This Row],['#08已委外數量]]</f>
        <v>0</v>
      </c>
      <c r="F40" s="123">
        <f>SUMIFS(record[OK],record[製程料號],_018_600[[#This Row],[製令單號]],record[ProcessSN],F$1)</f>
        <v>167</v>
      </c>
      <c r="G40" s="118" t="str">
        <f>IF(_018_600[[#This Row],['#08已委外數量]]&gt;0,VLOOKUP(G$1,record[[ProcessSN]:[廠商]],12,FALSE),"尚未委外")</f>
        <v>泉盛</v>
      </c>
      <c r="H40" s="123">
        <f>_018_600[[#This Row],['#08已委外數量]]-_018_600[[#This Row],['#08回
良品]]-_018_600[[#This Row],['#08委外NG]]</f>
        <v>0</v>
      </c>
      <c r="I40" s="123">
        <f>SUMIFS(record[OK],record[製程料號],_018_600[[#This Row],[製令單號]],record[ProcessSN],I$1)</f>
        <v>159</v>
      </c>
      <c r="J40" s="117">
        <f>SUMIFS(record[NG],record[製程料號],_018_600[[#This Row],[製令單號]],record[ProcessSN],J$1)</f>
        <v>8</v>
      </c>
      <c r="K40" s="124">
        <f>IFERROR(_018_600[[#This Row],['#08委外NG]]/_018_600[[#This Row],['#08已委外數量]],"")</f>
        <v>4.790419161676647E-2</v>
      </c>
      <c r="L40" s="123">
        <f>_018_600[[#This Row],['#08回
良品]]-_018_600[[#This Row],['#06檢驗OK]]-_018_600[[#This Row],['#06
QC NG]]</f>
        <v>0</v>
      </c>
      <c r="M40" s="123">
        <f>SUMIFS(record[OK],record[製程料號],_018_600[[#This Row],[製令單號]],record[ProcessSN],M$1)</f>
        <v>159</v>
      </c>
      <c r="N40" s="117">
        <f>SUMIFS(record[NG],record[製程料號],_018_600[[#This Row],[製令單號]],record[ProcessSN],N$1)</f>
        <v>0</v>
      </c>
      <c r="O40" s="123">
        <f>_018_600[[#This Row],['#06檢驗OK]]-_018_600[[#This Row],[不良品]]-_018_600[[#This Row],[良品]]</f>
        <v>0</v>
      </c>
      <c r="P40" s="123">
        <f>SUMIFS(record[OK],record[製程料號],_018_600[[#This Row],[製令單號]],record[ProcessSN],P$1)</f>
        <v>159</v>
      </c>
      <c r="Q40" s="117">
        <f>SUMIFS(record[NG],record[製程料號],_018_600[[#This Row],[製令單號]],record[ProcessSN],Q$1)</f>
        <v>0</v>
      </c>
      <c r="R40" s="123">
        <f>_018_600[[#This Row],[良品]]-_018_600[[#This Row],[良品放行]]-_018_600[[#This Row],[不良待處理]]</f>
        <v>0</v>
      </c>
      <c r="S40" s="123">
        <f>SUMIFS(record[OK],record[製程料號],_018_600[[#This Row],[製令單號]],record[ProcessSN],S$1)</f>
        <v>159</v>
      </c>
      <c r="T40" s="117">
        <f>SUMIFS(record[NG],record[製程料號],_018_600[[#This Row],[製令單號]],record[ProcessSN],T$1)</f>
        <v>0</v>
      </c>
      <c r="U40" s="123">
        <f>_018_600[[#This Row],[良品放行]]-_018_600[[#This Row],[入庫]]</f>
        <v>0</v>
      </c>
      <c r="V40" s="123">
        <f>SUMIFS(record[OK],record[製程料號],_018_600[[#This Row],[製令單號]],record[ProcessSN],V$1)</f>
        <v>159</v>
      </c>
      <c r="W40" s="123">
        <f>_018_600[[#This Row],[入庫]]-_018_600[[#This Row],[已出貨]]</f>
        <v>0</v>
      </c>
      <c r="X40" s="137"/>
      <c r="Y40" s="123">
        <f>SUMIFS(record[OK],record[製程料號],_018_600[[#This Row],[製令單號]],record[ProcessSN],Y$1)</f>
        <v>159</v>
      </c>
      <c r="Z40" s="125">
        <f>_018_600[[#This Row],[不良待處理]]+_018_600[[#This Row],[不良品]]+_018_600[[#This Row],['#06
QC NG]]+_018_600[[#This Row],['#08委外NG]]</f>
        <v>8</v>
      </c>
      <c r="AA40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0.95209580838323349</v>
      </c>
    </row>
    <row r="41" spans="1:27" ht="30.75" x14ac:dyDescent="0.25">
      <c r="A41" s="120">
        <v>45922</v>
      </c>
      <c r="B41" s="121" t="s">
        <v>1067</v>
      </c>
      <c r="C41" s="122" t="s">
        <v>503</v>
      </c>
      <c r="D41" s="118">
        <v>163</v>
      </c>
      <c r="E41" s="123">
        <f>_018_600[[#This Row],[入料數]]-_018_600[[#This Row],['#08已委外數量]]</f>
        <v>0</v>
      </c>
      <c r="F41" s="123">
        <f>SUMIFS(record[OK],record[製程料號],_018_600[[#This Row],[製令單號]],record[ProcessSN],F$1)</f>
        <v>163</v>
      </c>
      <c r="G41" s="118" t="str">
        <f>IF(_018_600[[#This Row],['#08已委外數量]]&gt;0,VLOOKUP(G$1,record[[ProcessSN]:[廠商]],12,FALSE),"尚未委外")</f>
        <v>泉盛</v>
      </c>
      <c r="H41" s="123">
        <f>_018_600[[#This Row],['#08已委外數量]]-_018_600[[#This Row],['#08回
良品]]-_018_600[[#This Row],['#08委外NG]]</f>
        <v>0</v>
      </c>
      <c r="I41" s="123">
        <f>SUMIFS(record[OK],record[製程料號],_018_600[[#This Row],[製令單號]],record[ProcessSN],I$1)</f>
        <v>163</v>
      </c>
      <c r="J41" s="117">
        <f>SUMIFS(record[NG],record[製程料號],_018_600[[#This Row],[製令單號]],record[ProcessSN],J$1)</f>
        <v>0</v>
      </c>
      <c r="K41" s="124">
        <f>IFERROR(_018_600[[#This Row],['#08委外NG]]/_018_600[[#This Row],['#08已委外數量]],"")</f>
        <v>0</v>
      </c>
      <c r="L41" s="123">
        <f>_018_600[[#This Row],['#08回
良品]]-_018_600[[#This Row],['#06檢驗OK]]-_018_600[[#This Row],['#06
QC NG]]</f>
        <v>0</v>
      </c>
      <c r="M41" s="123">
        <f>SUMIFS(record[OK],record[製程料號],_018_600[[#This Row],[製令單號]],record[ProcessSN],M$1)</f>
        <v>163</v>
      </c>
      <c r="N41" s="117">
        <f>SUMIFS(record[NG],record[製程料號],_018_600[[#This Row],[製令單號]],record[ProcessSN],N$1)</f>
        <v>0</v>
      </c>
      <c r="O41" s="123">
        <f>_018_600[[#This Row],['#06檢驗OK]]-_018_600[[#This Row],[不良品]]-_018_600[[#This Row],[良品]]</f>
        <v>0</v>
      </c>
      <c r="P41" s="123">
        <f>SUMIFS(record[OK],record[製程料號],_018_600[[#This Row],[製令單號]],record[ProcessSN],P$1)</f>
        <v>163</v>
      </c>
      <c r="Q41" s="117">
        <f>SUMIFS(record[NG],record[製程料號],_018_600[[#This Row],[製令單號]],record[ProcessSN],Q$1)</f>
        <v>0</v>
      </c>
      <c r="R41" s="123">
        <f>_018_600[[#This Row],[良品]]-_018_600[[#This Row],[良品放行]]-_018_600[[#This Row],[不良待處理]]</f>
        <v>0</v>
      </c>
      <c r="S41" s="123">
        <f>SUMIFS(record[OK],record[製程料號],_018_600[[#This Row],[製令單號]],record[ProcessSN],S$1)</f>
        <v>163</v>
      </c>
      <c r="T41" s="117">
        <f>SUMIFS(record[NG],record[製程料號],_018_600[[#This Row],[製令單號]],record[ProcessSN],T$1)</f>
        <v>0</v>
      </c>
      <c r="U41" s="123">
        <f>_018_600[[#This Row],[良品放行]]-_018_600[[#This Row],[入庫]]</f>
        <v>0</v>
      </c>
      <c r="V41" s="123">
        <f>SUMIFS(record[OK],record[製程料號],_018_600[[#This Row],[製令單號]],record[ProcessSN],V$1)</f>
        <v>163</v>
      </c>
      <c r="W41" s="123">
        <f>_018_600[[#This Row],[入庫]]-_018_600[[#This Row],[已出貨]]</f>
        <v>0</v>
      </c>
      <c r="X41" s="137"/>
      <c r="Y41" s="123">
        <f>SUMIFS(record[OK],record[製程料號],_018_600[[#This Row],[製令單號]],record[ProcessSN],Y$1)</f>
        <v>163</v>
      </c>
      <c r="Z41" s="125">
        <f>_018_600[[#This Row],[不良待處理]]+_018_600[[#This Row],[不良品]]+_018_600[[#This Row],['#06
QC NG]]+_018_600[[#This Row],['#08委外NG]]</f>
        <v>0</v>
      </c>
      <c r="AA41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42" spans="1:27" ht="30.75" x14ac:dyDescent="0.25">
      <c r="A42" s="120">
        <v>45924</v>
      </c>
      <c r="B42" s="121" t="s">
        <v>1081</v>
      </c>
      <c r="C42" s="122" t="s">
        <v>503</v>
      </c>
      <c r="D42" s="118">
        <v>658</v>
      </c>
      <c r="E42" s="123">
        <f>_018_600[[#This Row],[入料數]]-_018_600[[#This Row],['#08已委外數量]]</f>
        <v>0</v>
      </c>
      <c r="F42" s="123">
        <f>SUMIFS(record[OK],record[製程料號],_018_600[[#This Row],[製令單號]],record[ProcessSN],F$1)</f>
        <v>658</v>
      </c>
      <c r="G42" s="118" t="str">
        <f>IF(_018_600[[#This Row],['#08已委外數量]]&gt;0,VLOOKUP(G$1,record[[ProcessSN]:[廠商]],12,FALSE),"尚未委外")</f>
        <v>泉盛</v>
      </c>
      <c r="H42" s="123">
        <f>_018_600[[#This Row],['#08已委外數量]]-_018_600[[#This Row],['#08回
良品]]-_018_600[[#This Row],['#08委外NG]]</f>
        <v>0</v>
      </c>
      <c r="I42" s="123">
        <f>SUMIFS(record[OK],record[製程料號],_018_600[[#This Row],[製令單號]],record[ProcessSN],I$1)</f>
        <v>519</v>
      </c>
      <c r="J42" s="117">
        <f>SUMIFS(record[NG],record[製程料號],_018_600[[#This Row],[製令單號]],record[ProcessSN],J$1)</f>
        <v>139</v>
      </c>
      <c r="K42" s="124">
        <f>IFERROR(_018_600[[#This Row],['#08委外NG]]/_018_600[[#This Row],['#08已委外數量]],"")</f>
        <v>0.21124620060790272</v>
      </c>
      <c r="L42" s="123">
        <f>_018_600[[#This Row],['#08回
良品]]-_018_600[[#This Row],['#06檢驗OK]]-_018_600[[#This Row],['#06
QC NG]]</f>
        <v>0</v>
      </c>
      <c r="M42" s="123">
        <f>SUMIFS(record[OK],record[製程料號],_018_600[[#This Row],[製令單號]],record[ProcessSN],M$1)</f>
        <v>519</v>
      </c>
      <c r="N42" s="117">
        <f>SUMIFS(record[NG],record[製程料號],_018_600[[#This Row],[製令單號]],record[ProcessSN],N$1)</f>
        <v>0</v>
      </c>
      <c r="O42" s="123">
        <f>_018_600[[#This Row],['#06檢驗OK]]-_018_600[[#This Row],[不良品]]-_018_600[[#This Row],[良品]]</f>
        <v>0</v>
      </c>
      <c r="P42" s="123">
        <f>SUMIFS(record[OK],record[製程料號],_018_600[[#This Row],[製令單號]],record[ProcessSN],P$1)</f>
        <v>519</v>
      </c>
      <c r="Q42" s="117">
        <f>SUMIFS(record[NG],record[製程料號],_018_600[[#This Row],[製令單號]],record[ProcessSN],Q$1)</f>
        <v>0</v>
      </c>
      <c r="R42" s="123">
        <f>_018_600[[#This Row],[良品]]-_018_600[[#This Row],[良品放行]]-_018_600[[#This Row],[不良待處理]]</f>
        <v>0</v>
      </c>
      <c r="S42" s="123">
        <f>SUMIFS(record[OK],record[製程料號],_018_600[[#This Row],[製令單號]],record[ProcessSN],S$1)</f>
        <v>519</v>
      </c>
      <c r="T42" s="117">
        <f>SUMIFS(record[NG],record[製程料號],_018_600[[#This Row],[製令單號]],record[ProcessSN],T$1)</f>
        <v>0</v>
      </c>
      <c r="U42" s="123">
        <f>_018_600[[#This Row],[良品放行]]-_018_600[[#This Row],[入庫]]</f>
        <v>0</v>
      </c>
      <c r="V42" s="123">
        <f>SUMIFS(record[OK],record[製程料號],_018_600[[#This Row],[製令單號]],record[ProcessSN],V$1)</f>
        <v>519</v>
      </c>
      <c r="W42" s="123">
        <f>_018_600[[#This Row],[入庫]]-_018_600[[#This Row],[已出貨]]</f>
        <v>0</v>
      </c>
      <c r="X42" s="137"/>
      <c r="Y42" s="123">
        <f>SUMIFS(record[OK],record[製程料號],_018_600[[#This Row],[製令單號]],record[ProcessSN],Y$1)</f>
        <v>519</v>
      </c>
      <c r="Z42" s="125">
        <f>_018_600[[#This Row],[不良待處理]]+_018_600[[#This Row],[不良品]]+_018_600[[#This Row],['#06
QC NG]]+_018_600[[#This Row],['#08委外NG]]</f>
        <v>139</v>
      </c>
      <c r="AA42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0.78875379939209722</v>
      </c>
    </row>
    <row r="43" spans="1:27" ht="30.75" x14ac:dyDescent="0.25">
      <c r="A43" s="120">
        <v>45944</v>
      </c>
      <c r="B43" s="121" t="s">
        <v>1107</v>
      </c>
      <c r="C43" s="122" t="s">
        <v>503</v>
      </c>
      <c r="D43" s="118">
        <v>147</v>
      </c>
      <c r="E43" s="123">
        <f>_018_600[[#This Row],[入料數]]-_018_600[[#This Row],['#08已委外數量]]</f>
        <v>0</v>
      </c>
      <c r="F43" s="123">
        <f>SUMIFS(record[OK],record[製程料號],_018_600[[#This Row],[製令單號]],record[ProcessSN],F$1)</f>
        <v>147</v>
      </c>
      <c r="G43" s="118" t="str">
        <f>IF(_018_600[[#This Row],['#08已委外數量]]&gt;0,VLOOKUP(G$1,record[[ProcessSN]:[廠商]],12,FALSE),"尚未委外")</f>
        <v>泉盛</v>
      </c>
      <c r="H43" s="123">
        <f>_018_600[[#This Row],['#08已委外數量]]-_018_600[[#This Row],['#08回
良品]]-_018_600[[#This Row],['#08委外NG]]</f>
        <v>0</v>
      </c>
      <c r="I43" s="123">
        <f>SUMIFS(record[OK],record[製程料號],_018_600[[#This Row],[製令單號]],record[ProcessSN],I$1)</f>
        <v>147</v>
      </c>
      <c r="J43" s="117">
        <f>SUMIFS(record[NG],record[製程料號],_018_600[[#This Row],[製令單號]],record[ProcessSN],J$1)</f>
        <v>0</v>
      </c>
      <c r="K43" s="124">
        <f>IFERROR(_018_600[[#This Row],['#08委外NG]]/_018_600[[#This Row],['#08已委外數量]],"")</f>
        <v>0</v>
      </c>
      <c r="L43" s="123">
        <f>_018_600[[#This Row],['#08回
良品]]-_018_600[[#This Row],['#06檢驗OK]]-_018_600[[#This Row],['#06
QC NG]]</f>
        <v>0</v>
      </c>
      <c r="M43" s="123">
        <f>SUMIFS(record[OK],record[製程料號],_018_600[[#This Row],[製令單號]],record[ProcessSN],M$1)</f>
        <v>147</v>
      </c>
      <c r="N43" s="117">
        <f>SUMIFS(record[NG],record[製程料號],_018_600[[#This Row],[製令單號]],record[ProcessSN],N$1)</f>
        <v>0</v>
      </c>
      <c r="O43" s="123">
        <f>_018_600[[#This Row],['#06檢驗OK]]-_018_600[[#This Row],[不良品]]-_018_600[[#This Row],[良品]]</f>
        <v>0</v>
      </c>
      <c r="P43" s="123">
        <f>SUMIFS(record[OK],record[製程料號],_018_600[[#This Row],[製令單號]],record[ProcessSN],P$1)</f>
        <v>147</v>
      </c>
      <c r="Q43" s="117">
        <f>SUMIFS(record[NG],record[製程料號],_018_600[[#This Row],[製令單號]],record[ProcessSN],Q$1)</f>
        <v>0</v>
      </c>
      <c r="R43" s="123">
        <f>_018_600[[#This Row],[良品]]-_018_600[[#This Row],[良品放行]]-_018_600[[#This Row],[不良待處理]]</f>
        <v>0</v>
      </c>
      <c r="S43" s="123">
        <f>SUMIFS(record[OK],record[製程料號],_018_600[[#This Row],[製令單號]],record[ProcessSN],S$1)</f>
        <v>147</v>
      </c>
      <c r="T43" s="117">
        <f>SUMIFS(record[NG],record[製程料號],_018_600[[#This Row],[製令單號]],record[ProcessSN],T$1)</f>
        <v>0</v>
      </c>
      <c r="U43" s="123">
        <f>_018_600[[#This Row],[良品放行]]-_018_600[[#This Row],[入庫]]</f>
        <v>0</v>
      </c>
      <c r="V43" s="123">
        <f>SUMIFS(record[OK],record[製程料號],_018_600[[#This Row],[製令單號]],record[ProcessSN],V$1)</f>
        <v>147</v>
      </c>
      <c r="W43" s="123">
        <f>_018_600[[#This Row],[入庫]]-_018_600[[#This Row],[已出貨]]</f>
        <v>0</v>
      </c>
      <c r="X43" s="137"/>
      <c r="Y43" s="123">
        <f>SUMIFS(record[OK],record[製程料號],_018_600[[#This Row],[製令單號]],record[ProcessSN],Y$1)</f>
        <v>147</v>
      </c>
      <c r="Z43" s="125">
        <f>_018_600[[#This Row],[不良待處理]]+_018_600[[#This Row],[不良品]]+_018_600[[#This Row],['#06
QC NG]]+_018_600[[#This Row],['#08委外NG]]</f>
        <v>0</v>
      </c>
      <c r="AA43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44" spans="1:27" ht="30.75" x14ac:dyDescent="0.25">
      <c r="A44" s="120">
        <v>45944</v>
      </c>
      <c r="B44" s="121" t="s">
        <v>1111</v>
      </c>
      <c r="C44" s="122" t="s">
        <v>503</v>
      </c>
      <c r="D44" s="118">
        <v>52</v>
      </c>
      <c r="E44" s="123">
        <f>_018_600[[#This Row],[入料數]]-_018_600[[#This Row],['#08已委外數量]]</f>
        <v>0</v>
      </c>
      <c r="F44" s="123">
        <f>SUMIFS(record[OK],record[製程料號],_018_600[[#This Row],[製令單號]],record[ProcessSN],F$1)</f>
        <v>52</v>
      </c>
      <c r="G44" s="118" t="str">
        <f>IF(_018_600[[#This Row],['#08已委外數量]]&gt;0,VLOOKUP(G$1,record[[ProcessSN]:[廠商]],12,FALSE),"尚未委外")</f>
        <v>泉盛</v>
      </c>
      <c r="H44" s="123">
        <f>_018_600[[#This Row],['#08已委外數量]]-_018_600[[#This Row],['#08回
良品]]-_018_600[[#This Row],['#08委外NG]]</f>
        <v>0</v>
      </c>
      <c r="I44" s="123">
        <f>SUMIFS(record[OK],record[製程料號],_018_600[[#This Row],[製令單號]],record[ProcessSN],I$1)</f>
        <v>19</v>
      </c>
      <c r="J44" s="117">
        <f>SUMIFS(record[NG],record[製程料號],_018_600[[#This Row],[製令單號]],record[ProcessSN],J$1)</f>
        <v>33</v>
      </c>
      <c r="K44" s="124">
        <f>IFERROR(_018_600[[#This Row],['#08委外NG]]/_018_600[[#This Row],['#08已委外數量]],"")</f>
        <v>0.63461538461538458</v>
      </c>
      <c r="L44" s="123">
        <f>_018_600[[#This Row],['#08回
良品]]-_018_600[[#This Row],['#06檢驗OK]]-_018_600[[#This Row],['#06
QC NG]]</f>
        <v>0</v>
      </c>
      <c r="M44" s="123">
        <f>SUMIFS(record[OK],record[製程料號],_018_600[[#This Row],[製令單號]],record[ProcessSN],M$1)</f>
        <v>19</v>
      </c>
      <c r="N44" s="117">
        <f>SUMIFS(record[NG],record[製程料號],_018_600[[#This Row],[製令單號]],record[ProcessSN],N$1)</f>
        <v>0</v>
      </c>
      <c r="O44" s="123">
        <f>_018_600[[#This Row],['#06檢驗OK]]-_018_600[[#This Row],[不良品]]-_018_600[[#This Row],[良品]]</f>
        <v>0</v>
      </c>
      <c r="P44" s="123">
        <f>SUMIFS(record[OK],record[製程料號],_018_600[[#This Row],[製令單號]],record[ProcessSN],P$1)</f>
        <v>19</v>
      </c>
      <c r="Q44" s="117">
        <f>SUMIFS(record[NG],record[製程料號],_018_600[[#This Row],[製令單號]],record[ProcessSN],Q$1)</f>
        <v>0</v>
      </c>
      <c r="R44" s="123">
        <f>_018_600[[#This Row],[良品]]-_018_600[[#This Row],[良品放行]]-_018_600[[#This Row],[不良待處理]]</f>
        <v>0</v>
      </c>
      <c r="S44" s="123">
        <f>SUMIFS(record[OK],record[製程料號],_018_600[[#This Row],[製令單號]],record[ProcessSN],S$1)</f>
        <v>19</v>
      </c>
      <c r="T44" s="117">
        <f>SUMIFS(record[NG],record[製程料號],_018_600[[#This Row],[製令單號]],record[ProcessSN],T$1)</f>
        <v>0</v>
      </c>
      <c r="U44" s="123">
        <f>_018_600[[#This Row],[良品放行]]-_018_600[[#This Row],[入庫]]</f>
        <v>0</v>
      </c>
      <c r="V44" s="123">
        <f>SUMIFS(record[OK],record[製程料號],_018_600[[#This Row],[製令單號]],record[ProcessSN],V$1)</f>
        <v>19</v>
      </c>
      <c r="W44" s="123">
        <f>_018_600[[#This Row],[入庫]]-_018_600[[#This Row],[已出貨]]</f>
        <v>0</v>
      </c>
      <c r="X44" s="137"/>
      <c r="Y44" s="123">
        <f>SUMIFS(record[OK],record[製程料號],_018_600[[#This Row],[製令單號]],record[ProcessSN],Y$1)</f>
        <v>19</v>
      </c>
      <c r="Z44" s="125">
        <f>_018_600[[#This Row],[不良待處理]]+_018_600[[#This Row],[不良品]]+_018_600[[#This Row],['#06
QC NG]]+_018_600[[#This Row],['#08委外NG]]</f>
        <v>33</v>
      </c>
      <c r="AA44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0.36538461538461536</v>
      </c>
    </row>
    <row r="45" spans="1:27" ht="30.75" x14ac:dyDescent="0.25">
      <c r="A45" s="120">
        <v>45945</v>
      </c>
      <c r="B45" s="121" t="s">
        <v>1113</v>
      </c>
      <c r="C45" s="122" t="s">
        <v>503</v>
      </c>
      <c r="D45" s="118">
        <v>191</v>
      </c>
      <c r="E45" s="123">
        <f>_018_600[[#This Row],[入料數]]-_018_600[[#This Row],['#08已委外數量]]</f>
        <v>0</v>
      </c>
      <c r="F45" s="123">
        <f>SUMIFS(record[OK],record[製程料號],_018_600[[#This Row],[製令單號]],record[ProcessSN],F$1)</f>
        <v>191</v>
      </c>
      <c r="G45" s="118" t="str">
        <f>IF(_018_600[[#This Row],['#08已委外數量]]&gt;0,VLOOKUP(G$1,record[[ProcessSN]:[廠商]],12,FALSE),"尚未委外")</f>
        <v>泉盛</v>
      </c>
      <c r="H45" s="123">
        <f>_018_600[[#This Row],['#08已委外數量]]-_018_600[[#This Row],['#08回
良品]]-_018_600[[#This Row],['#08委外NG]]</f>
        <v>0</v>
      </c>
      <c r="I45" s="123">
        <f>SUMIFS(record[OK],record[製程料號],_018_600[[#This Row],[製令單號]],record[ProcessSN],I$1)</f>
        <v>168</v>
      </c>
      <c r="J45" s="117">
        <f>SUMIFS(record[NG],record[製程料號],_018_600[[#This Row],[製令單號]],record[ProcessSN],J$1)</f>
        <v>23</v>
      </c>
      <c r="K45" s="124">
        <f>IFERROR(_018_600[[#This Row],['#08委外NG]]/_018_600[[#This Row],['#08已委外數量]],"")</f>
        <v>0.12041884816753927</v>
      </c>
      <c r="L45" s="123">
        <f>_018_600[[#This Row],['#08回
良品]]-_018_600[[#This Row],['#06檢驗OK]]-_018_600[[#This Row],['#06
QC NG]]</f>
        <v>0</v>
      </c>
      <c r="M45" s="123">
        <f>SUMIFS(record[OK],record[製程料號],_018_600[[#This Row],[製令單號]],record[ProcessSN],M$1)</f>
        <v>168</v>
      </c>
      <c r="N45" s="117">
        <f>SUMIFS(record[NG],record[製程料號],_018_600[[#This Row],[製令單號]],record[ProcessSN],N$1)</f>
        <v>0</v>
      </c>
      <c r="O45" s="123">
        <f>_018_600[[#This Row],['#06檢驗OK]]-_018_600[[#This Row],[不良品]]-_018_600[[#This Row],[良品]]</f>
        <v>0</v>
      </c>
      <c r="P45" s="123">
        <f>SUMIFS(record[OK],record[製程料號],_018_600[[#This Row],[製令單號]],record[ProcessSN],P$1)</f>
        <v>168</v>
      </c>
      <c r="Q45" s="117">
        <f>SUMIFS(record[NG],record[製程料號],_018_600[[#This Row],[製令單號]],record[ProcessSN],Q$1)</f>
        <v>0</v>
      </c>
      <c r="R45" s="123">
        <f>_018_600[[#This Row],[良品]]-_018_600[[#This Row],[良品放行]]-_018_600[[#This Row],[不良待處理]]</f>
        <v>0</v>
      </c>
      <c r="S45" s="123">
        <f>SUMIFS(record[OK],record[製程料號],_018_600[[#This Row],[製令單號]],record[ProcessSN],S$1)</f>
        <v>168</v>
      </c>
      <c r="T45" s="117">
        <f>SUMIFS(record[NG],record[製程料號],_018_600[[#This Row],[製令單號]],record[ProcessSN],T$1)</f>
        <v>0</v>
      </c>
      <c r="U45" s="123">
        <f>_018_600[[#This Row],[良品放行]]-_018_600[[#This Row],[入庫]]</f>
        <v>0</v>
      </c>
      <c r="V45" s="123">
        <f>SUMIFS(record[OK],record[製程料號],_018_600[[#This Row],[製令單號]],record[ProcessSN],V$1)</f>
        <v>168</v>
      </c>
      <c r="W45" s="123">
        <f>_018_600[[#This Row],[入庫]]-_018_600[[#This Row],[已出貨]]</f>
        <v>0</v>
      </c>
      <c r="X45" s="137"/>
      <c r="Y45" s="123">
        <f>SUMIFS(record[OK],record[製程料號],_018_600[[#This Row],[製令單號]],record[ProcessSN],Y$1)</f>
        <v>168</v>
      </c>
      <c r="Z45" s="125">
        <f>_018_600[[#This Row],[不良待處理]]+_018_600[[#This Row],[不良品]]+_018_600[[#This Row],['#06
QC NG]]+_018_600[[#This Row],['#08委外NG]]</f>
        <v>23</v>
      </c>
      <c r="AA45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0.87958115183246077</v>
      </c>
    </row>
    <row r="46" spans="1:27" ht="30.75" x14ac:dyDescent="0.25">
      <c r="A46" s="120">
        <v>45946</v>
      </c>
      <c r="B46" s="121" t="s">
        <v>1117</v>
      </c>
      <c r="C46" s="122" t="s">
        <v>503</v>
      </c>
      <c r="D46" s="118">
        <v>474</v>
      </c>
      <c r="E46" s="123">
        <f>_018_600[[#This Row],[入料數]]-_018_600[[#This Row],['#08已委外數量]]</f>
        <v>0</v>
      </c>
      <c r="F46" s="123">
        <f>SUMIFS(record[OK],record[製程料號],_018_600[[#This Row],[製令單號]],record[ProcessSN],F$1)</f>
        <v>474</v>
      </c>
      <c r="G46" s="118" t="str">
        <f>IF(_018_600[[#This Row],['#08已委外數量]]&gt;0,VLOOKUP(G$1,record[[ProcessSN]:[廠商]],12,FALSE),"尚未委外")</f>
        <v>泉盛</v>
      </c>
      <c r="H46" s="123">
        <f>_018_600[[#This Row],['#08已委外數量]]-_018_600[[#This Row],['#08回
良品]]-_018_600[[#This Row],['#08委外NG]]</f>
        <v>0</v>
      </c>
      <c r="I46" s="123">
        <f>SUMIFS(record[OK],record[製程料號],_018_600[[#This Row],[製令單號]],record[ProcessSN],I$1)</f>
        <v>457</v>
      </c>
      <c r="J46" s="117">
        <f>SUMIFS(record[NG],record[製程料號],_018_600[[#This Row],[製令單號]],record[ProcessSN],J$1)</f>
        <v>17</v>
      </c>
      <c r="K46" s="124">
        <f>IFERROR(_018_600[[#This Row],['#08委外NG]]/_018_600[[#This Row],['#08已委外數量]],"")</f>
        <v>3.5864978902953586E-2</v>
      </c>
      <c r="L46" s="123">
        <f>_018_600[[#This Row],['#08回
良品]]-_018_600[[#This Row],['#06檢驗OK]]-_018_600[[#This Row],['#06
QC NG]]</f>
        <v>0</v>
      </c>
      <c r="M46" s="123">
        <f>SUMIFS(record[OK],record[製程料號],_018_600[[#This Row],[製令單號]],record[ProcessSN],M$1)</f>
        <v>457</v>
      </c>
      <c r="N46" s="117">
        <f>SUMIFS(record[NG],record[製程料號],_018_600[[#This Row],[製令單號]],record[ProcessSN],N$1)</f>
        <v>0</v>
      </c>
      <c r="O46" s="123">
        <f>_018_600[[#This Row],['#06檢驗OK]]-_018_600[[#This Row],[不良品]]-_018_600[[#This Row],[良品]]</f>
        <v>0</v>
      </c>
      <c r="P46" s="123">
        <f>SUMIFS(record[OK],record[製程料號],_018_600[[#This Row],[製令單號]],record[ProcessSN],P$1)</f>
        <v>457</v>
      </c>
      <c r="Q46" s="117">
        <f>SUMIFS(record[NG],record[製程料號],_018_600[[#This Row],[製令單號]],record[ProcessSN],Q$1)</f>
        <v>0</v>
      </c>
      <c r="R46" s="123">
        <f>_018_600[[#This Row],[良品]]-_018_600[[#This Row],[良品放行]]-_018_600[[#This Row],[不良待處理]]</f>
        <v>0</v>
      </c>
      <c r="S46" s="123">
        <f>SUMIFS(record[OK],record[製程料號],_018_600[[#This Row],[製令單號]],record[ProcessSN],S$1)</f>
        <v>457</v>
      </c>
      <c r="T46" s="117">
        <f>SUMIFS(record[NG],record[製程料號],_018_600[[#This Row],[製令單號]],record[ProcessSN],T$1)</f>
        <v>0</v>
      </c>
      <c r="U46" s="123">
        <f>_018_600[[#This Row],[良品放行]]-_018_600[[#This Row],[入庫]]</f>
        <v>0</v>
      </c>
      <c r="V46" s="123">
        <f>SUMIFS(record[OK],record[製程料號],_018_600[[#This Row],[製令單號]],record[ProcessSN],V$1)</f>
        <v>457</v>
      </c>
      <c r="W46" s="123">
        <f>_018_600[[#This Row],[入庫]]-_018_600[[#This Row],[已出貨]]</f>
        <v>0</v>
      </c>
      <c r="X46" s="137"/>
      <c r="Y46" s="123">
        <f>SUMIFS(record[OK],record[製程料號],_018_600[[#This Row],[製令單號]],record[ProcessSN],Y$1)</f>
        <v>457</v>
      </c>
      <c r="Z46" s="125">
        <f>_018_600[[#This Row],[不良待處理]]+_018_600[[#This Row],[不良品]]+_018_600[[#This Row],['#06
QC NG]]+_018_600[[#This Row],['#08委外NG]]</f>
        <v>17</v>
      </c>
      <c r="AA46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0.96413502109704641</v>
      </c>
    </row>
    <row r="47" spans="1:27" ht="30.75" x14ac:dyDescent="0.25">
      <c r="A47" s="120">
        <v>45950</v>
      </c>
      <c r="B47" s="121" t="s">
        <v>1130</v>
      </c>
      <c r="C47" s="122" t="s">
        <v>503</v>
      </c>
      <c r="D47" s="118">
        <v>47</v>
      </c>
      <c r="E47" s="123">
        <f>_018_600[[#This Row],[入料數]]-_018_600[[#This Row],['#08已委外數量]]</f>
        <v>0</v>
      </c>
      <c r="F47" s="123">
        <f>SUMIFS(record[OK],record[製程料號],_018_600[[#This Row],[製令單號]],record[ProcessSN],F$1)</f>
        <v>47</v>
      </c>
      <c r="G47" s="118" t="str">
        <f>IF(_018_600[[#This Row],['#08已委外數量]]&gt;0,VLOOKUP(G$1,record[[ProcessSN]:[廠商]],12,FALSE),"尚未委外")</f>
        <v>泉盛</v>
      </c>
      <c r="H47" s="123">
        <f>_018_600[[#This Row],['#08已委外數量]]-_018_600[[#This Row],['#08回
良品]]-_018_600[[#This Row],['#08委外NG]]</f>
        <v>0</v>
      </c>
      <c r="I47" s="123">
        <f>SUMIFS(record[OK],record[製程料號],_018_600[[#This Row],[製令單號]],record[ProcessSN],I$1)</f>
        <v>47</v>
      </c>
      <c r="J47" s="117">
        <f>SUMIFS(record[NG],record[製程料號],_018_600[[#This Row],[製令單號]],record[ProcessSN],J$1)</f>
        <v>0</v>
      </c>
      <c r="K47" s="124">
        <f>IFERROR(_018_600[[#This Row],['#08委外NG]]/_018_600[[#This Row],['#08已委外數量]],"")</f>
        <v>0</v>
      </c>
      <c r="L47" s="123">
        <f>_018_600[[#This Row],['#08回
良品]]-_018_600[[#This Row],['#06檢驗OK]]-_018_600[[#This Row],['#06
QC NG]]</f>
        <v>0</v>
      </c>
      <c r="M47" s="123">
        <f>SUMIFS(record[OK],record[製程料號],_018_600[[#This Row],[製令單號]],record[ProcessSN],M$1)</f>
        <v>47</v>
      </c>
      <c r="N47" s="117">
        <f>SUMIFS(record[NG],record[製程料號],_018_600[[#This Row],[製令單號]],record[ProcessSN],N$1)</f>
        <v>0</v>
      </c>
      <c r="O47" s="123">
        <f>_018_600[[#This Row],['#06檢驗OK]]-_018_600[[#This Row],[不良品]]-_018_600[[#This Row],[良品]]</f>
        <v>0</v>
      </c>
      <c r="P47" s="123">
        <f>SUMIFS(record[OK],record[製程料號],_018_600[[#This Row],[製令單號]],record[ProcessSN],P$1)</f>
        <v>47</v>
      </c>
      <c r="Q47" s="117">
        <f>SUMIFS(record[NG],record[製程料號],_018_600[[#This Row],[製令單號]],record[ProcessSN],Q$1)</f>
        <v>0</v>
      </c>
      <c r="R47" s="123">
        <f>_018_600[[#This Row],[良品]]-_018_600[[#This Row],[良品放行]]-_018_600[[#This Row],[不良待處理]]</f>
        <v>0</v>
      </c>
      <c r="S47" s="123">
        <f>SUMIFS(record[OK],record[製程料號],_018_600[[#This Row],[製令單號]],record[ProcessSN],S$1)</f>
        <v>47</v>
      </c>
      <c r="T47" s="117">
        <f>SUMIFS(record[NG],record[製程料號],_018_600[[#This Row],[製令單號]],record[ProcessSN],T$1)</f>
        <v>0</v>
      </c>
      <c r="U47" s="123">
        <f>_018_600[[#This Row],[良品放行]]-_018_600[[#This Row],[入庫]]</f>
        <v>0</v>
      </c>
      <c r="V47" s="123">
        <f>SUMIFS(record[OK],record[製程料號],_018_600[[#This Row],[製令單號]],record[ProcessSN],V$1)</f>
        <v>47</v>
      </c>
      <c r="W47" s="123">
        <f>_018_600[[#This Row],[入庫]]-_018_600[[#This Row],[已出貨]]</f>
        <v>0</v>
      </c>
      <c r="X47" s="137"/>
      <c r="Y47" s="123">
        <f>SUMIFS(record[OK],record[製程料號],_018_600[[#This Row],[製令單號]],record[ProcessSN],Y$1)</f>
        <v>47</v>
      </c>
      <c r="Z47" s="125">
        <f>_018_600[[#This Row],[不良待處理]]+_018_600[[#This Row],[不良品]]+_018_600[[#This Row],['#06
QC NG]]+_018_600[[#This Row],['#08委外NG]]</f>
        <v>0</v>
      </c>
      <c r="AA47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48" spans="1:27" ht="30.75" x14ac:dyDescent="0.25">
      <c r="A48" s="120">
        <v>45953</v>
      </c>
      <c r="B48" s="121" t="s">
        <v>1143</v>
      </c>
      <c r="C48" s="122" t="s">
        <v>503</v>
      </c>
      <c r="D48" s="118">
        <v>625</v>
      </c>
      <c r="E48" s="123">
        <f>_018_600[[#This Row],[入料數]]-_018_600[[#This Row],['#08已委外數量]]</f>
        <v>0</v>
      </c>
      <c r="F48" s="123">
        <f>SUMIFS(record[OK],record[製程料號],_018_600[[#This Row],[製令單號]],record[ProcessSN],F$1)</f>
        <v>625</v>
      </c>
      <c r="G48" s="118" t="str">
        <f>IF(_018_600[[#This Row],['#08已委外數量]]&gt;0,VLOOKUP(G$1,record[[ProcessSN]:[廠商]],12,FALSE),"尚未委外")</f>
        <v>泉盛</v>
      </c>
      <c r="H48" s="123">
        <f>_018_600[[#This Row],['#08已委外數量]]-_018_600[[#This Row],['#08回
良品]]-_018_600[[#This Row],['#08委外NG]]</f>
        <v>0</v>
      </c>
      <c r="I48" s="123">
        <f>SUMIFS(record[OK],record[製程料號],_018_600[[#This Row],[製令單號]],record[ProcessSN],I$1)</f>
        <v>588</v>
      </c>
      <c r="J48" s="117">
        <f>SUMIFS(record[NG],record[製程料號],_018_600[[#This Row],[製令單號]],record[ProcessSN],J$1)</f>
        <v>37</v>
      </c>
      <c r="K48" s="124">
        <f>IFERROR(_018_600[[#This Row],['#08委外NG]]/_018_600[[#This Row],['#08已委外數量]],"")</f>
        <v>5.9200000000000003E-2</v>
      </c>
      <c r="L48" s="123">
        <f>_018_600[[#This Row],['#08回
良品]]-_018_600[[#This Row],['#06檢驗OK]]-_018_600[[#This Row],['#06
QC NG]]</f>
        <v>0</v>
      </c>
      <c r="M48" s="123">
        <f>SUMIFS(record[OK],record[製程料號],_018_600[[#This Row],[製令單號]],record[ProcessSN],M$1)</f>
        <v>588</v>
      </c>
      <c r="N48" s="117">
        <f>SUMIFS(record[NG],record[製程料號],_018_600[[#This Row],[製令單號]],record[ProcessSN],N$1)</f>
        <v>0</v>
      </c>
      <c r="O48" s="123">
        <f>_018_600[[#This Row],['#06檢驗OK]]-_018_600[[#This Row],[不良品]]-_018_600[[#This Row],[良品]]</f>
        <v>0</v>
      </c>
      <c r="P48" s="123">
        <f>SUMIFS(record[OK],record[製程料號],_018_600[[#This Row],[製令單號]],record[ProcessSN],P$1)</f>
        <v>588</v>
      </c>
      <c r="Q48" s="117">
        <f>SUMIFS(record[NG],record[製程料號],_018_600[[#This Row],[製令單號]],record[ProcessSN],Q$1)</f>
        <v>0</v>
      </c>
      <c r="R48" s="123">
        <f>_018_600[[#This Row],[良品]]-_018_600[[#This Row],[良品放行]]-_018_600[[#This Row],[不良待處理]]</f>
        <v>0</v>
      </c>
      <c r="S48" s="123">
        <f>SUMIFS(record[OK],record[製程料號],_018_600[[#This Row],[製令單號]],record[ProcessSN],S$1)</f>
        <v>588</v>
      </c>
      <c r="T48" s="117">
        <f>SUMIFS(record[NG],record[製程料號],_018_600[[#This Row],[製令單號]],record[ProcessSN],T$1)</f>
        <v>0</v>
      </c>
      <c r="U48" s="123">
        <f>_018_600[[#This Row],[良品放行]]-_018_600[[#This Row],[入庫]]</f>
        <v>0</v>
      </c>
      <c r="V48" s="123">
        <f>SUMIFS(record[OK],record[製程料號],_018_600[[#This Row],[製令單號]],record[ProcessSN],V$1)</f>
        <v>588</v>
      </c>
      <c r="W48" s="123">
        <f>_018_600[[#This Row],[入庫]]-_018_600[[#This Row],[已出貨]]</f>
        <v>0</v>
      </c>
      <c r="X48" s="137"/>
      <c r="Y48" s="123">
        <f>SUMIFS(record[OK],record[製程料號],_018_600[[#This Row],[製令單號]],record[ProcessSN],Y$1)</f>
        <v>588</v>
      </c>
      <c r="Z48" s="125">
        <f>_018_600[[#This Row],[不良待處理]]+_018_600[[#This Row],[不良品]]+_018_600[[#This Row],['#06
QC NG]]+_018_600[[#This Row],['#08委外NG]]</f>
        <v>37</v>
      </c>
      <c r="AA48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0.94079999999999997</v>
      </c>
    </row>
    <row r="49" spans="1:27" ht="30.75" x14ac:dyDescent="0.25">
      <c r="A49" s="120">
        <v>45959</v>
      </c>
      <c r="B49" s="121" t="s">
        <v>1173</v>
      </c>
      <c r="C49" s="122" t="s">
        <v>503</v>
      </c>
      <c r="D49" s="118">
        <v>328</v>
      </c>
      <c r="E49" s="123">
        <f>_018_600[[#This Row],[入料數]]-_018_600[[#This Row],['#08已委外數量]]</f>
        <v>0</v>
      </c>
      <c r="F49" s="123">
        <f>SUMIFS(record[OK],record[製程料號],_018_600[[#This Row],[製令單號]],record[ProcessSN],F$1)</f>
        <v>328</v>
      </c>
      <c r="G49" s="118" t="str">
        <f>IF(_018_600[[#This Row],['#08已委外數量]]&gt;0,VLOOKUP(G$1,record[[ProcessSN]:[廠商]],12,FALSE),"尚未委外")</f>
        <v>泉盛</v>
      </c>
      <c r="H49" s="123">
        <f>_018_600[[#This Row],['#08已委外數量]]-_018_600[[#This Row],['#08回
良品]]-_018_600[[#This Row],['#08委外NG]]</f>
        <v>0</v>
      </c>
      <c r="I49" s="123">
        <f>SUMIFS(record[OK],record[製程料號],_018_600[[#This Row],[製令單號]],record[ProcessSN],I$1)</f>
        <v>302</v>
      </c>
      <c r="J49" s="117">
        <f>SUMIFS(record[NG],record[製程料號],_018_600[[#This Row],[製令單號]],record[ProcessSN],J$1)</f>
        <v>26</v>
      </c>
      <c r="K49" s="124">
        <f>IFERROR(_018_600[[#This Row],['#08委外NG]]/_018_600[[#This Row],['#08已委外數量]],"")</f>
        <v>7.926829268292683E-2</v>
      </c>
      <c r="L49" s="123">
        <f>_018_600[[#This Row],['#08回
良品]]-_018_600[[#This Row],['#06檢驗OK]]-_018_600[[#This Row],['#06
QC NG]]</f>
        <v>0</v>
      </c>
      <c r="M49" s="123">
        <f>SUMIFS(record[OK],record[製程料號],_018_600[[#This Row],[製令單號]],record[ProcessSN],M$1)</f>
        <v>302</v>
      </c>
      <c r="N49" s="117">
        <f>SUMIFS(record[NG],record[製程料號],_018_600[[#This Row],[製令單號]],record[ProcessSN],N$1)</f>
        <v>0</v>
      </c>
      <c r="O49" s="123">
        <f>_018_600[[#This Row],['#06檢驗OK]]-_018_600[[#This Row],[不良品]]-_018_600[[#This Row],[良品]]</f>
        <v>0</v>
      </c>
      <c r="P49" s="123">
        <f>SUMIFS(record[OK],record[製程料號],_018_600[[#This Row],[製令單號]],record[ProcessSN],P$1)</f>
        <v>302</v>
      </c>
      <c r="Q49" s="117">
        <f>SUMIFS(record[NG],record[製程料號],_018_600[[#This Row],[製令單號]],record[ProcessSN],Q$1)</f>
        <v>0</v>
      </c>
      <c r="R49" s="123">
        <f>_018_600[[#This Row],[良品]]-_018_600[[#This Row],[良品放行]]-_018_600[[#This Row],[不良待處理]]</f>
        <v>0</v>
      </c>
      <c r="S49" s="123">
        <f>SUMIFS(record[OK],record[製程料號],_018_600[[#This Row],[製令單號]],record[ProcessSN],S$1)</f>
        <v>302</v>
      </c>
      <c r="T49" s="117">
        <f>SUMIFS(record[NG],record[製程料號],_018_600[[#This Row],[製令單號]],record[ProcessSN],T$1)</f>
        <v>0</v>
      </c>
      <c r="U49" s="123">
        <f>_018_600[[#This Row],[良品放行]]-_018_600[[#This Row],[入庫]]</f>
        <v>0</v>
      </c>
      <c r="V49" s="123">
        <f>SUMIFS(record[OK],record[製程料號],_018_600[[#This Row],[製令單號]],record[ProcessSN],V$1)</f>
        <v>302</v>
      </c>
      <c r="W49" s="123">
        <f>_018_600[[#This Row],[入庫]]-_018_600[[#This Row],[已出貨]]</f>
        <v>0</v>
      </c>
      <c r="X49" s="137"/>
      <c r="Y49" s="123">
        <f>SUMIFS(record[OK],record[製程料號],_018_600[[#This Row],[製令單號]],record[ProcessSN],Y$1)</f>
        <v>302</v>
      </c>
      <c r="Z49" s="125">
        <f>_018_600[[#This Row],[不良待處理]]+_018_600[[#This Row],[不良品]]+_018_600[[#This Row],['#06
QC NG]]+_018_600[[#This Row],['#08委外NG]]</f>
        <v>26</v>
      </c>
      <c r="AA49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0.92073170731707321</v>
      </c>
    </row>
    <row r="50" spans="1:27" ht="30.75" x14ac:dyDescent="0.25">
      <c r="A50" s="120">
        <v>45960</v>
      </c>
      <c r="B50" s="121" t="s">
        <v>1181</v>
      </c>
      <c r="C50" s="122" t="s">
        <v>503</v>
      </c>
      <c r="D50" s="118">
        <v>634</v>
      </c>
      <c r="E50" s="123">
        <f>_018_600[[#This Row],[入料數]]-_018_600[[#This Row],['#08已委外數量]]</f>
        <v>0</v>
      </c>
      <c r="F50" s="123">
        <f>SUMIFS(record[OK],record[製程料號],_018_600[[#This Row],[製令單號]],record[ProcessSN],F$1)</f>
        <v>634</v>
      </c>
      <c r="G50" s="118" t="str">
        <f>IF(_018_600[[#This Row],['#08已委外數量]]&gt;0,VLOOKUP(G$1,record[[ProcessSN]:[廠商]],12,FALSE),"尚未委外")</f>
        <v>泉盛</v>
      </c>
      <c r="H50" s="123">
        <f>_018_600[[#This Row],['#08已委外數量]]-_018_600[[#This Row],['#08回
良品]]-_018_600[[#This Row],['#08委外NG]]</f>
        <v>0</v>
      </c>
      <c r="I50" s="123">
        <f>SUMIFS(record[OK],record[製程料號],_018_600[[#This Row],[製令單號]],record[ProcessSN],I$1)</f>
        <v>602</v>
      </c>
      <c r="J50" s="117">
        <f>SUMIFS(record[NG],record[製程料號],_018_600[[#This Row],[製令單號]],record[ProcessSN],J$1)</f>
        <v>32</v>
      </c>
      <c r="K50" s="124">
        <f>IFERROR(_018_600[[#This Row],['#08委外NG]]/_018_600[[#This Row],['#08已委外數量]],"")</f>
        <v>5.0473186119873815E-2</v>
      </c>
      <c r="L50" s="123">
        <f>_018_600[[#This Row],['#08回
良品]]-_018_600[[#This Row],['#06檢驗OK]]-_018_600[[#This Row],['#06
QC NG]]</f>
        <v>0</v>
      </c>
      <c r="M50" s="123">
        <f>SUMIFS(record[OK],record[製程料號],_018_600[[#This Row],[製令單號]],record[ProcessSN],M$1)</f>
        <v>602</v>
      </c>
      <c r="N50" s="117">
        <f>SUMIFS(record[NG],record[製程料號],_018_600[[#This Row],[製令單號]],record[ProcessSN],N$1)</f>
        <v>0</v>
      </c>
      <c r="O50" s="123">
        <f>_018_600[[#This Row],['#06檢驗OK]]-_018_600[[#This Row],[不良品]]-_018_600[[#This Row],[良品]]</f>
        <v>0</v>
      </c>
      <c r="P50" s="123">
        <f>SUMIFS(record[OK],record[製程料號],_018_600[[#This Row],[製令單號]],record[ProcessSN],P$1)</f>
        <v>601</v>
      </c>
      <c r="Q50" s="117">
        <f>SUMIFS(record[NG],record[製程料號],_018_600[[#This Row],[製令單號]],record[ProcessSN],Q$1)</f>
        <v>1</v>
      </c>
      <c r="R50" s="123">
        <f>_018_600[[#This Row],[良品]]-_018_600[[#This Row],[良品放行]]-_018_600[[#This Row],[不良待處理]]</f>
        <v>0</v>
      </c>
      <c r="S50" s="123">
        <f>SUMIFS(record[OK],record[製程料號],_018_600[[#This Row],[製令單號]],record[ProcessSN],S$1)</f>
        <v>601</v>
      </c>
      <c r="T50" s="117">
        <f>SUMIFS(record[NG],record[製程料號],_018_600[[#This Row],[製令單號]],record[ProcessSN],T$1)</f>
        <v>0</v>
      </c>
      <c r="U50" s="123">
        <f>_018_600[[#This Row],[良品放行]]-_018_600[[#This Row],[入庫]]</f>
        <v>0</v>
      </c>
      <c r="V50" s="123">
        <f>SUMIFS(record[OK],record[製程料號],_018_600[[#This Row],[製令單號]],record[ProcessSN],V$1)</f>
        <v>601</v>
      </c>
      <c r="W50" s="123">
        <f>_018_600[[#This Row],[入庫]]-_018_600[[#This Row],[已出貨]]</f>
        <v>0</v>
      </c>
      <c r="X50" s="137"/>
      <c r="Y50" s="123">
        <f>SUMIFS(record[OK],record[製程料號],_018_600[[#This Row],[製令單號]],record[ProcessSN],Y$1)</f>
        <v>601</v>
      </c>
      <c r="Z50" s="125">
        <f>_018_600[[#This Row],[不良待處理]]+_018_600[[#This Row],[不良品]]+_018_600[[#This Row],['#06
QC NG]]+_018_600[[#This Row],['#08委外NG]]</f>
        <v>33</v>
      </c>
      <c r="AA50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0.94794952681388012</v>
      </c>
    </row>
    <row r="51" spans="1:27" ht="30.75" x14ac:dyDescent="0.25">
      <c r="A51" s="120">
        <v>45992</v>
      </c>
      <c r="B51" s="121" t="s">
        <v>1260</v>
      </c>
      <c r="C51" s="122" t="s">
        <v>503</v>
      </c>
      <c r="D51" s="118">
        <v>228</v>
      </c>
      <c r="E51" s="123">
        <f>_018_600[[#This Row],[入料數]]-_018_600[[#This Row],['#08已委外數量]]</f>
        <v>0</v>
      </c>
      <c r="F51" s="123">
        <f>SUMIFS(record[OK],record[製程料號],_018_600[[#This Row],[製令單號]],record[ProcessSN],F$1)</f>
        <v>228</v>
      </c>
      <c r="G51" s="118" t="str">
        <f>IF(_018_600[[#This Row],['#08已委外數量]]&gt;0,VLOOKUP(G$1,record[[ProcessSN]:[廠商]],12,FALSE),"尚未委外")</f>
        <v>泉盛</v>
      </c>
      <c r="H51" s="123">
        <f>_018_600[[#This Row],['#08已委外數量]]-_018_600[[#This Row],['#08回
良品]]-_018_600[[#This Row],['#08委外NG]]</f>
        <v>0</v>
      </c>
      <c r="I51" s="123">
        <f>SUMIFS(record[OK],record[製程料號],_018_600[[#This Row],[製令單號]],record[ProcessSN],I$1)</f>
        <v>212</v>
      </c>
      <c r="J51" s="117">
        <f>SUMIFS(record[NG],record[製程料號],_018_600[[#This Row],[製令單號]],record[ProcessSN],J$1)</f>
        <v>16</v>
      </c>
      <c r="K51" s="124">
        <f>IFERROR(_018_600[[#This Row],['#08委外NG]]/_018_600[[#This Row],['#08已委外數量]],"")</f>
        <v>7.0175438596491224E-2</v>
      </c>
      <c r="L51" s="123">
        <f>_018_600[[#This Row],['#08回
良品]]-_018_600[[#This Row],['#06檢驗OK]]-_018_600[[#This Row],['#06
QC NG]]</f>
        <v>0</v>
      </c>
      <c r="M51" s="123">
        <f>SUMIFS(record[OK],record[製程料號],_018_600[[#This Row],[製令單號]],record[ProcessSN],M$1)</f>
        <v>212</v>
      </c>
      <c r="N51" s="117">
        <f>SUMIFS(record[NG],record[製程料號],_018_600[[#This Row],[製令單號]],record[ProcessSN],N$1)</f>
        <v>0</v>
      </c>
      <c r="O51" s="123">
        <f>_018_600[[#This Row],['#06檢驗OK]]-_018_600[[#This Row],[不良品]]-_018_600[[#This Row],[良品]]</f>
        <v>0</v>
      </c>
      <c r="P51" s="123">
        <f>SUMIFS(record[OK],record[製程料號],_018_600[[#This Row],[製令單號]],record[ProcessSN],P$1)</f>
        <v>212</v>
      </c>
      <c r="Q51" s="117">
        <f>SUMIFS(record[NG],record[製程料號],_018_600[[#This Row],[製令單號]],record[ProcessSN],Q$1)</f>
        <v>0</v>
      </c>
      <c r="R51" s="123">
        <f>_018_600[[#This Row],[良品]]-_018_600[[#This Row],[良品放行]]-_018_600[[#This Row],[不良待處理]]</f>
        <v>0</v>
      </c>
      <c r="S51" s="123">
        <f>SUMIFS(record[OK],record[製程料號],_018_600[[#This Row],[製令單號]],record[ProcessSN],S$1)</f>
        <v>212</v>
      </c>
      <c r="T51" s="117">
        <f>SUMIFS(record[NG],record[製程料號],_018_600[[#This Row],[製令單號]],record[ProcessSN],T$1)</f>
        <v>0</v>
      </c>
      <c r="U51" s="123">
        <f>_018_600[[#This Row],[良品放行]]-_018_600[[#This Row],[入庫]]</f>
        <v>0</v>
      </c>
      <c r="V51" s="123">
        <f>SUMIFS(record[OK],record[製程料號],_018_600[[#This Row],[製令單號]],record[ProcessSN],V$1)</f>
        <v>212</v>
      </c>
      <c r="W51" s="123">
        <f>_018_600[[#This Row],[入庫]]-_018_600[[#This Row],[已出貨]]</f>
        <v>0</v>
      </c>
      <c r="X51" s="137"/>
      <c r="Y51" s="123">
        <f>SUMIFS(record[OK],record[製程料號],_018_600[[#This Row],[製令單號]],record[ProcessSN],Y$1)</f>
        <v>212</v>
      </c>
      <c r="Z51" s="125">
        <f>_018_600[[#This Row],[不良待處理]]+_018_600[[#This Row],[不良品]]+_018_600[[#This Row],['#06
QC NG]]+_018_600[[#This Row],['#08委外NG]]</f>
        <v>16</v>
      </c>
      <c r="AA51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0.92982456140350878</v>
      </c>
    </row>
    <row r="52" spans="1:27" ht="30.75" x14ac:dyDescent="0.25">
      <c r="A52" s="120">
        <v>46007</v>
      </c>
      <c r="B52" s="121" t="s">
        <v>1335</v>
      </c>
      <c r="C52" s="122" t="s">
        <v>503</v>
      </c>
      <c r="D52" s="118">
        <v>249</v>
      </c>
      <c r="E52" s="123">
        <f>_018_600[[#This Row],[入料數]]-_018_600[[#This Row],['#08已委外數量]]</f>
        <v>0</v>
      </c>
      <c r="F52" s="123">
        <f>SUMIFS(record[OK],record[製程料號],_018_600[[#This Row],[製令單號]],record[ProcessSN],F$1)</f>
        <v>249</v>
      </c>
      <c r="G52" s="118" t="str">
        <f>IF(_018_600[[#This Row],['#08已委外數量]]&gt;0,VLOOKUP(G$1,record[[ProcessSN]:[廠商]],12,FALSE),"尚未委外")</f>
        <v>泉盛</v>
      </c>
      <c r="H52" s="123">
        <f>_018_600[[#This Row],['#08已委外數量]]-_018_600[[#This Row],['#08回
良品]]-_018_600[[#This Row],['#08委外NG]]</f>
        <v>0</v>
      </c>
      <c r="I52" s="123">
        <f>SUMIFS(record[OK],record[製程料號],_018_600[[#This Row],[製令單號]],record[ProcessSN],I$1)</f>
        <v>230</v>
      </c>
      <c r="J52" s="117">
        <f>SUMIFS(record[NG],record[製程料號],_018_600[[#This Row],[製令單號]],record[ProcessSN],J$1)</f>
        <v>19</v>
      </c>
      <c r="K52" s="124">
        <f>IFERROR(_018_600[[#This Row],['#08委外NG]]/_018_600[[#This Row],['#08已委外數量]],"")</f>
        <v>7.6305220883534142E-2</v>
      </c>
      <c r="L52" s="123">
        <f>_018_600[[#This Row],['#08回
良品]]-_018_600[[#This Row],['#06檢驗OK]]-_018_600[[#This Row],['#06
QC NG]]</f>
        <v>0</v>
      </c>
      <c r="M52" s="123">
        <f>SUMIFS(record[OK],record[製程料號],_018_600[[#This Row],[製令單號]],record[ProcessSN],M$1)</f>
        <v>230</v>
      </c>
      <c r="N52" s="117">
        <f>SUMIFS(record[NG],record[製程料號],_018_600[[#This Row],[製令單號]],record[ProcessSN],N$1)</f>
        <v>0</v>
      </c>
      <c r="O52" s="123">
        <f>_018_600[[#This Row],['#06檢驗OK]]-_018_600[[#This Row],[不良品]]-_018_600[[#This Row],[良品]]</f>
        <v>0</v>
      </c>
      <c r="P52" s="123">
        <f>SUMIFS(record[OK],record[製程料號],_018_600[[#This Row],[製令單號]],record[ProcessSN],P$1)</f>
        <v>230</v>
      </c>
      <c r="Q52" s="117">
        <f>SUMIFS(record[NG],record[製程料號],_018_600[[#This Row],[製令單號]],record[ProcessSN],Q$1)</f>
        <v>0</v>
      </c>
      <c r="R52" s="123">
        <f>_018_600[[#This Row],[良品]]-_018_600[[#This Row],[良品放行]]-_018_600[[#This Row],[不良待處理]]</f>
        <v>0</v>
      </c>
      <c r="S52" s="123">
        <f>SUMIFS(record[OK],record[製程料號],_018_600[[#This Row],[製令單號]],record[ProcessSN],S$1)</f>
        <v>230</v>
      </c>
      <c r="T52" s="117">
        <f>SUMIFS(record[NG],record[製程料號],_018_600[[#This Row],[製令單號]],record[ProcessSN],T$1)</f>
        <v>0</v>
      </c>
      <c r="U52" s="123">
        <f>_018_600[[#This Row],[良品放行]]-_018_600[[#This Row],[入庫]]</f>
        <v>0</v>
      </c>
      <c r="V52" s="123">
        <f>SUMIFS(record[OK],record[製程料號],_018_600[[#This Row],[製令單號]],record[ProcessSN],V$1)</f>
        <v>230</v>
      </c>
      <c r="W52" s="123">
        <f>_018_600[[#This Row],[入庫]]-_018_600[[#This Row],[已出貨]]</f>
        <v>0</v>
      </c>
      <c r="X52" s="137"/>
      <c r="Y52" s="123">
        <f>SUMIFS(record[OK],record[製程料號],_018_600[[#This Row],[製令單號]],record[ProcessSN],Y$1)</f>
        <v>230</v>
      </c>
      <c r="Z52" s="125">
        <f>_018_600[[#This Row],[不良待處理]]+_018_600[[#This Row],[不良品]]+_018_600[[#This Row],['#06
QC NG]]+_018_600[[#This Row],['#08委外NG]]</f>
        <v>19</v>
      </c>
      <c r="AA52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0.92369477911646591</v>
      </c>
    </row>
    <row r="53" spans="1:27" ht="30.75" x14ac:dyDescent="0.25">
      <c r="A53" s="120">
        <v>46008</v>
      </c>
      <c r="B53" s="121" t="s">
        <v>1341</v>
      </c>
      <c r="C53" s="122" t="s">
        <v>503</v>
      </c>
      <c r="D53" s="118">
        <v>134</v>
      </c>
      <c r="E53" s="123">
        <f>_018_600[[#This Row],[入料數]]-_018_600[[#This Row],['#08已委外數量]]</f>
        <v>0</v>
      </c>
      <c r="F53" s="123">
        <f>SUMIFS(record[OK],record[製程料號],_018_600[[#This Row],[製令單號]],record[ProcessSN],F$1)</f>
        <v>134</v>
      </c>
      <c r="G53" s="118" t="str">
        <f>IF(_018_600[[#This Row],['#08已委外數量]]&gt;0,VLOOKUP(G$1,record[[ProcessSN]:[廠商]],12,FALSE),"尚未委外")</f>
        <v>泉盛</v>
      </c>
      <c r="H53" s="123">
        <f>_018_600[[#This Row],['#08已委外數量]]-_018_600[[#This Row],['#08回
良品]]-_018_600[[#This Row],['#08委外NG]]</f>
        <v>0</v>
      </c>
      <c r="I53" s="123">
        <f>SUMIFS(record[OK],record[製程料號],_018_600[[#This Row],[製令單號]],record[ProcessSN],I$1)</f>
        <v>134</v>
      </c>
      <c r="J53" s="117">
        <f>SUMIFS(record[NG],record[製程料號],_018_600[[#This Row],[製令單號]],record[ProcessSN],J$1)</f>
        <v>0</v>
      </c>
      <c r="K53" s="124">
        <f>IFERROR(_018_600[[#This Row],['#08委外NG]]/_018_600[[#This Row],['#08已委外數量]],"")</f>
        <v>0</v>
      </c>
      <c r="L53" s="123">
        <f>_018_600[[#This Row],['#08回
良品]]-_018_600[[#This Row],['#06檢驗OK]]-_018_600[[#This Row],['#06
QC NG]]</f>
        <v>0</v>
      </c>
      <c r="M53" s="123">
        <f>SUMIFS(record[OK],record[製程料號],_018_600[[#This Row],[製令單號]],record[ProcessSN],M$1)</f>
        <v>134</v>
      </c>
      <c r="N53" s="117">
        <f>SUMIFS(record[NG],record[製程料號],_018_600[[#This Row],[製令單號]],record[ProcessSN],N$1)</f>
        <v>0</v>
      </c>
      <c r="O53" s="123">
        <f>_018_600[[#This Row],['#06檢驗OK]]-_018_600[[#This Row],[不良品]]-_018_600[[#This Row],[良品]]</f>
        <v>0</v>
      </c>
      <c r="P53" s="123">
        <f>SUMIFS(record[OK],record[製程料號],_018_600[[#This Row],[製令單號]],record[ProcessSN],P$1)</f>
        <v>134</v>
      </c>
      <c r="Q53" s="117">
        <f>SUMIFS(record[NG],record[製程料號],_018_600[[#This Row],[製令單號]],record[ProcessSN],Q$1)</f>
        <v>0</v>
      </c>
      <c r="R53" s="123">
        <f>_018_600[[#This Row],[良品]]-_018_600[[#This Row],[良品放行]]-_018_600[[#This Row],[不良待處理]]</f>
        <v>0</v>
      </c>
      <c r="S53" s="123">
        <f>SUMIFS(record[OK],record[製程料號],_018_600[[#This Row],[製令單號]],record[ProcessSN],S$1)</f>
        <v>134</v>
      </c>
      <c r="T53" s="117">
        <f>SUMIFS(record[NG],record[製程料號],_018_600[[#This Row],[製令單號]],record[ProcessSN],T$1)</f>
        <v>0</v>
      </c>
      <c r="U53" s="123">
        <f>_018_600[[#This Row],[良品放行]]-_018_600[[#This Row],[入庫]]</f>
        <v>0</v>
      </c>
      <c r="V53" s="123">
        <f>SUMIFS(record[OK],record[製程料號],_018_600[[#This Row],[製令單號]],record[ProcessSN],V$1)</f>
        <v>134</v>
      </c>
      <c r="W53" s="123">
        <f>_018_600[[#This Row],[入庫]]-_018_600[[#This Row],[已出貨]]</f>
        <v>0</v>
      </c>
      <c r="X53" s="137"/>
      <c r="Y53" s="123">
        <f>SUMIFS(record[OK],record[製程料號],_018_600[[#This Row],[製令單號]],record[ProcessSN],Y$1)</f>
        <v>134</v>
      </c>
      <c r="Z53" s="125">
        <f>_018_600[[#This Row],[不良待處理]]+_018_600[[#This Row],[不良品]]+_018_600[[#This Row],['#06
QC NG]]+_018_600[[#This Row],['#08委外NG]]</f>
        <v>0</v>
      </c>
      <c r="AA53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54" spans="1:27" ht="30.75" x14ac:dyDescent="0.25">
      <c r="A54" s="120">
        <v>46013</v>
      </c>
      <c r="B54" s="121" t="s">
        <v>1369</v>
      </c>
      <c r="C54" s="122" t="s">
        <v>503</v>
      </c>
      <c r="D54" s="118">
        <v>883</v>
      </c>
      <c r="E54" s="123">
        <f>_018_600[[#This Row],[入料數]]-_018_600[[#This Row],['#08已委外數量]]</f>
        <v>0</v>
      </c>
      <c r="F54" s="123">
        <f>SUMIFS(record[OK],record[製程料號],_018_600[[#This Row],[製令單號]],record[ProcessSN],F$1)</f>
        <v>883</v>
      </c>
      <c r="G54" s="118" t="str">
        <f>IF(_018_600[[#This Row],['#08已委外數量]]&gt;0,VLOOKUP(G$1,record[[ProcessSN]:[廠商]],12,FALSE),"尚未委外")</f>
        <v>泉盛</v>
      </c>
      <c r="H54" s="123">
        <f>_018_600[[#This Row],['#08已委外數量]]-_018_600[[#This Row],['#08回
良品]]-_018_600[[#This Row],['#08委外NG]]</f>
        <v>0</v>
      </c>
      <c r="I54" s="123">
        <f>SUMIFS(record[OK],record[製程料號],_018_600[[#This Row],[製令單號]],record[ProcessSN],I$1)</f>
        <v>804</v>
      </c>
      <c r="J54" s="117">
        <f>SUMIFS(record[NG],record[製程料號],_018_600[[#This Row],[製令單號]],record[ProcessSN],J$1)</f>
        <v>79</v>
      </c>
      <c r="K54" s="124">
        <f>IFERROR(_018_600[[#This Row],['#08委外NG]]/_018_600[[#This Row],['#08已委外數量]],"")</f>
        <v>8.9467723669309177E-2</v>
      </c>
      <c r="L54" s="123">
        <f>_018_600[[#This Row],['#08回
良品]]-_018_600[[#This Row],['#06檢驗OK]]-_018_600[[#This Row],['#06
QC NG]]</f>
        <v>0</v>
      </c>
      <c r="M54" s="123">
        <f>SUMIFS(record[OK],record[製程料號],_018_600[[#This Row],[製令單號]],record[ProcessSN],M$1)</f>
        <v>804</v>
      </c>
      <c r="N54" s="117">
        <f>SUMIFS(record[NG],record[製程料號],_018_600[[#This Row],[製令單號]],record[ProcessSN],N$1)</f>
        <v>0</v>
      </c>
      <c r="O54" s="123">
        <f>_018_600[[#This Row],['#06檢驗OK]]-_018_600[[#This Row],[不良品]]-_018_600[[#This Row],[良品]]</f>
        <v>0</v>
      </c>
      <c r="P54" s="123">
        <f>SUMIFS(record[OK],record[製程料號],_018_600[[#This Row],[製令單號]],record[ProcessSN],P$1)</f>
        <v>804</v>
      </c>
      <c r="Q54" s="117">
        <f>SUMIFS(record[NG],record[製程料號],_018_600[[#This Row],[製令單號]],record[ProcessSN],Q$1)</f>
        <v>0</v>
      </c>
      <c r="R54" s="123">
        <f>_018_600[[#This Row],[良品]]-_018_600[[#This Row],[良品放行]]-_018_600[[#This Row],[不良待處理]]</f>
        <v>0</v>
      </c>
      <c r="S54" s="123">
        <f>SUMIFS(record[OK],record[製程料號],_018_600[[#This Row],[製令單號]],record[ProcessSN],S$1)</f>
        <v>804</v>
      </c>
      <c r="T54" s="117">
        <f>SUMIFS(record[NG],record[製程料號],_018_600[[#This Row],[製令單號]],record[ProcessSN],T$1)</f>
        <v>0</v>
      </c>
      <c r="U54" s="123">
        <f>_018_600[[#This Row],[良品放行]]-_018_600[[#This Row],[入庫]]</f>
        <v>0</v>
      </c>
      <c r="V54" s="123">
        <f>SUMIFS(record[OK],record[製程料號],_018_600[[#This Row],[製令單號]],record[ProcessSN],V$1)</f>
        <v>804</v>
      </c>
      <c r="W54" s="123">
        <f>_018_600[[#This Row],[入庫]]-_018_600[[#This Row],[已出貨]]</f>
        <v>0</v>
      </c>
      <c r="X54" s="137"/>
      <c r="Y54" s="123">
        <f>SUMIFS(record[OK],record[製程料號],_018_600[[#This Row],[製令單號]],record[ProcessSN],Y$1)</f>
        <v>804</v>
      </c>
      <c r="Z54" s="125">
        <f>_018_600[[#This Row],[不良待處理]]+_018_600[[#This Row],[不良品]]+_018_600[[#This Row],['#06
QC NG]]+_018_600[[#This Row],['#08委外NG]]</f>
        <v>79</v>
      </c>
      <c r="AA54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0.91053227633069078</v>
      </c>
    </row>
    <row r="55" spans="1:27" ht="30.75" x14ac:dyDescent="0.25">
      <c r="A55" s="120">
        <v>46020</v>
      </c>
      <c r="B55" s="121" t="s">
        <v>1388</v>
      </c>
      <c r="C55" s="122" t="s">
        <v>503</v>
      </c>
      <c r="D55" s="118">
        <v>178</v>
      </c>
      <c r="E55" s="123">
        <f>_018_600[[#This Row],[入料數]]-_018_600[[#This Row],['#08已委外數量]]</f>
        <v>0</v>
      </c>
      <c r="F55" s="123">
        <f>SUMIFS(record[OK],record[製程料號],_018_600[[#This Row],[製令單號]],record[ProcessSN],F$1)</f>
        <v>178</v>
      </c>
      <c r="G55" s="118" t="str">
        <f>IF(_018_600[[#This Row],['#08已委外數量]]&gt;0,VLOOKUP(G$1,record[[ProcessSN]:[廠商]],12,FALSE),"尚未委外")</f>
        <v>泉盛</v>
      </c>
      <c r="H55" s="123">
        <f>_018_600[[#This Row],['#08已委外數量]]-_018_600[[#This Row],['#08回
良品]]-_018_600[[#This Row],['#08委外NG]]</f>
        <v>0</v>
      </c>
      <c r="I55" s="123">
        <f>SUMIFS(record[OK],record[製程料號],_018_600[[#This Row],[製令單號]],record[ProcessSN],I$1)</f>
        <v>178</v>
      </c>
      <c r="J55" s="117">
        <f>SUMIFS(record[NG],record[製程料號],_018_600[[#This Row],[製令單號]],record[ProcessSN],J$1)</f>
        <v>0</v>
      </c>
      <c r="K55" s="124">
        <f>IFERROR(_018_600[[#This Row],['#08委外NG]]/_018_600[[#This Row],['#08已委外數量]],"")</f>
        <v>0</v>
      </c>
      <c r="L55" s="123">
        <f>_018_600[[#This Row],['#08回
良品]]-_018_600[[#This Row],['#06檢驗OK]]-_018_600[[#This Row],['#06
QC NG]]</f>
        <v>0</v>
      </c>
      <c r="M55" s="123">
        <f>SUMIFS(record[OK],record[製程料號],_018_600[[#This Row],[製令單號]],record[ProcessSN],M$1)</f>
        <v>178</v>
      </c>
      <c r="N55" s="117">
        <f>SUMIFS(record[NG],record[製程料號],_018_600[[#This Row],[製令單號]],record[ProcessSN],N$1)</f>
        <v>0</v>
      </c>
      <c r="O55" s="123">
        <f>_018_600[[#This Row],['#06檢驗OK]]-_018_600[[#This Row],[不良品]]-_018_600[[#This Row],[良品]]</f>
        <v>0</v>
      </c>
      <c r="P55" s="123">
        <f>SUMIFS(record[OK],record[製程料號],_018_600[[#This Row],[製令單號]],record[ProcessSN],P$1)</f>
        <v>178</v>
      </c>
      <c r="Q55" s="117">
        <f>SUMIFS(record[NG],record[製程料號],_018_600[[#This Row],[製令單號]],record[ProcessSN],Q$1)</f>
        <v>0</v>
      </c>
      <c r="R55" s="123">
        <f>_018_600[[#This Row],[良品]]-_018_600[[#This Row],[良品放行]]-_018_600[[#This Row],[不良待處理]]</f>
        <v>0</v>
      </c>
      <c r="S55" s="123">
        <f>SUMIFS(record[OK],record[製程料號],_018_600[[#This Row],[製令單號]],record[ProcessSN],S$1)</f>
        <v>178</v>
      </c>
      <c r="T55" s="117">
        <f>SUMIFS(record[NG],record[製程料號],_018_600[[#This Row],[製令單號]],record[ProcessSN],T$1)</f>
        <v>0</v>
      </c>
      <c r="U55" s="123">
        <f>_018_600[[#This Row],[良品放行]]-_018_600[[#This Row],[入庫]]</f>
        <v>0</v>
      </c>
      <c r="V55" s="123">
        <f>SUMIFS(record[OK],record[製程料號],_018_600[[#This Row],[製令單號]],record[ProcessSN],V$1)</f>
        <v>178</v>
      </c>
      <c r="W55" s="123">
        <f>_018_600[[#This Row],[入庫]]-_018_600[[#This Row],[已出貨]]</f>
        <v>0</v>
      </c>
      <c r="X55" s="137"/>
      <c r="Y55" s="123">
        <f>SUMIFS(record[OK],record[製程料號],_018_600[[#This Row],[製令單號]],record[ProcessSN],Y$1)</f>
        <v>178</v>
      </c>
      <c r="Z55" s="125">
        <f>_018_600[[#This Row],[不良待處理]]+_018_600[[#This Row],[不良品]]+_018_600[[#This Row],['#06
QC NG]]+_018_600[[#This Row],['#08委外NG]]</f>
        <v>0</v>
      </c>
      <c r="AA55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56" spans="1:27" ht="30.75" x14ac:dyDescent="0.25">
      <c r="A56" s="120">
        <v>46020</v>
      </c>
      <c r="B56" s="121" t="s">
        <v>1391</v>
      </c>
      <c r="C56" s="122" t="s">
        <v>503</v>
      </c>
      <c r="D56" s="118">
        <v>431</v>
      </c>
      <c r="E56" s="123">
        <f>_018_600[[#This Row],[入料數]]-_018_600[[#This Row],['#08已委外數量]]</f>
        <v>0</v>
      </c>
      <c r="F56" s="123">
        <f>SUMIFS(record[OK],record[製程料號],_018_600[[#This Row],[製令單號]],record[ProcessSN],F$1)</f>
        <v>431</v>
      </c>
      <c r="G56" s="118" t="str">
        <f>IF(_018_600[[#This Row],['#08已委外數量]]&gt;0,VLOOKUP(G$1,record[[ProcessSN]:[廠商]],12,FALSE),"尚未委外")</f>
        <v>泉盛</v>
      </c>
      <c r="H56" s="123">
        <f>_018_600[[#This Row],['#08已委外數量]]-_018_600[[#This Row],['#08回
良品]]-_018_600[[#This Row],['#08委外NG]]</f>
        <v>0</v>
      </c>
      <c r="I56" s="123">
        <f>SUMIFS(record[OK],record[製程料號],_018_600[[#This Row],[製令單號]],record[ProcessSN],I$1)</f>
        <v>423</v>
      </c>
      <c r="J56" s="117">
        <f>SUMIFS(record[NG],record[製程料號],_018_600[[#This Row],[製令單號]],record[ProcessSN],J$1)</f>
        <v>8</v>
      </c>
      <c r="K56" s="124">
        <f>IFERROR(_018_600[[#This Row],['#08委外NG]]/_018_600[[#This Row],['#08已委外數量]],"")</f>
        <v>1.8561484918793503E-2</v>
      </c>
      <c r="L56" s="123">
        <f>_018_600[[#This Row],['#08回
良品]]-_018_600[[#This Row],['#06檢驗OK]]-_018_600[[#This Row],['#06
QC NG]]</f>
        <v>0</v>
      </c>
      <c r="M56" s="123">
        <f>SUMIFS(record[OK],record[製程料號],_018_600[[#This Row],[製令單號]],record[ProcessSN],M$1)</f>
        <v>423</v>
      </c>
      <c r="N56" s="117">
        <f>SUMIFS(record[NG],record[製程料號],_018_600[[#This Row],[製令單號]],record[ProcessSN],N$1)</f>
        <v>0</v>
      </c>
      <c r="O56" s="123">
        <f>_018_600[[#This Row],['#06檢驗OK]]-_018_600[[#This Row],[不良品]]-_018_600[[#This Row],[良品]]</f>
        <v>0</v>
      </c>
      <c r="P56" s="123">
        <f>SUMIFS(record[OK],record[製程料號],_018_600[[#This Row],[製令單號]],record[ProcessSN],P$1)</f>
        <v>423</v>
      </c>
      <c r="Q56" s="117">
        <f>SUMIFS(record[NG],record[製程料號],_018_600[[#This Row],[製令單號]],record[ProcessSN],Q$1)</f>
        <v>0</v>
      </c>
      <c r="R56" s="123">
        <f>_018_600[[#This Row],[良品]]-_018_600[[#This Row],[良品放行]]-_018_600[[#This Row],[不良待處理]]</f>
        <v>0</v>
      </c>
      <c r="S56" s="123">
        <f>SUMIFS(record[OK],record[製程料號],_018_600[[#This Row],[製令單號]],record[ProcessSN],S$1)</f>
        <v>423</v>
      </c>
      <c r="T56" s="117">
        <f>SUMIFS(record[NG],record[製程料號],_018_600[[#This Row],[製令單號]],record[ProcessSN],T$1)</f>
        <v>0</v>
      </c>
      <c r="U56" s="123">
        <f>_018_600[[#This Row],[良品放行]]-_018_600[[#This Row],[入庫]]</f>
        <v>0</v>
      </c>
      <c r="V56" s="123">
        <f>SUMIFS(record[OK],record[製程料號],_018_600[[#This Row],[製令單號]],record[ProcessSN],V$1)</f>
        <v>423</v>
      </c>
      <c r="W56" s="123">
        <f>_018_600[[#This Row],[入庫]]-_018_600[[#This Row],[已出貨]]</f>
        <v>0</v>
      </c>
      <c r="X56" s="137"/>
      <c r="Y56" s="123">
        <f>SUMIFS(record[OK],record[製程料號],_018_600[[#This Row],[製令單號]],record[ProcessSN],Y$1)</f>
        <v>423</v>
      </c>
      <c r="Z56" s="125">
        <f>_018_600[[#This Row],[不良待處理]]+_018_600[[#This Row],[不良品]]+_018_600[[#This Row],['#06
QC NG]]+_018_600[[#This Row],['#08委外NG]]</f>
        <v>8</v>
      </c>
      <c r="AA56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0.9814385150812065</v>
      </c>
    </row>
    <row r="57" spans="1:27" ht="30.75" x14ac:dyDescent="0.25">
      <c r="A57" s="120">
        <v>46021</v>
      </c>
      <c r="B57" s="121" t="s">
        <v>1402</v>
      </c>
      <c r="C57" s="122" t="s">
        <v>503</v>
      </c>
      <c r="D57" s="118">
        <v>139</v>
      </c>
      <c r="E57" s="123">
        <f>_018_600[[#This Row],[入料數]]-_018_600[[#This Row],['#08已委外數量]]</f>
        <v>0</v>
      </c>
      <c r="F57" s="123">
        <f>SUMIFS(record[OK],record[製程料號],_018_600[[#This Row],[製令單號]],record[ProcessSN],F$1)</f>
        <v>139</v>
      </c>
      <c r="G57" s="118" t="str">
        <f>IF(_018_600[[#This Row],['#08已委外數量]]&gt;0,VLOOKUP(G$1,record[[ProcessSN]:[廠商]],12,FALSE),"尚未委外")</f>
        <v>泉盛</v>
      </c>
      <c r="H57" s="123">
        <f>_018_600[[#This Row],['#08已委外數量]]-_018_600[[#This Row],['#08回
良品]]-_018_600[[#This Row],['#08委外NG]]</f>
        <v>0</v>
      </c>
      <c r="I57" s="123">
        <f>SUMIFS(record[OK],record[製程料號],_018_600[[#This Row],[製令單號]],record[ProcessSN],I$1)</f>
        <v>108</v>
      </c>
      <c r="J57" s="117">
        <f>SUMIFS(record[NG],record[製程料號],_018_600[[#This Row],[製令單號]],record[ProcessSN],J$1)</f>
        <v>31</v>
      </c>
      <c r="K57" s="124">
        <f>IFERROR(_018_600[[#This Row],['#08委外NG]]/_018_600[[#This Row],['#08已委外數量]],"")</f>
        <v>0.22302158273381295</v>
      </c>
      <c r="L57" s="123">
        <f>_018_600[[#This Row],['#08回
良品]]-_018_600[[#This Row],['#06檢驗OK]]-_018_600[[#This Row],['#06
QC NG]]</f>
        <v>0</v>
      </c>
      <c r="M57" s="123">
        <f>SUMIFS(record[OK],record[製程料號],_018_600[[#This Row],[製令單號]],record[ProcessSN],M$1)</f>
        <v>108</v>
      </c>
      <c r="N57" s="117">
        <f>SUMIFS(record[NG],record[製程料號],_018_600[[#This Row],[製令單號]],record[ProcessSN],N$1)</f>
        <v>0</v>
      </c>
      <c r="O57" s="123">
        <f>_018_600[[#This Row],['#06檢驗OK]]-_018_600[[#This Row],[不良品]]-_018_600[[#This Row],[良品]]</f>
        <v>0</v>
      </c>
      <c r="P57" s="123">
        <f>SUMIFS(record[OK],record[製程料號],_018_600[[#This Row],[製令單號]],record[ProcessSN],P$1)</f>
        <v>108</v>
      </c>
      <c r="Q57" s="117">
        <f>SUMIFS(record[NG],record[製程料號],_018_600[[#This Row],[製令單號]],record[ProcessSN],Q$1)</f>
        <v>0</v>
      </c>
      <c r="R57" s="123">
        <f>_018_600[[#This Row],[良品]]-_018_600[[#This Row],[良品放行]]-_018_600[[#This Row],[不良待處理]]</f>
        <v>0</v>
      </c>
      <c r="S57" s="123">
        <f>SUMIFS(record[OK],record[製程料號],_018_600[[#This Row],[製令單號]],record[ProcessSN],S$1)</f>
        <v>108</v>
      </c>
      <c r="T57" s="117">
        <f>SUMIFS(record[NG],record[製程料號],_018_600[[#This Row],[製令單號]],record[ProcessSN],T$1)</f>
        <v>0</v>
      </c>
      <c r="U57" s="123">
        <f>_018_600[[#This Row],[良品放行]]-_018_600[[#This Row],[入庫]]</f>
        <v>0</v>
      </c>
      <c r="V57" s="123">
        <f>SUMIFS(record[OK],record[製程料號],_018_600[[#This Row],[製令單號]],record[ProcessSN],V$1)</f>
        <v>108</v>
      </c>
      <c r="W57" s="123">
        <f>_018_600[[#This Row],[入庫]]-_018_600[[#This Row],[已出貨]]</f>
        <v>0</v>
      </c>
      <c r="X57" s="137"/>
      <c r="Y57" s="123">
        <f>SUMIFS(record[OK],record[製程料號],_018_600[[#This Row],[製令單號]],record[ProcessSN],Y$1)</f>
        <v>108</v>
      </c>
      <c r="Z57" s="125">
        <f>_018_600[[#This Row],[不良待處理]]+_018_600[[#This Row],[不良品]]+_018_600[[#This Row],['#06
QC NG]]+_018_600[[#This Row],['#08委外NG]]</f>
        <v>31</v>
      </c>
      <c r="AA57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0.7769784172661871</v>
      </c>
    </row>
    <row r="58" spans="1:27" ht="30.75" x14ac:dyDescent="0.25">
      <c r="A58" s="120">
        <v>46036</v>
      </c>
      <c r="B58" s="121" t="s">
        <v>1457</v>
      </c>
      <c r="C58" s="122" t="s">
        <v>503</v>
      </c>
      <c r="D58" s="118">
        <v>352</v>
      </c>
      <c r="E58" s="123">
        <f>_018_600[[#This Row],[入料數]]-_018_600[[#This Row],['#08已委外數量]]</f>
        <v>0</v>
      </c>
      <c r="F58" s="123">
        <f>SUMIFS(record[OK],record[製程料號],_018_600[[#This Row],[製令單號]],record[ProcessSN],F$1)</f>
        <v>352</v>
      </c>
      <c r="G58" s="118" t="str">
        <f>IF(_018_600[[#This Row],['#08已委外數量]]&gt;0,VLOOKUP(G$1,record[[ProcessSN]:[廠商]],12,FALSE),"尚未委外")</f>
        <v>泉盛</v>
      </c>
      <c r="H58" s="123">
        <f>_018_600[[#This Row],['#08已委外數量]]-_018_600[[#This Row],['#08回
良品]]-_018_600[[#This Row],['#08委外NG]]</f>
        <v>0</v>
      </c>
      <c r="I58" s="123">
        <f>SUMIFS(record[OK],record[製程料號],_018_600[[#This Row],[製令單號]],record[ProcessSN],I$1)</f>
        <v>345</v>
      </c>
      <c r="J58" s="117">
        <f>SUMIFS(record[NG],record[製程料號],_018_600[[#This Row],[製令單號]],record[ProcessSN],J$1)</f>
        <v>7</v>
      </c>
      <c r="K58" s="124">
        <f>IFERROR(_018_600[[#This Row],['#08委外NG]]/_018_600[[#This Row],['#08已委外數量]],"")</f>
        <v>1.9886363636363636E-2</v>
      </c>
      <c r="L58" s="123">
        <f>_018_600[[#This Row],['#08回
良品]]-_018_600[[#This Row],['#06檢驗OK]]-_018_600[[#This Row],['#06
QC NG]]</f>
        <v>0</v>
      </c>
      <c r="M58" s="123">
        <f>SUMIFS(record[OK],record[製程料號],_018_600[[#This Row],[製令單號]],record[ProcessSN],M$1)</f>
        <v>345</v>
      </c>
      <c r="N58" s="117">
        <f>SUMIFS(record[NG],record[製程料號],_018_600[[#This Row],[製令單號]],record[ProcessSN],N$1)</f>
        <v>0</v>
      </c>
      <c r="O58" s="123">
        <f>_018_600[[#This Row],['#06檢驗OK]]-_018_600[[#This Row],[不良品]]-_018_600[[#This Row],[良品]]</f>
        <v>0</v>
      </c>
      <c r="P58" s="123">
        <f>SUMIFS(record[OK],record[製程料號],_018_600[[#This Row],[製令單號]],record[ProcessSN],P$1)</f>
        <v>345</v>
      </c>
      <c r="Q58" s="117">
        <f>SUMIFS(record[NG],record[製程料號],_018_600[[#This Row],[製令單號]],record[ProcessSN],Q$1)</f>
        <v>0</v>
      </c>
      <c r="R58" s="123">
        <f>_018_600[[#This Row],[良品]]-_018_600[[#This Row],[良品放行]]-_018_600[[#This Row],[不良待處理]]</f>
        <v>0</v>
      </c>
      <c r="S58" s="123">
        <f>SUMIFS(record[OK],record[製程料號],_018_600[[#This Row],[製令單號]],record[ProcessSN],S$1)</f>
        <v>345</v>
      </c>
      <c r="T58" s="117">
        <f>SUMIFS(record[NG],record[製程料號],_018_600[[#This Row],[製令單號]],record[ProcessSN],T$1)</f>
        <v>0</v>
      </c>
      <c r="U58" s="123">
        <f>_018_600[[#This Row],[良品放行]]-_018_600[[#This Row],[入庫]]</f>
        <v>0</v>
      </c>
      <c r="V58" s="123">
        <f>SUMIFS(record[OK],record[製程料號],_018_600[[#This Row],[製令單號]],record[ProcessSN],V$1)</f>
        <v>345</v>
      </c>
      <c r="W58" s="123">
        <f>_018_600[[#This Row],[入庫]]-_018_600[[#This Row],[已出貨]]</f>
        <v>0</v>
      </c>
      <c r="X58" s="137"/>
      <c r="Y58" s="123">
        <f>SUMIFS(record[OK],record[製程料號],_018_600[[#This Row],[製令單號]],record[ProcessSN],Y$1)</f>
        <v>345</v>
      </c>
      <c r="Z58" s="125">
        <f>_018_600[[#This Row],[不良待處理]]+_018_600[[#This Row],[不良品]]+_018_600[[#This Row],['#06
QC NG]]+_018_600[[#This Row],['#08委外NG]]</f>
        <v>7</v>
      </c>
      <c r="AA58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0.98011363636363635</v>
      </c>
    </row>
    <row r="59" spans="1:27" ht="30.75" x14ac:dyDescent="0.25">
      <c r="A59" s="120">
        <v>46037</v>
      </c>
      <c r="B59" s="121" t="s">
        <v>1467</v>
      </c>
      <c r="C59" s="122" t="s">
        <v>503</v>
      </c>
      <c r="D59" s="118">
        <v>201</v>
      </c>
      <c r="E59" s="123">
        <f>_018_600[[#This Row],[入料數]]-_018_600[[#This Row],['#08已委外數量]]</f>
        <v>0</v>
      </c>
      <c r="F59" s="123">
        <f>SUMIFS(record[OK],record[製程料號],_018_600[[#This Row],[製令單號]],record[ProcessSN],F$1)</f>
        <v>201</v>
      </c>
      <c r="G59" s="118" t="str">
        <f>IF(_018_600[[#This Row],['#08已委外數量]]&gt;0,VLOOKUP(G$1,record[[ProcessSN]:[廠商]],12,FALSE),"尚未委外")</f>
        <v>泉盛</v>
      </c>
      <c r="H59" s="123">
        <f>_018_600[[#This Row],['#08已委外數量]]-_018_600[[#This Row],['#08回
良品]]-_018_600[[#This Row],['#08委外NG]]</f>
        <v>0</v>
      </c>
      <c r="I59" s="123">
        <f>SUMIFS(record[OK],record[製程料號],_018_600[[#This Row],[製令單號]],record[ProcessSN],I$1)</f>
        <v>201</v>
      </c>
      <c r="J59" s="117">
        <f>SUMIFS(record[NG],record[製程料號],_018_600[[#This Row],[製令單號]],record[ProcessSN],J$1)</f>
        <v>0</v>
      </c>
      <c r="K59" s="124">
        <f>IFERROR(_018_600[[#This Row],['#08委外NG]]/_018_600[[#This Row],['#08已委外數量]],"")</f>
        <v>0</v>
      </c>
      <c r="L59" s="123">
        <f>_018_600[[#This Row],['#08回
良品]]-_018_600[[#This Row],['#06檢驗OK]]-_018_600[[#This Row],['#06
QC NG]]</f>
        <v>0</v>
      </c>
      <c r="M59" s="123">
        <f>SUMIFS(record[OK],record[製程料號],_018_600[[#This Row],[製令單號]],record[ProcessSN],M$1)</f>
        <v>201</v>
      </c>
      <c r="N59" s="117">
        <f>SUMIFS(record[NG],record[製程料號],_018_600[[#This Row],[製令單號]],record[ProcessSN],N$1)</f>
        <v>0</v>
      </c>
      <c r="O59" s="123">
        <f>_018_600[[#This Row],['#06檢驗OK]]-_018_600[[#This Row],[不良品]]-_018_600[[#This Row],[良品]]</f>
        <v>0</v>
      </c>
      <c r="P59" s="123">
        <f>SUMIFS(record[OK],record[製程料號],_018_600[[#This Row],[製令單號]],record[ProcessSN],P$1)</f>
        <v>201</v>
      </c>
      <c r="Q59" s="117">
        <f>SUMIFS(record[NG],record[製程料號],_018_600[[#This Row],[製令單號]],record[ProcessSN],Q$1)</f>
        <v>0</v>
      </c>
      <c r="R59" s="123">
        <f>_018_600[[#This Row],[良品]]-_018_600[[#This Row],[良品放行]]-_018_600[[#This Row],[不良待處理]]</f>
        <v>0</v>
      </c>
      <c r="S59" s="123">
        <f>SUMIFS(record[OK],record[製程料號],_018_600[[#This Row],[製令單號]],record[ProcessSN],S$1)</f>
        <v>201</v>
      </c>
      <c r="T59" s="117">
        <f>SUMIFS(record[NG],record[製程料號],_018_600[[#This Row],[製令單號]],record[ProcessSN],T$1)</f>
        <v>0</v>
      </c>
      <c r="U59" s="123">
        <f>_018_600[[#This Row],[良品放行]]-_018_600[[#This Row],[入庫]]</f>
        <v>0</v>
      </c>
      <c r="V59" s="123">
        <f>SUMIFS(record[OK],record[製程料號],_018_600[[#This Row],[製令單號]],record[ProcessSN],V$1)</f>
        <v>201</v>
      </c>
      <c r="W59" s="123">
        <f>_018_600[[#This Row],[入庫]]-_018_600[[#This Row],[已出貨]]</f>
        <v>0</v>
      </c>
      <c r="X59" s="137"/>
      <c r="Y59" s="123">
        <f>SUMIFS(record[OK],record[製程料號],_018_600[[#This Row],[製令單號]],record[ProcessSN],Y$1)</f>
        <v>201</v>
      </c>
      <c r="Z59" s="125">
        <f>_018_600[[#This Row],[不良待處理]]+_018_600[[#This Row],[不良品]]+_018_600[[#This Row],['#06
QC NG]]+_018_600[[#This Row],['#08委外NG]]</f>
        <v>0</v>
      </c>
      <c r="AA59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60" spans="1:27" ht="30.75" x14ac:dyDescent="0.25">
      <c r="A60" s="120">
        <v>46041</v>
      </c>
      <c r="B60" s="121" t="s">
        <v>1478</v>
      </c>
      <c r="C60" s="122" t="s">
        <v>503</v>
      </c>
      <c r="D60" s="118">
        <v>163</v>
      </c>
      <c r="E60" s="123">
        <f>_018_600[[#This Row],[入料數]]-_018_600[[#This Row],['#08已委外數量]]</f>
        <v>0</v>
      </c>
      <c r="F60" s="123">
        <f>SUMIFS(record[OK],record[製程料號],_018_600[[#This Row],[製令單號]],record[ProcessSN],F$1)</f>
        <v>163</v>
      </c>
      <c r="G60" s="118" t="str">
        <f>IF(_018_600[[#This Row],['#08已委外數量]]&gt;0,VLOOKUP(G$1,record[[ProcessSN]:[廠商]],12,FALSE),"尚未委外")</f>
        <v>泉盛</v>
      </c>
      <c r="H60" s="123">
        <f>_018_600[[#This Row],['#08已委外數量]]-_018_600[[#This Row],['#08回
良品]]-_018_600[[#This Row],['#08委外NG]]</f>
        <v>0</v>
      </c>
      <c r="I60" s="123">
        <f>SUMIFS(record[OK],record[製程料號],_018_600[[#This Row],[製令單號]],record[ProcessSN],I$1)</f>
        <v>162</v>
      </c>
      <c r="J60" s="117">
        <f>SUMIFS(record[NG],record[製程料號],_018_600[[#This Row],[製令單號]],record[ProcessSN],J$1)</f>
        <v>1</v>
      </c>
      <c r="K60" s="124">
        <f>IFERROR(_018_600[[#This Row],['#08委外NG]]/_018_600[[#This Row],['#08已委外數量]],"")</f>
        <v>6.1349693251533744E-3</v>
      </c>
      <c r="L60" s="123">
        <f>_018_600[[#This Row],['#08回
良品]]-_018_600[[#This Row],['#06檢驗OK]]-_018_600[[#This Row],['#06
QC NG]]</f>
        <v>0</v>
      </c>
      <c r="M60" s="123">
        <f>SUMIFS(record[OK],record[製程料號],_018_600[[#This Row],[製令單號]],record[ProcessSN],M$1)</f>
        <v>162</v>
      </c>
      <c r="N60" s="117">
        <f>SUMIFS(record[NG],record[製程料號],_018_600[[#This Row],[製令單號]],record[ProcessSN],N$1)</f>
        <v>0</v>
      </c>
      <c r="O60" s="123">
        <f>_018_600[[#This Row],['#06檢驗OK]]-_018_600[[#This Row],[不良品]]-_018_600[[#This Row],[良品]]</f>
        <v>0</v>
      </c>
      <c r="P60" s="123">
        <f>SUMIFS(record[OK],record[製程料號],_018_600[[#This Row],[製令單號]],record[ProcessSN],P$1)</f>
        <v>162</v>
      </c>
      <c r="Q60" s="117">
        <f>SUMIFS(record[NG],record[製程料號],_018_600[[#This Row],[製令單號]],record[ProcessSN],Q$1)</f>
        <v>0</v>
      </c>
      <c r="R60" s="123">
        <f>_018_600[[#This Row],[良品]]-_018_600[[#This Row],[良品放行]]-_018_600[[#This Row],[不良待處理]]</f>
        <v>0</v>
      </c>
      <c r="S60" s="123">
        <f>SUMIFS(record[OK],record[製程料號],_018_600[[#This Row],[製令單號]],record[ProcessSN],S$1)</f>
        <v>162</v>
      </c>
      <c r="T60" s="117">
        <f>SUMIFS(record[NG],record[製程料號],_018_600[[#This Row],[製令單號]],record[ProcessSN],T$1)</f>
        <v>0</v>
      </c>
      <c r="U60" s="123">
        <f>_018_600[[#This Row],[良品放行]]-_018_600[[#This Row],[入庫]]</f>
        <v>0</v>
      </c>
      <c r="V60" s="123">
        <f>SUMIFS(record[OK],record[製程料號],_018_600[[#This Row],[製令單號]],record[ProcessSN],V$1)</f>
        <v>162</v>
      </c>
      <c r="W60" s="123">
        <f>_018_600[[#This Row],[入庫]]-_018_600[[#This Row],[已出貨]]</f>
        <v>0</v>
      </c>
      <c r="X60" s="137"/>
      <c r="Y60" s="123">
        <f>SUMIFS(record[OK],record[製程料號],_018_600[[#This Row],[製令單號]],record[ProcessSN],Y$1)</f>
        <v>162</v>
      </c>
      <c r="Z60" s="125">
        <f>_018_600[[#This Row],[不良待處理]]+_018_600[[#This Row],[不良品]]+_018_600[[#This Row],['#06
QC NG]]+_018_600[[#This Row],['#08委外NG]]</f>
        <v>1</v>
      </c>
      <c r="AA60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0.99386503067484666</v>
      </c>
    </row>
    <row r="61" spans="1:27" ht="30.75" x14ac:dyDescent="0.25">
      <c r="A61" s="120">
        <v>46043</v>
      </c>
      <c r="B61" s="121" t="s">
        <v>1484</v>
      </c>
      <c r="C61" s="122" t="s">
        <v>503</v>
      </c>
      <c r="D61" s="118">
        <v>304</v>
      </c>
      <c r="E61" s="123">
        <f>_018_600[[#This Row],[入料數]]-_018_600[[#This Row],['#08已委外數量]]</f>
        <v>0</v>
      </c>
      <c r="F61" s="123">
        <f>SUMIFS(record[OK],record[製程料號],_018_600[[#This Row],[製令單號]],record[ProcessSN],F$1)</f>
        <v>304</v>
      </c>
      <c r="G61" s="118" t="str">
        <f>IF(_018_600[[#This Row],['#08已委外數量]]&gt;0,VLOOKUP(G$1,record[[ProcessSN]:[廠商]],12,FALSE),"尚未委外")</f>
        <v>泉盛</v>
      </c>
      <c r="H61" s="123">
        <f>_018_600[[#This Row],['#08已委外數量]]-_018_600[[#This Row],['#08回
良品]]-_018_600[[#This Row],['#08委外NG]]</f>
        <v>0</v>
      </c>
      <c r="I61" s="123">
        <f>SUMIFS(record[OK],record[製程料號],_018_600[[#This Row],[製令單號]],record[ProcessSN],I$1)</f>
        <v>286</v>
      </c>
      <c r="J61" s="117">
        <f>SUMIFS(record[NG],record[製程料號],_018_600[[#This Row],[製令單號]],record[ProcessSN],J$1)</f>
        <v>18</v>
      </c>
      <c r="K61" s="124">
        <f>IFERROR(_018_600[[#This Row],['#08委外NG]]/_018_600[[#This Row],['#08已委外數量]],"")</f>
        <v>5.921052631578947E-2</v>
      </c>
      <c r="L61" s="123">
        <f>_018_600[[#This Row],['#08回
良品]]-_018_600[[#This Row],['#06檢驗OK]]-_018_600[[#This Row],['#06
QC NG]]</f>
        <v>0</v>
      </c>
      <c r="M61" s="123">
        <f>SUMIFS(record[OK],record[製程料號],_018_600[[#This Row],[製令單號]],record[ProcessSN],M$1)</f>
        <v>286</v>
      </c>
      <c r="N61" s="117">
        <f>SUMIFS(record[NG],record[製程料號],_018_600[[#This Row],[製令單號]],record[ProcessSN],N$1)</f>
        <v>0</v>
      </c>
      <c r="O61" s="123">
        <f>_018_600[[#This Row],['#06檢驗OK]]-_018_600[[#This Row],[不良品]]-_018_600[[#This Row],[良品]]</f>
        <v>0</v>
      </c>
      <c r="P61" s="123">
        <f>SUMIFS(record[OK],record[製程料號],_018_600[[#This Row],[製令單號]],record[ProcessSN],P$1)</f>
        <v>286</v>
      </c>
      <c r="Q61" s="117">
        <f>SUMIFS(record[NG],record[製程料號],_018_600[[#This Row],[製令單號]],record[ProcessSN],Q$1)</f>
        <v>0</v>
      </c>
      <c r="R61" s="123">
        <f>_018_600[[#This Row],[良品]]-_018_600[[#This Row],[良品放行]]-_018_600[[#This Row],[不良待處理]]</f>
        <v>0</v>
      </c>
      <c r="S61" s="123">
        <f>SUMIFS(record[OK],record[製程料號],_018_600[[#This Row],[製令單號]],record[ProcessSN],S$1)</f>
        <v>286</v>
      </c>
      <c r="T61" s="117">
        <f>SUMIFS(record[NG],record[製程料號],_018_600[[#This Row],[製令單號]],record[ProcessSN],T$1)</f>
        <v>0</v>
      </c>
      <c r="U61" s="123">
        <f>_018_600[[#This Row],[良品放行]]-_018_600[[#This Row],[入庫]]</f>
        <v>0</v>
      </c>
      <c r="V61" s="123">
        <f>SUMIFS(record[OK],record[製程料號],_018_600[[#This Row],[製令單號]],record[ProcessSN],V$1)</f>
        <v>286</v>
      </c>
      <c r="W61" s="123">
        <f>_018_600[[#This Row],[入庫]]-_018_600[[#This Row],[已出貨]]</f>
        <v>0</v>
      </c>
      <c r="X61" s="137"/>
      <c r="Y61" s="123">
        <f>SUMIFS(record[OK],record[製程料號],_018_600[[#This Row],[製令單號]],record[ProcessSN],Y$1)</f>
        <v>286</v>
      </c>
      <c r="Z61" s="125">
        <f>_018_600[[#This Row],[不良待處理]]+_018_600[[#This Row],[不良品]]+_018_600[[#This Row],['#06
QC NG]]+_018_600[[#This Row],['#08委外NG]]</f>
        <v>18</v>
      </c>
      <c r="AA61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0.94078947368421051</v>
      </c>
    </row>
    <row r="62" spans="1:27" ht="30.75" x14ac:dyDescent="0.25">
      <c r="A62" s="120">
        <v>46044</v>
      </c>
      <c r="B62" s="121" t="s">
        <v>1494</v>
      </c>
      <c r="C62" s="122" t="s">
        <v>503</v>
      </c>
      <c r="D62" s="118">
        <v>145</v>
      </c>
      <c r="E62" s="123">
        <f>_018_600[[#This Row],[入料數]]-_018_600[[#This Row],['#08已委外數量]]</f>
        <v>0</v>
      </c>
      <c r="F62" s="123">
        <f>SUMIFS(record[OK],record[製程料號],_018_600[[#This Row],[製令單號]],record[ProcessSN],F$1)</f>
        <v>145</v>
      </c>
      <c r="G62" s="118" t="str">
        <f>IF(_018_600[[#This Row],['#08已委外數量]]&gt;0,VLOOKUP(G$1,record[[ProcessSN]:[廠商]],12,FALSE),"尚未委外")</f>
        <v>泉盛</v>
      </c>
      <c r="H62" s="123">
        <f>_018_600[[#This Row],['#08已委外數量]]-_018_600[[#This Row],['#08回
良品]]-_018_600[[#This Row],['#08委外NG]]</f>
        <v>0</v>
      </c>
      <c r="I62" s="123">
        <f>SUMIFS(record[OK],record[製程料號],_018_600[[#This Row],[製令單號]],record[ProcessSN],I$1)</f>
        <v>139</v>
      </c>
      <c r="J62" s="117">
        <f>SUMIFS(record[NG],record[製程料號],_018_600[[#This Row],[製令單號]],record[ProcessSN],J$1)</f>
        <v>6</v>
      </c>
      <c r="K62" s="124">
        <f>IFERROR(_018_600[[#This Row],['#08委外NG]]/_018_600[[#This Row],['#08已委外數量]],"")</f>
        <v>4.1379310344827586E-2</v>
      </c>
      <c r="L62" s="123">
        <f>_018_600[[#This Row],['#08回
良品]]-_018_600[[#This Row],['#06檢驗OK]]-_018_600[[#This Row],['#06
QC NG]]</f>
        <v>0</v>
      </c>
      <c r="M62" s="123">
        <f>SUMIFS(record[OK],record[製程料號],_018_600[[#This Row],[製令單號]],record[ProcessSN],M$1)</f>
        <v>139</v>
      </c>
      <c r="N62" s="117">
        <f>SUMIFS(record[NG],record[製程料號],_018_600[[#This Row],[製令單號]],record[ProcessSN],N$1)</f>
        <v>0</v>
      </c>
      <c r="O62" s="123">
        <f>_018_600[[#This Row],['#06檢驗OK]]-_018_600[[#This Row],[不良品]]-_018_600[[#This Row],[良品]]</f>
        <v>0</v>
      </c>
      <c r="P62" s="123">
        <f>SUMIFS(record[OK],record[製程料號],_018_600[[#This Row],[製令單號]],record[ProcessSN],P$1)</f>
        <v>139</v>
      </c>
      <c r="Q62" s="117">
        <f>SUMIFS(record[NG],record[製程料號],_018_600[[#This Row],[製令單號]],record[ProcessSN],Q$1)</f>
        <v>0</v>
      </c>
      <c r="R62" s="123">
        <f>_018_600[[#This Row],[良品]]-_018_600[[#This Row],[良品放行]]-_018_600[[#This Row],[不良待處理]]</f>
        <v>0</v>
      </c>
      <c r="S62" s="123">
        <f>SUMIFS(record[OK],record[製程料號],_018_600[[#This Row],[製令單號]],record[ProcessSN],S$1)</f>
        <v>139</v>
      </c>
      <c r="T62" s="117">
        <f>SUMIFS(record[NG],record[製程料號],_018_600[[#This Row],[製令單號]],record[ProcessSN],T$1)</f>
        <v>0</v>
      </c>
      <c r="U62" s="123">
        <f>_018_600[[#This Row],[良品放行]]-_018_600[[#This Row],[入庫]]</f>
        <v>0</v>
      </c>
      <c r="V62" s="123">
        <f>SUMIFS(record[OK],record[製程料號],_018_600[[#This Row],[製令單號]],record[ProcessSN],V$1)</f>
        <v>139</v>
      </c>
      <c r="W62" s="123">
        <f>_018_600[[#This Row],[入庫]]-_018_600[[#This Row],[已出貨]]</f>
        <v>0</v>
      </c>
      <c r="X62" s="137"/>
      <c r="Y62" s="123">
        <f>SUMIFS(record[OK],record[製程料號],_018_600[[#This Row],[製令單號]],record[ProcessSN],Y$1)</f>
        <v>139</v>
      </c>
      <c r="Z62" s="125">
        <f>_018_600[[#This Row],[不良待處理]]+_018_600[[#This Row],[不良品]]+_018_600[[#This Row],['#06
QC NG]]+_018_600[[#This Row],['#08委外NG]]</f>
        <v>6</v>
      </c>
      <c r="AA62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0.95862068965517244</v>
      </c>
    </row>
    <row r="63" spans="1:27" ht="30.75" x14ac:dyDescent="0.25">
      <c r="A63" s="120">
        <v>46048</v>
      </c>
      <c r="B63" s="121" t="s">
        <v>1510</v>
      </c>
      <c r="C63" s="122" t="s">
        <v>503</v>
      </c>
      <c r="D63" s="118">
        <v>159</v>
      </c>
      <c r="E63" s="123">
        <f>_018_600[[#This Row],[入料數]]-_018_600[[#This Row],['#08已委外數量]]</f>
        <v>0</v>
      </c>
      <c r="F63" s="123">
        <f>SUMIFS(record[OK],record[製程料號],_018_600[[#This Row],[製令單號]],record[ProcessSN],F$1)</f>
        <v>159</v>
      </c>
      <c r="G63" s="118" t="str">
        <f>IF(_018_600[[#This Row],['#08已委外數量]]&gt;0,VLOOKUP(G$1,record[[ProcessSN]:[廠商]],12,FALSE),"尚未委外")</f>
        <v>泉盛</v>
      </c>
      <c r="H63" s="123">
        <f>_018_600[[#This Row],['#08已委外數量]]-_018_600[[#This Row],['#08回
良品]]-_018_600[[#This Row],['#08委外NG]]</f>
        <v>0</v>
      </c>
      <c r="I63" s="123">
        <f>SUMIFS(record[OK],record[製程料號],_018_600[[#This Row],[製令單號]],record[ProcessSN],I$1)</f>
        <v>159</v>
      </c>
      <c r="J63" s="117">
        <f>SUMIFS(record[NG],record[製程料號],_018_600[[#This Row],[製令單號]],record[ProcessSN],J$1)</f>
        <v>0</v>
      </c>
      <c r="K63" s="124">
        <f>IFERROR(_018_600[[#This Row],['#08委外NG]]/_018_600[[#This Row],['#08已委外數量]],"")</f>
        <v>0</v>
      </c>
      <c r="L63" s="123">
        <f>_018_600[[#This Row],['#08回
良品]]-_018_600[[#This Row],['#06檢驗OK]]-_018_600[[#This Row],['#06
QC NG]]</f>
        <v>0</v>
      </c>
      <c r="M63" s="123">
        <f>SUMIFS(record[OK],record[製程料號],_018_600[[#This Row],[製令單號]],record[ProcessSN],M$1)</f>
        <v>159</v>
      </c>
      <c r="N63" s="117">
        <f>SUMIFS(record[NG],record[製程料號],_018_600[[#This Row],[製令單號]],record[ProcessSN],N$1)</f>
        <v>0</v>
      </c>
      <c r="O63" s="123">
        <f>_018_600[[#This Row],['#06檢驗OK]]-_018_600[[#This Row],[不良品]]-_018_600[[#This Row],[良品]]</f>
        <v>0</v>
      </c>
      <c r="P63" s="123">
        <f>SUMIFS(record[OK],record[製程料號],_018_600[[#This Row],[製令單號]],record[ProcessSN],P$1)</f>
        <v>159</v>
      </c>
      <c r="Q63" s="117">
        <f>SUMIFS(record[NG],record[製程料號],_018_600[[#This Row],[製令單號]],record[ProcessSN],Q$1)</f>
        <v>0</v>
      </c>
      <c r="R63" s="123">
        <f>_018_600[[#This Row],[良品]]-_018_600[[#This Row],[良品放行]]-_018_600[[#This Row],[不良待處理]]</f>
        <v>0</v>
      </c>
      <c r="S63" s="123">
        <f>SUMIFS(record[OK],record[製程料號],_018_600[[#This Row],[製令單號]],record[ProcessSN],S$1)</f>
        <v>159</v>
      </c>
      <c r="T63" s="117">
        <f>SUMIFS(record[NG],record[製程料號],_018_600[[#This Row],[製令單號]],record[ProcessSN],T$1)</f>
        <v>0</v>
      </c>
      <c r="U63" s="123">
        <f>_018_600[[#This Row],[良品放行]]-_018_600[[#This Row],[入庫]]</f>
        <v>0</v>
      </c>
      <c r="V63" s="123">
        <f>SUMIFS(record[OK],record[製程料號],_018_600[[#This Row],[製令單號]],record[ProcessSN],V$1)</f>
        <v>159</v>
      </c>
      <c r="W63" s="123">
        <f>_018_600[[#This Row],[入庫]]-_018_600[[#This Row],[已出貨]]</f>
        <v>0</v>
      </c>
      <c r="X63" s="137"/>
      <c r="Y63" s="123">
        <f>SUMIFS(record[OK],record[製程料號],_018_600[[#This Row],[製令單號]],record[ProcessSN],Y$1)</f>
        <v>159</v>
      </c>
      <c r="Z63" s="125">
        <f>_018_600[[#This Row],[不良待處理]]+_018_600[[#This Row],[不良品]]+_018_600[[#This Row],['#06
QC NG]]+_018_600[[#This Row],['#08委外NG]]</f>
        <v>0</v>
      </c>
      <c r="AA63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64" spans="1:27" ht="30.75" x14ac:dyDescent="0.25">
      <c r="A64" s="120">
        <v>46049</v>
      </c>
      <c r="B64" s="121" t="s">
        <v>1522</v>
      </c>
      <c r="C64" s="122" t="s">
        <v>503</v>
      </c>
      <c r="D64" s="118">
        <v>168</v>
      </c>
      <c r="E64" s="123">
        <f>_018_600[[#This Row],[入料數]]-_018_600[[#This Row],['#08已委外數量]]</f>
        <v>0</v>
      </c>
      <c r="F64" s="123">
        <f>SUMIFS(record[OK],record[製程料號],_018_600[[#This Row],[製令單號]],record[ProcessSN],F$1)</f>
        <v>168</v>
      </c>
      <c r="G64" s="118" t="str">
        <f>IF(_018_600[[#This Row],['#08已委外數量]]&gt;0,VLOOKUP(G$1,record[[ProcessSN]:[廠商]],12,FALSE),"尚未委外")</f>
        <v>泉盛</v>
      </c>
      <c r="H64" s="123">
        <f>_018_600[[#This Row],['#08已委外數量]]-_018_600[[#This Row],['#08回
良品]]-_018_600[[#This Row],['#08委外NG]]</f>
        <v>0</v>
      </c>
      <c r="I64" s="123">
        <f>SUMIFS(record[OK],record[製程料號],_018_600[[#This Row],[製令單號]],record[ProcessSN],I$1)</f>
        <v>157</v>
      </c>
      <c r="J64" s="117">
        <f>SUMIFS(record[NG],record[製程料號],_018_600[[#This Row],[製令單號]],record[ProcessSN],J$1)</f>
        <v>11</v>
      </c>
      <c r="K64" s="124">
        <f>IFERROR(_018_600[[#This Row],['#08委外NG]]/_018_600[[#This Row],['#08已委外數量]],"")</f>
        <v>6.5476190476190479E-2</v>
      </c>
      <c r="L64" s="123">
        <f>_018_600[[#This Row],['#08回
良品]]-_018_600[[#This Row],['#06檢驗OK]]-_018_600[[#This Row],['#06
QC NG]]</f>
        <v>0</v>
      </c>
      <c r="M64" s="123">
        <f>SUMIFS(record[OK],record[製程料號],_018_600[[#This Row],[製令單號]],record[ProcessSN],M$1)</f>
        <v>157</v>
      </c>
      <c r="N64" s="117">
        <f>SUMIFS(record[NG],record[製程料號],_018_600[[#This Row],[製令單號]],record[ProcessSN],N$1)</f>
        <v>0</v>
      </c>
      <c r="O64" s="123">
        <f>_018_600[[#This Row],['#06檢驗OK]]-_018_600[[#This Row],[不良品]]-_018_600[[#This Row],[良品]]</f>
        <v>0</v>
      </c>
      <c r="P64" s="123">
        <f>SUMIFS(record[OK],record[製程料號],_018_600[[#This Row],[製令單號]],record[ProcessSN],P$1)</f>
        <v>157</v>
      </c>
      <c r="Q64" s="117">
        <f>SUMIFS(record[NG],record[製程料號],_018_600[[#This Row],[製令單號]],record[ProcessSN],Q$1)</f>
        <v>0</v>
      </c>
      <c r="R64" s="123">
        <f>_018_600[[#This Row],[良品]]-_018_600[[#This Row],[良品放行]]-_018_600[[#This Row],[不良待處理]]</f>
        <v>0</v>
      </c>
      <c r="S64" s="123">
        <f>SUMIFS(record[OK],record[製程料號],_018_600[[#This Row],[製令單號]],record[ProcessSN],S$1)</f>
        <v>157</v>
      </c>
      <c r="T64" s="117">
        <f>SUMIFS(record[NG],record[製程料號],_018_600[[#This Row],[製令單號]],record[ProcessSN],T$1)</f>
        <v>0</v>
      </c>
      <c r="U64" s="123">
        <f>_018_600[[#This Row],[良品放行]]-_018_600[[#This Row],[入庫]]</f>
        <v>0</v>
      </c>
      <c r="V64" s="123">
        <f>SUMIFS(record[OK],record[製程料號],_018_600[[#This Row],[製令單號]],record[ProcessSN],V$1)</f>
        <v>157</v>
      </c>
      <c r="W64" s="123">
        <f>_018_600[[#This Row],[入庫]]-_018_600[[#This Row],[已出貨]]</f>
        <v>0</v>
      </c>
      <c r="X64" s="137"/>
      <c r="Y64" s="123">
        <f>SUMIFS(record[OK],record[製程料號],_018_600[[#This Row],[製令單號]],record[ProcessSN],Y$1)</f>
        <v>157</v>
      </c>
      <c r="Z64" s="125">
        <f>_018_600[[#This Row],[不良待處理]]+_018_600[[#This Row],[不良品]]+_018_600[[#This Row],['#06
QC NG]]+_018_600[[#This Row],['#08委外NG]]</f>
        <v>11</v>
      </c>
      <c r="AA64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0.93452380952380953</v>
      </c>
    </row>
    <row r="65" spans="1:27" ht="30.75" x14ac:dyDescent="0.25">
      <c r="A65" s="120">
        <v>46050</v>
      </c>
      <c r="B65" s="121" t="s">
        <v>1534</v>
      </c>
      <c r="C65" s="122" t="s">
        <v>503</v>
      </c>
      <c r="D65" s="118">
        <v>889</v>
      </c>
      <c r="E65" s="123">
        <f>_018_600[[#This Row],[入料數]]-_018_600[[#This Row],['#08已委外數量]]</f>
        <v>0</v>
      </c>
      <c r="F65" s="123">
        <f>SUMIFS(record[OK],record[製程料號],_018_600[[#This Row],[製令單號]],record[ProcessSN],F$1)</f>
        <v>889</v>
      </c>
      <c r="G65" s="118" t="str">
        <f>IF(_018_600[[#This Row],['#08已委外數量]]&gt;0,VLOOKUP(G$1,record[[ProcessSN]:[廠商]],12,FALSE),"尚未委外")</f>
        <v>泉盛</v>
      </c>
      <c r="H65" s="123">
        <f>_018_600[[#This Row],['#08已委外數量]]-_018_600[[#This Row],['#08回
良品]]-_018_600[[#This Row],['#08委外NG]]</f>
        <v>0</v>
      </c>
      <c r="I65" s="123">
        <f>SUMIFS(record[OK],record[製程料號],_018_600[[#This Row],[製令單號]],record[ProcessSN],I$1)</f>
        <v>868</v>
      </c>
      <c r="J65" s="117">
        <f>SUMIFS(record[NG],record[製程料號],_018_600[[#This Row],[製令單號]],record[ProcessSN],J$1)</f>
        <v>21</v>
      </c>
      <c r="K65" s="124">
        <f>IFERROR(_018_600[[#This Row],['#08委外NG]]/_018_600[[#This Row],['#08已委外數量]],"")</f>
        <v>2.3622047244094488E-2</v>
      </c>
      <c r="L65" s="123">
        <f>_018_600[[#This Row],['#08回
良品]]-_018_600[[#This Row],['#06檢驗OK]]-_018_600[[#This Row],['#06
QC NG]]</f>
        <v>0</v>
      </c>
      <c r="M65" s="123">
        <f>SUMIFS(record[OK],record[製程料號],_018_600[[#This Row],[製令單號]],record[ProcessSN],M$1)</f>
        <v>868</v>
      </c>
      <c r="N65" s="117">
        <f>SUMIFS(record[NG],record[製程料號],_018_600[[#This Row],[製令單號]],record[ProcessSN],N$1)</f>
        <v>0</v>
      </c>
      <c r="O65" s="123">
        <f>_018_600[[#This Row],['#06檢驗OK]]-_018_600[[#This Row],[不良品]]-_018_600[[#This Row],[良品]]</f>
        <v>0</v>
      </c>
      <c r="P65" s="123">
        <f>SUMIFS(record[OK],record[製程料號],_018_600[[#This Row],[製令單號]],record[ProcessSN],P$1)</f>
        <v>868</v>
      </c>
      <c r="Q65" s="117">
        <f>SUMIFS(record[NG],record[製程料號],_018_600[[#This Row],[製令單號]],record[ProcessSN],Q$1)</f>
        <v>0</v>
      </c>
      <c r="R65" s="123">
        <f>_018_600[[#This Row],[良品]]-_018_600[[#This Row],[良品放行]]-_018_600[[#This Row],[不良待處理]]</f>
        <v>0</v>
      </c>
      <c r="S65" s="123">
        <f>SUMIFS(record[OK],record[製程料號],_018_600[[#This Row],[製令單號]],record[ProcessSN],S$1)</f>
        <v>868</v>
      </c>
      <c r="T65" s="117">
        <f>SUMIFS(record[NG],record[製程料號],_018_600[[#This Row],[製令單號]],record[ProcessSN],T$1)</f>
        <v>0</v>
      </c>
      <c r="U65" s="123">
        <f>_018_600[[#This Row],[良品放行]]-_018_600[[#This Row],[入庫]]</f>
        <v>0</v>
      </c>
      <c r="V65" s="123">
        <f>SUMIFS(record[OK],record[製程料號],_018_600[[#This Row],[製令單號]],record[ProcessSN],V$1)</f>
        <v>868</v>
      </c>
      <c r="W65" s="123">
        <f>_018_600[[#This Row],[入庫]]-_018_600[[#This Row],[已出貨]]</f>
        <v>0</v>
      </c>
      <c r="X65" s="137"/>
      <c r="Y65" s="123">
        <f>SUMIFS(record[OK],record[製程料號],_018_600[[#This Row],[製令單號]],record[ProcessSN],Y$1)</f>
        <v>868</v>
      </c>
      <c r="Z65" s="125">
        <f>_018_600[[#This Row],[不良待處理]]+_018_600[[#This Row],[不良品]]+_018_600[[#This Row],['#06
QC NG]]+_018_600[[#This Row],['#08委外NG]]</f>
        <v>21</v>
      </c>
      <c r="AA65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0.97637795275590555</v>
      </c>
    </row>
    <row r="66" spans="1:27" ht="30.75" x14ac:dyDescent="0.25">
      <c r="A66" s="120">
        <v>46056</v>
      </c>
      <c r="B66" s="121" t="s">
        <v>1553</v>
      </c>
      <c r="C66" s="122" t="s">
        <v>503</v>
      </c>
      <c r="D66" s="118">
        <v>324</v>
      </c>
      <c r="E66" s="123">
        <f>_018_600[[#This Row],[入料數]]-_018_600[[#This Row],['#08已委外數量]]</f>
        <v>0</v>
      </c>
      <c r="F66" s="123">
        <f>SUMIFS(record[OK],record[製程料號],_018_600[[#This Row],[製令單號]],record[ProcessSN],F$1)</f>
        <v>324</v>
      </c>
      <c r="G66" s="118" t="str">
        <f>IF(_018_600[[#This Row],['#08已委外數量]]&gt;0,VLOOKUP(G$1,record[[ProcessSN]:[廠商]],12,FALSE),"尚未委外")</f>
        <v>泉盛</v>
      </c>
      <c r="H66" s="123">
        <f>_018_600[[#This Row],['#08已委外數量]]-_018_600[[#This Row],['#08回
良品]]-_018_600[[#This Row],['#08委外NG]]</f>
        <v>0</v>
      </c>
      <c r="I66" s="123">
        <f>SUMIFS(record[OK],record[製程料號],_018_600[[#This Row],[製令單號]],record[ProcessSN],I$1)</f>
        <v>292</v>
      </c>
      <c r="J66" s="117">
        <f>SUMIFS(record[NG],record[製程料號],_018_600[[#This Row],[製令單號]],record[ProcessSN],J$1)</f>
        <v>32</v>
      </c>
      <c r="K66" s="124">
        <f>IFERROR(_018_600[[#This Row],['#08委外NG]]/_018_600[[#This Row],['#08已委外數量]],"")</f>
        <v>9.8765432098765427E-2</v>
      </c>
      <c r="L66" s="123">
        <f>_018_600[[#This Row],['#08回
良品]]-_018_600[[#This Row],['#06檢驗OK]]-_018_600[[#This Row],['#06
QC NG]]</f>
        <v>0</v>
      </c>
      <c r="M66" s="123">
        <f>SUMIFS(record[OK],record[製程料號],_018_600[[#This Row],[製令單號]],record[ProcessSN],M$1)</f>
        <v>292</v>
      </c>
      <c r="N66" s="117">
        <f>SUMIFS(record[NG],record[製程料號],_018_600[[#This Row],[製令單號]],record[ProcessSN],N$1)</f>
        <v>0</v>
      </c>
      <c r="O66" s="123">
        <f>_018_600[[#This Row],['#06檢驗OK]]-_018_600[[#This Row],[不良品]]-_018_600[[#This Row],[良品]]</f>
        <v>0</v>
      </c>
      <c r="P66" s="123">
        <f>SUMIFS(record[OK],record[製程料號],_018_600[[#This Row],[製令單號]],record[ProcessSN],P$1)</f>
        <v>292</v>
      </c>
      <c r="Q66" s="117">
        <f>SUMIFS(record[NG],record[製程料號],_018_600[[#This Row],[製令單號]],record[ProcessSN],Q$1)</f>
        <v>0</v>
      </c>
      <c r="R66" s="123">
        <f>_018_600[[#This Row],[良品]]-_018_600[[#This Row],[良品放行]]-_018_600[[#This Row],[不良待處理]]</f>
        <v>0</v>
      </c>
      <c r="S66" s="123">
        <f>SUMIFS(record[OK],record[製程料號],_018_600[[#This Row],[製令單號]],record[ProcessSN],S$1)</f>
        <v>292</v>
      </c>
      <c r="T66" s="117">
        <f>SUMIFS(record[NG],record[製程料號],_018_600[[#This Row],[製令單號]],record[ProcessSN],T$1)</f>
        <v>0</v>
      </c>
      <c r="U66" s="123">
        <f>_018_600[[#This Row],[良品放行]]-_018_600[[#This Row],[入庫]]</f>
        <v>0</v>
      </c>
      <c r="V66" s="123">
        <f>SUMIFS(record[OK],record[製程料號],_018_600[[#This Row],[製令單號]],record[ProcessSN],V$1)</f>
        <v>292</v>
      </c>
      <c r="W66" s="123">
        <f>_018_600[[#This Row],[入庫]]-_018_600[[#This Row],[已出貨]]</f>
        <v>0</v>
      </c>
      <c r="X66" s="137"/>
      <c r="Y66" s="123">
        <f>SUMIFS(record[OK],record[製程料號],_018_600[[#This Row],[製令單號]],record[ProcessSN],Y$1)</f>
        <v>292</v>
      </c>
      <c r="Z66" s="125">
        <f>_018_600[[#This Row],[不良待處理]]+_018_600[[#This Row],[不良品]]+_018_600[[#This Row],['#06
QC NG]]+_018_600[[#This Row],['#08委外NG]]</f>
        <v>32</v>
      </c>
      <c r="AA66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0.90123456790123457</v>
      </c>
    </row>
    <row r="67" spans="1:27" ht="30.75" x14ac:dyDescent="0.25">
      <c r="A67" s="120">
        <v>46057</v>
      </c>
      <c r="B67" s="121" t="s">
        <v>1557</v>
      </c>
      <c r="C67" s="122" t="s">
        <v>503</v>
      </c>
      <c r="D67" s="118">
        <v>372</v>
      </c>
      <c r="E67" s="123">
        <f>_018_600[[#This Row],[入料數]]-_018_600[[#This Row],['#08已委外數量]]</f>
        <v>0</v>
      </c>
      <c r="F67" s="123">
        <f>SUMIFS(record[OK],record[製程料號],_018_600[[#This Row],[製令單號]],record[ProcessSN],F$1)</f>
        <v>372</v>
      </c>
      <c r="G67" s="118" t="str">
        <f>IF(_018_600[[#This Row],['#08已委外數量]]&gt;0,VLOOKUP(G$1,record[[ProcessSN]:[廠商]],12,FALSE),"尚未委外")</f>
        <v>泉盛</v>
      </c>
      <c r="H67" s="123">
        <f>_018_600[[#This Row],['#08已委外數量]]-_018_600[[#This Row],['#08回
良品]]-_018_600[[#This Row],['#08委外NG]]</f>
        <v>0</v>
      </c>
      <c r="I67" s="123">
        <f>SUMIFS(record[OK],record[製程料號],_018_600[[#This Row],[製令單號]],record[ProcessSN],I$1)</f>
        <v>345</v>
      </c>
      <c r="J67" s="117">
        <f>SUMIFS(record[NG],record[製程料號],_018_600[[#This Row],[製令單號]],record[ProcessSN],J$1)</f>
        <v>27</v>
      </c>
      <c r="K67" s="124">
        <f>IFERROR(_018_600[[#This Row],['#08委外NG]]/_018_600[[#This Row],['#08已委外數量]],"")</f>
        <v>7.2580645161290328E-2</v>
      </c>
      <c r="L67" s="123">
        <f>_018_600[[#This Row],['#08回
良品]]-_018_600[[#This Row],['#06檢驗OK]]-_018_600[[#This Row],['#06
QC NG]]</f>
        <v>0</v>
      </c>
      <c r="M67" s="123">
        <f>SUMIFS(record[OK],record[製程料號],_018_600[[#This Row],[製令單號]],record[ProcessSN],M$1)</f>
        <v>345</v>
      </c>
      <c r="N67" s="117">
        <f>SUMIFS(record[NG],record[製程料號],_018_600[[#This Row],[製令單號]],record[ProcessSN],N$1)</f>
        <v>0</v>
      </c>
      <c r="O67" s="123">
        <f>_018_600[[#This Row],['#06檢驗OK]]-_018_600[[#This Row],[不良品]]-_018_600[[#This Row],[良品]]</f>
        <v>0</v>
      </c>
      <c r="P67" s="123">
        <f>SUMIFS(record[OK],record[製程料號],_018_600[[#This Row],[製令單號]],record[ProcessSN],P$1)</f>
        <v>345</v>
      </c>
      <c r="Q67" s="117">
        <f>SUMIFS(record[NG],record[製程料號],_018_600[[#This Row],[製令單號]],record[ProcessSN],Q$1)</f>
        <v>0</v>
      </c>
      <c r="R67" s="123">
        <f>_018_600[[#This Row],[良品]]-_018_600[[#This Row],[良品放行]]-_018_600[[#This Row],[不良待處理]]</f>
        <v>0</v>
      </c>
      <c r="S67" s="123">
        <f>SUMIFS(record[OK],record[製程料號],_018_600[[#This Row],[製令單號]],record[ProcessSN],S$1)</f>
        <v>345</v>
      </c>
      <c r="T67" s="117">
        <f>SUMIFS(record[NG],record[製程料號],_018_600[[#This Row],[製令單號]],record[ProcessSN],T$1)</f>
        <v>0</v>
      </c>
      <c r="U67" s="123">
        <f>_018_600[[#This Row],[良品放行]]-_018_600[[#This Row],[入庫]]</f>
        <v>0</v>
      </c>
      <c r="V67" s="123">
        <f>SUMIFS(record[OK],record[製程料號],_018_600[[#This Row],[製令單號]],record[ProcessSN],V$1)</f>
        <v>345</v>
      </c>
      <c r="W67" s="123">
        <f>_018_600[[#This Row],[入庫]]-_018_600[[#This Row],[已出貨]]</f>
        <v>0</v>
      </c>
      <c r="X67" s="137"/>
      <c r="Y67" s="123">
        <f>SUMIFS(record[OK],record[製程料號],_018_600[[#This Row],[製令單號]],record[ProcessSN],Y$1)</f>
        <v>345</v>
      </c>
      <c r="Z67" s="125">
        <f>_018_600[[#This Row],[不良待處理]]+_018_600[[#This Row],[不良品]]+_018_600[[#This Row],['#06
QC NG]]+_018_600[[#This Row],['#08委外NG]]</f>
        <v>27</v>
      </c>
      <c r="AA67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0.92741935483870963</v>
      </c>
    </row>
    <row r="68" spans="1:27" ht="30.75" x14ac:dyDescent="0.25">
      <c r="A68" s="120">
        <v>46058</v>
      </c>
      <c r="B68" s="121" t="s">
        <v>1571</v>
      </c>
      <c r="C68" s="122" t="s">
        <v>503</v>
      </c>
      <c r="D68" s="118">
        <v>304</v>
      </c>
      <c r="E68" s="123">
        <f>_018_600[[#This Row],[入料數]]-_018_600[[#This Row],['#08已委外數量]]</f>
        <v>0</v>
      </c>
      <c r="F68" s="123">
        <f>SUMIFS(record[OK],record[製程料號],_018_600[[#This Row],[製令單號]],record[ProcessSN],F$1)</f>
        <v>304</v>
      </c>
      <c r="G68" s="118" t="str">
        <f>IF(_018_600[[#This Row],['#08已委外數量]]&gt;0,VLOOKUP(G$1,record[[ProcessSN]:[廠商]],12,FALSE),"尚未委外")</f>
        <v>泉盛</v>
      </c>
      <c r="H68" s="123">
        <f>_018_600[[#This Row],['#08已委外數量]]-_018_600[[#This Row],['#08回
良品]]-_018_600[[#This Row],['#08委外NG]]</f>
        <v>0</v>
      </c>
      <c r="I68" s="123">
        <f>SUMIFS(record[OK],record[製程料號],_018_600[[#This Row],[製令單號]],record[ProcessSN],I$1)</f>
        <v>288</v>
      </c>
      <c r="J68" s="117">
        <f>SUMIFS(record[NG],record[製程料號],_018_600[[#This Row],[製令單號]],record[ProcessSN],J$1)</f>
        <v>16</v>
      </c>
      <c r="K68" s="124">
        <f>IFERROR(_018_600[[#This Row],['#08委外NG]]/_018_600[[#This Row],['#08已委外數量]],"")</f>
        <v>5.2631578947368418E-2</v>
      </c>
      <c r="L68" s="123">
        <f>_018_600[[#This Row],['#08回
良品]]-_018_600[[#This Row],['#06檢驗OK]]-_018_600[[#This Row],['#06
QC NG]]</f>
        <v>0</v>
      </c>
      <c r="M68" s="123">
        <f>SUMIFS(record[OK],record[製程料號],_018_600[[#This Row],[製令單號]],record[ProcessSN],M$1)</f>
        <v>288</v>
      </c>
      <c r="N68" s="117">
        <f>SUMIFS(record[NG],record[製程料號],_018_600[[#This Row],[製令單號]],record[ProcessSN],N$1)</f>
        <v>0</v>
      </c>
      <c r="O68" s="123">
        <f>_018_600[[#This Row],['#06檢驗OK]]-_018_600[[#This Row],[不良品]]-_018_600[[#This Row],[良品]]</f>
        <v>0</v>
      </c>
      <c r="P68" s="123">
        <f>SUMIFS(record[OK],record[製程料號],_018_600[[#This Row],[製令單號]],record[ProcessSN],P$1)</f>
        <v>288</v>
      </c>
      <c r="Q68" s="117">
        <f>SUMIFS(record[NG],record[製程料號],_018_600[[#This Row],[製令單號]],record[ProcessSN],Q$1)</f>
        <v>0</v>
      </c>
      <c r="R68" s="123">
        <f>_018_600[[#This Row],[良品]]-_018_600[[#This Row],[良品放行]]-_018_600[[#This Row],[不良待處理]]</f>
        <v>0</v>
      </c>
      <c r="S68" s="123">
        <f>SUMIFS(record[OK],record[製程料號],_018_600[[#This Row],[製令單號]],record[ProcessSN],S$1)</f>
        <v>288</v>
      </c>
      <c r="T68" s="117">
        <f>SUMIFS(record[NG],record[製程料號],_018_600[[#This Row],[製令單號]],record[ProcessSN],T$1)</f>
        <v>0</v>
      </c>
      <c r="U68" s="123">
        <f>_018_600[[#This Row],[良品放行]]-_018_600[[#This Row],[入庫]]</f>
        <v>0</v>
      </c>
      <c r="V68" s="123">
        <f>SUMIFS(record[OK],record[製程料號],_018_600[[#This Row],[製令單號]],record[ProcessSN],V$1)</f>
        <v>288</v>
      </c>
      <c r="W68" s="123">
        <f>_018_600[[#This Row],[入庫]]-_018_600[[#This Row],[已出貨]]</f>
        <v>0</v>
      </c>
      <c r="X68" s="137"/>
      <c r="Y68" s="123">
        <f>SUMIFS(record[OK],record[製程料號],_018_600[[#This Row],[製令單號]],record[ProcessSN],Y$1)</f>
        <v>288</v>
      </c>
      <c r="Z68" s="125">
        <f>_018_600[[#This Row],[不良待處理]]+_018_600[[#This Row],[不良品]]+_018_600[[#This Row],['#06
QC NG]]+_018_600[[#This Row],['#08委外NG]]</f>
        <v>16</v>
      </c>
      <c r="AA68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0.94736842105263153</v>
      </c>
    </row>
    <row r="69" spans="1:27" ht="30.75" x14ac:dyDescent="0.25">
      <c r="A69" s="120">
        <v>46059</v>
      </c>
      <c r="B69" s="121" t="s">
        <v>1574</v>
      </c>
      <c r="C69" s="122" t="s">
        <v>503</v>
      </c>
      <c r="D69" s="118">
        <v>243</v>
      </c>
      <c r="E69" s="123">
        <f>_018_600[[#This Row],[入料數]]-_018_600[[#This Row],['#08已委外數量]]</f>
        <v>0</v>
      </c>
      <c r="F69" s="123">
        <f>SUMIFS(record[OK],record[製程料號],_018_600[[#This Row],[製令單號]],record[ProcessSN],F$1)</f>
        <v>243</v>
      </c>
      <c r="G69" s="118" t="str">
        <f>IF(_018_600[[#This Row],['#08已委外數量]]&gt;0,VLOOKUP(G$1,record[[ProcessSN]:[廠商]],12,FALSE),"尚未委外")</f>
        <v>泉盛</v>
      </c>
      <c r="H69" s="123">
        <f>_018_600[[#This Row],['#08已委外數量]]-_018_600[[#This Row],['#08回
良品]]-_018_600[[#This Row],['#08委外NG]]</f>
        <v>0</v>
      </c>
      <c r="I69" s="123">
        <f>SUMIFS(record[OK],record[製程料號],_018_600[[#This Row],[製令單號]],record[ProcessSN],I$1)</f>
        <v>225</v>
      </c>
      <c r="J69" s="117">
        <f>SUMIFS(record[NG],record[製程料號],_018_600[[#This Row],[製令單號]],record[ProcessSN],J$1)</f>
        <v>18</v>
      </c>
      <c r="K69" s="124">
        <f>IFERROR(_018_600[[#This Row],['#08委外NG]]/_018_600[[#This Row],['#08已委外數量]],"")</f>
        <v>7.407407407407407E-2</v>
      </c>
      <c r="L69" s="123">
        <f>_018_600[[#This Row],['#08回
良品]]-_018_600[[#This Row],['#06檢驗OK]]-_018_600[[#This Row],['#06
QC NG]]</f>
        <v>0</v>
      </c>
      <c r="M69" s="123">
        <f>SUMIFS(record[OK],record[製程料號],_018_600[[#This Row],[製令單號]],record[ProcessSN],M$1)</f>
        <v>225</v>
      </c>
      <c r="N69" s="117">
        <f>SUMIFS(record[NG],record[製程料號],_018_600[[#This Row],[製令單號]],record[ProcessSN],N$1)</f>
        <v>0</v>
      </c>
      <c r="O69" s="123">
        <f>_018_600[[#This Row],['#06檢驗OK]]-_018_600[[#This Row],[不良品]]-_018_600[[#This Row],[良品]]</f>
        <v>0</v>
      </c>
      <c r="P69" s="123">
        <f>SUMIFS(record[OK],record[製程料號],_018_600[[#This Row],[製令單號]],record[ProcessSN],P$1)</f>
        <v>225</v>
      </c>
      <c r="Q69" s="117">
        <f>SUMIFS(record[NG],record[製程料號],_018_600[[#This Row],[製令單號]],record[ProcessSN],Q$1)</f>
        <v>0</v>
      </c>
      <c r="R69" s="123">
        <f>_018_600[[#This Row],[良品]]-_018_600[[#This Row],[良品放行]]-_018_600[[#This Row],[不良待處理]]</f>
        <v>0</v>
      </c>
      <c r="S69" s="123">
        <f>SUMIFS(record[OK],record[製程料號],_018_600[[#This Row],[製令單號]],record[ProcessSN],S$1)</f>
        <v>225</v>
      </c>
      <c r="T69" s="117">
        <f>SUMIFS(record[NG],record[製程料號],_018_600[[#This Row],[製令單號]],record[ProcessSN],T$1)</f>
        <v>0</v>
      </c>
      <c r="U69" s="123">
        <f>_018_600[[#This Row],[良品放行]]-_018_600[[#This Row],[入庫]]</f>
        <v>0</v>
      </c>
      <c r="V69" s="123">
        <f>SUMIFS(record[OK],record[製程料號],_018_600[[#This Row],[製令單號]],record[ProcessSN],V$1)</f>
        <v>225</v>
      </c>
      <c r="W69" s="123">
        <f>_018_600[[#This Row],[入庫]]-_018_600[[#This Row],[已出貨]]</f>
        <v>0</v>
      </c>
      <c r="X69" s="137"/>
      <c r="Y69" s="123">
        <f>SUMIFS(record[OK],record[製程料號],_018_600[[#This Row],[製令單號]],record[ProcessSN],Y$1)</f>
        <v>225</v>
      </c>
      <c r="Z69" s="125">
        <f>_018_600[[#This Row],[不良待處理]]+_018_600[[#This Row],[不良品]]+_018_600[[#This Row],['#06
QC NG]]+_018_600[[#This Row],['#08委外NG]]</f>
        <v>18</v>
      </c>
      <c r="AA69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0.92592592592592593</v>
      </c>
    </row>
    <row r="70" spans="1:27" ht="30.75" x14ac:dyDescent="0.25">
      <c r="A70" s="120">
        <v>46062</v>
      </c>
      <c r="B70" s="121" t="s">
        <v>1578</v>
      </c>
      <c r="C70" s="122" t="s">
        <v>503</v>
      </c>
      <c r="D70" s="118">
        <v>165</v>
      </c>
      <c r="E70" s="123">
        <f>_018_600[[#This Row],[入料數]]-_018_600[[#This Row],['#08已委外數量]]</f>
        <v>0</v>
      </c>
      <c r="F70" s="123">
        <f>SUMIFS(record[OK],record[製程料號],_018_600[[#This Row],[製令單號]],record[ProcessSN],F$1)</f>
        <v>165</v>
      </c>
      <c r="G70" s="118" t="str">
        <f>IF(_018_600[[#This Row],['#08已委外數量]]&gt;0,VLOOKUP(G$1,record[[ProcessSN]:[廠商]],12,FALSE),"尚未委外")</f>
        <v>泉盛</v>
      </c>
      <c r="H70" s="123">
        <f>_018_600[[#This Row],['#08已委外數量]]-_018_600[[#This Row],['#08回
良品]]-_018_600[[#This Row],['#08委外NG]]</f>
        <v>0</v>
      </c>
      <c r="I70" s="123">
        <f>SUMIFS(record[OK],record[製程料號],_018_600[[#This Row],[製令單號]],record[ProcessSN],I$1)</f>
        <v>165</v>
      </c>
      <c r="J70" s="117">
        <f>SUMIFS(record[NG],record[製程料號],_018_600[[#This Row],[製令單號]],record[ProcessSN],J$1)</f>
        <v>0</v>
      </c>
      <c r="K70" s="124">
        <f>IFERROR(_018_600[[#This Row],['#08委外NG]]/_018_600[[#This Row],['#08已委外數量]],"")</f>
        <v>0</v>
      </c>
      <c r="L70" s="123">
        <f>_018_600[[#This Row],['#08回
良品]]-_018_600[[#This Row],['#06檢驗OK]]-_018_600[[#This Row],['#06
QC NG]]</f>
        <v>0</v>
      </c>
      <c r="M70" s="123">
        <f>SUMIFS(record[OK],record[製程料號],_018_600[[#This Row],[製令單號]],record[ProcessSN],M$1)</f>
        <v>165</v>
      </c>
      <c r="N70" s="117">
        <f>SUMIFS(record[NG],record[製程料號],_018_600[[#This Row],[製令單號]],record[ProcessSN],N$1)</f>
        <v>0</v>
      </c>
      <c r="O70" s="123">
        <f>_018_600[[#This Row],['#06檢驗OK]]-_018_600[[#This Row],[不良品]]-_018_600[[#This Row],[良品]]</f>
        <v>0</v>
      </c>
      <c r="P70" s="123">
        <f>SUMIFS(record[OK],record[製程料號],_018_600[[#This Row],[製令單號]],record[ProcessSN],P$1)</f>
        <v>165</v>
      </c>
      <c r="Q70" s="117">
        <f>SUMIFS(record[NG],record[製程料號],_018_600[[#This Row],[製令單號]],record[ProcessSN],Q$1)</f>
        <v>0</v>
      </c>
      <c r="R70" s="123">
        <f>_018_600[[#This Row],[良品]]-_018_600[[#This Row],[良品放行]]-_018_600[[#This Row],[不良待處理]]</f>
        <v>0</v>
      </c>
      <c r="S70" s="123">
        <f>SUMIFS(record[OK],record[製程料號],_018_600[[#This Row],[製令單號]],record[ProcessSN],S$1)</f>
        <v>165</v>
      </c>
      <c r="T70" s="117">
        <f>SUMIFS(record[NG],record[製程料號],_018_600[[#This Row],[製令單號]],record[ProcessSN],T$1)</f>
        <v>0</v>
      </c>
      <c r="U70" s="123">
        <f>_018_600[[#This Row],[良品放行]]-_018_600[[#This Row],[入庫]]</f>
        <v>0</v>
      </c>
      <c r="V70" s="123">
        <f>SUMIFS(record[OK],record[製程料號],_018_600[[#This Row],[製令單號]],record[ProcessSN],V$1)</f>
        <v>165</v>
      </c>
      <c r="W70" s="123">
        <f>_018_600[[#This Row],[入庫]]-_018_600[[#This Row],[已出貨]]</f>
        <v>0</v>
      </c>
      <c r="X70" s="137"/>
      <c r="Y70" s="123">
        <f>SUMIFS(record[OK],record[製程料號],_018_600[[#This Row],[製令單號]],record[ProcessSN],Y$1)</f>
        <v>165</v>
      </c>
      <c r="Z70" s="125">
        <f>_018_600[[#This Row],[不良待處理]]+_018_600[[#This Row],[不良品]]+_018_600[[#This Row],['#06
QC NG]]+_018_600[[#This Row],['#08委外NG]]</f>
        <v>0</v>
      </c>
      <c r="AA70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71" spans="1:27" ht="30.75" x14ac:dyDescent="0.25">
      <c r="A71" s="120">
        <v>46065</v>
      </c>
      <c r="B71" s="121" t="s">
        <v>1585</v>
      </c>
      <c r="C71" s="122" t="s">
        <v>503</v>
      </c>
      <c r="D71" s="118">
        <v>528</v>
      </c>
      <c r="E71" s="123">
        <f>_018_600[[#This Row],[入料數]]-_018_600[[#This Row],['#08已委外數量]]</f>
        <v>0</v>
      </c>
      <c r="F71" s="123">
        <f>SUMIFS(record[OK],record[製程料號],_018_600[[#This Row],[製令單號]],record[ProcessSN],F$1)</f>
        <v>528</v>
      </c>
      <c r="G71" s="118" t="str">
        <f>IF(_018_600[[#This Row],['#08已委外數量]]&gt;0,VLOOKUP(G$1,record[[ProcessSN]:[廠商]],12,FALSE),"尚未委外")</f>
        <v>泉盛</v>
      </c>
      <c r="H71" s="123">
        <f>_018_600[[#This Row],['#08已委外數量]]-_018_600[[#This Row],['#08回
良品]]-_018_600[[#This Row],['#08委外NG]]</f>
        <v>0</v>
      </c>
      <c r="I71" s="123">
        <f>SUMIFS(record[OK],record[製程料號],_018_600[[#This Row],[製令單號]],record[ProcessSN],I$1)</f>
        <v>517</v>
      </c>
      <c r="J71" s="117">
        <f>SUMIFS(record[NG],record[製程料號],_018_600[[#This Row],[製令單號]],record[ProcessSN],J$1)</f>
        <v>11</v>
      </c>
      <c r="K71" s="124">
        <f>IFERROR(_018_600[[#This Row],['#08委外NG]]/_018_600[[#This Row],['#08已委外數量]],"")</f>
        <v>2.0833333333333332E-2</v>
      </c>
      <c r="L71" s="123">
        <f>_018_600[[#This Row],['#08回
良品]]-_018_600[[#This Row],['#06檢驗OK]]-_018_600[[#This Row],['#06
QC NG]]</f>
        <v>0</v>
      </c>
      <c r="M71" s="123">
        <f>SUMIFS(record[OK],record[製程料號],_018_600[[#This Row],[製令單號]],record[ProcessSN],M$1)</f>
        <v>517</v>
      </c>
      <c r="N71" s="117">
        <f>SUMIFS(record[NG],record[製程料號],_018_600[[#This Row],[製令單號]],record[ProcessSN],N$1)</f>
        <v>0</v>
      </c>
      <c r="O71" s="123">
        <f>_018_600[[#This Row],['#06檢驗OK]]-_018_600[[#This Row],[不良品]]-_018_600[[#This Row],[良品]]</f>
        <v>0</v>
      </c>
      <c r="P71" s="123">
        <f>SUMIFS(record[OK],record[製程料號],_018_600[[#This Row],[製令單號]],record[ProcessSN],P$1)</f>
        <v>517</v>
      </c>
      <c r="Q71" s="117">
        <f>SUMIFS(record[NG],record[製程料號],_018_600[[#This Row],[製令單號]],record[ProcessSN],Q$1)</f>
        <v>0</v>
      </c>
      <c r="R71" s="123">
        <f>_018_600[[#This Row],[良品]]-_018_600[[#This Row],[良品放行]]-_018_600[[#This Row],[不良待處理]]</f>
        <v>0</v>
      </c>
      <c r="S71" s="123">
        <f>SUMIFS(record[OK],record[製程料號],_018_600[[#This Row],[製令單號]],record[ProcessSN],S$1)</f>
        <v>517</v>
      </c>
      <c r="T71" s="117">
        <f>SUMIFS(record[NG],record[製程料號],_018_600[[#This Row],[製令單號]],record[ProcessSN],T$1)</f>
        <v>0</v>
      </c>
      <c r="U71" s="123">
        <f>_018_600[[#This Row],[良品放行]]-_018_600[[#This Row],[入庫]]</f>
        <v>0</v>
      </c>
      <c r="V71" s="123">
        <f>SUMIFS(record[OK],record[製程料號],_018_600[[#This Row],[製令單號]],record[ProcessSN],V$1)</f>
        <v>517</v>
      </c>
      <c r="W71" s="123">
        <f>_018_600[[#This Row],[入庫]]-_018_600[[#This Row],[已出貨]]</f>
        <v>0</v>
      </c>
      <c r="X71" s="137"/>
      <c r="Y71" s="123">
        <f>SUMIFS(record[OK],record[製程料號],_018_600[[#This Row],[製令單號]],record[ProcessSN],Y$1)</f>
        <v>517</v>
      </c>
      <c r="Z71" s="125">
        <f>_018_600[[#This Row],[不良待處理]]+_018_600[[#This Row],[不良品]]+_018_600[[#This Row],['#06
QC NG]]+_018_600[[#This Row],['#08委外NG]]</f>
        <v>11</v>
      </c>
      <c r="AA71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0.97916666666666663</v>
      </c>
    </row>
    <row r="72" spans="1:27" ht="30.75" x14ac:dyDescent="0.25">
      <c r="A72" s="120">
        <v>46079</v>
      </c>
      <c r="B72" s="121" t="s">
        <v>1593</v>
      </c>
      <c r="C72" s="122" t="s">
        <v>503</v>
      </c>
      <c r="D72" s="118">
        <v>379</v>
      </c>
      <c r="E72" s="123">
        <f>_018_600[[#This Row],[入料數]]-_018_600[[#This Row],['#08已委外數量]]</f>
        <v>0</v>
      </c>
      <c r="F72" s="123">
        <f>SUMIFS(record[OK],record[製程料號],_018_600[[#This Row],[製令單號]],record[ProcessSN],F$1)</f>
        <v>379</v>
      </c>
      <c r="G72" s="118" t="str">
        <f>IF(_018_600[[#This Row],['#08已委外數量]]&gt;0,VLOOKUP(G$1,record[[ProcessSN]:[廠商]],12,FALSE),"尚未委外")</f>
        <v>泉盛</v>
      </c>
      <c r="H72" s="123">
        <f>_018_600[[#This Row],['#08已委外數量]]-_018_600[[#This Row],['#08回
良品]]-_018_600[[#This Row],['#08委外NG]]</f>
        <v>0</v>
      </c>
      <c r="I72" s="123">
        <f>SUMIFS(record[OK],record[製程料號],_018_600[[#This Row],[製令單號]],record[ProcessSN],I$1)</f>
        <v>370</v>
      </c>
      <c r="J72" s="117">
        <f>SUMIFS(record[NG],record[製程料號],_018_600[[#This Row],[製令單號]],record[ProcessSN],J$1)</f>
        <v>9</v>
      </c>
      <c r="K72" s="124">
        <f>IFERROR(_018_600[[#This Row],['#08委外NG]]/_018_600[[#This Row],['#08已委外數量]],"")</f>
        <v>2.3746701846965697E-2</v>
      </c>
      <c r="L72" s="123">
        <f>_018_600[[#This Row],['#08回
良品]]-_018_600[[#This Row],['#06檢驗OK]]-_018_600[[#This Row],['#06
QC NG]]</f>
        <v>0</v>
      </c>
      <c r="M72" s="123">
        <f>SUMIFS(record[OK],record[製程料號],_018_600[[#This Row],[製令單號]],record[ProcessSN],M$1)</f>
        <v>370</v>
      </c>
      <c r="N72" s="117">
        <f>SUMIFS(record[NG],record[製程料號],_018_600[[#This Row],[製令單號]],record[ProcessSN],N$1)</f>
        <v>0</v>
      </c>
      <c r="O72" s="123">
        <f>_018_600[[#This Row],['#06檢驗OK]]-_018_600[[#This Row],[不良品]]-_018_600[[#This Row],[良品]]</f>
        <v>0</v>
      </c>
      <c r="P72" s="123">
        <f>SUMIFS(record[OK],record[製程料號],_018_600[[#This Row],[製令單號]],record[ProcessSN],P$1)</f>
        <v>370</v>
      </c>
      <c r="Q72" s="117">
        <f>SUMIFS(record[NG],record[製程料號],_018_600[[#This Row],[製令單號]],record[ProcessSN],Q$1)</f>
        <v>0</v>
      </c>
      <c r="R72" s="123">
        <f>_018_600[[#This Row],[良品]]-_018_600[[#This Row],[良品放行]]-_018_600[[#This Row],[不良待處理]]</f>
        <v>0</v>
      </c>
      <c r="S72" s="123">
        <f>SUMIFS(record[OK],record[製程料號],_018_600[[#This Row],[製令單號]],record[ProcessSN],S$1)</f>
        <v>370</v>
      </c>
      <c r="T72" s="117">
        <f>SUMIFS(record[NG],record[製程料號],_018_600[[#This Row],[製令單號]],record[ProcessSN],T$1)</f>
        <v>0</v>
      </c>
      <c r="U72" s="123">
        <f>_018_600[[#This Row],[良品放行]]-_018_600[[#This Row],[入庫]]</f>
        <v>0</v>
      </c>
      <c r="V72" s="123">
        <f>SUMIFS(record[OK],record[製程料號],_018_600[[#This Row],[製令單號]],record[ProcessSN],V$1)</f>
        <v>370</v>
      </c>
      <c r="W72" s="123">
        <f>_018_600[[#This Row],[入庫]]-_018_600[[#This Row],[已出貨]]</f>
        <v>0</v>
      </c>
      <c r="X72" s="137"/>
      <c r="Y72" s="123">
        <f>SUMIFS(record[OK],record[製程料號],_018_600[[#This Row],[製令單號]],record[ProcessSN],Y$1)</f>
        <v>370</v>
      </c>
      <c r="Z72" s="125">
        <f>_018_600[[#This Row],[不良待處理]]+_018_600[[#This Row],[不良品]]+_018_600[[#This Row],['#06
QC NG]]+_018_600[[#This Row],['#08委外NG]]</f>
        <v>9</v>
      </c>
      <c r="AA72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0.9762532981530343</v>
      </c>
    </row>
    <row r="73" spans="1:27" ht="30.75" x14ac:dyDescent="0.25">
      <c r="A73" s="120">
        <v>46083</v>
      </c>
      <c r="B73" s="121" t="s">
        <v>1596</v>
      </c>
      <c r="C73" s="122" t="s">
        <v>503</v>
      </c>
      <c r="D73" s="118">
        <v>376</v>
      </c>
      <c r="E73" s="123">
        <f>_018_600[[#This Row],[入料數]]-_018_600[[#This Row],['#08已委外數量]]</f>
        <v>0</v>
      </c>
      <c r="F73" s="123">
        <f>SUMIFS(record[OK],record[製程料號],_018_600[[#This Row],[製令單號]],record[ProcessSN],F$1)</f>
        <v>376</v>
      </c>
      <c r="G73" s="118" t="str">
        <f>IF(_018_600[[#This Row],['#08已委外數量]]&gt;0,VLOOKUP(G$1,record[[ProcessSN]:[廠商]],12,FALSE),"尚未委外")</f>
        <v>泉盛</v>
      </c>
      <c r="H73" s="123">
        <f>_018_600[[#This Row],['#08已委外數量]]-_018_600[[#This Row],['#08回
良品]]-_018_600[[#This Row],['#08委外NG]]</f>
        <v>0</v>
      </c>
      <c r="I73" s="123">
        <f>SUMIFS(record[OK],record[製程料號],_018_600[[#This Row],[製令單號]],record[ProcessSN],I$1)</f>
        <v>375</v>
      </c>
      <c r="J73" s="117">
        <f>SUMIFS(record[NG],record[製程料號],_018_600[[#This Row],[製令單號]],record[ProcessSN],J$1)</f>
        <v>1</v>
      </c>
      <c r="K73" s="124">
        <f>IFERROR(_018_600[[#This Row],['#08委外NG]]/_018_600[[#This Row],['#08已委外數量]],"")</f>
        <v>2.6595744680851063E-3</v>
      </c>
      <c r="L73" s="123">
        <f>_018_600[[#This Row],['#08回
良品]]-_018_600[[#This Row],['#06檢驗OK]]-_018_600[[#This Row],['#06
QC NG]]</f>
        <v>0</v>
      </c>
      <c r="M73" s="123">
        <f>SUMIFS(record[OK],record[製程料號],_018_600[[#This Row],[製令單號]],record[ProcessSN],M$1)</f>
        <v>375</v>
      </c>
      <c r="N73" s="117">
        <f>SUMIFS(record[NG],record[製程料號],_018_600[[#This Row],[製令單號]],record[ProcessSN],N$1)</f>
        <v>0</v>
      </c>
      <c r="O73" s="123">
        <f>_018_600[[#This Row],['#06檢驗OK]]-_018_600[[#This Row],[不良品]]-_018_600[[#This Row],[良品]]</f>
        <v>0</v>
      </c>
      <c r="P73" s="123">
        <f>SUMIFS(record[OK],record[製程料號],_018_600[[#This Row],[製令單號]],record[ProcessSN],P$1)</f>
        <v>369</v>
      </c>
      <c r="Q73" s="117">
        <f>SUMIFS(record[NG],record[製程料號],_018_600[[#This Row],[製令單號]],record[ProcessSN],Q$1)</f>
        <v>6</v>
      </c>
      <c r="R73" s="123">
        <f>_018_600[[#This Row],[良品]]-_018_600[[#This Row],[良品放行]]-_018_600[[#This Row],[不良待處理]]</f>
        <v>0</v>
      </c>
      <c r="S73" s="123">
        <f>SUMIFS(record[OK],record[製程料號],_018_600[[#This Row],[製令單號]],record[ProcessSN],S$1)</f>
        <v>369</v>
      </c>
      <c r="T73" s="117">
        <f>SUMIFS(record[NG],record[製程料號],_018_600[[#This Row],[製令單號]],record[ProcessSN],T$1)</f>
        <v>0</v>
      </c>
      <c r="U73" s="123">
        <f>_018_600[[#This Row],[良品放行]]-_018_600[[#This Row],[入庫]]</f>
        <v>0</v>
      </c>
      <c r="V73" s="123">
        <f>SUMIFS(record[OK],record[製程料號],_018_600[[#This Row],[製令單號]],record[ProcessSN],V$1)</f>
        <v>369</v>
      </c>
      <c r="W73" s="123">
        <f>_018_600[[#This Row],[入庫]]-_018_600[[#This Row],[已出貨]]</f>
        <v>0</v>
      </c>
      <c r="X73" s="137"/>
      <c r="Y73" s="123">
        <f>SUMIFS(record[OK],record[製程料號],_018_600[[#This Row],[製令單號]],record[ProcessSN],Y$1)</f>
        <v>369</v>
      </c>
      <c r="Z73" s="125">
        <f>_018_600[[#This Row],[不良待處理]]+_018_600[[#This Row],[不良品]]+_018_600[[#This Row],['#06
QC NG]]+_018_600[[#This Row],['#08委外NG]]</f>
        <v>7</v>
      </c>
      <c r="AA73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0.9813829787234043</v>
      </c>
    </row>
    <row r="74" spans="1:27" ht="30.75" x14ac:dyDescent="0.25">
      <c r="A74" s="120">
        <v>46085</v>
      </c>
      <c r="B74" s="121" t="s">
        <v>1600</v>
      </c>
      <c r="C74" s="122" t="s">
        <v>503</v>
      </c>
      <c r="D74" s="118">
        <v>193</v>
      </c>
      <c r="E74" s="123">
        <f>_018_600[[#This Row],[入料數]]-_018_600[[#This Row],['#08已委外數量]]</f>
        <v>0</v>
      </c>
      <c r="F74" s="123">
        <f>SUMIFS(record[OK],record[製程料號],_018_600[[#This Row],[製令單號]],record[ProcessSN],F$1)</f>
        <v>193</v>
      </c>
      <c r="G74" s="118" t="str">
        <f>IF(_018_600[[#This Row],['#08已委外數量]]&gt;0,VLOOKUP(G$1,record[[ProcessSN]:[廠商]],12,FALSE),"尚未委外")</f>
        <v>泉盛</v>
      </c>
      <c r="H74" s="123">
        <f>_018_600[[#This Row],['#08已委外數量]]-_018_600[[#This Row],['#08回
良品]]-_018_600[[#This Row],['#08委外NG]]</f>
        <v>0</v>
      </c>
      <c r="I74" s="123">
        <f>SUMIFS(record[OK],record[製程料號],_018_600[[#This Row],[製令單號]],record[ProcessSN],I$1)</f>
        <v>186</v>
      </c>
      <c r="J74" s="117">
        <f>SUMIFS(record[NG],record[製程料號],_018_600[[#This Row],[製令單號]],record[ProcessSN],J$1)</f>
        <v>7</v>
      </c>
      <c r="K74" s="124">
        <f>IFERROR(_018_600[[#This Row],['#08委外NG]]/_018_600[[#This Row],['#08已委外數量]],"")</f>
        <v>3.6269430051813469E-2</v>
      </c>
      <c r="L74" s="123">
        <f>_018_600[[#This Row],['#08回
良品]]-_018_600[[#This Row],['#06檢驗OK]]-_018_600[[#This Row],['#06
QC NG]]</f>
        <v>0</v>
      </c>
      <c r="M74" s="123">
        <f>SUMIFS(record[OK],record[製程料號],_018_600[[#This Row],[製令單號]],record[ProcessSN],M$1)</f>
        <v>186</v>
      </c>
      <c r="N74" s="117">
        <f>SUMIFS(record[NG],record[製程料號],_018_600[[#This Row],[製令單號]],record[ProcessSN],N$1)</f>
        <v>0</v>
      </c>
      <c r="O74" s="123">
        <f>_018_600[[#This Row],['#06檢驗OK]]-_018_600[[#This Row],[不良品]]-_018_600[[#This Row],[良品]]</f>
        <v>0</v>
      </c>
      <c r="P74" s="123">
        <f>SUMIFS(record[OK],record[製程料號],_018_600[[#This Row],[製令單號]],record[ProcessSN],P$1)</f>
        <v>186</v>
      </c>
      <c r="Q74" s="117">
        <f>SUMIFS(record[NG],record[製程料號],_018_600[[#This Row],[製令單號]],record[ProcessSN],Q$1)</f>
        <v>0</v>
      </c>
      <c r="R74" s="123">
        <f>_018_600[[#This Row],[良品]]-_018_600[[#This Row],[良品放行]]-_018_600[[#This Row],[不良待處理]]</f>
        <v>0</v>
      </c>
      <c r="S74" s="123">
        <f>SUMIFS(record[OK],record[製程料號],_018_600[[#This Row],[製令單號]],record[ProcessSN],S$1)</f>
        <v>186</v>
      </c>
      <c r="T74" s="117">
        <f>SUMIFS(record[NG],record[製程料號],_018_600[[#This Row],[製令單號]],record[ProcessSN],T$1)</f>
        <v>0</v>
      </c>
      <c r="U74" s="123">
        <f>_018_600[[#This Row],[良品放行]]-_018_600[[#This Row],[入庫]]</f>
        <v>0</v>
      </c>
      <c r="V74" s="123">
        <f>SUMIFS(record[OK],record[製程料號],_018_600[[#This Row],[製令單號]],record[ProcessSN],V$1)</f>
        <v>186</v>
      </c>
      <c r="W74" s="123">
        <f>_018_600[[#This Row],[入庫]]-_018_600[[#This Row],[已出貨]]</f>
        <v>0</v>
      </c>
      <c r="X74" s="137"/>
      <c r="Y74" s="123">
        <f>SUMIFS(record[OK],record[製程料號],_018_600[[#This Row],[製令單號]],record[ProcessSN],Y$1)</f>
        <v>186</v>
      </c>
      <c r="Z74" s="125">
        <f>_018_600[[#This Row],[不良待處理]]+_018_600[[#This Row],[不良品]]+_018_600[[#This Row],['#06
QC NG]]+_018_600[[#This Row],['#08委外NG]]</f>
        <v>7</v>
      </c>
      <c r="AA74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0.96373056994818651</v>
      </c>
    </row>
    <row r="75" spans="1:27" ht="30.75" x14ac:dyDescent="0.25">
      <c r="A75" s="120">
        <v>46098</v>
      </c>
      <c r="B75" s="121" t="s">
        <v>1639</v>
      </c>
      <c r="C75" s="122" t="s">
        <v>503</v>
      </c>
      <c r="D75" s="118">
        <v>197</v>
      </c>
      <c r="E75" s="123">
        <f>_018_600[[#This Row],[入料數]]-_018_600[[#This Row],['#08已委外數量]]</f>
        <v>0</v>
      </c>
      <c r="F75" s="123">
        <f>SUMIFS(record[OK],record[製程料號],_018_600[[#This Row],[製令單號]],record[ProcessSN],F$1)</f>
        <v>197</v>
      </c>
      <c r="G75" s="118" t="str">
        <f>IF(_018_600[[#This Row],['#08已委外數量]]&gt;0,VLOOKUP(G$1,record[[ProcessSN]:[廠商]],12,FALSE),"尚未委外")</f>
        <v>泉盛</v>
      </c>
      <c r="H75" s="123">
        <f>_018_600[[#This Row],['#08已委外數量]]-_018_600[[#This Row],['#08回
良品]]-_018_600[[#This Row],['#08委外NG]]</f>
        <v>0</v>
      </c>
      <c r="I75" s="123">
        <f>SUMIFS(record[OK],record[製程料號],_018_600[[#This Row],[製令單號]],record[ProcessSN],I$1)</f>
        <v>194</v>
      </c>
      <c r="J75" s="117">
        <f>SUMIFS(record[NG],record[製程料號],_018_600[[#This Row],[製令單號]],record[ProcessSN],J$1)</f>
        <v>3</v>
      </c>
      <c r="K75" s="124">
        <f>IFERROR(_018_600[[#This Row],['#08委外NG]]/_018_600[[#This Row],['#08已委外數量]],"")</f>
        <v>1.5228426395939087E-2</v>
      </c>
      <c r="L75" s="123">
        <f>_018_600[[#This Row],['#08回
良品]]-_018_600[[#This Row],['#06檢驗OK]]-_018_600[[#This Row],['#06
QC NG]]</f>
        <v>0</v>
      </c>
      <c r="M75" s="123">
        <f>SUMIFS(record[OK],record[製程料號],_018_600[[#This Row],[製令單號]],record[ProcessSN],M$1)</f>
        <v>194</v>
      </c>
      <c r="N75" s="117">
        <f>SUMIFS(record[NG],record[製程料號],_018_600[[#This Row],[製令單號]],record[ProcessSN],N$1)</f>
        <v>0</v>
      </c>
      <c r="O75" s="123">
        <f>_018_600[[#This Row],['#06檢驗OK]]-_018_600[[#This Row],[不良品]]-_018_600[[#This Row],[良品]]</f>
        <v>0</v>
      </c>
      <c r="P75" s="123">
        <f>SUMIFS(record[OK],record[製程料號],_018_600[[#This Row],[製令單號]],record[ProcessSN],P$1)</f>
        <v>194</v>
      </c>
      <c r="Q75" s="117">
        <f>SUMIFS(record[NG],record[製程料號],_018_600[[#This Row],[製令單號]],record[ProcessSN],Q$1)</f>
        <v>0</v>
      </c>
      <c r="R75" s="123">
        <f>_018_600[[#This Row],[良品]]-_018_600[[#This Row],[良品放行]]-_018_600[[#This Row],[不良待處理]]</f>
        <v>0</v>
      </c>
      <c r="S75" s="123">
        <f>SUMIFS(record[OK],record[製程料號],_018_600[[#This Row],[製令單號]],record[ProcessSN],S$1)</f>
        <v>194</v>
      </c>
      <c r="T75" s="117">
        <f>SUMIFS(record[NG],record[製程料號],_018_600[[#This Row],[製令單號]],record[ProcessSN],T$1)</f>
        <v>0</v>
      </c>
      <c r="U75" s="123">
        <f>_018_600[[#This Row],[良品放行]]-_018_600[[#This Row],[入庫]]</f>
        <v>0</v>
      </c>
      <c r="V75" s="123">
        <f>SUMIFS(record[OK],record[製程料號],_018_600[[#This Row],[製令單號]],record[ProcessSN],V$1)</f>
        <v>194</v>
      </c>
      <c r="W75" s="123">
        <f>_018_600[[#This Row],[入庫]]-_018_600[[#This Row],[已出貨]]</f>
        <v>0</v>
      </c>
      <c r="X75" s="137"/>
      <c r="Y75" s="123">
        <f>SUMIFS(record[OK],record[製程料號],_018_600[[#This Row],[製令單號]],record[ProcessSN],Y$1)</f>
        <v>194</v>
      </c>
      <c r="Z75" s="125">
        <f>_018_600[[#This Row],[不良待處理]]+_018_600[[#This Row],[不良品]]+_018_600[[#This Row],['#06
QC NG]]+_018_600[[#This Row],['#08委外NG]]</f>
        <v>3</v>
      </c>
      <c r="AA75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0.98477157360406087</v>
      </c>
    </row>
    <row r="76" spans="1:27" ht="30.75" x14ac:dyDescent="0.25">
      <c r="A76" s="120">
        <v>46105</v>
      </c>
      <c r="B76" s="121" t="s">
        <v>1672</v>
      </c>
      <c r="C76" s="122" t="s">
        <v>503</v>
      </c>
      <c r="D76" s="118">
        <v>486</v>
      </c>
      <c r="E76" s="123">
        <f>_018_600[[#This Row],[入料數]]-_018_600[[#This Row],['#08已委外數量]]</f>
        <v>0</v>
      </c>
      <c r="F76" s="123">
        <f>SUMIFS(record[OK],record[製程料號],_018_600[[#This Row],[製令單號]],record[ProcessSN],F$1)</f>
        <v>486</v>
      </c>
      <c r="G76" s="118" t="str">
        <f>IF(_018_600[[#This Row],['#08已委外數量]]&gt;0,VLOOKUP(G$1,record[[ProcessSN]:[廠商]],12,FALSE),"尚未委外")</f>
        <v>泉盛</v>
      </c>
      <c r="H76" s="123">
        <f>_018_600[[#This Row],['#08已委外數量]]-_018_600[[#This Row],['#08回
良品]]-_018_600[[#This Row],['#08委外NG]]</f>
        <v>0</v>
      </c>
      <c r="I76" s="123">
        <f>SUMIFS(record[OK],record[製程料號],_018_600[[#This Row],[製令單號]],record[ProcessSN],I$1)</f>
        <v>486</v>
      </c>
      <c r="J76" s="117">
        <f>SUMIFS(record[NG],record[製程料號],_018_600[[#This Row],[製令單號]],record[ProcessSN],J$1)</f>
        <v>0</v>
      </c>
      <c r="K76" s="124">
        <f>IFERROR(_018_600[[#This Row],['#08委外NG]]/_018_600[[#This Row],['#08已委外數量]],"")</f>
        <v>0</v>
      </c>
      <c r="L76" s="123">
        <f>_018_600[[#This Row],['#08回
良品]]-_018_600[[#This Row],['#06檢驗OK]]-_018_600[[#This Row],['#06
QC NG]]</f>
        <v>0</v>
      </c>
      <c r="M76" s="123">
        <f>SUMIFS(record[OK],record[製程料號],_018_600[[#This Row],[製令單號]],record[ProcessSN],M$1)</f>
        <v>486</v>
      </c>
      <c r="N76" s="117">
        <f>SUMIFS(record[NG],record[製程料號],_018_600[[#This Row],[製令單號]],record[ProcessSN],N$1)</f>
        <v>0</v>
      </c>
      <c r="O76" s="123">
        <f>_018_600[[#This Row],['#06檢驗OK]]-_018_600[[#This Row],[不良品]]-_018_600[[#This Row],[良品]]</f>
        <v>0</v>
      </c>
      <c r="P76" s="123">
        <f>SUMIFS(record[OK],record[製程料號],_018_600[[#This Row],[製令單號]],record[ProcessSN],P$1)</f>
        <v>486</v>
      </c>
      <c r="Q76" s="117">
        <f>SUMIFS(record[NG],record[製程料號],_018_600[[#This Row],[製令單號]],record[ProcessSN],Q$1)</f>
        <v>0</v>
      </c>
      <c r="R76" s="123">
        <f>_018_600[[#This Row],[良品]]-_018_600[[#This Row],[良品放行]]-_018_600[[#This Row],[不良待處理]]</f>
        <v>0</v>
      </c>
      <c r="S76" s="123">
        <f>SUMIFS(record[OK],record[製程料號],_018_600[[#This Row],[製令單號]],record[ProcessSN],S$1)</f>
        <v>486</v>
      </c>
      <c r="T76" s="117">
        <f>SUMIFS(record[NG],record[製程料號],_018_600[[#This Row],[製令單號]],record[ProcessSN],T$1)</f>
        <v>0</v>
      </c>
      <c r="U76" s="123">
        <f>_018_600[[#This Row],[良品放行]]-_018_600[[#This Row],[入庫]]</f>
        <v>0</v>
      </c>
      <c r="V76" s="123">
        <f>SUMIFS(record[OK],record[製程料號],_018_600[[#This Row],[製令單號]],record[ProcessSN],V$1)</f>
        <v>486</v>
      </c>
      <c r="W76" s="123">
        <f>_018_600[[#This Row],[入庫]]-_018_600[[#This Row],[已出貨]]</f>
        <v>0</v>
      </c>
      <c r="X76" s="137"/>
      <c r="Y76" s="123">
        <f>SUMIFS(record[OK],record[製程料號],_018_600[[#This Row],[製令單號]],record[ProcessSN],Y$1)</f>
        <v>486</v>
      </c>
      <c r="Z76" s="125">
        <f>_018_600[[#This Row],[不良待處理]]+_018_600[[#This Row],[不良品]]+_018_600[[#This Row],['#06
QC NG]]+_018_600[[#This Row],['#08委外NG]]</f>
        <v>0</v>
      </c>
      <c r="AA76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77" spans="1:27" ht="30.75" x14ac:dyDescent="0.25">
      <c r="A77" s="120">
        <v>46106</v>
      </c>
      <c r="B77" s="121" t="s">
        <v>1676</v>
      </c>
      <c r="C77" s="122" t="s">
        <v>503</v>
      </c>
      <c r="D77" s="118">
        <v>392</v>
      </c>
      <c r="E77" s="123">
        <f>_018_600[[#This Row],[入料數]]-_018_600[[#This Row],['#08已委外數量]]</f>
        <v>0</v>
      </c>
      <c r="F77" s="123">
        <f>SUMIFS(record[OK],record[製程料號],_018_600[[#This Row],[製令單號]],record[ProcessSN],F$1)</f>
        <v>392</v>
      </c>
      <c r="G77" s="118" t="str">
        <f>IF(_018_600[[#This Row],['#08已委外數量]]&gt;0,VLOOKUP(G$1,record[[ProcessSN]:[廠商]],12,FALSE),"尚未委外")</f>
        <v>泉盛</v>
      </c>
      <c r="H77" s="123">
        <f>_018_600[[#This Row],['#08已委外數量]]-_018_600[[#This Row],['#08回
良品]]-_018_600[[#This Row],['#08委外NG]]</f>
        <v>0</v>
      </c>
      <c r="I77" s="123">
        <f>SUMIFS(record[OK],record[製程料號],_018_600[[#This Row],[製令單號]],record[ProcessSN],I$1)</f>
        <v>392</v>
      </c>
      <c r="J77" s="117">
        <f>SUMIFS(record[NG],record[製程料號],_018_600[[#This Row],[製令單號]],record[ProcessSN],J$1)</f>
        <v>0</v>
      </c>
      <c r="K77" s="124">
        <f>IFERROR(_018_600[[#This Row],['#08委外NG]]/_018_600[[#This Row],['#08已委外數量]],"")</f>
        <v>0</v>
      </c>
      <c r="L77" s="123">
        <f>_018_600[[#This Row],['#08回
良品]]-_018_600[[#This Row],['#06檢驗OK]]-_018_600[[#This Row],['#06
QC NG]]</f>
        <v>0</v>
      </c>
      <c r="M77" s="123">
        <f>SUMIFS(record[OK],record[製程料號],_018_600[[#This Row],[製令單號]],record[ProcessSN],M$1)</f>
        <v>392</v>
      </c>
      <c r="N77" s="117">
        <f>SUMIFS(record[NG],record[製程料號],_018_600[[#This Row],[製令單號]],record[ProcessSN],N$1)</f>
        <v>0</v>
      </c>
      <c r="O77" s="123">
        <f>_018_600[[#This Row],['#06檢驗OK]]-_018_600[[#This Row],[不良品]]-_018_600[[#This Row],[良品]]</f>
        <v>0</v>
      </c>
      <c r="P77" s="123">
        <f>SUMIFS(record[OK],record[製程料號],_018_600[[#This Row],[製令單號]],record[ProcessSN],P$1)</f>
        <v>392</v>
      </c>
      <c r="Q77" s="117">
        <f>SUMIFS(record[NG],record[製程料號],_018_600[[#This Row],[製令單號]],record[ProcessSN],Q$1)</f>
        <v>0</v>
      </c>
      <c r="R77" s="123">
        <f>_018_600[[#This Row],[良品]]-_018_600[[#This Row],[良品放行]]-_018_600[[#This Row],[不良待處理]]</f>
        <v>0</v>
      </c>
      <c r="S77" s="123">
        <f>SUMIFS(record[OK],record[製程料號],_018_600[[#This Row],[製令單號]],record[ProcessSN],S$1)</f>
        <v>392</v>
      </c>
      <c r="T77" s="117">
        <f>SUMIFS(record[NG],record[製程料號],_018_600[[#This Row],[製令單號]],record[ProcessSN],T$1)</f>
        <v>0</v>
      </c>
      <c r="U77" s="123">
        <f>_018_600[[#This Row],[良品放行]]-_018_600[[#This Row],[入庫]]</f>
        <v>0</v>
      </c>
      <c r="V77" s="123">
        <f>SUMIFS(record[OK],record[製程料號],_018_600[[#This Row],[製令單號]],record[ProcessSN],V$1)</f>
        <v>392</v>
      </c>
      <c r="W77" s="123">
        <f>_018_600[[#This Row],[入庫]]-_018_600[[#This Row],[已出貨]]</f>
        <v>0</v>
      </c>
      <c r="X77" s="137"/>
      <c r="Y77" s="123">
        <f>SUMIFS(record[OK],record[製程料號],_018_600[[#This Row],[製令單號]],record[ProcessSN],Y$1)</f>
        <v>392</v>
      </c>
      <c r="Z77" s="125">
        <f>_018_600[[#This Row],[不良待處理]]+_018_600[[#This Row],[不良品]]+_018_600[[#This Row],['#06
QC NG]]+_018_600[[#This Row],['#08委外NG]]</f>
        <v>0</v>
      </c>
      <c r="AA77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78" spans="1:27" ht="30.75" x14ac:dyDescent="0.25">
      <c r="A78" s="120">
        <v>46107</v>
      </c>
      <c r="B78" s="121" t="s">
        <v>1680</v>
      </c>
      <c r="C78" s="122" t="s">
        <v>503</v>
      </c>
      <c r="D78" s="118">
        <v>282</v>
      </c>
      <c r="E78" s="123">
        <f>_018_600[[#This Row],[入料數]]-_018_600[[#This Row],['#08已委外數量]]</f>
        <v>0</v>
      </c>
      <c r="F78" s="123">
        <f>SUMIFS(record[OK],record[製程料號],_018_600[[#This Row],[製令單號]],record[ProcessSN],F$1)</f>
        <v>282</v>
      </c>
      <c r="G78" s="118" t="str">
        <f>IF(_018_600[[#This Row],['#08已委外數量]]&gt;0,VLOOKUP(G$1,record[[ProcessSN]:[廠商]],12,FALSE),"尚未委外")</f>
        <v>泉盛</v>
      </c>
      <c r="H78" s="123">
        <f>_018_600[[#This Row],['#08已委外數量]]-_018_600[[#This Row],['#08回
良品]]-_018_600[[#This Row],['#08委外NG]]</f>
        <v>0</v>
      </c>
      <c r="I78" s="123">
        <f>SUMIFS(record[OK],record[製程料號],_018_600[[#This Row],[製令單號]],record[ProcessSN],I$1)</f>
        <v>282</v>
      </c>
      <c r="J78" s="117">
        <f>SUMIFS(record[NG],record[製程料號],_018_600[[#This Row],[製令單號]],record[ProcessSN],J$1)</f>
        <v>0</v>
      </c>
      <c r="K78" s="124">
        <f>IFERROR(_018_600[[#This Row],['#08委外NG]]/_018_600[[#This Row],['#08已委外數量]],"")</f>
        <v>0</v>
      </c>
      <c r="L78" s="123">
        <f>_018_600[[#This Row],['#08回
良品]]-_018_600[[#This Row],['#06檢驗OK]]-_018_600[[#This Row],['#06
QC NG]]</f>
        <v>0</v>
      </c>
      <c r="M78" s="123">
        <f>SUMIFS(record[OK],record[製程料號],_018_600[[#This Row],[製令單號]],record[ProcessSN],M$1)</f>
        <v>282</v>
      </c>
      <c r="N78" s="117">
        <f>SUMIFS(record[NG],record[製程料號],_018_600[[#This Row],[製令單號]],record[ProcessSN],N$1)</f>
        <v>0</v>
      </c>
      <c r="O78" s="123">
        <f>_018_600[[#This Row],['#06檢驗OK]]-_018_600[[#This Row],[不良品]]-_018_600[[#This Row],[良品]]</f>
        <v>0</v>
      </c>
      <c r="P78" s="123">
        <f>SUMIFS(record[OK],record[製程料號],_018_600[[#This Row],[製令單號]],record[ProcessSN],P$1)</f>
        <v>282</v>
      </c>
      <c r="Q78" s="117">
        <f>SUMIFS(record[NG],record[製程料號],_018_600[[#This Row],[製令單號]],record[ProcessSN],Q$1)</f>
        <v>0</v>
      </c>
      <c r="R78" s="123">
        <f>_018_600[[#This Row],[良品]]-_018_600[[#This Row],[良品放行]]-_018_600[[#This Row],[不良待處理]]</f>
        <v>0</v>
      </c>
      <c r="S78" s="123">
        <f>SUMIFS(record[OK],record[製程料號],_018_600[[#This Row],[製令單號]],record[ProcessSN],S$1)</f>
        <v>282</v>
      </c>
      <c r="T78" s="117">
        <f>SUMIFS(record[NG],record[製程料號],_018_600[[#This Row],[製令單號]],record[ProcessSN],T$1)</f>
        <v>0</v>
      </c>
      <c r="U78" s="123">
        <f>_018_600[[#This Row],[良品放行]]-_018_600[[#This Row],[入庫]]</f>
        <v>0</v>
      </c>
      <c r="V78" s="123">
        <f>SUMIFS(record[OK],record[製程料號],_018_600[[#This Row],[製令單號]],record[ProcessSN],V$1)</f>
        <v>282</v>
      </c>
      <c r="W78" s="123">
        <f>_018_600[[#This Row],[入庫]]-_018_600[[#This Row],[已出貨]]</f>
        <v>0</v>
      </c>
      <c r="X78" s="137"/>
      <c r="Y78" s="123">
        <f>SUMIFS(record[OK],record[製程料號],_018_600[[#This Row],[製令單號]],record[ProcessSN],Y$1)</f>
        <v>282</v>
      </c>
      <c r="Z78" s="125">
        <f>_018_600[[#This Row],[不良待處理]]+_018_600[[#This Row],[不良品]]+_018_600[[#This Row],['#06
QC NG]]+_018_600[[#This Row],['#08委外NG]]</f>
        <v>0</v>
      </c>
      <c r="AA78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1</v>
      </c>
    </row>
    <row r="79" spans="1:27" ht="30.75" x14ac:dyDescent="0.25">
      <c r="A79" s="120">
        <v>46108</v>
      </c>
      <c r="B79" s="121" t="s">
        <v>1686</v>
      </c>
      <c r="C79" s="122" t="s">
        <v>503</v>
      </c>
      <c r="D79" s="118">
        <v>160</v>
      </c>
      <c r="E79" s="123">
        <f>_018_600[[#This Row],[入料數]]-_018_600[[#This Row],['#08已委外數量]]</f>
        <v>0</v>
      </c>
      <c r="F79" s="123">
        <f>SUMIFS(record[OK],record[製程料號],_018_600[[#This Row],[製令單號]],record[ProcessSN],F$1)</f>
        <v>160</v>
      </c>
      <c r="G79" s="118" t="str">
        <f>IF(_018_600[[#This Row],['#08已委外數量]]&gt;0,VLOOKUP(G$1,record[[ProcessSN]:[廠商]],12,FALSE),"尚未委外")</f>
        <v>泉盛</v>
      </c>
      <c r="H79" s="123">
        <f>_018_600[[#This Row],['#08已委外數量]]-_018_600[[#This Row],['#08回
良品]]-_018_600[[#This Row],['#08委外NG]]</f>
        <v>0</v>
      </c>
      <c r="I79" s="123">
        <f>SUMIFS(record[OK],record[製程料號],_018_600[[#This Row],[製令單號]],record[ProcessSN],I$1)</f>
        <v>160</v>
      </c>
      <c r="J79" s="117">
        <f>SUMIFS(record[NG],record[製程料號],_018_600[[#This Row],[製令單號]],record[ProcessSN],J$1)</f>
        <v>0</v>
      </c>
      <c r="K79" s="124">
        <f>IFERROR(_018_600[[#This Row],['#08委外NG]]/_018_600[[#This Row],['#08已委外數量]],"")</f>
        <v>0</v>
      </c>
      <c r="L79" s="123">
        <f>_018_600[[#This Row],['#08回
良品]]-_018_600[[#This Row],['#06檢驗OK]]-_018_600[[#This Row],['#06
QC NG]]</f>
        <v>0</v>
      </c>
      <c r="M79" s="123">
        <f>SUMIFS(record[OK],record[製程料號],_018_600[[#This Row],[製令單號]],record[ProcessSN],M$1)</f>
        <v>160</v>
      </c>
      <c r="N79" s="117">
        <f>SUMIFS(record[NG],record[製程料號],_018_600[[#This Row],[製令單號]],record[ProcessSN],N$1)</f>
        <v>0</v>
      </c>
      <c r="O79" s="123">
        <f>_018_600[[#This Row],['#06檢驗OK]]-_018_600[[#This Row],[不良品]]-_018_600[[#This Row],[良品]]</f>
        <v>0</v>
      </c>
      <c r="P79" s="123">
        <f>SUMIFS(record[OK],record[製程料號],_018_600[[#This Row],[製令單號]],record[ProcessSN],P$1)</f>
        <v>61</v>
      </c>
      <c r="Q79" s="117">
        <f>SUMIFS(record[NG],record[製程料號],_018_600[[#This Row],[製令單號]],record[ProcessSN],Q$1)</f>
        <v>99</v>
      </c>
      <c r="R79" s="123">
        <f>_018_600[[#This Row],[良品]]-_018_600[[#This Row],[良品放行]]-_018_600[[#This Row],[不良待處理]]</f>
        <v>0</v>
      </c>
      <c r="S79" s="123">
        <f>SUMIFS(record[OK],record[製程料號],_018_600[[#This Row],[製令單號]],record[ProcessSN],S$1)</f>
        <v>61</v>
      </c>
      <c r="T79" s="117">
        <f>SUMIFS(record[NG],record[製程料號],_018_600[[#This Row],[製令單號]],record[ProcessSN],T$1)</f>
        <v>0</v>
      </c>
      <c r="U79" s="123">
        <f>_018_600[[#This Row],[良品放行]]-_018_600[[#This Row],[入庫]]</f>
        <v>0</v>
      </c>
      <c r="V79" s="123">
        <f>SUMIFS(record[OK],record[製程料號],_018_600[[#This Row],[製令單號]],record[ProcessSN],V$1)</f>
        <v>61</v>
      </c>
      <c r="W79" s="123">
        <f>_018_600[[#This Row],[入庫]]-_018_600[[#This Row],[已出貨]]</f>
        <v>0</v>
      </c>
      <c r="X79" s="137"/>
      <c r="Y79" s="123">
        <f>SUMIFS(record[OK],record[製程料號],_018_600[[#This Row],[製令單號]],record[ProcessSN],Y$1)</f>
        <v>61</v>
      </c>
      <c r="Z79" s="125">
        <f>_018_600[[#This Row],[不良待處理]]+_018_600[[#This Row],[不良品]]+_018_600[[#This Row],['#06
QC NG]]+_018_600[[#This Row],['#08委外NG]]</f>
        <v>99</v>
      </c>
      <c r="AA79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0.38124999999999998</v>
      </c>
    </row>
    <row r="80" spans="1:27" ht="30.75" x14ac:dyDescent="0.25">
      <c r="A80" s="120">
        <v>46109</v>
      </c>
      <c r="B80" s="121" t="s">
        <v>1689</v>
      </c>
      <c r="C80" s="122" t="s">
        <v>503</v>
      </c>
      <c r="D80" s="118">
        <v>312</v>
      </c>
      <c r="E80" s="123">
        <f>_018_600[[#This Row],[入料數]]-_018_600[[#This Row],['#08已委外數量]]</f>
        <v>0</v>
      </c>
      <c r="F80" s="123">
        <f>SUMIFS(record[OK],record[製程料號],_018_600[[#This Row],[製令單號]],record[ProcessSN],F$1)</f>
        <v>312</v>
      </c>
      <c r="G80" s="118" t="str">
        <f>IF(_018_600[[#This Row],['#08已委外數量]]&gt;0,VLOOKUP(G$1,record[[ProcessSN]:[廠商]],12,FALSE),"尚未委外")</f>
        <v>泉盛</v>
      </c>
      <c r="H80" s="123">
        <f>_018_600[[#This Row],['#08已委外數量]]-_018_600[[#This Row],['#08回
良品]]-_018_600[[#This Row],['#08委外NG]]</f>
        <v>0</v>
      </c>
      <c r="I80" s="123">
        <f>SUMIFS(record[OK],record[製程料號],_018_600[[#This Row],[製令單號]],record[ProcessSN],I$1)</f>
        <v>312</v>
      </c>
      <c r="J80" s="117">
        <f>SUMIFS(record[NG],record[製程料號],_018_600[[#This Row],[製令單號]],record[ProcessSN],J$1)</f>
        <v>0</v>
      </c>
      <c r="K80" s="124">
        <f>IFERROR(_018_600[[#This Row],['#08委外NG]]/_018_600[[#This Row],['#08已委外數量]],"")</f>
        <v>0</v>
      </c>
      <c r="L80" s="123">
        <f>_018_600[[#This Row],['#08回
良品]]-_018_600[[#This Row],['#06檢驗OK]]-_018_600[[#This Row],['#06
QC NG]]</f>
        <v>0</v>
      </c>
      <c r="M80" s="123">
        <f>SUMIFS(record[OK],record[製程料號],_018_600[[#This Row],[製令單號]],record[ProcessSN],M$1)</f>
        <v>312</v>
      </c>
      <c r="N80" s="117">
        <f>SUMIFS(record[NG],record[製程料號],_018_600[[#This Row],[製令單號]],record[ProcessSN],N$1)</f>
        <v>0</v>
      </c>
      <c r="O80" s="123">
        <f>_018_600[[#This Row],['#06檢驗OK]]-_018_600[[#This Row],[不良品]]-_018_600[[#This Row],[良品]]</f>
        <v>0</v>
      </c>
      <c r="P80" s="123">
        <f>SUMIFS(record[OK],record[製程料號],_018_600[[#This Row],[製令單號]],record[ProcessSN],P$1)</f>
        <v>301</v>
      </c>
      <c r="Q80" s="117">
        <f>SUMIFS(record[NG],record[製程料號],_018_600[[#This Row],[製令單號]],record[ProcessSN],Q$1)</f>
        <v>11</v>
      </c>
      <c r="R80" s="123">
        <f>_018_600[[#This Row],[良品]]-_018_600[[#This Row],[良品放行]]-_018_600[[#This Row],[不良待處理]]</f>
        <v>0</v>
      </c>
      <c r="S80" s="123">
        <f>SUMIFS(record[OK],record[製程料號],_018_600[[#This Row],[製令單號]],record[ProcessSN],S$1)</f>
        <v>301</v>
      </c>
      <c r="T80" s="117">
        <f>SUMIFS(record[NG],record[製程料號],_018_600[[#This Row],[製令單號]],record[ProcessSN],T$1)</f>
        <v>0</v>
      </c>
      <c r="U80" s="123">
        <f>_018_600[[#This Row],[良品放行]]-_018_600[[#This Row],[入庫]]</f>
        <v>0</v>
      </c>
      <c r="V80" s="123">
        <f>SUMIFS(record[OK],record[製程料號],_018_600[[#This Row],[製令單號]],record[ProcessSN],V$1)</f>
        <v>301</v>
      </c>
      <c r="W80" s="123">
        <f>_018_600[[#This Row],[入庫]]-_018_600[[#This Row],[已出貨]]</f>
        <v>0</v>
      </c>
      <c r="X80" s="137"/>
      <c r="Y80" s="123">
        <f>SUMIFS(record[OK],record[製程料號],_018_600[[#This Row],[製令單號]],record[ProcessSN],Y$1)</f>
        <v>301</v>
      </c>
      <c r="Z80" s="125">
        <f>_018_600[[#This Row],[不良待處理]]+_018_600[[#This Row],[不良品]]+_018_600[[#This Row],['#06
QC NG]]+_018_600[[#This Row],['#08委外NG]]</f>
        <v>11</v>
      </c>
      <c r="AA80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0.96474358974358976</v>
      </c>
    </row>
    <row r="81" spans="1:27" ht="30.75" x14ac:dyDescent="0.25">
      <c r="A81" s="120">
        <v>46111</v>
      </c>
      <c r="B81" s="121" t="s">
        <v>1693</v>
      </c>
      <c r="C81" s="122" t="s">
        <v>503</v>
      </c>
      <c r="D81" s="118">
        <v>187</v>
      </c>
      <c r="E81" s="123">
        <f>_018_600[[#This Row],[入料數]]-_018_600[[#This Row],['#08已委外數量]]</f>
        <v>0</v>
      </c>
      <c r="F81" s="123">
        <f>SUMIFS(record[OK],record[製程料號],_018_600[[#This Row],[製令單號]],record[ProcessSN],F$1)</f>
        <v>187</v>
      </c>
      <c r="G81" s="118" t="str">
        <f>IF(_018_600[[#This Row],['#08已委外數量]]&gt;0,VLOOKUP(G$1,record[[ProcessSN]:[廠商]],12,FALSE),"尚未委外")</f>
        <v>泉盛</v>
      </c>
      <c r="H81" s="123">
        <f>_018_600[[#This Row],['#08已委外數量]]-_018_600[[#This Row],['#08回
良品]]-_018_600[[#This Row],['#08委外NG]]</f>
        <v>0</v>
      </c>
      <c r="I81" s="123">
        <f>SUMIFS(record[OK],record[製程料號],_018_600[[#This Row],[製令單號]],record[ProcessSN],I$1)</f>
        <v>179</v>
      </c>
      <c r="J81" s="117">
        <f>SUMIFS(record[NG],record[製程料號],_018_600[[#This Row],[製令單號]],record[ProcessSN],J$1)</f>
        <v>8</v>
      </c>
      <c r="K81" s="124">
        <f>IFERROR(_018_600[[#This Row],['#08委外NG]]/_018_600[[#This Row],['#08已委外數量]],"")</f>
        <v>4.2780748663101602E-2</v>
      </c>
      <c r="L81" s="123">
        <f>_018_600[[#This Row],['#08回
良品]]-_018_600[[#This Row],['#06檢驗OK]]-_018_600[[#This Row],['#06
QC NG]]</f>
        <v>0</v>
      </c>
      <c r="M81" s="123">
        <f>SUMIFS(record[OK],record[製程料號],_018_600[[#This Row],[製令單號]],record[ProcessSN],M$1)</f>
        <v>179</v>
      </c>
      <c r="N81" s="117">
        <f>SUMIFS(record[NG],record[製程料號],_018_600[[#This Row],[製令單號]],record[ProcessSN],N$1)</f>
        <v>0</v>
      </c>
      <c r="O81" s="123">
        <f>_018_600[[#This Row],['#06檢驗OK]]-_018_600[[#This Row],[不良品]]-_018_600[[#This Row],[良品]]</f>
        <v>0</v>
      </c>
      <c r="P81" s="123">
        <f>SUMIFS(record[OK],record[製程料號],_018_600[[#This Row],[製令單號]],record[ProcessSN],P$1)</f>
        <v>179</v>
      </c>
      <c r="Q81" s="117">
        <f>SUMIFS(record[NG],record[製程料號],_018_600[[#This Row],[製令單號]],record[ProcessSN],Q$1)</f>
        <v>0</v>
      </c>
      <c r="R81" s="123">
        <f>_018_600[[#This Row],[良品]]-_018_600[[#This Row],[良品放行]]-_018_600[[#This Row],[不良待處理]]</f>
        <v>0</v>
      </c>
      <c r="S81" s="123">
        <f>SUMIFS(record[OK],record[製程料號],_018_600[[#This Row],[製令單號]],record[ProcessSN],S$1)</f>
        <v>179</v>
      </c>
      <c r="T81" s="117">
        <f>SUMIFS(record[NG],record[製程料號],_018_600[[#This Row],[製令單號]],record[ProcessSN],T$1)</f>
        <v>0</v>
      </c>
      <c r="U81" s="123">
        <f>_018_600[[#This Row],[良品放行]]-_018_600[[#This Row],[入庫]]</f>
        <v>0</v>
      </c>
      <c r="V81" s="123">
        <f>SUMIFS(record[OK],record[製程料號],_018_600[[#This Row],[製令單號]],record[ProcessSN],V$1)</f>
        <v>179</v>
      </c>
      <c r="W81" s="123">
        <f>_018_600[[#This Row],[入庫]]-_018_600[[#This Row],[已出貨]]</f>
        <v>0</v>
      </c>
      <c r="X81" s="137"/>
      <c r="Y81" s="123">
        <f>SUMIFS(record[OK],record[製程料號],_018_600[[#This Row],[製令單號]],record[ProcessSN],Y$1)</f>
        <v>179</v>
      </c>
      <c r="Z81" s="125">
        <f>_018_600[[#This Row],[不良待處理]]+_018_600[[#This Row],[不良品]]+_018_600[[#This Row],['#06
QC NG]]+_018_600[[#This Row],['#08委外NG]]</f>
        <v>8</v>
      </c>
      <c r="AA81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0.95721925133689845</v>
      </c>
    </row>
    <row r="82" spans="1:27" ht="30.75" x14ac:dyDescent="0.25">
      <c r="A82" s="120">
        <v>46112</v>
      </c>
      <c r="B82" s="121" t="s">
        <v>1705</v>
      </c>
      <c r="C82" s="122" t="s">
        <v>503</v>
      </c>
      <c r="D82" s="118">
        <v>381</v>
      </c>
      <c r="E82" s="123">
        <f>_018_600[[#This Row],[入料數]]-_018_600[[#This Row],['#08已委外數量]]</f>
        <v>0</v>
      </c>
      <c r="F82" s="123">
        <f>SUMIFS(record[OK],record[製程料號],_018_600[[#This Row],[製令單號]],record[ProcessSN],F$1)</f>
        <v>381</v>
      </c>
      <c r="G82" s="118" t="str">
        <f>IF(_018_600[[#This Row],['#08已委外數量]]&gt;0,VLOOKUP(G$1,record[[ProcessSN]:[廠商]],12,FALSE),"尚未委外")</f>
        <v>泉盛</v>
      </c>
      <c r="H82" s="123">
        <f>_018_600[[#This Row],['#08已委外數量]]-_018_600[[#This Row],['#08回
良品]]-_018_600[[#This Row],['#08委外NG]]</f>
        <v>0</v>
      </c>
      <c r="I82" s="123">
        <f>SUMIFS(record[OK],record[製程料號],_018_600[[#This Row],[製令單號]],record[ProcessSN],I$1)</f>
        <v>381</v>
      </c>
      <c r="J82" s="117">
        <f>SUMIFS(record[NG],record[製程料號],_018_600[[#This Row],[製令單號]],record[ProcessSN],J$1)</f>
        <v>0</v>
      </c>
      <c r="K82" s="124">
        <f>IFERROR(_018_600[[#This Row],['#08委外NG]]/_018_600[[#This Row],['#08已委外數量]],"")</f>
        <v>0</v>
      </c>
      <c r="L82" s="123">
        <f>_018_600[[#This Row],['#08回
良品]]-_018_600[[#This Row],['#06檢驗OK]]-_018_600[[#This Row],['#06
QC NG]]</f>
        <v>0</v>
      </c>
      <c r="M82" s="123">
        <f>SUMIFS(record[OK],record[製程料號],_018_600[[#This Row],[製令單號]],record[ProcessSN],M$1)</f>
        <v>381</v>
      </c>
      <c r="N82" s="117">
        <f>SUMIFS(record[NG],record[製程料號],_018_600[[#This Row],[製令單號]],record[ProcessSN],N$1)</f>
        <v>0</v>
      </c>
      <c r="O82" s="123">
        <f>_018_600[[#This Row],['#06檢驗OK]]-_018_600[[#This Row],[不良品]]-_018_600[[#This Row],[良品]]</f>
        <v>0</v>
      </c>
      <c r="P82" s="123">
        <f>SUMIFS(record[OK],record[製程料號],_018_600[[#This Row],[製令單號]],record[ProcessSN],P$1)</f>
        <v>379</v>
      </c>
      <c r="Q82" s="117">
        <f>SUMIFS(record[NG],record[製程料號],_018_600[[#This Row],[製令單號]],record[ProcessSN],Q$1)</f>
        <v>2</v>
      </c>
      <c r="R82" s="123">
        <f>_018_600[[#This Row],[良品]]-_018_600[[#This Row],[良品放行]]-_018_600[[#This Row],[不良待處理]]</f>
        <v>0</v>
      </c>
      <c r="S82" s="123">
        <f>SUMIFS(record[OK],record[製程料號],_018_600[[#This Row],[製令單號]],record[ProcessSN],S$1)</f>
        <v>379</v>
      </c>
      <c r="T82" s="117">
        <f>SUMIFS(record[NG],record[製程料號],_018_600[[#This Row],[製令單號]],record[ProcessSN],T$1)</f>
        <v>0</v>
      </c>
      <c r="U82" s="123">
        <f>_018_600[[#This Row],[良品放行]]-_018_600[[#This Row],[入庫]]</f>
        <v>0</v>
      </c>
      <c r="V82" s="123">
        <f>SUMIFS(record[OK],record[製程料號],_018_600[[#This Row],[製令單號]],record[ProcessSN],V$1)</f>
        <v>379</v>
      </c>
      <c r="W82" s="123">
        <f>_018_600[[#This Row],[入庫]]-_018_600[[#This Row],[已出貨]]</f>
        <v>0</v>
      </c>
      <c r="X82" s="137"/>
      <c r="Y82" s="123">
        <f>SUMIFS(record[OK],record[製程料號],_018_600[[#This Row],[製令單號]],record[ProcessSN],Y$1)</f>
        <v>379</v>
      </c>
      <c r="Z82" s="125">
        <f>_018_600[[#This Row],[不良待處理]]+_018_600[[#This Row],[不良品]]+_018_600[[#This Row],['#06
QC NG]]+_018_600[[#This Row],['#08委外NG]]</f>
        <v>2</v>
      </c>
      <c r="AA82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0.99475065616797897</v>
      </c>
    </row>
    <row r="83" spans="1:27" ht="30.75" x14ac:dyDescent="0.25">
      <c r="A83" s="120">
        <v>46113</v>
      </c>
      <c r="B83" s="121" t="s">
        <v>1714</v>
      </c>
      <c r="C83" s="122" t="s">
        <v>503</v>
      </c>
      <c r="D83" s="118">
        <v>129</v>
      </c>
      <c r="E83" s="123">
        <f>_018_600[[#This Row],[入料數]]-_018_600[[#This Row],['#08已委外數量]]</f>
        <v>0</v>
      </c>
      <c r="F83" s="123">
        <f>SUMIFS(record[OK],record[製程料號],_018_600[[#This Row],[製令單號]],record[ProcessSN],F$1)</f>
        <v>129</v>
      </c>
      <c r="G83" s="118" t="str">
        <f>IF(_018_600[[#This Row],['#08已委外數量]]&gt;0,VLOOKUP(G$1,record[[ProcessSN]:[廠商]],12,FALSE),"尚未委外")</f>
        <v>泉盛</v>
      </c>
      <c r="H83" s="123">
        <f>_018_600[[#This Row],['#08已委外數量]]-_018_600[[#This Row],['#08回
良品]]-_018_600[[#This Row],['#08委外NG]]</f>
        <v>0</v>
      </c>
      <c r="I83" s="123">
        <f>SUMIFS(record[OK],record[製程料號],_018_600[[#This Row],[製令單號]],record[ProcessSN],I$1)</f>
        <v>129</v>
      </c>
      <c r="J83" s="117">
        <f>SUMIFS(record[NG],record[製程料號],_018_600[[#This Row],[製令單號]],record[ProcessSN],J$1)</f>
        <v>0</v>
      </c>
      <c r="K83" s="124">
        <f>IFERROR(_018_600[[#This Row],['#08委外NG]]/_018_600[[#This Row],['#08已委外數量]],"")</f>
        <v>0</v>
      </c>
      <c r="L83" s="123">
        <f>_018_600[[#This Row],['#08回
良品]]-_018_600[[#This Row],['#06檢驗OK]]-_018_600[[#This Row],['#06
QC NG]]</f>
        <v>0</v>
      </c>
      <c r="M83" s="123">
        <f>SUMIFS(record[OK],record[製程料號],_018_600[[#This Row],[製令單號]],record[ProcessSN],M$1)</f>
        <v>129</v>
      </c>
      <c r="N83" s="117">
        <f>SUMIFS(record[NG],record[製程料號],_018_600[[#This Row],[製令單號]],record[ProcessSN],N$1)</f>
        <v>0</v>
      </c>
      <c r="O83" s="123">
        <f>_018_600[[#This Row],['#06檢驗OK]]-_018_600[[#This Row],[不良品]]-_018_600[[#This Row],[良品]]</f>
        <v>0</v>
      </c>
      <c r="P83" s="123">
        <f>SUMIFS(record[OK],record[製程料號],_018_600[[#This Row],[製令單號]],record[ProcessSN],P$1)</f>
        <v>127</v>
      </c>
      <c r="Q83" s="117">
        <f>SUMIFS(record[NG],record[製程料號],_018_600[[#This Row],[製令單號]],record[ProcessSN],Q$1)</f>
        <v>2</v>
      </c>
      <c r="R83" s="123">
        <f>_018_600[[#This Row],[良品]]-_018_600[[#This Row],[良品放行]]-_018_600[[#This Row],[不良待處理]]</f>
        <v>0</v>
      </c>
      <c r="S83" s="123">
        <f>SUMIFS(record[OK],record[製程料號],_018_600[[#This Row],[製令單號]],record[ProcessSN],S$1)</f>
        <v>127</v>
      </c>
      <c r="T83" s="117">
        <f>SUMIFS(record[NG],record[製程料號],_018_600[[#This Row],[製令單號]],record[ProcessSN],T$1)</f>
        <v>0</v>
      </c>
      <c r="U83" s="123">
        <f>_018_600[[#This Row],[良品放行]]-_018_600[[#This Row],[入庫]]</f>
        <v>0</v>
      </c>
      <c r="V83" s="123">
        <f>SUMIFS(record[OK],record[製程料號],_018_600[[#This Row],[製令單號]],record[ProcessSN],V$1)</f>
        <v>127</v>
      </c>
      <c r="W83" s="123">
        <f>_018_600[[#This Row],[入庫]]-_018_600[[#This Row],[已出貨]]</f>
        <v>0</v>
      </c>
      <c r="X83" s="137"/>
      <c r="Y83" s="123">
        <f>SUMIFS(record[OK],record[製程料號],_018_600[[#This Row],[製令單號]],record[ProcessSN],Y$1)</f>
        <v>127</v>
      </c>
      <c r="Z83" s="125">
        <f>_018_600[[#This Row],[不良待處理]]+_018_600[[#This Row],[不良品]]+_018_600[[#This Row],['#06
QC NG]]+_018_600[[#This Row],['#08委外NG]]</f>
        <v>2</v>
      </c>
      <c r="AA83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0.98449612403100772</v>
      </c>
    </row>
    <row r="84" spans="1:27" ht="30.75" x14ac:dyDescent="0.25">
      <c r="A84" s="120">
        <v>46132</v>
      </c>
      <c r="B84" s="121" t="s">
        <v>1841</v>
      </c>
      <c r="C84" s="122" t="s">
        <v>503</v>
      </c>
      <c r="D84" s="118">
        <v>75</v>
      </c>
      <c r="E84" s="123">
        <f>_018_600[[#This Row],[入料數]]-_018_600[[#This Row],['#08已委外數量]]</f>
        <v>0</v>
      </c>
      <c r="F84" s="123">
        <f>SUMIFS(record[OK],record[製程料號],_018_600[[#This Row],[製令單號]],record[ProcessSN],F$1)</f>
        <v>75</v>
      </c>
      <c r="G84" s="118" t="str">
        <f>IF(_018_600[[#This Row],['#08已委外數量]]&gt;0,VLOOKUP(G$1,record[[ProcessSN]:[廠商]],12,FALSE),"尚未委外")</f>
        <v>泉盛</v>
      </c>
      <c r="H84" s="123">
        <f>_018_600[[#This Row],['#08已委外數量]]-_018_600[[#This Row],['#08回
良品]]-_018_600[[#This Row],['#08委外NG]]</f>
        <v>0</v>
      </c>
      <c r="I84" s="123">
        <f>SUMIFS(record[OK],record[製程料號],_018_600[[#This Row],[製令單號]],record[ProcessSN],I$1)</f>
        <v>75</v>
      </c>
      <c r="J84" s="117">
        <f>SUMIFS(record[NG],record[製程料號],_018_600[[#This Row],[製令單號]],record[ProcessSN],J$1)</f>
        <v>0</v>
      </c>
      <c r="K84" s="124">
        <f>IFERROR(_018_600[[#This Row],['#08委外NG]]/_018_600[[#This Row],['#08已委外數量]],"")</f>
        <v>0</v>
      </c>
      <c r="L84" s="123">
        <f>_018_600[[#This Row],['#08回
良品]]-_018_600[[#This Row],['#06檢驗OK]]-_018_600[[#This Row],['#06
QC NG]]</f>
        <v>0</v>
      </c>
      <c r="M84" s="123">
        <f>SUMIFS(record[OK],record[製程料號],_018_600[[#This Row],[製令單號]],record[ProcessSN],M$1)</f>
        <v>75</v>
      </c>
      <c r="N84" s="117">
        <f>SUMIFS(record[NG],record[製程料號],_018_600[[#This Row],[製令單號]],record[ProcessSN],N$1)</f>
        <v>0</v>
      </c>
      <c r="O84" s="123">
        <f>_018_600[[#This Row],['#06檢驗OK]]-_018_600[[#This Row],[不良品]]-_018_600[[#This Row],[良品]]</f>
        <v>0</v>
      </c>
      <c r="P84" s="123">
        <f>SUMIFS(record[OK],record[製程料號],_018_600[[#This Row],[製令單號]],record[ProcessSN],P$1)</f>
        <v>70</v>
      </c>
      <c r="Q84" s="117">
        <f>SUMIFS(record[NG],record[製程料號],_018_600[[#This Row],[製令單號]],record[ProcessSN],Q$1)</f>
        <v>5</v>
      </c>
      <c r="R84" s="123">
        <f>_018_600[[#This Row],[良品]]-_018_600[[#This Row],[良品放行]]-_018_600[[#This Row],[不良待處理]]</f>
        <v>0</v>
      </c>
      <c r="S84" s="123">
        <f>SUMIFS(record[OK],record[製程料號],_018_600[[#This Row],[製令單號]],record[ProcessSN],S$1)</f>
        <v>70</v>
      </c>
      <c r="T84" s="117">
        <f>SUMIFS(record[NG],record[製程料號],_018_600[[#This Row],[製令單號]],record[ProcessSN],T$1)</f>
        <v>0</v>
      </c>
      <c r="U84" s="123">
        <f>_018_600[[#This Row],[良品放行]]-_018_600[[#This Row],[入庫]]</f>
        <v>0</v>
      </c>
      <c r="V84" s="123">
        <f>SUMIFS(record[OK],record[製程料號],_018_600[[#This Row],[製令單號]],record[ProcessSN],V$1)</f>
        <v>70</v>
      </c>
      <c r="W84" s="123">
        <f>_018_600[[#This Row],[入庫]]-_018_600[[#This Row],[已出貨]]</f>
        <v>0</v>
      </c>
      <c r="X84" s="137"/>
      <c r="Y84" s="123">
        <f>SUMIFS(record[OK],record[製程料號],_018_600[[#This Row],[製令單號]],record[ProcessSN],Y$1)</f>
        <v>70</v>
      </c>
      <c r="Z84" s="125">
        <f>_018_600[[#This Row],[不良待處理]]+_018_600[[#This Row],[不良品]]+_018_600[[#This Row],['#06
QC NG]]+_018_600[[#This Row],['#08委外NG]]</f>
        <v>5</v>
      </c>
      <c r="AA84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0.93333333333333335</v>
      </c>
    </row>
    <row r="85" spans="1:27" ht="30.75" x14ac:dyDescent="0.25">
      <c r="A85" s="120">
        <v>46134</v>
      </c>
      <c r="B85" s="121" t="s">
        <v>1868</v>
      </c>
      <c r="C85" s="122" t="s">
        <v>503</v>
      </c>
      <c r="D85" s="118">
        <v>360</v>
      </c>
      <c r="E85" s="123">
        <f>_018_600[[#This Row],[入料數]]-_018_600[[#This Row],['#08已委外數量]]</f>
        <v>0</v>
      </c>
      <c r="F85" s="123">
        <f>SUMIFS(record[OK],record[製程料號],_018_600[[#This Row],[製令單號]],record[ProcessSN],F$1)</f>
        <v>360</v>
      </c>
      <c r="G85" s="118" t="str">
        <f>IF(_018_600[[#This Row],['#08已委外數量]]&gt;0,VLOOKUP(G$1,record[[ProcessSN]:[廠商]],12,FALSE),"尚未委外")</f>
        <v>泉盛</v>
      </c>
      <c r="H85" s="123">
        <f>_018_600[[#This Row],['#08已委外數量]]-_018_600[[#This Row],['#08回
良品]]-_018_600[[#This Row],['#08委外NG]]</f>
        <v>0</v>
      </c>
      <c r="I85" s="123">
        <f>SUMIFS(record[OK],record[製程料號],_018_600[[#This Row],[製令單號]],record[ProcessSN],I$1)</f>
        <v>360</v>
      </c>
      <c r="J85" s="117">
        <f>SUMIFS(record[NG],record[製程料號],_018_600[[#This Row],[製令單號]],record[ProcessSN],J$1)</f>
        <v>0</v>
      </c>
      <c r="K85" s="124">
        <f>IFERROR(_018_600[[#This Row],['#08委外NG]]/_018_600[[#This Row],['#08已委外數量]],"")</f>
        <v>0</v>
      </c>
      <c r="L85" s="123">
        <f>_018_600[[#This Row],['#08回
良品]]-_018_600[[#This Row],['#06檢驗OK]]-_018_600[[#This Row],['#06
QC NG]]</f>
        <v>0</v>
      </c>
      <c r="M85" s="123">
        <f>SUMIFS(record[OK],record[製程料號],_018_600[[#This Row],[製令單號]],record[ProcessSN],M$1)</f>
        <v>360</v>
      </c>
      <c r="N85" s="117">
        <f>SUMIFS(record[NG],record[製程料號],_018_600[[#This Row],[製令單號]],record[ProcessSN],N$1)</f>
        <v>0</v>
      </c>
      <c r="O85" s="123">
        <f>_018_600[[#This Row],['#06檢驗OK]]-_018_600[[#This Row],[不良品]]-_018_600[[#This Row],[良品]]</f>
        <v>0</v>
      </c>
      <c r="P85" s="123">
        <f>SUMIFS(record[OK],record[製程料號],_018_600[[#This Row],[製令單號]],record[ProcessSN],P$1)</f>
        <v>349</v>
      </c>
      <c r="Q85" s="117">
        <f>SUMIFS(record[NG],record[製程料號],_018_600[[#This Row],[製令單號]],record[ProcessSN],Q$1)</f>
        <v>11</v>
      </c>
      <c r="R85" s="123">
        <f>_018_600[[#This Row],[良品]]-_018_600[[#This Row],[良品放行]]-_018_600[[#This Row],[不良待處理]]</f>
        <v>0</v>
      </c>
      <c r="S85" s="123">
        <f>SUMIFS(record[OK],record[製程料號],_018_600[[#This Row],[製令單號]],record[ProcessSN],S$1)</f>
        <v>349</v>
      </c>
      <c r="T85" s="117">
        <f>SUMIFS(record[NG],record[製程料號],_018_600[[#This Row],[製令單號]],record[ProcessSN],T$1)</f>
        <v>0</v>
      </c>
      <c r="U85" s="123">
        <f>_018_600[[#This Row],[良品放行]]-_018_600[[#This Row],[入庫]]</f>
        <v>0</v>
      </c>
      <c r="V85" s="123">
        <f>SUMIFS(record[OK],record[製程料號],_018_600[[#This Row],[製令單號]],record[ProcessSN],V$1)</f>
        <v>349</v>
      </c>
      <c r="W85" s="123">
        <f>_018_600[[#This Row],[入庫]]-_018_600[[#This Row],[已出貨]]</f>
        <v>0</v>
      </c>
      <c r="X85" s="137"/>
      <c r="Y85" s="123">
        <f>SUMIFS(record[OK],record[製程料號],_018_600[[#This Row],[製令單號]],record[ProcessSN],Y$1)</f>
        <v>349</v>
      </c>
      <c r="Z85" s="125">
        <f>_018_600[[#This Row],[不良待處理]]+_018_600[[#This Row],[不良品]]+_018_600[[#This Row],['#06
QC NG]]+_018_600[[#This Row],['#08委外NG]]</f>
        <v>11</v>
      </c>
      <c r="AA85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0.96944444444444444</v>
      </c>
    </row>
    <row r="86" spans="1:27" ht="30.75" x14ac:dyDescent="0.25">
      <c r="A86" s="120">
        <v>46135</v>
      </c>
      <c r="B86" s="121" t="s">
        <v>1891</v>
      </c>
      <c r="C86" s="122" t="s">
        <v>503</v>
      </c>
      <c r="D86" s="118">
        <v>116</v>
      </c>
      <c r="E86" s="123">
        <f>_018_600[[#This Row],[入料數]]-_018_600[[#This Row],['#08已委外數量]]</f>
        <v>0</v>
      </c>
      <c r="F86" s="123">
        <f>SUMIFS(record[OK],record[製程料號],_018_600[[#This Row],[製令單號]],record[ProcessSN],F$1)</f>
        <v>116</v>
      </c>
      <c r="G86" s="118" t="str">
        <f>IF(_018_600[[#This Row],['#08已委外數量]]&gt;0,VLOOKUP(G$1,record[[ProcessSN]:[廠商]],12,FALSE),"尚未委外")</f>
        <v>泉盛</v>
      </c>
      <c r="H86" s="123">
        <f>_018_600[[#This Row],['#08已委外數量]]-_018_600[[#This Row],['#08回
良品]]-_018_600[[#This Row],['#08委外NG]]</f>
        <v>0</v>
      </c>
      <c r="I86" s="123">
        <f>SUMIFS(record[OK],record[製程料號],_018_600[[#This Row],[製令單號]],record[ProcessSN],I$1)</f>
        <v>113</v>
      </c>
      <c r="J86" s="117">
        <f>SUMIFS(record[NG],record[製程料號],_018_600[[#This Row],[製令單號]],record[ProcessSN],J$1)</f>
        <v>3</v>
      </c>
      <c r="K86" s="124">
        <f>IFERROR(_018_600[[#This Row],['#08委外NG]]/_018_600[[#This Row],['#08已委外數量]],"")</f>
        <v>2.5862068965517241E-2</v>
      </c>
      <c r="L86" s="123">
        <f>_018_600[[#This Row],['#08回
良品]]-_018_600[[#This Row],['#06檢驗OK]]-_018_600[[#This Row],['#06
QC NG]]</f>
        <v>0</v>
      </c>
      <c r="M86" s="123">
        <f>SUMIFS(record[OK],record[製程料號],_018_600[[#This Row],[製令單號]],record[ProcessSN],M$1)</f>
        <v>113</v>
      </c>
      <c r="N86" s="117">
        <f>SUMIFS(record[NG],record[製程料號],_018_600[[#This Row],[製令單號]],record[ProcessSN],N$1)</f>
        <v>0</v>
      </c>
      <c r="O86" s="123">
        <f>_018_600[[#This Row],['#06檢驗OK]]-_018_600[[#This Row],[不良品]]-_018_600[[#This Row],[良品]]</f>
        <v>0</v>
      </c>
      <c r="P86" s="123">
        <f>SUMIFS(record[OK],record[製程料號],_018_600[[#This Row],[製令單號]],record[ProcessSN],P$1)</f>
        <v>113</v>
      </c>
      <c r="Q86" s="117">
        <f>SUMIFS(record[NG],record[製程料號],_018_600[[#This Row],[製令單號]],record[ProcessSN],Q$1)</f>
        <v>0</v>
      </c>
      <c r="R86" s="123">
        <f>_018_600[[#This Row],[良品]]-_018_600[[#This Row],[良品放行]]-_018_600[[#This Row],[不良待處理]]</f>
        <v>0</v>
      </c>
      <c r="S86" s="123">
        <f>SUMIFS(record[OK],record[製程料號],_018_600[[#This Row],[製令單號]],record[ProcessSN],S$1)</f>
        <v>113</v>
      </c>
      <c r="T86" s="117">
        <f>SUMIFS(record[NG],record[製程料號],_018_600[[#This Row],[製令單號]],record[ProcessSN],T$1)</f>
        <v>0</v>
      </c>
      <c r="U86" s="123">
        <f>_018_600[[#This Row],[良品放行]]-_018_600[[#This Row],[入庫]]</f>
        <v>0</v>
      </c>
      <c r="V86" s="123">
        <f>SUMIFS(record[OK],record[製程料號],_018_600[[#This Row],[製令單號]],record[ProcessSN],V$1)</f>
        <v>113</v>
      </c>
      <c r="W86" s="123">
        <f>_018_600[[#This Row],[入庫]]-_018_600[[#This Row],[已出貨]]</f>
        <v>0</v>
      </c>
      <c r="X86" s="137"/>
      <c r="Y86" s="123">
        <f>SUMIFS(record[OK],record[製程料號],_018_600[[#This Row],[製令單號]],record[ProcessSN],Y$1)</f>
        <v>113</v>
      </c>
      <c r="Z86" s="125">
        <f>_018_600[[#This Row],[不良待處理]]+_018_600[[#This Row],[不良品]]+_018_600[[#This Row],['#06
QC NG]]+_018_600[[#This Row],['#08委外NG]]</f>
        <v>3</v>
      </c>
      <c r="AA86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0.97413793103448276</v>
      </c>
    </row>
    <row r="87" spans="1:27" ht="30.75" x14ac:dyDescent="0.25">
      <c r="A87" s="120">
        <v>46136</v>
      </c>
      <c r="B87" s="121" t="s">
        <v>1904</v>
      </c>
      <c r="C87" s="122" t="s">
        <v>503</v>
      </c>
      <c r="D87" s="118">
        <v>149</v>
      </c>
      <c r="E87" s="123">
        <f>_018_600[[#This Row],[入料數]]-_018_600[[#This Row],['#08已委外數量]]</f>
        <v>0</v>
      </c>
      <c r="F87" s="123">
        <f>SUMIFS(record[OK],record[製程料號],_018_600[[#This Row],[製令單號]],record[ProcessSN],F$1)</f>
        <v>149</v>
      </c>
      <c r="G87" s="118" t="str">
        <f>IF(_018_600[[#This Row],['#08已委外數量]]&gt;0,VLOOKUP(G$1,record[[ProcessSN]:[廠商]],12,FALSE),"尚未委外")</f>
        <v>泉盛</v>
      </c>
      <c r="H87" s="123">
        <f>_018_600[[#This Row],['#08已委外數量]]-_018_600[[#This Row],['#08回
良品]]-_018_600[[#This Row],['#08委外NG]]</f>
        <v>0</v>
      </c>
      <c r="I87" s="123">
        <f>SUMIFS(record[OK],record[製程料號],_018_600[[#This Row],[製令單號]],record[ProcessSN],I$1)</f>
        <v>149</v>
      </c>
      <c r="J87" s="117">
        <f>SUMIFS(record[NG],record[製程料號],_018_600[[#This Row],[製令單號]],record[ProcessSN],J$1)</f>
        <v>0</v>
      </c>
      <c r="K87" s="124">
        <f>IFERROR(_018_600[[#This Row],['#08委外NG]]/_018_600[[#This Row],['#08已委外數量]],"")</f>
        <v>0</v>
      </c>
      <c r="L87" s="123">
        <f>_018_600[[#This Row],['#08回
良品]]-_018_600[[#This Row],['#06檢驗OK]]-_018_600[[#This Row],['#06
QC NG]]</f>
        <v>0</v>
      </c>
      <c r="M87" s="123">
        <f>SUMIFS(record[OK],record[製程料號],_018_600[[#This Row],[製令單號]],record[ProcessSN],M$1)</f>
        <v>149</v>
      </c>
      <c r="N87" s="117">
        <f>SUMIFS(record[NG],record[製程料號],_018_600[[#This Row],[製令單號]],record[ProcessSN],N$1)</f>
        <v>0</v>
      </c>
      <c r="O87" s="123">
        <f>_018_600[[#This Row],['#06檢驗OK]]-_018_600[[#This Row],[不良品]]-_018_600[[#This Row],[良品]]</f>
        <v>0</v>
      </c>
      <c r="P87" s="123">
        <f>SUMIFS(record[OK],record[製程料號],_018_600[[#This Row],[製令單號]],record[ProcessSN],P$1)</f>
        <v>142</v>
      </c>
      <c r="Q87" s="117">
        <f>SUMIFS(record[NG],record[製程料號],_018_600[[#This Row],[製令單號]],record[ProcessSN],Q$1)</f>
        <v>7</v>
      </c>
      <c r="R87" s="123">
        <f>_018_600[[#This Row],[良品]]-_018_600[[#This Row],[良品放行]]-_018_600[[#This Row],[不良待處理]]</f>
        <v>0</v>
      </c>
      <c r="S87" s="123">
        <f>SUMIFS(record[OK],record[製程料號],_018_600[[#This Row],[製令單號]],record[ProcessSN],S$1)</f>
        <v>142</v>
      </c>
      <c r="T87" s="117">
        <f>SUMIFS(record[NG],record[製程料號],_018_600[[#This Row],[製令單號]],record[ProcessSN],T$1)</f>
        <v>0</v>
      </c>
      <c r="U87" s="123">
        <f>_018_600[[#This Row],[良品放行]]-_018_600[[#This Row],[入庫]]</f>
        <v>0</v>
      </c>
      <c r="V87" s="123">
        <f>SUMIFS(record[OK],record[製程料號],_018_600[[#This Row],[製令單號]],record[ProcessSN],V$1)</f>
        <v>142</v>
      </c>
      <c r="W87" s="123">
        <f>_018_600[[#This Row],[入庫]]-_018_600[[#This Row],[已出貨]]</f>
        <v>0</v>
      </c>
      <c r="X87" s="137"/>
      <c r="Y87" s="123">
        <f>SUMIFS(record[OK],record[製程料號],_018_600[[#This Row],[製令單號]],record[ProcessSN],Y$1)</f>
        <v>142</v>
      </c>
      <c r="Z87" s="125">
        <f>_018_600[[#This Row],[不良待處理]]+_018_600[[#This Row],[不良品]]+_018_600[[#This Row],['#06
QC NG]]+_018_600[[#This Row],['#08委外NG]]</f>
        <v>7</v>
      </c>
      <c r="AA87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0.95302013422818788</v>
      </c>
    </row>
    <row r="88" spans="1:27" ht="30.75" x14ac:dyDescent="0.25">
      <c r="A88" s="120">
        <v>46139</v>
      </c>
      <c r="B88" s="121" t="s">
        <v>1918</v>
      </c>
      <c r="C88" s="122" t="s">
        <v>503</v>
      </c>
      <c r="D88" s="118">
        <v>307</v>
      </c>
      <c r="E88" s="123">
        <f>_018_600[[#This Row],[入料數]]-_018_600[[#This Row],['#08已委外數量]]</f>
        <v>0</v>
      </c>
      <c r="F88" s="123">
        <f>SUMIFS(record[OK],record[製程料號],_018_600[[#This Row],[製令單號]],record[ProcessSN],F$1)</f>
        <v>307</v>
      </c>
      <c r="G88" s="118" t="str">
        <f>IF(_018_600[[#This Row],['#08已委外數量]]&gt;0,VLOOKUP(G$1,record[[ProcessSN]:[廠商]],12,FALSE),"尚未委外")</f>
        <v>泉盛</v>
      </c>
      <c r="H88" s="123">
        <f>_018_600[[#This Row],['#08已委外數量]]-_018_600[[#This Row],['#08回
良品]]-_018_600[[#This Row],['#08委外NG]]</f>
        <v>0</v>
      </c>
      <c r="I88" s="123">
        <f>SUMIFS(record[OK],record[製程料號],_018_600[[#This Row],[製令單號]],record[ProcessSN],I$1)</f>
        <v>268</v>
      </c>
      <c r="J88" s="117">
        <f>SUMIFS(record[NG],record[製程料號],_018_600[[#This Row],[製令單號]],record[ProcessSN],J$1)</f>
        <v>39</v>
      </c>
      <c r="K88" s="124">
        <f>IFERROR(_018_600[[#This Row],['#08委外NG]]/_018_600[[#This Row],['#08已委外數量]],"")</f>
        <v>0.12703583061889251</v>
      </c>
      <c r="L88" s="123">
        <f>_018_600[[#This Row],['#08回
良品]]-_018_600[[#This Row],['#06檢驗OK]]-_018_600[[#This Row],['#06
QC NG]]</f>
        <v>0</v>
      </c>
      <c r="M88" s="123">
        <f>SUMIFS(record[OK],record[製程料號],_018_600[[#This Row],[製令單號]],record[ProcessSN],M$1)</f>
        <v>268</v>
      </c>
      <c r="N88" s="117">
        <f>SUMIFS(record[NG],record[製程料號],_018_600[[#This Row],[製令單號]],record[ProcessSN],N$1)</f>
        <v>0</v>
      </c>
      <c r="O88" s="123">
        <f>_018_600[[#This Row],['#06檢驗OK]]-_018_600[[#This Row],[不良品]]-_018_600[[#This Row],[良品]]</f>
        <v>0</v>
      </c>
      <c r="P88" s="123">
        <f>SUMIFS(record[OK],record[製程料號],_018_600[[#This Row],[製令單號]],record[ProcessSN],P$1)</f>
        <v>239</v>
      </c>
      <c r="Q88" s="117">
        <f>SUMIFS(record[NG],record[製程料號],_018_600[[#This Row],[製令單號]],record[ProcessSN],Q$1)</f>
        <v>29</v>
      </c>
      <c r="R88" s="123">
        <f>_018_600[[#This Row],[良品]]-_018_600[[#This Row],[良品放行]]-_018_600[[#This Row],[不良待處理]]</f>
        <v>0</v>
      </c>
      <c r="S88" s="123">
        <f>SUMIFS(record[OK],record[製程料號],_018_600[[#This Row],[製令單號]],record[ProcessSN],S$1)</f>
        <v>239</v>
      </c>
      <c r="T88" s="117">
        <f>SUMIFS(record[NG],record[製程料號],_018_600[[#This Row],[製令單號]],record[ProcessSN],T$1)</f>
        <v>0</v>
      </c>
      <c r="U88" s="123">
        <f>_018_600[[#This Row],[良品放行]]-_018_600[[#This Row],[入庫]]</f>
        <v>0</v>
      </c>
      <c r="V88" s="123">
        <f>SUMIFS(record[OK],record[製程料號],_018_600[[#This Row],[製令單號]],record[ProcessSN],V$1)</f>
        <v>239</v>
      </c>
      <c r="W88" s="123">
        <f>_018_600[[#This Row],[入庫]]-_018_600[[#This Row],[已出貨]]</f>
        <v>0</v>
      </c>
      <c r="X88" s="137"/>
      <c r="Y88" s="123">
        <f>SUMIFS(record[OK],record[製程料號],_018_600[[#This Row],[製令單號]],record[ProcessSN],Y$1)</f>
        <v>239</v>
      </c>
      <c r="Z88" s="125">
        <f>_018_600[[#This Row],[不良待處理]]+_018_600[[#This Row],[不良品]]+_018_600[[#This Row],['#06
QC NG]]+_018_600[[#This Row],['#08委外NG]]</f>
        <v>68</v>
      </c>
      <c r="AA88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0.77850162866449513</v>
      </c>
    </row>
    <row r="89" spans="1:27" ht="30.75" x14ac:dyDescent="0.25">
      <c r="A89" s="120">
        <v>46142</v>
      </c>
      <c r="B89" s="121" t="s">
        <v>1951</v>
      </c>
      <c r="C89" s="122" t="s">
        <v>503</v>
      </c>
      <c r="D89" s="118">
        <v>216</v>
      </c>
      <c r="E89" s="123">
        <f>_018_600[[#This Row],[入料數]]-_018_600[[#This Row],['#08已委外數量]]</f>
        <v>0</v>
      </c>
      <c r="F89" s="123">
        <f>SUMIFS(record[OK],record[製程料號],_018_600[[#This Row],[製令單號]],record[ProcessSN],F$1)</f>
        <v>216</v>
      </c>
      <c r="G89" s="118" t="str">
        <f>IF(_018_600[[#This Row],['#08已委外數量]]&gt;0,VLOOKUP(G$1,record[[ProcessSN]:[廠商]],12,FALSE),"尚未委外")</f>
        <v>泉盛</v>
      </c>
      <c r="H89" s="123">
        <f>_018_600[[#This Row],['#08已委外數量]]-_018_600[[#This Row],['#08回
良品]]-_018_600[[#This Row],['#08委外NG]]</f>
        <v>0</v>
      </c>
      <c r="I89" s="123">
        <f>SUMIFS(record[OK],record[製程料號],_018_600[[#This Row],[製令單號]],record[ProcessSN],I$1)</f>
        <v>213</v>
      </c>
      <c r="J89" s="117">
        <f>SUMIFS(record[NG],record[製程料號],_018_600[[#This Row],[製令單號]],record[ProcessSN],J$1)</f>
        <v>3</v>
      </c>
      <c r="K89" s="124">
        <f>IFERROR(_018_600[[#This Row],['#08委外NG]]/_018_600[[#This Row],['#08已委外數量]],"")</f>
        <v>1.3888888888888888E-2</v>
      </c>
      <c r="L89" s="123">
        <f>_018_600[[#This Row],['#08回
良品]]-_018_600[[#This Row],['#06檢驗OK]]-_018_600[[#This Row],['#06
QC NG]]</f>
        <v>0</v>
      </c>
      <c r="M89" s="123">
        <f>SUMIFS(record[OK],record[製程料號],_018_600[[#This Row],[製令單號]],record[ProcessSN],M$1)</f>
        <v>213</v>
      </c>
      <c r="N89" s="117">
        <f>SUMIFS(record[NG],record[製程料號],_018_600[[#This Row],[製令單號]],record[ProcessSN],N$1)</f>
        <v>0</v>
      </c>
      <c r="O89" s="123">
        <f>_018_600[[#This Row],['#06檢驗OK]]-_018_600[[#This Row],[不良品]]-_018_600[[#This Row],[良品]]</f>
        <v>0</v>
      </c>
      <c r="P89" s="123">
        <f>SUMIFS(record[OK],record[製程料號],_018_600[[#This Row],[製令單號]],record[ProcessSN],P$1)</f>
        <v>210</v>
      </c>
      <c r="Q89" s="117">
        <f>SUMIFS(record[NG],record[製程料號],_018_600[[#This Row],[製令單號]],record[ProcessSN],Q$1)</f>
        <v>3</v>
      </c>
      <c r="R89" s="123">
        <f>_018_600[[#This Row],[良品]]-_018_600[[#This Row],[良品放行]]-_018_600[[#This Row],[不良待處理]]</f>
        <v>0</v>
      </c>
      <c r="S89" s="123">
        <f>SUMIFS(record[OK],record[製程料號],_018_600[[#This Row],[製令單號]],record[ProcessSN],S$1)</f>
        <v>210</v>
      </c>
      <c r="T89" s="117">
        <f>SUMIFS(record[NG],record[製程料號],_018_600[[#This Row],[製令單號]],record[ProcessSN],T$1)</f>
        <v>0</v>
      </c>
      <c r="U89" s="123">
        <f>_018_600[[#This Row],[良品放行]]-_018_600[[#This Row],[入庫]]</f>
        <v>0</v>
      </c>
      <c r="V89" s="123">
        <f>SUMIFS(record[OK],record[製程料號],_018_600[[#This Row],[製令單號]],record[ProcessSN],V$1)</f>
        <v>210</v>
      </c>
      <c r="W89" s="123">
        <f>_018_600[[#This Row],[入庫]]-_018_600[[#This Row],[已出貨]]</f>
        <v>0</v>
      </c>
      <c r="X89" s="137"/>
      <c r="Y89" s="123">
        <f>SUMIFS(record[OK],record[製程料號],_018_600[[#This Row],[製令單號]],record[ProcessSN],Y$1)</f>
        <v>210</v>
      </c>
      <c r="Z89" s="125">
        <f>_018_600[[#This Row],[不良待處理]]+_018_600[[#This Row],[不良品]]+_018_600[[#This Row],['#06
QC NG]]+_018_600[[#This Row],['#08委外NG]]</f>
        <v>6</v>
      </c>
      <c r="AA89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0.97222222222222221</v>
      </c>
    </row>
    <row r="90" spans="1:27" ht="30.75" x14ac:dyDescent="0.25">
      <c r="A90" s="120">
        <v>46147</v>
      </c>
      <c r="B90" s="121" t="s">
        <v>1971</v>
      </c>
      <c r="C90" s="122" t="s">
        <v>503</v>
      </c>
      <c r="D90" s="118">
        <v>158</v>
      </c>
      <c r="E90" s="123">
        <f>_018_600[[#This Row],[入料數]]-_018_600[[#This Row],['#08已委外數量]]</f>
        <v>0</v>
      </c>
      <c r="F90" s="123">
        <f>SUMIFS(record[OK],record[製程料號],_018_600[[#This Row],[製令單號]],record[ProcessSN],F$1)</f>
        <v>158</v>
      </c>
      <c r="G90" s="118" t="str">
        <f>IF(_018_600[[#This Row],['#08已委外數量]]&gt;0,VLOOKUP(G$1,record[[ProcessSN]:[廠商]],12,FALSE),"尚未委外")</f>
        <v>泉盛</v>
      </c>
      <c r="H90" s="123">
        <f>_018_600[[#This Row],['#08已委外數量]]-_018_600[[#This Row],['#08回
良品]]-_018_600[[#This Row],['#08委外NG]]</f>
        <v>0</v>
      </c>
      <c r="I90" s="123">
        <f>SUMIFS(record[OK],record[製程料號],_018_600[[#This Row],[製令單號]],record[ProcessSN],I$1)</f>
        <v>157</v>
      </c>
      <c r="J90" s="117">
        <f>SUMIFS(record[NG],record[製程料號],_018_600[[#This Row],[製令單號]],record[ProcessSN],J$1)</f>
        <v>1</v>
      </c>
      <c r="K90" s="124">
        <f>IFERROR(_018_600[[#This Row],['#08委外NG]]/_018_600[[#This Row],['#08已委外數量]],"")</f>
        <v>6.3291139240506328E-3</v>
      </c>
      <c r="L90" s="123">
        <f>_018_600[[#This Row],['#08回
良品]]-_018_600[[#This Row],['#06檢驗OK]]-_018_600[[#This Row],['#06
QC NG]]</f>
        <v>0</v>
      </c>
      <c r="M90" s="123">
        <f>SUMIFS(record[OK],record[製程料號],_018_600[[#This Row],[製令單號]],record[ProcessSN],M$1)</f>
        <v>157</v>
      </c>
      <c r="N90" s="117">
        <f>SUMIFS(record[NG],record[製程料號],_018_600[[#This Row],[製令單號]],record[ProcessSN],N$1)</f>
        <v>0</v>
      </c>
      <c r="O90" s="123">
        <f>_018_600[[#This Row],['#06檢驗OK]]-_018_600[[#This Row],[不良品]]-_018_600[[#This Row],[良品]]</f>
        <v>0</v>
      </c>
      <c r="P90" s="123">
        <f>SUMIFS(record[OK],record[製程料號],_018_600[[#This Row],[製令單號]],record[ProcessSN],P$1)</f>
        <v>156</v>
      </c>
      <c r="Q90" s="117">
        <f>SUMIFS(record[NG],record[製程料號],_018_600[[#This Row],[製令單號]],record[ProcessSN],Q$1)</f>
        <v>1</v>
      </c>
      <c r="R90" s="123">
        <f>_018_600[[#This Row],[良品]]-_018_600[[#This Row],[良品放行]]-_018_600[[#This Row],[不良待處理]]</f>
        <v>0</v>
      </c>
      <c r="S90" s="123">
        <f>SUMIFS(record[OK],record[製程料號],_018_600[[#This Row],[製令單號]],record[ProcessSN],S$1)</f>
        <v>156</v>
      </c>
      <c r="T90" s="117">
        <f>SUMIFS(record[NG],record[製程料號],_018_600[[#This Row],[製令單號]],record[ProcessSN],T$1)</f>
        <v>0</v>
      </c>
      <c r="U90" s="123">
        <f>_018_600[[#This Row],[良品放行]]-_018_600[[#This Row],[入庫]]</f>
        <v>0</v>
      </c>
      <c r="V90" s="123">
        <f>SUMIFS(record[OK],record[製程料號],_018_600[[#This Row],[製令單號]],record[ProcessSN],V$1)</f>
        <v>156</v>
      </c>
      <c r="W90" s="123">
        <f>_018_600[[#This Row],[入庫]]-_018_600[[#This Row],[已出貨]]</f>
        <v>0</v>
      </c>
      <c r="X90" s="137"/>
      <c r="Y90" s="123">
        <f>SUMIFS(record[OK],record[製程料號],_018_600[[#This Row],[製令單號]],record[ProcessSN],Y$1)</f>
        <v>156</v>
      </c>
      <c r="Z90" s="125">
        <f>_018_600[[#This Row],[不良待處理]]+_018_600[[#This Row],[不良品]]+_018_600[[#This Row],['#06
QC NG]]+_018_600[[#This Row],['#08委外NG]]</f>
        <v>2</v>
      </c>
      <c r="AA90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0.98734177215189878</v>
      </c>
    </row>
    <row r="91" spans="1:27" ht="30.75" x14ac:dyDescent="0.25">
      <c r="A91" s="120">
        <v>46148</v>
      </c>
      <c r="B91" s="121" t="s">
        <v>1977</v>
      </c>
      <c r="C91" s="122" t="s">
        <v>503</v>
      </c>
      <c r="D91" s="118">
        <v>408</v>
      </c>
      <c r="E91" s="123">
        <f>_018_600[[#This Row],[入料數]]-_018_600[[#This Row],['#08已委外數量]]</f>
        <v>0</v>
      </c>
      <c r="F91" s="123">
        <f>SUMIFS(record[OK],record[製程料號],_018_600[[#This Row],[製令單號]],record[ProcessSN],F$1)</f>
        <v>408</v>
      </c>
      <c r="G91" s="118" t="str">
        <f>IF(_018_600[[#This Row],['#08已委外數量]]&gt;0,VLOOKUP(G$1,record[[ProcessSN]:[廠商]],12,FALSE),"尚未委外")</f>
        <v>泉盛</v>
      </c>
      <c r="H91" s="123">
        <f>_018_600[[#This Row],['#08已委外數量]]-_018_600[[#This Row],['#08回
良品]]-_018_600[[#This Row],['#08委外NG]]</f>
        <v>0</v>
      </c>
      <c r="I91" s="123">
        <f>SUMIFS(record[OK],record[製程料號],_018_600[[#This Row],[製令單號]],record[ProcessSN],I$1)</f>
        <v>385</v>
      </c>
      <c r="J91" s="117">
        <f>SUMIFS(record[NG],record[製程料號],_018_600[[#This Row],[製令單號]],record[ProcessSN],J$1)</f>
        <v>23</v>
      </c>
      <c r="K91" s="124">
        <f>IFERROR(_018_600[[#This Row],['#08委外NG]]/_018_600[[#This Row],['#08已委外數量]],"")</f>
        <v>5.6372549019607844E-2</v>
      </c>
      <c r="L91" s="123">
        <f>_018_600[[#This Row],['#08回
良品]]-_018_600[[#This Row],['#06檢驗OK]]-_018_600[[#This Row],['#06
QC NG]]</f>
        <v>0</v>
      </c>
      <c r="M91" s="123">
        <f>SUMIFS(record[OK],record[製程料號],_018_600[[#This Row],[製令單號]],record[ProcessSN],M$1)</f>
        <v>385</v>
      </c>
      <c r="N91" s="117">
        <f>SUMIFS(record[NG],record[製程料號],_018_600[[#This Row],[製令單號]],record[ProcessSN],N$1)</f>
        <v>0</v>
      </c>
      <c r="O91" s="123">
        <f>_018_600[[#This Row],['#06檢驗OK]]-_018_600[[#This Row],[不良品]]-_018_600[[#This Row],[良品]]</f>
        <v>0</v>
      </c>
      <c r="P91" s="123">
        <f>SUMIFS(record[OK],record[製程料號],_018_600[[#This Row],[製令單號]],record[ProcessSN],P$1)</f>
        <v>385</v>
      </c>
      <c r="Q91" s="117">
        <f>SUMIFS(record[NG],record[製程料號],_018_600[[#This Row],[製令單號]],record[ProcessSN],Q$1)</f>
        <v>0</v>
      </c>
      <c r="R91" s="123">
        <f>_018_600[[#This Row],[良品]]-_018_600[[#This Row],[良品放行]]-_018_600[[#This Row],[不良待處理]]</f>
        <v>0</v>
      </c>
      <c r="S91" s="123">
        <f>SUMIFS(record[OK],record[製程料號],_018_600[[#This Row],[製令單號]],record[ProcessSN],S$1)</f>
        <v>385</v>
      </c>
      <c r="T91" s="117">
        <f>SUMIFS(record[NG],record[製程料號],_018_600[[#This Row],[製令單號]],record[ProcessSN],T$1)</f>
        <v>0</v>
      </c>
      <c r="U91" s="123">
        <f>_018_600[[#This Row],[良品放行]]-_018_600[[#This Row],[入庫]]</f>
        <v>0</v>
      </c>
      <c r="V91" s="123">
        <f>SUMIFS(record[OK],record[製程料號],_018_600[[#This Row],[製令單號]],record[ProcessSN],V$1)</f>
        <v>385</v>
      </c>
      <c r="W91" s="123">
        <f>_018_600[[#This Row],[入庫]]-_018_600[[#This Row],[已出貨]]</f>
        <v>0</v>
      </c>
      <c r="X91" s="137"/>
      <c r="Y91" s="123">
        <f>SUMIFS(record[OK],record[製程料號],_018_600[[#This Row],[製令單號]],record[ProcessSN],Y$1)</f>
        <v>385</v>
      </c>
      <c r="Z91" s="125">
        <f>_018_600[[#This Row],[不良待處理]]+_018_600[[#This Row],[不良品]]+_018_600[[#This Row],['#06
QC NG]]+_018_600[[#This Row],['#08委外NG]]</f>
        <v>23</v>
      </c>
      <c r="AA91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0.94362745098039214</v>
      </c>
    </row>
    <row r="92" spans="1:27" ht="30.75" x14ac:dyDescent="0.25">
      <c r="A92" s="120">
        <v>46149</v>
      </c>
      <c r="B92" s="121" t="s">
        <v>1982</v>
      </c>
      <c r="C92" s="122" t="s">
        <v>503</v>
      </c>
      <c r="D92" s="118">
        <v>216</v>
      </c>
      <c r="E92" s="123">
        <f>_018_600[[#This Row],[入料數]]-_018_600[[#This Row],['#08已委外數量]]</f>
        <v>0</v>
      </c>
      <c r="F92" s="123">
        <f>SUMIFS(record[OK],record[製程料號],_018_600[[#This Row],[製令單號]],record[ProcessSN],F$1)</f>
        <v>216</v>
      </c>
      <c r="G92" s="118" t="str">
        <f>IF(_018_600[[#This Row],['#08已委外數量]]&gt;0,VLOOKUP(G$1,record[[ProcessSN]:[廠商]],12,FALSE),"尚未委外")</f>
        <v>泉盛</v>
      </c>
      <c r="H92" s="123">
        <f>_018_600[[#This Row],['#08已委外數量]]-_018_600[[#This Row],['#08回
良品]]-_018_600[[#This Row],['#08委外NG]]</f>
        <v>0</v>
      </c>
      <c r="I92" s="123">
        <f>SUMIFS(record[OK],record[製程料號],_018_600[[#This Row],[製令單號]],record[ProcessSN],I$1)</f>
        <v>216</v>
      </c>
      <c r="J92" s="117">
        <f>SUMIFS(record[NG],record[製程料號],_018_600[[#This Row],[製令單號]],record[ProcessSN],J$1)</f>
        <v>0</v>
      </c>
      <c r="K92" s="124">
        <f>IFERROR(_018_600[[#This Row],['#08委外NG]]/_018_600[[#This Row],['#08已委外數量]],"")</f>
        <v>0</v>
      </c>
      <c r="L92" s="123">
        <f>_018_600[[#This Row],['#08回
良品]]-_018_600[[#This Row],['#06檢驗OK]]-_018_600[[#This Row],['#06
QC NG]]</f>
        <v>0</v>
      </c>
      <c r="M92" s="123">
        <f>SUMIFS(record[OK],record[製程料號],_018_600[[#This Row],[製令單號]],record[ProcessSN],M$1)</f>
        <v>216</v>
      </c>
      <c r="N92" s="117">
        <f>SUMIFS(record[NG],record[製程料號],_018_600[[#This Row],[製令單號]],record[ProcessSN],N$1)</f>
        <v>0</v>
      </c>
      <c r="O92" s="123">
        <f>_018_600[[#This Row],['#06檢驗OK]]-_018_600[[#This Row],[不良品]]-_018_600[[#This Row],[良品]]</f>
        <v>0</v>
      </c>
      <c r="P92" s="123">
        <f>SUMIFS(record[OK],record[製程料號],_018_600[[#This Row],[製令單號]],record[ProcessSN],P$1)</f>
        <v>172</v>
      </c>
      <c r="Q92" s="117">
        <f>SUMIFS(record[NG],record[製程料號],_018_600[[#This Row],[製令單號]],record[ProcessSN],Q$1)</f>
        <v>44</v>
      </c>
      <c r="R92" s="123">
        <f>_018_600[[#This Row],[良品]]-_018_600[[#This Row],[良品放行]]-_018_600[[#This Row],[不良待處理]]</f>
        <v>0</v>
      </c>
      <c r="S92" s="123">
        <f>SUMIFS(record[OK],record[製程料號],_018_600[[#This Row],[製令單號]],record[ProcessSN],S$1)</f>
        <v>172</v>
      </c>
      <c r="T92" s="117">
        <f>SUMIFS(record[NG],record[製程料號],_018_600[[#This Row],[製令單號]],record[ProcessSN],T$1)</f>
        <v>0</v>
      </c>
      <c r="U92" s="123">
        <f>_018_600[[#This Row],[良品放行]]-_018_600[[#This Row],[入庫]]</f>
        <v>0</v>
      </c>
      <c r="V92" s="123">
        <f>SUMIFS(record[OK],record[製程料號],_018_600[[#This Row],[製令單號]],record[ProcessSN],V$1)</f>
        <v>172</v>
      </c>
      <c r="W92" s="123">
        <f>_018_600[[#This Row],[入庫]]-_018_600[[#This Row],[已出貨]]</f>
        <v>0</v>
      </c>
      <c r="X92" s="137"/>
      <c r="Y92" s="123">
        <f>SUMIFS(record[OK],record[製程料號],_018_600[[#This Row],[製令單號]],record[ProcessSN],Y$1)</f>
        <v>172</v>
      </c>
      <c r="Z92" s="125">
        <f>_018_600[[#This Row],[不良待處理]]+_018_600[[#This Row],[不良品]]+_018_600[[#This Row],['#06
QC NG]]+_018_600[[#This Row],['#08委外NG]]</f>
        <v>44</v>
      </c>
      <c r="AA92" s="124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>0.79629629629629628</v>
      </c>
    </row>
    <row r="93" spans="1:27" ht="30.75" x14ac:dyDescent="0.25">
      <c r="A93" s="120">
        <v>46154</v>
      </c>
      <c r="B93" s="121" t="s">
        <v>2011</v>
      </c>
      <c r="C93" s="122" t="s">
        <v>503</v>
      </c>
      <c r="D93" s="118">
        <v>809</v>
      </c>
      <c r="E93" s="123">
        <f>_018_600[[#This Row],[入料數]]-_018_600[[#This Row],['#08已委外數量]]</f>
        <v>0</v>
      </c>
      <c r="F93" s="123">
        <f>SUMIFS(record[OK],record[製程料號],_018_600[[#This Row],[製令單號]],record[ProcessSN],F$1)</f>
        <v>809</v>
      </c>
      <c r="G93" s="118" t="str">
        <f>IF(_018_600[[#This Row],['#08已委外數量]]&gt;0,VLOOKUP(G$1,record[[ProcessSN]:[廠商]],12,FALSE),"尚未委外")</f>
        <v>泉盛</v>
      </c>
      <c r="H93" s="123">
        <f>_018_600[[#This Row],['#08已委外數量]]-_018_600[[#This Row],['#08回
良品]]-_018_600[[#This Row],['#08委外NG]]</f>
        <v>0</v>
      </c>
      <c r="I93" s="123">
        <f>SUMIFS(record[OK],record[製程料號],_018_600[[#This Row],[製令單號]],record[ProcessSN],I$1)</f>
        <v>808</v>
      </c>
      <c r="J93" s="117">
        <f>SUMIFS(record[NG],record[製程料號],_018_600[[#This Row],[製令單號]],record[ProcessSN],J$1)</f>
        <v>1</v>
      </c>
      <c r="K93" s="124">
        <f>IFERROR(_018_600[[#This Row],['#08委外NG]]/_018_600[[#This Row],['#08已委外數量]],"")</f>
        <v>1.2360939431396785E-3</v>
      </c>
      <c r="L93" s="123">
        <f>_018_600[[#This Row],['#08回
良品]]-_018_600[[#This Row],['#06檢驗OK]]-_018_600[[#This Row],['#06
QC NG]]</f>
        <v>0</v>
      </c>
      <c r="M93" s="123">
        <f>SUMIFS(record[OK],record[製程料號],_018_600[[#This Row],[製令單號]],record[ProcessSN],M$1)</f>
        <v>808</v>
      </c>
      <c r="N93" s="117">
        <f>SUMIFS(record[NG],record[製程料號],_018_600[[#This Row],[製令單號]],record[ProcessSN],N$1)</f>
        <v>0</v>
      </c>
      <c r="O93" s="123">
        <f>_018_600[[#This Row],['#06檢驗OK]]-_018_600[[#This Row],[不良品]]-_018_600[[#This Row],[良品]]</f>
        <v>0</v>
      </c>
      <c r="P93" s="123">
        <f>SUMIFS(record[OK],record[製程料號],_018_600[[#This Row],[製令單號]],record[ProcessSN],P$1)</f>
        <v>798</v>
      </c>
      <c r="Q93" s="117">
        <f>SUMIFS(record[NG],record[製程料號],_018_600[[#This Row],[製令單號]],record[ProcessSN],Q$1)</f>
        <v>10</v>
      </c>
      <c r="R93" s="123">
        <f>_018_600[[#This Row],[良品]]-_018_600[[#This Row],[良品放行]]-_018_600[[#This Row],[不良待處理]]</f>
        <v>0</v>
      </c>
      <c r="S93" s="123">
        <f>SUMIFS(record[OK],record[製程料號],_018_600[[#This Row],[製令單號]],record[ProcessSN],S$1)</f>
        <v>798</v>
      </c>
      <c r="T93" s="117">
        <f>SUMIFS(record[NG],record[製程料號],_018_600[[#This Row],[製令單號]],record[ProcessSN],T$1)</f>
        <v>0</v>
      </c>
      <c r="U93" s="123">
        <f>_018_600[[#This Row],[良品放行]]-_018_600[[#This Row],[入庫]]</f>
        <v>34</v>
      </c>
      <c r="V93" s="123">
        <f>SUMIFS(record[OK],record[製程料號],_018_600[[#This Row],[製令單號]],record[ProcessSN],V$1)</f>
        <v>764</v>
      </c>
      <c r="W93" s="123">
        <f>_018_600[[#This Row],[入庫]]-_018_600[[#This Row],[已出貨]]</f>
        <v>0</v>
      </c>
      <c r="X93" s="137"/>
      <c r="Y93" s="123">
        <f>SUMIFS(record[OK],record[製程料號],_018_600[[#This Row],[製令單號]],record[ProcessSN],Y$1)</f>
        <v>764</v>
      </c>
      <c r="Z93" s="125">
        <f>_018_600[[#This Row],[不良待處理]]+_018_600[[#This Row],[不良品]]+_018_600[[#This Row],['#06
QC NG]]+_018_600[[#This Row],['#08委外NG]]</f>
        <v>11</v>
      </c>
      <c r="AA93" s="124" t="str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/>
      </c>
    </row>
    <row r="94" spans="1:27" ht="30.75" x14ac:dyDescent="0.25">
      <c r="A94" s="120">
        <v>46157</v>
      </c>
      <c r="B94" s="121" t="s">
        <v>2021</v>
      </c>
      <c r="C94" s="122" t="s">
        <v>503</v>
      </c>
      <c r="D94" s="118">
        <v>280</v>
      </c>
      <c r="E94" s="123">
        <f>_018_600[[#This Row],[入料數]]-_018_600[[#This Row],['#08已委外數量]]</f>
        <v>0</v>
      </c>
      <c r="F94" s="123">
        <f>SUMIFS(record[OK],record[製程料號],_018_600[[#This Row],[製令單號]],record[ProcessSN],F$1)</f>
        <v>280</v>
      </c>
      <c r="G94" s="118" t="str">
        <f>IF(_018_600[[#This Row],['#08已委外數量]]&gt;0,VLOOKUP(G$1,record[[ProcessSN]:[廠商]],12,FALSE),"尚未委外")</f>
        <v>泉盛</v>
      </c>
      <c r="H94" s="123">
        <f>_018_600[[#This Row],['#08已委外數量]]-_018_600[[#This Row],['#08回
良品]]-_018_600[[#This Row],['#08委外NG]]</f>
        <v>280</v>
      </c>
      <c r="I94" s="123">
        <f>SUMIFS(record[OK],record[製程料號],_018_600[[#This Row],[製令單號]],record[ProcessSN],I$1)</f>
        <v>0</v>
      </c>
      <c r="J94" s="117">
        <f>SUMIFS(record[NG],record[製程料號],_018_600[[#This Row],[製令單號]],record[ProcessSN],J$1)</f>
        <v>0</v>
      </c>
      <c r="K94" s="124">
        <f>IFERROR(_018_600[[#This Row],['#08委外NG]]/_018_600[[#This Row],['#08已委外數量]],"")</f>
        <v>0</v>
      </c>
      <c r="L94" s="123">
        <f>_018_600[[#This Row],['#08回
良品]]-_018_600[[#This Row],['#06檢驗OK]]-_018_600[[#This Row],['#06
QC NG]]</f>
        <v>0</v>
      </c>
      <c r="M94" s="123">
        <f>SUMIFS(record[OK],record[製程料號],_018_600[[#This Row],[製令單號]],record[ProcessSN],M$1)</f>
        <v>0</v>
      </c>
      <c r="N94" s="117">
        <f>SUMIFS(record[NG],record[製程料號],_018_600[[#This Row],[製令單號]],record[ProcessSN],N$1)</f>
        <v>0</v>
      </c>
      <c r="O94" s="123">
        <f>_018_600[[#This Row],['#06檢驗OK]]-_018_600[[#This Row],[不良品]]-_018_600[[#This Row],[良品]]</f>
        <v>0</v>
      </c>
      <c r="P94" s="123">
        <f>SUMIFS(record[OK],record[製程料號],_018_600[[#This Row],[製令單號]],record[ProcessSN],P$1)</f>
        <v>0</v>
      </c>
      <c r="Q94" s="117">
        <f>SUMIFS(record[NG],record[製程料號],_018_600[[#This Row],[製令單號]],record[ProcessSN],Q$1)</f>
        <v>0</v>
      </c>
      <c r="R94" s="123">
        <f>_018_600[[#This Row],[良品]]-_018_600[[#This Row],[良品放行]]-_018_600[[#This Row],[不良待處理]]</f>
        <v>0</v>
      </c>
      <c r="S94" s="123">
        <f>SUMIFS(record[OK],record[製程料號],_018_600[[#This Row],[製令單號]],record[ProcessSN],S$1)</f>
        <v>0</v>
      </c>
      <c r="T94" s="117">
        <f>SUMIFS(record[NG],record[製程料號],_018_600[[#This Row],[製令單號]],record[ProcessSN],T$1)</f>
        <v>0</v>
      </c>
      <c r="U94" s="123">
        <f>_018_600[[#This Row],[良品放行]]-_018_600[[#This Row],[入庫]]</f>
        <v>0</v>
      </c>
      <c r="V94" s="123">
        <f>SUMIFS(record[OK],record[製程料號],_018_600[[#This Row],[製令單號]],record[ProcessSN],V$1)</f>
        <v>0</v>
      </c>
      <c r="W94" s="123">
        <f>_018_600[[#This Row],[入庫]]-_018_600[[#This Row],[已出貨]]</f>
        <v>0</v>
      </c>
      <c r="X94" s="137"/>
      <c r="Y94" s="123">
        <f>SUMIFS(record[OK],record[製程料號],_018_600[[#This Row],[製令單號]],record[ProcessSN],Y$1)</f>
        <v>0</v>
      </c>
      <c r="Z94" s="125">
        <f>_018_600[[#This Row],[不良待處理]]+_018_600[[#This Row],[不良品]]+_018_600[[#This Row],['#06
QC NG]]+_018_600[[#This Row],['#08委外NG]]</f>
        <v>0</v>
      </c>
      <c r="AA94" s="124" t="str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/>
      </c>
    </row>
    <row r="95" spans="1:27" ht="30.75" x14ac:dyDescent="0.25">
      <c r="A95" s="120">
        <v>46158</v>
      </c>
      <c r="B95" s="121" t="s">
        <v>2024</v>
      </c>
      <c r="C95" s="122" t="s">
        <v>503</v>
      </c>
      <c r="D95" s="118">
        <v>504</v>
      </c>
      <c r="E95" s="123">
        <f>_018_600[[#This Row],[入料數]]-_018_600[[#This Row],['#08已委外數量]]</f>
        <v>0</v>
      </c>
      <c r="F95" s="123">
        <f>SUMIFS(record[OK],record[製程料號],_018_600[[#This Row],[製令單號]],record[ProcessSN],F$1)</f>
        <v>504</v>
      </c>
      <c r="G95" s="118" t="str">
        <f>IF(_018_600[[#This Row],['#08已委外數量]]&gt;0,VLOOKUP(G$1,record[[ProcessSN]:[廠商]],12,FALSE),"尚未委外")</f>
        <v>泉盛</v>
      </c>
      <c r="H95" s="123">
        <f>_018_600[[#This Row],['#08已委外數量]]-_018_600[[#This Row],['#08回
良品]]-_018_600[[#This Row],['#08委外NG]]</f>
        <v>504</v>
      </c>
      <c r="I95" s="123">
        <f>SUMIFS(record[OK],record[製程料號],_018_600[[#This Row],[製令單號]],record[ProcessSN],I$1)</f>
        <v>0</v>
      </c>
      <c r="J95" s="117">
        <f>SUMIFS(record[NG],record[製程料號],_018_600[[#This Row],[製令單號]],record[ProcessSN],J$1)</f>
        <v>0</v>
      </c>
      <c r="K95" s="124">
        <f>IFERROR(_018_600[[#This Row],['#08委外NG]]/_018_600[[#This Row],['#08已委外數量]],"")</f>
        <v>0</v>
      </c>
      <c r="L95" s="123">
        <f>_018_600[[#This Row],['#08回
良品]]-_018_600[[#This Row],['#06檢驗OK]]-_018_600[[#This Row],['#06
QC NG]]</f>
        <v>0</v>
      </c>
      <c r="M95" s="123">
        <f>SUMIFS(record[OK],record[製程料號],_018_600[[#This Row],[製令單號]],record[ProcessSN],M$1)</f>
        <v>0</v>
      </c>
      <c r="N95" s="117">
        <f>SUMIFS(record[NG],record[製程料號],_018_600[[#This Row],[製令單號]],record[ProcessSN],N$1)</f>
        <v>0</v>
      </c>
      <c r="O95" s="123">
        <f>_018_600[[#This Row],['#06檢驗OK]]-_018_600[[#This Row],[不良品]]-_018_600[[#This Row],[良品]]</f>
        <v>0</v>
      </c>
      <c r="P95" s="123">
        <f>SUMIFS(record[OK],record[製程料號],_018_600[[#This Row],[製令單號]],record[ProcessSN],P$1)</f>
        <v>0</v>
      </c>
      <c r="Q95" s="117">
        <f>SUMIFS(record[NG],record[製程料號],_018_600[[#This Row],[製令單號]],record[ProcessSN],Q$1)</f>
        <v>0</v>
      </c>
      <c r="R95" s="123">
        <f>_018_600[[#This Row],[良品]]-_018_600[[#This Row],[良品放行]]-_018_600[[#This Row],[不良待處理]]</f>
        <v>0</v>
      </c>
      <c r="S95" s="123">
        <f>SUMIFS(record[OK],record[製程料號],_018_600[[#This Row],[製令單號]],record[ProcessSN],S$1)</f>
        <v>0</v>
      </c>
      <c r="T95" s="117">
        <f>SUMIFS(record[NG],record[製程料號],_018_600[[#This Row],[製令單號]],record[ProcessSN],T$1)</f>
        <v>0</v>
      </c>
      <c r="U95" s="123">
        <f>_018_600[[#This Row],[良品放行]]-_018_600[[#This Row],[入庫]]</f>
        <v>0</v>
      </c>
      <c r="V95" s="123">
        <f>SUMIFS(record[OK],record[製程料號],_018_600[[#This Row],[製令單號]],record[ProcessSN],V$1)</f>
        <v>0</v>
      </c>
      <c r="W95" s="123">
        <f>_018_600[[#This Row],[入庫]]-_018_600[[#This Row],[已出貨]]</f>
        <v>0</v>
      </c>
      <c r="X95" s="137"/>
      <c r="Y95" s="123">
        <f>SUMIFS(record[OK],record[製程料號],_018_600[[#This Row],[製令單號]],record[ProcessSN],Y$1)</f>
        <v>0</v>
      </c>
      <c r="Z95" s="125">
        <f>_018_600[[#This Row],[不良待處理]]+_018_600[[#This Row],[不良品]]+_018_600[[#This Row],['#06
QC NG]]+_018_600[[#This Row],['#08委外NG]]</f>
        <v>0</v>
      </c>
      <c r="AA95" s="124" t="str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/>
      </c>
    </row>
    <row r="96" spans="1:27" ht="30.75" x14ac:dyDescent="0.25">
      <c r="A96" s="141">
        <v>46160</v>
      </c>
      <c r="B96" s="143" t="s">
        <v>2040</v>
      </c>
      <c r="C96" s="129" t="s">
        <v>503</v>
      </c>
      <c r="D96" s="145">
        <v>336</v>
      </c>
      <c r="E96" s="147">
        <f>_018_600[[#This Row],[入料數]]-_018_600[[#This Row],['#08已委外數量]]</f>
        <v>0</v>
      </c>
      <c r="F96" s="147">
        <f>SUMIFS(record[OK],record[製程料號],_018_600[[#This Row],[製令單號]],record[ProcessSN],F$1)</f>
        <v>336</v>
      </c>
      <c r="G96" s="145" t="str">
        <f>IF(_018_600[[#This Row],['#08已委外數量]]&gt;0,VLOOKUP(G$1,record[[ProcessSN]:[廠商]],12,FALSE),"尚未委外")</f>
        <v>泉盛</v>
      </c>
      <c r="H96" s="147">
        <f>_018_600[[#This Row],['#08已委外數量]]-_018_600[[#This Row],['#08回
良品]]-_018_600[[#This Row],['#08委外NG]]</f>
        <v>336</v>
      </c>
      <c r="I96" s="147">
        <f>SUMIFS(record[OK],record[製程料號],_018_600[[#This Row],[製令單號]],record[ProcessSN],I$1)</f>
        <v>0</v>
      </c>
      <c r="J96" s="149">
        <f>SUMIFS(record[NG],record[製程料號],_018_600[[#This Row],[製令單號]],record[ProcessSN],J$1)</f>
        <v>0</v>
      </c>
      <c r="K96" s="151">
        <f>IFERROR(_018_600[[#This Row],['#08委外NG]]/_018_600[[#This Row],['#08已委外數量]],"")</f>
        <v>0</v>
      </c>
      <c r="L96" s="147">
        <f>_018_600[[#This Row],['#08回
良品]]-_018_600[[#This Row],['#06檢驗OK]]-_018_600[[#This Row],['#06
QC NG]]</f>
        <v>0</v>
      </c>
      <c r="M96" s="147">
        <f>SUMIFS(record[OK],record[製程料號],_018_600[[#This Row],[製令單號]],record[ProcessSN],M$1)</f>
        <v>0</v>
      </c>
      <c r="N96" s="149">
        <f>SUMIFS(record[NG],record[製程料號],_018_600[[#This Row],[製令單號]],record[ProcessSN],N$1)</f>
        <v>0</v>
      </c>
      <c r="O96" s="147">
        <f>_018_600[[#This Row],['#06檢驗OK]]-_018_600[[#This Row],[不良品]]-_018_600[[#This Row],[良品]]</f>
        <v>0</v>
      </c>
      <c r="P96" s="147">
        <f>SUMIFS(record[OK],record[製程料號],_018_600[[#This Row],[製令單號]],record[ProcessSN],P$1)</f>
        <v>0</v>
      </c>
      <c r="Q96" s="149">
        <f>SUMIFS(record[NG],record[製程料號],_018_600[[#This Row],[製令單號]],record[ProcessSN],Q$1)</f>
        <v>0</v>
      </c>
      <c r="R96" s="147">
        <f>_018_600[[#This Row],[良品]]-_018_600[[#This Row],[良品放行]]-_018_600[[#This Row],[不良待處理]]</f>
        <v>0</v>
      </c>
      <c r="S96" s="147">
        <f>SUMIFS(record[OK],record[製程料號],_018_600[[#This Row],[製令單號]],record[ProcessSN],S$1)</f>
        <v>0</v>
      </c>
      <c r="T96" s="149">
        <f>SUMIFS(record[NG],record[製程料號],_018_600[[#This Row],[製令單號]],record[ProcessSN],T$1)</f>
        <v>0</v>
      </c>
      <c r="U96" s="147">
        <f>_018_600[[#This Row],[良品放行]]-_018_600[[#This Row],[入庫]]</f>
        <v>0</v>
      </c>
      <c r="V96" s="147">
        <f>SUMIFS(record[OK],record[製程料號],_018_600[[#This Row],[製令單號]],record[ProcessSN],V$1)</f>
        <v>0</v>
      </c>
      <c r="W96" s="147">
        <f>_018_600[[#This Row],[入庫]]-_018_600[[#This Row],[已出貨]]</f>
        <v>0</v>
      </c>
      <c r="X96" s="158"/>
      <c r="Y96" s="147">
        <f>SUMIFS(record[OK],record[製程料號],_018_600[[#This Row],[製令單號]],record[ProcessSN],Y$1)</f>
        <v>0</v>
      </c>
      <c r="Z96" s="153">
        <f>_018_600[[#This Row],[不良待處理]]+_018_600[[#This Row],[不良品]]+_018_600[[#This Row],['#06
QC NG]]+_018_600[[#This Row],['#08委外NG]]</f>
        <v>0</v>
      </c>
      <c r="AA96" s="151" t="str">
        <f>IF(_018_600[[#This Row],[已出貨]]+_018_600[[#This Row],[總不良數]]+_018_600[[#This Row],[可出貨數量]]=_018_600[[#This Row],[入料數]],(_018_600[[#This Row],[可出貨數量]]+_018_600[[#This Row],[已出貨]])/_018_600[[#This Row],[入料數]],"")</f>
        <v/>
      </c>
    </row>
  </sheetData>
  <mergeCells count="17">
    <mergeCell ref="A2:A4"/>
    <mergeCell ref="B2:B4"/>
    <mergeCell ref="D2:D3"/>
    <mergeCell ref="E2:J2"/>
    <mergeCell ref="L2:N2"/>
    <mergeCell ref="E3:J3"/>
    <mergeCell ref="L3:N3"/>
    <mergeCell ref="G4:H4"/>
    <mergeCell ref="Y2:Y3"/>
    <mergeCell ref="K2:K4"/>
    <mergeCell ref="Z2:Z3"/>
    <mergeCell ref="AA2:AA4"/>
    <mergeCell ref="R3:T3"/>
    <mergeCell ref="O2:Q2"/>
    <mergeCell ref="O3:Q3"/>
    <mergeCell ref="R2:T2"/>
    <mergeCell ref="U2:W3"/>
  </mergeCells>
  <phoneticPr fontId="3" type="noConversion"/>
  <conditionalFormatting sqref="E6:F96 H6:I96 L6:M96 O6:P96 R6:S96 U6:Y96">
    <cfRule type="cellIs" dxfId="483" priority="44" operator="lessThan">
      <formula>0</formula>
    </cfRule>
    <cfRule type="cellIs" dxfId="482" priority="45" operator="greaterThan">
      <formula>0</formula>
    </cfRule>
  </conditionalFormatting>
  <conditionalFormatting sqref="AA5:AA96">
    <cfRule type="cellIs" dxfId="481" priority="4" operator="lessThan">
      <formula>0.97</formula>
    </cfRule>
  </conditionalFormatting>
  <conditionalFormatting sqref="J6:K96 N6:N96 Q6:Q96 T6:T96">
    <cfRule type="cellIs" dxfId="480" priority="30" operator="greaterThan">
      <formula>0</formula>
    </cfRule>
  </conditionalFormatting>
  <conditionalFormatting sqref="G6:G96">
    <cfRule type="containsText" dxfId="479" priority="11" operator="containsText" text="尚未委外">
      <formula>NOT(ISERROR(SEARCH("尚未委外",G6)))</formula>
    </cfRule>
    <cfRule type="notContainsBlanks" dxfId="478" priority="12">
      <formula>LEN(TRIM(G6))&gt;0</formula>
    </cfRule>
  </conditionalFormatting>
  <conditionalFormatting sqref="K6:K96">
    <cfRule type="containsBlanks" dxfId="477" priority="5">
      <formula>LEN(TRIM(K6))=0</formula>
    </cfRule>
    <cfRule type="cellIs" dxfId="476" priority="6" operator="greaterThan">
      <formula>0.03</formula>
    </cfRule>
  </conditionalFormatting>
  <conditionalFormatting sqref="AA6:AA96">
    <cfRule type="containsBlanks" dxfId="475" priority="2">
      <formula>LEN(TRIM(AA6))=0</formula>
    </cfRule>
    <cfRule type="cellIs" dxfId="474" priority="3" operator="greaterThanOrEqual">
      <formula>0.97</formula>
    </cfRule>
    <cfRule type="notContainsBlanks" dxfId="473" priority="35">
      <formula>LEN(TRIM(AA6))&gt;0</formula>
    </cfRule>
  </conditionalFormatting>
  <pageMargins left="0.7" right="0.7" top="0.75" bottom="0.75" header="0.51180555555555496" footer="0.51180555555555496"/>
  <pageSetup paperSize="9" firstPageNumber="0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5F413-B25E-4F6C-8B04-48D02A10BAB3}">
  <sheetPr codeName="工作表13">
    <tabColor rgb="FF7030A0"/>
  </sheetPr>
  <dimension ref="A1:AA42"/>
  <sheetViews>
    <sheetView zoomScale="50" zoomScaleNormal="50" workbookViewId="0">
      <pane xSplit="4" ySplit="5" topLeftCell="E23" activePane="bottomRight" state="frozen"/>
      <selection activeCell="K50" sqref="K50"/>
      <selection pane="topRight" activeCell="K50" sqref="K50"/>
      <selection pane="bottomLeft" activeCell="K50" sqref="K50"/>
      <selection pane="bottomRight" activeCell="E3" sqref="E3:J3"/>
    </sheetView>
  </sheetViews>
  <sheetFormatPr defaultColWidth="17.7109375" defaultRowHeight="42" customHeight="1" x14ac:dyDescent="0.25"/>
  <cols>
    <col min="1" max="1" width="25.85546875" style="3" bestFit="1" customWidth="1"/>
    <col min="2" max="2" width="25.85546875" style="2" bestFit="1" customWidth="1"/>
    <col min="3" max="3" width="25.5703125" style="2" hidden="1" customWidth="1"/>
    <col min="4" max="4" width="22.5703125" style="2" bestFit="1" customWidth="1"/>
    <col min="5" max="5" width="25.85546875" style="2" bestFit="1" customWidth="1"/>
    <col min="6" max="6" width="26.85546875" style="2" hidden="1" customWidth="1"/>
    <col min="7" max="8" width="25.85546875" style="2" bestFit="1" customWidth="1"/>
    <col min="9" max="9" width="19.42578125" style="2" hidden="1" customWidth="1"/>
    <col min="10" max="11" width="25.85546875" style="2" bestFit="1" customWidth="1"/>
    <col min="12" max="12" width="25.85546875" style="3" bestFit="1" customWidth="1"/>
    <col min="13" max="13" width="25.140625" style="2" hidden="1" customWidth="1"/>
    <col min="14" max="14" width="23.7109375" style="2" bestFit="1" customWidth="1"/>
    <col min="15" max="15" width="25.85546875" style="3" bestFit="1" customWidth="1"/>
    <col min="16" max="16" width="16.5703125" style="2" hidden="1" customWidth="1"/>
    <col min="17" max="17" width="22.5703125" style="2" bestFit="1" customWidth="1"/>
    <col min="18" max="18" width="25.85546875" style="3" bestFit="1" customWidth="1"/>
    <col min="19" max="19" width="23.7109375" style="2" hidden="1" customWidth="1"/>
    <col min="20" max="20" width="25.85546875" style="2" bestFit="1" customWidth="1"/>
    <col min="21" max="21" width="22.5703125" style="2" bestFit="1" customWidth="1"/>
    <col min="22" max="22" width="16.5703125" style="2" hidden="1" customWidth="1"/>
    <col min="23" max="23" width="25.85546875" style="2" bestFit="1" customWidth="1"/>
    <col min="24" max="24" width="17.7109375" style="2" bestFit="1" customWidth="1"/>
    <col min="25" max="25" width="19.85546875" style="2" hidden="1" customWidth="1"/>
    <col min="26" max="26" width="25.85546875" style="2" bestFit="1" customWidth="1"/>
    <col min="27" max="27" width="22.5703125" style="2" bestFit="1" customWidth="1"/>
    <col min="28" max="16384" width="17.7109375" style="2"/>
  </cols>
  <sheetData>
    <row r="1" spans="1:27" ht="101.25" hidden="1" customHeight="1" thickBot="1" x14ac:dyDescent="0.3">
      <c r="F1" s="2" t="s">
        <v>430</v>
      </c>
      <c r="G1" s="2" t="s">
        <v>430</v>
      </c>
      <c r="I1" s="2" t="s">
        <v>431</v>
      </c>
      <c r="J1" s="2" t="s">
        <v>431</v>
      </c>
      <c r="M1" s="2" t="s">
        <v>432</v>
      </c>
      <c r="N1" s="2" t="s">
        <v>432</v>
      </c>
      <c r="P1" s="2" t="s">
        <v>433</v>
      </c>
      <c r="Q1" s="2" t="s">
        <v>433</v>
      </c>
      <c r="S1" s="2" t="s">
        <v>434</v>
      </c>
      <c r="T1" s="2" t="s">
        <v>434</v>
      </c>
      <c r="V1" s="2" t="s">
        <v>435</v>
      </c>
      <c r="Y1" s="2" t="s">
        <v>436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1747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34" t="s">
        <v>67</v>
      </c>
      <c r="AA2" s="336" t="s">
        <v>69</v>
      </c>
    </row>
    <row r="3" spans="1:27" ht="42" customHeight="1" thickBot="1" x14ac:dyDescent="0.3">
      <c r="A3" s="281"/>
      <c r="B3" s="325"/>
      <c r="C3" s="14"/>
      <c r="D3" s="328"/>
      <c r="E3" s="313" t="s">
        <v>1748</v>
      </c>
      <c r="F3" s="314"/>
      <c r="G3" s="314"/>
      <c r="H3" s="314"/>
      <c r="I3" s="314"/>
      <c r="J3" s="315"/>
      <c r="K3" s="330"/>
      <c r="L3" s="316" t="s">
        <v>504</v>
      </c>
      <c r="M3" s="317"/>
      <c r="N3" s="318"/>
      <c r="O3" s="339" t="s">
        <v>1749</v>
      </c>
      <c r="P3" s="340"/>
      <c r="Q3" s="341"/>
      <c r="R3" s="342" t="s">
        <v>504</v>
      </c>
      <c r="S3" s="343"/>
      <c r="T3" s="344"/>
      <c r="U3" s="351"/>
      <c r="V3" s="352"/>
      <c r="W3" s="353"/>
      <c r="X3" s="134"/>
      <c r="Y3" s="333"/>
      <c r="Z3" s="335"/>
      <c r="AA3" s="337"/>
    </row>
    <row r="4" spans="1:27" ht="42" customHeight="1" thickBot="1" x14ac:dyDescent="0.3">
      <c r="A4" s="282"/>
      <c r="B4" s="326"/>
      <c r="C4" s="10"/>
      <c r="D4" s="27">
        <f>SUM(_018_620[入料數])</f>
        <v>1050</v>
      </c>
      <c r="E4" s="25">
        <f>SUM(_018_620['#08待委外數量])</f>
        <v>0</v>
      </c>
      <c r="F4" s="25">
        <f>SUM(_018_620['#08已委外數量])</f>
        <v>1050</v>
      </c>
      <c r="G4" s="319">
        <f>SUM(_018_620['#08待回數量])</f>
        <v>0</v>
      </c>
      <c r="H4" s="320"/>
      <c r="I4" s="25">
        <f>SUM(_018_620['#08已委外數量])</f>
        <v>1050</v>
      </c>
      <c r="J4" s="25">
        <f>SUM(_018_620['#08委外NG])</f>
        <v>3</v>
      </c>
      <c r="K4" s="331"/>
      <c r="L4" s="26">
        <f>SUM(_018_620['#06待檢驗
數量])</f>
        <v>0</v>
      </c>
      <c r="M4" s="26">
        <f>SUM(_018_620['#06檢驗OK])</f>
        <v>1047</v>
      </c>
      <c r="N4" s="26">
        <f>SUM(_018_620['#06
QC NG])</f>
        <v>0</v>
      </c>
      <c r="O4" s="26">
        <f>SUM(_018_620[成品待檢驗])</f>
        <v>0</v>
      </c>
      <c r="P4" s="26">
        <f>SUM(_018_620[良品])</f>
        <v>1014</v>
      </c>
      <c r="Q4" s="26">
        <f>SUM(_018_620[不良品])</f>
        <v>33</v>
      </c>
      <c r="R4" s="26">
        <f>SUM(_018_620[已包裝待放行])</f>
        <v>0</v>
      </c>
      <c r="S4" s="26">
        <f>SUM(_018_620[良品])</f>
        <v>1014</v>
      </c>
      <c r="T4" s="26">
        <f>SUM(_018_620[不良品])</f>
        <v>33</v>
      </c>
      <c r="U4" s="131">
        <f>SUM(_018_620[未入庫])</f>
        <v>64</v>
      </c>
      <c r="V4" s="131">
        <f>SUM(_018_620[入庫])</f>
        <v>950</v>
      </c>
      <c r="W4" s="131">
        <f>SUM(_018_620[可出貨數量])</f>
        <v>0</v>
      </c>
      <c r="X4" s="135"/>
      <c r="Y4" s="132">
        <f>SUM(_018_620[已出貨])</f>
        <v>950</v>
      </c>
      <c r="Z4" s="138">
        <f>SUM(_018_620[總不良數])</f>
        <v>36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293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239">
        <v>46129</v>
      </c>
      <c r="B6" s="240" t="s">
        <v>1829</v>
      </c>
      <c r="C6" s="241" t="s">
        <v>504</v>
      </c>
      <c r="D6" s="242">
        <v>350</v>
      </c>
      <c r="E6" s="243">
        <f>_018_620[[#This Row],[入料數]]-_018_620[[#This Row],['#08已委外數量]]</f>
        <v>0</v>
      </c>
      <c r="F6" s="243">
        <f>SUMIFS(record[OK],record[製程料號],_018_620[[#This Row],[製令單號]],record[ProcessSN],F$1)</f>
        <v>350</v>
      </c>
      <c r="G6" s="242" t="str">
        <f>IF(_018_620[[#This Row],['#08已委外數量]]&gt;0,VLOOKUP(G$1,record[[ProcessSN]:[廠商]],12,FALSE),"尚未委外")</f>
        <v>泉盛</v>
      </c>
      <c r="H6" s="243">
        <f>_018_620[[#This Row],['#08已委外數量]]-_018_620[[#This Row],['#08回
良品]]-_018_620[[#This Row],['#08委外NG]]</f>
        <v>0</v>
      </c>
      <c r="I6" s="243">
        <f>SUMIFS(record[OK],record[製程料號],_018_620[[#This Row],[製令單號]],record[ProcessSN],I$1)</f>
        <v>349</v>
      </c>
      <c r="J6" s="244">
        <f>SUMIFS(record[NG],record[製程料號],_018_620[[#This Row],[製令單號]],record[ProcessSN],J$1)</f>
        <v>1</v>
      </c>
      <c r="K6" s="245">
        <f>IFERROR(_018_620[[#This Row],['#08委外NG]]/_018_620[[#This Row],['#08已委外數量]],"")</f>
        <v>2.8571428571428571E-3</v>
      </c>
      <c r="L6" s="243">
        <f>_018_620[[#This Row],['#08回
良品]]-_018_620[[#This Row],['#06檢驗OK]]-_018_620[[#This Row],['#06
QC NG]]</f>
        <v>0</v>
      </c>
      <c r="M6" s="243">
        <f>SUMIFS(record[OK],record[製程料號],_018_620[[#This Row],[製令單號]],record[ProcessSN],M$1)</f>
        <v>349</v>
      </c>
      <c r="N6" s="244">
        <f>SUMIFS(record[NG],record[製程料號],_018_620[[#This Row],[製令單號]],record[ProcessSN],N$1)</f>
        <v>0</v>
      </c>
      <c r="O6" s="243">
        <f>_018_620[[#This Row],['#06檢驗OK]]-_018_620[[#This Row],[不良品]]-_018_620[[#This Row],[良品]]</f>
        <v>0</v>
      </c>
      <c r="P6" s="243">
        <f>SUMIFS(record[OK],record[製程料號],_018_620[[#This Row],[製令單號]],record[ProcessSN],P$1)</f>
        <v>334</v>
      </c>
      <c r="Q6" s="244">
        <f>SUMIFS(record[NG],record[製程料號],_018_620[[#This Row],[製令單號]],record[ProcessSN],Q$1)</f>
        <v>15</v>
      </c>
      <c r="R6" s="243">
        <f>_018_620[[#This Row],[良品]]-_018_620[[#This Row],[良品放行]]-_018_620[[#This Row],[不良待處理]]</f>
        <v>0</v>
      </c>
      <c r="S6" s="243">
        <f>SUMIFS(record[OK],record[製程料號],_018_620[[#This Row],[製令單號]],record[ProcessSN],S$1)</f>
        <v>334</v>
      </c>
      <c r="T6" s="244">
        <f>SUMIFS(record[NG],record[製程料號],_018_620[[#This Row],[製令單號]],record[ProcessSN],T$1)</f>
        <v>0</v>
      </c>
      <c r="U6" s="243">
        <f>_018_620[[#This Row],[良品放行]]-_018_620[[#This Row],[入庫]]</f>
        <v>0</v>
      </c>
      <c r="V6" s="243">
        <f>SUMIFS(record[OK],record[製程料號],_018_620[[#This Row],[製令單號]],record[ProcessSN],V$1)</f>
        <v>334</v>
      </c>
      <c r="W6" s="243">
        <f>_018_620[[#This Row],[入庫]]-_018_620[[#This Row],[已出貨]]</f>
        <v>0</v>
      </c>
      <c r="X6" s="246"/>
      <c r="Y6" s="243">
        <f>SUMIFS(record[OK],record[製程料號],_018_620[[#This Row],[製令單號]],record[ProcessSN],Y$1)</f>
        <v>334</v>
      </c>
      <c r="Z6" s="247">
        <f>_018_620[[#This Row],[不良待處理]]+_018_620[[#This Row],[不良品]]+_018_620[[#This Row],['#06
QC NG]]+_018_620[[#This Row],['#08委外NG]]</f>
        <v>16</v>
      </c>
      <c r="AA6" s="245">
        <f>IF(_018_620[[#This Row],[已出貨]]+_018_620[[#This Row],[總不良數]]+_018_620[[#This Row],[可出貨數量]]=_018_620[[#This Row],[入料數]],(_018_620[[#This Row],[可出貨數量]]+_018_620[[#This Row],[已出貨]])/_018_620[[#This Row],[入料數]],"")</f>
        <v>0.95428571428571429</v>
      </c>
    </row>
    <row r="7" spans="1:27" ht="30.75" x14ac:dyDescent="0.25">
      <c r="A7" s="239">
        <v>46133</v>
      </c>
      <c r="B7" s="240" t="s">
        <v>1861</v>
      </c>
      <c r="C7" s="241" t="s">
        <v>504</v>
      </c>
      <c r="D7" s="242">
        <v>250</v>
      </c>
      <c r="E7" s="243">
        <f>_018_620[[#This Row],[入料數]]-_018_620[[#This Row],['#08已委外數量]]</f>
        <v>0</v>
      </c>
      <c r="F7" s="243">
        <f>SUMIFS(record[OK],record[製程料號],_018_620[[#This Row],[製令單號]],record[ProcessSN],F$1)</f>
        <v>250</v>
      </c>
      <c r="G7" s="242" t="str">
        <f>IF(_018_620[[#This Row],['#08已委外數量]]&gt;0,VLOOKUP(G$1,record[[ProcessSN]:[廠商]],12,FALSE),"尚未委外")</f>
        <v>泉盛</v>
      </c>
      <c r="H7" s="243">
        <f>_018_620[[#This Row],['#08已委外數量]]-_018_620[[#This Row],['#08回
良品]]-_018_620[[#This Row],['#08委外NG]]</f>
        <v>0</v>
      </c>
      <c r="I7" s="243">
        <f>SUMIFS(record[OK],record[製程料號],_018_620[[#This Row],[製令單號]],record[ProcessSN],I$1)</f>
        <v>250</v>
      </c>
      <c r="J7" s="244">
        <f>SUMIFS(record[NG],record[製程料號],_018_620[[#This Row],[製令單號]],record[ProcessSN],J$1)</f>
        <v>0</v>
      </c>
      <c r="K7" s="245">
        <f>IFERROR(_018_620[[#This Row],['#08委外NG]]/_018_620[[#This Row],['#08已委外數量]],"")</f>
        <v>0</v>
      </c>
      <c r="L7" s="243">
        <f>_018_620[[#This Row],['#08回
良品]]-_018_620[[#This Row],['#06檢驗OK]]-_018_620[[#This Row],['#06
QC NG]]</f>
        <v>0</v>
      </c>
      <c r="M7" s="243">
        <f>SUMIFS(record[OK],record[製程料號],_018_620[[#This Row],[製令單號]],record[ProcessSN],M$1)</f>
        <v>250</v>
      </c>
      <c r="N7" s="244">
        <f>SUMIFS(record[NG],record[製程料號],_018_620[[#This Row],[製令單號]],record[ProcessSN],N$1)</f>
        <v>0</v>
      </c>
      <c r="O7" s="243">
        <f>_018_620[[#This Row],['#06檢驗OK]]-_018_620[[#This Row],[不良品]]-_018_620[[#This Row],[良品]]</f>
        <v>0</v>
      </c>
      <c r="P7" s="243">
        <f>SUMIFS(record[OK],record[製程料號],_018_620[[#This Row],[製令單號]],record[ProcessSN],P$1)</f>
        <v>244</v>
      </c>
      <c r="Q7" s="244">
        <f>SUMIFS(record[NG],record[製程料號],_018_620[[#This Row],[製令單號]],record[ProcessSN],Q$1)</f>
        <v>6</v>
      </c>
      <c r="R7" s="243">
        <f>_018_620[[#This Row],[良品]]-_018_620[[#This Row],[良品放行]]-_018_620[[#This Row],[不良待處理]]</f>
        <v>0</v>
      </c>
      <c r="S7" s="243">
        <f>SUMIFS(record[OK],record[製程料號],_018_620[[#This Row],[製令單號]],record[ProcessSN],S$1)</f>
        <v>244</v>
      </c>
      <c r="T7" s="244">
        <f>SUMIFS(record[NG],record[製程料號],_018_620[[#This Row],[製令單號]],record[ProcessSN],T$1)</f>
        <v>0</v>
      </c>
      <c r="U7" s="243">
        <f>_018_620[[#This Row],[良品放行]]-_018_620[[#This Row],[入庫]]</f>
        <v>0</v>
      </c>
      <c r="V7" s="243">
        <f>SUMIFS(record[OK],record[製程料號],_018_620[[#This Row],[製令單號]],record[ProcessSN],V$1)</f>
        <v>244</v>
      </c>
      <c r="W7" s="243">
        <f>_018_620[[#This Row],[入庫]]-_018_620[[#This Row],[已出貨]]</f>
        <v>0</v>
      </c>
      <c r="X7" s="246"/>
      <c r="Y7" s="243">
        <f>SUMIFS(record[OK],record[製程料號],_018_620[[#This Row],[製令單號]],record[ProcessSN],Y$1)</f>
        <v>244</v>
      </c>
      <c r="Z7" s="247">
        <f>_018_620[[#This Row],[不良待處理]]+_018_620[[#This Row],[不良品]]+_018_620[[#This Row],['#06
QC NG]]+_018_620[[#This Row],['#08委外NG]]</f>
        <v>6</v>
      </c>
      <c r="AA7" s="245">
        <f>IF(_018_620[[#This Row],[已出貨]]+_018_620[[#This Row],[總不良數]]+_018_620[[#This Row],[可出貨數量]]=_018_620[[#This Row],[入料數]],(_018_620[[#This Row],[可出貨數量]]+_018_620[[#This Row],[已出貨]])/_018_620[[#This Row],[入料數]],"")</f>
        <v>0.97599999999999998</v>
      </c>
    </row>
    <row r="8" spans="1:27" ht="30.75" x14ac:dyDescent="0.25">
      <c r="A8" s="239">
        <v>46150</v>
      </c>
      <c r="B8" s="240" t="s">
        <v>1989</v>
      </c>
      <c r="C8" s="241" t="s">
        <v>504</v>
      </c>
      <c r="D8" s="242">
        <v>200</v>
      </c>
      <c r="E8" s="243">
        <f>_018_620[[#This Row],[入料數]]-_018_620[[#This Row],['#08已委外數量]]</f>
        <v>0</v>
      </c>
      <c r="F8" s="243">
        <f>SUMIFS(record[OK],record[製程料號],_018_620[[#This Row],[製令單號]],record[ProcessSN],F$1)</f>
        <v>200</v>
      </c>
      <c r="G8" s="242" t="str">
        <f>IF(_018_620[[#This Row],['#08已委外數量]]&gt;0,VLOOKUP(G$1,record[[ProcessSN]:[廠商]],12,FALSE),"尚未委外")</f>
        <v>泉盛</v>
      </c>
      <c r="H8" s="243">
        <f>_018_620[[#This Row],['#08已委外數量]]-_018_620[[#This Row],['#08回
良品]]-_018_620[[#This Row],['#08委外NG]]</f>
        <v>0</v>
      </c>
      <c r="I8" s="243">
        <f>SUMIFS(record[OK],record[製程料號],_018_620[[#This Row],[製令單號]],record[ProcessSN],I$1)</f>
        <v>198</v>
      </c>
      <c r="J8" s="244">
        <f>SUMIFS(record[NG],record[製程料號],_018_620[[#This Row],[製令單號]],record[ProcessSN],J$1)</f>
        <v>2</v>
      </c>
      <c r="K8" s="245">
        <f>IFERROR(_018_620[[#This Row],['#08委外NG]]/_018_620[[#This Row],['#08已委外數量]],"")</f>
        <v>0.01</v>
      </c>
      <c r="L8" s="243">
        <f>_018_620[[#This Row],['#08回
良品]]-_018_620[[#This Row],['#06檢驗OK]]-_018_620[[#This Row],['#06
QC NG]]</f>
        <v>0</v>
      </c>
      <c r="M8" s="243">
        <f>SUMIFS(record[OK],record[製程料號],_018_620[[#This Row],[製令單號]],record[ProcessSN],M$1)</f>
        <v>198</v>
      </c>
      <c r="N8" s="244">
        <f>SUMIFS(record[NG],record[製程料號],_018_620[[#This Row],[製令單號]],record[ProcessSN],N$1)</f>
        <v>0</v>
      </c>
      <c r="O8" s="243">
        <f>_018_620[[#This Row],['#06檢驗OK]]-_018_620[[#This Row],[不良品]]-_018_620[[#This Row],[良品]]</f>
        <v>0</v>
      </c>
      <c r="P8" s="243">
        <f>SUMIFS(record[OK],record[製程料號],_018_620[[#This Row],[製令單號]],record[ProcessSN],P$1)</f>
        <v>188</v>
      </c>
      <c r="Q8" s="244">
        <f>SUMIFS(record[NG],record[製程料號],_018_620[[#This Row],[製令單號]],record[ProcessSN],Q$1)</f>
        <v>10</v>
      </c>
      <c r="R8" s="243">
        <f>_018_620[[#This Row],[良品]]-_018_620[[#This Row],[良品放行]]-_018_620[[#This Row],[不良待處理]]</f>
        <v>0</v>
      </c>
      <c r="S8" s="243">
        <f>SUMIFS(record[OK],record[製程料號],_018_620[[#This Row],[製令單號]],record[ProcessSN],S$1)</f>
        <v>188</v>
      </c>
      <c r="T8" s="244">
        <f>SUMIFS(record[NG],record[製程料號],_018_620[[#This Row],[製令單號]],record[ProcessSN],T$1)</f>
        <v>0</v>
      </c>
      <c r="U8" s="243">
        <f>_018_620[[#This Row],[良品放行]]-_018_620[[#This Row],[入庫]]</f>
        <v>0</v>
      </c>
      <c r="V8" s="243">
        <f>SUMIFS(record[OK],record[製程料號],_018_620[[#This Row],[製令單號]],record[ProcessSN],V$1)</f>
        <v>188</v>
      </c>
      <c r="W8" s="243">
        <f>_018_620[[#This Row],[入庫]]-_018_620[[#This Row],[已出貨]]</f>
        <v>0</v>
      </c>
      <c r="X8" s="246"/>
      <c r="Y8" s="243">
        <f>SUMIFS(record[OK],record[製程料號],_018_620[[#This Row],[製令單號]],record[ProcessSN],Y$1)</f>
        <v>188</v>
      </c>
      <c r="Z8" s="247">
        <f>_018_620[[#This Row],[不良待處理]]+_018_620[[#This Row],[不良品]]+_018_620[[#This Row],['#06
QC NG]]+_018_620[[#This Row],['#08委外NG]]</f>
        <v>12</v>
      </c>
      <c r="AA8" s="245">
        <f>IF(_018_620[[#This Row],[已出貨]]+_018_620[[#This Row],[總不良數]]+_018_620[[#This Row],[可出貨數量]]=_018_620[[#This Row],[入料數]],(_018_620[[#This Row],[可出貨數量]]+_018_620[[#This Row],[已出貨]])/_018_620[[#This Row],[入料數]],"")</f>
        <v>0.94</v>
      </c>
    </row>
    <row r="9" spans="1:27" ht="30.75" x14ac:dyDescent="0.25">
      <c r="A9" s="239">
        <v>46153</v>
      </c>
      <c r="B9" s="240" t="s">
        <v>2004</v>
      </c>
      <c r="C9" s="241" t="s">
        <v>504</v>
      </c>
      <c r="D9" s="242">
        <v>250</v>
      </c>
      <c r="E9" s="243">
        <f>_018_620[[#This Row],[入料數]]-_018_620[[#This Row],['#08已委外數量]]</f>
        <v>0</v>
      </c>
      <c r="F9" s="243">
        <f>SUMIFS(record[OK],record[製程料號],_018_620[[#This Row],[製令單號]],record[ProcessSN],F$1)</f>
        <v>250</v>
      </c>
      <c r="G9" s="242" t="str">
        <f>IF(_018_620[[#This Row],['#08已委外數量]]&gt;0,VLOOKUP(G$1,record[[ProcessSN]:[廠商]],12,FALSE),"尚未委外")</f>
        <v>泉盛</v>
      </c>
      <c r="H9" s="243">
        <f>_018_620[[#This Row],['#08已委外數量]]-_018_620[[#This Row],['#08回
良品]]-_018_620[[#This Row],['#08委外NG]]</f>
        <v>0</v>
      </c>
      <c r="I9" s="243">
        <f>SUMIFS(record[OK],record[製程料號],_018_620[[#This Row],[製令單號]],record[ProcessSN],I$1)</f>
        <v>250</v>
      </c>
      <c r="J9" s="244">
        <f>SUMIFS(record[NG],record[製程料號],_018_620[[#This Row],[製令單號]],record[ProcessSN],J$1)</f>
        <v>0</v>
      </c>
      <c r="K9" s="245">
        <f>IFERROR(_018_620[[#This Row],['#08委外NG]]/_018_620[[#This Row],['#08已委外數量]],"")</f>
        <v>0</v>
      </c>
      <c r="L9" s="243">
        <f>_018_620[[#This Row],['#08回
良品]]-_018_620[[#This Row],['#06檢驗OK]]-_018_620[[#This Row],['#06
QC NG]]</f>
        <v>0</v>
      </c>
      <c r="M9" s="243">
        <f>SUMIFS(record[OK],record[製程料號],_018_620[[#This Row],[製令單號]],record[ProcessSN],M$1)</f>
        <v>250</v>
      </c>
      <c r="N9" s="244">
        <f>SUMIFS(record[NG],record[製程料號],_018_620[[#This Row],[製令單號]],record[ProcessSN],N$1)</f>
        <v>0</v>
      </c>
      <c r="O9" s="243">
        <f>_018_620[[#This Row],['#06檢驗OK]]-_018_620[[#This Row],[不良品]]-_018_620[[#This Row],[良品]]</f>
        <v>0</v>
      </c>
      <c r="P9" s="243">
        <f>SUMIFS(record[OK],record[製程料號],_018_620[[#This Row],[製令單號]],record[ProcessSN],P$1)</f>
        <v>248</v>
      </c>
      <c r="Q9" s="244">
        <f>SUMIFS(record[NG],record[製程料號],_018_620[[#This Row],[製令單號]],record[ProcessSN],Q$1)</f>
        <v>2</v>
      </c>
      <c r="R9" s="243">
        <f>_018_620[[#This Row],[良品]]-_018_620[[#This Row],[良品放行]]-_018_620[[#This Row],[不良待處理]]</f>
        <v>0</v>
      </c>
      <c r="S9" s="243">
        <f>SUMIFS(record[OK],record[製程料號],_018_620[[#This Row],[製令單號]],record[ProcessSN],S$1)</f>
        <v>248</v>
      </c>
      <c r="T9" s="244">
        <f>SUMIFS(record[NG],record[製程料號],_018_620[[#This Row],[製令單號]],record[ProcessSN],T$1)</f>
        <v>0</v>
      </c>
      <c r="U9" s="243">
        <f>_018_620[[#This Row],[良品放行]]-_018_620[[#This Row],[入庫]]</f>
        <v>64</v>
      </c>
      <c r="V9" s="243">
        <f>SUMIFS(record[OK],record[製程料號],_018_620[[#This Row],[製令單號]],record[ProcessSN],V$1)</f>
        <v>184</v>
      </c>
      <c r="W9" s="243">
        <f>_018_620[[#This Row],[入庫]]-_018_620[[#This Row],[已出貨]]</f>
        <v>0</v>
      </c>
      <c r="X9" s="246"/>
      <c r="Y9" s="243">
        <f>SUMIFS(record[OK],record[製程料號],_018_620[[#This Row],[製令單號]],record[ProcessSN],Y$1)</f>
        <v>184</v>
      </c>
      <c r="Z9" s="247">
        <f>_018_620[[#This Row],[不良待處理]]+_018_620[[#This Row],[不良品]]+_018_620[[#This Row],['#06
QC NG]]+_018_620[[#This Row],['#08委外NG]]</f>
        <v>2</v>
      </c>
      <c r="AA9" s="245" t="str">
        <f>IF(_018_620[[#This Row],[已出貨]]+_018_620[[#This Row],[總不良數]]+_018_620[[#This Row],[可出貨數量]]=_018_620[[#This Row],[入料數]],(_018_620[[#This Row],[可出貨數量]]+_018_620[[#This Row],[已出貨]])/_018_620[[#This Row],[入料數]],"")</f>
        <v/>
      </c>
    </row>
    <row r="10" spans="1:27" ht="15.75" x14ac:dyDescent="0.25"/>
    <row r="11" spans="1:27" ht="15.75" x14ac:dyDescent="0.25"/>
    <row r="12" spans="1:27" ht="15.75" x14ac:dyDescent="0.25"/>
    <row r="13" spans="1:27" ht="15.75" x14ac:dyDescent="0.25"/>
    <row r="14" spans="1:27" ht="15.75" x14ac:dyDescent="0.25"/>
    <row r="15" spans="1:27" ht="15.75" x14ac:dyDescent="0.25"/>
    <row r="16" spans="1:27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  <row r="22" ht="15.75" x14ac:dyDescent="0.25"/>
    <row r="23" ht="15.75" x14ac:dyDescent="0.25"/>
    <row r="24" ht="15.75" x14ac:dyDescent="0.25"/>
    <row r="25" ht="15.75" x14ac:dyDescent="0.25"/>
    <row r="26" ht="15.75" x14ac:dyDescent="0.25"/>
    <row r="27" ht="15.75" x14ac:dyDescent="0.25"/>
    <row r="28" ht="15.75" x14ac:dyDescent="0.25"/>
    <row r="29" ht="15.75" x14ac:dyDescent="0.25"/>
    <row r="30" ht="15.75" x14ac:dyDescent="0.25"/>
    <row r="31" ht="15.75" x14ac:dyDescent="0.25"/>
    <row r="32" ht="15.75" x14ac:dyDescent="0.25"/>
    <row r="33" ht="15.75" x14ac:dyDescent="0.25"/>
    <row r="34" ht="15.75" x14ac:dyDescent="0.25"/>
    <row r="35" ht="15.75" x14ac:dyDescent="0.25"/>
    <row r="36" ht="15.75" x14ac:dyDescent="0.25"/>
    <row r="37" ht="15.75" x14ac:dyDescent="0.25"/>
    <row r="38" ht="15.75" x14ac:dyDescent="0.25"/>
    <row r="39" ht="15.75" x14ac:dyDescent="0.25"/>
    <row r="40" ht="15.75" x14ac:dyDescent="0.25"/>
    <row r="41" ht="15.75" x14ac:dyDescent="0.25"/>
    <row r="42" ht="15.75" x14ac:dyDescent="0.25"/>
  </sheetData>
  <mergeCells count="17">
    <mergeCell ref="Y2:Y3"/>
    <mergeCell ref="Z2:Z3"/>
    <mergeCell ref="AA2:AA4"/>
    <mergeCell ref="O3:Q3"/>
    <mergeCell ref="R3:T3"/>
    <mergeCell ref="R2:T2"/>
    <mergeCell ref="U2:W3"/>
    <mergeCell ref="A2:A4"/>
    <mergeCell ref="B2:B4"/>
    <mergeCell ref="D2:D3"/>
    <mergeCell ref="E2:J2"/>
    <mergeCell ref="K2:K4"/>
    <mergeCell ref="L2:N2"/>
    <mergeCell ref="E3:J3"/>
    <mergeCell ref="L3:N3"/>
    <mergeCell ref="G4:H4"/>
    <mergeCell ref="O2:Q2"/>
  </mergeCells>
  <phoneticPr fontId="3" type="noConversion"/>
  <conditionalFormatting sqref="E5:F9 H5:I9 L5:M9 O5:P9 R5:S9 U5:Y9">
    <cfRule type="cellIs" dxfId="472" priority="10" operator="lessThan">
      <formula>0</formula>
    </cfRule>
    <cfRule type="cellIs" dxfId="471" priority="11" operator="greaterThan">
      <formula>0</formula>
    </cfRule>
  </conditionalFormatting>
  <conditionalFormatting sqref="AA5:AA9">
    <cfRule type="cellIs" dxfId="470" priority="3" operator="lessThan">
      <formula>0.97</formula>
    </cfRule>
  </conditionalFormatting>
  <conditionalFormatting sqref="J5:K9 N5:N9 Q5:Q9 T5:T9">
    <cfRule type="cellIs" dxfId="469" priority="8" operator="greaterThan">
      <formula>0</formula>
    </cfRule>
  </conditionalFormatting>
  <conditionalFormatting sqref="G5:G9">
    <cfRule type="containsText" dxfId="468" priority="6" operator="containsText" text="尚未委外">
      <formula>NOT(ISERROR(SEARCH("尚未委外",G5)))</formula>
    </cfRule>
    <cfRule type="notContainsBlanks" dxfId="467" priority="7">
      <formula>LEN(TRIM(G5))&gt;0</formula>
    </cfRule>
  </conditionalFormatting>
  <conditionalFormatting sqref="K5:K9">
    <cfRule type="containsBlanks" dxfId="466" priority="4">
      <formula>LEN(TRIM(K5))=0</formula>
    </cfRule>
    <cfRule type="cellIs" dxfId="465" priority="5" operator="greaterThan">
      <formula>0.03</formula>
    </cfRule>
  </conditionalFormatting>
  <conditionalFormatting sqref="AA5:AA9">
    <cfRule type="containsBlanks" dxfId="464" priority="1">
      <formula>LEN(TRIM(AA5))=0</formula>
    </cfRule>
    <cfRule type="cellIs" dxfId="463" priority="2" operator="greaterThanOrEqual">
      <formula>0.97</formula>
    </cfRule>
    <cfRule type="notContainsBlanks" dxfId="462" priority="9">
      <formula>LEN(TRIM(AA5))&gt;0</formula>
    </cfRule>
  </conditionalFormatting>
  <pageMargins left="0.7" right="0.7" top="0.75" bottom="0.75" header="0.51180555555555496" footer="0.51180555555555496"/>
  <pageSetup paperSize="9" firstPageNumber="0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BC4B6-91CB-42DA-8C38-AD3C0ABB8201}">
  <sheetPr codeName="工作表14">
    <tabColor rgb="FF7030A0"/>
  </sheetPr>
  <dimension ref="A1:AA42"/>
  <sheetViews>
    <sheetView zoomScale="50" zoomScaleNormal="50" workbookViewId="0">
      <pane xSplit="4" ySplit="5" topLeftCell="E6" activePane="bottomRight" state="frozen"/>
      <selection activeCell="F1" sqref="A1:XFD1048576"/>
      <selection pane="topRight" activeCell="F1" sqref="A1:XFD1048576"/>
      <selection pane="bottomLeft" activeCell="F1" sqref="A1:XFD1048576"/>
      <selection pane="bottomRight" activeCell="E3" sqref="E3:J3"/>
    </sheetView>
  </sheetViews>
  <sheetFormatPr defaultColWidth="17.7109375" defaultRowHeight="42" customHeight="1" x14ac:dyDescent="0.25"/>
  <cols>
    <col min="1" max="1" width="25.85546875" style="3" bestFit="1" customWidth="1"/>
    <col min="2" max="2" width="25.85546875" style="2" bestFit="1" customWidth="1"/>
    <col min="3" max="3" width="25.5703125" style="2" hidden="1" customWidth="1"/>
    <col min="4" max="4" width="22.5703125" style="2" bestFit="1" customWidth="1"/>
    <col min="5" max="5" width="25.85546875" style="2" bestFit="1" customWidth="1"/>
    <col min="6" max="6" width="26.85546875" style="2" hidden="1" customWidth="1"/>
    <col min="7" max="8" width="25.85546875" style="2" bestFit="1" customWidth="1"/>
    <col min="9" max="9" width="19.42578125" style="2" hidden="1" customWidth="1"/>
    <col min="10" max="11" width="25.85546875" style="2" bestFit="1" customWidth="1"/>
    <col min="12" max="12" width="25.85546875" style="3" bestFit="1" customWidth="1"/>
    <col min="13" max="13" width="25.140625" style="2" hidden="1" customWidth="1"/>
    <col min="14" max="14" width="23.7109375" style="2" bestFit="1" customWidth="1"/>
    <col min="15" max="15" width="25.85546875" style="3" bestFit="1" customWidth="1"/>
    <col min="16" max="16" width="16.5703125" style="2" hidden="1" customWidth="1"/>
    <col min="17" max="17" width="22.5703125" style="2" bestFit="1" customWidth="1"/>
    <col min="18" max="18" width="25.85546875" style="3" bestFit="1" customWidth="1"/>
    <col min="19" max="19" width="23.7109375" style="2" hidden="1" customWidth="1"/>
    <col min="20" max="20" width="25.85546875" style="2" bestFit="1" customWidth="1"/>
    <col min="21" max="21" width="22.5703125" style="2" bestFit="1" customWidth="1"/>
    <col min="22" max="22" width="16.5703125" style="2" hidden="1" customWidth="1"/>
    <col min="23" max="23" width="25.85546875" style="2" bestFit="1" customWidth="1"/>
    <col min="24" max="24" width="17.7109375" style="2" bestFit="1" customWidth="1"/>
    <col min="25" max="25" width="19.85546875" style="2" hidden="1" customWidth="1"/>
    <col min="26" max="26" width="25.85546875" style="2" bestFit="1" customWidth="1"/>
    <col min="27" max="27" width="22.5703125" style="2" bestFit="1" customWidth="1"/>
    <col min="28" max="16384" width="17.7109375" style="2"/>
  </cols>
  <sheetData>
    <row r="1" spans="1:27" ht="101.25" hidden="1" customHeight="1" thickBot="1" x14ac:dyDescent="0.3">
      <c r="F1" s="2" t="s">
        <v>438</v>
      </c>
      <c r="G1" s="2" t="s">
        <v>438</v>
      </c>
      <c r="I1" s="2" t="s">
        <v>439</v>
      </c>
      <c r="J1" s="2" t="s">
        <v>439</v>
      </c>
      <c r="M1" s="2" t="s">
        <v>440</v>
      </c>
      <c r="N1" s="2" t="s">
        <v>440</v>
      </c>
      <c r="P1" s="2" t="s">
        <v>441</v>
      </c>
      <c r="Q1" s="2" t="s">
        <v>441</v>
      </c>
      <c r="S1" s="2" t="s">
        <v>442</v>
      </c>
      <c r="T1" s="2" t="s">
        <v>442</v>
      </c>
      <c r="V1" s="2" t="s">
        <v>443</v>
      </c>
      <c r="Y1" s="2" t="s">
        <v>444</v>
      </c>
    </row>
    <row r="2" spans="1:27" s="1" customFormat="1" ht="42" customHeight="1" x14ac:dyDescent="0.25">
      <c r="A2" s="280" t="str">
        <f ca="1">YEAR(TODAY())-1911&amp;"年度"</f>
        <v>115年度</v>
      </c>
      <c r="B2" s="324" t="s">
        <v>1750</v>
      </c>
      <c r="C2" s="9"/>
      <c r="D2" s="327" t="s">
        <v>300</v>
      </c>
      <c r="E2" s="307" t="s">
        <v>1931</v>
      </c>
      <c r="F2" s="308"/>
      <c r="G2" s="308"/>
      <c r="H2" s="308"/>
      <c r="I2" s="308"/>
      <c r="J2" s="309"/>
      <c r="K2" s="329" t="s">
        <v>584</v>
      </c>
      <c r="L2" s="260" t="s">
        <v>0</v>
      </c>
      <c r="M2" s="261"/>
      <c r="N2" s="262"/>
      <c r="O2" s="321" t="s">
        <v>30</v>
      </c>
      <c r="P2" s="322"/>
      <c r="Q2" s="323"/>
      <c r="R2" s="345" t="s">
        <v>31</v>
      </c>
      <c r="S2" s="346"/>
      <c r="T2" s="347"/>
      <c r="U2" s="348" t="s">
        <v>32</v>
      </c>
      <c r="V2" s="349"/>
      <c r="W2" s="350"/>
      <c r="X2" s="133"/>
      <c r="Y2" s="332" t="s">
        <v>61</v>
      </c>
      <c r="Z2" s="334" t="s">
        <v>67</v>
      </c>
      <c r="AA2" s="336" t="s">
        <v>69</v>
      </c>
    </row>
    <row r="3" spans="1:27" ht="42" customHeight="1" thickBot="1" x14ac:dyDescent="0.3">
      <c r="A3" s="281"/>
      <c r="B3" s="325"/>
      <c r="C3" s="14"/>
      <c r="D3" s="328"/>
      <c r="E3" s="313" t="s">
        <v>1751</v>
      </c>
      <c r="F3" s="314"/>
      <c r="G3" s="314"/>
      <c r="H3" s="314"/>
      <c r="I3" s="314"/>
      <c r="J3" s="315"/>
      <c r="K3" s="330"/>
      <c r="L3" s="316" t="s">
        <v>505</v>
      </c>
      <c r="M3" s="317"/>
      <c r="N3" s="318"/>
      <c r="O3" s="339" t="s">
        <v>1752</v>
      </c>
      <c r="P3" s="340"/>
      <c r="Q3" s="341"/>
      <c r="R3" s="342" t="s">
        <v>505</v>
      </c>
      <c r="S3" s="343"/>
      <c r="T3" s="344"/>
      <c r="U3" s="351"/>
      <c r="V3" s="352"/>
      <c r="W3" s="353"/>
      <c r="X3" s="134"/>
      <c r="Y3" s="333"/>
      <c r="Z3" s="335"/>
      <c r="AA3" s="337"/>
    </row>
    <row r="4" spans="1:27" ht="42" customHeight="1" thickBot="1" x14ac:dyDescent="0.3">
      <c r="A4" s="282"/>
      <c r="B4" s="326"/>
      <c r="C4" s="10"/>
      <c r="D4" s="27">
        <f>SUM(_018_650[入料數])</f>
        <v>2566</v>
      </c>
      <c r="E4" s="25">
        <f>SUM(_018_650['#08待委外數量])</f>
        <v>0</v>
      </c>
      <c r="F4" s="25">
        <f>SUM(_018_650['#08已委外數量])</f>
        <v>2566</v>
      </c>
      <c r="G4" s="319">
        <f>SUM(_018_650['#08待回數量])</f>
        <v>0</v>
      </c>
      <c r="H4" s="320"/>
      <c r="I4" s="25">
        <f>SUM(_018_650['#08已委外數量])</f>
        <v>2566</v>
      </c>
      <c r="J4" s="25">
        <f>SUM(_018_650['#08委外NG])</f>
        <v>43</v>
      </c>
      <c r="K4" s="331"/>
      <c r="L4" s="26">
        <f>SUM(_018_650['#06待檢驗
數量])</f>
        <v>0</v>
      </c>
      <c r="M4" s="26">
        <f>SUM(_018_650['#06檢驗OK])</f>
        <v>2523</v>
      </c>
      <c r="N4" s="26">
        <f>SUM(_018_650['#06
QC NG])</f>
        <v>0</v>
      </c>
      <c r="O4" s="26">
        <f>SUM(_018_650[成品待檢驗])</f>
        <v>0</v>
      </c>
      <c r="P4" s="26">
        <f>SUM(_018_650[良品])</f>
        <v>2489</v>
      </c>
      <c r="Q4" s="26">
        <f>SUM(_018_650[不良品])</f>
        <v>34</v>
      </c>
      <c r="R4" s="26">
        <f>SUM(_018_650[已包裝待放行])</f>
        <v>0</v>
      </c>
      <c r="S4" s="26">
        <f>SUM(_018_650[良品])</f>
        <v>2489</v>
      </c>
      <c r="T4" s="26">
        <f>SUM(_018_650[不良品])</f>
        <v>34</v>
      </c>
      <c r="U4" s="131">
        <f>SUM(_018_650[未入庫])</f>
        <v>0</v>
      </c>
      <c r="V4" s="131">
        <f>SUM(_018_650[入庫])</f>
        <v>2489</v>
      </c>
      <c r="W4" s="131">
        <f>SUM(_018_650[可出貨數量])</f>
        <v>389</v>
      </c>
      <c r="X4" s="135"/>
      <c r="Y4" s="132">
        <f>SUM(_018_650[已出貨])</f>
        <v>2100</v>
      </c>
      <c r="Z4" s="138">
        <f>SUM(_018_650[總不良數])</f>
        <v>77</v>
      </c>
      <c r="AA4" s="338"/>
    </row>
    <row r="5" spans="1:27" s="13" customFormat="1" ht="40.5" x14ac:dyDescent="0.25">
      <c r="A5" s="57" t="s">
        <v>16</v>
      </c>
      <c r="B5" s="58" t="s">
        <v>13</v>
      </c>
      <c r="C5" s="58" t="s">
        <v>14</v>
      </c>
      <c r="D5" s="59" t="s">
        <v>15</v>
      </c>
      <c r="E5" s="58" t="s">
        <v>566</v>
      </c>
      <c r="F5" s="58" t="s">
        <v>567</v>
      </c>
      <c r="G5" s="58" t="s">
        <v>568</v>
      </c>
      <c r="H5" s="58" t="s">
        <v>569</v>
      </c>
      <c r="I5" s="67" t="s">
        <v>570</v>
      </c>
      <c r="J5" s="58" t="s">
        <v>571</v>
      </c>
      <c r="K5" s="58" t="s">
        <v>584</v>
      </c>
      <c r="L5" s="85" t="s">
        <v>302</v>
      </c>
      <c r="M5" s="62" t="s">
        <v>303</v>
      </c>
      <c r="N5" s="85" t="s">
        <v>304</v>
      </c>
      <c r="O5" s="62" t="s">
        <v>36</v>
      </c>
      <c r="P5" s="62" t="s">
        <v>2</v>
      </c>
      <c r="Q5" s="62" t="s">
        <v>3</v>
      </c>
      <c r="R5" s="62" t="s">
        <v>33</v>
      </c>
      <c r="S5" s="62" t="s">
        <v>34</v>
      </c>
      <c r="T5" s="62" t="s">
        <v>35</v>
      </c>
      <c r="U5" s="62" t="s">
        <v>37</v>
      </c>
      <c r="V5" s="84" t="s">
        <v>293</v>
      </c>
      <c r="W5" s="55" t="s">
        <v>60</v>
      </c>
      <c r="X5" s="136" t="s">
        <v>640</v>
      </c>
      <c r="Y5" s="64" t="s">
        <v>59</v>
      </c>
      <c r="Z5" s="64" t="s">
        <v>68</v>
      </c>
      <c r="AA5" s="64" t="s">
        <v>69</v>
      </c>
    </row>
    <row r="6" spans="1:27" ht="30.75" x14ac:dyDescent="0.25">
      <c r="A6" s="239">
        <v>46127</v>
      </c>
      <c r="B6" s="240" t="s">
        <v>1807</v>
      </c>
      <c r="C6" s="241" t="s">
        <v>505</v>
      </c>
      <c r="D6" s="242">
        <v>286</v>
      </c>
      <c r="E6" s="243">
        <f>_018_650[[#This Row],[入料數]]-_018_650[[#This Row],['#08已委外數量]]</f>
        <v>0</v>
      </c>
      <c r="F6" s="243">
        <f>SUMIFS(record[OK],record[製程料號],_018_650[[#This Row],[製令單號]],record[ProcessSN],F$1)</f>
        <v>286</v>
      </c>
      <c r="G6" s="242" t="str">
        <f>IF(_018_650[[#This Row],['#08已委外數量]]&gt;0,VLOOKUP(G$1,record[[ProcessSN]:[廠商]],12,FALSE),"尚未委外")</f>
        <v>泉盛</v>
      </c>
      <c r="H6" s="243">
        <f>_018_650[[#This Row],['#08已委外數量]]-_018_650[[#This Row],['#08回
良品]]-_018_650[[#This Row],['#08委外NG]]</f>
        <v>0</v>
      </c>
      <c r="I6" s="243">
        <f>SUMIFS(record[OK],record[製程料號],_018_650[[#This Row],[製令單號]],record[ProcessSN],I$1)</f>
        <v>286</v>
      </c>
      <c r="J6" s="244">
        <f>SUMIFS(record[NG],record[製程料號],_018_650[[#This Row],[製令單號]],record[ProcessSN],J$1)</f>
        <v>0</v>
      </c>
      <c r="K6" s="245">
        <f>IFERROR(_018_650[[#This Row],['#08委外NG]]/_018_650[[#This Row],['#08已委外數量]],"")</f>
        <v>0</v>
      </c>
      <c r="L6" s="243">
        <f>_018_650[[#This Row],['#08回
良品]]-_018_650[[#This Row],['#06檢驗OK]]-_018_650[[#This Row],['#06
QC NG]]</f>
        <v>0</v>
      </c>
      <c r="M6" s="243">
        <f>SUMIFS(record[OK],record[製程料號],_018_650[[#This Row],[製令單號]],record[ProcessSN],M$1)</f>
        <v>286</v>
      </c>
      <c r="N6" s="244">
        <f>SUMIFS(record[NG],record[製程料號],_018_650[[#This Row],[製令單號]],record[ProcessSN],N$1)</f>
        <v>0</v>
      </c>
      <c r="O6" s="243">
        <f>_018_650[[#This Row],['#06檢驗OK]]-_018_650[[#This Row],[不良品]]-_018_650[[#This Row],[良品]]</f>
        <v>0</v>
      </c>
      <c r="P6" s="243">
        <f>SUMIFS(record[OK],record[製程料號],_018_650[[#This Row],[製令單號]],record[ProcessSN],P$1)</f>
        <v>286</v>
      </c>
      <c r="Q6" s="244">
        <f>SUMIFS(record[NG],record[製程料號],_018_650[[#This Row],[製令單號]],record[ProcessSN],Q$1)</f>
        <v>0</v>
      </c>
      <c r="R6" s="243">
        <f>_018_650[[#This Row],[良品]]-_018_650[[#This Row],[良品放行]]-_018_650[[#This Row],[不良待處理]]</f>
        <v>0</v>
      </c>
      <c r="S6" s="243">
        <f>SUMIFS(record[OK],record[製程料號],_018_650[[#This Row],[製令單號]],record[ProcessSN],S$1)</f>
        <v>286</v>
      </c>
      <c r="T6" s="244">
        <f>SUMIFS(record[NG],record[製程料號],_018_650[[#This Row],[製令單號]],record[ProcessSN],T$1)</f>
        <v>0</v>
      </c>
      <c r="U6" s="243">
        <f>_018_650[[#This Row],[良品放行]]-_018_650[[#This Row],[入庫]]</f>
        <v>0</v>
      </c>
      <c r="V6" s="243">
        <f>SUMIFS(record[OK],record[製程料號],_018_650[[#This Row],[製令單號]],record[ProcessSN],V$1)</f>
        <v>286</v>
      </c>
      <c r="W6" s="243">
        <f>_018_650[[#This Row],[入庫]]-_018_650[[#This Row],[已出貨]]</f>
        <v>0</v>
      </c>
      <c r="X6" s="246"/>
      <c r="Y6" s="243">
        <f>SUMIFS(record[OK],record[製程料號],_018_650[[#This Row],[製令單號]],record[ProcessSN],Y$1)</f>
        <v>286</v>
      </c>
      <c r="Z6" s="247">
        <f>_018_650[[#This Row],[不良待處理]]+_018_650[[#This Row],[不良品]]+_018_650[[#This Row],['#06
QC NG]]+_018_650[[#This Row],['#08委外NG]]</f>
        <v>0</v>
      </c>
      <c r="AA6" s="245">
        <f>IF(_018_650[[#This Row],[已出貨]]+_018_650[[#This Row],[總不良數]]+_018_650[[#This Row],[可出貨數量]]=_018_650[[#This Row],[入料數]],(_018_650[[#This Row],[可出貨數量]]+_018_650[[#This Row],[已出貨]])/_018_650[[#This Row],[入料數]],"")</f>
        <v>1</v>
      </c>
    </row>
    <row r="7" spans="1:27" ht="30.75" x14ac:dyDescent="0.25">
      <c r="A7" s="239">
        <v>46129</v>
      </c>
      <c r="B7" s="240" t="s">
        <v>1828</v>
      </c>
      <c r="C7" s="241" t="s">
        <v>505</v>
      </c>
      <c r="D7" s="242">
        <v>200</v>
      </c>
      <c r="E7" s="243">
        <f>_018_650[[#This Row],[入料數]]-_018_650[[#This Row],['#08已委外數量]]</f>
        <v>0</v>
      </c>
      <c r="F7" s="243">
        <f>SUMIFS(record[OK],record[製程料號],_018_650[[#This Row],[製令單號]],record[ProcessSN],F$1)</f>
        <v>200</v>
      </c>
      <c r="G7" s="242" t="str">
        <f>IF(_018_650[[#This Row],['#08已委外數量]]&gt;0,VLOOKUP(G$1,record[[ProcessSN]:[廠商]],12,FALSE),"尚未委外")</f>
        <v>泉盛</v>
      </c>
      <c r="H7" s="243">
        <f>_018_650[[#This Row],['#08已委外數量]]-_018_650[[#This Row],['#08回
良品]]-_018_650[[#This Row],['#08委外NG]]</f>
        <v>0</v>
      </c>
      <c r="I7" s="243">
        <f>SUMIFS(record[OK],record[製程料號],_018_650[[#This Row],[製令單號]],record[ProcessSN],I$1)</f>
        <v>200</v>
      </c>
      <c r="J7" s="244">
        <f>SUMIFS(record[NG],record[製程料號],_018_650[[#This Row],[製令單號]],record[ProcessSN],J$1)</f>
        <v>0</v>
      </c>
      <c r="K7" s="245">
        <f>IFERROR(_018_650[[#This Row],['#08委外NG]]/_018_650[[#This Row],['#08已委外數量]],"")</f>
        <v>0</v>
      </c>
      <c r="L7" s="243">
        <f>_018_650[[#This Row],['#08回
良品]]-_018_650[[#This Row],['#06檢驗OK]]-_018_650[[#This Row],['#06
QC NG]]</f>
        <v>0</v>
      </c>
      <c r="M7" s="243">
        <f>SUMIFS(record[OK],record[製程料號],_018_650[[#This Row],[製令單號]],record[ProcessSN],M$1)</f>
        <v>200</v>
      </c>
      <c r="N7" s="244">
        <f>SUMIFS(record[NG],record[製程料號],_018_650[[#This Row],[製令單號]],record[ProcessSN],N$1)</f>
        <v>0</v>
      </c>
      <c r="O7" s="243">
        <f>_018_650[[#This Row],['#06檢驗OK]]-_018_650[[#This Row],[不良品]]-_018_650[[#This Row],[良品]]</f>
        <v>0</v>
      </c>
      <c r="P7" s="243">
        <f>SUMIFS(record[OK],record[製程料號],_018_650[[#This Row],[製令單號]],record[ProcessSN],P$1)</f>
        <v>197</v>
      </c>
      <c r="Q7" s="244">
        <f>SUMIFS(record[NG],record[製程料號],_018_650[[#This Row],[製令單號]],record[ProcessSN],Q$1)</f>
        <v>3</v>
      </c>
      <c r="R7" s="243">
        <f>_018_650[[#This Row],[良品]]-_018_650[[#This Row],[良品放行]]-_018_650[[#This Row],[不良待處理]]</f>
        <v>0</v>
      </c>
      <c r="S7" s="243">
        <f>SUMIFS(record[OK],record[製程料號],_018_650[[#This Row],[製令單號]],record[ProcessSN],S$1)</f>
        <v>197</v>
      </c>
      <c r="T7" s="244">
        <f>SUMIFS(record[NG],record[製程料號],_018_650[[#This Row],[製令單號]],record[ProcessSN],T$1)</f>
        <v>0</v>
      </c>
      <c r="U7" s="243">
        <f>_018_650[[#This Row],[良品放行]]-_018_650[[#This Row],[入庫]]</f>
        <v>0</v>
      </c>
      <c r="V7" s="243">
        <f>SUMIFS(record[OK],record[製程料號],_018_650[[#This Row],[製令單號]],record[ProcessSN],V$1)</f>
        <v>197</v>
      </c>
      <c r="W7" s="243">
        <f>_018_650[[#This Row],[入庫]]-_018_650[[#This Row],[已出貨]]</f>
        <v>0</v>
      </c>
      <c r="X7" s="246"/>
      <c r="Y7" s="243">
        <f>SUMIFS(record[OK],record[製程料號],_018_650[[#This Row],[製令單號]],record[ProcessSN],Y$1)</f>
        <v>197</v>
      </c>
      <c r="Z7" s="247">
        <f>_018_650[[#This Row],[不良待處理]]+_018_650[[#This Row],[不良品]]+_018_650[[#This Row],['#06
QC NG]]+_018_650[[#This Row],['#08委外NG]]</f>
        <v>3</v>
      </c>
      <c r="AA7" s="245">
        <f>IF(_018_650[[#This Row],[已出貨]]+_018_650[[#This Row],[總不良數]]+_018_650[[#This Row],[可出貨數量]]=_018_650[[#This Row],[入料數]],(_018_650[[#This Row],[可出貨數量]]+_018_650[[#This Row],[已出貨]])/_018_650[[#This Row],[入料數]],"")</f>
        <v>0.98499999999999999</v>
      </c>
    </row>
    <row r="8" spans="1:27" ht="30.75" x14ac:dyDescent="0.25">
      <c r="A8" s="239">
        <v>46139</v>
      </c>
      <c r="B8" s="240" t="s">
        <v>1919</v>
      </c>
      <c r="C8" s="241" t="s">
        <v>505</v>
      </c>
      <c r="D8" s="242">
        <v>480</v>
      </c>
      <c r="E8" s="243">
        <f>_018_650[[#This Row],[入料數]]-_018_650[[#This Row],['#08已委外數量]]</f>
        <v>0</v>
      </c>
      <c r="F8" s="243">
        <f>SUMIFS(record[OK],record[製程料號],_018_650[[#This Row],[製令單號]],record[ProcessSN],F$1)</f>
        <v>480</v>
      </c>
      <c r="G8" s="242" t="str">
        <f>IF(_018_650[[#This Row],['#08已委外數量]]&gt;0,VLOOKUP(G$1,record[[ProcessSN]:[廠商]],12,FALSE),"尚未委外")</f>
        <v>泉盛</v>
      </c>
      <c r="H8" s="243">
        <f>_018_650[[#This Row],['#08已委外數量]]-_018_650[[#This Row],['#08回
良品]]-_018_650[[#This Row],['#08委外NG]]</f>
        <v>0</v>
      </c>
      <c r="I8" s="243">
        <f>SUMIFS(record[OK],record[製程料號],_018_650[[#This Row],[製令單號]],record[ProcessSN],I$1)</f>
        <v>480</v>
      </c>
      <c r="J8" s="244">
        <f>SUMIFS(record[NG],record[製程料號],_018_650[[#This Row],[製令單號]],record[ProcessSN],J$1)</f>
        <v>0</v>
      </c>
      <c r="K8" s="245">
        <f>IFERROR(_018_650[[#This Row],['#08委外NG]]/_018_650[[#This Row],['#08已委外數量]],"")</f>
        <v>0</v>
      </c>
      <c r="L8" s="243">
        <f>_018_650[[#This Row],['#08回
良品]]-_018_650[[#This Row],['#06檢驗OK]]-_018_650[[#This Row],['#06
QC NG]]</f>
        <v>0</v>
      </c>
      <c r="M8" s="243">
        <f>SUMIFS(record[OK],record[製程料號],_018_650[[#This Row],[製令單號]],record[ProcessSN],M$1)</f>
        <v>480</v>
      </c>
      <c r="N8" s="244">
        <f>SUMIFS(record[NG],record[製程料號],_018_650[[#This Row],[製令單號]],record[ProcessSN],N$1)</f>
        <v>0</v>
      </c>
      <c r="O8" s="243">
        <f>_018_650[[#This Row],['#06檢驗OK]]-_018_650[[#This Row],[不良品]]-_018_650[[#This Row],[良品]]</f>
        <v>0</v>
      </c>
      <c r="P8" s="243">
        <f>SUMIFS(record[OK],record[製程料號],_018_650[[#This Row],[製令單號]],record[ProcessSN],P$1)</f>
        <v>457</v>
      </c>
      <c r="Q8" s="244">
        <f>SUMIFS(record[NG],record[製程料號],_018_650[[#This Row],[製令單號]],record[ProcessSN],Q$1)</f>
        <v>23</v>
      </c>
      <c r="R8" s="243">
        <f>_018_650[[#This Row],[良品]]-_018_650[[#This Row],[良品放行]]-_018_650[[#This Row],[不良待處理]]</f>
        <v>0</v>
      </c>
      <c r="S8" s="243">
        <f>SUMIFS(record[OK],record[製程料號],_018_650[[#This Row],[製令單號]],record[ProcessSN],S$1)</f>
        <v>457</v>
      </c>
      <c r="T8" s="244">
        <f>SUMIFS(record[NG],record[製程料號],_018_650[[#This Row],[製令單號]],record[ProcessSN],T$1)</f>
        <v>0</v>
      </c>
      <c r="U8" s="243">
        <f>_018_650[[#This Row],[良品放行]]-_018_650[[#This Row],[入庫]]</f>
        <v>0</v>
      </c>
      <c r="V8" s="243">
        <f>SUMIFS(record[OK],record[製程料號],_018_650[[#This Row],[製令單號]],record[ProcessSN],V$1)</f>
        <v>457</v>
      </c>
      <c r="W8" s="243">
        <f>_018_650[[#This Row],[入庫]]-_018_650[[#This Row],[已出貨]]</f>
        <v>0</v>
      </c>
      <c r="X8" s="246"/>
      <c r="Y8" s="243">
        <f>SUMIFS(record[OK],record[製程料號],_018_650[[#This Row],[製令單號]],record[ProcessSN],Y$1)</f>
        <v>457</v>
      </c>
      <c r="Z8" s="247">
        <f>_018_650[[#This Row],[不良待處理]]+_018_650[[#This Row],[不良品]]+_018_650[[#This Row],['#06
QC NG]]+_018_650[[#This Row],['#08委外NG]]</f>
        <v>23</v>
      </c>
      <c r="AA8" s="245">
        <f>IF(_018_650[[#This Row],[已出貨]]+_018_650[[#This Row],[總不良數]]+_018_650[[#This Row],[可出貨數量]]=_018_650[[#This Row],[入料數]],(_018_650[[#This Row],[可出貨數量]]+_018_650[[#This Row],[已出貨]])/_018_650[[#This Row],[入料數]],"")</f>
        <v>0.95208333333333328</v>
      </c>
    </row>
    <row r="9" spans="1:27" ht="30.75" x14ac:dyDescent="0.25">
      <c r="A9" s="239">
        <v>46150</v>
      </c>
      <c r="B9" s="240" t="s">
        <v>1990</v>
      </c>
      <c r="C9" s="241" t="s">
        <v>505</v>
      </c>
      <c r="D9" s="242">
        <v>112</v>
      </c>
      <c r="E9" s="243">
        <f>_018_650[[#This Row],[入料數]]-_018_650[[#This Row],['#08已委外數量]]</f>
        <v>0</v>
      </c>
      <c r="F9" s="243">
        <f>SUMIFS(record[OK],record[製程料號],_018_650[[#This Row],[製令單號]],record[ProcessSN],F$1)</f>
        <v>112</v>
      </c>
      <c r="G9" s="242" t="str">
        <f>IF(_018_650[[#This Row],['#08已委外數量]]&gt;0,VLOOKUP(G$1,record[[ProcessSN]:[廠商]],12,FALSE),"尚未委外")</f>
        <v>泉盛</v>
      </c>
      <c r="H9" s="243">
        <f>_018_650[[#This Row],['#08已委外數量]]-_018_650[[#This Row],['#08回
良品]]-_018_650[[#This Row],['#08委外NG]]</f>
        <v>0</v>
      </c>
      <c r="I9" s="243">
        <f>SUMIFS(record[OK],record[製程料號],_018_650[[#This Row],[製令單號]],record[ProcessSN],I$1)</f>
        <v>112</v>
      </c>
      <c r="J9" s="244">
        <f>SUMIFS(record[NG],record[製程料號],_018_650[[#This Row],[製令單號]],record[ProcessSN],J$1)</f>
        <v>0</v>
      </c>
      <c r="K9" s="245">
        <f>IFERROR(_018_650[[#This Row],['#08委外NG]]/_018_650[[#This Row],['#08已委外數量]],"")</f>
        <v>0</v>
      </c>
      <c r="L9" s="243">
        <f>_018_650[[#This Row],['#08回
良品]]-_018_650[[#This Row],['#06檢驗OK]]-_018_650[[#This Row],['#06
QC NG]]</f>
        <v>0</v>
      </c>
      <c r="M9" s="243">
        <f>SUMIFS(record[OK],record[製程料號],_018_650[[#This Row],[製令單號]],record[ProcessSN],M$1)</f>
        <v>112</v>
      </c>
      <c r="N9" s="244">
        <f>SUMIFS(record[NG],record[製程料號],_018_650[[#This Row],[製令單號]],record[ProcessSN],N$1)</f>
        <v>0</v>
      </c>
      <c r="O9" s="243">
        <f>_018_650[[#This Row],['#06檢驗OK]]-_018_650[[#This Row],[不良品]]-_018_650[[#This Row],[良品]]</f>
        <v>0</v>
      </c>
      <c r="P9" s="243">
        <f>SUMIFS(record[OK],record[製程料號],_018_650[[#This Row],[製令單號]],record[ProcessSN],P$1)</f>
        <v>112</v>
      </c>
      <c r="Q9" s="244">
        <f>SUMIFS(record[NG],record[製程料號],_018_650[[#This Row],[製令單號]],record[ProcessSN],Q$1)</f>
        <v>0</v>
      </c>
      <c r="R9" s="243">
        <f>_018_650[[#This Row],[良品]]-_018_650[[#This Row],[良品放行]]-_018_650[[#This Row],[不良待處理]]</f>
        <v>0</v>
      </c>
      <c r="S9" s="243">
        <f>SUMIFS(record[OK],record[製程料號],_018_650[[#This Row],[製令單號]],record[ProcessSN],S$1)</f>
        <v>112</v>
      </c>
      <c r="T9" s="244">
        <f>SUMIFS(record[NG],record[製程料號],_018_650[[#This Row],[製令單號]],record[ProcessSN],T$1)</f>
        <v>0</v>
      </c>
      <c r="U9" s="243">
        <f>_018_650[[#This Row],[良品放行]]-_018_650[[#This Row],[入庫]]</f>
        <v>0</v>
      </c>
      <c r="V9" s="243">
        <f>SUMIFS(record[OK],record[製程料號],_018_650[[#This Row],[製令單號]],record[ProcessSN],V$1)</f>
        <v>112</v>
      </c>
      <c r="W9" s="243">
        <f>_018_650[[#This Row],[入庫]]-_018_650[[#This Row],[已出貨]]</f>
        <v>0</v>
      </c>
      <c r="X9" s="246"/>
      <c r="Y9" s="243">
        <f>SUMIFS(record[OK],record[製程料號],_018_650[[#This Row],[製令單號]],record[ProcessSN],Y$1)</f>
        <v>112</v>
      </c>
      <c r="Z9" s="247">
        <f>_018_650[[#This Row],[不良待處理]]+_018_650[[#This Row],[不良品]]+_018_650[[#This Row],['#06
QC NG]]+_018_650[[#This Row],['#08委外NG]]</f>
        <v>0</v>
      </c>
      <c r="AA9" s="245">
        <f>IF(_018_650[[#This Row],[已出貨]]+_018_650[[#This Row],[總不良數]]+_018_650[[#This Row],[可出貨數量]]=_018_650[[#This Row],[入料數]],(_018_650[[#This Row],[可出貨數量]]+_018_650[[#This Row],[已出貨]])/_018_650[[#This Row],[入料數]],"")</f>
        <v>1</v>
      </c>
    </row>
    <row r="10" spans="1:27" ht="30.75" x14ac:dyDescent="0.25">
      <c r="A10" s="239">
        <v>46151</v>
      </c>
      <c r="B10" s="240" t="s">
        <v>1995</v>
      </c>
      <c r="C10" s="241" t="s">
        <v>505</v>
      </c>
      <c r="D10" s="242">
        <v>384</v>
      </c>
      <c r="E10" s="243">
        <f>_018_650[[#This Row],[入料數]]-_018_650[[#This Row],['#08已委外數量]]</f>
        <v>0</v>
      </c>
      <c r="F10" s="243">
        <f>SUMIFS(record[OK],record[製程料號],_018_650[[#This Row],[製令單號]],record[ProcessSN],F$1)</f>
        <v>384</v>
      </c>
      <c r="G10" s="242" t="str">
        <f>IF(_018_650[[#This Row],['#08已委外數量]]&gt;0,VLOOKUP(G$1,record[[ProcessSN]:[廠商]],12,FALSE),"尚未委外")</f>
        <v>泉盛</v>
      </c>
      <c r="H10" s="243">
        <f>_018_650[[#This Row],['#08已委外數量]]-_018_650[[#This Row],['#08回
良品]]-_018_650[[#This Row],['#08委外NG]]</f>
        <v>0</v>
      </c>
      <c r="I10" s="243">
        <f>SUMIFS(record[OK],record[製程料號],_018_650[[#This Row],[製令單號]],record[ProcessSN],I$1)</f>
        <v>341</v>
      </c>
      <c r="J10" s="244">
        <f>SUMIFS(record[NG],record[製程料號],_018_650[[#This Row],[製令單號]],record[ProcessSN],J$1)</f>
        <v>43</v>
      </c>
      <c r="K10" s="245">
        <f>IFERROR(_018_650[[#This Row],['#08委外NG]]/_018_650[[#This Row],['#08已委外數量]],"")</f>
        <v>0.11197916666666667</v>
      </c>
      <c r="L10" s="243">
        <f>_018_650[[#This Row],['#08回
良品]]-_018_650[[#This Row],['#06檢驗OK]]-_018_650[[#This Row],['#06
QC NG]]</f>
        <v>0</v>
      </c>
      <c r="M10" s="243">
        <f>SUMIFS(record[OK],record[製程料號],_018_650[[#This Row],[製令單號]],record[ProcessSN],M$1)</f>
        <v>341</v>
      </c>
      <c r="N10" s="244">
        <f>SUMIFS(record[NG],record[製程料號],_018_650[[#This Row],[製令單號]],record[ProcessSN],N$1)</f>
        <v>0</v>
      </c>
      <c r="O10" s="243">
        <f>_018_650[[#This Row],['#06檢驗OK]]-_018_650[[#This Row],[不良品]]-_018_650[[#This Row],[良品]]</f>
        <v>0</v>
      </c>
      <c r="P10" s="243">
        <f>SUMIFS(record[OK],record[製程料號],_018_650[[#This Row],[製令單號]],record[ProcessSN],P$1)</f>
        <v>341</v>
      </c>
      <c r="Q10" s="244">
        <f>SUMIFS(record[NG],record[製程料號],_018_650[[#This Row],[製令單號]],record[ProcessSN],Q$1)</f>
        <v>0</v>
      </c>
      <c r="R10" s="243">
        <f>_018_650[[#This Row],[良品]]-_018_650[[#This Row],[良品放行]]-_018_650[[#This Row],[不良待處理]]</f>
        <v>0</v>
      </c>
      <c r="S10" s="243">
        <f>SUMIFS(record[OK],record[製程料號],_018_650[[#This Row],[製令單號]],record[ProcessSN],S$1)</f>
        <v>341</v>
      </c>
      <c r="T10" s="244">
        <f>SUMIFS(record[NG],record[製程料號],_018_650[[#This Row],[製令單號]],record[ProcessSN],T$1)</f>
        <v>0</v>
      </c>
      <c r="U10" s="243">
        <f>_018_650[[#This Row],[良品放行]]-_018_650[[#This Row],[入庫]]</f>
        <v>0</v>
      </c>
      <c r="V10" s="243">
        <f>SUMIFS(record[OK],record[製程料號],_018_650[[#This Row],[製令單號]],record[ProcessSN],V$1)</f>
        <v>341</v>
      </c>
      <c r="W10" s="243">
        <f>_018_650[[#This Row],[入庫]]-_018_650[[#This Row],[已出貨]]</f>
        <v>6</v>
      </c>
      <c r="X10" s="246"/>
      <c r="Y10" s="243">
        <f>SUMIFS(record[OK],record[製程料號],_018_650[[#This Row],[製令單號]],record[ProcessSN],Y$1)</f>
        <v>335</v>
      </c>
      <c r="Z10" s="247">
        <f>_018_650[[#This Row],[不良待處理]]+_018_650[[#This Row],[不良品]]+_018_650[[#This Row],['#06
QC NG]]+_018_650[[#This Row],['#08委外NG]]</f>
        <v>43</v>
      </c>
      <c r="AA10" s="245">
        <f>IF(_018_650[[#This Row],[已出貨]]+_018_650[[#This Row],[總不良數]]+_018_650[[#This Row],[可出貨數量]]=_018_650[[#This Row],[入料數]],(_018_650[[#This Row],[可出貨數量]]+_018_650[[#This Row],[已出貨]])/_018_650[[#This Row],[入料數]],"")</f>
        <v>0.88802083333333337</v>
      </c>
    </row>
    <row r="11" spans="1:27" ht="30.75" x14ac:dyDescent="0.25">
      <c r="A11" s="239">
        <v>46153</v>
      </c>
      <c r="B11" s="240" t="s">
        <v>1999</v>
      </c>
      <c r="C11" s="241" t="s">
        <v>505</v>
      </c>
      <c r="D11" s="242">
        <v>336</v>
      </c>
      <c r="E11" s="243">
        <f>_018_650[[#This Row],[入料數]]-_018_650[[#This Row],['#08已委外數量]]</f>
        <v>0</v>
      </c>
      <c r="F11" s="243">
        <f>SUMIFS(record[OK],record[製程料號],_018_650[[#This Row],[製令單號]],record[ProcessSN],F$1)</f>
        <v>336</v>
      </c>
      <c r="G11" s="242" t="str">
        <f>IF(_018_650[[#This Row],['#08已委外數量]]&gt;0,VLOOKUP(G$1,record[[ProcessSN]:[廠商]],12,FALSE),"尚未委外")</f>
        <v>泉盛</v>
      </c>
      <c r="H11" s="243">
        <f>_018_650[[#This Row],['#08已委外數量]]-_018_650[[#This Row],['#08回
良品]]-_018_650[[#This Row],['#08委外NG]]</f>
        <v>0</v>
      </c>
      <c r="I11" s="243">
        <f>SUMIFS(record[OK],record[製程料號],_018_650[[#This Row],[製令單號]],record[ProcessSN],I$1)</f>
        <v>336</v>
      </c>
      <c r="J11" s="244">
        <f>SUMIFS(record[NG],record[製程料號],_018_650[[#This Row],[製令單號]],record[ProcessSN],J$1)</f>
        <v>0</v>
      </c>
      <c r="K11" s="245">
        <f>IFERROR(_018_650[[#This Row],['#08委外NG]]/_018_650[[#This Row],['#08已委外數量]],"")</f>
        <v>0</v>
      </c>
      <c r="L11" s="243">
        <f>_018_650[[#This Row],['#08回
良品]]-_018_650[[#This Row],['#06檢驗OK]]-_018_650[[#This Row],['#06
QC NG]]</f>
        <v>0</v>
      </c>
      <c r="M11" s="243">
        <f>SUMIFS(record[OK],record[製程料號],_018_650[[#This Row],[製令單號]],record[ProcessSN],M$1)</f>
        <v>336</v>
      </c>
      <c r="N11" s="244">
        <f>SUMIFS(record[NG],record[製程料號],_018_650[[#This Row],[製令單號]],record[ProcessSN],N$1)</f>
        <v>0</v>
      </c>
      <c r="O11" s="243">
        <f>_018_650[[#This Row],['#06檢驗OK]]-_018_650[[#This Row],[不良品]]-_018_650[[#This Row],[良品]]</f>
        <v>0</v>
      </c>
      <c r="P11" s="243">
        <f>SUMIFS(record[OK],record[製程料號],_018_650[[#This Row],[製令單號]],record[ProcessSN],P$1)</f>
        <v>328</v>
      </c>
      <c r="Q11" s="244">
        <f>SUMIFS(record[NG],record[製程料號],_018_650[[#This Row],[製令單號]],record[ProcessSN],Q$1)</f>
        <v>8</v>
      </c>
      <c r="R11" s="243">
        <f>_018_650[[#This Row],[良品]]-_018_650[[#This Row],[良品放行]]-_018_650[[#This Row],[不良待處理]]</f>
        <v>0</v>
      </c>
      <c r="S11" s="243">
        <f>SUMIFS(record[OK],record[製程料號],_018_650[[#This Row],[製令單號]],record[ProcessSN],S$1)</f>
        <v>328</v>
      </c>
      <c r="T11" s="244">
        <f>SUMIFS(record[NG],record[製程料號],_018_650[[#This Row],[製令單號]],record[ProcessSN],T$1)</f>
        <v>0</v>
      </c>
      <c r="U11" s="243">
        <f>_018_650[[#This Row],[良品放行]]-_018_650[[#This Row],[入庫]]</f>
        <v>0</v>
      </c>
      <c r="V11" s="243">
        <f>SUMIFS(record[OK],record[製程料號],_018_650[[#This Row],[製令單號]],record[ProcessSN],V$1)</f>
        <v>328</v>
      </c>
      <c r="W11" s="243">
        <f>_018_650[[#This Row],[入庫]]-_018_650[[#This Row],[已出貨]]</f>
        <v>0</v>
      </c>
      <c r="X11" s="246"/>
      <c r="Y11" s="243">
        <f>SUMIFS(record[OK],record[製程料號],_018_650[[#This Row],[製令單號]],record[ProcessSN],Y$1)</f>
        <v>328</v>
      </c>
      <c r="Z11" s="247">
        <f>_018_650[[#This Row],[不良待處理]]+_018_650[[#This Row],[不良品]]+_018_650[[#This Row],['#06
QC NG]]+_018_650[[#This Row],['#08委外NG]]</f>
        <v>8</v>
      </c>
      <c r="AA11" s="245">
        <f>IF(_018_650[[#This Row],[已出貨]]+_018_650[[#This Row],[總不良數]]+_018_650[[#This Row],[可出貨數量]]=_018_650[[#This Row],[入料數]],(_018_650[[#This Row],[可出貨數量]]+_018_650[[#This Row],[已出貨]])/_018_650[[#This Row],[入料數]],"")</f>
        <v>0.97619047619047616</v>
      </c>
    </row>
    <row r="12" spans="1:27" ht="30.75" x14ac:dyDescent="0.25">
      <c r="A12" s="239">
        <v>46153</v>
      </c>
      <c r="B12" s="240" t="s">
        <v>2005</v>
      </c>
      <c r="C12" s="241" t="s">
        <v>505</v>
      </c>
      <c r="D12" s="242">
        <v>768</v>
      </c>
      <c r="E12" s="243">
        <f>_018_650[[#This Row],[入料數]]-_018_650[[#This Row],['#08已委外數量]]</f>
        <v>0</v>
      </c>
      <c r="F12" s="243">
        <f>SUMIFS(record[OK],record[製程料號],_018_650[[#This Row],[製令單號]],record[ProcessSN],F$1)</f>
        <v>768</v>
      </c>
      <c r="G12" s="242" t="str">
        <f>IF(_018_650[[#This Row],['#08已委外數量]]&gt;0,VLOOKUP(G$1,record[[ProcessSN]:[廠商]],12,FALSE),"尚未委外")</f>
        <v>泉盛</v>
      </c>
      <c r="H12" s="243">
        <f>_018_650[[#This Row],['#08已委外數量]]-_018_650[[#This Row],['#08回
良品]]-_018_650[[#This Row],['#08委外NG]]</f>
        <v>0</v>
      </c>
      <c r="I12" s="243">
        <f>SUMIFS(record[OK],record[製程料號],_018_650[[#This Row],[製令單號]],record[ProcessSN],I$1)</f>
        <v>768</v>
      </c>
      <c r="J12" s="244">
        <f>SUMIFS(record[NG],record[製程料號],_018_650[[#This Row],[製令單號]],record[ProcessSN],J$1)</f>
        <v>0</v>
      </c>
      <c r="K12" s="245">
        <f>IFERROR(_018_650[[#This Row],['#08委外NG]]/_018_650[[#This Row],['#08已委外數量]],"")</f>
        <v>0</v>
      </c>
      <c r="L12" s="243">
        <f>_018_650[[#This Row],['#08回
良品]]-_018_650[[#This Row],['#06檢驗OK]]-_018_650[[#This Row],['#06
QC NG]]</f>
        <v>0</v>
      </c>
      <c r="M12" s="243">
        <f>SUMIFS(record[OK],record[製程料號],_018_650[[#This Row],[製令單號]],record[ProcessSN],M$1)</f>
        <v>768</v>
      </c>
      <c r="N12" s="244">
        <f>SUMIFS(record[NG],record[製程料號],_018_650[[#This Row],[製令單號]],record[ProcessSN],N$1)</f>
        <v>0</v>
      </c>
      <c r="O12" s="243">
        <f>_018_650[[#This Row],['#06檢驗OK]]-_018_650[[#This Row],[不良品]]-_018_650[[#This Row],[良品]]</f>
        <v>0</v>
      </c>
      <c r="P12" s="243">
        <f>SUMIFS(record[OK],record[製程料號],_018_650[[#This Row],[製令單號]],record[ProcessSN],P$1)</f>
        <v>768</v>
      </c>
      <c r="Q12" s="244">
        <f>SUMIFS(record[NG],record[製程料號],_018_650[[#This Row],[製令單號]],record[ProcessSN],Q$1)</f>
        <v>0</v>
      </c>
      <c r="R12" s="243">
        <f>_018_650[[#This Row],[良品]]-_018_650[[#This Row],[良品放行]]-_018_650[[#This Row],[不良待處理]]</f>
        <v>0</v>
      </c>
      <c r="S12" s="243">
        <f>SUMIFS(record[OK],record[製程料號],_018_650[[#This Row],[製令單號]],record[ProcessSN],S$1)</f>
        <v>768</v>
      </c>
      <c r="T12" s="244">
        <f>SUMIFS(record[NG],record[製程料號],_018_650[[#This Row],[製令單號]],record[ProcessSN],T$1)</f>
        <v>0</v>
      </c>
      <c r="U12" s="243">
        <f>_018_650[[#This Row],[良品放行]]-_018_650[[#This Row],[入庫]]</f>
        <v>0</v>
      </c>
      <c r="V12" s="243">
        <f>SUMIFS(record[OK],record[製程料號],_018_650[[#This Row],[製令單號]],record[ProcessSN],V$1)</f>
        <v>768</v>
      </c>
      <c r="W12" s="243">
        <f>_018_650[[#This Row],[入庫]]-_018_650[[#This Row],[已出貨]]</f>
        <v>383</v>
      </c>
      <c r="X12" s="246"/>
      <c r="Y12" s="243">
        <f>SUMIFS(record[OK],record[製程料號],_018_650[[#This Row],[製令單號]],record[ProcessSN],Y$1)</f>
        <v>385</v>
      </c>
      <c r="Z12" s="247">
        <f>_018_650[[#This Row],[不良待處理]]+_018_650[[#This Row],[不良品]]+_018_650[[#This Row],['#06
QC NG]]+_018_650[[#This Row],['#08委外NG]]</f>
        <v>0</v>
      </c>
      <c r="AA12" s="245">
        <f>IF(_018_650[[#This Row],[已出貨]]+_018_650[[#This Row],[總不良數]]+_018_650[[#This Row],[可出貨數量]]=_018_650[[#This Row],[入料數]],(_018_650[[#This Row],[可出貨數量]]+_018_650[[#This Row],[已出貨]])/_018_650[[#This Row],[入料數]],"")</f>
        <v>1</v>
      </c>
    </row>
    <row r="13" spans="1:27" ht="15.75" x14ac:dyDescent="0.25"/>
    <row r="14" spans="1:27" ht="15.75" x14ac:dyDescent="0.25"/>
    <row r="15" spans="1:27" ht="15.75" x14ac:dyDescent="0.25"/>
    <row r="16" spans="1:27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  <row r="22" ht="15.75" x14ac:dyDescent="0.25"/>
    <row r="23" ht="15.75" x14ac:dyDescent="0.25"/>
    <row r="24" ht="15.75" x14ac:dyDescent="0.25"/>
    <row r="25" ht="15.75" x14ac:dyDescent="0.25"/>
    <row r="26" ht="15.75" x14ac:dyDescent="0.25"/>
    <row r="27" ht="15.75" x14ac:dyDescent="0.25"/>
    <row r="28" ht="15.75" x14ac:dyDescent="0.25"/>
    <row r="29" ht="15.75" x14ac:dyDescent="0.25"/>
    <row r="30" ht="15.75" x14ac:dyDescent="0.25"/>
    <row r="31" ht="15.75" x14ac:dyDescent="0.25"/>
    <row r="32" ht="15.75" x14ac:dyDescent="0.25"/>
    <row r="33" ht="15.75" x14ac:dyDescent="0.25"/>
    <row r="34" ht="15.75" x14ac:dyDescent="0.25"/>
    <row r="35" ht="15.75" x14ac:dyDescent="0.25"/>
    <row r="36" ht="15.75" x14ac:dyDescent="0.25"/>
    <row r="37" ht="15.75" x14ac:dyDescent="0.25"/>
    <row r="38" ht="15.75" x14ac:dyDescent="0.25"/>
    <row r="39" ht="15.75" x14ac:dyDescent="0.25"/>
    <row r="40" ht="15.75" x14ac:dyDescent="0.25"/>
    <row r="41" ht="15.75" x14ac:dyDescent="0.25"/>
    <row r="42" ht="15.75" x14ac:dyDescent="0.25"/>
  </sheetData>
  <mergeCells count="17">
    <mergeCell ref="Y2:Y3"/>
    <mergeCell ref="Z2:Z3"/>
    <mergeCell ref="AA2:AA4"/>
    <mergeCell ref="O3:Q3"/>
    <mergeCell ref="R3:T3"/>
    <mergeCell ref="R2:T2"/>
    <mergeCell ref="U2:W3"/>
    <mergeCell ref="A2:A4"/>
    <mergeCell ref="B2:B4"/>
    <mergeCell ref="D2:D3"/>
    <mergeCell ref="E2:J2"/>
    <mergeCell ref="K2:K4"/>
    <mergeCell ref="L2:N2"/>
    <mergeCell ref="E3:J3"/>
    <mergeCell ref="L3:N3"/>
    <mergeCell ref="G4:H4"/>
    <mergeCell ref="O2:Q2"/>
  </mergeCells>
  <phoneticPr fontId="3" type="noConversion"/>
  <conditionalFormatting sqref="E5:F12 H5:I12 L5:M12 O5:P12 R5:S12 U5:Y12">
    <cfRule type="cellIs" dxfId="461" priority="10" operator="lessThan">
      <formula>0</formula>
    </cfRule>
    <cfRule type="cellIs" dxfId="460" priority="11" operator="greaterThan">
      <formula>0</formula>
    </cfRule>
  </conditionalFormatting>
  <conditionalFormatting sqref="AA5:AA12">
    <cfRule type="cellIs" dxfId="459" priority="3" operator="lessThan">
      <formula>0.97</formula>
    </cfRule>
  </conditionalFormatting>
  <conditionalFormatting sqref="J5:K12 N5:N12 Q5:Q12 T5:T12">
    <cfRule type="cellIs" dxfId="458" priority="8" operator="greaterThan">
      <formula>0</formula>
    </cfRule>
  </conditionalFormatting>
  <conditionalFormatting sqref="G5:G12">
    <cfRule type="containsText" dxfId="457" priority="6" operator="containsText" text="尚未委外">
      <formula>NOT(ISERROR(SEARCH("尚未委外",G5)))</formula>
    </cfRule>
    <cfRule type="notContainsBlanks" dxfId="456" priority="7">
      <formula>LEN(TRIM(G5))&gt;0</formula>
    </cfRule>
  </conditionalFormatting>
  <conditionalFormatting sqref="K5:K12">
    <cfRule type="containsBlanks" dxfId="455" priority="4">
      <formula>LEN(TRIM(K5))=0</formula>
    </cfRule>
    <cfRule type="cellIs" dxfId="454" priority="5" operator="greaterThan">
      <formula>0.03</formula>
    </cfRule>
  </conditionalFormatting>
  <conditionalFormatting sqref="AA5:AA12">
    <cfRule type="containsBlanks" dxfId="453" priority="1">
      <formula>LEN(TRIM(AA5))=0</formula>
    </cfRule>
    <cfRule type="cellIs" dxfId="452" priority="2" operator="greaterThanOrEqual">
      <formula>0.97</formula>
    </cfRule>
    <cfRule type="notContainsBlanks" dxfId="451" priority="9">
      <formula>LEN(TRIM(AA5))&gt;0</formula>
    </cfRule>
  </conditionalFormatting>
  <pageMargins left="0.7" right="0.7" top="0.75" bottom="0.75" header="0.51180555555555496" footer="0.51180555555555496"/>
  <pageSetup paperSize="9" firstPageNumber="0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A7084A-BEFA-420B-8101-5EA182FF14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20</vt:i4>
      </vt:variant>
      <vt:variant>
        <vt:lpstr>具名範圍</vt:lpstr>
      </vt:variant>
      <vt:variant>
        <vt:i4>32</vt:i4>
      </vt:variant>
    </vt:vector>
  </HeadingPairs>
  <TitlesOfParts>
    <vt:vector size="52" baseType="lpstr">
      <vt:lpstr>未交素材-淳梓</vt:lpstr>
      <vt:lpstr>報工紀錄 </vt:lpstr>
      <vt:lpstr>employee</vt:lpstr>
      <vt:lpstr>PCUST</vt:lpstr>
      <vt:lpstr>018#1</vt:lpstr>
      <vt:lpstr>4XX</vt:lpstr>
      <vt:lpstr>5XX</vt:lpstr>
      <vt:lpstr>6XX</vt:lpstr>
      <vt:lpstr>370</vt:lpstr>
      <vt:lpstr>400</vt:lpstr>
      <vt:lpstr>420</vt:lpstr>
      <vt:lpstr>450</vt:lpstr>
      <vt:lpstr>470</vt:lpstr>
      <vt:lpstr>500</vt:lpstr>
      <vt:lpstr>520</vt:lpstr>
      <vt:lpstr>550</vt:lpstr>
      <vt:lpstr>570</vt:lpstr>
      <vt:lpstr>600</vt:lpstr>
      <vt:lpstr>620</vt:lpstr>
      <vt:lpstr>650</vt:lpstr>
      <vt:lpstr>'4XX'!_4XX可分料</vt:lpstr>
      <vt:lpstr>'5XX'!_4XX可分料</vt:lpstr>
      <vt:lpstr>'6XX'!_4XX可分料</vt:lpstr>
      <vt:lpstr>'370'!可分料152</vt:lpstr>
      <vt:lpstr>'400'!可分料152</vt:lpstr>
      <vt:lpstr>'420'!可分料152</vt:lpstr>
      <vt:lpstr>'470'!可分料152</vt:lpstr>
      <vt:lpstr>'4XX'!可分料152</vt:lpstr>
      <vt:lpstr>'500'!可分料152</vt:lpstr>
      <vt:lpstr>'520'!可分料152</vt:lpstr>
      <vt:lpstr>'570'!可分料152</vt:lpstr>
      <vt:lpstr>'5XX'!可分料152</vt:lpstr>
      <vt:lpstr>'600'!可分料152</vt:lpstr>
      <vt:lpstr>'620'!可分料152</vt:lpstr>
      <vt:lpstr>'650'!可分料152</vt:lpstr>
      <vt:lpstr>'6XX'!可分料152</vt:lpstr>
      <vt:lpstr>可分料152</vt:lpstr>
      <vt:lpstr>'370'!可分料4XX</vt:lpstr>
      <vt:lpstr>'400'!可分料4XX</vt:lpstr>
      <vt:lpstr>'420'!可分料4XX</vt:lpstr>
      <vt:lpstr>'470'!可分料4XX</vt:lpstr>
      <vt:lpstr>'4XX'!可分料4XX</vt:lpstr>
      <vt:lpstr>'500'!可分料4XX</vt:lpstr>
      <vt:lpstr>'520'!可分料4XX</vt:lpstr>
      <vt:lpstr>'550'!可分料4XX</vt:lpstr>
      <vt:lpstr>'570'!可分料4XX</vt:lpstr>
      <vt:lpstr>'5XX'!可分料4XX</vt:lpstr>
      <vt:lpstr>'600'!可分料4XX</vt:lpstr>
      <vt:lpstr>'620'!可分料4XX</vt:lpstr>
      <vt:lpstr>'650'!可分料4XX</vt:lpstr>
      <vt:lpstr>'6XX'!可分料4XX</vt:lpstr>
      <vt:lpstr>可分料4XX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 Su</dc:creator>
  <cp:lastModifiedBy>MIS 萬合豐</cp:lastModifiedBy>
  <dcterms:created xsi:type="dcterms:W3CDTF">2015-06-05T18:17:20Z</dcterms:created>
  <dcterms:modified xsi:type="dcterms:W3CDTF">2026-05-19T01:15:59Z</dcterms:modified>
</cp:coreProperties>
</file>